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Nicolas\Desktop\PUCP\Clases\20-1\TA\"/>
    </mc:Choice>
  </mc:AlternateContent>
  <xr:revisionPtr revIDLastSave="0" documentId="13_ncr:1_{55D3D17E-0D5B-4FC0-A2C9-6647950F0B64}" xr6:coauthVersionLast="45" xr6:coauthVersionMax="45" xr10:uidLastSave="{00000000-0000-0000-0000-000000000000}"/>
  <bookViews>
    <workbookView xWindow="-120" yWindow="-120" windowWidth="29040" windowHeight="15840" tabRatio="714" activeTab="5" xr2:uid="{00000000-000D-0000-FFFF-FFFF00000000}"/>
  </bookViews>
  <sheets>
    <sheet name="Hoja4" sheetId="23" r:id="rId1"/>
    <sheet name="ASIGNACION" sheetId="1" r:id="rId2"/>
    <sheet name="Compras_Rpto" sheetId="7" r:id="rId3"/>
    <sheet name="SalidasxAlm" sheetId="10" r:id="rId4"/>
    <sheet name="Hoja5" sheetId="28" r:id="rId5"/>
    <sheet name="Facturacion" sheetId="8" r:id="rId6"/>
    <sheet name="Cua_Trab" sheetId="16" r:id="rId7"/>
    <sheet name="Diapo_10" sheetId="17" r:id="rId8"/>
    <sheet name="Diapo_10 (2)" sheetId="24" r:id="rId9"/>
    <sheet name="Diapo_10 (3)" sheetId="25" r:id="rId10"/>
    <sheet name="Diapo_11" sheetId="18" r:id="rId11"/>
    <sheet name="Diapo_11 (2)" sheetId="26" r:id="rId12"/>
    <sheet name="Diapo_11 (3)" sheetId="27" r:id="rId13"/>
    <sheet name="Costos x MO" sheetId="6" r:id="rId14"/>
    <sheet name="Hoja1" sheetId="19" r:id="rId15"/>
    <sheet name="Hoja2" sheetId="20" r:id="rId16"/>
    <sheet name="Hoja3" sheetId="22" r:id="rId17"/>
    <sheet name="Mascaras" sheetId="21" r:id="rId18"/>
  </sheets>
  <definedNames>
    <definedName name="_xlnm._FilterDatabase" localSheetId="1" hidden="1">ASIGNACION!$B$4:$AC$409</definedName>
    <definedName name="_xlnm._FilterDatabase" localSheetId="2" hidden="1">Compras_Rpto!$A$3:$M$3933</definedName>
    <definedName name="_xlnm._FilterDatabase" localSheetId="5" hidden="1">Facturacion!$A$3:$AV$1790</definedName>
    <definedName name="_xlnm._FilterDatabase" localSheetId="15" hidden="1">Hoja2!$A$3:$B$601</definedName>
    <definedName name="_xlnm._FilterDatabase" localSheetId="3" hidden="1">SalidasxAlm!$A$4:$M$8360</definedName>
    <definedName name="Año_Fac">Facturacion!$AO$4:$AO$66</definedName>
    <definedName name="Asig_Hora_Mec">OFFSET(ASIGNACION!$Z$2,3,0,COUNTA(ASIGNACION!$Z:$Z)-1)</definedName>
    <definedName name="Asig_Hora_Pla">OFFSET(ASIGNACION!$K$2,3,0,COUNTA(ASIGNACION!$K:$K)-1)</definedName>
    <definedName name="Asig_OT">OFFSET(ASIGNACION!$C$2,3,0,COUNTA(ASIGNACION!$C:$C)-1)</definedName>
    <definedName name="Asig_paño_Pin">OFFSET(ASIGNACION!$O$2,3,0,COUNTA(ASIGNACION!$O:$O)-1)</definedName>
    <definedName name="Asig_Terc_Pin">OFFSET(ASIGNACION!$P$2,3,0,COUNTA(ASIGNACION!$P:$P)-1)</definedName>
    <definedName name="Asig_Terc_Pla">OFFSET(ASIGNACION!$L$2,3,0,COUNTA(ASIGNACION!$L:$L)-1)</definedName>
    <definedName name="Cliente">Facturacion!$AV$4:$AV$66</definedName>
    <definedName name="Compras_OT">OFFSET(Compras_Rpto!$B$2,2,0,COUNTA(Compras_Rpto!$B:$B)-1)</definedName>
    <definedName name="Compras_Rpto">Facturacion!$AC$4:$AC$66</definedName>
    <definedName name="Compras_Suma">OFFSET(Compras_Rpto!$K$2,2,0,COUNTA(Compras_Rpto!$K:$K)-1)</definedName>
    <definedName name="Compras_Tipo">OFFSET(Compras_Rpto!$I$2,2,0,COUNTA(Compras_Rpto!$I:$I)-1)</definedName>
    <definedName name="_xlnm.Criteria" localSheetId="17">Mascaras!#REF!</definedName>
    <definedName name="Cuenta_Dia">Facturacion!$AQ$4:$AQ$66</definedName>
    <definedName name="Dias_Taller">Facturacion!$AP$4:$AP$66</definedName>
    <definedName name="_xlnm.Extract" localSheetId="17">Mascaras!#REF!</definedName>
    <definedName name="Fac_Fecha">OFFSET(Facturacion!$A$2,2,0,COUNTA(Facturacion!$A:$A)-1)</definedName>
    <definedName name="Fac_OT">OFFSET(Facturacion!$E$2,2,0,COUNTA(Facturacion!$E:$E)-1)</definedName>
    <definedName name="Fac_Suma">OFFSET(Facturacion!$X$2,2,0,COUNTA(Facturacion!$X:$X)-1)</definedName>
    <definedName name="Fecha_Rep">Facturacion!$AR$4:$AR$66</definedName>
    <definedName name="Fecha2">Facturacion!$Y$4:$Y$66</definedName>
    <definedName name="Marca">Facturacion!$AT$4:$AT$66</definedName>
    <definedName name="Margen_bruto">Facturacion!$AJ$4:$AJ$66</definedName>
    <definedName name="Matriz">OFFSET(ASIGNACION!$A$2,3,2,COUNTA(ASIGNACION!$A:$A),COUNTA(ASIGNACION!$4:$4)-2)</definedName>
    <definedName name="Matriz2">OFFSET(Facturacion!$A$2,2,4,COUNTA(Facturacion!$A:$A)-1,COUNTA(Facturacion!$4:$4)-29)</definedName>
    <definedName name="Matriz3">OFFSET(Facturacion!$A$2,1,0,COUNTA(Facturacion!$A:$A),COUNTA(Facturacion!$3:$3))</definedName>
    <definedName name="Mes_Fac">Facturacion!$AN$4:$AN$66</definedName>
    <definedName name="MO_Mecanica">Facturacion!$AE$4:$AE$66</definedName>
    <definedName name="MO_Pintura">Facturacion!$AG$4:$AG$66</definedName>
    <definedName name="MO_Planchado">Facturacion!$AF$4:$AF$66</definedName>
    <definedName name="Modelo">Facturacion!$AU$4:$AU$66</definedName>
    <definedName name="OT_Unicas">Facturacion!$Z$4:$Z$66</definedName>
    <definedName name="Placa">Facturacion!$AS$4:$AS$66</definedName>
    <definedName name="Porcentaje">Facturacion!$AK$4:$AK$66</definedName>
    <definedName name="_xlnm.Print_Titles" localSheetId="5">Facturacion!$3:$3</definedName>
    <definedName name="Rango_Dinamico">OFFSET(Facturacion!$Z$3,0,0,COUNTA(Facturacion!$Z:$Z),COUNTA(Facturacion!$3:$3)-25)</definedName>
    <definedName name="Salida_OT">OFFSET(SalidasxAlm!$L$2,3,0,COUNTA(SalidasxAlm!$L:$L)-1)</definedName>
    <definedName name="Salida_Suma">OFFSET(SalidasxAlm!$H$2,3,0,COUNTA(SalidasxAlm!$H:$H)-1)</definedName>
    <definedName name="Salidas_Almacen">Facturacion!$AB$4:$AB$66</definedName>
    <definedName name="Ser_Ter_Taller">Facturacion!$AH$4:$AH$66</definedName>
    <definedName name="Serv_Terceros">Facturacion!$AD$4:$AD$66</definedName>
    <definedName name="Sum_Acum">Facturacion!$AA$4:$AA$66</definedName>
    <definedName name="Tip_Cli">Facturacion!$AL$4:$AL$66</definedName>
    <definedName name="TIP_SERV">OFFSET(Facturacion!$P$2,2,0,COUNTA(Facturacion!$P:$P)-1)</definedName>
    <definedName name="Tip_Siniestro">Facturacion!$AM$4:$AM$66</definedName>
    <definedName name="Total_Gastos">Facturacion!$AI$4:$AI$66</definedName>
  </definedNames>
  <calcPr calcId="191029"/>
  <pivotCaches>
    <pivotCache cacheId="0" r:id="rId19"/>
    <pivotCache cacheId="1" r:id="rId20"/>
    <pivotCache cacheId="2" r:id="rId21"/>
    <pivotCache cacheId="3" r:id="rId22"/>
    <pivotCache cacheId="4" r:id="rId23"/>
    <pivotCache cacheId="5" r:id="rId2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7" i="17" l="1"/>
  <c r="E16" i="17"/>
  <c r="E15" i="17"/>
  <c r="E14" i="17"/>
  <c r="E13" i="17"/>
  <c r="E7" i="17"/>
  <c r="E6" i="17"/>
  <c r="E5" i="17"/>
  <c r="D8" i="17"/>
  <c r="D7" i="17"/>
  <c r="D6" i="17"/>
  <c r="D5" i="17"/>
  <c r="L2213" i="10" l="1"/>
  <c r="L2212" i="10"/>
  <c r="L2211" i="10"/>
  <c r="L2210" i="10"/>
  <c r="L2209" i="10"/>
  <c r="L2208" i="10"/>
  <c r="L2207" i="10"/>
  <c r="L2206" i="10"/>
  <c r="L2205" i="10"/>
  <c r="L2204" i="10"/>
  <c r="L2203" i="10"/>
  <c r="L2202" i="10"/>
  <c r="L2201" i="10"/>
  <c r="L2200" i="10"/>
  <c r="L2199" i="10"/>
  <c r="L2198" i="10"/>
  <c r="L2197" i="10"/>
  <c r="L2196" i="10"/>
  <c r="L2195" i="10"/>
  <c r="L2194" i="10"/>
  <c r="L2193" i="10"/>
  <c r="L2192" i="10"/>
  <c r="L2191" i="10"/>
  <c r="L2190" i="10"/>
  <c r="L2189" i="10"/>
  <c r="L2188" i="10"/>
  <c r="L2187" i="10"/>
  <c r="L2186" i="10"/>
  <c r="L2185" i="10"/>
  <c r="L2184" i="10"/>
  <c r="L2183" i="10"/>
  <c r="L2182" i="10"/>
  <c r="L2181" i="10"/>
  <c r="L2180" i="10"/>
  <c r="L2179" i="10"/>
  <c r="L2178" i="10"/>
  <c r="L2177" i="10"/>
  <c r="L2176" i="10"/>
  <c r="L2175" i="10"/>
  <c r="L2174" i="10"/>
  <c r="L2173" i="10"/>
  <c r="L2172" i="10"/>
  <c r="L2171" i="10"/>
  <c r="L2170" i="10"/>
  <c r="L2169" i="10"/>
  <c r="L2168" i="10"/>
  <c r="L2167" i="10"/>
  <c r="L2166" i="10"/>
  <c r="L2165" i="10"/>
  <c r="L2164" i="10"/>
  <c r="L2163" i="10"/>
  <c r="L2162" i="10"/>
  <c r="L2161" i="10"/>
  <c r="L2160" i="10"/>
  <c r="L2159" i="10"/>
  <c r="L2158" i="10"/>
  <c r="L2157" i="10"/>
  <c r="L2156" i="10"/>
  <c r="L2155" i="10"/>
  <c r="L2154" i="10"/>
  <c r="L2153" i="10"/>
  <c r="L2152" i="10"/>
  <c r="L2151" i="10"/>
  <c r="L2150" i="10"/>
  <c r="L2149" i="10"/>
  <c r="L2148" i="10"/>
  <c r="L2147" i="10"/>
  <c r="L2146" i="10"/>
  <c r="L2145" i="10"/>
  <c r="L2144" i="10"/>
  <c r="L2143" i="10" l="1"/>
  <c r="L2142" i="10"/>
  <c r="L2141" i="10"/>
  <c r="L2140" i="10"/>
  <c r="L2139" i="10"/>
  <c r="L2138" i="10"/>
  <c r="L2137" i="10"/>
  <c r="L2136" i="10"/>
  <c r="L2135" i="10"/>
  <c r="L2134" i="10"/>
  <c r="L2133" i="10"/>
  <c r="L2132" i="10"/>
  <c r="L2131" i="10"/>
  <c r="L2130" i="10"/>
  <c r="L2129" i="10"/>
  <c r="L2128" i="10"/>
  <c r="L2127" i="10"/>
  <c r="L2126" i="10"/>
  <c r="L2125" i="10"/>
  <c r="L2124" i="10"/>
  <c r="L2123" i="10"/>
  <c r="L2122" i="10"/>
  <c r="L2121" i="10"/>
  <c r="L2120" i="10"/>
  <c r="L2119" i="10"/>
  <c r="L2118" i="10"/>
  <c r="L2117" i="10"/>
  <c r="L2116" i="10"/>
  <c r="L2115" i="10"/>
  <c r="L2114" i="10"/>
  <c r="L2113" i="10"/>
  <c r="L2112" i="10"/>
  <c r="L2111" i="10"/>
  <c r="L2110" i="10"/>
  <c r="L2109" i="10"/>
  <c r="L2108" i="10"/>
  <c r="L2107" i="10"/>
  <c r="L2106" i="10"/>
  <c r="L2105" i="10"/>
  <c r="L2104" i="10"/>
  <c r="L2103" i="10"/>
  <c r="L2102" i="10"/>
  <c r="L2101" i="10"/>
  <c r="L2100" i="10"/>
  <c r="L2099" i="10"/>
  <c r="L2098" i="10"/>
  <c r="L2097" i="10"/>
  <c r="L2096" i="10"/>
  <c r="L2095" i="10"/>
  <c r="L2094" i="10"/>
  <c r="L2093" i="10"/>
  <c r="L2092" i="10"/>
  <c r="L2091" i="10"/>
  <c r="L2090" i="10"/>
  <c r="L2089" i="10"/>
  <c r="L2088" i="10"/>
  <c r="L2087" i="10"/>
  <c r="L2086" i="10"/>
  <c r="L2085" i="10"/>
  <c r="L2084" i="10"/>
  <c r="L2083" i="10"/>
  <c r="L2082" i="10"/>
  <c r="L2081" i="10"/>
  <c r="L2080" i="10"/>
  <c r="L2079" i="10"/>
  <c r="L2078" i="10"/>
  <c r="L2077" i="10"/>
  <c r="L2076" i="10"/>
  <c r="L2075" i="10"/>
  <c r="L2074" i="10"/>
  <c r="L2073" i="10"/>
  <c r="L2072" i="10"/>
  <c r="L2071" i="10"/>
  <c r="L2070" i="10"/>
  <c r="L2069" i="10"/>
  <c r="L2068" i="10"/>
  <c r="L2067" i="10"/>
  <c r="L2066" i="10"/>
  <c r="L2065" i="10"/>
  <c r="L2064" i="10"/>
  <c r="L2063" i="10"/>
  <c r="L2062" i="10"/>
  <c r="L2061" i="10"/>
  <c r="L2060" i="10"/>
  <c r="L2059" i="10"/>
  <c r="L2058" i="10"/>
  <c r="L2057" i="10"/>
  <c r="L2056" i="10"/>
  <c r="L2055" i="10"/>
  <c r="AH367" i="8"/>
  <c r="AG367" i="8"/>
  <c r="AE367" i="8"/>
  <c r="AH366" i="8"/>
  <c r="AG366" i="8"/>
  <c r="AE366" i="8"/>
  <c r="AH365" i="8"/>
  <c r="AG365" i="8"/>
  <c r="AE365" i="8"/>
  <c r="AH364" i="8"/>
  <c r="AG364" i="8"/>
  <c r="AE364" i="8"/>
  <c r="AH363" i="8"/>
  <c r="AG363" i="8"/>
  <c r="AE363" i="8"/>
  <c r="AH362" i="8"/>
  <c r="AG362" i="8"/>
  <c r="AE362" i="8"/>
  <c r="AH361" i="8"/>
  <c r="AG361" i="8"/>
  <c r="AE361" i="8"/>
  <c r="AH360" i="8"/>
  <c r="AG360" i="8"/>
  <c r="AE360" i="8"/>
  <c r="AH359" i="8"/>
  <c r="AG359" i="8"/>
  <c r="AE359" i="8"/>
  <c r="AH358" i="8"/>
  <c r="AG358" i="8"/>
  <c r="AE358" i="8"/>
  <c r="AH357" i="8"/>
  <c r="AG357" i="8"/>
  <c r="AE357" i="8"/>
  <c r="AH356" i="8"/>
  <c r="AG356" i="8"/>
  <c r="AE356" i="8"/>
  <c r="AH355" i="8"/>
  <c r="AG355" i="8"/>
  <c r="AE355" i="8"/>
  <c r="Y367" i="8"/>
  <c r="Y366" i="8"/>
  <c r="Y365" i="8"/>
  <c r="Y364" i="8"/>
  <c r="Y363" i="8"/>
  <c r="Y362" i="8"/>
  <c r="Y361" i="8"/>
  <c r="Y360" i="8"/>
  <c r="Y359" i="8"/>
  <c r="Y358" i="8"/>
  <c r="Y357" i="8"/>
  <c r="Y356" i="8"/>
  <c r="Y355" i="8"/>
  <c r="X1790" i="8"/>
  <c r="X1789" i="8"/>
  <c r="X1788" i="8"/>
  <c r="X1787" i="8"/>
  <c r="X1786" i="8"/>
  <c r="X1785" i="8"/>
  <c r="X1784" i="8"/>
  <c r="X1783" i="8"/>
  <c r="X1782" i="8"/>
  <c r="X1781" i="8"/>
  <c r="X1780" i="8"/>
  <c r="X1779" i="8"/>
  <c r="X1778" i="8"/>
  <c r="X1777" i="8"/>
  <c r="X1776" i="8"/>
  <c r="X1775" i="8"/>
  <c r="X1774" i="8"/>
  <c r="X1773" i="8"/>
  <c r="X1772" i="8"/>
  <c r="X1771" i="8"/>
  <c r="X1770" i="8"/>
  <c r="X1769" i="8"/>
  <c r="X1768" i="8"/>
  <c r="X1767" i="8"/>
  <c r="X1766" i="8"/>
  <c r="X1765" i="8"/>
  <c r="X1764" i="8"/>
  <c r="X1763" i="8"/>
  <c r="X1762" i="8"/>
  <c r="X1761" i="8"/>
  <c r="X1760" i="8"/>
  <c r="X1759" i="8"/>
  <c r="X1758" i="8"/>
  <c r="X1757" i="8"/>
  <c r="X1756" i="8"/>
  <c r="X1755" i="8"/>
  <c r="X1754" i="8"/>
  <c r="X1753" i="8"/>
  <c r="X1752" i="8"/>
  <c r="X1751" i="8"/>
  <c r="X1750" i="8"/>
  <c r="X1749" i="8"/>
  <c r="X1748" i="8"/>
  <c r="X1747" i="8"/>
  <c r="X1746" i="8"/>
  <c r="X1745" i="8"/>
  <c r="X1744" i="8"/>
  <c r="X1743" i="8"/>
  <c r="X1742" i="8"/>
  <c r="X1741" i="8"/>
  <c r="X1740" i="8"/>
  <c r="X1739" i="8"/>
  <c r="X1738" i="8"/>
  <c r="X1737" i="8"/>
  <c r="X1736" i="8"/>
  <c r="X1735" i="8"/>
  <c r="X1734" i="8"/>
  <c r="X1733" i="8"/>
  <c r="X1732" i="8"/>
  <c r="X1731" i="8"/>
  <c r="X1730" i="8"/>
  <c r="X1729" i="8"/>
  <c r="X1728" i="8"/>
  <c r="X1727" i="8"/>
  <c r="X1726" i="8"/>
  <c r="X1725" i="8"/>
  <c r="X1724" i="8"/>
  <c r="X1723" i="8"/>
  <c r="X1722" i="8"/>
  <c r="X1721" i="8"/>
  <c r="X1720" i="8"/>
  <c r="X1719" i="8"/>
  <c r="X1718" i="8"/>
  <c r="X1717" i="8"/>
  <c r="X1716" i="8"/>
  <c r="X1715" i="8"/>
  <c r="X1714" i="8"/>
  <c r="X1713" i="8"/>
  <c r="X1712" i="8"/>
  <c r="X1711" i="8"/>
  <c r="X1710" i="8"/>
  <c r="X1709" i="8"/>
  <c r="X1708" i="8"/>
  <c r="X1707" i="8"/>
  <c r="X1706" i="8"/>
  <c r="X1705" i="8"/>
  <c r="X1704" i="8"/>
  <c r="X1703" i="8"/>
  <c r="X1702" i="8"/>
  <c r="X1701" i="8"/>
  <c r="X1700" i="8"/>
  <c r="X1699" i="8"/>
  <c r="X1698" i="8"/>
  <c r="X1697" i="8"/>
  <c r="X1696" i="8"/>
  <c r="X1695" i="8"/>
  <c r="X1694" i="8"/>
  <c r="X1693" i="8"/>
  <c r="X1692" i="8"/>
  <c r="X1691" i="8"/>
  <c r="X1690" i="8"/>
  <c r="X1689" i="8"/>
  <c r="X1688" i="8"/>
  <c r="X1687" i="8"/>
  <c r="X1686" i="8"/>
  <c r="X1685" i="8"/>
  <c r="X1684" i="8"/>
  <c r="X1683" i="8"/>
  <c r="X1682" i="8"/>
  <c r="X1681" i="8"/>
  <c r="X1680" i="8"/>
  <c r="X1679" i="8"/>
  <c r="X1678" i="8"/>
  <c r="X1677" i="8"/>
  <c r="X1676" i="8"/>
  <c r="X1675" i="8"/>
  <c r="X1674" i="8"/>
  <c r="X1673" i="8"/>
  <c r="X1672" i="8"/>
  <c r="X1671" i="8"/>
  <c r="X1670" i="8"/>
  <c r="X1669" i="8"/>
  <c r="X1668" i="8"/>
  <c r="X1667" i="8"/>
  <c r="X1666" i="8"/>
  <c r="X1665" i="8"/>
  <c r="X1664" i="8"/>
  <c r="X1663" i="8"/>
  <c r="X1662" i="8"/>
  <c r="X1661" i="8"/>
  <c r="X1660" i="8"/>
  <c r="X1659" i="8"/>
  <c r="X1658" i="8"/>
  <c r="X1657" i="8"/>
  <c r="X1656" i="8"/>
  <c r="X1655" i="8"/>
  <c r="X1654" i="8"/>
  <c r="X1653" i="8"/>
  <c r="X1652" i="8"/>
  <c r="X1651" i="8"/>
  <c r="X1650" i="8"/>
  <c r="X1649" i="8"/>
  <c r="X1648" i="8"/>
  <c r="X1647" i="8"/>
  <c r="X1646" i="8"/>
  <c r="X1645" i="8"/>
  <c r="X1644" i="8"/>
  <c r="X1643" i="8"/>
  <c r="X1642" i="8"/>
  <c r="X1641" i="8"/>
  <c r="X1640" i="8"/>
  <c r="X1639" i="8"/>
  <c r="X1638" i="8"/>
  <c r="X1637" i="8"/>
  <c r="X1636" i="8"/>
  <c r="X1635" i="8"/>
  <c r="X1634" i="8"/>
  <c r="X1633" i="8"/>
  <c r="X1632" i="8"/>
  <c r="X1631" i="8"/>
  <c r="X1630" i="8"/>
  <c r="X1629" i="8"/>
  <c r="X1628" i="8"/>
  <c r="X1627" i="8"/>
  <c r="X1626" i="8"/>
  <c r="X1625" i="8"/>
  <c r="X1624" i="8"/>
  <c r="X1623" i="8"/>
  <c r="X1622" i="8"/>
  <c r="X1621" i="8"/>
  <c r="X1620" i="8"/>
  <c r="X1619" i="8"/>
  <c r="X1618" i="8"/>
  <c r="X1617" i="8"/>
  <c r="X1616" i="8"/>
  <c r="X1615" i="8"/>
  <c r="X1614" i="8"/>
  <c r="X1613" i="8"/>
  <c r="X1612" i="8"/>
  <c r="X1611" i="8"/>
  <c r="X1610" i="8"/>
  <c r="X1609" i="8"/>
  <c r="X1608" i="8"/>
  <c r="X1607" i="8"/>
  <c r="X1606" i="8"/>
  <c r="X1605" i="8"/>
  <c r="X1604" i="8"/>
  <c r="X1603" i="8"/>
  <c r="X1602" i="8"/>
  <c r="X1601" i="8"/>
  <c r="X1600" i="8"/>
  <c r="X1599" i="8"/>
  <c r="X1598" i="8"/>
  <c r="X1597" i="8"/>
  <c r="X1596" i="8"/>
  <c r="X1595" i="8"/>
  <c r="X1594" i="8"/>
  <c r="X1593" i="8"/>
  <c r="X1592" i="8"/>
  <c r="X1591" i="8"/>
  <c r="X1590" i="8"/>
  <c r="X1589" i="8"/>
  <c r="X1588" i="8"/>
  <c r="X1587" i="8"/>
  <c r="X1586" i="8"/>
  <c r="X1585" i="8"/>
  <c r="X1584" i="8"/>
  <c r="X1583" i="8"/>
  <c r="X1582" i="8"/>
  <c r="X1581" i="8"/>
  <c r="X1580" i="8"/>
  <c r="X1579" i="8"/>
  <c r="X1578" i="8"/>
  <c r="X1577" i="8"/>
  <c r="X1576" i="8"/>
  <c r="X1575" i="8"/>
  <c r="X1574" i="8"/>
  <c r="X1573" i="8"/>
  <c r="X1572" i="8"/>
  <c r="X1571" i="8"/>
  <c r="X1570" i="8"/>
  <c r="X1569" i="8"/>
  <c r="X1568" i="8"/>
  <c r="X1567" i="8"/>
  <c r="X1566" i="8"/>
  <c r="X1565" i="8"/>
  <c r="X1564" i="8"/>
  <c r="X1563" i="8"/>
  <c r="X1562" i="8"/>
  <c r="X1561" i="8"/>
  <c r="X1560" i="8"/>
  <c r="X1559" i="8"/>
  <c r="X1558" i="8"/>
  <c r="X1557" i="8"/>
  <c r="X1556" i="8"/>
  <c r="X1555" i="8"/>
  <c r="X1554" i="8"/>
  <c r="X1553" i="8"/>
  <c r="X1552" i="8"/>
  <c r="X1551" i="8"/>
  <c r="X1550" i="8"/>
  <c r="X1549" i="8"/>
  <c r="X1548" i="8"/>
  <c r="X1547" i="8"/>
  <c r="X1546" i="8"/>
  <c r="X1545" i="8"/>
  <c r="X1544" i="8"/>
  <c r="X1543" i="8"/>
  <c r="X1542" i="8"/>
  <c r="X1541" i="8"/>
  <c r="X1540" i="8"/>
  <c r="X1539" i="8"/>
  <c r="X1538" i="8"/>
  <c r="X1537" i="8"/>
  <c r="X1536" i="8"/>
  <c r="X1535" i="8"/>
  <c r="X1534" i="8"/>
  <c r="X1533" i="8"/>
  <c r="X1532" i="8"/>
  <c r="X1531" i="8"/>
  <c r="X1530" i="8"/>
  <c r="X1529" i="8"/>
  <c r="X1528" i="8"/>
  <c r="X1527" i="8"/>
  <c r="X1526" i="8"/>
  <c r="X1525" i="8"/>
  <c r="X1524" i="8"/>
  <c r="X1523" i="8"/>
  <c r="X1522" i="8"/>
  <c r="X1521" i="8"/>
  <c r="X1520" i="8"/>
  <c r="X1519" i="8"/>
  <c r="X1518" i="8"/>
  <c r="X1517" i="8"/>
  <c r="X1516" i="8"/>
  <c r="X1515" i="8"/>
  <c r="X1514" i="8"/>
  <c r="X1513" i="8"/>
  <c r="X1512" i="8"/>
  <c r="X1511" i="8"/>
  <c r="X1510" i="8"/>
  <c r="X1509" i="8"/>
  <c r="X1508" i="8"/>
  <c r="X1507" i="8"/>
  <c r="X1506" i="8"/>
  <c r="X1505" i="8"/>
  <c r="X1504" i="8"/>
  <c r="X1503" i="8"/>
  <c r="X1502" i="8"/>
  <c r="X1501" i="8"/>
  <c r="X1500" i="8"/>
  <c r="X1499" i="8"/>
  <c r="X1498" i="8"/>
  <c r="X1497" i="8"/>
  <c r="X1496" i="8"/>
  <c r="X1495" i="8"/>
  <c r="X1494" i="8"/>
  <c r="X1493" i="8"/>
  <c r="X1492" i="8"/>
  <c r="X1491" i="8"/>
  <c r="X1490" i="8"/>
  <c r="X1489" i="8"/>
  <c r="X1488" i="8"/>
  <c r="X1487" i="8"/>
  <c r="X1486" i="8"/>
  <c r="X1485" i="8"/>
  <c r="X1484" i="8"/>
  <c r="X1483" i="8"/>
  <c r="X1482" i="8"/>
  <c r="X1481" i="8"/>
  <c r="X1480" i="8"/>
  <c r="X1479" i="8"/>
  <c r="X1478" i="8"/>
  <c r="X1477" i="8"/>
  <c r="X1476" i="8"/>
  <c r="X1475" i="8"/>
  <c r="X1474" i="8"/>
  <c r="X1473" i="8"/>
  <c r="X1472" i="8"/>
  <c r="X1471" i="8"/>
  <c r="X1470" i="8"/>
  <c r="X1469" i="8"/>
  <c r="X1468" i="8"/>
  <c r="X1467" i="8"/>
  <c r="X1466" i="8"/>
  <c r="X1465" i="8"/>
  <c r="X1464" i="8"/>
  <c r="X1463" i="8"/>
  <c r="X1462" i="8"/>
  <c r="X1461" i="8"/>
  <c r="X1460" i="8"/>
  <c r="X1459" i="8"/>
  <c r="X1458" i="8"/>
  <c r="X1457" i="8"/>
  <c r="X1456" i="8"/>
  <c r="X1455" i="8"/>
  <c r="X1454" i="8"/>
  <c r="X1453" i="8"/>
  <c r="X1452" i="8"/>
  <c r="X1451" i="8"/>
  <c r="X1450" i="8"/>
  <c r="X1449" i="8"/>
  <c r="X1448" i="8"/>
  <c r="X1447" i="8"/>
  <c r="X1446" i="8"/>
  <c r="X1445" i="8"/>
  <c r="X1444" i="8"/>
  <c r="X1443" i="8"/>
  <c r="X1442" i="8"/>
  <c r="X1441" i="8"/>
  <c r="X1440" i="8"/>
  <c r="X1439" i="8"/>
  <c r="X1438" i="8"/>
  <c r="X1437" i="8"/>
  <c r="X1436" i="8"/>
  <c r="X1435" i="8"/>
  <c r="X1434" i="8"/>
  <c r="X1433" i="8"/>
  <c r="X1432" i="8"/>
  <c r="X1431" i="8"/>
  <c r="X1430" i="8"/>
  <c r="X1429" i="8"/>
  <c r="X1428" i="8"/>
  <c r="X1427" i="8"/>
  <c r="X1426" i="8"/>
  <c r="X1425" i="8"/>
  <c r="X1424" i="8"/>
  <c r="X1423" i="8"/>
  <c r="X1422" i="8"/>
  <c r="X1421" i="8"/>
  <c r="X1420" i="8"/>
  <c r="X1419" i="8"/>
  <c r="X1418" i="8"/>
  <c r="X1417" i="8"/>
  <c r="X1416" i="8"/>
  <c r="X1415" i="8"/>
  <c r="X1414" i="8"/>
  <c r="X1413" i="8"/>
  <c r="X1412" i="8"/>
  <c r="X1411" i="8"/>
  <c r="X1410" i="8"/>
  <c r="X1409" i="8"/>
  <c r="X1408" i="8"/>
  <c r="X1407" i="8"/>
  <c r="X1406" i="8"/>
  <c r="X1405" i="8"/>
  <c r="X1404" i="8"/>
  <c r="X1403" i="8"/>
  <c r="X1402" i="8"/>
  <c r="X1401" i="8"/>
  <c r="X1400" i="8"/>
  <c r="X1399" i="8"/>
  <c r="X1398" i="8"/>
  <c r="X1397" i="8"/>
  <c r="X1396" i="8"/>
  <c r="X1395" i="8"/>
  <c r="X1394" i="8"/>
  <c r="X1393" i="8"/>
  <c r="X1392" i="8"/>
  <c r="X1391" i="8"/>
  <c r="X1390" i="8"/>
  <c r="X1389" i="8"/>
  <c r="AN361" i="8" l="1"/>
  <c r="AN359" i="8"/>
  <c r="AN357" i="8"/>
  <c r="AN355" i="8"/>
  <c r="AN367" i="8"/>
  <c r="AN365" i="8"/>
  <c r="AN363" i="8"/>
  <c r="AO355" i="8"/>
  <c r="AO357" i="8"/>
  <c r="AO359" i="8"/>
  <c r="AO361" i="8"/>
  <c r="AO363" i="8"/>
  <c r="AO365" i="8"/>
  <c r="AO367" i="8"/>
  <c r="AN358" i="8"/>
  <c r="AN360" i="8"/>
  <c r="AN362" i="8"/>
  <c r="AN364" i="8"/>
  <c r="AN366" i="8"/>
  <c r="AN356" i="8"/>
  <c r="AO356" i="8"/>
  <c r="AO358" i="8"/>
  <c r="AO360" i="8"/>
  <c r="AO362" i="8"/>
  <c r="AO364" i="8"/>
  <c r="AO366" i="8"/>
  <c r="AH354" i="8" l="1"/>
  <c r="AG354" i="8"/>
  <c r="AE354" i="8"/>
  <c r="AH353" i="8"/>
  <c r="AG353" i="8"/>
  <c r="AE353" i="8"/>
  <c r="AH352" i="8"/>
  <c r="AG352" i="8"/>
  <c r="AE352" i="8"/>
  <c r="AH351" i="8"/>
  <c r="AG351" i="8"/>
  <c r="AE351" i="8"/>
  <c r="AH350" i="8"/>
  <c r="AG350" i="8"/>
  <c r="AE350" i="8"/>
  <c r="AH349" i="8"/>
  <c r="AG349" i="8"/>
  <c r="AE349" i="8"/>
  <c r="AH348" i="8"/>
  <c r="AG348" i="8"/>
  <c r="AE348" i="8"/>
  <c r="AH347" i="8"/>
  <c r="AG347" i="8"/>
  <c r="AE347" i="8"/>
  <c r="AH346" i="8"/>
  <c r="AG346" i="8"/>
  <c r="AE346" i="8"/>
  <c r="AH345" i="8"/>
  <c r="AG345" i="8"/>
  <c r="AE345" i="8"/>
  <c r="AH344" i="8"/>
  <c r="AG344" i="8"/>
  <c r="AE344" i="8"/>
  <c r="AH343" i="8"/>
  <c r="AG343" i="8"/>
  <c r="AE343" i="8"/>
  <c r="AH342" i="8"/>
  <c r="AG342" i="8"/>
  <c r="AE342" i="8"/>
  <c r="AH341" i="8"/>
  <c r="AG341" i="8"/>
  <c r="AE341" i="8"/>
  <c r="AH340" i="8"/>
  <c r="AG340" i="8"/>
  <c r="AE340" i="8"/>
  <c r="AH339" i="8"/>
  <c r="AG339" i="8"/>
  <c r="AE339" i="8"/>
  <c r="AH338" i="8"/>
  <c r="AG338" i="8"/>
  <c r="AE338" i="8"/>
  <c r="AH337" i="8"/>
  <c r="AG337" i="8"/>
  <c r="AE337" i="8"/>
  <c r="AH336" i="8"/>
  <c r="AG336" i="8"/>
  <c r="AE336" i="8"/>
  <c r="AH335" i="8"/>
  <c r="AG335" i="8"/>
  <c r="AE335" i="8"/>
  <c r="AH334" i="8"/>
  <c r="AG334" i="8"/>
  <c r="AE334" i="8"/>
  <c r="AH333" i="8"/>
  <c r="AG333" i="8"/>
  <c r="AE333" i="8"/>
  <c r="AH332" i="8"/>
  <c r="AG332" i="8"/>
  <c r="AE332" i="8"/>
  <c r="AH331" i="8"/>
  <c r="AG331" i="8"/>
  <c r="AE331" i="8"/>
  <c r="AH330" i="8"/>
  <c r="AG330" i="8"/>
  <c r="AE330" i="8"/>
  <c r="AH329" i="8"/>
  <c r="AG329" i="8"/>
  <c r="AE329" i="8"/>
  <c r="AH328" i="8"/>
  <c r="AG328" i="8"/>
  <c r="AE328" i="8"/>
  <c r="AH327" i="8"/>
  <c r="AG327" i="8"/>
  <c r="AE327" i="8"/>
  <c r="AH326" i="8"/>
  <c r="AG326" i="8"/>
  <c r="AE326" i="8"/>
  <c r="AH325" i="8"/>
  <c r="AG325" i="8"/>
  <c r="AE325" i="8"/>
  <c r="AH324" i="8"/>
  <c r="AG324" i="8"/>
  <c r="AE324" i="8"/>
  <c r="AH323" i="8"/>
  <c r="AG323" i="8"/>
  <c r="AE323" i="8"/>
  <c r="AH322" i="8"/>
  <c r="AG322" i="8"/>
  <c r="AE322" i="8"/>
  <c r="AH321" i="8"/>
  <c r="AG321" i="8"/>
  <c r="AE321" i="8"/>
  <c r="AH320" i="8"/>
  <c r="AG320" i="8"/>
  <c r="AE320" i="8"/>
  <c r="AH319" i="8"/>
  <c r="AG319" i="8"/>
  <c r="AE319" i="8"/>
  <c r="AH318" i="8"/>
  <c r="AG318" i="8"/>
  <c r="AE318" i="8"/>
  <c r="AH317" i="8"/>
  <c r="AG317" i="8"/>
  <c r="AE317" i="8"/>
  <c r="AH316" i="8"/>
  <c r="AG316" i="8"/>
  <c r="AE316" i="8"/>
  <c r="AH315" i="8"/>
  <c r="AG315" i="8"/>
  <c r="AE315" i="8"/>
  <c r="AH314" i="8"/>
  <c r="AG314" i="8"/>
  <c r="AE314" i="8"/>
  <c r="AH313" i="8"/>
  <c r="AG313" i="8"/>
  <c r="AE313" i="8"/>
  <c r="AH312" i="8"/>
  <c r="AG312" i="8"/>
  <c r="AE312" i="8"/>
  <c r="AH311" i="8"/>
  <c r="AG311" i="8"/>
  <c r="AE311" i="8"/>
  <c r="AH310" i="8"/>
  <c r="AG310" i="8"/>
  <c r="AE310" i="8"/>
  <c r="AH309" i="8"/>
  <c r="AG309" i="8"/>
  <c r="AE309" i="8"/>
  <c r="AH308" i="8"/>
  <c r="AG308" i="8"/>
  <c r="AE308" i="8"/>
  <c r="AH307" i="8"/>
  <c r="AG307" i="8"/>
  <c r="AE307" i="8"/>
  <c r="AH306" i="8"/>
  <c r="AG306" i="8"/>
  <c r="AE306" i="8"/>
  <c r="AH305" i="8"/>
  <c r="AG305" i="8"/>
  <c r="AE305" i="8"/>
  <c r="AH304" i="8"/>
  <c r="AG304" i="8"/>
  <c r="AE304" i="8"/>
  <c r="AH303" i="8"/>
  <c r="AG303" i="8"/>
  <c r="AE303" i="8"/>
  <c r="AH302" i="8"/>
  <c r="AG302" i="8"/>
  <c r="AE302" i="8"/>
  <c r="AH301" i="8"/>
  <c r="AG301" i="8"/>
  <c r="AE301" i="8"/>
  <c r="AH300" i="8"/>
  <c r="AG300" i="8"/>
  <c r="AE300" i="8"/>
  <c r="AH299" i="8"/>
  <c r="AG299" i="8"/>
  <c r="AE299" i="8"/>
  <c r="AH298" i="8"/>
  <c r="AG298" i="8"/>
  <c r="AE298" i="8"/>
  <c r="AH297" i="8"/>
  <c r="AG297" i="8"/>
  <c r="AE297" i="8"/>
  <c r="AH296" i="8"/>
  <c r="AG296" i="8"/>
  <c r="AE296" i="8"/>
  <c r="AH295" i="8"/>
  <c r="AG295" i="8"/>
  <c r="AE295" i="8"/>
  <c r="AO294" i="8"/>
  <c r="AN294" i="8"/>
  <c r="AH294" i="8"/>
  <c r="AG294" i="8"/>
  <c r="AE294" i="8"/>
  <c r="AO293" i="8"/>
  <c r="AN293" i="8"/>
  <c r="AH293" i="8"/>
  <c r="AG293" i="8"/>
  <c r="AE293" i="8"/>
  <c r="AO292" i="8"/>
  <c r="AN292" i="8"/>
  <c r="AH292" i="8"/>
  <c r="AG292" i="8"/>
  <c r="AE292" i="8"/>
  <c r="AO291" i="8"/>
  <c r="AN291" i="8"/>
  <c r="AH291" i="8"/>
  <c r="AG291" i="8"/>
  <c r="AE291" i="8"/>
  <c r="AO290" i="8"/>
  <c r="AN290" i="8"/>
  <c r="AH290" i="8"/>
  <c r="AG290" i="8"/>
  <c r="AE290" i="8"/>
  <c r="AO289" i="8"/>
  <c r="AN289" i="8"/>
  <c r="AH289" i="8"/>
  <c r="AG289" i="8"/>
  <c r="AE289" i="8"/>
  <c r="Y354" i="8"/>
  <c r="Y353" i="8"/>
  <c r="Y352" i="8"/>
  <c r="Y351" i="8"/>
  <c r="Y350" i="8"/>
  <c r="Y349" i="8"/>
  <c r="Y348" i="8"/>
  <c r="Y347" i="8"/>
  <c r="Y346" i="8"/>
  <c r="Y345" i="8"/>
  <c r="Y344" i="8"/>
  <c r="Y343" i="8"/>
  <c r="Y342" i="8"/>
  <c r="Y341" i="8"/>
  <c r="Y340" i="8"/>
  <c r="Y339" i="8"/>
  <c r="AN339" i="8" s="1"/>
  <c r="Y338" i="8"/>
  <c r="AN338" i="8" s="1"/>
  <c r="Y337" i="8"/>
  <c r="Y336" i="8"/>
  <c r="Y335" i="8"/>
  <c r="AO335" i="8" s="1"/>
  <c r="Y334" i="8"/>
  <c r="AO334" i="8" s="1"/>
  <c r="Y333" i="8"/>
  <c r="AO333" i="8" s="1"/>
  <c r="Y332" i="8"/>
  <c r="AO332" i="8" s="1"/>
  <c r="Y331" i="8"/>
  <c r="AO331" i="8" s="1"/>
  <c r="Y330" i="8"/>
  <c r="AO330" i="8" s="1"/>
  <c r="Y329" i="8"/>
  <c r="AO329" i="8" s="1"/>
  <c r="Y328" i="8"/>
  <c r="AO328" i="8" s="1"/>
  <c r="Y327" i="8"/>
  <c r="AO327" i="8" s="1"/>
  <c r="Y326" i="8"/>
  <c r="AO326" i="8" s="1"/>
  <c r="Y325" i="8"/>
  <c r="AO325" i="8" s="1"/>
  <c r="Y324" i="8"/>
  <c r="Y323" i="8"/>
  <c r="Y322" i="8"/>
  <c r="Y321" i="8"/>
  <c r="Y320" i="8"/>
  <c r="Y319" i="8"/>
  <c r="Y318" i="8"/>
  <c r="AN318" i="8" s="1"/>
  <c r="Y317" i="8"/>
  <c r="AO317" i="8" s="1"/>
  <c r="Y316" i="8"/>
  <c r="Y315" i="8"/>
  <c r="Y314" i="8"/>
  <c r="Y313" i="8"/>
  <c r="Y312" i="8"/>
  <c r="Y311" i="8"/>
  <c r="Y310" i="8"/>
  <c r="AN310" i="8" s="1"/>
  <c r="Y309" i="8"/>
  <c r="AO309" i="8" s="1"/>
  <c r="Y308" i="8"/>
  <c r="Y307" i="8"/>
  <c r="Y306" i="8"/>
  <c r="Y305" i="8"/>
  <c r="Y304" i="8"/>
  <c r="Y303" i="8"/>
  <c r="Y302" i="8"/>
  <c r="AN302" i="8" s="1"/>
  <c r="Y301" i="8"/>
  <c r="Y300" i="8"/>
  <c r="Y299" i="8"/>
  <c r="Y298" i="8"/>
  <c r="Y297" i="8"/>
  <c r="Y296" i="8"/>
  <c r="Y295" i="8"/>
  <c r="AO342" i="8" l="1"/>
  <c r="AO350" i="8"/>
  <c r="AN299" i="8"/>
  <c r="AO302" i="8"/>
  <c r="AN303" i="8"/>
  <c r="AO310" i="8"/>
  <c r="AN311" i="8"/>
  <c r="AO318" i="8"/>
  <c r="AN319" i="8"/>
  <c r="AN334" i="8"/>
  <c r="AN342" i="8"/>
  <c r="AN350" i="8"/>
  <c r="AO343" i="8"/>
  <c r="AN343" i="8"/>
  <c r="AN295" i="8"/>
  <c r="AN297" i="8"/>
  <c r="AO299" i="8"/>
  <c r="AO303" i="8"/>
  <c r="AN304" i="8"/>
  <c r="AO311" i="8"/>
  <c r="AN312" i="8"/>
  <c r="AO319" i="8"/>
  <c r="AN320" i="8"/>
  <c r="AN333" i="8"/>
  <c r="AO336" i="8"/>
  <c r="AO344" i="8"/>
  <c r="AO352" i="8"/>
  <c r="AO295" i="8"/>
  <c r="AO297" i="8"/>
  <c r="AN300" i="8"/>
  <c r="AO304" i="8"/>
  <c r="AN305" i="8"/>
  <c r="AO312" i="8"/>
  <c r="AN313" i="8"/>
  <c r="AO320" i="8"/>
  <c r="AN321" i="8"/>
  <c r="AN332" i="8"/>
  <c r="AN344" i="8"/>
  <c r="AN352" i="8"/>
  <c r="AO337" i="8"/>
  <c r="AO345" i="8"/>
  <c r="AN345" i="8"/>
  <c r="AO353" i="8"/>
  <c r="AN353" i="8"/>
  <c r="AO300" i="8"/>
  <c r="AO305" i="8"/>
  <c r="AN306" i="8"/>
  <c r="AO313" i="8"/>
  <c r="AN314" i="8"/>
  <c r="AO321" i="8"/>
  <c r="AN322" i="8"/>
  <c r="AN331" i="8"/>
  <c r="AO338" i="8"/>
  <c r="AO346" i="8"/>
  <c r="AO354" i="8"/>
  <c r="AO306" i="8"/>
  <c r="AN307" i="8"/>
  <c r="AO314" i="8"/>
  <c r="AN315" i="8"/>
  <c r="AO322" i="8"/>
  <c r="AN323" i="8"/>
  <c r="AN330" i="8"/>
  <c r="AN337" i="8"/>
  <c r="AN346" i="8"/>
  <c r="AN354" i="8"/>
  <c r="AO339" i="8"/>
  <c r="AO347" i="8"/>
  <c r="AN347" i="8"/>
  <c r="AN296" i="8"/>
  <c r="AN298" i="8"/>
  <c r="AN301" i="8"/>
  <c r="AO307" i="8"/>
  <c r="AN308" i="8"/>
  <c r="AO315" i="8"/>
  <c r="AN316" i="8"/>
  <c r="AO323" i="8"/>
  <c r="AN324" i="8"/>
  <c r="AN329" i="8"/>
  <c r="AO351" i="8"/>
  <c r="AN351" i="8"/>
  <c r="AO340" i="8"/>
  <c r="AO348" i="8"/>
  <c r="AO296" i="8"/>
  <c r="AO298" i="8"/>
  <c r="AO301" i="8"/>
  <c r="AO308" i="8"/>
  <c r="AN309" i="8"/>
  <c r="AO316" i="8"/>
  <c r="AN317" i="8"/>
  <c r="AO324" i="8"/>
  <c r="AN325" i="8"/>
  <c r="AN327" i="8"/>
  <c r="AN328" i="8"/>
  <c r="AN336" i="8"/>
  <c r="AN340" i="8"/>
  <c r="AN348" i="8"/>
  <c r="AO341" i="8"/>
  <c r="AN341" i="8"/>
  <c r="AO349" i="8"/>
  <c r="AN349" i="8"/>
  <c r="AN326" i="8"/>
  <c r="AN335" i="8"/>
  <c r="B16" i="27" l="1"/>
  <c r="B9" i="27"/>
  <c r="B24" i="26"/>
  <c r="B16" i="26"/>
  <c r="B9" i="26"/>
  <c r="C43" i="25"/>
  <c r="C40" i="25"/>
  <c r="C36" i="25"/>
  <c r="C54" i="25" s="1"/>
  <c r="D34" i="25" s="1"/>
  <c r="C34" i="25"/>
  <c r="C31" i="25"/>
  <c r="C30" i="25"/>
  <c r="C29" i="25"/>
  <c r="C28" i="25"/>
  <c r="C27" i="25"/>
  <c r="C26" i="25"/>
  <c r="C25" i="25"/>
  <c r="C24" i="25"/>
  <c r="C23" i="25"/>
  <c r="B17" i="25"/>
  <c r="B9" i="25"/>
  <c r="C43" i="24"/>
  <c r="C40" i="24"/>
  <c r="C36" i="24"/>
  <c r="C34" i="24"/>
  <c r="C31" i="24"/>
  <c r="C30" i="24"/>
  <c r="C29" i="24"/>
  <c r="C28" i="24"/>
  <c r="C27" i="24"/>
  <c r="C26" i="24"/>
  <c r="C25" i="24"/>
  <c r="C24" i="24"/>
  <c r="C23" i="24"/>
  <c r="I22" i="24" s="1"/>
  <c r="B17" i="24"/>
  <c r="B9" i="24"/>
  <c r="C32" i="25" l="1"/>
  <c r="D47" i="25"/>
  <c r="D48" i="25"/>
  <c r="D46" i="25"/>
  <c r="D41" i="25"/>
  <c r="D53" i="25"/>
  <c r="D45" i="25"/>
  <c r="D39" i="25"/>
  <c r="D52" i="25"/>
  <c r="D44" i="25"/>
  <c r="D38" i="25"/>
  <c r="D51" i="25"/>
  <c r="D37" i="25"/>
  <c r="D50" i="25"/>
  <c r="D49" i="25"/>
  <c r="D42" i="25"/>
  <c r="D40" i="25"/>
  <c r="D43" i="25"/>
  <c r="D36" i="25"/>
  <c r="I22" i="25"/>
  <c r="C32" i="24"/>
  <c r="C54" i="24"/>
  <c r="D34" i="24" s="1"/>
  <c r="D54" i="25" l="1"/>
  <c r="D51" i="24"/>
  <c r="D37" i="24"/>
  <c r="D50" i="24"/>
  <c r="D36" i="24"/>
  <c r="D49" i="24"/>
  <c r="D42" i="24"/>
  <c r="D48" i="24"/>
  <c r="D41" i="24"/>
  <c r="D47" i="24"/>
  <c r="D46" i="24"/>
  <c r="D53" i="24"/>
  <c r="D45" i="24"/>
  <c r="D39" i="24"/>
  <c r="D52" i="24"/>
  <c r="D44" i="24"/>
  <c r="D38" i="24"/>
  <c r="D40" i="24"/>
  <c r="D43" i="24"/>
  <c r="A6" i="1"/>
  <c r="AH288" i="8"/>
  <c r="AG288" i="8"/>
  <c r="AE288" i="8"/>
  <c r="AH287" i="8"/>
  <c r="AG287" i="8"/>
  <c r="AE287" i="8"/>
  <c r="AH286" i="8"/>
  <c r="AG286" i="8"/>
  <c r="AE286" i="8"/>
  <c r="AH285" i="8"/>
  <c r="AG285" i="8"/>
  <c r="AE285" i="8"/>
  <c r="AH284" i="8"/>
  <c r="AG284" i="8"/>
  <c r="AE284" i="8"/>
  <c r="AH283" i="8"/>
  <c r="AG283" i="8"/>
  <c r="AE283" i="8"/>
  <c r="AH282" i="8"/>
  <c r="AG282" i="8"/>
  <c r="AE282" i="8"/>
  <c r="AH281" i="8"/>
  <c r="AG281" i="8"/>
  <c r="AE281" i="8"/>
  <c r="AH280" i="8"/>
  <c r="AG280" i="8"/>
  <c r="AE280" i="8"/>
  <c r="AH279" i="8"/>
  <c r="AG279" i="8"/>
  <c r="AE279" i="8"/>
  <c r="AH278" i="8"/>
  <c r="AG278" i="8"/>
  <c r="AE278" i="8"/>
  <c r="AH277" i="8"/>
  <c r="AG277" i="8"/>
  <c r="AE277" i="8"/>
  <c r="AH276" i="8"/>
  <c r="AG276" i="8"/>
  <c r="AE276" i="8"/>
  <c r="AH275" i="8"/>
  <c r="AG275" i="8"/>
  <c r="AE275" i="8"/>
  <c r="AH274" i="8"/>
  <c r="AG274" i="8"/>
  <c r="AE274" i="8"/>
  <c r="AH273" i="8"/>
  <c r="AG273" i="8"/>
  <c r="AE273" i="8"/>
  <c r="AH272" i="8"/>
  <c r="AG272" i="8"/>
  <c r="AE272" i="8"/>
  <c r="AH271" i="8"/>
  <c r="AG271" i="8"/>
  <c r="AE271" i="8"/>
  <c r="AH270" i="8"/>
  <c r="AG270" i="8"/>
  <c r="AE270" i="8"/>
  <c r="AH269" i="8"/>
  <c r="AG269" i="8"/>
  <c r="AE269" i="8"/>
  <c r="AH268" i="8"/>
  <c r="AG268" i="8"/>
  <c r="AE268" i="8"/>
  <c r="AH267" i="8"/>
  <c r="AG267" i="8"/>
  <c r="AE267" i="8"/>
  <c r="AH266" i="8"/>
  <c r="AG266" i="8"/>
  <c r="AE266" i="8"/>
  <c r="AH265" i="8"/>
  <c r="AG265" i="8"/>
  <c r="AE265" i="8"/>
  <c r="AH264" i="8"/>
  <c r="AG264" i="8"/>
  <c r="AE264" i="8"/>
  <c r="AH263" i="8"/>
  <c r="AG263" i="8"/>
  <c r="AE263" i="8"/>
  <c r="AH262" i="8"/>
  <c r="AG262" i="8"/>
  <c r="AE262" i="8"/>
  <c r="AH261" i="8"/>
  <c r="AG261" i="8"/>
  <c r="AE261" i="8"/>
  <c r="AH260" i="8"/>
  <c r="AG260" i="8"/>
  <c r="AE260" i="8"/>
  <c r="AH259" i="8"/>
  <c r="AG259" i="8"/>
  <c r="AE259" i="8"/>
  <c r="AH258" i="8"/>
  <c r="AG258" i="8"/>
  <c r="AE258" i="8"/>
  <c r="AH257" i="8"/>
  <c r="AG257" i="8"/>
  <c r="AE257" i="8"/>
  <c r="AH256" i="8"/>
  <c r="AG256" i="8"/>
  <c r="AE256" i="8"/>
  <c r="AH255" i="8"/>
  <c r="AG255" i="8"/>
  <c r="AE255" i="8"/>
  <c r="AH254" i="8"/>
  <c r="AG254" i="8"/>
  <c r="AE254" i="8"/>
  <c r="AH253" i="8"/>
  <c r="AG253" i="8"/>
  <c r="AE253" i="8"/>
  <c r="AH252" i="8"/>
  <c r="AG252" i="8"/>
  <c r="AE252" i="8"/>
  <c r="AH251" i="8"/>
  <c r="AG251" i="8"/>
  <c r="AE251" i="8"/>
  <c r="AH250" i="8"/>
  <c r="AG250" i="8"/>
  <c r="AE250" i="8"/>
  <c r="AH249" i="8"/>
  <c r="AG249" i="8"/>
  <c r="AE249" i="8"/>
  <c r="AH248" i="8"/>
  <c r="AG248" i="8"/>
  <c r="AE248" i="8"/>
  <c r="AH247" i="8"/>
  <c r="AG247" i="8"/>
  <c r="AE247" i="8"/>
  <c r="AH246" i="8"/>
  <c r="AG246" i="8"/>
  <c r="AE246" i="8"/>
  <c r="AH245" i="8"/>
  <c r="AG245" i="8"/>
  <c r="AE245" i="8"/>
  <c r="AH244" i="8"/>
  <c r="AG244" i="8"/>
  <c r="AE244" i="8"/>
  <c r="AH243" i="8"/>
  <c r="AG243" i="8"/>
  <c r="AE243" i="8"/>
  <c r="AH242" i="8"/>
  <c r="AG242" i="8"/>
  <c r="AE242" i="8"/>
  <c r="AH241" i="8"/>
  <c r="AG241" i="8"/>
  <c r="AE241" i="8"/>
  <c r="AH240" i="8"/>
  <c r="AG240" i="8"/>
  <c r="AE240" i="8"/>
  <c r="AH239" i="8"/>
  <c r="AG239" i="8"/>
  <c r="AE239" i="8"/>
  <c r="AH238" i="8"/>
  <c r="AG238" i="8"/>
  <c r="AE238" i="8"/>
  <c r="AH237" i="8"/>
  <c r="AG237" i="8"/>
  <c r="AE237" i="8"/>
  <c r="AH236" i="8"/>
  <c r="AG236" i="8"/>
  <c r="AE236" i="8"/>
  <c r="AH235" i="8"/>
  <c r="AG235" i="8"/>
  <c r="AE235" i="8"/>
  <c r="AH234" i="8"/>
  <c r="AG234" i="8"/>
  <c r="AE234" i="8"/>
  <c r="AH233" i="8"/>
  <c r="AG233" i="8"/>
  <c r="AE233" i="8"/>
  <c r="AH232" i="8"/>
  <c r="AG232" i="8"/>
  <c r="AE232" i="8"/>
  <c r="AH231" i="8"/>
  <c r="AG231" i="8"/>
  <c r="AE231" i="8"/>
  <c r="AH230" i="8"/>
  <c r="AG230" i="8"/>
  <c r="AE230" i="8"/>
  <c r="AH229" i="8"/>
  <c r="AG229" i="8"/>
  <c r="AE229" i="8"/>
  <c r="AH228" i="8"/>
  <c r="AG228" i="8"/>
  <c r="AE228" i="8"/>
  <c r="AH227" i="8"/>
  <c r="AG227" i="8"/>
  <c r="AE227" i="8"/>
  <c r="AH226" i="8"/>
  <c r="AG226" i="8"/>
  <c r="AE226" i="8"/>
  <c r="AH225" i="8"/>
  <c r="AG225" i="8"/>
  <c r="AE225" i="8"/>
  <c r="AH224" i="8"/>
  <c r="AG224" i="8"/>
  <c r="AE224" i="8"/>
  <c r="AH223" i="8"/>
  <c r="AG223" i="8"/>
  <c r="AE223" i="8"/>
  <c r="AH222" i="8"/>
  <c r="AG222" i="8"/>
  <c r="AE222" i="8"/>
  <c r="AH221" i="8"/>
  <c r="AG221" i="8"/>
  <c r="AE221" i="8"/>
  <c r="AH220" i="8"/>
  <c r="AG220" i="8"/>
  <c r="AE220" i="8"/>
  <c r="AH219" i="8"/>
  <c r="AG219" i="8"/>
  <c r="AE219" i="8"/>
  <c r="AH218" i="8"/>
  <c r="AG218" i="8"/>
  <c r="AE218" i="8"/>
  <c r="AH217" i="8"/>
  <c r="AG217" i="8"/>
  <c r="AE217" i="8"/>
  <c r="AH216" i="8"/>
  <c r="AG216" i="8"/>
  <c r="AE216" i="8"/>
  <c r="AH215" i="8"/>
  <c r="AG215" i="8"/>
  <c r="AE215" i="8"/>
  <c r="AH214" i="8"/>
  <c r="AG214" i="8"/>
  <c r="AE214" i="8"/>
  <c r="AH213" i="8"/>
  <c r="AG213" i="8"/>
  <c r="AE213" i="8"/>
  <c r="AH212" i="8"/>
  <c r="AG212" i="8"/>
  <c r="AE212" i="8"/>
  <c r="AO211" i="8"/>
  <c r="AN211" i="8"/>
  <c r="AH211" i="8"/>
  <c r="AG211" i="8"/>
  <c r="AE211" i="8"/>
  <c r="AO210" i="8"/>
  <c r="AN210" i="8"/>
  <c r="AH210" i="8"/>
  <c r="AG210" i="8"/>
  <c r="AE210" i="8"/>
  <c r="AO209" i="8"/>
  <c r="AN209" i="8"/>
  <c r="AH209" i="8"/>
  <c r="AG209" i="8"/>
  <c r="AE209" i="8"/>
  <c r="AO208" i="8"/>
  <c r="AN208" i="8"/>
  <c r="AH208" i="8"/>
  <c r="AG208" i="8"/>
  <c r="AE208" i="8"/>
  <c r="K561" i="7"/>
  <c r="K558" i="7"/>
  <c r="K557" i="7"/>
  <c r="L2054" i="10"/>
  <c r="L2053" i="10"/>
  <c r="L2052" i="10"/>
  <c r="L2051" i="10"/>
  <c r="L2050" i="10"/>
  <c r="L2049" i="10"/>
  <c r="L2048" i="10"/>
  <c r="L2047" i="10"/>
  <c r="L2046" i="10"/>
  <c r="L2045" i="10"/>
  <c r="L2044" i="10"/>
  <c r="L2043" i="10"/>
  <c r="L2042" i="10"/>
  <c r="L2041" i="10"/>
  <c r="L2040" i="10"/>
  <c r="L2039" i="10"/>
  <c r="L2038" i="10"/>
  <c r="D54" i="24" l="1"/>
  <c r="Y288" i="8"/>
  <c r="Y287" i="8"/>
  <c r="Y286" i="8"/>
  <c r="Y285" i="8"/>
  <c r="Y284" i="8"/>
  <c r="Y283" i="8"/>
  <c r="Y282" i="8"/>
  <c r="Y281" i="8"/>
  <c r="Y280" i="8"/>
  <c r="Y279" i="8"/>
  <c r="Y278" i="8"/>
  <c r="Y277" i="8"/>
  <c r="Y276" i="8"/>
  <c r="Y275" i="8"/>
  <c r="Y274" i="8"/>
  <c r="Y273" i="8"/>
  <c r="Y272" i="8"/>
  <c r="Y271" i="8"/>
  <c r="Y270" i="8"/>
  <c r="Y269" i="8"/>
  <c r="Y268" i="8"/>
  <c r="Y267" i="8"/>
  <c r="Y266" i="8"/>
  <c r="Y265" i="8"/>
  <c r="Y264" i="8"/>
  <c r="Y263" i="8"/>
  <c r="Y262" i="8"/>
  <c r="Y261" i="8"/>
  <c r="Y260" i="8"/>
  <c r="Y259" i="8"/>
  <c r="Y258" i="8"/>
  <c r="Y257" i="8"/>
  <c r="Y256" i="8"/>
  <c r="Y255" i="8"/>
  <c r="Y254" i="8"/>
  <c r="Y253" i="8"/>
  <c r="Y252" i="8"/>
  <c r="Y251" i="8"/>
  <c r="Y250" i="8"/>
  <c r="Y249" i="8"/>
  <c r="Y248" i="8"/>
  <c r="Y247" i="8"/>
  <c r="Y246" i="8"/>
  <c r="Y245" i="8"/>
  <c r="Y244" i="8"/>
  <c r="Y243" i="8"/>
  <c r="Y242" i="8"/>
  <c r="Y241" i="8"/>
  <c r="Y240" i="8"/>
  <c r="Y239" i="8"/>
  <c r="Y238" i="8"/>
  <c r="Y237" i="8"/>
  <c r="Y236" i="8"/>
  <c r="Y235" i="8"/>
  <c r="Y234" i="8"/>
  <c r="Y233" i="8"/>
  <c r="Y232" i="8"/>
  <c r="Y231" i="8"/>
  <c r="Y230" i="8"/>
  <c r="Y229" i="8"/>
  <c r="Y228" i="8"/>
  <c r="Y227" i="8"/>
  <c r="Y226" i="8"/>
  <c r="Y225" i="8"/>
  <c r="Y224" i="8"/>
  <c r="Y223" i="8"/>
  <c r="Y222" i="8"/>
  <c r="Y221" i="8"/>
  <c r="Y220" i="8"/>
  <c r="Y219" i="8"/>
  <c r="Y218" i="8"/>
  <c r="Y217" i="8"/>
  <c r="Y216" i="8"/>
  <c r="Y215" i="8"/>
  <c r="Y214" i="8"/>
  <c r="Y213" i="8"/>
  <c r="Y212" i="8"/>
  <c r="X1388" i="8"/>
  <c r="X1387" i="8"/>
  <c r="X1386" i="8"/>
  <c r="X1385" i="8"/>
  <c r="X1384" i="8"/>
  <c r="X1383" i="8"/>
  <c r="X1382" i="8"/>
  <c r="X1381" i="8"/>
  <c r="X1380" i="8"/>
  <c r="X1379" i="8"/>
  <c r="X1378" i="8"/>
  <c r="X1377" i="8"/>
  <c r="X1376" i="8"/>
  <c r="X1375" i="8"/>
  <c r="X1374" i="8"/>
  <c r="X1373" i="8"/>
  <c r="X1372" i="8"/>
  <c r="X1371" i="8"/>
  <c r="X1370" i="8"/>
  <c r="X1369" i="8"/>
  <c r="X1368" i="8"/>
  <c r="X1367" i="8"/>
  <c r="X1366" i="8"/>
  <c r="X1365" i="8"/>
  <c r="X1364" i="8"/>
  <c r="X1363" i="8"/>
  <c r="X1362" i="8"/>
  <c r="X1361" i="8"/>
  <c r="X1360" i="8"/>
  <c r="X1359" i="8"/>
  <c r="X1358" i="8"/>
  <c r="X1357" i="8"/>
  <c r="X1356" i="8"/>
  <c r="X1355" i="8"/>
  <c r="X1354" i="8"/>
  <c r="X1353" i="8"/>
  <c r="X1352" i="8"/>
  <c r="X1351" i="8"/>
  <c r="X1350" i="8"/>
  <c r="X1349" i="8"/>
  <c r="X1348" i="8"/>
  <c r="X1347" i="8"/>
  <c r="X1346" i="8"/>
  <c r="X1345" i="8"/>
  <c r="X1344" i="8"/>
  <c r="X1343" i="8"/>
  <c r="X1342" i="8"/>
  <c r="X1341" i="8"/>
  <c r="X1340" i="8"/>
  <c r="X1339" i="8"/>
  <c r="X1338" i="8"/>
  <c r="X1337" i="8"/>
  <c r="X1336" i="8"/>
  <c r="X1335" i="8"/>
  <c r="X1334" i="8"/>
  <c r="X1333" i="8"/>
  <c r="X1332" i="8"/>
  <c r="X1331" i="8"/>
  <c r="X1330" i="8"/>
  <c r="X1329" i="8"/>
  <c r="X1328" i="8"/>
  <c r="X1327" i="8"/>
  <c r="X1326" i="8"/>
  <c r="X1325" i="8"/>
  <c r="X1324" i="8"/>
  <c r="X1323" i="8"/>
  <c r="X1322" i="8"/>
  <c r="X1321" i="8"/>
  <c r="X1320" i="8"/>
  <c r="X1319" i="8"/>
  <c r="X1318" i="8"/>
  <c r="X1317" i="8"/>
  <c r="X1316" i="8"/>
  <c r="X1315" i="8"/>
  <c r="X1314" i="8"/>
  <c r="X1313" i="8"/>
  <c r="X1312" i="8"/>
  <c r="X1311" i="8"/>
  <c r="X1310" i="8"/>
  <c r="X1309" i="8"/>
  <c r="X1308" i="8"/>
  <c r="X1307" i="8"/>
  <c r="X1306" i="8"/>
  <c r="X1305" i="8"/>
  <c r="X1304" i="8"/>
  <c r="X1303" i="8"/>
  <c r="X1302" i="8"/>
  <c r="X1301" i="8"/>
  <c r="X1300" i="8"/>
  <c r="X1299" i="8"/>
  <c r="X1298" i="8"/>
  <c r="X1297" i="8"/>
  <c r="X1296" i="8"/>
  <c r="X1295" i="8"/>
  <c r="X1294" i="8"/>
  <c r="X1293" i="8"/>
  <c r="X1292" i="8"/>
  <c r="X1291" i="8"/>
  <c r="X1290" i="8"/>
  <c r="X1289" i="8"/>
  <c r="X1288" i="8"/>
  <c r="X1287" i="8"/>
  <c r="X1286" i="8"/>
  <c r="X1285" i="8"/>
  <c r="X1284" i="8"/>
  <c r="X1283" i="8"/>
  <c r="X1282" i="8"/>
  <c r="X1281" i="8"/>
  <c r="X1280" i="8"/>
  <c r="X1279" i="8"/>
  <c r="X1278" i="8"/>
  <c r="X1277" i="8"/>
  <c r="X1276" i="8"/>
  <c r="X1275" i="8"/>
  <c r="X1274" i="8"/>
  <c r="X1273" i="8"/>
  <c r="X1272" i="8"/>
  <c r="X1271" i="8"/>
  <c r="X1270" i="8"/>
  <c r="X1269" i="8"/>
  <c r="X1268" i="8"/>
  <c r="X1267" i="8"/>
  <c r="X1266" i="8"/>
  <c r="X1265" i="8"/>
  <c r="X1264" i="8"/>
  <c r="X1263" i="8"/>
  <c r="X1262" i="8"/>
  <c r="X1261" i="8"/>
  <c r="X1260" i="8"/>
  <c r="X1259" i="8"/>
  <c r="X1258" i="8"/>
  <c r="X1257" i="8"/>
  <c r="X1256" i="8"/>
  <c r="X1255" i="8"/>
  <c r="X1254" i="8"/>
  <c r="X1253" i="8"/>
  <c r="X1252" i="8"/>
  <c r="X1251" i="8"/>
  <c r="X1250" i="8"/>
  <c r="X1249" i="8"/>
  <c r="X1248" i="8"/>
  <c r="X1247" i="8"/>
  <c r="X1246" i="8"/>
  <c r="X1245" i="8"/>
  <c r="X1244" i="8"/>
  <c r="X1243" i="8"/>
  <c r="X1242" i="8"/>
  <c r="X1241" i="8"/>
  <c r="X1240" i="8"/>
  <c r="X1239" i="8"/>
  <c r="X1238" i="8"/>
  <c r="X1237" i="8"/>
  <c r="X1236" i="8"/>
  <c r="X1235" i="8"/>
  <c r="X1234" i="8"/>
  <c r="X1233" i="8"/>
  <c r="X1232" i="8"/>
  <c r="X1231" i="8"/>
  <c r="X1230" i="8"/>
  <c r="X1229" i="8"/>
  <c r="X1228" i="8"/>
  <c r="X1227" i="8"/>
  <c r="X1226" i="8"/>
  <c r="X1225" i="8"/>
  <c r="X1224" i="8"/>
  <c r="X1223" i="8"/>
  <c r="X1222" i="8"/>
  <c r="X1221" i="8"/>
  <c r="X1220" i="8"/>
  <c r="X1219" i="8"/>
  <c r="X1218" i="8"/>
  <c r="X1217" i="8"/>
  <c r="X1216" i="8"/>
  <c r="X1215" i="8"/>
  <c r="X1214" i="8"/>
  <c r="X1213" i="8"/>
  <c r="X1212" i="8"/>
  <c r="X1211" i="8"/>
  <c r="X1210" i="8"/>
  <c r="X1209" i="8"/>
  <c r="X1208" i="8"/>
  <c r="X1207" i="8"/>
  <c r="X1206" i="8"/>
  <c r="X1205" i="8"/>
  <c r="X1204" i="8"/>
  <c r="X1203" i="8"/>
  <c r="X1202" i="8"/>
  <c r="X1201" i="8"/>
  <c r="X1200" i="8"/>
  <c r="X1199" i="8"/>
  <c r="X1198" i="8"/>
  <c r="X1197" i="8"/>
  <c r="X1196" i="8"/>
  <c r="X1195" i="8"/>
  <c r="X1194" i="8"/>
  <c r="X1193" i="8"/>
  <c r="X1192" i="8"/>
  <c r="X1191" i="8"/>
  <c r="X1190" i="8"/>
  <c r="X1189" i="8"/>
  <c r="X1188" i="8"/>
  <c r="X1187" i="8"/>
  <c r="X1186" i="8"/>
  <c r="X1185" i="8"/>
  <c r="X1184" i="8"/>
  <c r="X1183" i="8"/>
  <c r="X1182" i="8"/>
  <c r="X1181" i="8"/>
  <c r="X1180" i="8"/>
  <c r="X1179" i="8"/>
  <c r="X1178" i="8"/>
  <c r="X1177" i="8"/>
  <c r="X1176" i="8"/>
  <c r="X1175" i="8"/>
  <c r="X1174" i="8"/>
  <c r="X1173" i="8"/>
  <c r="X1172" i="8"/>
  <c r="X1171" i="8"/>
  <c r="X1170" i="8"/>
  <c r="X1169" i="8"/>
  <c r="X1168" i="8"/>
  <c r="X1167" i="8"/>
  <c r="X1166" i="8"/>
  <c r="X1165" i="8"/>
  <c r="X1164" i="8"/>
  <c r="X1163" i="8"/>
  <c r="X1162" i="8"/>
  <c r="X1161" i="8"/>
  <c r="X1160" i="8"/>
  <c r="X1159" i="8"/>
  <c r="X1158" i="8"/>
  <c r="X1157" i="8"/>
  <c r="X1156" i="8"/>
  <c r="X1155" i="8"/>
  <c r="X1154" i="8"/>
  <c r="X1153" i="8"/>
  <c r="X1152" i="8"/>
  <c r="X1151" i="8"/>
  <c r="X1150" i="8"/>
  <c r="X1149" i="8"/>
  <c r="X1148" i="8"/>
  <c r="X1147" i="8"/>
  <c r="X1146" i="8"/>
  <c r="X1145" i="8"/>
  <c r="X1144" i="8"/>
  <c r="X1143" i="8"/>
  <c r="X1142" i="8"/>
  <c r="X1141" i="8"/>
  <c r="X1140" i="8"/>
  <c r="X1139" i="8"/>
  <c r="X1138" i="8"/>
  <c r="X1137" i="8"/>
  <c r="X1136" i="8"/>
  <c r="X1135" i="8"/>
  <c r="X1134" i="8"/>
  <c r="X1133" i="8"/>
  <c r="X1132" i="8"/>
  <c r="X1131" i="8"/>
  <c r="X1130" i="8"/>
  <c r="X1129" i="8"/>
  <c r="X1128" i="8"/>
  <c r="X1127" i="8"/>
  <c r="X1126" i="8"/>
  <c r="X1125" i="8"/>
  <c r="X1124" i="8"/>
  <c r="X1123" i="8"/>
  <c r="X1122" i="8"/>
  <c r="X1121" i="8"/>
  <c r="X1120" i="8"/>
  <c r="X1119" i="8"/>
  <c r="X1118" i="8"/>
  <c r="X1117" i="8"/>
  <c r="X1116" i="8"/>
  <c r="X1115" i="8"/>
  <c r="X1114" i="8"/>
  <c r="X1113" i="8"/>
  <c r="X1112" i="8"/>
  <c r="X1111" i="8"/>
  <c r="X1110" i="8"/>
  <c r="X1109" i="8"/>
  <c r="X1108" i="8"/>
  <c r="X1107" i="8"/>
  <c r="X1106" i="8"/>
  <c r="X1105" i="8"/>
  <c r="X1104" i="8"/>
  <c r="X1103" i="8"/>
  <c r="X1102" i="8"/>
  <c r="X1101" i="8"/>
  <c r="X1100" i="8"/>
  <c r="X1099" i="8"/>
  <c r="X1098" i="8"/>
  <c r="X1097" i="8"/>
  <c r="X1096" i="8"/>
  <c r="X1095" i="8"/>
  <c r="X1094" i="8"/>
  <c r="X1093" i="8"/>
  <c r="X1092" i="8"/>
  <c r="X1091" i="8"/>
  <c r="X1090" i="8"/>
  <c r="X1089" i="8"/>
  <c r="X1088" i="8"/>
  <c r="X1087" i="8"/>
  <c r="X1086" i="8"/>
  <c r="X1085" i="8"/>
  <c r="X1084" i="8"/>
  <c r="X1083" i="8"/>
  <c r="X1082" i="8"/>
  <c r="X1081" i="8"/>
  <c r="X1080" i="8"/>
  <c r="X1079" i="8"/>
  <c r="X1078" i="8"/>
  <c r="X1077" i="8"/>
  <c r="X1076" i="8"/>
  <c r="X1075" i="8"/>
  <c r="X1074" i="8"/>
  <c r="X1073" i="8"/>
  <c r="X1072" i="8"/>
  <c r="X1071" i="8"/>
  <c r="X1070" i="8"/>
  <c r="X1069" i="8"/>
  <c r="X1068" i="8"/>
  <c r="X1067" i="8"/>
  <c r="X1066" i="8"/>
  <c r="X1065" i="8"/>
  <c r="X1064" i="8"/>
  <c r="X1063" i="8"/>
  <c r="X1062" i="8"/>
  <c r="X1061" i="8"/>
  <c r="X1060" i="8"/>
  <c r="X1059" i="8"/>
  <c r="X1058" i="8"/>
  <c r="X1057" i="8"/>
  <c r="X1056" i="8"/>
  <c r="X1055" i="8"/>
  <c r="X1054" i="8"/>
  <c r="X1053" i="8"/>
  <c r="X1052" i="8"/>
  <c r="X1051" i="8"/>
  <c r="X1050" i="8"/>
  <c r="X1049" i="8"/>
  <c r="X1048" i="8"/>
  <c r="X1047" i="8"/>
  <c r="X1046" i="8"/>
  <c r="X1045" i="8"/>
  <c r="X1044" i="8"/>
  <c r="X1043" i="8"/>
  <c r="X1042" i="8"/>
  <c r="X1041" i="8"/>
  <c r="X1040" i="8"/>
  <c r="X1039" i="8"/>
  <c r="X1038" i="8"/>
  <c r="X1037" i="8"/>
  <c r="X1036" i="8"/>
  <c r="X1035" i="8"/>
  <c r="X1034" i="8"/>
  <c r="X1033" i="8"/>
  <c r="X1032" i="8"/>
  <c r="X1031" i="8"/>
  <c r="X1030" i="8"/>
  <c r="X1029" i="8"/>
  <c r="X1028" i="8"/>
  <c r="X1027" i="8"/>
  <c r="X1026" i="8"/>
  <c r="X1025" i="8"/>
  <c r="X1024" i="8"/>
  <c r="X1023" i="8"/>
  <c r="X1022" i="8"/>
  <c r="X1021" i="8"/>
  <c r="X1020" i="8"/>
  <c r="X1019" i="8"/>
  <c r="X1018" i="8"/>
  <c r="X1017" i="8"/>
  <c r="X1016" i="8"/>
  <c r="X1015" i="8"/>
  <c r="X1014" i="8"/>
  <c r="X1013" i="8"/>
  <c r="X1012" i="8"/>
  <c r="X1011" i="8"/>
  <c r="X1010" i="8"/>
  <c r="X1009" i="8"/>
  <c r="X1008" i="8"/>
  <c r="X1007" i="8"/>
  <c r="X1006" i="8"/>
  <c r="X1005" i="8"/>
  <c r="X1004" i="8"/>
  <c r="X1003" i="8"/>
  <c r="X1002" i="8"/>
  <c r="X1001" i="8"/>
  <c r="X1000" i="8"/>
  <c r="X999" i="8"/>
  <c r="X998" i="8"/>
  <c r="X997" i="8"/>
  <c r="X996" i="8"/>
  <c r="X995" i="8"/>
  <c r="X994" i="8"/>
  <c r="X993" i="8"/>
  <c r="X992" i="8"/>
  <c r="X991" i="8"/>
  <c r="X990" i="8"/>
  <c r="X989" i="8"/>
  <c r="X988" i="8"/>
  <c r="X987" i="8"/>
  <c r="X986" i="8"/>
  <c r="X985" i="8"/>
  <c r="X984" i="8"/>
  <c r="X983" i="8"/>
  <c r="X982" i="8"/>
  <c r="X981" i="8"/>
  <c r="X980" i="8"/>
  <c r="X979" i="8"/>
  <c r="X978" i="8"/>
  <c r="K504" i="7"/>
  <c r="K502" i="7"/>
  <c r="K424" i="7"/>
  <c r="K410" i="7"/>
  <c r="L2037" i="10"/>
  <c r="L2036" i="10"/>
  <c r="L2035" i="10"/>
  <c r="L2034" i="10"/>
  <c r="L2033" i="10"/>
  <c r="L2032" i="10"/>
  <c r="L2031" i="10"/>
  <c r="L2030" i="10"/>
  <c r="L2029" i="10"/>
  <c r="L2028" i="10"/>
  <c r="L2027" i="10"/>
  <c r="L2026" i="10"/>
  <c r="L2025" i="10"/>
  <c r="L2024" i="10"/>
  <c r="L2023" i="10"/>
  <c r="L2022" i="10"/>
  <c r="L2021" i="10"/>
  <c r="L2020" i="10"/>
  <c r="L2019" i="10"/>
  <c r="L2018" i="10"/>
  <c r="L2017" i="10"/>
  <c r="L2016" i="10"/>
  <c r="L2015" i="10"/>
  <c r="L2014" i="10"/>
  <c r="L2013" i="10"/>
  <c r="L2012" i="10"/>
  <c r="L2011" i="10"/>
  <c r="L2010" i="10"/>
  <c r="L2009" i="10"/>
  <c r="L2008" i="10"/>
  <c r="L2007" i="10"/>
  <c r="L2006" i="10"/>
  <c r="L2005" i="10"/>
  <c r="L2004" i="10"/>
  <c r="L2003" i="10"/>
  <c r="L2002" i="10"/>
  <c r="L2001" i="10"/>
  <c r="L2000" i="10"/>
  <c r="L1999" i="10"/>
  <c r="L1998" i="10"/>
  <c r="L1997" i="10"/>
  <c r="L1996" i="10"/>
  <c r="L1995" i="10"/>
  <c r="L1994" i="10"/>
  <c r="L1993" i="10"/>
  <c r="L1992" i="10"/>
  <c r="L1991" i="10"/>
  <c r="L1990" i="10"/>
  <c r="L1989" i="10"/>
  <c r="L1988" i="10"/>
  <c r="L1987" i="10"/>
  <c r="L1986" i="10"/>
  <c r="L1985" i="10"/>
  <c r="L1984" i="10"/>
  <c r="L1983" i="10"/>
  <c r="L1982" i="10"/>
  <c r="L1981" i="10"/>
  <c r="L1980" i="10"/>
  <c r="L1979" i="10"/>
  <c r="L1978" i="10"/>
  <c r="L1977" i="10"/>
  <c r="L1976" i="10"/>
  <c r="L1975" i="10"/>
  <c r="L1974" i="10"/>
  <c r="L1973" i="10"/>
  <c r="L1972" i="10"/>
  <c r="L1971" i="10"/>
  <c r="L1970" i="10"/>
  <c r="L1969" i="10"/>
  <c r="L1968" i="10"/>
  <c r="L1967" i="10"/>
  <c r="L1966" i="10"/>
  <c r="L1965" i="10"/>
  <c r="L1964" i="10"/>
  <c r="L1963" i="10"/>
  <c r="L1962" i="10"/>
  <c r="L1961" i="10"/>
  <c r="L1960" i="10"/>
  <c r="L1959" i="10"/>
  <c r="L1958" i="10"/>
  <c r="L1957" i="10"/>
  <c r="L1956" i="10"/>
  <c r="L1955" i="10"/>
  <c r="L1954" i="10"/>
  <c r="L1953" i="10"/>
  <c r="L1952" i="10"/>
  <c r="L1951" i="10"/>
  <c r="L1950" i="10"/>
  <c r="L1949" i="10"/>
  <c r="L1948" i="10"/>
  <c r="L1947" i="10"/>
  <c r="L1946" i="10"/>
  <c r="L1945" i="10"/>
  <c r="L1944" i="10"/>
  <c r="L1943" i="10"/>
  <c r="L1942" i="10"/>
  <c r="L1941" i="10"/>
  <c r="L1940" i="10"/>
  <c r="L1939" i="10"/>
  <c r="L1938" i="10"/>
  <c r="L1937" i="10"/>
  <c r="L1936" i="10"/>
  <c r="L1935" i="10"/>
  <c r="L1934" i="10"/>
  <c r="L1933" i="10"/>
  <c r="L1932" i="10"/>
  <c r="L1931" i="10"/>
  <c r="L1930" i="10"/>
  <c r="L1929" i="10"/>
  <c r="L1928" i="10"/>
  <c r="L1927" i="10"/>
  <c r="L1926" i="10"/>
  <c r="L1925" i="10"/>
  <c r="L1924" i="10"/>
  <c r="L1923" i="10"/>
  <c r="L1922" i="10"/>
  <c r="L1921" i="10"/>
  <c r="L1920" i="10"/>
  <c r="L1919" i="10"/>
  <c r="L1918" i="10"/>
  <c r="L1917" i="10"/>
  <c r="L1916" i="10"/>
  <c r="L1915" i="10"/>
  <c r="L1914" i="10"/>
  <c r="L1913" i="10"/>
  <c r="L1912" i="10"/>
  <c r="L1911" i="10"/>
  <c r="L1910" i="10"/>
  <c r="L1909" i="10"/>
  <c r="L1908" i="10"/>
  <c r="L1907" i="10"/>
  <c r="L1906" i="10"/>
  <c r="L1905" i="10"/>
  <c r="L1904" i="10"/>
  <c r="L1903" i="10"/>
  <c r="L1902" i="10"/>
  <c r="L1901" i="10"/>
  <c r="L1900" i="10"/>
  <c r="L1899" i="10"/>
  <c r="L1898" i="10"/>
  <c r="L1897" i="10"/>
  <c r="L1896" i="10"/>
  <c r="L1895" i="10"/>
  <c r="L1894" i="10"/>
  <c r="L1893" i="10"/>
  <c r="L1892" i="10"/>
  <c r="L1891" i="10"/>
  <c r="L1890" i="10"/>
  <c r="L1889" i="10"/>
  <c r="L1888" i="10"/>
  <c r="L1887" i="10"/>
  <c r="L1886" i="10"/>
  <c r="L1885" i="10"/>
  <c r="L1884" i="10"/>
  <c r="L1883" i="10"/>
  <c r="L1882" i="10"/>
  <c r="L1881" i="10"/>
  <c r="L1880" i="10"/>
  <c r="L1879" i="10"/>
  <c r="L1878" i="10"/>
  <c r="L1877" i="10"/>
  <c r="L1876" i="10"/>
  <c r="L1875" i="10"/>
  <c r="L1874" i="10"/>
  <c r="L1873" i="10"/>
  <c r="L1872" i="10"/>
  <c r="L1871" i="10"/>
  <c r="L1870" i="10"/>
  <c r="L1869" i="10"/>
  <c r="L1868" i="10"/>
  <c r="L1867" i="10"/>
  <c r="L1866" i="10"/>
  <c r="L1865" i="10"/>
  <c r="L1864" i="10"/>
  <c r="L1863" i="10"/>
  <c r="L1862" i="10"/>
  <c r="L1861" i="10"/>
  <c r="L1860" i="10"/>
  <c r="L1859" i="10"/>
  <c r="L1858" i="10"/>
  <c r="L1857" i="10"/>
  <c r="L1856" i="10"/>
  <c r="L1855" i="10"/>
  <c r="L1854" i="10"/>
  <c r="L1853" i="10"/>
  <c r="L1852" i="10"/>
  <c r="L1851" i="10"/>
  <c r="L1850" i="10"/>
  <c r="L1849" i="10"/>
  <c r="L1848" i="10"/>
  <c r="L1847" i="10"/>
  <c r="L1846" i="10"/>
  <c r="L1845" i="10"/>
  <c r="L1844" i="10"/>
  <c r="L1843" i="10"/>
  <c r="L1842" i="10"/>
  <c r="L1841" i="10"/>
  <c r="L1840" i="10"/>
  <c r="L1839" i="10"/>
  <c r="L1838" i="10"/>
  <c r="L1837" i="10"/>
  <c r="L1836" i="10"/>
  <c r="L1835" i="10"/>
  <c r="L1834" i="10"/>
  <c r="L1833" i="10"/>
  <c r="L1832" i="10"/>
  <c r="L1831" i="10"/>
  <c r="L1830" i="10"/>
  <c r="L1829" i="10"/>
  <c r="L1828" i="10"/>
  <c r="L1827" i="10"/>
  <c r="L1826" i="10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AO221" i="8" l="1"/>
  <c r="AN221" i="8"/>
  <c r="AO285" i="8"/>
  <c r="AN285" i="8"/>
  <c r="AN230" i="8"/>
  <c r="AO230" i="8"/>
  <c r="AO238" i="8"/>
  <c r="AN238" i="8"/>
  <c r="AO246" i="8"/>
  <c r="AN246" i="8"/>
  <c r="AO254" i="8"/>
  <c r="AN254" i="8"/>
  <c r="AO262" i="8"/>
  <c r="AN262" i="8"/>
  <c r="AO270" i="8"/>
  <c r="AN270" i="8"/>
  <c r="AO278" i="8"/>
  <c r="AN278" i="8"/>
  <c r="AO286" i="8"/>
  <c r="AN286" i="8"/>
  <c r="AN213" i="8"/>
  <c r="AO213" i="8"/>
  <c r="AO269" i="8"/>
  <c r="AN269" i="8"/>
  <c r="AO215" i="8"/>
  <c r="AN215" i="8"/>
  <c r="AO223" i="8"/>
  <c r="AN223" i="8"/>
  <c r="AN231" i="8"/>
  <c r="AO231" i="8"/>
  <c r="AN239" i="8"/>
  <c r="AO239" i="8"/>
  <c r="AN247" i="8"/>
  <c r="AO247" i="8"/>
  <c r="AN255" i="8"/>
  <c r="AO255" i="8"/>
  <c r="AN263" i="8"/>
  <c r="AO263" i="8"/>
  <c r="AO271" i="8"/>
  <c r="AN271" i="8"/>
  <c r="AO279" i="8"/>
  <c r="AN279" i="8"/>
  <c r="AO287" i="8"/>
  <c r="AN287" i="8"/>
  <c r="AN229" i="8"/>
  <c r="AO229" i="8"/>
  <c r="AO277" i="8"/>
  <c r="AN277" i="8"/>
  <c r="AN224" i="8"/>
  <c r="AO224" i="8"/>
  <c r="AN232" i="8"/>
  <c r="AO232" i="8"/>
  <c r="AO240" i="8"/>
  <c r="AN240" i="8"/>
  <c r="AO248" i="8"/>
  <c r="AN248" i="8"/>
  <c r="AO256" i="8"/>
  <c r="AN256" i="8"/>
  <c r="AO264" i="8"/>
  <c r="AN264" i="8"/>
  <c r="AO272" i="8"/>
  <c r="AN272" i="8"/>
  <c r="AO280" i="8"/>
  <c r="AN280" i="8"/>
  <c r="AO288" i="8"/>
  <c r="AN288" i="8"/>
  <c r="AO261" i="8"/>
  <c r="AN261" i="8"/>
  <c r="AO216" i="8"/>
  <c r="AN216" i="8"/>
  <c r="AO217" i="8"/>
  <c r="AN217" i="8"/>
  <c r="AO225" i="8"/>
  <c r="AN225" i="8"/>
  <c r="AO233" i="8"/>
  <c r="AN233" i="8"/>
  <c r="AO241" i="8"/>
  <c r="AN241" i="8"/>
  <c r="AO249" i="8"/>
  <c r="AN249" i="8"/>
  <c r="AO257" i="8"/>
  <c r="AN257" i="8"/>
  <c r="AN265" i="8"/>
  <c r="AO265" i="8"/>
  <c r="AO273" i="8"/>
  <c r="AN273" i="8"/>
  <c r="AO281" i="8"/>
  <c r="AN281" i="8"/>
  <c r="AO253" i="8"/>
  <c r="AN253" i="8"/>
  <c r="AN222" i="8"/>
  <c r="AO222" i="8"/>
  <c r="AO218" i="8"/>
  <c r="AN218" i="8"/>
  <c r="AN226" i="8"/>
  <c r="AO226" i="8"/>
  <c r="AO234" i="8"/>
  <c r="AN234" i="8"/>
  <c r="AO242" i="8"/>
  <c r="AN242" i="8"/>
  <c r="AO250" i="8"/>
  <c r="AN250" i="8"/>
  <c r="AO258" i="8"/>
  <c r="AN258" i="8"/>
  <c r="AO266" i="8"/>
  <c r="AN266" i="8"/>
  <c r="AO274" i="8"/>
  <c r="AN274" i="8"/>
  <c r="AO282" i="8"/>
  <c r="AN282" i="8"/>
  <c r="AO237" i="8"/>
  <c r="AN237" i="8"/>
  <c r="AN214" i="8"/>
  <c r="AO214" i="8"/>
  <c r="AO219" i="8"/>
  <c r="AN219" i="8"/>
  <c r="AO227" i="8"/>
  <c r="AN227" i="8"/>
  <c r="AO235" i="8"/>
  <c r="AN235" i="8"/>
  <c r="AO243" i="8"/>
  <c r="AN243" i="8"/>
  <c r="AO251" i="8"/>
  <c r="AN251" i="8"/>
  <c r="AO259" i="8"/>
  <c r="AN259" i="8"/>
  <c r="AO267" i="8"/>
  <c r="AN267" i="8"/>
  <c r="AO275" i="8"/>
  <c r="AN275" i="8"/>
  <c r="AO283" i="8"/>
  <c r="AN283" i="8"/>
  <c r="AO245" i="8"/>
  <c r="AN245" i="8"/>
  <c r="AN212" i="8"/>
  <c r="AO212" i="8"/>
  <c r="AO220" i="8"/>
  <c r="AN220" i="8"/>
  <c r="AN228" i="8"/>
  <c r="AO228" i="8"/>
  <c r="AO236" i="8"/>
  <c r="AN236" i="8"/>
  <c r="AO244" i="8"/>
  <c r="AN244" i="8"/>
  <c r="AO252" i="8"/>
  <c r="AN252" i="8"/>
  <c r="AO260" i="8"/>
  <c r="AN260" i="8"/>
  <c r="AO268" i="8"/>
  <c r="AN268" i="8"/>
  <c r="AO276" i="8"/>
  <c r="AN276" i="8"/>
  <c r="AO284" i="8"/>
  <c r="AN284" i="8"/>
  <c r="AH207" i="8"/>
  <c r="AG207" i="8"/>
  <c r="AE207" i="8"/>
  <c r="AH206" i="8"/>
  <c r="AG206" i="8"/>
  <c r="AE206" i="8"/>
  <c r="AH205" i="8"/>
  <c r="AG205" i="8"/>
  <c r="AE205" i="8"/>
  <c r="AH204" i="8"/>
  <c r="AG204" i="8"/>
  <c r="AE204" i="8"/>
  <c r="AH203" i="8"/>
  <c r="AG203" i="8"/>
  <c r="AE203" i="8"/>
  <c r="AH202" i="8"/>
  <c r="AG202" i="8"/>
  <c r="AE202" i="8"/>
  <c r="AH201" i="8"/>
  <c r="AG201" i="8"/>
  <c r="AE201" i="8"/>
  <c r="AH200" i="8"/>
  <c r="AG200" i="8"/>
  <c r="AE200" i="8"/>
  <c r="AH199" i="8"/>
  <c r="AG199" i="8"/>
  <c r="AE199" i="8"/>
  <c r="AH198" i="8"/>
  <c r="AG198" i="8"/>
  <c r="AE198" i="8"/>
  <c r="AH197" i="8"/>
  <c r="AG197" i="8"/>
  <c r="AE197" i="8"/>
  <c r="AH196" i="8"/>
  <c r="AG196" i="8"/>
  <c r="AE196" i="8"/>
  <c r="AH195" i="8"/>
  <c r="AG195" i="8"/>
  <c r="AE195" i="8"/>
  <c r="AH194" i="8"/>
  <c r="AG194" i="8"/>
  <c r="AE194" i="8"/>
  <c r="AH193" i="8"/>
  <c r="AG193" i="8"/>
  <c r="AE193" i="8"/>
  <c r="AH192" i="8"/>
  <c r="AG192" i="8"/>
  <c r="AE192" i="8"/>
  <c r="AH191" i="8"/>
  <c r="AG191" i="8"/>
  <c r="AE191" i="8"/>
  <c r="AH190" i="8"/>
  <c r="AG190" i="8"/>
  <c r="AE190" i="8"/>
  <c r="AH189" i="8"/>
  <c r="AG189" i="8"/>
  <c r="AE189" i="8"/>
  <c r="AH188" i="8"/>
  <c r="AG188" i="8"/>
  <c r="AE188" i="8"/>
  <c r="AH187" i="8"/>
  <c r="AG187" i="8"/>
  <c r="AE187" i="8"/>
  <c r="AH186" i="8"/>
  <c r="AG186" i="8"/>
  <c r="AE186" i="8"/>
  <c r="AH185" i="8"/>
  <c r="AG185" i="8"/>
  <c r="AE185" i="8"/>
  <c r="AH184" i="8"/>
  <c r="AG184" i="8"/>
  <c r="AE184" i="8"/>
  <c r="AH183" i="8"/>
  <c r="AG183" i="8"/>
  <c r="AE183" i="8"/>
  <c r="AH182" i="8"/>
  <c r="AG182" i="8"/>
  <c r="AE182" i="8"/>
  <c r="AH181" i="8"/>
  <c r="AG181" i="8"/>
  <c r="AE181" i="8"/>
  <c r="AH180" i="8"/>
  <c r="AG180" i="8"/>
  <c r="AE180" i="8"/>
  <c r="AH179" i="8"/>
  <c r="AG179" i="8"/>
  <c r="AE179" i="8"/>
  <c r="AH178" i="8"/>
  <c r="AG178" i="8"/>
  <c r="AE178" i="8"/>
  <c r="AH177" i="8"/>
  <c r="AG177" i="8"/>
  <c r="AE177" i="8"/>
  <c r="AH176" i="8"/>
  <c r="AG176" i="8"/>
  <c r="AE176" i="8"/>
  <c r="AH175" i="8"/>
  <c r="AG175" i="8"/>
  <c r="AE175" i="8"/>
  <c r="AH174" i="8"/>
  <c r="AG174" i="8"/>
  <c r="AE174" i="8"/>
  <c r="AH173" i="8"/>
  <c r="AG173" i="8"/>
  <c r="AE173" i="8"/>
  <c r="AH172" i="8"/>
  <c r="AG172" i="8"/>
  <c r="AE172" i="8"/>
  <c r="AH171" i="8"/>
  <c r="AG171" i="8"/>
  <c r="AE171" i="8"/>
  <c r="AH170" i="8"/>
  <c r="AG170" i="8"/>
  <c r="AE170" i="8"/>
  <c r="AH169" i="8"/>
  <c r="AG169" i="8"/>
  <c r="AE169" i="8"/>
  <c r="AH168" i="8"/>
  <c r="AG168" i="8"/>
  <c r="AE168" i="8"/>
  <c r="AH167" i="8"/>
  <c r="AG167" i="8"/>
  <c r="AE167" i="8"/>
  <c r="AH166" i="8"/>
  <c r="AG166" i="8"/>
  <c r="AE166" i="8"/>
  <c r="AH165" i="8"/>
  <c r="AG165" i="8"/>
  <c r="AE165" i="8"/>
  <c r="AH164" i="8"/>
  <c r="AG164" i="8"/>
  <c r="AE164" i="8"/>
  <c r="AH163" i="8"/>
  <c r="AG163" i="8"/>
  <c r="AE163" i="8"/>
  <c r="AH162" i="8"/>
  <c r="AG162" i="8"/>
  <c r="AE162" i="8"/>
  <c r="AH161" i="8"/>
  <c r="AG161" i="8"/>
  <c r="AE161" i="8"/>
  <c r="AO160" i="8"/>
  <c r="AN160" i="8"/>
  <c r="AH160" i="8"/>
  <c r="AG160" i="8"/>
  <c r="AE160" i="8"/>
  <c r="AO159" i="8"/>
  <c r="AN159" i="8"/>
  <c r="AH159" i="8"/>
  <c r="AG159" i="8"/>
  <c r="AE159" i="8"/>
  <c r="AO158" i="8"/>
  <c r="AN158" i="8"/>
  <c r="AH158" i="8"/>
  <c r="AG158" i="8"/>
  <c r="AE158" i="8"/>
  <c r="AO157" i="8"/>
  <c r="AN157" i="8"/>
  <c r="AH157" i="8"/>
  <c r="AG157" i="8"/>
  <c r="AE157" i="8"/>
  <c r="Y207" i="8"/>
  <c r="Y206" i="8"/>
  <c r="Y205" i="8"/>
  <c r="Y204" i="8"/>
  <c r="Y203" i="8"/>
  <c r="Y202" i="8"/>
  <c r="Y201" i="8"/>
  <c r="Y200" i="8"/>
  <c r="Y199" i="8"/>
  <c r="Y198" i="8"/>
  <c r="Y197" i="8"/>
  <c r="Y196" i="8"/>
  <c r="Y195" i="8"/>
  <c r="Y194" i="8"/>
  <c r="Y193" i="8"/>
  <c r="Y192" i="8"/>
  <c r="Y191" i="8"/>
  <c r="AN191" i="8" s="1"/>
  <c r="Y190" i="8"/>
  <c r="Y189" i="8"/>
  <c r="Y188" i="8"/>
  <c r="Y187" i="8"/>
  <c r="AN187" i="8" s="1"/>
  <c r="Y186" i="8"/>
  <c r="Y185" i="8"/>
  <c r="Y184" i="8"/>
  <c r="Y183" i="8"/>
  <c r="AN183" i="8" s="1"/>
  <c r="Y182" i="8"/>
  <c r="AN182" i="8" s="1"/>
  <c r="Y181" i="8"/>
  <c r="AN181" i="8" s="1"/>
  <c r="Y180" i="8"/>
  <c r="Y179" i="8"/>
  <c r="AO179" i="8" s="1"/>
  <c r="Y178" i="8"/>
  <c r="AN178" i="8" s="1"/>
  <c r="Y177" i="8"/>
  <c r="AN177" i="8" s="1"/>
  <c r="Y176" i="8"/>
  <c r="Y175" i="8"/>
  <c r="AO175" i="8" s="1"/>
  <c r="Y174" i="8"/>
  <c r="AN174" i="8" s="1"/>
  <c r="Y173" i="8"/>
  <c r="AN173" i="8" s="1"/>
  <c r="Y172" i="8"/>
  <c r="Y171" i="8"/>
  <c r="AO171" i="8" s="1"/>
  <c r="Y170" i="8"/>
  <c r="AN170" i="8" s="1"/>
  <c r="Y169" i="8"/>
  <c r="AN169" i="8" s="1"/>
  <c r="Y168" i="8"/>
  <c r="Y167" i="8"/>
  <c r="AO167" i="8" s="1"/>
  <c r="Y166" i="8"/>
  <c r="AN166" i="8" s="1"/>
  <c r="Y165" i="8"/>
  <c r="AN165" i="8" s="1"/>
  <c r="Y164" i="8"/>
  <c r="Y163" i="8"/>
  <c r="AO163" i="8" s="1"/>
  <c r="Y162" i="8"/>
  <c r="AN162" i="8" s="1"/>
  <c r="Y161" i="8"/>
  <c r="AN161" i="8" s="1"/>
  <c r="X977" i="8"/>
  <c r="X976" i="8"/>
  <c r="X975" i="8"/>
  <c r="X974" i="8"/>
  <c r="X973" i="8"/>
  <c r="X972" i="8"/>
  <c r="X971" i="8"/>
  <c r="X970" i="8"/>
  <c r="X969" i="8"/>
  <c r="X968" i="8"/>
  <c r="X967" i="8"/>
  <c r="X966" i="8"/>
  <c r="X965" i="8"/>
  <c r="X964" i="8"/>
  <c r="X963" i="8"/>
  <c r="X962" i="8"/>
  <c r="X961" i="8"/>
  <c r="X960" i="8"/>
  <c r="X959" i="8"/>
  <c r="X958" i="8"/>
  <c r="X957" i="8"/>
  <c r="X956" i="8"/>
  <c r="X955" i="8"/>
  <c r="X954" i="8"/>
  <c r="X953" i="8"/>
  <c r="X952" i="8"/>
  <c r="X951" i="8"/>
  <c r="X950" i="8"/>
  <c r="X949" i="8"/>
  <c r="X948" i="8"/>
  <c r="X947" i="8"/>
  <c r="X946" i="8"/>
  <c r="X945" i="8"/>
  <c r="X944" i="8"/>
  <c r="X943" i="8"/>
  <c r="X942" i="8"/>
  <c r="X941" i="8"/>
  <c r="X940" i="8"/>
  <c r="X939" i="8"/>
  <c r="X938" i="8"/>
  <c r="X937" i="8"/>
  <c r="X936" i="8"/>
  <c r="X935" i="8"/>
  <c r="X934" i="8"/>
  <c r="X933" i="8"/>
  <c r="X932" i="8"/>
  <c r="X931" i="8"/>
  <c r="X930" i="8"/>
  <c r="X929" i="8"/>
  <c r="X928" i="8"/>
  <c r="X927" i="8"/>
  <c r="X926" i="8"/>
  <c r="X925" i="8"/>
  <c r="X924" i="8"/>
  <c r="X923" i="8"/>
  <c r="X922" i="8"/>
  <c r="X921" i="8"/>
  <c r="X920" i="8"/>
  <c r="X919" i="8"/>
  <c r="X918" i="8"/>
  <c r="X917" i="8"/>
  <c r="X916" i="8"/>
  <c r="X915" i="8"/>
  <c r="X914" i="8"/>
  <c r="X913" i="8"/>
  <c r="X912" i="8"/>
  <c r="X911" i="8"/>
  <c r="X910" i="8"/>
  <c r="X909" i="8"/>
  <c r="X908" i="8"/>
  <c r="X907" i="8"/>
  <c r="X906" i="8"/>
  <c r="X905" i="8"/>
  <c r="X904" i="8"/>
  <c r="X903" i="8"/>
  <c r="X902" i="8"/>
  <c r="X901" i="8"/>
  <c r="X900" i="8"/>
  <c r="X899" i="8"/>
  <c r="X898" i="8"/>
  <c r="X897" i="8"/>
  <c r="X896" i="8"/>
  <c r="X895" i="8"/>
  <c r="X894" i="8"/>
  <c r="X893" i="8"/>
  <c r="X892" i="8"/>
  <c r="X891" i="8"/>
  <c r="X890" i="8"/>
  <c r="X889" i="8"/>
  <c r="X888" i="8"/>
  <c r="X887" i="8"/>
  <c r="X886" i="8"/>
  <c r="X885" i="8"/>
  <c r="X884" i="8"/>
  <c r="X883" i="8"/>
  <c r="X882" i="8"/>
  <c r="X881" i="8"/>
  <c r="X880" i="8"/>
  <c r="X879" i="8"/>
  <c r="X878" i="8"/>
  <c r="X877" i="8"/>
  <c r="X876" i="8"/>
  <c r="X875" i="8"/>
  <c r="X874" i="8"/>
  <c r="X873" i="8"/>
  <c r="X872" i="8"/>
  <c r="X871" i="8"/>
  <c r="X870" i="8"/>
  <c r="X869" i="8"/>
  <c r="X868" i="8"/>
  <c r="X867" i="8"/>
  <c r="X866" i="8"/>
  <c r="X865" i="8"/>
  <c r="X864" i="8"/>
  <c r="X863" i="8"/>
  <c r="X862" i="8"/>
  <c r="X861" i="8"/>
  <c r="X860" i="8"/>
  <c r="X859" i="8"/>
  <c r="X858" i="8"/>
  <c r="X857" i="8"/>
  <c r="X856" i="8"/>
  <c r="X855" i="8"/>
  <c r="X854" i="8"/>
  <c r="X853" i="8"/>
  <c r="X852" i="8"/>
  <c r="X851" i="8"/>
  <c r="X850" i="8"/>
  <c r="X849" i="8"/>
  <c r="X848" i="8"/>
  <c r="X847" i="8"/>
  <c r="X846" i="8"/>
  <c r="X845" i="8"/>
  <c r="X844" i="8"/>
  <c r="X843" i="8"/>
  <c r="X842" i="8"/>
  <c r="X841" i="8"/>
  <c r="X840" i="8"/>
  <c r="X839" i="8"/>
  <c r="X838" i="8"/>
  <c r="X837" i="8"/>
  <c r="X836" i="8"/>
  <c r="X835" i="8"/>
  <c r="X834" i="8"/>
  <c r="X833" i="8"/>
  <c r="X832" i="8"/>
  <c r="X831" i="8"/>
  <c r="X830" i="8"/>
  <c r="X829" i="8"/>
  <c r="X828" i="8"/>
  <c r="X827" i="8"/>
  <c r="X826" i="8"/>
  <c r="X825" i="8"/>
  <c r="X824" i="8"/>
  <c r="X823" i="8"/>
  <c r="X822" i="8"/>
  <c r="X821" i="8"/>
  <c r="X820" i="8"/>
  <c r="X819" i="8"/>
  <c r="X818" i="8"/>
  <c r="X817" i="8"/>
  <c r="X816" i="8"/>
  <c r="X815" i="8"/>
  <c r="X814" i="8"/>
  <c r="X813" i="8"/>
  <c r="X812" i="8"/>
  <c r="X811" i="8"/>
  <c r="X810" i="8"/>
  <c r="X809" i="8"/>
  <c r="X808" i="8"/>
  <c r="X807" i="8"/>
  <c r="X806" i="8"/>
  <c r="X805" i="8"/>
  <c r="X804" i="8"/>
  <c r="X803" i="8"/>
  <c r="X802" i="8"/>
  <c r="X801" i="8"/>
  <c r="X800" i="8"/>
  <c r="X799" i="8"/>
  <c r="X798" i="8"/>
  <c r="X797" i="8"/>
  <c r="X796" i="8"/>
  <c r="X795" i="8"/>
  <c r="X794" i="8"/>
  <c r="X793" i="8"/>
  <c r="X792" i="8"/>
  <c r="X791" i="8"/>
  <c r="X790" i="8"/>
  <c r="X789" i="8"/>
  <c r="X788" i="8"/>
  <c r="X787" i="8"/>
  <c r="X786" i="8"/>
  <c r="X785" i="8"/>
  <c r="X784" i="8"/>
  <c r="X783" i="8"/>
  <c r="X782" i="8"/>
  <c r="X781" i="8"/>
  <c r="X780" i="8"/>
  <c r="X779" i="8"/>
  <c r="X778" i="8"/>
  <c r="X777" i="8"/>
  <c r="X776" i="8"/>
  <c r="X775" i="8"/>
  <c r="X774" i="8"/>
  <c r="X773" i="8"/>
  <c r="X772" i="8"/>
  <c r="X771" i="8"/>
  <c r="X770" i="8"/>
  <c r="X769" i="8"/>
  <c r="X768" i="8"/>
  <c r="X767" i="8"/>
  <c r="X766" i="8"/>
  <c r="X765" i="8"/>
  <c r="X764" i="8"/>
  <c r="X763" i="8"/>
  <c r="X762" i="8"/>
  <c r="X761" i="8"/>
  <c r="X760" i="8"/>
  <c r="X759" i="8"/>
  <c r="X758" i="8"/>
  <c r="X757" i="8"/>
  <c r="X756" i="8"/>
  <c r="X755" i="8"/>
  <c r="X754" i="8"/>
  <c r="X753" i="8"/>
  <c r="X752" i="8"/>
  <c r="X751" i="8"/>
  <c r="X750" i="8"/>
  <c r="X749" i="8"/>
  <c r="X748" i="8"/>
  <c r="X747" i="8"/>
  <c r="X746" i="8"/>
  <c r="X745" i="8"/>
  <c r="X744" i="8"/>
  <c r="X743" i="8"/>
  <c r="X742" i="8"/>
  <c r="X741" i="8"/>
  <c r="X740" i="8"/>
  <c r="X739" i="8"/>
  <c r="X738" i="8"/>
  <c r="X737" i="8"/>
  <c r="X736" i="8"/>
  <c r="X735" i="8"/>
  <c r="X734" i="8"/>
  <c r="X733" i="8"/>
  <c r="X732" i="8"/>
  <c r="X731" i="8"/>
  <c r="X730" i="8"/>
  <c r="X729" i="8"/>
  <c r="X728" i="8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K307" i="7"/>
  <c r="K306" i="7"/>
  <c r="K256" i="7"/>
  <c r="K255" i="7"/>
  <c r="K254" i="7"/>
  <c r="AN175" i="8" l="1"/>
  <c r="AN171" i="8"/>
  <c r="AN163" i="8"/>
  <c r="AN167" i="8"/>
  <c r="AN179" i="8"/>
  <c r="AN185" i="8"/>
  <c r="AN189" i="8"/>
  <c r="AN193" i="8"/>
  <c r="AN195" i="8"/>
  <c r="AN197" i="8"/>
  <c r="AN199" i="8"/>
  <c r="AN201" i="8"/>
  <c r="AN203" i="8"/>
  <c r="AN205" i="8"/>
  <c r="AN207" i="8"/>
  <c r="AO161" i="8"/>
  <c r="AO165" i="8"/>
  <c r="AO169" i="8"/>
  <c r="AO173" i="8"/>
  <c r="AO177" i="8"/>
  <c r="AO181" i="8"/>
  <c r="AO183" i="8"/>
  <c r="AO185" i="8"/>
  <c r="AO187" i="8"/>
  <c r="AO189" i="8"/>
  <c r="AO191" i="8"/>
  <c r="AO193" i="8"/>
  <c r="AO195" i="8"/>
  <c r="AO197" i="8"/>
  <c r="AO199" i="8"/>
  <c r="AO201" i="8"/>
  <c r="AO203" i="8"/>
  <c r="AO205" i="8"/>
  <c r="AO207" i="8"/>
  <c r="AN176" i="8"/>
  <c r="AN184" i="8"/>
  <c r="AN186" i="8"/>
  <c r="AN188" i="8"/>
  <c r="AN190" i="8"/>
  <c r="AN192" i="8"/>
  <c r="AN194" i="8"/>
  <c r="AN196" i="8"/>
  <c r="AN198" i="8"/>
  <c r="AN200" i="8"/>
  <c r="AN202" i="8"/>
  <c r="AN204" i="8"/>
  <c r="AN206" i="8"/>
  <c r="AN172" i="8"/>
  <c r="AN180" i="8"/>
  <c r="AO162" i="8"/>
  <c r="AO164" i="8"/>
  <c r="AO166" i="8"/>
  <c r="AO168" i="8"/>
  <c r="AO170" i="8"/>
  <c r="AO172" i="8"/>
  <c r="AO174" i="8"/>
  <c r="AO176" i="8"/>
  <c r="AO178" i="8"/>
  <c r="AO180" i="8"/>
  <c r="AO182" i="8"/>
  <c r="AO184" i="8"/>
  <c r="AO186" i="8"/>
  <c r="AO188" i="8"/>
  <c r="AO190" i="8"/>
  <c r="AO192" i="8"/>
  <c r="AO194" i="8"/>
  <c r="AO196" i="8"/>
  <c r="AO198" i="8"/>
  <c r="AO200" i="8"/>
  <c r="AO202" i="8"/>
  <c r="AO204" i="8"/>
  <c r="AO206" i="8"/>
  <c r="AN164" i="8"/>
  <c r="AN168" i="8"/>
  <c r="I37" i="18"/>
  <c r="F37" i="18"/>
  <c r="E37" i="18"/>
  <c r="D37" i="18"/>
  <c r="C37" i="18"/>
  <c r="J37" i="18" l="1"/>
  <c r="G37" i="18"/>
  <c r="AH156" i="8" l="1"/>
  <c r="AG156" i="8"/>
  <c r="AE156" i="8"/>
  <c r="AH155" i="8"/>
  <c r="AG155" i="8"/>
  <c r="AE155" i="8"/>
  <c r="AH154" i="8"/>
  <c r="AG154" i="8"/>
  <c r="AE154" i="8"/>
  <c r="AH153" i="8"/>
  <c r="AG153" i="8"/>
  <c r="AE153" i="8"/>
  <c r="AH152" i="8"/>
  <c r="AG152" i="8"/>
  <c r="AE152" i="8"/>
  <c r="AH151" i="8"/>
  <c r="AG151" i="8"/>
  <c r="AE151" i="8"/>
  <c r="AH150" i="8"/>
  <c r="AG150" i="8"/>
  <c r="AE150" i="8"/>
  <c r="AH149" i="8"/>
  <c r="AG149" i="8"/>
  <c r="AE149" i="8"/>
  <c r="AH148" i="8"/>
  <c r="AG148" i="8"/>
  <c r="AE148" i="8"/>
  <c r="AH147" i="8"/>
  <c r="AG147" i="8"/>
  <c r="AE147" i="8"/>
  <c r="AH146" i="8"/>
  <c r="AG146" i="8"/>
  <c r="AE146" i="8"/>
  <c r="AH145" i="8"/>
  <c r="AG145" i="8"/>
  <c r="AE145" i="8"/>
  <c r="AH144" i="8"/>
  <c r="AG144" i="8"/>
  <c r="AE144" i="8"/>
  <c r="AH143" i="8"/>
  <c r="AG143" i="8"/>
  <c r="AE143" i="8"/>
  <c r="AH142" i="8"/>
  <c r="AG142" i="8"/>
  <c r="AE142" i="8"/>
  <c r="AH141" i="8"/>
  <c r="AG141" i="8"/>
  <c r="AE141" i="8"/>
  <c r="AH140" i="8"/>
  <c r="AG140" i="8"/>
  <c r="AE140" i="8"/>
  <c r="AH139" i="8"/>
  <c r="AG139" i="8"/>
  <c r="AE139" i="8"/>
  <c r="AH138" i="8"/>
  <c r="AG138" i="8"/>
  <c r="AE138" i="8"/>
  <c r="AH137" i="8"/>
  <c r="AG137" i="8"/>
  <c r="AE137" i="8"/>
  <c r="AH136" i="8"/>
  <c r="AG136" i="8"/>
  <c r="AE136" i="8"/>
  <c r="AH135" i="8"/>
  <c r="AG135" i="8"/>
  <c r="AE135" i="8"/>
  <c r="AH134" i="8"/>
  <c r="AG134" i="8"/>
  <c r="AE134" i="8"/>
  <c r="AH133" i="8"/>
  <c r="AG133" i="8"/>
  <c r="AE133" i="8"/>
  <c r="AH132" i="8"/>
  <c r="AG132" i="8"/>
  <c r="AE132" i="8"/>
  <c r="AH131" i="8"/>
  <c r="AG131" i="8"/>
  <c r="AE131" i="8"/>
  <c r="AH130" i="8"/>
  <c r="AG130" i="8"/>
  <c r="AE130" i="8"/>
  <c r="AH129" i="8"/>
  <c r="AG129" i="8"/>
  <c r="AE129" i="8"/>
  <c r="AH128" i="8"/>
  <c r="AG128" i="8"/>
  <c r="AE128" i="8"/>
  <c r="AH127" i="8"/>
  <c r="AG127" i="8"/>
  <c r="AE127" i="8"/>
  <c r="AH126" i="8"/>
  <c r="AG126" i="8"/>
  <c r="AE126" i="8"/>
  <c r="AH125" i="8"/>
  <c r="AG125" i="8"/>
  <c r="AE125" i="8"/>
  <c r="AH124" i="8"/>
  <c r="AG124" i="8"/>
  <c r="AE124" i="8"/>
  <c r="AH123" i="8"/>
  <c r="AG123" i="8"/>
  <c r="AE123" i="8"/>
  <c r="AH122" i="8"/>
  <c r="AG122" i="8"/>
  <c r="AE122" i="8"/>
  <c r="AH121" i="8"/>
  <c r="AG121" i="8"/>
  <c r="AE121" i="8"/>
  <c r="AH120" i="8"/>
  <c r="AG120" i="8"/>
  <c r="AE120" i="8"/>
  <c r="AH119" i="8"/>
  <c r="AG119" i="8"/>
  <c r="AE119" i="8"/>
  <c r="AH118" i="8"/>
  <c r="AG118" i="8"/>
  <c r="AE118" i="8"/>
  <c r="AH117" i="8"/>
  <c r="AG117" i="8"/>
  <c r="AE117" i="8"/>
  <c r="AH116" i="8"/>
  <c r="AG116" i="8"/>
  <c r="AE116" i="8"/>
  <c r="AH115" i="8"/>
  <c r="AG115" i="8"/>
  <c r="AE115" i="8"/>
  <c r="AH114" i="8"/>
  <c r="AG114" i="8"/>
  <c r="AE114" i="8"/>
  <c r="AH113" i="8"/>
  <c r="AG113" i="8"/>
  <c r="AE113" i="8"/>
  <c r="AH112" i="8"/>
  <c r="AG112" i="8"/>
  <c r="AE112" i="8"/>
  <c r="AH111" i="8"/>
  <c r="AG111" i="8"/>
  <c r="AE111" i="8"/>
  <c r="AH110" i="8"/>
  <c r="AG110" i="8"/>
  <c r="AE110" i="8"/>
  <c r="AH109" i="8"/>
  <c r="AG109" i="8"/>
  <c r="AE109" i="8"/>
  <c r="AH108" i="8"/>
  <c r="AG108" i="8"/>
  <c r="AE108" i="8"/>
  <c r="AH107" i="8"/>
  <c r="AG107" i="8"/>
  <c r="AE107" i="8"/>
  <c r="AH106" i="8"/>
  <c r="AG106" i="8"/>
  <c r="AE106" i="8"/>
  <c r="AH105" i="8"/>
  <c r="AG105" i="8"/>
  <c r="AE105" i="8"/>
  <c r="AH104" i="8"/>
  <c r="AG104" i="8"/>
  <c r="AE104" i="8"/>
  <c r="AH103" i="8"/>
  <c r="AG103" i="8"/>
  <c r="AE103" i="8"/>
  <c r="AH102" i="8"/>
  <c r="AG102" i="8"/>
  <c r="AE102" i="8"/>
  <c r="AH101" i="8"/>
  <c r="AG101" i="8"/>
  <c r="AE101" i="8"/>
  <c r="AH100" i="8"/>
  <c r="AG100" i="8"/>
  <c r="AE100" i="8"/>
  <c r="AH99" i="8"/>
  <c r="AG99" i="8"/>
  <c r="AE99" i="8"/>
  <c r="AH98" i="8"/>
  <c r="AG98" i="8"/>
  <c r="AE98" i="8"/>
  <c r="AH97" i="8"/>
  <c r="AG97" i="8"/>
  <c r="AE97" i="8"/>
  <c r="AH96" i="8"/>
  <c r="AG96" i="8"/>
  <c r="AE96" i="8"/>
  <c r="AH95" i="8"/>
  <c r="AG95" i="8"/>
  <c r="AE95" i="8"/>
  <c r="AH94" i="8"/>
  <c r="AG94" i="8"/>
  <c r="AE94" i="8"/>
  <c r="AH93" i="8"/>
  <c r="AG93" i="8"/>
  <c r="AE93" i="8"/>
  <c r="AH92" i="8"/>
  <c r="AG92" i="8"/>
  <c r="AE92" i="8"/>
  <c r="AH91" i="8"/>
  <c r="AG91" i="8"/>
  <c r="AE91" i="8"/>
  <c r="AH90" i="8"/>
  <c r="AG90" i="8"/>
  <c r="AE90" i="8"/>
  <c r="AH89" i="8"/>
  <c r="AG89" i="8"/>
  <c r="AE89" i="8"/>
  <c r="AH88" i="8"/>
  <c r="AG88" i="8"/>
  <c r="AE88" i="8"/>
  <c r="AH87" i="8"/>
  <c r="AG87" i="8"/>
  <c r="AE87" i="8"/>
  <c r="AH86" i="8"/>
  <c r="AG86" i="8"/>
  <c r="AE86" i="8"/>
  <c r="AH85" i="8"/>
  <c r="AG85" i="8"/>
  <c r="AE85" i="8"/>
  <c r="AH84" i="8"/>
  <c r="AG84" i="8"/>
  <c r="AE84" i="8"/>
  <c r="AH83" i="8"/>
  <c r="AG83" i="8"/>
  <c r="AE83" i="8"/>
  <c r="AH82" i="8"/>
  <c r="AG82" i="8"/>
  <c r="AE82" i="8"/>
  <c r="AH81" i="8"/>
  <c r="AG81" i="8"/>
  <c r="AE81" i="8"/>
  <c r="AH80" i="8"/>
  <c r="AG80" i="8"/>
  <c r="AE80" i="8"/>
  <c r="AH79" i="8"/>
  <c r="AG79" i="8"/>
  <c r="AE79" i="8"/>
  <c r="AH78" i="8"/>
  <c r="AG78" i="8"/>
  <c r="AE78" i="8"/>
  <c r="AH77" i="8"/>
  <c r="AG77" i="8"/>
  <c r="AE77" i="8"/>
  <c r="AH76" i="8"/>
  <c r="AG76" i="8"/>
  <c r="AE76" i="8"/>
  <c r="AH75" i="8"/>
  <c r="AG75" i="8"/>
  <c r="AE75" i="8"/>
  <c r="AH74" i="8"/>
  <c r="AG74" i="8"/>
  <c r="AE74" i="8"/>
  <c r="AH73" i="8"/>
  <c r="AG73" i="8"/>
  <c r="AE73" i="8"/>
  <c r="AH72" i="8"/>
  <c r="AG72" i="8"/>
  <c r="AE72" i="8"/>
  <c r="AH71" i="8"/>
  <c r="AG71" i="8"/>
  <c r="AE71" i="8"/>
  <c r="AH70" i="8"/>
  <c r="AG70" i="8"/>
  <c r="AE70" i="8"/>
  <c r="AH69" i="8"/>
  <c r="AG69" i="8"/>
  <c r="AE69" i="8"/>
  <c r="AH68" i="8"/>
  <c r="AG68" i="8"/>
  <c r="AE68" i="8"/>
  <c r="AH67" i="8"/>
  <c r="AG67" i="8"/>
  <c r="AE67" i="8"/>
  <c r="Y156" i="8"/>
  <c r="Y155" i="8"/>
  <c r="Y154" i="8"/>
  <c r="Y153" i="8"/>
  <c r="Y152" i="8"/>
  <c r="Y151" i="8"/>
  <c r="Y150" i="8"/>
  <c r="Y149" i="8"/>
  <c r="Y148" i="8"/>
  <c r="Y147" i="8"/>
  <c r="Y146" i="8"/>
  <c r="Y145" i="8"/>
  <c r="AN145" i="8" s="1"/>
  <c r="Y144" i="8"/>
  <c r="Y143" i="8"/>
  <c r="Y142" i="8"/>
  <c r="Y141" i="8"/>
  <c r="Y140" i="8"/>
  <c r="AN140" i="8" s="1"/>
  <c r="Y139" i="8"/>
  <c r="Y138" i="8"/>
  <c r="AO138" i="8" s="1"/>
  <c r="Y137" i="8"/>
  <c r="AO137" i="8" s="1"/>
  <c r="Y136" i="8"/>
  <c r="AO136" i="8" s="1"/>
  <c r="Y135" i="8"/>
  <c r="Y134" i="8"/>
  <c r="AO134" i="8" s="1"/>
  <c r="Y133" i="8"/>
  <c r="Y132" i="8"/>
  <c r="AO132" i="8" s="1"/>
  <c r="Y131" i="8"/>
  <c r="AO131" i="8" s="1"/>
  <c r="Y130" i="8"/>
  <c r="AO130" i="8" s="1"/>
  <c r="Y129" i="8"/>
  <c r="Y128" i="8"/>
  <c r="Y127" i="8"/>
  <c r="Y126" i="8"/>
  <c r="Y125" i="8"/>
  <c r="Y124" i="8"/>
  <c r="Y123" i="8"/>
  <c r="Y122" i="8"/>
  <c r="AN122" i="8" s="1"/>
  <c r="Y121" i="8"/>
  <c r="AO121" i="8" s="1"/>
  <c r="Y120" i="8"/>
  <c r="Y119" i="8"/>
  <c r="Y118" i="8"/>
  <c r="Y117" i="8"/>
  <c r="Y116" i="8"/>
  <c r="Y115" i="8"/>
  <c r="Y114" i="8"/>
  <c r="AN114" i="8" s="1"/>
  <c r="Y113" i="8"/>
  <c r="AO113" i="8" s="1"/>
  <c r="Y112" i="8"/>
  <c r="Y111" i="8"/>
  <c r="Y110" i="8"/>
  <c r="Y109" i="8"/>
  <c r="Y108" i="8"/>
  <c r="Y107" i="8"/>
  <c r="Y106" i="8"/>
  <c r="AN106" i="8" s="1"/>
  <c r="Y105" i="8"/>
  <c r="Y104" i="8"/>
  <c r="Y103" i="8"/>
  <c r="Y102" i="8"/>
  <c r="Y101" i="8"/>
  <c r="Y100" i="8"/>
  <c r="AO100" i="8" s="1"/>
  <c r="Y99" i="8"/>
  <c r="Y98" i="8"/>
  <c r="AO98" i="8" s="1"/>
  <c r="Y97" i="8"/>
  <c r="Y96" i="8"/>
  <c r="AO96" i="8" s="1"/>
  <c r="Y95" i="8"/>
  <c r="Y94" i="8"/>
  <c r="AO94" i="8" s="1"/>
  <c r="Y93" i="8"/>
  <c r="Y92" i="8"/>
  <c r="AO92" i="8" s="1"/>
  <c r="Y91" i="8"/>
  <c r="Y90" i="8"/>
  <c r="AO90" i="8" s="1"/>
  <c r="Y89" i="8"/>
  <c r="Y88" i="8"/>
  <c r="AO88" i="8" s="1"/>
  <c r="Y87" i="8"/>
  <c r="Y86" i="8"/>
  <c r="AO86" i="8" s="1"/>
  <c r="Y85" i="8"/>
  <c r="Y84" i="8"/>
  <c r="AO84" i="8" s="1"/>
  <c r="Y83" i="8"/>
  <c r="Y82" i="8"/>
  <c r="AO82" i="8" s="1"/>
  <c r="Y81" i="8"/>
  <c r="Y80" i="8"/>
  <c r="AO80" i="8" s="1"/>
  <c r="Y79" i="8"/>
  <c r="Y78" i="8"/>
  <c r="AO78" i="8" s="1"/>
  <c r="Y77" i="8"/>
  <c r="Y76" i="8"/>
  <c r="AO76" i="8" s="1"/>
  <c r="Y75" i="8"/>
  <c r="Y74" i="8"/>
  <c r="AO74" i="8" s="1"/>
  <c r="Y73" i="8"/>
  <c r="Y72" i="8"/>
  <c r="AO72" i="8" s="1"/>
  <c r="Y71" i="8"/>
  <c r="Y70" i="8"/>
  <c r="AO70" i="8" s="1"/>
  <c r="Y69" i="8"/>
  <c r="Y68" i="8"/>
  <c r="AO68" i="8" s="1"/>
  <c r="Y67" i="8"/>
  <c r="AN67" i="8" s="1"/>
  <c r="X727" i="8"/>
  <c r="X726" i="8"/>
  <c r="X725" i="8"/>
  <c r="X724" i="8"/>
  <c r="X723" i="8"/>
  <c r="X722" i="8"/>
  <c r="X721" i="8"/>
  <c r="X720" i="8"/>
  <c r="X719" i="8"/>
  <c r="X718" i="8"/>
  <c r="X717" i="8"/>
  <c r="X716" i="8"/>
  <c r="X715" i="8"/>
  <c r="X714" i="8"/>
  <c r="X713" i="8"/>
  <c r="X712" i="8"/>
  <c r="X711" i="8"/>
  <c r="X710" i="8"/>
  <c r="X709" i="8"/>
  <c r="X708" i="8"/>
  <c r="X707" i="8"/>
  <c r="X706" i="8"/>
  <c r="X705" i="8"/>
  <c r="X704" i="8"/>
  <c r="X703" i="8"/>
  <c r="X702" i="8"/>
  <c r="X701" i="8"/>
  <c r="X700" i="8"/>
  <c r="X699" i="8"/>
  <c r="X698" i="8"/>
  <c r="X697" i="8"/>
  <c r="X696" i="8"/>
  <c r="X695" i="8"/>
  <c r="X694" i="8"/>
  <c r="X693" i="8"/>
  <c r="X692" i="8"/>
  <c r="X691" i="8"/>
  <c r="X690" i="8"/>
  <c r="X689" i="8"/>
  <c r="X688" i="8"/>
  <c r="X687" i="8"/>
  <c r="X686" i="8"/>
  <c r="X685" i="8"/>
  <c r="X684" i="8"/>
  <c r="X683" i="8"/>
  <c r="X682" i="8"/>
  <c r="X681" i="8"/>
  <c r="X680" i="8"/>
  <c r="X679" i="8"/>
  <c r="X678" i="8"/>
  <c r="X677" i="8"/>
  <c r="X676" i="8"/>
  <c r="X675" i="8"/>
  <c r="X674" i="8"/>
  <c r="X673" i="8"/>
  <c r="X672" i="8"/>
  <c r="X671" i="8"/>
  <c r="X670" i="8"/>
  <c r="X669" i="8"/>
  <c r="X668" i="8"/>
  <c r="X667" i="8"/>
  <c r="X666" i="8"/>
  <c r="X665" i="8"/>
  <c r="X664" i="8"/>
  <c r="X663" i="8"/>
  <c r="X662" i="8"/>
  <c r="X661" i="8"/>
  <c r="X660" i="8"/>
  <c r="X659" i="8"/>
  <c r="X658" i="8"/>
  <c r="X657" i="8"/>
  <c r="X656" i="8"/>
  <c r="X655" i="8"/>
  <c r="X654" i="8"/>
  <c r="X653" i="8"/>
  <c r="X652" i="8"/>
  <c r="X651" i="8"/>
  <c r="X650" i="8"/>
  <c r="X649" i="8"/>
  <c r="X648" i="8"/>
  <c r="X647" i="8"/>
  <c r="X646" i="8"/>
  <c r="X645" i="8"/>
  <c r="X644" i="8"/>
  <c r="X643" i="8"/>
  <c r="X642" i="8"/>
  <c r="X641" i="8"/>
  <c r="X640" i="8"/>
  <c r="X639" i="8"/>
  <c r="X638" i="8"/>
  <c r="X637" i="8"/>
  <c r="X636" i="8"/>
  <c r="X635" i="8"/>
  <c r="X634" i="8"/>
  <c r="X633" i="8"/>
  <c r="X632" i="8"/>
  <c r="X631" i="8"/>
  <c r="X630" i="8"/>
  <c r="X629" i="8"/>
  <c r="X628" i="8"/>
  <c r="X627" i="8"/>
  <c r="X626" i="8"/>
  <c r="X625" i="8"/>
  <c r="X624" i="8"/>
  <c r="X623" i="8"/>
  <c r="X622" i="8"/>
  <c r="X621" i="8"/>
  <c r="X620" i="8"/>
  <c r="X619" i="8"/>
  <c r="X618" i="8"/>
  <c r="X617" i="8"/>
  <c r="X616" i="8"/>
  <c r="X615" i="8"/>
  <c r="X614" i="8"/>
  <c r="X613" i="8"/>
  <c r="X612" i="8"/>
  <c r="X611" i="8"/>
  <c r="X610" i="8"/>
  <c r="X609" i="8"/>
  <c r="X608" i="8"/>
  <c r="X607" i="8"/>
  <c r="X606" i="8"/>
  <c r="X605" i="8"/>
  <c r="X604" i="8"/>
  <c r="X603" i="8"/>
  <c r="X602" i="8"/>
  <c r="X601" i="8"/>
  <c r="X600" i="8"/>
  <c r="X599" i="8"/>
  <c r="X598" i="8"/>
  <c r="X597" i="8"/>
  <c r="X596" i="8"/>
  <c r="X595" i="8"/>
  <c r="X594" i="8"/>
  <c r="X593" i="8"/>
  <c r="X592" i="8"/>
  <c r="X591" i="8"/>
  <c r="X590" i="8"/>
  <c r="X589" i="8"/>
  <c r="X588" i="8"/>
  <c r="X587" i="8"/>
  <c r="X586" i="8"/>
  <c r="X585" i="8"/>
  <c r="X584" i="8"/>
  <c r="X583" i="8"/>
  <c r="X582" i="8"/>
  <c r="X581" i="8"/>
  <c r="X580" i="8"/>
  <c r="X579" i="8"/>
  <c r="X578" i="8"/>
  <c r="X577" i="8"/>
  <c r="X576" i="8"/>
  <c r="X575" i="8"/>
  <c r="X574" i="8"/>
  <c r="X573" i="8"/>
  <c r="X572" i="8"/>
  <c r="X571" i="8"/>
  <c r="X570" i="8"/>
  <c r="X569" i="8"/>
  <c r="X568" i="8"/>
  <c r="X567" i="8"/>
  <c r="X566" i="8"/>
  <c r="X565" i="8"/>
  <c r="X564" i="8"/>
  <c r="X563" i="8"/>
  <c r="X562" i="8"/>
  <c r="X561" i="8"/>
  <c r="X560" i="8"/>
  <c r="X559" i="8"/>
  <c r="X558" i="8"/>
  <c r="X557" i="8"/>
  <c r="X556" i="8"/>
  <c r="X555" i="8"/>
  <c r="X554" i="8"/>
  <c r="X553" i="8"/>
  <c r="X552" i="8"/>
  <c r="X551" i="8"/>
  <c r="X550" i="8"/>
  <c r="X549" i="8"/>
  <c r="X548" i="8"/>
  <c r="X547" i="8"/>
  <c r="X546" i="8"/>
  <c r="X545" i="8"/>
  <c r="X544" i="8"/>
  <c r="X543" i="8"/>
  <c r="X542" i="8"/>
  <c r="X541" i="8"/>
  <c r="X540" i="8"/>
  <c r="X539" i="8"/>
  <c r="X538" i="8"/>
  <c r="X537" i="8"/>
  <c r="X536" i="8"/>
  <c r="X535" i="8"/>
  <c r="X534" i="8"/>
  <c r="X533" i="8"/>
  <c r="X532" i="8"/>
  <c r="X531" i="8"/>
  <c r="X530" i="8"/>
  <c r="X529" i="8"/>
  <c r="X528" i="8"/>
  <c r="X527" i="8"/>
  <c r="X526" i="8"/>
  <c r="X525" i="8"/>
  <c r="X524" i="8"/>
  <c r="X523" i="8"/>
  <c r="X522" i="8"/>
  <c r="X521" i="8"/>
  <c r="X520" i="8"/>
  <c r="X519" i="8"/>
  <c r="X518" i="8"/>
  <c r="X517" i="8"/>
  <c r="X516" i="8"/>
  <c r="X515" i="8"/>
  <c r="X514" i="8"/>
  <c r="X513" i="8"/>
  <c r="X512" i="8"/>
  <c r="X511" i="8"/>
  <c r="X510" i="8"/>
  <c r="X509" i="8"/>
  <c r="X508" i="8"/>
  <c r="X507" i="8"/>
  <c r="X506" i="8"/>
  <c r="X505" i="8"/>
  <c r="X504" i="8"/>
  <c r="X503" i="8"/>
  <c r="X502" i="8"/>
  <c r="X501" i="8"/>
  <c r="X500" i="8"/>
  <c r="X499" i="8"/>
  <c r="X498" i="8"/>
  <c r="X497" i="8"/>
  <c r="X496" i="8"/>
  <c r="X495" i="8"/>
  <c r="X494" i="8"/>
  <c r="X493" i="8"/>
  <c r="X492" i="8"/>
  <c r="X491" i="8"/>
  <c r="X490" i="8"/>
  <c r="X489" i="8"/>
  <c r="X488" i="8"/>
  <c r="X487" i="8"/>
  <c r="X486" i="8"/>
  <c r="X485" i="8"/>
  <c r="X484" i="8"/>
  <c r="X483" i="8"/>
  <c r="X482" i="8"/>
  <c r="X481" i="8"/>
  <c r="X480" i="8"/>
  <c r="X479" i="8"/>
  <c r="X478" i="8"/>
  <c r="X477" i="8"/>
  <c r="X476" i="8"/>
  <c r="X475" i="8"/>
  <c r="X474" i="8"/>
  <c r="X473" i="8"/>
  <c r="X472" i="8"/>
  <c r="X471" i="8"/>
  <c r="X470" i="8"/>
  <c r="X469" i="8"/>
  <c r="X468" i="8"/>
  <c r="X467" i="8"/>
  <c r="X466" i="8"/>
  <c r="X465" i="8"/>
  <c r="X464" i="8"/>
  <c r="X463" i="8"/>
  <c r="X462" i="8"/>
  <c r="X461" i="8"/>
  <c r="X460" i="8"/>
  <c r="X459" i="8"/>
  <c r="X458" i="8"/>
  <c r="X457" i="8"/>
  <c r="X456" i="8"/>
  <c r="X455" i="8"/>
  <c r="X454" i="8"/>
  <c r="X453" i="8"/>
  <c r="X452" i="8"/>
  <c r="X451" i="8"/>
  <c r="X450" i="8"/>
  <c r="X449" i="8"/>
  <c r="X448" i="8"/>
  <c r="X447" i="8"/>
  <c r="X446" i="8"/>
  <c r="X445" i="8"/>
  <c r="X444" i="8"/>
  <c r="X443" i="8"/>
  <c r="X442" i="8"/>
  <c r="X441" i="8"/>
  <c r="X440" i="8"/>
  <c r="X439" i="8"/>
  <c r="X438" i="8"/>
  <c r="X437" i="8"/>
  <c r="X436" i="8"/>
  <c r="X435" i="8"/>
  <c r="X434" i="8"/>
  <c r="X433" i="8"/>
  <c r="X432" i="8"/>
  <c r="X431" i="8"/>
  <c r="X430" i="8"/>
  <c r="X429" i="8"/>
  <c r="X428" i="8"/>
  <c r="X427" i="8"/>
  <c r="X426" i="8"/>
  <c r="X425" i="8"/>
  <c r="X424" i="8"/>
  <c r="X423" i="8"/>
  <c r="X422" i="8"/>
  <c r="X421" i="8"/>
  <c r="X420" i="8"/>
  <c r="X419" i="8"/>
  <c r="X418" i="8"/>
  <c r="X417" i="8"/>
  <c r="X416" i="8"/>
  <c r="X415" i="8"/>
  <c r="X414" i="8"/>
  <c r="X413" i="8"/>
  <c r="X412" i="8"/>
  <c r="X411" i="8"/>
  <c r="X410" i="8"/>
  <c r="X409" i="8"/>
  <c r="X408" i="8"/>
  <c r="X407" i="8"/>
  <c r="X406" i="8"/>
  <c r="X405" i="8"/>
  <c r="X404" i="8"/>
  <c r="X403" i="8"/>
  <c r="X402" i="8"/>
  <c r="X401" i="8"/>
  <c r="X400" i="8"/>
  <c r="X399" i="8"/>
  <c r="X398" i="8"/>
  <c r="X397" i="8"/>
  <c r="X396" i="8"/>
  <c r="X395" i="8"/>
  <c r="X394" i="8"/>
  <c r="X393" i="8"/>
  <c r="X392" i="8"/>
  <c r="X391" i="8"/>
  <c r="X390" i="8"/>
  <c r="X389" i="8"/>
  <c r="X388" i="8"/>
  <c r="X387" i="8"/>
  <c r="X386" i="8"/>
  <c r="X385" i="8"/>
  <c r="X384" i="8"/>
  <c r="X383" i="8"/>
  <c r="X382" i="8"/>
  <c r="X381" i="8"/>
  <c r="X380" i="8"/>
  <c r="X379" i="8"/>
  <c r="X378" i="8"/>
  <c r="X377" i="8"/>
  <c r="X376" i="8"/>
  <c r="X375" i="8"/>
  <c r="X374" i="8"/>
  <c r="X373" i="8"/>
  <c r="X372" i="8"/>
  <c r="X371" i="8"/>
  <c r="X370" i="8"/>
  <c r="X369" i="8"/>
  <c r="X368" i="8"/>
  <c r="X367" i="8"/>
  <c r="X366" i="8"/>
  <c r="X365" i="8"/>
  <c r="X364" i="8"/>
  <c r="X363" i="8"/>
  <c r="X362" i="8"/>
  <c r="X361" i="8"/>
  <c r="X360" i="8"/>
  <c r="X359" i="8"/>
  <c r="X358" i="8"/>
  <c r="X357" i="8"/>
  <c r="X356" i="8"/>
  <c r="X355" i="8"/>
  <c r="X354" i="8"/>
  <c r="X353" i="8"/>
  <c r="X352" i="8"/>
  <c r="X351" i="8"/>
  <c r="X350" i="8"/>
  <c r="X349" i="8"/>
  <c r="X348" i="8"/>
  <c r="X347" i="8"/>
  <c r="X346" i="8"/>
  <c r="X345" i="8"/>
  <c r="X344" i="8"/>
  <c r="X343" i="8"/>
  <c r="X342" i="8"/>
  <c r="X341" i="8"/>
  <c r="X340" i="8"/>
  <c r="X339" i="8"/>
  <c r="X338" i="8"/>
  <c r="X337" i="8"/>
  <c r="X336" i="8"/>
  <c r="X335" i="8"/>
  <c r="X334" i="8"/>
  <c r="X333" i="8"/>
  <c r="X332" i="8"/>
  <c r="X331" i="8"/>
  <c r="X330" i="8"/>
  <c r="X329" i="8"/>
  <c r="X328" i="8"/>
  <c r="X327" i="8"/>
  <c r="X326" i="8"/>
  <c r="X325" i="8"/>
  <c r="X324" i="8"/>
  <c r="X323" i="8"/>
  <c r="X322" i="8"/>
  <c r="X321" i="8"/>
  <c r="X320" i="8"/>
  <c r="X319" i="8"/>
  <c r="X318" i="8"/>
  <c r="X317" i="8"/>
  <c r="X316" i="8"/>
  <c r="X315" i="8"/>
  <c r="X314" i="8"/>
  <c r="X313" i="8"/>
  <c r="X312" i="8"/>
  <c r="X311" i="8"/>
  <c r="X310" i="8"/>
  <c r="X309" i="8"/>
  <c r="X308" i="8"/>
  <c r="X307" i="8"/>
  <c r="X306" i="8"/>
  <c r="X305" i="8"/>
  <c r="X304" i="8"/>
  <c r="X303" i="8"/>
  <c r="X302" i="8"/>
  <c r="X301" i="8"/>
  <c r="X300" i="8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AN68" i="8" l="1"/>
  <c r="AN72" i="8"/>
  <c r="AN84" i="8"/>
  <c r="AN74" i="8"/>
  <c r="AN76" i="8"/>
  <c r="AN80" i="8"/>
  <c r="AN70" i="8"/>
  <c r="AO101" i="8"/>
  <c r="AN101" i="8"/>
  <c r="AO111" i="8"/>
  <c r="AN111" i="8"/>
  <c r="AN71" i="8"/>
  <c r="AO71" i="8"/>
  <c r="AO119" i="8"/>
  <c r="AN119" i="8"/>
  <c r="AN69" i="8"/>
  <c r="AO69" i="8"/>
  <c r="AO79" i="8"/>
  <c r="AN79" i="8"/>
  <c r="AO143" i="8"/>
  <c r="AN143" i="8"/>
  <c r="AO89" i="8"/>
  <c r="AN89" i="8"/>
  <c r="AO105" i="8"/>
  <c r="AN105" i="8"/>
  <c r="AO77" i="8"/>
  <c r="AN77" i="8"/>
  <c r="AO87" i="8"/>
  <c r="AN87" i="8"/>
  <c r="AO151" i="8"/>
  <c r="AN151" i="8"/>
  <c r="AO73" i="8"/>
  <c r="AN73" i="8"/>
  <c r="AO93" i="8"/>
  <c r="AN93" i="8"/>
  <c r="AO103" i="8"/>
  <c r="AN103" i="8"/>
  <c r="AO127" i="8"/>
  <c r="AN127" i="8"/>
  <c r="AO81" i="8"/>
  <c r="AN81" i="8"/>
  <c r="AO97" i="8"/>
  <c r="AN97" i="8"/>
  <c r="AO85" i="8"/>
  <c r="AN85" i="8"/>
  <c r="AO95" i="8"/>
  <c r="AN95" i="8"/>
  <c r="AO135" i="8"/>
  <c r="AN135" i="8"/>
  <c r="AO117" i="8"/>
  <c r="AN117" i="8"/>
  <c r="AO133" i="8"/>
  <c r="AN133" i="8"/>
  <c r="AO149" i="8"/>
  <c r="AN149" i="8"/>
  <c r="AO109" i="8"/>
  <c r="AN109" i="8"/>
  <c r="AO125" i="8"/>
  <c r="AN125" i="8"/>
  <c r="AO141" i="8"/>
  <c r="AN141" i="8"/>
  <c r="AO106" i="8"/>
  <c r="AN107" i="8"/>
  <c r="AO114" i="8"/>
  <c r="AN115" i="8"/>
  <c r="AO122" i="8"/>
  <c r="AN123" i="8"/>
  <c r="AN136" i="8"/>
  <c r="AO144" i="8"/>
  <c r="AO152" i="8"/>
  <c r="AN152" i="8"/>
  <c r="AO107" i="8"/>
  <c r="AN108" i="8"/>
  <c r="AO115" i="8"/>
  <c r="AN116" i="8"/>
  <c r="AO123" i="8"/>
  <c r="AN124" i="8"/>
  <c r="AO145" i="8"/>
  <c r="AN75" i="8"/>
  <c r="AN83" i="8"/>
  <c r="AN91" i="8"/>
  <c r="AN99" i="8"/>
  <c r="AO108" i="8"/>
  <c r="AO116" i="8"/>
  <c r="AO124" i="8"/>
  <c r="AN134" i="8"/>
  <c r="AO146" i="8"/>
  <c r="AN146" i="8"/>
  <c r="AO154" i="8"/>
  <c r="AN154" i="8"/>
  <c r="AO67" i="8"/>
  <c r="AO75" i="8"/>
  <c r="AO83" i="8"/>
  <c r="AO91" i="8"/>
  <c r="AO99" i="8"/>
  <c r="AN102" i="8"/>
  <c r="AN110" i="8"/>
  <c r="AN118" i="8"/>
  <c r="AN126" i="8"/>
  <c r="AN144" i="8"/>
  <c r="AO147" i="8"/>
  <c r="AN147" i="8"/>
  <c r="AO155" i="8"/>
  <c r="AN155" i="8"/>
  <c r="AO102" i="8"/>
  <c r="AO110" i="8"/>
  <c r="AO118" i="8"/>
  <c r="AO126" i="8"/>
  <c r="AN132" i="8"/>
  <c r="AO153" i="8"/>
  <c r="AN153" i="8"/>
  <c r="AO139" i="8"/>
  <c r="AO140" i="8"/>
  <c r="AO148" i="8"/>
  <c r="AN148" i="8"/>
  <c r="AO156" i="8"/>
  <c r="AN156" i="8"/>
  <c r="AN104" i="8"/>
  <c r="AN112" i="8"/>
  <c r="AN120" i="8"/>
  <c r="AN128" i="8"/>
  <c r="AN129" i="8"/>
  <c r="AN131" i="8"/>
  <c r="AN139" i="8"/>
  <c r="AN78" i="8"/>
  <c r="AN82" i="8"/>
  <c r="AN86" i="8"/>
  <c r="AN88" i="8"/>
  <c r="AN90" i="8"/>
  <c r="AN92" i="8"/>
  <c r="AN94" i="8"/>
  <c r="AN96" i="8"/>
  <c r="AN98" i="8"/>
  <c r="AN100" i="8"/>
  <c r="AO104" i="8"/>
  <c r="AO112" i="8"/>
  <c r="AN113" i="8"/>
  <c r="AO120" i="8"/>
  <c r="AN121" i="8"/>
  <c r="AO128" i="8"/>
  <c r="AO129" i="8"/>
  <c r="AN130" i="8"/>
  <c r="AN138" i="8"/>
  <c r="AO142" i="8"/>
  <c r="AO150" i="8"/>
  <c r="AN150" i="8"/>
  <c r="AN137" i="8"/>
  <c r="AN142" i="8"/>
  <c r="K228" i="7"/>
  <c r="E51" i="21" l="1"/>
  <c r="E50" i="21"/>
  <c r="E49" i="21"/>
  <c r="C41" i="21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F50" i="21" l="1"/>
  <c r="F49" i="21"/>
  <c r="F51" i="21"/>
  <c r="Z4" i="8"/>
  <c r="X299" i="8" l="1"/>
  <c r="X298" i="8"/>
  <c r="X297" i="8"/>
  <c r="X296" i="8"/>
  <c r="X295" i="8"/>
  <c r="X294" i="8"/>
  <c r="X293" i="8"/>
  <c r="X292" i="8"/>
  <c r="X291" i="8"/>
  <c r="X290" i="8"/>
  <c r="X289" i="8"/>
  <c r="X288" i="8"/>
  <c r="X287" i="8"/>
  <c r="X286" i="8"/>
  <c r="X285" i="8"/>
  <c r="X284" i="8"/>
  <c r="X283" i="8"/>
  <c r="X282" i="8"/>
  <c r="X281" i="8"/>
  <c r="X280" i="8"/>
  <c r="X279" i="8"/>
  <c r="X278" i="8"/>
  <c r="X277" i="8"/>
  <c r="X276" i="8"/>
  <c r="X275" i="8"/>
  <c r="X274" i="8"/>
  <c r="X273" i="8"/>
  <c r="X272" i="8"/>
  <c r="X271" i="8"/>
  <c r="X270" i="8"/>
  <c r="X269" i="8"/>
  <c r="X268" i="8"/>
  <c r="X267" i="8"/>
  <c r="X266" i="8"/>
  <c r="X265" i="8"/>
  <c r="X264" i="8"/>
  <c r="X263" i="8"/>
  <c r="X262" i="8"/>
  <c r="X261" i="8"/>
  <c r="X260" i="8"/>
  <c r="X259" i="8"/>
  <c r="X258" i="8"/>
  <c r="X257" i="8"/>
  <c r="X256" i="8"/>
  <c r="X255" i="8"/>
  <c r="X254" i="8"/>
  <c r="X253" i="8"/>
  <c r="X252" i="8"/>
  <c r="X251" i="8"/>
  <c r="X250" i="8"/>
  <c r="X249" i="8"/>
  <c r="X248" i="8"/>
  <c r="X247" i="8"/>
  <c r="X246" i="8"/>
  <c r="X245" i="8"/>
  <c r="X244" i="8"/>
  <c r="X243" i="8"/>
  <c r="X242" i="8"/>
  <c r="X241" i="8"/>
  <c r="X240" i="8"/>
  <c r="X239" i="8"/>
  <c r="X238" i="8"/>
  <c r="X237" i="8"/>
  <c r="X236" i="8"/>
  <c r="X235" i="8"/>
  <c r="X234" i="8"/>
  <c r="X233" i="8"/>
  <c r="X232" i="8"/>
  <c r="X231" i="8"/>
  <c r="X230" i="8"/>
  <c r="X229" i="8"/>
  <c r="X228" i="8"/>
  <c r="X227" i="8"/>
  <c r="X226" i="8"/>
  <c r="X225" i="8"/>
  <c r="X224" i="8"/>
  <c r="X223" i="8"/>
  <c r="X222" i="8"/>
  <c r="X221" i="8"/>
  <c r="X220" i="8"/>
  <c r="X219" i="8"/>
  <c r="X218" i="8"/>
  <c r="X217" i="8"/>
  <c r="X216" i="8"/>
  <c r="X215" i="8"/>
  <c r="X214" i="8"/>
  <c r="X213" i="8"/>
  <c r="X212" i="8"/>
  <c r="X211" i="8"/>
  <c r="X210" i="8"/>
  <c r="X209" i="8"/>
  <c r="X208" i="8"/>
  <c r="X207" i="8"/>
  <c r="X206" i="8"/>
  <c r="X205" i="8"/>
  <c r="X204" i="8"/>
  <c r="X203" i="8"/>
  <c r="X202" i="8"/>
  <c r="X201" i="8"/>
  <c r="X200" i="8"/>
  <c r="X199" i="8"/>
  <c r="X198" i="8"/>
  <c r="X197" i="8"/>
  <c r="X196" i="8"/>
  <c r="X195" i="8"/>
  <c r="X194" i="8"/>
  <c r="X193" i="8"/>
  <c r="X192" i="8"/>
  <c r="X191" i="8"/>
  <c r="X190" i="8"/>
  <c r="X189" i="8"/>
  <c r="X188" i="8"/>
  <c r="X187" i="8"/>
  <c r="X186" i="8"/>
  <c r="X185" i="8"/>
  <c r="X184" i="8"/>
  <c r="X183" i="8"/>
  <c r="X182" i="8"/>
  <c r="X181" i="8"/>
  <c r="X180" i="8"/>
  <c r="X179" i="8"/>
  <c r="X178" i="8"/>
  <c r="X177" i="8"/>
  <c r="X176" i="8"/>
  <c r="X175" i="8"/>
  <c r="X174" i="8"/>
  <c r="X173" i="8"/>
  <c r="X172" i="8"/>
  <c r="X171" i="8"/>
  <c r="X170" i="8"/>
  <c r="X169" i="8"/>
  <c r="X168" i="8"/>
  <c r="X167" i="8"/>
  <c r="X166" i="8"/>
  <c r="X165" i="8"/>
  <c r="X164" i="8"/>
  <c r="X163" i="8"/>
  <c r="X162" i="8"/>
  <c r="X161" i="8"/>
  <c r="X160" i="8"/>
  <c r="X159" i="8"/>
  <c r="X158" i="8"/>
  <c r="X157" i="8"/>
  <c r="X156" i="8"/>
  <c r="X155" i="8"/>
  <c r="X154" i="8"/>
  <c r="X153" i="8"/>
  <c r="X152" i="8"/>
  <c r="X151" i="8"/>
  <c r="X150" i="8"/>
  <c r="X149" i="8"/>
  <c r="X148" i="8"/>
  <c r="X147" i="8"/>
  <c r="X146" i="8"/>
  <c r="X145" i="8"/>
  <c r="X144" i="8"/>
  <c r="X143" i="8"/>
  <c r="X142" i="8"/>
  <c r="X141" i="8"/>
  <c r="X140" i="8"/>
  <c r="X139" i="8"/>
  <c r="X138" i="8"/>
  <c r="X137" i="8"/>
  <c r="X136" i="8"/>
  <c r="X135" i="8"/>
  <c r="X134" i="8"/>
  <c r="X133" i="8"/>
  <c r="X132" i="8"/>
  <c r="X131" i="8"/>
  <c r="X130" i="8"/>
  <c r="X129" i="8"/>
  <c r="X128" i="8"/>
  <c r="X127" i="8"/>
  <c r="X126" i="8"/>
  <c r="X125" i="8"/>
  <c r="X124" i="8"/>
  <c r="X123" i="8"/>
  <c r="X122" i="8"/>
  <c r="X121" i="8"/>
  <c r="X120" i="8"/>
  <c r="X119" i="8"/>
  <c r="X118" i="8"/>
  <c r="X117" i="8"/>
  <c r="X116" i="8"/>
  <c r="X115" i="8"/>
  <c r="X114" i="8"/>
  <c r="X113" i="8"/>
  <c r="X112" i="8"/>
  <c r="X111" i="8"/>
  <c r="X110" i="8"/>
  <c r="X109" i="8"/>
  <c r="X108" i="8"/>
  <c r="X107" i="8"/>
  <c r="X106" i="8"/>
  <c r="X105" i="8"/>
  <c r="X104" i="8"/>
  <c r="X103" i="8"/>
  <c r="X102" i="8"/>
  <c r="X101" i="8"/>
  <c r="X100" i="8"/>
  <c r="X99" i="8"/>
  <c r="X98" i="8"/>
  <c r="X97" i="8"/>
  <c r="X96" i="8"/>
  <c r="X95" i="8"/>
  <c r="X94" i="8"/>
  <c r="X93" i="8"/>
  <c r="X92" i="8"/>
  <c r="X91" i="8"/>
  <c r="X90" i="8"/>
  <c r="X89" i="8"/>
  <c r="X88" i="8"/>
  <c r="X87" i="8"/>
  <c r="X86" i="8"/>
  <c r="X85" i="8"/>
  <c r="X84" i="8"/>
  <c r="X83" i="8"/>
  <c r="X82" i="8"/>
  <c r="X81" i="8"/>
  <c r="X80" i="8"/>
  <c r="X79" i="8"/>
  <c r="X78" i="8"/>
  <c r="X77" i="8"/>
  <c r="X76" i="8"/>
  <c r="X75" i="8"/>
  <c r="X74" i="8"/>
  <c r="X73" i="8"/>
  <c r="X72" i="8"/>
  <c r="X71" i="8"/>
  <c r="X70" i="8"/>
  <c r="X69" i="8"/>
  <c r="X68" i="8"/>
  <c r="X67" i="8"/>
  <c r="X66" i="8"/>
  <c r="X65" i="8"/>
  <c r="X64" i="8"/>
  <c r="X63" i="8"/>
  <c r="X62" i="8"/>
  <c r="X61" i="8"/>
  <c r="X60" i="8"/>
  <c r="X59" i="8"/>
  <c r="X58" i="8"/>
  <c r="X57" i="8"/>
  <c r="X56" i="8"/>
  <c r="X55" i="8"/>
  <c r="X54" i="8"/>
  <c r="X53" i="8"/>
  <c r="X52" i="8"/>
  <c r="X51" i="8"/>
  <c r="X50" i="8"/>
  <c r="X49" i="8"/>
  <c r="X48" i="8"/>
  <c r="X47" i="8"/>
  <c r="X46" i="8"/>
  <c r="X45" i="8"/>
  <c r="X44" i="8"/>
  <c r="X43" i="8"/>
  <c r="X42" i="8"/>
  <c r="X41" i="8"/>
  <c r="X40" i="8"/>
  <c r="X39" i="8"/>
  <c r="X38" i="8"/>
  <c r="X37" i="8"/>
  <c r="X36" i="8"/>
  <c r="X35" i="8"/>
  <c r="X34" i="8"/>
  <c r="X33" i="8"/>
  <c r="X32" i="8"/>
  <c r="X31" i="8"/>
  <c r="X30" i="8"/>
  <c r="X29" i="8"/>
  <c r="X28" i="8"/>
  <c r="X27" i="8"/>
  <c r="X26" i="8"/>
  <c r="X25" i="8"/>
  <c r="X24" i="8"/>
  <c r="X23" i="8"/>
  <c r="X22" i="8"/>
  <c r="X21" i="8"/>
  <c r="X20" i="8"/>
  <c r="X19" i="8"/>
  <c r="X18" i="8"/>
  <c r="X17" i="8"/>
  <c r="X16" i="8"/>
  <c r="X15" i="8"/>
  <c r="X14" i="8"/>
  <c r="X13" i="8"/>
  <c r="X12" i="8"/>
  <c r="X11" i="8"/>
  <c r="X10" i="8"/>
  <c r="X9" i="8"/>
  <c r="X8" i="8"/>
  <c r="X7" i="8"/>
  <c r="X6" i="8"/>
  <c r="X5" i="8"/>
  <c r="Y26" i="8"/>
  <c r="AO26" i="8" s="1"/>
  <c r="AE26" i="8"/>
  <c r="AG26" i="8"/>
  <c r="AH26" i="8"/>
  <c r="Y27" i="8"/>
  <c r="AN27" i="8" s="1"/>
  <c r="AG27" i="8"/>
  <c r="AH27" i="8"/>
  <c r="Y28" i="8"/>
  <c r="AO28" i="8" s="1"/>
  <c r="AE28" i="8"/>
  <c r="AG28" i="8"/>
  <c r="AH28" i="8"/>
  <c r="Y29" i="8"/>
  <c r="AN29" i="8" s="1"/>
  <c r="AE29" i="8"/>
  <c r="AG29" i="8"/>
  <c r="AH29" i="8"/>
  <c r="Y30" i="8"/>
  <c r="AN30" i="8" s="1"/>
  <c r="AE30" i="8"/>
  <c r="AG30" i="8"/>
  <c r="AH30" i="8"/>
  <c r="AO29" i="8" l="1"/>
  <c r="AN26" i="8"/>
  <c r="AO27" i="8"/>
  <c r="AN28" i="8"/>
  <c r="AO30" i="8"/>
  <c r="F7" i="18"/>
  <c r="F6" i="18"/>
  <c r="F5" i="18"/>
  <c r="E7" i="18"/>
  <c r="E6" i="18"/>
  <c r="E5" i="18"/>
  <c r="F23" i="18"/>
  <c r="F22" i="18"/>
  <c r="F21" i="18"/>
  <c r="F20" i="18"/>
  <c r="E23" i="18"/>
  <c r="E22" i="18"/>
  <c r="E21" i="18"/>
  <c r="E20" i="18"/>
  <c r="I30" i="18"/>
  <c r="I29" i="18"/>
  <c r="I28" i="18"/>
  <c r="F30" i="18"/>
  <c r="F29" i="18"/>
  <c r="F28" i="18"/>
  <c r="E30" i="18"/>
  <c r="E29" i="18"/>
  <c r="E28" i="18"/>
  <c r="D30" i="18"/>
  <c r="D29" i="18"/>
  <c r="D28" i="18"/>
  <c r="C30" i="18"/>
  <c r="C29" i="18"/>
  <c r="C28" i="18"/>
  <c r="L63" i="16"/>
  <c r="L62" i="16"/>
  <c r="L61" i="16"/>
  <c r="L60" i="16"/>
  <c r="L59" i="16"/>
  <c r="G30" i="18" l="1"/>
  <c r="J30" i="18"/>
  <c r="J28" i="18"/>
  <c r="G29" i="18"/>
  <c r="G28" i="18"/>
  <c r="J29" i="18"/>
  <c r="K86" i="7"/>
  <c r="K45" i="7"/>
  <c r="K43" i="7"/>
  <c r="K42" i="7"/>
  <c r="K41" i="7"/>
  <c r="K34" i="7"/>
  <c r="K29" i="7"/>
  <c r="K28" i="7"/>
  <c r="K26" i="7"/>
  <c r="K25" i="7"/>
  <c r="K12" i="7"/>
  <c r="K10" i="7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l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D363" i="8"/>
  <c r="AC362" i="8"/>
  <c r="AD355" i="8"/>
  <c r="AD364" i="8"/>
  <c r="AC363" i="8"/>
  <c r="AD356" i="8"/>
  <c r="AC355" i="8"/>
  <c r="AD365" i="8"/>
  <c r="AC364" i="8"/>
  <c r="AD357" i="8"/>
  <c r="AC356" i="8"/>
  <c r="AD366" i="8"/>
  <c r="AC365" i="8"/>
  <c r="AD358" i="8"/>
  <c r="AC357" i="8"/>
  <c r="AD367" i="8"/>
  <c r="AC366" i="8"/>
  <c r="AD359" i="8"/>
  <c r="AC358" i="8"/>
  <c r="AC367" i="8"/>
  <c r="AD360" i="8"/>
  <c r="AC359" i="8"/>
  <c r="AD361" i="8"/>
  <c r="AC360" i="8"/>
  <c r="AD362" i="8"/>
  <c r="AC361" i="8"/>
  <c r="AD350" i="8"/>
  <c r="AC349" i="8"/>
  <c r="AD342" i="8"/>
  <c r="AC341" i="8"/>
  <c r="AD334" i="8"/>
  <c r="AC333" i="8"/>
  <c r="AD326" i="8"/>
  <c r="AC325" i="8"/>
  <c r="AD318" i="8"/>
  <c r="AC317" i="8"/>
  <c r="AD310" i="8"/>
  <c r="AC309" i="8"/>
  <c r="AD302" i="8"/>
  <c r="AC301" i="8"/>
  <c r="AC289" i="8"/>
  <c r="AD351" i="8"/>
  <c r="AC350" i="8"/>
  <c r="AD343" i="8"/>
  <c r="AC342" i="8"/>
  <c r="AD335" i="8"/>
  <c r="AC334" i="8"/>
  <c r="AD327" i="8"/>
  <c r="AC326" i="8"/>
  <c r="AD319" i="8"/>
  <c r="AC318" i="8"/>
  <c r="AD311" i="8"/>
  <c r="AC310" i="8"/>
  <c r="AD303" i="8"/>
  <c r="AC302" i="8"/>
  <c r="AD295" i="8"/>
  <c r="AD352" i="8"/>
  <c r="AC351" i="8"/>
  <c r="AD344" i="8"/>
  <c r="AC343" i="8"/>
  <c r="AD336" i="8"/>
  <c r="AC335" i="8"/>
  <c r="AD328" i="8"/>
  <c r="AC327" i="8"/>
  <c r="AD320" i="8"/>
  <c r="AC319" i="8"/>
  <c r="AD312" i="8"/>
  <c r="AC311" i="8"/>
  <c r="AD304" i="8"/>
  <c r="AC303" i="8"/>
  <c r="AD296" i="8"/>
  <c r="AC295" i="8"/>
  <c r="AD294" i="8"/>
  <c r="AD353" i="8"/>
  <c r="AC352" i="8"/>
  <c r="AD345" i="8"/>
  <c r="AC344" i="8"/>
  <c r="AD337" i="8"/>
  <c r="AC336" i="8"/>
  <c r="AD329" i="8"/>
  <c r="AC328" i="8"/>
  <c r="AD321" i="8"/>
  <c r="AC320" i="8"/>
  <c r="AD313" i="8"/>
  <c r="AC312" i="8"/>
  <c r="AD305" i="8"/>
  <c r="AC304" i="8"/>
  <c r="AD297" i="8"/>
  <c r="AC296" i="8"/>
  <c r="AC294" i="8"/>
  <c r="AD293" i="8"/>
  <c r="AD354" i="8"/>
  <c r="AC353" i="8"/>
  <c r="AD346" i="8"/>
  <c r="AC345" i="8"/>
  <c r="AD338" i="8"/>
  <c r="AC337" i="8"/>
  <c r="AD330" i="8"/>
  <c r="AC329" i="8"/>
  <c r="AD322" i="8"/>
  <c r="AC321" i="8"/>
  <c r="AD314" i="8"/>
  <c r="AC313" i="8"/>
  <c r="AD306" i="8"/>
  <c r="AC305" i="8"/>
  <c r="AD298" i="8"/>
  <c r="AC297" i="8"/>
  <c r="AC293" i="8"/>
  <c r="AD292" i="8"/>
  <c r="AC354" i="8"/>
  <c r="AD347" i="8"/>
  <c r="AC346" i="8"/>
  <c r="AD339" i="8"/>
  <c r="AC338" i="8"/>
  <c r="AD331" i="8"/>
  <c r="AC330" i="8"/>
  <c r="AD323" i="8"/>
  <c r="AC322" i="8"/>
  <c r="AD315" i="8"/>
  <c r="AC314" i="8"/>
  <c r="AD307" i="8"/>
  <c r="AC306" i="8"/>
  <c r="AD299" i="8"/>
  <c r="AC298" i="8"/>
  <c r="AC292" i="8"/>
  <c r="AD291" i="8"/>
  <c r="AD348" i="8"/>
  <c r="AC347" i="8"/>
  <c r="AD340" i="8"/>
  <c r="AC339" i="8"/>
  <c r="AD332" i="8"/>
  <c r="AC331" i="8"/>
  <c r="AD324" i="8"/>
  <c r="AC323" i="8"/>
  <c r="AD316" i="8"/>
  <c r="AC315" i="8"/>
  <c r="AD308" i="8"/>
  <c r="AC307" i="8"/>
  <c r="AD300" i="8"/>
  <c r="AC299" i="8"/>
  <c r="AC291" i="8"/>
  <c r="AD290" i="8"/>
  <c r="AD349" i="8"/>
  <c r="AC348" i="8"/>
  <c r="AD341" i="8"/>
  <c r="AC340" i="8"/>
  <c r="AD333" i="8"/>
  <c r="AC332" i="8"/>
  <c r="AD325" i="8"/>
  <c r="AC324" i="8"/>
  <c r="AD317" i="8"/>
  <c r="AC316" i="8"/>
  <c r="AD309" i="8"/>
  <c r="AC308" i="8"/>
  <c r="AD301" i="8"/>
  <c r="AC300" i="8"/>
  <c r="AC290" i="8"/>
  <c r="AD289" i="8"/>
  <c r="AD288" i="8"/>
  <c r="AD284" i="8"/>
  <c r="AD280" i="8"/>
  <c r="AD276" i="8"/>
  <c r="AD272" i="8"/>
  <c r="AD268" i="8"/>
  <c r="AD264" i="8"/>
  <c r="AD260" i="8"/>
  <c r="AD256" i="8"/>
  <c r="AD252" i="8"/>
  <c r="AD248" i="8"/>
  <c r="AD244" i="8"/>
  <c r="AD240" i="8"/>
  <c r="AD236" i="8"/>
  <c r="AD232" i="8"/>
  <c r="AD224" i="8"/>
  <c r="AD212" i="8"/>
  <c r="AD211" i="8"/>
  <c r="AD210" i="8"/>
  <c r="AD209" i="8"/>
  <c r="AD208" i="8"/>
  <c r="AC288" i="8"/>
  <c r="AC284" i="8"/>
  <c r="AC280" i="8"/>
  <c r="AC276" i="8"/>
  <c r="AC272" i="8"/>
  <c r="AC268" i="8"/>
  <c r="AC264" i="8"/>
  <c r="AC260" i="8"/>
  <c r="AC256" i="8"/>
  <c r="AC252" i="8"/>
  <c r="AC248" i="8"/>
  <c r="AC244" i="8"/>
  <c r="AC240" i="8"/>
  <c r="AC236" i="8"/>
  <c r="AC232" i="8"/>
  <c r="AC228" i="8"/>
  <c r="AC224" i="8"/>
  <c r="AC220" i="8"/>
  <c r="AC216" i="8"/>
  <c r="AC212" i="8"/>
  <c r="AC211" i="8"/>
  <c r="AC210" i="8"/>
  <c r="AC209" i="8"/>
  <c r="AC208" i="8"/>
  <c r="AD241" i="8"/>
  <c r="AD233" i="8"/>
  <c r="AD225" i="8"/>
  <c r="AD217" i="8"/>
  <c r="AD213" i="8"/>
  <c r="AD285" i="8"/>
  <c r="AD281" i="8"/>
  <c r="AD277" i="8"/>
  <c r="AD273" i="8"/>
  <c r="AD269" i="8"/>
  <c r="AD265" i="8"/>
  <c r="AD261" i="8"/>
  <c r="AD257" i="8"/>
  <c r="AD253" i="8"/>
  <c r="AD249" i="8"/>
  <c r="AD245" i="8"/>
  <c r="AD237" i="8"/>
  <c r="AD229" i="8"/>
  <c r="AD221" i="8"/>
  <c r="AC285" i="8"/>
  <c r="AC281" i="8"/>
  <c r="AC277" i="8"/>
  <c r="AC273" i="8"/>
  <c r="AC269" i="8"/>
  <c r="AC265" i="8"/>
  <c r="AC261" i="8"/>
  <c r="AC257" i="8"/>
  <c r="AC253" i="8"/>
  <c r="AC249" i="8"/>
  <c r="AC245" i="8"/>
  <c r="AC241" i="8"/>
  <c r="AC237" i="8"/>
  <c r="AC233" i="8"/>
  <c r="AC229" i="8"/>
  <c r="AC225" i="8"/>
  <c r="AC221" i="8"/>
  <c r="AC217" i="8"/>
  <c r="AC213" i="8"/>
  <c r="AD238" i="8"/>
  <c r="AD230" i="8"/>
  <c r="AD222" i="8"/>
  <c r="AD214" i="8"/>
  <c r="AD286" i="8"/>
  <c r="AD282" i="8"/>
  <c r="AD278" i="8"/>
  <c r="AD274" i="8"/>
  <c r="AD270" i="8"/>
  <c r="AD266" i="8"/>
  <c r="AD262" i="8"/>
  <c r="AD258" i="8"/>
  <c r="AD254" i="8"/>
  <c r="AD250" i="8"/>
  <c r="AD246" i="8"/>
  <c r="AD242" i="8"/>
  <c r="AD234" i="8"/>
  <c r="AD226" i="8"/>
  <c r="AD218" i="8"/>
  <c r="AC286" i="8"/>
  <c r="AC282" i="8"/>
  <c r="AC278" i="8"/>
  <c r="AC274" i="8"/>
  <c r="AC270" i="8"/>
  <c r="AC266" i="8"/>
  <c r="AC262" i="8"/>
  <c r="AC258" i="8"/>
  <c r="AC254" i="8"/>
  <c r="AC250" i="8"/>
  <c r="AC246" i="8"/>
  <c r="AC242" i="8"/>
  <c r="AC238" i="8"/>
  <c r="AC234" i="8"/>
  <c r="AC230" i="8"/>
  <c r="AC226" i="8"/>
  <c r="AC222" i="8"/>
  <c r="AC218" i="8"/>
  <c r="AC214" i="8"/>
  <c r="AD231" i="8"/>
  <c r="AD227" i="8"/>
  <c r="AD223" i="8"/>
  <c r="AD287" i="8"/>
  <c r="AD283" i="8"/>
  <c r="AD279" i="8"/>
  <c r="AD275" i="8"/>
  <c r="AD271" i="8"/>
  <c r="AD267" i="8"/>
  <c r="AD263" i="8"/>
  <c r="AD259" i="8"/>
  <c r="AD255" i="8"/>
  <c r="AD251" i="8"/>
  <c r="AD247" i="8"/>
  <c r="AD243" i="8"/>
  <c r="AD239" i="8"/>
  <c r="AD235" i="8"/>
  <c r="AD219" i="8"/>
  <c r="AD215" i="8"/>
  <c r="AC287" i="8"/>
  <c r="AC283" i="8"/>
  <c r="AC279" i="8"/>
  <c r="AC275" i="8"/>
  <c r="AC271" i="8"/>
  <c r="AC267" i="8"/>
  <c r="AC263" i="8"/>
  <c r="AC259" i="8"/>
  <c r="AC255" i="8"/>
  <c r="AC251" i="8"/>
  <c r="AC247" i="8"/>
  <c r="AC243" i="8"/>
  <c r="AC239" i="8"/>
  <c r="AC235" i="8"/>
  <c r="AC231" i="8"/>
  <c r="AC227" i="8"/>
  <c r="AC223" i="8"/>
  <c r="AC219" i="8"/>
  <c r="AC215" i="8"/>
  <c r="AD228" i="8"/>
  <c r="AD220" i="8"/>
  <c r="AD216" i="8"/>
  <c r="AD204" i="8"/>
  <c r="AD200" i="8"/>
  <c r="AD196" i="8"/>
  <c r="AD192" i="8"/>
  <c r="AD188" i="8"/>
  <c r="AD184" i="8"/>
  <c r="AD180" i="8"/>
  <c r="AD176" i="8"/>
  <c r="AD172" i="8"/>
  <c r="AD168" i="8"/>
  <c r="AD164" i="8"/>
  <c r="AC204" i="8"/>
  <c r="AC200" i="8"/>
  <c r="AC196" i="8"/>
  <c r="AC192" i="8"/>
  <c r="AC188" i="8"/>
  <c r="AC184" i="8"/>
  <c r="AC180" i="8"/>
  <c r="AC176" i="8"/>
  <c r="AC172" i="8"/>
  <c r="AC168" i="8"/>
  <c r="AC164" i="8"/>
  <c r="AD205" i="8"/>
  <c r="AD201" i="8"/>
  <c r="AD197" i="8"/>
  <c r="AD193" i="8"/>
  <c r="AD189" i="8"/>
  <c r="AD185" i="8"/>
  <c r="AD181" i="8"/>
  <c r="AD177" i="8"/>
  <c r="AD173" i="8"/>
  <c r="AD169" i="8"/>
  <c r="AD165" i="8"/>
  <c r="AD161" i="8"/>
  <c r="AD160" i="8"/>
  <c r="AD159" i="8"/>
  <c r="AD158" i="8"/>
  <c r="AD157" i="8"/>
  <c r="AC205" i="8"/>
  <c r="AC201" i="8"/>
  <c r="AC197" i="8"/>
  <c r="AC193" i="8"/>
  <c r="AC189" i="8"/>
  <c r="AC185" i="8"/>
  <c r="AC181" i="8"/>
  <c r="AC177" i="8"/>
  <c r="AC173" i="8"/>
  <c r="AC169" i="8"/>
  <c r="AC165" i="8"/>
  <c r="AC161" i="8"/>
  <c r="AC160" i="8"/>
  <c r="AC159" i="8"/>
  <c r="AC158" i="8"/>
  <c r="AC157" i="8"/>
  <c r="AD206" i="8"/>
  <c r="AD202" i="8"/>
  <c r="AD198" i="8"/>
  <c r="AD194" i="8"/>
  <c r="AD190" i="8"/>
  <c r="AD186" i="8"/>
  <c r="AD182" i="8"/>
  <c r="AD178" i="8"/>
  <c r="AD174" i="8"/>
  <c r="AD170" i="8"/>
  <c r="AD166" i="8"/>
  <c r="AD162" i="8"/>
  <c r="AC206" i="8"/>
  <c r="AC202" i="8"/>
  <c r="AC198" i="8"/>
  <c r="AC194" i="8"/>
  <c r="AC190" i="8"/>
  <c r="AC186" i="8"/>
  <c r="AC182" i="8"/>
  <c r="AC178" i="8"/>
  <c r="AC174" i="8"/>
  <c r="AC170" i="8"/>
  <c r="AC166" i="8"/>
  <c r="AC162" i="8"/>
  <c r="AD207" i="8"/>
  <c r="AD203" i="8"/>
  <c r="AD199" i="8"/>
  <c r="AD195" i="8"/>
  <c r="AD191" i="8"/>
  <c r="AD187" i="8"/>
  <c r="AD183" i="8"/>
  <c r="AD179" i="8"/>
  <c r="AD175" i="8"/>
  <c r="AD171" i="8"/>
  <c r="AD167" i="8"/>
  <c r="AD163" i="8"/>
  <c r="AC207" i="8"/>
  <c r="AC203" i="8"/>
  <c r="AC199" i="8"/>
  <c r="AC195" i="8"/>
  <c r="AC191" i="8"/>
  <c r="AC187" i="8"/>
  <c r="AC183" i="8"/>
  <c r="AC179" i="8"/>
  <c r="AC175" i="8"/>
  <c r="AC171" i="8"/>
  <c r="AC167" i="8"/>
  <c r="AC163" i="8"/>
  <c r="AD155" i="8"/>
  <c r="AC154" i="8"/>
  <c r="AC152" i="8"/>
  <c r="AC150" i="8"/>
  <c r="AC148" i="8"/>
  <c r="AD138" i="8"/>
  <c r="AD136" i="8"/>
  <c r="AD134" i="8"/>
  <c r="AD132" i="8"/>
  <c r="AD130" i="8"/>
  <c r="AD128" i="8"/>
  <c r="AD126" i="8"/>
  <c r="AD156" i="8"/>
  <c r="AC155" i="8"/>
  <c r="AD143" i="8"/>
  <c r="AD141" i="8"/>
  <c r="AD139" i="8"/>
  <c r="AC138" i="8"/>
  <c r="AC136" i="8"/>
  <c r="AC134" i="8"/>
  <c r="AC132" i="8"/>
  <c r="AC130" i="8"/>
  <c r="AC128" i="8"/>
  <c r="AC126" i="8"/>
  <c r="AD98" i="8"/>
  <c r="AC156" i="8"/>
  <c r="AD146" i="8"/>
  <c r="AD144" i="8"/>
  <c r="AC143" i="8"/>
  <c r="AC141" i="8"/>
  <c r="AC139" i="8"/>
  <c r="AD123" i="8"/>
  <c r="AD121" i="8"/>
  <c r="AD119" i="8"/>
  <c r="AD117" i="8"/>
  <c r="AD115" i="8"/>
  <c r="AD113" i="8"/>
  <c r="AD111" i="8"/>
  <c r="AD109" i="8"/>
  <c r="AD107" i="8"/>
  <c r="AD153" i="8"/>
  <c r="AD151" i="8"/>
  <c r="AD149" i="8"/>
  <c r="AD147" i="8"/>
  <c r="AC146" i="8"/>
  <c r="AC144" i="8"/>
  <c r="AD124" i="8"/>
  <c r="AC123" i="8"/>
  <c r="AC121" i="8"/>
  <c r="AC119" i="8"/>
  <c r="AC117" i="8"/>
  <c r="AC115" i="8"/>
  <c r="AC113" i="8"/>
  <c r="AC111" i="8"/>
  <c r="AC109" i="8"/>
  <c r="AC107" i="8"/>
  <c r="AC105" i="8"/>
  <c r="AC103" i="8"/>
  <c r="AC101" i="8"/>
  <c r="AC99" i="8"/>
  <c r="AD79" i="8"/>
  <c r="AC153" i="8"/>
  <c r="AC151" i="8"/>
  <c r="AC149" i="8"/>
  <c r="AC147" i="8"/>
  <c r="AD137" i="8"/>
  <c r="AD135" i="8"/>
  <c r="AD133" i="8"/>
  <c r="AD131" i="8"/>
  <c r="AD129" i="8"/>
  <c r="AD127" i="8"/>
  <c r="AD125" i="8"/>
  <c r="AC124" i="8"/>
  <c r="AD142" i="8"/>
  <c r="AD140" i="8"/>
  <c r="AC137" i="8"/>
  <c r="AC135" i="8"/>
  <c r="AC133" i="8"/>
  <c r="AC131" i="8"/>
  <c r="AC129" i="8"/>
  <c r="AC127" i="8"/>
  <c r="AC125" i="8"/>
  <c r="AD145" i="8"/>
  <c r="AC142" i="8"/>
  <c r="AC140" i="8"/>
  <c r="AD122" i="8"/>
  <c r="AD120" i="8"/>
  <c r="AD118" i="8"/>
  <c r="AD116" i="8"/>
  <c r="AD114" i="8"/>
  <c r="AD112" i="8"/>
  <c r="AD110" i="8"/>
  <c r="AD108" i="8"/>
  <c r="AD106" i="8"/>
  <c r="AC122" i="8"/>
  <c r="AC120" i="8"/>
  <c r="AC118" i="8"/>
  <c r="AC116" i="8"/>
  <c r="AC114" i="8"/>
  <c r="AC112" i="8"/>
  <c r="AC110" i="8"/>
  <c r="AC108" i="8"/>
  <c r="AC106" i="8"/>
  <c r="AD103" i="8"/>
  <c r="AD99" i="8"/>
  <c r="AC92" i="8"/>
  <c r="AC91" i="8"/>
  <c r="AD90" i="8"/>
  <c r="AD89" i="8"/>
  <c r="AC81" i="8"/>
  <c r="AD77" i="8"/>
  <c r="AD75" i="8"/>
  <c r="AD73" i="8"/>
  <c r="AD71" i="8"/>
  <c r="AD69" i="8"/>
  <c r="AD67" i="8"/>
  <c r="AC90" i="8"/>
  <c r="AC89" i="8"/>
  <c r="AD88" i="8"/>
  <c r="AD87" i="8"/>
  <c r="AD83" i="8"/>
  <c r="AC79" i="8"/>
  <c r="AC77" i="8"/>
  <c r="AC75" i="8"/>
  <c r="AC73" i="8"/>
  <c r="AC71" i="8"/>
  <c r="AC69" i="8"/>
  <c r="AC67" i="8"/>
  <c r="AD154" i="8"/>
  <c r="AD152" i="8"/>
  <c r="AD150" i="8"/>
  <c r="AD148" i="8"/>
  <c r="AD104" i="8"/>
  <c r="AD100" i="8"/>
  <c r="AC88" i="8"/>
  <c r="AC87" i="8"/>
  <c r="AD86" i="8"/>
  <c r="AD85" i="8"/>
  <c r="AC83" i="8"/>
  <c r="AD80" i="8"/>
  <c r="AC104" i="8"/>
  <c r="AC100" i="8"/>
  <c r="AC86" i="8"/>
  <c r="AC85" i="8"/>
  <c r="AD84" i="8"/>
  <c r="AC80" i="8"/>
  <c r="AD105" i="8"/>
  <c r="AD101" i="8"/>
  <c r="AD97" i="8"/>
  <c r="AC84" i="8"/>
  <c r="AD82" i="8"/>
  <c r="AD78" i="8"/>
  <c r="AD76" i="8"/>
  <c r="AD74" i="8"/>
  <c r="AD72" i="8"/>
  <c r="AD70" i="8"/>
  <c r="AD68" i="8"/>
  <c r="AC145" i="8"/>
  <c r="AC98" i="8"/>
  <c r="AC97" i="8"/>
  <c r="AD96" i="8"/>
  <c r="AD95" i="8"/>
  <c r="AC82" i="8"/>
  <c r="AC78" i="8"/>
  <c r="AC76" i="8"/>
  <c r="AC74" i="8"/>
  <c r="AC72" i="8"/>
  <c r="AC70" i="8"/>
  <c r="AC68" i="8"/>
  <c r="AD102" i="8"/>
  <c r="AC96" i="8"/>
  <c r="AC95" i="8"/>
  <c r="AD94" i="8"/>
  <c r="AD93" i="8"/>
  <c r="AC102" i="8"/>
  <c r="AC94" i="8"/>
  <c r="AC93" i="8"/>
  <c r="AD92" i="8"/>
  <c r="AD91" i="8"/>
  <c r="AD81" i="8"/>
  <c r="AC28" i="8"/>
  <c r="AC29" i="8"/>
  <c r="AC30" i="8"/>
  <c r="AC26" i="8"/>
  <c r="AC27" i="8"/>
  <c r="AD28" i="8"/>
  <c r="AD29" i="8"/>
  <c r="AD30" i="8"/>
  <c r="AD26" i="8"/>
  <c r="AD27" i="8"/>
  <c r="L4122" i="7"/>
  <c r="M4122" i="7" s="1"/>
  <c r="L4121" i="7"/>
  <c r="M4121" i="7" s="1"/>
  <c r="L4120" i="7"/>
  <c r="M4120" i="7" s="1"/>
  <c r="L4119" i="7"/>
  <c r="M4119" i="7" s="1"/>
  <c r="L4118" i="7"/>
  <c r="M4118" i="7" s="1"/>
  <c r="L4117" i="7"/>
  <c r="M4117" i="7" s="1"/>
  <c r="L4116" i="7"/>
  <c r="M4116" i="7" s="1"/>
  <c r="L4115" i="7"/>
  <c r="M4115" i="7" s="1"/>
  <c r="L4114" i="7"/>
  <c r="M4114" i="7" s="1"/>
  <c r="L4113" i="7"/>
  <c r="M4113" i="7" s="1"/>
  <c r="L4112" i="7"/>
  <c r="M4112" i="7" s="1"/>
  <c r="L4111" i="7"/>
  <c r="M4111" i="7" s="1"/>
  <c r="L4110" i="7"/>
  <c r="M4110" i="7" s="1"/>
  <c r="L4109" i="7"/>
  <c r="M4109" i="7" s="1"/>
  <c r="L4108" i="7" l="1"/>
  <c r="M4108" i="7" s="1"/>
  <c r="L4107" i="7"/>
  <c r="M4107" i="7" s="1"/>
  <c r="L4106" i="7"/>
  <c r="M4106" i="7" s="1"/>
  <c r="L4105" i="7"/>
  <c r="M4105" i="7" s="1"/>
  <c r="L4104" i="7"/>
  <c r="M4104" i="7" s="1"/>
  <c r="L4103" i="7"/>
  <c r="M4103" i="7" s="1"/>
  <c r="L4102" i="7"/>
  <c r="M4102" i="7" s="1"/>
  <c r="L4101" i="7"/>
  <c r="M4101" i="7" s="1"/>
  <c r="L4100" i="7"/>
  <c r="M4100" i="7" s="1"/>
  <c r="L4099" i="7"/>
  <c r="M4099" i="7" s="1"/>
  <c r="L4098" i="7"/>
  <c r="M4098" i="7" s="1"/>
  <c r="L4097" i="7"/>
  <c r="M4097" i="7" s="1"/>
  <c r="L4096" i="7"/>
  <c r="M4096" i="7" s="1"/>
  <c r="L4095" i="7"/>
  <c r="M4095" i="7" s="1"/>
  <c r="L4094" i="7"/>
  <c r="M4094" i="7" s="1"/>
  <c r="L4093" i="7"/>
  <c r="M4093" i="7" s="1"/>
  <c r="L4092" i="7"/>
  <c r="M4092" i="7" s="1"/>
  <c r="L4091" i="7"/>
  <c r="M4091" i="7" s="1"/>
  <c r="L4090" i="7"/>
  <c r="M4090" i="7" s="1"/>
  <c r="L4089" i="7"/>
  <c r="M4089" i="7" s="1"/>
  <c r="L4088" i="7"/>
  <c r="M4088" i="7" s="1"/>
  <c r="L4087" i="7"/>
  <c r="M4087" i="7" s="1"/>
  <c r="L4086" i="7" l="1"/>
  <c r="M4086" i="7" s="1"/>
  <c r="L4085" i="7"/>
  <c r="M4085" i="7" s="1"/>
  <c r="L4084" i="7"/>
  <c r="M4084" i="7" s="1"/>
  <c r="L4083" i="7"/>
  <c r="M4083" i="7" s="1"/>
  <c r="L4082" i="7"/>
  <c r="M4082" i="7" s="1"/>
  <c r="L4081" i="7"/>
  <c r="M4081" i="7" s="1"/>
  <c r="L4080" i="7" l="1"/>
  <c r="M4080" i="7" s="1"/>
  <c r="L4079" i="7"/>
  <c r="M4079" i="7" s="1"/>
  <c r="L4078" i="7"/>
  <c r="M4078" i="7" s="1"/>
  <c r="L4077" i="7"/>
  <c r="M4077" i="7" s="1"/>
  <c r="L4076" i="7"/>
  <c r="M4076" i="7" s="1"/>
  <c r="L4075" i="7"/>
  <c r="M4075" i="7" s="1"/>
  <c r="L4074" i="7"/>
  <c r="M4074" i="7" s="1"/>
  <c r="L4073" i="7"/>
  <c r="M4073" i="7" s="1"/>
  <c r="L4072" i="7"/>
  <c r="M4072" i="7" s="1"/>
  <c r="L4071" i="7"/>
  <c r="M4071" i="7" s="1"/>
  <c r="L4070" i="7"/>
  <c r="M4070" i="7" s="1"/>
  <c r="L4069" i="7"/>
  <c r="M4069" i="7" s="1"/>
  <c r="L4068" i="7"/>
  <c r="M4068" i="7" s="1"/>
  <c r="L4067" i="7"/>
  <c r="M4067" i="7" s="1"/>
  <c r="L4066" i="7"/>
  <c r="M4066" i="7" s="1"/>
  <c r="L4065" i="7"/>
  <c r="M4065" i="7" s="1"/>
  <c r="L4064" i="7"/>
  <c r="M4064" i="7" s="1"/>
  <c r="L4063" i="7"/>
  <c r="M4063" i="7" s="1"/>
  <c r="L4062" i="7"/>
  <c r="M4062" i="7" s="1"/>
  <c r="L4061" i="7"/>
  <c r="M4061" i="7" s="1"/>
  <c r="L4060" i="7"/>
  <c r="M4060" i="7" s="1"/>
  <c r="L4059" i="7"/>
  <c r="M4059" i="7" s="1"/>
  <c r="L4058" i="7"/>
  <c r="M4058" i="7" s="1"/>
  <c r="L4057" i="7"/>
  <c r="M4057" i="7" s="1"/>
  <c r="L4056" i="7"/>
  <c r="M4056" i="7" s="1"/>
  <c r="L4055" i="7"/>
  <c r="M4055" i="7" s="1"/>
  <c r="L4054" i="7"/>
  <c r="M4054" i="7" s="1"/>
  <c r="L4053" i="7"/>
  <c r="M4053" i="7" s="1"/>
  <c r="L4044" i="7"/>
  <c r="M4044" i="7" s="1"/>
  <c r="L4043" i="7"/>
  <c r="M4043" i="7" s="1"/>
  <c r="L4042" i="7"/>
  <c r="M4042" i="7" s="1"/>
  <c r="L4041" i="7"/>
  <c r="M4041" i="7" s="1"/>
  <c r="L4040" i="7"/>
  <c r="M4040" i="7" s="1"/>
  <c r="L4039" i="7"/>
  <c r="M4039" i="7" s="1"/>
  <c r="L4038" i="7"/>
  <c r="M4038" i="7" s="1"/>
  <c r="L4037" i="7"/>
  <c r="M4037" i="7" s="1"/>
  <c r="L4036" i="7"/>
  <c r="M4036" i="7" s="1"/>
  <c r="L4035" i="7"/>
  <c r="M4035" i="7" s="1"/>
  <c r="L4034" i="7"/>
  <c r="M4034" i="7" s="1"/>
  <c r="L4033" i="7"/>
  <c r="M4033" i="7" s="1"/>
  <c r="L4032" i="7"/>
  <c r="M4032" i="7" s="1"/>
  <c r="L4031" i="7"/>
  <c r="M4031" i="7" s="1"/>
  <c r="L4030" i="7"/>
  <c r="M4030" i="7" s="1"/>
  <c r="L4029" i="7"/>
  <c r="M4029" i="7" s="1"/>
  <c r="L4028" i="7"/>
  <c r="M4028" i="7" s="1"/>
  <c r="L4027" i="7"/>
  <c r="M4027" i="7" s="1"/>
  <c r="L4026" i="7"/>
  <c r="M4026" i="7" s="1"/>
  <c r="L4025" i="7"/>
  <c r="M4025" i="7" s="1"/>
  <c r="L4024" i="7"/>
  <c r="M4024" i="7" s="1"/>
  <c r="L4023" i="7"/>
  <c r="M4023" i="7" s="1"/>
  <c r="L4022" i="7"/>
  <c r="M4022" i="7" s="1"/>
  <c r="L4021" i="7"/>
  <c r="M4021" i="7" s="1"/>
  <c r="L4020" i="7"/>
  <c r="M4020" i="7" s="1"/>
  <c r="L4019" i="7"/>
  <c r="M4019" i="7" s="1"/>
  <c r="L4018" i="7"/>
  <c r="M4018" i="7" s="1"/>
  <c r="L4017" i="7"/>
  <c r="M4017" i="7" s="1"/>
  <c r="L4016" i="7"/>
  <c r="M4016" i="7" s="1"/>
  <c r="L4015" i="7"/>
  <c r="M4015" i="7" s="1"/>
  <c r="L4014" i="7"/>
  <c r="M4014" i="7" s="1"/>
  <c r="L4013" i="7"/>
  <c r="M4013" i="7" s="1"/>
  <c r="L4012" i="7"/>
  <c r="M4012" i="7" s="1"/>
  <c r="L4011" i="7"/>
  <c r="M4011" i="7" s="1"/>
  <c r="L4010" i="7"/>
  <c r="M4010" i="7" s="1"/>
  <c r="L4009" i="7"/>
  <c r="M4009" i="7" s="1"/>
  <c r="L4008" i="7"/>
  <c r="M4008" i="7" s="1"/>
  <c r="L4052" i="7"/>
  <c r="M4052" i="7" s="1"/>
  <c r="L4051" i="7"/>
  <c r="M4051" i="7" s="1"/>
  <c r="L4050" i="7"/>
  <c r="M4050" i="7" s="1"/>
  <c r="L4049" i="7"/>
  <c r="M4049" i="7" s="1"/>
  <c r="L4048" i="7"/>
  <c r="M4048" i="7" s="1"/>
  <c r="L4047" i="7"/>
  <c r="M4047" i="7" s="1"/>
  <c r="L4046" i="7"/>
  <c r="M4046" i="7" s="1"/>
  <c r="L4045" i="7"/>
  <c r="M4045" i="7" s="1"/>
  <c r="L4007" i="7" l="1"/>
  <c r="M4007" i="7" s="1"/>
  <c r="L4006" i="7"/>
  <c r="M4006" i="7" s="1"/>
  <c r="L4005" i="7"/>
  <c r="M4005" i="7" s="1"/>
  <c r="L4004" i="7"/>
  <c r="M4004" i="7" s="1"/>
  <c r="L4003" i="7"/>
  <c r="M4003" i="7" s="1"/>
  <c r="L4002" i="7"/>
  <c r="M4002" i="7" s="1"/>
  <c r="L4001" i="7"/>
  <c r="M4001" i="7" s="1"/>
  <c r="L4000" i="7"/>
  <c r="M4000" i="7" s="1"/>
  <c r="L3999" i="7"/>
  <c r="M3999" i="7" s="1"/>
  <c r="L3998" i="7"/>
  <c r="M3998" i="7" s="1"/>
  <c r="L3997" i="7"/>
  <c r="M3997" i="7" s="1"/>
  <c r="L3996" i="7"/>
  <c r="M3996" i="7" s="1"/>
  <c r="L3995" i="7"/>
  <c r="M3995" i="7" s="1"/>
  <c r="L3994" i="7"/>
  <c r="M3994" i="7" s="1"/>
  <c r="L3990" i="7" l="1"/>
  <c r="M3990" i="7" s="1"/>
  <c r="L3988" i="7"/>
  <c r="M3988" i="7" s="1"/>
  <c r="L3986" i="7"/>
  <c r="M3986" i="7" s="1"/>
  <c r="L3984" i="7"/>
  <c r="M3984" i="7" s="1"/>
  <c r="L3983" i="7"/>
  <c r="M3983" i="7" s="1"/>
  <c r="L3982" i="7"/>
  <c r="M3982" i="7" s="1"/>
  <c r="L3981" i="7"/>
  <c r="M3981" i="7" s="1"/>
  <c r="L3980" i="7"/>
  <c r="M3980" i="7" s="1"/>
  <c r="L3979" i="7"/>
  <c r="M3979" i="7" s="1"/>
  <c r="L3978" i="7"/>
  <c r="M3978" i="7" s="1"/>
  <c r="L3977" i="7"/>
  <c r="M3977" i="7" s="1"/>
  <c r="L3976" i="7"/>
  <c r="M3976" i="7" s="1"/>
  <c r="L3975" i="7"/>
  <c r="M3975" i="7" s="1"/>
  <c r="L3974" i="7"/>
  <c r="M3974" i="7" s="1"/>
  <c r="L3973" i="7"/>
  <c r="M3973" i="7" s="1"/>
  <c r="L3972" i="7"/>
  <c r="M3972" i="7" s="1"/>
  <c r="L3971" i="7"/>
  <c r="M3971" i="7" s="1"/>
  <c r="L3970" i="7"/>
  <c r="M3970" i="7" s="1"/>
  <c r="L3969" i="7"/>
  <c r="M3969" i="7" s="1"/>
  <c r="L3968" i="7"/>
  <c r="M3968" i="7" s="1"/>
  <c r="L3967" i="7"/>
  <c r="M3967" i="7" s="1"/>
  <c r="L3966" i="7"/>
  <c r="M3966" i="7" s="1"/>
  <c r="L3965" i="7"/>
  <c r="M3965" i="7" s="1"/>
  <c r="L3964" i="7"/>
  <c r="M3964" i="7" s="1"/>
  <c r="L3963" i="7"/>
  <c r="M3963" i="7" s="1"/>
  <c r="L3962" i="7"/>
  <c r="M3962" i="7" s="1"/>
  <c r="L3961" i="7"/>
  <c r="M3961" i="7" s="1"/>
  <c r="L3960" i="7"/>
  <c r="M3960" i="7" s="1"/>
  <c r="L3957" i="7"/>
  <c r="M3957" i="7" s="1"/>
  <c r="L3954" i="7"/>
  <c r="M3954" i="7" s="1"/>
  <c r="L3953" i="7"/>
  <c r="M3953" i="7" s="1"/>
  <c r="L3952" i="7"/>
  <c r="M3952" i="7" s="1"/>
  <c r="L3948" i="7"/>
  <c r="M3948" i="7" s="1"/>
  <c r="L3947" i="7"/>
  <c r="M3947" i="7" s="1"/>
  <c r="L3946" i="7"/>
  <c r="M3946" i="7" s="1"/>
  <c r="L3945" i="7"/>
  <c r="M3945" i="7" s="1"/>
  <c r="L3944" i="7"/>
  <c r="M3944" i="7" s="1"/>
  <c r="L3993" i="7"/>
  <c r="M3993" i="7" s="1"/>
  <c r="L3992" i="7"/>
  <c r="M3992" i="7" s="1"/>
  <c r="L3991" i="7"/>
  <c r="M3991" i="7" s="1"/>
  <c r="L3989" i="7"/>
  <c r="M3989" i="7" s="1"/>
  <c r="L3987" i="7"/>
  <c r="M3987" i="7" s="1"/>
  <c r="L3985" i="7"/>
  <c r="M3985" i="7" s="1"/>
  <c r="L3959" i="7"/>
  <c r="M3959" i="7" s="1"/>
  <c r="L3958" i="7"/>
  <c r="M3958" i="7" s="1"/>
  <c r="L3956" i="7"/>
  <c r="M3956" i="7" s="1"/>
  <c r="L3955" i="7"/>
  <c r="M3955" i="7" s="1"/>
  <c r="L3951" i="7"/>
  <c r="M3951" i="7" s="1"/>
  <c r="L3950" i="7"/>
  <c r="M3950" i="7" s="1"/>
  <c r="L3949" i="7"/>
  <c r="M3949" i="7" s="1"/>
  <c r="C31" i="17" l="1"/>
  <c r="C30" i="17"/>
  <c r="C29" i="17"/>
  <c r="C28" i="17"/>
  <c r="C27" i="17"/>
  <c r="C26" i="17"/>
  <c r="C25" i="17"/>
  <c r="C24" i="17"/>
  <c r="C23" i="17"/>
  <c r="C34" i="17"/>
  <c r="L3943" i="7" l="1"/>
  <c r="M3943" i="7" s="1"/>
  <c r="L3942" i="7"/>
  <c r="M3942" i="7" s="1"/>
  <c r="L3941" i="7"/>
  <c r="M3941" i="7" s="1"/>
  <c r="L3940" i="7"/>
  <c r="M3940" i="7" s="1"/>
  <c r="L3939" i="7"/>
  <c r="M3939" i="7" s="1"/>
  <c r="L3938" i="7"/>
  <c r="M3938" i="7" s="1"/>
  <c r="L3937" i="7"/>
  <c r="M3937" i="7" s="1"/>
  <c r="L3936" i="7"/>
  <c r="M3936" i="7" s="1"/>
  <c r="L3935" i="7"/>
  <c r="M3935" i="7" s="1"/>
  <c r="L3934" i="7"/>
  <c r="M3934" i="7" s="1"/>
  <c r="L3933" i="7" l="1"/>
  <c r="M3933" i="7" s="1"/>
  <c r="L3932" i="7"/>
  <c r="M3932" i="7" s="1"/>
  <c r="L3931" i="7"/>
  <c r="M3931" i="7" s="1"/>
  <c r="L3930" i="7"/>
  <c r="M3930" i="7" s="1"/>
  <c r="L3929" i="7"/>
  <c r="M3929" i="7" s="1"/>
  <c r="L3928" i="7"/>
  <c r="M3928" i="7" s="1"/>
  <c r="L3927" i="7"/>
  <c r="M3927" i="7" s="1"/>
  <c r="L3926" i="7"/>
  <c r="M3926" i="7" s="1"/>
  <c r="L3925" i="7"/>
  <c r="M3925" i="7" s="1"/>
  <c r="L3924" i="7"/>
  <c r="M3924" i="7" s="1"/>
  <c r="L3923" i="7"/>
  <c r="M3923" i="7" s="1"/>
  <c r="L3922" i="7"/>
  <c r="M3922" i="7" s="1"/>
  <c r="L3921" i="7"/>
  <c r="M3921" i="7" s="1"/>
  <c r="L3920" i="7"/>
  <c r="M3920" i="7" s="1"/>
  <c r="L3919" i="7"/>
  <c r="M3919" i="7" s="1"/>
  <c r="L3918" i="7"/>
  <c r="M3918" i="7" s="1"/>
  <c r="L3917" i="7"/>
  <c r="M3917" i="7" s="1"/>
  <c r="L3916" i="7"/>
  <c r="M3916" i="7" s="1"/>
  <c r="L3915" i="7"/>
  <c r="M3915" i="7" s="1"/>
  <c r="L3914" i="7"/>
  <c r="M3914" i="7" s="1"/>
  <c r="L3913" i="7"/>
  <c r="M3913" i="7" s="1"/>
  <c r="L3912" i="7"/>
  <c r="M3912" i="7" s="1"/>
  <c r="L3911" i="7"/>
  <c r="M3911" i="7" s="1"/>
  <c r="L3910" i="7"/>
  <c r="M3910" i="7" s="1"/>
  <c r="L3909" i="7"/>
  <c r="M3909" i="7" s="1"/>
  <c r="L3908" i="7" l="1"/>
  <c r="M3908" i="7" s="1"/>
  <c r="L3907" i="7"/>
  <c r="M3907" i="7" s="1"/>
  <c r="L3906" i="7"/>
  <c r="M3906" i="7" s="1"/>
  <c r="L3905" i="7"/>
  <c r="M3905" i="7" s="1"/>
  <c r="L3901" i="7" l="1"/>
  <c r="M3901" i="7" s="1"/>
  <c r="L3900" i="7"/>
  <c r="M3900" i="7" s="1"/>
  <c r="L3899" i="7"/>
  <c r="M3899" i="7" s="1"/>
  <c r="L3898" i="7"/>
  <c r="M3898" i="7" s="1"/>
  <c r="L3897" i="7"/>
  <c r="M3897" i="7" s="1"/>
  <c r="L3896" i="7"/>
  <c r="M3896" i="7" s="1"/>
  <c r="L3895" i="7"/>
  <c r="M3895" i="7" s="1"/>
  <c r="L3894" i="7"/>
  <c r="M3894" i="7" s="1"/>
  <c r="L3893" i="7"/>
  <c r="M3893" i="7" s="1"/>
  <c r="L3892" i="7"/>
  <c r="M3892" i="7" s="1"/>
  <c r="L3891" i="7"/>
  <c r="M3891" i="7" s="1"/>
  <c r="L3890" i="7"/>
  <c r="M3890" i="7" s="1"/>
  <c r="L3889" i="7"/>
  <c r="M3889" i="7" s="1"/>
  <c r="L3888" i="7"/>
  <c r="M3888" i="7" s="1"/>
  <c r="L3887" i="7"/>
  <c r="M3887" i="7" s="1"/>
  <c r="L3886" i="7"/>
  <c r="M3886" i="7" s="1"/>
  <c r="L3885" i="7"/>
  <c r="M3885" i="7" s="1"/>
  <c r="L3884" i="7"/>
  <c r="M3884" i="7" s="1"/>
  <c r="L3883" i="7"/>
  <c r="M3883" i="7" s="1"/>
  <c r="L3882" i="7"/>
  <c r="M3882" i="7" s="1"/>
  <c r="L3881" i="7"/>
  <c r="M3881" i="7" s="1"/>
  <c r="L3880" i="7"/>
  <c r="M3880" i="7" s="1"/>
  <c r="L3879" i="7"/>
  <c r="M3879" i="7" s="1"/>
  <c r="L3878" i="7"/>
  <c r="M3878" i="7" s="1"/>
  <c r="L3877" i="7"/>
  <c r="M3877" i="7" s="1"/>
  <c r="L3876" i="7"/>
  <c r="M3876" i="7" s="1"/>
  <c r="L3875" i="7"/>
  <c r="M3875" i="7" s="1"/>
  <c r="L3874" i="7"/>
  <c r="M3874" i="7" s="1"/>
  <c r="L3873" i="7"/>
  <c r="M3873" i="7" s="1"/>
  <c r="L3872" i="7"/>
  <c r="M3872" i="7" s="1"/>
  <c r="L3871" i="7"/>
  <c r="M3871" i="7" s="1"/>
  <c r="L3870" i="7"/>
  <c r="M3870" i="7" s="1"/>
  <c r="L3869" i="7"/>
  <c r="M3869" i="7" s="1"/>
  <c r="L3863" i="7"/>
  <c r="M3863" i="7" s="1"/>
  <c r="L3862" i="7"/>
  <c r="M3862" i="7" s="1"/>
  <c r="L3861" i="7"/>
  <c r="M3861" i="7" s="1"/>
  <c r="L3860" i="7"/>
  <c r="M3860" i="7" s="1"/>
  <c r="L3859" i="7"/>
  <c r="M3859" i="7" s="1"/>
  <c r="L3858" i="7"/>
  <c r="M3858" i="7" s="1"/>
  <c r="L3857" i="7"/>
  <c r="M3857" i="7" s="1"/>
  <c r="L3856" i="7"/>
  <c r="M3856" i="7" s="1"/>
  <c r="L3855" i="7"/>
  <c r="M3855" i="7" s="1"/>
  <c r="L3854" i="7"/>
  <c r="M3854" i="7" s="1"/>
  <c r="L3853" i="7"/>
  <c r="M3853" i="7" s="1"/>
  <c r="L3852" i="7"/>
  <c r="M3852" i="7" s="1"/>
  <c r="L3851" i="7"/>
  <c r="M3851" i="7" s="1"/>
  <c r="L3850" i="7"/>
  <c r="M3850" i="7" s="1"/>
  <c r="L3849" i="7"/>
  <c r="M3849" i="7" s="1"/>
  <c r="L3848" i="7"/>
  <c r="M3848" i="7" s="1"/>
  <c r="L3847" i="7"/>
  <c r="M3847" i="7" s="1"/>
  <c r="L3846" i="7"/>
  <c r="M3846" i="7" s="1"/>
  <c r="L3845" i="7"/>
  <c r="M3845" i="7" s="1"/>
  <c r="L3844" i="7"/>
  <c r="M3844" i="7" s="1"/>
  <c r="L3843" i="7"/>
  <c r="M3843" i="7" s="1"/>
  <c r="L3842" i="7"/>
  <c r="M3842" i="7" s="1"/>
  <c r="L3841" i="7"/>
  <c r="M3841" i="7" s="1"/>
  <c r="L3840" i="7"/>
  <c r="M3840" i="7" s="1"/>
  <c r="L3839" i="7"/>
  <c r="M3839" i="7" s="1"/>
  <c r="L3838" i="7"/>
  <c r="M3838" i="7" s="1"/>
  <c r="L3837" i="7"/>
  <c r="M3837" i="7" s="1"/>
  <c r="L3836" i="7"/>
  <c r="M3836" i="7" s="1"/>
  <c r="L3835" i="7"/>
  <c r="M3835" i="7" s="1"/>
  <c r="L3834" i="7"/>
  <c r="M3834" i="7" s="1"/>
  <c r="L3833" i="7"/>
  <c r="M3833" i="7" s="1"/>
  <c r="L3832" i="7"/>
  <c r="M3832" i="7" s="1"/>
  <c r="L3831" i="7"/>
  <c r="M3831" i="7" s="1"/>
  <c r="L3830" i="7"/>
  <c r="M3830" i="7" s="1"/>
  <c r="L3829" i="7"/>
  <c r="M3829" i="7" s="1"/>
  <c r="L3828" i="7"/>
  <c r="M3828" i="7" s="1"/>
  <c r="L3827" i="7"/>
  <c r="M3827" i="7" s="1"/>
  <c r="L3826" i="7"/>
  <c r="M3826" i="7" s="1"/>
  <c r="L3825" i="7"/>
  <c r="M3825" i="7" s="1"/>
  <c r="L3824" i="7"/>
  <c r="M3824" i="7" s="1"/>
  <c r="L3904" i="7"/>
  <c r="M3904" i="7" s="1"/>
  <c r="L3903" i="7"/>
  <c r="M3903" i="7" s="1"/>
  <c r="L3902" i="7"/>
  <c r="M3902" i="7" s="1"/>
  <c r="L3868" i="7"/>
  <c r="M3868" i="7" s="1"/>
  <c r="L3867" i="7"/>
  <c r="M3867" i="7" s="1"/>
  <c r="L3866" i="7"/>
  <c r="M3866" i="7" s="1"/>
  <c r="L3865" i="7"/>
  <c r="M3865" i="7" s="1"/>
  <c r="L3864" i="7"/>
  <c r="M3864" i="7" s="1"/>
  <c r="L3823" i="7" l="1"/>
  <c r="M3823" i="7" s="1"/>
  <c r="L3822" i="7"/>
  <c r="M3822" i="7" s="1"/>
  <c r="L3821" i="7"/>
  <c r="M3821" i="7" s="1"/>
  <c r="L3820" i="7"/>
  <c r="M3820" i="7" s="1"/>
  <c r="L3819" i="7"/>
  <c r="M3819" i="7" s="1"/>
  <c r="L3818" i="7"/>
  <c r="M3818" i="7" s="1"/>
  <c r="L3817" i="7"/>
  <c r="M3817" i="7" s="1"/>
  <c r="L3816" i="7"/>
  <c r="M3816" i="7" s="1"/>
  <c r="L3815" i="7"/>
  <c r="M3815" i="7" s="1"/>
  <c r="L3814" i="7"/>
  <c r="M3814" i="7" s="1"/>
  <c r="L3813" i="7"/>
  <c r="M3813" i="7" s="1"/>
  <c r="L3812" i="7"/>
  <c r="M3812" i="7" s="1"/>
  <c r="L3811" i="7"/>
  <c r="M3811" i="7" s="1"/>
  <c r="L3800" i="7"/>
  <c r="M3800" i="7" s="1"/>
  <c r="L3799" i="7"/>
  <c r="M3799" i="7" s="1"/>
  <c r="L3798" i="7"/>
  <c r="M3798" i="7" s="1"/>
  <c r="L3797" i="7"/>
  <c r="M3797" i="7" s="1"/>
  <c r="L3796" i="7"/>
  <c r="M3796" i="7" s="1"/>
  <c r="L3795" i="7"/>
  <c r="M3795" i="7" s="1"/>
  <c r="L3794" i="7"/>
  <c r="M3794" i="7" s="1"/>
  <c r="L3793" i="7"/>
  <c r="M3793" i="7" s="1"/>
  <c r="L3792" i="7"/>
  <c r="M3792" i="7" s="1"/>
  <c r="L3791" i="7"/>
  <c r="M3791" i="7" s="1"/>
  <c r="L3790" i="7"/>
  <c r="M3790" i="7" s="1"/>
  <c r="L3789" i="7"/>
  <c r="M3789" i="7" s="1"/>
  <c r="L3788" i="7"/>
  <c r="M3788" i="7" s="1"/>
  <c r="L3787" i="7"/>
  <c r="M3787" i="7" s="1"/>
  <c r="L3786" i="7"/>
  <c r="M3786" i="7" s="1"/>
  <c r="L3785" i="7"/>
  <c r="M3785" i="7" s="1"/>
  <c r="L3784" i="7"/>
  <c r="M3784" i="7" s="1"/>
  <c r="L3783" i="7"/>
  <c r="M3783" i="7" s="1"/>
  <c r="L3782" i="7"/>
  <c r="M3782" i="7" s="1"/>
  <c r="L3781" i="7"/>
  <c r="M3781" i="7" s="1"/>
  <c r="L3780" i="7"/>
  <c r="M3780" i="7" s="1"/>
  <c r="L3779" i="7"/>
  <c r="M3779" i="7" s="1"/>
  <c r="L3778" i="7"/>
  <c r="M3778" i="7" s="1"/>
  <c r="L3777" i="7"/>
  <c r="M3777" i="7" s="1"/>
  <c r="L3776" i="7"/>
  <c r="M3776" i="7" s="1"/>
  <c r="L3775" i="7"/>
  <c r="M3775" i="7" s="1"/>
  <c r="L3774" i="7"/>
  <c r="M3774" i="7" s="1"/>
  <c r="L3773" i="7"/>
  <c r="M3773" i="7" s="1"/>
  <c r="L3772" i="7"/>
  <c r="M3772" i="7" s="1"/>
  <c r="L3771" i="7"/>
  <c r="M3771" i="7" s="1"/>
  <c r="L3770" i="7"/>
  <c r="M3770" i="7" s="1"/>
  <c r="L3769" i="7"/>
  <c r="M3769" i="7" s="1"/>
  <c r="L3768" i="7"/>
  <c r="M3768" i="7" s="1"/>
  <c r="L3767" i="7"/>
  <c r="M3767" i="7" s="1"/>
  <c r="L3766" i="7"/>
  <c r="M3766" i="7" s="1"/>
  <c r="L3765" i="7"/>
  <c r="M3765" i="7" s="1"/>
  <c r="L3764" i="7"/>
  <c r="M3764" i="7" s="1"/>
  <c r="L3763" i="7"/>
  <c r="M3763" i="7" s="1"/>
  <c r="L3762" i="7"/>
  <c r="M3762" i="7" s="1"/>
  <c r="L3761" i="7"/>
  <c r="M3761" i="7" s="1"/>
  <c r="L3760" i="7"/>
  <c r="M3760" i="7" s="1"/>
  <c r="L3759" i="7"/>
  <c r="M3759" i="7" s="1"/>
  <c r="L3758" i="7"/>
  <c r="M3758" i="7" s="1"/>
  <c r="L3757" i="7"/>
  <c r="M3757" i="7" s="1"/>
  <c r="L3756" i="7"/>
  <c r="M3756" i="7" s="1"/>
  <c r="L3755" i="7"/>
  <c r="M3755" i="7" s="1"/>
  <c r="L3754" i="7"/>
  <c r="M3754" i="7" s="1"/>
  <c r="L3748" i="7"/>
  <c r="M3748" i="7" s="1"/>
  <c r="L3747" i="7"/>
  <c r="M3747" i="7" s="1"/>
  <c r="L3746" i="7"/>
  <c r="M3746" i="7" s="1"/>
  <c r="L3745" i="7"/>
  <c r="M3745" i="7" s="1"/>
  <c r="L3744" i="7"/>
  <c r="M3744" i="7" s="1"/>
  <c r="L3743" i="7"/>
  <c r="M3743" i="7" s="1"/>
  <c r="L3742" i="7"/>
  <c r="M3742" i="7" s="1"/>
  <c r="L3739" i="7"/>
  <c r="M3739" i="7" s="1"/>
  <c r="L3738" i="7"/>
  <c r="M3738" i="7" s="1"/>
  <c r="L3737" i="7"/>
  <c r="M3737" i="7" s="1"/>
  <c r="L3736" i="7"/>
  <c r="M3736" i="7" s="1"/>
  <c r="L3735" i="7"/>
  <c r="M3735" i="7" s="1"/>
  <c r="L3734" i="7"/>
  <c r="M3734" i="7" s="1"/>
  <c r="L3733" i="7"/>
  <c r="M3733" i="7" s="1"/>
  <c r="L3726" i="7"/>
  <c r="M3726" i="7" s="1"/>
  <c r="L3725" i="7"/>
  <c r="M3725" i="7" s="1"/>
  <c r="L3724" i="7"/>
  <c r="M3724" i="7" s="1"/>
  <c r="L3810" i="7"/>
  <c r="M3810" i="7" s="1"/>
  <c r="L3809" i="7"/>
  <c r="M3809" i="7" s="1"/>
  <c r="L3808" i="7"/>
  <c r="M3808" i="7" s="1"/>
  <c r="L3807" i="7"/>
  <c r="M3807" i="7" s="1"/>
  <c r="L3806" i="7"/>
  <c r="M3806" i="7" s="1"/>
  <c r="L3803" i="7"/>
  <c r="M3803" i="7" s="1"/>
  <c r="L3801" i="7"/>
  <c r="M3801" i="7" s="1"/>
  <c r="L3753" i="7"/>
  <c r="M3753" i="7" s="1"/>
  <c r="L3752" i="7"/>
  <c r="M3752" i="7" s="1"/>
  <c r="L3729" i="7"/>
  <c r="M3729" i="7" s="1"/>
  <c r="L3728" i="7"/>
  <c r="M3728" i="7" s="1"/>
  <c r="L3730" i="7" l="1"/>
  <c r="M3730" i="7" s="1"/>
  <c r="L3741" i="7"/>
  <c r="M3741" i="7" s="1"/>
  <c r="L3731" i="7"/>
  <c r="M3731" i="7" s="1"/>
  <c r="L3802" i="7"/>
  <c r="M3802" i="7" s="1"/>
  <c r="L3732" i="7"/>
  <c r="M3732" i="7" s="1"/>
  <c r="L3740" i="7"/>
  <c r="M3740" i="7" s="1"/>
  <c r="L3749" i="7"/>
  <c r="M3749" i="7" s="1"/>
  <c r="L3804" i="7"/>
  <c r="M3804" i="7" s="1"/>
  <c r="L3750" i="7"/>
  <c r="M3750" i="7" s="1"/>
  <c r="L3805" i="7"/>
  <c r="M3805" i="7" s="1"/>
  <c r="L3727" i="7"/>
  <c r="M3727" i="7" s="1"/>
  <c r="L3751" i="7"/>
  <c r="M3751" i="7" s="1"/>
  <c r="L3723" i="7"/>
  <c r="M3723" i="7" s="1"/>
  <c r="L3722" i="7"/>
  <c r="M3722" i="7" s="1"/>
  <c r="L3721" i="7"/>
  <c r="M3721" i="7" s="1"/>
  <c r="L3720" i="7"/>
  <c r="M3720" i="7" s="1"/>
  <c r="L3719" i="7"/>
  <c r="M3719" i="7" s="1"/>
  <c r="L3718" i="7"/>
  <c r="M3718" i="7" s="1"/>
  <c r="L3717" i="7"/>
  <c r="M3717" i="7" s="1"/>
  <c r="L3716" i="7"/>
  <c r="M3716" i="7" s="1"/>
  <c r="L3715" i="7"/>
  <c r="M3715" i="7" s="1"/>
  <c r="L3714" i="7"/>
  <c r="M3714" i="7" s="1"/>
  <c r="L3713" i="7"/>
  <c r="M3713" i="7" s="1"/>
  <c r="L3712" i="7"/>
  <c r="M3712" i="7" s="1"/>
  <c r="L3711" i="7"/>
  <c r="M3711" i="7" s="1"/>
  <c r="L3710" i="7"/>
  <c r="M3710" i="7" s="1"/>
  <c r="L3709" i="7"/>
  <c r="M3709" i="7" s="1"/>
  <c r="L3708" i="7"/>
  <c r="M3708" i="7" s="1"/>
  <c r="L3707" i="7" l="1"/>
  <c r="M3707" i="7" s="1"/>
  <c r="L3706" i="7"/>
  <c r="M3706" i="7" s="1"/>
  <c r="L3705" i="7"/>
  <c r="M3705" i="7" s="1"/>
  <c r="L3704" i="7"/>
  <c r="M3704" i="7" s="1"/>
  <c r="L3703" i="7"/>
  <c r="M3703" i="7" s="1"/>
  <c r="L3702" i="7" l="1"/>
  <c r="M3702" i="7" s="1"/>
  <c r="L3701" i="7"/>
  <c r="M3701" i="7" s="1"/>
  <c r="L3700" i="7"/>
  <c r="M3700" i="7" s="1"/>
  <c r="L3699" i="7"/>
  <c r="M3699" i="7" s="1"/>
  <c r="L3698" i="7"/>
  <c r="M3698" i="7" s="1"/>
  <c r="L3697" i="7"/>
  <c r="M3697" i="7" s="1"/>
  <c r="L3696" i="7"/>
  <c r="M3696" i="7" s="1"/>
  <c r="L3695" i="7"/>
  <c r="M3695" i="7" s="1"/>
  <c r="L3694" i="7"/>
  <c r="M3694" i="7" s="1"/>
  <c r="L3693" i="7"/>
  <c r="M3693" i="7" s="1"/>
  <c r="L3692" i="7"/>
  <c r="M3692" i="7" s="1"/>
  <c r="L3691" i="7"/>
  <c r="M3691" i="7" s="1"/>
  <c r="L3690" i="7"/>
  <c r="M3690" i="7" s="1"/>
  <c r="L3689" i="7"/>
  <c r="M3689" i="7" s="1"/>
  <c r="L3688" i="7"/>
  <c r="M3688" i="7" s="1"/>
  <c r="L3687" i="7"/>
  <c r="M3687" i="7" s="1"/>
  <c r="L3686" i="7"/>
  <c r="M3686" i="7" s="1"/>
  <c r="L3685" i="7"/>
  <c r="M3685" i="7" s="1"/>
  <c r="L3684" i="7"/>
  <c r="M3684" i="7" s="1"/>
  <c r="L3683" i="7"/>
  <c r="M3683" i="7" s="1"/>
  <c r="L3682" i="7"/>
  <c r="M3682" i="7" s="1"/>
  <c r="L3681" i="7"/>
  <c r="M3681" i="7" s="1"/>
  <c r="L3680" i="7"/>
  <c r="M3680" i="7" s="1"/>
  <c r="L3679" i="7"/>
  <c r="M3679" i="7" s="1"/>
  <c r="L3678" i="7"/>
  <c r="M3678" i="7" s="1"/>
  <c r="L3677" i="7"/>
  <c r="M3677" i="7" s="1"/>
  <c r="L3676" i="7"/>
  <c r="M3676" i="7" s="1"/>
  <c r="L3675" i="7"/>
  <c r="M3675" i="7" s="1"/>
  <c r="L3674" i="7"/>
  <c r="M3674" i="7" s="1"/>
  <c r="L3673" i="7"/>
  <c r="M3673" i="7" s="1"/>
  <c r="L3672" i="7"/>
  <c r="M3672" i="7" s="1"/>
  <c r="L3671" i="7"/>
  <c r="M3671" i="7" s="1"/>
  <c r="L3670" i="7"/>
  <c r="M3670" i="7" s="1"/>
  <c r="L3669" i="7"/>
  <c r="M3669" i="7" s="1"/>
  <c r="L3668" i="7"/>
  <c r="M3668" i="7" s="1"/>
  <c r="L3667" i="7"/>
  <c r="M3667" i="7" s="1"/>
  <c r="L3666" i="7"/>
  <c r="M3666" i="7" s="1"/>
  <c r="L3665" i="7"/>
  <c r="M3665" i="7" s="1"/>
  <c r="L3664" i="7"/>
  <c r="M3664" i="7" s="1"/>
  <c r="L3663" i="7"/>
  <c r="M3663" i="7" s="1"/>
  <c r="L3662" i="7"/>
  <c r="M3662" i="7" s="1"/>
  <c r="L3658" i="7"/>
  <c r="M3658" i="7" s="1"/>
  <c r="L3657" i="7"/>
  <c r="M3657" i="7" s="1"/>
  <c r="L3656" i="7"/>
  <c r="M3656" i="7" s="1"/>
  <c r="L3655" i="7"/>
  <c r="M3655" i="7" s="1"/>
  <c r="L3654" i="7"/>
  <c r="M3654" i="7" s="1"/>
  <c r="L3653" i="7"/>
  <c r="M3653" i="7" s="1"/>
  <c r="L3652" i="7"/>
  <c r="M3652" i="7" s="1"/>
  <c r="L3651" i="7"/>
  <c r="M3651" i="7" s="1"/>
  <c r="L3650" i="7"/>
  <c r="M3650" i="7" s="1"/>
  <c r="L3649" i="7"/>
  <c r="M3649" i="7" s="1"/>
  <c r="L3648" i="7"/>
  <c r="M3648" i="7" s="1"/>
  <c r="L3647" i="7"/>
  <c r="M3647" i="7" s="1"/>
  <c r="L3639" i="7"/>
  <c r="M3639" i="7" s="1"/>
  <c r="L3638" i="7"/>
  <c r="M3638" i="7" s="1"/>
  <c r="L3637" i="7"/>
  <c r="M3637" i="7" s="1"/>
  <c r="L3636" i="7"/>
  <c r="M3636" i="7" s="1"/>
  <c r="L3635" i="7"/>
  <c r="M3635" i="7" s="1"/>
  <c r="L3634" i="7"/>
  <c r="M3634" i="7" s="1"/>
  <c r="L3633" i="7"/>
  <c r="M3633" i="7" s="1"/>
  <c r="L3632" i="7"/>
  <c r="M3632" i="7" s="1"/>
  <c r="L3631" i="7"/>
  <c r="M3631" i="7" s="1"/>
  <c r="L3630" i="7"/>
  <c r="M3630" i="7" s="1"/>
  <c r="L3629" i="7"/>
  <c r="M3629" i="7" s="1"/>
  <c r="L3628" i="7"/>
  <c r="M3628" i="7" s="1"/>
  <c r="L3627" i="7"/>
  <c r="M3627" i="7" s="1"/>
  <c r="L3643" i="7"/>
  <c r="M3643" i="7" s="1"/>
  <c r="L3642" i="7" l="1"/>
  <c r="M3642" i="7" s="1"/>
  <c r="L3641" i="7"/>
  <c r="M3641" i="7" s="1"/>
  <c r="L3659" i="7"/>
  <c r="M3659" i="7" s="1"/>
  <c r="L3644" i="7"/>
  <c r="M3644" i="7" s="1"/>
  <c r="L3660" i="7"/>
  <c r="M3660" i="7" s="1"/>
  <c r="L3645" i="7"/>
  <c r="M3645" i="7" s="1"/>
  <c r="L3661" i="7"/>
  <c r="M3661" i="7" s="1"/>
  <c r="L3646" i="7"/>
  <c r="M3646" i="7" s="1"/>
  <c r="L3640" i="7"/>
  <c r="M3640" i="7" s="1"/>
  <c r="L3626" i="7" l="1"/>
  <c r="M3626" i="7" s="1"/>
  <c r="L3625" i="7"/>
  <c r="M3625" i="7" s="1"/>
  <c r="L3624" i="7"/>
  <c r="M3624" i="7" s="1"/>
  <c r="L3623" i="7"/>
  <c r="M3623" i="7" s="1"/>
  <c r="L3622" i="7"/>
  <c r="M3622" i="7" s="1"/>
  <c r="L3621" i="7"/>
  <c r="M3621" i="7" s="1"/>
  <c r="L3620" i="7"/>
  <c r="M3620" i="7" s="1"/>
  <c r="L3619" i="7"/>
  <c r="M3619" i="7" s="1"/>
  <c r="L3618" i="7"/>
  <c r="M3618" i="7" s="1"/>
  <c r="L3616" i="7" l="1"/>
  <c r="M3616" i="7" s="1"/>
  <c r="L3617" i="7"/>
  <c r="M3617" i="7" s="1"/>
  <c r="L3615" i="7"/>
  <c r="M3615" i="7" s="1"/>
  <c r="L3614" i="7"/>
  <c r="M3614" i="7" s="1"/>
  <c r="L3613" i="7"/>
  <c r="M3613" i="7" s="1"/>
  <c r="L3612" i="7"/>
  <c r="M3612" i="7" s="1"/>
  <c r="L3611" i="7"/>
  <c r="M3611" i="7" s="1"/>
  <c r="L3610" i="7"/>
  <c r="M3610" i="7" s="1"/>
  <c r="L3609" i="7"/>
  <c r="M3609" i="7" s="1"/>
  <c r="L3608" i="7"/>
  <c r="M3608" i="7" s="1"/>
  <c r="L3607" i="7"/>
  <c r="M3607" i="7" s="1"/>
  <c r="L3606" i="7"/>
  <c r="M3606" i="7" s="1"/>
  <c r="L3605" i="7"/>
  <c r="M3605" i="7" s="1"/>
  <c r="L3604" i="7"/>
  <c r="M3604" i="7" s="1"/>
  <c r="L3603" i="7"/>
  <c r="M3603" i="7" s="1"/>
  <c r="L3602" i="7"/>
  <c r="M3602" i="7" s="1"/>
  <c r="L3601" i="7"/>
  <c r="M3601" i="7" s="1"/>
  <c r="L3600" i="7"/>
  <c r="M3600" i="7" s="1"/>
  <c r="L3599" i="7"/>
  <c r="M3599" i="7" s="1"/>
  <c r="L3598" i="7"/>
  <c r="M3598" i="7" s="1"/>
  <c r="L3597" i="7"/>
  <c r="M3597" i="7" s="1"/>
  <c r="L3596" i="7"/>
  <c r="M3596" i="7" s="1"/>
  <c r="L3595" i="7"/>
  <c r="M3595" i="7" s="1"/>
  <c r="L3594" i="7"/>
  <c r="M3594" i="7" s="1"/>
  <c r="L3593" i="7"/>
  <c r="M3593" i="7" s="1"/>
  <c r="L3592" i="7"/>
  <c r="M3592" i="7" s="1"/>
  <c r="L3591" i="7"/>
  <c r="M3591" i="7" s="1"/>
  <c r="L3590" i="7"/>
  <c r="M3590" i="7" s="1"/>
  <c r="L3589" i="7"/>
  <c r="M3589" i="7" s="1"/>
  <c r="L3588" i="7"/>
  <c r="M3588" i="7" s="1"/>
  <c r="L3587" i="7"/>
  <c r="M3587" i="7" s="1"/>
  <c r="L3586" i="7"/>
  <c r="M3586" i="7" s="1"/>
  <c r="L3585" i="7"/>
  <c r="M3585" i="7" s="1"/>
  <c r="L3584" i="7"/>
  <c r="M3584" i="7" s="1"/>
  <c r="L3583" i="7"/>
  <c r="M3583" i="7" s="1"/>
  <c r="L3582" i="7"/>
  <c r="M3582" i="7" s="1"/>
  <c r="L3581" i="7"/>
  <c r="M3581" i="7" s="1"/>
  <c r="L3580" i="7"/>
  <c r="M3580" i="7" s="1"/>
  <c r="L3579" i="7"/>
  <c r="M3579" i="7" s="1"/>
  <c r="L3578" i="7"/>
  <c r="M3578" i="7" s="1"/>
  <c r="L3577" i="7"/>
  <c r="M3577" i="7" s="1"/>
  <c r="L3576" i="7"/>
  <c r="M3576" i="7" s="1"/>
  <c r="L3575" i="7"/>
  <c r="M3575" i="7" s="1"/>
  <c r="L3574" i="7"/>
  <c r="M3574" i="7" s="1"/>
  <c r="L3573" i="7"/>
  <c r="M3573" i="7" s="1"/>
  <c r="L3572" i="7"/>
  <c r="M3572" i="7" s="1"/>
  <c r="L3571" i="7"/>
  <c r="M3571" i="7" s="1"/>
  <c r="L3570" i="7"/>
  <c r="M3570" i="7" s="1"/>
  <c r="L3569" i="7"/>
  <c r="M3569" i="7" s="1"/>
  <c r="L3568" i="7"/>
  <c r="M3568" i="7" s="1"/>
  <c r="L3567" i="7"/>
  <c r="M3567" i="7" s="1"/>
  <c r="L3566" i="7"/>
  <c r="M3566" i="7" s="1"/>
  <c r="L3565" i="7"/>
  <c r="M3565" i="7" s="1"/>
  <c r="L3564" i="7"/>
  <c r="M3564" i="7" s="1"/>
  <c r="L3563" i="7"/>
  <c r="M3563" i="7" s="1"/>
  <c r="L3562" i="7"/>
  <c r="M3562" i="7" s="1"/>
  <c r="L3561" i="7"/>
  <c r="M3561" i="7" s="1"/>
  <c r="L3560" i="7"/>
  <c r="M3560" i="7" s="1"/>
  <c r="L3559" i="7"/>
  <c r="M3559" i="7" s="1"/>
  <c r="L3558" i="7"/>
  <c r="M3558" i="7" s="1"/>
  <c r="L3557" i="7"/>
  <c r="M3557" i="7" s="1"/>
  <c r="L3556" i="7"/>
  <c r="M3556" i="7" s="1"/>
  <c r="L3555" i="7"/>
  <c r="M3555" i="7" s="1"/>
  <c r="L3554" i="7"/>
  <c r="M3554" i="7" s="1"/>
  <c r="L3553" i="7"/>
  <c r="M3553" i="7" s="1"/>
  <c r="L3552" i="7"/>
  <c r="M3552" i="7" s="1"/>
  <c r="L3551" i="7"/>
  <c r="M3551" i="7" s="1"/>
  <c r="L3550" i="7"/>
  <c r="M3550" i="7" s="1"/>
  <c r="L3549" i="7"/>
  <c r="M3549" i="7" s="1"/>
  <c r="L3548" i="7"/>
  <c r="M3548" i="7" s="1"/>
  <c r="L3547" i="7"/>
  <c r="M3547" i="7" s="1"/>
  <c r="L3546" i="7"/>
  <c r="M3546" i="7" s="1"/>
  <c r="L3545" i="7"/>
  <c r="M3545" i="7" s="1"/>
  <c r="L3544" i="7"/>
  <c r="M3544" i="7" s="1"/>
  <c r="L3543" i="7"/>
  <c r="M3543" i="7" s="1"/>
  <c r="L3542" i="7"/>
  <c r="M3542" i="7" s="1"/>
  <c r="L3541" i="7"/>
  <c r="M3541" i="7" s="1"/>
  <c r="L3540" i="7"/>
  <c r="M3540" i="7" s="1"/>
  <c r="L3539" i="7"/>
  <c r="M3539" i="7" s="1"/>
  <c r="L3538" i="7"/>
  <c r="M3538" i="7" s="1"/>
  <c r="L3537" i="7"/>
  <c r="M3537" i="7" s="1"/>
  <c r="L3536" i="7"/>
  <c r="M3536" i="7" s="1"/>
  <c r="L3535" i="7"/>
  <c r="M3535" i="7" s="1"/>
  <c r="L3534" i="7"/>
  <c r="M3534" i="7" s="1"/>
  <c r="L3533" i="7"/>
  <c r="M3533" i="7" s="1"/>
  <c r="L3532" i="7"/>
  <c r="M3532" i="7" s="1"/>
  <c r="L3531" i="7"/>
  <c r="M3531" i="7" s="1"/>
  <c r="L3530" i="7"/>
  <c r="M3530" i="7" s="1"/>
  <c r="L3529" i="7"/>
  <c r="M3529" i="7" s="1"/>
  <c r="L3528" i="7"/>
  <c r="M3528" i="7" s="1"/>
  <c r="L3527" i="7"/>
  <c r="M3527" i="7" s="1"/>
  <c r="L3526" i="7"/>
  <c r="M3526" i="7" s="1"/>
  <c r="P22" i="19" l="1"/>
  <c r="M22" i="19"/>
  <c r="J22" i="19"/>
  <c r="I22" i="19"/>
  <c r="H22" i="19"/>
  <c r="N22" i="19" s="1"/>
  <c r="G22" i="19"/>
  <c r="L3525" i="7"/>
  <c r="M3525" i="7" s="1"/>
  <c r="L3524" i="7"/>
  <c r="M3524" i="7" s="1"/>
  <c r="L3523" i="7"/>
  <c r="M3523" i="7" s="1"/>
  <c r="L3522" i="7"/>
  <c r="M3522" i="7" s="1"/>
  <c r="L3521" i="7"/>
  <c r="M3521" i="7" s="1"/>
  <c r="L3520" i="7"/>
  <c r="M3520" i="7" s="1"/>
  <c r="L3519" i="7"/>
  <c r="M3519" i="7" s="1"/>
  <c r="L3518" i="7"/>
  <c r="M3518" i="7" s="1"/>
  <c r="L3517" i="7"/>
  <c r="M3517" i="7" s="1"/>
  <c r="L3516" i="7"/>
  <c r="M3516" i="7" s="1"/>
  <c r="L3515" i="7"/>
  <c r="M3515" i="7" s="1"/>
  <c r="L3514" i="7"/>
  <c r="M3514" i="7" s="1"/>
  <c r="L3512" i="7"/>
  <c r="M3512" i="7" s="1"/>
  <c r="L3511" i="7"/>
  <c r="M3511" i="7" s="1"/>
  <c r="K22" i="19" l="1"/>
  <c r="L3505" i="7"/>
  <c r="M3505" i="7" s="1"/>
  <c r="L3502" i="7"/>
  <c r="M3502" i="7" s="1"/>
  <c r="L3504" i="7"/>
  <c r="M3504" i="7" s="1"/>
  <c r="L3509" i="7"/>
  <c r="M3509" i="7" s="1"/>
  <c r="L3510" i="7"/>
  <c r="M3510" i="7" s="1"/>
  <c r="L3503" i="7"/>
  <c r="M3503" i="7" s="1"/>
  <c r="L3513" i="7"/>
  <c r="M3513" i="7" s="1"/>
  <c r="L3506" i="7"/>
  <c r="M3506" i="7" s="1"/>
  <c r="L3507" i="7"/>
  <c r="M3507" i="7" s="1"/>
  <c r="L3508" i="7"/>
  <c r="M3508" i="7" s="1"/>
  <c r="L3501" i="7"/>
  <c r="M3501" i="7" s="1"/>
  <c r="L3500" i="7"/>
  <c r="M3500" i="7" s="1"/>
  <c r="L3499" i="7"/>
  <c r="M3499" i="7" s="1"/>
  <c r="L3498" i="7"/>
  <c r="M3498" i="7" s="1"/>
  <c r="L3497" i="7"/>
  <c r="M3497" i="7" s="1"/>
  <c r="L3496" i="7"/>
  <c r="M3496" i="7" s="1"/>
  <c r="L3495" i="7"/>
  <c r="M3495" i="7" s="1"/>
  <c r="L3494" i="7"/>
  <c r="M3494" i="7" s="1"/>
  <c r="L3493" i="7"/>
  <c r="M3493" i="7" s="1"/>
  <c r="L3492" i="7"/>
  <c r="M3492" i="7" s="1"/>
  <c r="L3491" i="7"/>
  <c r="M3491" i="7" s="1"/>
  <c r="L3490" i="7"/>
  <c r="M3490" i="7" s="1"/>
  <c r="L3489" i="7"/>
  <c r="M3489" i="7" s="1"/>
  <c r="L3488" i="7"/>
  <c r="M3488" i="7" s="1"/>
  <c r="L3487" i="7"/>
  <c r="M3487" i="7" s="1"/>
  <c r="L3486" i="7"/>
  <c r="M3486" i="7" s="1"/>
  <c r="L3485" i="7"/>
  <c r="M3485" i="7" s="1"/>
  <c r="L3484" i="7"/>
  <c r="M3484" i="7" s="1"/>
  <c r="L3483" i="7"/>
  <c r="M3483" i="7" s="1"/>
  <c r="L3482" i="7"/>
  <c r="M3482" i="7" s="1"/>
  <c r="L3481" i="7"/>
  <c r="M3481" i="7" s="1"/>
  <c r="L3480" i="7"/>
  <c r="M3480" i="7" s="1"/>
  <c r="L3479" i="7"/>
  <c r="M3479" i="7" s="1"/>
  <c r="L3478" i="7"/>
  <c r="M3478" i="7" s="1"/>
  <c r="L3477" i="7"/>
  <c r="M3477" i="7" s="1"/>
  <c r="L3476" i="7"/>
  <c r="M3476" i="7" s="1"/>
  <c r="L3475" i="7"/>
  <c r="M3475" i="7" s="1"/>
  <c r="L3474" i="7"/>
  <c r="M3474" i="7" s="1"/>
  <c r="L3473" i="7"/>
  <c r="M3473" i="7" s="1"/>
  <c r="L3472" i="7"/>
  <c r="M3472" i="7" s="1"/>
  <c r="L3471" i="7"/>
  <c r="M3471" i="7" s="1"/>
  <c r="L3470" i="7"/>
  <c r="M3470" i="7" s="1"/>
  <c r="L3469" i="7"/>
  <c r="M3469" i="7" s="1"/>
  <c r="L3468" i="7"/>
  <c r="M3468" i="7" s="1"/>
  <c r="L3467" i="7"/>
  <c r="M3467" i="7" s="1"/>
  <c r="L3466" i="7"/>
  <c r="M3466" i="7" s="1"/>
  <c r="L3465" i="7"/>
  <c r="M3465" i="7" s="1"/>
  <c r="L3464" i="7"/>
  <c r="M3464" i="7" s="1"/>
  <c r="L3463" i="7"/>
  <c r="M3463" i="7" s="1"/>
  <c r="L3462" i="7"/>
  <c r="M3462" i="7" s="1"/>
  <c r="L3461" i="7"/>
  <c r="M3461" i="7" s="1"/>
  <c r="L3460" i="7"/>
  <c r="M3460" i="7" s="1"/>
  <c r="L3459" i="7"/>
  <c r="M3459" i="7" s="1"/>
  <c r="L3458" i="7"/>
  <c r="M3458" i="7" s="1"/>
  <c r="L3457" i="7"/>
  <c r="M3457" i="7" s="1"/>
  <c r="L3456" i="7"/>
  <c r="M3456" i="7" s="1"/>
  <c r="L3455" i="7"/>
  <c r="M3455" i="7" s="1"/>
  <c r="L3454" i="7"/>
  <c r="M3454" i="7" s="1"/>
  <c r="L3453" i="7"/>
  <c r="M3453" i="7" s="1"/>
  <c r="L3452" i="7"/>
  <c r="M3452" i="7" s="1"/>
  <c r="L3451" i="7" l="1"/>
  <c r="M3451" i="7" s="1"/>
  <c r="L3450" i="7"/>
  <c r="M3450" i="7" s="1"/>
  <c r="L3449" i="7"/>
  <c r="M3449" i="7" s="1"/>
  <c r="L3448" i="7"/>
  <c r="M3448" i="7" s="1"/>
  <c r="L3447" i="7"/>
  <c r="M3447" i="7" s="1"/>
  <c r="L3446" i="7"/>
  <c r="M3446" i="7" s="1"/>
  <c r="L3445" i="7"/>
  <c r="M3445" i="7" s="1"/>
  <c r="L3444" i="7"/>
  <c r="M3444" i="7" s="1"/>
  <c r="L3443" i="7"/>
  <c r="M3443" i="7" s="1"/>
  <c r="L3436" i="7"/>
  <c r="M3436" i="7" s="1"/>
  <c r="L3435" i="7"/>
  <c r="M3435" i="7" s="1"/>
  <c r="L3434" i="7"/>
  <c r="M3434" i="7" s="1"/>
  <c r="L3433" i="7"/>
  <c r="M3433" i="7" s="1"/>
  <c r="L3432" i="7"/>
  <c r="M3432" i="7" s="1"/>
  <c r="L3431" i="7"/>
  <c r="M3431" i="7" s="1"/>
  <c r="L3430" i="7"/>
  <c r="M3430" i="7" s="1"/>
  <c r="L3429" i="7"/>
  <c r="M3429" i="7" s="1"/>
  <c r="L3428" i="7"/>
  <c r="M3428" i="7" s="1"/>
  <c r="L3427" i="7"/>
  <c r="M3427" i="7" s="1"/>
  <c r="L3426" i="7"/>
  <c r="M3426" i="7" s="1"/>
  <c r="L3425" i="7"/>
  <c r="M3425" i="7" s="1"/>
  <c r="L3424" i="7"/>
  <c r="M3424" i="7" s="1"/>
  <c r="L3423" i="7"/>
  <c r="M3423" i="7" s="1"/>
  <c r="L3422" i="7"/>
  <c r="M3422" i="7" s="1"/>
  <c r="L3421" i="7"/>
  <c r="M3421" i="7" s="1"/>
  <c r="L3420" i="7"/>
  <c r="M3420" i="7" s="1"/>
  <c r="L3419" i="7"/>
  <c r="M3419" i="7" s="1"/>
  <c r="L3418" i="7"/>
  <c r="M3418" i="7" s="1"/>
  <c r="L3442" i="7"/>
  <c r="M3442" i="7" s="1"/>
  <c r="L3439" i="7"/>
  <c r="M3439" i="7" s="1"/>
  <c r="L3414" i="7"/>
  <c r="M3414" i="7" s="1"/>
  <c r="L3415" i="7" l="1"/>
  <c r="M3415" i="7" s="1"/>
  <c r="L3441" i="7"/>
  <c r="M3441" i="7" s="1"/>
  <c r="L3417" i="7"/>
  <c r="M3417" i="7" s="1"/>
  <c r="L3440" i="7"/>
  <c r="M3440" i="7" s="1"/>
  <c r="L3413" i="7"/>
  <c r="M3413" i="7" s="1"/>
  <c r="L3437" i="7"/>
  <c r="M3437" i="7" s="1"/>
  <c r="L3438" i="7"/>
  <c r="M3438" i="7" s="1"/>
  <c r="L3416" i="7"/>
  <c r="M3416" i="7" s="1"/>
  <c r="L3412" i="7"/>
  <c r="M3412" i="7" s="1"/>
  <c r="L3411" i="7"/>
  <c r="M3411" i="7" s="1"/>
  <c r="L3410" i="7"/>
  <c r="M3410" i="7" s="1"/>
  <c r="L3409" i="7"/>
  <c r="M3409" i="7" s="1"/>
  <c r="L3408" i="7"/>
  <c r="M3408" i="7" s="1"/>
  <c r="L3407" i="7"/>
  <c r="M3407" i="7" s="1"/>
  <c r="L3406" i="7"/>
  <c r="M3406" i="7" s="1"/>
  <c r="L3405" i="7"/>
  <c r="M3405" i="7" s="1"/>
  <c r="L3404" i="7"/>
  <c r="M3404" i="7" s="1"/>
  <c r="L3403" i="7"/>
  <c r="M3403" i="7" s="1"/>
  <c r="L3402" i="7"/>
  <c r="M3402" i="7" s="1"/>
  <c r="L3401" i="7"/>
  <c r="M3401" i="7" s="1"/>
  <c r="L3400" i="7"/>
  <c r="M3400" i="7" s="1"/>
  <c r="L3399" i="7"/>
  <c r="M3399" i="7" s="1"/>
  <c r="L3398" i="7"/>
  <c r="M3398" i="7" s="1"/>
  <c r="L3397" i="7"/>
  <c r="M3397" i="7" s="1"/>
  <c r="L3396" i="7"/>
  <c r="M3396" i="7" s="1"/>
  <c r="L3395" i="7"/>
  <c r="M3395" i="7" s="1"/>
  <c r="L3394" i="7"/>
  <c r="M3394" i="7" s="1"/>
  <c r="L3393" i="7"/>
  <c r="M3393" i="7" s="1"/>
  <c r="L3392" i="7"/>
  <c r="M3392" i="7" s="1"/>
  <c r="L3391" i="7"/>
  <c r="M3391" i="7" s="1"/>
  <c r="L3390" i="7"/>
  <c r="M3390" i="7" s="1"/>
  <c r="L3389" i="7"/>
  <c r="M3389" i="7" s="1"/>
  <c r="L3388" i="7"/>
  <c r="M3388" i="7" s="1"/>
  <c r="L3387" i="7"/>
  <c r="M3387" i="7" s="1"/>
  <c r="L3386" i="7"/>
  <c r="M3386" i="7" s="1"/>
  <c r="L3385" i="7"/>
  <c r="M3385" i="7" s="1"/>
  <c r="L3384" i="7"/>
  <c r="M3384" i="7" s="1"/>
  <c r="L3383" i="7"/>
  <c r="M3383" i="7" s="1"/>
  <c r="L3382" i="7"/>
  <c r="M3382" i="7" s="1"/>
  <c r="L3381" i="7"/>
  <c r="M3381" i="7" s="1"/>
  <c r="L3380" i="7"/>
  <c r="M3380" i="7" s="1"/>
  <c r="L3379" i="7"/>
  <c r="M3379" i="7" s="1"/>
  <c r="L3378" i="7"/>
  <c r="M3378" i="7" s="1"/>
  <c r="L3377" i="7"/>
  <c r="M3377" i="7" s="1"/>
  <c r="L3376" i="7"/>
  <c r="M3376" i="7" s="1"/>
  <c r="L3375" i="7"/>
  <c r="M3375" i="7" s="1"/>
  <c r="L3374" i="7"/>
  <c r="M3374" i="7" s="1"/>
  <c r="L3373" i="7"/>
  <c r="M3373" i="7" s="1"/>
  <c r="L3372" i="7"/>
  <c r="M3372" i="7" s="1"/>
  <c r="L3371" i="7"/>
  <c r="M3371" i="7" s="1"/>
  <c r="L3370" i="7"/>
  <c r="M3370" i="7" s="1"/>
  <c r="L3369" i="7"/>
  <c r="M3369" i="7" s="1"/>
  <c r="L3368" i="7"/>
  <c r="M3368" i="7" s="1"/>
  <c r="L3367" i="7"/>
  <c r="M3367" i="7" s="1"/>
  <c r="L3366" i="7"/>
  <c r="M3366" i="7" s="1"/>
  <c r="L3365" i="7"/>
  <c r="M3365" i="7" s="1"/>
  <c r="L3364" i="7"/>
  <c r="M3364" i="7" s="1"/>
  <c r="L3363" i="7"/>
  <c r="M3363" i="7" s="1"/>
  <c r="L3362" i="7"/>
  <c r="M3362" i="7" s="1"/>
  <c r="L3361" i="7"/>
  <c r="M3361" i="7" s="1"/>
  <c r="L3360" i="7"/>
  <c r="M3360" i="7" s="1"/>
  <c r="L3359" i="7"/>
  <c r="M3359" i="7" s="1"/>
  <c r="L3358" i="7"/>
  <c r="M3358" i="7" s="1"/>
  <c r="L3357" i="7"/>
  <c r="M3357" i="7" s="1"/>
  <c r="L3356" i="7"/>
  <c r="M3356" i="7" s="1"/>
  <c r="L3355" i="7"/>
  <c r="M3355" i="7" s="1"/>
  <c r="L3354" i="7"/>
  <c r="M3354" i="7" s="1"/>
  <c r="L3347" i="7"/>
  <c r="M3347" i="7" s="1"/>
  <c r="L3346" i="7"/>
  <c r="M3346" i="7" s="1"/>
  <c r="L3345" i="7"/>
  <c r="M3345" i="7" s="1"/>
  <c r="L3344" i="7"/>
  <c r="M3344" i="7" s="1"/>
  <c r="L3343" i="7"/>
  <c r="M3343" i="7" s="1"/>
  <c r="L3342" i="7"/>
  <c r="M3342" i="7" s="1"/>
  <c r="L3341" i="7"/>
  <c r="M3341" i="7" s="1"/>
  <c r="L3340" i="7"/>
  <c r="M3340" i="7" s="1"/>
  <c r="L3339" i="7"/>
  <c r="M3339" i="7" s="1"/>
  <c r="L3338" i="7"/>
  <c r="M3338" i="7" s="1"/>
  <c r="L3337" i="7"/>
  <c r="M3337" i="7" s="1"/>
  <c r="L3336" i="7"/>
  <c r="M3336" i="7" s="1"/>
  <c r="L3335" i="7"/>
  <c r="M3335" i="7" s="1"/>
  <c r="L3334" i="7"/>
  <c r="M3334" i="7" s="1"/>
  <c r="L3333" i="7"/>
  <c r="M3333" i="7" s="1"/>
  <c r="L3332" i="7"/>
  <c r="M3332" i="7" s="1"/>
  <c r="L3331" i="7"/>
  <c r="M3331" i="7" s="1"/>
  <c r="L3330" i="7"/>
  <c r="M3330" i="7" s="1"/>
  <c r="L3329" i="7"/>
  <c r="M3329" i="7" s="1"/>
  <c r="L3328" i="7"/>
  <c r="M3328" i="7" s="1"/>
  <c r="L3327" i="7"/>
  <c r="M3327" i="7" s="1"/>
  <c r="L3317" i="7"/>
  <c r="M3317" i="7" s="1"/>
  <c r="L3316" i="7"/>
  <c r="M3316" i="7" s="1"/>
  <c r="L3315" i="7"/>
  <c r="M3315" i="7" s="1"/>
  <c r="L3314" i="7"/>
  <c r="M3314" i="7" s="1"/>
  <c r="L3313" i="7"/>
  <c r="M3313" i="7" s="1"/>
  <c r="L3312" i="7"/>
  <c r="M3312" i="7" s="1"/>
  <c r="L3311" i="7"/>
  <c r="M3311" i="7" s="1"/>
  <c r="L3310" i="7"/>
  <c r="M3310" i="7" s="1"/>
  <c r="L3309" i="7"/>
  <c r="M3309" i="7" s="1"/>
  <c r="L3308" i="7"/>
  <c r="M3308" i="7" s="1"/>
  <c r="L3307" i="7"/>
  <c r="M3307" i="7" s="1"/>
  <c r="L3306" i="7"/>
  <c r="M3306" i="7" s="1"/>
  <c r="L3305" i="7"/>
  <c r="M3305" i="7" s="1"/>
  <c r="L3304" i="7"/>
  <c r="M3304" i="7" s="1"/>
  <c r="L3303" i="7"/>
  <c r="M3303" i="7" s="1"/>
  <c r="L3302" i="7"/>
  <c r="M3302" i="7" s="1"/>
  <c r="L3301" i="7"/>
  <c r="M3301" i="7" s="1"/>
  <c r="L3300" i="7"/>
  <c r="M3300" i="7" s="1"/>
  <c r="L3299" i="7"/>
  <c r="M3299" i="7" s="1"/>
  <c r="L3298" i="7"/>
  <c r="M3298" i="7" s="1"/>
  <c r="L3297" i="7"/>
  <c r="M3297" i="7" s="1"/>
  <c r="L3296" i="7"/>
  <c r="M3296" i="7" s="1"/>
  <c r="L3295" i="7"/>
  <c r="M3295" i="7" s="1"/>
  <c r="L3294" i="7"/>
  <c r="M3294" i="7" s="1"/>
  <c r="L3293" i="7"/>
  <c r="M3293" i="7" s="1"/>
  <c r="L3292" i="7"/>
  <c r="M3292" i="7" s="1"/>
  <c r="L3291" i="7"/>
  <c r="M3291" i="7" s="1"/>
  <c r="L3290" i="7"/>
  <c r="M3290" i="7" s="1"/>
  <c r="L3289" i="7"/>
  <c r="M3289" i="7" s="1"/>
  <c r="L3288" i="7"/>
  <c r="M3288" i="7" s="1"/>
  <c r="L3287" i="7"/>
  <c r="M3287" i="7" s="1"/>
  <c r="L3286" i="7"/>
  <c r="M3286" i="7" s="1"/>
  <c r="L3285" i="7"/>
  <c r="M3285" i="7" s="1"/>
  <c r="L3284" i="7"/>
  <c r="M3284" i="7" s="1"/>
  <c r="L3283" i="7"/>
  <c r="M3283" i="7" s="1"/>
  <c r="L3282" i="7"/>
  <c r="M3282" i="7" s="1"/>
  <c r="L3281" i="7"/>
  <c r="M3281" i="7" s="1"/>
  <c r="L3280" i="7"/>
  <c r="M3280" i="7" s="1"/>
  <c r="L3279" i="7"/>
  <c r="M3279" i="7" s="1"/>
  <c r="L3276" i="7"/>
  <c r="M3276" i="7" s="1"/>
  <c r="L3275" i="7"/>
  <c r="M3275" i="7" s="1"/>
  <c r="L3349" i="7"/>
  <c r="M3349" i="7" s="1"/>
  <c r="L3324" i="7"/>
  <c r="M3324" i="7" s="1"/>
  <c r="L3277" i="7" l="1"/>
  <c r="M3277" i="7" s="1"/>
  <c r="L3348" i="7"/>
  <c r="M3348" i="7" s="1"/>
  <c r="L3278" i="7"/>
  <c r="M3278" i="7" s="1"/>
  <c r="L3325" i="7"/>
  <c r="M3325" i="7" s="1"/>
  <c r="L3350" i="7"/>
  <c r="M3350" i="7" s="1"/>
  <c r="L3323" i="7"/>
  <c r="M3323" i="7" s="1"/>
  <c r="L3318" i="7"/>
  <c r="M3318" i="7" s="1"/>
  <c r="L3326" i="7"/>
  <c r="M3326" i="7" s="1"/>
  <c r="L3319" i="7"/>
  <c r="M3319" i="7" s="1"/>
  <c r="L3351" i="7"/>
  <c r="M3351" i="7" s="1"/>
  <c r="L3320" i="7"/>
  <c r="M3320" i="7" s="1"/>
  <c r="L3352" i="7"/>
  <c r="M3352" i="7" s="1"/>
  <c r="L3321" i="7"/>
  <c r="M3321" i="7" s="1"/>
  <c r="L3353" i="7"/>
  <c r="M3353" i="7" s="1"/>
  <c r="L3322" i="7"/>
  <c r="M3322" i="7" s="1"/>
  <c r="P21" i="19"/>
  <c r="M21" i="19"/>
  <c r="J21" i="19"/>
  <c r="I21" i="19"/>
  <c r="H21" i="19"/>
  <c r="G21" i="19"/>
  <c r="P20" i="19"/>
  <c r="M20" i="19"/>
  <c r="J20" i="19"/>
  <c r="I20" i="19"/>
  <c r="H20" i="19"/>
  <c r="G20" i="19"/>
  <c r="P16" i="19"/>
  <c r="P15" i="19"/>
  <c r="P14" i="19"/>
  <c r="P13" i="19"/>
  <c r="K20" i="19" l="1"/>
  <c r="N20" i="19"/>
  <c r="N21" i="19"/>
  <c r="K21" i="19"/>
  <c r="M16" i="19"/>
  <c r="M15" i="19"/>
  <c r="M14" i="19"/>
  <c r="M13" i="19"/>
  <c r="J16" i="19"/>
  <c r="J15" i="19"/>
  <c r="J14" i="19"/>
  <c r="J13" i="19"/>
  <c r="I16" i="19"/>
  <c r="I15" i="19"/>
  <c r="I14" i="19"/>
  <c r="I13" i="19"/>
  <c r="H16" i="19"/>
  <c r="H15" i="19"/>
  <c r="H14" i="19"/>
  <c r="H13" i="19"/>
  <c r="G15" i="19"/>
  <c r="G14" i="19"/>
  <c r="G13" i="19"/>
  <c r="G16" i="19"/>
  <c r="N15" i="19" l="1"/>
  <c r="N13" i="19"/>
  <c r="N14" i="19"/>
  <c r="K16" i="19"/>
  <c r="K14" i="19"/>
  <c r="N16" i="19"/>
  <c r="K13" i="19"/>
  <c r="K15" i="19"/>
  <c r="L3274" i="7"/>
  <c r="M3274" i="7" s="1"/>
  <c r="L3273" i="7"/>
  <c r="M3273" i="7" s="1"/>
  <c r="L3272" i="7"/>
  <c r="M3272" i="7" s="1"/>
  <c r="L3271" i="7"/>
  <c r="M3271" i="7" s="1"/>
  <c r="L3270" i="7"/>
  <c r="M3270" i="7" s="1"/>
  <c r="L3269" i="7"/>
  <c r="M3269" i="7" s="1"/>
  <c r="L3268" i="7"/>
  <c r="M3268" i="7" s="1"/>
  <c r="L3267" i="7"/>
  <c r="M3267" i="7" s="1"/>
  <c r="L3266" i="7"/>
  <c r="M3266" i="7" s="1"/>
  <c r="L3265" i="7"/>
  <c r="M3265" i="7" s="1"/>
  <c r="L3264" i="7"/>
  <c r="M3264" i="7" s="1"/>
  <c r="L3263" i="7"/>
  <c r="M3263" i="7" s="1"/>
  <c r="L3262" i="7"/>
  <c r="M3262" i="7" s="1"/>
  <c r="L3261" i="7"/>
  <c r="M3261" i="7" s="1"/>
  <c r="L3260" i="7"/>
  <c r="M3260" i="7" s="1"/>
  <c r="L3259" i="7"/>
  <c r="M3259" i="7" s="1"/>
  <c r="L3258" i="7"/>
  <c r="M3258" i="7" s="1"/>
  <c r="L3257" i="7"/>
  <c r="M3257" i="7" s="1"/>
  <c r="L3256" i="7"/>
  <c r="M3256" i="7" s="1"/>
  <c r="L3255" i="7"/>
  <c r="M3255" i="7" s="1"/>
  <c r="L3254" i="7"/>
  <c r="M3254" i="7" s="1"/>
  <c r="L3253" i="7"/>
  <c r="M3253" i="7" s="1"/>
  <c r="L3252" i="7"/>
  <c r="M3252" i="7" s="1"/>
  <c r="L3251" i="7"/>
  <c r="M3251" i="7" s="1"/>
  <c r="L3250" i="7"/>
  <c r="M3250" i="7" s="1"/>
  <c r="L3249" i="7"/>
  <c r="M3249" i="7" s="1"/>
  <c r="L3248" i="7"/>
  <c r="M3248" i="7" s="1"/>
  <c r="L3247" i="7"/>
  <c r="M3247" i="7" s="1"/>
  <c r="L3246" i="7"/>
  <c r="M3246" i="7" s="1"/>
  <c r="L3239" i="7"/>
  <c r="M3239" i="7" s="1"/>
  <c r="L3238" i="7"/>
  <c r="M3238" i="7" s="1"/>
  <c r="L3237" i="7"/>
  <c r="M3237" i="7" s="1"/>
  <c r="L3236" i="7"/>
  <c r="M3236" i="7" s="1"/>
  <c r="L3235" i="7"/>
  <c r="M3235" i="7" s="1"/>
  <c r="L3234" i="7"/>
  <c r="M3234" i="7" s="1"/>
  <c r="L3233" i="7"/>
  <c r="M3233" i="7" s="1"/>
  <c r="L3232" i="7"/>
  <c r="M3232" i="7" s="1"/>
  <c r="L3231" i="7"/>
  <c r="M3231" i="7" s="1"/>
  <c r="L3230" i="7"/>
  <c r="M3230" i="7" s="1"/>
  <c r="L3229" i="7"/>
  <c r="M3229" i="7" s="1"/>
  <c r="L3228" i="7"/>
  <c r="M3228" i="7" s="1"/>
  <c r="L3227" i="7"/>
  <c r="M3227" i="7" s="1"/>
  <c r="L3226" i="7"/>
  <c r="M3226" i="7" s="1"/>
  <c r="L3225" i="7"/>
  <c r="M3225" i="7" s="1"/>
  <c r="L3224" i="7"/>
  <c r="M3224" i="7" s="1"/>
  <c r="L3223" i="7"/>
  <c r="M3223" i="7" s="1"/>
  <c r="L3222" i="7"/>
  <c r="M3222" i="7" s="1"/>
  <c r="L3221" i="7"/>
  <c r="M3221" i="7" s="1"/>
  <c r="L3220" i="7"/>
  <c r="M3220" i="7" s="1"/>
  <c r="L3219" i="7"/>
  <c r="M3219" i="7" s="1"/>
  <c r="L3218" i="7"/>
  <c r="M3218" i="7" s="1"/>
  <c r="L3217" i="7"/>
  <c r="M3217" i="7" s="1"/>
  <c r="L3216" i="7"/>
  <c r="M3216" i="7" s="1"/>
  <c r="L3215" i="7"/>
  <c r="M3215" i="7" s="1"/>
  <c r="L3214" i="7"/>
  <c r="M3214" i="7" s="1"/>
  <c r="L3213" i="7"/>
  <c r="M3213" i="7" s="1"/>
  <c r="L3212" i="7"/>
  <c r="M3212" i="7" s="1"/>
  <c r="L3211" i="7"/>
  <c r="M3211" i="7" s="1"/>
  <c r="L3210" i="7"/>
  <c r="M3210" i="7" s="1"/>
  <c r="L3209" i="7"/>
  <c r="M3209" i="7" s="1"/>
  <c r="L3203" i="7"/>
  <c r="M3203" i="7" s="1"/>
  <c r="L3202" i="7"/>
  <c r="M3202" i="7" s="1"/>
  <c r="L3201" i="7"/>
  <c r="M3201" i="7" s="1"/>
  <c r="L3200" i="7"/>
  <c r="M3200" i="7" s="1"/>
  <c r="L3199" i="7"/>
  <c r="M3199" i="7" s="1"/>
  <c r="L3198" i="7"/>
  <c r="M3198" i="7" s="1"/>
  <c r="L3197" i="7"/>
  <c r="M3197" i="7" s="1"/>
  <c r="L3196" i="7"/>
  <c r="M3196" i="7" s="1"/>
  <c r="L3195" i="7"/>
  <c r="M3195" i="7" s="1"/>
  <c r="L3186" i="7"/>
  <c r="M3186" i="7" s="1"/>
  <c r="L3185" i="7"/>
  <c r="M3185" i="7" s="1"/>
  <c r="L3184" i="7"/>
  <c r="M3184" i="7" s="1"/>
  <c r="L3183" i="7"/>
  <c r="M3183" i="7" s="1"/>
  <c r="L3182" i="7"/>
  <c r="M3182" i="7" s="1"/>
  <c r="L3181" i="7"/>
  <c r="M3181" i="7" s="1"/>
  <c r="L3180" i="7"/>
  <c r="M3180" i="7" s="1"/>
  <c r="L3179" i="7"/>
  <c r="M3179" i="7" s="1"/>
  <c r="L3178" i="7"/>
  <c r="M3178" i="7" s="1"/>
  <c r="L3177" i="7"/>
  <c r="M3177" i="7" s="1"/>
  <c r="L3176" i="7"/>
  <c r="M3176" i="7" s="1"/>
  <c r="L3175" i="7"/>
  <c r="M3175" i="7" s="1"/>
  <c r="L3174" i="7"/>
  <c r="M3174" i="7" s="1"/>
  <c r="L3173" i="7"/>
  <c r="M3173" i="7" s="1"/>
  <c r="L3172" i="7"/>
  <c r="M3172" i="7" s="1"/>
  <c r="L3171" i="7"/>
  <c r="M3171" i="7" s="1"/>
  <c r="L3170" i="7"/>
  <c r="M3170" i="7" s="1"/>
  <c r="L3169" i="7"/>
  <c r="M3169" i="7" s="1"/>
  <c r="L3168" i="7"/>
  <c r="M3168" i="7" s="1"/>
  <c r="L3167" i="7"/>
  <c r="M3167" i="7" s="1"/>
  <c r="L3166" i="7"/>
  <c r="M3166" i="7" s="1"/>
  <c r="L3165" i="7"/>
  <c r="M3165" i="7" s="1"/>
  <c r="L3164" i="7"/>
  <c r="M3164" i="7" s="1"/>
  <c r="L3163" i="7"/>
  <c r="M3163" i="7" s="1"/>
  <c r="L3162" i="7"/>
  <c r="M3162" i="7" s="1"/>
  <c r="L3151" i="7"/>
  <c r="M3151" i="7" s="1"/>
  <c r="L3150" i="7"/>
  <c r="M3150" i="7" s="1"/>
  <c r="L3149" i="7"/>
  <c r="M3149" i="7" s="1"/>
  <c r="L3148" i="7"/>
  <c r="M3148" i="7" s="1"/>
  <c r="L3147" i="7"/>
  <c r="M3147" i="7" s="1"/>
  <c r="L3146" i="7"/>
  <c r="M3146" i="7" s="1"/>
  <c r="L3145" i="7"/>
  <c r="M3145" i="7" s="1"/>
  <c r="L3144" i="7"/>
  <c r="M3144" i="7" s="1"/>
  <c r="L3143" i="7"/>
  <c r="M3143" i="7" s="1"/>
  <c r="L3142" i="7"/>
  <c r="M3142" i="7" s="1"/>
  <c r="L3141" i="7"/>
  <c r="M3141" i="7" s="1"/>
  <c r="L3140" i="7"/>
  <c r="M3140" i="7" s="1"/>
  <c r="L3139" i="7"/>
  <c r="M3139" i="7" s="1"/>
  <c r="L3138" i="7"/>
  <c r="M3138" i="7" s="1"/>
  <c r="L3137" i="7"/>
  <c r="M3137" i="7" s="1"/>
  <c r="L3136" i="7"/>
  <c r="M3136" i="7" s="1"/>
  <c r="L3135" i="7"/>
  <c r="M3135" i="7" s="1"/>
  <c r="L3134" i="7"/>
  <c r="M3134" i="7" s="1"/>
  <c r="L3133" i="7"/>
  <c r="M3133" i="7" s="1"/>
  <c r="L3132" i="7"/>
  <c r="M3132" i="7" s="1"/>
  <c r="L3131" i="7"/>
  <c r="M3131" i="7" s="1"/>
  <c r="L3130" i="7"/>
  <c r="M3130" i="7" s="1"/>
  <c r="L3129" i="7"/>
  <c r="M3129" i="7" s="1"/>
  <c r="L3128" i="7"/>
  <c r="M3128" i="7" s="1"/>
  <c r="L3127" i="7"/>
  <c r="M3127" i="7" s="1"/>
  <c r="L3126" i="7"/>
  <c r="M3126" i="7" s="1"/>
  <c r="L3125" i="7"/>
  <c r="M3125" i="7" s="1"/>
  <c r="L3124" i="7"/>
  <c r="M3124" i="7" s="1"/>
  <c r="L3208" i="7"/>
  <c r="M3208" i="7" s="1"/>
  <c r="L3161" i="7"/>
  <c r="M3161" i="7" s="1"/>
  <c r="L3159" i="7"/>
  <c r="M3159" i="7" s="1"/>
  <c r="L3156" i="7"/>
  <c r="M3156" i="7" s="1"/>
  <c r="L3187" i="7" l="1"/>
  <c r="M3187" i="7" s="1"/>
  <c r="L3194" i="7"/>
  <c r="M3194" i="7" s="1"/>
  <c r="L3241" i="7"/>
  <c r="M3241" i="7" s="1"/>
  <c r="L3242" i="7"/>
  <c r="M3242" i="7" s="1"/>
  <c r="L3243" i="7"/>
  <c r="M3243" i="7" s="1"/>
  <c r="L3154" i="7"/>
  <c r="M3154" i="7" s="1"/>
  <c r="L3153" i="7"/>
  <c r="M3153" i="7" s="1"/>
  <c r="L3158" i="7"/>
  <c r="M3158" i="7" s="1"/>
  <c r="L3193" i="7"/>
  <c r="M3193" i="7" s="1"/>
  <c r="L3240" i="7"/>
  <c r="M3240" i="7" s="1"/>
  <c r="L3188" i="7"/>
  <c r="M3188" i="7" s="1"/>
  <c r="L3157" i="7"/>
  <c r="M3157" i="7" s="1"/>
  <c r="L3189" i="7"/>
  <c r="M3189" i="7" s="1"/>
  <c r="L3204" i="7"/>
  <c r="M3204" i="7" s="1"/>
  <c r="L3244" i="7"/>
  <c r="M3244" i="7" s="1"/>
  <c r="L3190" i="7"/>
  <c r="M3190" i="7" s="1"/>
  <c r="L3205" i="7"/>
  <c r="M3205" i="7" s="1"/>
  <c r="L3245" i="7"/>
  <c r="M3245" i="7" s="1"/>
  <c r="L3191" i="7"/>
  <c r="M3191" i="7" s="1"/>
  <c r="L3206" i="7"/>
  <c r="M3206" i="7" s="1"/>
  <c r="L3155" i="7"/>
  <c r="M3155" i="7" s="1"/>
  <c r="L3152" i="7"/>
  <c r="M3152" i="7" s="1"/>
  <c r="L3160" i="7"/>
  <c r="M3160" i="7" s="1"/>
  <c r="L3192" i="7"/>
  <c r="M3192" i="7" s="1"/>
  <c r="L3207" i="7"/>
  <c r="M3207" i="7" s="1"/>
  <c r="L3123" i="7" l="1"/>
  <c r="M3123" i="7" s="1"/>
  <c r="L3122" i="7"/>
  <c r="M3122" i="7" s="1"/>
  <c r="L3121" i="7"/>
  <c r="M3121" i="7" s="1"/>
  <c r="L3120" i="7"/>
  <c r="M3120" i="7" s="1"/>
  <c r="L3119" i="7"/>
  <c r="M3119" i="7" s="1"/>
  <c r="L3118" i="7"/>
  <c r="M3118" i="7" s="1"/>
  <c r="L3117" i="7"/>
  <c r="M3117" i="7" s="1"/>
  <c r="L3116" i="7"/>
  <c r="M3116" i="7" s="1"/>
  <c r="L3115" i="7"/>
  <c r="M3115" i="7" s="1"/>
  <c r="L3114" i="7"/>
  <c r="M3114" i="7" s="1"/>
  <c r="L3113" i="7"/>
  <c r="M3113" i="7" s="1"/>
  <c r="L3112" i="7"/>
  <c r="M3112" i="7" s="1"/>
  <c r="L3109" i="7" l="1"/>
  <c r="M3109" i="7" s="1"/>
  <c r="L3110" i="7"/>
  <c r="M3110" i="7" s="1"/>
  <c r="L3111" i="7"/>
  <c r="M3111" i="7" s="1"/>
  <c r="L3108" i="7"/>
  <c r="M3108" i="7" s="1"/>
  <c r="L3107" i="7"/>
  <c r="M3107" i="7" s="1"/>
  <c r="L3106" i="7"/>
  <c r="M3106" i="7" s="1"/>
  <c r="L3105" i="7"/>
  <c r="M3105" i="7" s="1"/>
  <c r="L3104" i="7"/>
  <c r="M3104" i="7" s="1"/>
  <c r="L3103" i="7"/>
  <c r="M3103" i="7" s="1"/>
  <c r="L3102" i="7"/>
  <c r="M3102" i="7" s="1"/>
  <c r="L3101" i="7"/>
  <c r="M3101" i="7" s="1"/>
  <c r="L3100" i="7"/>
  <c r="M3100" i="7" s="1"/>
  <c r="L3099" i="7"/>
  <c r="M3099" i="7" s="1"/>
  <c r="L3098" i="7"/>
  <c r="M3098" i="7" s="1"/>
  <c r="L3097" i="7"/>
  <c r="M3097" i="7" s="1"/>
  <c r="L3096" i="7"/>
  <c r="M3096" i="7" s="1"/>
  <c r="L3095" i="7"/>
  <c r="M3095" i="7" s="1"/>
  <c r="L3094" i="7"/>
  <c r="M3094" i="7" s="1"/>
  <c r="L3093" i="7"/>
  <c r="M3093" i="7" s="1"/>
  <c r="L3092" i="7"/>
  <c r="M3092" i="7" s="1"/>
  <c r="L3091" i="7"/>
  <c r="M3091" i="7" s="1"/>
  <c r="L3090" i="7"/>
  <c r="M3090" i="7" s="1"/>
  <c r="L3089" i="7"/>
  <c r="M3089" i="7" s="1"/>
  <c r="L3088" i="7"/>
  <c r="M3088" i="7" s="1"/>
  <c r="L3087" i="7"/>
  <c r="M3087" i="7" s="1"/>
  <c r="L3086" i="7"/>
  <c r="M3086" i="7" s="1"/>
  <c r="L3085" i="7"/>
  <c r="M3085" i="7" s="1"/>
  <c r="L3084" i="7"/>
  <c r="M3084" i="7" s="1"/>
  <c r="L3083" i="7"/>
  <c r="M3083" i="7" s="1"/>
  <c r="L3082" i="7"/>
  <c r="M3082" i="7" s="1"/>
  <c r="L3081" i="7"/>
  <c r="M3081" i="7" s="1"/>
  <c r="L3080" i="7"/>
  <c r="M3080" i="7" s="1"/>
  <c r="L3079" i="7"/>
  <c r="M3079" i="7" s="1"/>
  <c r="L3077" i="7"/>
  <c r="M3077" i="7" s="1"/>
  <c r="L3076" i="7"/>
  <c r="M3076" i="7" s="1"/>
  <c r="L3075" i="7"/>
  <c r="M3075" i="7" s="1"/>
  <c r="L3074" i="7"/>
  <c r="M3074" i="7" s="1"/>
  <c r="L3073" i="7"/>
  <c r="M3073" i="7" s="1"/>
  <c r="L3072" i="7"/>
  <c r="M3072" i="7" s="1"/>
  <c r="L3071" i="7"/>
  <c r="M3071" i="7" s="1"/>
  <c r="L3070" i="7"/>
  <c r="M3070" i="7" s="1"/>
  <c r="L3069" i="7"/>
  <c r="M3069" i="7" s="1"/>
  <c r="L3068" i="7"/>
  <c r="M3068" i="7" s="1"/>
  <c r="L3067" i="7"/>
  <c r="M3067" i="7" s="1"/>
  <c r="L3066" i="7"/>
  <c r="M3066" i="7" s="1"/>
  <c r="L3065" i="7"/>
  <c r="M3065" i="7" s="1"/>
  <c r="L3064" i="7"/>
  <c r="M3064" i="7" s="1"/>
  <c r="L3063" i="7"/>
  <c r="M3063" i="7" s="1"/>
  <c r="L3062" i="7"/>
  <c r="M3062" i="7" s="1"/>
  <c r="L3061" i="7"/>
  <c r="M3061" i="7" s="1"/>
  <c r="L3060" i="7"/>
  <c r="M3060" i="7" s="1"/>
  <c r="L3059" i="7"/>
  <c r="M3059" i="7" s="1"/>
  <c r="L3058" i="7"/>
  <c r="M3058" i="7" s="1"/>
  <c r="L3057" i="7"/>
  <c r="M3057" i="7" s="1"/>
  <c r="L3052" i="7"/>
  <c r="M3052" i="7" s="1"/>
  <c r="L3051" i="7"/>
  <c r="M3051" i="7" s="1"/>
  <c r="L3050" i="7"/>
  <c r="M3050" i="7" s="1"/>
  <c r="L3049" i="7"/>
  <c r="M3049" i="7" s="1"/>
  <c r="L3048" i="7"/>
  <c r="M3048" i="7" s="1"/>
  <c r="L3047" i="7"/>
  <c r="M3047" i="7" s="1"/>
  <c r="L3046" i="7"/>
  <c r="M3046" i="7" s="1"/>
  <c r="L3045" i="7"/>
  <c r="M3045" i="7" s="1"/>
  <c r="L3044" i="7"/>
  <c r="M3044" i="7" s="1"/>
  <c r="L3043" i="7"/>
  <c r="M3043" i="7" s="1"/>
  <c r="L3042" i="7"/>
  <c r="M3042" i="7" s="1"/>
  <c r="L3041" i="7"/>
  <c r="M3041" i="7" s="1"/>
  <c r="L3040" i="7"/>
  <c r="M3040" i="7" s="1"/>
  <c r="L3039" i="7"/>
  <c r="M3039" i="7" s="1"/>
  <c r="L3038" i="7"/>
  <c r="M3038" i="7" s="1"/>
  <c r="L3037" i="7"/>
  <c r="M3037" i="7" s="1"/>
  <c r="L3036" i="7"/>
  <c r="M3036" i="7" s="1"/>
  <c r="L3035" i="7"/>
  <c r="M3035" i="7" s="1"/>
  <c r="L3034" i="7"/>
  <c r="M3034" i="7" s="1"/>
  <c r="L3033" i="7"/>
  <c r="M3033" i="7" s="1"/>
  <c r="L3032" i="7"/>
  <c r="M3032" i="7" s="1"/>
  <c r="L3025" i="7"/>
  <c r="M3025" i="7" s="1"/>
  <c r="L3024" i="7"/>
  <c r="M3024" i="7" s="1"/>
  <c r="L3023" i="7"/>
  <c r="M3023" i="7" s="1"/>
  <c r="L3022" i="7"/>
  <c r="M3022" i="7" s="1"/>
  <c r="L3021" i="7"/>
  <c r="M3021" i="7" s="1"/>
  <c r="L3020" i="7"/>
  <c r="M3020" i="7" s="1"/>
  <c r="L3019" i="7"/>
  <c r="M3019" i="7" s="1"/>
  <c r="L3018" i="7"/>
  <c r="M3018" i="7" s="1"/>
  <c r="L3017" i="7"/>
  <c r="M3017" i="7" s="1"/>
  <c r="L3016" i="7"/>
  <c r="M3016" i="7" s="1"/>
  <c r="L3015" i="7"/>
  <c r="M3015" i="7" s="1"/>
  <c r="L3014" i="7"/>
  <c r="M3014" i="7" s="1"/>
  <c r="L3013" i="7"/>
  <c r="M3013" i="7" s="1"/>
  <c r="L3012" i="7"/>
  <c r="M3012" i="7" s="1"/>
  <c r="L3011" i="7"/>
  <c r="M3011" i="7" s="1"/>
  <c r="L3010" i="7"/>
  <c r="M3010" i="7" s="1"/>
  <c r="L3009" i="7"/>
  <c r="M3009" i="7" s="1"/>
  <c r="L3008" i="7"/>
  <c r="M3008" i="7" s="1"/>
  <c r="L3007" i="7"/>
  <c r="M3007" i="7" s="1"/>
  <c r="L3006" i="7"/>
  <c r="M3006" i="7" s="1"/>
  <c r="L3005" i="7"/>
  <c r="M3005" i="7" s="1"/>
  <c r="L3004" i="7"/>
  <c r="M3004" i="7" s="1"/>
  <c r="L3003" i="7"/>
  <c r="M3003" i="7" s="1"/>
  <c r="L3002" i="7"/>
  <c r="M3002" i="7" s="1"/>
  <c r="L3001" i="7"/>
  <c r="M3001" i="7" s="1"/>
  <c r="L3000" i="7"/>
  <c r="M3000" i="7" s="1"/>
  <c r="L2999" i="7"/>
  <c r="M2999" i="7" s="1"/>
  <c r="L2998" i="7"/>
  <c r="M2998" i="7" s="1"/>
  <c r="L2997" i="7"/>
  <c r="M2997" i="7" s="1"/>
  <c r="L2996" i="7"/>
  <c r="M2996" i="7" s="1"/>
  <c r="L2995" i="7"/>
  <c r="M2995" i="7" s="1"/>
  <c r="L2994" i="7"/>
  <c r="M2994" i="7" s="1"/>
  <c r="L2993" i="7"/>
  <c r="M2993" i="7" s="1"/>
  <c r="L2992" i="7"/>
  <c r="M2992" i="7" s="1"/>
  <c r="L2991" i="7"/>
  <c r="M2991" i="7" s="1"/>
  <c r="L2990" i="7"/>
  <c r="M2990" i="7" s="1"/>
  <c r="L2989" i="7"/>
  <c r="M2989" i="7" s="1"/>
  <c r="L2988" i="7"/>
  <c r="M2988" i="7" s="1"/>
  <c r="L2987" i="7"/>
  <c r="M2987" i="7" s="1"/>
  <c r="L2986" i="7"/>
  <c r="M2986" i="7" s="1"/>
  <c r="L2985" i="7"/>
  <c r="M2985" i="7" s="1"/>
  <c r="L2984" i="7"/>
  <c r="M2984" i="7" s="1"/>
  <c r="L2983" i="7"/>
  <c r="M2983" i="7" s="1"/>
  <c r="L2982" i="7"/>
  <c r="M2982" i="7" s="1"/>
  <c r="L2981" i="7"/>
  <c r="M2981" i="7" s="1"/>
  <c r="L2980" i="7"/>
  <c r="M2980" i="7" s="1"/>
  <c r="L2979" i="7"/>
  <c r="M2979" i="7" s="1"/>
  <c r="L2978" i="7"/>
  <c r="M2978" i="7" s="1"/>
  <c r="L2977" i="7"/>
  <c r="M2977" i="7" s="1"/>
  <c r="L2976" i="7"/>
  <c r="M2976" i="7" s="1"/>
  <c r="L2975" i="7"/>
  <c r="M2975" i="7" s="1"/>
  <c r="L3055" i="7" l="1"/>
  <c r="M3055" i="7" s="1"/>
  <c r="L3054" i="7"/>
  <c r="M3054" i="7" s="1"/>
  <c r="L3030" i="7"/>
  <c r="M3030" i="7" s="1"/>
  <c r="L3031" i="7"/>
  <c r="M3031" i="7" s="1"/>
  <c r="L3056" i="7"/>
  <c r="M3056" i="7" s="1"/>
  <c r="L3026" i="7"/>
  <c r="M3026" i="7" s="1"/>
  <c r="L3078" i="7"/>
  <c r="M3078" i="7" s="1"/>
  <c r="L3027" i="7"/>
  <c r="M3027" i="7" s="1"/>
  <c r="L3028" i="7"/>
  <c r="M3028" i="7" s="1"/>
  <c r="L3029" i="7"/>
  <c r="M3029" i="7" s="1"/>
  <c r="L3053" i="7"/>
  <c r="M3053" i="7" s="1"/>
  <c r="L2974" i="7"/>
  <c r="M2974" i="7" s="1"/>
  <c r="L2973" i="7"/>
  <c r="M2973" i="7" s="1"/>
  <c r="L2972" i="7"/>
  <c r="M2972" i="7" s="1"/>
  <c r="L2971" i="7"/>
  <c r="M2971" i="7" s="1"/>
  <c r="L2970" i="7"/>
  <c r="M2970" i="7" s="1"/>
  <c r="L2969" i="7"/>
  <c r="M2969" i="7" s="1"/>
  <c r="L2968" i="7"/>
  <c r="M2968" i="7" s="1"/>
  <c r="L2967" i="7"/>
  <c r="M2967" i="7" s="1"/>
  <c r="L2966" i="7"/>
  <c r="M2966" i="7" s="1"/>
  <c r="L2965" i="7"/>
  <c r="M2965" i="7" s="1"/>
  <c r="L2964" i="7"/>
  <c r="M2964" i="7" s="1"/>
  <c r="L2963" i="7"/>
  <c r="M2963" i="7" s="1"/>
  <c r="L2962" i="7"/>
  <c r="M2962" i="7" s="1"/>
  <c r="L2961" i="7"/>
  <c r="M2961" i="7" s="1"/>
  <c r="L2960" i="7"/>
  <c r="M2960" i="7" s="1"/>
  <c r="L2959" i="7"/>
  <c r="M2959" i="7" s="1"/>
  <c r="L2958" i="7"/>
  <c r="M2958" i="7" s="1"/>
  <c r="L2957" i="7"/>
  <c r="M2957" i="7" s="1"/>
  <c r="L2956" i="7"/>
  <c r="M2956" i="7" s="1"/>
  <c r="L2955" i="7"/>
  <c r="M2955" i="7" s="1"/>
  <c r="L2954" i="7"/>
  <c r="M2954" i="7" s="1"/>
  <c r="L2953" i="7"/>
  <c r="M2953" i="7" s="1"/>
  <c r="L2952" i="7"/>
  <c r="M2952" i="7" s="1"/>
  <c r="L2951" i="7"/>
  <c r="M2951" i="7" s="1"/>
  <c r="L2950" i="7"/>
  <c r="M2950" i="7" s="1"/>
  <c r="L2949" i="7"/>
  <c r="M2949" i="7" s="1"/>
  <c r="L2948" i="7"/>
  <c r="M2948" i="7" s="1"/>
  <c r="L2947" i="7"/>
  <c r="M2947" i="7" s="1"/>
  <c r="L2946" i="7"/>
  <c r="M2946" i="7" s="1"/>
  <c r="L2945" i="7"/>
  <c r="M2945" i="7" s="1"/>
  <c r="L2944" i="7"/>
  <c r="M2944" i="7" s="1"/>
  <c r="L2943" i="7"/>
  <c r="M2943" i="7" s="1"/>
  <c r="L2942" i="7"/>
  <c r="M2942" i="7" s="1"/>
  <c r="L2941" i="7"/>
  <c r="M2941" i="7" s="1"/>
  <c r="L2940" i="7"/>
  <c r="M2940" i="7" s="1"/>
  <c r="L2939" i="7"/>
  <c r="M2939" i="7" s="1"/>
  <c r="L2938" i="7"/>
  <c r="M2938" i="7" s="1"/>
  <c r="L2937" i="7"/>
  <c r="M2937" i="7" s="1"/>
  <c r="L2936" i="7"/>
  <c r="M2936" i="7" s="1"/>
  <c r="L2935" i="7"/>
  <c r="M2935" i="7" s="1"/>
  <c r="L2934" i="7"/>
  <c r="M2934" i="7" s="1"/>
  <c r="L2933" i="7"/>
  <c r="M2933" i="7" s="1"/>
  <c r="L2932" i="7"/>
  <c r="M2932" i="7" s="1"/>
  <c r="L2931" i="7"/>
  <c r="M2931" i="7" s="1"/>
  <c r="L2930" i="7"/>
  <c r="M2930" i="7" s="1"/>
  <c r="L2929" i="7"/>
  <c r="M2929" i="7" s="1"/>
  <c r="L2928" i="7"/>
  <c r="M2928" i="7" s="1"/>
  <c r="L2927" i="7"/>
  <c r="M2927" i="7" s="1"/>
  <c r="L2926" i="7"/>
  <c r="M2926" i="7" s="1"/>
  <c r="L2925" i="7"/>
  <c r="M2925" i="7" s="1"/>
  <c r="L2924" i="7"/>
  <c r="M2924" i="7" s="1"/>
  <c r="L2923" i="7"/>
  <c r="M2923" i="7" s="1"/>
  <c r="L2922" i="7"/>
  <c r="M2922" i="7" s="1"/>
  <c r="L2921" i="7"/>
  <c r="M2921" i="7" s="1"/>
  <c r="L2920" i="7"/>
  <c r="M2920" i="7" s="1"/>
  <c r="L2919" i="7"/>
  <c r="M2919" i="7" s="1"/>
  <c r="L2918" i="7"/>
  <c r="M2918" i="7" s="1"/>
  <c r="L2917" i="7"/>
  <c r="M2917" i="7" s="1"/>
  <c r="L2916" i="7"/>
  <c r="M2916" i="7" s="1"/>
  <c r="L2915" i="7"/>
  <c r="M2915" i="7" s="1"/>
  <c r="L2914" i="7"/>
  <c r="M2914" i="7" s="1"/>
  <c r="L2913" i="7"/>
  <c r="M2913" i="7" s="1"/>
  <c r="L2912" i="7"/>
  <c r="M2912" i="7" s="1"/>
  <c r="L2911" i="7"/>
  <c r="M2911" i="7" s="1"/>
  <c r="L2910" i="7"/>
  <c r="M2910" i="7" s="1"/>
  <c r="L2909" i="7"/>
  <c r="M2909" i="7" s="1"/>
  <c r="L2908" i="7"/>
  <c r="M2908" i="7" s="1"/>
  <c r="L2907" i="7"/>
  <c r="M2907" i="7" s="1"/>
  <c r="L2906" i="7"/>
  <c r="M2906" i="7" s="1"/>
  <c r="L2905" i="7"/>
  <c r="M2905" i="7" s="1"/>
  <c r="L2904" i="7"/>
  <c r="M2904" i="7" s="1"/>
  <c r="L2903" i="7"/>
  <c r="M2903" i="7" s="1"/>
  <c r="L2902" i="7"/>
  <c r="M2902" i="7" s="1"/>
  <c r="L2901" i="7"/>
  <c r="M2901" i="7" s="1"/>
  <c r="L2900" i="7"/>
  <c r="M2900" i="7" s="1"/>
  <c r="L2899" i="7"/>
  <c r="M2899" i="7" s="1"/>
  <c r="L2898" i="7"/>
  <c r="M2898" i="7" s="1"/>
  <c r="L2897" i="7"/>
  <c r="M2897" i="7" s="1"/>
  <c r="L2896" i="7"/>
  <c r="M2896" i="7" s="1"/>
  <c r="L2895" i="7"/>
  <c r="M2895" i="7" s="1"/>
  <c r="L2894" i="7"/>
  <c r="M2894" i="7" s="1"/>
  <c r="L2893" i="7"/>
  <c r="M2893" i="7" s="1"/>
  <c r="L2892" i="7"/>
  <c r="M2892" i="7" s="1"/>
  <c r="L2891" i="7"/>
  <c r="M2891" i="7" s="1"/>
  <c r="L2890" i="7"/>
  <c r="M2890" i="7" s="1"/>
  <c r="L2889" i="7"/>
  <c r="M2889" i="7" s="1"/>
  <c r="L2888" i="7"/>
  <c r="M2888" i="7" s="1"/>
  <c r="L2887" i="7"/>
  <c r="M2887" i="7" s="1"/>
  <c r="L2886" i="7"/>
  <c r="M2886" i="7" s="1"/>
  <c r="L2885" i="7"/>
  <c r="M2885" i="7" s="1"/>
  <c r="L2884" i="7"/>
  <c r="M2884" i="7" s="1"/>
  <c r="L2883" i="7"/>
  <c r="M2883" i="7" s="1"/>
  <c r="L2882" i="7"/>
  <c r="M2882" i="7" s="1"/>
  <c r="L2881" i="7"/>
  <c r="M2881" i="7" s="1"/>
  <c r="L2880" i="7"/>
  <c r="M2880" i="7" s="1"/>
  <c r="L2879" i="7"/>
  <c r="M2879" i="7" s="1"/>
  <c r="L2878" i="7"/>
  <c r="M2878" i="7" s="1"/>
  <c r="L2877" i="7"/>
  <c r="M2877" i="7" s="1"/>
  <c r="L2870" i="7"/>
  <c r="M2870" i="7" s="1"/>
  <c r="L2867" i="7"/>
  <c r="M2867" i="7" s="1"/>
  <c r="L2866" i="7"/>
  <c r="M2866" i="7" s="1"/>
  <c r="L2865" i="7"/>
  <c r="M2865" i="7" s="1"/>
  <c r="L2864" i="7"/>
  <c r="M2864" i="7" s="1"/>
  <c r="L2863" i="7"/>
  <c r="M2863" i="7" s="1"/>
  <c r="L2862" i="7"/>
  <c r="M2862" i="7" s="1"/>
  <c r="L2861" i="7"/>
  <c r="M2861" i="7" s="1"/>
  <c r="L2860" i="7"/>
  <c r="M2860" i="7" s="1"/>
  <c r="L2859" i="7"/>
  <c r="M2859" i="7" s="1"/>
  <c r="L2858" i="7"/>
  <c r="M2858" i="7" s="1"/>
  <c r="L2857" i="7"/>
  <c r="M2857" i="7" s="1"/>
  <c r="L2849" i="7"/>
  <c r="M2849" i="7" s="1"/>
  <c r="L2848" i="7"/>
  <c r="M2848" i="7" s="1"/>
  <c r="L2847" i="7"/>
  <c r="M2847" i="7" s="1"/>
  <c r="L2846" i="7"/>
  <c r="M2846" i="7" s="1"/>
  <c r="L2845" i="7"/>
  <c r="M2845" i="7" s="1"/>
  <c r="L2844" i="7"/>
  <c r="M2844" i="7" s="1"/>
  <c r="L2843" i="7"/>
  <c r="M2843" i="7" s="1"/>
  <c r="L2842" i="7"/>
  <c r="M2842" i="7" s="1"/>
  <c r="L2841" i="7"/>
  <c r="M2841" i="7" s="1"/>
  <c r="L2840" i="7"/>
  <c r="M2840" i="7" s="1"/>
  <c r="L2839" i="7"/>
  <c r="M2839" i="7" s="1"/>
  <c r="L2838" i="7"/>
  <c r="M2838" i="7" s="1"/>
  <c r="L2837" i="7"/>
  <c r="M2837" i="7" s="1"/>
  <c r="L2876" i="7"/>
  <c r="M2876" i="7" s="1"/>
  <c r="L2856" i="7"/>
  <c r="M2856" i="7" s="1"/>
  <c r="L2854" i="7"/>
  <c r="M2854" i="7" s="1"/>
  <c r="L2851" i="7"/>
  <c r="M2851" i="7" s="1"/>
  <c r="L2850" i="7" l="1"/>
  <c r="M2850" i="7" s="1"/>
  <c r="L2869" i="7"/>
  <c r="M2869" i="7" s="1"/>
  <c r="L2874" i="7"/>
  <c r="M2874" i="7" s="1"/>
  <c r="L2875" i="7"/>
  <c r="M2875" i="7" s="1"/>
  <c r="L2872" i="7"/>
  <c r="M2872" i="7" s="1"/>
  <c r="L2852" i="7"/>
  <c r="M2852" i="7" s="1"/>
  <c r="L2868" i="7"/>
  <c r="M2868" i="7" s="1"/>
  <c r="L2853" i="7"/>
  <c r="M2853" i="7" s="1"/>
  <c r="L2873" i="7"/>
  <c r="M2873" i="7" s="1"/>
  <c r="L2855" i="7"/>
  <c r="M2855" i="7" s="1"/>
  <c r="L2871" i="7"/>
  <c r="M2871" i="7" s="1"/>
  <c r="L2836" i="7" l="1"/>
  <c r="M2836" i="7" s="1"/>
  <c r="L2835" i="7"/>
  <c r="M2835" i="7" s="1"/>
  <c r="L2834" i="7"/>
  <c r="M2834" i="7" s="1"/>
  <c r="L2833" i="7"/>
  <c r="M2833" i="7" s="1"/>
  <c r="L2832" i="7"/>
  <c r="M2832" i="7" s="1"/>
  <c r="L2831" i="7" l="1"/>
  <c r="M2831" i="7" s="1"/>
  <c r="L2830" i="7"/>
  <c r="M2830" i="7" s="1"/>
  <c r="L2829" i="7"/>
  <c r="M2829" i="7" s="1"/>
  <c r="L2828" i="7"/>
  <c r="M2828" i="7" s="1"/>
  <c r="L2827" i="7"/>
  <c r="M2827" i="7" s="1"/>
  <c r="L2826" i="7"/>
  <c r="M2826" i="7" s="1"/>
  <c r="L2825" i="7"/>
  <c r="M2825" i="7" s="1"/>
  <c r="L2824" i="7"/>
  <c r="M2824" i="7" s="1"/>
  <c r="L2823" i="7"/>
  <c r="M2823" i="7" s="1"/>
  <c r="L2822" i="7"/>
  <c r="M2822" i="7" s="1"/>
  <c r="L2821" i="7"/>
  <c r="M2821" i="7" s="1"/>
  <c r="L2820" i="7"/>
  <c r="M2820" i="7" s="1"/>
  <c r="L2819" i="7"/>
  <c r="M2819" i="7" s="1"/>
  <c r="L2818" i="7"/>
  <c r="M2818" i="7" s="1"/>
  <c r="L2817" i="7"/>
  <c r="M2817" i="7" s="1"/>
  <c r="L2816" i="7"/>
  <c r="M2816" i="7" s="1"/>
  <c r="L2815" i="7"/>
  <c r="M2815" i="7" s="1"/>
  <c r="L2814" i="7"/>
  <c r="M2814" i="7" s="1"/>
  <c r="L2813" i="7"/>
  <c r="M2813" i="7" s="1"/>
  <c r="L2812" i="7"/>
  <c r="M2812" i="7" s="1"/>
  <c r="L2811" i="7"/>
  <c r="M2811" i="7" s="1"/>
  <c r="L2810" i="7"/>
  <c r="M2810" i="7" s="1"/>
  <c r="L2809" i="7"/>
  <c r="M2809" i="7" s="1"/>
  <c r="L2808" i="7"/>
  <c r="M2808" i="7" s="1"/>
  <c r="L2807" i="7"/>
  <c r="M2807" i="7" s="1"/>
  <c r="L2806" i="7"/>
  <c r="M2806" i="7" s="1"/>
  <c r="L2805" i="7"/>
  <c r="M2805" i="7" s="1"/>
  <c r="L2804" i="7"/>
  <c r="M2804" i="7" s="1"/>
  <c r="L2803" i="7"/>
  <c r="M2803" i="7" s="1"/>
  <c r="L2802" i="7"/>
  <c r="M2802" i="7" s="1"/>
  <c r="L2801" i="7"/>
  <c r="M2801" i="7" s="1"/>
  <c r="L2800" i="7"/>
  <c r="M2800" i="7" s="1"/>
  <c r="L2799" i="7"/>
  <c r="M2799" i="7" s="1"/>
  <c r="L2798" i="7"/>
  <c r="M2798" i="7" s="1"/>
  <c r="L2797" i="7"/>
  <c r="M2797" i="7" s="1"/>
  <c r="L2796" i="7"/>
  <c r="M2796" i="7" s="1"/>
  <c r="L2795" i="7"/>
  <c r="M2795" i="7" s="1"/>
  <c r="L2794" i="7"/>
  <c r="M2794" i="7" s="1"/>
  <c r="L2793" i="7"/>
  <c r="M2793" i="7" s="1"/>
  <c r="L2792" i="7"/>
  <c r="M2792" i="7" s="1"/>
  <c r="L2791" i="7"/>
  <c r="M2791" i="7" s="1"/>
  <c r="L2790" i="7"/>
  <c r="M2790" i="7" s="1"/>
  <c r="L2789" i="7"/>
  <c r="M2789" i="7" s="1"/>
  <c r="L2781" i="7"/>
  <c r="M2781" i="7" s="1"/>
  <c r="L2780" i="7"/>
  <c r="M2780" i="7" s="1"/>
  <c r="L2779" i="7"/>
  <c r="M2779" i="7" s="1"/>
  <c r="L2778" i="7"/>
  <c r="M2778" i="7" s="1"/>
  <c r="L2777" i="7"/>
  <c r="M2777" i="7" s="1"/>
  <c r="L2776" i="7"/>
  <c r="M2776" i="7" s="1"/>
  <c r="L2775" i="7"/>
  <c r="M2775" i="7" s="1"/>
  <c r="L2774" i="7"/>
  <c r="M2774" i="7" s="1"/>
  <c r="L2773" i="7"/>
  <c r="M2773" i="7" s="1"/>
  <c r="L2772" i="7"/>
  <c r="M2772" i="7" s="1"/>
  <c r="L2771" i="7"/>
  <c r="M2771" i="7" s="1"/>
  <c r="L2770" i="7"/>
  <c r="M2770" i="7" s="1"/>
  <c r="L2769" i="7"/>
  <c r="M2769" i="7" s="1"/>
  <c r="L2768" i="7"/>
  <c r="M2768" i="7" s="1"/>
  <c r="L2767" i="7"/>
  <c r="M2767" i="7" s="1"/>
  <c r="L2766" i="7"/>
  <c r="M2766" i="7" s="1"/>
  <c r="L2765" i="7"/>
  <c r="M2765" i="7" s="1"/>
  <c r="L2764" i="7"/>
  <c r="M2764" i="7" s="1"/>
  <c r="L2763" i="7"/>
  <c r="M2763" i="7" s="1"/>
  <c r="L2762" i="7"/>
  <c r="M2762" i="7" s="1"/>
  <c r="L2761" i="7"/>
  <c r="M2761" i="7" s="1"/>
  <c r="L2760" i="7"/>
  <c r="M2760" i="7" s="1"/>
  <c r="L2759" i="7"/>
  <c r="M2759" i="7" s="1"/>
  <c r="L2758" i="7"/>
  <c r="M2758" i="7" s="1"/>
  <c r="L2757" i="7"/>
  <c r="M2757" i="7" s="1"/>
  <c r="L2756" i="7"/>
  <c r="M2756" i="7" s="1"/>
  <c r="L2755" i="7"/>
  <c r="M2755" i="7" s="1"/>
  <c r="L2746" i="7"/>
  <c r="M2746" i="7" s="1"/>
  <c r="L2745" i="7"/>
  <c r="M2745" i="7" s="1"/>
  <c r="L2744" i="7"/>
  <c r="M2744" i="7" s="1"/>
  <c r="L2743" i="7"/>
  <c r="M2743" i="7" s="1"/>
  <c r="L2742" i="7"/>
  <c r="M2742" i="7" s="1"/>
  <c r="L2741" i="7"/>
  <c r="M2741" i="7" s="1"/>
  <c r="L2740" i="7"/>
  <c r="M2740" i="7" s="1"/>
  <c r="L2739" i="7"/>
  <c r="M2739" i="7" s="1"/>
  <c r="L2738" i="7"/>
  <c r="M2738" i="7" s="1"/>
  <c r="L2737" i="7"/>
  <c r="M2737" i="7" s="1"/>
  <c r="L2736" i="7"/>
  <c r="M2736" i="7" s="1"/>
  <c r="L2735" i="7"/>
  <c r="M2735" i="7" s="1"/>
  <c r="L2734" i="7"/>
  <c r="M2734" i="7" s="1"/>
  <c r="L2733" i="7"/>
  <c r="M2733" i="7" s="1"/>
  <c r="L2732" i="7"/>
  <c r="M2732" i="7" s="1"/>
  <c r="L2731" i="7"/>
  <c r="M2731" i="7" s="1"/>
  <c r="L2730" i="7"/>
  <c r="M2730" i="7" s="1"/>
  <c r="L2729" i="7"/>
  <c r="M2729" i="7" s="1"/>
  <c r="L2728" i="7"/>
  <c r="M2728" i="7" s="1"/>
  <c r="L2727" i="7"/>
  <c r="M2727" i="7" s="1"/>
  <c r="L2726" i="7"/>
  <c r="M2726" i="7" s="1"/>
  <c r="L2725" i="7"/>
  <c r="M2725" i="7" s="1"/>
  <c r="L2724" i="7"/>
  <c r="M2724" i="7" s="1"/>
  <c r="L2723" i="7"/>
  <c r="M2723" i="7" s="1"/>
  <c r="L2722" i="7"/>
  <c r="M2722" i="7" s="1"/>
  <c r="L2721" i="7"/>
  <c r="M2721" i="7" s="1"/>
  <c r="L2720" i="7"/>
  <c r="M2720" i="7" s="1"/>
  <c r="L2719" i="7"/>
  <c r="M2719" i="7" s="1"/>
  <c r="L2718" i="7"/>
  <c r="M2718" i="7" s="1"/>
  <c r="L2717" i="7"/>
  <c r="M2717" i="7" s="1"/>
  <c r="L2716" i="7"/>
  <c r="M2716" i="7" s="1"/>
  <c r="L2715" i="7"/>
  <c r="M2715" i="7" s="1"/>
  <c r="L2714" i="7"/>
  <c r="M2714" i="7" s="1"/>
  <c r="L2713" i="7"/>
  <c r="M2713" i="7" s="1"/>
  <c r="L2712" i="7"/>
  <c r="M2712" i="7" s="1"/>
  <c r="L2711" i="7"/>
  <c r="M2711" i="7" s="1"/>
  <c r="L2710" i="7"/>
  <c r="M2710" i="7" s="1"/>
  <c r="L2709" i="7"/>
  <c r="M2709" i="7" s="1"/>
  <c r="L2708" i="7"/>
  <c r="M2708" i="7" s="1"/>
  <c r="L2669" i="7"/>
  <c r="M2669" i="7" s="1"/>
  <c r="L2668" i="7"/>
  <c r="M2668" i="7" s="1"/>
  <c r="L2667" i="7"/>
  <c r="M2667" i="7" s="1"/>
  <c r="L2666" i="7"/>
  <c r="M2666" i="7" s="1"/>
  <c r="L2665" i="7"/>
  <c r="M2665" i="7" s="1"/>
  <c r="L2664" i="7"/>
  <c r="M2664" i="7" s="1"/>
  <c r="L2663" i="7"/>
  <c r="M2663" i="7" s="1"/>
  <c r="L2662" i="7"/>
  <c r="M2662" i="7" s="1"/>
  <c r="L2661" i="7"/>
  <c r="M2661" i="7" s="1"/>
  <c r="L2660" i="7"/>
  <c r="M2660" i="7" s="1"/>
  <c r="L2659" i="7"/>
  <c r="M2659" i="7" s="1"/>
  <c r="L2658" i="7"/>
  <c r="M2658" i="7" s="1"/>
  <c r="L2657" i="7"/>
  <c r="M2657" i="7" s="1"/>
  <c r="L2656" i="7"/>
  <c r="M2656" i="7" s="1"/>
  <c r="L2655" i="7"/>
  <c r="M2655" i="7" s="1"/>
  <c r="L2654" i="7"/>
  <c r="M2654" i="7" s="1"/>
  <c r="L2653" i="7"/>
  <c r="M2653" i="7" s="1"/>
  <c r="L2652" i="7"/>
  <c r="M2652" i="7" s="1"/>
  <c r="L2651" i="7"/>
  <c r="M2651" i="7" s="1"/>
  <c r="L2650" i="7"/>
  <c r="M2650" i="7" s="1"/>
  <c r="L2649" i="7"/>
  <c r="M2649" i="7" s="1"/>
  <c r="L2648" i="7"/>
  <c r="M2648" i="7" s="1"/>
  <c r="L2647" i="7"/>
  <c r="M2647" i="7" s="1"/>
  <c r="L2646" i="7"/>
  <c r="M2646" i="7" s="1"/>
  <c r="L2645" i="7"/>
  <c r="M2645" i="7" s="1"/>
  <c r="L2644" i="7"/>
  <c r="M2644" i="7" s="1"/>
  <c r="L2643" i="7"/>
  <c r="M2643" i="7" s="1"/>
  <c r="L2642" i="7"/>
  <c r="M2642" i="7" s="1"/>
  <c r="L2641" i="7"/>
  <c r="M2641" i="7" s="1"/>
  <c r="L2640" i="7"/>
  <c r="M2640" i="7" s="1"/>
  <c r="L2639" i="7"/>
  <c r="M2639" i="7" s="1"/>
  <c r="L2638" i="7"/>
  <c r="M2638" i="7" s="1"/>
  <c r="L2637" i="7"/>
  <c r="M2637" i="7" s="1"/>
  <c r="L2636" i="7"/>
  <c r="M2636" i="7" s="1"/>
  <c r="L2635" i="7"/>
  <c r="M2635" i="7" s="1"/>
  <c r="L2634" i="7"/>
  <c r="M2634" i="7" s="1"/>
  <c r="L2754" i="7"/>
  <c r="M2754" i="7" s="1"/>
  <c r="L2749" i="7"/>
  <c r="M2749" i="7" s="1"/>
  <c r="L2688" i="7"/>
  <c r="M2688" i="7" s="1"/>
  <c r="L2633" i="7"/>
  <c r="M2633" i="7" s="1"/>
  <c r="L2632" i="7"/>
  <c r="M2632" i="7" s="1"/>
  <c r="L2631" i="7"/>
  <c r="M2631" i="7" s="1"/>
  <c r="L2630" i="7"/>
  <c r="M2630" i="7" s="1"/>
  <c r="L2629" i="7"/>
  <c r="M2629" i="7" s="1"/>
  <c r="L2628" i="7"/>
  <c r="M2628" i="7" s="1"/>
  <c r="L2627" i="7"/>
  <c r="M2627" i="7" s="1"/>
  <c r="L2626" i="7"/>
  <c r="M2626" i="7" s="1"/>
  <c r="L2625" i="7"/>
  <c r="M2625" i="7" s="1"/>
  <c r="L2624" i="7"/>
  <c r="M2624" i="7" s="1"/>
  <c r="L2623" i="7"/>
  <c r="M2623" i="7" s="1"/>
  <c r="L2622" i="7"/>
  <c r="M2622" i="7" s="1"/>
  <c r="L2621" i="7"/>
  <c r="M2621" i="7" s="1"/>
  <c r="L2620" i="7"/>
  <c r="M2620" i="7" s="1"/>
  <c r="L2619" i="7"/>
  <c r="M2619" i="7" s="1"/>
  <c r="L2618" i="7"/>
  <c r="M2618" i="7" s="1"/>
  <c r="L2617" i="7"/>
  <c r="M2617" i="7" s="1"/>
  <c r="L2616" i="7"/>
  <c r="M2616" i="7" s="1"/>
  <c r="L2615" i="7"/>
  <c r="M2615" i="7" s="1"/>
  <c r="L2614" i="7"/>
  <c r="M2614" i="7" s="1"/>
  <c r="L2613" i="7"/>
  <c r="M2613" i="7" s="1"/>
  <c r="L2612" i="7"/>
  <c r="M2612" i="7" s="1"/>
  <c r="L2611" i="7"/>
  <c r="M2611" i="7" s="1"/>
  <c r="L2610" i="7"/>
  <c r="M2610" i="7" s="1"/>
  <c r="L2609" i="7"/>
  <c r="M2609" i="7" s="1"/>
  <c r="L2608" i="7"/>
  <c r="M2608" i="7" s="1"/>
  <c r="L2602" i="7"/>
  <c r="M2602" i="7" s="1"/>
  <c r="L2601" i="7"/>
  <c r="M2601" i="7" s="1"/>
  <c r="L2600" i="7"/>
  <c r="M2600" i="7" s="1"/>
  <c r="L2599" i="7"/>
  <c r="M2599" i="7" s="1"/>
  <c r="L2568" i="7"/>
  <c r="M2568" i="7" s="1"/>
  <c r="L2567" i="7"/>
  <c r="M2567" i="7" s="1"/>
  <c r="L2566" i="7"/>
  <c r="M2566" i="7" s="1"/>
  <c r="L2565" i="7"/>
  <c r="M2565" i="7" s="1"/>
  <c r="L2564" i="7"/>
  <c r="M2564" i="7" s="1"/>
  <c r="L2563" i="7"/>
  <c r="M2563" i="7" s="1"/>
  <c r="L2562" i="7"/>
  <c r="M2562" i="7" s="1"/>
  <c r="L2561" i="7"/>
  <c r="M2561" i="7" s="1"/>
  <c r="L2560" i="7"/>
  <c r="M2560" i="7" s="1"/>
  <c r="L2559" i="7"/>
  <c r="M2559" i="7" s="1"/>
  <c r="L2558" i="7"/>
  <c r="M2558" i="7" s="1"/>
  <c r="L2557" i="7"/>
  <c r="M2557" i="7" s="1"/>
  <c r="L2556" i="7"/>
  <c r="M2556" i="7" s="1"/>
  <c r="L2555" i="7"/>
  <c r="M2555" i="7" s="1"/>
  <c r="L2554" i="7"/>
  <c r="M2554" i="7" s="1"/>
  <c r="L2553" i="7"/>
  <c r="M2553" i="7" s="1"/>
  <c r="L2552" i="7"/>
  <c r="M2552" i="7" s="1"/>
  <c r="L2551" i="7"/>
  <c r="M2551" i="7" s="1"/>
  <c r="L2550" i="7"/>
  <c r="M2550" i="7" s="1"/>
  <c r="L2549" i="7"/>
  <c r="M2549" i="7" s="1"/>
  <c r="L2548" i="7"/>
  <c r="M2548" i="7" s="1"/>
  <c r="L2547" i="7"/>
  <c r="M2547" i="7" s="1"/>
  <c r="L2546" i="7"/>
  <c r="M2546" i="7" s="1"/>
  <c r="L2545" i="7"/>
  <c r="M2545" i="7" s="1"/>
  <c r="L2544" i="7"/>
  <c r="M2544" i="7" s="1"/>
  <c r="L2543" i="7"/>
  <c r="M2543" i="7" s="1"/>
  <c r="L2542" i="7"/>
  <c r="M2542" i="7" s="1"/>
  <c r="L2541" i="7"/>
  <c r="M2541" i="7" s="1"/>
  <c r="L2540" i="7"/>
  <c r="M2540" i="7" s="1"/>
  <c r="L2539" i="7"/>
  <c r="M2539" i="7" s="1"/>
  <c r="L2538" i="7"/>
  <c r="M2538" i="7" s="1"/>
  <c r="L2537" i="7"/>
  <c r="M2537" i="7" s="1"/>
  <c r="L2536" i="7"/>
  <c r="M2536" i="7" s="1"/>
  <c r="L2535" i="7"/>
  <c r="M2535" i="7" s="1"/>
  <c r="L2534" i="7"/>
  <c r="M2534" i="7" s="1"/>
  <c r="L2533" i="7"/>
  <c r="M2533" i="7" s="1"/>
  <c r="L2532" i="7"/>
  <c r="M2532" i="7" s="1"/>
  <c r="L2531" i="7"/>
  <c r="M2531" i="7" s="1"/>
  <c r="L2530" i="7"/>
  <c r="M2530" i="7" s="1"/>
  <c r="L2529" i="7"/>
  <c r="M2529" i="7" s="1"/>
  <c r="L2528" i="7"/>
  <c r="M2528" i="7" s="1"/>
  <c r="L2527" i="7"/>
  <c r="M2527" i="7" s="1"/>
  <c r="L2526" i="7"/>
  <c r="M2526" i="7" s="1"/>
  <c r="L2525" i="7"/>
  <c r="M2525" i="7" s="1"/>
  <c r="L2524" i="7"/>
  <c r="M2524" i="7" s="1"/>
  <c r="L2523" i="7"/>
  <c r="M2523" i="7" s="1"/>
  <c r="L2522" i="7"/>
  <c r="M2522" i="7" s="1"/>
  <c r="L2521" i="7"/>
  <c r="M2521" i="7" s="1"/>
  <c r="L2520" i="7"/>
  <c r="M2520" i="7" s="1"/>
  <c r="L2519" i="7"/>
  <c r="M2519" i="7" s="1"/>
  <c r="L2518" i="7"/>
  <c r="M2518" i="7" s="1"/>
  <c r="L2517" i="7"/>
  <c r="M2517" i="7" s="1"/>
  <c r="L2516" i="7"/>
  <c r="M2516" i="7" s="1"/>
  <c r="L2515" i="7"/>
  <c r="M2515" i="7" s="1"/>
  <c r="L2514" i="7"/>
  <c r="M2514" i="7" s="1"/>
  <c r="L2513" i="7"/>
  <c r="M2513" i="7" s="1"/>
  <c r="L2512" i="7"/>
  <c r="M2512" i="7" s="1"/>
  <c r="L2511" i="7"/>
  <c r="M2511" i="7" s="1"/>
  <c r="L2510" i="7"/>
  <c r="M2510" i="7" s="1"/>
  <c r="L2509" i="7"/>
  <c r="M2509" i="7" s="1"/>
  <c r="L2508" i="7"/>
  <c r="M2508" i="7" s="1"/>
  <c r="L2507" i="7"/>
  <c r="M2507" i="7" s="1"/>
  <c r="L2506" i="7"/>
  <c r="M2506" i="7" s="1"/>
  <c r="L2505" i="7"/>
  <c r="M2505" i="7" s="1"/>
  <c r="L2504" i="7"/>
  <c r="M2504" i="7" s="1"/>
  <c r="L2503" i="7"/>
  <c r="M2503" i="7" s="1"/>
  <c r="L2502" i="7"/>
  <c r="M2502" i="7" s="1"/>
  <c r="L2501" i="7"/>
  <c r="M2501" i="7" s="1"/>
  <c r="L2500" i="7"/>
  <c r="M2500" i="7" s="1"/>
  <c r="L2499" i="7"/>
  <c r="M2499" i="7" s="1"/>
  <c r="L2498" i="7"/>
  <c r="M2498" i="7" s="1"/>
  <c r="L2497" i="7"/>
  <c r="M2497" i="7" s="1"/>
  <c r="L2496" i="7"/>
  <c r="M2496" i="7" s="1"/>
  <c r="L2495" i="7"/>
  <c r="M2495" i="7" s="1"/>
  <c r="L2494" i="7"/>
  <c r="M2494" i="7" s="1"/>
  <c r="L2493" i="7"/>
  <c r="M2493" i="7" s="1"/>
  <c r="L2492" i="7"/>
  <c r="M2492" i="7" s="1"/>
  <c r="L2489" i="7"/>
  <c r="M2489" i="7" s="1"/>
  <c r="L2458" i="7"/>
  <c r="M2458" i="7" s="1"/>
  <c r="L2455" i="7"/>
  <c r="M2455" i="7" s="1"/>
  <c r="L2454" i="7"/>
  <c r="M2454" i="7" s="1"/>
  <c r="L2453" i="7"/>
  <c r="M2453" i="7" s="1"/>
  <c r="L2452" i="7"/>
  <c r="M2452" i="7" s="1"/>
  <c r="L2451" i="7"/>
  <c r="M2451" i="7" s="1"/>
  <c r="L2450" i="7"/>
  <c r="M2450" i="7" s="1"/>
  <c r="L2449" i="7"/>
  <c r="M2449" i="7" s="1"/>
  <c r="L2448" i="7"/>
  <c r="M2448" i="7" s="1"/>
  <c r="L2447" i="7"/>
  <c r="M2447" i="7" s="1"/>
  <c r="L2446" i="7"/>
  <c r="M2446" i="7" s="1"/>
  <c r="L2445" i="7"/>
  <c r="M2445" i="7" s="1"/>
  <c r="L2444" i="7"/>
  <c r="M2444" i="7" s="1"/>
  <c r="L2443" i="7"/>
  <c r="M2443" i="7" s="1"/>
  <c r="L2442" i="7"/>
  <c r="M2442" i="7" s="1"/>
  <c r="L2441" i="7"/>
  <c r="M2441" i="7" s="1"/>
  <c r="L2440" i="7"/>
  <c r="M2440" i="7" s="1"/>
  <c r="L2439" i="7"/>
  <c r="M2439" i="7" s="1"/>
  <c r="L2438" i="7"/>
  <c r="M2438" i="7" s="1"/>
  <c r="L2437" i="7"/>
  <c r="M2437" i="7" s="1"/>
  <c r="L2436" i="7"/>
  <c r="M2436" i="7" s="1"/>
  <c r="L2435" i="7"/>
  <c r="M2435" i="7" s="1"/>
  <c r="L2434" i="7"/>
  <c r="M2434" i="7" s="1"/>
  <c r="L2433" i="7"/>
  <c r="M2433" i="7" s="1"/>
  <c r="L2432" i="7"/>
  <c r="M2432" i="7" s="1"/>
  <c r="L2424" i="7"/>
  <c r="M2424" i="7" s="1"/>
  <c r="L2423" i="7"/>
  <c r="M2423" i="7" s="1"/>
  <c r="L2422" i="7"/>
  <c r="M2422" i="7" s="1"/>
  <c r="L2421" i="7"/>
  <c r="M2421" i="7" s="1"/>
  <c r="L2420" i="7"/>
  <c r="M2420" i="7" s="1"/>
  <c r="L2419" i="7"/>
  <c r="M2419" i="7" s="1"/>
  <c r="L2418" i="7"/>
  <c r="M2418" i="7" s="1"/>
  <c r="L2417" i="7"/>
  <c r="M2417" i="7" s="1"/>
  <c r="L2416" i="7"/>
  <c r="M2416" i="7" s="1"/>
  <c r="L2415" i="7"/>
  <c r="M2415" i="7" s="1"/>
  <c r="L2414" i="7"/>
  <c r="M2414" i="7" s="1"/>
  <c r="L2413" i="7"/>
  <c r="M2413" i="7" s="1"/>
  <c r="L2412" i="7"/>
  <c r="M2412" i="7" s="1"/>
  <c r="L2411" i="7"/>
  <c r="M2411" i="7" s="1"/>
  <c r="L2410" i="7"/>
  <c r="M2410" i="7" s="1"/>
  <c r="L2409" i="7"/>
  <c r="M2409" i="7" s="1"/>
  <c r="L2408" i="7"/>
  <c r="M2408" i="7" s="1"/>
  <c r="L2407" i="7"/>
  <c r="M2407" i="7" s="1"/>
  <c r="L2406" i="7"/>
  <c r="M2406" i="7" s="1"/>
  <c r="L2405" i="7"/>
  <c r="M2405" i="7" s="1"/>
  <c r="L2404" i="7"/>
  <c r="M2404" i="7" s="1"/>
  <c r="L2403" i="7"/>
  <c r="M2403" i="7" s="1"/>
  <c r="L2402" i="7"/>
  <c r="M2402" i="7" s="1"/>
  <c r="L2401" i="7"/>
  <c r="M2401" i="7" s="1"/>
  <c r="L2400" i="7"/>
  <c r="M2400" i="7" s="1"/>
  <c r="L2399" i="7"/>
  <c r="M2399" i="7" s="1"/>
  <c r="L2398" i="7"/>
  <c r="M2398" i="7" s="1"/>
  <c r="L2397" i="7"/>
  <c r="M2397" i="7" s="1"/>
  <c r="L2396" i="7"/>
  <c r="M2396" i="7" s="1"/>
  <c r="L2395" i="7"/>
  <c r="M2395" i="7" s="1"/>
  <c r="L2394" i="7"/>
  <c r="M2394" i="7" s="1"/>
  <c r="L2393" i="7"/>
  <c r="M2393" i="7" s="1"/>
  <c r="L2392" i="7"/>
  <c r="M2392" i="7" s="1"/>
  <c r="L2391" i="7"/>
  <c r="M2391" i="7" s="1"/>
  <c r="L2390" i="7"/>
  <c r="M2390" i="7" s="1"/>
  <c r="L2389" i="7"/>
  <c r="M2389" i="7" s="1"/>
  <c r="L2388" i="7"/>
  <c r="M2388" i="7" s="1"/>
  <c r="L2387" i="7"/>
  <c r="M2387" i="7" s="1"/>
  <c r="L2386" i="7"/>
  <c r="M2386" i="7" s="1"/>
  <c r="L2604" i="7"/>
  <c r="M2604" i="7" s="1"/>
  <c r="L2603" i="7"/>
  <c r="M2603" i="7" s="1"/>
  <c r="L2590" i="7"/>
  <c r="M2590" i="7" s="1"/>
  <c r="L2579" i="7"/>
  <c r="M2579" i="7" s="1"/>
  <c r="L2486" i="7"/>
  <c r="M2486" i="7" s="1"/>
  <c r="L2484" i="7"/>
  <c r="M2484" i="7" s="1"/>
  <c r="L2483" i="7"/>
  <c r="M2483" i="7" s="1"/>
  <c r="L2479" i="7"/>
  <c r="M2479" i="7" s="1"/>
  <c r="L2478" i="7"/>
  <c r="M2478" i="7" s="1"/>
  <c r="L2473" i="7"/>
  <c r="M2473" i="7" s="1"/>
  <c r="L2460" i="7"/>
  <c r="M2460" i="7" s="1"/>
  <c r="L2459" i="7"/>
  <c r="M2459" i="7" s="1"/>
  <c r="L2457" i="7"/>
  <c r="M2457" i="7" s="1"/>
  <c r="L2456" i="7"/>
  <c r="M2456" i="7" s="1"/>
  <c r="L2429" i="7"/>
  <c r="M2429" i="7" s="1"/>
  <c r="L2381" i="7"/>
  <c r="M2381" i="7" s="1"/>
  <c r="L2380" i="7"/>
  <c r="M2380" i="7" s="1"/>
  <c r="L2379" i="7"/>
  <c r="M2379" i="7" s="1"/>
  <c r="L2378" i="7"/>
  <c r="M2378" i="7" s="1"/>
  <c r="L2377" i="7"/>
  <c r="M2377" i="7" s="1"/>
  <c r="L2376" i="7"/>
  <c r="M2376" i="7" s="1"/>
  <c r="L2375" i="7"/>
  <c r="M2375" i="7" s="1"/>
  <c r="L2374" i="7"/>
  <c r="M2374" i="7" s="1"/>
  <c r="L2373" i="7"/>
  <c r="M2373" i="7" s="1"/>
  <c r="L2372" i="7"/>
  <c r="M2372" i="7" s="1"/>
  <c r="L2371" i="7"/>
  <c r="M2371" i="7" s="1"/>
  <c r="L2370" i="7"/>
  <c r="M2370" i="7" s="1"/>
  <c r="L2369" i="7"/>
  <c r="M2369" i="7" s="1"/>
  <c r="L2336" i="7"/>
  <c r="M2336" i="7" s="1"/>
  <c r="L2335" i="7"/>
  <c r="M2335" i="7" s="1"/>
  <c r="L2334" i="7"/>
  <c r="M2334" i="7" s="1"/>
  <c r="L2330" i="7"/>
  <c r="M2330" i="7" s="1"/>
  <c r="L2329" i="7"/>
  <c r="M2329" i="7" s="1"/>
  <c r="L2328" i="7"/>
  <c r="M2328" i="7" s="1"/>
  <c r="L2327" i="7"/>
  <c r="M2327" i="7" s="1"/>
  <c r="L2326" i="7"/>
  <c r="M2326" i="7" s="1"/>
  <c r="L2325" i="7"/>
  <c r="M2325" i="7" s="1"/>
  <c r="L2324" i="7"/>
  <c r="M2324" i="7" s="1"/>
  <c r="L2323" i="7"/>
  <c r="M2323" i="7" s="1"/>
  <c r="L2322" i="7"/>
  <c r="M2322" i="7" s="1"/>
  <c r="L2321" i="7"/>
  <c r="M2321" i="7" s="1"/>
  <c r="L2320" i="7"/>
  <c r="M2320" i="7" s="1"/>
  <c r="L2319" i="7"/>
  <c r="M2319" i="7" s="1"/>
  <c r="L2318" i="7"/>
  <c r="M2318" i="7" s="1"/>
  <c r="L2317" i="7"/>
  <c r="M2317" i="7" s="1"/>
  <c r="L2316" i="7"/>
  <c r="M2316" i="7" s="1"/>
  <c r="L2315" i="7"/>
  <c r="M2315" i="7" s="1"/>
  <c r="L2314" i="7"/>
  <c r="M2314" i="7" s="1"/>
  <c r="L2313" i="7"/>
  <c r="M2313" i="7" s="1"/>
  <c r="L2312" i="7"/>
  <c r="M2312" i="7" s="1"/>
  <c r="L2366" i="7"/>
  <c r="M2366" i="7" s="1"/>
  <c r="L2342" i="7"/>
  <c r="M2342" i="7" s="1"/>
  <c r="L2786" i="7" l="1"/>
  <c r="M2786" i="7" s="1"/>
  <c r="L2682" i="7"/>
  <c r="M2682" i="7" s="1"/>
  <c r="L2591" i="7"/>
  <c r="M2591" i="7" s="1"/>
  <c r="L2428" i="7"/>
  <c r="M2428" i="7" s="1"/>
  <c r="L2426" i="7"/>
  <c r="M2426" i="7" s="1"/>
  <c r="L2337" i="7"/>
  <c r="M2337" i="7" s="1"/>
  <c r="L2427" i="7"/>
  <c r="M2427" i="7" s="1"/>
  <c r="L2580" i="7"/>
  <c r="M2580" i="7" s="1"/>
  <c r="L2345" i="7"/>
  <c r="M2345" i="7" s="1"/>
  <c r="L2581" i="7"/>
  <c r="M2581" i="7" s="1"/>
  <c r="L2594" i="7"/>
  <c r="M2594" i="7" s="1"/>
  <c r="L2674" i="7"/>
  <c r="M2674" i="7" s="1"/>
  <c r="L2787" i="7"/>
  <c r="M2787" i="7" s="1"/>
  <c r="L2331" i="7"/>
  <c r="M2331" i="7" s="1"/>
  <c r="L2353" i="7"/>
  <c r="M2353" i="7" s="1"/>
  <c r="L2570" i="7"/>
  <c r="M2570" i="7" s="1"/>
  <c r="L2582" i="7"/>
  <c r="M2582" i="7" s="1"/>
  <c r="L2595" i="7"/>
  <c r="M2595" i="7" s="1"/>
  <c r="L2788" i="7"/>
  <c r="M2788" i="7" s="1"/>
  <c r="L2332" i="7"/>
  <c r="M2332" i="7" s="1"/>
  <c r="L2361" i="7"/>
  <c r="M2361" i="7" s="1"/>
  <c r="L2571" i="7"/>
  <c r="M2571" i="7" s="1"/>
  <c r="L2586" i="7"/>
  <c r="M2586" i="7" s="1"/>
  <c r="L2596" i="7"/>
  <c r="M2596" i="7" s="1"/>
  <c r="L2690" i="7"/>
  <c r="M2690" i="7" s="1"/>
  <c r="L2333" i="7"/>
  <c r="M2333" i="7" s="1"/>
  <c r="L2490" i="7"/>
  <c r="M2490" i="7" s="1"/>
  <c r="L2572" i="7"/>
  <c r="M2572" i="7" s="1"/>
  <c r="L2587" i="7"/>
  <c r="M2587" i="7" s="1"/>
  <c r="L2597" i="7"/>
  <c r="M2597" i="7" s="1"/>
  <c r="L2698" i="7"/>
  <c r="M2698" i="7" s="1"/>
  <c r="L2574" i="7"/>
  <c r="M2574" i="7" s="1"/>
  <c r="L2588" i="7"/>
  <c r="M2588" i="7" s="1"/>
  <c r="L2598" i="7"/>
  <c r="M2598" i="7" s="1"/>
  <c r="L2706" i="7"/>
  <c r="M2706" i="7" s="1"/>
  <c r="L2578" i="7"/>
  <c r="M2578" i="7" s="1"/>
  <c r="L2589" i="7"/>
  <c r="M2589" i="7" s="1"/>
  <c r="L2344" i="7"/>
  <c r="M2344" i="7" s="1"/>
  <c r="L2362" i="7"/>
  <c r="M2362" i="7" s="1"/>
  <c r="L2431" i="7"/>
  <c r="M2431" i="7" s="1"/>
  <c r="L2705" i="7"/>
  <c r="M2705" i="7" s="1"/>
  <c r="L2707" i="7"/>
  <c r="M2707" i="7" s="1"/>
  <c r="L2752" i="7"/>
  <c r="M2752" i="7" s="1"/>
  <c r="L2352" i="7"/>
  <c r="M2352" i="7" s="1"/>
  <c r="L2360" i="7"/>
  <c r="M2360" i="7" s="1"/>
  <c r="L2368" i="7"/>
  <c r="M2368" i="7" s="1"/>
  <c r="L2385" i="7"/>
  <c r="M2385" i="7" s="1"/>
  <c r="L2425" i="7"/>
  <c r="M2425" i="7" s="1"/>
  <c r="L2465" i="7"/>
  <c r="M2465" i="7" s="1"/>
  <c r="L2481" i="7"/>
  <c r="M2481" i="7" s="1"/>
  <c r="L2569" i="7"/>
  <c r="M2569" i="7" s="1"/>
  <c r="L2577" i="7"/>
  <c r="M2577" i="7" s="1"/>
  <c r="L2585" i="7"/>
  <c r="M2585" i="7" s="1"/>
  <c r="L2593" i="7"/>
  <c r="M2593" i="7" s="1"/>
  <c r="L2673" i="7"/>
  <c r="M2673" i="7" s="1"/>
  <c r="L2681" i="7"/>
  <c r="M2681" i="7" s="1"/>
  <c r="L2689" i="7"/>
  <c r="M2689" i="7" s="1"/>
  <c r="L2697" i="7"/>
  <c r="M2697" i="7" s="1"/>
  <c r="L2753" i="7"/>
  <c r="M2753" i="7" s="1"/>
  <c r="L2785" i="7"/>
  <c r="M2785" i="7" s="1"/>
  <c r="L2466" i="7"/>
  <c r="M2466" i="7" s="1"/>
  <c r="L2474" i="7"/>
  <c r="M2474" i="7" s="1"/>
  <c r="L2482" i="7"/>
  <c r="M2482" i="7" s="1"/>
  <c r="L2338" i="7"/>
  <c r="M2338" i="7" s="1"/>
  <c r="L2346" i="7"/>
  <c r="M2346" i="7" s="1"/>
  <c r="L2354" i="7"/>
  <c r="M2354" i="7" s="1"/>
  <c r="L2468" i="7"/>
  <c r="M2468" i="7" s="1"/>
  <c r="L2476" i="7"/>
  <c r="M2476" i="7" s="1"/>
  <c r="L2461" i="7"/>
  <c r="M2461" i="7" s="1"/>
  <c r="L2469" i="7"/>
  <c r="M2469" i="7" s="1"/>
  <c r="L2477" i="7"/>
  <c r="M2477" i="7" s="1"/>
  <c r="L2485" i="7"/>
  <c r="M2485" i="7" s="1"/>
  <c r="L2573" i="7"/>
  <c r="M2573" i="7" s="1"/>
  <c r="L2605" i="7"/>
  <c r="M2605" i="7" s="1"/>
  <c r="L2677" i="7"/>
  <c r="M2677" i="7" s="1"/>
  <c r="L2685" i="7"/>
  <c r="M2685" i="7" s="1"/>
  <c r="L2693" i="7"/>
  <c r="M2693" i="7" s="1"/>
  <c r="L2701" i="7"/>
  <c r="M2701" i="7" s="1"/>
  <c r="L2467" i="7"/>
  <c r="M2467" i="7" s="1"/>
  <c r="L2475" i="7"/>
  <c r="M2475" i="7" s="1"/>
  <c r="L2491" i="7"/>
  <c r="M2491" i="7" s="1"/>
  <c r="L2675" i="7"/>
  <c r="M2675" i="7" s="1"/>
  <c r="L2683" i="7"/>
  <c r="M2683" i="7" s="1"/>
  <c r="L2691" i="7"/>
  <c r="M2691" i="7" s="1"/>
  <c r="L2699" i="7"/>
  <c r="M2699" i="7" s="1"/>
  <c r="L2747" i="7"/>
  <c r="M2747" i="7" s="1"/>
  <c r="L2382" i="7"/>
  <c r="M2382" i="7" s="1"/>
  <c r="L2430" i="7"/>
  <c r="M2430" i="7" s="1"/>
  <c r="L2462" i="7"/>
  <c r="M2462" i="7" s="1"/>
  <c r="L2470" i="7"/>
  <c r="M2470" i="7" s="1"/>
  <c r="L2606" i="7"/>
  <c r="M2606" i="7" s="1"/>
  <c r="L2670" i="7"/>
  <c r="M2670" i="7" s="1"/>
  <c r="L2678" i="7"/>
  <c r="M2678" i="7" s="1"/>
  <c r="L2686" i="7"/>
  <c r="M2686" i="7" s="1"/>
  <c r="L2694" i="7"/>
  <c r="M2694" i="7" s="1"/>
  <c r="L2702" i="7"/>
  <c r="M2702" i="7" s="1"/>
  <c r="L2750" i="7"/>
  <c r="M2750" i="7" s="1"/>
  <c r="L2782" i="7"/>
  <c r="M2782" i="7" s="1"/>
  <c r="L2341" i="7"/>
  <c r="M2341" i="7" s="1"/>
  <c r="L2349" i="7"/>
  <c r="M2349" i="7" s="1"/>
  <c r="L2357" i="7"/>
  <c r="M2357" i="7" s="1"/>
  <c r="L2365" i="7"/>
  <c r="M2365" i="7" s="1"/>
  <c r="L2350" i="7"/>
  <c r="M2350" i="7" s="1"/>
  <c r="L2358" i="7"/>
  <c r="M2358" i="7" s="1"/>
  <c r="L2383" i="7"/>
  <c r="M2383" i="7" s="1"/>
  <c r="L2463" i="7"/>
  <c r="M2463" i="7" s="1"/>
  <c r="L2471" i="7"/>
  <c r="M2471" i="7" s="1"/>
  <c r="L2487" i="7"/>
  <c r="M2487" i="7" s="1"/>
  <c r="L2575" i="7"/>
  <c r="M2575" i="7" s="1"/>
  <c r="L2583" i="7"/>
  <c r="M2583" i="7" s="1"/>
  <c r="L2607" i="7"/>
  <c r="M2607" i="7" s="1"/>
  <c r="L2671" i="7"/>
  <c r="M2671" i="7" s="1"/>
  <c r="L2679" i="7"/>
  <c r="M2679" i="7" s="1"/>
  <c r="L2687" i="7"/>
  <c r="M2687" i="7" s="1"/>
  <c r="L2695" i="7"/>
  <c r="M2695" i="7" s="1"/>
  <c r="L2703" i="7"/>
  <c r="M2703" i="7" s="1"/>
  <c r="L2751" i="7"/>
  <c r="M2751" i="7" s="1"/>
  <c r="L2783" i="7"/>
  <c r="M2783" i="7" s="1"/>
  <c r="L2339" i="7"/>
  <c r="M2339" i="7" s="1"/>
  <c r="L2347" i="7"/>
  <c r="M2347" i="7" s="1"/>
  <c r="L2355" i="7"/>
  <c r="M2355" i="7" s="1"/>
  <c r="L2363" i="7"/>
  <c r="M2363" i="7" s="1"/>
  <c r="L2676" i="7"/>
  <c r="M2676" i="7" s="1"/>
  <c r="L2684" i="7"/>
  <c r="M2684" i="7" s="1"/>
  <c r="L2692" i="7"/>
  <c r="M2692" i="7" s="1"/>
  <c r="L2700" i="7"/>
  <c r="M2700" i="7" s="1"/>
  <c r="L2748" i="7"/>
  <c r="M2748" i="7" s="1"/>
  <c r="L2340" i="7"/>
  <c r="M2340" i="7" s="1"/>
  <c r="L2348" i="7"/>
  <c r="M2348" i="7" s="1"/>
  <c r="L2356" i="7"/>
  <c r="M2356" i="7" s="1"/>
  <c r="L2364" i="7"/>
  <c r="M2364" i="7" s="1"/>
  <c r="L2343" i="7"/>
  <c r="M2343" i="7" s="1"/>
  <c r="L2351" i="7"/>
  <c r="M2351" i="7" s="1"/>
  <c r="L2359" i="7"/>
  <c r="M2359" i="7" s="1"/>
  <c r="L2367" i="7"/>
  <c r="M2367" i="7" s="1"/>
  <c r="L2384" i="7"/>
  <c r="M2384" i="7" s="1"/>
  <c r="L2464" i="7"/>
  <c r="M2464" i="7" s="1"/>
  <c r="L2472" i="7"/>
  <c r="M2472" i="7" s="1"/>
  <c r="L2480" i="7"/>
  <c r="M2480" i="7" s="1"/>
  <c r="L2488" i="7"/>
  <c r="M2488" i="7" s="1"/>
  <c r="L2576" i="7"/>
  <c r="M2576" i="7" s="1"/>
  <c r="L2584" i="7"/>
  <c r="M2584" i="7" s="1"/>
  <c r="L2592" i="7"/>
  <c r="M2592" i="7" s="1"/>
  <c r="L2672" i="7"/>
  <c r="M2672" i="7" s="1"/>
  <c r="L2680" i="7"/>
  <c r="M2680" i="7" s="1"/>
  <c r="L2696" i="7"/>
  <c r="M2696" i="7" s="1"/>
  <c r="L2704" i="7"/>
  <c r="M2704" i="7" s="1"/>
  <c r="L2784" i="7"/>
  <c r="M2784" i="7" s="1"/>
  <c r="C43" i="17" l="1"/>
  <c r="C40" i="17"/>
  <c r="C36" i="17"/>
  <c r="L2308" i="7" l="1"/>
  <c r="M2308" i="7" s="1"/>
  <c r="L2307" i="7"/>
  <c r="M2307" i="7" s="1"/>
  <c r="L2306" i="7"/>
  <c r="M2306" i="7" s="1"/>
  <c r="L2305" i="7"/>
  <c r="M2305" i="7" s="1"/>
  <c r="L2304" i="7"/>
  <c r="M2304" i="7" s="1"/>
  <c r="L2303" i="7"/>
  <c r="M2303" i="7" s="1"/>
  <c r="L2302" i="7"/>
  <c r="M2302" i="7" s="1"/>
  <c r="L2301" i="7"/>
  <c r="M2301" i="7" s="1"/>
  <c r="L2300" i="7"/>
  <c r="M2300" i="7" s="1"/>
  <c r="L2299" i="7"/>
  <c r="M2299" i="7" s="1"/>
  <c r="L2298" i="7"/>
  <c r="M2298" i="7" s="1"/>
  <c r="L2297" i="7"/>
  <c r="M2297" i="7" s="1"/>
  <c r="L2296" i="7"/>
  <c r="M2296" i="7" s="1"/>
  <c r="L2295" i="7"/>
  <c r="M2295" i="7" s="1"/>
  <c r="L2294" i="7"/>
  <c r="M2294" i="7" s="1"/>
  <c r="L2293" i="7"/>
  <c r="M2293" i="7" s="1"/>
  <c r="L2292" i="7"/>
  <c r="M2292" i="7" s="1"/>
  <c r="L2291" i="7"/>
  <c r="M2291" i="7" s="1"/>
  <c r="L2290" i="7"/>
  <c r="M2290" i="7" s="1"/>
  <c r="L2260" i="7"/>
  <c r="M2260" i="7" s="1"/>
  <c r="L2259" i="7"/>
  <c r="M2259" i="7" s="1"/>
  <c r="L2258" i="7"/>
  <c r="M2258" i="7" s="1"/>
  <c r="L2257" i="7"/>
  <c r="M2257" i="7" s="1"/>
  <c r="L2256" i="7"/>
  <c r="M2256" i="7" s="1"/>
  <c r="L2255" i="7"/>
  <c r="M2255" i="7" s="1"/>
  <c r="L2254" i="7"/>
  <c r="M2254" i="7" s="1"/>
  <c r="L2253" i="7"/>
  <c r="M2253" i="7" s="1"/>
  <c r="L2252" i="7"/>
  <c r="M2252" i="7" s="1"/>
  <c r="L2251" i="7"/>
  <c r="M2251" i="7" s="1"/>
  <c r="L2250" i="7"/>
  <c r="M2250" i="7" s="1"/>
  <c r="L2249" i="7"/>
  <c r="M2249" i="7" s="1"/>
  <c r="L2248" i="7"/>
  <c r="M2248" i="7" s="1"/>
  <c r="L2247" i="7"/>
  <c r="M2247" i="7" s="1"/>
  <c r="L2246" i="7"/>
  <c r="M2246" i="7" s="1"/>
  <c r="L2245" i="7"/>
  <c r="M2245" i="7" s="1"/>
  <c r="L2244" i="7"/>
  <c r="M2244" i="7" s="1"/>
  <c r="L2243" i="7"/>
  <c r="M2243" i="7" s="1"/>
  <c r="L2242" i="7"/>
  <c r="M2242" i="7" s="1"/>
  <c r="L2241" i="7"/>
  <c r="M2241" i="7" s="1"/>
  <c r="L2240" i="7"/>
  <c r="M2240" i="7" s="1"/>
  <c r="L2239" i="7"/>
  <c r="M2239" i="7" s="1"/>
  <c r="L2238" i="7"/>
  <c r="M2238" i="7" s="1"/>
  <c r="L2237" i="7"/>
  <c r="M2237" i="7" s="1"/>
  <c r="L2236" i="7"/>
  <c r="M2236" i="7" s="1"/>
  <c r="L2235" i="7"/>
  <c r="M2235" i="7" s="1"/>
  <c r="L2234" i="7"/>
  <c r="M2234" i="7" s="1"/>
  <c r="L2233" i="7"/>
  <c r="M2233" i="7" s="1"/>
  <c r="L2232" i="7"/>
  <c r="M2232" i="7" s="1"/>
  <c r="L2231" i="7"/>
  <c r="M2231" i="7" s="1"/>
  <c r="L2230" i="7"/>
  <c r="M2230" i="7" s="1"/>
  <c r="L2229" i="7"/>
  <c r="M2229" i="7" s="1"/>
  <c r="L2228" i="7"/>
  <c r="M2228" i="7" s="1"/>
  <c r="L2227" i="7"/>
  <c r="M2227" i="7" s="1"/>
  <c r="L2226" i="7"/>
  <c r="M2226" i="7" s="1"/>
  <c r="L2225" i="7"/>
  <c r="M2225" i="7" s="1"/>
  <c r="L2224" i="7"/>
  <c r="M2224" i="7" s="1"/>
  <c r="L2223" i="7"/>
  <c r="M2223" i="7" s="1"/>
  <c r="L2222" i="7"/>
  <c r="M2222" i="7" s="1"/>
  <c r="L2221" i="7"/>
  <c r="M2221" i="7" s="1"/>
  <c r="L2220" i="7"/>
  <c r="M2220" i="7" s="1"/>
  <c r="L2219" i="7"/>
  <c r="M2219" i="7" s="1"/>
  <c r="L2218" i="7"/>
  <c r="M2218" i="7" s="1"/>
  <c r="L2217" i="7"/>
  <c r="M2217" i="7" s="1"/>
  <c r="L2216" i="7"/>
  <c r="M2216" i="7" s="1"/>
  <c r="L2215" i="7"/>
  <c r="M2215" i="7" s="1"/>
  <c r="L2214" i="7"/>
  <c r="M2214" i="7" s="1"/>
  <c r="L2213" i="7"/>
  <c r="M2213" i="7" s="1"/>
  <c r="L2212" i="7"/>
  <c r="M2212" i="7" s="1"/>
  <c r="L2211" i="7"/>
  <c r="M2211" i="7" s="1"/>
  <c r="L2210" i="7"/>
  <c r="M2210" i="7" s="1"/>
  <c r="L2209" i="7"/>
  <c r="M2209" i="7" s="1"/>
  <c r="L2208" i="7"/>
  <c r="M2208" i="7" s="1"/>
  <c r="L2207" i="7"/>
  <c r="M2207" i="7" s="1"/>
  <c r="L2204" i="7"/>
  <c r="M2204" i="7" s="1"/>
  <c r="L2203" i="7"/>
  <c r="M2203" i="7" s="1"/>
  <c r="L2202" i="7"/>
  <c r="M2202" i="7" s="1"/>
  <c r="L2201" i="7"/>
  <c r="M2201" i="7" s="1"/>
  <c r="L2309" i="7"/>
  <c r="M2309" i="7" s="1"/>
  <c r="L2289" i="7"/>
  <c r="M2289" i="7" s="1"/>
  <c r="L2288" i="7"/>
  <c r="M2288" i="7" s="1"/>
  <c r="L2287" i="7"/>
  <c r="M2287" i="7" s="1"/>
  <c r="L2286" i="7"/>
  <c r="M2286" i="7" s="1"/>
  <c r="L2285" i="7"/>
  <c r="M2285" i="7" s="1"/>
  <c r="L2284" i="7"/>
  <c r="M2284" i="7" s="1"/>
  <c r="L2283" i="7"/>
  <c r="M2283" i="7" s="1"/>
  <c r="L2282" i="7"/>
  <c r="M2282" i="7" s="1"/>
  <c r="L2281" i="7"/>
  <c r="M2281" i="7" s="1"/>
  <c r="L2280" i="7"/>
  <c r="M2280" i="7" s="1"/>
  <c r="L2270" i="7"/>
  <c r="M2270" i="7" s="1"/>
  <c r="L2266" i="7"/>
  <c r="M2266" i="7" s="1"/>
  <c r="L2261" i="7"/>
  <c r="M2261" i="7" s="1"/>
  <c r="L2206" i="7"/>
  <c r="M2206" i="7" s="1"/>
  <c r="L2199" i="7"/>
  <c r="M2199" i="7" s="1"/>
  <c r="L2196" i="7"/>
  <c r="M2196" i="7" s="1"/>
  <c r="L2268" i="7" l="1"/>
  <c r="M2268" i="7" s="1"/>
  <c r="L2276" i="7"/>
  <c r="M2276" i="7" s="1"/>
  <c r="L2197" i="7"/>
  <c r="M2197" i="7" s="1"/>
  <c r="L2267" i="7"/>
  <c r="M2267" i="7" s="1"/>
  <c r="L2275" i="7"/>
  <c r="M2275" i="7" s="1"/>
  <c r="L2205" i="7"/>
  <c r="M2205" i="7" s="1"/>
  <c r="L2269" i="7"/>
  <c r="M2269" i="7" s="1"/>
  <c r="L2277" i="7"/>
  <c r="M2277" i="7" s="1"/>
  <c r="L2198" i="7"/>
  <c r="M2198" i="7" s="1"/>
  <c r="L2262" i="7"/>
  <c r="M2262" i="7" s="1"/>
  <c r="L2278" i="7"/>
  <c r="M2278" i="7" s="1"/>
  <c r="L2263" i="7"/>
  <c r="M2263" i="7" s="1"/>
  <c r="L2271" i="7"/>
  <c r="M2271" i="7" s="1"/>
  <c r="L2279" i="7"/>
  <c r="M2279" i="7" s="1"/>
  <c r="L2310" i="7"/>
  <c r="M2310" i="7" s="1"/>
  <c r="L2200" i="7"/>
  <c r="M2200" i="7" s="1"/>
  <c r="L2264" i="7"/>
  <c r="M2264" i="7" s="1"/>
  <c r="L2272" i="7"/>
  <c r="M2272" i="7" s="1"/>
  <c r="L2311" i="7"/>
  <c r="M2311" i="7" s="1"/>
  <c r="L2265" i="7"/>
  <c r="M2265" i="7" s="1"/>
  <c r="L2273" i="7"/>
  <c r="M2273" i="7" s="1"/>
  <c r="L2274" i="7"/>
  <c r="M2274" i="7" s="1"/>
  <c r="I15" i="18"/>
  <c r="D15" i="18"/>
  <c r="C15" i="18"/>
  <c r="L2194" i="7" l="1"/>
  <c r="M2194" i="7" s="1"/>
  <c r="L2195" i="7"/>
  <c r="M2195" i="7" s="1"/>
  <c r="L2192" i="7"/>
  <c r="M2192" i="7" s="1"/>
  <c r="L2193" i="7"/>
  <c r="M2193" i="7" s="1"/>
  <c r="J15" i="18"/>
  <c r="L2191" i="7"/>
  <c r="M2191" i="7" s="1"/>
  <c r="L2190" i="7"/>
  <c r="M2190" i="7" s="1"/>
  <c r="L2189" i="7"/>
  <c r="M2189" i="7" s="1"/>
  <c r="L2188" i="7"/>
  <c r="M2188" i="7" s="1"/>
  <c r="L2187" i="7"/>
  <c r="M2187" i="7" s="1"/>
  <c r="L2186" i="7"/>
  <c r="M2186" i="7" s="1"/>
  <c r="L2185" i="7"/>
  <c r="M2185" i="7" s="1"/>
  <c r="L2184" i="7"/>
  <c r="M2184" i="7" s="1"/>
  <c r="L2183" i="7"/>
  <c r="M2183" i="7" s="1"/>
  <c r="L2182" i="7"/>
  <c r="M2182" i="7" s="1"/>
  <c r="L2181" i="7"/>
  <c r="M2181" i="7" s="1"/>
  <c r="L2180" i="7"/>
  <c r="M2180" i="7" s="1"/>
  <c r="L2179" i="7"/>
  <c r="M2179" i="7" s="1"/>
  <c r="L2178" i="7"/>
  <c r="M2178" i="7" s="1"/>
  <c r="L2172" i="7"/>
  <c r="M2172" i="7" s="1"/>
  <c r="L2171" i="7"/>
  <c r="M2171" i="7" s="1"/>
  <c r="L2170" i="7"/>
  <c r="M2170" i="7" s="1"/>
  <c r="L2169" i="7"/>
  <c r="M2169" i="7" s="1"/>
  <c r="L2168" i="7"/>
  <c r="M2168" i="7" s="1"/>
  <c r="L2167" i="7"/>
  <c r="M2167" i="7" s="1"/>
  <c r="L2166" i="7"/>
  <c r="M2166" i="7" s="1"/>
  <c r="L2165" i="7"/>
  <c r="M2165" i="7" s="1"/>
  <c r="L2164" i="7"/>
  <c r="M2164" i="7" s="1"/>
  <c r="L2163" i="7"/>
  <c r="M2163" i="7" s="1"/>
  <c r="L2162" i="7"/>
  <c r="M2162" i="7" s="1"/>
  <c r="L2161" i="7"/>
  <c r="M2161" i="7" s="1"/>
  <c r="L2160" i="7"/>
  <c r="M2160" i="7" s="1"/>
  <c r="L2159" i="7"/>
  <c r="M2159" i="7" s="1"/>
  <c r="L2158" i="7"/>
  <c r="M2158" i="7" s="1"/>
  <c r="L2157" i="7"/>
  <c r="M2157" i="7" s="1"/>
  <c r="L2156" i="7"/>
  <c r="M2156" i="7" s="1"/>
  <c r="L2155" i="7"/>
  <c r="M2155" i="7" s="1"/>
  <c r="L2154" i="7"/>
  <c r="M2154" i="7" s="1"/>
  <c r="L2153" i="7"/>
  <c r="M2153" i="7" s="1"/>
  <c r="L2152" i="7"/>
  <c r="M2152" i="7" s="1"/>
  <c r="L2151" i="7"/>
  <c r="M2151" i="7" s="1"/>
  <c r="L2150" i="7"/>
  <c r="M2150" i="7" s="1"/>
  <c r="L2149" i="7"/>
  <c r="M2149" i="7" s="1"/>
  <c r="L2148" i="7"/>
  <c r="M2148" i="7" s="1"/>
  <c r="L2147" i="7"/>
  <c r="M2147" i="7" s="1"/>
  <c r="L2146" i="7"/>
  <c r="M2146" i="7" s="1"/>
  <c r="L2145" i="7"/>
  <c r="M2145" i="7" s="1"/>
  <c r="L2144" i="7"/>
  <c r="M2144" i="7" s="1"/>
  <c r="L2099" i="7"/>
  <c r="M2099" i="7" s="1"/>
  <c r="L2098" i="7"/>
  <c r="M2098" i="7" s="1"/>
  <c r="L2097" i="7"/>
  <c r="M2097" i="7" s="1"/>
  <c r="L2096" i="7"/>
  <c r="M2096" i="7" s="1"/>
  <c r="L2095" i="7"/>
  <c r="M2095" i="7" s="1"/>
  <c r="L2094" i="7"/>
  <c r="M2094" i="7" s="1"/>
  <c r="L2093" i="7"/>
  <c r="M2093" i="7" s="1"/>
  <c r="L2092" i="7"/>
  <c r="M2092" i="7" s="1"/>
  <c r="L2091" i="7"/>
  <c r="M2091" i="7" s="1"/>
  <c r="L2090" i="7"/>
  <c r="M2090" i="7" s="1"/>
  <c r="L2089" i="7"/>
  <c r="M2089" i="7" s="1"/>
  <c r="L2088" i="7"/>
  <c r="M2088" i="7" s="1"/>
  <c r="L2087" i="7"/>
  <c r="M2087" i="7" s="1"/>
  <c r="L2086" i="7"/>
  <c r="M2086" i="7" s="1"/>
  <c r="L2085" i="7"/>
  <c r="M2085" i="7" s="1"/>
  <c r="L2084" i="7"/>
  <c r="M2084" i="7" s="1"/>
  <c r="L2083" i="7"/>
  <c r="M2083" i="7" s="1"/>
  <c r="L2082" i="7"/>
  <c r="M2082" i="7" s="1"/>
  <c r="L2081" i="7"/>
  <c r="M2081" i="7" s="1"/>
  <c r="L2080" i="7"/>
  <c r="M2080" i="7" s="1"/>
  <c r="L2079" i="7"/>
  <c r="M2079" i="7" s="1"/>
  <c r="L2078" i="7"/>
  <c r="M2078" i="7" s="1"/>
  <c r="L2077" i="7"/>
  <c r="M2077" i="7" s="1"/>
  <c r="L2076" i="7"/>
  <c r="M2076" i="7" s="1"/>
  <c r="L2075" i="7"/>
  <c r="M2075" i="7" s="1"/>
  <c r="L2074" i="7"/>
  <c r="M2074" i="7" s="1"/>
  <c r="L2073" i="7"/>
  <c r="M2073" i="7" s="1"/>
  <c r="L2072" i="7"/>
  <c r="M2072" i="7" s="1"/>
  <c r="L2071" i="7"/>
  <c r="M2071" i="7" s="1"/>
  <c r="L2070" i="7"/>
  <c r="M2070" i="7" s="1"/>
  <c r="L2069" i="7"/>
  <c r="M2069" i="7" s="1"/>
  <c r="L2058" i="7"/>
  <c r="M2058" i="7" s="1"/>
  <c r="L2057" i="7"/>
  <c r="M2057" i="7" s="1"/>
  <c r="L2056" i="7"/>
  <c r="M2056" i="7" s="1"/>
  <c r="L2055" i="7"/>
  <c r="M2055" i="7" s="1"/>
  <c r="L2054" i="7"/>
  <c r="M2054" i="7" s="1"/>
  <c r="L2053" i="7"/>
  <c r="M2053" i="7" s="1"/>
  <c r="L2052" i="7"/>
  <c r="M2052" i="7" s="1"/>
  <c r="L2051" i="7"/>
  <c r="M2051" i="7" s="1"/>
  <c r="L2050" i="7"/>
  <c r="M2050" i="7" s="1"/>
  <c r="L2049" i="7"/>
  <c r="M2049" i="7" s="1"/>
  <c r="L2048" i="7"/>
  <c r="M2048" i="7" s="1"/>
  <c r="L2047" i="7"/>
  <c r="M2047" i="7" s="1"/>
  <c r="L2046" i="7"/>
  <c r="M2046" i="7" s="1"/>
  <c r="L2045" i="7"/>
  <c r="M2045" i="7" s="1"/>
  <c r="L2044" i="7"/>
  <c r="M2044" i="7" s="1"/>
  <c r="L2043" i="7"/>
  <c r="M2043" i="7" s="1"/>
  <c r="L2037" i="7"/>
  <c r="M2037" i="7" s="1"/>
  <c r="L2036" i="7"/>
  <c r="M2036" i="7" s="1"/>
  <c r="L2035" i="7"/>
  <c r="M2035" i="7" s="1"/>
  <c r="L2034" i="7"/>
  <c r="M2034" i="7" s="1"/>
  <c r="L2033" i="7"/>
  <c r="M2033" i="7" s="1"/>
  <c r="L2032" i="7"/>
  <c r="M2032" i="7" s="1"/>
  <c r="L2031" i="7"/>
  <c r="M2031" i="7" s="1"/>
  <c r="L2030" i="7"/>
  <c r="M2030" i="7" s="1"/>
  <c r="L2029" i="7"/>
  <c r="M2029" i="7" s="1"/>
  <c r="L2028" i="7"/>
  <c r="M2028" i="7" s="1"/>
  <c r="L2027" i="7"/>
  <c r="M2027" i="7" s="1"/>
  <c r="L2026" i="7"/>
  <c r="M2026" i="7" s="1"/>
  <c r="L2025" i="7"/>
  <c r="M2025" i="7" s="1"/>
  <c r="L2024" i="7"/>
  <c r="M2024" i="7" s="1"/>
  <c r="L2023" i="7"/>
  <c r="M2023" i="7" s="1"/>
  <c r="L2022" i="7"/>
  <c r="M2022" i="7" s="1"/>
  <c r="L2021" i="7"/>
  <c r="M2021" i="7" s="1"/>
  <c r="L2020" i="7"/>
  <c r="M2020" i="7" s="1"/>
  <c r="L2019" i="7"/>
  <c r="M2019" i="7" s="1"/>
  <c r="L2018" i="7"/>
  <c r="M2018" i="7" s="1"/>
  <c r="L2017" i="7"/>
  <c r="M2017" i="7" s="1"/>
  <c r="L2016" i="7"/>
  <c r="M2016" i="7" s="1"/>
  <c r="L2015" i="7"/>
  <c r="M2015" i="7" s="1"/>
  <c r="L2014" i="7"/>
  <c r="M2014" i="7" s="1"/>
  <c r="L2013" i="7"/>
  <c r="M2013" i="7" s="1"/>
  <c r="L2012" i="7"/>
  <c r="M2012" i="7" s="1"/>
  <c r="L2011" i="7"/>
  <c r="M2011" i="7" s="1"/>
  <c r="L2010" i="7"/>
  <c r="M2010" i="7" s="1"/>
  <c r="L2009" i="7"/>
  <c r="M2009" i="7" s="1"/>
  <c r="L2008" i="7"/>
  <c r="M2008" i="7" s="1"/>
  <c r="L2007" i="7"/>
  <c r="M2007" i="7" s="1"/>
  <c r="L2006" i="7"/>
  <c r="M2006" i="7" s="1"/>
  <c r="L2176" i="7"/>
  <c r="M2176" i="7" s="1"/>
  <c r="L2173" i="7"/>
  <c r="M2173" i="7" s="1"/>
  <c r="L2064" i="7"/>
  <c r="M2064" i="7" s="1"/>
  <c r="L2063" i="7"/>
  <c r="M2063" i="7" s="1"/>
  <c r="L2041" i="7"/>
  <c r="M2041" i="7" s="1"/>
  <c r="L2039" i="7"/>
  <c r="M2039" i="7" s="1"/>
  <c r="L2042" i="7" l="1"/>
  <c r="M2042" i="7" s="1"/>
  <c r="L2066" i="7"/>
  <c r="M2066" i="7" s="1"/>
  <c r="L2177" i="7"/>
  <c r="M2177" i="7" s="1"/>
  <c r="L2065" i="7"/>
  <c r="M2065" i="7" s="1"/>
  <c r="L2105" i="7"/>
  <c r="M2105" i="7" s="1"/>
  <c r="L2120" i="7"/>
  <c r="M2120" i="7" s="1"/>
  <c r="L2128" i="7"/>
  <c r="M2128" i="7" s="1"/>
  <c r="L2136" i="7"/>
  <c r="M2136" i="7" s="1"/>
  <c r="L2106" i="7"/>
  <c r="M2106" i="7" s="1"/>
  <c r="L2113" i="7"/>
  <c r="M2113" i="7" s="1"/>
  <c r="L2121" i="7"/>
  <c r="M2121" i="7" s="1"/>
  <c r="L2129" i="7"/>
  <c r="M2129" i="7" s="1"/>
  <c r="L2137" i="7"/>
  <c r="M2137" i="7" s="1"/>
  <c r="L2059" i="7"/>
  <c r="M2059" i="7" s="1"/>
  <c r="L2067" i="7"/>
  <c r="M2067" i="7" s="1"/>
  <c r="L2107" i="7"/>
  <c r="M2107" i="7" s="1"/>
  <c r="L2114" i="7"/>
  <c r="M2114" i="7" s="1"/>
  <c r="L2122" i="7"/>
  <c r="M2122" i="7" s="1"/>
  <c r="L2130" i="7"/>
  <c r="M2130" i="7" s="1"/>
  <c r="L2138" i="7"/>
  <c r="M2138" i="7" s="1"/>
  <c r="L2060" i="7"/>
  <c r="M2060" i="7" s="1"/>
  <c r="L2068" i="7"/>
  <c r="M2068" i="7" s="1"/>
  <c r="L2100" i="7"/>
  <c r="M2100" i="7" s="1"/>
  <c r="L2108" i="7"/>
  <c r="M2108" i="7" s="1"/>
  <c r="L2115" i="7"/>
  <c r="M2115" i="7" s="1"/>
  <c r="L2123" i="7"/>
  <c r="M2123" i="7" s="1"/>
  <c r="L2131" i="7"/>
  <c r="M2131" i="7" s="1"/>
  <c r="L2139" i="7"/>
  <c r="M2139" i="7" s="1"/>
  <c r="L2061" i="7"/>
  <c r="M2061" i="7" s="1"/>
  <c r="L2101" i="7"/>
  <c r="M2101" i="7" s="1"/>
  <c r="L2109" i="7"/>
  <c r="M2109" i="7" s="1"/>
  <c r="L2116" i="7"/>
  <c r="M2116" i="7" s="1"/>
  <c r="L2124" i="7"/>
  <c r="M2124" i="7" s="1"/>
  <c r="L2132" i="7"/>
  <c r="M2132" i="7" s="1"/>
  <c r="L2140" i="7"/>
  <c r="M2140" i="7" s="1"/>
  <c r="L2038" i="7"/>
  <c r="M2038" i="7" s="1"/>
  <c r="L2062" i="7"/>
  <c r="M2062" i="7" s="1"/>
  <c r="L2102" i="7"/>
  <c r="M2102" i="7" s="1"/>
  <c r="L2110" i="7"/>
  <c r="M2110" i="7" s="1"/>
  <c r="L2117" i="7"/>
  <c r="M2117" i="7" s="1"/>
  <c r="L2125" i="7"/>
  <c r="M2125" i="7" s="1"/>
  <c r="L2133" i="7"/>
  <c r="M2133" i="7" s="1"/>
  <c r="L2141" i="7"/>
  <c r="M2141" i="7" s="1"/>
  <c r="L2103" i="7"/>
  <c r="M2103" i="7" s="1"/>
  <c r="L2111" i="7"/>
  <c r="M2111" i="7" s="1"/>
  <c r="L2118" i="7"/>
  <c r="M2118" i="7" s="1"/>
  <c r="L2126" i="7"/>
  <c r="M2126" i="7" s="1"/>
  <c r="L2134" i="7"/>
  <c r="M2134" i="7" s="1"/>
  <c r="L2142" i="7"/>
  <c r="M2142" i="7" s="1"/>
  <c r="L2174" i="7"/>
  <c r="M2174" i="7" s="1"/>
  <c r="L2040" i="7"/>
  <c r="M2040" i="7" s="1"/>
  <c r="L2104" i="7"/>
  <c r="M2104" i="7" s="1"/>
  <c r="L2112" i="7"/>
  <c r="M2112" i="7" s="1"/>
  <c r="L2119" i="7"/>
  <c r="M2119" i="7" s="1"/>
  <c r="L2127" i="7"/>
  <c r="M2127" i="7" s="1"/>
  <c r="L2135" i="7"/>
  <c r="M2135" i="7" s="1"/>
  <c r="L2143" i="7"/>
  <c r="M2143" i="7" s="1"/>
  <c r="L2175" i="7"/>
  <c r="M2175" i="7" s="1"/>
  <c r="I22" i="17" l="1"/>
  <c r="C32" i="17"/>
  <c r="C54" i="17" l="1"/>
  <c r="D34" i="17" s="1"/>
  <c r="L2005" i="7"/>
  <c r="M2005" i="7" s="1"/>
  <c r="L2004" i="7"/>
  <c r="M2004" i="7" s="1"/>
  <c r="L2003" i="7"/>
  <c r="M2003" i="7" s="1"/>
  <c r="L2002" i="7"/>
  <c r="M2002" i="7" s="1"/>
  <c r="L2001" i="7"/>
  <c r="M2001" i="7" s="1"/>
  <c r="L2000" i="7"/>
  <c r="M2000" i="7" s="1"/>
  <c r="L1999" i="7"/>
  <c r="M1999" i="7" s="1"/>
  <c r="L1998" i="7"/>
  <c r="M1998" i="7" s="1"/>
  <c r="D52" i="17" l="1"/>
  <c r="D45" i="17"/>
  <c r="D44" i="17"/>
  <c r="D49" i="17"/>
  <c r="D46" i="17"/>
  <c r="D53" i="17"/>
  <c r="D47" i="17"/>
  <c r="D51" i="17"/>
  <c r="D38" i="17"/>
  <c r="D50" i="17"/>
  <c r="D48" i="17"/>
  <c r="D37" i="17"/>
  <c r="D42" i="17"/>
  <c r="D41" i="17"/>
  <c r="D39" i="17"/>
  <c r="D40" i="17"/>
  <c r="D43" i="17"/>
  <c r="D36" i="17"/>
  <c r="L1997" i="7"/>
  <c r="M1997" i="7" s="1"/>
  <c r="L1996" i="7"/>
  <c r="M1996" i="7" s="1"/>
  <c r="L1995" i="7"/>
  <c r="M1995" i="7" s="1"/>
  <c r="L1994" i="7"/>
  <c r="M1994" i="7" s="1"/>
  <c r="L1993" i="7"/>
  <c r="M1993" i="7" s="1"/>
  <c r="L1992" i="7"/>
  <c r="M1992" i="7" s="1"/>
  <c r="L1991" i="7"/>
  <c r="M1991" i="7" s="1"/>
  <c r="L1990" i="7"/>
  <c r="M1990" i="7" s="1"/>
  <c r="L1989" i="7"/>
  <c r="M1989" i="7" s="1"/>
  <c r="L1988" i="7"/>
  <c r="M1988" i="7" s="1"/>
  <c r="L1987" i="7"/>
  <c r="M1987" i="7" s="1"/>
  <c r="L1986" i="7"/>
  <c r="M1986" i="7" s="1"/>
  <c r="L1985" i="7"/>
  <c r="M1985" i="7" s="1"/>
  <c r="L1984" i="7"/>
  <c r="M1984" i="7" s="1"/>
  <c r="L1983" i="7"/>
  <c r="M1983" i="7" s="1"/>
  <c r="L1982" i="7"/>
  <c r="M1982" i="7" s="1"/>
  <c r="L1981" i="7"/>
  <c r="M1981" i="7" s="1"/>
  <c r="L1980" i="7"/>
  <c r="M1980" i="7" s="1"/>
  <c r="L1979" i="7"/>
  <c r="M1979" i="7" s="1"/>
  <c r="L1978" i="7"/>
  <c r="M1978" i="7" s="1"/>
  <c r="L1977" i="7"/>
  <c r="M1977" i="7" s="1"/>
  <c r="L1976" i="7"/>
  <c r="M1976" i="7" s="1"/>
  <c r="L1975" i="7"/>
  <c r="M1975" i="7" s="1"/>
  <c r="L1974" i="7"/>
  <c r="M1974" i="7" s="1"/>
  <c r="L1952" i="7"/>
  <c r="M1952" i="7" s="1"/>
  <c r="L1951" i="7"/>
  <c r="M1951" i="7" s="1"/>
  <c r="L1950" i="7"/>
  <c r="M1950" i="7" s="1"/>
  <c r="L1949" i="7"/>
  <c r="M1949" i="7" s="1"/>
  <c r="L1948" i="7"/>
  <c r="M1948" i="7" s="1"/>
  <c r="L1947" i="7"/>
  <c r="M1947" i="7" s="1"/>
  <c r="L1946" i="7"/>
  <c r="M1946" i="7" s="1"/>
  <c r="L1945" i="7"/>
  <c r="M1945" i="7" s="1"/>
  <c r="L1944" i="7"/>
  <c r="M1944" i="7" s="1"/>
  <c r="L1943" i="7"/>
  <c r="M1943" i="7" s="1"/>
  <c r="L1942" i="7"/>
  <c r="M1942" i="7" s="1"/>
  <c r="L1941" i="7"/>
  <c r="M1941" i="7" s="1"/>
  <c r="L1940" i="7"/>
  <c r="M1940" i="7" s="1"/>
  <c r="L1939" i="7"/>
  <c r="M1939" i="7" s="1"/>
  <c r="L1938" i="7"/>
  <c r="M1938" i="7" s="1"/>
  <c r="L1937" i="7"/>
  <c r="M1937" i="7" s="1"/>
  <c r="L1936" i="7"/>
  <c r="M1936" i="7" s="1"/>
  <c r="L1935" i="7"/>
  <c r="M1935" i="7" s="1"/>
  <c r="L1934" i="7"/>
  <c r="M1934" i="7" s="1"/>
  <c r="L1933" i="7"/>
  <c r="M1933" i="7" s="1"/>
  <c r="L1932" i="7"/>
  <c r="M1932" i="7" s="1"/>
  <c r="L1931" i="7"/>
  <c r="M1931" i="7" s="1"/>
  <c r="L1930" i="7"/>
  <c r="M1930" i="7" s="1"/>
  <c r="L1929" i="7"/>
  <c r="M1929" i="7" s="1"/>
  <c r="L1928" i="7"/>
  <c r="M1928" i="7" s="1"/>
  <c r="L1927" i="7"/>
  <c r="M1927" i="7" s="1"/>
  <c r="L1926" i="7"/>
  <c r="M1926" i="7" s="1"/>
  <c r="L1925" i="7"/>
  <c r="M1925" i="7" s="1"/>
  <c r="L1924" i="7"/>
  <c r="M1924" i="7" s="1"/>
  <c r="L1923" i="7"/>
  <c r="M1923" i="7" s="1"/>
  <c r="L1922" i="7"/>
  <c r="M1922" i="7" s="1"/>
  <c r="L1921" i="7"/>
  <c r="M1921" i="7" s="1"/>
  <c r="L1919" i="7"/>
  <c r="M1919" i="7" s="1"/>
  <c r="L1918" i="7"/>
  <c r="M1918" i="7" s="1"/>
  <c r="L1883" i="7"/>
  <c r="M1883" i="7" s="1"/>
  <c r="L1882" i="7"/>
  <c r="M1882" i="7" s="1"/>
  <c r="L1881" i="7"/>
  <c r="M1881" i="7" s="1"/>
  <c r="L1880" i="7"/>
  <c r="M1880" i="7" s="1"/>
  <c r="L1879" i="7"/>
  <c r="M1879" i="7" s="1"/>
  <c r="L1878" i="7"/>
  <c r="M1878" i="7" s="1"/>
  <c r="L1877" i="7"/>
  <c r="M1877" i="7" s="1"/>
  <c r="L1876" i="7"/>
  <c r="M1876" i="7" s="1"/>
  <c r="L1875" i="7"/>
  <c r="M1875" i="7" s="1"/>
  <c r="L1874" i="7"/>
  <c r="M1874" i="7" s="1"/>
  <c r="L1873" i="7"/>
  <c r="M1873" i="7" s="1"/>
  <c r="L1872" i="7"/>
  <c r="M1872" i="7" s="1"/>
  <c r="L1871" i="7"/>
  <c r="M1871" i="7" s="1"/>
  <c r="L1870" i="7"/>
  <c r="M1870" i="7" s="1"/>
  <c r="L1869" i="7"/>
  <c r="M1869" i="7" s="1"/>
  <c r="L1868" i="7"/>
  <c r="M1868" i="7" s="1"/>
  <c r="L1867" i="7"/>
  <c r="M1867" i="7" s="1"/>
  <c r="L1866" i="7"/>
  <c r="M1866" i="7" s="1"/>
  <c r="L1865" i="7"/>
  <c r="M1865" i="7" s="1"/>
  <c r="L1864" i="7"/>
  <c r="M1864" i="7" s="1"/>
  <c r="L1863" i="7"/>
  <c r="M1863" i="7" s="1"/>
  <c r="L1862" i="7"/>
  <c r="M1862" i="7" s="1"/>
  <c r="L1861" i="7"/>
  <c r="M1861" i="7" s="1"/>
  <c r="L1860" i="7"/>
  <c r="M1860" i="7" s="1"/>
  <c r="L1859" i="7"/>
  <c r="M1859" i="7" s="1"/>
  <c r="L1858" i="7"/>
  <c r="M1858" i="7" s="1"/>
  <c r="L1857" i="7"/>
  <c r="M1857" i="7" s="1"/>
  <c r="L1856" i="7"/>
  <c r="M1856" i="7" s="1"/>
  <c r="L1855" i="7"/>
  <c r="M1855" i="7" s="1"/>
  <c r="L1854" i="7"/>
  <c r="M1854" i="7" s="1"/>
  <c r="L1853" i="7"/>
  <c r="M1853" i="7" s="1"/>
  <c r="L1852" i="7"/>
  <c r="M1852" i="7" s="1"/>
  <c r="L1851" i="7"/>
  <c r="M1851" i="7" s="1"/>
  <c r="L1850" i="7"/>
  <c r="M1850" i="7" s="1"/>
  <c r="L1849" i="7"/>
  <c r="M1849" i="7" s="1"/>
  <c r="L1848" i="7"/>
  <c r="M1848" i="7" s="1"/>
  <c r="L1847" i="7"/>
  <c r="M1847" i="7" s="1"/>
  <c r="L1846" i="7"/>
  <c r="M1846" i="7" s="1"/>
  <c r="L1845" i="7"/>
  <c r="M1845" i="7" s="1"/>
  <c r="L1844" i="7"/>
  <c r="M1844" i="7" s="1"/>
  <c r="L1843" i="7"/>
  <c r="M1843" i="7" s="1"/>
  <c r="L1842" i="7"/>
  <c r="M1842" i="7" s="1"/>
  <c r="L1839" i="7"/>
  <c r="M1839" i="7" s="1"/>
  <c r="L1838" i="7"/>
  <c r="M1838" i="7" s="1"/>
  <c r="L1837" i="7"/>
  <c r="M1837" i="7" s="1"/>
  <c r="L1836" i="7"/>
  <c r="M1836" i="7" s="1"/>
  <c r="L1835" i="7"/>
  <c r="M1835" i="7" s="1"/>
  <c r="L1834" i="7"/>
  <c r="M1834" i="7" s="1"/>
  <c r="L1833" i="7"/>
  <c r="M1833" i="7" s="1"/>
  <c r="L1832" i="7"/>
  <c r="M1832" i="7" s="1"/>
  <c r="L1958" i="7"/>
  <c r="M1958" i="7" s="1"/>
  <c r="L1899" i="7"/>
  <c r="M1899" i="7" s="1"/>
  <c r="L1841" i="7"/>
  <c r="M1841" i="7" s="1"/>
  <c r="D54" i="17" l="1"/>
  <c r="L1970" i="7"/>
  <c r="M1970" i="7" s="1"/>
  <c r="L1954" i="7"/>
  <c r="M1954" i="7" s="1"/>
  <c r="L1962" i="7"/>
  <c r="M1962" i="7" s="1"/>
  <c r="L1890" i="7"/>
  <c r="M1890" i="7" s="1"/>
  <c r="L1898" i="7"/>
  <c r="M1898" i="7" s="1"/>
  <c r="L1906" i="7"/>
  <c r="M1906" i="7" s="1"/>
  <c r="L1914" i="7"/>
  <c r="M1914" i="7" s="1"/>
  <c r="L1889" i="7"/>
  <c r="M1889" i="7" s="1"/>
  <c r="L1897" i="7"/>
  <c r="M1897" i="7" s="1"/>
  <c r="L1905" i="7"/>
  <c r="M1905" i="7" s="1"/>
  <c r="L1913" i="7"/>
  <c r="M1913" i="7" s="1"/>
  <c r="L1953" i="7"/>
  <c r="M1953" i="7" s="1"/>
  <c r="L1961" i="7"/>
  <c r="M1961" i="7" s="1"/>
  <c r="L1969" i="7"/>
  <c r="M1969" i="7" s="1"/>
  <c r="L1891" i="7"/>
  <c r="M1891" i="7" s="1"/>
  <c r="L1907" i="7"/>
  <c r="M1907" i="7" s="1"/>
  <c r="L1915" i="7"/>
  <c r="M1915" i="7" s="1"/>
  <c r="L1955" i="7"/>
  <c r="M1955" i="7" s="1"/>
  <c r="L1963" i="7"/>
  <c r="M1963" i="7" s="1"/>
  <c r="L1971" i="7"/>
  <c r="M1971" i="7" s="1"/>
  <c r="L1884" i="7"/>
  <c r="M1884" i="7" s="1"/>
  <c r="L1892" i="7"/>
  <c r="M1892" i="7" s="1"/>
  <c r="L1900" i="7"/>
  <c r="M1900" i="7" s="1"/>
  <c r="L1908" i="7"/>
  <c r="M1908" i="7" s="1"/>
  <c r="L1916" i="7"/>
  <c r="M1916" i="7" s="1"/>
  <c r="L1956" i="7"/>
  <c r="M1956" i="7" s="1"/>
  <c r="L1964" i="7"/>
  <c r="M1964" i="7" s="1"/>
  <c r="L1972" i="7"/>
  <c r="M1972" i="7" s="1"/>
  <c r="L1885" i="7"/>
  <c r="M1885" i="7" s="1"/>
  <c r="L1893" i="7"/>
  <c r="M1893" i="7" s="1"/>
  <c r="L1901" i="7"/>
  <c r="M1901" i="7" s="1"/>
  <c r="L1909" i="7"/>
  <c r="M1909" i="7" s="1"/>
  <c r="L1917" i="7"/>
  <c r="M1917" i="7" s="1"/>
  <c r="L1957" i="7"/>
  <c r="M1957" i="7" s="1"/>
  <c r="L1965" i="7"/>
  <c r="M1965" i="7" s="1"/>
  <c r="L1973" i="7"/>
  <c r="M1973" i="7" s="1"/>
  <c r="L1886" i="7"/>
  <c r="M1886" i="7" s="1"/>
  <c r="L1894" i="7"/>
  <c r="M1894" i="7" s="1"/>
  <c r="L1902" i="7"/>
  <c r="M1902" i="7" s="1"/>
  <c r="L1910" i="7"/>
  <c r="M1910" i="7" s="1"/>
  <c r="L1966" i="7"/>
  <c r="M1966" i="7" s="1"/>
  <c r="L1887" i="7"/>
  <c r="M1887" i="7" s="1"/>
  <c r="L1895" i="7"/>
  <c r="M1895" i="7" s="1"/>
  <c r="L1903" i="7"/>
  <c r="M1903" i="7" s="1"/>
  <c r="L1911" i="7"/>
  <c r="M1911" i="7" s="1"/>
  <c r="L1959" i="7"/>
  <c r="M1959" i="7" s="1"/>
  <c r="L1967" i="7"/>
  <c r="M1967" i="7" s="1"/>
  <c r="L1840" i="7"/>
  <c r="M1840" i="7" s="1"/>
  <c r="L1888" i="7"/>
  <c r="M1888" i="7" s="1"/>
  <c r="L1896" i="7"/>
  <c r="M1896" i="7" s="1"/>
  <c r="L1904" i="7"/>
  <c r="M1904" i="7" s="1"/>
  <c r="L1912" i="7"/>
  <c r="M1912" i="7" s="1"/>
  <c r="L1920" i="7"/>
  <c r="M1920" i="7" s="1"/>
  <c r="L1960" i="7"/>
  <c r="M1960" i="7" s="1"/>
  <c r="L1968" i="7"/>
  <c r="M1968" i="7" s="1"/>
  <c r="L1831" i="7" l="1"/>
  <c r="M1831" i="7" s="1"/>
  <c r="L1830" i="7"/>
  <c r="M1830" i="7" s="1"/>
  <c r="L1829" i="7"/>
  <c r="M1829" i="7" s="1"/>
  <c r="L1828" i="7"/>
  <c r="M1828" i="7" s="1"/>
  <c r="L1827" i="7"/>
  <c r="M1827" i="7" s="1"/>
  <c r="L1826" i="7"/>
  <c r="M1826" i="7" s="1"/>
  <c r="L1825" i="7"/>
  <c r="M1825" i="7" s="1"/>
  <c r="L1824" i="7"/>
  <c r="M1824" i="7" s="1"/>
  <c r="L1823" i="7"/>
  <c r="M1823" i="7" s="1"/>
  <c r="L1822" i="7"/>
  <c r="M1822" i="7" s="1"/>
  <c r="L1821" i="7"/>
  <c r="M1821" i="7" s="1"/>
  <c r="L1820" i="7"/>
  <c r="M1820" i="7" s="1"/>
  <c r="L1819" i="7"/>
  <c r="M1819" i="7" s="1"/>
  <c r="L1818" i="7"/>
  <c r="M1818" i="7" s="1"/>
  <c r="L1817" i="7"/>
  <c r="M1817" i="7" s="1"/>
  <c r="L1816" i="7"/>
  <c r="M1816" i="7" s="1"/>
  <c r="L1815" i="7"/>
  <c r="M1815" i="7" s="1"/>
  <c r="L1814" i="7"/>
  <c r="M1814" i="7" s="1"/>
  <c r="L1813" i="7"/>
  <c r="M1813" i="7" s="1"/>
  <c r="L1812" i="7"/>
  <c r="M1812" i="7" s="1"/>
  <c r="L1811" i="7"/>
  <c r="M1811" i="7" s="1"/>
  <c r="L1810" i="7"/>
  <c r="M1810" i="7" s="1"/>
  <c r="L1809" i="7"/>
  <c r="M1809" i="7" s="1"/>
  <c r="I14" i="18" l="1"/>
  <c r="D14" i="18"/>
  <c r="C14" i="18"/>
  <c r="H8" i="17"/>
  <c r="H7" i="17"/>
  <c r="H6" i="17"/>
  <c r="H5" i="17"/>
  <c r="C8" i="17"/>
  <c r="C7" i="17"/>
  <c r="C6" i="17"/>
  <c r="C5" i="17"/>
  <c r="B8" i="17"/>
  <c r="B7" i="17"/>
  <c r="B6" i="17"/>
  <c r="B5" i="17"/>
  <c r="L31" i="16"/>
  <c r="L5" i="16"/>
  <c r="L6" i="16"/>
  <c r="L7" i="16"/>
  <c r="L8" i="16"/>
  <c r="L1808" i="7"/>
  <c r="M1808" i="7" s="1"/>
  <c r="L1807" i="7"/>
  <c r="M1807" i="7" s="1"/>
  <c r="L1806" i="7"/>
  <c r="M1806" i="7" s="1"/>
  <c r="L1805" i="7"/>
  <c r="M1805" i="7" s="1"/>
  <c r="L1804" i="7"/>
  <c r="M1804" i="7" s="1"/>
  <c r="L1803" i="7"/>
  <c r="M1803" i="7" s="1"/>
  <c r="L1802" i="7"/>
  <c r="M1802" i="7" s="1"/>
  <c r="L1794" i="7"/>
  <c r="M1794" i="7" s="1"/>
  <c r="L1793" i="7"/>
  <c r="M1793" i="7" s="1"/>
  <c r="L1792" i="7"/>
  <c r="M1792" i="7" s="1"/>
  <c r="L1791" i="7"/>
  <c r="M1791" i="7" s="1"/>
  <c r="L1790" i="7"/>
  <c r="M1790" i="7" s="1"/>
  <c r="L1789" i="7"/>
  <c r="M1789" i="7" s="1"/>
  <c r="L1788" i="7"/>
  <c r="M1788" i="7" s="1"/>
  <c r="L1787" i="7"/>
  <c r="M1787" i="7" s="1"/>
  <c r="L1786" i="7"/>
  <c r="M1786" i="7" s="1"/>
  <c r="L1785" i="7"/>
  <c r="M1785" i="7" s="1"/>
  <c r="L1784" i="7"/>
  <c r="M1784" i="7" s="1"/>
  <c r="L1783" i="7"/>
  <c r="M1783" i="7" s="1"/>
  <c r="L1782" i="7"/>
  <c r="M1782" i="7" s="1"/>
  <c r="L1781" i="7"/>
  <c r="M1781" i="7" s="1"/>
  <c r="L1780" i="7"/>
  <c r="M1780" i="7" s="1"/>
  <c r="L1779" i="7"/>
  <c r="M1779" i="7" s="1"/>
  <c r="L1778" i="7"/>
  <c r="M1778" i="7" s="1"/>
  <c r="L1777" i="7"/>
  <c r="M1777" i="7" s="1"/>
  <c r="L1730" i="7"/>
  <c r="M1730" i="7" s="1"/>
  <c r="L1729" i="7"/>
  <c r="M1729" i="7" s="1"/>
  <c r="L1728" i="7"/>
  <c r="M1728" i="7" s="1"/>
  <c r="L1727" i="7"/>
  <c r="M1727" i="7" s="1"/>
  <c r="L1726" i="7"/>
  <c r="M1726" i="7" s="1"/>
  <c r="L1725" i="7"/>
  <c r="M1725" i="7" s="1"/>
  <c r="L1724" i="7"/>
  <c r="M1724" i="7" s="1"/>
  <c r="L1723" i="7"/>
  <c r="M1723" i="7" s="1"/>
  <c r="L1722" i="7"/>
  <c r="M1722" i="7" s="1"/>
  <c r="L1721" i="7"/>
  <c r="M1721" i="7" s="1"/>
  <c r="L1720" i="7"/>
  <c r="M1720" i="7" s="1"/>
  <c r="L1719" i="7"/>
  <c r="M1719" i="7" s="1"/>
  <c r="L1718" i="7"/>
  <c r="M1718" i="7" s="1"/>
  <c r="L1717" i="7"/>
  <c r="M1717" i="7" s="1"/>
  <c r="L1716" i="7"/>
  <c r="M1716" i="7" s="1"/>
  <c r="L1715" i="7"/>
  <c r="M1715" i="7" s="1"/>
  <c r="L1714" i="7"/>
  <c r="M1714" i="7" s="1"/>
  <c r="L1713" i="7"/>
  <c r="M1713" i="7" s="1"/>
  <c r="L1712" i="7"/>
  <c r="M1712" i="7" s="1"/>
  <c r="L1711" i="7"/>
  <c r="M1711" i="7" s="1"/>
  <c r="L1710" i="7"/>
  <c r="M1710" i="7" s="1"/>
  <c r="L1709" i="7"/>
  <c r="M1709" i="7" s="1"/>
  <c r="L1708" i="7"/>
  <c r="M1708" i="7" s="1"/>
  <c r="L1707" i="7"/>
  <c r="M1707" i="7" s="1"/>
  <c r="L1706" i="7"/>
  <c r="M1706" i="7" s="1"/>
  <c r="L1705" i="7"/>
  <c r="M1705" i="7" s="1"/>
  <c r="L1704" i="7"/>
  <c r="M1704" i="7" s="1"/>
  <c r="L1703" i="7"/>
  <c r="M1703" i="7" s="1"/>
  <c r="L1702" i="7"/>
  <c r="M1702" i="7" s="1"/>
  <c r="L1701" i="7"/>
  <c r="M1701" i="7" s="1"/>
  <c r="L1700" i="7"/>
  <c r="M1700" i="7" s="1"/>
  <c r="L1699" i="7"/>
  <c r="M1699" i="7" s="1"/>
  <c r="L1698" i="7"/>
  <c r="M1698" i="7" s="1"/>
  <c r="L1697" i="7"/>
  <c r="M1697" i="7" s="1"/>
  <c r="L1696" i="7"/>
  <c r="M1696" i="7" s="1"/>
  <c r="L1695" i="7"/>
  <c r="M1695" i="7" s="1"/>
  <c r="L1801" i="7"/>
  <c r="M1801" i="7" s="1"/>
  <c r="L1799" i="7"/>
  <c r="M1799" i="7" s="1"/>
  <c r="L1798" i="7"/>
  <c r="M1798" i="7" s="1"/>
  <c r="L1797" i="7"/>
  <c r="M1797" i="7" s="1"/>
  <c r="L1775" i="7"/>
  <c r="M1775" i="7" s="1"/>
  <c r="L1765" i="7"/>
  <c r="M1765" i="7" s="1"/>
  <c r="L1800" i="7" l="1"/>
  <c r="M1800" i="7" s="1"/>
  <c r="L1772" i="7"/>
  <c r="M1772" i="7" s="1"/>
  <c r="L1736" i="7"/>
  <c r="M1736" i="7" s="1"/>
  <c r="L1744" i="7"/>
  <c r="M1744" i="7" s="1"/>
  <c r="L1752" i="7"/>
  <c r="M1752" i="7" s="1"/>
  <c r="L1760" i="7"/>
  <c r="M1760" i="7" s="1"/>
  <c r="L1768" i="7"/>
  <c r="M1768" i="7" s="1"/>
  <c r="L1776" i="7"/>
  <c r="M1776" i="7" s="1"/>
  <c r="L1735" i="7"/>
  <c r="M1735" i="7" s="1"/>
  <c r="L1743" i="7"/>
  <c r="M1743" i="7" s="1"/>
  <c r="L1751" i="7"/>
  <c r="M1751" i="7" s="1"/>
  <c r="L1759" i="7"/>
  <c r="M1759" i="7" s="1"/>
  <c r="L1767" i="7"/>
  <c r="M1767" i="7" s="1"/>
  <c r="L1737" i="7"/>
  <c r="M1737" i="7" s="1"/>
  <c r="L1745" i="7"/>
  <c r="M1745" i="7" s="1"/>
  <c r="L1753" i="7"/>
  <c r="M1753" i="7" s="1"/>
  <c r="L1761" i="7"/>
  <c r="M1761" i="7" s="1"/>
  <c r="L1769" i="7"/>
  <c r="M1769" i="7" s="1"/>
  <c r="L1738" i="7"/>
  <c r="M1738" i="7" s="1"/>
  <c r="L1746" i="7"/>
  <c r="M1746" i="7" s="1"/>
  <c r="L1754" i="7"/>
  <c r="M1754" i="7" s="1"/>
  <c r="L1762" i="7"/>
  <c r="M1762" i="7" s="1"/>
  <c r="L1770" i="7"/>
  <c r="M1770" i="7" s="1"/>
  <c r="L1731" i="7"/>
  <c r="M1731" i="7" s="1"/>
  <c r="L1739" i="7"/>
  <c r="M1739" i="7" s="1"/>
  <c r="L1747" i="7"/>
  <c r="M1747" i="7" s="1"/>
  <c r="L1755" i="7"/>
  <c r="M1755" i="7" s="1"/>
  <c r="L1763" i="7"/>
  <c r="M1763" i="7" s="1"/>
  <c r="L1771" i="7"/>
  <c r="M1771" i="7" s="1"/>
  <c r="L1795" i="7"/>
  <c r="M1795" i="7" s="1"/>
  <c r="L1732" i="7"/>
  <c r="M1732" i="7" s="1"/>
  <c r="L1740" i="7"/>
  <c r="M1740" i="7" s="1"/>
  <c r="L1748" i="7"/>
  <c r="M1748" i="7" s="1"/>
  <c r="L1756" i="7"/>
  <c r="M1756" i="7" s="1"/>
  <c r="L1764" i="7"/>
  <c r="M1764" i="7" s="1"/>
  <c r="L1796" i="7"/>
  <c r="M1796" i="7" s="1"/>
  <c r="L1733" i="7"/>
  <c r="M1733" i="7" s="1"/>
  <c r="L1741" i="7"/>
  <c r="M1741" i="7" s="1"/>
  <c r="L1749" i="7"/>
  <c r="M1749" i="7" s="1"/>
  <c r="L1757" i="7"/>
  <c r="M1757" i="7" s="1"/>
  <c r="L1773" i="7"/>
  <c r="M1773" i="7" s="1"/>
  <c r="L1734" i="7"/>
  <c r="M1734" i="7" s="1"/>
  <c r="L1742" i="7"/>
  <c r="M1742" i="7" s="1"/>
  <c r="L1750" i="7"/>
  <c r="M1750" i="7" s="1"/>
  <c r="L1758" i="7"/>
  <c r="M1758" i="7" s="1"/>
  <c r="L1766" i="7"/>
  <c r="M1766" i="7" s="1"/>
  <c r="L1774" i="7"/>
  <c r="M1774" i="7" s="1"/>
  <c r="J14" i="18"/>
  <c r="I24" i="17"/>
  <c r="F23" i="17"/>
  <c r="I23" i="17"/>
  <c r="F22" i="17"/>
  <c r="F24" i="17"/>
  <c r="L24" i="17" l="1"/>
  <c r="K24" i="17"/>
  <c r="H23" i="17"/>
  <c r="K23" i="17"/>
  <c r="L23" i="17"/>
  <c r="K22" i="17"/>
  <c r="L22" i="17"/>
  <c r="J23" i="17"/>
  <c r="F25" i="17"/>
  <c r="I25" i="17"/>
  <c r="H24" i="17"/>
  <c r="J24" i="17"/>
  <c r="H22" i="17"/>
  <c r="J22" i="17"/>
  <c r="C5" i="18"/>
  <c r="B13" i="17"/>
  <c r="L25" i="17" l="1"/>
  <c r="K25" i="17"/>
  <c r="M24" i="17"/>
  <c r="M23" i="17"/>
  <c r="M22" i="17"/>
  <c r="J25" i="17"/>
  <c r="H25" i="17"/>
  <c r="M25" i="17" l="1"/>
  <c r="L1694" i="7"/>
  <c r="M1694" i="7" s="1"/>
  <c r="L1693" i="7"/>
  <c r="M1693" i="7" s="1"/>
  <c r="L1680" i="7"/>
  <c r="M1680" i="7" s="1"/>
  <c r="L1679" i="7"/>
  <c r="M1679" i="7" s="1"/>
  <c r="L1678" i="7"/>
  <c r="M1678" i="7" s="1"/>
  <c r="L1677" i="7"/>
  <c r="M1677" i="7" s="1"/>
  <c r="L1676" i="7"/>
  <c r="M1676" i="7" s="1"/>
  <c r="L1675" i="7"/>
  <c r="M1675" i="7" s="1"/>
  <c r="L1674" i="7"/>
  <c r="M1674" i="7" s="1"/>
  <c r="L1673" i="7"/>
  <c r="M1673" i="7" s="1"/>
  <c r="L1672" i="7"/>
  <c r="M1672" i="7" s="1"/>
  <c r="L1671" i="7"/>
  <c r="M1671" i="7" s="1"/>
  <c r="L1670" i="7"/>
  <c r="M1670" i="7" s="1"/>
  <c r="L1669" i="7"/>
  <c r="M1669" i="7" s="1"/>
  <c r="L1668" i="7"/>
  <c r="M1668" i="7" s="1"/>
  <c r="L1667" i="7"/>
  <c r="M1667" i="7" s="1"/>
  <c r="L1666" i="7"/>
  <c r="M1666" i="7" s="1"/>
  <c r="L1665" i="7"/>
  <c r="M1665" i="7" s="1"/>
  <c r="L1664" i="7"/>
  <c r="M1664" i="7" s="1"/>
  <c r="L1663" i="7"/>
  <c r="M1663" i="7" s="1"/>
  <c r="L1662" i="7"/>
  <c r="M1662" i="7" s="1"/>
  <c r="L1661" i="7"/>
  <c r="M1661" i="7" s="1"/>
  <c r="L1660" i="7"/>
  <c r="M1660" i="7" s="1"/>
  <c r="L1659" i="7"/>
  <c r="M1659" i="7" s="1"/>
  <c r="L1658" i="7"/>
  <c r="M1658" i="7" s="1"/>
  <c r="L1657" i="7"/>
  <c r="M1657" i="7" s="1"/>
  <c r="L1656" i="7"/>
  <c r="M1656" i="7" s="1"/>
  <c r="L1655" i="7"/>
  <c r="M1655" i="7" s="1"/>
  <c r="L1654" i="7"/>
  <c r="M1654" i="7" s="1"/>
  <c r="L1653" i="7"/>
  <c r="M1653" i="7" s="1"/>
  <c r="L1652" i="7"/>
  <c r="M1652" i="7" s="1"/>
  <c r="L1651" i="7"/>
  <c r="M1651" i="7" s="1"/>
  <c r="L1650" i="7"/>
  <c r="M1650" i="7" s="1"/>
  <c r="L1649" i="7"/>
  <c r="M1649" i="7" s="1"/>
  <c r="L1634" i="7"/>
  <c r="M1634" i="7" s="1"/>
  <c r="L1633" i="7"/>
  <c r="M1633" i="7" s="1"/>
  <c r="L1632" i="7"/>
  <c r="M1632" i="7" s="1"/>
  <c r="L1631" i="7"/>
  <c r="M1631" i="7" s="1"/>
  <c r="L1630" i="7"/>
  <c r="M1630" i="7" s="1"/>
  <c r="L1629" i="7"/>
  <c r="M1629" i="7" s="1"/>
  <c r="L1628" i="7"/>
  <c r="M1628" i="7" s="1"/>
  <c r="L1627" i="7"/>
  <c r="M1627" i="7" s="1"/>
  <c r="L1626" i="7"/>
  <c r="M1626" i="7" s="1"/>
  <c r="L1625" i="7"/>
  <c r="M1625" i="7" s="1"/>
  <c r="L1624" i="7"/>
  <c r="M1624" i="7" s="1"/>
  <c r="L1648" i="7"/>
  <c r="M1648" i="7" s="1"/>
  <c r="L1647" i="7"/>
  <c r="M1647" i="7" s="1"/>
  <c r="L1646" i="7"/>
  <c r="M1646" i="7" s="1"/>
  <c r="L1645" i="7"/>
  <c r="M1645" i="7" s="1"/>
  <c r="L1644" i="7"/>
  <c r="M1644" i="7" s="1"/>
  <c r="L1643" i="7"/>
  <c r="M1643" i="7" s="1"/>
  <c r="L1623" i="7"/>
  <c r="M1623" i="7" s="1"/>
  <c r="L1622" i="7"/>
  <c r="M1622" i="7" s="1"/>
  <c r="L1621" i="7"/>
  <c r="M1621" i="7" s="1"/>
  <c r="L1620" i="7"/>
  <c r="M1620" i="7" s="1"/>
  <c r="L1619" i="7"/>
  <c r="M1619" i="7" s="1"/>
  <c r="L1618" i="7"/>
  <c r="M1618" i="7" s="1"/>
  <c r="L1617" i="7"/>
  <c r="M1617" i="7" s="1"/>
  <c r="L1616" i="7"/>
  <c r="M1616" i="7" s="1"/>
  <c r="L1615" i="7"/>
  <c r="M1615" i="7" s="1"/>
  <c r="L1614" i="7"/>
  <c r="M1614" i="7" s="1"/>
  <c r="L1596" i="7"/>
  <c r="M1596" i="7" s="1"/>
  <c r="L1595" i="7"/>
  <c r="M1595" i="7" s="1"/>
  <c r="L1594" i="7"/>
  <c r="M1594" i="7" s="1"/>
  <c r="L1593" i="7"/>
  <c r="M1593" i="7" s="1"/>
  <c r="L1589" i="7"/>
  <c r="M1589" i="7" s="1"/>
  <c r="L1588" i="7"/>
  <c r="M1588" i="7" s="1"/>
  <c r="L1587" i="7"/>
  <c r="M1587" i="7" s="1"/>
  <c r="L1586" i="7"/>
  <c r="M1586" i="7" s="1"/>
  <c r="L1585" i="7"/>
  <c r="M1585" i="7" s="1"/>
  <c r="L1584" i="7"/>
  <c r="M1584" i="7" s="1"/>
  <c r="L1583" i="7"/>
  <c r="M1583" i="7" s="1"/>
  <c r="L1582" i="7"/>
  <c r="M1582" i="7" s="1"/>
  <c r="L1581" i="7"/>
  <c r="M1581" i="7" s="1"/>
  <c r="L1580" i="7"/>
  <c r="M1580" i="7" s="1"/>
  <c r="L1579" i="7"/>
  <c r="M1579" i="7" s="1"/>
  <c r="L1578" i="7"/>
  <c r="M1578" i="7" s="1"/>
  <c r="L1577" i="7"/>
  <c r="M1577" i="7" s="1"/>
  <c r="L1576" i="7"/>
  <c r="M1576" i="7" s="1"/>
  <c r="L1575" i="7"/>
  <c r="M1575" i="7" s="1"/>
  <c r="L1574" i="7"/>
  <c r="M1574" i="7" s="1"/>
  <c r="L1573" i="7"/>
  <c r="M1573" i="7" s="1"/>
  <c r="L1572" i="7"/>
  <c r="M1572" i="7" s="1"/>
  <c r="L1571" i="7"/>
  <c r="M1571" i="7" s="1"/>
  <c r="L1570" i="7"/>
  <c r="M1570" i="7" s="1"/>
  <c r="L1557" i="7"/>
  <c r="M1557" i="7" s="1"/>
  <c r="L1553" i="7"/>
  <c r="M1553" i="7" s="1"/>
  <c r="L1552" i="7"/>
  <c r="M1552" i="7" s="1"/>
  <c r="L1551" i="7"/>
  <c r="M1551" i="7" s="1"/>
  <c r="L1550" i="7"/>
  <c r="M1550" i="7" s="1"/>
  <c r="L1549" i="7"/>
  <c r="M1549" i="7" s="1"/>
  <c r="L1548" i="7"/>
  <c r="M1548" i="7" s="1"/>
  <c r="L1547" i="7"/>
  <c r="M1547" i="7" s="1"/>
  <c r="L1546" i="7"/>
  <c r="M1546" i="7" s="1"/>
  <c r="L1545" i="7"/>
  <c r="M1545" i="7" s="1"/>
  <c r="L1544" i="7"/>
  <c r="M1544" i="7" s="1"/>
  <c r="L1543" i="7"/>
  <c r="M1543" i="7" s="1"/>
  <c r="L1542" i="7"/>
  <c r="M1542" i="7" s="1"/>
  <c r="L1541" i="7"/>
  <c r="M1541" i="7" s="1"/>
  <c r="L1540" i="7"/>
  <c r="M1540" i="7" s="1"/>
  <c r="L1539" i="7"/>
  <c r="M1539" i="7" s="1"/>
  <c r="L1538" i="7"/>
  <c r="M1538" i="7" s="1"/>
  <c r="L1537" i="7"/>
  <c r="M1537" i="7" s="1"/>
  <c r="L1536" i="7"/>
  <c r="M1536" i="7" s="1"/>
  <c r="L1535" i="7"/>
  <c r="M1535" i="7" s="1"/>
  <c r="L1534" i="7"/>
  <c r="M1534" i="7" s="1"/>
  <c r="L1533" i="7"/>
  <c r="M1533" i="7" s="1"/>
  <c r="L1532" i="7"/>
  <c r="M1532" i="7" s="1"/>
  <c r="L1531" i="7"/>
  <c r="M1531" i="7" s="1"/>
  <c r="L1530" i="7"/>
  <c r="M1530" i="7" s="1"/>
  <c r="L1529" i="7"/>
  <c r="M1529" i="7" s="1"/>
  <c r="L1528" i="7"/>
  <c r="M1528" i="7" s="1"/>
  <c r="L1501" i="7"/>
  <c r="M1501" i="7" s="1"/>
  <c r="L1466" i="7"/>
  <c r="M1466" i="7" s="1"/>
  <c r="L1465" i="7"/>
  <c r="M1465" i="7" s="1"/>
  <c r="L1464" i="7"/>
  <c r="M1464" i="7" s="1"/>
  <c r="L1463" i="7"/>
  <c r="M1463" i="7" s="1"/>
  <c r="L1462" i="7"/>
  <c r="M1462" i="7" s="1"/>
  <c r="L1461" i="7"/>
  <c r="M1461" i="7" s="1"/>
  <c r="L1460" i="7"/>
  <c r="M1460" i="7" s="1"/>
  <c r="L1459" i="7"/>
  <c r="M1459" i="7" s="1"/>
  <c r="L1458" i="7"/>
  <c r="M1458" i="7" s="1"/>
  <c r="L1457" i="7"/>
  <c r="M1457" i="7" s="1"/>
  <c r="L1456" i="7"/>
  <c r="M1456" i="7" s="1"/>
  <c r="L1455" i="7"/>
  <c r="M1455" i="7" s="1"/>
  <c r="L1454" i="7"/>
  <c r="M1454" i="7" s="1"/>
  <c r="L1453" i="7"/>
  <c r="M1453" i="7" s="1"/>
  <c r="L1452" i="7"/>
  <c r="M1452" i="7" s="1"/>
  <c r="L1451" i="7"/>
  <c r="M1451" i="7" s="1"/>
  <c r="L1450" i="7"/>
  <c r="M1450" i="7" s="1"/>
  <c r="L1449" i="7"/>
  <c r="M1449" i="7" s="1"/>
  <c r="L1448" i="7"/>
  <c r="M1448" i="7" s="1"/>
  <c r="L1447" i="7"/>
  <c r="M1447" i="7" s="1"/>
  <c r="L1446" i="7"/>
  <c r="M1446" i="7" s="1"/>
  <c r="L1445" i="7"/>
  <c r="M1445" i="7" s="1"/>
  <c r="L1444" i="7"/>
  <c r="M1444" i="7" s="1"/>
  <c r="L1443" i="7"/>
  <c r="M1443" i="7" s="1"/>
  <c r="L1442" i="7"/>
  <c r="M1442" i="7" s="1"/>
  <c r="L1441" i="7"/>
  <c r="M1441" i="7" s="1"/>
  <c r="L1440" i="7"/>
  <c r="M1440" i="7" s="1"/>
  <c r="L1439" i="7"/>
  <c r="M1439" i="7" s="1"/>
  <c r="L1438" i="7"/>
  <c r="M1438" i="7" s="1"/>
  <c r="L1437" i="7"/>
  <c r="M1437" i="7" s="1"/>
  <c r="L1436" i="7"/>
  <c r="M1436" i="7" s="1"/>
  <c r="L1435" i="7"/>
  <c r="M1435" i="7" s="1"/>
  <c r="L1434" i="7"/>
  <c r="M1434" i="7" s="1"/>
  <c r="L1433" i="7"/>
  <c r="M1433" i="7" s="1"/>
  <c r="L1429" i="7"/>
  <c r="M1429" i="7" s="1"/>
  <c r="L1428" i="7"/>
  <c r="M1428" i="7" s="1"/>
  <c r="L1427" i="7"/>
  <c r="M1427" i="7" s="1"/>
  <c r="L1426" i="7"/>
  <c r="M1426" i="7" s="1"/>
  <c r="L1425" i="7"/>
  <c r="M1425" i="7" s="1"/>
  <c r="L1424" i="7"/>
  <c r="M1424" i="7" s="1"/>
  <c r="L1423" i="7"/>
  <c r="M1423" i="7" s="1"/>
  <c r="L1422" i="7"/>
  <c r="M1422" i="7" s="1"/>
  <c r="L1607" i="7"/>
  <c r="M1607" i="7" s="1"/>
  <c r="L1591" i="7"/>
  <c r="M1591" i="7" s="1"/>
  <c r="L1568" i="7"/>
  <c r="M1568" i="7" s="1"/>
  <c r="L1566" i="7"/>
  <c r="M1566" i="7" s="1"/>
  <c r="L1561" i="7"/>
  <c r="M1561" i="7" s="1"/>
  <c r="L1558" i="7"/>
  <c r="M1558" i="7" s="1"/>
  <c r="L1495" i="7"/>
  <c r="M1495" i="7" s="1"/>
  <c r="L1639" i="7" l="1"/>
  <c r="M1639" i="7" s="1"/>
  <c r="L1497" i="7"/>
  <c r="M1497" i="7" s="1"/>
  <c r="L1685" i="7"/>
  <c r="M1685" i="7" s="1"/>
  <c r="L1505" i="7"/>
  <c r="M1505" i="7" s="1"/>
  <c r="L1686" i="7"/>
  <c r="M1686" i="7" s="1"/>
  <c r="L1513" i="7"/>
  <c r="M1513" i="7" s="1"/>
  <c r="L1687" i="7"/>
  <c r="M1687" i="7" s="1"/>
  <c r="L1521" i="7"/>
  <c r="M1521" i="7" s="1"/>
  <c r="L1432" i="7"/>
  <c r="M1432" i="7" s="1"/>
  <c r="L1472" i="7"/>
  <c r="M1472" i="7" s="1"/>
  <c r="L1480" i="7"/>
  <c r="M1480" i="7" s="1"/>
  <c r="L1488" i="7"/>
  <c r="M1488" i="7" s="1"/>
  <c r="L1496" i="7"/>
  <c r="M1496" i="7" s="1"/>
  <c r="L1504" i="7"/>
  <c r="M1504" i="7" s="1"/>
  <c r="L1512" i="7"/>
  <c r="M1512" i="7" s="1"/>
  <c r="L1520" i="7"/>
  <c r="M1520" i="7" s="1"/>
  <c r="L1560" i="7"/>
  <c r="M1560" i="7" s="1"/>
  <c r="L1592" i="7"/>
  <c r="M1592" i="7" s="1"/>
  <c r="L1600" i="7"/>
  <c r="M1600" i="7" s="1"/>
  <c r="L1608" i="7"/>
  <c r="M1608" i="7" s="1"/>
  <c r="L1638" i="7"/>
  <c r="M1638" i="7" s="1"/>
  <c r="L1473" i="7"/>
  <c r="M1473" i="7" s="1"/>
  <c r="L1481" i="7"/>
  <c r="M1481" i="7" s="1"/>
  <c r="L1489" i="7"/>
  <c r="M1489" i="7" s="1"/>
  <c r="L1569" i="7"/>
  <c r="M1569" i="7" s="1"/>
  <c r="L1601" i="7"/>
  <c r="M1601" i="7" s="1"/>
  <c r="L1609" i="7"/>
  <c r="M1609" i="7" s="1"/>
  <c r="L1474" i="7"/>
  <c r="M1474" i="7" s="1"/>
  <c r="L1482" i="7"/>
  <c r="M1482" i="7" s="1"/>
  <c r="L1490" i="7"/>
  <c r="M1490" i="7" s="1"/>
  <c r="L1498" i="7"/>
  <c r="M1498" i="7" s="1"/>
  <c r="L1506" i="7"/>
  <c r="M1506" i="7" s="1"/>
  <c r="L1514" i="7"/>
  <c r="M1514" i="7" s="1"/>
  <c r="L1522" i="7"/>
  <c r="M1522" i="7" s="1"/>
  <c r="L1554" i="7"/>
  <c r="M1554" i="7" s="1"/>
  <c r="L1562" i="7"/>
  <c r="M1562" i="7" s="1"/>
  <c r="L1602" i="7"/>
  <c r="M1602" i="7" s="1"/>
  <c r="L1610" i="7"/>
  <c r="M1610" i="7" s="1"/>
  <c r="L1640" i="7"/>
  <c r="M1640" i="7" s="1"/>
  <c r="L1688" i="7"/>
  <c r="M1688" i="7" s="1"/>
  <c r="L1467" i="7"/>
  <c r="M1467" i="7" s="1"/>
  <c r="L1475" i="7"/>
  <c r="M1475" i="7" s="1"/>
  <c r="L1483" i="7"/>
  <c r="M1483" i="7" s="1"/>
  <c r="L1491" i="7"/>
  <c r="M1491" i="7" s="1"/>
  <c r="L1499" i="7"/>
  <c r="M1499" i="7" s="1"/>
  <c r="L1507" i="7"/>
  <c r="M1507" i="7" s="1"/>
  <c r="L1515" i="7"/>
  <c r="M1515" i="7" s="1"/>
  <c r="L1523" i="7"/>
  <c r="M1523" i="7" s="1"/>
  <c r="L1555" i="7"/>
  <c r="M1555" i="7" s="1"/>
  <c r="L1563" i="7"/>
  <c r="M1563" i="7" s="1"/>
  <c r="L1603" i="7"/>
  <c r="M1603" i="7" s="1"/>
  <c r="L1611" i="7"/>
  <c r="M1611" i="7" s="1"/>
  <c r="L1641" i="7"/>
  <c r="M1641" i="7" s="1"/>
  <c r="L1681" i="7"/>
  <c r="M1681" i="7" s="1"/>
  <c r="L1689" i="7"/>
  <c r="M1689" i="7" s="1"/>
  <c r="L1468" i="7"/>
  <c r="M1468" i="7" s="1"/>
  <c r="L1476" i="7"/>
  <c r="M1476" i="7" s="1"/>
  <c r="L1484" i="7"/>
  <c r="M1484" i="7" s="1"/>
  <c r="L1492" i="7"/>
  <c r="M1492" i="7" s="1"/>
  <c r="L1500" i="7"/>
  <c r="M1500" i="7" s="1"/>
  <c r="L1508" i="7"/>
  <c r="M1508" i="7" s="1"/>
  <c r="L1516" i="7"/>
  <c r="M1516" i="7" s="1"/>
  <c r="L1524" i="7"/>
  <c r="M1524" i="7" s="1"/>
  <c r="L1556" i="7"/>
  <c r="M1556" i="7" s="1"/>
  <c r="L1564" i="7"/>
  <c r="M1564" i="7" s="1"/>
  <c r="L1604" i="7"/>
  <c r="M1604" i="7" s="1"/>
  <c r="L1612" i="7"/>
  <c r="M1612" i="7" s="1"/>
  <c r="L1642" i="7"/>
  <c r="M1642" i="7" s="1"/>
  <c r="L1682" i="7"/>
  <c r="M1682" i="7" s="1"/>
  <c r="L1690" i="7"/>
  <c r="M1690" i="7" s="1"/>
  <c r="L1469" i="7"/>
  <c r="M1469" i="7" s="1"/>
  <c r="L1477" i="7"/>
  <c r="M1477" i="7" s="1"/>
  <c r="L1485" i="7"/>
  <c r="M1485" i="7" s="1"/>
  <c r="L1493" i="7"/>
  <c r="M1493" i="7" s="1"/>
  <c r="L1509" i="7"/>
  <c r="M1509" i="7" s="1"/>
  <c r="L1517" i="7"/>
  <c r="M1517" i="7" s="1"/>
  <c r="L1525" i="7"/>
  <c r="M1525" i="7" s="1"/>
  <c r="L1565" i="7"/>
  <c r="M1565" i="7" s="1"/>
  <c r="L1597" i="7"/>
  <c r="M1597" i="7" s="1"/>
  <c r="L1605" i="7"/>
  <c r="M1605" i="7" s="1"/>
  <c r="L1613" i="7"/>
  <c r="M1613" i="7" s="1"/>
  <c r="L1635" i="7"/>
  <c r="M1635" i="7" s="1"/>
  <c r="L1683" i="7"/>
  <c r="M1683" i="7" s="1"/>
  <c r="L1691" i="7"/>
  <c r="M1691" i="7" s="1"/>
  <c r="L1430" i="7"/>
  <c r="M1430" i="7" s="1"/>
  <c r="L1470" i="7"/>
  <c r="M1470" i="7" s="1"/>
  <c r="L1478" i="7"/>
  <c r="M1478" i="7" s="1"/>
  <c r="L1486" i="7"/>
  <c r="M1486" i="7" s="1"/>
  <c r="L1494" i="7"/>
  <c r="M1494" i="7" s="1"/>
  <c r="L1502" i="7"/>
  <c r="M1502" i="7" s="1"/>
  <c r="L1510" i="7"/>
  <c r="M1510" i="7" s="1"/>
  <c r="L1518" i="7"/>
  <c r="M1518" i="7" s="1"/>
  <c r="L1526" i="7"/>
  <c r="M1526" i="7" s="1"/>
  <c r="L1590" i="7"/>
  <c r="M1590" i="7" s="1"/>
  <c r="L1598" i="7"/>
  <c r="M1598" i="7" s="1"/>
  <c r="L1606" i="7"/>
  <c r="M1606" i="7" s="1"/>
  <c r="L1636" i="7"/>
  <c r="M1636" i="7" s="1"/>
  <c r="L1684" i="7"/>
  <c r="M1684" i="7" s="1"/>
  <c r="L1692" i="7"/>
  <c r="M1692" i="7" s="1"/>
  <c r="L1431" i="7"/>
  <c r="M1431" i="7" s="1"/>
  <c r="L1471" i="7"/>
  <c r="M1471" i="7" s="1"/>
  <c r="L1479" i="7"/>
  <c r="M1479" i="7" s="1"/>
  <c r="L1487" i="7"/>
  <c r="M1487" i="7" s="1"/>
  <c r="L1503" i="7"/>
  <c r="M1503" i="7" s="1"/>
  <c r="L1511" i="7"/>
  <c r="M1511" i="7" s="1"/>
  <c r="L1519" i="7"/>
  <c r="M1519" i="7" s="1"/>
  <c r="L1527" i="7"/>
  <c r="M1527" i="7" s="1"/>
  <c r="L1559" i="7"/>
  <c r="M1559" i="7" s="1"/>
  <c r="L1567" i="7"/>
  <c r="M1567" i="7" s="1"/>
  <c r="L1599" i="7"/>
  <c r="M1599" i="7" s="1"/>
  <c r="L1637" i="7"/>
  <c r="M1637" i="7" s="1"/>
  <c r="E8" i="17"/>
  <c r="AV4" i="8" l="1"/>
  <c r="AR4" i="8"/>
  <c r="AC4" i="8"/>
  <c r="AH4" i="8"/>
  <c r="AG4" i="8"/>
  <c r="AE4" i="8"/>
  <c r="AD4" i="8"/>
  <c r="Y4" i="8"/>
  <c r="L1421" i="7"/>
  <c r="M1421" i="7" s="1"/>
  <c r="L1420" i="7"/>
  <c r="M1420" i="7" s="1"/>
  <c r="L1419" i="7"/>
  <c r="M1419" i="7" s="1"/>
  <c r="L1418" i="7"/>
  <c r="M1418" i="7" s="1"/>
  <c r="L1417" i="7"/>
  <c r="M1417" i="7" s="1"/>
  <c r="L1416" i="7"/>
  <c r="M1416" i="7" s="1"/>
  <c r="L1415" i="7"/>
  <c r="M1415" i="7" s="1"/>
  <c r="L1414" i="7"/>
  <c r="M1414" i="7" s="1"/>
  <c r="L1413" i="7"/>
  <c r="M1413" i="7" s="1"/>
  <c r="L1412" i="7"/>
  <c r="M1412" i="7" s="1"/>
  <c r="L1411" i="7"/>
  <c r="M1411" i="7" s="1"/>
  <c r="L1410" i="7"/>
  <c r="M1410" i="7" s="1"/>
  <c r="L1409" i="7"/>
  <c r="M1409" i="7" s="1"/>
  <c r="L1408" i="7"/>
  <c r="M1408" i="7" s="1"/>
  <c r="L1407" i="7"/>
  <c r="M1407" i="7" s="1"/>
  <c r="L1406" i="7"/>
  <c r="M1406" i="7" s="1"/>
  <c r="L1405" i="7"/>
  <c r="M1405" i="7" s="1"/>
  <c r="L1404" i="7"/>
  <c r="M1404" i="7" s="1"/>
  <c r="L1403" i="7"/>
  <c r="M1403" i="7" s="1"/>
  <c r="L1402" i="7"/>
  <c r="M1402" i="7" s="1"/>
  <c r="L1401" i="7"/>
  <c r="M1401" i="7" s="1"/>
  <c r="L1400" i="7"/>
  <c r="M1400" i="7" s="1"/>
  <c r="AG6" i="8" l="1"/>
  <c r="Y6" i="8"/>
  <c r="AE6" i="8"/>
  <c r="AD6" i="8"/>
  <c r="AC6" i="8"/>
  <c r="AH6" i="8"/>
  <c r="AO4" i="8"/>
  <c r="AN4" i="8"/>
  <c r="AH5" i="8"/>
  <c r="Y5" i="8"/>
  <c r="AE5" i="8"/>
  <c r="AG5" i="8"/>
  <c r="AD5" i="8"/>
  <c r="AC5" i="8"/>
  <c r="L1399" i="7"/>
  <c r="M1399" i="7" s="1"/>
  <c r="L1398" i="7"/>
  <c r="M1398" i="7" s="1"/>
  <c r="L1397" i="7"/>
  <c r="M1397" i="7" s="1"/>
  <c r="L1396" i="7"/>
  <c r="M1396" i="7" s="1"/>
  <c r="L1395" i="7"/>
  <c r="M1395" i="7" s="1"/>
  <c r="L1394" i="7"/>
  <c r="M1394" i="7" s="1"/>
  <c r="L1393" i="7"/>
  <c r="M1393" i="7" s="1"/>
  <c r="L1392" i="7"/>
  <c r="M1392" i="7" s="1"/>
  <c r="L1391" i="7"/>
  <c r="M1391" i="7" s="1"/>
  <c r="L1390" i="7"/>
  <c r="M1390" i="7" s="1"/>
  <c r="L1389" i="7"/>
  <c r="M1389" i="7" s="1"/>
  <c r="L1388" i="7"/>
  <c r="M1388" i="7" s="1"/>
  <c r="L1387" i="7"/>
  <c r="M1387" i="7" s="1"/>
  <c r="L1386" i="7"/>
  <c r="M1386" i="7" s="1"/>
  <c r="L1385" i="7"/>
  <c r="M1385" i="7" s="1"/>
  <c r="L1384" i="7"/>
  <c r="M1384" i="7" s="1"/>
  <c r="AH7" i="8" l="1"/>
  <c r="AE7" i="8"/>
  <c r="AD7" i="8"/>
  <c r="AC7" i="8"/>
  <c r="AG7" i="8"/>
  <c r="Y7" i="8"/>
  <c r="AO6" i="8"/>
  <c r="AN6" i="8"/>
  <c r="AO5" i="8"/>
  <c r="AN5" i="8"/>
  <c r="L1383" i="7"/>
  <c r="M1383" i="7" s="1"/>
  <c r="L1382" i="7"/>
  <c r="M1382" i="7" s="1"/>
  <c r="L1381" i="7"/>
  <c r="M1381" i="7" s="1"/>
  <c r="L1380" i="7"/>
  <c r="M1380" i="7" s="1"/>
  <c r="L1379" i="7"/>
  <c r="M1379" i="7" s="1"/>
  <c r="L1378" i="7"/>
  <c r="M1378" i="7" s="1"/>
  <c r="L1377" i="7"/>
  <c r="M1377" i="7" s="1"/>
  <c r="L1376" i="7"/>
  <c r="M1376" i="7" s="1"/>
  <c r="L1375" i="7"/>
  <c r="M1375" i="7" s="1"/>
  <c r="L1374" i="7"/>
  <c r="M1374" i="7" s="1"/>
  <c r="L1373" i="7"/>
  <c r="M1373" i="7" s="1"/>
  <c r="L1372" i="7"/>
  <c r="M1372" i="7" s="1"/>
  <c r="L1371" i="7"/>
  <c r="M1371" i="7" s="1"/>
  <c r="L1370" i="7"/>
  <c r="M1370" i="7" s="1"/>
  <c r="L1369" i="7"/>
  <c r="M1369" i="7" s="1"/>
  <c r="L1368" i="7"/>
  <c r="M1368" i="7" s="1"/>
  <c r="L1367" i="7"/>
  <c r="M1367" i="7" s="1"/>
  <c r="L1366" i="7"/>
  <c r="M1366" i="7" s="1"/>
  <c r="L1365" i="7"/>
  <c r="M1365" i="7" s="1"/>
  <c r="L1364" i="7"/>
  <c r="M1364" i="7" s="1"/>
  <c r="L1363" i="7"/>
  <c r="M1363" i="7" s="1"/>
  <c r="L1362" i="7"/>
  <c r="M1362" i="7" s="1"/>
  <c r="L1361" i="7"/>
  <c r="M1361" i="7" s="1"/>
  <c r="L1357" i="7"/>
  <c r="M1357" i="7" s="1"/>
  <c r="L1356" i="7"/>
  <c r="M1356" i="7" s="1"/>
  <c r="L1355" i="7"/>
  <c r="M1355" i="7" s="1"/>
  <c r="L1354" i="7"/>
  <c r="M1354" i="7" s="1"/>
  <c r="L1353" i="7"/>
  <c r="M1353" i="7" s="1"/>
  <c r="AN7" i="8" l="1"/>
  <c r="AO7" i="8"/>
  <c r="Y8" i="8"/>
  <c r="AH8" i="8"/>
  <c r="AG8" i="8"/>
  <c r="AE8" i="8"/>
  <c r="AD8" i="8"/>
  <c r="AC8" i="8"/>
  <c r="L1360" i="7"/>
  <c r="M1360" i="7" s="1"/>
  <c r="L1358" i="7"/>
  <c r="M1358" i="7" s="1"/>
  <c r="L1359" i="7"/>
  <c r="M1359" i="7" s="1"/>
  <c r="L1352" i="7"/>
  <c r="M1352" i="7" s="1"/>
  <c r="L1351" i="7"/>
  <c r="M1351" i="7" s="1"/>
  <c r="L1350" i="7"/>
  <c r="M1350" i="7" s="1"/>
  <c r="L1349" i="7"/>
  <c r="M1349" i="7" s="1"/>
  <c r="L1348" i="7"/>
  <c r="M1348" i="7" s="1"/>
  <c r="L1347" i="7"/>
  <c r="M1347" i="7" s="1"/>
  <c r="L1346" i="7"/>
  <c r="M1346" i="7" s="1"/>
  <c r="L1345" i="7"/>
  <c r="M1345" i="7" s="1"/>
  <c r="L1344" i="7"/>
  <c r="M1344" i="7" s="1"/>
  <c r="L1343" i="7"/>
  <c r="M1343" i="7" s="1"/>
  <c r="L1342" i="7"/>
  <c r="M1342" i="7" s="1"/>
  <c r="L1341" i="7"/>
  <c r="M1341" i="7" s="1"/>
  <c r="L1340" i="7"/>
  <c r="M1340" i="7" s="1"/>
  <c r="L1339" i="7"/>
  <c r="M1339" i="7" s="1"/>
  <c r="L1338" i="7"/>
  <c r="M1338" i="7" s="1"/>
  <c r="L1337" i="7"/>
  <c r="M1337" i="7" s="1"/>
  <c r="L1336" i="7"/>
  <c r="M1336" i="7" s="1"/>
  <c r="L1335" i="7"/>
  <c r="M1335" i="7" s="1"/>
  <c r="L1334" i="7"/>
  <c r="M1334" i="7" s="1"/>
  <c r="L1333" i="7"/>
  <c r="M1333" i="7" s="1"/>
  <c r="L1332" i="7"/>
  <c r="M1332" i="7" s="1"/>
  <c r="L1331" i="7"/>
  <c r="M1331" i="7" s="1"/>
  <c r="L1330" i="7"/>
  <c r="M1330" i="7" s="1"/>
  <c r="L1329" i="7"/>
  <c r="M1329" i="7" s="1"/>
  <c r="L1328" i="7"/>
  <c r="M1328" i="7" s="1"/>
  <c r="L1327" i="7"/>
  <c r="M1327" i="7" s="1"/>
  <c r="L1326" i="7"/>
  <c r="M1326" i="7" s="1"/>
  <c r="L1325" i="7"/>
  <c r="M1325" i="7" s="1"/>
  <c r="L1324" i="7"/>
  <c r="M1324" i="7" s="1"/>
  <c r="L1261" i="7"/>
  <c r="M1261" i="7" s="1"/>
  <c r="L1260" i="7"/>
  <c r="M1260" i="7" s="1"/>
  <c r="L1259" i="7"/>
  <c r="M1259" i="7" s="1"/>
  <c r="L1258" i="7"/>
  <c r="M1258" i="7" s="1"/>
  <c r="L1257" i="7"/>
  <c r="M1257" i="7" s="1"/>
  <c r="L1256" i="7"/>
  <c r="M1256" i="7" s="1"/>
  <c r="L1255" i="7"/>
  <c r="M1255" i="7" s="1"/>
  <c r="L1254" i="7"/>
  <c r="M1254" i="7" s="1"/>
  <c r="L1253" i="7"/>
  <c r="M1253" i="7" s="1"/>
  <c r="L1252" i="7"/>
  <c r="M1252" i="7" s="1"/>
  <c r="L1251" i="7"/>
  <c r="M1251" i="7" s="1"/>
  <c r="L1250" i="7"/>
  <c r="M1250" i="7" s="1"/>
  <c r="L1249" i="7"/>
  <c r="M1249" i="7" s="1"/>
  <c r="L1248" i="7"/>
  <c r="M1248" i="7" s="1"/>
  <c r="L1247" i="7"/>
  <c r="M1247" i="7" s="1"/>
  <c r="L1246" i="7"/>
  <c r="M1246" i="7" s="1"/>
  <c r="L1321" i="7"/>
  <c r="M1321" i="7" s="1"/>
  <c r="L1316" i="7"/>
  <c r="M1316" i="7" s="1"/>
  <c r="L1309" i="7"/>
  <c r="M1309" i="7" s="1"/>
  <c r="L1298" i="7"/>
  <c r="M1298" i="7" s="1"/>
  <c r="L1283" i="7"/>
  <c r="M1283" i="7" s="1"/>
  <c r="L1276" i="7"/>
  <c r="M1276" i="7" s="1"/>
  <c r="L1271" i="7"/>
  <c r="M1271" i="7" s="1"/>
  <c r="L1270" i="7"/>
  <c r="M1270" i="7" s="1"/>
  <c r="AH9" i="8" l="1"/>
  <c r="AE9" i="8"/>
  <c r="AC9" i="8"/>
  <c r="AG9" i="8"/>
  <c r="Y9" i="8"/>
  <c r="AD9" i="8"/>
  <c r="AO8" i="8"/>
  <c r="AN8" i="8"/>
  <c r="L1263" i="7"/>
  <c r="M1263" i="7" s="1"/>
  <c r="L1279" i="7"/>
  <c r="M1279" i="7" s="1"/>
  <c r="L1287" i="7"/>
  <c r="M1287" i="7" s="1"/>
  <c r="L1295" i="7"/>
  <c r="M1295" i="7" s="1"/>
  <c r="L1303" i="7"/>
  <c r="M1303" i="7" s="1"/>
  <c r="L1311" i="7"/>
  <c r="M1311" i="7" s="1"/>
  <c r="L1319" i="7"/>
  <c r="M1319" i="7" s="1"/>
  <c r="L1264" i="7"/>
  <c r="M1264" i="7" s="1"/>
  <c r="L1272" i="7"/>
  <c r="M1272" i="7" s="1"/>
  <c r="L1280" i="7"/>
  <c r="M1280" i="7" s="1"/>
  <c r="L1288" i="7"/>
  <c r="M1288" i="7" s="1"/>
  <c r="L1296" i="7"/>
  <c r="M1296" i="7" s="1"/>
  <c r="L1304" i="7"/>
  <c r="M1304" i="7" s="1"/>
  <c r="L1312" i="7"/>
  <c r="M1312" i="7" s="1"/>
  <c r="L1320" i="7"/>
  <c r="M1320" i="7" s="1"/>
  <c r="L1265" i="7"/>
  <c r="M1265" i="7" s="1"/>
  <c r="L1273" i="7"/>
  <c r="M1273" i="7" s="1"/>
  <c r="L1281" i="7"/>
  <c r="M1281" i="7" s="1"/>
  <c r="L1289" i="7"/>
  <c r="M1289" i="7" s="1"/>
  <c r="L1297" i="7"/>
  <c r="M1297" i="7" s="1"/>
  <c r="L1305" i="7"/>
  <c r="M1305" i="7" s="1"/>
  <c r="L1313" i="7"/>
  <c r="M1313" i="7" s="1"/>
  <c r="L1266" i="7"/>
  <c r="M1266" i="7" s="1"/>
  <c r="L1274" i="7"/>
  <c r="M1274" i="7" s="1"/>
  <c r="L1282" i="7"/>
  <c r="M1282" i="7" s="1"/>
  <c r="L1290" i="7"/>
  <c r="M1290" i="7" s="1"/>
  <c r="L1306" i="7"/>
  <c r="M1306" i="7" s="1"/>
  <c r="L1314" i="7"/>
  <c r="M1314" i="7" s="1"/>
  <c r="L1322" i="7"/>
  <c r="M1322" i="7" s="1"/>
  <c r="L1267" i="7"/>
  <c r="M1267" i="7" s="1"/>
  <c r="L1275" i="7"/>
  <c r="M1275" i="7" s="1"/>
  <c r="L1291" i="7"/>
  <c r="M1291" i="7" s="1"/>
  <c r="L1299" i="7"/>
  <c r="M1299" i="7" s="1"/>
  <c r="L1307" i="7"/>
  <c r="M1307" i="7" s="1"/>
  <c r="L1315" i="7"/>
  <c r="M1315" i="7" s="1"/>
  <c r="L1323" i="7"/>
  <c r="M1323" i="7" s="1"/>
  <c r="L1268" i="7"/>
  <c r="M1268" i="7" s="1"/>
  <c r="L1284" i="7"/>
  <c r="M1284" i="7" s="1"/>
  <c r="L1292" i="7"/>
  <c r="M1292" i="7" s="1"/>
  <c r="L1300" i="7"/>
  <c r="M1300" i="7" s="1"/>
  <c r="L1308" i="7"/>
  <c r="M1308" i="7" s="1"/>
  <c r="L1269" i="7"/>
  <c r="M1269" i="7" s="1"/>
  <c r="L1277" i="7"/>
  <c r="M1277" i="7" s="1"/>
  <c r="L1285" i="7"/>
  <c r="M1285" i="7" s="1"/>
  <c r="L1293" i="7"/>
  <c r="M1293" i="7" s="1"/>
  <c r="L1301" i="7"/>
  <c r="M1301" i="7" s="1"/>
  <c r="L1317" i="7"/>
  <c r="M1317" i="7" s="1"/>
  <c r="L1262" i="7"/>
  <c r="M1262" i="7" s="1"/>
  <c r="L1278" i="7"/>
  <c r="M1278" i="7" s="1"/>
  <c r="L1286" i="7"/>
  <c r="M1286" i="7" s="1"/>
  <c r="L1294" i="7"/>
  <c r="M1294" i="7" s="1"/>
  <c r="L1302" i="7"/>
  <c r="M1302" i="7" s="1"/>
  <c r="L1310" i="7"/>
  <c r="M1310" i="7" s="1"/>
  <c r="L1318" i="7"/>
  <c r="M1318" i="7" s="1"/>
  <c r="L1195" i="7"/>
  <c r="M1195" i="7" s="1"/>
  <c r="L1194" i="7"/>
  <c r="M1194" i="7" s="1"/>
  <c r="L1193" i="7"/>
  <c r="M1193" i="7" s="1"/>
  <c r="L1192" i="7"/>
  <c r="M1192" i="7" s="1"/>
  <c r="L1191" i="7"/>
  <c r="M1191" i="7" s="1"/>
  <c r="L1190" i="7"/>
  <c r="M1190" i="7" s="1"/>
  <c r="L1189" i="7"/>
  <c r="M1189" i="7" s="1"/>
  <c r="L1188" i="7"/>
  <c r="M1188" i="7" s="1"/>
  <c r="L1187" i="7"/>
  <c r="M1187" i="7" s="1"/>
  <c r="L1186" i="7"/>
  <c r="M1186" i="7" s="1"/>
  <c r="L1185" i="7"/>
  <c r="M1185" i="7" s="1"/>
  <c r="L1184" i="7"/>
  <c r="M1184" i="7" s="1"/>
  <c r="L1183" i="7"/>
  <c r="M1183" i="7" s="1"/>
  <c r="L1182" i="7"/>
  <c r="M1182" i="7" s="1"/>
  <c r="L1181" i="7"/>
  <c r="M1181" i="7" s="1"/>
  <c r="L1180" i="7"/>
  <c r="M1180" i="7" s="1"/>
  <c r="L1179" i="7"/>
  <c r="M1179" i="7" s="1"/>
  <c r="L1178" i="7"/>
  <c r="M1178" i="7" s="1"/>
  <c r="L1177" i="7"/>
  <c r="M1177" i="7" s="1"/>
  <c r="L1176" i="7"/>
  <c r="M1176" i="7" s="1"/>
  <c r="L1175" i="7"/>
  <c r="M1175" i="7" s="1"/>
  <c r="L1158" i="7"/>
  <c r="M1158" i="7" s="1"/>
  <c r="L1157" i="7"/>
  <c r="M1157" i="7" s="1"/>
  <c r="L1156" i="7"/>
  <c r="M1156" i="7" s="1"/>
  <c r="L1155" i="7"/>
  <c r="M1155" i="7" s="1"/>
  <c r="L1154" i="7"/>
  <c r="M1154" i="7" s="1"/>
  <c r="L1153" i="7"/>
  <c r="M1153" i="7" s="1"/>
  <c r="L1152" i="7"/>
  <c r="M1152" i="7" s="1"/>
  <c r="L1151" i="7"/>
  <c r="M1151" i="7" s="1"/>
  <c r="L1150" i="7"/>
  <c r="M1150" i="7" s="1"/>
  <c r="L1149" i="7"/>
  <c r="M1149" i="7" s="1"/>
  <c r="L1148" i="7"/>
  <c r="M1148" i="7" s="1"/>
  <c r="L1147" i="7"/>
  <c r="M1147" i="7" s="1"/>
  <c r="L1146" i="7"/>
  <c r="M1146" i="7" s="1"/>
  <c r="L1145" i="7"/>
  <c r="M1145" i="7" s="1"/>
  <c r="L1144" i="7"/>
  <c r="M1144" i="7" s="1"/>
  <c r="L1143" i="7"/>
  <c r="M1143" i="7" s="1"/>
  <c r="L1142" i="7"/>
  <c r="M1142" i="7" s="1"/>
  <c r="L1141" i="7"/>
  <c r="M1141" i="7" s="1"/>
  <c r="L1140" i="7"/>
  <c r="M1140" i="7" s="1"/>
  <c r="L1139" i="7"/>
  <c r="M1139" i="7" s="1"/>
  <c r="L1138" i="7"/>
  <c r="M1138" i="7" s="1"/>
  <c r="L1137" i="7"/>
  <c r="M1137" i="7" s="1"/>
  <c r="L1136" i="7"/>
  <c r="M1136" i="7" s="1"/>
  <c r="L1135" i="7"/>
  <c r="M1135" i="7" s="1"/>
  <c r="L1134" i="7"/>
  <c r="M1134" i="7" s="1"/>
  <c r="L1133" i="7"/>
  <c r="M1133" i="7" s="1"/>
  <c r="L1132" i="7"/>
  <c r="M1132" i="7" s="1"/>
  <c r="L1131" i="7"/>
  <c r="M1131" i="7" s="1"/>
  <c r="L1130" i="7"/>
  <c r="M1130" i="7" s="1"/>
  <c r="L1129" i="7"/>
  <c r="M1129" i="7" s="1"/>
  <c r="L1128" i="7"/>
  <c r="M1128" i="7" s="1"/>
  <c r="L1127" i="7"/>
  <c r="M1127" i="7" s="1"/>
  <c r="L1126" i="7"/>
  <c r="M1126" i="7" s="1"/>
  <c r="L1125" i="7"/>
  <c r="M1125" i="7" s="1"/>
  <c r="L1124" i="7"/>
  <c r="M1124" i="7" s="1"/>
  <c r="L1123" i="7"/>
  <c r="M1123" i="7" s="1"/>
  <c r="L1122" i="7"/>
  <c r="M1122" i="7" s="1"/>
  <c r="L1121" i="7"/>
  <c r="M1121" i="7" s="1"/>
  <c r="L1120" i="7"/>
  <c r="M1120" i="7" s="1"/>
  <c r="L1119" i="7"/>
  <c r="M1119" i="7" s="1"/>
  <c r="L1118" i="7"/>
  <c r="M1118" i="7" s="1"/>
  <c r="L1117" i="7"/>
  <c r="M1117" i="7" s="1"/>
  <c r="L1116" i="7"/>
  <c r="M1116" i="7" s="1"/>
  <c r="L1115" i="7"/>
  <c r="M1115" i="7" s="1"/>
  <c r="L1114" i="7"/>
  <c r="M1114" i="7" s="1"/>
  <c r="L1113" i="7"/>
  <c r="M1113" i="7" s="1"/>
  <c r="L1112" i="7"/>
  <c r="M1112" i="7" s="1"/>
  <c r="L1111" i="7"/>
  <c r="M1111" i="7" s="1"/>
  <c r="L1110" i="7"/>
  <c r="M1110" i="7" s="1"/>
  <c r="L1109" i="7"/>
  <c r="M1109" i="7" s="1"/>
  <c r="L1108" i="7"/>
  <c r="M1108" i="7" s="1"/>
  <c r="L1107" i="7"/>
  <c r="M1107" i="7" s="1"/>
  <c r="L1106" i="7"/>
  <c r="M1106" i="7" s="1"/>
  <c r="L1105" i="7"/>
  <c r="M1105" i="7" s="1"/>
  <c r="L1104" i="7"/>
  <c r="M1104" i="7" s="1"/>
  <c r="L1059" i="7"/>
  <c r="M1059" i="7" s="1"/>
  <c r="L1058" i="7"/>
  <c r="M1058" i="7" s="1"/>
  <c r="L1057" i="7"/>
  <c r="M1057" i="7" s="1"/>
  <c r="L1056" i="7"/>
  <c r="M1056" i="7" s="1"/>
  <c r="L1055" i="7"/>
  <c r="M1055" i="7" s="1"/>
  <c r="L1054" i="7"/>
  <c r="M1054" i="7" s="1"/>
  <c r="L1053" i="7"/>
  <c r="M1053" i="7" s="1"/>
  <c r="L1052" i="7"/>
  <c r="M1052" i="7" s="1"/>
  <c r="L1051" i="7"/>
  <c r="M1051" i="7" s="1"/>
  <c r="L1050" i="7"/>
  <c r="M1050" i="7" s="1"/>
  <c r="L1047" i="7"/>
  <c r="M1047" i="7" s="1"/>
  <c r="L1046" i="7"/>
  <c r="M1046" i="7" s="1"/>
  <c r="L1239" i="7"/>
  <c r="M1239" i="7" s="1"/>
  <c r="L1238" i="7"/>
  <c r="M1238" i="7" s="1"/>
  <c r="L1225" i="7"/>
  <c r="M1225" i="7" s="1"/>
  <c r="L1217" i="7"/>
  <c r="M1217" i="7" s="1"/>
  <c r="L1210" i="7"/>
  <c r="M1210" i="7" s="1"/>
  <c r="L1207" i="7"/>
  <c r="M1207" i="7" s="1"/>
  <c r="L1202" i="7"/>
  <c r="M1202" i="7" s="1"/>
  <c r="L1200" i="7"/>
  <c r="M1200" i="7" s="1"/>
  <c r="L1172" i="7"/>
  <c r="M1172" i="7" s="1"/>
  <c r="L1167" i="7"/>
  <c r="M1167" i="7" s="1"/>
  <c r="L1164" i="7"/>
  <c r="M1164" i="7" s="1"/>
  <c r="L1098" i="7"/>
  <c r="M1098" i="7" s="1"/>
  <c r="L1077" i="7"/>
  <c r="M1077" i="7" s="1"/>
  <c r="L1075" i="7"/>
  <c r="M1075" i="7" s="1"/>
  <c r="L1071" i="7"/>
  <c r="M1071" i="7" s="1"/>
  <c r="L1068" i="7"/>
  <c r="M1068" i="7" s="1"/>
  <c r="Y10" i="8" l="1"/>
  <c r="AG10" i="8"/>
  <c r="AE10" i="8"/>
  <c r="AC10" i="8"/>
  <c r="AD10" i="8"/>
  <c r="AH10" i="8"/>
  <c r="AO9" i="8"/>
  <c r="AN9" i="8"/>
  <c r="L1061" i="7"/>
  <c r="M1061" i="7" s="1"/>
  <c r="L1060" i="7"/>
  <c r="M1060" i="7" s="1"/>
  <c r="L1076" i="7"/>
  <c r="M1076" i="7" s="1"/>
  <c r="L1084" i="7"/>
  <c r="M1084" i="7" s="1"/>
  <c r="L1092" i="7"/>
  <c r="M1092" i="7" s="1"/>
  <c r="L1100" i="7"/>
  <c r="M1100" i="7" s="1"/>
  <c r="L1196" i="7"/>
  <c r="M1196" i="7" s="1"/>
  <c r="L1204" i="7"/>
  <c r="M1204" i="7" s="1"/>
  <c r="L1212" i="7"/>
  <c r="M1212" i="7" s="1"/>
  <c r="L1220" i="7"/>
  <c r="M1220" i="7" s="1"/>
  <c r="L1228" i="7"/>
  <c r="M1228" i="7" s="1"/>
  <c r="L1236" i="7"/>
  <c r="M1236" i="7" s="1"/>
  <c r="L1244" i="7"/>
  <c r="M1244" i="7" s="1"/>
  <c r="L1069" i="7"/>
  <c r="M1069" i="7" s="1"/>
  <c r="L1085" i="7"/>
  <c r="M1085" i="7" s="1"/>
  <c r="L1093" i="7"/>
  <c r="M1093" i="7" s="1"/>
  <c r="L1101" i="7"/>
  <c r="M1101" i="7" s="1"/>
  <c r="L1165" i="7"/>
  <c r="M1165" i="7" s="1"/>
  <c r="L1173" i="7"/>
  <c r="M1173" i="7" s="1"/>
  <c r="L1197" i="7"/>
  <c r="M1197" i="7" s="1"/>
  <c r="L1205" i="7"/>
  <c r="M1205" i="7" s="1"/>
  <c r="L1213" i="7"/>
  <c r="M1213" i="7" s="1"/>
  <c r="L1221" i="7"/>
  <c r="M1221" i="7" s="1"/>
  <c r="L1229" i="7"/>
  <c r="M1229" i="7" s="1"/>
  <c r="L1237" i="7"/>
  <c r="M1237" i="7" s="1"/>
  <c r="L1245" i="7"/>
  <c r="M1245" i="7" s="1"/>
  <c r="L1062" i="7"/>
  <c r="M1062" i="7" s="1"/>
  <c r="L1070" i="7"/>
  <c r="M1070" i="7" s="1"/>
  <c r="L1078" i="7"/>
  <c r="M1078" i="7" s="1"/>
  <c r="L1086" i="7"/>
  <c r="M1086" i="7" s="1"/>
  <c r="L1094" i="7"/>
  <c r="M1094" i="7" s="1"/>
  <c r="L1102" i="7"/>
  <c r="M1102" i="7" s="1"/>
  <c r="L1166" i="7"/>
  <c r="M1166" i="7" s="1"/>
  <c r="L1174" i="7"/>
  <c r="M1174" i="7" s="1"/>
  <c r="L1198" i="7"/>
  <c r="M1198" i="7" s="1"/>
  <c r="L1206" i="7"/>
  <c r="M1206" i="7" s="1"/>
  <c r="L1214" i="7"/>
  <c r="M1214" i="7" s="1"/>
  <c r="L1222" i="7"/>
  <c r="M1222" i="7" s="1"/>
  <c r="L1230" i="7"/>
  <c r="M1230" i="7" s="1"/>
  <c r="L1063" i="7"/>
  <c r="M1063" i="7" s="1"/>
  <c r="L1079" i="7"/>
  <c r="M1079" i="7" s="1"/>
  <c r="L1087" i="7"/>
  <c r="M1087" i="7" s="1"/>
  <c r="L1095" i="7"/>
  <c r="M1095" i="7" s="1"/>
  <c r="L1103" i="7"/>
  <c r="M1103" i="7" s="1"/>
  <c r="L1159" i="7"/>
  <c r="M1159" i="7" s="1"/>
  <c r="L1199" i="7"/>
  <c r="M1199" i="7" s="1"/>
  <c r="L1215" i="7"/>
  <c r="M1215" i="7" s="1"/>
  <c r="L1223" i="7"/>
  <c r="M1223" i="7" s="1"/>
  <c r="L1231" i="7"/>
  <c r="M1231" i="7" s="1"/>
  <c r="L1048" i="7"/>
  <c r="M1048" i="7" s="1"/>
  <c r="L1064" i="7"/>
  <c r="M1064" i="7" s="1"/>
  <c r="L1072" i="7"/>
  <c r="M1072" i="7" s="1"/>
  <c r="L1080" i="7"/>
  <c r="M1080" i="7" s="1"/>
  <c r="L1088" i="7"/>
  <c r="M1088" i="7" s="1"/>
  <c r="L1096" i="7"/>
  <c r="M1096" i="7" s="1"/>
  <c r="L1160" i="7"/>
  <c r="M1160" i="7" s="1"/>
  <c r="L1168" i="7"/>
  <c r="M1168" i="7" s="1"/>
  <c r="L1208" i="7"/>
  <c r="M1208" i="7" s="1"/>
  <c r="L1216" i="7"/>
  <c r="M1216" i="7" s="1"/>
  <c r="L1224" i="7"/>
  <c r="M1224" i="7" s="1"/>
  <c r="L1232" i="7"/>
  <c r="M1232" i="7" s="1"/>
  <c r="L1240" i="7"/>
  <c r="M1240" i="7" s="1"/>
  <c r="L1049" i="7"/>
  <c r="M1049" i="7" s="1"/>
  <c r="L1065" i="7"/>
  <c r="M1065" i="7" s="1"/>
  <c r="L1073" i="7"/>
  <c r="M1073" i="7" s="1"/>
  <c r="L1081" i="7"/>
  <c r="M1081" i="7" s="1"/>
  <c r="L1089" i="7"/>
  <c r="M1089" i="7" s="1"/>
  <c r="L1097" i="7"/>
  <c r="M1097" i="7" s="1"/>
  <c r="L1161" i="7"/>
  <c r="M1161" i="7" s="1"/>
  <c r="L1169" i="7"/>
  <c r="M1169" i="7" s="1"/>
  <c r="L1201" i="7"/>
  <c r="M1201" i="7" s="1"/>
  <c r="L1209" i="7"/>
  <c r="M1209" i="7" s="1"/>
  <c r="L1233" i="7"/>
  <c r="M1233" i="7" s="1"/>
  <c r="L1241" i="7"/>
  <c r="M1241" i="7" s="1"/>
  <c r="L1066" i="7"/>
  <c r="M1066" i="7" s="1"/>
  <c r="L1074" i="7"/>
  <c r="M1074" i="7" s="1"/>
  <c r="L1082" i="7"/>
  <c r="M1082" i="7" s="1"/>
  <c r="L1090" i="7"/>
  <c r="M1090" i="7" s="1"/>
  <c r="L1162" i="7"/>
  <c r="M1162" i="7" s="1"/>
  <c r="L1170" i="7"/>
  <c r="M1170" i="7" s="1"/>
  <c r="L1218" i="7"/>
  <c r="M1218" i="7" s="1"/>
  <c r="L1226" i="7"/>
  <c r="M1226" i="7" s="1"/>
  <c r="L1234" i="7"/>
  <c r="M1234" i="7" s="1"/>
  <c r="L1242" i="7"/>
  <c r="M1242" i="7" s="1"/>
  <c r="L1067" i="7"/>
  <c r="M1067" i="7" s="1"/>
  <c r="L1083" i="7"/>
  <c r="M1083" i="7" s="1"/>
  <c r="L1091" i="7"/>
  <c r="M1091" i="7" s="1"/>
  <c r="L1099" i="7"/>
  <c r="M1099" i="7" s="1"/>
  <c r="L1163" i="7"/>
  <c r="M1163" i="7" s="1"/>
  <c r="L1171" i="7"/>
  <c r="M1171" i="7" s="1"/>
  <c r="L1203" i="7"/>
  <c r="M1203" i="7" s="1"/>
  <c r="L1211" i="7"/>
  <c r="M1211" i="7" s="1"/>
  <c r="L1219" i="7"/>
  <c r="M1219" i="7" s="1"/>
  <c r="L1227" i="7"/>
  <c r="M1227" i="7" s="1"/>
  <c r="L1235" i="7"/>
  <c r="M1235" i="7" s="1"/>
  <c r="L1243" i="7"/>
  <c r="M1243" i="7" s="1"/>
  <c r="Y11" i="8" l="1"/>
  <c r="AH11" i="8"/>
  <c r="AD11" i="8"/>
  <c r="AG11" i="8"/>
  <c r="AE11" i="8"/>
  <c r="AC11" i="8"/>
  <c r="AN10" i="8"/>
  <c r="AO10" i="8"/>
  <c r="L41" i="16"/>
  <c r="L1034" i="7"/>
  <c r="M1034" i="7" s="1"/>
  <c r="L1033" i="7"/>
  <c r="M1033" i="7" s="1"/>
  <c r="L1032" i="7"/>
  <c r="M1032" i="7" s="1"/>
  <c r="L1031" i="7"/>
  <c r="M1031" i="7" s="1"/>
  <c r="L1030" i="7"/>
  <c r="M1030" i="7" s="1"/>
  <c r="L1029" i="7"/>
  <c r="M1029" i="7" s="1"/>
  <c r="L1028" i="7"/>
  <c r="M1028" i="7" s="1"/>
  <c r="L1027" i="7"/>
  <c r="M1027" i="7" s="1"/>
  <c r="L1026" i="7"/>
  <c r="M1026" i="7" s="1"/>
  <c r="L1025" i="7"/>
  <c r="M1025" i="7" s="1"/>
  <c r="L1024" i="7"/>
  <c r="M1024" i="7" s="1"/>
  <c r="L1042" i="7"/>
  <c r="M1042" i="7" s="1"/>
  <c r="L1039" i="7"/>
  <c r="M1039" i="7" s="1"/>
  <c r="AO11" i="8" l="1"/>
  <c r="AN11" i="8"/>
  <c r="AE12" i="8"/>
  <c r="Y12" i="8"/>
  <c r="AG12" i="8"/>
  <c r="AH12" i="8"/>
  <c r="AD12" i="8"/>
  <c r="AC12" i="8"/>
  <c r="L1044" i="7"/>
  <c r="M1044" i="7" s="1"/>
  <c r="L1037" i="7"/>
  <c r="M1037" i="7" s="1"/>
  <c r="L1041" i="7"/>
  <c r="M1041" i="7" s="1"/>
  <c r="L1045" i="7"/>
  <c r="M1045" i="7" s="1"/>
  <c r="L1038" i="7"/>
  <c r="M1038" i="7" s="1"/>
  <c r="L1035" i="7"/>
  <c r="M1035" i="7" s="1"/>
  <c r="L1043" i="7"/>
  <c r="M1043" i="7" s="1"/>
  <c r="L1036" i="7"/>
  <c r="M1036" i="7" s="1"/>
  <c r="L1040" i="7"/>
  <c r="M1040" i="7" s="1"/>
  <c r="L1023" i="7"/>
  <c r="M1023" i="7" s="1"/>
  <c r="L1022" i="7"/>
  <c r="M1022" i="7" s="1"/>
  <c r="L1021" i="7"/>
  <c r="M1021" i="7" s="1"/>
  <c r="L1020" i="7"/>
  <c r="M1020" i="7" s="1"/>
  <c r="L1019" i="7"/>
  <c r="M1019" i="7" s="1"/>
  <c r="L1018" i="7"/>
  <c r="M1018" i="7" s="1"/>
  <c r="L1017" i="7"/>
  <c r="M1017" i="7" s="1"/>
  <c r="L1016" i="7"/>
  <c r="M1016" i="7" s="1"/>
  <c r="L1015" i="7"/>
  <c r="M1015" i="7" s="1"/>
  <c r="L1014" i="7"/>
  <c r="M1014" i="7" s="1"/>
  <c r="L1013" i="7"/>
  <c r="M1013" i="7" s="1"/>
  <c r="L1012" i="7"/>
  <c r="M1012" i="7" s="1"/>
  <c r="L1011" i="7"/>
  <c r="M1011" i="7" s="1"/>
  <c r="L1010" i="7"/>
  <c r="M1010" i="7" s="1"/>
  <c r="L1009" i="7"/>
  <c r="M1009" i="7" s="1"/>
  <c r="L1008" i="7"/>
  <c r="M1008" i="7" s="1"/>
  <c r="L1007" i="7"/>
  <c r="M1007" i="7" s="1"/>
  <c r="L1006" i="7"/>
  <c r="M1006" i="7" s="1"/>
  <c r="L1005" i="7"/>
  <c r="M1005" i="7" s="1"/>
  <c r="L1004" i="7"/>
  <c r="M1004" i="7" s="1"/>
  <c r="L1003" i="7"/>
  <c r="M1003" i="7" s="1"/>
  <c r="L1002" i="7"/>
  <c r="M1002" i="7" s="1"/>
  <c r="L1001" i="7"/>
  <c r="M1001" i="7" s="1"/>
  <c r="L1000" i="7"/>
  <c r="M1000" i="7" s="1"/>
  <c r="L999" i="7"/>
  <c r="M999" i="7" s="1"/>
  <c r="L998" i="7"/>
  <c r="M998" i="7" s="1"/>
  <c r="L997" i="7"/>
  <c r="M997" i="7" s="1"/>
  <c r="L996" i="7"/>
  <c r="M996" i="7" s="1"/>
  <c r="L995" i="7"/>
  <c r="M995" i="7" s="1"/>
  <c r="L994" i="7"/>
  <c r="M994" i="7" s="1"/>
  <c r="L993" i="7"/>
  <c r="M993" i="7" s="1"/>
  <c r="L992" i="7"/>
  <c r="M992" i="7" s="1"/>
  <c r="L991" i="7"/>
  <c r="M991" i="7" s="1"/>
  <c r="L990" i="7"/>
  <c r="M990" i="7" s="1"/>
  <c r="L989" i="7"/>
  <c r="M989" i="7" s="1"/>
  <c r="L988" i="7"/>
  <c r="M988" i="7" s="1"/>
  <c r="L987" i="7"/>
  <c r="M987" i="7" s="1"/>
  <c r="L920" i="7"/>
  <c r="M920" i="7" s="1"/>
  <c r="L919" i="7"/>
  <c r="M919" i="7" s="1"/>
  <c r="L918" i="7"/>
  <c r="M918" i="7" s="1"/>
  <c r="L917" i="7"/>
  <c r="M917" i="7" s="1"/>
  <c r="L916" i="7"/>
  <c r="M916" i="7" s="1"/>
  <c r="L915" i="7"/>
  <c r="M915" i="7" s="1"/>
  <c r="L914" i="7"/>
  <c r="M914" i="7" s="1"/>
  <c r="L913" i="7"/>
  <c r="M913" i="7" s="1"/>
  <c r="L972" i="7"/>
  <c r="M972" i="7" s="1"/>
  <c r="L970" i="7"/>
  <c r="M970" i="7" s="1"/>
  <c r="L961" i="7"/>
  <c r="M961" i="7" s="1"/>
  <c r="L958" i="7"/>
  <c r="M958" i="7" s="1"/>
  <c r="L941" i="7"/>
  <c r="M941" i="7" s="1"/>
  <c r="L937" i="7"/>
  <c r="M937" i="7" s="1"/>
  <c r="L934" i="7"/>
  <c r="M934" i="7" s="1"/>
  <c r="L931" i="7"/>
  <c r="M931" i="7" s="1"/>
  <c r="L929" i="7"/>
  <c r="M929" i="7" s="1"/>
  <c r="L925" i="7"/>
  <c r="M925" i="7" s="1"/>
  <c r="L923" i="7"/>
  <c r="M923" i="7" s="1"/>
  <c r="L922" i="7"/>
  <c r="M922" i="7" s="1"/>
  <c r="AE13" i="8" l="1"/>
  <c r="Y13" i="8"/>
  <c r="AC13" i="8"/>
  <c r="AD13" i="8"/>
  <c r="AH13" i="8"/>
  <c r="AG13" i="8"/>
  <c r="AO12" i="8"/>
  <c r="AN12" i="8"/>
  <c r="L910" i="7"/>
  <c r="M910" i="7" s="1"/>
  <c r="L926" i="7"/>
  <c r="M926" i="7" s="1"/>
  <c r="L930" i="7"/>
  <c r="M930" i="7" s="1"/>
  <c r="L938" i="7"/>
  <c r="M938" i="7" s="1"/>
  <c r="L942" i="7"/>
  <c r="M942" i="7" s="1"/>
  <c r="L946" i="7"/>
  <c r="M946" i="7" s="1"/>
  <c r="L950" i="7"/>
  <c r="M950" i="7" s="1"/>
  <c r="L954" i="7"/>
  <c r="M954" i="7" s="1"/>
  <c r="L962" i="7"/>
  <c r="M962" i="7" s="1"/>
  <c r="L966" i="7"/>
  <c r="M966" i="7" s="1"/>
  <c r="L974" i="7"/>
  <c r="M974" i="7" s="1"/>
  <c r="L978" i="7"/>
  <c r="M978" i="7" s="1"/>
  <c r="L982" i="7"/>
  <c r="M982" i="7" s="1"/>
  <c r="L986" i="7"/>
  <c r="M986" i="7" s="1"/>
  <c r="L911" i="7"/>
  <c r="M911" i="7" s="1"/>
  <c r="L927" i="7"/>
  <c r="M927" i="7" s="1"/>
  <c r="L935" i="7"/>
  <c r="M935" i="7" s="1"/>
  <c r="L939" i="7"/>
  <c r="M939" i="7" s="1"/>
  <c r="L943" i="7"/>
  <c r="M943" i="7" s="1"/>
  <c r="L947" i="7"/>
  <c r="M947" i="7" s="1"/>
  <c r="L951" i="7"/>
  <c r="M951" i="7" s="1"/>
  <c r="L955" i="7"/>
  <c r="M955" i="7" s="1"/>
  <c r="L959" i="7"/>
  <c r="M959" i="7" s="1"/>
  <c r="L963" i="7"/>
  <c r="M963" i="7" s="1"/>
  <c r="L967" i="7"/>
  <c r="M967" i="7" s="1"/>
  <c r="L971" i="7"/>
  <c r="M971" i="7" s="1"/>
  <c r="L975" i="7"/>
  <c r="M975" i="7" s="1"/>
  <c r="L979" i="7"/>
  <c r="M979" i="7" s="1"/>
  <c r="L983" i="7"/>
  <c r="M983" i="7" s="1"/>
  <c r="L912" i="7"/>
  <c r="M912" i="7" s="1"/>
  <c r="L924" i="7"/>
  <c r="M924" i="7" s="1"/>
  <c r="L928" i="7"/>
  <c r="M928" i="7" s="1"/>
  <c r="L932" i="7"/>
  <c r="M932" i="7" s="1"/>
  <c r="L936" i="7"/>
  <c r="M936" i="7" s="1"/>
  <c r="L940" i="7"/>
  <c r="M940" i="7" s="1"/>
  <c r="L944" i="7"/>
  <c r="M944" i="7" s="1"/>
  <c r="L948" i="7"/>
  <c r="M948" i="7" s="1"/>
  <c r="L952" i="7"/>
  <c r="M952" i="7" s="1"/>
  <c r="L956" i="7"/>
  <c r="M956" i="7" s="1"/>
  <c r="L960" i="7"/>
  <c r="M960" i="7" s="1"/>
  <c r="L964" i="7"/>
  <c r="M964" i="7" s="1"/>
  <c r="L968" i="7"/>
  <c r="M968" i="7" s="1"/>
  <c r="L976" i="7"/>
  <c r="M976" i="7" s="1"/>
  <c r="L980" i="7"/>
  <c r="M980" i="7" s="1"/>
  <c r="L984" i="7"/>
  <c r="M984" i="7" s="1"/>
  <c r="L921" i="7"/>
  <c r="M921" i="7" s="1"/>
  <c r="L933" i="7"/>
  <c r="M933" i="7" s="1"/>
  <c r="L945" i="7"/>
  <c r="M945" i="7" s="1"/>
  <c r="L949" i="7"/>
  <c r="M949" i="7" s="1"/>
  <c r="L953" i="7"/>
  <c r="M953" i="7" s="1"/>
  <c r="L957" i="7"/>
  <c r="M957" i="7" s="1"/>
  <c r="L965" i="7"/>
  <c r="M965" i="7" s="1"/>
  <c r="L969" i="7"/>
  <c r="M969" i="7" s="1"/>
  <c r="L973" i="7"/>
  <c r="M973" i="7" s="1"/>
  <c r="L977" i="7"/>
  <c r="M977" i="7" s="1"/>
  <c r="L981" i="7"/>
  <c r="M981" i="7" s="1"/>
  <c r="L985" i="7"/>
  <c r="M985" i="7" s="1"/>
  <c r="AE14" i="8" l="1"/>
  <c r="Y14" i="8"/>
  <c r="AD14" i="8"/>
  <c r="AC14" i="8"/>
  <c r="AG14" i="8"/>
  <c r="AH14" i="8"/>
  <c r="AN13" i="8"/>
  <c r="AO13" i="8"/>
  <c r="L898" i="7"/>
  <c r="M898" i="7" s="1"/>
  <c r="L897" i="7"/>
  <c r="M897" i="7" s="1"/>
  <c r="L896" i="7"/>
  <c r="M896" i="7" s="1"/>
  <c r="L895" i="7"/>
  <c r="M895" i="7" s="1"/>
  <c r="L890" i="7"/>
  <c r="M890" i="7" s="1"/>
  <c r="L889" i="7"/>
  <c r="M889" i="7" s="1"/>
  <c r="L888" i="7"/>
  <c r="M888" i="7" s="1"/>
  <c r="L887" i="7"/>
  <c r="M887" i="7" s="1"/>
  <c r="L886" i="7"/>
  <c r="M886" i="7" s="1"/>
  <c r="L885" i="7"/>
  <c r="M885" i="7" s="1"/>
  <c r="L884" i="7"/>
  <c r="M884" i="7" s="1"/>
  <c r="L883" i="7"/>
  <c r="M883" i="7" s="1"/>
  <c r="Y15" i="8" l="1"/>
  <c r="AE15" i="8"/>
  <c r="AC15" i="8"/>
  <c r="AH15" i="8"/>
  <c r="AD15" i="8"/>
  <c r="AG15" i="8"/>
  <c r="AN14" i="8"/>
  <c r="AO14" i="8"/>
  <c r="L908" i="7"/>
  <c r="M908" i="7" s="1"/>
  <c r="L891" i="7"/>
  <c r="M891" i="7" s="1"/>
  <c r="L899" i="7"/>
  <c r="M899" i="7" s="1"/>
  <c r="L903" i="7"/>
  <c r="M903" i="7" s="1"/>
  <c r="L907" i="7"/>
  <c r="M907" i="7" s="1"/>
  <c r="L892" i="7"/>
  <c r="M892" i="7" s="1"/>
  <c r="L900" i="7"/>
  <c r="M900" i="7" s="1"/>
  <c r="L904" i="7"/>
  <c r="M904" i="7" s="1"/>
  <c r="L893" i="7"/>
  <c r="M893" i="7" s="1"/>
  <c r="L901" i="7"/>
  <c r="M901" i="7" s="1"/>
  <c r="L905" i="7"/>
  <c r="M905" i="7" s="1"/>
  <c r="L909" i="7"/>
  <c r="M909" i="7" s="1"/>
  <c r="L894" i="7"/>
  <c r="M894" i="7" s="1"/>
  <c r="L902" i="7"/>
  <c r="M902" i="7" s="1"/>
  <c r="L906" i="7"/>
  <c r="M906" i="7" s="1"/>
  <c r="L878" i="7"/>
  <c r="M878" i="7" s="1"/>
  <c r="L876" i="7"/>
  <c r="M876" i="7" s="1"/>
  <c r="L873" i="7"/>
  <c r="M873" i="7" s="1"/>
  <c r="L871" i="7"/>
  <c r="M871" i="7" s="1"/>
  <c r="L868" i="7"/>
  <c r="M868" i="7" s="1"/>
  <c r="L852" i="7"/>
  <c r="M852" i="7" s="1"/>
  <c r="AG16" i="8" l="1"/>
  <c r="AE16" i="8"/>
  <c r="AD16" i="8"/>
  <c r="AH16" i="8"/>
  <c r="Y16" i="8"/>
  <c r="AC16" i="8"/>
  <c r="AO15" i="8"/>
  <c r="AN15" i="8"/>
  <c r="L846" i="7"/>
  <c r="M846" i="7" s="1"/>
  <c r="L850" i="7"/>
  <c r="M850" i="7" s="1"/>
  <c r="L854" i="7"/>
  <c r="M854" i="7" s="1"/>
  <c r="L858" i="7"/>
  <c r="M858" i="7" s="1"/>
  <c r="L862" i="7"/>
  <c r="M862" i="7" s="1"/>
  <c r="L866" i="7"/>
  <c r="M866" i="7" s="1"/>
  <c r="L870" i="7"/>
  <c r="M870" i="7" s="1"/>
  <c r="L874" i="7"/>
  <c r="M874" i="7" s="1"/>
  <c r="L882" i="7"/>
  <c r="M882" i="7" s="1"/>
  <c r="L843" i="7"/>
  <c r="M843" i="7" s="1"/>
  <c r="L847" i="7"/>
  <c r="M847" i="7" s="1"/>
  <c r="L851" i="7"/>
  <c r="M851" i="7" s="1"/>
  <c r="L855" i="7"/>
  <c r="M855" i="7" s="1"/>
  <c r="L859" i="7"/>
  <c r="M859" i="7" s="1"/>
  <c r="L863" i="7"/>
  <c r="M863" i="7" s="1"/>
  <c r="L867" i="7"/>
  <c r="M867" i="7" s="1"/>
  <c r="L875" i="7"/>
  <c r="M875" i="7" s="1"/>
  <c r="L879" i="7"/>
  <c r="M879" i="7" s="1"/>
  <c r="L844" i="7"/>
  <c r="M844" i="7" s="1"/>
  <c r="L848" i="7"/>
  <c r="M848" i="7" s="1"/>
  <c r="L856" i="7"/>
  <c r="M856" i="7" s="1"/>
  <c r="L860" i="7"/>
  <c r="M860" i="7" s="1"/>
  <c r="L864" i="7"/>
  <c r="M864" i="7" s="1"/>
  <c r="L872" i="7"/>
  <c r="M872" i="7" s="1"/>
  <c r="L880" i="7"/>
  <c r="M880" i="7" s="1"/>
  <c r="L845" i="7"/>
  <c r="M845" i="7" s="1"/>
  <c r="L849" i="7"/>
  <c r="M849" i="7" s="1"/>
  <c r="L853" i="7"/>
  <c r="M853" i="7" s="1"/>
  <c r="L857" i="7"/>
  <c r="M857" i="7" s="1"/>
  <c r="L861" i="7"/>
  <c r="M861" i="7" s="1"/>
  <c r="L865" i="7"/>
  <c r="M865" i="7" s="1"/>
  <c r="L869" i="7"/>
  <c r="M869" i="7" s="1"/>
  <c r="L877" i="7"/>
  <c r="M877" i="7" s="1"/>
  <c r="L881" i="7"/>
  <c r="M881" i="7" s="1"/>
  <c r="AO16" i="8" l="1"/>
  <c r="AN16" i="8"/>
  <c r="Y17" i="8"/>
  <c r="AG17" i="8"/>
  <c r="AD17" i="8"/>
  <c r="AE17" i="8"/>
  <c r="AH17" i="8"/>
  <c r="AC17" i="8"/>
  <c r="L842" i="7"/>
  <c r="M842" i="7" s="1"/>
  <c r="L841" i="7"/>
  <c r="M841" i="7" s="1"/>
  <c r="L806" i="7"/>
  <c r="M806" i="7" s="1"/>
  <c r="L805" i="7"/>
  <c r="M805" i="7" s="1"/>
  <c r="L804" i="7"/>
  <c r="M804" i="7" s="1"/>
  <c r="L832" i="7"/>
  <c r="M832" i="7" s="1"/>
  <c r="L825" i="7"/>
  <c r="M825" i="7" s="1"/>
  <c r="L824" i="7"/>
  <c r="M824" i="7" s="1"/>
  <c r="L810" i="7"/>
  <c r="M810" i="7" s="1"/>
  <c r="L809" i="7"/>
  <c r="M809" i="7" s="1"/>
  <c r="L808" i="7"/>
  <c r="M808" i="7" s="1"/>
  <c r="AN17" i="8" l="1"/>
  <c r="AO17" i="8"/>
  <c r="AE18" i="8"/>
  <c r="Y18" i="8"/>
  <c r="AH18" i="8"/>
  <c r="AG18" i="8"/>
  <c r="AD18" i="8"/>
  <c r="AC18" i="8"/>
  <c r="L837" i="7"/>
  <c r="M837" i="7" s="1"/>
  <c r="L803" i="7"/>
  <c r="M803" i="7" s="1"/>
  <c r="L807" i="7"/>
  <c r="M807" i="7" s="1"/>
  <c r="L811" i="7"/>
  <c r="M811" i="7" s="1"/>
  <c r="L815" i="7"/>
  <c r="M815" i="7" s="1"/>
  <c r="L819" i="7"/>
  <c r="M819" i="7" s="1"/>
  <c r="L823" i="7"/>
  <c r="M823" i="7" s="1"/>
  <c r="L827" i="7"/>
  <c r="M827" i="7" s="1"/>
  <c r="L831" i="7"/>
  <c r="M831" i="7" s="1"/>
  <c r="L835" i="7"/>
  <c r="M835" i="7" s="1"/>
  <c r="L839" i="7"/>
  <c r="M839" i="7" s="1"/>
  <c r="L812" i="7"/>
  <c r="M812" i="7" s="1"/>
  <c r="L816" i="7"/>
  <c r="M816" i="7" s="1"/>
  <c r="L820" i="7"/>
  <c r="M820" i="7" s="1"/>
  <c r="L828" i="7"/>
  <c r="M828" i="7" s="1"/>
  <c r="L836" i="7"/>
  <c r="M836" i="7" s="1"/>
  <c r="L840" i="7"/>
  <c r="M840" i="7" s="1"/>
  <c r="L813" i="7"/>
  <c r="M813" i="7" s="1"/>
  <c r="L817" i="7"/>
  <c r="M817" i="7" s="1"/>
  <c r="L821" i="7"/>
  <c r="M821" i="7" s="1"/>
  <c r="L829" i="7"/>
  <c r="M829" i="7" s="1"/>
  <c r="L833" i="7"/>
  <c r="M833" i="7" s="1"/>
  <c r="L814" i="7"/>
  <c r="M814" i="7" s="1"/>
  <c r="L818" i="7"/>
  <c r="M818" i="7" s="1"/>
  <c r="L822" i="7"/>
  <c r="M822" i="7" s="1"/>
  <c r="L826" i="7"/>
  <c r="M826" i="7" s="1"/>
  <c r="L830" i="7"/>
  <c r="M830" i="7" s="1"/>
  <c r="L834" i="7"/>
  <c r="M834" i="7" s="1"/>
  <c r="L838" i="7"/>
  <c r="M838" i="7" s="1"/>
  <c r="AO18" i="8" l="1"/>
  <c r="AN18" i="8"/>
  <c r="Y19" i="8"/>
  <c r="AE19" i="8"/>
  <c r="AH19" i="8"/>
  <c r="AC19" i="8"/>
  <c r="AG19" i="8"/>
  <c r="AD19" i="8"/>
  <c r="L795" i="7"/>
  <c r="M795" i="7" s="1"/>
  <c r="L794" i="7"/>
  <c r="M794" i="7" s="1"/>
  <c r="L793" i="7"/>
  <c r="M793" i="7" s="1"/>
  <c r="L799" i="7"/>
  <c r="M799" i="7" s="1"/>
  <c r="L798" i="7"/>
  <c r="M798" i="7" s="1"/>
  <c r="L788" i="7"/>
  <c r="M788" i="7" s="1"/>
  <c r="Y20" i="8" l="1"/>
  <c r="AC20" i="8"/>
  <c r="AH20" i="8"/>
  <c r="AG20" i="8"/>
  <c r="AE20" i="8"/>
  <c r="AD20" i="8"/>
  <c r="AO19" i="8"/>
  <c r="AN19" i="8"/>
  <c r="L790" i="7"/>
  <c r="M790" i="7" s="1"/>
  <c r="L802" i="7"/>
  <c r="M802" i="7" s="1"/>
  <c r="L791" i="7"/>
  <c r="M791" i="7" s="1"/>
  <c r="L792" i="7"/>
  <c r="M792" i="7" s="1"/>
  <c r="L796" i="7"/>
  <c r="M796" i="7" s="1"/>
  <c r="L800" i="7"/>
  <c r="M800" i="7" s="1"/>
  <c r="L789" i="7"/>
  <c r="M789" i="7" s="1"/>
  <c r="L797" i="7"/>
  <c r="M797" i="7" s="1"/>
  <c r="L801" i="7"/>
  <c r="M801" i="7" s="1"/>
  <c r="C20" i="18"/>
  <c r="Y21" i="8" l="1"/>
  <c r="AD21" i="8"/>
  <c r="AC21" i="8"/>
  <c r="AG21" i="8"/>
  <c r="AE21" i="8"/>
  <c r="AH21" i="8"/>
  <c r="AO20" i="8"/>
  <c r="AN20" i="8"/>
  <c r="L787" i="7"/>
  <c r="M787" i="7" s="1"/>
  <c r="L786" i="7"/>
  <c r="M786" i="7" s="1"/>
  <c r="L785" i="7"/>
  <c r="M785" i="7" s="1"/>
  <c r="L784" i="7"/>
  <c r="M784" i="7" s="1"/>
  <c r="L783" i="7"/>
  <c r="M783" i="7" s="1"/>
  <c r="L773" i="7"/>
  <c r="M773" i="7" s="1"/>
  <c r="L772" i="7"/>
  <c r="M772" i="7" s="1"/>
  <c r="L771" i="7"/>
  <c r="M771" i="7" s="1"/>
  <c r="L778" i="7"/>
  <c r="M778" i="7" s="1"/>
  <c r="L776" i="7"/>
  <c r="M776" i="7" s="1"/>
  <c r="Y22" i="8" l="1"/>
  <c r="AE22" i="8"/>
  <c r="AH22" i="8"/>
  <c r="AD22" i="8"/>
  <c r="AC22" i="8"/>
  <c r="AG22" i="8"/>
  <c r="AO21" i="8"/>
  <c r="AN21" i="8"/>
  <c r="L779" i="7"/>
  <c r="M779" i="7" s="1"/>
  <c r="L781" i="7"/>
  <c r="M781" i="7" s="1"/>
  <c r="L775" i="7"/>
  <c r="M775" i="7" s="1"/>
  <c r="L777" i="7"/>
  <c r="M777" i="7" s="1"/>
  <c r="L780" i="7"/>
  <c r="M780" i="7" s="1"/>
  <c r="L769" i="7"/>
  <c r="M769" i="7" s="1"/>
  <c r="L770" i="7"/>
  <c r="M770" i="7" s="1"/>
  <c r="L774" i="7"/>
  <c r="M774" i="7" s="1"/>
  <c r="L782" i="7"/>
  <c r="M782" i="7" s="1"/>
  <c r="Y23" i="8" l="1"/>
  <c r="AE23" i="8"/>
  <c r="AH23" i="8"/>
  <c r="AC23" i="8"/>
  <c r="AG23" i="8"/>
  <c r="AD23" i="8"/>
  <c r="AO22" i="8"/>
  <c r="AN22" i="8"/>
  <c r="I8" i="17"/>
  <c r="F8" i="17"/>
  <c r="L707" i="7"/>
  <c r="M707" i="7" s="1"/>
  <c r="L704" i="7"/>
  <c r="M704" i="7" s="1"/>
  <c r="L702" i="7"/>
  <c r="M702" i="7" s="1"/>
  <c r="L701" i="7"/>
  <c r="M701" i="7" s="1"/>
  <c r="L700" i="7"/>
  <c r="M700" i="7" s="1"/>
  <c r="L699" i="7"/>
  <c r="M699" i="7" s="1"/>
  <c r="L698" i="7"/>
  <c r="M698" i="7" s="1"/>
  <c r="L697" i="7"/>
  <c r="M697" i="7" s="1"/>
  <c r="L696" i="7"/>
  <c r="M696" i="7" s="1"/>
  <c r="L695" i="7"/>
  <c r="M695" i="7" s="1"/>
  <c r="L685" i="7"/>
  <c r="M685" i="7" s="1"/>
  <c r="L684" i="7"/>
  <c r="M684" i="7" s="1"/>
  <c r="L683" i="7"/>
  <c r="M683" i="7" s="1"/>
  <c r="L682" i="7"/>
  <c r="M682" i="7" s="1"/>
  <c r="L681" i="7"/>
  <c r="M681" i="7" s="1"/>
  <c r="L677" i="7"/>
  <c r="M677" i="7" s="1"/>
  <c r="L676" i="7"/>
  <c r="M676" i="7" s="1"/>
  <c r="L738" i="7"/>
  <c r="M738" i="7" s="1"/>
  <c r="L724" i="7"/>
  <c r="M724" i="7" s="1"/>
  <c r="L691" i="7"/>
  <c r="M691" i="7" s="1"/>
  <c r="L687" i="7"/>
  <c r="M687" i="7" s="1"/>
  <c r="AO23" i="8" l="1"/>
  <c r="AN23" i="8"/>
  <c r="Y24" i="8"/>
  <c r="AE24" i="8"/>
  <c r="AD24" i="8"/>
  <c r="AH24" i="8"/>
  <c r="AG24" i="8"/>
  <c r="AC24" i="8"/>
  <c r="L719" i="7"/>
  <c r="M719" i="7" s="1"/>
  <c r="L751" i="7"/>
  <c r="M751" i="7" s="1"/>
  <c r="L723" i="7"/>
  <c r="M723" i="7" s="1"/>
  <c r="L755" i="7"/>
  <c r="M755" i="7" s="1"/>
  <c r="L727" i="7"/>
  <c r="M727" i="7" s="1"/>
  <c r="L759" i="7"/>
  <c r="M759" i="7" s="1"/>
  <c r="L679" i="7"/>
  <c r="M679" i="7" s="1"/>
  <c r="L703" i="7"/>
  <c r="M703" i="7" s="1"/>
  <c r="L731" i="7"/>
  <c r="M731" i="7" s="1"/>
  <c r="L763" i="7"/>
  <c r="M763" i="7" s="1"/>
  <c r="L735" i="7"/>
  <c r="M735" i="7" s="1"/>
  <c r="L767" i="7"/>
  <c r="M767" i="7" s="1"/>
  <c r="L739" i="7"/>
  <c r="M739" i="7" s="1"/>
  <c r="L711" i="7"/>
  <c r="M711" i="7" s="1"/>
  <c r="L743" i="7"/>
  <c r="M743" i="7" s="1"/>
  <c r="L715" i="7"/>
  <c r="M715" i="7" s="1"/>
  <c r="L747" i="7"/>
  <c r="M747" i="7" s="1"/>
  <c r="L674" i="7"/>
  <c r="M674" i="7" s="1"/>
  <c r="L678" i="7"/>
  <c r="M678" i="7" s="1"/>
  <c r="L686" i="7"/>
  <c r="M686" i="7" s="1"/>
  <c r="L690" i="7"/>
  <c r="M690" i="7" s="1"/>
  <c r="L694" i="7"/>
  <c r="M694" i="7" s="1"/>
  <c r="L706" i="7"/>
  <c r="M706" i="7" s="1"/>
  <c r="L710" i="7"/>
  <c r="M710" i="7" s="1"/>
  <c r="L714" i="7"/>
  <c r="M714" i="7" s="1"/>
  <c r="L718" i="7"/>
  <c r="M718" i="7" s="1"/>
  <c r="L722" i="7"/>
  <c r="M722" i="7" s="1"/>
  <c r="L726" i="7"/>
  <c r="M726" i="7" s="1"/>
  <c r="L730" i="7"/>
  <c r="M730" i="7" s="1"/>
  <c r="L734" i="7"/>
  <c r="M734" i="7" s="1"/>
  <c r="L742" i="7"/>
  <c r="M742" i="7" s="1"/>
  <c r="L746" i="7"/>
  <c r="M746" i="7" s="1"/>
  <c r="L750" i="7"/>
  <c r="M750" i="7" s="1"/>
  <c r="L754" i="7"/>
  <c r="M754" i="7" s="1"/>
  <c r="L758" i="7"/>
  <c r="M758" i="7" s="1"/>
  <c r="L762" i="7"/>
  <c r="M762" i="7" s="1"/>
  <c r="L766" i="7"/>
  <c r="M766" i="7" s="1"/>
  <c r="L672" i="7"/>
  <c r="M672" i="7" s="1"/>
  <c r="L680" i="7"/>
  <c r="M680" i="7" s="1"/>
  <c r="L688" i="7"/>
  <c r="M688" i="7" s="1"/>
  <c r="L692" i="7"/>
  <c r="M692" i="7" s="1"/>
  <c r="L708" i="7"/>
  <c r="M708" i="7" s="1"/>
  <c r="L712" i="7"/>
  <c r="M712" i="7" s="1"/>
  <c r="L716" i="7"/>
  <c r="M716" i="7" s="1"/>
  <c r="L720" i="7"/>
  <c r="M720" i="7" s="1"/>
  <c r="L728" i="7"/>
  <c r="M728" i="7" s="1"/>
  <c r="L732" i="7"/>
  <c r="M732" i="7" s="1"/>
  <c r="L736" i="7"/>
  <c r="M736" i="7" s="1"/>
  <c r="L740" i="7"/>
  <c r="M740" i="7" s="1"/>
  <c r="L744" i="7"/>
  <c r="M744" i="7" s="1"/>
  <c r="L748" i="7"/>
  <c r="M748" i="7" s="1"/>
  <c r="L752" i="7"/>
  <c r="M752" i="7" s="1"/>
  <c r="L756" i="7"/>
  <c r="M756" i="7" s="1"/>
  <c r="L760" i="7"/>
  <c r="M760" i="7" s="1"/>
  <c r="L764" i="7"/>
  <c r="M764" i="7" s="1"/>
  <c r="L768" i="7"/>
  <c r="M768" i="7" s="1"/>
  <c r="L675" i="7"/>
  <c r="M675" i="7" s="1"/>
  <c r="L673" i="7"/>
  <c r="M673" i="7" s="1"/>
  <c r="L689" i="7"/>
  <c r="M689" i="7" s="1"/>
  <c r="L693" i="7"/>
  <c r="M693" i="7" s="1"/>
  <c r="L705" i="7"/>
  <c r="M705" i="7" s="1"/>
  <c r="L709" i="7"/>
  <c r="M709" i="7" s="1"/>
  <c r="L713" i="7"/>
  <c r="M713" i="7" s="1"/>
  <c r="L717" i="7"/>
  <c r="M717" i="7" s="1"/>
  <c r="L721" i="7"/>
  <c r="M721" i="7" s="1"/>
  <c r="L725" i="7"/>
  <c r="M725" i="7" s="1"/>
  <c r="L729" i="7"/>
  <c r="M729" i="7" s="1"/>
  <c r="L733" i="7"/>
  <c r="M733" i="7" s="1"/>
  <c r="L737" i="7"/>
  <c r="M737" i="7" s="1"/>
  <c r="L741" i="7"/>
  <c r="M741" i="7" s="1"/>
  <c r="L745" i="7"/>
  <c r="M745" i="7" s="1"/>
  <c r="L749" i="7"/>
  <c r="M749" i="7" s="1"/>
  <c r="L753" i="7"/>
  <c r="M753" i="7" s="1"/>
  <c r="L757" i="7"/>
  <c r="M757" i="7" s="1"/>
  <c r="L761" i="7"/>
  <c r="M761" i="7" s="1"/>
  <c r="L765" i="7"/>
  <c r="M765" i="7" s="1"/>
  <c r="L671" i="7"/>
  <c r="M671" i="7" s="1"/>
  <c r="L670" i="7"/>
  <c r="M670" i="7" s="1"/>
  <c r="L669" i="7"/>
  <c r="M669" i="7" s="1"/>
  <c r="L668" i="7"/>
  <c r="M668" i="7" s="1"/>
  <c r="L667" i="7"/>
  <c r="M667" i="7" s="1"/>
  <c r="L666" i="7"/>
  <c r="M666" i="7" s="1"/>
  <c r="L665" i="7"/>
  <c r="M665" i="7" s="1"/>
  <c r="L664" i="7"/>
  <c r="M664" i="7" s="1"/>
  <c r="L653" i="7"/>
  <c r="M653" i="7" s="1"/>
  <c r="L652" i="7"/>
  <c r="M652" i="7" s="1"/>
  <c r="L651" i="7"/>
  <c r="M651" i="7" s="1"/>
  <c r="L660" i="7"/>
  <c r="M660" i="7" s="1"/>
  <c r="AN24" i="8" l="1"/>
  <c r="AO24" i="8"/>
  <c r="AH25" i="8"/>
  <c r="AE25" i="8"/>
  <c r="AG25" i="8"/>
  <c r="AD25" i="8"/>
  <c r="Y25" i="8"/>
  <c r="AC25" i="8"/>
  <c r="L661" i="7"/>
  <c r="M661" i="7" s="1"/>
  <c r="L646" i="7"/>
  <c r="M646" i="7" s="1"/>
  <c r="L650" i="7"/>
  <c r="M650" i="7" s="1"/>
  <c r="L654" i="7"/>
  <c r="M654" i="7" s="1"/>
  <c r="L658" i="7"/>
  <c r="M658" i="7" s="1"/>
  <c r="L662" i="7"/>
  <c r="M662" i="7" s="1"/>
  <c r="L647" i="7"/>
  <c r="M647" i="7" s="1"/>
  <c r="L655" i="7"/>
  <c r="M655" i="7" s="1"/>
  <c r="L659" i="7"/>
  <c r="M659" i="7" s="1"/>
  <c r="L663" i="7"/>
  <c r="M663" i="7" s="1"/>
  <c r="L648" i="7"/>
  <c r="M648" i="7" s="1"/>
  <c r="L656" i="7"/>
  <c r="M656" i="7" s="1"/>
  <c r="L645" i="7"/>
  <c r="M645" i="7" s="1"/>
  <c r="L649" i="7"/>
  <c r="M649" i="7" s="1"/>
  <c r="L657" i="7"/>
  <c r="M657" i="7" s="1"/>
  <c r="AN25" i="8" l="1"/>
  <c r="AO25" i="8"/>
  <c r="L418" i="10"/>
  <c r="L417" i="10"/>
  <c r="L81" i="10"/>
  <c r="L589" i="7"/>
  <c r="M589" i="7" s="1"/>
  <c r="L588" i="7"/>
  <c r="M588" i="7" s="1"/>
  <c r="L587" i="7"/>
  <c r="M587" i="7" s="1"/>
  <c r="L580" i="7"/>
  <c r="M580" i="7" s="1"/>
  <c r="L579" i="7"/>
  <c r="M579" i="7" s="1"/>
  <c r="L578" i="7"/>
  <c r="M578" i="7" s="1"/>
  <c r="L577" i="7"/>
  <c r="M577" i="7" s="1"/>
  <c r="L576" i="7"/>
  <c r="M576" i="7" s="1"/>
  <c r="L575" i="7"/>
  <c r="M575" i="7" s="1"/>
  <c r="L574" i="7"/>
  <c r="M574" i="7" s="1"/>
  <c r="L597" i="7"/>
  <c r="M597" i="7" s="1"/>
  <c r="L592" i="7"/>
  <c r="M592" i="7" s="1"/>
  <c r="L582" i="7" l="1"/>
  <c r="M582" i="7" s="1"/>
  <c r="L586" i="7"/>
  <c r="M586" i="7" s="1"/>
  <c r="L593" i="7"/>
  <c r="M593" i="7" s="1"/>
  <c r="L601" i="7"/>
  <c r="M601" i="7" s="1"/>
  <c r="L605" i="7"/>
  <c r="M605" i="7" s="1"/>
  <c r="L609" i="7"/>
  <c r="M609" i="7" s="1"/>
  <c r="L613" i="7"/>
  <c r="M613" i="7" s="1"/>
  <c r="L617" i="7"/>
  <c r="M617" i="7" s="1"/>
  <c r="L621" i="7"/>
  <c r="M621" i="7" s="1"/>
  <c r="L625" i="7"/>
  <c r="M625" i="7" s="1"/>
  <c r="L629" i="7"/>
  <c r="M629" i="7" s="1"/>
  <c r="L633" i="7"/>
  <c r="M633" i="7" s="1"/>
  <c r="L637" i="7"/>
  <c r="M637" i="7" s="1"/>
  <c r="L641" i="7"/>
  <c r="M641" i="7" s="1"/>
  <c r="L583" i="7"/>
  <c r="M583" i="7" s="1"/>
  <c r="L590" i="7"/>
  <c r="M590" i="7" s="1"/>
  <c r="L594" i="7"/>
  <c r="M594" i="7" s="1"/>
  <c r="L598" i="7"/>
  <c r="M598" i="7" s="1"/>
  <c r="L602" i="7"/>
  <c r="M602" i="7" s="1"/>
  <c r="L606" i="7"/>
  <c r="M606" i="7" s="1"/>
  <c r="L610" i="7"/>
  <c r="M610" i="7" s="1"/>
  <c r="L614" i="7"/>
  <c r="M614" i="7" s="1"/>
  <c r="L618" i="7"/>
  <c r="M618" i="7" s="1"/>
  <c r="L622" i="7"/>
  <c r="M622" i="7" s="1"/>
  <c r="L626" i="7"/>
  <c r="M626" i="7" s="1"/>
  <c r="L630" i="7"/>
  <c r="M630" i="7" s="1"/>
  <c r="L634" i="7"/>
  <c r="M634" i="7" s="1"/>
  <c r="L638" i="7"/>
  <c r="M638" i="7" s="1"/>
  <c r="L642" i="7"/>
  <c r="M642" i="7" s="1"/>
  <c r="L584" i="7"/>
  <c r="M584" i="7" s="1"/>
  <c r="L591" i="7"/>
  <c r="M591" i="7" s="1"/>
  <c r="L595" i="7"/>
  <c r="M595" i="7" s="1"/>
  <c r="L599" i="7"/>
  <c r="M599" i="7" s="1"/>
  <c r="L603" i="7"/>
  <c r="M603" i="7" s="1"/>
  <c r="L607" i="7"/>
  <c r="M607" i="7" s="1"/>
  <c r="L611" i="7"/>
  <c r="M611" i="7" s="1"/>
  <c r="L615" i="7"/>
  <c r="M615" i="7" s="1"/>
  <c r="L619" i="7"/>
  <c r="M619" i="7" s="1"/>
  <c r="L623" i="7"/>
  <c r="M623" i="7" s="1"/>
  <c r="L627" i="7"/>
  <c r="M627" i="7" s="1"/>
  <c r="L631" i="7"/>
  <c r="M631" i="7" s="1"/>
  <c r="L635" i="7"/>
  <c r="M635" i="7" s="1"/>
  <c r="L639" i="7"/>
  <c r="M639" i="7" s="1"/>
  <c r="L643" i="7"/>
  <c r="M643" i="7" s="1"/>
  <c r="L581" i="7"/>
  <c r="M581" i="7" s="1"/>
  <c r="L585" i="7"/>
  <c r="M585" i="7" s="1"/>
  <c r="L596" i="7"/>
  <c r="M596" i="7" s="1"/>
  <c r="L600" i="7"/>
  <c r="M600" i="7" s="1"/>
  <c r="L604" i="7"/>
  <c r="M604" i="7" s="1"/>
  <c r="L608" i="7"/>
  <c r="M608" i="7" s="1"/>
  <c r="L612" i="7"/>
  <c r="M612" i="7" s="1"/>
  <c r="L616" i="7"/>
  <c r="M616" i="7" s="1"/>
  <c r="L620" i="7"/>
  <c r="M620" i="7" s="1"/>
  <c r="L624" i="7"/>
  <c r="M624" i="7" s="1"/>
  <c r="L628" i="7"/>
  <c r="M628" i="7" s="1"/>
  <c r="L632" i="7"/>
  <c r="M632" i="7" s="1"/>
  <c r="L636" i="7"/>
  <c r="M636" i="7" s="1"/>
  <c r="L640" i="7"/>
  <c r="M640" i="7" s="1"/>
  <c r="L644" i="7"/>
  <c r="M644" i="7" s="1"/>
  <c r="AV958" i="16" l="1"/>
  <c r="AV957" i="16"/>
  <c r="AV956" i="16"/>
  <c r="AV955" i="16"/>
  <c r="AV954" i="16"/>
  <c r="AV953" i="16"/>
  <c r="AV952" i="16"/>
  <c r="AV951" i="16"/>
  <c r="AV950" i="16"/>
  <c r="AV949" i="16"/>
  <c r="AV948" i="16"/>
  <c r="AV947" i="16"/>
  <c r="AV946" i="16"/>
  <c r="AV945" i="16"/>
  <c r="AV944" i="16"/>
  <c r="AV943" i="16"/>
  <c r="AV942" i="16"/>
  <c r="AV941" i="16"/>
  <c r="AV940" i="16"/>
  <c r="AV939" i="16"/>
  <c r="AV938" i="16"/>
  <c r="AV937" i="16"/>
  <c r="AV936" i="16"/>
  <c r="AV935" i="16"/>
  <c r="AV934" i="16"/>
  <c r="AV933" i="16"/>
  <c r="AV932" i="16"/>
  <c r="AV931" i="16"/>
  <c r="AV930" i="16"/>
  <c r="AV929" i="16"/>
  <c r="AV928" i="16"/>
  <c r="AV927" i="16"/>
  <c r="AV926" i="16"/>
  <c r="AV925" i="16"/>
  <c r="AV924" i="16"/>
  <c r="AV923" i="16"/>
  <c r="AV922" i="16"/>
  <c r="AV921" i="16"/>
  <c r="AV920" i="16"/>
  <c r="AV919" i="16"/>
  <c r="AV918" i="16"/>
  <c r="AV917" i="16"/>
  <c r="AV916" i="16"/>
  <c r="AV915" i="16"/>
  <c r="AV914" i="16"/>
  <c r="AV913" i="16"/>
  <c r="AV912" i="16"/>
  <c r="AV911" i="16"/>
  <c r="AV910" i="16"/>
  <c r="AV909" i="16"/>
  <c r="AV908" i="16"/>
  <c r="AV907" i="16"/>
  <c r="AV906" i="16"/>
  <c r="AV905" i="16"/>
  <c r="AV904" i="16"/>
  <c r="AV903" i="16"/>
  <c r="AV902" i="16"/>
  <c r="AV901" i="16"/>
  <c r="AV900" i="16"/>
  <c r="AV899" i="16"/>
  <c r="AV898" i="16"/>
  <c r="AV897" i="16"/>
  <c r="AV896" i="16"/>
  <c r="AV895" i="16"/>
  <c r="AV894" i="16"/>
  <c r="AV893" i="16"/>
  <c r="AV892" i="16"/>
  <c r="AV891" i="16"/>
  <c r="AV890" i="16"/>
  <c r="AV889" i="16"/>
  <c r="AV888" i="16"/>
  <c r="AV887" i="16"/>
  <c r="AV886" i="16"/>
  <c r="AV885" i="16"/>
  <c r="AV884" i="16"/>
  <c r="AV883" i="16"/>
  <c r="AV882" i="16"/>
  <c r="AV881" i="16"/>
  <c r="AV880" i="16"/>
  <c r="AV879" i="16"/>
  <c r="AV878" i="16"/>
  <c r="AV877" i="16"/>
  <c r="AV876" i="16"/>
  <c r="AV875" i="16"/>
  <c r="AV874" i="16"/>
  <c r="AV873" i="16"/>
  <c r="AV872" i="16"/>
  <c r="AV871" i="16"/>
  <c r="AV870" i="16"/>
  <c r="AV869" i="16"/>
  <c r="AV868" i="16"/>
  <c r="AV867" i="16"/>
  <c r="AV866" i="16"/>
  <c r="AV865" i="16"/>
  <c r="AV864" i="16"/>
  <c r="AV863" i="16"/>
  <c r="AV862" i="16"/>
  <c r="AV861" i="16"/>
  <c r="AV860" i="16"/>
  <c r="AV859" i="16"/>
  <c r="AV858" i="16"/>
  <c r="AV857" i="16"/>
  <c r="AV856" i="16"/>
  <c r="AV855" i="16"/>
  <c r="AV854" i="16"/>
  <c r="AV853" i="16"/>
  <c r="AV852" i="16"/>
  <c r="AV851" i="16"/>
  <c r="AV850" i="16"/>
  <c r="AV849" i="16"/>
  <c r="AV848" i="16"/>
  <c r="AV847" i="16"/>
  <c r="AV846" i="16"/>
  <c r="AV845" i="16"/>
  <c r="AV844" i="16"/>
  <c r="AV843" i="16"/>
  <c r="AV842" i="16"/>
  <c r="AV841" i="16"/>
  <c r="AV840" i="16"/>
  <c r="AV839" i="16"/>
  <c r="AV838" i="16"/>
  <c r="AV837" i="16"/>
  <c r="AV836" i="16"/>
  <c r="AV835" i="16"/>
  <c r="AV834" i="16"/>
  <c r="AV833" i="16"/>
  <c r="AV832" i="16"/>
  <c r="AV831" i="16"/>
  <c r="AV830" i="16"/>
  <c r="AV829" i="16"/>
  <c r="AV828" i="16"/>
  <c r="AV827" i="16"/>
  <c r="AV826" i="16"/>
  <c r="AV825" i="16"/>
  <c r="AV824" i="16"/>
  <c r="AV823" i="16"/>
  <c r="AV822" i="16"/>
  <c r="AV821" i="16"/>
  <c r="AV820" i="16"/>
  <c r="AV819" i="16"/>
  <c r="AV818" i="16"/>
  <c r="AV817" i="16"/>
  <c r="AV816" i="16"/>
  <c r="AV815" i="16"/>
  <c r="AV814" i="16"/>
  <c r="AV813" i="16"/>
  <c r="AV812" i="16"/>
  <c r="AV811" i="16"/>
  <c r="AV810" i="16"/>
  <c r="AV809" i="16"/>
  <c r="AV808" i="16"/>
  <c r="AV807" i="16"/>
  <c r="AV806" i="16"/>
  <c r="AV805" i="16"/>
  <c r="AV804" i="16"/>
  <c r="AV803" i="16"/>
  <c r="AV802" i="16"/>
  <c r="AV801" i="16"/>
  <c r="AV800" i="16"/>
  <c r="AV799" i="16"/>
  <c r="AV798" i="16"/>
  <c r="AV797" i="16"/>
  <c r="AV796" i="16"/>
  <c r="AV795" i="16"/>
  <c r="AV794" i="16"/>
  <c r="AV793" i="16"/>
  <c r="AV792" i="16"/>
  <c r="AV791" i="16"/>
  <c r="AV790" i="16"/>
  <c r="AV789" i="16"/>
  <c r="AV788" i="16"/>
  <c r="AV787" i="16"/>
  <c r="AV786" i="16"/>
  <c r="AV785" i="16"/>
  <c r="AV784" i="16"/>
  <c r="AV783" i="16"/>
  <c r="AV782" i="16"/>
  <c r="AV781" i="16"/>
  <c r="AV780" i="16"/>
  <c r="AV779" i="16"/>
  <c r="AV778" i="16"/>
  <c r="AV777" i="16"/>
  <c r="AV776" i="16"/>
  <c r="AV775" i="16"/>
  <c r="AV774" i="16"/>
  <c r="AV773" i="16"/>
  <c r="AV772" i="16"/>
  <c r="AV771" i="16"/>
  <c r="AV770" i="16"/>
  <c r="AV769" i="16"/>
  <c r="AV768" i="16"/>
  <c r="AV767" i="16"/>
  <c r="AV766" i="16"/>
  <c r="AV765" i="16"/>
  <c r="AV764" i="16"/>
  <c r="AV763" i="16"/>
  <c r="AV762" i="16"/>
  <c r="AV761" i="16"/>
  <c r="AV760" i="16"/>
  <c r="AV759" i="16"/>
  <c r="AV758" i="16"/>
  <c r="AV757" i="16"/>
  <c r="AV756" i="16"/>
  <c r="AV755" i="16"/>
  <c r="AV754" i="16"/>
  <c r="AV753" i="16"/>
  <c r="AV752" i="16"/>
  <c r="AV751" i="16"/>
  <c r="AV750" i="16"/>
  <c r="AV749" i="16"/>
  <c r="AV748" i="16"/>
  <c r="AV747" i="16"/>
  <c r="AV746" i="16"/>
  <c r="AV745" i="16"/>
  <c r="AV744" i="16"/>
  <c r="AV743" i="16"/>
  <c r="AV742" i="16"/>
  <c r="AV741" i="16"/>
  <c r="AV740" i="16"/>
  <c r="AV739" i="16"/>
  <c r="AV738" i="16"/>
  <c r="AV737" i="16"/>
  <c r="AV736" i="16"/>
  <c r="AV735" i="16"/>
  <c r="AV734" i="16"/>
  <c r="AV733" i="16"/>
  <c r="AV732" i="16"/>
  <c r="AV731" i="16"/>
  <c r="AV730" i="16"/>
  <c r="AV729" i="16"/>
  <c r="AV728" i="16"/>
  <c r="AV727" i="16"/>
  <c r="AV726" i="16"/>
  <c r="AV725" i="16"/>
  <c r="AV724" i="16"/>
  <c r="AV723" i="16"/>
  <c r="AV722" i="16"/>
  <c r="AV721" i="16"/>
  <c r="AV720" i="16"/>
  <c r="AV719" i="16"/>
  <c r="AV718" i="16"/>
  <c r="AV717" i="16"/>
  <c r="AV716" i="16"/>
  <c r="AV715" i="16"/>
  <c r="AV714" i="16"/>
  <c r="AV713" i="16"/>
  <c r="AV712" i="16"/>
  <c r="AV711" i="16"/>
  <c r="AV710" i="16"/>
  <c r="AV709" i="16"/>
  <c r="AV708" i="16"/>
  <c r="AV707" i="16"/>
  <c r="AV706" i="16"/>
  <c r="AV705" i="16"/>
  <c r="AV704" i="16"/>
  <c r="AV703" i="16"/>
  <c r="AV702" i="16"/>
  <c r="AV701" i="16"/>
  <c r="AV700" i="16"/>
  <c r="AV699" i="16"/>
  <c r="AV698" i="16"/>
  <c r="AV697" i="16"/>
  <c r="AV696" i="16"/>
  <c r="AV695" i="16"/>
  <c r="AV694" i="16"/>
  <c r="AV693" i="16"/>
  <c r="AV692" i="16"/>
  <c r="AV691" i="16"/>
  <c r="AV690" i="16"/>
  <c r="AV689" i="16"/>
  <c r="AV688" i="16"/>
  <c r="AV687" i="16"/>
  <c r="AV686" i="16"/>
  <c r="AV685" i="16"/>
  <c r="AV684" i="16"/>
  <c r="AV683" i="16"/>
  <c r="AV682" i="16"/>
  <c r="AV681" i="16"/>
  <c r="AV680" i="16"/>
  <c r="AV679" i="16"/>
  <c r="AV678" i="16"/>
  <c r="AV677" i="16"/>
  <c r="AV676" i="16"/>
  <c r="AV675" i="16"/>
  <c r="AV674" i="16"/>
  <c r="AV673" i="16"/>
  <c r="AV672" i="16"/>
  <c r="AV671" i="16"/>
  <c r="AV670" i="16"/>
  <c r="AV669" i="16"/>
  <c r="AV668" i="16"/>
  <c r="AV667" i="16"/>
  <c r="AV666" i="16"/>
  <c r="AV665" i="16"/>
  <c r="AV664" i="16"/>
  <c r="AV663" i="16"/>
  <c r="AV662" i="16"/>
  <c r="AV661" i="16"/>
  <c r="AV660" i="16"/>
  <c r="AV659" i="16"/>
  <c r="AV658" i="16"/>
  <c r="AV657" i="16"/>
  <c r="AV656" i="16"/>
  <c r="AV655" i="16"/>
  <c r="AV654" i="16"/>
  <c r="AV653" i="16"/>
  <c r="AV652" i="16"/>
  <c r="AV651" i="16"/>
  <c r="AV650" i="16"/>
  <c r="AV649" i="16"/>
  <c r="AV648" i="16"/>
  <c r="AV647" i="16"/>
  <c r="AV646" i="16"/>
  <c r="AV645" i="16"/>
  <c r="AV644" i="16"/>
  <c r="AV643" i="16"/>
  <c r="AV642" i="16"/>
  <c r="AV641" i="16"/>
  <c r="AV640" i="16"/>
  <c r="AV639" i="16"/>
  <c r="AV638" i="16"/>
  <c r="AV637" i="16"/>
  <c r="AV636" i="16"/>
  <c r="AV635" i="16"/>
  <c r="AV634" i="16"/>
  <c r="AV633" i="16"/>
  <c r="AV632" i="16"/>
  <c r="AV631" i="16"/>
  <c r="AV630" i="16"/>
  <c r="AV629" i="16"/>
  <c r="AV628" i="16"/>
  <c r="AV627" i="16"/>
  <c r="AV626" i="16"/>
  <c r="AV625" i="16"/>
  <c r="AV624" i="16"/>
  <c r="AV623" i="16"/>
  <c r="AV622" i="16"/>
  <c r="AV621" i="16"/>
  <c r="AV620" i="16"/>
  <c r="AV619" i="16"/>
  <c r="AV618" i="16"/>
  <c r="AV617" i="16"/>
  <c r="AV616" i="16"/>
  <c r="AV615" i="16"/>
  <c r="AV614" i="16"/>
  <c r="AV613" i="16"/>
  <c r="AV612" i="16"/>
  <c r="AV611" i="16"/>
  <c r="AV610" i="16"/>
  <c r="AV609" i="16"/>
  <c r="AV608" i="16"/>
  <c r="AV607" i="16"/>
  <c r="AV606" i="16"/>
  <c r="AV605" i="16"/>
  <c r="AV604" i="16"/>
  <c r="AV603" i="16"/>
  <c r="AV602" i="16"/>
  <c r="AV601" i="16"/>
  <c r="AV600" i="16"/>
  <c r="AV599" i="16"/>
  <c r="AV598" i="16"/>
  <c r="AV597" i="16"/>
  <c r="AV596" i="16"/>
  <c r="AV595" i="16"/>
  <c r="AV594" i="16"/>
  <c r="AV593" i="16"/>
  <c r="AV592" i="16"/>
  <c r="AV591" i="16"/>
  <c r="AV590" i="16"/>
  <c r="AV589" i="16"/>
  <c r="AV588" i="16"/>
  <c r="AV587" i="16"/>
  <c r="AV586" i="16"/>
  <c r="AV585" i="16"/>
  <c r="AV584" i="16"/>
  <c r="AV583" i="16"/>
  <c r="AV582" i="16"/>
  <c r="AV581" i="16"/>
  <c r="AV580" i="16"/>
  <c r="AV579" i="16"/>
  <c r="AV578" i="16"/>
  <c r="AV577" i="16"/>
  <c r="AV576" i="16"/>
  <c r="AV575" i="16"/>
  <c r="AV574" i="16"/>
  <c r="AV573" i="16"/>
  <c r="AV572" i="16"/>
  <c r="AV571" i="16"/>
  <c r="AV570" i="16"/>
  <c r="AV569" i="16"/>
  <c r="AV568" i="16"/>
  <c r="AV567" i="16"/>
  <c r="AV566" i="16"/>
  <c r="AV565" i="16"/>
  <c r="AV564" i="16"/>
  <c r="AV563" i="16"/>
  <c r="AV562" i="16"/>
  <c r="AV561" i="16"/>
  <c r="AV560" i="16"/>
  <c r="AV559" i="16"/>
  <c r="AV558" i="16"/>
  <c r="AV557" i="16"/>
  <c r="AV556" i="16"/>
  <c r="AV555" i="16"/>
  <c r="AV554" i="16"/>
  <c r="AV553" i="16"/>
  <c r="AV552" i="16"/>
  <c r="AV551" i="16"/>
  <c r="AV550" i="16"/>
  <c r="AV549" i="16"/>
  <c r="AV548" i="16"/>
  <c r="AV547" i="16"/>
  <c r="AV546" i="16"/>
  <c r="AV545" i="16"/>
  <c r="AV544" i="16"/>
  <c r="AV543" i="16"/>
  <c r="AV542" i="16"/>
  <c r="AV541" i="16"/>
  <c r="AV540" i="16"/>
  <c r="AV539" i="16"/>
  <c r="AV538" i="16"/>
  <c r="AV537" i="16"/>
  <c r="AV536" i="16"/>
  <c r="AV535" i="16"/>
  <c r="AV534" i="16"/>
  <c r="AV533" i="16"/>
  <c r="AV532" i="16"/>
  <c r="AV531" i="16"/>
  <c r="AV530" i="16"/>
  <c r="AV529" i="16"/>
  <c r="AV528" i="16"/>
  <c r="AV527" i="16"/>
  <c r="AV526" i="16"/>
  <c r="AV525" i="16"/>
  <c r="AV524" i="16"/>
  <c r="AV523" i="16"/>
  <c r="AV522" i="16"/>
  <c r="AV521" i="16"/>
  <c r="AV520" i="16"/>
  <c r="AV519" i="16"/>
  <c r="AV518" i="16"/>
  <c r="AV517" i="16"/>
  <c r="AV516" i="16"/>
  <c r="AV515" i="16"/>
  <c r="AV514" i="16"/>
  <c r="AV513" i="16"/>
  <c r="AV512" i="16"/>
  <c r="AV511" i="16"/>
  <c r="AV510" i="16"/>
  <c r="AV509" i="16"/>
  <c r="AV508" i="16"/>
  <c r="AV507" i="16"/>
  <c r="AV506" i="16"/>
  <c r="AV505" i="16"/>
  <c r="AV504" i="16"/>
  <c r="AV503" i="16"/>
  <c r="AV502" i="16"/>
  <c r="AV501" i="16"/>
  <c r="AV500" i="16"/>
  <c r="AV499" i="16"/>
  <c r="AV498" i="16"/>
  <c r="AV497" i="16"/>
  <c r="AV496" i="16"/>
  <c r="AV495" i="16"/>
  <c r="AV494" i="16"/>
  <c r="AV493" i="16"/>
  <c r="AV492" i="16"/>
  <c r="AV491" i="16"/>
  <c r="AV490" i="16"/>
  <c r="AV489" i="16"/>
  <c r="AV488" i="16"/>
  <c r="AV487" i="16"/>
  <c r="AV486" i="16"/>
  <c r="AV485" i="16"/>
  <c r="AV484" i="16"/>
  <c r="AV483" i="16"/>
  <c r="AV482" i="16"/>
  <c r="AV481" i="16"/>
  <c r="AV480" i="16"/>
  <c r="AV479" i="16"/>
  <c r="AV478" i="16"/>
  <c r="AV477" i="16"/>
  <c r="AV476" i="16"/>
  <c r="AV475" i="16"/>
  <c r="AV474" i="16"/>
  <c r="AV473" i="16"/>
  <c r="AV472" i="16"/>
  <c r="AV471" i="16"/>
  <c r="AV470" i="16"/>
  <c r="AV469" i="16"/>
  <c r="AV468" i="16"/>
  <c r="AV467" i="16"/>
  <c r="AV466" i="16"/>
  <c r="AV465" i="16"/>
  <c r="AV464" i="16"/>
  <c r="AV463" i="16"/>
  <c r="AV462" i="16"/>
  <c r="AV461" i="16"/>
  <c r="AV460" i="16"/>
  <c r="AV459" i="16"/>
  <c r="AV458" i="16"/>
  <c r="AV457" i="16"/>
  <c r="AV456" i="16"/>
  <c r="AV455" i="16"/>
  <c r="AV454" i="16"/>
  <c r="AV453" i="16"/>
  <c r="AV452" i="16"/>
  <c r="AV451" i="16"/>
  <c r="AV450" i="16"/>
  <c r="AV449" i="16"/>
  <c r="AV448" i="16"/>
  <c r="AV447" i="16"/>
  <c r="AV446" i="16"/>
  <c r="AV445" i="16"/>
  <c r="AV444" i="16"/>
  <c r="AV443" i="16"/>
  <c r="AV442" i="16"/>
  <c r="AV441" i="16"/>
  <c r="AV440" i="16"/>
  <c r="AV439" i="16"/>
  <c r="AV438" i="16"/>
  <c r="AV437" i="16"/>
  <c r="AV436" i="16"/>
  <c r="AV435" i="16"/>
  <c r="AV434" i="16"/>
  <c r="AV433" i="16"/>
  <c r="AV432" i="16"/>
  <c r="AV431" i="16"/>
  <c r="AV430" i="16"/>
  <c r="AV429" i="16"/>
  <c r="AV428" i="16"/>
  <c r="AV427" i="16"/>
  <c r="AV426" i="16"/>
  <c r="AV425" i="16"/>
  <c r="AV424" i="16"/>
  <c r="AV423" i="16"/>
  <c r="AV422" i="16"/>
  <c r="AV421" i="16"/>
  <c r="AV420" i="16"/>
  <c r="AV419" i="16"/>
  <c r="AV418" i="16"/>
  <c r="AV417" i="16"/>
  <c r="AV416" i="16"/>
  <c r="AV415" i="16"/>
  <c r="AV414" i="16"/>
  <c r="AV413" i="16"/>
  <c r="AV412" i="16"/>
  <c r="AV411" i="16"/>
  <c r="AV410" i="16"/>
  <c r="AV409" i="16"/>
  <c r="AV408" i="16"/>
  <c r="AV407" i="16"/>
  <c r="AV406" i="16"/>
  <c r="AV405" i="16"/>
  <c r="AV404" i="16"/>
  <c r="AV403" i="16"/>
  <c r="AV402" i="16"/>
  <c r="AV401" i="16"/>
  <c r="AV400" i="16"/>
  <c r="AV399" i="16"/>
  <c r="AV398" i="16"/>
  <c r="AV397" i="16"/>
  <c r="AV396" i="16"/>
  <c r="AV395" i="16"/>
  <c r="AV394" i="16"/>
  <c r="AV393" i="16"/>
  <c r="AV392" i="16"/>
  <c r="AV391" i="16"/>
  <c r="AV390" i="16"/>
  <c r="AV389" i="16"/>
  <c r="AV388" i="16"/>
  <c r="AV387" i="16"/>
  <c r="AV386" i="16"/>
  <c r="AV385" i="16"/>
  <c r="AV384" i="16"/>
  <c r="AV383" i="16"/>
  <c r="AV382" i="16"/>
  <c r="AV381" i="16"/>
  <c r="AV380" i="16"/>
  <c r="AV379" i="16"/>
  <c r="AV378" i="16"/>
  <c r="AV377" i="16"/>
  <c r="AV376" i="16"/>
  <c r="AV375" i="16"/>
  <c r="AV374" i="16"/>
  <c r="AV373" i="16"/>
  <c r="AV372" i="16"/>
  <c r="AV371" i="16"/>
  <c r="AV370" i="16"/>
  <c r="AV369" i="16"/>
  <c r="AV368" i="16"/>
  <c r="AV367" i="16"/>
  <c r="AV366" i="16"/>
  <c r="AV365" i="16"/>
  <c r="AV364" i="16"/>
  <c r="AV363" i="16"/>
  <c r="AV362" i="16"/>
  <c r="AV361" i="16"/>
  <c r="AV360" i="16"/>
  <c r="AV359" i="16"/>
  <c r="AV358" i="16"/>
  <c r="AV357" i="16"/>
  <c r="AV356" i="16"/>
  <c r="AV355" i="16"/>
  <c r="AV354" i="16"/>
  <c r="AV353" i="16"/>
  <c r="AV352" i="16"/>
  <c r="AV351" i="16"/>
  <c r="AV350" i="16"/>
  <c r="AV349" i="16"/>
  <c r="AV348" i="16"/>
  <c r="AV347" i="16"/>
  <c r="AV346" i="16"/>
  <c r="AV345" i="16"/>
  <c r="AV344" i="16"/>
  <c r="AV343" i="16"/>
  <c r="AV342" i="16"/>
  <c r="AV341" i="16"/>
  <c r="AV340" i="16"/>
  <c r="AV339" i="16"/>
  <c r="AV338" i="16"/>
  <c r="AV337" i="16"/>
  <c r="AV336" i="16"/>
  <c r="AV335" i="16"/>
  <c r="AV334" i="16"/>
  <c r="AV333" i="16"/>
  <c r="AV332" i="16"/>
  <c r="AV331" i="16"/>
  <c r="AV330" i="16"/>
  <c r="AV329" i="16"/>
  <c r="AV328" i="16"/>
  <c r="AV327" i="16"/>
  <c r="AV326" i="16"/>
  <c r="AV325" i="16"/>
  <c r="AV324" i="16"/>
  <c r="AV323" i="16"/>
  <c r="AV322" i="16"/>
  <c r="AV321" i="16"/>
  <c r="AV320" i="16"/>
  <c r="AV319" i="16"/>
  <c r="AV318" i="16"/>
  <c r="AV317" i="16"/>
  <c r="AV316" i="16"/>
  <c r="AV315" i="16"/>
  <c r="AV314" i="16"/>
  <c r="AV313" i="16"/>
  <c r="AV312" i="16"/>
  <c r="AV311" i="16"/>
  <c r="AV310" i="16"/>
  <c r="AV309" i="16"/>
  <c r="AV308" i="16"/>
  <c r="AV307" i="16"/>
  <c r="AV306" i="16"/>
  <c r="AV305" i="16"/>
  <c r="AV304" i="16"/>
  <c r="AV303" i="16"/>
  <c r="AV302" i="16"/>
  <c r="AV301" i="16"/>
  <c r="AV300" i="16"/>
  <c r="AV299" i="16"/>
  <c r="AV298" i="16"/>
  <c r="AV297" i="16"/>
  <c r="AV296" i="16"/>
  <c r="AV295" i="16"/>
  <c r="AV294" i="16"/>
  <c r="AV293" i="16"/>
  <c r="AV292" i="16"/>
  <c r="AV291" i="16"/>
  <c r="AV290" i="16"/>
  <c r="AV289" i="16"/>
  <c r="AV288" i="16"/>
  <c r="AV287" i="16"/>
  <c r="AV286" i="16"/>
  <c r="AV285" i="16"/>
  <c r="AV284" i="16"/>
  <c r="AV283" i="16"/>
  <c r="AV282" i="16"/>
  <c r="AV281" i="16"/>
  <c r="AV280" i="16"/>
  <c r="AV279" i="16"/>
  <c r="AV278" i="16"/>
  <c r="AV277" i="16"/>
  <c r="AV276" i="16"/>
  <c r="AV275" i="16"/>
  <c r="AV274" i="16"/>
  <c r="AV273" i="16"/>
  <c r="AV272" i="16"/>
  <c r="AV271" i="16"/>
  <c r="AV270" i="16"/>
  <c r="AV269" i="16"/>
  <c r="AV268" i="16"/>
  <c r="AV267" i="16"/>
  <c r="AV266" i="16"/>
  <c r="AV265" i="16"/>
  <c r="AV264" i="16"/>
  <c r="AV263" i="16"/>
  <c r="AV262" i="16"/>
  <c r="AV261" i="16"/>
  <c r="AV260" i="16"/>
  <c r="AV259" i="16"/>
  <c r="AV258" i="16"/>
  <c r="AV257" i="16"/>
  <c r="AV256" i="16"/>
  <c r="AV255" i="16"/>
  <c r="AV254" i="16"/>
  <c r="AV253" i="16"/>
  <c r="AV252" i="16"/>
  <c r="AV251" i="16"/>
  <c r="AV250" i="16"/>
  <c r="AV249" i="16"/>
  <c r="AV248" i="16"/>
  <c r="AV247" i="16"/>
  <c r="AV246" i="16"/>
  <c r="AV245" i="16"/>
  <c r="AV244" i="16"/>
  <c r="AV243" i="16"/>
  <c r="AV242" i="16"/>
  <c r="AV241" i="16"/>
  <c r="AV240" i="16"/>
  <c r="AV239" i="16"/>
  <c r="AV238" i="16"/>
  <c r="AV237" i="16"/>
  <c r="AV236" i="16"/>
  <c r="AV235" i="16"/>
  <c r="AV234" i="16"/>
  <c r="AV233" i="16"/>
  <c r="AV232" i="16"/>
  <c r="AV231" i="16"/>
  <c r="AV230" i="16"/>
  <c r="AV229" i="16"/>
  <c r="AV228" i="16"/>
  <c r="AV227" i="16"/>
  <c r="AV226" i="16"/>
  <c r="AV225" i="16"/>
  <c r="AV224" i="16"/>
  <c r="AV223" i="16"/>
  <c r="AV222" i="16"/>
  <c r="AV221" i="16"/>
  <c r="AV220" i="16"/>
  <c r="AV219" i="16"/>
  <c r="AV218" i="16"/>
  <c r="AV217" i="16"/>
  <c r="AV216" i="16"/>
  <c r="AV215" i="16"/>
  <c r="AV214" i="16"/>
  <c r="AV213" i="16"/>
  <c r="AV212" i="16"/>
  <c r="AV211" i="16"/>
  <c r="AV210" i="16"/>
  <c r="AV209" i="16"/>
  <c r="AV208" i="16"/>
  <c r="AV207" i="16"/>
  <c r="AV206" i="16"/>
  <c r="AV205" i="16"/>
  <c r="AV204" i="16"/>
  <c r="AV203" i="16"/>
  <c r="AV202" i="16"/>
  <c r="AV201" i="16"/>
  <c r="AV200" i="16"/>
  <c r="AV199" i="16"/>
  <c r="AV198" i="16"/>
  <c r="AV197" i="16"/>
  <c r="AV196" i="16"/>
  <c r="AV195" i="16"/>
  <c r="AV194" i="16"/>
  <c r="AV193" i="16"/>
  <c r="AV192" i="16"/>
  <c r="AV191" i="16"/>
  <c r="AV190" i="16"/>
  <c r="AV189" i="16"/>
  <c r="AV188" i="16"/>
  <c r="AV187" i="16"/>
  <c r="AV186" i="16"/>
  <c r="AV185" i="16"/>
  <c r="AV184" i="16"/>
  <c r="AV183" i="16"/>
  <c r="AV182" i="16"/>
  <c r="AV181" i="16"/>
  <c r="AV180" i="16"/>
  <c r="AV179" i="16"/>
  <c r="AV178" i="16"/>
  <c r="AV177" i="16"/>
  <c r="AV176" i="16"/>
  <c r="AV175" i="16"/>
  <c r="AV174" i="16"/>
  <c r="AV173" i="16"/>
  <c r="AV172" i="16"/>
  <c r="AV171" i="16"/>
  <c r="AV170" i="16"/>
  <c r="AV169" i="16"/>
  <c r="AV168" i="16"/>
  <c r="AV167" i="16"/>
  <c r="AV166" i="16"/>
  <c r="AV165" i="16"/>
  <c r="AV164" i="16"/>
  <c r="AV163" i="16"/>
  <c r="AV162" i="16"/>
  <c r="AV161" i="16"/>
  <c r="AV160" i="16"/>
  <c r="AV159" i="16"/>
  <c r="AV158" i="16"/>
  <c r="AV157" i="16"/>
  <c r="AV156" i="16"/>
  <c r="AV155" i="16"/>
  <c r="AV154" i="16"/>
  <c r="AV153" i="16"/>
  <c r="AV152" i="16"/>
  <c r="AV151" i="16"/>
  <c r="AV150" i="16"/>
  <c r="AV149" i="16"/>
  <c r="AV148" i="16"/>
  <c r="AV147" i="16"/>
  <c r="AV146" i="16"/>
  <c r="AV145" i="16"/>
  <c r="AV144" i="16"/>
  <c r="AV143" i="16"/>
  <c r="AV142" i="16"/>
  <c r="AV141" i="16"/>
  <c r="AV140" i="16"/>
  <c r="AV139" i="16"/>
  <c r="AV138" i="16"/>
  <c r="AV137" i="16"/>
  <c r="AV136" i="16"/>
  <c r="AV135" i="16"/>
  <c r="AV134" i="16"/>
  <c r="AV133" i="16"/>
  <c r="AV132" i="16"/>
  <c r="AV131" i="16"/>
  <c r="AV130" i="16"/>
  <c r="AV129" i="16"/>
  <c r="AV128" i="16"/>
  <c r="AV127" i="16"/>
  <c r="AV126" i="16"/>
  <c r="AV125" i="16"/>
  <c r="AV124" i="16"/>
  <c r="AV123" i="16"/>
  <c r="AV122" i="16"/>
  <c r="AV121" i="16"/>
  <c r="AV120" i="16"/>
  <c r="AV119" i="16"/>
  <c r="AV118" i="16"/>
  <c r="AV117" i="16"/>
  <c r="AV116" i="16"/>
  <c r="AV115" i="16"/>
  <c r="AV114" i="16"/>
  <c r="AV113" i="16"/>
  <c r="AV112" i="16"/>
  <c r="AV111" i="16"/>
  <c r="AV110" i="16"/>
  <c r="AV109" i="16"/>
  <c r="AV108" i="16"/>
  <c r="AV107" i="16"/>
  <c r="AV106" i="16"/>
  <c r="AV105" i="16"/>
  <c r="AV104" i="16"/>
  <c r="AV103" i="16"/>
  <c r="AV102" i="16"/>
  <c r="AV101" i="16"/>
  <c r="AV100" i="16"/>
  <c r="AV99" i="16"/>
  <c r="AV98" i="16"/>
  <c r="AV97" i="16"/>
  <c r="AV96" i="16"/>
  <c r="AV95" i="16"/>
  <c r="AV94" i="16"/>
  <c r="AV93" i="16"/>
  <c r="AV92" i="16"/>
  <c r="AV91" i="16"/>
  <c r="AV90" i="16"/>
  <c r="AV89" i="16"/>
  <c r="AV88" i="16"/>
  <c r="AV87" i="16"/>
  <c r="AV86" i="16"/>
  <c r="AV85" i="16"/>
  <c r="AV84" i="16"/>
  <c r="AV83" i="16"/>
  <c r="AV82" i="16"/>
  <c r="AV81" i="16"/>
  <c r="AV80" i="16"/>
  <c r="AV79" i="16"/>
  <c r="AV78" i="16"/>
  <c r="AV77" i="16"/>
  <c r="AV76" i="16"/>
  <c r="AV75" i="16"/>
  <c r="AV74" i="16"/>
  <c r="AV73" i="16"/>
  <c r="AV72" i="16"/>
  <c r="AV71" i="16"/>
  <c r="AV70" i="16"/>
  <c r="AV69" i="16"/>
  <c r="AV68" i="16"/>
  <c r="AV67" i="16"/>
  <c r="AV66" i="16"/>
  <c r="AV65" i="16"/>
  <c r="AV64" i="16"/>
  <c r="AV63" i="16"/>
  <c r="AV62" i="16"/>
  <c r="AV61" i="16"/>
  <c r="AV60" i="16"/>
  <c r="AV59" i="16"/>
  <c r="AV58" i="16"/>
  <c r="AV57" i="16"/>
  <c r="AV56" i="16"/>
  <c r="AV55" i="16"/>
  <c r="AV54" i="16"/>
  <c r="AV53" i="16"/>
  <c r="AV52" i="16"/>
  <c r="AV51" i="16"/>
  <c r="AV50" i="16"/>
  <c r="AV49" i="16"/>
  <c r="AV48" i="16"/>
  <c r="AV47" i="16"/>
  <c r="AV46" i="16"/>
  <c r="AV45" i="16"/>
  <c r="AV44" i="16"/>
  <c r="AV43" i="16"/>
  <c r="AV42" i="16"/>
  <c r="AV41" i="16"/>
  <c r="AV40" i="16"/>
  <c r="AV39" i="16"/>
  <c r="AV38" i="16"/>
  <c r="AV37" i="16"/>
  <c r="AV36" i="16"/>
  <c r="AV35" i="16"/>
  <c r="AV34" i="16"/>
  <c r="AV33" i="16"/>
  <c r="AV32" i="16"/>
  <c r="AV31" i="16"/>
  <c r="AV30" i="16"/>
  <c r="AV29" i="16"/>
  <c r="AV28" i="16"/>
  <c r="AV27" i="16"/>
  <c r="AV26" i="16"/>
  <c r="AV25" i="16"/>
  <c r="AV24" i="16"/>
  <c r="AV23" i="16"/>
  <c r="AV22" i="16"/>
  <c r="AV21" i="16"/>
  <c r="AV20" i="16"/>
  <c r="AV19" i="16"/>
  <c r="AV18" i="16"/>
  <c r="AV17" i="16"/>
  <c r="AV16" i="16"/>
  <c r="AV15" i="16"/>
  <c r="AV14" i="16"/>
  <c r="AV13" i="16"/>
  <c r="AV12" i="16"/>
  <c r="AV11" i="16"/>
  <c r="AV10" i="16"/>
  <c r="AV8" i="16"/>
  <c r="AV7" i="16"/>
  <c r="AV6" i="16"/>
  <c r="AV5" i="16"/>
  <c r="AV4" i="16"/>
  <c r="AU958" i="16"/>
  <c r="AU957" i="16"/>
  <c r="AU956" i="16"/>
  <c r="AU955" i="16"/>
  <c r="AU954" i="16"/>
  <c r="AU953" i="16"/>
  <c r="AU952" i="16"/>
  <c r="AU951" i="16"/>
  <c r="AU950" i="16"/>
  <c r="AU949" i="16"/>
  <c r="AU948" i="16"/>
  <c r="AU947" i="16"/>
  <c r="AU946" i="16"/>
  <c r="AU945" i="16"/>
  <c r="AU944" i="16"/>
  <c r="AU943" i="16"/>
  <c r="AU942" i="16"/>
  <c r="AU941" i="16"/>
  <c r="AU940" i="16"/>
  <c r="AU939" i="16"/>
  <c r="AU938" i="16"/>
  <c r="AU937" i="16"/>
  <c r="AU936" i="16"/>
  <c r="AU935" i="16"/>
  <c r="AU934" i="16"/>
  <c r="AU933" i="16"/>
  <c r="AU932" i="16"/>
  <c r="AU931" i="16"/>
  <c r="AU930" i="16"/>
  <c r="AU929" i="16"/>
  <c r="AU928" i="16"/>
  <c r="AU927" i="16"/>
  <c r="AU926" i="16"/>
  <c r="AU925" i="16"/>
  <c r="AU924" i="16"/>
  <c r="AU923" i="16"/>
  <c r="AU922" i="16"/>
  <c r="AU921" i="16"/>
  <c r="AU920" i="16"/>
  <c r="AU919" i="16"/>
  <c r="AU918" i="16"/>
  <c r="AU917" i="16"/>
  <c r="AU916" i="16"/>
  <c r="AU915" i="16"/>
  <c r="AU914" i="16"/>
  <c r="AU913" i="16"/>
  <c r="AU912" i="16"/>
  <c r="AU911" i="16"/>
  <c r="AU910" i="16"/>
  <c r="AU909" i="16"/>
  <c r="AU908" i="16"/>
  <c r="AU907" i="16"/>
  <c r="AU906" i="16"/>
  <c r="AU905" i="16"/>
  <c r="AU904" i="16"/>
  <c r="AU903" i="16"/>
  <c r="AU902" i="16"/>
  <c r="AU901" i="16"/>
  <c r="AU900" i="16"/>
  <c r="AU899" i="16"/>
  <c r="AU898" i="16"/>
  <c r="AU897" i="16"/>
  <c r="AU896" i="16"/>
  <c r="AU895" i="16"/>
  <c r="AU894" i="16"/>
  <c r="AU893" i="16"/>
  <c r="AU892" i="16"/>
  <c r="AU891" i="16"/>
  <c r="AU890" i="16"/>
  <c r="AU889" i="16"/>
  <c r="AU888" i="16"/>
  <c r="AU887" i="16"/>
  <c r="AU886" i="16"/>
  <c r="AU885" i="16"/>
  <c r="AU884" i="16"/>
  <c r="AU883" i="16"/>
  <c r="AU882" i="16"/>
  <c r="AU881" i="16"/>
  <c r="AU880" i="16"/>
  <c r="AU879" i="16"/>
  <c r="AU878" i="16"/>
  <c r="AU877" i="16"/>
  <c r="AU876" i="16"/>
  <c r="AU875" i="16"/>
  <c r="AU874" i="16"/>
  <c r="AU873" i="16"/>
  <c r="AU872" i="16"/>
  <c r="AU871" i="16"/>
  <c r="AU870" i="16"/>
  <c r="AU869" i="16"/>
  <c r="AU868" i="16"/>
  <c r="AU867" i="16"/>
  <c r="AU866" i="16"/>
  <c r="AU865" i="16"/>
  <c r="AU864" i="16"/>
  <c r="AU863" i="16"/>
  <c r="AU862" i="16"/>
  <c r="AU861" i="16"/>
  <c r="AU860" i="16"/>
  <c r="AU859" i="16"/>
  <c r="AU858" i="16"/>
  <c r="AU857" i="16"/>
  <c r="AU856" i="16"/>
  <c r="AU855" i="16"/>
  <c r="AU854" i="16"/>
  <c r="AU853" i="16"/>
  <c r="AU852" i="16"/>
  <c r="AU851" i="16"/>
  <c r="AU850" i="16"/>
  <c r="AU849" i="16"/>
  <c r="AU848" i="16"/>
  <c r="AU847" i="16"/>
  <c r="AU846" i="16"/>
  <c r="AU845" i="16"/>
  <c r="AU844" i="16"/>
  <c r="AU843" i="16"/>
  <c r="AU842" i="16"/>
  <c r="AU841" i="16"/>
  <c r="AU840" i="16"/>
  <c r="AU839" i="16"/>
  <c r="AU838" i="16"/>
  <c r="AU837" i="16"/>
  <c r="AU836" i="16"/>
  <c r="AU835" i="16"/>
  <c r="AU834" i="16"/>
  <c r="AU833" i="16"/>
  <c r="AU832" i="16"/>
  <c r="AU831" i="16"/>
  <c r="AU830" i="16"/>
  <c r="AU829" i="16"/>
  <c r="AU828" i="16"/>
  <c r="AU827" i="16"/>
  <c r="AU826" i="16"/>
  <c r="AU825" i="16"/>
  <c r="AU824" i="16"/>
  <c r="AU823" i="16"/>
  <c r="AU822" i="16"/>
  <c r="AU821" i="16"/>
  <c r="AU820" i="16"/>
  <c r="AU819" i="16"/>
  <c r="AU818" i="16"/>
  <c r="AU817" i="16"/>
  <c r="AU816" i="16"/>
  <c r="AU815" i="16"/>
  <c r="AU814" i="16"/>
  <c r="AU813" i="16"/>
  <c r="AU812" i="16"/>
  <c r="AU811" i="16"/>
  <c r="AU810" i="16"/>
  <c r="AU809" i="16"/>
  <c r="AU808" i="16"/>
  <c r="AU807" i="16"/>
  <c r="AU806" i="16"/>
  <c r="AU805" i="16"/>
  <c r="AU804" i="16"/>
  <c r="AU803" i="16"/>
  <c r="AU802" i="16"/>
  <c r="AU801" i="16"/>
  <c r="AU800" i="16"/>
  <c r="AU799" i="16"/>
  <c r="AU798" i="16"/>
  <c r="AU797" i="16"/>
  <c r="AU796" i="16"/>
  <c r="AU795" i="16"/>
  <c r="AU794" i="16"/>
  <c r="AU793" i="16"/>
  <c r="AU792" i="16"/>
  <c r="AU791" i="16"/>
  <c r="AU790" i="16"/>
  <c r="AU789" i="16"/>
  <c r="AU788" i="16"/>
  <c r="AU787" i="16"/>
  <c r="AU786" i="16"/>
  <c r="AU785" i="16"/>
  <c r="AU784" i="16"/>
  <c r="AU783" i="16"/>
  <c r="AU782" i="16"/>
  <c r="AU781" i="16"/>
  <c r="AU780" i="16"/>
  <c r="AU779" i="16"/>
  <c r="AU778" i="16"/>
  <c r="AU777" i="16"/>
  <c r="AU776" i="16"/>
  <c r="AU775" i="16"/>
  <c r="AU774" i="16"/>
  <c r="AU773" i="16"/>
  <c r="AU772" i="16"/>
  <c r="AU771" i="16"/>
  <c r="AU770" i="16"/>
  <c r="AU769" i="16"/>
  <c r="AU768" i="16"/>
  <c r="AU767" i="16"/>
  <c r="AU766" i="16"/>
  <c r="AU765" i="16"/>
  <c r="AU764" i="16"/>
  <c r="AU763" i="16"/>
  <c r="AU762" i="16"/>
  <c r="AU761" i="16"/>
  <c r="AU760" i="16"/>
  <c r="AU759" i="16"/>
  <c r="AU758" i="16"/>
  <c r="AU757" i="16"/>
  <c r="AU756" i="16"/>
  <c r="AU755" i="16"/>
  <c r="AU754" i="16"/>
  <c r="AU753" i="16"/>
  <c r="AU752" i="16"/>
  <c r="AU751" i="16"/>
  <c r="AU750" i="16"/>
  <c r="AU749" i="16"/>
  <c r="AU748" i="16"/>
  <c r="AU747" i="16"/>
  <c r="AU746" i="16"/>
  <c r="AU745" i="16"/>
  <c r="AU744" i="16"/>
  <c r="AU743" i="16"/>
  <c r="AU742" i="16"/>
  <c r="AU741" i="16"/>
  <c r="AU740" i="16"/>
  <c r="AU739" i="16"/>
  <c r="AU738" i="16"/>
  <c r="AU737" i="16"/>
  <c r="AU736" i="16"/>
  <c r="AU735" i="16"/>
  <c r="AU734" i="16"/>
  <c r="AU733" i="16"/>
  <c r="AU732" i="16"/>
  <c r="AU731" i="16"/>
  <c r="AU730" i="16"/>
  <c r="AU729" i="16"/>
  <c r="AU728" i="16"/>
  <c r="AU727" i="16"/>
  <c r="AU726" i="16"/>
  <c r="AU725" i="16"/>
  <c r="AU724" i="16"/>
  <c r="AU723" i="16"/>
  <c r="AU722" i="16"/>
  <c r="AU721" i="16"/>
  <c r="AU720" i="16"/>
  <c r="AU719" i="16"/>
  <c r="AU718" i="16"/>
  <c r="AU717" i="16"/>
  <c r="AU716" i="16"/>
  <c r="AU715" i="16"/>
  <c r="AU714" i="16"/>
  <c r="AU713" i="16"/>
  <c r="AU712" i="16"/>
  <c r="AU711" i="16"/>
  <c r="AU710" i="16"/>
  <c r="AU709" i="16"/>
  <c r="AU708" i="16"/>
  <c r="AU707" i="16"/>
  <c r="AU706" i="16"/>
  <c r="AU705" i="16"/>
  <c r="AU704" i="16"/>
  <c r="AU703" i="16"/>
  <c r="AU702" i="16"/>
  <c r="AU701" i="16"/>
  <c r="AU700" i="16"/>
  <c r="AU699" i="16"/>
  <c r="AU698" i="16"/>
  <c r="AU697" i="16"/>
  <c r="AU696" i="16"/>
  <c r="AU695" i="16"/>
  <c r="AU694" i="16"/>
  <c r="AU693" i="16"/>
  <c r="AU692" i="16"/>
  <c r="AU691" i="16"/>
  <c r="AU690" i="16"/>
  <c r="AU689" i="16"/>
  <c r="AU688" i="16"/>
  <c r="AU687" i="16"/>
  <c r="AU686" i="16"/>
  <c r="AU685" i="16"/>
  <c r="AU684" i="16"/>
  <c r="AU683" i="16"/>
  <c r="AU682" i="16"/>
  <c r="AU681" i="16"/>
  <c r="AU680" i="16"/>
  <c r="AU679" i="16"/>
  <c r="AU678" i="16"/>
  <c r="AU677" i="16"/>
  <c r="AU676" i="16"/>
  <c r="AU675" i="16"/>
  <c r="AU674" i="16"/>
  <c r="AU673" i="16"/>
  <c r="AU672" i="16"/>
  <c r="AU671" i="16"/>
  <c r="AU670" i="16"/>
  <c r="AU669" i="16"/>
  <c r="AU668" i="16"/>
  <c r="AU667" i="16"/>
  <c r="AU666" i="16"/>
  <c r="AU665" i="16"/>
  <c r="AU664" i="16"/>
  <c r="AU663" i="16"/>
  <c r="AU662" i="16"/>
  <c r="AU661" i="16"/>
  <c r="AU660" i="16"/>
  <c r="AU659" i="16"/>
  <c r="AU658" i="16"/>
  <c r="AU657" i="16"/>
  <c r="AU656" i="16"/>
  <c r="AU655" i="16"/>
  <c r="AU654" i="16"/>
  <c r="AU653" i="16"/>
  <c r="AU652" i="16"/>
  <c r="AU651" i="16"/>
  <c r="AU650" i="16"/>
  <c r="AU649" i="16"/>
  <c r="AU648" i="16"/>
  <c r="AU647" i="16"/>
  <c r="AU646" i="16"/>
  <c r="AU645" i="16"/>
  <c r="AU644" i="16"/>
  <c r="AU643" i="16"/>
  <c r="AU642" i="16"/>
  <c r="AU641" i="16"/>
  <c r="AU640" i="16"/>
  <c r="AU639" i="16"/>
  <c r="AU638" i="16"/>
  <c r="AU637" i="16"/>
  <c r="AU636" i="16"/>
  <c r="AU635" i="16"/>
  <c r="AU634" i="16"/>
  <c r="AU633" i="16"/>
  <c r="AU632" i="16"/>
  <c r="AU631" i="16"/>
  <c r="AU630" i="16"/>
  <c r="AU629" i="16"/>
  <c r="AU628" i="16"/>
  <c r="AU627" i="16"/>
  <c r="AU626" i="16"/>
  <c r="AU625" i="16"/>
  <c r="AU624" i="16"/>
  <c r="AU623" i="16"/>
  <c r="AU622" i="16"/>
  <c r="AU621" i="16"/>
  <c r="AU620" i="16"/>
  <c r="AU619" i="16"/>
  <c r="AU618" i="16"/>
  <c r="AU617" i="16"/>
  <c r="AU616" i="16"/>
  <c r="AU615" i="16"/>
  <c r="AU614" i="16"/>
  <c r="AU613" i="16"/>
  <c r="AU612" i="16"/>
  <c r="AU611" i="16"/>
  <c r="AU610" i="16"/>
  <c r="AU609" i="16"/>
  <c r="AU608" i="16"/>
  <c r="AU607" i="16"/>
  <c r="AU606" i="16"/>
  <c r="AU605" i="16"/>
  <c r="AU604" i="16"/>
  <c r="AU603" i="16"/>
  <c r="AU602" i="16"/>
  <c r="AU601" i="16"/>
  <c r="AU600" i="16"/>
  <c r="AU599" i="16"/>
  <c r="AU598" i="16"/>
  <c r="AU597" i="16"/>
  <c r="AU596" i="16"/>
  <c r="AU595" i="16"/>
  <c r="AU594" i="16"/>
  <c r="AU593" i="16"/>
  <c r="AU592" i="16"/>
  <c r="AU591" i="16"/>
  <c r="AU590" i="16"/>
  <c r="AU589" i="16"/>
  <c r="AU588" i="16"/>
  <c r="AU587" i="16"/>
  <c r="AU586" i="16"/>
  <c r="AU585" i="16"/>
  <c r="AU584" i="16"/>
  <c r="AU583" i="16"/>
  <c r="AU582" i="16"/>
  <c r="AU581" i="16"/>
  <c r="AU580" i="16"/>
  <c r="AU579" i="16"/>
  <c r="AU578" i="16"/>
  <c r="AU577" i="16"/>
  <c r="AU576" i="16"/>
  <c r="AU575" i="16"/>
  <c r="AU574" i="16"/>
  <c r="AU573" i="16"/>
  <c r="AU572" i="16"/>
  <c r="AU571" i="16"/>
  <c r="AU570" i="16"/>
  <c r="AU569" i="16"/>
  <c r="AU568" i="16"/>
  <c r="AU567" i="16"/>
  <c r="AU566" i="16"/>
  <c r="AU565" i="16"/>
  <c r="AU564" i="16"/>
  <c r="AU563" i="16"/>
  <c r="AU562" i="16"/>
  <c r="AU561" i="16"/>
  <c r="AU560" i="16"/>
  <c r="AU559" i="16"/>
  <c r="AU558" i="16"/>
  <c r="AU557" i="16"/>
  <c r="AU556" i="16"/>
  <c r="AU555" i="16"/>
  <c r="AU554" i="16"/>
  <c r="AU553" i="16"/>
  <c r="AU552" i="16"/>
  <c r="AU551" i="16"/>
  <c r="AU550" i="16"/>
  <c r="AU549" i="16"/>
  <c r="AU548" i="16"/>
  <c r="AU547" i="16"/>
  <c r="AU546" i="16"/>
  <c r="AU545" i="16"/>
  <c r="AU544" i="16"/>
  <c r="AU543" i="16"/>
  <c r="AU542" i="16"/>
  <c r="AU541" i="16"/>
  <c r="AU540" i="16"/>
  <c r="AU539" i="16"/>
  <c r="AU538" i="16"/>
  <c r="AU537" i="16"/>
  <c r="AU536" i="16"/>
  <c r="AU535" i="16"/>
  <c r="AU534" i="16"/>
  <c r="AU533" i="16"/>
  <c r="AU532" i="16"/>
  <c r="AU531" i="16"/>
  <c r="AU530" i="16"/>
  <c r="AU529" i="16"/>
  <c r="AU528" i="16"/>
  <c r="AU527" i="16"/>
  <c r="AU526" i="16"/>
  <c r="AU525" i="16"/>
  <c r="AU524" i="16"/>
  <c r="AU523" i="16"/>
  <c r="AU522" i="16"/>
  <c r="AU521" i="16"/>
  <c r="AU520" i="16"/>
  <c r="AU519" i="16"/>
  <c r="AU518" i="16"/>
  <c r="AU517" i="16"/>
  <c r="AU516" i="16"/>
  <c r="AU515" i="16"/>
  <c r="AU514" i="16"/>
  <c r="AU513" i="16"/>
  <c r="AU512" i="16"/>
  <c r="AU511" i="16"/>
  <c r="AU510" i="16"/>
  <c r="AU509" i="16"/>
  <c r="AU508" i="16"/>
  <c r="AU507" i="16"/>
  <c r="AU506" i="16"/>
  <c r="AU505" i="16"/>
  <c r="AU504" i="16"/>
  <c r="AU503" i="16"/>
  <c r="AU502" i="16"/>
  <c r="AU501" i="16"/>
  <c r="AU500" i="16"/>
  <c r="AU499" i="16"/>
  <c r="AU498" i="16"/>
  <c r="AU497" i="16"/>
  <c r="AU496" i="16"/>
  <c r="AU495" i="16"/>
  <c r="AU494" i="16"/>
  <c r="AU493" i="16"/>
  <c r="AU492" i="16"/>
  <c r="AU491" i="16"/>
  <c r="AU490" i="16"/>
  <c r="AU489" i="16"/>
  <c r="AU488" i="16"/>
  <c r="AU487" i="16"/>
  <c r="AU486" i="16"/>
  <c r="AU485" i="16"/>
  <c r="AU484" i="16"/>
  <c r="AU483" i="16"/>
  <c r="AU482" i="16"/>
  <c r="AU481" i="16"/>
  <c r="AU480" i="16"/>
  <c r="AU479" i="16"/>
  <c r="AU478" i="16"/>
  <c r="AU477" i="16"/>
  <c r="AU476" i="16"/>
  <c r="AU475" i="16"/>
  <c r="AU474" i="16"/>
  <c r="AU473" i="16"/>
  <c r="AU472" i="16"/>
  <c r="AU471" i="16"/>
  <c r="AU470" i="16"/>
  <c r="AU469" i="16"/>
  <c r="AU468" i="16"/>
  <c r="AU467" i="16"/>
  <c r="AU466" i="16"/>
  <c r="AU465" i="16"/>
  <c r="AU464" i="16"/>
  <c r="AU463" i="16"/>
  <c r="AU462" i="16"/>
  <c r="AU461" i="16"/>
  <c r="AU460" i="16"/>
  <c r="AU459" i="16"/>
  <c r="AU458" i="16"/>
  <c r="AU457" i="16"/>
  <c r="AU456" i="16"/>
  <c r="AU455" i="16"/>
  <c r="AU454" i="16"/>
  <c r="AU453" i="16"/>
  <c r="AU452" i="16"/>
  <c r="AU451" i="16"/>
  <c r="AU450" i="16"/>
  <c r="AU449" i="16"/>
  <c r="AU448" i="16"/>
  <c r="AU447" i="16"/>
  <c r="AU446" i="16"/>
  <c r="AU445" i="16"/>
  <c r="AU444" i="16"/>
  <c r="AU443" i="16"/>
  <c r="AU442" i="16"/>
  <c r="AU441" i="16"/>
  <c r="AU440" i="16"/>
  <c r="AU439" i="16"/>
  <c r="AU438" i="16"/>
  <c r="AU437" i="16"/>
  <c r="AU436" i="16"/>
  <c r="AU435" i="16"/>
  <c r="AU434" i="16"/>
  <c r="AU433" i="16"/>
  <c r="AU432" i="16"/>
  <c r="AU431" i="16"/>
  <c r="AU430" i="16"/>
  <c r="AU429" i="16"/>
  <c r="AU428" i="16"/>
  <c r="AU427" i="16"/>
  <c r="AU426" i="16"/>
  <c r="AU425" i="16"/>
  <c r="AU424" i="16"/>
  <c r="AU423" i="16"/>
  <c r="AU422" i="16"/>
  <c r="AU421" i="16"/>
  <c r="AU420" i="16"/>
  <c r="AU419" i="16"/>
  <c r="AU418" i="16"/>
  <c r="AU417" i="16"/>
  <c r="AU416" i="16"/>
  <c r="AU415" i="16"/>
  <c r="AU414" i="16"/>
  <c r="AU413" i="16"/>
  <c r="AU412" i="16"/>
  <c r="AU411" i="16"/>
  <c r="AU410" i="16"/>
  <c r="AU409" i="16"/>
  <c r="AU408" i="16"/>
  <c r="AU407" i="16"/>
  <c r="AU406" i="16"/>
  <c r="AU405" i="16"/>
  <c r="AU404" i="16"/>
  <c r="AU403" i="16"/>
  <c r="AU402" i="16"/>
  <c r="AU401" i="16"/>
  <c r="AU400" i="16"/>
  <c r="AU399" i="16"/>
  <c r="AU398" i="16"/>
  <c r="AU397" i="16"/>
  <c r="AU396" i="16"/>
  <c r="AU395" i="16"/>
  <c r="AU394" i="16"/>
  <c r="AU393" i="16"/>
  <c r="AU392" i="16"/>
  <c r="AU391" i="16"/>
  <c r="AU390" i="16"/>
  <c r="AU389" i="16"/>
  <c r="AU388" i="16"/>
  <c r="AU387" i="16"/>
  <c r="AU386" i="16"/>
  <c r="AU385" i="16"/>
  <c r="AU384" i="16"/>
  <c r="AU383" i="16"/>
  <c r="AU382" i="16"/>
  <c r="AU381" i="16"/>
  <c r="AU380" i="16"/>
  <c r="AU379" i="16"/>
  <c r="AU378" i="16"/>
  <c r="AU377" i="16"/>
  <c r="AU376" i="16"/>
  <c r="AU375" i="16"/>
  <c r="AU374" i="16"/>
  <c r="AU373" i="16"/>
  <c r="AU372" i="16"/>
  <c r="AU371" i="16"/>
  <c r="AU370" i="16"/>
  <c r="AU369" i="16"/>
  <c r="AU368" i="16"/>
  <c r="AU367" i="16"/>
  <c r="AU366" i="16"/>
  <c r="AU365" i="16"/>
  <c r="AU364" i="16"/>
  <c r="AU363" i="16"/>
  <c r="AU362" i="16"/>
  <c r="AU361" i="16"/>
  <c r="AU360" i="16"/>
  <c r="AU359" i="16"/>
  <c r="AU358" i="16"/>
  <c r="AU357" i="16"/>
  <c r="AU356" i="16"/>
  <c r="AU355" i="16"/>
  <c r="AU354" i="16"/>
  <c r="AU353" i="16"/>
  <c r="AU352" i="16"/>
  <c r="AU351" i="16"/>
  <c r="AU350" i="16"/>
  <c r="AU349" i="16"/>
  <c r="AU348" i="16"/>
  <c r="AU347" i="16"/>
  <c r="AU346" i="16"/>
  <c r="AU345" i="16"/>
  <c r="AU344" i="16"/>
  <c r="AU343" i="16"/>
  <c r="AU342" i="16"/>
  <c r="AU341" i="16"/>
  <c r="AU340" i="16"/>
  <c r="AU339" i="16"/>
  <c r="AU338" i="16"/>
  <c r="AU337" i="16"/>
  <c r="AU336" i="16"/>
  <c r="AU335" i="16"/>
  <c r="AU334" i="16"/>
  <c r="AU333" i="16"/>
  <c r="AU332" i="16"/>
  <c r="AU331" i="16"/>
  <c r="AU330" i="16"/>
  <c r="AU329" i="16"/>
  <c r="AU328" i="16"/>
  <c r="AU327" i="16"/>
  <c r="AU326" i="16"/>
  <c r="AU325" i="16"/>
  <c r="AU324" i="16"/>
  <c r="AU323" i="16"/>
  <c r="AU322" i="16"/>
  <c r="AU321" i="16"/>
  <c r="AU320" i="16"/>
  <c r="AU319" i="16"/>
  <c r="AU318" i="16"/>
  <c r="AU317" i="16"/>
  <c r="AU316" i="16"/>
  <c r="AU315" i="16"/>
  <c r="AU314" i="16"/>
  <c r="AU313" i="16"/>
  <c r="AU312" i="16"/>
  <c r="AU311" i="16"/>
  <c r="AU310" i="16"/>
  <c r="AU309" i="16"/>
  <c r="AU308" i="16"/>
  <c r="AU307" i="16"/>
  <c r="AU306" i="16"/>
  <c r="AU305" i="16"/>
  <c r="AU304" i="16"/>
  <c r="AU303" i="16"/>
  <c r="AU302" i="16"/>
  <c r="AU301" i="16"/>
  <c r="AU300" i="16"/>
  <c r="AU299" i="16"/>
  <c r="AU298" i="16"/>
  <c r="AU297" i="16"/>
  <c r="AU296" i="16"/>
  <c r="AU295" i="16"/>
  <c r="AU294" i="16"/>
  <c r="AU293" i="16"/>
  <c r="AU292" i="16"/>
  <c r="AU291" i="16"/>
  <c r="AU290" i="16"/>
  <c r="AU289" i="16"/>
  <c r="AU288" i="16"/>
  <c r="AU287" i="16"/>
  <c r="AU286" i="16"/>
  <c r="AU285" i="16"/>
  <c r="AU284" i="16"/>
  <c r="AU283" i="16"/>
  <c r="AU282" i="16"/>
  <c r="AU281" i="16"/>
  <c r="AU280" i="16"/>
  <c r="AU279" i="16"/>
  <c r="AU278" i="16"/>
  <c r="AU277" i="16"/>
  <c r="AU276" i="16"/>
  <c r="AU275" i="16"/>
  <c r="AU274" i="16"/>
  <c r="AU273" i="16"/>
  <c r="AU272" i="16"/>
  <c r="AU271" i="16"/>
  <c r="AU270" i="16"/>
  <c r="AU269" i="16"/>
  <c r="AU268" i="16"/>
  <c r="AU267" i="16"/>
  <c r="AU266" i="16"/>
  <c r="AU265" i="16"/>
  <c r="AU264" i="16"/>
  <c r="AU263" i="16"/>
  <c r="AU262" i="16"/>
  <c r="AU261" i="16"/>
  <c r="AU260" i="16"/>
  <c r="AU259" i="16"/>
  <c r="AU258" i="16"/>
  <c r="AU257" i="16"/>
  <c r="AU256" i="16"/>
  <c r="AU255" i="16"/>
  <c r="AU254" i="16"/>
  <c r="AU253" i="16"/>
  <c r="AU252" i="16"/>
  <c r="AU251" i="16"/>
  <c r="AU250" i="16"/>
  <c r="AU249" i="16"/>
  <c r="AU248" i="16"/>
  <c r="AU247" i="16"/>
  <c r="AU246" i="16"/>
  <c r="AU245" i="16"/>
  <c r="AU244" i="16"/>
  <c r="AU243" i="16"/>
  <c r="AU242" i="16"/>
  <c r="AU241" i="16"/>
  <c r="AU240" i="16"/>
  <c r="AU239" i="16"/>
  <c r="AU238" i="16"/>
  <c r="AU237" i="16"/>
  <c r="AU236" i="16"/>
  <c r="AU235" i="16"/>
  <c r="AU234" i="16"/>
  <c r="AU233" i="16"/>
  <c r="AU232" i="16"/>
  <c r="AU231" i="16"/>
  <c r="AU230" i="16"/>
  <c r="AU229" i="16"/>
  <c r="AU228" i="16"/>
  <c r="AU227" i="16"/>
  <c r="AU226" i="16"/>
  <c r="AU225" i="16"/>
  <c r="AU224" i="16"/>
  <c r="AU223" i="16"/>
  <c r="AU222" i="16"/>
  <c r="AU221" i="16"/>
  <c r="AU220" i="16"/>
  <c r="AU219" i="16"/>
  <c r="AU218" i="16"/>
  <c r="AU217" i="16"/>
  <c r="AU216" i="16"/>
  <c r="AU215" i="16"/>
  <c r="AU214" i="16"/>
  <c r="AU213" i="16"/>
  <c r="AU212" i="16"/>
  <c r="AU211" i="16"/>
  <c r="AU210" i="16"/>
  <c r="AU209" i="16"/>
  <c r="AU208" i="16"/>
  <c r="AU207" i="16"/>
  <c r="AU206" i="16"/>
  <c r="AU205" i="16"/>
  <c r="AU204" i="16"/>
  <c r="AU203" i="16"/>
  <c r="AU202" i="16"/>
  <c r="AU201" i="16"/>
  <c r="AU200" i="16"/>
  <c r="AU199" i="16"/>
  <c r="AU198" i="16"/>
  <c r="AU197" i="16"/>
  <c r="AU196" i="16"/>
  <c r="AU195" i="16"/>
  <c r="AU194" i="16"/>
  <c r="AU193" i="16"/>
  <c r="AU192" i="16"/>
  <c r="AU191" i="16"/>
  <c r="AU190" i="16"/>
  <c r="AU189" i="16"/>
  <c r="AU188" i="16"/>
  <c r="AU187" i="16"/>
  <c r="AU186" i="16"/>
  <c r="AU185" i="16"/>
  <c r="AU184" i="16"/>
  <c r="AU183" i="16"/>
  <c r="AU182" i="16"/>
  <c r="AU181" i="16"/>
  <c r="AU180" i="16"/>
  <c r="AU179" i="16"/>
  <c r="AU178" i="16"/>
  <c r="AU177" i="16"/>
  <c r="AU176" i="16"/>
  <c r="AU175" i="16"/>
  <c r="AU174" i="16"/>
  <c r="AU173" i="16"/>
  <c r="AU172" i="16"/>
  <c r="AU171" i="16"/>
  <c r="AU170" i="16"/>
  <c r="AU169" i="16"/>
  <c r="AU168" i="16"/>
  <c r="AU167" i="16"/>
  <c r="AU166" i="16"/>
  <c r="AU165" i="16"/>
  <c r="AU164" i="16"/>
  <c r="AU163" i="16"/>
  <c r="AU162" i="16"/>
  <c r="AU161" i="16"/>
  <c r="AU160" i="16"/>
  <c r="AU159" i="16"/>
  <c r="AU158" i="16"/>
  <c r="AU157" i="16"/>
  <c r="AU156" i="16"/>
  <c r="AU155" i="16"/>
  <c r="AU154" i="16"/>
  <c r="AU153" i="16"/>
  <c r="AU152" i="16"/>
  <c r="AU151" i="16"/>
  <c r="AU150" i="16"/>
  <c r="AU149" i="16"/>
  <c r="AU148" i="16"/>
  <c r="AU147" i="16"/>
  <c r="AU146" i="16"/>
  <c r="AU145" i="16"/>
  <c r="AU144" i="16"/>
  <c r="AU143" i="16"/>
  <c r="AU142" i="16"/>
  <c r="AU141" i="16"/>
  <c r="AU140" i="16"/>
  <c r="AU139" i="16"/>
  <c r="AU138" i="16"/>
  <c r="AU137" i="16"/>
  <c r="AU136" i="16"/>
  <c r="AU135" i="16"/>
  <c r="AU134" i="16"/>
  <c r="AU133" i="16"/>
  <c r="AU132" i="16"/>
  <c r="AU131" i="16"/>
  <c r="AU130" i="16"/>
  <c r="AU129" i="16"/>
  <c r="AU128" i="16"/>
  <c r="AU127" i="16"/>
  <c r="AU126" i="16"/>
  <c r="AU125" i="16"/>
  <c r="AU124" i="16"/>
  <c r="AU123" i="16"/>
  <c r="AU122" i="16"/>
  <c r="AU121" i="16"/>
  <c r="AU120" i="16"/>
  <c r="AU119" i="16"/>
  <c r="AU118" i="16"/>
  <c r="AU117" i="16"/>
  <c r="AU116" i="16"/>
  <c r="AU115" i="16"/>
  <c r="AU114" i="16"/>
  <c r="AU113" i="16"/>
  <c r="AU112" i="16"/>
  <c r="AU111" i="16"/>
  <c r="AU110" i="16"/>
  <c r="AU109" i="16"/>
  <c r="AU108" i="16"/>
  <c r="AU107" i="16"/>
  <c r="AU106" i="16"/>
  <c r="AU105" i="16"/>
  <c r="AU104" i="16"/>
  <c r="AU103" i="16"/>
  <c r="AU102" i="16"/>
  <c r="AU101" i="16"/>
  <c r="AU100" i="16"/>
  <c r="AU99" i="16"/>
  <c r="AU98" i="16"/>
  <c r="AU97" i="16"/>
  <c r="AU96" i="16"/>
  <c r="AU95" i="16"/>
  <c r="AU94" i="16"/>
  <c r="AU93" i="16"/>
  <c r="AU92" i="16"/>
  <c r="AU91" i="16"/>
  <c r="AU90" i="16"/>
  <c r="AU89" i="16"/>
  <c r="AU88" i="16"/>
  <c r="AU87" i="16"/>
  <c r="AU86" i="16"/>
  <c r="AU85" i="16"/>
  <c r="AU84" i="16"/>
  <c r="AU83" i="16"/>
  <c r="AU82" i="16"/>
  <c r="AU81" i="16"/>
  <c r="AU80" i="16"/>
  <c r="AU79" i="16"/>
  <c r="AU78" i="16"/>
  <c r="AU77" i="16"/>
  <c r="AU76" i="16"/>
  <c r="AU75" i="16"/>
  <c r="AU74" i="16"/>
  <c r="AU73" i="16"/>
  <c r="AU72" i="16"/>
  <c r="AU71" i="16"/>
  <c r="AU70" i="16"/>
  <c r="AU69" i="16"/>
  <c r="AU68" i="16"/>
  <c r="AU67" i="16"/>
  <c r="AU66" i="16"/>
  <c r="AU65" i="16"/>
  <c r="AU64" i="16"/>
  <c r="AU63" i="16"/>
  <c r="AU62" i="16"/>
  <c r="AU61" i="16"/>
  <c r="AU60" i="16"/>
  <c r="AU59" i="16"/>
  <c r="AU58" i="16"/>
  <c r="AU57" i="16"/>
  <c r="AU56" i="16"/>
  <c r="AU55" i="16"/>
  <c r="AU54" i="16"/>
  <c r="AU53" i="16"/>
  <c r="AU52" i="16"/>
  <c r="AU51" i="16"/>
  <c r="AU50" i="16"/>
  <c r="AU49" i="16"/>
  <c r="AU48" i="16"/>
  <c r="AU47" i="16"/>
  <c r="AU46" i="16"/>
  <c r="AU45" i="16"/>
  <c r="AU44" i="16"/>
  <c r="AU43" i="16"/>
  <c r="AU42" i="16"/>
  <c r="AU41" i="16"/>
  <c r="AU40" i="16"/>
  <c r="AU39" i="16"/>
  <c r="AU38" i="16"/>
  <c r="AU37" i="16"/>
  <c r="AU36" i="16"/>
  <c r="AU35" i="16"/>
  <c r="AU34" i="16"/>
  <c r="AU33" i="16"/>
  <c r="AU32" i="16"/>
  <c r="AU31" i="16"/>
  <c r="AU30" i="16"/>
  <c r="AU29" i="16"/>
  <c r="AU28" i="16"/>
  <c r="AU27" i="16"/>
  <c r="AU26" i="16"/>
  <c r="AU25" i="16"/>
  <c r="AU24" i="16"/>
  <c r="AU23" i="16"/>
  <c r="AU22" i="16"/>
  <c r="AU21" i="16"/>
  <c r="AU20" i="16"/>
  <c r="AU19" i="16"/>
  <c r="AU18" i="16"/>
  <c r="AU17" i="16"/>
  <c r="AU16" i="16"/>
  <c r="AU15" i="16"/>
  <c r="AU14" i="16"/>
  <c r="AU13" i="16"/>
  <c r="AU12" i="16"/>
  <c r="AU11" i="16"/>
  <c r="AU10" i="16"/>
  <c r="AU8" i="16"/>
  <c r="AU7" i="16"/>
  <c r="AU6" i="16"/>
  <c r="AU5" i="16"/>
  <c r="AU4" i="16"/>
  <c r="AT958" i="16"/>
  <c r="AT957" i="16"/>
  <c r="AT956" i="16"/>
  <c r="AT955" i="16"/>
  <c r="AT954" i="16"/>
  <c r="AT953" i="16"/>
  <c r="AT952" i="16"/>
  <c r="AT951" i="16"/>
  <c r="AT950" i="16"/>
  <c r="AT949" i="16"/>
  <c r="AT948" i="16"/>
  <c r="AT947" i="16"/>
  <c r="AT946" i="16"/>
  <c r="AT945" i="16"/>
  <c r="AT944" i="16"/>
  <c r="AT943" i="16"/>
  <c r="AT942" i="16"/>
  <c r="AT941" i="16"/>
  <c r="AT940" i="16"/>
  <c r="AT939" i="16"/>
  <c r="AT938" i="16"/>
  <c r="AT937" i="16"/>
  <c r="AT936" i="16"/>
  <c r="AT935" i="16"/>
  <c r="AT934" i="16"/>
  <c r="AT933" i="16"/>
  <c r="AT932" i="16"/>
  <c r="AT931" i="16"/>
  <c r="AT930" i="16"/>
  <c r="AT929" i="16"/>
  <c r="AT928" i="16"/>
  <c r="AT927" i="16"/>
  <c r="AT926" i="16"/>
  <c r="AT925" i="16"/>
  <c r="AT924" i="16"/>
  <c r="AT923" i="16"/>
  <c r="AT922" i="16"/>
  <c r="AT921" i="16"/>
  <c r="AT920" i="16"/>
  <c r="AT919" i="16"/>
  <c r="AT918" i="16"/>
  <c r="AT917" i="16"/>
  <c r="AT916" i="16"/>
  <c r="AT915" i="16"/>
  <c r="AT914" i="16"/>
  <c r="AT913" i="16"/>
  <c r="AT912" i="16"/>
  <c r="AT911" i="16"/>
  <c r="AT910" i="16"/>
  <c r="AT909" i="16"/>
  <c r="AT908" i="16"/>
  <c r="AT907" i="16"/>
  <c r="AT906" i="16"/>
  <c r="AT905" i="16"/>
  <c r="AT904" i="16"/>
  <c r="AT903" i="16"/>
  <c r="AT902" i="16"/>
  <c r="AT901" i="16"/>
  <c r="AT900" i="16"/>
  <c r="AT899" i="16"/>
  <c r="AT898" i="16"/>
  <c r="AT897" i="16"/>
  <c r="AT896" i="16"/>
  <c r="AT895" i="16"/>
  <c r="AT894" i="16"/>
  <c r="AT893" i="16"/>
  <c r="AT892" i="16"/>
  <c r="AT891" i="16"/>
  <c r="AT890" i="16"/>
  <c r="AT889" i="16"/>
  <c r="AT888" i="16"/>
  <c r="AT887" i="16"/>
  <c r="AT886" i="16"/>
  <c r="AT885" i="16"/>
  <c r="AT884" i="16"/>
  <c r="AT883" i="16"/>
  <c r="AT882" i="16"/>
  <c r="AT881" i="16"/>
  <c r="AT880" i="16"/>
  <c r="AT879" i="16"/>
  <c r="AT878" i="16"/>
  <c r="AT877" i="16"/>
  <c r="AT876" i="16"/>
  <c r="AT875" i="16"/>
  <c r="AT874" i="16"/>
  <c r="AT873" i="16"/>
  <c r="AT872" i="16"/>
  <c r="AT871" i="16"/>
  <c r="AT870" i="16"/>
  <c r="AT869" i="16"/>
  <c r="AT868" i="16"/>
  <c r="AT867" i="16"/>
  <c r="AT866" i="16"/>
  <c r="AT865" i="16"/>
  <c r="AT864" i="16"/>
  <c r="AT863" i="16"/>
  <c r="AT862" i="16"/>
  <c r="AT861" i="16"/>
  <c r="AT860" i="16"/>
  <c r="AT859" i="16"/>
  <c r="AT858" i="16"/>
  <c r="AT857" i="16"/>
  <c r="AT856" i="16"/>
  <c r="AT855" i="16"/>
  <c r="AT854" i="16"/>
  <c r="AT853" i="16"/>
  <c r="AT852" i="16"/>
  <c r="AT851" i="16"/>
  <c r="AT850" i="16"/>
  <c r="AT849" i="16"/>
  <c r="AT848" i="16"/>
  <c r="AT847" i="16"/>
  <c r="AT846" i="16"/>
  <c r="AT845" i="16"/>
  <c r="AT844" i="16"/>
  <c r="AT843" i="16"/>
  <c r="AT842" i="16"/>
  <c r="AT841" i="16"/>
  <c r="AT840" i="16"/>
  <c r="AT839" i="16"/>
  <c r="AT838" i="16"/>
  <c r="AT837" i="16"/>
  <c r="AT836" i="16"/>
  <c r="AT835" i="16"/>
  <c r="AT834" i="16"/>
  <c r="AT833" i="16"/>
  <c r="AS958" i="16"/>
  <c r="AS957" i="16"/>
  <c r="AS956" i="16"/>
  <c r="AS955" i="16"/>
  <c r="AS954" i="16"/>
  <c r="AS953" i="16"/>
  <c r="AS952" i="16"/>
  <c r="AS951" i="16"/>
  <c r="AS950" i="16"/>
  <c r="AS949" i="16"/>
  <c r="AS948" i="16"/>
  <c r="AS947" i="16"/>
  <c r="AS946" i="16"/>
  <c r="AS945" i="16"/>
  <c r="AS944" i="16"/>
  <c r="AS943" i="16"/>
  <c r="AS942" i="16"/>
  <c r="AS941" i="16"/>
  <c r="AS940" i="16"/>
  <c r="AS939" i="16"/>
  <c r="AS938" i="16"/>
  <c r="AS937" i="16"/>
  <c r="AS936" i="16"/>
  <c r="AS935" i="16"/>
  <c r="AS934" i="16"/>
  <c r="AS933" i="16"/>
  <c r="AS932" i="16"/>
  <c r="AS931" i="16"/>
  <c r="AS930" i="16"/>
  <c r="AS929" i="16"/>
  <c r="AS928" i="16"/>
  <c r="AS927" i="16"/>
  <c r="AS926" i="16"/>
  <c r="AS925" i="16"/>
  <c r="AS924" i="16"/>
  <c r="AS923" i="16"/>
  <c r="AS922" i="16"/>
  <c r="AS921" i="16"/>
  <c r="AS920" i="16"/>
  <c r="AS919" i="16"/>
  <c r="AS918" i="16"/>
  <c r="AS917" i="16"/>
  <c r="AS916" i="16"/>
  <c r="AS915" i="16"/>
  <c r="AS914" i="16"/>
  <c r="AS913" i="16"/>
  <c r="AS912" i="16"/>
  <c r="AS911" i="16"/>
  <c r="AS910" i="16"/>
  <c r="AS909" i="16"/>
  <c r="AS908" i="16"/>
  <c r="AS907" i="16"/>
  <c r="AS906" i="16"/>
  <c r="AS905" i="16"/>
  <c r="AS904" i="16"/>
  <c r="AS903" i="16"/>
  <c r="AS902" i="16"/>
  <c r="AS901" i="16"/>
  <c r="AS900" i="16"/>
  <c r="AS899" i="16"/>
  <c r="AS898" i="16"/>
  <c r="AS897" i="16"/>
  <c r="AS896" i="16"/>
  <c r="AS895" i="16"/>
  <c r="AS894" i="16"/>
  <c r="AS893" i="16"/>
  <c r="AS892" i="16"/>
  <c r="AS891" i="16"/>
  <c r="AS890" i="16"/>
  <c r="AS889" i="16"/>
  <c r="AS888" i="16"/>
  <c r="AS887" i="16"/>
  <c r="AS886" i="16"/>
  <c r="AS885" i="16"/>
  <c r="AS884" i="16"/>
  <c r="AS883" i="16"/>
  <c r="AS882" i="16"/>
  <c r="AS881" i="16"/>
  <c r="AS880" i="16"/>
  <c r="AS879" i="16"/>
  <c r="AS878" i="16"/>
  <c r="AS877" i="16"/>
  <c r="AS876" i="16"/>
  <c r="AS875" i="16"/>
  <c r="AS874" i="16"/>
  <c r="AS873" i="16"/>
  <c r="AS872" i="16"/>
  <c r="AS871" i="16"/>
  <c r="AS870" i="16"/>
  <c r="AS869" i="16"/>
  <c r="AS868" i="16"/>
  <c r="AS867" i="16"/>
  <c r="AS866" i="16"/>
  <c r="AS865" i="16"/>
  <c r="AS864" i="16"/>
  <c r="AS863" i="16"/>
  <c r="AS862" i="16"/>
  <c r="AS861" i="16"/>
  <c r="AS860" i="16"/>
  <c r="AS859" i="16"/>
  <c r="AS858" i="16"/>
  <c r="AS857" i="16"/>
  <c r="AS856" i="16"/>
  <c r="AS855" i="16"/>
  <c r="AS854" i="16"/>
  <c r="AS853" i="16"/>
  <c r="AS852" i="16"/>
  <c r="AS851" i="16"/>
  <c r="AS850" i="16"/>
  <c r="AS849" i="16"/>
  <c r="AS848" i="16"/>
  <c r="AS847" i="16"/>
  <c r="AS846" i="16"/>
  <c r="AS845" i="16"/>
  <c r="AS844" i="16"/>
  <c r="AS843" i="16"/>
  <c r="AS842" i="16"/>
  <c r="AS841" i="16"/>
  <c r="AS840" i="16"/>
  <c r="AS839" i="16"/>
  <c r="AS838" i="16"/>
  <c r="AS837" i="16"/>
  <c r="AS836" i="16"/>
  <c r="AS835" i="16"/>
  <c r="AS834" i="16"/>
  <c r="AS833" i="16"/>
  <c r="AR958" i="16"/>
  <c r="AR957" i="16"/>
  <c r="AR956" i="16"/>
  <c r="AR955" i="16"/>
  <c r="AR954" i="16"/>
  <c r="AR953" i="16"/>
  <c r="AR952" i="16"/>
  <c r="AR951" i="16"/>
  <c r="AR950" i="16"/>
  <c r="AR949" i="16"/>
  <c r="AR948" i="16"/>
  <c r="AR947" i="16"/>
  <c r="AR946" i="16"/>
  <c r="AR945" i="16"/>
  <c r="AR944" i="16"/>
  <c r="AR943" i="16"/>
  <c r="AR942" i="16"/>
  <c r="AR941" i="16"/>
  <c r="AR940" i="16"/>
  <c r="AR939" i="16"/>
  <c r="AR938" i="16"/>
  <c r="AR937" i="16"/>
  <c r="AR936" i="16"/>
  <c r="AR935" i="16"/>
  <c r="AR934" i="16"/>
  <c r="AR933" i="16"/>
  <c r="AR932" i="16"/>
  <c r="AR931" i="16"/>
  <c r="AR930" i="16"/>
  <c r="AR929" i="16"/>
  <c r="AR928" i="16"/>
  <c r="AR927" i="16"/>
  <c r="AR926" i="16"/>
  <c r="AR925" i="16"/>
  <c r="AR924" i="16"/>
  <c r="AR923" i="16"/>
  <c r="AR922" i="16"/>
  <c r="AR921" i="16"/>
  <c r="AR920" i="16"/>
  <c r="AR919" i="16"/>
  <c r="AR918" i="16"/>
  <c r="AR917" i="16"/>
  <c r="AR916" i="16"/>
  <c r="AR915" i="16"/>
  <c r="AR914" i="16"/>
  <c r="AR913" i="16"/>
  <c r="AR912" i="16"/>
  <c r="AR911" i="16"/>
  <c r="AR910" i="16"/>
  <c r="AR909" i="16"/>
  <c r="AR908" i="16"/>
  <c r="AR907" i="16"/>
  <c r="AR906" i="16"/>
  <c r="AR905" i="16"/>
  <c r="AR904" i="16"/>
  <c r="AR903" i="16"/>
  <c r="AR902" i="16"/>
  <c r="AR901" i="16"/>
  <c r="AR900" i="16"/>
  <c r="AR899" i="16"/>
  <c r="AR898" i="16"/>
  <c r="AR897" i="16"/>
  <c r="AR896" i="16"/>
  <c r="AR895" i="16"/>
  <c r="AR894" i="16"/>
  <c r="AR893" i="16"/>
  <c r="AR892" i="16"/>
  <c r="AR891" i="16"/>
  <c r="AR890" i="16"/>
  <c r="AR889" i="16"/>
  <c r="AR888" i="16"/>
  <c r="AR887" i="16"/>
  <c r="AR886" i="16"/>
  <c r="AR885" i="16"/>
  <c r="AR884" i="16"/>
  <c r="AR883" i="16"/>
  <c r="AR882" i="16"/>
  <c r="AR881" i="16"/>
  <c r="AR880" i="16"/>
  <c r="AR879" i="16"/>
  <c r="AR878" i="16"/>
  <c r="AR877" i="16"/>
  <c r="AR876" i="16"/>
  <c r="AR875" i="16"/>
  <c r="AR874" i="16"/>
  <c r="AR873" i="16"/>
  <c r="AR872" i="16"/>
  <c r="AR871" i="16"/>
  <c r="AR870" i="16"/>
  <c r="AR869" i="16"/>
  <c r="AR868" i="16"/>
  <c r="AR867" i="16"/>
  <c r="AR866" i="16"/>
  <c r="AR865" i="16"/>
  <c r="AR864" i="16"/>
  <c r="AR863" i="16"/>
  <c r="AR862" i="16"/>
  <c r="AR861" i="16"/>
  <c r="AR860" i="16"/>
  <c r="AR859" i="16"/>
  <c r="AR858" i="16"/>
  <c r="AR857" i="16"/>
  <c r="AR856" i="16"/>
  <c r="AR855" i="16"/>
  <c r="AR854" i="16"/>
  <c r="AR853" i="16"/>
  <c r="AR852" i="16"/>
  <c r="AR851" i="16"/>
  <c r="AR850" i="16"/>
  <c r="AR849" i="16"/>
  <c r="AR848" i="16"/>
  <c r="AR847" i="16"/>
  <c r="AR846" i="16"/>
  <c r="AR845" i="16"/>
  <c r="AR844" i="16"/>
  <c r="AR843" i="16"/>
  <c r="AR842" i="16"/>
  <c r="AR841" i="16"/>
  <c r="AR840" i="16"/>
  <c r="AR839" i="16"/>
  <c r="AR838" i="16"/>
  <c r="AR837" i="16"/>
  <c r="AR836" i="16"/>
  <c r="AR835" i="16"/>
  <c r="AR834" i="16"/>
  <c r="AR833" i="16"/>
  <c r="AR832" i="16"/>
  <c r="AR831" i="16"/>
  <c r="AR830" i="16"/>
  <c r="AR829" i="16"/>
  <c r="AR828" i="16"/>
  <c r="AR827" i="16"/>
  <c r="AR826" i="16"/>
  <c r="AR825" i="16"/>
  <c r="AR824" i="16"/>
  <c r="AR823" i="16"/>
  <c r="AR822" i="16"/>
  <c r="AR821" i="16"/>
  <c r="AR820" i="16"/>
  <c r="AR819" i="16"/>
  <c r="AR818" i="16"/>
  <c r="AR817" i="16"/>
  <c r="AR816" i="16"/>
  <c r="AR815" i="16"/>
  <c r="AR814" i="16"/>
  <c r="AR813" i="16"/>
  <c r="AR812" i="16"/>
  <c r="AR811" i="16"/>
  <c r="AR810" i="16"/>
  <c r="AR809" i="16"/>
  <c r="AR808" i="16"/>
  <c r="AR807" i="16"/>
  <c r="AR806" i="16"/>
  <c r="AR805" i="16"/>
  <c r="AR804" i="16"/>
  <c r="AR803" i="16"/>
  <c r="AR802" i="16"/>
  <c r="AR801" i="16"/>
  <c r="AR800" i="16"/>
  <c r="AR799" i="16"/>
  <c r="AR798" i="16"/>
  <c r="AR797" i="16"/>
  <c r="AR796" i="16"/>
  <c r="AR795" i="16"/>
  <c r="AR794" i="16"/>
  <c r="AR793" i="16"/>
  <c r="AR792" i="16"/>
  <c r="AR791" i="16"/>
  <c r="AR790" i="16"/>
  <c r="AR789" i="16"/>
  <c r="AR788" i="16"/>
  <c r="AR787" i="16"/>
  <c r="AR786" i="16"/>
  <c r="AR785" i="16"/>
  <c r="AR784" i="16"/>
  <c r="AR783" i="16"/>
  <c r="AR782" i="16"/>
  <c r="AR781" i="16"/>
  <c r="AR780" i="16"/>
  <c r="AR779" i="16"/>
  <c r="AR778" i="16"/>
  <c r="AR777" i="16"/>
  <c r="AR776" i="16"/>
  <c r="AR775" i="16"/>
  <c r="AR774" i="16"/>
  <c r="AR773" i="16"/>
  <c r="AR772" i="16"/>
  <c r="AR771" i="16"/>
  <c r="AR770" i="16"/>
  <c r="AR769" i="16"/>
  <c r="AR768" i="16"/>
  <c r="AR767" i="16"/>
  <c r="AR766" i="16"/>
  <c r="AR765" i="16"/>
  <c r="AR764" i="16"/>
  <c r="AR763" i="16"/>
  <c r="AR762" i="16"/>
  <c r="AR761" i="16"/>
  <c r="AR760" i="16"/>
  <c r="AR759" i="16"/>
  <c r="AR758" i="16"/>
  <c r="AR757" i="16"/>
  <c r="AR756" i="16"/>
  <c r="AR755" i="16"/>
  <c r="AR754" i="16"/>
  <c r="AR753" i="16"/>
  <c r="AR752" i="16"/>
  <c r="AR751" i="16"/>
  <c r="AR750" i="16"/>
  <c r="AR749" i="16"/>
  <c r="AR748" i="16"/>
  <c r="AR747" i="16"/>
  <c r="AR746" i="16"/>
  <c r="AR745" i="16"/>
  <c r="AR744" i="16"/>
  <c r="AR743" i="16"/>
  <c r="AR742" i="16"/>
  <c r="AR741" i="16"/>
  <c r="AR740" i="16"/>
  <c r="AR739" i="16"/>
  <c r="AR738" i="16"/>
  <c r="AR737" i="16"/>
  <c r="AR736" i="16"/>
  <c r="AR735" i="16"/>
  <c r="AR734" i="16"/>
  <c r="AR733" i="16"/>
  <c r="AR732" i="16"/>
  <c r="AR731" i="16"/>
  <c r="AR730" i="16"/>
  <c r="AR729" i="16"/>
  <c r="AR728" i="16"/>
  <c r="AR727" i="16"/>
  <c r="AR726" i="16"/>
  <c r="AR725" i="16"/>
  <c r="AR724" i="16"/>
  <c r="AR723" i="16"/>
  <c r="AR722" i="16"/>
  <c r="AR721" i="16"/>
  <c r="AR720" i="16"/>
  <c r="AR719" i="16"/>
  <c r="AR718" i="16"/>
  <c r="AR717" i="16"/>
  <c r="AR716" i="16"/>
  <c r="AR715" i="16"/>
  <c r="AR714" i="16"/>
  <c r="AR713" i="16"/>
  <c r="AR712" i="16"/>
  <c r="AR711" i="16"/>
  <c r="AR710" i="16"/>
  <c r="AR709" i="16"/>
  <c r="AR708" i="16"/>
  <c r="AR707" i="16"/>
  <c r="AR706" i="16"/>
  <c r="AR705" i="16"/>
  <c r="AR704" i="16"/>
  <c r="AR703" i="16"/>
  <c r="AR702" i="16"/>
  <c r="AR701" i="16"/>
  <c r="AR700" i="16"/>
  <c r="AR699" i="16"/>
  <c r="AR698" i="16"/>
  <c r="AR697" i="16"/>
  <c r="AR696" i="16"/>
  <c r="AR695" i="16"/>
  <c r="AR694" i="16"/>
  <c r="AR693" i="16"/>
  <c r="AR692" i="16"/>
  <c r="AR691" i="16"/>
  <c r="AR690" i="16"/>
  <c r="AR689" i="16"/>
  <c r="AR688" i="16"/>
  <c r="AR687" i="16"/>
  <c r="AR686" i="16"/>
  <c r="AR685" i="16"/>
  <c r="AR684" i="16"/>
  <c r="AR683" i="16"/>
  <c r="AR682" i="16"/>
  <c r="AR681" i="16"/>
  <c r="AR680" i="16"/>
  <c r="AR679" i="16"/>
  <c r="AR678" i="16"/>
  <c r="AR677" i="16"/>
  <c r="AR676" i="16"/>
  <c r="AR675" i="16"/>
  <c r="AR674" i="16"/>
  <c r="AR673" i="16"/>
  <c r="AR672" i="16"/>
  <c r="AR671" i="16"/>
  <c r="AR670" i="16"/>
  <c r="AR669" i="16"/>
  <c r="AR668" i="16"/>
  <c r="AR667" i="16"/>
  <c r="AR666" i="16"/>
  <c r="AR665" i="16"/>
  <c r="AR664" i="16"/>
  <c r="AR663" i="16"/>
  <c r="AR662" i="16"/>
  <c r="AR661" i="16"/>
  <c r="AR660" i="16"/>
  <c r="AR659" i="16"/>
  <c r="AR658" i="16"/>
  <c r="AR657" i="16"/>
  <c r="AR656" i="16"/>
  <c r="AR655" i="16"/>
  <c r="AR654" i="16"/>
  <c r="AR653" i="16"/>
  <c r="AR652" i="16"/>
  <c r="AR651" i="16"/>
  <c r="AR650" i="16"/>
  <c r="AR649" i="16"/>
  <c r="AR648" i="16"/>
  <c r="AR647" i="16"/>
  <c r="AR646" i="16"/>
  <c r="AR645" i="16"/>
  <c r="AR644" i="16"/>
  <c r="AR643" i="16"/>
  <c r="AR642" i="16"/>
  <c r="AR641" i="16"/>
  <c r="AR640" i="16"/>
  <c r="AR639" i="16"/>
  <c r="AR638" i="16"/>
  <c r="AR637" i="16"/>
  <c r="AR636" i="16"/>
  <c r="AR635" i="16"/>
  <c r="AR634" i="16"/>
  <c r="AR633" i="16"/>
  <c r="AR632" i="16"/>
  <c r="AR631" i="16"/>
  <c r="AR630" i="16"/>
  <c r="AR629" i="16"/>
  <c r="AR628" i="16"/>
  <c r="AR627" i="16"/>
  <c r="AR626" i="16"/>
  <c r="AR625" i="16"/>
  <c r="AR624" i="16"/>
  <c r="AR623" i="16"/>
  <c r="AR622" i="16"/>
  <c r="AR621" i="16"/>
  <c r="AR620" i="16"/>
  <c r="AR619" i="16"/>
  <c r="AR618" i="16"/>
  <c r="AR617" i="16"/>
  <c r="AR616" i="16"/>
  <c r="AR615" i="16"/>
  <c r="AR614" i="16"/>
  <c r="AR613" i="16"/>
  <c r="AR612" i="16"/>
  <c r="AR611" i="16"/>
  <c r="AR610" i="16"/>
  <c r="AR609" i="16"/>
  <c r="AR608" i="16"/>
  <c r="AR607" i="16"/>
  <c r="AR606" i="16"/>
  <c r="AR605" i="16"/>
  <c r="AR604" i="16"/>
  <c r="AR603" i="16"/>
  <c r="AR602" i="16"/>
  <c r="AR601" i="16"/>
  <c r="AR600" i="16"/>
  <c r="AR599" i="16"/>
  <c r="AR598" i="16"/>
  <c r="AR597" i="16"/>
  <c r="AR596" i="16"/>
  <c r="AR595" i="16"/>
  <c r="AR594" i="16"/>
  <c r="AR593" i="16"/>
  <c r="AR592" i="16"/>
  <c r="AR591" i="16"/>
  <c r="AR590" i="16"/>
  <c r="AR589" i="16"/>
  <c r="AR588" i="16"/>
  <c r="AR587" i="16"/>
  <c r="AR586" i="16"/>
  <c r="AR585" i="16"/>
  <c r="AR584" i="16"/>
  <c r="AR583" i="16"/>
  <c r="AR582" i="16"/>
  <c r="AR581" i="16"/>
  <c r="AR580" i="16"/>
  <c r="AR579" i="16"/>
  <c r="AR578" i="16"/>
  <c r="AR577" i="16"/>
  <c r="AR576" i="16"/>
  <c r="AR575" i="16"/>
  <c r="AR574" i="16"/>
  <c r="AR573" i="16"/>
  <c r="AR572" i="16"/>
  <c r="AR571" i="16"/>
  <c r="AR570" i="16"/>
  <c r="AR569" i="16"/>
  <c r="AR568" i="16"/>
  <c r="AR567" i="16"/>
  <c r="AR566" i="16"/>
  <c r="AR565" i="16"/>
  <c r="AR564" i="16"/>
  <c r="AR563" i="16"/>
  <c r="AR562" i="16"/>
  <c r="AR561" i="16"/>
  <c r="AR560" i="16"/>
  <c r="AR559" i="16"/>
  <c r="AR558" i="16"/>
  <c r="AR557" i="16"/>
  <c r="AR556" i="16"/>
  <c r="AR555" i="16"/>
  <c r="AR554" i="16"/>
  <c r="AR553" i="16"/>
  <c r="AR552" i="16"/>
  <c r="AR551" i="16"/>
  <c r="AR550" i="16"/>
  <c r="AR549" i="16"/>
  <c r="AR548" i="16"/>
  <c r="AR547" i="16"/>
  <c r="AR546" i="16"/>
  <c r="AR545" i="16"/>
  <c r="AR544" i="16"/>
  <c r="AR543" i="16"/>
  <c r="AR542" i="16"/>
  <c r="AR541" i="16"/>
  <c r="AR540" i="16"/>
  <c r="AR539" i="16"/>
  <c r="AR538" i="16"/>
  <c r="AR537" i="16"/>
  <c r="AR536" i="16"/>
  <c r="AR535" i="16"/>
  <c r="AR534" i="16"/>
  <c r="AR533" i="16"/>
  <c r="AR532" i="16"/>
  <c r="AR531" i="16"/>
  <c r="AR530" i="16"/>
  <c r="AR529" i="16"/>
  <c r="AR528" i="16"/>
  <c r="AR527" i="16"/>
  <c r="AR526" i="16"/>
  <c r="AR525" i="16"/>
  <c r="AR524" i="16"/>
  <c r="AR523" i="16"/>
  <c r="AR522" i="16"/>
  <c r="AR521" i="16"/>
  <c r="AR520" i="16"/>
  <c r="AR519" i="16"/>
  <c r="AR518" i="16"/>
  <c r="AR517" i="16"/>
  <c r="AR516" i="16"/>
  <c r="AR515" i="16"/>
  <c r="AR514" i="16"/>
  <c r="AR513" i="16"/>
  <c r="AR512" i="16"/>
  <c r="AR511" i="16"/>
  <c r="AR510" i="16"/>
  <c r="AR509" i="16"/>
  <c r="AR508" i="16"/>
  <c r="AR507" i="16"/>
  <c r="AR506" i="16"/>
  <c r="AR505" i="16"/>
  <c r="AR504" i="16"/>
  <c r="AR503" i="16"/>
  <c r="AR502" i="16"/>
  <c r="AR501" i="16"/>
  <c r="AR500" i="16"/>
  <c r="AR499" i="16"/>
  <c r="AR498" i="16"/>
  <c r="AR497" i="16"/>
  <c r="AR496" i="16"/>
  <c r="AR495" i="16"/>
  <c r="AR494" i="16"/>
  <c r="AR493" i="16"/>
  <c r="AR492" i="16"/>
  <c r="AR491" i="16"/>
  <c r="AR490" i="16"/>
  <c r="AR489" i="16"/>
  <c r="AR488" i="16"/>
  <c r="AR487" i="16"/>
  <c r="AR486" i="16"/>
  <c r="AR485" i="16"/>
  <c r="AR484" i="16"/>
  <c r="AR483" i="16"/>
  <c r="AR482" i="16"/>
  <c r="AR481" i="16"/>
  <c r="AR480" i="16"/>
  <c r="AR479" i="16"/>
  <c r="AR478" i="16"/>
  <c r="AR477" i="16"/>
  <c r="AR476" i="16"/>
  <c r="AR475" i="16"/>
  <c r="AR474" i="16"/>
  <c r="AR473" i="16"/>
  <c r="AR472" i="16"/>
  <c r="AR471" i="16"/>
  <c r="AR470" i="16"/>
  <c r="AR469" i="16"/>
  <c r="AR468" i="16"/>
  <c r="AR467" i="16"/>
  <c r="AR466" i="16"/>
  <c r="AR465" i="16"/>
  <c r="AR464" i="16"/>
  <c r="AR463" i="16"/>
  <c r="AR462" i="16"/>
  <c r="AR461" i="16"/>
  <c r="AR460" i="16"/>
  <c r="AR459" i="16"/>
  <c r="AR458" i="16"/>
  <c r="AR457" i="16"/>
  <c r="AR456" i="16"/>
  <c r="AR455" i="16"/>
  <c r="AR454" i="16"/>
  <c r="AR453" i="16"/>
  <c r="AR452" i="16"/>
  <c r="AR451" i="16"/>
  <c r="AR450" i="16"/>
  <c r="AR449" i="16"/>
  <c r="AR448" i="16"/>
  <c r="AR447" i="16"/>
  <c r="AR446" i="16"/>
  <c r="AR445" i="16"/>
  <c r="AR444" i="16"/>
  <c r="AR443" i="16"/>
  <c r="AR442" i="16"/>
  <c r="AR441" i="16"/>
  <c r="AR440" i="16"/>
  <c r="AR439" i="16"/>
  <c r="AR438" i="16"/>
  <c r="AR437" i="16"/>
  <c r="AR436" i="16"/>
  <c r="AR435" i="16"/>
  <c r="AR434" i="16"/>
  <c r="AR433" i="16"/>
  <c r="AR432" i="16"/>
  <c r="AR431" i="16"/>
  <c r="AR430" i="16"/>
  <c r="AR429" i="16"/>
  <c r="AR428" i="16"/>
  <c r="AR427" i="16"/>
  <c r="AR426" i="16"/>
  <c r="AR425" i="16"/>
  <c r="AR424" i="16"/>
  <c r="AR423" i="16"/>
  <c r="AR422" i="16"/>
  <c r="AR421" i="16"/>
  <c r="AR420" i="16"/>
  <c r="AR419" i="16"/>
  <c r="AR418" i="16"/>
  <c r="AR417" i="16"/>
  <c r="AR416" i="16"/>
  <c r="AR415" i="16"/>
  <c r="AR414" i="16"/>
  <c r="AR413" i="16"/>
  <c r="AR412" i="16"/>
  <c r="AR411" i="16"/>
  <c r="AR410" i="16"/>
  <c r="AR409" i="16"/>
  <c r="AR408" i="16"/>
  <c r="AR407" i="16"/>
  <c r="AR406" i="16"/>
  <c r="AR405" i="16"/>
  <c r="AR404" i="16"/>
  <c r="AR403" i="16"/>
  <c r="AR402" i="16"/>
  <c r="AR401" i="16"/>
  <c r="AR400" i="16"/>
  <c r="AR399" i="16"/>
  <c r="AR398" i="16"/>
  <c r="AR397" i="16"/>
  <c r="AR396" i="16"/>
  <c r="AR395" i="16"/>
  <c r="AR394" i="16"/>
  <c r="AR393" i="16"/>
  <c r="AR392" i="16"/>
  <c r="AR391" i="16"/>
  <c r="AR390" i="16"/>
  <c r="AR389" i="16"/>
  <c r="AR388" i="16"/>
  <c r="AR387" i="16"/>
  <c r="AR386" i="16"/>
  <c r="AR385" i="16"/>
  <c r="AR384" i="16"/>
  <c r="AR383" i="16"/>
  <c r="AR382" i="16"/>
  <c r="AR381" i="16"/>
  <c r="AR380" i="16"/>
  <c r="AR379" i="16"/>
  <c r="AR378" i="16"/>
  <c r="AR377" i="16"/>
  <c r="AR376" i="16"/>
  <c r="AR375" i="16"/>
  <c r="AR374" i="16"/>
  <c r="AR373" i="16"/>
  <c r="AR372" i="16"/>
  <c r="AR371" i="16"/>
  <c r="AR370" i="16"/>
  <c r="AR369" i="16"/>
  <c r="AR368" i="16"/>
  <c r="AR367" i="16"/>
  <c r="AR366" i="16"/>
  <c r="AR365" i="16"/>
  <c r="AR364" i="16"/>
  <c r="AR363" i="16"/>
  <c r="AR362" i="16"/>
  <c r="AR361" i="16"/>
  <c r="AR360" i="16"/>
  <c r="AR359" i="16"/>
  <c r="AR358" i="16"/>
  <c r="AR357" i="16"/>
  <c r="AR356" i="16"/>
  <c r="AR355" i="16"/>
  <c r="AR354" i="16"/>
  <c r="AR353" i="16"/>
  <c r="AR352" i="16"/>
  <c r="AR351" i="16"/>
  <c r="AR350" i="16"/>
  <c r="AR349" i="16"/>
  <c r="AR348" i="16"/>
  <c r="AR347" i="16"/>
  <c r="AR346" i="16"/>
  <c r="AR345" i="16"/>
  <c r="AR344" i="16"/>
  <c r="AR343" i="16"/>
  <c r="AR342" i="16"/>
  <c r="AR341" i="16"/>
  <c r="AR340" i="16"/>
  <c r="AR339" i="16"/>
  <c r="AR338" i="16"/>
  <c r="AR337" i="16"/>
  <c r="AR336" i="16"/>
  <c r="AR335" i="16"/>
  <c r="AR334" i="16"/>
  <c r="AR333" i="16"/>
  <c r="AR332" i="16"/>
  <c r="AR331" i="16"/>
  <c r="AR330" i="16"/>
  <c r="AR329" i="16"/>
  <c r="AR328" i="16"/>
  <c r="AR327" i="16"/>
  <c r="AR326" i="16"/>
  <c r="AR325" i="16"/>
  <c r="AR324" i="16"/>
  <c r="AR323" i="16"/>
  <c r="AR322" i="16"/>
  <c r="AR321" i="16"/>
  <c r="AR320" i="16"/>
  <c r="AR319" i="16"/>
  <c r="AR318" i="16"/>
  <c r="AR317" i="16"/>
  <c r="AR316" i="16"/>
  <c r="AR315" i="16"/>
  <c r="AR314" i="16"/>
  <c r="AR313" i="16"/>
  <c r="AR312" i="16"/>
  <c r="AR311" i="16"/>
  <c r="AR310" i="16"/>
  <c r="AR309" i="16"/>
  <c r="AR308" i="16"/>
  <c r="AR307" i="16"/>
  <c r="AR306" i="16"/>
  <c r="AR305" i="16"/>
  <c r="AR304" i="16"/>
  <c r="AR303" i="16"/>
  <c r="AR302" i="16"/>
  <c r="AR301" i="16"/>
  <c r="AR300" i="16"/>
  <c r="AR299" i="16"/>
  <c r="AR298" i="16"/>
  <c r="AR297" i="16"/>
  <c r="AR296" i="16"/>
  <c r="AR295" i="16"/>
  <c r="AR294" i="16"/>
  <c r="AR293" i="16"/>
  <c r="AR292" i="16"/>
  <c r="AR291" i="16"/>
  <c r="AR290" i="16"/>
  <c r="AR289" i="16"/>
  <c r="AR288" i="16"/>
  <c r="AR287" i="16"/>
  <c r="AR286" i="16"/>
  <c r="AR285" i="16"/>
  <c r="AR284" i="16"/>
  <c r="AR283" i="16"/>
  <c r="AR282" i="16"/>
  <c r="AR281" i="16"/>
  <c r="AR280" i="16"/>
  <c r="AR279" i="16"/>
  <c r="AR278" i="16"/>
  <c r="AR277" i="16"/>
  <c r="AR276" i="16"/>
  <c r="AR275" i="16"/>
  <c r="AR274" i="16"/>
  <c r="AR273" i="16"/>
  <c r="AR272" i="16"/>
  <c r="AR271" i="16"/>
  <c r="AR270" i="16"/>
  <c r="AR269" i="16"/>
  <c r="AR268" i="16"/>
  <c r="AR267" i="16"/>
  <c r="AR266" i="16"/>
  <c r="AR265" i="16"/>
  <c r="AR264" i="16"/>
  <c r="AR263" i="16"/>
  <c r="AR262" i="16"/>
  <c r="AR261" i="16"/>
  <c r="AR260" i="16"/>
  <c r="AR259" i="16"/>
  <c r="AR258" i="16"/>
  <c r="AR257" i="16"/>
  <c r="AR256" i="16"/>
  <c r="AR255" i="16"/>
  <c r="AR254" i="16"/>
  <c r="AR253" i="16"/>
  <c r="AR252" i="16"/>
  <c r="AR251" i="16"/>
  <c r="AR250" i="16"/>
  <c r="AR249" i="16"/>
  <c r="AR248" i="16"/>
  <c r="AR247" i="16"/>
  <c r="AR246" i="16"/>
  <c r="AR245" i="16"/>
  <c r="AR244" i="16"/>
  <c r="AR243" i="16"/>
  <c r="AR242" i="16"/>
  <c r="AR241" i="16"/>
  <c r="AR240" i="16"/>
  <c r="AR239" i="16"/>
  <c r="AR238" i="16"/>
  <c r="AR237" i="16"/>
  <c r="AR236" i="16"/>
  <c r="AR235" i="16"/>
  <c r="AR234" i="16"/>
  <c r="AR233" i="16"/>
  <c r="AR232" i="16"/>
  <c r="AR231" i="16"/>
  <c r="AR230" i="16"/>
  <c r="AR229" i="16"/>
  <c r="AR228" i="16"/>
  <c r="AR227" i="16"/>
  <c r="AR226" i="16"/>
  <c r="AR225" i="16"/>
  <c r="AR224" i="16"/>
  <c r="AR223" i="16"/>
  <c r="AR222" i="16"/>
  <c r="AR221" i="16"/>
  <c r="AR220" i="16"/>
  <c r="AR219" i="16"/>
  <c r="AR218" i="16"/>
  <c r="AR217" i="16"/>
  <c r="AR216" i="16"/>
  <c r="AR215" i="16"/>
  <c r="AR214" i="16"/>
  <c r="AR213" i="16"/>
  <c r="AR212" i="16"/>
  <c r="AR211" i="16"/>
  <c r="AR210" i="16"/>
  <c r="AR209" i="16"/>
  <c r="AR208" i="16"/>
  <c r="AR207" i="16"/>
  <c r="AR206" i="16"/>
  <c r="AR205" i="16"/>
  <c r="AR204" i="16"/>
  <c r="AR203" i="16"/>
  <c r="AR202" i="16"/>
  <c r="AR201" i="16"/>
  <c r="AR200" i="16"/>
  <c r="AR199" i="16"/>
  <c r="AR198" i="16"/>
  <c r="AR197" i="16"/>
  <c r="AR196" i="16"/>
  <c r="AR195" i="16"/>
  <c r="AR194" i="16"/>
  <c r="AR193" i="16"/>
  <c r="AR192" i="16"/>
  <c r="AR191" i="16"/>
  <c r="AR190" i="16"/>
  <c r="AR189" i="16"/>
  <c r="AR188" i="16"/>
  <c r="AR187" i="16"/>
  <c r="AR186" i="16"/>
  <c r="AR185" i="16"/>
  <c r="AR184" i="16"/>
  <c r="AR183" i="16"/>
  <c r="AR182" i="16"/>
  <c r="AR181" i="16"/>
  <c r="AR180" i="16"/>
  <c r="AR179" i="16"/>
  <c r="AR178" i="16"/>
  <c r="AR177" i="16"/>
  <c r="AR176" i="16"/>
  <c r="AR175" i="16"/>
  <c r="AR174" i="16"/>
  <c r="AR173" i="16"/>
  <c r="AR172" i="16"/>
  <c r="AR171" i="16"/>
  <c r="AR170" i="16"/>
  <c r="AR169" i="16"/>
  <c r="AR168" i="16"/>
  <c r="AR167" i="16"/>
  <c r="AR166" i="16"/>
  <c r="AR165" i="16"/>
  <c r="AR164" i="16"/>
  <c r="AR163" i="16"/>
  <c r="AR162" i="16"/>
  <c r="AR161" i="16"/>
  <c r="AR160" i="16"/>
  <c r="AR159" i="16"/>
  <c r="AR158" i="16"/>
  <c r="AR157" i="16"/>
  <c r="AR156" i="16"/>
  <c r="AR155" i="16"/>
  <c r="AR154" i="16"/>
  <c r="AR153" i="16"/>
  <c r="AR152" i="16"/>
  <c r="AR151" i="16"/>
  <c r="AR150" i="16"/>
  <c r="AR149" i="16"/>
  <c r="AR148" i="16"/>
  <c r="AR147" i="16"/>
  <c r="AR146" i="16"/>
  <c r="AR145" i="16"/>
  <c r="AR144" i="16"/>
  <c r="AR143" i="16"/>
  <c r="AR142" i="16"/>
  <c r="AR141" i="16"/>
  <c r="AR140" i="16"/>
  <c r="AR139" i="16"/>
  <c r="AR138" i="16"/>
  <c r="AR137" i="16"/>
  <c r="AR136" i="16"/>
  <c r="AR135" i="16"/>
  <c r="AR134" i="16"/>
  <c r="AR133" i="16"/>
  <c r="AR132" i="16"/>
  <c r="AR131" i="16"/>
  <c r="AR130" i="16"/>
  <c r="AR129" i="16"/>
  <c r="AR128" i="16"/>
  <c r="AR127" i="16"/>
  <c r="AR126" i="16"/>
  <c r="AR125" i="16"/>
  <c r="AR124" i="16"/>
  <c r="AR123" i="16"/>
  <c r="AR122" i="16"/>
  <c r="AR121" i="16"/>
  <c r="AR120" i="16"/>
  <c r="AR119" i="16"/>
  <c r="AR118" i="16"/>
  <c r="AR117" i="16"/>
  <c r="AR116" i="16"/>
  <c r="AR115" i="16"/>
  <c r="AR114" i="16"/>
  <c r="AR113" i="16"/>
  <c r="AR112" i="16"/>
  <c r="AR111" i="16"/>
  <c r="AR110" i="16"/>
  <c r="AR109" i="16"/>
  <c r="AR108" i="16"/>
  <c r="AR107" i="16"/>
  <c r="AR106" i="16"/>
  <c r="AR105" i="16"/>
  <c r="AR104" i="16"/>
  <c r="AR103" i="16"/>
  <c r="AR102" i="16"/>
  <c r="AR101" i="16"/>
  <c r="AR100" i="16"/>
  <c r="AR99" i="16"/>
  <c r="AR98" i="16"/>
  <c r="AR97" i="16"/>
  <c r="AR96" i="16"/>
  <c r="AR95" i="16"/>
  <c r="AR94" i="16"/>
  <c r="AR93" i="16"/>
  <c r="AR92" i="16"/>
  <c r="AR91" i="16"/>
  <c r="AR90" i="16"/>
  <c r="AR89" i="16"/>
  <c r="AR88" i="16"/>
  <c r="AR87" i="16"/>
  <c r="AR86" i="16"/>
  <c r="AR85" i="16"/>
  <c r="AR84" i="16"/>
  <c r="AR83" i="16"/>
  <c r="AR82" i="16"/>
  <c r="AR81" i="16"/>
  <c r="AR80" i="16"/>
  <c r="AR79" i="16"/>
  <c r="AR78" i="16"/>
  <c r="AR77" i="16"/>
  <c r="AR76" i="16"/>
  <c r="AR75" i="16"/>
  <c r="AR74" i="16"/>
  <c r="AR73" i="16"/>
  <c r="AR72" i="16"/>
  <c r="AR71" i="16"/>
  <c r="AR70" i="16"/>
  <c r="AR69" i="16"/>
  <c r="AR68" i="16"/>
  <c r="AR67" i="16"/>
  <c r="AR66" i="16"/>
  <c r="AR65" i="16"/>
  <c r="AR64" i="16"/>
  <c r="AR63" i="16"/>
  <c r="AR62" i="16"/>
  <c r="AR61" i="16"/>
  <c r="AR60" i="16"/>
  <c r="AR59" i="16"/>
  <c r="AR58" i="16"/>
  <c r="AR57" i="16"/>
  <c r="AR56" i="16"/>
  <c r="AR55" i="16"/>
  <c r="AR54" i="16"/>
  <c r="AR53" i="16"/>
  <c r="AR52" i="16"/>
  <c r="AR51" i="16"/>
  <c r="AR50" i="16"/>
  <c r="AR49" i="16"/>
  <c r="AR48" i="16"/>
  <c r="AR47" i="16"/>
  <c r="AR46" i="16"/>
  <c r="AR45" i="16"/>
  <c r="AR44" i="16"/>
  <c r="AR43" i="16"/>
  <c r="AR42" i="16"/>
  <c r="AR41" i="16"/>
  <c r="AR40" i="16"/>
  <c r="AR39" i="16"/>
  <c r="AR38" i="16"/>
  <c r="AR37" i="16"/>
  <c r="AR36" i="16"/>
  <c r="AR35" i="16"/>
  <c r="AR34" i="16"/>
  <c r="AR33" i="16"/>
  <c r="AR32" i="16"/>
  <c r="AR31" i="16"/>
  <c r="AR30" i="16"/>
  <c r="AR29" i="16"/>
  <c r="AR28" i="16"/>
  <c r="AR27" i="16"/>
  <c r="AR26" i="16"/>
  <c r="AR25" i="16"/>
  <c r="AR24" i="16"/>
  <c r="AR23" i="16"/>
  <c r="AR22" i="16"/>
  <c r="AR21" i="16"/>
  <c r="AR20" i="16"/>
  <c r="AR19" i="16"/>
  <c r="AR18" i="16"/>
  <c r="AR17" i="16"/>
  <c r="AR16" i="16"/>
  <c r="AR15" i="16"/>
  <c r="AR14" i="16"/>
  <c r="AR13" i="16"/>
  <c r="AR12" i="16"/>
  <c r="AR11" i="16"/>
  <c r="AR10" i="16"/>
  <c r="AR8" i="16"/>
  <c r="AR7" i="16"/>
  <c r="AR6" i="16"/>
  <c r="AR5" i="16"/>
  <c r="AR4" i="16"/>
  <c r="AM958" i="16"/>
  <c r="AM957" i="16"/>
  <c r="AM956" i="16"/>
  <c r="AM955" i="16"/>
  <c r="AM954" i="16"/>
  <c r="AM953" i="16"/>
  <c r="AM952" i="16"/>
  <c r="AM951" i="16"/>
  <c r="AM950" i="16"/>
  <c r="AM949" i="16"/>
  <c r="AM948" i="16"/>
  <c r="AM947" i="16"/>
  <c r="AM946" i="16"/>
  <c r="AM945" i="16"/>
  <c r="AM944" i="16"/>
  <c r="AM943" i="16"/>
  <c r="AM942" i="16"/>
  <c r="AM941" i="16"/>
  <c r="AM940" i="16"/>
  <c r="AM939" i="16"/>
  <c r="AM938" i="16"/>
  <c r="AM937" i="16"/>
  <c r="AM936" i="16"/>
  <c r="AM935" i="16"/>
  <c r="AM934" i="16"/>
  <c r="AM933" i="16"/>
  <c r="AM932" i="16"/>
  <c r="AM931" i="16"/>
  <c r="AM930" i="16"/>
  <c r="AM929" i="16"/>
  <c r="AM928" i="16"/>
  <c r="AM927" i="16"/>
  <c r="AM926" i="16"/>
  <c r="AM925" i="16"/>
  <c r="AM924" i="16"/>
  <c r="AM923" i="16"/>
  <c r="AM922" i="16"/>
  <c r="AM921" i="16"/>
  <c r="AM920" i="16"/>
  <c r="AM919" i="16"/>
  <c r="AM918" i="16"/>
  <c r="AM917" i="16"/>
  <c r="AM916" i="16"/>
  <c r="AM915" i="16"/>
  <c r="AM914" i="16"/>
  <c r="AM913" i="16"/>
  <c r="AM912" i="16"/>
  <c r="AM911" i="16"/>
  <c r="AM910" i="16"/>
  <c r="AM909" i="16"/>
  <c r="AM908" i="16"/>
  <c r="AM907" i="16"/>
  <c r="AM906" i="16"/>
  <c r="AM905" i="16"/>
  <c r="AM904" i="16"/>
  <c r="AM903" i="16"/>
  <c r="AM902" i="16"/>
  <c r="AM901" i="16"/>
  <c r="AM900" i="16"/>
  <c r="AM899" i="16"/>
  <c r="AM898" i="16"/>
  <c r="AM897" i="16"/>
  <c r="AM896" i="16"/>
  <c r="AM895" i="16"/>
  <c r="AM894" i="16"/>
  <c r="AM893" i="16"/>
  <c r="AM892" i="16"/>
  <c r="AM891" i="16"/>
  <c r="AM890" i="16"/>
  <c r="AM889" i="16"/>
  <c r="AM888" i="16"/>
  <c r="AM887" i="16"/>
  <c r="AM886" i="16"/>
  <c r="AM885" i="16"/>
  <c r="AM884" i="16"/>
  <c r="AM883" i="16"/>
  <c r="AM882" i="16"/>
  <c r="AM881" i="16"/>
  <c r="AM880" i="16"/>
  <c r="AM879" i="16"/>
  <c r="AM878" i="16"/>
  <c r="AM877" i="16"/>
  <c r="AM876" i="16"/>
  <c r="AM875" i="16"/>
  <c r="AM874" i="16"/>
  <c r="AM873" i="16"/>
  <c r="AM872" i="16"/>
  <c r="AM871" i="16"/>
  <c r="AM870" i="16"/>
  <c r="AM869" i="16"/>
  <c r="AM868" i="16"/>
  <c r="AM867" i="16"/>
  <c r="AM866" i="16"/>
  <c r="AM865" i="16"/>
  <c r="AM864" i="16"/>
  <c r="AM863" i="16"/>
  <c r="AM862" i="16"/>
  <c r="AM861" i="16"/>
  <c r="AM860" i="16"/>
  <c r="AM859" i="16"/>
  <c r="AM858" i="16"/>
  <c r="AM857" i="16"/>
  <c r="AM856" i="16"/>
  <c r="AM855" i="16"/>
  <c r="AM854" i="16"/>
  <c r="AM853" i="16"/>
  <c r="AM852" i="16"/>
  <c r="AM851" i="16"/>
  <c r="AM850" i="16"/>
  <c r="AM849" i="16"/>
  <c r="AM848" i="16"/>
  <c r="AM847" i="16"/>
  <c r="AM846" i="16"/>
  <c r="AM845" i="16"/>
  <c r="AM844" i="16"/>
  <c r="AM843" i="16"/>
  <c r="AM842" i="16"/>
  <c r="AM841" i="16"/>
  <c r="AM840" i="16"/>
  <c r="AM839" i="16"/>
  <c r="AM838" i="16"/>
  <c r="AM837" i="16"/>
  <c r="AM836" i="16"/>
  <c r="AM835" i="16"/>
  <c r="AM834" i="16"/>
  <c r="AM833" i="16"/>
  <c r="AL958" i="16"/>
  <c r="AL957" i="16"/>
  <c r="AL956" i="16"/>
  <c r="AL955" i="16"/>
  <c r="AL954" i="16"/>
  <c r="AL953" i="16"/>
  <c r="AL952" i="16"/>
  <c r="AL951" i="16"/>
  <c r="AL950" i="16"/>
  <c r="AL949" i="16"/>
  <c r="AL948" i="16"/>
  <c r="AL947" i="16"/>
  <c r="AL946" i="16"/>
  <c r="AL945" i="16"/>
  <c r="AL944" i="16"/>
  <c r="AL943" i="16"/>
  <c r="AL942" i="16"/>
  <c r="AL941" i="16"/>
  <c r="AL940" i="16"/>
  <c r="AL939" i="16"/>
  <c r="AL938" i="16"/>
  <c r="AL937" i="16"/>
  <c r="AL936" i="16"/>
  <c r="AL935" i="16"/>
  <c r="AL934" i="16"/>
  <c r="AL933" i="16"/>
  <c r="AL932" i="16"/>
  <c r="AL931" i="16"/>
  <c r="AL930" i="16"/>
  <c r="AL929" i="16"/>
  <c r="AL928" i="16"/>
  <c r="AL927" i="16"/>
  <c r="AL926" i="16"/>
  <c r="AL925" i="16"/>
  <c r="AL924" i="16"/>
  <c r="AL923" i="16"/>
  <c r="AL922" i="16"/>
  <c r="AL921" i="16"/>
  <c r="AL920" i="16"/>
  <c r="AL919" i="16"/>
  <c r="AL918" i="16"/>
  <c r="AL917" i="16"/>
  <c r="AL916" i="16"/>
  <c r="AL915" i="16"/>
  <c r="AL914" i="16"/>
  <c r="AL913" i="16"/>
  <c r="AL912" i="16"/>
  <c r="AL911" i="16"/>
  <c r="AL910" i="16"/>
  <c r="AL909" i="16"/>
  <c r="AL908" i="16"/>
  <c r="AL907" i="16"/>
  <c r="AL906" i="16"/>
  <c r="AL905" i="16"/>
  <c r="AL904" i="16"/>
  <c r="AL903" i="16"/>
  <c r="AL902" i="16"/>
  <c r="AL901" i="16"/>
  <c r="AL900" i="16"/>
  <c r="AL899" i="16"/>
  <c r="AL898" i="16"/>
  <c r="AL897" i="16"/>
  <c r="AL896" i="16"/>
  <c r="AL895" i="16"/>
  <c r="AL894" i="16"/>
  <c r="AL893" i="16"/>
  <c r="AL892" i="16"/>
  <c r="AL891" i="16"/>
  <c r="AL890" i="16"/>
  <c r="AL889" i="16"/>
  <c r="AL888" i="16"/>
  <c r="AL887" i="16"/>
  <c r="AL886" i="16"/>
  <c r="AL885" i="16"/>
  <c r="AL884" i="16"/>
  <c r="AL883" i="16"/>
  <c r="AL882" i="16"/>
  <c r="AL881" i="16"/>
  <c r="AL880" i="16"/>
  <c r="AL879" i="16"/>
  <c r="AL878" i="16"/>
  <c r="AL877" i="16"/>
  <c r="AL876" i="16"/>
  <c r="AL875" i="16"/>
  <c r="AL874" i="16"/>
  <c r="AL873" i="16"/>
  <c r="AL872" i="16"/>
  <c r="AL871" i="16"/>
  <c r="AL870" i="16"/>
  <c r="AL869" i="16"/>
  <c r="AL868" i="16"/>
  <c r="AL867" i="16"/>
  <c r="AL866" i="16"/>
  <c r="AL865" i="16"/>
  <c r="AL864" i="16"/>
  <c r="AL863" i="16"/>
  <c r="AL862" i="16"/>
  <c r="AL861" i="16"/>
  <c r="AL860" i="16"/>
  <c r="AL859" i="16"/>
  <c r="AL858" i="16"/>
  <c r="AL857" i="16"/>
  <c r="AL856" i="16"/>
  <c r="AL855" i="16"/>
  <c r="AL854" i="16"/>
  <c r="AL853" i="16"/>
  <c r="AL852" i="16"/>
  <c r="AL851" i="16"/>
  <c r="AL850" i="16"/>
  <c r="AL849" i="16"/>
  <c r="AL848" i="16"/>
  <c r="AL847" i="16"/>
  <c r="AL846" i="16"/>
  <c r="AL845" i="16"/>
  <c r="AL844" i="16"/>
  <c r="AL843" i="16"/>
  <c r="AL842" i="16"/>
  <c r="AL841" i="16"/>
  <c r="AL840" i="16"/>
  <c r="AL839" i="16"/>
  <c r="AL838" i="16"/>
  <c r="AL837" i="16"/>
  <c r="AL836" i="16"/>
  <c r="AL835" i="16"/>
  <c r="AL834" i="16"/>
  <c r="AL833" i="16"/>
  <c r="L485" i="10"/>
  <c r="L573" i="7" l="1"/>
  <c r="M573" i="7" s="1"/>
  <c r="L572" i="7"/>
  <c r="M572" i="7" s="1"/>
  <c r="L571" i="7"/>
  <c r="M571" i="7" s="1"/>
  <c r="L570" i="7"/>
  <c r="M570" i="7" s="1"/>
  <c r="L569" i="7"/>
  <c r="M569" i="7" s="1"/>
  <c r="L568" i="7"/>
  <c r="M568" i="7" s="1"/>
  <c r="L567" i="7"/>
  <c r="M567" i="7" s="1"/>
  <c r="L566" i="7"/>
  <c r="M566" i="7" s="1"/>
  <c r="L565" i="7"/>
  <c r="M565" i="7" s="1"/>
  <c r="L564" i="7"/>
  <c r="M564" i="7" s="1"/>
  <c r="L563" i="7"/>
  <c r="M563" i="7" s="1"/>
  <c r="L562" i="7"/>
  <c r="M562" i="7" s="1"/>
  <c r="L561" i="7"/>
  <c r="M561" i="7" s="1"/>
  <c r="L560" i="7"/>
  <c r="M560" i="7" s="1"/>
  <c r="L559" i="7"/>
  <c r="M559" i="7" s="1"/>
  <c r="L558" i="7"/>
  <c r="M558" i="7" s="1"/>
  <c r="L557" i="7"/>
  <c r="M557" i="7" s="1"/>
  <c r="L556" i="7"/>
  <c r="M556" i="7" s="1"/>
  <c r="L555" i="7"/>
  <c r="M555" i="7" s="1"/>
  <c r="L554" i="7"/>
  <c r="M554" i="7" s="1"/>
  <c r="L553" i="7"/>
  <c r="M553" i="7" s="1"/>
  <c r="L552" i="7"/>
  <c r="M552" i="7" s="1"/>
  <c r="L551" i="7"/>
  <c r="M551" i="7" s="1"/>
  <c r="L550" i="7"/>
  <c r="M550" i="7" s="1"/>
  <c r="L549" i="7"/>
  <c r="M549" i="7" s="1"/>
  <c r="L548" i="7"/>
  <c r="M548" i="7" s="1"/>
  <c r="L547" i="7" l="1"/>
  <c r="M547" i="7" s="1"/>
  <c r="L546" i="7"/>
  <c r="M546" i="7" s="1"/>
  <c r="L545" i="7"/>
  <c r="M545" i="7" s="1"/>
  <c r="L544" i="7"/>
  <c r="M544" i="7" s="1"/>
  <c r="L543" i="7"/>
  <c r="M543" i="7" s="1"/>
  <c r="L542" i="7"/>
  <c r="M542" i="7" s="1"/>
  <c r="L541" i="7"/>
  <c r="M541" i="7" s="1"/>
  <c r="L540" i="7"/>
  <c r="M540" i="7" s="1"/>
  <c r="L539" i="7"/>
  <c r="M539" i="7" s="1"/>
  <c r="L538" i="7"/>
  <c r="M538" i="7" s="1"/>
  <c r="L537" i="7"/>
  <c r="M537" i="7" s="1"/>
  <c r="L536" i="7"/>
  <c r="M536" i="7" s="1"/>
  <c r="L535" i="7"/>
  <c r="M535" i="7" s="1"/>
  <c r="L534" i="7"/>
  <c r="M534" i="7" s="1"/>
  <c r="L533" i="7"/>
  <c r="M533" i="7" s="1"/>
  <c r="L532" i="7"/>
  <c r="M532" i="7" s="1"/>
  <c r="L531" i="7"/>
  <c r="M531" i="7" s="1"/>
  <c r="L530" i="7"/>
  <c r="M530" i="7" s="1"/>
  <c r="L529" i="7"/>
  <c r="M529" i="7" s="1"/>
  <c r="L528" i="7"/>
  <c r="M528" i="7" s="1"/>
  <c r="L527" i="7"/>
  <c r="M527" i="7" s="1"/>
  <c r="L526" i="7"/>
  <c r="M526" i="7" s="1"/>
  <c r="L525" i="7"/>
  <c r="M525" i="7" s="1"/>
  <c r="L524" i="7"/>
  <c r="M524" i="7" s="1"/>
  <c r="AH31" i="8" l="1"/>
  <c r="AC31" i="8"/>
  <c r="AG31" i="8"/>
  <c r="AD31" i="8"/>
  <c r="Y31" i="8"/>
  <c r="AE31" i="8"/>
  <c r="I20" i="18"/>
  <c r="I21" i="18"/>
  <c r="I22" i="18"/>
  <c r="I23" i="18"/>
  <c r="C23" i="18"/>
  <c r="C22" i="18"/>
  <c r="C21" i="18"/>
  <c r="D20" i="18"/>
  <c r="D21" i="18"/>
  <c r="D22" i="18"/>
  <c r="D23" i="18"/>
  <c r="I13" i="18"/>
  <c r="C13" i="18"/>
  <c r="D13" i="18"/>
  <c r="I5" i="18"/>
  <c r="I6" i="18"/>
  <c r="I7" i="18"/>
  <c r="C7" i="18"/>
  <c r="C6" i="18"/>
  <c r="D5" i="18"/>
  <c r="D6" i="18"/>
  <c r="D7" i="18"/>
  <c r="H13" i="17"/>
  <c r="H14" i="17"/>
  <c r="H15" i="17"/>
  <c r="H16" i="17"/>
  <c r="H17" i="17"/>
  <c r="B16" i="17"/>
  <c r="B15" i="17"/>
  <c r="B14" i="17"/>
  <c r="C13" i="17"/>
  <c r="C14" i="17"/>
  <c r="C15" i="17"/>
  <c r="C16" i="17"/>
  <c r="B17" i="17"/>
  <c r="C17" i="17"/>
  <c r="AN31" i="8" l="1"/>
  <c r="AO31" i="8"/>
  <c r="AG32" i="8"/>
  <c r="Y32" i="8"/>
  <c r="AE32" i="8"/>
  <c r="AH32" i="8"/>
  <c r="AD32" i="8"/>
  <c r="AC32" i="8"/>
  <c r="I17" i="17"/>
  <c r="J23" i="18"/>
  <c r="I14" i="17"/>
  <c r="J13" i="18"/>
  <c r="J22" i="18"/>
  <c r="J21" i="18"/>
  <c r="I6" i="17"/>
  <c r="J20" i="18"/>
  <c r="F6" i="17"/>
  <c r="I7" i="17"/>
  <c r="I13" i="17"/>
  <c r="I16" i="17"/>
  <c r="J7" i="18"/>
  <c r="J6" i="18"/>
  <c r="I5" i="17"/>
  <c r="I15" i="17"/>
  <c r="J5" i="18"/>
  <c r="F5" i="17"/>
  <c r="F7" i="17"/>
  <c r="AO32" i="8" l="1"/>
  <c r="AN32" i="8"/>
  <c r="Y33" i="8"/>
  <c r="AG33" i="8"/>
  <c r="AD33" i="8"/>
  <c r="AC33" i="8"/>
  <c r="AH33" i="8"/>
  <c r="AE33" i="8"/>
  <c r="X4" i="8"/>
  <c r="L516" i="10"/>
  <c r="L523" i="7"/>
  <c r="M523" i="7" s="1"/>
  <c r="L522" i="7"/>
  <c r="M522" i="7" s="1"/>
  <c r="L521" i="7"/>
  <c r="M521" i="7" s="1"/>
  <c r="L520" i="7"/>
  <c r="M520" i="7" s="1"/>
  <c r="L519" i="7"/>
  <c r="M519" i="7" s="1"/>
  <c r="L518" i="7"/>
  <c r="M518" i="7" s="1"/>
  <c r="L517" i="7"/>
  <c r="M517" i="7" s="1"/>
  <c r="L516" i="7"/>
  <c r="M516" i="7" s="1"/>
  <c r="L515" i="7"/>
  <c r="M515" i="7" s="1"/>
  <c r="L514" i="7"/>
  <c r="M514" i="7" s="1"/>
  <c r="L513" i="7"/>
  <c r="M513" i="7" s="1"/>
  <c r="L512" i="7"/>
  <c r="M512" i="7" s="1"/>
  <c r="L511" i="7"/>
  <c r="M511" i="7" s="1"/>
  <c r="L510" i="7"/>
  <c r="M510" i="7" s="1"/>
  <c r="L509" i="7"/>
  <c r="M509" i="7" s="1"/>
  <c r="L508" i="7"/>
  <c r="M508" i="7" s="1"/>
  <c r="L507" i="7"/>
  <c r="M507" i="7" s="1"/>
  <c r="L506" i="7"/>
  <c r="M506" i="7" s="1"/>
  <c r="L505" i="7"/>
  <c r="M505" i="7" s="1"/>
  <c r="L504" i="7"/>
  <c r="M504" i="7" s="1"/>
  <c r="AA355" i="8" l="1"/>
  <c r="AA356" i="8"/>
  <c r="AA363" i="8"/>
  <c r="AA360" i="8"/>
  <c r="AA364" i="8"/>
  <c r="AA362" i="8"/>
  <c r="AA357" i="8"/>
  <c r="AA365" i="8"/>
  <c r="AA358" i="8"/>
  <c r="AA361" i="8"/>
  <c r="AA366" i="8"/>
  <c r="AA367" i="8"/>
  <c r="AA359" i="8"/>
  <c r="AA347" i="8"/>
  <c r="AA339" i="8"/>
  <c r="AA313" i="8"/>
  <c r="AA293" i="8"/>
  <c r="AA350" i="8"/>
  <c r="AA351" i="8"/>
  <c r="AA344" i="8"/>
  <c r="AA297" i="8"/>
  <c r="AA298" i="8"/>
  <c r="AA292" i="8"/>
  <c r="AA324" i="8"/>
  <c r="AA333" i="8"/>
  <c r="AA337" i="8"/>
  <c r="AA342" i="8"/>
  <c r="AA348" i="8"/>
  <c r="AA301" i="8"/>
  <c r="AA294" i="8"/>
  <c r="AA289" i="8"/>
  <c r="AA295" i="8"/>
  <c r="AA352" i="8"/>
  <c r="AA306" i="8"/>
  <c r="AA291" i="8"/>
  <c r="AA300" i="8"/>
  <c r="AA329" i="8"/>
  <c r="AA326" i="8"/>
  <c r="AA332" i="8"/>
  <c r="AA336" i="8"/>
  <c r="AA309" i="8"/>
  <c r="AA302" i="8"/>
  <c r="AA296" i="8"/>
  <c r="AA305" i="8"/>
  <c r="AA314" i="8"/>
  <c r="AA299" i="8"/>
  <c r="AA308" i="8"/>
  <c r="AA325" i="8"/>
  <c r="AA319" i="8"/>
  <c r="AA330" i="8"/>
  <c r="AA320" i="8"/>
  <c r="AA338" i="8"/>
  <c r="AA349" i="8"/>
  <c r="AA354" i="8"/>
  <c r="AA317" i="8"/>
  <c r="AA310" i="8"/>
  <c r="AA311" i="8"/>
  <c r="AA304" i="8"/>
  <c r="AA321" i="8"/>
  <c r="AA322" i="8"/>
  <c r="AA307" i="8"/>
  <c r="AA316" i="8"/>
  <c r="AA318" i="8"/>
  <c r="AA312" i="8"/>
  <c r="AA315" i="8"/>
  <c r="AA327" i="8"/>
  <c r="AA323" i="8"/>
  <c r="AA343" i="8"/>
  <c r="AA290" i="8"/>
  <c r="AA341" i="8"/>
  <c r="AA334" i="8"/>
  <c r="AA335" i="8"/>
  <c r="AA328" i="8"/>
  <c r="AA345" i="8"/>
  <c r="AA346" i="8"/>
  <c r="AA331" i="8"/>
  <c r="AA340" i="8"/>
  <c r="AA353" i="8"/>
  <c r="AA235" i="8"/>
  <c r="AA260" i="8"/>
  <c r="AA237" i="8"/>
  <c r="AA214" i="8"/>
  <c r="AA278" i="8"/>
  <c r="AA255" i="8"/>
  <c r="AA232" i="8"/>
  <c r="AA267" i="8"/>
  <c r="AA249" i="8"/>
  <c r="AA218" i="8"/>
  <c r="AA282" i="8"/>
  <c r="AA211" i="8"/>
  <c r="AA268" i="8"/>
  <c r="AA245" i="8"/>
  <c r="AA222" i="8"/>
  <c r="AA286" i="8"/>
  <c r="AA263" i="8"/>
  <c r="AA240" i="8"/>
  <c r="AA257" i="8"/>
  <c r="AA226" i="8"/>
  <c r="AA283" i="8"/>
  <c r="AA276" i="8"/>
  <c r="AA253" i="8"/>
  <c r="AA230" i="8"/>
  <c r="AA219" i="8"/>
  <c r="AA271" i="8"/>
  <c r="AA248" i="8"/>
  <c r="AA265" i="8"/>
  <c r="AA234" i="8"/>
  <c r="AA220" i="8"/>
  <c r="AA284" i="8"/>
  <c r="AA261" i="8"/>
  <c r="AA238" i="8"/>
  <c r="AA275" i="8"/>
  <c r="AA279" i="8"/>
  <c r="AA256" i="8"/>
  <c r="AA209" i="8"/>
  <c r="AA273" i="8"/>
  <c r="AA242" i="8"/>
  <c r="AA228" i="8"/>
  <c r="AA259" i="8"/>
  <c r="AA269" i="8"/>
  <c r="AA246" i="8"/>
  <c r="AA223" i="8"/>
  <c r="AA287" i="8"/>
  <c r="AA264" i="8"/>
  <c r="AA217" i="8"/>
  <c r="AA281" i="8"/>
  <c r="AA250" i="8"/>
  <c r="AA236" i="8"/>
  <c r="AA213" i="8"/>
  <c r="AA277" i="8"/>
  <c r="AA254" i="8"/>
  <c r="AA231" i="8"/>
  <c r="AA227" i="8"/>
  <c r="AA272" i="8"/>
  <c r="AA225" i="8"/>
  <c r="AA251" i="8"/>
  <c r="AA258" i="8"/>
  <c r="AA244" i="8"/>
  <c r="AA221" i="8"/>
  <c r="AA285" i="8"/>
  <c r="AA262" i="8"/>
  <c r="AA239" i="8"/>
  <c r="AA212" i="8"/>
  <c r="AA280" i="8"/>
  <c r="AA233" i="8"/>
  <c r="AA215" i="8"/>
  <c r="AA266" i="8"/>
  <c r="AA252" i="8"/>
  <c r="AA229" i="8"/>
  <c r="AA243" i="8"/>
  <c r="AA270" i="8"/>
  <c r="AA247" i="8"/>
  <c r="AA216" i="8"/>
  <c r="AA288" i="8"/>
  <c r="AA241" i="8"/>
  <c r="AA210" i="8"/>
  <c r="AA274" i="8"/>
  <c r="AA200" i="8"/>
  <c r="AA157" i="8"/>
  <c r="AA192" i="8"/>
  <c r="AA184" i="8"/>
  <c r="AA176" i="8"/>
  <c r="AA168" i="8"/>
  <c r="AA160" i="8"/>
  <c r="AA159" i="8"/>
  <c r="AA158" i="8"/>
  <c r="AA177" i="8"/>
  <c r="AA185" i="8"/>
  <c r="AA161" i="8"/>
  <c r="AA172" i="8"/>
  <c r="AA181" i="8"/>
  <c r="AA206" i="8"/>
  <c r="AA205" i="8"/>
  <c r="AA178" i="8"/>
  <c r="AA191" i="8"/>
  <c r="AA173" i="8"/>
  <c r="AA193" i="8"/>
  <c r="AA163" i="8"/>
  <c r="AA180" i="8"/>
  <c r="AA189" i="8"/>
  <c r="AA174" i="8"/>
  <c r="AA196" i="8"/>
  <c r="AA187" i="8"/>
  <c r="AA164" i="8"/>
  <c r="AA169" i="8"/>
  <c r="AA201" i="8"/>
  <c r="AA171" i="8"/>
  <c r="AA188" i="8"/>
  <c r="AA197" i="8"/>
  <c r="AA175" i="8"/>
  <c r="AA170" i="8"/>
  <c r="AA179" i="8"/>
  <c r="AA183" i="8"/>
  <c r="AA204" i="8"/>
  <c r="AA166" i="8"/>
  <c r="AA202" i="8"/>
  <c r="AA198" i="8"/>
  <c r="AA186" i="8"/>
  <c r="AA195" i="8"/>
  <c r="AA162" i="8"/>
  <c r="AA182" i="8"/>
  <c r="AA199" i="8"/>
  <c r="AA203" i="8"/>
  <c r="AA165" i="8"/>
  <c r="AA190" i="8"/>
  <c r="AA207" i="8"/>
  <c r="AA194" i="8"/>
  <c r="AA76" i="8"/>
  <c r="AA149" i="8"/>
  <c r="AA87" i="8"/>
  <c r="AA151" i="8"/>
  <c r="AA112" i="8"/>
  <c r="AA73" i="8"/>
  <c r="AA137" i="8"/>
  <c r="AA130" i="8"/>
  <c r="AA91" i="8"/>
  <c r="AA155" i="8"/>
  <c r="AA148" i="8"/>
  <c r="AA93" i="8"/>
  <c r="AA68" i="8"/>
  <c r="AA126" i="8"/>
  <c r="AA95" i="8"/>
  <c r="AA74" i="8"/>
  <c r="AA120" i="8"/>
  <c r="AA81" i="8"/>
  <c r="AA145" i="8"/>
  <c r="AA138" i="8"/>
  <c r="AA99" i="8"/>
  <c r="AA92" i="8"/>
  <c r="AA156" i="8"/>
  <c r="AA101" i="8"/>
  <c r="AA77" i="8"/>
  <c r="AA134" i="8"/>
  <c r="AA103" i="8"/>
  <c r="AA85" i="8"/>
  <c r="AA128" i="8"/>
  <c r="AA89" i="8"/>
  <c r="AA153" i="8"/>
  <c r="AA146" i="8"/>
  <c r="AA107" i="8"/>
  <c r="AA100" i="8"/>
  <c r="AA90" i="8"/>
  <c r="AA94" i="8"/>
  <c r="AA152" i="8"/>
  <c r="AA67" i="8"/>
  <c r="AA104" i="8"/>
  <c r="AA83" i="8"/>
  <c r="AA109" i="8"/>
  <c r="AA78" i="8"/>
  <c r="AA142" i="8"/>
  <c r="AA111" i="8"/>
  <c r="AA72" i="8"/>
  <c r="AA136" i="8"/>
  <c r="AA97" i="8"/>
  <c r="AA82" i="8"/>
  <c r="AA154" i="8"/>
  <c r="AA115" i="8"/>
  <c r="AA108" i="8"/>
  <c r="AA123" i="8"/>
  <c r="AA125" i="8"/>
  <c r="AA127" i="8"/>
  <c r="AA113" i="8"/>
  <c r="AA131" i="8"/>
  <c r="AA147" i="8"/>
  <c r="AA117" i="8"/>
  <c r="AA86" i="8"/>
  <c r="AA150" i="8"/>
  <c r="AA119" i="8"/>
  <c r="AA80" i="8"/>
  <c r="AA144" i="8"/>
  <c r="AA105" i="8"/>
  <c r="AA98" i="8"/>
  <c r="AA116" i="8"/>
  <c r="AA69" i="8"/>
  <c r="AA88" i="8"/>
  <c r="AA106" i="8"/>
  <c r="AA124" i="8"/>
  <c r="AA129" i="8"/>
  <c r="AA140" i="8"/>
  <c r="AA133" i="8"/>
  <c r="AA102" i="8"/>
  <c r="AA71" i="8"/>
  <c r="AA135" i="8"/>
  <c r="AA96" i="8"/>
  <c r="AA84" i="8"/>
  <c r="AA121" i="8"/>
  <c r="AA114" i="8"/>
  <c r="AA75" i="8"/>
  <c r="AA139" i="8"/>
  <c r="AA132" i="8"/>
  <c r="AA141" i="8"/>
  <c r="AA110" i="8"/>
  <c r="AA79" i="8"/>
  <c r="AA143" i="8"/>
  <c r="AA70" i="8"/>
  <c r="AA122" i="8"/>
  <c r="AA30" i="8"/>
  <c r="AA27" i="8"/>
  <c r="AA29" i="8"/>
  <c r="AA26" i="8"/>
  <c r="AA28" i="8"/>
  <c r="AA33" i="8"/>
  <c r="AO33" i="8"/>
  <c r="AN33" i="8"/>
  <c r="AA4" i="8"/>
  <c r="AA16" i="8"/>
  <c r="AA18" i="8"/>
  <c r="AA21" i="8"/>
  <c r="AA22" i="8"/>
  <c r="AA25" i="8"/>
  <c r="AA6" i="8"/>
  <c r="AA7" i="8"/>
  <c r="AA8" i="8"/>
  <c r="AA9" i="8"/>
  <c r="AA10" i="8"/>
  <c r="AA11" i="8"/>
  <c r="AA12" i="8"/>
  <c r="AA13" i="8"/>
  <c r="AA14" i="8"/>
  <c r="AA15" i="8"/>
  <c r="AA17" i="8"/>
  <c r="AA19" i="8"/>
  <c r="AA23" i="8"/>
  <c r="AA24" i="8"/>
  <c r="AA31" i="8"/>
  <c r="Y34" i="8"/>
  <c r="AH34" i="8"/>
  <c r="AG34" i="8"/>
  <c r="AD34" i="8"/>
  <c r="AC34" i="8"/>
  <c r="AE34" i="8"/>
  <c r="AA5" i="8"/>
  <c r="L503" i="7"/>
  <c r="M503" i="7" s="1"/>
  <c r="AG35" i="8" l="1"/>
  <c r="Y35" i="8"/>
  <c r="AH35" i="8"/>
  <c r="AC35" i="8"/>
  <c r="AE35" i="8"/>
  <c r="AD35" i="8"/>
  <c r="AA34" i="8"/>
  <c r="AN34" i="8"/>
  <c r="AO34" i="8"/>
  <c r="L457" i="7"/>
  <c r="M457" i="7" s="1"/>
  <c r="L450" i="7"/>
  <c r="M450" i="7" s="1"/>
  <c r="L444" i="7"/>
  <c r="M444" i="7" s="1"/>
  <c r="L432" i="7"/>
  <c r="M432" i="7" s="1"/>
  <c r="L425" i="7"/>
  <c r="M425" i="7" s="1"/>
  <c r="L411" i="7"/>
  <c r="M411" i="7" s="1"/>
  <c r="L401" i="7"/>
  <c r="M401" i="7" s="1"/>
  <c r="L393" i="7"/>
  <c r="M393" i="7" s="1"/>
  <c r="L387" i="7"/>
  <c r="M387" i="7" s="1"/>
  <c r="L384" i="7"/>
  <c r="M384" i="7" s="1"/>
  <c r="L383" i="7"/>
  <c r="M383" i="7" s="1"/>
  <c r="L382" i="7"/>
  <c r="M382" i="7" s="1"/>
  <c r="L381" i="7"/>
  <c r="M381" i="7" s="1"/>
  <c r="L380" i="7"/>
  <c r="M380" i="7" s="1"/>
  <c r="L379" i="7"/>
  <c r="M379" i="7" s="1"/>
  <c r="L378" i="7"/>
  <c r="M378" i="7" s="1"/>
  <c r="L377" i="7"/>
  <c r="M377" i="7" s="1"/>
  <c r="L364" i="7"/>
  <c r="M364" i="7" s="1"/>
  <c r="L363" i="7"/>
  <c r="M363" i="7" s="1"/>
  <c r="L362" i="7"/>
  <c r="M362" i="7" s="1"/>
  <c r="L361" i="7"/>
  <c r="M361" i="7" s="1"/>
  <c r="L353" i="7"/>
  <c r="M353" i="7" s="1"/>
  <c r="L352" i="7"/>
  <c r="M352" i="7" s="1"/>
  <c r="L351" i="7"/>
  <c r="M351" i="7" s="1"/>
  <c r="L350" i="7"/>
  <c r="M350" i="7" s="1"/>
  <c r="L349" i="7"/>
  <c r="M349" i="7" s="1"/>
  <c r="L348" i="7"/>
  <c r="M348" i="7" s="1"/>
  <c r="L347" i="7"/>
  <c r="M347" i="7" s="1"/>
  <c r="L346" i="7"/>
  <c r="M346" i="7" s="1"/>
  <c r="L345" i="7"/>
  <c r="M345" i="7" s="1"/>
  <c r="AA35" i="8" l="1"/>
  <c r="AO35" i="8"/>
  <c r="AN35" i="8"/>
  <c r="Y36" i="8"/>
  <c r="AC36" i="8"/>
  <c r="AE36" i="8"/>
  <c r="AG36" i="8"/>
  <c r="AD36" i="8"/>
  <c r="AH36" i="8"/>
  <c r="L359" i="7"/>
  <c r="M359" i="7" s="1"/>
  <c r="L405" i="7"/>
  <c r="M405" i="7" s="1"/>
  <c r="L409" i="7"/>
  <c r="M409" i="7" s="1"/>
  <c r="L421" i="7"/>
  <c r="M421" i="7" s="1"/>
  <c r="L433" i="7"/>
  <c r="M433" i="7" s="1"/>
  <c r="L441" i="7"/>
  <c r="M441" i="7" s="1"/>
  <c r="L445" i="7"/>
  <c r="M445" i="7" s="1"/>
  <c r="L449" i="7"/>
  <c r="M449" i="7" s="1"/>
  <c r="L465" i="7"/>
  <c r="M465" i="7" s="1"/>
  <c r="L434" i="7"/>
  <c r="M434" i="7" s="1"/>
  <c r="L367" i="7"/>
  <c r="M367" i="7" s="1"/>
  <c r="L371" i="7"/>
  <c r="M371" i="7" s="1"/>
  <c r="L438" i="7"/>
  <c r="M438" i="7" s="1"/>
  <c r="L470" i="7"/>
  <c r="M470" i="7" s="1"/>
  <c r="L442" i="7"/>
  <c r="M442" i="7" s="1"/>
  <c r="L344" i="7"/>
  <c r="M344" i="7" s="1"/>
  <c r="L357" i="7"/>
  <c r="M357" i="7" s="1"/>
  <c r="L365" i="7"/>
  <c r="M365" i="7" s="1"/>
  <c r="L369" i="7"/>
  <c r="M369" i="7" s="1"/>
  <c r="L373" i="7"/>
  <c r="M373" i="7" s="1"/>
  <c r="L385" i="7"/>
  <c r="M385" i="7" s="1"/>
  <c r="L417" i="7"/>
  <c r="M417" i="7" s="1"/>
  <c r="L391" i="7"/>
  <c r="M391" i="7" s="1"/>
  <c r="L395" i="7"/>
  <c r="M395" i="7" s="1"/>
  <c r="L399" i="7"/>
  <c r="M399" i="7" s="1"/>
  <c r="L403" i="7"/>
  <c r="M403" i="7" s="1"/>
  <c r="L407" i="7"/>
  <c r="M407" i="7" s="1"/>
  <c r="L415" i="7"/>
  <c r="M415" i="7" s="1"/>
  <c r="L419" i="7"/>
  <c r="M419" i="7" s="1"/>
  <c r="L423" i="7"/>
  <c r="M423" i="7" s="1"/>
  <c r="L427" i="7"/>
  <c r="M427" i="7" s="1"/>
  <c r="L431" i="7"/>
  <c r="M431" i="7" s="1"/>
  <c r="L461" i="7"/>
  <c r="M461" i="7" s="1"/>
  <c r="L389" i="7"/>
  <c r="M389" i="7" s="1"/>
  <c r="L356" i="7"/>
  <c r="M356" i="7" s="1"/>
  <c r="L360" i="7"/>
  <c r="M360" i="7" s="1"/>
  <c r="L368" i="7"/>
  <c r="M368" i="7" s="1"/>
  <c r="L372" i="7"/>
  <c r="M372" i="7" s="1"/>
  <c r="L376" i="7"/>
  <c r="M376" i="7" s="1"/>
  <c r="L375" i="7"/>
  <c r="M375" i="7" s="1"/>
  <c r="L413" i="7"/>
  <c r="M413" i="7" s="1"/>
  <c r="L386" i="7"/>
  <c r="M386" i="7" s="1"/>
  <c r="L390" i="7"/>
  <c r="M390" i="7" s="1"/>
  <c r="L394" i="7"/>
  <c r="M394" i="7" s="1"/>
  <c r="L398" i="7"/>
  <c r="M398" i="7" s="1"/>
  <c r="L402" i="7"/>
  <c r="M402" i="7" s="1"/>
  <c r="L406" i="7"/>
  <c r="M406" i="7" s="1"/>
  <c r="L410" i="7"/>
  <c r="M410" i="7" s="1"/>
  <c r="L414" i="7"/>
  <c r="M414" i="7" s="1"/>
  <c r="L418" i="7"/>
  <c r="M418" i="7" s="1"/>
  <c r="L422" i="7"/>
  <c r="M422" i="7" s="1"/>
  <c r="L426" i="7"/>
  <c r="M426" i="7" s="1"/>
  <c r="L430" i="7"/>
  <c r="M430" i="7" s="1"/>
  <c r="L446" i="7"/>
  <c r="M446" i="7" s="1"/>
  <c r="L454" i="7"/>
  <c r="M454" i="7" s="1"/>
  <c r="L458" i="7"/>
  <c r="M458" i="7" s="1"/>
  <c r="L462" i="7"/>
  <c r="M462" i="7" s="1"/>
  <c r="L354" i="7"/>
  <c r="M354" i="7" s="1"/>
  <c r="L366" i="7"/>
  <c r="M366" i="7" s="1"/>
  <c r="L370" i="7"/>
  <c r="M370" i="7" s="1"/>
  <c r="L374" i="7"/>
  <c r="M374" i="7" s="1"/>
  <c r="L355" i="7"/>
  <c r="M355" i="7" s="1"/>
  <c r="L397" i="7"/>
  <c r="M397" i="7" s="1"/>
  <c r="L429" i="7"/>
  <c r="M429" i="7" s="1"/>
  <c r="L388" i="7"/>
  <c r="M388" i="7" s="1"/>
  <c r="L392" i="7"/>
  <c r="M392" i="7" s="1"/>
  <c r="L396" i="7"/>
  <c r="M396" i="7" s="1"/>
  <c r="L400" i="7"/>
  <c r="M400" i="7" s="1"/>
  <c r="L404" i="7"/>
  <c r="M404" i="7" s="1"/>
  <c r="L408" i="7"/>
  <c r="M408" i="7" s="1"/>
  <c r="L412" i="7"/>
  <c r="M412" i="7" s="1"/>
  <c r="L416" i="7"/>
  <c r="M416" i="7" s="1"/>
  <c r="L420" i="7"/>
  <c r="M420" i="7" s="1"/>
  <c r="L424" i="7"/>
  <c r="M424" i="7" s="1"/>
  <c r="L428" i="7"/>
  <c r="M428" i="7" s="1"/>
  <c r="L436" i="7"/>
  <c r="M436" i="7" s="1"/>
  <c r="L440" i="7"/>
  <c r="M440" i="7" s="1"/>
  <c r="L448" i="7"/>
  <c r="M448" i="7" s="1"/>
  <c r="L452" i="7"/>
  <c r="M452" i="7" s="1"/>
  <c r="L456" i="7"/>
  <c r="M456" i="7" s="1"/>
  <c r="L460" i="7"/>
  <c r="M460" i="7" s="1"/>
  <c r="L464" i="7"/>
  <c r="M464" i="7" s="1"/>
  <c r="L468" i="7"/>
  <c r="M468" i="7" s="1"/>
  <c r="L472" i="7"/>
  <c r="M472" i="7" s="1"/>
  <c r="L466" i="7"/>
  <c r="M466" i="7" s="1"/>
  <c r="L453" i="7"/>
  <c r="M453" i="7" s="1"/>
  <c r="L437" i="7"/>
  <c r="M437" i="7" s="1"/>
  <c r="L469" i="7"/>
  <c r="M469" i="7" s="1"/>
  <c r="L439" i="7"/>
  <c r="M439" i="7" s="1"/>
  <c r="L447" i="7"/>
  <c r="M447" i="7" s="1"/>
  <c r="L455" i="7"/>
  <c r="M455" i="7" s="1"/>
  <c r="L463" i="7"/>
  <c r="M463" i="7" s="1"/>
  <c r="L471" i="7"/>
  <c r="M471" i="7" s="1"/>
  <c r="L358" i="7"/>
  <c r="M358" i="7" s="1"/>
  <c r="L435" i="7"/>
  <c r="M435" i="7" s="1"/>
  <c r="L443" i="7"/>
  <c r="M443" i="7" s="1"/>
  <c r="L451" i="7"/>
  <c r="M451" i="7" s="1"/>
  <c r="L459" i="7"/>
  <c r="M459" i="7" s="1"/>
  <c r="L467" i="7"/>
  <c r="M467" i="7" s="1"/>
  <c r="AA36" i="8" l="1"/>
  <c r="AN36" i="8"/>
  <c r="AO36" i="8"/>
  <c r="AC37" i="8"/>
  <c r="AG37" i="8"/>
  <c r="AE37" i="8"/>
  <c r="Y37" i="8"/>
  <c r="AD37" i="8"/>
  <c r="AH37" i="8"/>
  <c r="L51" i="16"/>
  <c r="L50" i="16"/>
  <c r="L49" i="16"/>
  <c r="L48" i="16"/>
  <c r="AA37" i="8" l="1"/>
  <c r="AO37" i="8"/>
  <c r="AN37" i="8"/>
  <c r="AC38" i="8"/>
  <c r="AG38" i="8"/>
  <c r="Y38" i="8"/>
  <c r="AE38" i="8"/>
  <c r="AH38" i="8"/>
  <c r="AD38" i="8"/>
  <c r="L40" i="16"/>
  <c r="L39" i="16"/>
  <c r="L38" i="16"/>
  <c r="L30" i="16"/>
  <c r="L29" i="16"/>
  <c r="L28" i="16"/>
  <c r="L27" i="16"/>
  <c r="L19" i="16"/>
  <c r="L18" i="16"/>
  <c r="L17" i="16"/>
  <c r="L16" i="16"/>
  <c r="L15" i="16"/>
  <c r="AA38" i="8" l="1"/>
  <c r="AN38" i="8"/>
  <c r="AO38" i="8"/>
  <c r="Y39" i="8"/>
  <c r="AH39" i="8"/>
  <c r="AE39" i="8"/>
  <c r="AD39" i="8"/>
  <c r="AC39" i="8"/>
  <c r="AG39" i="8"/>
  <c r="L518" i="10"/>
  <c r="L517" i="10"/>
  <c r="L515" i="10"/>
  <c r="L514" i="10"/>
  <c r="L513" i="10"/>
  <c r="L512" i="10"/>
  <c r="L511" i="10"/>
  <c r="L510" i="10"/>
  <c r="L509" i="10"/>
  <c r="L440" i="10"/>
  <c r="L439" i="10"/>
  <c r="L438" i="10"/>
  <c r="L437" i="10"/>
  <c r="L284" i="10"/>
  <c r="L283" i="10"/>
  <c r="L282" i="10"/>
  <c r="L281" i="10"/>
  <c r="L280" i="10"/>
  <c r="L279" i="10"/>
  <c r="L508" i="10"/>
  <c r="L507" i="10"/>
  <c r="L506" i="10"/>
  <c r="L505" i="10"/>
  <c r="L504" i="10"/>
  <c r="L503" i="10"/>
  <c r="L498" i="10"/>
  <c r="L502" i="10"/>
  <c r="L501" i="10"/>
  <c r="L500" i="10"/>
  <c r="L499" i="10"/>
  <c r="L471" i="10"/>
  <c r="L470" i="10"/>
  <c r="L469" i="10"/>
  <c r="L468" i="10"/>
  <c r="L467" i="10"/>
  <c r="L466" i="10"/>
  <c r="L465" i="10"/>
  <c r="L481" i="10"/>
  <c r="L480" i="10"/>
  <c r="L479" i="10"/>
  <c r="L491" i="10"/>
  <c r="L490" i="10"/>
  <c r="L489" i="10"/>
  <c r="L488" i="10"/>
  <c r="L487" i="10"/>
  <c r="L486" i="10"/>
  <c r="L497" i="10"/>
  <c r="L496" i="10"/>
  <c r="L495" i="10"/>
  <c r="L494" i="10"/>
  <c r="L493" i="10"/>
  <c r="L492" i="10"/>
  <c r="L460" i="10"/>
  <c r="L459" i="10"/>
  <c r="L458" i="10"/>
  <c r="L457" i="10"/>
  <c r="L484" i="10"/>
  <c r="L483" i="10"/>
  <c r="L482" i="10"/>
  <c r="L464" i="10"/>
  <c r="L463" i="10"/>
  <c r="L462" i="10"/>
  <c r="L461" i="10"/>
  <c r="L478" i="10"/>
  <c r="L477" i="10"/>
  <c r="L476" i="10"/>
  <c r="L475" i="10"/>
  <c r="L474" i="10"/>
  <c r="L473" i="10"/>
  <c r="L472" i="10"/>
  <c r="L456" i="10"/>
  <c r="L455" i="10"/>
  <c r="L454" i="10"/>
  <c r="L453" i="10"/>
  <c r="L378" i="10"/>
  <c r="L377" i="10"/>
  <c r="L444" i="10"/>
  <c r="L443" i="10"/>
  <c r="L452" i="10"/>
  <c r="L451" i="10"/>
  <c r="L450" i="10"/>
  <c r="L449" i="10"/>
  <c r="L432" i="10"/>
  <c r="L448" i="10"/>
  <c r="L447" i="10"/>
  <c r="L446" i="10"/>
  <c r="L445" i="10"/>
  <c r="L442" i="10"/>
  <c r="L441" i="10"/>
  <c r="L88" i="10"/>
  <c r="L436" i="10"/>
  <c r="L435" i="10"/>
  <c r="L434" i="10"/>
  <c r="L433" i="10"/>
  <c r="L431" i="10"/>
  <c r="L430" i="10"/>
  <c r="L421" i="10"/>
  <c r="L420" i="10"/>
  <c r="L419" i="10"/>
  <c r="L426" i="10"/>
  <c r="L425" i="10"/>
  <c r="L429" i="10"/>
  <c r="L428" i="10"/>
  <c r="L427" i="10"/>
  <c r="L424" i="10"/>
  <c r="L423" i="10"/>
  <c r="L422" i="10"/>
  <c r="Y40" i="8" l="1"/>
  <c r="AC40" i="8"/>
  <c r="AE40" i="8"/>
  <c r="AG40" i="8"/>
  <c r="AH40" i="8"/>
  <c r="AD40" i="8"/>
  <c r="AA39" i="8"/>
  <c r="AN39" i="8"/>
  <c r="AO39" i="8"/>
  <c r="L502" i="7"/>
  <c r="M502" i="7" s="1"/>
  <c r="L501" i="7"/>
  <c r="M501" i="7" s="1"/>
  <c r="L500" i="7"/>
  <c r="M500" i="7" s="1"/>
  <c r="L499" i="7"/>
  <c r="M499" i="7" s="1"/>
  <c r="L498" i="7"/>
  <c r="M498" i="7" s="1"/>
  <c r="L497" i="7"/>
  <c r="M497" i="7" s="1"/>
  <c r="L496" i="7"/>
  <c r="M496" i="7" s="1"/>
  <c r="L495" i="7"/>
  <c r="M495" i="7" s="1"/>
  <c r="L494" i="7"/>
  <c r="M494" i="7" s="1"/>
  <c r="L493" i="7"/>
  <c r="M493" i="7" s="1"/>
  <c r="L492" i="7"/>
  <c r="M492" i="7" s="1"/>
  <c r="L491" i="7"/>
  <c r="M491" i="7" s="1"/>
  <c r="L490" i="7"/>
  <c r="M490" i="7" s="1"/>
  <c r="L489" i="7"/>
  <c r="M489" i="7" s="1"/>
  <c r="L488" i="7"/>
  <c r="M488" i="7" s="1"/>
  <c r="L487" i="7"/>
  <c r="M487" i="7" s="1"/>
  <c r="L486" i="7"/>
  <c r="M486" i="7" s="1"/>
  <c r="L485" i="7"/>
  <c r="M485" i="7" s="1"/>
  <c r="L484" i="7"/>
  <c r="M484" i="7" s="1"/>
  <c r="L483" i="7"/>
  <c r="M483" i="7" s="1"/>
  <c r="L482" i="7"/>
  <c r="M482" i="7" s="1"/>
  <c r="L481" i="7"/>
  <c r="M481" i="7" s="1"/>
  <c r="L480" i="7"/>
  <c r="M480" i="7" s="1"/>
  <c r="L479" i="7"/>
  <c r="M479" i="7" s="1"/>
  <c r="L478" i="7"/>
  <c r="M478" i="7" s="1"/>
  <c r="L477" i="7"/>
  <c r="M477" i="7" s="1"/>
  <c r="L476" i="7"/>
  <c r="M476" i="7" s="1"/>
  <c r="L475" i="7"/>
  <c r="M475" i="7" s="1"/>
  <c r="L474" i="7"/>
  <c r="M474" i="7" s="1"/>
  <c r="L473" i="7"/>
  <c r="M473" i="7" s="1"/>
  <c r="Y41" i="8" l="1"/>
  <c r="AC41" i="8"/>
  <c r="AE41" i="8"/>
  <c r="AH41" i="8"/>
  <c r="AD41" i="8"/>
  <c r="AG41" i="8"/>
  <c r="AA40" i="8"/>
  <c r="AO40" i="8"/>
  <c r="AN40" i="8"/>
  <c r="L343" i="7"/>
  <c r="M343" i="7" s="1"/>
  <c r="L342" i="7"/>
  <c r="M342" i="7" s="1"/>
  <c r="L341" i="7"/>
  <c r="M341" i="7" s="1"/>
  <c r="L340" i="7"/>
  <c r="M340" i="7" s="1"/>
  <c r="L339" i="7"/>
  <c r="M339" i="7" s="1"/>
  <c r="L338" i="7"/>
  <c r="M338" i="7" s="1"/>
  <c r="L337" i="7"/>
  <c r="M337" i="7" s="1"/>
  <c r="L336" i="7"/>
  <c r="M336" i="7" s="1"/>
  <c r="L335" i="7"/>
  <c r="M335" i="7" s="1"/>
  <c r="L334" i="7"/>
  <c r="M334" i="7" s="1"/>
  <c r="L333" i="7"/>
  <c r="M333" i="7" s="1"/>
  <c r="L332" i="7"/>
  <c r="M332" i="7" s="1"/>
  <c r="L331" i="7"/>
  <c r="M331" i="7" s="1"/>
  <c r="L330" i="7"/>
  <c r="M330" i="7" s="1"/>
  <c r="L329" i="7"/>
  <c r="M329" i="7" s="1"/>
  <c r="L328" i="7"/>
  <c r="M328" i="7" s="1"/>
  <c r="L327" i="7"/>
  <c r="M327" i="7" s="1"/>
  <c r="L326" i="7"/>
  <c r="M326" i="7" s="1"/>
  <c r="L325" i="7"/>
  <c r="M325" i="7" s="1"/>
  <c r="L324" i="7"/>
  <c r="M324" i="7" s="1"/>
  <c r="L323" i="7"/>
  <c r="M323" i="7" s="1"/>
  <c r="L322" i="7"/>
  <c r="M322" i="7" s="1"/>
  <c r="L321" i="7"/>
  <c r="M321" i="7" s="1"/>
  <c r="L320" i="7"/>
  <c r="M320" i="7" s="1"/>
  <c r="L319" i="7"/>
  <c r="M319" i="7" s="1"/>
  <c r="L318" i="7"/>
  <c r="M318" i="7" s="1"/>
  <c r="L317" i="7"/>
  <c r="M317" i="7" s="1"/>
  <c r="L316" i="7"/>
  <c r="M316" i="7" s="1"/>
  <c r="L315" i="7"/>
  <c r="M315" i="7" s="1"/>
  <c r="L314" i="7"/>
  <c r="M314" i="7" s="1"/>
  <c r="L313" i="7"/>
  <c r="M313" i="7" s="1"/>
  <c r="L312" i="7"/>
  <c r="M312" i="7" s="1"/>
  <c r="L311" i="7"/>
  <c r="M311" i="7" s="1"/>
  <c r="L310" i="7"/>
  <c r="M310" i="7" s="1"/>
  <c r="L309" i="7"/>
  <c r="M309" i="7" s="1"/>
  <c r="L308" i="7"/>
  <c r="M308" i="7" s="1"/>
  <c r="L307" i="7"/>
  <c r="M307" i="7" s="1"/>
  <c r="L306" i="7"/>
  <c r="M306" i="7" s="1"/>
  <c r="L305" i="7"/>
  <c r="M305" i="7" s="1"/>
  <c r="L304" i="7"/>
  <c r="M304" i="7" s="1"/>
  <c r="L303" i="7"/>
  <c r="M303" i="7" s="1"/>
  <c r="L302" i="7"/>
  <c r="M302" i="7" s="1"/>
  <c r="L301" i="7"/>
  <c r="M301" i="7" s="1"/>
  <c r="L300" i="7"/>
  <c r="M300" i="7" s="1"/>
  <c r="L299" i="7"/>
  <c r="M299" i="7" s="1"/>
  <c r="L298" i="7"/>
  <c r="M298" i="7" s="1"/>
  <c r="L297" i="7"/>
  <c r="M297" i="7" s="1"/>
  <c r="L296" i="7"/>
  <c r="M296" i="7" s="1"/>
  <c r="L295" i="7"/>
  <c r="M295" i="7" s="1"/>
  <c r="L294" i="7"/>
  <c r="M294" i="7" s="1"/>
  <c r="AC42" i="8" l="1"/>
  <c r="AE42" i="8"/>
  <c r="AH42" i="8"/>
  <c r="Y42" i="8"/>
  <c r="AG42" i="8"/>
  <c r="AD42" i="8"/>
  <c r="AA41" i="8"/>
  <c r="AN41" i="8"/>
  <c r="AO41" i="8"/>
  <c r="L293" i="7"/>
  <c r="M293" i="7" s="1"/>
  <c r="L292" i="7"/>
  <c r="M292" i="7" s="1"/>
  <c r="L291" i="7"/>
  <c r="M291" i="7" s="1"/>
  <c r="L290" i="7"/>
  <c r="M290" i="7" s="1"/>
  <c r="L289" i="7"/>
  <c r="M289" i="7" s="1"/>
  <c r="L288" i="7"/>
  <c r="M288" i="7" s="1"/>
  <c r="L287" i="7"/>
  <c r="M287" i="7" s="1"/>
  <c r="L286" i="7"/>
  <c r="M286" i="7" s="1"/>
  <c r="L285" i="7"/>
  <c r="M285" i="7" s="1"/>
  <c r="L284" i="7"/>
  <c r="M284" i="7" s="1"/>
  <c r="L283" i="7"/>
  <c r="M283" i="7" s="1"/>
  <c r="L282" i="7"/>
  <c r="M282" i="7" s="1"/>
  <c r="L281" i="7"/>
  <c r="M281" i="7" s="1"/>
  <c r="L280" i="7"/>
  <c r="M280" i="7" s="1"/>
  <c r="L279" i="7"/>
  <c r="M279" i="7" s="1"/>
  <c r="L277" i="7"/>
  <c r="M277" i="7" s="1"/>
  <c r="L276" i="7"/>
  <c r="M276" i="7" s="1"/>
  <c r="L275" i="7"/>
  <c r="M275" i="7" s="1"/>
  <c r="L274" i="7"/>
  <c r="M274" i="7" s="1"/>
  <c r="L273" i="7"/>
  <c r="M273" i="7" s="1"/>
  <c r="L272" i="7"/>
  <c r="M272" i="7" s="1"/>
  <c r="L271" i="7"/>
  <c r="M271" i="7" s="1"/>
  <c r="L270" i="7"/>
  <c r="M270" i="7" s="1"/>
  <c r="L269" i="7"/>
  <c r="M269" i="7" s="1"/>
  <c r="L268" i="7"/>
  <c r="M268" i="7" s="1"/>
  <c r="L267" i="7"/>
  <c r="M267" i="7" s="1"/>
  <c r="L266" i="7"/>
  <c r="M266" i="7" s="1"/>
  <c r="L265" i="7"/>
  <c r="M265" i="7" s="1"/>
  <c r="L264" i="7"/>
  <c r="M264" i="7" s="1"/>
  <c r="L263" i="7"/>
  <c r="M263" i="7" s="1"/>
  <c r="L261" i="7"/>
  <c r="M261" i="7" s="1"/>
  <c r="L260" i="7"/>
  <c r="M260" i="7" s="1"/>
  <c r="L259" i="7"/>
  <c r="M259" i="7" s="1"/>
  <c r="L258" i="7"/>
  <c r="M258" i="7" s="1"/>
  <c r="L257" i="7"/>
  <c r="M257" i="7" s="1"/>
  <c r="L256" i="7"/>
  <c r="M256" i="7" s="1"/>
  <c r="L255" i="7"/>
  <c r="M255" i="7" s="1"/>
  <c r="L253" i="7"/>
  <c r="M253" i="7" s="1"/>
  <c r="L252" i="7"/>
  <c r="M252" i="7" s="1"/>
  <c r="L251" i="7"/>
  <c r="M251" i="7" s="1"/>
  <c r="L250" i="7"/>
  <c r="M250" i="7" s="1"/>
  <c r="L249" i="7"/>
  <c r="M249" i="7" s="1"/>
  <c r="L248" i="7"/>
  <c r="M248" i="7" s="1"/>
  <c r="L247" i="7"/>
  <c r="M247" i="7" s="1"/>
  <c r="L246" i="7"/>
  <c r="M246" i="7" s="1"/>
  <c r="L245" i="7"/>
  <c r="M245" i="7" s="1"/>
  <c r="L244" i="7"/>
  <c r="M244" i="7" s="1"/>
  <c r="L243" i="7"/>
  <c r="M243" i="7" s="1"/>
  <c r="L242" i="7"/>
  <c r="M242" i="7" s="1"/>
  <c r="L241" i="7"/>
  <c r="M241" i="7" s="1"/>
  <c r="L240" i="7"/>
  <c r="M240" i="7" s="1"/>
  <c r="L239" i="7"/>
  <c r="M239" i="7" s="1"/>
  <c r="L238" i="7"/>
  <c r="M238" i="7" s="1"/>
  <c r="L237" i="7"/>
  <c r="M237" i="7" s="1"/>
  <c r="L236" i="7"/>
  <c r="M236" i="7" s="1"/>
  <c r="L235" i="7"/>
  <c r="M235" i="7" s="1"/>
  <c r="L234" i="7"/>
  <c r="M234" i="7" s="1"/>
  <c r="L233" i="7"/>
  <c r="M233" i="7" s="1"/>
  <c r="L232" i="7"/>
  <c r="M232" i="7" s="1"/>
  <c r="L231" i="7"/>
  <c r="M231" i="7" s="1"/>
  <c r="L230" i="7"/>
  <c r="M230" i="7" s="1"/>
  <c r="L229" i="7"/>
  <c r="M229" i="7" s="1"/>
  <c r="L228" i="7"/>
  <c r="M228" i="7" s="1"/>
  <c r="L227" i="7"/>
  <c r="M227" i="7" s="1"/>
  <c r="L226" i="7"/>
  <c r="M226" i="7" s="1"/>
  <c r="L225" i="7"/>
  <c r="M225" i="7" s="1"/>
  <c r="L224" i="7"/>
  <c r="M224" i="7" s="1"/>
  <c r="L223" i="7"/>
  <c r="M223" i="7" s="1"/>
  <c r="L222" i="7"/>
  <c r="M222" i="7" s="1"/>
  <c r="L221" i="7"/>
  <c r="M221" i="7" s="1"/>
  <c r="L220" i="7"/>
  <c r="M220" i="7" s="1"/>
  <c r="L219" i="7"/>
  <c r="M219" i="7" s="1"/>
  <c r="L218" i="7"/>
  <c r="M218" i="7" s="1"/>
  <c r="L217" i="7"/>
  <c r="M217" i="7" s="1"/>
  <c r="L216" i="7"/>
  <c r="M216" i="7" s="1"/>
  <c r="L215" i="7"/>
  <c r="M215" i="7" s="1"/>
  <c r="L214" i="7"/>
  <c r="M214" i="7" s="1"/>
  <c r="L213" i="7"/>
  <c r="M213" i="7" s="1"/>
  <c r="L212" i="7"/>
  <c r="M212" i="7" s="1"/>
  <c r="L211" i="7"/>
  <c r="M211" i="7" s="1"/>
  <c r="L210" i="7"/>
  <c r="M210" i="7" s="1"/>
  <c r="L209" i="7"/>
  <c r="M209" i="7" s="1"/>
  <c r="L207" i="7"/>
  <c r="M207" i="7" s="1"/>
  <c r="L206" i="7"/>
  <c r="M206" i="7" s="1"/>
  <c r="L205" i="7"/>
  <c r="M205" i="7" s="1"/>
  <c r="L204" i="7"/>
  <c r="M204" i="7" s="1"/>
  <c r="L203" i="7"/>
  <c r="M203" i="7" s="1"/>
  <c r="L202" i="7"/>
  <c r="M202" i="7" s="1"/>
  <c r="L201" i="7"/>
  <c r="M201" i="7" s="1"/>
  <c r="L200" i="7"/>
  <c r="M200" i="7" s="1"/>
  <c r="L199" i="7"/>
  <c r="M199" i="7" s="1"/>
  <c r="L198" i="7"/>
  <c r="M198" i="7" s="1"/>
  <c r="L197" i="7"/>
  <c r="M197" i="7" s="1"/>
  <c r="L196" i="7"/>
  <c r="M196" i="7" s="1"/>
  <c r="L195" i="7"/>
  <c r="M195" i="7" s="1"/>
  <c r="L194" i="7"/>
  <c r="M194" i="7" s="1"/>
  <c r="L193" i="7"/>
  <c r="M193" i="7" s="1"/>
  <c r="L192" i="7"/>
  <c r="M192" i="7" s="1"/>
  <c r="L191" i="7"/>
  <c r="M191" i="7" s="1"/>
  <c r="L190" i="7"/>
  <c r="M190" i="7" s="1"/>
  <c r="L189" i="7"/>
  <c r="M189" i="7" s="1"/>
  <c r="L188" i="7"/>
  <c r="M188" i="7" s="1"/>
  <c r="L187" i="7"/>
  <c r="M187" i="7" s="1"/>
  <c r="L186" i="7"/>
  <c r="M186" i="7" s="1"/>
  <c r="L185" i="7"/>
  <c r="M185" i="7" s="1"/>
  <c r="L184" i="7"/>
  <c r="M184" i="7" s="1"/>
  <c r="L183" i="7"/>
  <c r="M183" i="7" s="1"/>
  <c r="L182" i="7"/>
  <c r="M182" i="7" s="1"/>
  <c r="L181" i="7"/>
  <c r="M181" i="7" s="1"/>
  <c r="L180" i="7"/>
  <c r="M180" i="7" s="1"/>
  <c r="L179" i="7"/>
  <c r="M179" i="7" s="1"/>
  <c r="L178" i="7"/>
  <c r="M178" i="7" s="1"/>
  <c r="L173" i="7"/>
  <c r="M173" i="7" s="1"/>
  <c r="L172" i="7"/>
  <c r="M172" i="7" s="1"/>
  <c r="L171" i="7"/>
  <c r="M171" i="7" s="1"/>
  <c r="L170" i="7"/>
  <c r="M170" i="7" s="1"/>
  <c r="L169" i="7"/>
  <c r="M169" i="7" s="1"/>
  <c r="L168" i="7"/>
  <c r="M168" i="7" s="1"/>
  <c r="L167" i="7"/>
  <c r="M167" i="7" s="1"/>
  <c r="L166" i="7"/>
  <c r="M166" i="7" s="1"/>
  <c r="L165" i="7"/>
  <c r="M165" i="7" s="1"/>
  <c r="L164" i="7"/>
  <c r="M164" i="7" s="1"/>
  <c r="L163" i="7"/>
  <c r="M163" i="7" s="1"/>
  <c r="L161" i="7"/>
  <c r="M161" i="7" s="1"/>
  <c r="L160" i="7"/>
  <c r="M160" i="7" s="1"/>
  <c r="L159" i="7"/>
  <c r="M159" i="7" s="1"/>
  <c r="L158" i="7"/>
  <c r="M158" i="7" s="1"/>
  <c r="L156" i="7"/>
  <c r="M156" i="7" s="1"/>
  <c r="L155" i="7"/>
  <c r="M155" i="7" s="1"/>
  <c r="L154" i="7"/>
  <c r="M154" i="7" s="1"/>
  <c r="L146" i="7"/>
  <c r="M146" i="7" s="1"/>
  <c r="L145" i="7"/>
  <c r="M145" i="7" s="1"/>
  <c r="L144" i="7"/>
  <c r="M144" i="7" s="1"/>
  <c r="L143" i="7"/>
  <c r="M143" i="7" s="1"/>
  <c r="L142" i="7"/>
  <c r="M142" i="7" s="1"/>
  <c r="L141" i="7"/>
  <c r="M141" i="7" s="1"/>
  <c r="L140" i="7"/>
  <c r="M140" i="7" s="1"/>
  <c r="L139" i="7"/>
  <c r="M139" i="7" s="1"/>
  <c r="L138" i="7"/>
  <c r="M138" i="7" s="1"/>
  <c r="L137" i="7"/>
  <c r="M137" i="7" s="1"/>
  <c r="L136" i="7"/>
  <c r="M136" i="7" s="1"/>
  <c r="L135" i="7"/>
  <c r="M135" i="7" s="1"/>
  <c r="L134" i="7"/>
  <c r="M134" i="7" s="1"/>
  <c r="L133" i="7"/>
  <c r="M133" i="7" s="1"/>
  <c r="L132" i="7"/>
  <c r="M132" i="7" s="1"/>
  <c r="L131" i="7"/>
  <c r="M131" i="7" s="1"/>
  <c r="L130" i="7"/>
  <c r="M130" i="7" s="1"/>
  <c r="L129" i="7"/>
  <c r="M129" i="7" s="1"/>
  <c r="L128" i="7"/>
  <c r="M128" i="7" s="1"/>
  <c r="L127" i="7"/>
  <c r="M127" i="7" s="1"/>
  <c r="AD43" i="8" l="1"/>
  <c r="AG43" i="8"/>
  <c r="Y43" i="8"/>
  <c r="AH43" i="8"/>
  <c r="AE43" i="8"/>
  <c r="AC43" i="8"/>
  <c r="AA42" i="8"/>
  <c r="AO42" i="8"/>
  <c r="AN42" i="8"/>
  <c r="L208" i="7"/>
  <c r="M208" i="7" s="1"/>
  <c r="L262" i="7"/>
  <c r="M262" i="7" s="1"/>
  <c r="L278" i="7"/>
  <c r="M278" i="7" s="1"/>
  <c r="L254" i="7"/>
  <c r="M254" i="7" s="1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7" i="10"/>
  <c r="L86" i="10"/>
  <c r="L85" i="10"/>
  <c r="L84" i="10"/>
  <c r="L83" i="10"/>
  <c r="L82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AB364" i="8" l="1"/>
  <c r="AB356" i="8"/>
  <c r="AB367" i="8"/>
  <c r="AB365" i="8"/>
  <c r="AB358" i="8"/>
  <c r="AB359" i="8"/>
  <c r="AB355" i="8"/>
  <c r="AB362" i="8"/>
  <c r="AB363" i="8"/>
  <c r="AB357" i="8"/>
  <c r="AB361" i="8"/>
  <c r="AB360" i="8"/>
  <c r="AB366" i="8"/>
  <c r="AB350" i="8"/>
  <c r="AB342" i="8"/>
  <c r="AB334" i="8"/>
  <c r="AB326" i="8"/>
  <c r="AB318" i="8"/>
  <c r="AB310" i="8"/>
  <c r="AB302" i="8"/>
  <c r="AB292" i="8"/>
  <c r="AB353" i="8"/>
  <c r="AB345" i="8"/>
  <c r="AB337" i="8"/>
  <c r="AB329" i="8"/>
  <c r="AB321" i="8"/>
  <c r="AB313" i="8"/>
  <c r="AB305" i="8"/>
  <c r="AB297" i="8"/>
  <c r="AB293" i="8"/>
  <c r="AB348" i="8"/>
  <c r="AB340" i="8"/>
  <c r="AB332" i="8"/>
  <c r="AB324" i="8"/>
  <c r="AB316" i="8"/>
  <c r="AB308" i="8"/>
  <c r="AB300" i="8"/>
  <c r="AB294" i="8"/>
  <c r="AB351" i="8"/>
  <c r="AB343" i="8"/>
  <c r="AB335" i="8"/>
  <c r="AB327" i="8"/>
  <c r="AB319" i="8"/>
  <c r="AB311" i="8"/>
  <c r="AB303" i="8"/>
  <c r="AB295" i="8"/>
  <c r="AB354" i="8"/>
  <c r="AB346" i="8"/>
  <c r="AB338" i="8"/>
  <c r="AB330" i="8"/>
  <c r="AB322" i="8"/>
  <c r="AB314" i="8"/>
  <c r="AB306" i="8"/>
  <c r="AB298" i="8"/>
  <c r="AB349" i="8"/>
  <c r="AB341" i="8"/>
  <c r="AB333" i="8"/>
  <c r="AB325" i="8"/>
  <c r="AB317" i="8"/>
  <c r="AB309" i="8"/>
  <c r="AB301" i="8"/>
  <c r="AB289" i="8"/>
  <c r="AB352" i="8"/>
  <c r="AB344" i="8"/>
  <c r="AB336" i="8"/>
  <c r="AB328" i="8"/>
  <c r="AB320" i="8"/>
  <c r="AB312" i="8"/>
  <c r="AB304" i="8"/>
  <c r="AB296" i="8"/>
  <c r="AB290" i="8"/>
  <c r="AB347" i="8"/>
  <c r="AB339" i="8"/>
  <c r="AB331" i="8"/>
  <c r="AB323" i="8"/>
  <c r="AB315" i="8"/>
  <c r="AB307" i="8"/>
  <c r="AB299" i="8"/>
  <c r="AB291" i="8"/>
  <c r="AB43" i="8"/>
  <c r="AB286" i="8"/>
  <c r="AB284" i="8"/>
  <c r="AB265" i="8"/>
  <c r="AB263" i="8"/>
  <c r="AB261" i="8"/>
  <c r="AB259" i="8"/>
  <c r="AB257" i="8"/>
  <c r="AB255" i="8"/>
  <c r="AB253" i="8"/>
  <c r="AB251" i="8"/>
  <c r="AB249" i="8"/>
  <c r="AB247" i="8"/>
  <c r="AB245" i="8"/>
  <c r="AB243" i="8"/>
  <c r="AB241" i="8"/>
  <c r="AB239" i="8"/>
  <c r="AB237" i="8"/>
  <c r="AB235" i="8"/>
  <c r="AB233" i="8"/>
  <c r="AB231" i="8"/>
  <c r="AB211" i="8"/>
  <c r="AB220" i="8"/>
  <c r="AB218" i="8"/>
  <c r="AB214" i="8"/>
  <c r="AB268" i="8"/>
  <c r="AB266" i="8"/>
  <c r="AB271" i="8"/>
  <c r="AB216" i="8"/>
  <c r="AB212" i="8"/>
  <c r="AB208" i="8"/>
  <c r="AB288" i="8"/>
  <c r="AB282" i="8"/>
  <c r="AB280" i="8"/>
  <c r="AB278" i="8"/>
  <c r="AB276" i="8"/>
  <c r="AB274" i="8"/>
  <c r="AB229" i="8"/>
  <c r="AB227" i="8"/>
  <c r="AB225" i="8"/>
  <c r="AB223" i="8"/>
  <c r="AB285" i="8"/>
  <c r="AB264" i="8"/>
  <c r="AB262" i="8"/>
  <c r="AB260" i="8"/>
  <c r="AB258" i="8"/>
  <c r="AB256" i="8"/>
  <c r="AB254" i="8"/>
  <c r="AB252" i="8"/>
  <c r="AB250" i="8"/>
  <c r="AB248" i="8"/>
  <c r="AB246" i="8"/>
  <c r="AB244" i="8"/>
  <c r="AB242" i="8"/>
  <c r="AB240" i="8"/>
  <c r="AB238" i="8"/>
  <c r="AB236" i="8"/>
  <c r="AB234" i="8"/>
  <c r="AB232" i="8"/>
  <c r="AB209" i="8"/>
  <c r="AB221" i="8"/>
  <c r="AB217" i="8"/>
  <c r="AB213" i="8"/>
  <c r="AB210" i="8"/>
  <c r="AB269" i="8"/>
  <c r="AB267" i="8"/>
  <c r="AB272" i="8"/>
  <c r="AB270" i="8"/>
  <c r="AB219" i="8"/>
  <c r="AB215" i="8"/>
  <c r="AB287" i="8"/>
  <c r="AB283" i="8"/>
  <c r="AB281" i="8"/>
  <c r="AB279" i="8"/>
  <c r="AB277" i="8"/>
  <c r="AB275" i="8"/>
  <c r="AB273" i="8"/>
  <c r="AB230" i="8"/>
  <c r="AB228" i="8"/>
  <c r="AB226" i="8"/>
  <c r="AB224" i="8"/>
  <c r="AB222" i="8"/>
  <c r="AB207" i="8"/>
  <c r="AB199" i="8"/>
  <c r="AB191" i="8"/>
  <c r="AB183" i="8"/>
  <c r="AB175" i="8"/>
  <c r="AB167" i="8"/>
  <c r="AB200" i="8"/>
  <c r="AB192" i="8"/>
  <c r="AB184" i="8"/>
  <c r="AB176" i="8"/>
  <c r="AB168" i="8"/>
  <c r="AB201" i="8"/>
  <c r="AB193" i="8"/>
  <c r="AB185" i="8"/>
  <c r="AB177" i="8"/>
  <c r="AB169" i="8"/>
  <c r="AB161" i="8"/>
  <c r="AB202" i="8"/>
  <c r="AB194" i="8"/>
  <c r="AB186" i="8"/>
  <c r="AB178" i="8"/>
  <c r="AB170" i="8"/>
  <c r="AB162" i="8"/>
  <c r="AB160" i="8"/>
  <c r="AB203" i="8"/>
  <c r="AB195" i="8"/>
  <c r="AB187" i="8"/>
  <c r="AB179" i="8"/>
  <c r="AB171" i="8"/>
  <c r="AB163" i="8"/>
  <c r="AB159" i="8"/>
  <c r="AB204" i="8"/>
  <c r="AB196" i="8"/>
  <c r="AB188" i="8"/>
  <c r="AB180" i="8"/>
  <c r="AB172" i="8"/>
  <c r="AB164" i="8"/>
  <c r="AB158" i="8"/>
  <c r="AB205" i="8"/>
  <c r="AB197" i="8"/>
  <c r="AB189" i="8"/>
  <c r="AB181" i="8"/>
  <c r="AB173" i="8"/>
  <c r="AB165" i="8"/>
  <c r="AB157" i="8"/>
  <c r="AB206" i="8"/>
  <c r="AB198" i="8"/>
  <c r="AB190" i="8"/>
  <c r="AB182" i="8"/>
  <c r="AB174" i="8"/>
  <c r="AB166" i="8"/>
  <c r="AB145" i="8"/>
  <c r="AB122" i="8"/>
  <c r="AB120" i="8"/>
  <c r="AB118" i="8"/>
  <c r="AB116" i="8"/>
  <c r="AB114" i="8"/>
  <c r="AB112" i="8"/>
  <c r="AB110" i="8"/>
  <c r="AB108" i="8"/>
  <c r="AB106" i="8"/>
  <c r="AB104" i="8"/>
  <c r="AB102" i="8"/>
  <c r="AB100" i="8"/>
  <c r="AB154" i="8"/>
  <c r="AB152" i="8"/>
  <c r="AB150" i="8"/>
  <c r="AB148" i="8"/>
  <c r="AB155" i="8"/>
  <c r="AB138" i="8"/>
  <c r="AB136" i="8"/>
  <c r="AB134" i="8"/>
  <c r="AB132" i="8"/>
  <c r="AB130" i="8"/>
  <c r="AB128" i="8"/>
  <c r="AB126" i="8"/>
  <c r="AB156" i="8"/>
  <c r="AB143" i="8"/>
  <c r="AB141" i="8"/>
  <c r="AB139" i="8"/>
  <c r="AB98" i="8"/>
  <c r="AB96" i="8"/>
  <c r="AB94" i="8"/>
  <c r="AB92" i="8"/>
  <c r="AB90" i="8"/>
  <c r="AB88" i="8"/>
  <c r="AB86" i="8"/>
  <c r="AB84" i="8"/>
  <c r="AB146" i="8"/>
  <c r="AB144" i="8"/>
  <c r="AB123" i="8"/>
  <c r="AB121" i="8"/>
  <c r="AB119" i="8"/>
  <c r="AB117" i="8"/>
  <c r="AB115" i="8"/>
  <c r="AB113" i="8"/>
  <c r="AB111" i="8"/>
  <c r="AB109" i="8"/>
  <c r="AB107" i="8"/>
  <c r="AB105" i="8"/>
  <c r="AB103" i="8"/>
  <c r="AB101" i="8"/>
  <c r="AB99" i="8"/>
  <c r="AB153" i="8"/>
  <c r="AB151" i="8"/>
  <c r="AB149" i="8"/>
  <c r="AB147" i="8"/>
  <c r="AB124" i="8"/>
  <c r="AB137" i="8"/>
  <c r="AB135" i="8"/>
  <c r="AB133" i="8"/>
  <c r="AB131" i="8"/>
  <c r="AB129" i="8"/>
  <c r="AB127" i="8"/>
  <c r="AB125" i="8"/>
  <c r="AB93" i="8"/>
  <c r="AB142" i="8"/>
  <c r="AB91" i="8"/>
  <c r="AB81" i="8"/>
  <c r="AB140" i="8"/>
  <c r="AB89" i="8"/>
  <c r="AB79" i="8"/>
  <c r="AB77" i="8"/>
  <c r="AB75" i="8"/>
  <c r="AB73" i="8"/>
  <c r="AB71" i="8"/>
  <c r="AB69" i="8"/>
  <c r="AB67" i="8"/>
  <c r="AB87" i="8"/>
  <c r="AB83" i="8"/>
  <c r="AB85" i="8"/>
  <c r="AB80" i="8"/>
  <c r="AB97" i="8"/>
  <c r="AB82" i="8"/>
  <c r="AB78" i="8"/>
  <c r="AB76" i="8"/>
  <c r="AB74" i="8"/>
  <c r="AB72" i="8"/>
  <c r="AB70" i="8"/>
  <c r="AB68" i="8"/>
  <c r="AB95" i="8"/>
  <c r="AB26" i="8"/>
  <c r="AB27" i="8"/>
  <c r="AB28" i="8"/>
  <c r="AB29" i="8"/>
  <c r="AB30" i="8"/>
  <c r="AB4" i="8"/>
  <c r="AB6" i="8"/>
  <c r="AB5" i="8"/>
  <c r="AB7" i="8"/>
  <c r="AB8" i="8"/>
  <c r="AB9" i="8"/>
  <c r="AB10" i="8"/>
  <c r="AB11" i="8"/>
  <c r="AB12" i="8"/>
  <c r="AB13" i="8"/>
  <c r="AB14" i="8"/>
  <c r="AB15" i="8"/>
  <c r="AB16" i="8"/>
  <c r="AB17" i="8"/>
  <c r="AB18" i="8"/>
  <c r="AB19" i="8"/>
  <c r="AB20" i="8"/>
  <c r="AB21" i="8"/>
  <c r="AB22" i="8"/>
  <c r="AB23" i="8"/>
  <c r="AB24" i="8"/>
  <c r="AB25" i="8"/>
  <c r="AB31" i="8"/>
  <c r="AB32" i="8"/>
  <c r="AB33" i="8"/>
  <c r="AB34" i="8"/>
  <c r="AB35" i="8"/>
  <c r="AB36" i="8"/>
  <c r="AB37" i="8"/>
  <c r="AB38" i="8"/>
  <c r="AB39" i="8"/>
  <c r="AB40" i="8"/>
  <c r="AB41" i="8"/>
  <c r="AB42" i="8"/>
  <c r="AE44" i="8"/>
  <c r="Y44" i="8"/>
  <c r="AB44" i="8"/>
  <c r="AG44" i="8"/>
  <c r="AH44" i="8"/>
  <c r="AD44" i="8"/>
  <c r="AC44" i="8"/>
  <c r="AA43" i="8"/>
  <c r="AO43" i="8"/>
  <c r="AN43" i="8"/>
  <c r="L157" i="7"/>
  <c r="M157" i="7" s="1"/>
  <c r="L148" i="7"/>
  <c r="M148" i="7" s="1"/>
  <c r="AA44" i="8" l="1"/>
  <c r="AO44" i="8"/>
  <c r="AN44" i="8"/>
  <c r="Y45" i="8"/>
  <c r="AC45" i="8"/>
  <c r="AB45" i="8"/>
  <c r="AG45" i="8"/>
  <c r="AH45" i="8"/>
  <c r="AE45" i="8"/>
  <c r="AD45" i="8"/>
  <c r="L150" i="7"/>
  <c r="M150" i="7" s="1"/>
  <c r="L176" i="7"/>
  <c r="M176" i="7" s="1"/>
  <c r="L152" i="7"/>
  <c r="M152" i="7" s="1"/>
  <c r="L174" i="7"/>
  <c r="M174" i="7" s="1"/>
  <c r="L149" i="7"/>
  <c r="M149" i="7" s="1"/>
  <c r="L153" i="7"/>
  <c r="M153" i="7" s="1"/>
  <c r="L175" i="7"/>
  <c r="M175" i="7" s="1"/>
  <c r="L147" i="7"/>
  <c r="M147" i="7" s="1"/>
  <c r="L151" i="7"/>
  <c r="M151" i="7" s="1"/>
  <c r="L162" i="7"/>
  <c r="M162" i="7" s="1"/>
  <c r="L177" i="7"/>
  <c r="M177" i="7" s="1"/>
  <c r="AA45" i="8" l="1"/>
  <c r="AO45" i="8"/>
  <c r="AN45" i="8"/>
  <c r="AG46" i="8"/>
  <c r="Y46" i="8"/>
  <c r="AD46" i="8"/>
  <c r="AB46" i="8"/>
  <c r="AC46" i="8"/>
  <c r="AE46" i="8"/>
  <c r="AH46" i="8"/>
  <c r="B4" i="6"/>
  <c r="AF367" i="8" l="1"/>
  <c r="AI367" i="8" s="1"/>
  <c r="AJ367" i="8" s="1"/>
  <c r="AK367" i="8" s="1"/>
  <c r="AF366" i="8"/>
  <c r="AI366" i="8" s="1"/>
  <c r="AJ366" i="8" s="1"/>
  <c r="AK366" i="8" s="1"/>
  <c r="AF365" i="8"/>
  <c r="AI365" i="8" s="1"/>
  <c r="AJ365" i="8" s="1"/>
  <c r="AK365" i="8" s="1"/>
  <c r="AF364" i="8"/>
  <c r="AI364" i="8" s="1"/>
  <c r="AJ364" i="8" s="1"/>
  <c r="AK364" i="8" s="1"/>
  <c r="AF363" i="8"/>
  <c r="AI363" i="8" s="1"/>
  <c r="AJ363" i="8" s="1"/>
  <c r="AK363" i="8" s="1"/>
  <c r="AF362" i="8"/>
  <c r="AI362" i="8" s="1"/>
  <c r="AJ362" i="8" s="1"/>
  <c r="AK362" i="8" s="1"/>
  <c r="AF361" i="8"/>
  <c r="AI361" i="8" s="1"/>
  <c r="AJ361" i="8" s="1"/>
  <c r="AK361" i="8" s="1"/>
  <c r="AF360" i="8"/>
  <c r="AI360" i="8" s="1"/>
  <c r="AJ360" i="8" s="1"/>
  <c r="AK360" i="8" s="1"/>
  <c r="AF359" i="8"/>
  <c r="AI359" i="8" s="1"/>
  <c r="AJ359" i="8" s="1"/>
  <c r="AK359" i="8" s="1"/>
  <c r="AF358" i="8"/>
  <c r="AI358" i="8" s="1"/>
  <c r="AJ358" i="8" s="1"/>
  <c r="AK358" i="8" s="1"/>
  <c r="AF357" i="8"/>
  <c r="AI357" i="8" s="1"/>
  <c r="AJ357" i="8" s="1"/>
  <c r="AK357" i="8" s="1"/>
  <c r="AF356" i="8"/>
  <c r="AI356" i="8" s="1"/>
  <c r="AJ356" i="8" s="1"/>
  <c r="AK356" i="8" s="1"/>
  <c r="AF355" i="8"/>
  <c r="AI355" i="8" s="1"/>
  <c r="AJ355" i="8" s="1"/>
  <c r="AK355" i="8" s="1"/>
  <c r="AF294" i="8"/>
  <c r="AI294" i="8" s="1"/>
  <c r="AJ294" i="8" s="1"/>
  <c r="AK294" i="8" s="1"/>
  <c r="AF292" i="8"/>
  <c r="AI292" i="8" s="1"/>
  <c r="AJ292" i="8" s="1"/>
  <c r="AK292" i="8" s="1"/>
  <c r="AF290" i="8"/>
  <c r="AI290" i="8" s="1"/>
  <c r="AJ290" i="8" s="1"/>
  <c r="AK290" i="8" s="1"/>
  <c r="AF354" i="8"/>
  <c r="AI354" i="8" s="1"/>
  <c r="AJ354" i="8" s="1"/>
  <c r="AK354" i="8" s="1"/>
  <c r="AF353" i="8"/>
  <c r="AI353" i="8" s="1"/>
  <c r="AJ353" i="8" s="1"/>
  <c r="AK353" i="8" s="1"/>
  <c r="AF352" i="8"/>
  <c r="AI352" i="8" s="1"/>
  <c r="AJ352" i="8" s="1"/>
  <c r="AK352" i="8" s="1"/>
  <c r="AF351" i="8"/>
  <c r="AI351" i="8" s="1"/>
  <c r="AJ351" i="8" s="1"/>
  <c r="AK351" i="8" s="1"/>
  <c r="AF350" i="8"/>
  <c r="AI350" i="8" s="1"/>
  <c r="AJ350" i="8" s="1"/>
  <c r="AK350" i="8" s="1"/>
  <c r="AF349" i="8"/>
  <c r="AI349" i="8" s="1"/>
  <c r="AJ349" i="8" s="1"/>
  <c r="AK349" i="8" s="1"/>
  <c r="AF348" i="8"/>
  <c r="AI348" i="8" s="1"/>
  <c r="AJ348" i="8" s="1"/>
  <c r="AK348" i="8" s="1"/>
  <c r="AF347" i="8"/>
  <c r="AI347" i="8" s="1"/>
  <c r="AJ347" i="8" s="1"/>
  <c r="AK347" i="8" s="1"/>
  <c r="AF346" i="8"/>
  <c r="AI346" i="8" s="1"/>
  <c r="AJ346" i="8" s="1"/>
  <c r="AK346" i="8" s="1"/>
  <c r="AF345" i="8"/>
  <c r="AI345" i="8" s="1"/>
  <c r="AJ345" i="8" s="1"/>
  <c r="AK345" i="8" s="1"/>
  <c r="AF344" i="8"/>
  <c r="AI344" i="8" s="1"/>
  <c r="AJ344" i="8" s="1"/>
  <c r="AK344" i="8" s="1"/>
  <c r="AF343" i="8"/>
  <c r="AI343" i="8" s="1"/>
  <c r="AJ343" i="8" s="1"/>
  <c r="AK343" i="8" s="1"/>
  <c r="AF342" i="8"/>
  <c r="AI342" i="8" s="1"/>
  <c r="AJ342" i="8" s="1"/>
  <c r="AK342" i="8" s="1"/>
  <c r="AF341" i="8"/>
  <c r="AI341" i="8" s="1"/>
  <c r="AJ341" i="8" s="1"/>
  <c r="AK341" i="8" s="1"/>
  <c r="AF340" i="8"/>
  <c r="AI340" i="8" s="1"/>
  <c r="AJ340" i="8" s="1"/>
  <c r="AK340" i="8" s="1"/>
  <c r="AF339" i="8"/>
  <c r="AI339" i="8" s="1"/>
  <c r="AJ339" i="8" s="1"/>
  <c r="AK339" i="8" s="1"/>
  <c r="AF338" i="8"/>
  <c r="AI338" i="8" s="1"/>
  <c r="AJ338" i="8" s="1"/>
  <c r="AK338" i="8" s="1"/>
  <c r="AF337" i="8"/>
  <c r="AI337" i="8" s="1"/>
  <c r="AJ337" i="8" s="1"/>
  <c r="AK337" i="8" s="1"/>
  <c r="AF336" i="8"/>
  <c r="AI336" i="8" s="1"/>
  <c r="AJ336" i="8" s="1"/>
  <c r="AK336" i="8" s="1"/>
  <c r="AF335" i="8"/>
  <c r="AI335" i="8" s="1"/>
  <c r="AJ335" i="8" s="1"/>
  <c r="AK335" i="8" s="1"/>
  <c r="AF334" i="8"/>
  <c r="AI334" i="8" s="1"/>
  <c r="AJ334" i="8" s="1"/>
  <c r="AK334" i="8" s="1"/>
  <c r="AF333" i="8"/>
  <c r="AI333" i="8" s="1"/>
  <c r="AJ333" i="8" s="1"/>
  <c r="AK333" i="8" s="1"/>
  <c r="AF332" i="8"/>
  <c r="AI332" i="8" s="1"/>
  <c r="AJ332" i="8" s="1"/>
  <c r="AK332" i="8" s="1"/>
  <c r="AF331" i="8"/>
  <c r="AI331" i="8" s="1"/>
  <c r="AJ331" i="8" s="1"/>
  <c r="AK331" i="8" s="1"/>
  <c r="AF330" i="8"/>
  <c r="AI330" i="8" s="1"/>
  <c r="AJ330" i="8" s="1"/>
  <c r="AK330" i="8" s="1"/>
  <c r="AF329" i="8"/>
  <c r="AI329" i="8" s="1"/>
  <c r="AJ329" i="8" s="1"/>
  <c r="AK329" i="8" s="1"/>
  <c r="AF328" i="8"/>
  <c r="AI328" i="8" s="1"/>
  <c r="AJ328" i="8" s="1"/>
  <c r="AK328" i="8" s="1"/>
  <c r="AF327" i="8"/>
  <c r="AI327" i="8" s="1"/>
  <c r="AJ327" i="8" s="1"/>
  <c r="AK327" i="8" s="1"/>
  <c r="AF326" i="8"/>
  <c r="AI326" i="8" s="1"/>
  <c r="AJ326" i="8" s="1"/>
  <c r="AK326" i="8" s="1"/>
  <c r="AF325" i="8"/>
  <c r="AI325" i="8" s="1"/>
  <c r="AJ325" i="8" s="1"/>
  <c r="AK325" i="8" s="1"/>
  <c r="AF324" i="8"/>
  <c r="AI324" i="8" s="1"/>
  <c r="AJ324" i="8" s="1"/>
  <c r="AK324" i="8" s="1"/>
  <c r="AF323" i="8"/>
  <c r="AI323" i="8" s="1"/>
  <c r="AJ323" i="8" s="1"/>
  <c r="AK323" i="8" s="1"/>
  <c r="AF322" i="8"/>
  <c r="AI322" i="8" s="1"/>
  <c r="AJ322" i="8" s="1"/>
  <c r="AK322" i="8" s="1"/>
  <c r="AF321" i="8"/>
  <c r="AI321" i="8" s="1"/>
  <c r="AJ321" i="8" s="1"/>
  <c r="AK321" i="8" s="1"/>
  <c r="AF320" i="8"/>
  <c r="AI320" i="8" s="1"/>
  <c r="AJ320" i="8" s="1"/>
  <c r="AK320" i="8" s="1"/>
  <c r="AF319" i="8"/>
  <c r="AI319" i="8" s="1"/>
  <c r="AJ319" i="8" s="1"/>
  <c r="AK319" i="8" s="1"/>
  <c r="AF318" i="8"/>
  <c r="AI318" i="8" s="1"/>
  <c r="AJ318" i="8" s="1"/>
  <c r="AK318" i="8" s="1"/>
  <c r="AF317" i="8"/>
  <c r="AI317" i="8" s="1"/>
  <c r="AJ317" i="8" s="1"/>
  <c r="AK317" i="8" s="1"/>
  <c r="AF316" i="8"/>
  <c r="AI316" i="8" s="1"/>
  <c r="AJ316" i="8" s="1"/>
  <c r="AK316" i="8" s="1"/>
  <c r="AF315" i="8"/>
  <c r="AI315" i="8" s="1"/>
  <c r="AJ315" i="8" s="1"/>
  <c r="AK315" i="8" s="1"/>
  <c r="AF314" i="8"/>
  <c r="AI314" i="8" s="1"/>
  <c r="AJ314" i="8" s="1"/>
  <c r="AK314" i="8" s="1"/>
  <c r="AF313" i="8"/>
  <c r="AI313" i="8" s="1"/>
  <c r="AJ313" i="8" s="1"/>
  <c r="AK313" i="8" s="1"/>
  <c r="AF312" i="8"/>
  <c r="AI312" i="8" s="1"/>
  <c r="AJ312" i="8" s="1"/>
  <c r="AK312" i="8" s="1"/>
  <c r="AF311" i="8"/>
  <c r="AI311" i="8" s="1"/>
  <c r="AJ311" i="8" s="1"/>
  <c r="AK311" i="8" s="1"/>
  <c r="AF310" i="8"/>
  <c r="AI310" i="8" s="1"/>
  <c r="AJ310" i="8" s="1"/>
  <c r="AK310" i="8" s="1"/>
  <c r="AF309" i="8"/>
  <c r="AI309" i="8" s="1"/>
  <c r="AJ309" i="8" s="1"/>
  <c r="AK309" i="8" s="1"/>
  <c r="AF308" i="8"/>
  <c r="AI308" i="8" s="1"/>
  <c r="AJ308" i="8" s="1"/>
  <c r="AK308" i="8" s="1"/>
  <c r="AF307" i="8"/>
  <c r="AI307" i="8" s="1"/>
  <c r="AJ307" i="8" s="1"/>
  <c r="AK307" i="8" s="1"/>
  <c r="AF306" i="8"/>
  <c r="AI306" i="8" s="1"/>
  <c r="AJ306" i="8" s="1"/>
  <c r="AK306" i="8" s="1"/>
  <c r="AF305" i="8"/>
  <c r="AI305" i="8" s="1"/>
  <c r="AJ305" i="8" s="1"/>
  <c r="AK305" i="8" s="1"/>
  <c r="AF304" i="8"/>
  <c r="AI304" i="8" s="1"/>
  <c r="AJ304" i="8" s="1"/>
  <c r="AK304" i="8" s="1"/>
  <c r="AF303" i="8"/>
  <c r="AI303" i="8" s="1"/>
  <c r="AJ303" i="8" s="1"/>
  <c r="AK303" i="8" s="1"/>
  <c r="AF302" i="8"/>
  <c r="AI302" i="8" s="1"/>
  <c r="AJ302" i="8" s="1"/>
  <c r="AK302" i="8" s="1"/>
  <c r="AF301" i="8"/>
  <c r="AI301" i="8" s="1"/>
  <c r="AJ301" i="8" s="1"/>
  <c r="AK301" i="8" s="1"/>
  <c r="AF300" i="8"/>
  <c r="AI300" i="8" s="1"/>
  <c r="AJ300" i="8" s="1"/>
  <c r="AK300" i="8" s="1"/>
  <c r="AF299" i="8"/>
  <c r="AI299" i="8" s="1"/>
  <c r="AJ299" i="8" s="1"/>
  <c r="AK299" i="8" s="1"/>
  <c r="AF298" i="8"/>
  <c r="AI298" i="8" s="1"/>
  <c r="AJ298" i="8" s="1"/>
  <c r="AK298" i="8" s="1"/>
  <c r="AF297" i="8"/>
  <c r="AI297" i="8" s="1"/>
  <c r="AJ297" i="8" s="1"/>
  <c r="AK297" i="8" s="1"/>
  <c r="AF296" i="8"/>
  <c r="AI296" i="8" s="1"/>
  <c r="AJ296" i="8" s="1"/>
  <c r="AK296" i="8" s="1"/>
  <c r="AF295" i="8"/>
  <c r="AI295" i="8" s="1"/>
  <c r="AJ295" i="8" s="1"/>
  <c r="AK295" i="8" s="1"/>
  <c r="AF293" i="8"/>
  <c r="AI293" i="8" s="1"/>
  <c r="AJ293" i="8" s="1"/>
  <c r="AK293" i="8" s="1"/>
  <c r="AF291" i="8"/>
  <c r="AI291" i="8" s="1"/>
  <c r="AJ291" i="8" s="1"/>
  <c r="AK291" i="8" s="1"/>
  <c r="AF289" i="8"/>
  <c r="AI289" i="8" s="1"/>
  <c r="AJ289" i="8" s="1"/>
  <c r="AK289" i="8" s="1"/>
  <c r="AF288" i="8"/>
  <c r="AI288" i="8" s="1"/>
  <c r="AJ288" i="8" s="1"/>
  <c r="AK288" i="8" s="1"/>
  <c r="AF287" i="8"/>
  <c r="AI287" i="8" s="1"/>
  <c r="AJ287" i="8" s="1"/>
  <c r="AK287" i="8" s="1"/>
  <c r="AF286" i="8"/>
  <c r="AI286" i="8" s="1"/>
  <c r="AJ286" i="8" s="1"/>
  <c r="AK286" i="8" s="1"/>
  <c r="AF285" i="8"/>
  <c r="AI285" i="8" s="1"/>
  <c r="AJ285" i="8" s="1"/>
  <c r="AK285" i="8" s="1"/>
  <c r="AF284" i="8"/>
  <c r="AI284" i="8" s="1"/>
  <c r="AJ284" i="8" s="1"/>
  <c r="AK284" i="8" s="1"/>
  <c r="AF283" i="8"/>
  <c r="AI283" i="8" s="1"/>
  <c r="AJ283" i="8" s="1"/>
  <c r="AK283" i="8" s="1"/>
  <c r="AF282" i="8"/>
  <c r="AI282" i="8" s="1"/>
  <c r="AJ282" i="8" s="1"/>
  <c r="AK282" i="8" s="1"/>
  <c r="AF281" i="8"/>
  <c r="AI281" i="8" s="1"/>
  <c r="AJ281" i="8" s="1"/>
  <c r="AK281" i="8" s="1"/>
  <c r="AF280" i="8"/>
  <c r="AI280" i="8" s="1"/>
  <c r="AJ280" i="8" s="1"/>
  <c r="AK280" i="8" s="1"/>
  <c r="AF279" i="8"/>
  <c r="AI279" i="8" s="1"/>
  <c r="AJ279" i="8" s="1"/>
  <c r="AK279" i="8" s="1"/>
  <c r="AF278" i="8"/>
  <c r="AI278" i="8" s="1"/>
  <c r="AJ278" i="8" s="1"/>
  <c r="AK278" i="8" s="1"/>
  <c r="AF277" i="8"/>
  <c r="AI277" i="8" s="1"/>
  <c r="AJ277" i="8" s="1"/>
  <c r="AK277" i="8" s="1"/>
  <c r="AF276" i="8"/>
  <c r="AI276" i="8" s="1"/>
  <c r="AJ276" i="8" s="1"/>
  <c r="AK276" i="8" s="1"/>
  <c r="AF275" i="8"/>
  <c r="AI275" i="8" s="1"/>
  <c r="AJ275" i="8" s="1"/>
  <c r="AK275" i="8" s="1"/>
  <c r="AF274" i="8"/>
  <c r="AI274" i="8" s="1"/>
  <c r="AJ274" i="8" s="1"/>
  <c r="AK274" i="8" s="1"/>
  <c r="AF273" i="8"/>
  <c r="AI273" i="8" s="1"/>
  <c r="AJ273" i="8" s="1"/>
  <c r="AK273" i="8" s="1"/>
  <c r="AF272" i="8"/>
  <c r="AI272" i="8" s="1"/>
  <c r="AJ272" i="8" s="1"/>
  <c r="AK272" i="8" s="1"/>
  <c r="AF271" i="8"/>
  <c r="AI271" i="8" s="1"/>
  <c r="AJ271" i="8" s="1"/>
  <c r="AK271" i="8" s="1"/>
  <c r="AF270" i="8"/>
  <c r="AI270" i="8" s="1"/>
  <c r="AJ270" i="8" s="1"/>
  <c r="AK270" i="8" s="1"/>
  <c r="AF269" i="8"/>
  <c r="AI269" i="8" s="1"/>
  <c r="AJ269" i="8" s="1"/>
  <c r="AK269" i="8" s="1"/>
  <c r="AF268" i="8"/>
  <c r="AI268" i="8" s="1"/>
  <c r="AJ268" i="8" s="1"/>
  <c r="AK268" i="8" s="1"/>
  <c r="AF267" i="8"/>
  <c r="AI267" i="8" s="1"/>
  <c r="AJ267" i="8" s="1"/>
  <c r="AK267" i="8" s="1"/>
  <c r="AF266" i="8"/>
  <c r="AI266" i="8" s="1"/>
  <c r="AJ266" i="8" s="1"/>
  <c r="AK266" i="8" s="1"/>
  <c r="AF265" i="8"/>
  <c r="AI265" i="8" s="1"/>
  <c r="AJ265" i="8" s="1"/>
  <c r="AK265" i="8" s="1"/>
  <c r="AF264" i="8"/>
  <c r="AI264" i="8" s="1"/>
  <c r="AJ264" i="8" s="1"/>
  <c r="AK264" i="8" s="1"/>
  <c r="AF263" i="8"/>
  <c r="AI263" i="8" s="1"/>
  <c r="AJ263" i="8" s="1"/>
  <c r="AK263" i="8" s="1"/>
  <c r="AF262" i="8"/>
  <c r="AI262" i="8" s="1"/>
  <c r="AJ262" i="8" s="1"/>
  <c r="AK262" i="8" s="1"/>
  <c r="AF261" i="8"/>
  <c r="AI261" i="8" s="1"/>
  <c r="AJ261" i="8" s="1"/>
  <c r="AK261" i="8" s="1"/>
  <c r="AF260" i="8"/>
  <c r="AI260" i="8" s="1"/>
  <c r="AJ260" i="8" s="1"/>
  <c r="AK260" i="8" s="1"/>
  <c r="AF259" i="8"/>
  <c r="AI259" i="8" s="1"/>
  <c r="AJ259" i="8" s="1"/>
  <c r="AK259" i="8" s="1"/>
  <c r="AF258" i="8"/>
  <c r="AI258" i="8" s="1"/>
  <c r="AJ258" i="8" s="1"/>
  <c r="AK258" i="8" s="1"/>
  <c r="AF257" i="8"/>
  <c r="AI257" i="8" s="1"/>
  <c r="AJ257" i="8" s="1"/>
  <c r="AK257" i="8" s="1"/>
  <c r="AF256" i="8"/>
  <c r="AI256" i="8" s="1"/>
  <c r="AJ256" i="8" s="1"/>
  <c r="AK256" i="8" s="1"/>
  <c r="AF255" i="8"/>
  <c r="AI255" i="8" s="1"/>
  <c r="AJ255" i="8" s="1"/>
  <c r="AK255" i="8" s="1"/>
  <c r="AF254" i="8"/>
  <c r="AI254" i="8" s="1"/>
  <c r="AJ254" i="8" s="1"/>
  <c r="AK254" i="8" s="1"/>
  <c r="AF253" i="8"/>
  <c r="AI253" i="8" s="1"/>
  <c r="AJ253" i="8" s="1"/>
  <c r="AK253" i="8" s="1"/>
  <c r="AF252" i="8"/>
  <c r="AI252" i="8" s="1"/>
  <c r="AJ252" i="8" s="1"/>
  <c r="AK252" i="8" s="1"/>
  <c r="AF251" i="8"/>
  <c r="AI251" i="8" s="1"/>
  <c r="AJ251" i="8" s="1"/>
  <c r="AK251" i="8" s="1"/>
  <c r="AF250" i="8"/>
  <c r="AI250" i="8" s="1"/>
  <c r="AJ250" i="8" s="1"/>
  <c r="AK250" i="8" s="1"/>
  <c r="AF249" i="8"/>
  <c r="AI249" i="8" s="1"/>
  <c r="AJ249" i="8" s="1"/>
  <c r="AK249" i="8" s="1"/>
  <c r="AF248" i="8"/>
  <c r="AI248" i="8" s="1"/>
  <c r="AJ248" i="8" s="1"/>
  <c r="AK248" i="8" s="1"/>
  <c r="AF247" i="8"/>
  <c r="AI247" i="8" s="1"/>
  <c r="AJ247" i="8" s="1"/>
  <c r="AK247" i="8" s="1"/>
  <c r="AF246" i="8"/>
  <c r="AI246" i="8" s="1"/>
  <c r="AJ246" i="8" s="1"/>
  <c r="AK246" i="8" s="1"/>
  <c r="AF245" i="8"/>
  <c r="AI245" i="8" s="1"/>
  <c r="AJ245" i="8" s="1"/>
  <c r="AK245" i="8" s="1"/>
  <c r="AF244" i="8"/>
  <c r="AI244" i="8" s="1"/>
  <c r="AJ244" i="8" s="1"/>
  <c r="AK244" i="8" s="1"/>
  <c r="AF243" i="8"/>
  <c r="AI243" i="8" s="1"/>
  <c r="AJ243" i="8" s="1"/>
  <c r="AK243" i="8" s="1"/>
  <c r="AF242" i="8"/>
  <c r="AI242" i="8" s="1"/>
  <c r="AJ242" i="8" s="1"/>
  <c r="AK242" i="8" s="1"/>
  <c r="AF241" i="8"/>
  <c r="AI241" i="8" s="1"/>
  <c r="AJ241" i="8" s="1"/>
  <c r="AK241" i="8" s="1"/>
  <c r="AF240" i="8"/>
  <c r="AI240" i="8" s="1"/>
  <c r="AJ240" i="8" s="1"/>
  <c r="AK240" i="8" s="1"/>
  <c r="AF239" i="8"/>
  <c r="AI239" i="8" s="1"/>
  <c r="AJ239" i="8" s="1"/>
  <c r="AK239" i="8" s="1"/>
  <c r="AF238" i="8"/>
  <c r="AI238" i="8" s="1"/>
  <c r="AJ238" i="8" s="1"/>
  <c r="AK238" i="8" s="1"/>
  <c r="AF237" i="8"/>
  <c r="AI237" i="8" s="1"/>
  <c r="AJ237" i="8" s="1"/>
  <c r="AK237" i="8" s="1"/>
  <c r="AF236" i="8"/>
  <c r="AI236" i="8" s="1"/>
  <c r="AJ236" i="8" s="1"/>
  <c r="AK236" i="8" s="1"/>
  <c r="AF235" i="8"/>
  <c r="AI235" i="8" s="1"/>
  <c r="AJ235" i="8" s="1"/>
  <c r="AK235" i="8" s="1"/>
  <c r="AF234" i="8"/>
  <c r="AI234" i="8" s="1"/>
  <c r="AJ234" i="8" s="1"/>
  <c r="AK234" i="8" s="1"/>
  <c r="AF233" i="8"/>
  <c r="AI233" i="8" s="1"/>
  <c r="AJ233" i="8" s="1"/>
  <c r="AK233" i="8" s="1"/>
  <c r="AF232" i="8"/>
  <c r="AI232" i="8" s="1"/>
  <c r="AJ232" i="8" s="1"/>
  <c r="AK232" i="8" s="1"/>
  <c r="AF231" i="8"/>
  <c r="AI231" i="8" s="1"/>
  <c r="AJ231" i="8" s="1"/>
  <c r="AK231" i="8" s="1"/>
  <c r="AF230" i="8"/>
  <c r="AI230" i="8" s="1"/>
  <c r="AJ230" i="8" s="1"/>
  <c r="AK230" i="8" s="1"/>
  <c r="AF229" i="8"/>
  <c r="AI229" i="8" s="1"/>
  <c r="AJ229" i="8" s="1"/>
  <c r="AK229" i="8" s="1"/>
  <c r="AF228" i="8"/>
  <c r="AI228" i="8" s="1"/>
  <c r="AJ228" i="8" s="1"/>
  <c r="AK228" i="8" s="1"/>
  <c r="AF227" i="8"/>
  <c r="AI227" i="8" s="1"/>
  <c r="AJ227" i="8" s="1"/>
  <c r="AK227" i="8" s="1"/>
  <c r="AF226" i="8"/>
  <c r="AI226" i="8" s="1"/>
  <c r="AJ226" i="8" s="1"/>
  <c r="AK226" i="8" s="1"/>
  <c r="AF225" i="8"/>
  <c r="AI225" i="8" s="1"/>
  <c r="AJ225" i="8" s="1"/>
  <c r="AK225" i="8" s="1"/>
  <c r="AF224" i="8"/>
  <c r="AI224" i="8" s="1"/>
  <c r="AJ224" i="8" s="1"/>
  <c r="AK224" i="8" s="1"/>
  <c r="AF223" i="8"/>
  <c r="AI223" i="8" s="1"/>
  <c r="AJ223" i="8" s="1"/>
  <c r="AK223" i="8" s="1"/>
  <c r="AF222" i="8"/>
  <c r="AI222" i="8" s="1"/>
  <c r="AJ222" i="8" s="1"/>
  <c r="AK222" i="8" s="1"/>
  <c r="AF221" i="8"/>
  <c r="AI221" i="8" s="1"/>
  <c r="AJ221" i="8" s="1"/>
  <c r="AK221" i="8" s="1"/>
  <c r="AF220" i="8"/>
  <c r="AI220" i="8" s="1"/>
  <c r="AJ220" i="8" s="1"/>
  <c r="AK220" i="8" s="1"/>
  <c r="AF219" i="8"/>
  <c r="AI219" i="8" s="1"/>
  <c r="AJ219" i="8" s="1"/>
  <c r="AK219" i="8" s="1"/>
  <c r="AF218" i="8"/>
  <c r="AI218" i="8" s="1"/>
  <c r="AJ218" i="8" s="1"/>
  <c r="AK218" i="8" s="1"/>
  <c r="AF217" i="8"/>
  <c r="AI217" i="8" s="1"/>
  <c r="AJ217" i="8" s="1"/>
  <c r="AK217" i="8" s="1"/>
  <c r="AF216" i="8"/>
  <c r="AI216" i="8" s="1"/>
  <c r="AJ216" i="8" s="1"/>
  <c r="AK216" i="8" s="1"/>
  <c r="AF215" i="8"/>
  <c r="AI215" i="8" s="1"/>
  <c r="AJ215" i="8" s="1"/>
  <c r="AK215" i="8" s="1"/>
  <c r="AF214" i="8"/>
  <c r="AI214" i="8" s="1"/>
  <c r="AJ214" i="8" s="1"/>
  <c r="AK214" i="8" s="1"/>
  <c r="AF213" i="8"/>
  <c r="AI213" i="8" s="1"/>
  <c r="AJ213" i="8" s="1"/>
  <c r="AK213" i="8" s="1"/>
  <c r="AF212" i="8"/>
  <c r="AI212" i="8" s="1"/>
  <c r="AJ212" i="8" s="1"/>
  <c r="AK212" i="8" s="1"/>
  <c r="AF210" i="8"/>
  <c r="AI210" i="8" s="1"/>
  <c r="AJ210" i="8" s="1"/>
  <c r="AK210" i="8" s="1"/>
  <c r="AF208" i="8"/>
  <c r="AI208" i="8" s="1"/>
  <c r="AJ208" i="8" s="1"/>
  <c r="AK208" i="8" s="1"/>
  <c r="AF211" i="8"/>
  <c r="AI211" i="8" s="1"/>
  <c r="AJ211" i="8" s="1"/>
  <c r="AK211" i="8" s="1"/>
  <c r="AF209" i="8"/>
  <c r="AI209" i="8" s="1"/>
  <c r="AJ209" i="8" s="1"/>
  <c r="AK209" i="8" s="1"/>
  <c r="AF207" i="8"/>
  <c r="AI207" i="8" s="1"/>
  <c r="AJ207" i="8" s="1"/>
  <c r="AK207" i="8" s="1"/>
  <c r="AF206" i="8"/>
  <c r="AI206" i="8" s="1"/>
  <c r="AJ206" i="8" s="1"/>
  <c r="AK206" i="8" s="1"/>
  <c r="AF205" i="8"/>
  <c r="AI205" i="8" s="1"/>
  <c r="AJ205" i="8" s="1"/>
  <c r="AK205" i="8" s="1"/>
  <c r="AF204" i="8"/>
  <c r="AI204" i="8" s="1"/>
  <c r="AJ204" i="8" s="1"/>
  <c r="AK204" i="8" s="1"/>
  <c r="AF203" i="8"/>
  <c r="AI203" i="8" s="1"/>
  <c r="AJ203" i="8" s="1"/>
  <c r="AK203" i="8" s="1"/>
  <c r="AF202" i="8"/>
  <c r="AI202" i="8" s="1"/>
  <c r="AJ202" i="8" s="1"/>
  <c r="AK202" i="8" s="1"/>
  <c r="AF201" i="8"/>
  <c r="AI201" i="8" s="1"/>
  <c r="AJ201" i="8" s="1"/>
  <c r="AK201" i="8" s="1"/>
  <c r="AF200" i="8"/>
  <c r="AI200" i="8" s="1"/>
  <c r="AJ200" i="8" s="1"/>
  <c r="AK200" i="8" s="1"/>
  <c r="AF199" i="8"/>
  <c r="AI199" i="8" s="1"/>
  <c r="AJ199" i="8" s="1"/>
  <c r="AK199" i="8" s="1"/>
  <c r="AF198" i="8"/>
  <c r="AI198" i="8" s="1"/>
  <c r="AJ198" i="8" s="1"/>
  <c r="AK198" i="8" s="1"/>
  <c r="AF197" i="8"/>
  <c r="AI197" i="8" s="1"/>
  <c r="AJ197" i="8" s="1"/>
  <c r="AK197" i="8" s="1"/>
  <c r="AF196" i="8"/>
  <c r="AI196" i="8" s="1"/>
  <c r="AJ196" i="8" s="1"/>
  <c r="AK196" i="8" s="1"/>
  <c r="AF195" i="8"/>
  <c r="AI195" i="8" s="1"/>
  <c r="AJ195" i="8" s="1"/>
  <c r="AK195" i="8" s="1"/>
  <c r="AF194" i="8"/>
  <c r="AI194" i="8" s="1"/>
  <c r="AJ194" i="8" s="1"/>
  <c r="AK194" i="8" s="1"/>
  <c r="AF193" i="8"/>
  <c r="AI193" i="8" s="1"/>
  <c r="AJ193" i="8" s="1"/>
  <c r="AK193" i="8" s="1"/>
  <c r="AF192" i="8"/>
  <c r="AI192" i="8" s="1"/>
  <c r="AJ192" i="8" s="1"/>
  <c r="AK192" i="8" s="1"/>
  <c r="AF191" i="8"/>
  <c r="AI191" i="8" s="1"/>
  <c r="AJ191" i="8" s="1"/>
  <c r="AK191" i="8" s="1"/>
  <c r="AF190" i="8"/>
  <c r="AI190" i="8" s="1"/>
  <c r="AJ190" i="8" s="1"/>
  <c r="AK190" i="8" s="1"/>
  <c r="AF189" i="8"/>
  <c r="AI189" i="8" s="1"/>
  <c r="AJ189" i="8" s="1"/>
  <c r="AK189" i="8" s="1"/>
  <c r="AF188" i="8"/>
  <c r="AI188" i="8" s="1"/>
  <c r="AJ188" i="8" s="1"/>
  <c r="AK188" i="8" s="1"/>
  <c r="AF187" i="8"/>
  <c r="AI187" i="8" s="1"/>
  <c r="AJ187" i="8" s="1"/>
  <c r="AK187" i="8" s="1"/>
  <c r="AF186" i="8"/>
  <c r="AI186" i="8" s="1"/>
  <c r="AJ186" i="8" s="1"/>
  <c r="AK186" i="8" s="1"/>
  <c r="AF185" i="8"/>
  <c r="AI185" i="8" s="1"/>
  <c r="AJ185" i="8" s="1"/>
  <c r="AK185" i="8" s="1"/>
  <c r="AF184" i="8"/>
  <c r="AI184" i="8" s="1"/>
  <c r="AJ184" i="8" s="1"/>
  <c r="AK184" i="8" s="1"/>
  <c r="AF183" i="8"/>
  <c r="AI183" i="8" s="1"/>
  <c r="AJ183" i="8" s="1"/>
  <c r="AK183" i="8" s="1"/>
  <c r="AF182" i="8"/>
  <c r="AI182" i="8" s="1"/>
  <c r="AJ182" i="8" s="1"/>
  <c r="AK182" i="8" s="1"/>
  <c r="AF181" i="8"/>
  <c r="AI181" i="8" s="1"/>
  <c r="AJ181" i="8" s="1"/>
  <c r="AK181" i="8" s="1"/>
  <c r="AF180" i="8"/>
  <c r="AI180" i="8" s="1"/>
  <c r="AJ180" i="8" s="1"/>
  <c r="AK180" i="8" s="1"/>
  <c r="AF179" i="8"/>
  <c r="AI179" i="8" s="1"/>
  <c r="AJ179" i="8" s="1"/>
  <c r="AK179" i="8" s="1"/>
  <c r="AF178" i="8"/>
  <c r="AI178" i="8" s="1"/>
  <c r="AJ178" i="8" s="1"/>
  <c r="AK178" i="8" s="1"/>
  <c r="AF177" i="8"/>
  <c r="AI177" i="8" s="1"/>
  <c r="AJ177" i="8" s="1"/>
  <c r="AK177" i="8" s="1"/>
  <c r="AF176" i="8"/>
  <c r="AI176" i="8" s="1"/>
  <c r="AJ176" i="8" s="1"/>
  <c r="AK176" i="8" s="1"/>
  <c r="AF175" i="8"/>
  <c r="AI175" i="8" s="1"/>
  <c r="AJ175" i="8" s="1"/>
  <c r="AK175" i="8" s="1"/>
  <c r="AF174" i="8"/>
  <c r="AI174" i="8" s="1"/>
  <c r="AJ174" i="8" s="1"/>
  <c r="AK174" i="8" s="1"/>
  <c r="AF173" i="8"/>
  <c r="AI173" i="8" s="1"/>
  <c r="AJ173" i="8" s="1"/>
  <c r="AK173" i="8" s="1"/>
  <c r="AF172" i="8"/>
  <c r="AI172" i="8" s="1"/>
  <c r="AJ172" i="8" s="1"/>
  <c r="AK172" i="8" s="1"/>
  <c r="AF171" i="8"/>
  <c r="AI171" i="8" s="1"/>
  <c r="AJ171" i="8" s="1"/>
  <c r="AK171" i="8" s="1"/>
  <c r="AF170" i="8"/>
  <c r="AI170" i="8" s="1"/>
  <c r="AJ170" i="8" s="1"/>
  <c r="AK170" i="8" s="1"/>
  <c r="AF169" i="8"/>
  <c r="AI169" i="8" s="1"/>
  <c r="AJ169" i="8" s="1"/>
  <c r="AK169" i="8" s="1"/>
  <c r="AF168" i="8"/>
  <c r="AI168" i="8" s="1"/>
  <c r="AJ168" i="8" s="1"/>
  <c r="AK168" i="8" s="1"/>
  <c r="AF167" i="8"/>
  <c r="AI167" i="8" s="1"/>
  <c r="AJ167" i="8" s="1"/>
  <c r="AK167" i="8" s="1"/>
  <c r="AF166" i="8"/>
  <c r="AI166" i="8" s="1"/>
  <c r="AJ166" i="8" s="1"/>
  <c r="AK166" i="8" s="1"/>
  <c r="AF165" i="8"/>
  <c r="AI165" i="8" s="1"/>
  <c r="AJ165" i="8" s="1"/>
  <c r="AK165" i="8" s="1"/>
  <c r="AF164" i="8"/>
  <c r="AI164" i="8" s="1"/>
  <c r="AJ164" i="8" s="1"/>
  <c r="AK164" i="8" s="1"/>
  <c r="AF163" i="8"/>
  <c r="AI163" i="8" s="1"/>
  <c r="AJ163" i="8" s="1"/>
  <c r="AK163" i="8" s="1"/>
  <c r="AF162" i="8"/>
  <c r="AI162" i="8" s="1"/>
  <c r="AJ162" i="8" s="1"/>
  <c r="AK162" i="8" s="1"/>
  <c r="AF161" i="8"/>
  <c r="AI161" i="8" s="1"/>
  <c r="AJ161" i="8" s="1"/>
  <c r="AK161" i="8" s="1"/>
  <c r="AF159" i="8"/>
  <c r="AI159" i="8" s="1"/>
  <c r="AJ159" i="8" s="1"/>
  <c r="AK159" i="8" s="1"/>
  <c r="AF157" i="8"/>
  <c r="AI157" i="8" s="1"/>
  <c r="AJ157" i="8" s="1"/>
  <c r="AK157" i="8" s="1"/>
  <c r="AF160" i="8"/>
  <c r="AI160" i="8" s="1"/>
  <c r="AJ160" i="8" s="1"/>
  <c r="AK160" i="8" s="1"/>
  <c r="AF158" i="8"/>
  <c r="AI158" i="8" s="1"/>
  <c r="AJ158" i="8" s="1"/>
  <c r="AK158" i="8" s="1"/>
  <c r="AF46" i="8"/>
  <c r="AI46" i="8" s="1"/>
  <c r="AF146" i="8"/>
  <c r="AI146" i="8" s="1"/>
  <c r="AJ146" i="8" s="1"/>
  <c r="AK146" i="8" s="1"/>
  <c r="AF144" i="8"/>
  <c r="AI144" i="8" s="1"/>
  <c r="AJ144" i="8" s="1"/>
  <c r="AK144" i="8" s="1"/>
  <c r="AF123" i="8"/>
  <c r="AI123" i="8" s="1"/>
  <c r="AJ123" i="8" s="1"/>
  <c r="AK123" i="8" s="1"/>
  <c r="AF121" i="8"/>
  <c r="AI121" i="8" s="1"/>
  <c r="AJ121" i="8" s="1"/>
  <c r="AK121" i="8" s="1"/>
  <c r="AF119" i="8"/>
  <c r="AI119" i="8" s="1"/>
  <c r="AJ119" i="8" s="1"/>
  <c r="AK119" i="8" s="1"/>
  <c r="AF117" i="8"/>
  <c r="AI117" i="8" s="1"/>
  <c r="AJ117" i="8" s="1"/>
  <c r="AK117" i="8" s="1"/>
  <c r="AF115" i="8"/>
  <c r="AI115" i="8" s="1"/>
  <c r="AJ115" i="8" s="1"/>
  <c r="AK115" i="8" s="1"/>
  <c r="AF113" i="8"/>
  <c r="AI113" i="8" s="1"/>
  <c r="AJ113" i="8" s="1"/>
  <c r="AK113" i="8" s="1"/>
  <c r="AF111" i="8"/>
  <c r="AI111" i="8" s="1"/>
  <c r="AJ111" i="8" s="1"/>
  <c r="AK111" i="8" s="1"/>
  <c r="AF109" i="8"/>
  <c r="AI109" i="8" s="1"/>
  <c r="AJ109" i="8" s="1"/>
  <c r="AK109" i="8" s="1"/>
  <c r="AF107" i="8"/>
  <c r="AI107" i="8" s="1"/>
  <c r="AJ107" i="8" s="1"/>
  <c r="AK107" i="8" s="1"/>
  <c r="AF105" i="8"/>
  <c r="AI105" i="8" s="1"/>
  <c r="AJ105" i="8" s="1"/>
  <c r="AK105" i="8" s="1"/>
  <c r="AF103" i="8"/>
  <c r="AI103" i="8" s="1"/>
  <c r="AJ103" i="8" s="1"/>
  <c r="AK103" i="8" s="1"/>
  <c r="AF101" i="8"/>
  <c r="AI101" i="8" s="1"/>
  <c r="AJ101" i="8" s="1"/>
  <c r="AK101" i="8" s="1"/>
  <c r="AF99" i="8"/>
  <c r="AI99" i="8" s="1"/>
  <c r="AJ99" i="8" s="1"/>
  <c r="AK99" i="8" s="1"/>
  <c r="AF153" i="8"/>
  <c r="AI153" i="8" s="1"/>
  <c r="AJ153" i="8" s="1"/>
  <c r="AK153" i="8" s="1"/>
  <c r="AF151" i="8"/>
  <c r="AI151" i="8" s="1"/>
  <c r="AJ151" i="8" s="1"/>
  <c r="AK151" i="8" s="1"/>
  <c r="AF149" i="8"/>
  <c r="AI149" i="8" s="1"/>
  <c r="AJ149" i="8" s="1"/>
  <c r="AK149" i="8" s="1"/>
  <c r="AF147" i="8"/>
  <c r="AI147" i="8" s="1"/>
  <c r="AJ147" i="8" s="1"/>
  <c r="AK147" i="8" s="1"/>
  <c r="AF124" i="8"/>
  <c r="AI124" i="8" s="1"/>
  <c r="AJ124" i="8" s="1"/>
  <c r="AK124" i="8" s="1"/>
  <c r="AF137" i="8"/>
  <c r="AI137" i="8" s="1"/>
  <c r="AJ137" i="8" s="1"/>
  <c r="AK137" i="8" s="1"/>
  <c r="AF135" i="8"/>
  <c r="AI135" i="8" s="1"/>
  <c r="AJ135" i="8" s="1"/>
  <c r="AK135" i="8" s="1"/>
  <c r="AF133" i="8"/>
  <c r="AI133" i="8" s="1"/>
  <c r="AJ133" i="8" s="1"/>
  <c r="AK133" i="8" s="1"/>
  <c r="AF131" i="8"/>
  <c r="AI131" i="8" s="1"/>
  <c r="AJ131" i="8" s="1"/>
  <c r="AK131" i="8" s="1"/>
  <c r="AF129" i="8"/>
  <c r="AI129" i="8" s="1"/>
  <c r="AJ129" i="8" s="1"/>
  <c r="AK129" i="8" s="1"/>
  <c r="AF127" i="8"/>
  <c r="AI127" i="8" s="1"/>
  <c r="AJ127" i="8" s="1"/>
  <c r="AK127" i="8" s="1"/>
  <c r="AF125" i="8"/>
  <c r="AI125" i="8" s="1"/>
  <c r="AJ125" i="8" s="1"/>
  <c r="AK125" i="8" s="1"/>
  <c r="AF142" i="8"/>
  <c r="AI142" i="8" s="1"/>
  <c r="AJ142" i="8" s="1"/>
  <c r="AK142" i="8" s="1"/>
  <c r="AF140" i="8"/>
  <c r="AI140" i="8" s="1"/>
  <c r="AJ140" i="8" s="1"/>
  <c r="AK140" i="8" s="1"/>
  <c r="AF97" i="8"/>
  <c r="AI97" i="8" s="1"/>
  <c r="AJ97" i="8" s="1"/>
  <c r="AK97" i="8" s="1"/>
  <c r="AF95" i="8"/>
  <c r="AI95" i="8" s="1"/>
  <c r="AJ95" i="8" s="1"/>
  <c r="AK95" i="8" s="1"/>
  <c r="AF93" i="8"/>
  <c r="AI93" i="8" s="1"/>
  <c r="AJ93" i="8" s="1"/>
  <c r="AK93" i="8" s="1"/>
  <c r="AF91" i="8"/>
  <c r="AI91" i="8" s="1"/>
  <c r="AJ91" i="8" s="1"/>
  <c r="AK91" i="8" s="1"/>
  <c r="AF89" i="8"/>
  <c r="AI89" i="8" s="1"/>
  <c r="AJ89" i="8" s="1"/>
  <c r="AK89" i="8" s="1"/>
  <c r="AF87" i="8"/>
  <c r="AI87" i="8" s="1"/>
  <c r="AJ87" i="8" s="1"/>
  <c r="AK87" i="8" s="1"/>
  <c r="AF85" i="8"/>
  <c r="AI85" i="8" s="1"/>
  <c r="AJ85" i="8" s="1"/>
  <c r="AK85" i="8" s="1"/>
  <c r="AF145" i="8"/>
  <c r="AI145" i="8" s="1"/>
  <c r="AJ145" i="8" s="1"/>
  <c r="AK145" i="8" s="1"/>
  <c r="AF122" i="8"/>
  <c r="AI122" i="8" s="1"/>
  <c r="AJ122" i="8" s="1"/>
  <c r="AK122" i="8" s="1"/>
  <c r="AF120" i="8"/>
  <c r="AI120" i="8" s="1"/>
  <c r="AJ120" i="8" s="1"/>
  <c r="AK120" i="8" s="1"/>
  <c r="AF118" i="8"/>
  <c r="AI118" i="8" s="1"/>
  <c r="AJ118" i="8" s="1"/>
  <c r="AK118" i="8" s="1"/>
  <c r="AF116" i="8"/>
  <c r="AI116" i="8" s="1"/>
  <c r="AJ116" i="8" s="1"/>
  <c r="AK116" i="8" s="1"/>
  <c r="AF114" i="8"/>
  <c r="AI114" i="8" s="1"/>
  <c r="AJ114" i="8" s="1"/>
  <c r="AK114" i="8" s="1"/>
  <c r="AF112" i="8"/>
  <c r="AI112" i="8" s="1"/>
  <c r="AJ112" i="8" s="1"/>
  <c r="AK112" i="8" s="1"/>
  <c r="AF110" i="8"/>
  <c r="AI110" i="8" s="1"/>
  <c r="AJ110" i="8" s="1"/>
  <c r="AK110" i="8" s="1"/>
  <c r="AF108" i="8"/>
  <c r="AI108" i="8" s="1"/>
  <c r="AJ108" i="8" s="1"/>
  <c r="AK108" i="8" s="1"/>
  <c r="AF106" i="8"/>
  <c r="AI106" i="8" s="1"/>
  <c r="AJ106" i="8" s="1"/>
  <c r="AK106" i="8" s="1"/>
  <c r="AF104" i="8"/>
  <c r="AI104" i="8" s="1"/>
  <c r="AJ104" i="8" s="1"/>
  <c r="AK104" i="8" s="1"/>
  <c r="AF102" i="8"/>
  <c r="AI102" i="8" s="1"/>
  <c r="AJ102" i="8" s="1"/>
  <c r="AK102" i="8" s="1"/>
  <c r="AF100" i="8"/>
  <c r="AI100" i="8" s="1"/>
  <c r="AJ100" i="8" s="1"/>
  <c r="AK100" i="8" s="1"/>
  <c r="AF154" i="8"/>
  <c r="AI154" i="8" s="1"/>
  <c r="AJ154" i="8" s="1"/>
  <c r="AK154" i="8" s="1"/>
  <c r="AF152" i="8"/>
  <c r="AI152" i="8" s="1"/>
  <c r="AJ152" i="8" s="1"/>
  <c r="AK152" i="8" s="1"/>
  <c r="AF150" i="8"/>
  <c r="AI150" i="8" s="1"/>
  <c r="AJ150" i="8" s="1"/>
  <c r="AK150" i="8" s="1"/>
  <c r="AF148" i="8"/>
  <c r="AI148" i="8" s="1"/>
  <c r="AJ148" i="8" s="1"/>
  <c r="AK148" i="8" s="1"/>
  <c r="AF155" i="8"/>
  <c r="AI155" i="8" s="1"/>
  <c r="AJ155" i="8" s="1"/>
  <c r="AK155" i="8" s="1"/>
  <c r="AF138" i="8"/>
  <c r="AI138" i="8" s="1"/>
  <c r="AJ138" i="8" s="1"/>
  <c r="AK138" i="8" s="1"/>
  <c r="AF136" i="8"/>
  <c r="AI136" i="8" s="1"/>
  <c r="AJ136" i="8" s="1"/>
  <c r="AK136" i="8" s="1"/>
  <c r="AF134" i="8"/>
  <c r="AI134" i="8" s="1"/>
  <c r="AJ134" i="8" s="1"/>
  <c r="AK134" i="8" s="1"/>
  <c r="AF132" i="8"/>
  <c r="AI132" i="8" s="1"/>
  <c r="AJ132" i="8" s="1"/>
  <c r="AK132" i="8" s="1"/>
  <c r="AF130" i="8"/>
  <c r="AI130" i="8" s="1"/>
  <c r="AJ130" i="8" s="1"/>
  <c r="AK130" i="8" s="1"/>
  <c r="AF128" i="8"/>
  <c r="AI128" i="8" s="1"/>
  <c r="AJ128" i="8" s="1"/>
  <c r="AK128" i="8" s="1"/>
  <c r="AF126" i="8"/>
  <c r="AI126" i="8" s="1"/>
  <c r="AJ126" i="8" s="1"/>
  <c r="AK126" i="8" s="1"/>
  <c r="AF86" i="8"/>
  <c r="AI86" i="8" s="1"/>
  <c r="AJ86" i="8" s="1"/>
  <c r="AK86" i="8" s="1"/>
  <c r="AF80" i="8"/>
  <c r="AI80" i="8" s="1"/>
  <c r="AJ80" i="8" s="1"/>
  <c r="AK80" i="8" s="1"/>
  <c r="AF84" i="8"/>
  <c r="AI84" i="8" s="1"/>
  <c r="AJ84" i="8" s="1"/>
  <c r="AK84" i="8" s="1"/>
  <c r="AF156" i="8"/>
  <c r="AI156" i="8" s="1"/>
  <c r="AJ156" i="8" s="1"/>
  <c r="AK156" i="8" s="1"/>
  <c r="AF82" i="8"/>
  <c r="AI82" i="8" s="1"/>
  <c r="AJ82" i="8" s="1"/>
  <c r="AK82" i="8" s="1"/>
  <c r="AF78" i="8"/>
  <c r="AI78" i="8" s="1"/>
  <c r="AJ78" i="8" s="1"/>
  <c r="AK78" i="8" s="1"/>
  <c r="AF76" i="8"/>
  <c r="AI76" i="8" s="1"/>
  <c r="AJ76" i="8" s="1"/>
  <c r="AK76" i="8" s="1"/>
  <c r="AF74" i="8"/>
  <c r="AI74" i="8" s="1"/>
  <c r="AJ74" i="8" s="1"/>
  <c r="AK74" i="8" s="1"/>
  <c r="AF72" i="8"/>
  <c r="AI72" i="8" s="1"/>
  <c r="AJ72" i="8" s="1"/>
  <c r="AK72" i="8" s="1"/>
  <c r="AF70" i="8"/>
  <c r="AI70" i="8" s="1"/>
  <c r="AJ70" i="8" s="1"/>
  <c r="AK70" i="8" s="1"/>
  <c r="AF68" i="8"/>
  <c r="AI68" i="8" s="1"/>
  <c r="AJ68" i="8" s="1"/>
  <c r="AK68" i="8" s="1"/>
  <c r="AF143" i="8"/>
  <c r="AI143" i="8" s="1"/>
  <c r="AJ143" i="8" s="1"/>
  <c r="AK143" i="8" s="1"/>
  <c r="AF98" i="8"/>
  <c r="AI98" i="8" s="1"/>
  <c r="AJ98" i="8" s="1"/>
  <c r="AK98" i="8" s="1"/>
  <c r="AF96" i="8"/>
  <c r="AI96" i="8" s="1"/>
  <c r="AJ96" i="8" s="1"/>
  <c r="AK96" i="8" s="1"/>
  <c r="AF141" i="8"/>
  <c r="AI141" i="8" s="1"/>
  <c r="AJ141" i="8" s="1"/>
  <c r="AK141" i="8" s="1"/>
  <c r="AF94" i="8"/>
  <c r="AI94" i="8" s="1"/>
  <c r="AJ94" i="8" s="1"/>
  <c r="AK94" i="8" s="1"/>
  <c r="AF139" i="8"/>
  <c r="AI139" i="8" s="1"/>
  <c r="AJ139" i="8" s="1"/>
  <c r="AK139" i="8" s="1"/>
  <c r="AF92" i="8"/>
  <c r="AI92" i="8" s="1"/>
  <c r="AJ92" i="8" s="1"/>
  <c r="AK92" i="8" s="1"/>
  <c r="AF81" i="8"/>
  <c r="AI81" i="8" s="1"/>
  <c r="AJ81" i="8" s="1"/>
  <c r="AK81" i="8" s="1"/>
  <c r="AF90" i="8"/>
  <c r="AI90" i="8" s="1"/>
  <c r="AJ90" i="8" s="1"/>
  <c r="AK90" i="8" s="1"/>
  <c r="AF77" i="8"/>
  <c r="AI77" i="8" s="1"/>
  <c r="AJ77" i="8" s="1"/>
  <c r="AK77" i="8" s="1"/>
  <c r="AF75" i="8"/>
  <c r="AI75" i="8" s="1"/>
  <c r="AJ75" i="8" s="1"/>
  <c r="AK75" i="8" s="1"/>
  <c r="AF73" i="8"/>
  <c r="AI73" i="8" s="1"/>
  <c r="AJ73" i="8" s="1"/>
  <c r="AK73" i="8" s="1"/>
  <c r="AF71" i="8"/>
  <c r="AI71" i="8" s="1"/>
  <c r="AJ71" i="8" s="1"/>
  <c r="AK71" i="8" s="1"/>
  <c r="AF69" i="8"/>
  <c r="AI69" i="8" s="1"/>
  <c r="AJ69" i="8" s="1"/>
  <c r="AK69" i="8" s="1"/>
  <c r="AF67" i="8"/>
  <c r="AI67" i="8" s="1"/>
  <c r="AJ67" i="8" s="1"/>
  <c r="AK67" i="8" s="1"/>
  <c r="AF88" i="8"/>
  <c r="AI88" i="8" s="1"/>
  <c r="AJ88" i="8" s="1"/>
  <c r="AK88" i="8" s="1"/>
  <c r="AF83" i="8"/>
  <c r="AI83" i="8" s="1"/>
  <c r="AJ83" i="8" s="1"/>
  <c r="AK83" i="8" s="1"/>
  <c r="AF79" i="8"/>
  <c r="AI79" i="8" s="1"/>
  <c r="AJ79" i="8" s="1"/>
  <c r="AK79" i="8" s="1"/>
  <c r="AF27" i="8"/>
  <c r="AI27" i="8" s="1"/>
  <c r="AJ27" i="8" s="1"/>
  <c r="AK27" i="8" s="1"/>
  <c r="AF28" i="8"/>
  <c r="AI28" i="8" s="1"/>
  <c r="AJ28" i="8" s="1"/>
  <c r="AK28" i="8" s="1"/>
  <c r="AF29" i="8"/>
  <c r="AI29" i="8" s="1"/>
  <c r="AJ29" i="8" s="1"/>
  <c r="AK29" i="8" s="1"/>
  <c r="AF30" i="8"/>
  <c r="AI30" i="8" s="1"/>
  <c r="AJ30" i="8" s="1"/>
  <c r="AK30" i="8" s="1"/>
  <c r="AF26" i="8"/>
  <c r="AI26" i="8" s="1"/>
  <c r="AJ26" i="8" s="1"/>
  <c r="AK26" i="8" s="1"/>
  <c r="AF4" i="8"/>
  <c r="AF6" i="8"/>
  <c r="AI6" i="8" s="1"/>
  <c r="AJ6" i="8" s="1"/>
  <c r="AK6" i="8" s="1"/>
  <c r="AF5" i="8"/>
  <c r="AI5" i="8" s="1"/>
  <c r="AJ5" i="8" s="1"/>
  <c r="AK5" i="8" s="1"/>
  <c r="AF7" i="8"/>
  <c r="AI7" i="8" s="1"/>
  <c r="AJ7" i="8" s="1"/>
  <c r="AK7" i="8" s="1"/>
  <c r="AF8" i="8"/>
  <c r="AI8" i="8" s="1"/>
  <c r="AJ8" i="8" s="1"/>
  <c r="AK8" i="8" s="1"/>
  <c r="AF9" i="8"/>
  <c r="AI9" i="8" s="1"/>
  <c r="AJ9" i="8" s="1"/>
  <c r="AK9" i="8" s="1"/>
  <c r="AF10" i="8"/>
  <c r="AI10" i="8" s="1"/>
  <c r="AJ10" i="8" s="1"/>
  <c r="AK10" i="8" s="1"/>
  <c r="AF11" i="8"/>
  <c r="AI11" i="8" s="1"/>
  <c r="AJ11" i="8" s="1"/>
  <c r="AK11" i="8" s="1"/>
  <c r="AF12" i="8"/>
  <c r="AI12" i="8" s="1"/>
  <c r="AJ12" i="8" s="1"/>
  <c r="AK12" i="8" s="1"/>
  <c r="AF13" i="8"/>
  <c r="AI13" i="8" s="1"/>
  <c r="AJ13" i="8" s="1"/>
  <c r="AK13" i="8" s="1"/>
  <c r="AF14" i="8"/>
  <c r="AI14" i="8" s="1"/>
  <c r="AJ14" i="8" s="1"/>
  <c r="AK14" i="8" s="1"/>
  <c r="AF15" i="8"/>
  <c r="AI15" i="8" s="1"/>
  <c r="AJ15" i="8" s="1"/>
  <c r="AK15" i="8" s="1"/>
  <c r="AF16" i="8"/>
  <c r="AI16" i="8" s="1"/>
  <c r="AJ16" i="8" s="1"/>
  <c r="AK16" i="8" s="1"/>
  <c r="AF17" i="8"/>
  <c r="AI17" i="8" s="1"/>
  <c r="AJ17" i="8" s="1"/>
  <c r="AK17" i="8" s="1"/>
  <c r="AF18" i="8"/>
  <c r="AI18" i="8" s="1"/>
  <c r="AJ18" i="8" s="1"/>
  <c r="AK18" i="8" s="1"/>
  <c r="AF19" i="8"/>
  <c r="AI19" i="8" s="1"/>
  <c r="AJ19" i="8" s="1"/>
  <c r="AK19" i="8" s="1"/>
  <c r="AF20" i="8"/>
  <c r="AI20" i="8" s="1"/>
  <c r="AJ20" i="8" s="1"/>
  <c r="AK20" i="8" s="1"/>
  <c r="AF21" i="8"/>
  <c r="AI21" i="8" s="1"/>
  <c r="AJ21" i="8" s="1"/>
  <c r="AK21" i="8" s="1"/>
  <c r="AF22" i="8"/>
  <c r="AI22" i="8" s="1"/>
  <c r="AJ22" i="8" s="1"/>
  <c r="AK22" i="8" s="1"/>
  <c r="AF23" i="8"/>
  <c r="AI23" i="8" s="1"/>
  <c r="AJ23" i="8" s="1"/>
  <c r="AK23" i="8" s="1"/>
  <c r="AF24" i="8"/>
  <c r="AI24" i="8" s="1"/>
  <c r="AJ24" i="8" s="1"/>
  <c r="AK24" i="8" s="1"/>
  <c r="AF25" i="8"/>
  <c r="AI25" i="8" s="1"/>
  <c r="AJ25" i="8" s="1"/>
  <c r="AK25" i="8" s="1"/>
  <c r="AF31" i="8"/>
  <c r="AI31" i="8" s="1"/>
  <c r="AJ31" i="8" s="1"/>
  <c r="AK31" i="8" s="1"/>
  <c r="AF32" i="8"/>
  <c r="AI32" i="8" s="1"/>
  <c r="AJ32" i="8" s="1"/>
  <c r="AK32" i="8" s="1"/>
  <c r="AF33" i="8"/>
  <c r="AI33" i="8" s="1"/>
  <c r="AJ33" i="8" s="1"/>
  <c r="AK33" i="8" s="1"/>
  <c r="AF34" i="8"/>
  <c r="AI34" i="8" s="1"/>
  <c r="AJ34" i="8" s="1"/>
  <c r="AK34" i="8" s="1"/>
  <c r="AF35" i="8"/>
  <c r="AI35" i="8" s="1"/>
  <c r="AJ35" i="8" s="1"/>
  <c r="AK35" i="8" s="1"/>
  <c r="AF36" i="8"/>
  <c r="AI36" i="8" s="1"/>
  <c r="AJ36" i="8" s="1"/>
  <c r="AK36" i="8" s="1"/>
  <c r="AF37" i="8"/>
  <c r="AI37" i="8" s="1"/>
  <c r="AJ37" i="8" s="1"/>
  <c r="AK37" i="8" s="1"/>
  <c r="AF38" i="8"/>
  <c r="AI38" i="8" s="1"/>
  <c r="AJ38" i="8" s="1"/>
  <c r="AK38" i="8" s="1"/>
  <c r="AF39" i="8"/>
  <c r="AI39" i="8" s="1"/>
  <c r="AJ39" i="8" s="1"/>
  <c r="AK39" i="8" s="1"/>
  <c r="AF40" i="8"/>
  <c r="AI40" i="8" s="1"/>
  <c r="AJ40" i="8" s="1"/>
  <c r="AK40" i="8" s="1"/>
  <c r="AF41" i="8"/>
  <c r="AI41" i="8" s="1"/>
  <c r="AJ41" i="8" s="1"/>
  <c r="AK41" i="8" s="1"/>
  <c r="AF42" i="8"/>
  <c r="AI42" i="8" s="1"/>
  <c r="AJ42" i="8" s="1"/>
  <c r="AK42" i="8" s="1"/>
  <c r="AF43" i="8"/>
  <c r="AI43" i="8" s="1"/>
  <c r="AJ43" i="8" s="1"/>
  <c r="AK43" i="8" s="1"/>
  <c r="AF44" i="8"/>
  <c r="AI44" i="8" s="1"/>
  <c r="AJ44" i="8" s="1"/>
  <c r="AK44" i="8" s="1"/>
  <c r="AF45" i="8"/>
  <c r="AI45" i="8" s="1"/>
  <c r="AJ45" i="8" s="1"/>
  <c r="AK45" i="8" s="1"/>
  <c r="AA46" i="8"/>
  <c r="AN46" i="8"/>
  <c r="AO46" i="8"/>
  <c r="Y47" i="8"/>
  <c r="AF47" i="8"/>
  <c r="AE47" i="8"/>
  <c r="AH47" i="8"/>
  <c r="AD47" i="8"/>
  <c r="AG47" i="8"/>
  <c r="AC47" i="8"/>
  <c r="AB47" i="8"/>
  <c r="L12" i="7"/>
  <c r="M12" i="7" s="1"/>
  <c r="L11" i="7"/>
  <c r="M11" i="7" s="1"/>
  <c r="L10" i="7"/>
  <c r="M10" i="7" s="1"/>
  <c r="L9" i="7"/>
  <c r="M9" i="7" s="1"/>
  <c r="L8" i="7"/>
  <c r="M8" i="7" s="1"/>
  <c r="L7" i="7"/>
  <c r="M7" i="7" s="1"/>
  <c r="L6" i="7"/>
  <c r="M6" i="7" s="1"/>
  <c r="L5" i="7"/>
  <c r="M5" i="7" s="1"/>
  <c r="L4" i="7"/>
  <c r="AI4" i="8" l="1"/>
  <c r="AI47" i="8"/>
  <c r="AJ46" i="8"/>
  <c r="AK46" i="8" s="1"/>
  <c r="Y48" i="8"/>
  <c r="AB48" i="8"/>
  <c r="AE48" i="8"/>
  <c r="AD48" i="8"/>
  <c r="AC48" i="8"/>
  <c r="AG48" i="8"/>
  <c r="AF48" i="8"/>
  <c r="AH48" i="8"/>
  <c r="AA47" i="8"/>
  <c r="AO47" i="8"/>
  <c r="AN47" i="8"/>
  <c r="M4" i="7"/>
  <c r="AJ4" i="8" l="1"/>
  <c r="AJ47" i="8"/>
  <c r="AK47" i="8" s="1"/>
  <c r="AI48" i="8"/>
  <c r="AC49" i="8"/>
  <c r="AE49" i="8"/>
  <c r="AH49" i="8"/>
  <c r="AD49" i="8"/>
  <c r="Y49" i="8"/>
  <c r="AG49" i="8"/>
  <c r="AF49" i="8"/>
  <c r="AB49" i="8"/>
  <c r="AA48" i="8"/>
  <c r="AN48" i="8"/>
  <c r="AO48" i="8"/>
  <c r="L50" i="7"/>
  <c r="M50" i="7" s="1"/>
  <c r="L49" i="7"/>
  <c r="M49" i="7" s="1"/>
  <c r="L48" i="7"/>
  <c r="M48" i="7" s="1"/>
  <c r="L47" i="7"/>
  <c r="M47" i="7" s="1"/>
  <c r="L46" i="7"/>
  <c r="M46" i="7" s="1"/>
  <c r="L45" i="7"/>
  <c r="M45" i="7" s="1"/>
  <c r="L44" i="7"/>
  <c r="M44" i="7" s="1"/>
  <c r="L43" i="7"/>
  <c r="M43" i="7" s="1"/>
  <c r="L42" i="7"/>
  <c r="M42" i="7" s="1"/>
  <c r="L41" i="7"/>
  <c r="M41" i="7" s="1"/>
  <c r="L40" i="7"/>
  <c r="M40" i="7" s="1"/>
  <c r="L39" i="7"/>
  <c r="M39" i="7" s="1"/>
  <c r="L38" i="7"/>
  <c r="M38" i="7" s="1"/>
  <c r="L37" i="7"/>
  <c r="M37" i="7" s="1"/>
  <c r="L36" i="7"/>
  <c r="M36" i="7" s="1"/>
  <c r="L35" i="7"/>
  <c r="M35" i="7" s="1"/>
  <c r="L34" i="7"/>
  <c r="M34" i="7" s="1"/>
  <c r="L33" i="7"/>
  <c r="M33" i="7" s="1"/>
  <c r="L30" i="7"/>
  <c r="M30" i="7" s="1"/>
  <c r="L29" i="7"/>
  <c r="M29" i="7" s="1"/>
  <c r="L28" i="7"/>
  <c r="M28" i="7" s="1"/>
  <c r="L27" i="7"/>
  <c r="M27" i="7" s="1"/>
  <c r="AI49" i="8" l="1"/>
  <c r="AK4" i="8"/>
  <c r="AJ48" i="8"/>
  <c r="AK48" i="8" s="1"/>
  <c r="AA49" i="8"/>
  <c r="AN49" i="8"/>
  <c r="AO49" i="8"/>
  <c r="Y50" i="8"/>
  <c r="AH50" i="8"/>
  <c r="AD50" i="8"/>
  <c r="AC50" i="8"/>
  <c r="AE50" i="8"/>
  <c r="AF50" i="8"/>
  <c r="AG50" i="8"/>
  <c r="AB50" i="8"/>
  <c r="L31" i="7"/>
  <c r="M31" i="7" s="1"/>
  <c r="L32" i="7"/>
  <c r="M32" i="7" s="1"/>
  <c r="AI50" i="8" l="1"/>
  <c r="AJ49" i="8"/>
  <c r="AA50" i="8"/>
  <c r="AN50" i="8"/>
  <c r="AO50" i="8"/>
  <c r="Y51" i="8"/>
  <c r="AF51" i="8"/>
  <c r="AG51" i="8"/>
  <c r="AH51" i="8"/>
  <c r="AC51" i="8"/>
  <c r="AE51" i="8"/>
  <c r="AB51" i="8"/>
  <c r="AD51" i="8"/>
  <c r="L126" i="7"/>
  <c r="M126" i="7" s="1"/>
  <c r="L125" i="7"/>
  <c r="M125" i="7" s="1"/>
  <c r="L124" i="7"/>
  <c r="M124" i="7" s="1"/>
  <c r="L123" i="7"/>
  <c r="M123" i="7" s="1"/>
  <c r="L122" i="7"/>
  <c r="M122" i="7" s="1"/>
  <c r="L121" i="7"/>
  <c r="M121" i="7" s="1"/>
  <c r="L120" i="7"/>
  <c r="M120" i="7" s="1"/>
  <c r="L119" i="7"/>
  <c r="M119" i="7" s="1"/>
  <c r="L118" i="7"/>
  <c r="M118" i="7" s="1"/>
  <c r="L117" i="7"/>
  <c r="M117" i="7" s="1"/>
  <c r="L116" i="7"/>
  <c r="M116" i="7" s="1"/>
  <c r="L115" i="7"/>
  <c r="M115" i="7" s="1"/>
  <c r="L114" i="7"/>
  <c r="M114" i="7" s="1"/>
  <c r="L113" i="7"/>
  <c r="M113" i="7" s="1"/>
  <c r="L112" i="7"/>
  <c r="M112" i="7" s="1"/>
  <c r="L111" i="7"/>
  <c r="M111" i="7" s="1"/>
  <c r="L110" i="7"/>
  <c r="M110" i="7" s="1"/>
  <c r="L109" i="7"/>
  <c r="M109" i="7" s="1"/>
  <c r="L108" i="7"/>
  <c r="M108" i="7" s="1"/>
  <c r="L107" i="7"/>
  <c r="M107" i="7" s="1"/>
  <c r="L106" i="7"/>
  <c r="M106" i="7" s="1"/>
  <c r="L105" i="7"/>
  <c r="M105" i="7" s="1"/>
  <c r="L104" i="7"/>
  <c r="M104" i="7" s="1"/>
  <c r="L103" i="7"/>
  <c r="M103" i="7" s="1"/>
  <c r="L102" i="7"/>
  <c r="M102" i="7" s="1"/>
  <c r="L101" i="7"/>
  <c r="M101" i="7" s="1"/>
  <c r="L100" i="7"/>
  <c r="M100" i="7" s="1"/>
  <c r="L99" i="7"/>
  <c r="M99" i="7" s="1"/>
  <c r="L98" i="7"/>
  <c r="M98" i="7" s="1"/>
  <c r="L97" i="7"/>
  <c r="M97" i="7" s="1"/>
  <c r="L96" i="7"/>
  <c r="M96" i="7" s="1"/>
  <c r="L95" i="7"/>
  <c r="M95" i="7" s="1"/>
  <c r="L94" i="7"/>
  <c r="M94" i="7" s="1"/>
  <c r="L93" i="7"/>
  <c r="M93" i="7" s="1"/>
  <c r="L92" i="7"/>
  <c r="M92" i="7" s="1"/>
  <c r="L91" i="7"/>
  <c r="M91" i="7" s="1"/>
  <c r="L90" i="7"/>
  <c r="M90" i="7" s="1"/>
  <c r="L89" i="7"/>
  <c r="M89" i="7" s="1"/>
  <c r="L88" i="7"/>
  <c r="M88" i="7" s="1"/>
  <c r="L87" i="7"/>
  <c r="M87" i="7" s="1"/>
  <c r="L86" i="7"/>
  <c r="M86" i="7" s="1"/>
  <c r="L85" i="7"/>
  <c r="M85" i="7" s="1"/>
  <c r="L84" i="7"/>
  <c r="M84" i="7" s="1"/>
  <c r="L83" i="7"/>
  <c r="M83" i="7" s="1"/>
  <c r="L82" i="7"/>
  <c r="M82" i="7" s="1"/>
  <c r="L81" i="7"/>
  <c r="M81" i="7" s="1"/>
  <c r="L80" i="7"/>
  <c r="M80" i="7" s="1"/>
  <c r="L79" i="7"/>
  <c r="M79" i="7" s="1"/>
  <c r="L78" i="7"/>
  <c r="M78" i="7" s="1"/>
  <c r="L77" i="7"/>
  <c r="M77" i="7" s="1"/>
  <c r="L76" i="7"/>
  <c r="M76" i="7" s="1"/>
  <c r="L75" i="7"/>
  <c r="M75" i="7" s="1"/>
  <c r="L74" i="7"/>
  <c r="M74" i="7" s="1"/>
  <c r="L73" i="7"/>
  <c r="M73" i="7" s="1"/>
  <c r="L72" i="7"/>
  <c r="M72" i="7" s="1"/>
  <c r="L71" i="7"/>
  <c r="M71" i="7" s="1"/>
  <c r="L70" i="7"/>
  <c r="M70" i="7" s="1"/>
  <c r="L69" i="7"/>
  <c r="M69" i="7" s="1"/>
  <c r="L68" i="7"/>
  <c r="M68" i="7" s="1"/>
  <c r="L67" i="7"/>
  <c r="M67" i="7" s="1"/>
  <c r="L66" i="7"/>
  <c r="M66" i="7" s="1"/>
  <c r="L65" i="7"/>
  <c r="M65" i="7" s="1"/>
  <c r="L64" i="7"/>
  <c r="M64" i="7" s="1"/>
  <c r="L63" i="7"/>
  <c r="M63" i="7" s="1"/>
  <c r="L62" i="7"/>
  <c r="M62" i="7" s="1"/>
  <c r="L61" i="7"/>
  <c r="M61" i="7" s="1"/>
  <c r="L60" i="7"/>
  <c r="M60" i="7" s="1"/>
  <c r="L59" i="7"/>
  <c r="M59" i="7" s="1"/>
  <c r="L58" i="7"/>
  <c r="M58" i="7" s="1"/>
  <c r="L57" i="7"/>
  <c r="M57" i="7" s="1"/>
  <c r="L56" i="7"/>
  <c r="M56" i="7" s="1"/>
  <c r="L55" i="7"/>
  <c r="M55" i="7" s="1"/>
  <c r="L54" i="7"/>
  <c r="M54" i="7" s="1"/>
  <c r="L53" i="7"/>
  <c r="M53" i="7" s="1"/>
  <c r="L52" i="7"/>
  <c r="M52" i="7" s="1"/>
  <c r="L51" i="7"/>
  <c r="M51" i="7" s="1"/>
  <c r="AI51" i="8" l="1"/>
  <c r="AK49" i="8"/>
  <c r="AJ50" i="8"/>
  <c r="AK50" i="8" s="1"/>
  <c r="AA51" i="8"/>
  <c r="AO51" i="8"/>
  <c r="AN51" i="8"/>
  <c r="AF52" i="8"/>
  <c r="AB52" i="8"/>
  <c r="AH52" i="8"/>
  <c r="Y52" i="8"/>
  <c r="AG52" i="8"/>
  <c r="AE52" i="8"/>
  <c r="AD52" i="8"/>
  <c r="AC52" i="8"/>
  <c r="L26" i="7"/>
  <c r="M26" i="7" s="1"/>
  <c r="L25" i="7"/>
  <c r="M25" i="7" s="1"/>
  <c r="L24" i="7"/>
  <c r="M24" i="7" s="1"/>
  <c r="L23" i="7"/>
  <c r="M23" i="7" s="1"/>
  <c r="L22" i="7"/>
  <c r="M22" i="7" s="1"/>
  <c r="L21" i="7"/>
  <c r="M21" i="7" s="1"/>
  <c r="L20" i="7"/>
  <c r="M20" i="7" s="1"/>
  <c r="L19" i="7"/>
  <c r="M19" i="7" s="1"/>
  <c r="L18" i="7"/>
  <c r="M18" i="7" s="1"/>
  <c r="L17" i="7"/>
  <c r="M17" i="7" s="1"/>
  <c r="L16" i="7"/>
  <c r="M16" i="7" s="1"/>
  <c r="L15" i="7"/>
  <c r="M15" i="7" s="1"/>
  <c r="L14" i="7"/>
  <c r="M14" i="7" s="1"/>
  <c r="L13" i="7"/>
  <c r="M13" i="7" s="1"/>
  <c r="AI52" i="8" l="1"/>
  <c r="AJ51" i="8"/>
  <c r="AA52" i="8"/>
  <c r="AN52" i="8"/>
  <c r="AO52" i="8"/>
  <c r="Y53" i="8"/>
  <c r="AC53" i="8"/>
  <c r="AD53" i="8"/>
  <c r="AH53" i="8"/>
  <c r="AG53" i="8"/>
  <c r="AB53" i="8"/>
  <c r="AF53" i="8"/>
  <c r="AE53" i="8"/>
  <c r="AK51" i="8" l="1"/>
  <c r="AI53" i="8"/>
  <c r="AJ52" i="8"/>
  <c r="AK52" i="8" s="1"/>
  <c r="AG54" i="8"/>
  <c r="AB54" i="8"/>
  <c r="Y54" i="8"/>
  <c r="AC54" i="8"/>
  <c r="AF54" i="8"/>
  <c r="AH54" i="8"/>
  <c r="AE54" i="8"/>
  <c r="AD54" i="8"/>
  <c r="AA53" i="8"/>
  <c r="AN53" i="8"/>
  <c r="AO53" i="8"/>
  <c r="AI54" i="8" l="1"/>
  <c r="AJ53" i="8"/>
  <c r="AD55" i="8"/>
  <c r="AH55" i="8"/>
  <c r="AF55" i="8"/>
  <c r="AG55" i="8"/>
  <c r="Y55" i="8"/>
  <c r="AB55" i="8"/>
  <c r="AE55" i="8"/>
  <c r="AC55" i="8"/>
  <c r="AA54" i="8"/>
  <c r="AO54" i="8"/>
  <c r="AN54" i="8"/>
  <c r="AK53" i="8" l="1"/>
  <c r="AI55" i="8"/>
  <c r="AJ54" i="8"/>
  <c r="AK54" i="8" s="1"/>
  <c r="AA55" i="8"/>
  <c r="AN55" i="8"/>
  <c r="AO55" i="8"/>
  <c r="AH56" i="8"/>
  <c r="AF56" i="8"/>
  <c r="Y56" i="8"/>
  <c r="AB56" i="8"/>
  <c r="AE56" i="8"/>
  <c r="AC56" i="8"/>
  <c r="AD56" i="8"/>
  <c r="AG56" i="8"/>
  <c r="AI56" i="8" l="1"/>
  <c r="AJ55" i="8"/>
  <c r="AK55" i="8" s="1"/>
  <c r="AF57" i="8"/>
  <c r="AG57" i="8"/>
  <c r="AD57" i="8"/>
  <c r="AE57" i="8"/>
  <c r="AB57" i="8"/>
  <c r="AC57" i="8"/>
  <c r="Y57" i="8"/>
  <c r="AH57" i="8"/>
  <c r="AA56" i="8"/>
  <c r="AO56" i="8"/>
  <c r="AN56" i="8"/>
  <c r="AI57" i="8" l="1"/>
  <c r="AJ56" i="8"/>
  <c r="Y58" i="8"/>
  <c r="AF58" i="8"/>
  <c r="AE58" i="8"/>
  <c r="AH58" i="8"/>
  <c r="AG58" i="8"/>
  <c r="AB58" i="8"/>
  <c r="AD58" i="8"/>
  <c r="AC58" i="8"/>
  <c r="AO57" i="8"/>
  <c r="AN57" i="8"/>
  <c r="AA57" i="8"/>
  <c r="AK56" i="8" l="1"/>
  <c r="AI58" i="8"/>
  <c r="AJ57" i="8"/>
  <c r="AK57" i="8" s="1"/>
  <c r="AO58" i="8"/>
  <c r="AN58" i="8"/>
  <c r="AA58" i="8"/>
  <c r="AB59" i="8"/>
  <c r="Y59" i="8"/>
  <c r="AH59" i="8"/>
  <c r="AG59" i="8"/>
  <c r="AF59" i="8"/>
  <c r="AC59" i="8"/>
  <c r="AD59" i="8"/>
  <c r="AI59" i="8" l="1"/>
  <c r="AJ58" i="8"/>
  <c r="AK58" i="8" s="1"/>
  <c r="AA59" i="8"/>
  <c r="AO59" i="8"/>
  <c r="AN59" i="8"/>
  <c r="AC60" i="8"/>
  <c r="Y60" i="8"/>
  <c r="AG60" i="8"/>
  <c r="AB60" i="8"/>
  <c r="AH60" i="8"/>
  <c r="AD60" i="8"/>
  <c r="AF60" i="8"/>
  <c r="AE60" i="8"/>
  <c r="AI60" i="8" l="1"/>
  <c r="AJ59" i="8"/>
  <c r="AK59" i="8" s="1"/>
  <c r="AA60" i="8"/>
  <c r="AO60" i="8"/>
  <c r="AN60" i="8"/>
  <c r="AF61" i="8"/>
  <c r="Y61" i="8"/>
  <c r="AE61" i="8"/>
  <c r="AB61" i="8"/>
  <c r="AD61" i="8"/>
  <c r="AH61" i="8"/>
  <c r="AG61" i="8"/>
  <c r="AC61" i="8"/>
  <c r="AI61" i="8" l="1"/>
  <c r="AJ60" i="8"/>
  <c r="AO61" i="8"/>
  <c r="AN61" i="8"/>
  <c r="AC62" i="8"/>
  <c r="AB62" i="8"/>
  <c r="AE62" i="8"/>
  <c r="AG62" i="8"/>
  <c r="AH62" i="8"/>
  <c r="AD62" i="8"/>
  <c r="Y62" i="8"/>
  <c r="AF62" i="8"/>
  <c r="AA61" i="8"/>
  <c r="AK60" i="8" l="1"/>
  <c r="AI62" i="8"/>
  <c r="AJ61" i="8"/>
  <c r="AK61" i="8" s="1"/>
  <c r="AH63" i="8"/>
  <c r="AB63" i="8"/>
  <c r="AG63" i="8"/>
  <c r="AD63" i="8"/>
  <c r="Y63" i="8"/>
  <c r="AF63" i="8"/>
  <c r="AC63" i="8"/>
  <c r="AE63" i="8"/>
  <c r="AA62" i="8"/>
  <c r="AN62" i="8"/>
  <c r="AO62" i="8"/>
  <c r="AJ62" i="8" l="1"/>
  <c r="AI63" i="8"/>
  <c r="AA63" i="8"/>
  <c r="AN63" i="8"/>
  <c r="AO63" i="8"/>
  <c r="AH64" i="8"/>
  <c r="AF64" i="8"/>
  <c r="Y64" i="8"/>
  <c r="AA64" i="8" s="1"/>
  <c r="AD64" i="8"/>
  <c r="AB64" i="8"/>
  <c r="AG64" i="8"/>
  <c r="AC64" i="8"/>
  <c r="AK62" i="8" l="1"/>
  <c r="AI64" i="8"/>
  <c r="AJ64" i="8" s="1"/>
  <c r="AK64" i="8" s="1"/>
  <c r="AJ63" i="8"/>
  <c r="AK63" i="8" s="1"/>
  <c r="AO64" i="8"/>
  <c r="AN64" i="8"/>
  <c r="AD65" i="8"/>
  <c r="AF65" i="8"/>
  <c r="AH65" i="8"/>
  <c r="AE65" i="8"/>
  <c r="AG65" i="8"/>
  <c r="AC65" i="8"/>
  <c r="Y65" i="8"/>
  <c r="AB65" i="8"/>
  <c r="AI65" i="8" s="1"/>
  <c r="AA65" i="8" l="1"/>
  <c r="AO65" i="8"/>
  <c r="AN65" i="8"/>
  <c r="Y66" i="8"/>
  <c r="AC66" i="8"/>
  <c r="AC1791" i="8" s="1"/>
  <c r="AE66" i="8"/>
  <c r="AE1791" i="8" s="1"/>
  <c r="AD66" i="8"/>
  <c r="AD1791" i="8" s="1"/>
  <c r="AG66" i="8"/>
  <c r="AG1791" i="8" s="1"/>
  <c r="AB66" i="8"/>
  <c r="AB1791" i="8" s="1"/>
  <c r="AF66" i="8"/>
  <c r="AF1791" i="8" s="1"/>
  <c r="AH66" i="8"/>
  <c r="AH1791" i="8" s="1"/>
  <c r="AJ65" i="8" l="1"/>
  <c r="AK65" i="8" s="1"/>
  <c r="AI66" i="8"/>
  <c r="AI1791" i="8" s="1"/>
  <c r="AA66" i="8"/>
  <c r="AA1791" i="8" s="1"/>
  <c r="AO66" i="8"/>
  <c r="AN66" i="8"/>
  <c r="E48" i="21" l="1"/>
  <c r="F48" i="21"/>
  <c r="AJ66" i="8"/>
  <c r="AJ1791" i="8" s="1"/>
  <c r="F47" i="21" l="1"/>
  <c r="E47" i="21"/>
  <c r="AK66" i="8"/>
  <c r="G22" i="18"/>
  <c r="G21" i="18" l="1"/>
  <c r="G5" i="18" l="1"/>
  <c r="G6" i="18"/>
  <c r="G7" i="18"/>
  <c r="AP4" i="8" l="1"/>
  <c r="G23" i="18" l="1"/>
  <c r="G20" i="18"/>
  <c r="AK1791" i="8"/>
  <c r="A7" i="1"/>
  <c r="A8" i="1" l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M307" i="8" l="1"/>
  <c r="AL308" i="8"/>
  <c r="AL312" i="8"/>
  <c r="AM315" i="8"/>
  <c r="AL363" i="8"/>
  <c r="AL293" i="8"/>
  <c r="AL295" i="8"/>
  <c r="AU300" i="8"/>
  <c r="AM304" i="8"/>
  <c r="AT367" i="8"/>
  <c r="AU350" i="8"/>
  <c r="AM354" i="8"/>
  <c r="AL356" i="8"/>
  <c r="AM329" i="8"/>
  <c r="AL330" i="8"/>
  <c r="AT336" i="8"/>
  <c r="AM337" i="8"/>
  <c r="AM364" i="8"/>
  <c r="AU318" i="8"/>
  <c r="AL317" i="8"/>
  <c r="AU322" i="8"/>
  <c r="AM326" i="8"/>
  <c r="AU301" i="8"/>
  <c r="AT302" i="8"/>
  <c r="AL306" i="8"/>
  <c r="AT306" i="8"/>
  <c r="AM359" i="8"/>
  <c r="AT352" i="8"/>
  <c r="AM290" i="8"/>
  <c r="AT293" i="8"/>
  <c r="AU298" i="8"/>
  <c r="AT360" i="8"/>
  <c r="AT341" i="8"/>
  <c r="AT339" i="8"/>
  <c r="AL343" i="8"/>
  <c r="AM352" i="8"/>
  <c r="AU323" i="8"/>
  <c r="AT324" i="8"/>
  <c r="AL328" i="8"/>
  <c r="AM331" i="8"/>
  <c r="AM357" i="8"/>
  <c r="AM310" i="8"/>
  <c r="AT311" i="8"/>
  <c r="AL315" i="8"/>
  <c r="AU320" i="8"/>
  <c r="AT292" i="8"/>
  <c r="AM297" i="8"/>
  <c r="AT300" i="8"/>
  <c r="AM301" i="8"/>
  <c r="AU365" i="8"/>
  <c r="AT344" i="8"/>
  <c r="AL354" i="8"/>
  <c r="AL291" i="8"/>
  <c r="AM355" i="8"/>
  <c r="AL333" i="8"/>
  <c r="AL337" i="8"/>
  <c r="AT343" i="8"/>
  <c r="AL316" i="8"/>
  <c r="AM319" i="8"/>
  <c r="AT322" i="8"/>
  <c r="AU325" i="8"/>
  <c r="AM363" i="8"/>
  <c r="AU304" i="8"/>
  <c r="AT305" i="8"/>
  <c r="AL309" i="8"/>
  <c r="AL313" i="8"/>
  <c r="AM365" i="8"/>
  <c r="AL290" i="8"/>
  <c r="AM295" i="8"/>
  <c r="AU295" i="8"/>
  <c r="AU358" i="8"/>
  <c r="AL338" i="8"/>
  <c r="AU341" i="8"/>
  <c r="AL346" i="8"/>
  <c r="AL352" i="8"/>
  <c r="AM360" i="8"/>
  <c r="AL327" i="8"/>
  <c r="AT327" i="8"/>
  <c r="AL331" i="8"/>
  <c r="AT337" i="8"/>
  <c r="AL310" i="8"/>
  <c r="AU313" i="8"/>
  <c r="AM317" i="8"/>
  <c r="AL318" i="8"/>
  <c r="AU356" i="8"/>
  <c r="AL297" i="8"/>
  <c r="AM300" i="8"/>
  <c r="AT303" i="8"/>
  <c r="AL307" i="8"/>
  <c r="AM358" i="8"/>
  <c r="AU352" i="8"/>
  <c r="AT353" i="8"/>
  <c r="AT290" i="8"/>
  <c r="AM361" i="8"/>
  <c r="AL332" i="8"/>
  <c r="AU335" i="8"/>
  <c r="AL340" i="8"/>
  <c r="AM343" i="8"/>
  <c r="AL367" i="8"/>
  <c r="AT321" i="8"/>
  <c r="AM322" i="8"/>
  <c r="AT325" i="8"/>
  <c r="AL329" i="8"/>
  <c r="AT304" i="8"/>
  <c r="AU307" i="8"/>
  <c r="AU311" i="8"/>
  <c r="AT312" i="8"/>
  <c r="AM362" i="8"/>
  <c r="AU292" i="8"/>
  <c r="AU294" i="8"/>
  <c r="AM298" i="8"/>
  <c r="AT301" i="8"/>
  <c r="AL365" i="8"/>
  <c r="AL345" i="8"/>
  <c r="AT345" i="8"/>
  <c r="AT351" i="8"/>
  <c r="AU355" i="8"/>
  <c r="AT326" i="8"/>
  <c r="AU329" i="8"/>
  <c r="AM333" i="8"/>
  <c r="AL360" i="8"/>
  <c r="AM316" i="8"/>
  <c r="AU316" i="8"/>
  <c r="AM320" i="8"/>
  <c r="AT323" i="8"/>
  <c r="AM299" i="8"/>
  <c r="AL300" i="8"/>
  <c r="AU305" i="8"/>
  <c r="AL304" i="8"/>
  <c r="AT356" i="8"/>
  <c r="AM353" i="8"/>
  <c r="AM292" i="8"/>
  <c r="AM296" i="8"/>
  <c r="AL358" i="8"/>
  <c r="AM338" i="8"/>
  <c r="AU338" i="8"/>
  <c r="AU342" i="8"/>
  <c r="AT347" i="8"/>
  <c r="AM321" i="8"/>
  <c r="AL322" i="8"/>
  <c r="AU327" i="8"/>
  <c r="AT328" i="8"/>
  <c r="AT366" i="8"/>
  <c r="AT307" i="8"/>
  <c r="AU310" i="8"/>
  <c r="AU314" i="8"/>
  <c r="AM318" i="8"/>
  <c r="AM291" i="8"/>
  <c r="AT294" i="8"/>
  <c r="AL298" i="8"/>
  <c r="AT298" i="8"/>
  <c r="AT361" i="8"/>
  <c r="AU343" i="8"/>
  <c r="AM345" i="8"/>
  <c r="AU353" i="8"/>
  <c r="AU290" i="8"/>
  <c r="AM367" i="8"/>
  <c r="AM332" i="8"/>
  <c r="AU332" i="8"/>
  <c r="AU336" i="8"/>
  <c r="AL341" i="8"/>
  <c r="AU315" i="8"/>
  <c r="AT316" i="8"/>
  <c r="AL320" i="8"/>
  <c r="AM323" i="8"/>
  <c r="AT359" i="8"/>
  <c r="AM302" i="8"/>
  <c r="AL303" i="8"/>
  <c r="AU308" i="8"/>
  <c r="AU312" i="8"/>
  <c r="AL361" i="8"/>
  <c r="AU289" i="8"/>
  <c r="AL292" i="8"/>
  <c r="AL294" i="8"/>
  <c r="AM356" i="8"/>
  <c r="AU337" i="8"/>
  <c r="AT338" i="8"/>
  <c r="AU345" i="8"/>
  <c r="AU351" i="8"/>
  <c r="AT357" i="8"/>
  <c r="AU326" i="8"/>
  <c r="AL325" i="8"/>
  <c r="AU330" i="8"/>
  <c r="AU309" i="8"/>
  <c r="AT310" i="8"/>
  <c r="AT314" i="8"/>
  <c r="AU317" i="8"/>
  <c r="AM366" i="8"/>
  <c r="AU296" i="8"/>
  <c r="AT297" i="8"/>
  <c r="AL301" i="8"/>
  <c r="AU306" i="8"/>
  <c r="AT355" i="8"/>
  <c r="AL351" i="8"/>
  <c r="AM289" i="8"/>
  <c r="AT358" i="8"/>
  <c r="AU331" i="8"/>
  <c r="AT332" i="8"/>
  <c r="AU339" i="8"/>
  <c r="AT340" i="8"/>
  <c r="AU366" i="8"/>
  <c r="AL319" i="8"/>
  <c r="AT319" i="8"/>
  <c r="AL323" i="8"/>
  <c r="AU328" i="8"/>
  <c r="AL302" i="8"/>
  <c r="AM305" i="8"/>
  <c r="AT308" i="8"/>
  <c r="AM309" i="8"/>
  <c r="AU361" i="8"/>
  <c r="AT289" i="8"/>
  <c r="AT291" i="8"/>
  <c r="AT295" i="8"/>
  <c r="AL299" i="8"/>
  <c r="AU364" i="8"/>
  <c r="AU344" i="8"/>
  <c r="AM342" i="8"/>
  <c r="AM346" i="8"/>
  <c r="AU354" i="8"/>
  <c r="AL324" i="8"/>
  <c r="AM327" i="8"/>
  <c r="AT330" i="8"/>
  <c r="AU333" i="8"/>
  <c r="AU359" i="8"/>
  <c r="AT313" i="8"/>
  <c r="AM314" i="8"/>
  <c r="AT317" i="8"/>
  <c r="AL321" i="8"/>
  <c r="AT296" i="8"/>
  <c r="AU299" i="8"/>
  <c r="AM303" i="8"/>
  <c r="AU303" i="8"/>
  <c r="AL366" i="8"/>
  <c r="AU347" i="8"/>
  <c r="AT350" i="8"/>
  <c r="AL289" i="8"/>
  <c r="AM294" i="8"/>
  <c r="AU357" i="8"/>
  <c r="AT335" i="8"/>
  <c r="AM336" i="8"/>
  <c r="AM340" i="8"/>
  <c r="AU346" i="8"/>
  <c r="AT318" i="8"/>
  <c r="AU321" i="8"/>
  <c r="AM325" i="8"/>
  <c r="AL326" i="8"/>
  <c r="AL364" i="8"/>
  <c r="AL305" i="8"/>
  <c r="AM308" i="8"/>
  <c r="AM312" i="8"/>
  <c r="AT315" i="8"/>
  <c r="AU367" i="8"/>
  <c r="AM293" i="8"/>
  <c r="AU297" i="8"/>
  <c r="AL296" i="8"/>
  <c r="AL359" i="8"/>
  <c r="AM341" i="8"/>
  <c r="AL342" i="8"/>
  <c r="AM351" i="8"/>
  <c r="AT354" i="8"/>
  <c r="AT364" i="8"/>
  <c r="AT329" i="8"/>
  <c r="AM330" i="8"/>
  <c r="AT333" i="8"/>
  <c r="AU340" i="8"/>
  <c r="AM313" i="8"/>
  <c r="AL314" i="8"/>
  <c r="AU319" i="8"/>
  <c r="AT320" i="8"/>
  <c r="AL357" i="8"/>
  <c r="AT299" i="8"/>
  <c r="AU302" i="8"/>
  <c r="AM306" i="8"/>
  <c r="AT309" i="8"/>
  <c r="AU360" i="8"/>
  <c r="AL353" i="8"/>
  <c r="AU291" i="8"/>
  <c r="AU293" i="8"/>
  <c r="AT365" i="8"/>
  <c r="AL336" i="8"/>
  <c r="AT342" i="8"/>
  <c r="AT346" i="8"/>
  <c r="AL355" i="8"/>
  <c r="AM324" i="8"/>
  <c r="AU324" i="8"/>
  <c r="AM328" i="8"/>
  <c r="AT331" i="8"/>
  <c r="AL65" i="8"/>
  <c r="AT4" i="8"/>
  <c r="AL54" i="8"/>
  <c r="AL62" i="8"/>
  <c r="AL16" i="8"/>
  <c r="AL11" i="8"/>
  <c r="AL46" i="8"/>
  <c r="AL53" i="8"/>
  <c r="AL35" i="8"/>
  <c r="AL36" i="8"/>
  <c r="AL48" i="8"/>
  <c r="AL47" i="8"/>
  <c r="AL26" i="8"/>
  <c r="AL38" i="8"/>
  <c r="AL45" i="8"/>
  <c r="AU4" i="8"/>
  <c r="AL55" i="8"/>
  <c r="AL43" i="8"/>
  <c r="AL19" i="8"/>
  <c r="AL44" i="8"/>
  <c r="AL40" i="8"/>
  <c r="AL58" i="8"/>
  <c r="AL39" i="8"/>
  <c r="AL42" i="8"/>
  <c r="AL30" i="8"/>
  <c r="AL37" i="8"/>
  <c r="AL56" i="8"/>
  <c r="AL18" i="8"/>
  <c r="AL25" i="8"/>
  <c r="AL31" i="8"/>
  <c r="AL9" i="8"/>
  <c r="AL21" i="8"/>
  <c r="AL29" i="8"/>
  <c r="AL61" i="8"/>
  <c r="AL50" i="8"/>
  <c r="AL49" i="8"/>
  <c r="AL32" i="8"/>
  <c r="AL34" i="8"/>
  <c r="AL10" i="8"/>
  <c r="AL23" i="8"/>
  <c r="AL57" i="8"/>
  <c r="AL22" i="8"/>
  <c r="AL33" i="8"/>
  <c r="AL13" i="8"/>
  <c r="AL20" i="8"/>
  <c r="AL17" i="8"/>
  <c r="AL15" i="8"/>
  <c r="AL24" i="8"/>
  <c r="AL14" i="8"/>
  <c r="AL8" i="8"/>
  <c r="AL5" i="8"/>
  <c r="AL12" i="8"/>
  <c r="AL51" i="8"/>
  <c r="AL52" i="8"/>
  <c r="AL60" i="8"/>
  <c r="AL4" i="8"/>
  <c r="AL28" i="8"/>
  <c r="AL41" i="8"/>
  <c r="AL7" i="8"/>
  <c r="AL66" i="8"/>
  <c r="AL6" i="8"/>
  <c r="AL63" i="8"/>
  <c r="AS4" i="8"/>
  <c r="AM4" i="8"/>
  <c r="AR364" i="8" l="1"/>
  <c r="AP364" i="8" s="1"/>
  <c r="AR361" i="8"/>
  <c r="AP361" i="8" s="1"/>
  <c r="AS367" i="8"/>
  <c r="AV367" i="8"/>
  <c r="AR355" i="8"/>
  <c r="AP355" i="8" s="1"/>
  <c r="AV363" i="8"/>
  <c r="AS357" i="8"/>
  <c r="AV360" i="8"/>
  <c r="AR362" i="8"/>
  <c r="AP362" i="8" s="1"/>
  <c r="AS365" i="8"/>
  <c r="AR359" i="8"/>
  <c r="AP359" i="8" s="1"/>
  <c r="AR366" i="8"/>
  <c r="AP366" i="8" s="1"/>
  <c r="AS363" i="8"/>
  <c r="AR363" i="8"/>
  <c r="AP363" i="8" s="1"/>
  <c r="AV365" i="8"/>
  <c r="AV355" i="8"/>
  <c r="AV362" i="8"/>
  <c r="AS366" i="8"/>
  <c r="AS356" i="8"/>
  <c r="AV366" i="8"/>
  <c r="AR356" i="8"/>
  <c r="AP356" i="8" s="1"/>
  <c r="AS358" i="8"/>
  <c r="AR358" i="8"/>
  <c r="AP358" i="8" s="1"/>
  <c r="AR365" i="8"/>
  <c r="AP365" i="8" s="1"/>
  <c r="AR367" i="8"/>
  <c r="AP367" i="8" s="1"/>
  <c r="AV357" i="8"/>
  <c r="AV364" i="8"/>
  <c r="AS362" i="8"/>
  <c r="AV356" i="8"/>
  <c r="AS364" i="8"/>
  <c r="AS360" i="8"/>
  <c r="AR360" i="8"/>
  <c r="AP360" i="8" s="1"/>
  <c r="AR357" i="8"/>
  <c r="AP357" i="8" s="1"/>
  <c r="AV359" i="8"/>
  <c r="AS359" i="8"/>
  <c r="AS355" i="8"/>
  <c r="AS361" i="8"/>
  <c r="AV358" i="8"/>
  <c r="AV361" i="8"/>
  <c r="AS351" i="8"/>
  <c r="AS294" i="8"/>
  <c r="AS354" i="8"/>
  <c r="AS300" i="8"/>
  <c r="AS297" i="8"/>
  <c r="AS289" i="8"/>
  <c r="AS293" i="8"/>
  <c r="AS295" i="8"/>
  <c r="AS350" i="8"/>
  <c r="AS291" i="8"/>
  <c r="AS317" i="8"/>
  <c r="AS353" i="8"/>
  <c r="AS345" i="8"/>
  <c r="AS352" i="8"/>
  <c r="AS343" i="8"/>
  <c r="AS342" i="8"/>
  <c r="AS347" i="8"/>
  <c r="AS346" i="8"/>
  <c r="AS338" i="8"/>
  <c r="AS337" i="8"/>
  <c r="AS301" i="8"/>
  <c r="AS335" i="8"/>
  <c r="AS325" i="8"/>
  <c r="AS332" i="8"/>
  <c r="AS290" i="8"/>
  <c r="AS330" i="8"/>
  <c r="AS344" i="8"/>
  <c r="AS320" i="8"/>
  <c r="AS348" i="8"/>
  <c r="AS340" i="8"/>
  <c r="AS324" i="8"/>
  <c r="AS339" i="8"/>
  <c r="AS329" i="8"/>
  <c r="AS313" i="8"/>
  <c r="AS334" i="8"/>
  <c r="AS326" i="8"/>
  <c r="AS318" i="8"/>
  <c r="AS316" i="8"/>
  <c r="AS331" i="8"/>
  <c r="AS306" i="8"/>
  <c r="AS305" i="8"/>
  <c r="AS319" i="8"/>
  <c r="AS311" i="8"/>
  <c r="AS308" i="8"/>
  <c r="AS323" i="8"/>
  <c r="AS322" i="8"/>
  <c r="AS298" i="8"/>
  <c r="AS327" i="8"/>
  <c r="AS296" i="8"/>
  <c r="AS303" i="8"/>
  <c r="AS299" i="8"/>
  <c r="AS312" i="8"/>
  <c r="AS304" i="8"/>
  <c r="AS341" i="8"/>
  <c r="AS302" i="8"/>
  <c r="AS309" i="8"/>
  <c r="AS314" i="8"/>
  <c r="AS328" i="8"/>
  <c r="AS315" i="8"/>
  <c r="AS307" i="8"/>
  <c r="AS310" i="8"/>
  <c r="AS292" i="8"/>
  <c r="AS333" i="8"/>
  <c r="AS349" i="8"/>
  <c r="AS336" i="8"/>
  <c r="AS321" i="8"/>
  <c r="AV354" i="8"/>
  <c r="AV322" i="8"/>
  <c r="AR301" i="8"/>
  <c r="AP301" i="8" s="1"/>
  <c r="AR292" i="8"/>
  <c r="AP292" i="8" s="1"/>
  <c r="AV305" i="8"/>
  <c r="AR318" i="8"/>
  <c r="AP318" i="8" s="1"/>
  <c r="AR336" i="8"/>
  <c r="AP336" i="8" s="1"/>
  <c r="AR353" i="8"/>
  <c r="AP353" i="8" s="1"/>
  <c r="AR297" i="8"/>
  <c r="AP297" i="8" s="1"/>
  <c r="AV328" i="8"/>
  <c r="AR327" i="8"/>
  <c r="AP327" i="8" s="1"/>
  <c r="AR291" i="8"/>
  <c r="AP291" i="8" s="1"/>
  <c r="AR316" i="8"/>
  <c r="AP316" i="8" s="1"/>
  <c r="AV351" i="8"/>
  <c r="AV317" i="8"/>
  <c r="AR340" i="8"/>
  <c r="AP340" i="8" s="1"/>
  <c r="AR337" i="8"/>
  <c r="AP337" i="8" s="1"/>
  <c r="AR294" i="8"/>
  <c r="AP294" i="8" s="1"/>
  <c r="AV295" i="8"/>
  <c r="AR332" i="8"/>
  <c r="AP332" i="8" s="1"/>
  <c r="AR317" i="8"/>
  <c r="AP317" i="8" s="1"/>
  <c r="AV300" i="8"/>
  <c r="AV348" i="8"/>
  <c r="AV340" i="8"/>
  <c r="AR345" i="8"/>
  <c r="AP345" i="8" s="1"/>
  <c r="AR328" i="8"/>
  <c r="AP328" i="8" s="1"/>
  <c r="AR322" i="8"/>
  <c r="AP322" i="8" s="1"/>
  <c r="AR348" i="8"/>
  <c r="AP348" i="8" s="1"/>
  <c r="AV329" i="8"/>
  <c r="AR289" i="8"/>
  <c r="AP289" i="8" s="1"/>
  <c r="AV315" i="8"/>
  <c r="AV312" i="8"/>
  <c r="AV304" i="8"/>
  <c r="AR350" i="8"/>
  <c r="AP350" i="8" s="1"/>
  <c r="AR315" i="8"/>
  <c r="AP315" i="8" s="1"/>
  <c r="AV336" i="8"/>
  <c r="AV314" i="8"/>
  <c r="AR309" i="8"/>
  <c r="AP309" i="8" s="1"/>
  <c r="AV303" i="8"/>
  <c r="AR302" i="8"/>
  <c r="AP302" i="8" s="1"/>
  <c r="AV296" i="8"/>
  <c r="AR354" i="8"/>
  <c r="AP354" i="8" s="1"/>
  <c r="AV334" i="8"/>
  <c r="AV298" i="8"/>
  <c r="AR324" i="8"/>
  <c r="AP324" i="8" s="1"/>
  <c r="AV289" i="8"/>
  <c r="AR326" i="8"/>
  <c r="AP326" i="8" s="1"/>
  <c r="AR344" i="8"/>
  <c r="AP344" i="8" s="1"/>
  <c r="AV345" i="8"/>
  <c r="AV350" i="8"/>
  <c r="AR342" i="8"/>
  <c r="AP342" i="8" s="1"/>
  <c r="AV339" i="8"/>
  <c r="AR335" i="8"/>
  <c r="AP335" i="8" s="1"/>
  <c r="AV292" i="8"/>
  <c r="AR334" i="8"/>
  <c r="AP334" i="8" s="1"/>
  <c r="AV306" i="8"/>
  <c r="AV332" i="8"/>
  <c r="AV297" i="8"/>
  <c r="AV330" i="8"/>
  <c r="AR299" i="8"/>
  <c r="AP299" i="8" s="1"/>
  <c r="AR325" i="8"/>
  <c r="AP325" i="8" s="1"/>
  <c r="AV301" i="8"/>
  <c r="AR293" i="8"/>
  <c r="AP293" i="8" s="1"/>
  <c r="AR306" i="8"/>
  <c r="AP306" i="8" s="1"/>
  <c r="AV311" i="8"/>
  <c r="AV337" i="8"/>
  <c r="AV346" i="8"/>
  <c r="AR298" i="8"/>
  <c r="AP298" i="8" s="1"/>
  <c r="AR321" i="8"/>
  <c r="AP321" i="8" s="1"/>
  <c r="AV320" i="8"/>
  <c r="AV338" i="8"/>
  <c r="AV290" i="8"/>
  <c r="AV323" i="8"/>
  <c r="AR305" i="8"/>
  <c r="AP305" i="8" s="1"/>
  <c r="AV331" i="8"/>
  <c r="AV347" i="8"/>
  <c r="AV344" i="8"/>
  <c r="AV293" i="8"/>
  <c r="AR296" i="8"/>
  <c r="AP296" i="8" s="1"/>
  <c r="AV325" i="8"/>
  <c r="AV318" i="8"/>
  <c r="AV291" i="8"/>
  <c r="AR349" i="8"/>
  <c r="AP349" i="8" s="1"/>
  <c r="AV342" i="8"/>
  <c r="AV310" i="8"/>
  <c r="AV352" i="8"/>
  <c r="AR295" i="8"/>
  <c r="AP295" i="8" s="1"/>
  <c r="AV321" i="8"/>
  <c r="AV302" i="8"/>
  <c r="AV319" i="8"/>
  <c r="AR339" i="8"/>
  <c r="AP339" i="8" s="1"/>
  <c r="AR319" i="8"/>
  <c r="AP319" i="8" s="1"/>
  <c r="AR311" i="8"/>
  <c r="AP311" i="8" s="1"/>
  <c r="AV343" i="8"/>
  <c r="AV316" i="8"/>
  <c r="AR329" i="8"/>
  <c r="AP329" i="8" s="1"/>
  <c r="AR347" i="8"/>
  <c r="AP347" i="8" s="1"/>
  <c r="AV335" i="8"/>
  <c r="AV308" i="8"/>
  <c r="AR310" i="8"/>
  <c r="AP310" i="8" s="1"/>
  <c r="AV309" i="8"/>
  <c r="AV327" i="8"/>
  <c r="AV353" i="8"/>
  <c r="AR333" i="8"/>
  <c r="AP333" i="8" s="1"/>
  <c r="AV294" i="8"/>
  <c r="AR351" i="8"/>
  <c r="AP351" i="8" s="1"/>
  <c r="AV333" i="8"/>
  <c r="AR346" i="8"/>
  <c r="AP346" i="8" s="1"/>
  <c r="AR343" i="8"/>
  <c r="AP343" i="8" s="1"/>
  <c r="AV307" i="8"/>
  <c r="AV349" i="8"/>
  <c r="AR338" i="8"/>
  <c r="AP338" i="8" s="1"/>
  <c r="AR341" i="8"/>
  <c r="AP341" i="8" s="1"/>
  <c r="AV299" i="8"/>
  <c r="AV341" i="8"/>
  <c r="AR313" i="8"/>
  <c r="AP313" i="8" s="1"/>
  <c r="AR331" i="8"/>
  <c r="AP331" i="8" s="1"/>
  <c r="AR330" i="8"/>
  <c r="AP330" i="8" s="1"/>
  <c r="AR320" i="8"/>
  <c r="AP320" i="8" s="1"/>
  <c r="AV326" i="8"/>
  <c r="AV324" i="8"/>
  <c r="AR312" i="8"/>
  <c r="AP312" i="8" s="1"/>
  <c r="AR352" i="8"/>
  <c r="AP352" i="8" s="1"/>
  <c r="AR308" i="8"/>
  <c r="AP308" i="8" s="1"/>
  <c r="AR290" i="8"/>
  <c r="AP290" i="8" s="1"/>
  <c r="AR323" i="8"/>
  <c r="AP323" i="8" s="1"/>
  <c r="AR307" i="8"/>
  <c r="AP307" i="8" s="1"/>
  <c r="AV313" i="8"/>
  <c r="AR314" i="8"/>
  <c r="AP314" i="8" s="1"/>
  <c r="AR303" i="8"/>
  <c r="AP303" i="8" s="1"/>
  <c r="AR304" i="8"/>
  <c r="AP304" i="8" s="1"/>
  <c r="AR300" i="8"/>
  <c r="AP300" i="8" s="1"/>
  <c r="AR24" i="8"/>
  <c r="AP24" i="8" s="1"/>
  <c r="AR15" i="8"/>
  <c r="AP15" i="8" s="1"/>
  <c r="AR23" i="8"/>
  <c r="AP23" i="8" s="1"/>
  <c r="AR35" i="8"/>
  <c r="AP35" i="8" s="1"/>
  <c r="AR36" i="8"/>
  <c r="AP36" i="8" s="1"/>
  <c r="AR38" i="8"/>
  <c r="AP38" i="8" s="1"/>
  <c r="AR25" i="8"/>
  <c r="AP25" i="8" s="1"/>
  <c r="AR14" i="8"/>
  <c r="AP14" i="8" s="1"/>
  <c r="AR43" i="8"/>
  <c r="AP43" i="8" s="1"/>
  <c r="AR50" i="8"/>
  <c r="AP50" i="8" s="1"/>
  <c r="AR42" i="8"/>
  <c r="AP42" i="8" s="1"/>
  <c r="AR31" i="8"/>
  <c r="AP31" i="8" s="1"/>
  <c r="AR37" i="8"/>
  <c r="AP37" i="8" s="1"/>
  <c r="AR51" i="8"/>
  <c r="AP51" i="8" s="1"/>
  <c r="H22" i="21" a="1"/>
  <c r="H22" i="21" s="1"/>
  <c r="AM7" i="8"/>
  <c r="AM12" i="8"/>
  <c r="AM13" i="8"/>
  <c r="AM16" i="8"/>
  <c r="AL67" i="8"/>
  <c r="AL68" i="8"/>
  <c r="AL69" i="8"/>
  <c r="AL70" i="8"/>
  <c r="AL71" i="8"/>
  <c r="AL72" i="8"/>
  <c r="AL73" i="8"/>
  <c r="AL74" i="8"/>
  <c r="AL75" i="8"/>
  <c r="AL76" i="8"/>
  <c r="AL77" i="8"/>
  <c r="AL78" i="8"/>
  <c r="AL80" i="8"/>
  <c r="AL81" i="8"/>
  <c r="AL82" i="8"/>
  <c r="AL84" i="8"/>
  <c r="AL85" i="8"/>
  <c r="AL86" i="8"/>
  <c r="AL87" i="8"/>
  <c r="AL88" i="8"/>
  <c r="AL89" i="8"/>
  <c r="AL90" i="8"/>
  <c r="AL91" i="8"/>
  <c r="AL92" i="8"/>
  <c r="AL93" i="8"/>
  <c r="AL94" i="8"/>
  <c r="AL95" i="8"/>
  <c r="AL96" i="8"/>
  <c r="AL97" i="8"/>
  <c r="AL99" i="8"/>
  <c r="AL100" i="8"/>
  <c r="AL101" i="8"/>
  <c r="AL102" i="8"/>
  <c r="AL103" i="8"/>
  <c r="AL104" i="8"/>
  <c r="AL105" i="8"/>
  <c r="AL106" i="8"/>
  <c r="AL107" i="8"/>
  <c r="AL108" i="8"/>
  <c r="AL109" i="8"/>
  <c r="AL110" i="8"/>
  <c r="AL111" i="8"/>
  <c r="AL112" i="8"/>
  <c r="AL113" i="8"/>
  <c r="AL114" i="8"/>
  <c r="AL115" i="8"/>
  <c r="AL116" i="8"/>
  <c r="AL117" i="8"/>
  <c r="AL118" i="8"/>
  <c r="AL119" i="8"/>
  <c r="AL120" i="8"/>
  <c r="AL121" i="8"/>
  <c r="AL122" i="8"/>
  <c r="AL125" i="8"/>
  <c r="AL126" i="8"/>
  <c r="AL127" i="8"/>
  <c r="AL128" i="8"/>
  <c r="AL129" i="8"/>
  <c r="AL130" i="8"/>
  <c r="AL131" i="8"/>
  <c r="AL132" i="8"/>
  <c r="AL133" i="8"/>
  <c r="AL134" i="8"/>
  <c r="AL135" i="8"/>
  <c r="AL136" i="8"/>
  <c r="AL137" i="8"/>
  <c r="AL139" i="8"/>
  <c r="AL140" i="8"/>
  <c r="AL141" i="8"/>
  <c r="AL142" i="8"/>
  <c r="AL144" i="8"/>
  <c r="AL145" i="8"/>
  <c r="AL147" i="8"/>
  <c r="AL148" i="8"/>
  <c r="AL149" i="8"/>
  <c r="AL150" i="8"/>
  <c r="AL151" i="8"/>
  <c r="AL152" i="8"/>
  <c r="AL153" i="8"/>
  <c r="AL156" i="8"/>
  <c r="AL157" i="8"/>
  <c r="AL158" i="8"/>
  <c r="AL159" i="8"/>
  <c r="AL160" i="8"/>
  <c r="AL161" i="8"/>
  <c r="AL162" i="8"/>
  <c r="AL163" i="8"/>
  <c r="AL164" i="8"/>
  <c r="AL165" i="8"/>
  <c r="AL166" i="8"/>
  <c r="AL167" i="8"/>
  <c r="AL168" i="8"/>
  <c r="AL169" i="8"/>
  <c r="AL170" i="8"/>
  <c r="AL171" i="8"/>
  <c r="AL172" i="8"/>
  <c r="AL173" i="8"/>
  <c r="AL174" i="8"/>
  <c r="AL175" i="8"/>
  <c r="AL176" i="8"/>
  <c r="AL177" i="8"/>
  <c r="AL179" i="8"/>
  <c r="AL180" i="8"/>
  <c r="AL181" i="8"/>
  <c r="AL182" i="8"/>
  <c r="AL183" i="8"/>
  <c r="AL184" i="8"/>
  <c r="AL185" i="8"/>
  <c r="AL186" i="8"/>
  <c r="AL187" i="8"/>
  <c r="AL189" i="8"/>
  <c r="AL190" i="8"/>
  <c r="AL191" i="8"/>
  <c r="AL192" i="8"/>
  <c r="AL193" i="8"/>
  <c r="AL194" i="8"/>
  <c r="AL195" i="8"/>
  <c r="AL196" i="8"/>
  <c r="AL197" i="8"/>
  <c r="AL199" i="8"/>
  <c r="AL200" i="8"/>
  <c r="AL201" i="8"/>
  <c r="AL202" i="8"/>
  <c r="AL203" i="8"/>
  <c r="AL205" i="8"/>
  <c r="AL207" i="8"/>
  <c r="AL208" i="8"/>
  <c r="AL209" i="8"/>
  <c r="AL210" i="8"/>
  <c r="AL211" i="8"/>
  <c r="AL212" i="8"/>
  <c r="AL213" i="8"/>
  <c r="AL214" i="8"/>
  <c r="AL215" i="8"/>
  <c r="AL216" i="8"/>
  <c r="AL217" i="8"/>
  <c r="AL218" i="8"/>
  <c r="AL219" i="8"/>
  <c r="AL220" i="8"/>
  <c r="AL222" i="8"/>
  <c r="AL223" i="8"/>
  <c r="AL224" i="8"/>
  <c r="AL225" i="8"/>
  <c r="AL226" i="8"/>
  <c r="AL227" i="8"/>
  <c r="AL228" i="8"/>
  <c r="AL229" i="8"/>
  <c r="AL231" i="8"/>
  <c r="AL232" i="8"/>
  <c r="AL233" i="8"/>
  <c r="AL234" i="8"/>
  <c r="AL235" i="8"/>
  <c r="AL236" i="8"/>
  <c r="AL237" i="8"/>
  <c r="AL238" i="8"/>
  <c r="AL239" i="8"/>
  <c r="AL240" i="8"/>
  <c r="AL241" i="8"/>
  <c r="AL242" i="8"/>
  <c r="AL243" i="8"/>
  <c r="AL244" i="8"/>
  <c r="AL245" i="8"/>
  <c r="AL246" i="8"/>
  <c r="AL247" i="8"/>
  <c r="AL248" i="8"/>
  <c r="AL249" i="8"/>
  <c r="AL250" i="8"/>
  <c r="AL251" i="8"/>
  <c r="AL252" i="8"/>
  <c r="AL253" i="8"/>
  <c r="AL254" i="8"/>
  <c r="AL255" i="8"/>
  <c r="AL256" i="8"/>
  <c r="AL257" i="8"/>
  <c r="AL258" i="8"/>
  <c r="AL259" i="8"/>
  <c r="AL260" i="8"/>
  <c r="AL261" i="8"/>
  <c r="AL262" i="8"/>
  <c r="AL263" i="8"/>
  <c r="AL264" i="8"/>
  <c r="AL266" i="8"/>
  <c r="AL267" i="8"/>
  <c r="AL268" i="8"/>
  <c r="AL270" i="8"/>
  <c r="AL271" i="8"/>
  <c r="AL273" i="8"/>
  <c r="AL274" i="8"/>
  <c r="AL275" i="8"/>
  <c r="AL276" i="8"/>
  <c r="AL277" i="8"/>
  <c r="AL278" i="8"/>
  <c r="AL279" i="8"/>
  <c r="AL280" i="8"/>
  <c r="AL281" i="8"/>
  <c r="AL282" i="8"/>
  <c r="AL284" i="8"/>
  <c r="AL285" i="8"/>
  <c r="AL287" i="8"/>
  <c r="AL288" i="8"/>
  <c r="AM5" i="8"/>
  <c r="AM6" i="8"/>
  <c r="AM8" i="8"/>
  <c r="AM9" i="8"/>
  <c r="AM10" i="8"/>
  <c r="AM11" i="8"/>
  <c r="AM14" i="8"/>
  <c r="AM15" i="8"/>
  <c r="AM17" i="8"/>
  <c r="AM18" i="8"/>
  <c r="AM19" i="8"/>
  <c r="AM20" i="8"/>
  <c r="AM21" i="8"/>
  <c r="AM22" i="8"/>
  <c r="AM23" i="8"/>
  <c r="AM24" i="8"/>
  <c r="AM25" i="8"/>
  <c r="AM26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41" i="8"/>
  <c r="AM42" i="8"/>
  <c r="AM43" i="8"/>
  <c r="AM44" i="8"/>
  <c r="AM45" i="8"/>
  <c r="AM46" i="8"/>
  <c r="AM47" i="8"/>
  <c r="AM48" i="8"/>
  <c r="AM49" i="8"/>
  <c r="AM50" i="8"/>
  <c r="AM51" i="8"/>
  <c r="AM52" i="8"/>
  <c r="AM53" i="8"/>
  <c r="AM54" i="8"/>
  <c r="AM55" i="8"/>
  <c r="AM56" i="8"/>
  <c r="AM57" i="8"/>
  <c r="AM58" i="8"/>
  <c r="AM60" i="8"/>
  <c r="AM61" i="8"/>
  <c r="AM62" i="8"/>
  <c r="AM63" i="8"/>
  <c r="AM65" i="8"/>
  <c r="AM66" i="8"/>
  <c r="AM67" i="8"/>
  <c r="AM68" i="8"/>
  <c r="AM69" i="8"/>
  <c r="AM70" i="8"/>
  <c r="AM71" i="8"/>
  <c r="AM72" i="8"/>
  <c r="AM73" i="8"/>
  <c r="AM74" i="8"/>
  <c r="AM75" i="8"/>
  <c r="AM76" i="8"/>
  <c r="AM77" i="8"/>
  <c r="AM78" i="8"/>
  <c r="AM80" i="8"/>
  <c r="AM81" i="8"/>
  <c r="AM82" i="8"/>
  <c r="AM84" i="8"/>
  <c r="AM85" i="8"/>
  <c r="AM86" i="8"/>
  <c r="AM87" i="8"/>
  <c r="AM88" i="8"/>
  <c r="AM89" i="8"/>
  <c r="AM90" i="8"/>
  <c r="AM91" i="8"/>
  <c r="AM92" i="8"/>
  <c r="AM93" i="8"/>
  <c r="AM94" i="8"/>
  <c r="AM95" i="8"/>
  <c r="AM96" i="8"/>
  <c r="AM97" i="8"/>
  <c r="AM99" i="8"/>
  <c r="AM100" i="8"/>
  <c r="AM101" i="8"/>
  <c r="AM102" i="8"/>
  <c r="AM103" i="8"/>
  <c r="AM104" i="8"/>
  <c r="AM105" i="8"/>
  <c r="AM106" i="8"/>
  <c r="AM107" i="8"/>
  <c r="AM108" i="8"/>
  <c r="AM109" i="8"/>
  <c r="AM110" i="8"/>
  <c r="AM111" i="8"/>
  <c r="AM112" i="8"/>
  <c r="AM113" i="8"/>
  <c r="AM114" i="8"/>
  <c r="AM115" i="8"/>
  <c r="AM116" i="8"/>
  <c r="AM117" i="8"/>
  <c r="AM118" i="8"/>
  <c r="AM119" i="8"/>
  <c r="AM120" i="8"/>
  <c r="AM121" i="8"/>
  <c r="AM122" i="8"/>
  <c r="AM125" i="8"/>
  <c r="AM126" i="8"/>
  <c r="AM127" i="8"/>
  <c r="AM128" i="8"/>
  <c r="AM129" i="8"/>
  <c r="AM130" i="8"/>
  <c r="AM131" i="8"/>
  <c r="AM132" i="8"/>
  <c r="AM133" i="8"/>
  <c r="AM134" i="8"/>
  <c r="AM135" i="8"/>
  <c r="AM136" i="8"/>
  <c r="AM137" i="8"/>
  <c r="AM139" i="8"/>
  <c r="AM140" i="8"/>
  <c r="AM141" i="8"/>
  <c r="AM142" i="8"/>
  <c r="AM144" i="8"/>
  <c r="AM145" i="8"/>
  <c r="AM147" i="8"/>
  <c r="AM148" i="8"/>
  <c r="AM149" i="8"/>
  <c r="AM150" i="8"/>
  <c r="AM151" i="8"/>
  <c r="AM152" i="8"/>
  <c r="AM153" i="8"/>
  <c r="AM156" i="8"/>
  <c r="AM157" i="8"/>
  <c r="AM158" i="8"/>
  <c r="AM159" i="8"/>
  <c r="AM160" i="8"/>
  <c r="AM161" i="8"/>
  <c r="AM162" i="8"/>
  <c r="AM163" i="8"/>
  <c r="AM164" i="8"/>
  <c r="AM165" i="8"/>
  <c r="AM166" i="8"/>
  <c r="AM167" i="8"/>
  <c r="AM168" i="8"/>
  <c r="AM169" i="8"/>
  <c r="AM170" i="8"/>
  <c r="AM171" i="8"/>
  <c r="AM172" i="8"/>
  <c r="AM173" i="8"/>
  <c r="AM174" i="8"/>
  <c r="AM175" i="8"/>
  <c r="AM176" i="8"/>
  <c r="AM177" i="8"/>
  <c r="AM179" i="8"/>
  <c r="AM180" i="8"/>
  <c r="AM181" i="8"/>
  <c r="AM182" i="8"/>
  <c r="AM183" i="8"/>
  <c r="AM184" i="8"/>
  <c r="AM185" i="8"/>
  <c r="AM186" i="8"/>
  <c r="AM187" i="8"/>
  <c r="AM189" i="8"/>
  <c r="AM190" i="8"/>
  <c r="AM191" i="8"/>
  <c r="AM192" i="8"/>
  <c r="AM193" i="8"/>
  <c r="AM194" i="8"/>
  <c r="AM195" i="8"/>
  <c r="AM196" i="8"/>
  <c r="AM197" i="8"/>
  <c r="AM199" i="8"/>
  <c r="AM200" i="8"/>
  <c r="AM201" i="8"/>
  <c r="AM202" i="8"/>
  <c r="AM203" i="8"/>
  <c r="AM205" i="8"/>
  <c r="AM207" i="8"/>
  <c r="AM208" i="8"/>
  <c r="AM209" i="8"/>
  <c r="AM210" i="8"/>
  <c r="AM211" i="8"/>
  <c r="AM212" i="8"/>
  <c r="AM213" i="8"/>
  <c r="AM214" i="8"/>
  <c r="AM215" i="8"/>
  <c r="AM216" i="8"/>
  <c r="AM217" i="8"/>
  <c r="AM218" i="8"/>
  <c r="AM219" i="8"/>
  <c r="AM220" i="8"/>
  <c r="AM222" i="8"/>
  <c r="AM223" i="8"/>
  <c r="AM224" i="8"/>
  <c r="AM225" i="8"/>
  <c r="AM226" i="8"/>
  <c r="AM227" i="8"/>
  <c r="AM228" i="8"/>
  <c r="AM229" i="8"/>
  <c r="AM231" i="8"/>
  <c r="AM232" i="8"/>
  <c r="AM233" i="8"/>
  <c r="AM234" i="8"/>
  <c r="AM235" i="8"/>
  <c r="AM236" i="8"/>
  <c r="AM237" i="8"/>
  <c r="AM238" i="8"/>
  <c r="AM239" i="8"/>
  <c r="AM240" i="8"/>
  <c r="AM241" i="8"/>
  <c r="AM242" i="8"/>
  <c r="AM243" i="8"/>
  <c r="AM244" i="8"/>
  <c r="AM245" i="8"/>
  <c r="AM246" i="8"/>
  <c r="AM247" i="8"/>
  <c r="AM248" i="8"/>
  <c r="AM249" i="8"/>
  <c r="AM250" i="8"/>
  <c r="AM251" i="8"/>
  <c r="AM252" i="8"/>
  <c r="AM253" i="8"/>
  <c r="AM254" i="8"/>
  <c r="AM255" i="8"/>
  <c r="AM256" i="8"/>
  <c r="AM257" i="8"/>
  <c r="AM258" i="8"/>
  <c r="AM259" i="8"/>
  <c r="AM260" i="8"/>
  <c r="AM261" i="8"/>
  <c r="AM262" i="8"/>
  <c r="AM263" i="8"/>
  <c r="AM264" i="8"/>
  <c r="AM266" i="8"/>
  <c r="AM267" i="8"/>
  <c r="AM268" i="8"/>
  <c r="AM270" i="8"/>
  <c r="AM271" i="8"/>
  <c r="AM273" i="8"/>
  <c r="AM274" i="8"/>
  <c r="AM275" i="8"/>
  <c r="AM276" i="8"/>
  <c r="AM277" i="8"/>
  <c r="AM278" i="8"/>
  <c r="AM279" i="8"/>
  <c r="AM280" i="8"/>
  <c r="AM281" i="8"/>
  <c r="AM282" i="8"/>
  <c r="AM284" i="8"/>
  <c r="AM285" i="8"/>
  <c r="AM287" i="8"/>
  <c r="AM288" i="8"/>
  <c r="H15" i="21" a="1"/>
  <c r="H10" i="21" a="1"/>
  <c r="D29" i="27" l="1"/>
  <c r="H15" i="27"/>
  <c r="D28" i="27"/>
  <c r="H21" i="27"/>
  <c r="D23" i="27"/>
  <c r="H20" i="27"/>
  <c r="D7" i="27"/>
  <c r="C6" i="27"/>
  <c r="C5" i="27"/>
  <c r="D21" i="27"/>
  <c r="C23" i="27"/>
  <c r="H28" i="27"/>
  <c r="C22" i="27"/>
  <c r="C14" i="27"/>
  <c r="E7" i="27"/>
  <c r="E6" i="27"/>
  <c r="F6" i="27" s="1"/>
  <c r="E13" i="27"/>
  <c r="C28" i="27"/>
  <c r="C30" i="27"/>
  <c r="E23" i="27"/>
  <c r="E15" i="27"/>
  <c r="H8" i="27"/>
  <c r="H7" i="27"/>
  <c r="E28" i="27"/>
  <c r="H14" i="27"/>
  <c r="D6" i="27"/>
  <c r="D30" i="27"/>
  <c r="D22" i="27"/>
  <c r="D14" i="27"/>
  <c r="D13" i="27"/>
  <c r="E5" i="27"/>
  <c r="H29" i="27"/>
  <c r="H30" i="27"/>
  <c r="C13" i="27"/>
  <c r="C29" i="27"/>
  <c r="C21" i="27"/>
  <c r="I21" i="27" s="1"/>
  <c r="C20" i="27"/>
  <c r="H6" i="27"/>
  <c r="D8" i="27"/>
  <c r="C7" i="27"/>
  <c r="E29" i="27"/>
  <c r="E30" i="27"/>
  <c r="E22" i="27"/>
  <c r="E21" i="27"/>
  <c r="F21" i="27" s="1"/>
  <c r="C8" i="27"/>
  <c r="H13" i="27"/>
  <c r="E8" i="27"/>
  <c r="D20" i="27"/>
  <c r="E14" i="27"/>
  <c r="H23" i="27"/>
  <c r="H22" i="27"/>
  <c r="E20" i="27"/>
  <c r="C15" i="27"/>
  <c r="D15" i="27"/>
  <c r="H5" i="27"/>
  <c r="D5" i="27"/>
  <c r="H30" i="26"/>
  <c r="H29" i="26"/>
  <c r="E29" i="26"/>
  <c r="H28" i="26"/>
  <c r="E30" i="26"/>
  <c r="C29" i="26"/>
  <c r="D29" i="26"/>
  <c r="E28" i="26"/>
  <c r="C30" i="26"/>
  <c r="D30" i="26"/>
  <c r="C28" i="26"/>
  <c r="D28" i="26"/>
  <c r="H21" i="26"/>
  <c r="H22" i="26"/>
  <c r="H23" i="26"/>
  <c r="D23" i="26"/>
  <c r="H20" i="26"/>
  <c r="E21" i="26"/>
  <c r="E23" i="26"/>
  <c r="C22" i="26"/>
  <c r="C21" i="26"/>
  <c r="D22" i="26"/>
  <c r="E22" i="26"/>
  <c r="C23" i="26"/>
  <c r="D21" i="26"/>
  <c r="D20" i="26"/>
  <c r="E20" i="26"/>
  <c r="C20" i="26"/>
  <c r="I21" i="26"/>
  <c r="E15" i="26"/>
  <c r="H15" i="26"/>
  <c r="H14" i="26"/>
  <c r="D14" i="26"/>
  <c r="C14" i="26"/>
  <c r="E14" i="26"/>
  <c r="C15" i="26"/>
  <c r="D15" i="26"/>
  <c r="E13" i="26"/>
  <c r="H13" i="26"/>
  <c r="C13" i="26"/>
  <c r="D13" i="26"/>
  <c r="H8" i="26"/>
  <c r="H6" i="26"/>
  <c r="H7" i="26"/>
  <c r="H5" i="26"/>
  <c r="E5" i="26"/>
  <c r="E8" i="26"/>
  <c r="E6" i="26"/>
  <c r="E7" i="26"/>
  <c r="D5" i="26"/>
  <c r="D6" i="26"/>
  <c r="D7" i="26"/>
  <c r="D8" i="26"/>
  <c r="C5" i="26"/>
  <c r="C8" i="26"/>
  <c r="C7" i="26"/>
  <c r="C6" i="26"/>
  <c r="P22" i="25"/>
  <c r="D15" i="25"/>
  <c r="E8" i="25"/>
  <c r="Q24" i="25"/>
  <c r="D5" i="25"/>
  <c r="P24" i="25"/>
  <c r="E15" i="25"/>
  <c r="H14" i="25"/>
  <c r="R22" i="25"/>
  <c r="P23" i="25"/>
  <c r="D8" i="25"/>
  <c r="D14" i="25"/>
  <c r="C16" i="25"/>
  <c r="R24" i="25"/>
  <c r="P25" i="25"/>
  <c r="R23" i="25"/>
  <c r="C14" i="25"/>
  <c r="H16" i="25"/>
  <c r="D6" i="25"/>
  <c r="E5" i="25"/>
  <c r="R25" i="25"/>
  <c r="C13" i="25"/>
  <c r="D16" i="25"/>
  <c r="C6" i="25"/>
  <c r="C5" i="25"/>
  <c r="H6" i="25"/>
  <c r="E14" i="25"/>
  <c r="C15" i="25"/>
  <c r="E7" i="25"/>
  <c r="E6" i="25"/>
  <c r="C8" i="25"/>
  <c r="H5" i="25"/>
  <c r="H15" i="25"/>
  <c r="E16" i="25"/>
  <c r="H8" i="25"/>
  <c r="H7" i="25"/>
  <c r="Q23" i="25"/>
  <c r="C7" i="25"/>
  <c r="D13" i="25"/>
  <c r="H13" i="25"/>
  <c r="Q22" i="25"/>
  <c r="D7" i="25"/>
  <c r="Q25" i="25"/>
  <c r="E13" i="25"/>
  <c r="H15" i="24"/>
  <c r="H16" i="24"/>
  <c r="H14" i="24"/>
  <c r="C14" i="24"/>
  <c r="E14" i="24"/>
  <c r="C15" i="24"/>
  <c r="H13" i="24"/>
  <c r="D15" i="24"/>
  <c r="E15" i="24"/>
  <c r="C16" i="24"/>
  <c r="D16" i="24"/>
  <c r="D14" i="24"/>
  <c r="E16" i="24"/>
  <c r="C13" i="24"/>
  <c r="E13" i="24"/>
  <c r="D13" i="24"/>
  <c r="H5" i="24"/>
  <c r="H8" i="24"/>
  <c r="H6" i="24"/>
  <c r="H7" i="24"/>
  <c r="E5" i="24"/>
  <c r="E7" i="24"/>
  <c r="E8" i="24"/>
  <c r="E6" i="24"/>
  <c r="D5" i="24"/>
  <c r="D7" i="24"/>
  <c r="D6" i="24"/>
  <c r="D8" i="24"/>
  <c r="P22" i="24"/>
  <c r="R24" i="24"/>
  <c r="Q25" i="24"/>
  <c r="C8" i="24"/>
  <c r="R23" i="24"/>
  <c r="C6" i="24"/>
  <c r="P24" i="24"/>
  <c r="C5" i="24"/>
  <c r="Q22" i="24"/>
  <c r="P23" i="24"/>
  <c r="Q24" i="24"/>
  <c r="P25" i="24"/>
  <c r="Q23" i="24"/>
  <c r="C7" i="24"/>
  <c r="R22" i="24"/>
  <c r="R25" i="24"/>
  <c r="H35" i="21" a="1"/>
  <c r="H35" i="21" s="1"/>
  <c r="H33" i="21" a="1"/>
  <c r="H33" i="21" s="1"/>
  <c r="H31" i="21" a="1"/>
  <c r="H31" i="21" s="1"/>
  <c r="H29" i="21" a="1"/>
  <c r="H29" i="21" s="1"/>
  <c r="H28" i="21" a="1"/>
  <c r="H28" i="21" s="1"/>
  <c r="H27" i="21" a="1"/>
  <c r="H27" i="21" s="1"/>
  <c r="H26" i="21" a="1"/>
  <c r="H26" i="21" s="1"/>
  <c r="H25" i="21" a="1"/>
  <c r="H25" i="21" s="1"/>
  <c r="H34" i="21" a="1"/>
  <c r="H34" i="21" s="1"/>
  <c r="H24" i="21" a="1"/>
  <c r="H24" i="21" s="1"/>
  <c r="H32" i="21" a="1"/>
  <c r="H32" i="21" s="1"/>
  <c r="H23" i="21" a="1"/>
  <c r="H23" i="21" s="1"/>
  <c r="R25" i="17"/>
  <c r="Q25" i="17"/>
  <c r="Q22" i="17"/>
  <c r="Q23" i="17"/>
  <c r="Q24" i="17"/>
  <c r="R23" i="17"/>
  <c r="R24" i="17"/>
  <c r="H10" i="21"/>
  <c r="H15" i="21"/>
  <c r="P24" i="17"/>
  <c r="P23" i="17"/>
  <c r="H30" i="21" a="1"/>
  <c r="H30" i="21" s="1"/>
  <c r="R22" i="17"/>
  <c r="P22" i="17"/>
  <c r="P25" i="17"/>
  <c r="H12" i="21" a="1"/>
  <c r="K8" i="21" a="1"/>
  <c r="H13" i="21" a="1"/>
  <c r="H21" i="21" a="1"/>
  <c r="K9" i="21" a="1"/>
  <c r="H19" i="21" a="1"/>
  <c r="H14" i="21" a="1"/>
  <c r="H18" i="21" a="1"/>
  <c r="H20" i="21" a="1"/>
  <c r="H8" i="21" a="1"/>
  <c r="H11" i="21" a="1"/>
  <c r="H17" i="21" a="1"/>
  <c r="H16" i="21" a="1"/>
  <c r="H9" i="21" a="1"/>
  <c r="D24" i="27" l="1"/>
  <c r="I15" i="27"/>
  <c r="D9" i="27"/>
  <c r="I7" i="27"/>
  <c r="H14" i="21"/>
  <c r="H8" i="21"/>
  <c r="H21" i="21"/>
  <c r="H13" i="21"/>
  <c r="K8" i="21"/>
  <c r="H11" i="21"/>
  <c r="H12" i="21"/>
  <c r="H20" i="21"/>
  <c r="H18" i="21"/>
  <c r="H19" i="21"/>
  <c r="H9" i="21"/>
  <c r="H16" i="21"/>
  <c r="H17" i="21"/>
  <c r="F30" i="27"/>
  <c r="F14" i="27"/>
  <c r="F23" i="27"/>
  <c r="F22" i="27"/>
  <c r="H16" i="27"/>
  <c r="H9" i="27"/>
  <c r="I8" i="27"/>
  <c r="F16" i="25"/>
  <c r="I6" i="26"/>
  <c r="I16" i="24"/>
  <c r="E24" i="26"/>
  <c r="I29" i="27"/>
  <c r="F29" i="27"/>
  <c r="F8" i="27"/>
  <c r="E16" i="27"/>
  <c r="F13" i="27"/>
  <c r="I5" i="27"/>
  <c r="C9" i="27"/>
  <c r="E31" i="27"/>
  <c r="F28" i="27"/>
  <c r="I6" i="27"/>
  <c r="E9" i="27"/>
  <c r="F5" i="27"/>
  <c r="F7" i="27"/>
  <c r="D16" i="27"/>
  <c r="I14" i="27"/>
  <c r="H24" i="27"/>
  <c r="I20" i="27"/>
  <c r="C24" i="27"/>
  <c r="F15" i="27"/>
  <c r="I22" i="27"/>
  <c r="E24" i="27"/>
  <c r="F20" i="27"/>
  <c r="H31" i="27"/>
  <c r="I30" i="27"/>
  <c r="I23" i="27"/>
  <c r="D31" i="27"/>
  <c r="I13" i="27"/>
  <c r="C16" i="27"/>
  <c r="I28" i="27"/>
  <c r="C31" i="27"/>
  <c r="E31" i="26"/>
  <c r="H24" i="26"/>
  <c r="C31" i="26"/>
  <c r="H31" i="26"/>
  <c r="D31" i="26"/>
  <c r="C24" i="26"/>
  <c r="D16" i="26"/>
  <c r="D24" i="26"/>
  <c r="I7" i="26"/>
  <c r="F23" i="26"/>
  <c r="E16" i="26"/>
  <c r="F29" i="26"/>
  <c r="H16" i="26"/>
  <c r="C16" i="26"/>
  <c r="F30" i="26"/>
  <c r="F28" i="26"/>
  <c r="I28" i="26"/>
  <c r="I29" i="26"/>
  <c r="I30" i="26"/>
  <c r="I22" i="26"/>
  <c r="F20" i="26"/>
  <c r="F14" i="26"/>
  <c r="F22" i="26"/>
  <c r="H9" i="26"/>
  <c r="I8" i="26"/>
  <c r="I23" i="26"/>
  <c r="F21" i="26"/>
  <c r="I20" i="26"/>
  <c r="I13" i="26"/>
  <c r="T25" i="17"/>
  <c r="I5" i="26"/>
  <c r="I15" i="26"/>
  <c r="E9" i="26"/>
  <c r="I14" i="26"/>
  <c r="F13" i="26"/>
  <c r="F15" i="26"/>
  <c r="D9" i="26"/>
  <c r="F7" i="26"/>
  <c r="F6" i="26"/>
  <c r="D17" i="25"/>
  <c r="I7" i="25"/>
  <c r="F14" i="25"/>
  <c r="I5" i="24"/>
  <c r="C9" i="26"/>
  <c r="F5" i="26"/>
  <c r="F8" i="26"/>
  <c r="I6" i="24"/>
  <c r="P26" i="25"/>
  <c r="T24" i="17"/>
  <c r="H17" i="25"/>
  <c r="I14" i="25"/>
  <c r="F6" i="25"/>
  <c r="I8" i="25"/>
  <c r="T25" i="25"/>
  <c r="F15" i="25"/>
  <c r="I13" i="25"/>
  <c r="C17" i="25"/>
  <c r="T24" i="25"/>
  <c r="F7" i="25"/>
  <c r="I16" i="25"/>
  <c r="D9" i="25"/>
  <c r="E17" i="25"/>
  <c r="F13" i="25"/>
  <c r="I15" i="25"/>
  <c r="F5" i="25"/>
  <c r="E9" i="25"/>
  <c r="I24" i="25"/>
  <c r="I23" i="25"/>
  <c r="T23" i="25"/>
  <c r="Q26" i="25"/>
  <c r="Q30" i="25" s="1"/>
  <c r="C9" i="25"/>
  <c r="I5" i="25"/>
  <c r="R26" i="25"/>
  <c r="R29" i="25" s="1"/>
  <c r="T22" i="25"/>
  <c r="H9" i="25"/>
  <c r="F23" i="25" s="1"/>
  <c r="I6" i="25"/>
  <c r="F8" i="25"/>
  <c r="I14" i="24"/>
  <c r="I15" i="24"/>
  <c r="I8" i="24"/>
  <c r="H17" i="24"/>
  <c r="I7" i="24"/>
  <c r="D17" i="24"/>
  <c r="E17" i="24"/>
  <c r="I13" i="24"/>
  <c r="C17" i="24"/>
  <c r="I23" i="24"/>
  <c r="H9" i="24"/>
  <c r="F23" i="24" s="1"/>
  <c r="I24" i="24"/>
  <c r="F7" i="24"/>
  <c r="E9" i="24"/>
  <c r="T22" i="17"/>
  <c r="D9" i="24"/>
  <c r="T23" i="17"/>
  <c r="C9" i="24"/>
  <c r="F6" i="24"/>
  <c r="T25" i="24"/>
  <c r="F8" i="24"/>
  <c r="T23" i="24"/>
  <c r="Q26" i="24"/>
  <c r="Q32" i="24" s="1"/>
  <c r="P26" i="24"/>
  <c r="F5" i="24"/>
  <c r="T22" i="24"/>
  <c r="R26" i="24"/>
  <c r="R31" i="24" s="1"/>
  <c r="T24" i="24"/>
  <c r="R26" i="17"/>
  <c r="R32" i="17" s="1"/>
  <c r="K9" i="21"/>
  <c r="K12" i="21" a="1"/>
  <c r="K19" i="21" a="1"/>
  <c r="K11" i="21" a="1"/>
  <c r="K14" i="21" a="1"/>
  <c r="K15" i="21" a="1"/>
  <c r="K20" i="21" a="1"/>
  <c r="K21" i="21" a="1"/>
  <c r="K17" i="21" a="1"/>
  <c r="K13" i="21" a="1"/>
  <c r="K10" i="21" a="1"/>
  <c r="K18" i="21" a="1"/>
  <c r="K16" i="21" a="1"/>
  <c r="H36" i="21" l="1"/>
  <c r="I9" i="27"/>
  <c r="I16" i="27"/>
  <c r="I24" i="27"/>
  <c r="F31" i="27"/>
  <c r="F9" i="27"/>
  <c r="I31" i="27"/>
  <c r="F24" i="27"/>
  <c r="I24" i="26"/>
  <c r="F16" i="27"/>
  <c r="I16" i="26"/>
  <c r="I9" i="26"/>
  <c r="F31" i="26"/>
  <c r="I31" i="26"/>
  <c r="F24" i="26"/>
  <c r="F16" i="26"/>
  <c r="F9" i="26"/>
  <c r="I17" i="25"/>
  <c r="Q29" i="25"/>
  <c r="I9" i="25"/>
  <c r="R31" i="25"/>
  <c r="R30" i="25"/>
  <c r="F17" i="25"/>
  <c r="F24" i="25"/>
  <c r="J24" i="25" s="1"/>
  <c r="Q32" i="25"/>
  <c r="R32" i="25"/>
  <c r="H23" i="25"/>
  <c r="L23" i="25"/>
  <c r="K23" i="25"/>
  <c r="J23" i="25"/>
  <c r="F22" i="25"/>
  <c r="Q31" i="25"/>
  <c r="F9" i="25"/>
  <c r="T26" i="25"/>
  <c r="I25" i="25"/>
  <c r="I17" i="24"/>
  <c r="I25" i="24"/>
  <c r="T26" i="17"/>
  <c r="I9" i="24"/>
  <c r="F22" i="24"/>
  <c r="F24" i="24"/>
  <c r="J24" i="24" s="1"/>
  <c r="L23" i="24"/>
  <c r="K23" i="24"/>
  <c r="H23" i="24"/>
  <c r="J23" i="24"/>
  <c r="Q31" i="24"/>
  <c r="Q29" i="24"/>
  <c r="T26" i="24"/>
  <c r="F9" i="24"/>
  <c r="Q30" i="24"/>
  <c r="R30" i="17"/>
  <c r="R32" i="24"/>
  <c r="R31" i="17"/>
  <c r="R29" i="24"/>
  <c r="R30" i="24"/>
  <c r="R29" i="17"/>
  <c r="K22" i="21" a="1"/>
  <c r="K22" i="21" s="1"/>
  <c r="K23" i="21" a="1"/>
  <c r="K23" i="21" s="1"/>
  <c r="K24" i="21" a="1"/>
  <c r="K24" i="21" s="1"/>
  <c r="K25" i="21" a="1"/>
  <c r="K25" i="21" s="1"/>
  <c r="K26" i="21" a="1"/>
  <c r="K26" i="21" s="1"/>
  <c r="K27" i="21" a="1"/>
  <c r="K27" i="21" s="1"/>
  <c r="K28" i="21" a="1"/>
  <c r="K28" i="21" s="1"/>
  <c r="K29" i="21" a="1"/>
  <c r="K29" i="21" s="1"/>
  <c r="K30" i="21" a="1"/>
  <c r="K30" i="21" s="1"/>
  <c r="K31" i="21" a="1"/>
  <c r="K31" i="21" s="1"/>
  <c r="K32" i="21" a="1"/>
  <c r="K32" i="21" s="1"/>
  <c r="K33" i="21" a="1"/>
  <c r="K33" i="21" s="1"/>
  <c r="K34" i="21" a="1"/>
  <c r="K34" i="21" s="1"/>
  <c r="K35" i="21" a="1"/>
  <c r="K35" i="21" s="1"/>
  <c r="K10" i="21"/>
  <c r="K11" i="21"/>
  <c r="K12" i="21"/>
  <c r="K13" i="21"/>
  <c r="K14" i="21"/>
  <c r="K15" i="21"/>
  <c r="K16" i="21"/>
  <c r="K17" i="21"/>
  <c r="K18" i="21"/>
  <c r="K19" i="21"/>
  <c r="K20" i="21"/>
  <c r="K21" i="21"/>
  <c r="M8" i="21" a="1"/>
  <c r="K24" i="25" l="1"/>
  <c r="H24" i="25"/>
  <c r="L24" i="25"/>
  <c r="R33" i="25"/>
  <c r="Q33" i="25"/>
  <c r="L24" i="24"/>
  <c r="K24" i="24"/>
  <c r="L22" i="25"/>
  <c r="F25" i="25"/>
  <c r="K22" i="25"/>
  <c r="H22" i="25"/>
  <c r="J22" i="25"/>
  <c r="J25" i="25" s="1"/>
  <c r="M23" i="25"/>
  <c r="F25" i="24"/>
  <c r="H24" i="24"/>
  <c r="L22" i="24"/>
  <c r="J22" i="24"/>
  <c r="J25" i="24" s="1"/>
  <c r="H22" i="24"/>
  <c r="K22" i="24"/>
  <c r="Q33" i="24"/>
  <c r="M23" i="24"/>
  <c r="R33" i="17"/>
  <c r="R33" i="24"/>
  <c r="K36" i="21"/>
  <c r="M8" i="21"/>
  <c r="M22" i="21" a="1"/>
  <c r="M22" i="21" s="1"/>
  <c r="M23" i="21" a="1"/>
  <c r="M23" i="21" s="1"/>
  <c r="M24" i="21" a="1"/>
  <c r="M24" i="21" s="1"/>
  <c r="M25" i="21" a="1"/>
  <c r="M25" i="21" s="1"/>
  <c r="M26" i="21" a="1"/>
  <c r="M26" i="21" s="1"/>
  <c r="M27" i="21" a="1"/>
  <c r="M27" i="21" s="1"/>
  <c r="M28" i="21" a="1"/>
  <c r="M28" i="21" s="1"/>
  <c r="M29" i="21" a="1"/>
  <c r="M29" i="21" s="1"/>
  <c r="M30" i="21" a="1"/>
  <c r="M30" i="21" s="1"/>
  <c r="M31" i="21" a="1"/>
  <c r="M31" i="21" s="1"/>
  <c r="M32" i="21" a="1"/>
  <c r="M32" i="21" s="1"/>
  <c r="M33" i="21" a="1"/>
  <c r="M33" i="21" s="1"/>
  <c r="M34" i="21" a="1"/>
  <c r="M34" i="21" s="1"/>
  <c r="M35" i="21" a="1"/>
  <c r="M35" i="21" s="1"/>
  <c r="M11" i="21" a="1"/>
  <c r="M17" i="21" a="1"/>
  <c r="M18" i="21" a="1"/>
  <c r="M12" i="21" a="1"/>
  <c r="M9" i="21" a="1"/>
  <c r="M13" i="21" a="1"/>
  <c r="M14" i="21" a="1"/>
  <c r="M20" i="21" a="1"/>
  <c r="M16" i="21" a="1"/>
  <c r="D8" i="21" a="1"/>
  <c r="M15" i="21" a="1"/>
  <c r="M21" i="21" a="1"/>
  <c r="M10" i="21" a="1"/>
  <c r="M19" i="21" a="1"/>
  <c r="K25" i="25" l="1"/>
  <c r="L25" i="25"/>
  <c r="M24" i="25"/>
  <c r="P31" i="25" s="1"/>
  <c r="T31" i="25" s="1"/>
  <c r="L25" i="24"/>
  <c r="K25" i="24"/>
  <c r="M24" i="24"/>
  <c r="P29" i="24" s="1"/>
  <c r="M22" i="25"/>
  <c r="H25" i="25"/>
  <c r="M22" i="24"/>
  <c r="H25" i="24"/>
  <c r="M21" i="21"/>
  <c r="M12" i="21"/>
  <c r="M19" i="21"/>
  <c r="M11" i="21"/>
  <c r="M10" i="21"/>
  <c r="M20" i="21"/>
  <c r="M18" i="21"/>
  <c r="M17" i="21"/>
  <c r="M13" i="21"/>
  <c r="M16" i="21"/>
  <c r="M9" i="21"/>
  <c r="M15" i="21"/>
  <c r="M14" i="21"/>
  <c r="D8" i="21"/>
  <c r="D22" i="21" a="1"/>
  <c r="D22" i="21" s="1"/>
  <c r="D23" i="21" a="1"/>
  <c r="D23" i="21" s="1"/>
  <c r="D24" i="21" a="1"/>
  <c r="D24" i="21" s="1"/>
  <c r="D25" i="21" a="1"/>
  <c r="D25" i="21" s="1"/>
  <c r="D26" i="21" a="1"/>
  <c r="D26" i="21" s="1"/>
  <c r="D27" i="21" a="1"/>
  <c r="D27" i="21" s="1"/>
  <c r="D28" i="21" a="1"/>
  <c r="D28" i="21" s="1"/>
  <c r="D29" i="21" a="1"/>
  <c r="D29" i="21" s="1"/>
  <c r="D30" i="21" a="1"/>
  <c r="D30" i="21" s="1"/>
  <c r="D31" i="21" a="1"/>
  <c r="D31" i="21" s="1"/>
  <c r="D32" i="21" a="1"/>
  <c r="D32" i="21" s="1"/>
  <c r="D33" i="21" a="1"/>
  <c r="D33" i="21" s="1"/>
  <c r="D34" i="21" a="1"/>
  <c r="D34" i="21" s="1"/>
  <c r="D35" i="21" a="1"/>
  <c r="D35" i="21" s="1"/>
  <c r="D21" i="21" a="1"/>
  <c r="D20" i="21" a="1"/>
  <c r="D14" i="21" a="1"/>
  <c r="F8" i="21" a="1"/>
  <c r="D19" i="21" a="1"/>
  <c r="D13" i="21" a="1"/>
  <c r="D9" i="21" a="1"/>
  <c r="D16" i="21" a="1"/>
  <c r="D18" i="21" a="1"/>
  <c r="D10" i="21" a="1"/>
  <c r="D17" i="21" a="1"/>
  <c r="D15" i="21" a="1"/>
  <c r="D12" i="21" a="1"/>
  <c r="D11" i="21" a="1"/>
  <c r="P31" i="24" l="1"/>
  <c r="T31" i="24" s="1"/>
  <c r="M25" i="25"/>
  <c r="P32" i="25"/>
  <c r="T32" i="25" s="1"/>
  <c r="P30" i="25"/>
  <c r="T30" i="25" s="1"/>
  <c r="P29" i="25"/>
  <c r="T29" i="25" s="1"/>
  <c r="P30" i="24"/>
  <c r="T30" i="24" s="1"/>
  <c r="P32" i="24"/>
  <c r="T32" i="24" s="1"/>
  <c r="M25" i="24"/>
  <c r="F15" i="24"/>
  <c r="F14" i="24"/>
  <c r="F16" i="24"/>
  <c r="T29" i="24"/>
  <c r="M36" i="21"/>
  <c r="D9" i="21"/>
  <c r="D15" i="21"/>
  <c r="D21" i="21"/>
  <c r="D13" i="21"/>
  <c r="D20" i="21"/>
  <c r="D12" i="21"/>
  <c r="D19" i="21"/>
  <c r="D11" i="21"/>
  <c r="D18" i="21"/>
  <c r="D10" i="21"/>
  <c r="D16" i="21"/>
  <c r="D14" i="21"/>
  <c r="D17" i="21"/>
  <c r="F8" i="21"/>
  <c r="F22" i="21" a="1"/>
  <c r="F22" i="21" s="1"/>
  <c r="F23" i="21" a="1"/>
  <c r="F23" i="21" s="1"/>
  <c r="F24" i="21" a="1"/>
  <c r="F24" i="21" s="1"/>
  <c r="F25" i="21" a="1"/>
  <c r="F25" i="21" s="1"/>
  <c r="F26" i="21" a="1"/>
  <c r="F26" i="21" s="1"/>
  <c r="F27" i="21" a="1"/>
  <c r="F27" i="21" s="1"/>
  <c r="F28" i="21" a="1"/>
  <c r="F28" i="21" s="1"/>
  <c r="F29" i="21" a="1"/>
  <c r="F29" i="21" s="1"/>
  <c r="F30" i="21" a="1"/>
  <c r="F30" i="21" s="1"/>
  <c r="F31" i="21" a="1"/>
  <c r="F31" i="21" s="1"/>
  <c r="F32" i="21" a="1"/>
  <c r="F32" i="21" s="1"/>
  <c r="F33" i="21" a="1"/>
  <c r="F33" i="21" s="1"/>
  <c r="F34" i="21" a="1"/>
  <c r="F34" i="21" s="1"/>
  <c r="F35" i="21" a="1"/>
  <c r="F35" i="21" s="1"/>
  <c r="P26" i="17"/>
  <c r="P32" i="17" s="1"/>
  <c r="Q26" i="17"/>
  <c r="Q31" i="17" s="1"/>
  <c r="F11" i="21" a="1"/>
  <c r="F16" i="21" a="1"/>
  <c r="F14" i="21" a="1"/>
  <c r="F9" i="21" a="1"/>
  <c r="F18" i="21" a="1"/>
  <c r="F10" i="21" a="1"/>
  <c r="F21" i="21" a="1"/>
  <c r="F15" i="21" a="1"/>
  <c r="F12" i="21" a="1"/>
  <c r="F17" i="21" a="1"/>
  <c r="L8" i="21" a="1"/>
  <c r="F13" i="21" a="1"/>
  <c r="F19" i="21" a="1"/>
  <c r="F20" i="21" a="1"/>
  <c r="T33" i="25" l="1"/>
  <c r="P33" i="25"/>
  <c r="P33" i="24"/>
  <c r="F13" i="24"/>
  <c r="T33" i="24"/>
  <c r="D36" i="21"/>
  <c r="N36" i="21" s="1"/>
  <c r="F16" i="21"/>
  <c r="F9" i="21"/>
  <c r="F15" i="21"/>
  <c r="F14" i="21"/>
  <c r="F21" i="21"/>
  <c r="F13" i="21"/>
  <c r="F20" i="21"/>
  <c r="F12" i="21"/>
  <c r="F19" i="21"/>
  <c r="F11" i="21"/>
  <c r="F18" i="21"/>
  <c r="F10" i="21"/>
  <c r="F17" i="21"/>
  <c r="Q30" i="17"/>
  <c r="P31" i="17"/>
  <c r="T31" i="17" s="1"/>
  <c r="P30" i="17"/>
  <c r="P29" i="17"/>
  <c r="Q32" i="17"/>
  <c r="T32" i="17" s="1"/>
  <c r="Q29" i="17"/>
  <c r="L8" i="21"/>
  <c r="L9" i="21" a="1"/>
  <c r="F17" i="24" l="1"/>
  <c r="T29" i="17"/>
  <c r="F36" i="21"/>
  <c r="T30" i="17"/>
  <c r="D16" i="17"/>
  <c r="F16" i="17"/>
  <c r="L9" i="21"/>
  <c r="L12" i="21" a="1"/>
  <c r="L17" i="21" a="1"/>
  <c r="L14" i="21" a="1"/>
  <c r="L13" i="21" a="1"/>
  <c r="L18" i="21" a="1"/>
  <c r="L15" i="21" a="1"/>
  <c r="L19" i="21" a="1"/>
  <c r="L21" i="21" a="1"/>
  <c r="L20" i="21" a="1"/>
  <c r="L16" i="21" a="1"/>
  <c r="L11" i="21" a="1"/>
  <c r="L10" i="21" a="1"/>
  <c r="T33" i="17" l="1"/>
  <c r="D17" i="17" s="1"/>
  <c r="F17" i="17"/>
  <c r="L22" i="21" a="1"/>
  <c r="L22" i="21" s="1"/>
  <c r="L23" i="21" a="1"/>
  <c r="L23" i="21" s="1"/>
  <c r="L24" i="21" a="1"/>
  <c r="L24" i="21" s="1"/>
  <c r="L25" i="21" a="1"/>
  <c r="L25" i="21" s="1"/>
  <c r="L26" i="21" a="1"/>
  <c r="L26" i="21" s="1"/>
  <c r="L27" i="21" a="1"/>
  <c r="L27" i="21" s="1"/>
  <c r="L28" i="21" a="1"/>
  <c r="L28" i="21" s="1"/>
  <c r="L29" i="21" a="1"/>
  <c r="L29" i="21" s="1"/>
  <c r="L30" i="21" a="1"/>
  <c r="L30" i="21" s="1"/>
  <c r="L31" i="21" a="1"/>
  <c r="L31" i="21" s="1"/>
  <c r="L32" i="21" a="1"/>
  <c r="L32" i="21" s="1"/>
  <c r="L33" i="21" a="1"/>
  <c r="L33" i="21" s="1"/>
  <c r="L34" i="21" a="1"/>
  <c r="L34" i="21" s="1"/>
  <c r="L35" i="21" a="1"/>
  <c r="L35" i="21" s="1"/>
  <c r="L10" i="21"/>
  <c r="L11" i="21"/>
  <c r="L12" i="21"/>
  <c r="L13" i="21"/>
  <c r="L14" i="21"/>
  <c r="L15" i="21"/>
  <c r="L16" i="21"/>
  <c r="L17" i="21"/>
  <c r="L18" i="21"/>
  <c r="L19" i="21"/>
  <c r="L20" i="21"/>
  <c r="L21" i="21"/>
  <c r="F14" i="17"/>
  <c r="D14" i="17"/>
  <c r="D13" i="17"/>
  <c r="F13" i="17"/>
  <c r="F15" i="17"/>
  <c r="D15" i="17"/>
  <c r="I8" i="21" a="1"/>
  <c r="L36" i="21" l="1"/>
  <c r="I8" i="21"/>
  <c r="I22" i="21" a="1"/>
  <c r="I22" i="21" s="1"/>
  <c r="I23" i="21" a="1"/>
  <c r="I23" i="21" s="1"/>
  <c r="I24" i="21" a="1"/>
  <c r="I24" i="21" s="1"/>
  <c r="I25" i="21" a="1"/>
  <c r="I25" i="21" s="1"/>
  <c r="I26" i="21" a="1"/>
  <c r="I26" i="21" s="1"/>
  <c r="I27" i="21" a="1"/>
  <c r="I27" i="21" s="1"/>
  <c r="I28" i="21" a="1"/>
  <c r="I28" i="21" s="1"/>
  <c r="I29" i="21" a="1"/>
  <c r="I29" i="21" s="1"/>
  <c r="I30" i="21" a="1"/>
  <c r="I30" i="21" s="1"/>
  <c r="I31" i="21" a="1"/>
  <c r="I31" i="21" s="1"/>
  <c r="I32" i="21" a="1"/>
  <c r="I32" i="21" s="1"/>
  <c r="I33" i="21" a="1"/>
  <c r="I33" i="21" s="1"/>
  <c r="I34" i="21" a="1"/>
  <c r="I34" i="21" s="1"/>
  <c r="I35" i="21" a="1"/>
  <c r="I35" i="21" s="1"/>
  <c r="I12" i="21" a="1"/>
  <c r="I11" i="21" a="1"/>
  <c r="I10" i="21" a="1"/>
  <c r="I17" i="21" a="1"/>
  <c r="I20" i="21" a="1"/>
  <c r="I15" i="21" a="1"/>
  <c r="I14" i="21" a="1"/>
  <c r="I18" i="21" a="1"/>
  <c r="I13" i="21" a="1"/>
  <c r="I21" i="21" a="1"/>
  <c r="I19" i="21" a="1"/>
  <c r="E8" i="21" a="1"/>
  <c r="I9" i="21" a="1"/>
  <c r="I16" i="21" a="1"/>
  <c r="I20" i="21" l="1"/>
  <c r="I12" i="21"/>
  <c r="I19" i="21"/>
  <c r="I11" i="21"/>
  <c r="I10" i="21"/>
  <c r="I21" i="21"/>
  <c r="I17" i="21"/>
  <c r="I13" i="21"/>
  <c r="I16" i="21"/>
  <c r="I9" i="21"/>
  <c r="I15" i="21"/>
  <c r="I18" i="21"/>
  <c r="I14" i="21"/>
  <c r="E8" i="21"/>
  <c r="E22" i="21" a="1"/>
  <c r="E22" i="21" s="1"/>
  <c r="E23" i="21" a="1"/>
  <c r="E23" i="21" s="1"/>
  <c r="E24" i="21" a="1"/>
  <c r="E24" i="21" s="1"/>
  <c r="E25" i="21" a="1"/>
  <c r="E25" i="21" s="1"/>
  <c r="E26" i="21" a="1"/>
  <c r="E26" i="21" s="1"/>
  <c r="E27" i="21" a="1"/>
  <c r="E27" i="21" s="1"/>
  <c r="E28" i="21" a="1"/>
  <c r="E28" i="21" s="1"/>
  <c r="E29" i="21" a="1"/>
  <c r="E29" i="21" s="1"/>
  <c r="E30" i="21" a="1"/>
  <c r="E30" i="21" s="1"/>
  <c r="E31" i="21" a="1"/>
  <c r="E31" i="21" s="1"/>
  <c r="E32" i="21" a="1"/>
  <c r="E32" i="21" s="1"/>
  <c r="E33" i="21" a="1"/>
  <c r="E33" i="21" s="1"/>
  <c r="E34" i="21" a="1"/>
  <c r="E34" i="21" s="1"/>
  <c r="E35" i="21" a="1"/>
  <c r="E35" i="21" s="1"/>
  <c r="E16" i="21" a="1"/>
  <c r="E20" i="21" a="1"/>
  <c r="J8" i="21" a="1"/>
  <c r="E10" i="21" a="1"/>
  <c r="E13" i="21" a="1"/>
  <c r="E14" i="21" a="1"/>
  <c r="E19" i="21" a="1"/>
  <c r="E15" i="21" a="1"/>
  <c r="E17" i="21" a="1"/>
  <c r="E12" i="21" a="1"/>
  <c r="E9" i="21" a="1"/>
  <c r="E11" i="21" a="1"/>
  <c r="E18" i="21" a="1"/>
  <c r="E21" i="21" a="1"/>
  <c r="I36" i="21" l="1"/>
  <c r="E16" i="21"/>
  <c r="E9" i="21"/>
  <c r="E15" i="21"/>
  <c r="E21" i="21"/>
  <c r="E13" i="21"/>
  <c r="E20" i="21"/>
  <c r="E12" i="21"/>
  <c r="E19" i="21"/>
  <c r="E11" i="21"/>
  <c r="E14" i="21"/>
  <c r="E18" i="21"/>
  <c r="E10" i="21"/>
  <c r="E17" i="21"/>
  <c r="J8" i="21"/>
  <c r="J22" i="21" a="1"/>
  <c r="J22" i="21" s="1"/>
  <c r="J23" i="21" a="1"/>
  <c r="J23" i="21" s="1"/>
  <c r="J24" i="21" a="1"/>
  <c r="J24" i="21" s="1"/>
  <c r="J25" i="21" a="1"/>
  <c r="J25" i="21" s="1"/>
  <c r="J26" i="21" a="1"/>
  <c r="J26" i="21" s="1"/>
  <c r="J27" i="21" a="1"/>
  <c r="J27" i="21" s="1"/>
  <c r="J28" i="21" a="1"/>
  <c r="J28" i="21" s="1"/>
  <c r="J29" i="21" a="1"/>
  <c r="J29" i="21" s="1"/>
  <c r="J30" i="21" a="1"/>
  <c r="J30" i="21" s="1"/>
  <c r="J31" i="21" a="1"/>
  <c r="J31" i="21" s="1"/>
  <c r="J32" i="21" a="1"/>
  <c r="J32" i="21" s="1"/>
  <c r="J33" i="21" a="1"/>
  <c r="J33" i="21" s="1"/>
  <c r="J34" i="21" a="1"/>
  <c r="J34" i="21" s="1"/>
  <c r="J35" i="21" a="1"/>
  <c r="J35" i="21" s="1"/>
  <c r="E14" i="18"/>
  <c r="F14" i="18"/>
  <c r="G14" i="18" s="1"/>
  <c r="F13" i="18"/>
  <c r="G13" i="18" s="1"/>
  <c r="E13" i="18"/>
  <c r="Q33" i="17"/>
  <c r="P33" i="17"/>
  <c r="F15" i="18"/>
  <c r="G15" i="18" s="1"/>
  <c r="E15" i="18"/>
  <c r="J10" i="21" a="1"/>
  <c r="J18" i="21" a="1"/>
  <c r="J17" i="21" a="1"/>
  <c r="J20" i="21" a="1"/>
  <c r="J9" i="21" a="1"/>
  <c r="J11" i="21" a="1"/>
  <c r="J12" i="21" a="1"/>
  <c r="J19" i="21" a="1"/>
  <c r="G8" i="21" a="1"/>
  <c r="J14" i="21" a="1"/>
  <c r="J15" i="21" a="1"/>
  <c r="J16" i="21" a="1"/>
  <c r="J13" i="21" a="1"/>
  <c r="J21" i="21" a="1"/>
  <c r="E36" i="21" l="1"/>
  <c r="J14" i="21"/>
  <c r="J16" i="21"/>
  <c r="J9" i="21"/>
  <c r="J15" i="21"/>
  <c r="J21" i="21"/>
  <c r="J13" i="21"/>
  <c r="J20" i="21"/>
  <c r="J12" i="21"/>
  <c r="J19" i="21"/>
  <c r="J11" i="21"/>
  <c r="J18" i="21"/>
  <c r="J10" i="21"/>
  <c r="J17" i="21"/>
  <c r="G8" i="21"/>
  <c r="G22" i="21" a="1"/>
  <c r="G22" i="21" s="1"/>
  <c r="G23" i="21" a="1"/>
  <c r="G23" i="21" s="1"/>
  <c r="G24" i="21" a="1"/>
  <c r="G24" i="21" s="1"/>
  <c r="G25" i="21" a="1"/>
  <c r="G25" i="21" s="1"/>
  <c r="G26" i="21" a="1"/>
  <c r="G26" i="21" s="1"/>
  <c r="G27" i="21" a="1"/>
  <c r="G27" i="21" s="1"/>
  <c r="G28" i="21" a="1"/>
  <c r="G28" i="21" s="1"/>
  <c r="G29" i="21" a="1"/>
  <c r="G29" i="21" s="1"/>
  <c r="G30" i="21" a="1"/>
  <c r="G30" i="21" s="1"/>
  <c r="G31" i="21" a="1"/>
  <c r="G31" i="21" s="1"/>
  <c r="G32" i="21" a="1"/>
  <c r="G32" i="21" s="1"/>
  <c r="G33" i="21" a="1"/>
  <c r="G33" i="21" s="1"/>
  <c r="G34" i="21" a="1"/>
  <c r="G34" i="21" s="1"/>
  <c r="G35" i="21" a="1"/>
  <c r="G35" i="21" s="1"/>
  <c r="S11" i="21" a="1"/>
  <c r="G21" i="21" a="1"/>
  <c r="G18" i="21" a="1"/>
  <c r="G11" i="21" a="1"/>
  <c r="G15" i="21" a="1"/>
  <c r="G19" i="21" a="1"/>
  <c r="G14" i="21" a="1"/>
  <c r="G13" i="21" a="1"/>
  <c r="G17" i="21" a="1"/>
  <c r="G16" i="21" a="1"/>
  <c r="G12" i="21" a="1"/>
  <c r="G10" i="21" a="1"/>
  <c r="G20" i="21" a="1"/>
  <c r="G9" i="21" a="1"/>
  <c r="J36" i="21" l="1"/>
  <c r="G14" i="21"/>
  <c r="G21" i="21"/>
  <c r="G13" i="21"/>
  <c r="G15" i="21"/>
  <c r="G20" i="21"/>
  <c r="G12" i="21"/>
  <c r="G9" i="21"/>
  <c r="G19" i="21"/>
  <c r="G11" i="21"/>
  <c r="G16" i="21"/>
  <c r="G18" i="21"/>
  <c r="G10" i="21"/>
  <c r="G17" i="21"/>
  <c r="S11" i="21"/>
  <c r="S25" i="21" a="1"/>
  <c r="S25" i="21" s="1"/>
  <c r="S27" i="21" a="1"/>
  <c r="S27" i="21" s="1"/>
  <c r="S30" i="21" a="1"/>
  <c r="S30" i="21" s="1"/>
  <c r="S28" i="21" a="1"/>
  <c r="S28" i="21" s="1"/>
  <c r="S31" i="21" a="1"/>
  <c r="S31" i="21" s="1"/>
  <c r="S29" i="21" a="1"/>
  <c r="S29" i="21" s="1"/>
  <c r="S34" i="21" a="1"/>
  <c r="S34" i="21" s="1"/>
  <c r="S24" i="21" a="1"/>
  <c r="S24" i="21" s="1"/>
  <c r="S33" i="21" a="1"/>
  <c r="S33" i="21" s="1"/>
  <c r="S32" i="21" a="1"/>
  <c r="S32" i="21" s="1"/>
  <c r="S22" i="21" a="1"/>
  <c r="S22" i="21" s="1"/>
  <c r="S26" i="21" a="1"/>
  <c r="S26" i="21" s="1"/>
  <c r="S23" i="21" a="1"/>
  <c r="S23" i="21" s="1"/>
  <c r="AV24" i="8"/>
  <c r="AV43" i="8"/>
  <c r="AV36" i="8"/>
  <c r="AV14" i="8"/>
  <c r="AV37" i="8"/>
  <c r="AV23" i="8"/>
  <c r="AV31" i="8"/>
  <c r="AV35" i="8"/>
  <c r="AV25" i="8"/>
  <c r="AV50" i="8"/>
  <c r="AV15" i="8"/>
  <c r="AV42" i="8"/>
  <c r="AV38" i="8"/>
  <c r="AV51" i="8"/>
  <c r="Y22" i="21" a="1"/>
  <c r="Y22" i="21" s="1"/>
  <c r="Y30" i="21" a="1"/>
  <c r="Y30" i="21" s="1"/>
  <c r="U30" i="21" a="1"/>
  <c r="U30" i="21" s="1"/>
  <c r="Y29" i="21" a="1"/>
  <c r="Y29" i="21" s="1"/>
  <c r="Y34" i="21" a="1"/>
  <c r="Y34" i="21" s="1"/>
  <c r="Y27" i="21" a="1"/>
  <c r="Y27" i="21" s="1"/>
  <c r="U29" i="21" a="1"/>
  <c r="U29" i="21" s="1"/>
  <c r="U22" i="21" a="1"/>
  <c r="U22" i="21" s="1"/>
  <c r="Y28" i="21" a="1"/>
  <c r="Y28" i="21" s="1"/>
  <c r="Y23" i="21" a="1"/>
  <c r="Y23" i="21" s="1"/>
  <c r="U33" i="21" a="1"/>
  <c r="U33" i="21" s="1"/>
  <c r="U23" i="21" a="1"/>
  <c r="U23" i="21" s="1"/>
  <c r="U27" i="21" a="1"/>
  <c r="U27" i="21" s="1"/>
  <c r="Y25" i="21" a="1"/>
  <c r="Y25" i="21" s="1"/>
  <c r="U34" i="21" a="1"/>
  <c r="U34" i="21" s="1"/>
  <c r="Y24" i="21" a="1"/>
  <c r="Y24" i="21" s="1"/>
  <c r="Y32" i="21" a="1"/>
  <c r="Y32" i="21" s="1"/>
  <c r="U32" i="21" a="1"/>
  <c r="U32" i="21" s="1"/>
  <c r="U31" i="21" a="1"/>
  <c r="U31" i="21" s="1"/>
  <c r="U24" i="21" a="1"/>
  <c r="U24" i="21" s="1"/>
  <c r="Y31" i="21" a="1"/>
  <c r="Y31" i="21" s="1"/>
  <c r="Y26" i="21" a="1"/>
  <c r="Y26" i="21" s="1"/>
  <c r="Y33" i="21" a="1"/>
  <c r="Y33" i="21" s="1"/>
  <c r="U28" i="21" a="1"/>
  <c r="U28" i="21" s="1"/>
  <c r="U26" i="21" a="1"/>
  <c r="U26" i="21" s="1"/>
  <c r="U25" i="21" a="1"/>
  <c r="U25" i="21" s="1"/>
  <c r="AU25" i="8"/>
  <c r="AU37" i="8"/>
  <c r="AS50" i="8"/>
  <c r="AS15" i="8"/>
  <c r="AU35" i="8"/>
  <c r="AT42" i="8"/>
  <c r="AS36" i="8"/>
  <c r="AT37" i="8"/>
  <c r="AS43" i="8"/>
  <c r="AU42" i="8"/>
  <c r="AU14" i="8"/>
  <c r="AU43" i="8"/>
  <c r="AS42" i="8"/>
  <c r="AT38" i="8"/>
  <c r="AT50" i="8"/>
  <c r="AS31" i="8"/>
  <c r="AS35" i="8"/>
  <c r="AS51" i="8"/>
  <c r="AU50" i="8"/>
  <c r="AT15" i="8"/>
  <c r="AS38" i="8"/>
  <c r="AS14" i="8"/>
  <c r="AU36" i="8"/>
  <c r="AU31" i="8"/>
  <c r="AS25" i="8"/>
  <c r="AU23" i="8"/>
  <c r="AT25" i="8"/>
  <c r="AS37" i="8"/>
  <c r="AT51" i="8"/>
  <c r="AS24" i="8"/>
  <c r="AU24" i="8"/>
  <c r="AT35" i="8"/>
  <c r="AT14" i="8"/>
  <c r="AU15" i="8"/>
  <c r="AT36" i="8"/>
  <c r="AS23" i="8"/>
  <c r="AT43" i="8"/>
  <c r="AT23" i="8"/>
  <c r="AT24" i="8"/>
  <c r="AU38" i="8"/>
  <c r="AT31" i="8"/>
  <c r="AU51" i="8"/>
  <c r="W28" i="21" a="1"/>
  <c r="W28" i="21" s="1"/>
  <c r="O23" i="21" a="1"/>
  <c r="O23" i="21" s="1"/>
  <c r="B33" i="21" a="1"/>
  <c r="B33" i="21" s="1"/>
  <c r="R28" i="21" a="1"/>
  <c r="R28" i="21" s="1"/>
  <c r="R24" i="21" a="1"/>
  <c r="R24" i="21" s="1"/>
  <c r="X34" i="21" a="1"/>
  <c r="X34" i="21" s="1"/>
  <c r="Q32" i="21" a="1"/>
  <c r="Q32" i="21" s="1"/>
  <c r="C25" i="21" a="1"/>
  <c r="C25" i="21" s="1"/>
  <c r="C28" i="21" a="1"/>
  <c r="C28" i="21" s="1"/>
  <c r="B28" i="21" a="1"/>
  <c r="B28" i="21" s="1"/>
  <c r="X27" i="21" a="1"/>
  <c r="X27" i="21" s="1"/>
  <c r="C27" i="21" a="1"/>
  <c r="C27" i="21" s="1"/>
  <c r="T27" i="21" a="1"/>
  <c r="T27" i="21" s="1"/>
  <c r="R31" i="21" a="1"/>
  <c r="R31" i="21" s="1"/>
  <c r="N32" i="21" a="1"/>
  <c r="N32" i="21" s="1"/>
  <c r="R27" i="21" a="1"/>
  <c r="R27" i="21" s="1"/>
  <c r="B35" i="21" a="1"/>
  <c r="B35" i="21" s="1"/>
  <c r="C23" i="21" a="1"/>
  <c r="C23" i="21" s="1"/>
  <c r="O35" i="21" a="1"/>
  <c r="O35" i="21" s="1"/>
  <c r="O29" i="21" a="1"/>
  <c r="O29" i="21" s="1"/>
  <c r="X33" i="21" a="1"/>
  <c r="X33" i="21" s="1"/>
  <c r="P27" i="21" a="1"/>
  <c r="P27" i="21" s="1"/>
  <c r="B34" i="21" a="1"/>
  <c r="B34" i="21" s="1"/>
  <c r="Q27" i="21" a="1"/>
  <c r="Q27" i="21" s="1"/>
  <c r="V23" i="21" a="1"/>
  <c r="V23" i="21" s="1"/>
  <c r="V30" i="21" a="1"/>
  <c r="V30" i="21" s="1"/>
  <c r="N33" i="21" a="1"/>
  <c r="N33" i="21" s="1"/>
  <c r="W34" i="21" a="1"/>
  <c r="W34" i="21" s="1"/>
  <c r="N24" i="21" a="1"/>
  <c r="N24" i="21" s="1"/>
  <c r="X23" i="21" a="1"/>
  <c r="X23" i="21" s="1"/>
  <c r="T26" i="21" a="1"/>
  <c r="T26" i="21" s="1"/>
  <c r="V31" i="21" a="1"/>
  <c r="V31" i="21" s="1"/>
  <c r="Q23" i="21" a="1"/>
  <c r="Q23" i="21" s="1"/>
  <c r="P25" i="21" a="1"/>
  <c r="P25" i="21" s="1"/>
  <c r="P35" i="21" a="1"/>
  <c r="P35" i="21" s="1"/>
  <c r="P29" i="21" a="1"/>
  <c r="P29" i="21" s="1"/>
  <c r="V26" i="21" a="1"/>
  <c r="V26" i="21" s="1"/>
  <c r="C31" i="21" a="1"/>
  <c r="C31" i="21" s="1"/>
  <c r="O31" i="21" a="1"/>
  <c r="O31" i="21" s="1"/>
  <c r="X31" i="21" a="1"/>
  <c r="X31" i="21" s="1"/>
  <c r="T23" i="21" a="1"/>
  <c r="T23" i="21" s="1"/>
  <c r="C24" i="21" a="1"/>
  <c r="C24" i="21" s="1"/>
  <c r="N34" i="21" a="1"/>
  <c r="N34" i="21" s="1"/>
  <c r="W31" i="21" a="1"/>
  <c r="W31" i="21" s="1"/>
  <c r="W27" i="21" a="1"/>
  <c r="W27" i="21" s="1"/>
  <c r="T35" i="21" a="1"/>
  <c r="T35" i="21" s="1"/>
  <c r="O34" i="21" a="1"/>
  <c r="O34" i="21" s="1"/>
  <c r="P26" i="21" a="1"/>
  <c r="P26" i="21" s="1"/>
  <c r="V24" i="21" a="1"/>
  <c r="V24" i="21" s="1"/>
  <c r="Q24" i="21" a="1"/>
  <c r="Q24" i="21" s="1"/>
  <c r="U35" i="21" a="1"/>
  <c r="U35" i="21" s="1"/>
  <c r="P30" i="21" a="1"/>
  <c r="P30" i="21" s="1"/>
  <c r="B31" i="21" a="1"/>
  <c r="B31" i="21" s="1"/>
  <c r="B25" i="21" a="1"/>
  <c r="B25" i="21" s="1"/>
  <c r="N23" i="21" a="1"/>
  <c r="N23" i="21" s="1"/>
  <c r="N28" i="21" a="1"/>
  <c r="N28" i="21" s="1"/>
  <c r="W23" i="21" a="1"/>
  <c r="W23" i="21" s="1"/>
  <c r="V29" i="21" a="1"/>
  <c r="V29" i="21" s="1"/>
  <c r="Q33" i="21" a="1"/>
  <c r="Q33" i="21" s="1"/>
  <c r="V33" i="21" a="1"/>
  <c r="V33" i="21" s="1"/>
  <c r="R34" i="21" a="1"/>
  <c r="R34" i="21" s="1"/>
  <c r="X25" i="21" a="1"/>
  <c r="X25" i="21" s="1"/>
  <c r="W25" i="21" a="1"/>
  <c r="W25" i="21" s="1"/>
  <c r="B32" i="21" a="1"/>
  <c r="B32" i="21" s="1"/>
  <c r="N22" i="21" a="1"/>
  <c r="N22" i="21" s="1"/>
  <c r="P31" i="21" a="1"/>
  <c r="P31" i="21" s="1"/>
  <c r="B29" i="21" a="1"/>
  <c r="B29" i="21" s="1"/>
  <c r="X30" i="21" a="1"/>
  <c r="X30" i="21" s="1"/>
  <c r="X26" i="21" a="1"/>
  <c r="X26" i="21" s="1"/>
  <c r="P28" i="21" a="1"/>
  <c r="P28" i="21" s="1"/>
  <c r="V34" i="21" a="1"/>
  <c r="V34" i="21" s="1"/>
  <c r="C32" i="21" a="1"/>
  <c r="C32" i="21" s="1"/>
  <c r="W33" i="21" a="1"/>
  <c r="W33" i="21" s="1"/>
  <c r="B27" i="21" a="1"/>
  <c r="B27" i="21" s="1"/>
  <c r="P22" i="21" a="1"/>
  <c r="P22" i="21" s="1"/>
  <c r="Q30" i="21" a="1"/>
  <c r="Q30" i="21" s="1"/>
  <c r="C22" i="21" a="1"/>
  <c r="C22" i="21" s="1"/>
  <c r="R22" i="21" a="1"/>
  <c r="R22" i="21" s="1"/>
  <c r="O28" i="21" a="1"/>
  <c r="O28" i="21" s="1"/>
  <c r="O30" i="21" a="1"/>
  <c r="O30" i="21" s="1"/>
  <c r="Q34" i="21" a="1"/>
  <c r="Q34" i="21" s="1"/>
  <c r="P23" i="21" a="1"/>
  <c r="P23" i="21" s="1"/>
  <c r="B30" i="21" a="1"/>
  <c r="B30" i="21" s="1"/>
  <c r="O24" i="21" a="1"/>
  <c r="O24" i="21" s="1"/>
  <c r="X35" i="21" a="1"/>
  <c r="X35" i="21" s="1"/>
  <c r="V25" i="21" a="1"/>
  <c r="V25" i="21" s="1"/>
  <c r="T28" i="21" a="1"/>
  <c r="T28" i="21" s="1"/>
  <c r="N26" i="21" a="1"/>
  <c r="N26" i="21" s="1"/>
  <c r="B24" i="21" a="1"/>
  <c r="B24" i="21" s="1"/>
  <c r="R29" i="21" a="1"/>
  <c r="R29" i="21" s="1"/>
  <c r="X22" i="21" a="1"/>
  <c r="X22" i="21" s="1"/>
  <c r="N27" i="21" a="1"/>
  <c r="N27" i="21" s="1"/>
  <c r="T24" i="21" a="1"/>
  <c r="T24" i="21" s="1"/>
  <c r="V22" i="21" a="1"/>
  <c r="V22" i="21" s="1"/>
  <c r="B22" i="21" a="1"/>
  <c r="B22" i="21" s="1"/>
  <c r="X24" i="21" a="1"/>
  <c r="X24" i="21" s="1"/>
  <c r="N35" i="21" a="1"/>
  <c r="N35" i="21" s="1"/>
  <c r="P33" i="21" a="1"/>
  <c r="P33" i="21" s="1"/>
  <c r="W30" i="21" a="1"/>
  <c r="W30" i="21" s="1"/>
  <c r="R35" i="21" a="1"/>
  <c r="R35" i="21" s="1"/>
  <c r="O32" i="21" a="1"/>
  <c r="O32" i="21" s="1"/>
  <c r="N29" i="21" a="1"/>
  <c r="N29" i="21" s="1"/>
  <c r="X32" i="21" a="1"/>
  <c r="X32" i="21" s="1"/>
  <c r="Q29" i="21" a="1"/>
  <c r="Q29" i="21" s="1"/>
  <c r="R25" i="21" a="1"/>
  <c r="R25" i="21" s="1"/>
  <c r="T33" i="21" a="1"/>
  <c r="T33" i="21" s="1"/>
  <c r="C34" i="21" a="1"/>
  <c r="C34" i="21" s="1"/>
  <c r="X28" i="21" a="1"/>
  <c r="X28" i="21" s="1"/>
  <c r="Q28" i="21" a="1"/>
  <c r="Q28" i="21" s="1"/>
  <c r="Q31" i="21" a="1"/>
  <c r="Q31" i="21" s="1"/>
  <c r="T34" i="21" a="1"/>
  <c r="T34" i="21" s="1"/>
  <c r="W26" i="21" a="1"/>
  <c r="W26" i="21" s="1"/>
  <c r="T25" i="21" a="1"/>
  <c r="T25" i="21" s="1"/>
  <c r="W29" i="21" a="1"/>
  <c r="W29" i="21" s="1"/>
  <c r="T31" i="21" a="1"/>
  <c r="T31" i="21" s="1"/>
  <c r="W35" i="21" a="1"/>
  <c r="W35" i="21" s="1"/>
  <c r="V28" i="21" a="1"/>
  <c r="V28" i="21" s="1"/>
  <c r="R23" i="21" a="1"/>
  <c r="R23" i="21" s="1"/>
  <c r="B26" i="21" a="1"/>
  <c r="B26" i="21" s="1"/>
  <c r="C29" i="21" a="1"/>
  <c r="C29" i="21" s="1"/>
  <c r="N31" i="21" a="1"/>
  <c r="N31" i="21" s="1"/>
  <c r="T32" i="21" a="1"/>
  <c r="T32" i="21" s="1"/>
  <c r="O33" i="21" a="1"/>
  <c r="O33" i="21" s="1"/>
  <c r="O26" i="21" a="1"/>
  <c r="O26" i="21" s="1"/>
  <c r="X29" i="21" a="1"/>
  <c r="X29" i="21" s="1"/>
  <c r="R30" i="21" a="1"/>
  <c r="R30" i="21" s="1"/>
  <c r="T30" i="21" a="1"/>
  <c r="T30" i="21" s="1"/>
  <c r="Q22" i="21" a="1"/>
  <c r="Q22" i="21" s="1"/>
  <c r="V32" i="21" a="1"/>
  <c r="V32" i="21" s="1"/>
  <c r="S35" i="21" a="1"/>
  <c r="S35" i="21" s="1"/>
  <c r="C26" i="21" a="1"/>
  <c r="C26" i="21" s="1"/>
  <c r="R32" i="21" a="1"/>
  <c r="R32" i="21" s="1"/>
  <c r="N30" i="21" a="1"/>
  <c r="N30" i="21" s="1"/>
  <c r="P24" i="21" a="1"/>
  <c r="P24" i="21" s="1"/>
  <c r="V27" i="21" a="1"/>
  <c r="V27" i="21" s="1"/>
  <c r="O25" i="21" a="1"/>
  <c r="O25" i="21" s="1"/>
  <c r="C35" i="21" a="1"/>
  <c r="C35" i="21" s="1"/>
  <c r="P32" i="21" a="1"/>
  <c r="P32" i="21" s="1"/>
  <c r="Q26" i="21" a="1"/>
  <c r="Q26" i="21" s="1"/>
  <c r="R26" i="21" a="1"/>
  <c r="R26" i="21" s="1"/>
  <c r="V35" i="21" a="1"/>
  <c r="V35" i="21" s="1"/>
  <c r="W24" i="21" a="1"/>
  <c r="W24" i="21" s="1"/>
  <c r="C33" i="21" a="1"/>
  <c r="C33" i="21" s="1"/>
  <c r="Y35" i="21" a="1"/>
  <c r="Y35" i="21" s="1"/>
  <c r="W32" i="21" a="1"/>
  <c r="W32" i="21" s="1"/>
  <c r="W22" i="21" a="1"/>
  <c r="W22" i="21" s="1"/>
  <c r="Q25" i="21" a="1"/>
  <c r="Q25" i="21" s="1"/>
  <c r="R33" i="21" a="1"/>
  <c r="R33" i="21" s="1"/>
  <c r="N25" i="21" a="1"/>
  <c r="N25" i="21" s="1"/>
  <c r="B23" i="21" a="1"/>
  <c r="B23" i="21" s="1"/>
  <c r="T29" i="21" a="1"/>
  <c r="T29" i="21" s="1"/>
  <c r="Q35" i="21" a="1"/>
  <c r="Q35" i="21" s="1"/>
  <c r="C30" i="21" a="1"/>
  <c r="C30" i="21" s="1"/>
  <c r="O22" i="21" a="1"/>
  <c r="O22" i="21" s="1"/>
  <c r="O27" i="21" a="1"/>
  <c r="O27" i="21" s="1"/>
  <c r="T22" i="21" a="1"/>
  <c r="T22" i="21" s="1"/>
  <c r="P34" i="21" a="1"/>
  <c r="P34" i="21" s="1"/>
  <c r="AR22" i="8"/>
  <c r="AP22" i="8" s="1"/>
  <c r="AR60" i="8"/>
  <c r="AP60" i="8" s="1"/>
  <c r="AR17" i="8"/>
  <c r="AP17" i="8" s="1"/>
  <c r="AR44" i="8"/>
  <c r="AP44" i="8" s="1"/>
  <c r="AR197" i="8"/>
  <c r="AP197" i="8" s="1"/>
  <c r="AV125" i="8"/>
  <c r="AV105" i="8"/>
  <c r="AV32" i="8"/>
  <c r="AV91" i="8"/>
  <c r="AS154" i="8"/>
  <c r="AR113" i="8"/>
  <c r="AP113" i="8" s="1"/>
  <c r="AV184" i="8"/>
  <c r="AV7" i="8"/>
  <c r="AR68" i="8"/>
  <c r="AP68" i="8" s="1"/>
  <c r="AR195" i="8"/>
  <c r="AP195" i="8" s="1"/>
  <c r="AV106" i="8"/>
  <c r="AV94" i="8"/>
  <c r="AV160" i="8"/>
  <c r="AV90" i="8"/>
  <c r="AV158" i="8"/>
  <c r="AR152" i="8"/>
  <c r="AP152" i="8" s="1"/>
  <c r="AV140" i="8"/>
  <c r="AV194" i="8"/>
  <c r="AV46" i="8"/>
  <c r="AV110" i="8"/>
  <c r="AR186" i="8"/>
  <c r="AP186" i="8" s="1"/>
  <c r="AV86" i="8"/>
  <c r="AR55" i="8"/>
  <c r="AP55" i="8" s="1"/>
  <c r="AR97" i="8"/>
  <c r="AP97" i="8" s="1"/>
  <c r="AR154" i="8"/>
  <c r="AP154" i="8" s="1"/>
  <c r="AR142" i="8"/>
  <c r="AP142" i="8" s="1"/>
  <c r="AV169" i="8"/>
  <c r="AR93" i="8"/>
  <c r="AP93" i="8" s="1"/>
  <c r="AV20" i="8"/>
  <c r="AV89" i="8"/>
  <c r="AR62" i="8"/>
  <c r="AP62" i="8" s="1"/>
  <c r="AV129" i="8"/>
  <c r="AR166" i="8"/>
  <c r="AP166" i="8" s="1"/>
  <c r="AV117" i="8"/>
  <c r="AV205" i="8"/>
  <c r="AV57" i="8"/>
  <c r="AR156" i="8"/>
  <c r="AP156" i="8" s="1"/>
  <c r="AV172" i="8"/>
  <c r="AV58" i="8"/>
  <c r="AR115" i="8"/>
  <c r="AP115" i="8" s="1"/>
  <c r="AV148" i="8"/>
  <c r="AV161" i="8"/>
  <c r="AV13" i="8"/>
  <c r="AR192" i="8"/>
  <c r="AP192" i="8" s="1"/>
  <c r="AR40" i="8"/>
  <c r="AP40" i="8" s="1"/>
  <c r="AR34" i="8"/>
  <c r="AP34" i="8" s="1"/>
  <c r="AR20" i="8"/>
  <c r="AP20" i="8" s="1"/>
  <c r="AR29" i="8"/>
  <c r="AP29" i="8" s="1"/>
  <c r="AR41" i="8"/>
  <c r="AP41" i="8" s="1"/>
  <c r="AV96" i="8"/>
  <c r="AV174" i="8"/>
  <c r="AR101" i="8"/>
  <c r="AP101" i="8" s="1"/>
  <c r="AR69" i="8"/>
  <c r="AP69" i="8" s="1"/>
  <c r="AV197" i="8"/>
  <c r="AR105" i="8"/>
  <c r="AP105" i="8" s="1"/>
  <c r="AV171" i="8"/>
  <c r="AR96" i="8"/>
  <c r="AP96" i="8" s="1"/>
  <c r="AV152" i="8"/>
  <c r="AV39" i="8"/>
  <c r="AV85" i="8"/>
  <c r="AV204" i="8"/>
  <c r="AR130" i="8"/>
  <c r="AP130" i="8" s="1"/>
  <c r="AV199" i="8"/>
  <c r="AV19" i="8"/>
  <c r="AR75" i="8"/>
  <c r="AP75" i="8" s="1"/>
  <c r="AV163" i="8"/>
  <c r="AR54" i="8"/>
  <c r="AP54" i="8" s="1"/>
  <c r="AR104" i="8"/>
  <c r="AP104" i="8" s="1"/>
  <c r="AV99" i="8"/>
  <c r="AV22" i="8"/>
  <c r="AV100" i="8"/>
  <c r="AV8" i="8"/>
  <c r="AR140" i="8"/>
  <c r="AP140" i="8" s="1"/>
  <c r="AR181" i="8"/>
  <c r="AP181" i="8" s="1"/>
  <c r="AR83" i="8"/>
  <c r="AP83" i="8" s="1"/>
  <c r="AV183" i="8"/>
  <c r="AV154" i="8"/>
  <c r="AV130" i="8"/>
  <c r="AS124" i="8"/>
  <c r="AV60" i="8"/>
  <c r="AR134" i="8"/>
  <c r="AP134" i="8" s="1"/>
  <c r="AR180" i="8"/>
  <c r="AP180" i="8" s="1"/>
  <c r="AR127" i="8"/>
  <c r="AP127" i="8" s="1"/>
  <c r="AV179" i="8"/>
  <c r="AR109" i="8"/>
  <c r="AP109" i="8" s="1"/>
  <c r="AS143" i="8"/>
  <c r="AV48" i="8"/>
  <c r="AV123" i="8"/>
  <c r="AR107" i="8"/>
  <c r="AP107" i="8" s="1"/>
  <c r="AV181" i="8"/>
  <c r="AR66" i="8"/>
  <c r="AP66" i="8" s="1"/>
  <c r="AR77" i="8"/>
  <c r="AP77" i="8" s="1"/>
  <c r="AR9" i="8"/>
  <c r="AP9" i="8" s="1"/>
  <c r="AR28" i="8"/>
  <c r="AP28" i="8" s="1"/>
  <c r="AR21" i="8"/>
  <c r="AP21" i="8" s="1"/>
  <c r="AR39" i="8"/>
  <c r="AP39" i="8" s="1"/>
  <c r="AR12" i="8"/>
  <c r="AP12" i="8" s="1"/>
  <c r="AV16" i="8"/>
  <c r="AV114" i="8"/>
  <c r="AV188" i="8"/>
  <c r="AV101" i="8"/>
  <c r="AR162" i="8"/>
  <c r="AP162" i="8" s="1"/>
  <c r="AR73" i="8"/>
  <c r="AP73" i="8" s="1"/>
  <c r="AS155" i="8"/>
  <c r="AV5" i="8"/>
  <c r="AR155" i="8"/>
  <c r="AP155" i="8" s="1"/>
  <c r="AV168" i="8"/>
  <c r="AR128" i="8"/>
  <c r="AP128" i="8" s="1"/>
  <c r="AR103" i="8"/>
  <c r="AP103" i="8" s="1"/>
  <c r="AV167" i="8"/>
  <c r="AR131" i="8"/>
  <c r="AP131" i="8" s="1"/>
  <c r="AR161" i="8"/>
  <c r="AP161" i="8" s="1"/>
  <c r="AR70" i="8"/>
  <c r="AP70" i="8" s="1"/>
  <c r="AV102" i="8"/>
  <c r="AV177" i="8"/>
  <c r="AV30" i="8"/>
  <c r="AR91" i="8"/>
  <c r="AP91" i="8" s="1"/>
  <c r="AV175" i="8"/>
  <c r="AV132" i="8"/>
  <c r="AV70" i="8"/>
  <c r="AR124" i="8"/>
  <c r="AP124" i="8" s="1"/>
  <c r="AR81" i="8"/>
  <c r="AP81" i="8" s="1"/>
  <c r="AR99" i="8"/>
  <c r="AP99" i="8" s="1"/>
  <c r="AR199" i="8"/>
  <c r="AP199" i="8" s="1"/>
  <c r="AV33" i="8"/>
  <c r="AR205" i="8"/>
  <c r="AP205" i="8" s="1"/>
  <c r="AR88" i="8"/>
  <c r="AP88" i="8" s="1"/>
  <c r="AR157" i="8"/>
  <c r="AP157" i="8" s="1"/>
  <c r="AR98" i="8"/>
  <c r="AP98" i="8" s="1"/>
  <c r="AV196" i="8"/>
  <c r="AV134" i="8"/>
  <c r="AR203" i="8"/>
  <c r="AP203" i="8" s="1"/>
  <c r="AV26" i="8"/>
  <c r="AR153" i="8"/>
  <c r="AP153" i="8" s="1"/>
  <c r="AV203" i="8"/>
  <c r="AR133" i="8"/>
  <c r="AP133" i="8" s="1"/>
  <c r="AR111" i="8"/>
  <c r="AP111" i="8" s="1"/>
  <c r="AR117" i="8"/>
  <c r="AP117" i="8" s="1"/>
  <c r="AR167" i="8"/>
  <c r="AP167" i="8" s="1"/>
  <c r="AR30" i="8"/>
  <c r="AP30" i="8" s="1"/>
  <c r="AV138" i="8"/>
  <c r="AV56" i="8"/>
  <c r="AR19" i="8"/>
  <c r="AP19" i="8" s="1"/>
  <c r="AR7" i="8"/>
  <c r="AP7" i="8" s="1"/>
  <c r="AR47" i="8"/>
  <c r="AP47" i="8" s="1"/>
  <c r="AV53" i="8"/>
  <c r="AR139" i="8"/>
  <c r="AP139" i="8" s="1"/>
  <c r="AV157" i="8"/>
  <c r="AR71" i="8"/>
  <c r="AP71" i="8" s="1"/>
  <c r="AV128" i="8"/>
  <c r="AR168" i="8"/>
  <c r="AP168" i="8" s="1"/>
  <c r="AR116" i="8"/>
  <c r="AP116" i="8" s="1"/>
  <c r="AV191" i="8"/>
  <c r="AR106" i="8"/>
  <c r="AP106" i="8" s="1"/>
  <c r="AR80" i="8"/>
  <c r="AP80" i="8" s="1"/>
  <c r="AV182" i="8"/>
  <c r="AR86" i="8"/>
  <c r="AP86" i="8" s="1"/>
  <c r="AV187" i="8"/>
  <c r="AR11" i="8"/>
  <c r="AP11" i="8" s="1"/>
  <c r="AR85" i="8"/>
  <c r="AP85" i="8" s="1"/>
  <c r="AV54" i="8"/>
  <c r="AV78" i="8"/>
  <c r="AV186" i="8"/>
  <c r="AV44" i="8"/>
  <c r="AV108" i="8"/>
  <c r="AV109" i="8"/>
  <c r="AV189" i="8"/>
  <c r="AV156" i="8"/>
  <c r="AV162" i="8"/>
  <c r="AV103" i="8"/>
  <c r="AR201" i="8"/>
  <c r="AP201" i="8" s="1"/>
  <c r="AR76" i="8"/>
  <c r="AP76" i="8" s="1"/>
  <c r="AS178" i="8"/>
  <c r="AR119" i="8"/>
  <c r="AP119" i="8" s="1"/>
  <c r="AR148" i="8"/>
  <c r="AP148" i="8" s="1"/>
  <c r="AR118" i="8"/>
  <c r="AP118" i="8" s="1"/>
  <c r="AV17" i="8"/>
  <c r="AR132" i="8"/>
  <c r="AP132" i="8" s="1"/>
  <c r="AS188" i="8"/>
  <c r="AV126" i="8"/>
  <c r="AR174" i="8"/>
  <c r="AP174" i="8" s="1"/>
  <c r="AR74" i="8"/>
  <c r="AP74" i="8" s="1"/>
  <c r="AS138" i="8"/>
  <c r="AR8" i="8"/>
  <c r="AP8" i="8" s="1"/>
  <c r="AR125" i="8"/>
  <c r="AP125" i="8" s="1"/>
  <c r="AR78" i="8"/>
  <c r="AP78" i="8" s="1"/>
  <c r="AR179" i="8"/>
  <c r="AP179" i="8" s="1"/>
  <c r="AV63" i="8"/>
  <c r="AV146" i="8"/>
  <c r="AR204" i="8"/>
  <c r="AP204" i="8" s="1"/>
  <c r="AR72" i="8"/>
  <c r="AP72" i="8" s="1"/>
  <c r="AR18" i="8"/>
  <c r="AP18" i="8" s="1"/>
  <c r="AR52" i="8"/>
  <c r="AP52" i="8" s="1"/>
  <c r="AR16" i="8"/>
  <c r="AP16" i="8" s="1"/>
  <c r="AV147" i="8"/>
  <c r="AV72" i="8"/>
  <c r="AV195" i="8"/>
  <c r="AR122" i="8"/>
  <c r="AP122" i="8" s="1"/>
  <c r="AV192" i="8"/>
  <c r="AR61" i="8"/>
  <c r="AP61" i="8" s="1"/>
  <c r="AR92" i="8"/>
  <c r="AP92" i="8" s="1"/>
  <c r="AV55" i="8"/>
  <c r="AV141" i="8"/>
  <c r="AR163" i="8"/>
  <c r="AP163" i="8" s="1"/>
  <c r="AV118" i="8"/>
  <c r="AV83" i="8"/>
  <c r="AV201" i="8"/>
  <c r="AV40" i="8"/>
  <c r="AR178" i="8"/>
  <c r="AP178" i="8" s="1"/>
  <c r="AR137" i="8"/>
  <c r="AP137" i="8" s="1"/>
  <c r="AR147" i="8"/>
  <c r="AP147" i="8" s="1"/>
  <c r="AV200" i="8"/>
  <c r="AR143" i="8"/>
  <c r="AP143" i="8" s="1"/>
  <c r="AV155" i="8"/>
  <c r="AV193" i="8"/>
  <c r="AR84" i="8"/>
  <c r="AP84" i="8" s="1"/>
  <c r="AR112" i="8"/>
  <c r="AP112" i="8" s="1"/>
  <c r="AV120" i="8"/>
  <c r="AV71" i="8"/>
  <c r="AR59" i="8"/>
  <c r="AP59" i="8" s="1"/>
  <c r="AV88" i="8"/>
  <c r="AV34" i="8"/>
  <c r="AR90" i="8"/>
  <c r="AP90" i="8" s="1"/>
  <c r="AR149" i="8"/>
  <c r="AP149" i="8" s="1"/>
  <c r="AV165" i="8"/>
  <c r="AV76" i="8"/>
  <c r="AR121" i="8"/>
  <c r="AP121" i="8" s="1"/>
  <c r="AV47" i="8"/>
  <c r="AS79" i="8"/>
  <c r="AV59" i="8"/>
  <c r="AV69" i="8"/>
  <c r="AR206" i="8"/>
  <c r="AP206" i="8" s="1"/>
  <c r="AV21" i="8"/>
  <c r="AV121" i="8"/>
  <c r="AR207" i="8"/>
  <c r="AP207" i="8" s="1"/>
  <c r="AR6" i="8"/>
  <c r="AP6" i="8" s="1"/>
  <c r="AV84" i="8"/>
  <c r="AR151" i="8"/>
  <c r="AP151" i="8" s="1"/>
  <c r="AV166" i="8"/>
  <c r="AR114" i="8"/>
  <c r="AP114" i="8" s="1"/>
  <c r="AR13" i="8"/>
  <c r="AP13" i="8" s="1"/>
  <c r="AR49" i="8"/>
  <c r="AP49" i="8" s="1"/>
  <c r="AR27" i="8"/>
  <c r="AP27" i="8" s="1"/>
  <c r="AR135" i="8"/>
  <c r="AP135" i="8" s="1"/>
  <c r="AR108" i="8"/>
  <c r="AP108" i="8" s="1"/>
  <c r="AV52" i="8"/>
  <c r="AR141" i="8"/>
  <c r="AP141" i="8" s="1"/>
  <c r="AV206" i="8"/>
  <c r="AV28" i="8"/>
  <c r="AR159" i="8"/>
  <c r="AP159" i="8" s="1"/>
  <c r="AR102" i="8"/>
  <c r="AP102" i="8" s="1"/>
  <c r="AR95" i="8"/>
  <c r="AP95" i="8" s="1"/>
  <c r="AR185" i="8"/>
  <c r="AP185" i="8" s="1"/>
  <c r="AV80" i="8"/>
  <c r="AV159" i="8"/>
  <c r="AV9" i="8"/>
  <c r="AR126" i="8"/>
  <c r="AP126" i="8" s="1"/>
  <c r="AR184" i="8"/>
  <c r="AP184" i="8" s="1"/>
  <c r="AV115" i="8"/>
  <c r="AR165" i="8"/>
  <c r="AP165" i="8" s="1"/>
  <c r="AR191" i="8"/>
  <c r="AP191" i="8" s="1"/>
  <c r="AV122" i="8"/>
  <c r="AS146" i="8"/>
  <c r="AS206" i="8"/>
  <c r="AR144" i="8"/>
  <c r="AP144" i="8" s="1"/>
  <c r="AV180" i="8"/>
  <c r="AV112" i="8"/>
  <c r="AR200" i="8"/>
  <c r="AP200" i="8" s="1"/>
  <c r="AV6" i="8"/>
  <c r="AR190" i="8"/>
  <c r="AP190" i="8" s="1"/>
  <c r="AR100" i="8"/>
  <c r="AP100" i="8" s="1"/>
  <c r="AV107" i="8"/>
  <c r="AV145" i="8"/>
  <c r="AR5" i="8"/>
  <c r="AP5" i="8" s="1"/>
  <c r="AV124" i="8"/>
  <c r="AR175" i="8"/>
  <c r="AP175" i="8" s="1"/>
  <c r="AR87" i="8"/>
  <c r="AP87" i="8" s="1"/>
  <c r="AR194" i="8"/>
  <c r="AP194" i="8" s="1"/>
  <c r="AV111" i="8"/>
  <c r="AS123" i="8"/>
  <c r="AR63" i="8"/>
  <c r="AP63" i="8" s="1"/>
  <c r="AV93" i="8"/>
  <c r="AR193" i="8"/>
  <c r="AP193" i="8" s="1"/>
  <c r="AR170" i="8"/>
  <c r="AP170" i="8" s="1"/>
  <c r="AV66" i="8"/>
  <c r="AV127" i="8"/>
  <c r="AS98" i="8"/>
  <c r="AR146" i="8"/>
  <c r="AP146" i="8" s="1"/>
  <c r="AR82" i="8"/>
  <c r="AP82" i="8" s="1"/>
  <c r="AR33" i="8"/>
  <c r="AP33" i="8" s="1"/>
  <c r="AR32" i="8"/>
  <c r="AP32" i="8" s="1"/>
  <c r="AR64" i="8"/>
  <c r="AP64" i="8" s="1"/>
  <c r="AR136" i="8"/>
  <c r="AP136" i="8" s="1"/>
  <c r="AV202" i="8"/>
  <c r="AV87" i="8"/>
  <c r="AR187" i="8"/>
  <c r="AP187" i="8" s="1"/>
  <c r="AR53" i="8"/>
  <c r="AP53" i="8" s="1"/>
  <c r="AV68" i="8"/>
  <c r="AR173" i="8"/>
  <c r="AP173" i="8" s="1"/>
  <c r="AV150" i="8"/>
  <c r="AR202" i="8"/>
  <c r="AP202" i="8" s="1"/>
  <c r="AV41" i="8"/>
  <c r="AR123" i="8"/>
  <c r="AP123" i="8" s="1"/>
  <c r="AV173" i="8"/>
  <c r="AR110" i="8"/>
  <c r="AP110" i="8" s="1"/>
  <c r="AR67" i="8"/>
  <c r="AP67" i="8" s="1"/>
  <c r="AV73" i="8"/>
  <c r="AV133" i="8"/>
  <c r="AR171" i="8"/>
  <c r="AP171" i="8" s="1"/>
  <c r="AV82" i="8"/>
  <c r="AV131" i="8"/>
  <c r="AR188" i="8"/>
  <c r="AP188" i="8" s="1"/>
  <c r="AV62" i="8"/>
  <c r="AR94" i="8"/>
  <c r="AP94" i="8" s="1"/>
  <c r="AV207" i="8"/>
  <c r="AV79" i="8"/>
  <c r="AV170" i="8"/>
  <c r="AR89" i="8"/>
  <c r="AP89" i="8" s="1"/>
  <c r="AS204" i="8"/>
  <c r="AV92" i="8"/>
  <c r="AR177" i="8"/>
  <c r="AP177" i="8" s="1"/>
  <c r="AR176" i="8"/>
  <c r="AP176" i="8" s="1"/>
  <c r="AV29" i="8"/>
  <c r="AV142" i="8"/>
  <c r="AV49" i="8"/>
  <c r="AR79" i="8"/>
  <c r="AP79" i="8" s="1"/>
  <c r="AR56" i="8"/>
  <c r="AP56" i="8" s="1"/>
  <c r="AV98" i="8"/>
  <c r="AV185" i="8"/>
  <c r="AV65" i="8"/>
  <c r="AV119" i="8"/>
  <c r="AS198" i="8"/>
  <c r="AR10" i="8"/>
  <c r="AP10" i="8" s="1"/>
  <c r="AV135" i="8"/>
  <c r="AV139" i="8"/>
  <c r="AR182" i="8"/>
  <c r="AP182" i="8" s="1"/>
  <c r="AV143" i="8"/>
  <c r="AR169" i="8"/>
  <c r="AP169" i="8" s="1"/>
  <c r="AR48" i="8"/>
  <c r="AP48" i="8" s="1"/>
  <c r="AR45" i="8"/>
  <c r="AP45" i="8" s="1"/>
  <c r="AR46" i="8"/>
  <c r="AP46" i="8" s="1"/>
  <c r="AR183" i="8"/>
  <c r="AP183" i="8" s="1"/>
  <c r="AV64" i="8"/>
  <c r="AV67" i="8"/>
  <c r="AR158" i="8"/>
  <c r="AP158" i="8" s="1"/>
  <c r="AV149" i="8"/>
  <c r="AR138" i="8"/>
  <c r="AP138" i="8" s="1"/>
  <c r="AV27" i="8"/>
  <c r="AV104" i="8"/>
  <c r="AV164" i="8"/>
  <c r="AV75" i="8"/>
  <c r="AR189" i="8"/>
  <c r="AP189" i="8" s="1"/>
  <c r="AV10" i="8"/>
  <c r="AV153" i="8"/>
  <c r="AV18" i="8"/>
  <c r="AR120" i="8"/>
  <c r="AP120" i="8" s="1"/>
  <c r="AR196" i="8"/>
  <c r="AP196" i="8" s="1"/>
  <c r="AV45" i="8"/>
  <c r="AV74" i="8"/>
  <c r="AR160" i="8"/>
  <c r="AP160" i="8" s="1"/>
  <c r="AR58" i="8"/>
  <c r="AP58" i="8" s="1"/>
  <c r="AV97" i="8"/>
  <c r="AR172" i="8"/>
  <c r="AP172" i="8" s="1"/>
  <c r="AV61" i="8"/>
  <c r="AV190" i="8"/>
  <c r="AV12" i="8"/>
  <c r="AR129" i="8"/>
  <c r="AP129" i="8" s="1"/>
  <c r="AR150" i="8"/>
  <c r="AP150" i="8" s="1"/>
  <c r="AV81" i="8"/>
  <c r="AV144" i="8"/>
  <c r="AR198" i="8"/>
  <c r="AP198" i="8" s="1"/>
  <c r="AV113" i="8"/>
  <c r="AV178" i="8"/>
  <c r="AV137" i="8"/>
  <c r="AR145" i="8"/>
  <c r="AP145" i="8" s="1"/>
  <c r="AV95" i="8"/>
  <c r="AV77" i="8"/>
  <c r="AR57" i="8"/>
  <c r="AP57" i="8" s="1"/>
  <c r="AV151" i="8"/>
  <c r="AV116" i="8"/>
  <c r="AV176" i="8"/>
  <c r="AV11" i="8"/>
  <c r="AV136" i="8"/>
  <c r="AV198" i="8"/>
  <c r="AR65" i="8"/>
  <c r="AP65" i="8" s="1"/>
  <c r="AS83" i="8"/>
  <c r="AR218" i="8"/>
  <c r="AP218" i="8" s="1"/>
  <c r="AV285" i="8"/>
  <c r="AR211" i="8"/>
  <c r="AP211" i="8" s="1"/>
  <c r="AV217" i="8"/>
  <c r="AR216" i="8"/>
  <c r="AP216" i="8" s="1"/>
  <c r="AR213" i="8"/>
  <c r="AP213" i="8" s="1"/>
  <c r="AV229" i="8"/>
  <c r="AV242" i="8"/>
  <c r="AR272" i="8"/>
  <c r="AP272" i="8" s="1"/>
  <c r="AR223" i="8"/>
  <c r="AP223" i="8" s="1"/>
  <c r="AV223" i="8"/>
  <c r="AR258" i="8"/>
  <c r="AP258" i="8" s="1"/>
  <c r="AV216" i="8"/>
  <c r="AV232" i="8"/>
  <c r="AV246" i="8"/>
  <c r="AV254" i="8"/>
  <c r="AR242" i="8"/>
  <c r="AP242" i="8" s="1"/>
  <c r="AR215" i="8"/>
  <c r="AP215" i="8" s="1"/>
  <c r="AV268" i="8"/>
  <c r="AR252" i="8"/>
  <c r="AP252" i="8" s="1"/>
  <c r="AS286" i="8"/>
  <c r="AV251" i="8"/>
  <c r="AV259" i="8"/>
  <c r="AV262" i="8"/>
  <c r="AR251" i="8"/>
  <c r="AP251" i="8" s="1"/>
  <c r="AV215" i="8"/>
  <c r="AR261" i="8"/>
  <c r="AP261" i="8" s="1"/>
  <c r="AV233" i="8"/>
  <c r="AV283" i="8"/>
  <c r="AR240" i="8"/>
  <c r="AP240" i="8" s="1"/>
  <c r="AR262" i="8"/>
  <c r="AP262" i="8" s="1"/>
  <c r="AR234" i="8"/>
  <c r="AP234" i="8" s="1"/>
  <c r="AV227" i="8"/>
  <c r="AV250" i="8"/>
  <c r="AV278" i="8"/>
  <c r="AR214" i="8"/>
  <c r="AP214" i="8" s="1"/>
  <c r="AR225" i="8"/>
  <c r="AP225" i="8" s="1"/>
  <c r="AR210" i="8"/>
  <c r="AP210" i="8" s="1"/>
  <c r="AR246" i="8"/>
  <c r="AP246" i="8" s="1"/>
  <c r="AR260" i="8"/>
  <c r="AP260" i="8" s="1"/>
  <c r="AV286" i="8"/>
  <c r="AS283" i="8"/>
  <c r="AV282" i="8"/>
  <c r="AV279" i="8"/>
  <c r="AV270" i="8"/>
  <c r="AV209" i="8"/>
  <c r="AV248" i="8"/>
  <c r="AR270" i="8"/>
  <c r="AP270" i="8" s="1"/>
  <c r="AR249" i="8"/>
  <c r="AP249" i="8" s="1"/>
  <c r="AV234" i="8"/>
  <c r="AR264" i="8"/>
  <c r="AP264" i="8" s="1"/>
  <c r="AR209" i="8"/>
  <c r="AP209" i="8" s="1"/>
  <c r="AV274" i="8"/>
  <c r="AV235" i="8"/>
  <c r="AV273" i="8"/>
  <c r="AR248" i="8"/>
  <c r="AP248" i="8" s="1"/>
  <c r="AR281" i="8"/>
  <c r="AP281" i="8" s="1"/>
  <c r="AR250" i="8"/>
  <c r="AP250" i="8" s="1"/>
  <c r="AV237" i="8"/>
  <c r="AV266" i="8"/>
  <c r="AR241" i="8"/>
  <c r="AP241" i="8" s="1"/>
  <c r="AV230" i="8"/>
  <c r="AR256" i="8"/>
  <c r="AP256" i="8" s="1"/>
  <c r="AS272" i="8"/>
  <c r="AR26" i="8"/>
  <c r="AP26" i="8" s="1"/>
  <c r="AR244" i="8"/>
  <c r="AP244" i="8" s="1"/>
  <c r="AV225" i="8"/>
  <c r="AV214" i="8"/>
  <c r="AV212" i="8"/>
  <c r="AV253" i="8"/>
  <c r="AV276" i="8"/>
  <c r="AR239" i="8"/>
  <c r="AP239" i="8" s="1"/>
  <c r="AV238" i="8"/>
  <c r="AR228" i="8"/>
  <c r="AP228" i="8" s="1"/>
  <c r="AR233" i="8"/>
  <c r="AP233" i="8" s="1"/>
  <c r="AV218" i="8"/>
  <c r="AR232" i="8"/>
  <c r="AP232" i="8" s="1"/>
  <c r="AV213" i="8"/>
  <c r="AR266" i="8"/>
  <c r="AP266" i="8" s="1"/>
  <c r="AR267" i="8"/>
  <c r="AP267" i="8" s="1"/>
  <c r="AR259" i="8"/>
  <c r="AP259" i="8" s="1"/>
  <c r="AR268" i="8"/>
  <c r="AP268" i="8" s="1"/>
  <c r="AR236" i="8"/>
  <c r="AP236" i="8" s="1"/>
  <c r="AV241" i="8"/>
  <c r="AV255" i="8"/>
  <c r="AS269" i="8"/>
  <c r="AV275" i="8"/>
  <c r="AR278" i="8"/>
  <c r="AP278" i="8" s="1"/>
  <c r="AV221" i="8"/>
  <c r="AV245" i="8"/>
  <c r="AV257" i="8"/>
  <c r="AR276" i="8"/>
  <c r="AP276" i="8" s="1"/>
  <c r="AR280" i="8"/>
  <c r="AP280" i="8" s="1"/>
  <c r="AR245" i="8"/>
  <c r="AP245" i="8" s="1"/>
  <c r="AR226" i="8"/>
  <c r="AP226" i="8" s="1"/>
  <c r="AV211" i="8"/>
  <c r="AR224" i="8"/>
  <c r="AP224" i="8" s="1"/>
  <c r="AV220" i="8"/>
  <c r="AR222" i="8"/>
  <c r="AP222" i="8" s="1"/>
  <c r="AR283" i="8"/>
  <c r="AP283" i="8" s="1"/>
  <c r="AV258" i="8"/>
  <c r="AR219" i="8"/>
  <c r="AP219" i="8" s="1"/>
  <c r="AV265" i="8"/>
  <c r="AV249" i="8"/>
  <c r="AV263" i="8"/>
  <c r="AV264" i="8"/>
  <c r="AS265" i="8"/>
  <c r="AV231" i="8"/>
  <c r="AV277" i="8"/>
  <c r="AV208" i="8"/>
  <c r="AV219" i="8"/>
  <c r="AR288" i="8"/>
  <c r="AP288" i="8" s="1"/>
  <c r="AR253" i="8"/>
  <c r="AP253" i="8" s="1"/>
  <c r="AR277" i="8"/>
  <c r="AP277" i="8" s="1"/>
  <c r="AV281" i="8"/>
  <c r="AV226" i="8"/>
  <c r="AR217" i="8"/>
  <c r="AP217" i="8" s="1"/>
  <c r="AV244" i="8"/>
  <c r="AR227" i="8"/>
  <c r="AP227" i="8" s="1"/>
  <c r="AR243" i="8"/>
  <c r="AP243" i="8" s="1"/>
  <c r="AR273" i="8"/>
  <c r="AP273" i="8" s="1"/>
  <c r="AR263" i="8"/>
  <c r="AP263" i="8" s="1"/>
  <c r="AR221" i="8"/>
  <c r="AP221" i="8" s="1"/>
  <c r="AR229" i="8"/>
  <c r="AP229" i="8" s="1"/>
  <c r="AV247" i="8"/>
  <c r="AV287" i="8"/>
  <c r="AS230" i="8"/>
  <c r="AR235" i="8"/>
  <c r="AP235" i="8" s="1"/>
  <c r="AR285" i="8"/>
  <c r="AP285" i="8" s="1"/>
  <c r="AV228" i="8"/>
  <c r="AV261" i="8"/>
  <c r="AR212" i="8"/>
  <c r="AP212" i="8" s="1"/>
  <c r="AR279" i="8"/>
  <c r="AP279" i="8" s="1"/>
  <c r="AR269" i="8"/>
  <c r="AP269" i="8" s="1"/>
  <c r="AR237" i="8"/>
  <c r="AP237" i="8" s="1"/>
  <c r="AV260" i="8"/>
  <c r="AV243" i="8"/>
  <c r="AR231" i="8"/>
  <c r="AP231" i="8" s="1"/>
  <c r="AR238" i="8"/>
  <c r="AP238" i="8" s="1"/>
  <c r="AR274" i="8"/>
  <c r="AP274" i="8" s="1"/>
  <c r="AR275" i="8"/>
  <c r="AP275" i="8" s="1"/>
  <c r="AV256" i="8"/>
  <c r="AV267" i="8"/>
  <c r="AR254" i="8"/>
  <c r="AP254" i="8" s="1"/>
  <c r="AV271" i="8"/>
  <c r="AV239" i="8"/>
  <c r="AV252" i="8"/>
  <c r="AV224" i="8"/>
  <c r="AS221" i="8"/>
  <c r="AR255" i="8"/>
  <c r="AP255" i="8" s="1"/>
  <c r="AV210" i="8"/>
  <c r="AV269" i="8"/>
  <c r="AR220" i="8"/>
  <c r="AP220" i="8" s="1"/>
  <c r="AR271" i="8"/>
  <c r="AP271" i="8" s="1"/>
  <c r="AR247" i="8"/>
  <c r="AP247" i="8" s="1"/>
  <c r="AR286" i="8"/>
  <c r="AP286" i="8" s="1"/>
  <c r="AR265" i="8"/>
  <c r="AP265" i="8" s="1"/>
  <c r="AV280" i="8"/>
  <c r="AR208" i="8"/>
  <c r="AP208" i="8" s="1"/>
  <c r="AR287" i="8"/>
  <c r="AP287" i="8" s="1"/>
  <c r="AR282" i="8"/>
  <c r="AP282" i="8" s="1"/>
  <c r="AR284" i="8"/>
  <c r="AP284" i="8" s="1"/>
  <c r="AV272" i="8"/>
  <c r="AV240" i="8"/>
  <c r="AR230" i="8"/>
  <c r="AP230" i="8" s="1"/>
  <c r="AV222" i="8"/>
  <c r="AV236" i="8"/>
  <c r="AV284" i="8"/>
  <c r="AR257" i="8"/>
  <c r="AP257" i="8" s="1"/>
  <c r="AV288" i="8"/>
  <c r="AS205" i="8"/>
  <c r="AR164" i="8"/>
  <c r="AP164" i="8" s="1"/>
  <c r="AT189" i="8"/>
  <c r="AT5" i="8"/>
  <c r="AU92" i="8"/>
  <c r="AU76" i="8"/>
  <c r="AS142" i="8"/>
  <c r="AT70" i="8"/>
  <c r="AS191" i="8"/>
  <c r="AU170" i="8"/>
  <c r="AT49" i="8"/>
  <c r="AU11" i="8"/>
  <c r="AU28" i="8"/>
  <c r="AT84" i="8"/>
  <c r="AU187" i="8"/>
  <c r="AT186" i="8"/>
  <c r="AT202" i="8"/>
  <c r="AS137" i="8"/>
  <c r="AU49" i="8"/>
  <c r="AT10" i="8"/>
  <c r="AT133" i="8"/>
  <c r="AU111" i="8"/>
  <c r="AT167" i="8"/>
  <c r="AU168" i="8"/>
  <c r="AS175" i="8"/>
  <c r="AT77" i="8"/>
  <c r="AT56" i="8"/>
  <c r="AT17" i="8"/>
  <c r="AS128" i="8"/>
  <c r="AT161" i="8"/>
  <c r="AT187" i="8"/>
  <c r="AS160" i="8"/>
  <c r="AT126" i="8"/>
  <c r="AT58" i="8"/>
  <c r="AU17" i="8"/>
  <c r="AU129" i="8"/>
  <c r="AS109" i="8"/>
  <c r="AU85" i="8"/>
  <c r="AT73" i="8"/>
  <c r="AT30" i="8"/>
  <c r="AT203" i="8"/>
  <c r="AU22" i="8"/>
  <c r="AU184" i="8"/>
  <c r="AS57" i="8"/>
  <c r="AU104" i="8"/>
  <c r="AT134" i="8"/>
  <c r="AS183" i="8"/>
  <c r="AT116" i="8"/>
  <c r="AS168" i="8"/>
  <c r="AU195" i="8"/>
  <c r="AS46" i="8"/>
  <c r="AT8" i="8"/>
  <c r="AS92" i="8"/>
  <c r="AS68" i="8"/>
  <c r="AU101" i="8"/>
  <c r="AT196" i="8"/>
  <c r="AS197" i="8"/>
  <c r="AU175" i="8"/>
  <c r="AU46" i="8"/>
  <c r="AS8" i="8"/>
  <c r="AT175" i="8"/>
  <c r="AS106" i="8"/>
  <c r="AT67" i="8"/>
  <c r="AU182" i="8"/>
  <c r="AU87" i="8"/>
  <c r="AS174" i="8"/>
  <c r="AT53" i="8"/>
  <c r="AS13" i="8"/>
  <c r="AU139" i="8"/>
  <c r="AU105" i="8"/>
  <c r="AT200" i="8"/>
  <c r="AT162" i="8"/>
  <c r="AU189" i="8"/>
  <c r="AS55" i="8"/>
  <c r="AT12" i="8"/>
  <c r="AS96" i="8"/>
  <c r="AT149" i="8"/>
  <c r="AU179" i="8"/>
  <c r="AT148" i="8"/>
  <c r="AU118" i="8"/>
  <c r="AU65" i="8"/>
  <c r="AS17" i="8"/>
  <c r="AU68" i="8"/>
  <c r="AT90" i="8"/>
  <c r="AS44" i="8"/>
  <c r="AT39" i="8"/>
  <c r="AT132" i="8"/>
  <c r="AU63" i="8"/>
  <c r="AS33" i="8"/>
  <c r="AS139" i="8"/>
  <c r="AS84" i="8"/>
  <c r="AT147" i="8"/>
  <c r="AU185" i="8"/>
  <c r="AT100" i="8"/>
  <c r="AT119" i="8"/>
  <c r="AS164" i="8"/>
  <c r="AT44" i="8"/>
  <c r="AU5" i="8"/>
  <c r="AU82" i="8"/>
  <c r="AT156" i="8"/>
  <c r="AU134" i="8"/>
  <c r="AT130" i="8"/>
  <c r="AT106" i="8"/>
  <c r="AU161" i="8"/>
  <c r="AU41" i="8"/>
  <c r="AS5" i="8"/>
  <c r="AS150" i="8"/>
  <c r="AU150" i="8"/>
  <c r="AT135" i="8"/>
  <c r="AS127" i="8"/>
  <c r="AS97" i="8"/>
  <c r="AS177" i="8"/>
  <c r="AU48" i="8"/>
  <c r="AU10" i="8"/>
  <c r="AS93" i="8"/>
  <c r="AS132" i="8"/>
  <c r="AU125" i="8"/>
  <c r="AU29" i="8"/>
  <c r="AS165" i="8"/>
  <c r="AU53" i="8"/>
  <c r="AS10" i="8"/>
  <c r="AT118" i="8"/>
  <c r="AU71" i="8"/>
  <c r="AU153" i="8"/>
  <c r="AU69" i="8"/>
  <c r="AU81" i="8"/>
  <c r="AS61" i="8"/>
  <c r="AT9" i="8"/>
  <c r="AT28" i="8"/>
  <c r="AU60" i="8"/>
  <c r="AU21" i="8"/>
  <c r="AT122" i="8"/>
  <c r="AS90" i="8"/>
  <c r="AS87" i="8"/>
  <c r="AS152" i="8"/>
  <c r="AU70" i="8"/>
  <c r="AS111" i="8"/>
  <c r="AS66" i="8"/>
  <c r="AS39" i="8"/>
  <c r="AT85" i="8"/>
  <c r="AT71" i="8"/>
  <c r="AS129" i="8"/>
  <c r="AT173" i="8"/>
  <c r="AT136" i="8"/>
  <c r="AU190" i="8"/>
  <c r="AU66" i="8"/>
  <c r="AU39" i="8"/>
  <c r="AT91" i="8"/>
  <c r="AU95" i="8"/>
  <c r="AT69" i="8"/>
  <c r="AT180" i="8"/>
  <c r="AS99" i="8"/>
  <c r="AU169" i="8"/>
  <c r="AU147" i="8"/>
  <c r="AT46" i="8"/>
  <c r="AU7" i="8"/>
  <c r="AS101" i="8"/>
  <c r="AU127" i="8"/>
  <c r="AS85" i="8"/>
  <c r="AS133" i="8"/>
  <c r="AT114" i="8"/>
  <c r="AS48" i="8"/>
  <c r="AS7" i="8"/>
  <c r="AS153" i="8"/>
  <c r="AT137" i="8"/>
  <c r="AS89" i="8"/>
  <c r="AT163" i="8"/>
  <c r="AS151" i="8"/>
  <c r="AU58" i="8"/>
  <c r="AT113" i="8"/>
  <c r="AS72" i="8"/>
  <c r="AU18" i="8"/>
  <c r="AS78" i="8"/>
  <c r="AS169" i="8"/>
  <c r="AT111" i="8"/>
  <c r="AS63" i="8"/>
  <c r="AS32" i="8"/>
  <c r="AT68" i="8"/>
  <c r="AU163" i="8"/>
  <c r="AT145" i="8"/>
  <c r="AT104" i="8"/>
  <c r="AU74" i="8"/>
  <c r="AS157" i="8"/>
  <c r="AU62" i="8"/>
  <c r="AT32" i="8"/>
  <c r="AU103" i="8"/>
  <c r="AT182" i="8"/>
  <c r="AU136" i="8"/>
  <c r="AT99" i="8"/>
  <c r="AT151" i="8"/>
  <c r="AT181" i="8"/>
  <c r="AU164" i="8"/>
  <c r="AS41" i="8"/>
  <c r="AU6" i="8"/>
  <c r="AU133" i="8"/>
  <c r="AT80" i="8"/>
  <c r="AS184" i="8"/>
  <c r="AU148" i="8"/>
  <c r="AU151" i="8"/>
  <c r="AU45" i="8"/>
  <c r="AS193" i="8"/>
  <c r="AU113" i="8"/>
  <c r="AT177" i="8"/>
  <c r="AT78" i="8"/>
  <c r="AS194" i="8"/>
  <c r="AU75" i="8"/>
  <c r="AU55" i="8"/>
  <c r="AT166" i="8"/>
  <c r="AU142" i="8"/>
  <c r="AU16" i="8"/>
  <c r="AT160" i="8"/>
  <c r="AS116" i="8"/>
  <c r="AT169" i="8"/>
  <c r="AS103" i="8"/>
  <c r="AT60" i="8"/>
  <c r="AS21" i="8"/>
  <c r="AU157" i="8"/>
  <c r="AU90" i="8"/>
  <c r="AU67" i="8"/>
  <c r="AS115" i="8"/>
  <c r="AT128" i="8"/>
  <c r="AT131" i="8"/>
  <c r="AS60" i="8"/>
  <c r="AU20" i="8"/>
  <c r="AU30" i="8"/>
  <c r="AT129" i="8"/>
  <c r="AS158" i="8"/>
  <c r="AT95" i="8"/>
  <c r="AS125" i="8"/>
  <c r="AS82" i="8"/>
  <c r="AT66" i="8"/>
  <c r="AS34" i="8"/>
  <c r="AT109" i="8"/>
  <c r="AU88" i="8"/>
  <c r="AT103" i="8"/>
  <c r="AS29" i="8"/>
  <c r="AS145" i="8"/>
  <c r="AS120" i="8"/>
  <c r="AU34" i="8"/>
  <c r="AT88" i="8"/>
  <c r="AU109" i="8"/>
  <c r="AU167" i="8"/>
  <c r="AT107" i="8"/>
  <c r="AS186" i="8"/>
  <c r="AU202" i="8"/>
  <c r="AT48" i="8"/>
  <c r="AT125" i="8"/>
  <c r="AU106" i="8"/>
  <c r="AU128" i="8"/>
  <c r="AS110" i="8"/>
  <c r="AT179" i="8"/>
  <c r="AU200" i="8"/>
  <c r="AS163" i="8"/>
  <c r="AT165" i="8"/>
  <c r="AS196" i="8"/>
  <c r="AS56" i="8"/>
  <c r="AS18" i="8"/>
  <c r="AT117" i="8"/>
  <c r="AS149" i="8"/>
  <c r="AU181" i="8"/>
  <c r="AU149" i="8"/>
  <c r="AT141" i="8"/>
  <c r="AU145" i="8"/>
  <c r="AU56" i="8"/>
  <c r="AT18" i="8"/>
  <c r="AU102" i="8"/>
  <c r="AU207" i="8"/>
  <c r="AT207" i="8"/>
  <c r="AU116" i="8"/>
  <c r="AS140" i="8"/>
  <c r="AS95" i="8"/>
  <c r="AS62" i="8"/>
  <c r="AU32" i="8"/>
  <c r="AS131" i="8"/>
  <c r="AT26" i="8"/>
  <c r="AU94" i="8"/>
  <c r="AS134" i="8"/>
  <c r="AU132" i="8"/>
  <c r="AT65" i="8"/>
  <c r="AS22" i="8"/>
  <c r="AS117" i="8"/>
  <c r="AS167" i="8"/>
  <c r="AS192" i="8"/>
  <c r="AS201" i="8"/>
  <c r="AU99" i="8"/>
  <c r="AS181" i="8"/>
  <c r="AU40" i="8"/>
  <c r="AS73" i="8"/>
  <c r="AU173" i="8"/>
  <c r="AS54" i="8"/>
  <c r="AT75" i="8"/>
  <c r="AS49" i="8"/>
  <c r="AT11" i="8"/>
  <c r="AT121" i="8"/>
  <c r="AT47" i="8"/>
  <c r="AU8" i="8"/>
  <c r="AT144" i="8"/>
  <c r="AS28" i="8"/>
  <c r="AT190" i="8"/>
  <c r="AT201" i="8"/>
  <c r="AS119" i="8"/>
  <c r="AU196" i="8"/>
  <c r="AT54" i="8"/>
  <c r="AU13" i="8"/>
  <c r="AS104" i="8"/>
  <c r="AS76" i="8"/>
  <c r="AS173" i="8"/>
  <c r="AU77" i="8"/>
  <c r="AU160" i="8"/>
  <c r="AS91" i="8"/>
  <c r="AS53" i="8"/>
  <c r="AT13" i="8"/>
  <c r="AS113" i="8"/>
  <c r="AS122" i="8"/>
  <c r="AU162" i="8"/>
  <c r="AS126" i="8"/>
  <c r="AU201" i="8"/>
  <c r="AS74" i="8"/>
  <c r="AS58" i="8"/>
  <c r="AS20" i="8"/>
  <c r="AU156" i="8"/>
  <c r="AS102" i="8"/>
  <c r="AS187" i="8"/>
  <c r="AS81" i="8"/>
  <c r="AU180" i="8"/>
  <c r="AT62" i="8"/>
  <c r="AT20" i="8"/>
  <c r="AS80" i="8"/>
  <c r="AU89" i="8"/>
  <c r="AU194" i="8"/>
  <c r="AU191" i="8"/>
  <c r="AU199" i="8"/>
  <c r="AT171" i="8"/>
  <c r="AT34" i="8"/>
  <c r="AU80" i="8"/>
  <c r="AU120" i="8"/>
  <c r="AT191" i="8"/>
  <c r="AT185" i="8"/>
  <c r="AS171" i="8"/>
  <c r="AU47" i="8"/>
  <c r="AU9" i="8"/>
  <c r="AT94" i="8"/>
  <c r="AT195" i="8"/>
  <c r="AU159" i="8"/>
  <c r="AT158" i="8"/>
  <c r="AS202" i="8"/>
  <c r="AU186" i="8"/>
  <c r="AU44" i="8"/>
  <c r="AT6" i="8"/>
  <c r="AT140" i="8"/>
  <c r="AT120" i="8"/>
  <c r="AS144" i="8"/>
  <c r="AT174" i="8"/>
  <c r="AS88" i="8"/>
  <c r="AS45" i="8"/>
  <c r="AT7" i="8"/>
  <c r="AT150" i="8"/>
  <c r="AS30" i="8"/>
  <c r="AT110" i="8"/>
  <c r="AS166" i="8"/>
  <c r="AU122" i="8"/>
  <c r="AS182" i="8"/>
  <c r="AT45" i="8"/>
  <c r="AS6" i="8"/>
  <c r="AU100" i="8"/>
  <c r="AU121" i="8"/>
  <c r="AU144" i="8"/>
  <c r="AS180" i="8"/>
  <c r="AT102" i="8"/>
  <c r="AT176" i="8"/>
  <c r="AT40" i="8"/>
  <c r="AS207" i="8"/>
  <c r="AS69" i="8"/>
  <c r="AS67" i="8"/>
  <c r="AS176" i="8"/>
  <c r="AS71" i="8"/>
  <c r="AU183" i="8"/>
  <c r="AT199" i="8"/>
  <c r="AS147" i="8"/>
  <c r="AS203" i="8"/>
  <c r="AT170" i="8"/>
  <c r="AS40" i="8"/>
  <c r="AS114" i="8"/>
  <c r="AU84" i="8"/>
  <c r="AU110" i="8"/>
  <c r="AU176" i="8"/>
  <c r="AU112" i="8"/>
  <c r="AT193" i="8"/>
  <c r="AT63" i="8"/>
  <c r="AT33" i="8"/>
  <c r="AT105" i="8"/>
  <c r="AU131" i="8"/>
  <c r="AU72" i="8"/>
  <c r="AT197" i="8"/>
  <c r="AU119" i="8"/>
  <c r="AU172" i="8"/>
  <c r="AU141" i="8"/>
  <c r="AU117" i="8"/>
  <c r="AT183" i="8"/>
  <c r="AS108" i="8"/>
  <c r="AT164" i="8"/>
  <c r="AS65" i="8"/>
  <c r="AU33" i="8"/>
  <c r="AT29" i="8"/>
  <c r="AT81" i="8"/>
  <c r="AT112" i="8"/>
  <c r="AU165" i="8"/>
  <c r="AU73" i="8"/>
  <c r="AS190" i="8"/>
  <c r="AT61" i="8"/>
  <c r="AT21" i="8"/>
  <c r="AS105" i="8"/>
  <c r="AU97" i="8"/>
  <c r="AS156" i="8"/>
  <c r="AT86" i="8"/>
  <c r="AU108" i="8"/>
  <c r="AU130" i="8"/>
  <c r="AU96" i="8"/>
  <c r="AU26" i="8"/>
  <c r="AU61" i="8"/>
  <c r="AT22" i="8"/>
  <c r="AS77" i="8"/>
  <c r="AS136" i="8"/>
  <c r="AS86" i="8"/>
  <c r="AS94" i="8"/>
  <c r="AU140" i="8"/>
  <c r="AT139" i="8"/>
  <c r="AU57" i="8"/>
  <c r="AU19" i="8"/>
  <c r="AU137" i="8"/>
  <c r="AU86" i="8"/>
  <c r="AS199" i="8"/>
  <c r="AT127" i="8"/>
  <c r="AT108" i="8"/>
  <c r="AS148" i="8"/>
  <c r="AS19" i="8"/>
  <c r="AT101" i="8"/>
  <c r="AS118" i="8"/>
  <c r="AT159" i="8"/>
  <c r="AU126" i="8"/>
  <c r="AU115" i="8"/>
  <c r="AT92" i="8"/>
  <c r="AT57" i="8"/>
  <c r="AT19" i="8"/>
  <c r="AT96" i="8"/>
  <c r="AU93" i="8"/>
  <c r="AT184" i="8"/>
  <c r="AT115" i="8"/>
  <c r="AS121" i="8"/>
  <c r="AT82" i="8"/>
  <c r="AU54" i="8"/>
  <c r="AT16" i="8"/>
  <c r="AU177" i="8"/>
  <c r="AU166" i="8"/>
  <c r="AT194" i="8"/>
  <c r="AT93" i="8"/>
  <c r="AU171" i="8"/>
  <c r="AS100" i="8"/>
  <c r="AS161" i="8"/>
  <c r="AS107" i="8"/>
  <c r="AS195" i="8"/>
  <c r="AS130" i="8"/>
  <c r="AT55" i="8"/>
  <c r="AS16" i="8"/>
  <c r="AS185" i="8"/>
  <c r="AU91" i="8"/>
  <c r="AT205" i="8"/>
  <c r="AT142" i="8"/>
  <c r="AU192" i="8"/>
  <c r="AT87" i="8"/>
  <c r="AS52" i="8"/>
  <c r="AS11" i="8"/>
  <c r="AT76" i="8"/>
  <c r="AS26" i="8"/>
  <c r="AU158" i="8"/>
  <c r="AS70" i="8"/>
  <c r="AS179" i="8"/>
  <c r="AT74" i="8"/>
  <c r="AU203" i="8"/>
  <c r="AU78" i="8"/>
  <c r="AT168" i="8"/>
  <c r="AS112" i="8"/>
  <c r="AT41" i="8"/>
  <c r="AS135" i="8"/>
  <c r="AT72" i="8"/>
  <c r="AT152" i="8"/>
  <c r="AT172" i="8"/>
  <c r="AS141" i="8"/>
  <c r="AS162" i="8"/>
  <c r="AT157" i="8"/>
  <c r="AT52" i="8"/>
  <c r="AU12" i="8"/>
  <c r="AT153" i="8"/>
  <c r="AU107" i="8"/>
  <c r="AU193" i="8"/>
  <c r="AU152" i="8"/>
  <c r="AU174" i="8"/>
  <c r="AU114" i="8"/>
  <c r="AU52" i="8"/>
  <c r="AS12" i="8"/>
  <c r="AU135" i="8"/>
  <c r="AU197" i="8"/>
  <c r="AS170" i="8"/>
  <c r="AT89" i="8"/>
  <c r="AS172" i="8"/>
  <c r="AS75" i="8"/>
  <c r="AS47" i="8"/>
  <c r="AS9" i="8"/>
  <c r="AT97" i="8"/>
  <c r="AS159" i="8"/>
  <c r="AS200" i="8"/>
  <c r="AS189" i="8"/>
  <c r="AT192" i="8"/>
  <c r="AU205" i="8"/>
  <c r="AT226" i="8"/>
  <c r="AU216" i="8"/>
  <c r="AU248" i="8"/>
  <c r="AT255" i="8"/>
  <c r="AT288" i="8"/>
  <c r="AT260" i="8"/>
  <c r="AS249" i="8"/>
  <c r="AU280" i="8"/>
  <c r="AT279" i="8"/>
  <c r="AU217" i="8"/>
  <c r="AT245" i="8"/>
  <c r="AT238" i="8"/>
  <c r="AS254" i="8"/>
  <c r="AT249" i="8"/>
  <c r="AU220" i="8"/>
  <c r="AT273" i="8"/>
  <c r="AT225" i="8"/>
  <c r="AS256" i="8"/>
  <c r="AS287" i="8"/>
  <c r="AT257" i="8"/>
  <c r="AU244" i="8"/>
  <c r="AS275" i="8"/>
  <c r="AU246" i="8"/>
  <c r="AS245" i="8"/>
  <c r="AS281" i="8"/>
  <c r="AT270" i="8"/>
  <c r="AS251" i="8"/>
  <c r="AS224" i="8"/>
  <c r="AS244" i="8"/>
  <c r="AU232" i="8"/>
  <c r="AU243" i="8"/>
  <c r="AS274" i="8"/>
  <c r="AT263" i="8"/>
  <c r="AT280" i="8"/>
  <c r="AS277" i="8"/>
  <c r="AS216" i="8"/>
  <c r="AT219" i="8"/>
  <c r="AT216" i="8"/>
  <c r="AU262" i="8"/>
  <c r="AU255" i="8"/>
  <c r="AU219" i="8"/>
  <c r="AS250" i="8"/>
  <c r="AT232" i="8"/>
  <c r="AU218" i="8"/>
  <c r="AS211" i="8"/>
  <c r="AS214" i="8"/>
  <c r="AT209" i="8"/>
  <c r="AT233" i="8"/>
  <c r="AU229" i="8"/>
  <c r="AU288" i="8"/>
  <c r="AT264" i="8"/>
  <c r="AS232" i="8"/>
  <c r="AS262" i="8"/>
  <c r="AU249" i="8"/>
  <c r="AS209" i="8"/>
  <c r="AT251" i="8"/>
  <c r="AS266" i="8"/>
  <c r="AT247" i="8"/>
  <c r="AT256" i="8"/>
  <c r="AU213" i="8"/>
  <c r="AU278" i="8"/>
  <c r="AS242" i="8"/>
  <c r="AU282" i="8"/>
  <c r="AU239" i="8"/>
  <c r="AS276" i="8"/>
  <c r="AU258" i="8"/>
  <c r="AT258" i="8"/>
  <c r="AU226" i="8"/>
  <c r="AT262" i="8"/>
  <c r="AS268" i="8"/>
  <c r="AU211" i="8"/>
  <c r="AU223" i="8"/>
  <c r="AU263" i="8"/>
  <c r="AU240" i="8"/>
  <c r="AT231" i="8"/>
  <c r="AS228" i="8"/>
  <c r="AU281" i="8"/>
  <c r="AT212" i="8"/>
  <c r="AU276" i="8"/>
  <c r="AT241" i="8"/>
  <c r="AU247" i="8"/>
  <c r="AT253" i="8"/>
  <c r="AU222" i="8"/>
  <c r="AT242" i="8"/>
  <c r="AS247" i="8"/>
  <c r="AT254" i="8"/>
  <c r="AT248" i="8"/>
  <c r="AT228" i="8"/>
  <c r="AS235" i="8"/>
  <c r="AS263" i="8"/>
  <c r="AU235" i="8"/>
  <c r="AT223" i="8"/>
  <c r="AS259" i="8"/>
  <c r="AS239" i="8"/>
  <c r="AU253" i="8"/>
  <c r="AU267" i="8"/>
  <c r="AS284" i="8"/>
  <c r="AS279" i="8"/>
  <c r="AT222" i="8"/>
  <c r="AT282" i="8"/>
  <c r="AU245" i="8"/>
  <c r="AT271" i="8"/>
  <c r="AS248" i="8"/>
  <c r="AS213" i="8"/>
  <c r="AT239" i="8"/>
  <c r="AU242" i="8"/>
  <c r="AT268" i="8"/>
  <c r="AT240" i="8"/>
  <c r="AU212" i="8"/>
  <c r="AU210" i="8"/>
  <c r="AS237" i="8"/>
  <c r="AU241" i="8"/>
  <c r="AS288" i="8"/>
  <c r="AS233" i="8"/>
  <c r="AU256" i="8"/>
  <c r="AU279" i="8"/>
  <c r="AS243" i="8"/>
  <c r="AU225" i="8"/>
  <c r="AU259" i="8"/>
  <c r="AT266" i="8"/>
  <c r="AU214" i="8"/>
  <c r="AS267" i="8"/>
  <c r="AU277" i="8"/>
  <c r="AT250" i="8"/>
  <c r="AU238" i="8"/>
  <c r="AT261" i="8"/>
  <c r="AT277" i="8"/>
  <c r="AS217" i="8"/>
  <c r="AT244" i="8"/>
  <c r="AT246" i="8"/>
  <c r="AS220" i="8"/>
  <c r="AS246" i="8"/>
  <c r="AU254" i="8"/>
  <c r="AU250" i="8"/>
  <c r="AU233" i="8"/>
  <c r="AU228" i="8"/>
  <c r="AU268" i="8"/>
  <c r="AT284" i="8"/>
  <c r="AS226" i="8"/>
  <c r="AU257" i="8"/>
  <c r="AU251" i="8"/>
  <c r="AS227" i="8"/>
  <c r="AS210" i="8"/>
  <c r="AU285" i="8"/>
  <c r="AS278" i="8"/>
  <c r="AT278" i="8"/>
  <c r="AT276" i="8"/>
  <c r="AT285" i="8"/>
  <c r="AS218" i="8"/>
  <c r="AU208" i="8"/>
  <c r="AS219" i="8"/>
  <c r="AU236" i="8"/>
  <c r="AS271" i="8"/>
  <c r="AS273" i="8"/>
  <c r="AT213" i="8"/>
  <c r="AU264" i="8"/>
  <c r="AS280" i="8"/>
  <c r="AT211" i="8"/>
  <c r="AS255" i="8"/>
  <c r="AS282" i="8"/>
  <c r="AU274" i="8"/>
  <c r="AT229" i="8"/>
  <c r="AT274" i="8"/>
  <c r="AT208" i="8"/>
  <c r="AT235" i="8"/>
  <c r="AS260" i="8"/>
  <c r="AU234" i="8"/>
  <c r="AS270" i="8"/>
  <c r="AU209" i="8"/>
  <c r="AS208" i="8"/>
  <c r="AU237" i="8"/>
  <c r="AS241" i="8"/>
  <c r="AT218" i="8"/>
  <c r="AT252" i="8"/>
  <c r="AT267" i="8"/>
  <c r="AU266" i="8"/>
  <c r="AT220" i="8"/>
  <c r="AU252" i="8"/>
  <c r="AT234" i="8"/>
  <c r="AU260" i="8"/>
  <c r="AT287" i="8"/>
  <c r="AS231" i="8"/>
  <c r="AS236" i="8"/>
  <c r="AT215" i="8"/>
  <c r="AU224" i="8"/>
  <c r="AS238" i="8"/>
  <c r="AU270" i="8"/>
  <c r="AT243" i="8"/>
  <c r="AU287" i="8"/>
  <c r="AS215" i="8"/>
  <c r="AT281" i="8"/>
  <c r="AT217" i="8"/>
  <c r="AU275" i="8"/>
  <c r="AU261" i="8"/>
  <c r="AT227" i="8"/>
  <c r="AS258" i="8"/>
  <c r="AT259" i="8"/>
  <c r="AT275" i="8"/>
  <c r="AT236" i="8"/>
  <c r="AU271" i="8"/>
  <c r="AT210" i="8"/>
  <c r="AS234" i="8"/>
  <c r="AS225" i="8"/>
  <c r="AU231" i="8"/>
  <c r="AS257" i="8"/>
  <c r="AU273" i="8"/>
  <c r="AS240" i="8"/>
  <c r="AT237" i="8"/>
  <c r="AU284" i="8"/>
  <c r="AU227" i="8"/>
  <c r="AU215" i="8"/>
  <c r="AS253" i="8"/>
  <c r="AS222" i="8"/>
  <c r="AS229" i="8"/>
  <c r="AS285" i="8"/>
  <c r="AT224" i="8"/>
  <c r="AS223" i="8"/>
  <c r="AS212" i="8"/>
  <c r="AT214" i="8"/>
  <c r="AS261" i="8"/>
  <c r="AS264" i="8"/>
  <c r="AS252" i="8"/>
  <c r="C14" i="21" a="1"/>
  <c r="O20" i="21" a="1"/>
  <c r="C11" i="21" a="1"/>
  <c r="Q18" i="21" a="1"/>
  <c r="B16" i="21" a="1"/>
  <c r="B15" i="21" a="1"/>
  <c r="R18" i="21" a="1"/>
  <c r="X9" i="21" a="1"/>
  <c r="P12" i="21" a="1"/>
  <c r="Q12" i="21" a="1"/>
  <c r="N19" i="21" a="1"/>
  <c r="T10" i="21" a="1"/>
  <c r="R11" i="21" a="1"/>
  <c r="X17" i="21" a="1"/>
  <c r="C16" i="21" a="1"/>
  <c r="B14" i="21" a="1"/>
  <c r="R10" i="21" a="1"/>
  <c r="U21" i="21" a="1"/>
  <c r="P19" i="21" a="1"/>
  <c r="X11" i="21" a="1"/>
  <c r="U8" i="21" a="1"/>
  <c r="T19" i="21" a="1"/>
  <c r="V12" i="21" a="1"/>
  <c r="O21" i="21" a="1"/>
  <c r="Y19" i="21" a="1"/>
  <c r="V21" i="21" a="1"/>
  <c r="P17" i="21" a="1"/>
  <c r="B19" i="21" a="1"/>
  <c r="B20" i="21" a="1"/>
  <c r="O12" i="21" a="1"/>
  <c r="P8" i="21" a="1"/>
  <c r="S21" i="21" a="1"/>
  <c r="R14" i="21" a="1"/>
  <c r="X21" i="21" a="1"/>
  <c r="N10" i="21" a="1"/>
  <c r="B21" i="21" a="1"/>
  <c r="B18" i="21" a="1"/>
  <c r="P10" i="21" a="1"/>
  <c r="V13" i="21" a="1"/>
  <c r="V11" i="21" a="1"/>
  <c r="V19" i="21" a="1"/>
  <c r="B12" i="21" a="1"/>
  <c r="Y17" i="21" a="1"/>
  <c r="U13" i="21" a="1"/>
  <c r="V17" i="21" a="1"/>
  <c r="T15" i="21" a="1"/>
  <c r="U17" i="21" a="1"/>
  <c r="Q11" i="21" a="1"/>
  <c r="Y10" i="21" a="1"/>
  <c r="V9" i="21" a="1"/>
  <c r="R13" i="21" a="1"/>
  <c r="V10" i="21" a="1"/>
  <c r="S14" i="21" a="1"/>
  <c r="N12" i="21" a="1"/>
  <c r="R16" i="21" a="1"/>
  <c r="V14" i="21" a="1"/>
  <c r="T16" i="21" a="1"/>
  <c r="W16" i="21" a="1"/>
  <c r="O10" i="21" a="1"/>
  <c r="U18" i="21" a="1"/>
  <c r="U9" i="21" a="1"/>
  <c r="S17" i="21" a="1"/>
  <c r="N9" i="21" a="1"/>
  <c r="O17" i="21" a="1"/>
  <c r="R15" i="21" a="1"/>
  <c r="Q21" i="21" a="1"/>
  <c r="Q17" i="21" a="1"/>
  <c r="B9" i="21" a="1"/>
  <c r="S9" i="21" a="1"/>
  <c r="B10" i="21" a="1"/>
  <c r="W18" i="21" a="1"/>
  <c r="T18" i="21" a="1"/>
  <c r="X18" i="21" a="1"/>
  <c r="S19" i="21" a="1"/>
  <c r="C9" i="21" a="1"/>
  <c r="U15" i="21" a="1"/>
  <c r="O9" i="21" a="1"/>
  <c r="Q10" i="21" a="1"/>
  <c r="P18" i="21" a="1"/>
  <c r="S18" i="21" a="1"/>
  <c r="V18" i="21" a="1"/>
  <c r="N11" i="21" a="1"/>
  <c r="Y14" i="21" a="1"/>
  <c r="Q15" i="21" a="1"/>
  <c r="O14" i="21" a="1"/>
  <c r="W15" i="21" a="1"/>
  <c r="C17" i="21" a="1"/>
  <c r="Y20" i="21" a="1"/>
  <c r="S15" i="21" a="1"/>
  <c r="Y18" i="21" a="1"/>
  <c r="S8" i="21" a="1"/>
  <c r="T12" i="21" a="1"/>
  <c r="W14" i="21" a="1"/>
  <c r="W8" i="21" a="1"/>
  <c r="Y9" i="21" a="1"/>
  <c r="U16" i="21" a="1"/>
  <c r="C12" i="21" a="1"/>
  <c r="W11" i="21" a="1"/>
  <c r="Q9" i="21" a="1"/>
  <c r="T9" i="21" a="1"/>
  <c r="Y8" i="21" a="1"/>
  <c r="V15" i="21" a="1"/>
  <c r="P15" i="21" a="1"/>
  <c r="W21" i="21" a="1"/>
  <c r="R20" i="21" a="1"/>
  <c r="O15" i="21" a="1"/>
  <c r="S20" i="21" a="1"/>
  <c r="V16" i="21" a="1"/>
  <c r="Y11" i="21" a="1"/>
  <c r="R19" i="21" a="1"/>
  <c r="B17" i="21" a="1"/>
  <c r="V20" i="21" a="1"/>
  <c r="Q19" i="21" a="1"/>
  <c r="T17" i="21" a="1"/>
  <c r="B8" i="21" a="1"/>
  <c r="Y21" i="21" a="1"/>
  <c r="P9" i="21" a="1"/>
  <c r="X12" i="21" a="1"/>
  <c r="Q13" i="21" a="1"/>
  <c r="T14" i="21" a="1"/>
  <c r="S12" i="21" a="1"/>
  <c r="R21" i="21" a="1"/>
  <c r="Q20" i="21" a="1"/>
  <c r="U19" i="21" a="1"/>
  <c r="P13" i="21" a="1"/>
  <c r="Y13" i="21" a="1"/>
  <c r="R8" i="21" a="1"/>
  <c r="B13" i="21" a="1"/>
  <c r="W12" i="21" a="1"/>
  <c r="P14" i="21" a="1"/>
  <c r="N18" i="21" a="1"/>
  <c r="N21" i="21" a="1"/>
  <c r="O16" i="21" a="1"/>
  <c r="R17" i="21" a="1"/>
  <c r="N20" i="21" a="1"/>
  <c r="X15" i="21" a="1"/>
  <c r="O13" i="21" a="1"/>
  <c r="X16" i="21" a="1"/>
  <c r="P21" i="21" a="1"/>
  <c r="X10" i="21" a="1"/>
  <c r="U12" i="21" a="1"/>
  <c r="X14" i="21" a="1"/>
  <c r="Q16" i="21" a="1"/>
  <c r="N14" i="21" a="1"/>
  <c r="W9" i="21" a="1"/>
  <c r="T8" i="21" a="1"/>
  <c r="O11" i="21" a="1"/>
  <c r="U14" i="21" a="1"/>
  <c r="N17" i="21" a="1"/>
  <c r="Y16" i="21" a="1"/>
  <c r="W10" i="21" a="1"/>
  <c r="C13" i="21" a="1"/>
  <c r="N13" i="21" a="1"/>
  <c r="O19" i="21" a="1"/>
  <c r="X20" i="21" a="1"/>
  <c r="P11" i="21" a="1"/>
  <c r="W19" i="21" a="1"/>
  <c r="X13" i="21" a="1"/>
  <c r="R9" i="21" a="1"/>
  <c r="C8" i="21" a="1"/>
  <c r="Y15" i="21" a="1"/>
  <c r="W13" i="21" a="1"/>
  <c r="P20" i="21" a="1"/>
  <c r="W17" i="21" a="1"/>
  <c r="S13" i="21" a="1"/>
  <c r="Q14" i="21" a="1"/>
  <c r="C19" i="21" a="1"/>
  <c r="P16" i="21" a="1"/>
  <c r="S16" i="21" a="1"/>
  <c r="T21" i="21" a="1"/>
  <c r="N15" i="21" a="1"/>
  <c r="X19" i="21" a="1"/>
  <c r="S10" i="21" a="1"/>
  <c r="C18" i="21" a="1"/>
  <c r="C10" i="21" a="1"/>
  <c r="U11" i="21" a="1"/>
  <c r="T13" i="21" a="1"/>
  <c r="C15" i="21" a="1"/>
  <c r="T20" i="21" a="1"/>
  <c r="U10" i="21" a="1"/>
  <c r="B11" i="21" a="1"/>
  <c r="Y12" i="21" a="1"/>
  <c r="C20" i="21" a="1"/>
  <c r="U20" i="21" a="1"/>
  <c r="R12" i="21" a="1"/>
  <c r="T11" i="21" a="1"/>
  <c r="C21" i="21" a="1"/>
  <c r="N16" i="21" a="1"/>
  <c r="Q8" i="21" a="1"/>
  <c r="X8" i="21" a="1"/>
  <c r="N8" i="21" a="1"/>
  <c r="O18" i="21" a="1"/>
  <c r="W20" i="21" a="1"/>
  <c r="V8" i="21" a="1"/>
  <c r="O8" i="21" a="1"/>
  <c r="G36" i="21" l="1"/>
  <c r="X17" i="21"/>
  <c r="V11" i="21"/>
  <c r="T21" i="21"/>
  <c r="O14" i="21"/>
  <c r="O17" i="21"/>
  <c r="W9" i="21"/>
  <c r="O19" i="21"/>
  <c r="V13" i="21"/>
  <c r="W17" i="21"/>
  <c r="R14" i="21"/>
  <c r="Q20" i="21"/>
  <c r="N8" i="21"/>
  <c r="O13" i="21"/>
  <c r="B15" i="21"/>
  <c r="W18" i="21"/>
  <c r="R9" i="21"/>
  <c r="Q18" i="21"/>
  <c r="U16" i="21"/>
  <c r="U17" i="21"/>
  <c r="U20" i="21"/>
  <c r="Y11" i="21"/>
  <c r="S10" i="21"/>
  <c r="S8" i="21"/>
  <c r="S9" i="21"/>
  <c r="S12" i="21"/>
  <c r="C13" i="21"/>
  <c r="W11" i="21"/>
  <c r="W19" i="21"/>
  <c r="N19" i="21"/>
  <c r="W8" i="21"/>
  <c r="N14" i="21"/>
  <c r="P15" i="21"/>
  <c r="B14" i="21"/>
  <c r="T12" i="21"/>
  <c r="V12" i="21"/>
  <c r="P13" i="21"/>
  <c r="V17" i="21"/>
  <c r="O21" i="21"/>
  <c r="C17" i="21"/>
  <c r="V19" i="21"/>
  <c r="R18" i="21"/>
  <c r="T17" i="21"/>
  <c r="Q10" i="21"/>
  <c r="N9" i="21"/>
  <c r="T8" i="21"/>
  <c r="C16" i="21"/>
  <c r="U15" i="21"/>
  <c r="U11" i="21"/>
  <c r="X9" i="21"/>
  <c r="P20" i="21"/>
  <c r="B18" i="21"/>
  <c r="R15" i="21"/>
  <c r="C8" i="21"/>
  <c r="Q9" i="21"/>
  <c r="O8" i="21"/>
  <c r="N17" i="21"/>
  <c r="X19" i="21"/>
  <c r="C14" i="21"/>
  <c r="B12" i="21"/>
  <c r="P16" i="21"/>
  <c r="O10" i="21"/>
  <c r="N13" i="21"/>
  <c r="R8" i="21"/>
  <c r="B16" i="21"/>
  <c r="Y17" i="21"/>
  <c r="Y9" i="21"/>
  <c r="Y12" i="21"/>
  <c r="Y13" i="21"/>
  <c r="Y16" i="21"/>
  <c r="U13" i="21"/>
  <c r="S21" i="21"/>
  <c r="S17" i="21"/>
  <c r="S16" i="21"/>
  <c r="B8" i="21"/>
  <c r="W13" i="21"/>
  <c r="O9" i="21"/>
  <c r="Q17" i="21"/>
  <c r="O16" i="21"/>
  <c r="O18" i="21"/>
  <c r="B9" i="21"/>
  <c r="C11" i="21"/>
  <c r="W21" i="21"/>
  <c r="R11" i="21"/>
  <c r="O12" i="21"/>
  <c r="X20" i="21"/>
  <c r="C20" i="21"/>
  <c r="P8" i="21"/>
  <c r="T19" i="21"/>
  <c r="O15" i="21"/>
  <c r="R10" i="21"/>
  <c r="R16" i="21"/>
  <c r="Q13" i="21"/>
  <c r="V20" i="21"/>
  <c r="P9" i="21"/>
  <c r="N10" i="21"/>
  <c r="Y14" i="21"/>
  <c r="U8" i="21"/>
  <c r="W10" i="21"/>
  <c r="Q14" i="21"/>
  <c r="T10" i="21"/>
  <c r="V16" i="21"/>
  <c r="Q11" i="21"/>
  <c r="T9" i="21"/>
  <c r="T11" i="21"/>
  <c r="B20" i="21"/>
  <c r="C9" i="21"/>
  <c r="V21" i="21"/>
  <c r="B11" i="21"/>
  <c r="N20" i="21"/>
  <c r="O11" i="21"/>
  <c r="P12" i="21"/>
  <c r="P21" i="21"/>
  <c r="W16" i="21"/>
  <c r="N12" i="21"/>
  <c r="C15" i="21"/>
  <c r="Q12" i="21"/>
  <c r="C21" i="21"/>
  <c r="U14" i="21"/>
  <c r="S13" i="21"/>
  <c r="S15" i="21"/>
  <c r="S18" i="21"/>
  <c r="T14" i="21"/>
  <c r="R12" i="21"/>
  <c r="N15" i="21"/>
  <c r="P18" i="21"/>
  <c r="B17" i="21"/>
  <c r="X11" i="21"/>
  <c r="Q8" i="21"/>
  <c r="X15" i="21"/>
  <c r="C19" i="21"/>
  <c r="N21" i="21"/>
  <c r="V18" i="21"/>
  <c r="Q21" i="21"/>
  <c r="P17" i="21"/>
  <c r="R13" i="21"/>
  <c r="V15" i="21"/>
  <c r="T18" i="21"/>
  <c r="X14" i="21"/>
  <c r="B19" i="21"/>
  <c r="C12" i="21"/>
  <c r="Y21" i="21"/>
  <c r="Y18" i="21"/>
  <c r="U9" i="21"/>
  <c r="U10" i="21"/>
  <c r="U19" i="21"/>
  <c r="U12" i="21"/>
  <c r="Y19" i="21"/>
  <c r="X21" i="21"/>
  <c r="T16" i="21"/>
  <c r="V10" i="21"/>
  <c r="W14" i="21"/>
  <c r="T13" i="21"/>
  <c r="X10" i="21"/>
  <c r="X13" i="21"/>
  <c r="B13" i="21"/>
  <c r="V8" i="21"/>
  <c r="C18" i="21"/>
  <c r="P14" i="21"/>
  <c r="R17" i="21"/>
  <c r="P11" i="21"/>
  <c r="X18" i="21"/>
  <c r="R20" i="21"/>
  <c r="P10" i="21"/>
  <c r="Q16" i="21"/>
  <c r="T15" i="21"/>
  <c r="V9" i="21"/>
  <c r="X16" i="21"/>
  <c r="Q15" i="21"/>
  <c r="U18" i="21"/>
  <c r="Y15" i="21"/>
  <c r="S20" i="21"/>
  <c r="S14" i="21"/>
  <c r="S19" i="21"/>
  <c r="P19" i="21"/>
  <c r="T20" i="21"/>
  <c r="W15" i="21"/>
  <c r="B21" i="21"/>
  <c r="R19" i="21"/>
  <c r="C10" i="21"/>
  <c r="O20" i="21"/>
  <c r="W12" i="21"/>
  <c r="N16" i="21"/>
  <c r="V14" i="21"/>
  <c r="W20" i="21"/>
  <c r="X8" i="21"/>
  <c r="B10" i="21"/>
  <c r="Q19" i="21"/>
  <c r="R21" i="21"/>
  <c r="N18" i="21"/>
  <c r="N11" i="21"/>
  <c r="X12" i="21"/>
  <c r="Y20" i="21"/>
  <c r="U21" i="21"/>
  <c r="Y10" i="21"/>
  <c r="Y8" i="21"/>
</calcChain>
</file>

<file path=xl/sharedStrings.xml><?xml version="1.0" encoding="utf-8"?>
<sst xmlns="http://schemas.openxmlformats.org/spreadsheetml/2006/main" count="47800" uniqueCount="3279">
  <si>
    <t>Nº</t>
  </si>
  <si>
    <t>MARCA</t>
  </si>
  <si>
    <t>MODELO</t>
  </si>
  <si>
    <t>PLANCHADOR</t>
  </si>
  <si>
    <t>HORA COMPANIA</t>
  </si>
  <si>
    <t>HORA AJUSTADA</t>
  </si>
  <si>
    <t>PINTOR</t>
  </si>
  <si>
    <t>PAÑO COMPANIA</t>
  </si>
  <si>
    <t>PAÑOS AJUSTADOS</t>
  </si>
  <si>
    <t>TIPO SINIESTRO</t>
  </si>
  <si>
    <t>COSTO RPTOS</t>
  </si>
  <si>
    <t>TOTAL HORAS AJUSTADAS</t>
  </si>
  <si>
    <t>TOTAL HORAS COMPAÑÍA</t>
  </si>
  <si>
    <t>TOTAL PAÑOS COMPAÑÍA</t>
  </si>
  <si>
    <t>TOTAL PAÑOS AJUSTADOS</t>
  </si>
  <si>
    <t>AHORRO PLANCHADO</t>
  </si>
  <si>
    <t>AHORRO PINTURA</t>
  </si>
  <si>
    <t>HORAS MECÁNICA</t>
  </si>
  <si>
    <t xml:space="preserve">RPTOS </t>
  </si>
  <si>
    <t>AMPL.</t>
  </si>
  <si>
    <t>FECHA APROBACIÓN</t>
  </si>
  <si>
    <t>KIA</t>
  </si>
  <si>
    <t>SI</t>
  </si>
  <si>
    <t>MEDIANO</t>
  </si>
  <si>
    <t>RIO</t>
  </si>
  <si>
    <t>FECHA DE INGRESO</t>
  </si>
  <si>
    <t>TIPO DE CLIENTE</t>
  </si>
  <si>
    <t>DESCRIPCIÓN</t>
  </si>
  <si>
    <t>TIPO DE CAMBIO</t>
  </si>
  <si>
    <t>MO DE PLANCHADO POR HORA</t>
  </si>
  <si>
    <t>MO DE PINTURA POR PAÑO</t>
  </si>
  <si>
    <t>MO DE MECÁNICA POR HORA</t>
  </si>
  <si>
    <t>IMPORTE US$</t>
  </si>
  <si>
    <t>RELACION DE COMPRAS PARA TALLER POR PLACA DE VEHICULO</t>
  </si>
  <si>
    <t>IT</t>
  </si>
  <si>
    <t>PLACA</t>
  </si>
  <si>
    <t>FECHA</t>
  </si>
  <si>
    <t>SERIE</t>
  </si>
  <si>
    <t>NUMERO</t>
  </si>
  <si>
    <t>RUC</t>
  </si>
  <si>
    <t>DESCRIPCION</t>
  </si>
  <si>
    <t>MONTO</t>
  </si>
  <si>
    <t>IGV</t>
  </si>
  <si>
    <t>TOTAL</t>
  </si>
  <si>
    <t>CLAS_SERV</t>
  </si>
  <si>
    <t xml:space="preserve">F. Emisión </t>
  </si>
  <si>
    <t>Doc.</t>
  </si>
  <si>
    <t>Serie</t>
  </si>
  <si>
    <t>Nro. Doc.</t>
  </si>
  <si>
    <t>No OT</t>
  </si>
  <si>
    <t>Placa</t>
  </si>
  <si>
    <t>Fecha Rec</t>
  </si>
  <si>
    <t>R.U.C.</t>
  </si>
  <si>
    <t>Nombre / Razón Social</t>
  </si>
  <si>
    <t>Cód. de Prod.</t>
  </si>
  <si>
    <t>Descrip. del Producto</t>
  </si>
  <si>
    <t xml:space="preserve">Vend </t>
  </si>
  <si>
    <t>Cod. Pago</t>
  </si>
  <si>
    <t>Modo  pago</t>
  </si>
  <si>
    <t>Div</t>
  </si>
  <si>
    <t>División</t>
  </si>
  <si>
    <t>Mon.</t>
  </si>
  <si>
    <t>T/C.</t>
  </si>
  <si>
    <t>Cant.</t>
  </si>
  <si>
    <t>Prec. sin IGV</t>
  </si>
  <si>
    <t>Subtotal</t>
  </si>
  <si>
    <t xml:space="preserve">Impuesto </t>
  </si>
  <si>
    <t>Total</t>
  </si>
  <si>
    <t>FAC</t>
  </si>
  <si>
    <t>002</t>
  </si>
  <si>
    <t>2805010001</t>
  </si>
  <si>
    <t>000</t>
  </si>
  <si>
    <t>001</t>
  </si>
  <si>
    <t>CONTADO</t>
  </si>
  <si>
    <t>S/.</t>
  </si>
  <si>
    <t>Listado de Vales - Inventario</t>
  </si>
  <si>
    <t>Tip_doc</t>
  </si>
  <si>
    <t>Ser_doc</t>
  </si>
  <si>
    <t>Num_doc</t>
  </si>
  <si>
    <t>OT</t>
  </si>
  <si>
    <t>Producto</t>
  </si>
  <si>
    <t>Descripción del Producto</t>
  </si>
  <si>
    <t>Unidad</t>
  </si>
  <si>
    <t>Val.Un.US$</t>
  </si>
  <si>
    <t>Total US$</t>
  </si>
  <si>
    <t>Val.Un.S/.</t>
  </si>
  <si>
    <t>Total S/.</t>
  </si>
  <si>
    <t>OTR</t>
  </si>
  <si>
    <t>GAL</t>
  </si>
  <si>
    <t>ORDEN DE TRABAJO</t>
  </si>
  <si>
    <t>20100041953</t>
  </si>
  <si>
    <t>RIMAC SEGUROS  Y REASEGUROS S.A</t>
  </si>
  <si>
    <t>2908010001</t>
  </si>
  <si>
    <t>$</t>
  </si>
  <si>
    <t>AMPLIACION TERCEROS</t>
  </si>
  <si>
    <t>310120</t>
  </si>
  <si>
    <t>FRANQUICIA</t>
  </si>
  <si>
    <t>1302020001</t>
  </si>
  <si>
    <t>PINTURA</t>
  </si>
  <si>
    <t>009</t>
  </si>
  <si>
    <t>1201020001</t>
  </si>
  <si>
    <t>PLANCHADO</t>
  </si>
  <si>
    <t>005</t>
  </si>
  <si>
    <t>FACTURA A 30 DIAS</t>
  </si>
  <si>
    <t>320001</t>
  </si>
  <si>
    <t>REPUESTOS</t>
  </si>
  <si>
    <t>2805010002</t>
  </si>
  <si>
    <t>AMPLIACION MECANICA</t>
  </si>
  <si>
    <t>AMPLIACION PINTURA</t>
  </si>
  <si>
    <t>AMPLIACION PLANCHADO</t>
  </si>
  <si>
    <t>FARMAGRO S A</t>
  </si>
  <si>
    <t>BOL</t>
  </si>
  <si>
    <t>SERVICIOS</t>
  </si>
  <si>
    <t>TERCEROS</t>
  </si>
  <si>
    <t>ABO</t>
  </si>
  <si>
    <t>310255</t>
  </si>
  <si>
    <t>AMPLIACION DE PINTURA</t>
  </si>
  <si>
    <t>TERCEROS / PLANCHADOR</t>
  </si>
  <si>
    <t>TERCEROS/PINTOR ($)</t>
  </si>
  <si>
    <t>PRESUPUESTO</t>
  </si>
  <si>
    <t>1201020002</t>
  </si>
  <si>
    <t>C.C</t>
  </si>
  <si>
    <t>HYUNDAI</t>
  </si>
  <si>
    <t>RIMAC</t>
  </si>
  <si>
    <t>LEVE</t>
  </si>
  <si>
    <t>CERATO</t>
  </si>
  <si>
    <t>CHEVROLET</t>
  </si>
  <si>
    <t>SAIL</t>
  </si>
  <si>
    <t>TOYOTA</t>
  </si>
  <si>
    <t>FORD</t>
  </si>
  <si>
    <t>SUZUKI</t>
  </si>
  <si>
    <t>SPORTAGE</t>
  </si>
  <si>
    <t>2908010002</t>
  </si>
  <si>
    <t>AMPLIACION REPUESTOS</t>
  </si>
  <si>
    <t>COROLLA</t>
  </si>
  <si>
    <t>Sin_IGV</t>
  </si>
  <si>
    <t>COSTOS DE MANO DE OBRA SIN IGV</t>
  </si>
  <si>
    <t>ST</t>
  </si>
  <si>
    <t>DESCUENTO</t>
  </si>
  <si>
    <t>2908010003</t>
  </si>
  <si>
    <t>SWIFT</t>
  </si>
  <si>
    <t>RAV4</t>
  </si>
  <si>
    <t>GRAVE</t>
  </si>
  <si>
    <t>MITSUBISHI</t>
  </si>
  <si>
    <t>ACCENT</t>
  </si>
  <si>
    <t>CELERIO</t>
  </si>
  <si>
    <t>NISSAN</t>
  </si>
  <si>
    <t>SENTRA</t>
  </si>
  <si>
    <t>32263003</t>
  </si>
  <si>
    <t>FILTRO ACEITE KIA RIO</t>
  </si>
  <si>
    <t>UND</t>
  </si>
  <si>
    <t>322630002</t>
  </si>
  <si>
    <t>FILTRO ACEITE HYUNDAI A/I10/P/UP</t>
  </si>
  <si>
    <t>JGO</t>
  </si>
  <si>
    <t>RENAULT</t>
  </si>
  <si>
    <t>LOGAN</t>
  </si>
  <si>
    <t>MAZDA</t>
  </si>
  <si>
    <t>VERSA</t>
  </si>
  <si>
    <t>FILTRO DE ACEITE FRAM USA</t>
  </si>
  <si>
    <t>32PH7317</t>
  </si>
  <si>
    <t>LIQUIDO DE FRENO</t>
  </si>
  <si>
    <t>FILTRO DE AIRE TOYOTA</t>
  </si>
  <si>
    <t>SEGURO DE ARO</t>
  </si>
  <si>
    <t>FILTRO DE AIRE KIA</t>
  </si>
  <si>
    <t>FILTRO DE AIRE NISSAN</t>
  </si>
  <si>
    <t>ACEITE DE CAJA 80 W-90</t>
  </si>
  <si>
    <t>3500011</t>
  </si>
  <si>
    <t>REFRIGERANTE PRESTONE</t>
  </si>
  <si>
    <t>3500010</t>
  </si>
  <si>
    <t>FAJA MULTIPLE</t>
  </si>
  <si>
    <t>3200082</t>
  </si>
  <si>
    <t>PICANTO</t>
  </si>
  <si>
    <t>HONDA</t>
  </si>
  <si>
    <t>PILOT</t>
  </si>
  <si>
    <t>TIIDA</t>
  </si>
  <si>
    <t>CHERY</t>
  </si>
  <si>
    <t>MAZDA 2</t>
  </si>
  <si>
    <t>ELANTRA</t>
  </si>
  <si>
    <t>JEEP</t>
  </si>
  <si>
    <t>QASHQAI</t>
  </si>
  <si>
    <t>GREAT WALL</t>
  </si>
  <si>
    <t>GOL</t>
  </si>
  <si>
    <t>DUSTER</t>
  </si>
  <si>
    <t>I10</t>
  </si>
  <si>
    <t>CIVIC</t>
  </si>
  <si>
    <t>MIRAGE</t>
  </si>
  <si>
    <t>AUDI</t>
  </si>
  <si>
    <t>SUBARU</t>
  </si>
  <si>
    <t>Q5</t>
  </si>
  <si>
    <t>OUTLANDER</t>
  </si>
  <si>
    <t>003</t>
  </si>
  <si>
    <t>FACTURA A 7 DIAS</t>
  </si>
  <si>
    <t>32263000</t>
  </si>
  <si>
    <t>RP</t>
  </si>
  <si>
    <t>REFRIGERANTE</t>
  </si>
  <si>
    <t>BUJIAS</t>
  </si>
  <si>
    <t>ACEITE</t>
  </si>
  <si>
    <t>F004</t>
  </si>
  <si>
    <t>FILTRO DE ACEITE</t>
  </si>
  <si>
    <t>COMBUSTIBLE</t>
  </si>
  <si>
    <t>F001</t>
  </si>
  <si>
    <t>E001</t>
  </si>
  <si>
    <t>FILTRO DE AIRE</t>
  </si>
  <si>
    <t>FILTRO ACEITE H/K</t>
  </si>
  <si>
    <t>32FA300</t>
  </si>
  <si>
    <t>FILTRO AIRE E/UP/I30</t>
  </si>
  <si>
    <t>32FA1131</t>
  </si>
  <si>
    <t>FILTRO AIRE AV</t>
  </si>
  <si>
    <t>3200024</t>
  </si>
  <si>
    <t>RETEN CIGUEÑAL</t>
  </si>
  <si>
    <t>3200023</t>
  </si>
  <si>
    <t>RODAJE 6201</t>
  </si>
  <si>
    <t>3200088</t>
  </si>
  <si>
    <t>GRAPAS DE MANDIL</t>
  </si>
  <si>
    <t>3200073</t>
  </si>
  <si>
    <t>PARABRISA DELANTERO CHEVROLET</t>
  </si>
  <si>
    <t>3200021</t>
  </si>
  <si>
    <t>BUJIAS  BKR6E</t>
  </si>
  <si>
    <t>3200032</t>
  </si>
  <si>
    <t>FILTRO DE AIRE MITSUBISHI</t>
  </si>
  <si>
    <t>3200043</t>
  </si>
  <si>
    <t>ZAPATAS</t>
  </si>
  <si>
    <t>3200045</t>
  </si>
  <si>
    <t>FAJA DE ALTERNADOR</t>
  </si>
  <si>
    <t>3200042</t>
  </si>
  <si>
    <t>KIT DE EMBRAGUE</t>
  </si>
  <si>
    <t>KIT</t>
  </si>
  <si>
    <t>3500013</t>
  </si>
  <si>
    <t>3200058</t>
  </si>
  <si>
    <t>FILTRO DE GASOLINA</t>
  </si>
  <si>
    <t>3200061</t>
  </si>
  <si>
    <t>FILTRO DE AIRE HONDA</t>
  </si>
  <si>
    <t>3200067</t>
  </si>
  <si>
    <t>FOCO H7 12V 55W</t>
  </si>
  <si>
    <t>3200079</t>
  </si>
  <si>
    <t>PLUMILLA DELANTERA</t>
  </si>
  <si>
    <t>3500015</t>
  </si>
  <si>
    <t>ACEITE DE CAJA AUTOMATICA CVT</t>
  </si>
  <si>
    <t>3200096</t>
  </si>
  <si>
    <t>FILTRO DE AIRE CHEVROLET</t>
  </si>
  <si>
    <t>3200109</t>
  </si>
  <si>
    <t>3200105</t>
  </si>
  <si>
    <t>TERMOSTATO</t>
  </si>
  <si>
    <t>3200102</t>
  </si>
  <si>
    <t>EMPAQUE DE BALANCIN</t>
  </si>
  <si>
    <t>3200130</t>
  </si>
  <si>
    <t>BRIDA COMPLETA</t>
  </si>
  <si>
    <t>3200126</t>
  </si>
  <si>
    <t>ABRAZADERAS</t>
  </si>
  <si>
    <t>32000100</t>
  </si>
  <si>
    <t>PASTILLAS DE FRENO DELT.</t>
  </si>
  <si>
    <t>3200118</t>
  </si>
  <si>
    <t>PASTILLAS FRITEC</t>
  </si>
  <si>
    <t>RECTIFICADO DE DISCOS</t>
  </si>
  <si>
    <t>JUEGO DE ZAPATAS</t>
  </si>
  <si>
    <t>RADIADOR</t>
  </si>
  <si>
    <t>F008</t>
  </si>
  <si>
    <t>REPARACION DE ARO</t>
  </si>
  <si>
    <t>OT Unicas</t>
  </si>
  <si>
    <t>Fecha2</t>
  </si>
  <si>
    <t>Sum_Acum</t>
  </si>
  <si>
    <t>Salidas_Almacen</t>
  </si>
  <si>
    <t>Compras_Rpto</t>
  </si>
  <si>
    <t>Serv_Terceros</t>
  </si>
  <si>
    <t>MO_Mecanica</t>
  </si>
  <si>
    <t>MO_Planchado</t>
  </si>
  <si>
    <t>MO_Pintura</t>
  </si>
  <si>
    <t>Ser_Ter_Taller</t>
  </si>
  <si>
    <t>Total_Gastos</t>
  </si>
  <si>
    <t>Margen_bruto</t>
  </si>
  <si>
    <t>Porcentaje</t>
  </si>
  <si>
    <t>Tip_Cli</t>
  </si>
  <si>
    <t>Tip_Siniestro</t>
  </si>
  <si>
    <t>RECTIFICADO DE DISCOS DELANTEROS</t>
  </si>
  <si>
    <t>3200134</t>
  </si>
  <si>
    <t>3200136</t>
  </si>
  <si>
    <t>3200137</t>
  </si>
  <si>
    <t>FILTRO DE ACEITE TOYOTA</t>
  </si>
  <si>
    <t>3200142</t>
  </si>
  <si>
    <t>FUNDA DE PARACHOQUE FR KIA</t>
  </si>
  <si>
    <t>3200140</t>
  </si>
  <si>
    <t>MANDIL DE GUARDAFANGO DELT. RH</t>
  </si>
  <si>
    <t>3200141</t>
  </si>
  <si>
    <t>MANDIL DE GUARDAFANGO DELT. LH</t>
  </si>
  <si>
    <t>COMPASS</t>
  </si>
  <si>
    <t>Dias_Taller</t>
  </si>
  <si>
    <t>Mes_Fac</t>
  </si>
  <si>
    <t>Año_Fac</t>
  </si>
  <si>
    <t>Cuenta_Dia</t>
  </si>
  <si>
    <t>Total general</t>
  </si>
  <si>
    <t>Etiquetas de fila</t>
  </si>
  <si>
    <t>Suma de Sum_Acum</t>
  </si>
  <si>
    <t>Leve</t>
  </si>
  <si>
    <t>Mediano</t>
  </si>
  <si>
    <t>Grave</t>
  </si>
  <si>
    <t>Suma de Margen_bruto</t>
  </si>
  <si>
    <t>Suma de Total_Gastos</t>
  </si>
  <si>
    <t>Suma de Cuenta_Dia</t>
  </si>
  <si>
    <t>NAVARA</t>
  </si>
  <si>
    <t>2805010003</t>
  </si>
  <si>
    <t>35555038</t>
  </si>
  <si>
    <t>ACEITE DE CAJA 80W-90</t>
  </si>
  <si>
    <t>3200149</t>
  </si>
  <si>
    <t>RADIADOR ALT.</t>
  </si>
  <si>
    <t>3200147</t>
  </si>
  <si>
    <t>MANGUERA DE RADIADOR SUPERIOR</t>
  </si>
  <si>
    <t>3200146</t>
  </si>
  <si>
    <t>MANGUERA DE RADIADOR INFERIOR</t>
  </si>
  <si>
    <t>3200153</t>
  </si>
  <si>
    <t>3200167</t>
  </si>
  <si>
    <t>FOCO H4 12V 60/55W</t>
  </si>
  <si>
    <t>20473938929</t>
  </si>
  <si>
    <t>INDURA PERU S.A.</t>
  </si>
  <si>
    <t>Tipo de Cliente</t>
  </si>
  <si>
    <t>Facturación</t>
  </si>
  <si>
    <t>Costo</t>
  </si>
  <si>
    <t>Margen Bruto</t>
  </si>
  <si>
    <t>%</t>
  </si>
  <si>
    <t># Clientes</t>
  </si>
  <si>
    <t>Tck Prom</t>
  </si>
  <si>
    <t>Tipo de Siniestro</t>
  </si>
  <si>
    <t>Cuenta Cliente (S/)</t>
  </si>
  <si>
    <t>Positiva (S/)</t>
  </si>
  <si>
    <t>Rimac (S/)</t>
  </si>
  <si>
    <t>Marca</t>
  </si>
  <si>
    <t>Modelo</t>
  </si>
  <si>
    <t>Fecha_Rep</t>
  </si>
  <si>
    <t>ETIOS</t>
  </si>
  <si>
    <t>ALX-585</t>
  </si>
  <si>
    <t>3200171</t>
  </si>
  <si>
    <t>PLUMILLA FR LARGA</t>
  </si>
  <si>
    <t>3200172</t>
  </si>
  <si>
    <t>PLUMILLA FR CORTA</t>
  </si>
  <si>
    <t>3200174</t>
  </si>
  <si>
    <t>MANGUERA C/ABRAZADERAS</t>
  </si>
  <si>
    <t>B5M-803</t>
  </si>
  <si>
    <t>SALAZAR OYOLA HECTOR</t>
  </si>
  <si>
    <t>45586752</t>
  </si>
  <si>
    <t>ALX585</t>
  </si>
  <si>
    <t>B5M803</t>
  </si>
  <si>
    <t>3200193</t>
  </si>
  <si>
    <t>BUJIAS IRIDIUM DENSO</t>
  </si>
  <si>
    <t>3200202</t>
  </si>
  <si>
    <t>FOCO LAGRIMA 12V</t>
  </si>
  <si>
    <t>3200199</t>
  </si>
  <si>
    <t>REJILLA INFERIOR</t>
  </si>
  <si>
    <t>3200198</t>
  </si>
  <si>
    <t>PONCHO PALIER</t>
  </si>
  <si>
    <t>3200197</t>
  </si>
  <si>
    <t>RETEN DE PALIER</t>
  </si>
  <si>
    <t>3200207</t>
  </si>
  <si>
    <t>BOBINA DE ENCENDIDO KIA</t>
  </si>
  <si>
    <t>3200203</t>
  </si>
  <si>
    <t>FILTRO DE PETROLEO 01</t>
  </si>
  <si>
    <t>3200205</t>
  </si>
  <si>
    <t>FILTRO DE PETROLEO 02</t>
  </si>
  <si>
    <t>3200204</t>
  </si>
  <si>
    <t>FARO NEBLINERO FR/LH</t>
  </si>
  <si>
    <t>3200208</t>
  </si>
  <si>
    <t>GUIA DE FUNDA FR/LH</t>
  </si>
  <si>
    <t>3200201</t>
  </si>
  <si>
    <t>FOCO DE DOS CONTACTOS DE 12V</t>
  </si>
  <si>
    <t>3200212</t>
  </si>
  <si>
    <t>AMORTIGUADOR</t>
  </si>
  <si>
    <t>3200219</t>
  </si>
  <si>
    <t>BUJIAS BPR5EY</t>
  </si>
  <si>
    <t>3200234</t>
  </si>
  <si>
    <t>JGO. DE ZAPATAS RR</t>
  </si>
  <si>
    <t>3200222</t>
  </si>
  <si>
    <t>FILTRO DE COMBUSTIBLE CHEVROLET</t>
  </si>
  <si>
    <t>3200232</t>
  </si>
  <si>
    <t>BOMBIN DE FRENO RR</t>
  </si>
  <si>
    <t>3200236</t>
  </si>
  <si>
    <t>JGO. DE PASTILLAS DE FRENO FR</t>
  </si>
  <si>
    <t>3200245</t>
  </si>
  <si>
    <t>LLANTA HANKOK OPTIMA 175/70R 14</t>
  </si>
  <si>
    <t>3200263</t>
  </si>
  <si>
    <t>DISCO DE FRENO FR (ALT)</t>
  </si>
  <si>
    <t>3200265</t>
  </si>
  <si>
    <t>CABLE DE BUJIAS</t>
  </si>
  <si>
    <t>3200277</t>
  </si>
  <si>
    <t>FUNDA DELANTERA</t>
  </si>
  <si>
    <t>3200286</t>
  </si>
  <si>
    <t>BOMBA DE COMBUSTIBLE COMP.</t>
  </si>
  <si>
    <t>3200285</t>
  </si>
  <si>
    <t>TAPA DE RADIADOR</t>
  </si>
  <si>
    <t>EDPYME ACCESO CREDITICIO SOCIEDAD ANONIMA</t>
  </si>
  <si>
    <t>20438563084</t>
  </si>
  <si>
    <t>T. O/C</t>
  </si>
  <si>
    <t xml:space="preserve">SERVICIO POR TERCEROS </t>
  </si>
  <si>
    <t>3200228</t>
  </si>
  <si>
    <t>CABLE DE EMBRAGUE CHEVROLET</t>
  </si>
  <si>
    <t>3200290</t>
  </si>
  <si>
    <t>GUIA DE FUNDA FR/RH</t>
  </si>
  <si>
    <t>3200292</t>
  </si>
  <si>
    <t>FARO NEBLINERO FR/RH</t>
  </si>
  <si>
    <t>3200293</t>
  </si>
  <si>
    <t>3200297</t>
  </si>
  <si>
    <t>FILTRO DE COMBUSTIBLE</t>
  </si>
  <si>
    <t>3200298</t>
  </si>
  <si>
    <t>AMORTIGUADOR FR</t>
  </si>
  <si>
    <t>3200301</t>
  </si>
  <si>
    <t>FAJA DE DISTRIBUCION</t>
  </si>
  <si>
    <t>3200302</t>
  </si>
  <si>
    <t>TEMPLADOR DE DISTRIBUCION</t>
  </si>
  <si>
    <t>3200310</t>
  </si>
  <si>
    <t>3200311</t>
  </si>
  <si>
    <t>AMORTIGUADORES RR</t>
  </si>
  <si>
    <t>BUJIAS NGK</t>
  </si>
  <si>
    <t>32DCPR7E</t>
  </si>
  <si>
    <t>SOPORTE DE MOTOR</t>
  </si>
  <si>
    <t>Cliente</t>
  </si>
  <si>
    <t>CX3</t>
  </si>
  <si>
    <t>3200317</t>
  </si>
  <si>
    <t>ESPEJO LH COMPLETO</t>
  </si>
  <si>
    <t>3200319</t>
  </si>
  <si>
    <t>PASTILLAS DE FRENO FR (ORG)</t>
  </si>
  <si>
    <t>3200323</t>
  </si>
  <si>
    <t>BOMBA DEL COMBUSTIBLE (PILA)</t>
  </si>
  <si>
    <t>3200325</t>
  </si>
  <si>
    <t>PASTILLA DE FRENO MANDO</t>
  </si>
  <si>
    <t>3200327</t>
  </si>
  <si>
    <t>BATERIA CAPSA</t>
  </si>
  <si>
    <t>3200328</t>
  </si>
  <si>
    <t>BISEL DE FARO NEBLINERO FR/RH</t>
  </si>
  <si>
    <t>3200335</t>
  </si>
  <si>
    <t>TEMPLADORA DE FAJA MULTIPLE</t>
  </si>
  <si>
    <t>3200331</t>
  </si>
  <si>
    <t>FOCO LAGRIMON DOS CONTACTOS 12V</t>
  </si>
  <si>
    <t>3200354</t>
  </si>
  <si>
    <t>RODAJE DE RUEDA</t>
  </si>
  <si>
    <t>3200358</t>
  </si>
  <si>
    <t>TORRETA DE AMORTIGUADOR</t>
  </si>
  <si>
    <t>3200359</t>
  </si>
  <si>
    <t>FARO RR/LH</t>
  </si>
  <si>
    <t>3200363</t>
  </si>
  <si>
    <t>DISCO DE EMBRAGUE (VAL)</t>
  </si>
  <si>
    <t>3200370</t>
  </si>
  <si>
    <t>TAPA DE NEBLINERO LH</t>
  </si>
  <si>
    <t>3200374</t>
  </si>
  <si>
    <t>GUARDAFANGO FR/LH</t>
  </si>
  <si>
    <t>3200375</t>
  </si>
  <si>
    <t>GRAPA DE FUNDA</t>
  </si>
  <si>
    <t>3200376</t>
  </si>
  <si>
    <t>GUIA DE GUARDAFANGO FR/LH Y RH</t>
  </si>
  <si>
    <t>3200372</t>
  </si>
  <si>
    <t>TRAPECIO FR/LH</t>
  </si>
  <si>
    <t>MECANICA</t>
  </si>
  <si>
    <t>XTRAIL</t>
  </si>
  <si>
    <t>3200378</t>
  </si>
  <si>
    <t>FUNDA POSTERIOR</t>
  </si>
  <si>
    <t>3200379</t>
  </si>
  <si>
    <t>EMBLEMA</t>
  </si>
  <si>
    <t>3200381</t>
  </si>
  <si>
    <t>VARILLA DE ANTENA</t>
  </si>
  <si>
    <t>3200385</t>
  </si>
  <si>
    <t>MANGUERA</t>
  </si>
  <si>
    <t>3200386</t>
  </si>
  <si>
    <t>RODAJE DE TENSOR DE FAJA</t>
  </si>
  <si>
    <t>3200387</t>
  </si>
  <si>
    <t>RODAJE DE POLEA</t>
  </si>
  <si>
    <t>3200384</t>
  </si>
  <si>
    <t>FARO RR/RH</t>
  </si>
  <si>
    <t>F002</t>
  </si>
  <si>
    <t>3200400</t>
  </si>
  <si>
    <t>CLAXON</t>
  </si>
  <si>
    <t>32263003MD</t>
  </si>
  <si>
    <t>AMPLIACION SERVICIOS</t>
  </si>
  <si>
    <t>UNIMAR SA</t>
  </si>
  <si>
    <t>Costos Fijos</t>
  </si>
  <si>
    <t>Monto</t>
  </si>
  <si>
    <t>Lavadores</t>
  </si>
  <si>
    <t>Mecanica</t>
  </si>
  <si>
    <t>Alquiler</t>
  </si>
  <si>
    <t>Rimac</t>
  </si>
  <si>
    <t>Positiva</t>
  </si>
  <si>
    <t>Sueldos</t>
  </si>
  <si>
    <t>Total General</t>
  </si>
  <si>
    <r>
      <t>alq x 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</si>
  <si>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Areas</t>
  </si>
  <si>
    <r>
      <t>m</t>
    </r>
    <r>
      <rPr>
        <b/>
        <vertAlign val="superscript"/>
        <sz val="10"/>
        <color theme="0"/>
        <rFont val="Calibri"/>
        <family val="2"/>
        <scheme val="minor"/>
      </rPr>
      <t>2</t>
    </r>
  </si>
  <si>
    <t>total</t>
  </si>
  <si>
    <t>Almacen</t>
  </si>
  <si>
    <t>baños</t>
  </si>
  <si>
    <t>laboratorio</t>
  </si>
  <si>
    <t>Lavado</t>
  </si>
  <si>
    <t>Pintura</t>
  </si>
  <si>
    <t>Planchado</t>
  </si>
  <si>
    <t>Recepcion de autos</t>
  </si>
  <si>
    <t>Zona de entregas</t>
  </si>
  <si>
    <t>asesores</t>
  </si>
  <si>
    <t>caja</t>
  </si>
  <si>
    <t>jefatura de taller</t>
  </si>
  <si>
    <t>sala de clientes</t>
  </si>
  <si>
    <t>PRISMA</t>
  </si>
  <si>
    <t>3200410</t>
  </si>
  <si>
    <t>SENSOR DE TEMPERATURA</t>
  </si>
  <si>
    <t>3200413</t>
  </si>
  <si>
    <t>ESPEJO  EXT. RH  ALT.</t>
  </si>
  <si>
    <t>D/M DE PARABRISA</t>
  </si>
  <si>
    <t>3200436</t>
  </si>
  <si>
    <t>GUIA DE GDAFGO FR/LH</t>
  </si>
  <si>
    <t>3200435</t>
  </si>
  <si>
    <t>TERMINAL DE DIRECCION</t>
  </si>
  <si>
    <t>Administración</t>
  </si>
  <si>
    <t>Contabilidad</t>
  </si>
  <si>
    <t>Directorio</t>
  </si>
  <si>
    <t>Zona de Parqueo</t>
  </si>
  <si>
    <t>Honorarios</t>
  </si>
  <si>
    <t>Luz</t>
  </si>
  <si>
    <t>Agua</t>
  </si>
  <si>
    <t>Telefono e Internet</t>
  </si>
  <si>
    <t>Celulares</t>
  </si>
  <si>
    <t>ADM</t>
  </si>
  <si>
    <t>PIN</t>
  </si>
  <si>
    <t>MEC</t>
  </si>
  <si>
    <t>PLA</t>
  </si>
  <si>
    <t>Servicios</t>
  </si>
  <si>
    <t>SER1</t>
  </si>
  <si>
    <t>SUE4</t>
  </si>
  <si>
    <t>HON1</t>
  </si>
  <si>
    <t>SUE1</t>
  </si>
  <si>
    <t>SUE3</t>
  </si>
  <si>
    <t>SUE2</t>
  </si>
  <si>
    <t>Sueldo Meca CC</t>
  </si>
  <si>
    <t>Sueldo Meca Seguros</t>
  </si>
  <si>
    <t>Sueldo Lavadores</t>
  </si>
  <si>
    <t>Sueldos Admin</t>
  </si>
  <si>
    <t>Zona de Maniobras</t>
  </si>
  <si>
    <t>35555062</t>
  </si>
  <si>
    <t>ACEITE SEMISINTETICO 5W30  CIL</t>
  </si>
  <si>
    <t>3200448</t>
  </si>
  <si>
    <t>DEPOSITO DE RADIADOR</t>
  </si>
  <si>
    <t>3200449</t>
  </si>
  <si>
    <t>BOMBA DE FRENO</t>
  </si>
  <si>
    <t>BAZ-054</t>
  </si>
  <si>
    <t>3200470</t>
  </si>
  <si>
    <t>RADIADOR DE AGUA</t>
  </si>
  <si>
    <t>3200471</t>
  </si>
  <si>
    <t>ESPEJO EXT. LH</t>
  </si>
  <si>
    <t>3200480</t>
  </si>
  <si>
    <t>AMORTIGUADORES FR Y RR</t>
  </si>
  <si>
    <t>3200484</t>
  </si>
  <si>
    <t>BORNES DE BATERIA</t>
  </si>
  <si>
    <t>3500026</t>
  </si>
  <si>
    <t>HIDROLINA</t>
  </si>
  <si>
    <t>3200494</t>
  </si>
  <si>
    <t>RACK DE DIRECCION</t>
  </si>
  <si>
    <t>3200487</t>
  </si>
  <si>
    <t>POLEA FIJA DE FAJA</t>
  </si>
  <si>
    <t>3200498</t>
  </si>
  <si>
    <t>FARO DE MALETERA</t>
  </si>
  <si>
    <t>3200501</t>
  </si>
  <si>
    <t>REJILLA DE FUNDA FR</t>
  </si>
  <si>
    <t>3200506</t>
  </si>
  <si>
    <t>RODAJES POSTERIORES</t>
  </si>
  <si>
    <t>RENTAEQUIPOS LEASING PERU S.A.</t>
  </si>
  <si>
    <t>20509959766</t>
  </si>
  <si>
    <t>MEZA CERNA JUNOR RAUL</t>
  </si>
  <si>
    <t>70431036</t>
  </si>
  <si>
    <t>BAZ054</t>
  </si>
  <si>
    <t>AMPLIACION SERVICIO TERCEROS</t>
  </si>
  <si>
    <t>3200523</t>
  </si>
  <si>
    <t>POLEA DE FAJA ALTERNADOR</t>
  </si>
  <si>
    <t>3200524</t>
  </si>
  <si>
    <t>TEMPLADOR DE FAJA DE ALTERNADOR</t>
  </si>
  <si>
    <t>3200529</t>
  </si>
  <si>
    <t>3200530</t>
  </si>
  <si>
    <t>TAPA  DE GANCHO REMOLQUE</t>
  </si>
  <si>
    <t>3200532</t>
  </si>
  <si>
    <t>ANTENA</t>
  </si>
  <si>
    <t>ANJ-035</t>
  </si>
  <si>
    <t>32LZKR6B</t>
  </si>
  <si>
    <t>3200552</t>
  </si>
  <si>
    <t>MOTOR LIMPIAPARABRISAS</t>
  </si>
  <si>
    <t>3200557</t>
  </si>
  <si>
    <t>JEBE DE MALETERA</t>
  </si>
  <si>
    <t>3200562</t>
  </si>
  <si>
    <t>PARABRISA DELANTERA</t>
  </si>
  <si>
    <t>3200568</t>
  </si>
  <si>
    <t>BOMBIN</t>
  </si>
  <si>
    <t>3300569</t>
  </si>
  <si>
    <t>DEPOSITO HIDROLINA</t>
  </si>
  <si>
    <t>35555139</t>
  </si>
  <si>
    <t>ACEITE EDGE SINTETICO 5W40 CIL</t>
  </si>
  <si>
    <t>3200573</t>
  </si>
  <si>
    <t>VARILLA DE ACEITE</t>
  </si>
  <si>
    <t>3200577</t>
  </si>
  <si>
    <t>TAPA DE NEBLINERO RH</t>
  </si>
  <si>
    <t>3200583</t>
  </si>
  <si>
    <t>BISEL DE NEBLINERO FR/LH</t>
  </si>
  <si>
    <t>UNIMAR S.A</t>
  </si>
  <si>
    <t>Promedio de Dias_Taller</t>
  </si>
  <si>
    <t>Dias Prom.</t>
  </si>
  <si>
    <t>ANE-346</t>
  </si>
  <si>
    <t>00000002</t>
  </si>
  <si>
    <t>00000003</t>
  </si>
  <si>
    <t>00000001</t>
  </si>
  <si>
    <t>ANE346</t>
  </si>
  <si>
    <t>AVENSIS</t>
  </si>
  <si>
    <t>3200631</t>
  </si>
  <si>
    <t>FAJA DE BOMBA DE DIRECCION</t>
  </si>
  <si>
    <t>SWITCH DE RETROCESO</t>
  </si>
  <si>
    <t>Enero</t>
  </si>
  <si>
    <t>&gt;&gt;&gt;Enero 2019 - Sin IGV</t>
  </si>
  <si>
    <t>RANGER</t>
  </si>
  <si>
    <t>3200640</t>
  </si>
  <si>
    <t>RODAJES</t>
  </si>
  <si>
    <t>3200656</t>
  </si>
  <si>
    <t>SEGURO DE RUEDA</t>
  </si>
  <si>
    <t>3200658</t>
  </si>
  <si>
    <t>FOCO NEBLINERO 12,8 V 37,5 W</t>
  </si>
  <si>
    <t>3200660</t>
  </si>
  <si>
    <t>ARO DE FIERRO</t>
  </si>
  <si>
    <t>3200662</t>
  </si>
  <si>
    <t>LLANTA NEXEN 195/65/R15</t>
  </si>
  <si>
    <t>3200630</t>
  </si>
  <si>
    <t>00000124</t>
  </si>
  <si>
    <t>00000122</t>
  </si>
  <si>
    <t>00000120</t>
  </si>
  <si>
    <t>00000119</t>
  </si>
  <si>
    <t>AMPLIACION DE REPUESTOS</t>
  </si>
  <si>
    <t>00000109</t>
  </si>
  <si>
    <t>00000108</t>
  </si>
  <si>
    <t>00000107</t>
  </si>
  <si>
    <t>00000106</t>
  </si>
  <si>
    <t>00000105</t>
  </si>
  <si>
    <t>00000102</t>
  </si>
  <si>
    <t>00000097</t>
  </si>
  <si>
    <t>00000090</t>
  </si>
  <si>
    <t>00000085</t>
  </si>
  <si>
    <t>00000079</t>
  </si>
  <si>
    <t>00000074</t>
  </si>
  <si>
    <t>00000069</t>
  </si>
  <si>
    <t>00000067</t>
  </si>
  <si>
    <t>00000066</t>
  </si>
  <si>
    <t>00000065</t>
  </si>
  <si>
    <t>00000064</t>
  </si>
  <si>
    <t>00000063</t>
  </si>
  <si>
    <t>00000062</t>
  </si>
  <si>
    <t>00000061</t>
  </si>
  <si>
    <t>00000060</t>
  </si>
  <si>
    <t>00000059</t>
  </si>
  <si>
    <t>00000058</t>
  </si>
  <si>
    <t>00000057</t>
  </si>
  <si>
    <t>00000056</t>
  </si>
  <si>
    <t>00000055</t>
  </si>
  <si>
    <t>00000054</t>
  </si>
  <si>
    <t>00000053</t>
  </si>
  <si>
    <t>00000052</t>
  </si>
  <si>
    <t>00000051</t>
  </si>
  <si>
    <t>00000050</t>
  </si>
  <si>
    <t>00000049</t>
  </si>
  <si>
    <t>00000048</t>
  </si>
  <si>
    <t>00000047</t>
  </si>
  <si>
    <t>00000046</t>
  </si>
  <si>
    <t>00000045</t>
  </si>
  <si>
    <t>00000044</t>
  </si>
  <si>
    <t>00000043</t>
  </si>
  <si>
    <t>00000042</t>
  </si>
  <si>
    <t>00000040</t>
  </si>
  <si>
    <t>00000039</t>
  </si>
  <si>
    <t>00000038</t>
  </si>
  <si>
    <t>00000037</t>
  </si>
  <si>
    <t>00000036</t>
  </si>
  <si>
    <t>00000035</t>
  </si>
  <si>
    <t>00000034</t>
  </si>
  <si>
    <t>00000033</t>
  </si>
  <si>
    <t>00000032</t>
  </si>
  <si>
    <t>00000031</t>
  </si>
  <si>
    <t>00000030</t>
  </si>
  <si>
    <t>00000029</t>
  </si>
  <si>
    <t>00000028</t>
  </si>
  <si>
    <t>00000027</t>
  </si>
  <si>
    <t>00000026</t>
  </si>
  <si>
    <t>00000025</t>
  </si>
  <si>
    <t>00000024</t>
  </si>
  <si>
    <t>00000023</t>
  </si>
  <si>
    <t>00000022</t>
  </si>
  <si>
    <t>00000021</t>
  </si>
  <si>
    <t>00000020</t>
  </si>
  <si>
    <t>00000019</t>
  </si>
  <si>
    <t>00000018</t>
  </si>
  <si>
    <t>00000017</t>
  </si>
  <si>
    <t>00000016</t>
  </si>
  <si>
    <t>00000015</t>
  </si>
  <si>
    <t>00000014</t>
  </si>
  <si>
    <t>00000013</t>
  </si>
  <si>
    <t>00000012</t>
  </si>
  <si>
    <t>00000011</t>
  </si>
  <si>
    <t>00000010</t>
  </si>
  <si>
    <t>00000009</t>
  </si>
  <si>
    <t>00000008</t>
  </si>
  <si>
    <t>00000007</t>
  </si>
  <si>
    <t>00000006</t>
  </si>
  <si>
    <t>00000005</t>
  </si>
  <si>
    <t>00000004</t>
  </si>
  <si>
    <t>00000168</t>
  </si>
  <si>
    <t>00000167</t>
  </si>
  <si>
    <t>00000166</t>
  </si>
  <si>
    <t>00000165</t>
  </si>
  <si>
    <t>00000164</t>
  </si>
  <si>
    <t>00000163</t>
  </si>
  <si>
    <t>00000162</t>
  </si>
  <si>
    <t>00000160</t>
  </si>
  <si>
    <t>00000157</t>
  </si>
  <si>
    <t>00000152</t>
  </si>
  <si>
    <t>00000151</t>
  </si>
  <si>
    <t>00000089</t>
  </si>
  <si>
    <t>00000041</t>
  </si>
  <si>
    <t>3200680</t>
  </si>
  <si>
    <t>SPOILER FR</t>
  </si>
  <si>
    <t>3200695</t>
  </si>
  <si>
    <t>KIT CILINDRO DE LLAVES</t>
  </si>
  <si>
    <t>3200705</t>
  </si>
  <si>
    <t>TRAPECIO FR/RH</t>
  </si>
  <si>
    <t>3200706</t>
  </si>
  <si>
    <t>BIELETA BARRA ESTAB FR</t>
  </si>
  <si>
    <t>3200725</t>
  </si>
  <si>
    <t>REFLECTOR RR/LH DE FUNDA</t>
  </si>
  <si>
    <t>CAR</t>
  </si>
  <si>
    <t>AMPLIACION SERVICIO</t>
  </si>
  <si>
    <t>ABO00000001</t>
  </si>
  <si>
    <t>ABO00000003</t>
  </si>
  <si>
    <t>COBALT</t>
  </si>
  <si>
    <t>3200735</t>
  </si>
  <si>
    <t>ROTULAS DE TRAPECIO</t>
  </si>
  <si>
    <t>3200742</t>
  </si>
  <si>
    <t>POLEA LISA DE FAJA</t>
  </si>
  <si>
    <t>32LFR5A</t>
  </si>
  <si>
    <t>32A1531</t>
  </si>
  <si>
    <t>3200746</t>
  </si>
  <si>
    <t>BOBINAS DE ENCENDIDO</t>
  </si>
  <si>
    <t>3200748</t>
  </si>
  <si>
    <t>REFLECTOR RR/RH</t>
  </si>
  <si>
    <t>3500033</t>
  </si>
  <si>
    <t>ACEITE DE CAJA MECANICA 85W 140</t>
  </si>
  <si>
    <t>32FA115</t>
  </si>
  <si>
    <t>SERVICIO DE ENLLANTE</t>
  </si>
  <si>
    <t>Julio</t>
  </si>
  <si>
    <t>3200761</t>
  </si>
  <si>
    <t>BATERIA W-13 GL2B (ETNA)</t>
  </si>
  <si>
    <t>005-00000004</t>
  </si>
  <si>
    <t>ASW-540</t>
  </si>
  <si>
    <t>WILLIAMS</t>
  </si>
  <si>
    <t>005-00000005</t>
  </si>
  <si>
    <t>005-00000006</t>
  </si>
  <si>
    <t>D9C-481</t>
  </si>
  <si>
    <t>005-00000008</t>
  </si>
  <si>
    <t>AHK-141</t>
  </si>
  <si>
    <t>005-00000011</t>
  </si>
  <si>
    <t>005-00000007</t>
  </si>
  <si>
    <t>AHY-439</t>
  </si>
  <si>
    <t>005-00000020</t>
  </si>
  <si>
    <t>005-00000022</t>
  </si>
  <si>
    <t>005-00000009</t>
  </si>
  <si>
    <t>F0Z-446</t>
  </si>
  <si>
    <t>005-00000010</t>
  </si>
  <si>
    <t>AMD-263</t>
  </si>
  <si>
    <t>HYUNDAY</t>
  </si>
  <si>
    <t>005-00000023</t>
  </si>
  <si>
    <t>F5B-699</t>
  </si>
  <si>
    <t>005-00000024</t>
  </si>
  <si>
    <t>B4S-030</t>
  </si>
  <si>
    <t>005-00000014</t>
  </si>
  <si>
    <t>005-00000015</t>
  </si>
  <si>
    <t>005-00000030</t>
  </si>
  <si>
    <t>AMY-524</t>
  </si>
  <si>
    <t>005-00000027</t>
  </si>
  <si>
    <t>BHA-218</t>
  </si>
  <si>
    <t>ACCESO</t>
  </si>
  <si>
    <t>005-00000029</t>
  </si>
  <si>
    <t>BEQ-226</t>
  </si>
  <si>
    <t>005-00000028</t>
  </si>
  <si>
    <t>BBH-363</t>
  </si>
  <si>
    <t>005-00000016</t>
  </si>
  <si>
    <t>AUK-009</t>
  </si>
  <si>
    <t>005-00000018</t>
  </si>
  <si>
    <t>AWG-565</t>
  </si>
  <si>
    <t>005-00000019</t>
  </si>
  <si>
    <t>P2Y-146</t>
  </si>
  <si>
    <t>005-00000013</t>
  </si>
  <si>
    <t>AYM-428</t>
  </si>
  <si>
    <t>005-00000026</t>
  </si>
  <si>
    <t>BEN-484</t>
  </si>
  <si>
    <t>005-00000017</t>
  </si>
  <si>
    <t>ATK-580</t>
  </si>
  <si>
    <t>005-00000038</t>
  </si>
  <si>
    <t>AJF-554</t>
  </si>
  <si>
    <t>005-00000039</t>
  </si>
  <si>
    <t>AHV-326</t>
  </si>
  <si>
    <t>005-00000031</t>
  </si>
  <si>
    <t>ANX-091</t>
  </si>
  <si>
    <t>005-00000042</t>
  </si>
  <si>
    <t>C3A-411</t>
  </si>
  <si>
    <t>005-00000041</t>
  </si>
  <si>
    <t>005-00000043</t>
  </si>
  <si>
    <t>ANE-445</t>
  </si>
  <si>
    <t>005-00000033</t>
  </si>
  <si>
    <t>AZY-713</t>
  </si>
  <si>
    <t>005-00000040</t>
  </si>
  <si>
    <t>BMA-272</t>
  </si>
  <si>
    <t>H3</t>
  </si>
  <si>
    <t>005-00000021</t>
  </si>
  <si>
    <t>ATH-340</t>
  </si>
  <si>
    <t>005-00000044</t>
  </si>
  <si>
    <t>BLA-251</t>
  </si>
  <si>
    <t>005-00000034</t>
  </si>
  <si>
    <t>AWL-231</t>
  </si>
  <si>
    <t>005-00000045</t>
  </si>
  <si>
    <t>ATZ-549</t>
  </si>
  <si>
    <t>005-00000058</t>
  </si>
  <si>
    <t>B3A-304</t>
  </si>
  <si>
    <t>005-00000057</t>
  </si>
  <si>
    <t>F5C-188</t>
  </si>
  <si>
    <t>005-00000062</t>
  </si>
  <si>
    <t>005-00000063</t>
  </si>
  <si>
    <t>BJL-074</t>
  </si>
  <si>
    <t>ARRIZO3</t>
  </si>
  <si>
    <t>005-00000064</t>
  </si>
  <si>
    <t>005-00000061</t>
  </si>
  <si>
    <t>BDI-580</t>
  </si>
  <si>
    <t>OUTBACK</t>
  </si>
  <si>
    <t>005-00000065</t>
  </si>
  <si>
    <t>APA-238</t>
  </si>
  <si>
    <t>005-00000049</t>
  </si>
  <si>
    <t>AKB-038</t>
  </si>
  <si>
    <t>005-00000067</t>
  </si>
  <si>
    <t>005-00000069</t>
  </si>
  <si>
    <t>ARP-079</t>
  </si>
  <si>
    <t>005-00000066</t>
  </si>
  <si>
    <t>D9K-336</t>
  </si>
  <si>
    <t>005-00000070</t>
  </si>
  <si>
    <t>ASN-143</t>
  </si>
  <si>
    <t>005-00000071</t>
  </si>
  <si>
    <t>005-00000054</t>
  </si>
  <si>
    <t>AMR-639</t>
  </si>
  <si>
    <t>005-00000068</t>
  </si>
  <si>
    <t>AWY-319</t>
  </si>
  <si>
    <t>GRAND CHEROKE</t>
  </si>
  <si>
    <t>005-00000050</t>
  </si>
  <si>
    <t>AMJ-333</t>
  </si>
  <si>
    <t>005-00000073</t>
  </si>
  <si>
    <t>BCZ-165</t>
  </si>
  <si>
    <t>005-00000085</t>
  </si>
  <si>
    <t>BDS-657</t>
  </si>
  <si>
    <t>005-00000048</t>
  </si>
  <si>
    <t>AKZ-422</t>
  </si>
  <si>
    <t>005-00000051</t>
  </si>
  <si>
    <t>ANZ-637</t>
  </si>
  <si>
    <t>005-00000079</t>
  </si>
  <si>
    <t>AWG-333</t>
  </si>
  <si>
    <t>005-00000046</t>
  </si>
  <si>
    <t>BEV-036</t>
  </si>
  <si>
    <t>005-00000087</t>
  </si>
  <si>
    <t>AYW-424</t>
  </si>
  <si>
    <t>005-00000090</t>
  </si>
  <si>
    <t>ARI-452</t>
  </si>
  <si>
    <t>005-00000055</t>
  </si>
  <si>
    <t>AEM-292</t>
  </si>
  <si>
    <t>005-00000078</t>
  </si>
  <si>
    <t>AJB-285</t>
  </si>
  <si>
    <t xml:space="preserve">MAZDA 3 </t>
  </si>
  <si>
    <t>005-00000092</t>
  </si>
  <si>
    <t>BDM-636</t>
  </si>
  <si>
    <t>005-00000089</t>
  </si>
  <si>
    <t>APB-579</t>
  </si>
  <si>
    <t>005-00000080</t>
  </si>
  <si>
    <t>AFC-362</t>
  </si>
  <si>
    <t>MAZDA 6</t>
  </si>
  <si>
    <t>005-00000088</t>
  </si>
  <si>
    <t>005-00000084</t>
  </si>
  <si>
    <t>BAF-310</t>
  </si>
  <si>
    <t>005-00000081</t>
  </si>
  <si>
    <t>ACZ-120</t>
  </si>
  <si>
    <t>005-00000091</t>
  </si>
  <si>
    <t>F2B-530</t>
  </si>
  <si>
    <t>005-00000052</t>
  </si>
  <si>
    <t>F5O-086</t>
  </si>
  <si>
    <t>005-00000047</t>
  </si>
  <si>
    <t>AXC-049</t>
  </si>
  <si>
    <t>005-00000102</t>
  </si>
  <si>
    <t>C4A-237</t>
  </si>
  <si>
    <t>005-00000103</t>
  </si>
  <si>
    <t>005-00000086</t>
  </si>
  <si>
    <t>APW-245</t>
  </si>
  <si>
    <t>005-00000075</t>
  </si>
  <si>
    <t>ACT-191</t>
  </si>
  <si>
    <t>005-00000100</t>
  </si>
  <si>
    <t>BKX-624</t>
  </si>
  <si>
    <t>005-00000119</t>
  </si>
  <si>
    <t>BKS-073</t>
  </si>
  <si>
    <t>005-00000120</t>
  </si>
  <si>
    <t>AFS-436</t>
  </si>
  <si>
    <t>005-00000110</t>
  </si>
  <si>
    <t>005-00000098</t>
  </si>
  <si>
    <t>A1M-006</t>
  </si>
  <si>
    <t>MINI</t>
  </si>
  <si>
    <t>COOPER</t>
  </si>
  <si>
    <t>005-00000122</t>
  </si>
  <si>
    <t>D2E-026</t>
  </si>
  <si>
    <t>005-00000113</t>
  </si>
  <si>
    <t>BEJ-174</t>
  </si>
  <si>
    <t>005-00000111</t>
  </si>
  <si>
    <t>ARV-341</t>
  </si>
  <si>
    <t>BEN484</t>
  </si>
  <si>
    <t>AZY713</t>
  </si>
  <si>
    <t>ATZ549</t>
  </si>
  <si>
    <t>F2B530</t>
  </si>
  <si>
    <t>C4A237</t>
  </si>
  <si>
    <t>ARP079</t>
  </si>
  <si>
    <t>AWG565</t>
  </si>
  <si>
    <t>AHV326</t>
  </si>
  <si>
    <t>REPARAR TUBO DE ESCAPE</t>
  </si>
  <si>
    <t>F5B699</t>
  </si>
  <si>
    <t xml:space="preserve">LIQUIDO DE FRENO-FAJA </t>
  </si>
  <si>
    <t>BOCINA</t>
  </si>
  <si>
    <t>ASW540</t>
  </si>
  <si>
    <t>TAPIZADO ASIENTO</t>
  </si>
  <si>
    <t>AJF554</t>
  </si>
  <si>
    <t>BBH363</t>
  </si>
  <si>
    <t>P2Y146</t>
  </si>
  <si>
    <t>RECTIFICADO DISCOS Y TAMBORES</t>
  </si>
  <si>
    <t>BEQ226</t>
  </si>
  <si>
    <t>ARV341</t>
  </si>
  <si>
    <t>A1M006</t>
  </si>
  <si>
    <t>005-00000095</t>
  </si>
  <si>
    <t>ASK213</t>
  </si>
  <si>
    <t>CAMBIO DE RODAJE</t>
  </si>
  <si>
    <t>REPARACION CREMALLERA</t>
  </si>
  <si>
    <t>FAJA ACANALADA</t>
  </si>
  <si>
    <t>BHA218</t>
  </si>
  <si>
    <t>AUK009</t>
  </si>
  <si>
    <t>ATK580</t>
  </si>
  <si>
    <t>SERV EMBOCINADO</t>
  </si>
  <si>
    <t>SERV ENLLANTADO</t>
  </si>
  <si>
    <t>005-00000109</t>
  </si>
  <si>
    <t>F6Q533</t>
  </si>
  <si>
    <t>005-00000105</t>
  </si>
  <si>
    <t>AZF323</t>
  </si>
  <si>
    <t>BDS657</t>
  </si>
  <si>
    <t>AMD263</t>
  </si>
  <si>
    <t>CARCGA DE A/C</t>
  </si>
  <si>
    <t>BEV036</t>
  </si>
  <si>
    <t>RECTIFICADO DE DISCOS Y TAMBORES</t>
  </si>
  <si>
    <t>AMJ333</t>
  </si>
  <si>
    <t>REPARACION CREMALLERA-PULIDO EJE</t>
  </si>
  <si>
    <t>RECTIFICADO VOLANTE</t>
  </si>
  <si>
    <t>SERVICIO EMBOCINADO</t>
  </si>
  <si>
    <t>ANZ637</t>
  </si>
  <si>
    <t>AYM428</t>
  </si>
  <si>
    <t>SERV ALINEAMIENTO DIRECCION</t>
  </si>
  <si>
    <t>SERV CAMBIO DE RODAJES</t>
  </si>
  <si>
    <t>D9K336</t>
  </si>
  <si>
    <t>GASOLINA</t>
  </si>
  <si>
    <t>AEM292</t>
  </si>
  <si>
    <t>001-0676</t>
  </si>
  <si>
    <t xml:space="preserve">SERV ENLLANTE Y DESENLLANTE </t>
  </si>
  <si>
    <t>F001-67740</t>
  </si>
  <si>
    <t>AKB038</t>
  </si>
  <si>
    <t>FE03</t>
  </si>
  <si>
    <t>FE03-0725</t>
  </si>
  <si>
    <t>RODILLO TENSOR</t>
  </si>
  <si>
    <t>F002-1253</t>
  </si>
  <si>
    <t>F004-33200</t>
  </si>
  <si>
    <t>AMR639</t>
  </si>
  <si>
    <t>F001-1920</t>
  </si>
  <si>
    <t>APA238</t>
  </si>
  <si>
    <t>001-0673</t>
  </si>
  <si>
    <t>SERV ALINEAMIENTO SOLDAR TUBO ESCAPE</t>
  </si>
  <si>
    <t>001-0675</t>
  </si>
  <si>
    <t xml:space="preserve">SERV ALINEAMIENTO </t>
  </si>
  <si>
    <t>AWG333</t>
  </si>
  <si>
    <t>003-3352</t>
  </si>
  <si>
    <t>TERMINALES</t>
  </si>
  <si>
    <t>AFS436</t>
  </si>
  <si>
    <t>003-3353</t>
  </si>
  <si>
    <t>001-0681</t>
  </si>
  <si>
    <t>SERV CORRECCION EJES</t>
  </si>
  <si>
    <t>FE01</t>
  </si>
  <si>
    <t>FE01-1857</t>
  </si>
  <si>
    <t>TRAPECIO</t>
  </si>
  <si>
    <t>F002-2768</t>
  </si>
  <si>
    <t>AXC049</t>
  </si>
  <si>
    <t>001-1630</t>
  </si>
  <si>
    <t>BATERIAS</t>
  </si>
  <si>
    <t>ARI452</t>
  </si>
  <si>
    <t>001-11238</t>
  </si>
  <si>
    <t>SERV RECTIFICADO VOLANTE</t>
  </si>
  <si>
    <t>E001-0563</t>
  </si>
  <si>
    <t xml:space="preserve">VALVULAS </t>
  </si>
  <si>
    <t>F001-1276</t>
  </si>
  <si>
    <t>SERV RECTIFICADO DISCOS/TAMBORES</t>
  </si>
  <si>
    <t>F001-67841</t>
  </si>
  <si>
    <t>F001-67625</t>
  </si>
  <si>
    <t>F001-67623</t>
  </si>
  <si>
    <t>F002-49115</t>
  </si>
  <si>
    <t>F001-68055</t>
  </si>
  <si>
    <t>F001-68052</t>
  </si>
  <si>
    <t>001-1636</t>
  </si>
  <si>
    <t>FE01-1915</t>
  </si>
  <si>
    <t>POLEA,BOMBIN</t>
  </si>
  <si>
    <t>APB579</t>
  </si>
  <si>
    <t>FE01-1911</t>
  </si>
  <si>
    <t>POLEA,BOMBIN,ZAPATA,FILTRO,FAJA</t>
  </si>
  <si>
    <t>A5O086</t>
  </si>
  <si>
    <t>FAJA ACCESORIO</t>
  </si>
  <si>
    <t>FAJA MULTIPLA</t>
  </si>
  <si>
    <t>005-00000107</t>
  </si>
  <si>
    <t>AHV171</t>
  </si>
  <si>
    <t>AMORTIGUADOR POST</t>
  </si>
  <si>
    <t>005-00000152</t>
  </si>
  <si>
    <t>AMZ619</t>
  </si>
  <si>
    <t>005-00000167</t>
  </si>
  <si>
    <t>AVA610</t>
  </si>
  <si>
    <t>005-00000108</t>
  </si>
  <si>
    <t>ADG324</t>
  </si>
  <si>
    <t>005-00000106</t>
  </si>
  <si>
    <t>D2X491</t>
  </si>
  <si>
    <t>005-00000165</t>
  </si>
  <si>
    <t>AZQ074</t>
  </si>
  <si>
    <t>BOMBA DE COMBUSTIBLE</t>
  </si>
  <si>
    <t>005-00000440</t>
  </si>
  <si>
    <t>C4W101</t>
  </si>
  <si>
    <t>PARABRISA DELT</t>
  </si>
  <si>
    <t>GUIA DE FUNDA LH</t>
  </si>
  <si>
    <t>32000445</t>
  </si>
  <si>
    <t>LLANTA 175/65R 14</t>
  </si>
  <si>
    <t>32FL1011</t>
  </si>
  <si>
    <t>FILTRO DE ACEITE PUROLATOR RACER</t>
  </si>
  <si>
    <t>32SMAFK0</t>
  </si>
  <si>
    <t>FILTRO DE AIRE CHEVROLET SAIL/KIA CARENS/LOTSE</t>
  </si>
  <si>
    <t>3500627</t>
  </si>
  <si>
    <t>LIQUIDO DE FRENO VISTONY</t>
  </si>
  <si>
    <t>35021624</t>
  </si>
  <si>
    <t>ACEITE GULF MAX SAE 10W-30 X GALON</t>
  </si>
  <si>
    <t>3200774</t>
  </si>
  <si>
    <t>FAJA  ACCESORIO</t>
  </si>
  <si>
    <t>3200845</t>
  </si>
  <si>
    <t>LLANTA 175/70R 14</t>
  </si>
  <si>
    <t>32LKRED10E</t>
  </si>
  <si>
    <t>32FL14459</t>
  </si>
  <si>
    <t>FILTRO DE ACEITE 26300-21A00</t>
  </si>
  <si>
    <t>321960</t>
  </si>
  <si>
    <t>32060595</t>
  </si>
  <si>
    <t>JGO DE TAPA DE RUEDA 14</t>
  </si>
  <si>
    <t>32SAFL57</t>
  </si>
  <si>
    <t>FILTRO DE AIRE CHV</t>
  </si>
  <si>
    <t>350216244</t>
  </si>
  <si>
    <t>ACEITE GULF MAX X SAE 10W- 30 X 1/4</t>
  </si>
  <si>
    <t>3200791</t>
  </si>
  <si>
    <t>OBTURADOR</t>
  </si>
  <si>
    <t>3200792</t>
  </si>
  <si>
    <t>3200793</t>
  </si>
  <si>
    <t>FUSIBLES DE 15 AMP</t>
  </si>
  <si>
    <t>32FL515</t>
  </si>
  <si>
    <t>FILTRO DE ACEITE FILTECH</t>
  </si>
  <si>
    <t>3200794</t>
  </si>
  <si>
    <t>BATERIA ETNA SD-13 PRO GD23 A1 12VC</t>
  </si>
  <si>
    <t>3200795</t>
  </si>
  <si>
    <t>BATERIA ETNA FF-11 PRO GN40 A3 12VC</t>
  </si>
  <si>
    <t>3200804</t>
  </si>
  <si>
    <t>KIT DE EMBRAGUE CHEVROLTE</t>
  </si>
  <si>
    <t>3200800</t>
  </si>
  <si>
    <t>PASTILLAS DELT SAIL. 2015</t>
  </si>
  <si>
    <t>3200801</t>
  </si>
  <si>
    <t>JGO ZAPATAS SAIL</t>
  </si>
  <si>
    <t>3200808</t>
  </si>
  <si>
    <t>GUIA DE FUNDA POST RH</t>
  </si>
  <si>
    <t>3200809</t>
  </si>
  <si>
    <t>GUIA DE FUNDA POST LH</t>
  </si>
  <si>
    <t>32SAFQ54</t>
  </si>
  <si>
    <t>FILTRO DE AIRE 28113-1R000</t>
  </si>
  <si>
    <t>3200776</t>
  </si>
  <si>
    <t>TERMINAL DE BARRA ESTAB</t>
  </si>
  <si>
    <t>3200798</t>
  </si>
  <si>
    <t>FAJA MULTIPLE ALT</t>
  </si>
  <si>
    <t>3200803</t>
  </si>
  <si>
    <t>JGO ZAPATAS HYUNDAI/KIA</t>
  </si>
  <si>
    <t>3200807</t>
  </si>
  <si>
    <t>JGO. ZAPATAS KIA RIO</t>
  </si>
  <si>
    <t>3200813</t>
  </si>
  <si>
    <t>3200814</t>
  </si>
  <si>
    <t>BATERIA CAPSA 13 WI</t>
  </si>
  <si>
    <t>3200817</t>
  </si>
  <si>
    <t>ACCESORIO DE VALVULA DOSIFICADA</t>
  </si>
  <si>
    <t>3200818</t>
  </si>
  <si>
    <t>PASTILLAS DE FRENO DELT NISSAN</t>
  </si>
  <si>
    <t>3200819</t>
  </si>
  <si>
    <t>JGO. ZAPATAS DE FRENO POST NISSAN</t>
  </si>
  <si>
    <t>3200820</t>
  </si>
  <si>
    <t>CONCENTRADOR DE VENTILADOR</t>
  </si>
  <si>
    <t>3200821</t>
  </si>
  <si>
    <t>KIT DE EMBRAGUE ALT</t>
  </si>
  <si>
    <t>3200822</t>
  </si>
  <si>
    <t>PASTILLAS DELT HYUNDAI</t>
  </si>
  <si>
    <t>3200823</t>
  </si>
  <si>
    <t>JGO ZAPATAS DE FRENO POST HYUNDAI</t>
  </si>
  <si>
    <t>3200824</t>
  </si>
  <si>
    <t>3200825</t>
  </si>
  <si>
    <t>BOMBINES DE FRENO POST</t>
  </si>
  <si>
    <t>3200826</t>
  </si>
  <si>
    <t>KIT DE EMBRAGUE ACCENT</t>
  </si>
  <si>
    <t>3200827</t>
  </si>
  <si>
    <t>FARITO DIRECCIONAL DE GDFGO</t>
  </si>
  <si>
    <t>3200828</t>
  </si>
  <si>
    <t>LAMELUNA DE PUERTA POST</t>
  </si>
  <si>
    <t>3200829</t>
  </si>
  <si>
    <t>FILTRO DE ACEITE (ORG)</t>
  </si>
  <si>
    <t>3200831</t>
  </si>
  <si>
    <t>AMORTIGUADOR POST CHV.</t>
  </si>
  <si>
    <t>3500034</t>
  </si>
  <si>
    <t>ACEITE DE MOTOR (ORG)</t>
  </si>
  <si>
    <t>3200811</t>
  </si>
  <si>
    <t>LLANTA 185/65/R14</t>
  </si>
  <si>
    <t>3200802</t>
  </si>
  <si>
    <t>PASTILLAS HYUNDAI/KIA</t>
  </si>
  <si>
    <t>3200810</t>
  </si>
  <si>
    <t>LLANTA 185/70/R14</t>
  </si>
  <si>
    <t>3200815</t>
  </si>
  <si>
    <t>LLANTA 185/65/R15</t>
  </si>
  <si>
    <t>3200816</t>
  </si>
  <si>
    <t>LUNA DE PTA FR</t>
  </si>
  <si>
    <t>3200799</t>
  </si>
  <si>
    <t>FAJA MULTIPLE BANDO</t>
  </si>
  <si>
    <t>3200806</t>
  </si>
  <si>
    <t>PASTILLAS KIA RIO</t>
  </si>
  <si>
    <t>3200812</t>
  </si>
  <si>
    <t>LLANTA 165/60/R14</t>
  </si>
  <si>
    <t>3200796</t>
  </si>
  <si>
    <t>FOCO LAGRIMON 12V AMBAR</t>
  </si>
  <si>
    <t>20602003346</t>
  </si>
  <si>
    <t>FAST ENGENHARIA E MONTAGENS SA</t>
  </si>
  <si>
    <t>10704454738</t>
  </si>
  <si>
    <t>PACHECO PALOMINO RICARDO ALONSO</t>
  </si>
  <si>
    <t>AMPLIACION DE RESPUESTOS</t>
  </si>
  <si>
    <t>AMPLIACION PRESUPUESTO</t>
  </si>
  <si>
    <t>AHK141</t>
  </si>
  <si>
    <t>D9C481</t>
  </si>
  <si>
    <t>20602194982</t>
  </si>
  <si>
    <t>DIGITAL CONSULTING S.A.C.</t>
  </si>
  <si>
    <t>B4S030</t>
  </si>
  <si>
    <t>C7U194</t>
  </si>
  <si>
    <t>F0Z446</t>
  </si>
  <si>
    <t>ANX091</t>
  </si>
  <si>
    <t>20547583168</t>
  </si>
  <si>
    <t>AUTOCLASS S.A.C.</t>
  </si>
  <si>
    <t>ANE445</t>
  </si>
  <si>
    <t>AHY439</t>
  </si>
  <si>
    <t>ASN143</t>
  </si>
  <si>
    <t>20100166578</t>
  </si>
  <si>
    <t>AGRIBRANDS PURINA PERU S.A</t>
  </si>
  <si>
    <t>005-00000060</t>
  </si>
  <si>
    <t>BDI580</t>
  </si>
  <si>
    <t>BMA272</t>
  </si>
  <si>
    <t>AMPLIACION DE REPUESTO</t>
  </si>
  <si>
    <t>AMPLIACION RESPUESTOS</t>
  </si>
  <si>
    <t>AWL231</t>
  </si>
  <si>
    <t>ATH340</t>
  </si>
  <si>
    <t>BCZ165</t>
  </si>
  <si>
    <t>20513366826</t>
  </si>
  <si>
    <t>CORE MINERALS PERU S.A</t>
  </si>
  <si>
    <t>BLA251</t>
  </si>
  <si>
    <t>BAF310</t>
  </si>
  <si>
    <t>C3A441</t>
  </si>
  <si>
    <t>AYW424</t>
  </si>
  <si>
    <t>BDM636</t>
  </si>
  <si>
    <t>ACZ120</t>
  </si>
  <si>
    <t>AJB285</t>
  </si>
  <si>
    <t>AWY319</t>
  </si>
  <si>
    <t>AFC361</t>
  </si>
  <si>
    <t>10223085</t>
  </si>
  <si>
    <t>JOSE ANTONIO MENENDEZ FERNANDEZ</t>
  </si>
  <si>
    <t>B3A304</t>
  </si>
  <si>
    <t>02863720</t>
  </si>
  <si>
    <t>RIVERA AGUILAR JULIO</t>
  </si>
  <si>
    <t>43287821</t>
  </si>
  <si>
    <t>ROBLES MANRIQUE RAUL</t>
  </si>
  <si>
    <t>BLJ074</t>
  </si>
  <si>
    <t>73137143</t>
  </si>
  <si>
    <t>LONDOÑO LOPEZ JHAIR</t>
  </si>
  <si>
    <t>21464988</t>
  </si>
  <si>
    <t>MAGALLI DEL PILAR ESCARCENA SILVA</t>
  </si>
  <si>
    <t>42443348</t>
  </si>
  <si>
    <t>GAITAN PEREDA CESAR AUGUSTO</t>
  </si>
  <si>
    <t>005-00000074</t>
  </si>
  <si>
    <t>BKP389</t>
  </si>
  <si>
    <t>001890822</t>
  </si>
  <si>
    <t>MILAN TRUGILLO FELIX</t>
  </si>
  <si>
    <t>07848534</t>
  </si>
  <si>
    <t>VIALE BORDO JAVIER ALFONSO</t>
  </si>
  <si>
    <t>F5C188</t>
  </si>
  <si>
    <t>42373249</t>
  </si>
  <si>
    <t>BURGA VELASCO DIEGO ADRIAN</t>
  </si>
  <si>
    <t>72936956</t>
  </si>
  <si>
    <t>VIDANTE CHINCHAY JOAO MARTIN</t>
  </si>
  <si>
    <t>08774730</t>
  </si>
  <si>
    <t>MANLIO BASSINO PINASCO</t>
  </si>
  <si>
    <t>72693010</t>
  </si>
  <si>
    <t>GARCIA VENTO KEVIN URIEL</t>
  </si>
  <si>
    <t>25769411</t>
  </si>
  <si>
    <t>MONCADA PIEDRA EDUARDO</t>
  </si>
  <si>
    <t>005-00000083</t>
  </si>
  <si>
    <t>46229017</t>
  </si>
  <si>
    <t>NUÑEZ VALENCIA JONATHAN ALEXANDER</t>
  </si>
  <si>
    <t>BKS073</t>
  </si>
  <si>
    <t>71195912</t>
  </si>
  <si>
    <t>CANAZA SANCHEZ VICTOR HORACIO</t>
  </si>
  <si>
    <t>42634060</t>
  </si>
  <si>
    <t>HUAURA MERE MIGUEL HUMBERTO</t>
  </si>
  <si>
    <t>D2E026</t>
  </si>
  <si>
    <t>08738826</t>
  </si>
  <si>
    <t>DE LA CRUZ PESCORAN ADA VERONICA</t>
  </si>
  <si>
    <t>48314625</t>
  </si>
  <si>
    <t>DIAZ DUCANTO FIGUEROA SEBASTIAN</t>
  </si>
  <si>
    <t>ABO00000002</t>
  </si>
  <si>
    <t>CAR00000001</t>
  </si>
  <si>
    <t>Octubre</t>
  </si>
  <si>
    <t>Acceso (S/)</t>
  </si>
  <si>
    <t># de Registros</t>
  </si>
  <si>
    <t>OT_Unicas</t>
  </si>
  <si>
    <t>AKZ422</t>
  </si>
  <si>
    <t>REPARACIONES PLASTICAS</t>
  </si>
  <si>
    <t>005-00000118</t>
  </si>
  <si>
    <t>ANE312</t>
  </si>
  <si>
    <t>APW245</t>
  </si>
  <si>
    <t>005-00000115</t>
  </si>
  <si>
    <t>AWV260</t>
  </si>
  <si>
    <t>BEJ174</t>
  </si>
  <si>
    <t>F5O086</t>
  </si>
  <si>
    <t>Cliente:</t>
  </si>
  <si>
    <t>Terceros</t>
  </si>
  <si>
    <t>Repuestos</t>
  </si>
  <si>
    <t>Monto Fact</t>
  </si>
  <si>
    <t>Gastos</t>
  </si>
  <si>
    <t>Marge Bruto</t>
  </si>
  <si>
    <t>Tip_Serv</t>
  </si>
  <si>
    <t>Año:</t>
  </si>
  <si>
    <t>Mes:</t>
  </si>
  <si>
    <t>005-00000132</t>
  </si>
  <si>
    <t>AWQ505</t>
  </si>
  <si>
    <t>CARGA DE A/C</t>
  </si>
  <si>
    <t>MANDIL DE GDFG DELT RH</t>
  </si>
  <si>
    <t>005-00000166</t>
  </si>
  <si>
    <t>ANB605</t>
  </si>
  <si>
    <t>FARO LH</t>
  </si>
  <si>
    <t>005-00000151</t>
  </si>
  <si>
    <t>AMD392</t>
  </si>
  <si>
    <t>FUNDA DELT</t>
  </si>
  <si>
    <t>PLUMILLA DELT</t>
  </si>
  <si>
    <t>005-00000163</t>
  </si>
  <si>
    <t>F2I424</t>
  </si>
  <si>
    <t>005-00000174</t>
  </si>
  <si>
    <t>A2Q372</t>
  </si>
  <si>
    <t>005-00000154</t>
  </si>
  <si>
    <t>Acceso</t>
  </si>
  <si>
    <t>AWV-260</t>
  </si>
  <si>
    <t>CX9</t>
  </si>
  <si>
    <t>005-00000072</t>
  </si>
  <si>
    <t>AXJ-309</t>
  </si>
  <si>
    <t>ASK-203</t>
  </si>
  <si>
    <t>005-00000123</t>
  </si>
  <si>
    <t>AXX-712</t>
  </si>
  <si>
    <t>N300</t>
  </si>
  <si>
    <t>ANE-312</t>
  </si>
  <si>
    <t>C4W-101</t>
  </si>
  <si>
    <t>CRUZE</t>
  </si>
  <si>
    <t>AWQ-505</t>
  </si>
  <si>
    <t>005-00000116</t>
  </si>
  <si>
    <t>ATF-409</t>
  </si>
  <si>
    <t>BWM</t>
  </si>
  <si>
    <t>520I</t>
  </si>
  <si>
    <t>005-00000146</t>
  </si>
  <si>
    <t>BKP-647</t>
  </si>
  <si>
    <t>AVANZA</t>
  </si>
  <si>
    <t>AMD-392</t>
  </si>
  <si>
    <t>si</t>
  </si>
  <si>
    <t>F6Q-533</t>
  </si>
  <si>
    <t>AZF-323</t>
  </si>
  <si>
    <t>005-00000155</t>
  </si>
  <si>
    <t>005-00000130</t>
  </si>
  <si>
    <t>005-00000157</t>
  </si>
  <si>
    <t>F6N-413</t>
  </si>
  <si>
    <t>BYD</t>
  </si>
  <si>
    <t>005-00000126</t>
  </si>
  <si>
    <t>ATF-661</t>
  </si>
  <si>
    <t>005-00000135</t>
  </si>
  <si>
    <t>005-00000136</t>
  </si>
  <si>
    <t>B2F-352</t>
  </si>
  <si>
    <t>TIGUAN</t>
  </si>
  <si>
    <t>005-00000137</t>
  </si>
  <si>
    <t>AXA-172</t>
  </si>
  <si>
    <t>TRAVERSE</t>
  </si>
  <si>
    <t>005-00000159</t>
  </si>
  <si>
    <t>005-00000164</t>
  </si>
  <si>
    <t>F1P-230</t>
  </si>
  <si>
    <t>F2I-424</t>
  </si>
  <si>
    <t>F3</t>
  </si>
  <si>
    <t>005-00000162</t>
  </si>
  <si>
    <t>F0S-053</t>
  </si>
  <si>
    <t>AZQ-053</t>
  </si>
  <si>
    <t>ANB-605</t>
  </si>
  <si>
    <t>AHV-171</t>
  </si>
  <si>
    <t>D2X-491</t>
  </si>
  <si>
    <t>005-00000148</t>
  </si>
  <si>
    <t>APU-227</t>
  </si>
  <si>
    <t>I20</t>
  </si>
  <si>
    <t>005-00000145</t>
  </si>
  <si>
    <t>BCP-022</t>
  </si>
  <si>
    <t>CRV</t>
  </si>
  <si>
    <t>POSITIVA</t>
  </si>
  <si>
    <t>B5O-086</t>
  </si>
  <si>
    <t>005-00000144</t>
  </si>
  <si>
    <t>AXC-070</t>
  </si>
  <si>
    <t>KICKS</t>
  </si>
  <si>
    <t>005-00000161</t>
  </si>
  <si>
    <t>AVA-610</t>
  </si>
  <si>
    <t>ADG-324</t>
  </si>
  <si>
    <t>005-00000168</t>
  </si>
  <si>
    <t>005-00000160</t>
  </si>
  <si>
    <t>AHQ-605</t>
  </si>
  <si>
    <t>EXPLORER</t>
  </si>
  <si>
    <t>005-00000150</t>
  </si>
  <si>
    <t>B8U-602</t>
  </si>
  <si>
    <t>FORESTER</t>
  </si>
  <si>
    <t>005-00000170</t>
  </si>
  <si>
    <t>005-00000128</t>
  </si>
  <si>
    <t>AXV-440</t>
  </si>
  <si>
    <t>CX5</t>
  </si>
  <si>
    <t>005-00000141</t>
  </si>
  <si>
    <t>AJV-347</t>
  </si>
  <si>
    <t>MERCEDEZ EBNZ</t>
  </si>
  <si>
    <t>E500</t>
  </si>
  <si>
    <t>005-00000153</t>
  </si>
  <si>
    <t>AXN-474</t>
  </si>
  <si>
    <t>005-00000125</t>
  </si>
  <si>
    <t>AKY-655</t>
  </si>
  <si>
    <t>005-00000156</t>
  </si>
  <si>
    <t>BKQ-223</t>
  </si>
  <si>
    <t>005-00000139</t>
  </si>
  <si>
    <t>ATT-292</t>
  </si>
  <si>
    <t>005-00000172</t>
  </si>
  <si>
    <t>005-00000173</t>
  </si>
  <si>
    <t>005-00000171</t>
  </si>
  <si>
    <t>C3K-443</t>
  </si>
  <si>
    <t>005-00000099</t>
  </si>
  <si>
    <t>BLO-680</t>
  </si>
  <si>
    <t>RUSH</t>
  </si>
  <si>
    <t>005-00000189</t>
  </si>
  <si>
    <t>005-00000169</t>
  </si>
  <si>
    <t>BBE-558</t>
  </si>
  <si>
    <t>A2Q-372</t>
  </si>
  <si>
    <t>005-00000175</t>
  </si>
  <si>
    <t>BFH-354</t>
  </si>
  <si>
    <t>005-00000176</t>
  </si>
  <si>
    <t>APE-333</t>
  </si>
  <si>
    <t>005-00000178</t>
  </si>
  <si>
    <t>D9V-073</t>
  </si>
  <si>
    <t>005-00000059</t>
  </si>
  <si>
    <t>005-00000117</t>
  </si>
  <si>
    <t>BFM-214</t>
  </si>
  <si>
    <t>CHEROKEE</t>
  </si>
  <si>
    <t>AHC-399</t>
  </si>
  <si>
    <t>005-00000035</t>
  </si>
  <si>
    <t>BEQ-190</t>
  </si>
  <si>
    <t>005-00000188</t>
  </si>
  <si>
    <t>AJJ-599</t>
  </si>
  <si>
    <t>005-00000190</t>
  </si>
  <si>
    <t>AVV-131</t>
  </si>
  <si>
    <t>005-00000186</t>
  </si>
  <si>
    <t>F9A-025</t>
  </si>
  <si>
    <t>005-00000193</t>
  </si>
  <si>
    <t>ARN-470</t>
  </si>
  <si>
    <t>005-00000194</t>
  </si>
  <si>
    <t>AUN-101</t>
  </si>
  <si>
    <t>005-00000195</t>
  </si>
  <si>
    <t>AYE-380</t>
  </si>
  <si>
    <t>005-00000056</t>
  </si>
  <si>
    <t>AKY-377</t>
  </si>
  <si>
    <t>005-00000196</t>
  </si>
  <si>
    <t>F0B-164</t>
  </si>
  <si>
    <t>005-00000180</t>
  </si>
  <si>
    <t>BED-593</t>
  </si>
  <si>
    <t>005-00000197</t>
  </si>
  <si>
    <t>F4T-034</t>
  </si>
  <si>
    <t>005-00000198</t>
  </si>
  <si>
    <t>F7Y-120</t>
  </si>
  <si>
    <t>005-00000179</t>
  </si>
  <si>
    <t>ADY-124</t>
  </si>
  <si>
    <t>X-TRAIL</t>
  </si>
  <si>
    <t>005-00000201</t>
  </si>
  <si>
    <t>D9T-310</t>
  </si>
  <si>
    <t>005-00000202</t>
  </si>
  <si>
    <t>AYW-081</t>
  </si>
  <si>
    <t>005-00000203</t>
  </si>
  <si>
    <t>ARM-473</t>
  </si>
  <si>
    <t>005-00000032</t>
  </si>
  <si>
    <t>AFS-362</t>
  </si>
  <si>
    <t>MAZDA5</t>
  </si>
  <si>
    <t>005-00000207</t>
  </si>
  <si>
    <t>F6K-132</t>
  </si>
  <si>
    <t>SORENTO</t>
  </si>
  <si>
    <t>005-00000181</t>
  </si>
  <si>
    <t>AYQ-451</t>
  </si>
  <si>
    <t>005-00000192</t>
  </si>
  <si>
    <t>BBQ-678</t>
  </si>
  <si>
    <t>005-00000199</t>
  </si>
  <si>
    <t>C4R-002</t>
  </si>
  <si>
    <t>005-00000210</t>
  </si>
  <si>
    <t>005-00000158</t>
  </si>
  <si>
    <t>ROO-885</t>
  </si>
  <si>
    <t>GRANDCHEROKE</t>
  </si>
  <si>
    <t>005-00000208</t>
  </si>
  <si>
    <t>BDU-537</t>
  </si>
  <si>
    <t>005-00000211</t>
  </si>
  <si>
    <t>BDG-262</t>
  </si>
  <si>
    <t>005-00000213</t>
  </si>
  <si>
    <t>005-00000214</t>
  </si>
  <si>
    <t>AND-446</t>
  </si>
  <si>
    <t>005-00000220</t>
  </si>
  <si>
    <t>005-00000036</t>
  </si>
  <si>
    <t>BFW224</t>
  </si>
  <si>
    <t>D/M PARABRISA</t>
  </si>
  <si>
    <t>RECTIFICADO DE VOLANTE</t>
  </si>
  <si>
    <t>FORRO DE PALANCA</t>
  </si>
  <si>
    <t>FORRO DE PALANCA TAPIZADO ASIENTO</t>
  </si>
  <si>
    <t>D9V073</t>
  </si>
  <si>
    <t>TAPIZADO DE ASIENTOS</t>
  </si>
  <si>
    <t>BBE558</t>
  </si>
  <si>
    <t>AYQ451</t>
  </si>
  <si>
    <t>AVV131</t>
  </si>
  <si>
    <t>DUPLICADO DE LLAVE</t>
  </si>
  <si>
    <t>ALINEAMIENTO Y CAMBER</t>
  </si>
  <si>
    <t>PROGRAMACION DE LLAVE</t>
  </si>
  <si>
    <t>PRENSADO DE RODAJE</t>
  </si>
  <si>
    <t>RECTIFICADO DE TAMBORES</t>
  </si>
  <si>
    <t>RADAJE</t>
  </si>
  <si>
    <t>BOCINAS</t>
  </si>
  <si>
    <t>MANTENIMIENTO DE CREMALLERA</t>
  </si>
  <si>
    <t>ALINEAMIENTO DE DIRECCION</t>
  </si>
  <si>
    <t>BEQ190</t>
  </si>
  <si>
    <t>BED593</t>
  </si>
  <si>
    <t>BIELETA BARRA ESTABILIZADORA</t>
  </si>
  <si>
    <t>AUN101</t>
  </si>
  <si>
    <t>RODAJE POSTERIORES</t>
  </si>
  <si>
    <t>GDFG FR/LH</t>
  </si>
  <si>
    <t>AKY377</t>
  </si>
  <si>
    <t>005-00000191</t>
  </si>
  <si>
    <t>RECTIFICADO DE MOTOR</t>
  </si>
  <si>
    <t>FAJA POWERFLEX</t>
  </si>
  <si>
    <t>REPARACION KIA</t>
  </si>
  <si>
    <t>REPARACION DE CREMALLERA</t>
  </si>
  <si>
    <t>REPARACION DE ALTERNADOR</t>
  </si>
  <si>
    <t>SERVCIO DE PARCHADO</t>
  </si>
  <si>
    <t>CORRECION DE INCLINACION</t>
  </si>
  <si>
    <t>RELAY</t>
  </si>
  <si>
    <t>005-00000187</t>
  </si>
  <si>
    <t>BFC146</t>
  </si>
  <si>
    <t>F0B164</t>
  </si>
  <si>
    <t>AYE380</t>
  </si>
  <si>
    <t>AFS362</t>
  </si>
  <si>
    <t>ARM473</t>
  </si>
  <si>
    <t>REPARACION DE CALIPER</t>
  </si>
  <si>
    <t>3200830</t>
  </si>
  <si>
    <t>VASO DE RUEDA R15</t>
  </si>
  <si>
    <t>3200046</t>
  </si>
  <si>
    <t>35021411</t>
  </si>
  <si>
    <t>ACEITE DE CAJA GULF SAE 80W-90</t>
  </si>
  <si>
    <t>3200108</t>
  </si>
  <si>
    <t>BOMBA DE AGUA</t>
  </si>
  <si>
    <t>3200539</t>
  </si>
  <si>
    <t>TENSOR DE FAJA DE ALTERNADOR</t>
  </si>
  <si>
    <t>3200510</t>
  </si>
  <si>
    <t>TAMBOR POSTERIOR FRENO</t>
  </si>
  <si>
    <t>3200128</t>
  </si>
  <si>
    <t>FILTRO DE ACEITE CHEVROLET</t>
  </si>
  <si>
    <t>3200837</t>
  </si>
  <si>
    <t>CLAXON O BOCINA</t>
  </si>
  <si>
    <t>3200213</t>
  </si>
  <si>
    <t>FOCO LAGRIMA 12V MED.</t>
  </si>
  <si>
    <t>3200832</t>
  </si>
  <si>
    <t>CROMO DE FUNDA FR</t>
  </si>
  <si>
    <t>3200834</t>
  </si>
  <si>
    <t>FUNDA FR</t>
  </si>
  <si>
    <t>3200438</t>
  </si>
  <si>
    <t>FARO DELANTERO LH</t>
  </si>
  <si>
    <t>3200649</t>
  </si>
  <si>
    <t>FARO FR/RH</t>
  </si>
  <si>
    <t>3200833</t>
  </si>
  <si>
    <t>MANDIL DE GDFGO FR/RH</t>
  </si>
  <si>
    <t>3200835</t>
  </si>
  <si>
    <t>MANDIL DE GDFGO FR/LH</t>
  </si>
  <si>
    <t>3200836</t>
  </si>
  <si>
    <t>BOCINA DE RETRO</t>
  </si>
  <si>
    <t>00000123</t>
  </si>
  <si>
    <t>00000154</t>
  </si>
  <si>
    <t>32FL5674</t>
  </si>
  <si>
    <t>FILTRO ELEMENTO ACEITE C/S</t>
  </si>
  <si>
    <t>3200726</t>
  </si>
  <si>
    <t>MANDIL DE GDAFANGO FR/LH C/GRAMPAS</t>
  </si>
  <si>
    <t>00000174</t>
  </si>
  <si>
    <t>32281133X</t>
  </si>
  <si>
    <t>FILTRO AIRE HYUNDAI ELANTRA</t>
  </si>
  <si>
    <t>00000175</t>
  </si>
  <si>
    <t>3200209</t>
  </si>
  <si>
    <t>BUJIAS BOSCH</t>
  </si>
  <si>
    <t>00000176</t>
  </si>
  <si>
    <t>3200064</t>
  </si>
  <si>
    <t>FILTRO DE AIRE VW</t>
  </si>
  <si>
    <t>3200065</t>
  </si>
  <si>
    <t>FILTRO DE ACEITE VW</t>
  </si>
  <si>
    <t>3200805</t>
  </si>
  <si>
    <t>KIT DE EMBRAGUE KIA</t>
  </si>
  <si>
    <t>3200838</t>
  </si>
  <si>
    <t>LLANTA 185/60R15</t>
  </si>
  <si>
    <t>3200420</t>
  </si>
  <si>
    <t>LLANTA NEXEN 195/60/R15</t>
  </si>
  <si>
    <t>00000178</t>
  </si>
  <si>
    <t>3200405</t>
  </si>
  <si>
    <t>TERMOSTATO ALT.</t>
  </si>
  <si>
    <t>3200604</t>
  </si>
  <si>
    <t>BOCAMAZA</t>
  </si>
  <si>
    <t>3200563</t>
  </si>
  <si>
    <t>MUÑON FR</t>
  </si>
  <si>
    <t>3200520</t>
  </si>
  <si>
    <t>TRAPECIO SUP. FR/RH</t>
  </si>
  <si>
    <t>3200764</t>
  </si>
  <si>
    <t>LLANTA NUEVA MAXIS</t>
  </si>
  <si>
    <t>3200839</t>
  </si>
  <si>
    <t>BASE SOPORTE DE PUENTE FR/RH</t>
  </si>
  <si>
    <t>00000169</t>
  </si>
  <si>
    <t>3200479</t>
  </si>
  <si>
    <t>CABLE DE EMBRAGUE</t>
  </si>
  <si>
    <t>3200840</t>
  </si>
  <si>
    <t>PONCHO DE CREMALLERA</t>
  </si>
  <si>
    <t>3200231</t>
  </si>
  <si>
    <t>TAPA DE RESERVORIO</t>
  </si>
  <si>
    <t>00000185</t>
  </si>
  <si>
    <t>3200369</t>
  </si>
  <si>
    <t>MASCARA DELANTERA</t>
  </si>
  <si>
    <t>3200324</t>
  </si>
  <si>
    <t>MICA REFLECTIVA RR/RH</t>
  </si>
  <si>
    <t>3200843</t>
  </si>
  <si>
    <t>VARILLA DE CAPOT</t>
  </si>
  <si>
    <t>3200682</t>
  </si>
  <si>
    <t>CABLE CAPOT 1</t>
  </si>
  <si>
    <t>3200609</t>
  </si>
  <si>
    <t>TAPA DE ESPEJO</t>
  </si>
  <si>
    <t>3200699</t>
  </si>
  <si>
    <t>GUARDAFANGO FR/RH</t>
  </si>
  <si>
    <t>00000189</t>
  </si>
  <si>
    <t>3200493</t>
  </si>
  <si>
    <t>RESORTES POSTERIORES</t>
  </si>
  <si>
    <t>00000188</t>
  </si>
  <si>
    <t>00000196</t>
  </si>
  <si>
    <t>00000190</t>
  </si>
  <si>
    <t>3200627</t>
  </si>
  <si>
    <t>PASTILLAS DE FRENO FR Y RR</t>
  </si>
  <si>
    <t>00000198</t>
  </si>
  <si>
    <t>00000195</t>
  </si>
  <si>
    <t>00000194</t>
  </si>
  <si>
    <t>00000197</t>
  </si>
  <si>
    <t>3200841</t>
  </si>
  <si>
    <t>RADIO 1 DIN</t>
  </si>
  <si>
    <t>3200842</t>
  </si>
  <si>
    <t>CONSOLA DE RADIO</t>
  </si>
  <si>
    <t>3200518</t>
  </si>
  <si>
    <t>PARLANTES JBL</t>
  </si>
  <si>
    <t>3200514</t>
  </si>
  <si>
    <t>ESPEJO CON CAMARA</t>
  </si>
  <si>
    <t>00000183</t>
  </si>
  <si>
    <t>3200200</t>
  </si>
  <si>
    <t>FOCO DE UN CONTACTO DE 12V</t>
  </si>
  <si>
    <t>3200264</t>
  </si>
  <si>
    <t>ROTULA DE SUSPENCION (ALT)</t>
  </si>
  <si>
    <t>00000186</t>
  </si>
  <si>
    <t>3200495</t>
  </si>
  <si>
    <t>BIELETAS DELANTERAS</t>
  </si>
  <si>
    <t>3200844</t>
  </si>
  <si>
    <t>PARABRISA FR</t>
  </si>
  <si>
    <t>3200846</t>
  </si>
  <si>
    <t>LLANTA 195/70 R14</t>
  </si>
  <si>
    <t>3200738</t>
  </si>
  <si>
    <t>LLANTA DUNLOP 195/65 R15</t>
  </si>
  <si>
    <t>3200847</t>
  </si>
  <si>
    <t>JGO. DE TUERCAS DE RUEDA</t>
  </si>
  <si>
    <t>3200848</t>
  </si>
  <si>
    <t>PLUMILLA FR</t>
  </si>
  <si>
    <t>3200107</t>
  </si>
  <si>
    <t>FILTRO DE COMBUSTIBLE KIA</t>
  </si>
  <si>
    <t>3200689</t>
  </si>
  <si>
    <t>DISCO DE FRENO FR</t>
  </si>
  <si>
    <t>3200849</t>
  </si>
  <si>
    <t>BOMBA DE GASOLINA</t>
  </si>
  <si>
    <t>3200442</t>
  </si>
  <si>
    <t>MASCARON DELANTERO</t>
  </si>
  <si>
    <t>3200531</t>
  </si>
  <si>
    <t>SPOLIER INF. DE FUNDA RR</t>
  </si>
  <si>
    <t>3200360</t>
  </si>
  <si>
    <t>BOCINAS DE TRAPECIO</t>
  </si>
  <si>
    <t>3200850</t>
  </si>
  <si>
    <t>RETENES DE TAMBOR</t>
  </si>
  <si>
    <t>3200851</t>
  </si>
  <si>
    <t>SEGURO DE ZAPATA</t>
  </si>
  <si>
    <t>3200533</t>
  </si>
  <si>
    <t>CAMISETAS DE BLOCK DE MOTOR</t>
  </si>
  <si>
    <t>00000191</t>
  </si>
  <si>
    <t>3200432</t>
  </si>
  <si>
    <t>TAPON DE AGUA</t>
  </si>
  <si>
    <t>3200103</t>
  </si>
  <si>
    <t>KIT DE DISTRIBUCION</t>
  </si>
  <si>
    <t>3200535</t>
  </si>
  <si>
    <t>BOMBA DE ACEITE</t>
  </si>
  <si>
    <t>3200344</t>
  </si>
  <si>
    <t>GUIAS DE VALVULA</t>
  </si>
  <si>
    <t>3200790</t>
  </si>
  <si>
    <t>VALVULA DE PRESION</t>
  </si>
  <si>
    <t>SET</t>
  </si>
  <si>
    <t>3200347</t>
  </si>
  <si>
    <t>EMPAQUE DE MOTOR</t>
  </si>
  <si>
    <t>3200340</t>
  </si>
  <si>
    <t>PISTONES ESTANDAR</t>
  </si>
  <si>
    <t>3200341</t>
  </si>
  <si>
    <t>ANILLOS DE PÍSTON STD</t>
  </si>
  <si>
    <t>3200337</t>
  </si>
  <si>
    <t>METALES DE BANCADA</t>
  </si>
  <si>
    <t>3200338</t>
  </si>
  <si>
    <t>METALES DE BIELA</t>
  </si>
  <si>
    <t>3200342</t>
  </si>
  <si>
    <t>SEPARADOR DE BANCADA</t>
  </si>
  <si>
    <t>3200571</t>
  </si>
  <si>
    <t>CHAPA DE PUERTA</t>
  </si>
  <si>
    <t>3200852</t>
  </si>
  <si>
    <t>COMPUTADORA ECM</t>
  </si>
  <si>
    <t>3200853</t>
  </si>
  <si>
    <t>RAMAL ELECTRICO</t>
  </si>
  <si>
    <t>3200854</t>
  </si>
  <si>
    <t>ACCESORIOS DE COMPUTADORA ECM</t>
  </si>
  <si>
    <t>3200356</t>
  </si>
  <si>
    <t>FOCO BOMBILLA 12V</t>
  </si>
  <si>
    <t>3200855</t>
  </si>
  <si>
    <t>CABLE DE CAMBIO</t>
  </si>
  <si>
    <t>3200856</t>
  </si>
  <si>
    <t>RODAJE COMPRESOR</t>
  </si>
  <si>
    <t>3200857</t>
  </si>
  <si>
    <t>MANGUERA DE VACIO</t>
  </si>
  <si>
    <t>3200858</t>
  </si>
  <si>
    <t>PONCHO TRICETA</t>
  </si>
  <si>
    <t>3200859</t>
  </si>
  <si>
    <t>CONECTOR DE PUERTA</t>
  </si>
  <si>
    <t>3200542</t>
  </si>
  <si>
    <t>SOPORTE  DE MOTOR  RR</t>
  </si>
  <si>
    <t>3200296</t>
  </si>
  <si>
    <t>CONECTOR DE FOCO</t>
  </si>
  <si>
    <t>3200059</t>
  </si>
  <si>
    <t>BOMBA DE EMBRAGUE</t>
  </si>
  <si>
    <t>3200450</t>
  </si>
  <si>
    <t>BOMBIN DE EMBRAGUE</t>
  </si>
  <si>
    <t>32CA2319</t>
  </si>
  <si>
    <t>FILTRO DE AIRE BYD</t>
  </si>
  <si>
    <t>3200089</t>
  </si>
  <si>
    <t>BUJIAS LZKR6B-10</t>
  </si>
  <si>
    <t>00000220</t>
  </si>
  <si>
    <t>005-00000224</t>
  </si>
  <si>
    <t>D3X162</t>
  </si>
  <si>
    <t>005-00000225</t>
  </si>
  <si>
    <t>B9L447</t>
  </si>
  <si>
    <t>CAMBIO DE AMORTIGUADOR</t>
  </si>
  <si>
    <t>CAMBIO DE ROTULA</t>
  </si>
  <si>
    <t>F7Y120</t>
  </si>
  <si>
    <t>F4T0844</t>
  </si>
  <si>
    <t>SONDEO DE RADIADOR</t>
  </si>
  <si>
    <t>BOCINA DE TRAPECIO</t>
  </si>
  <si>
    <t>00000193</t>
  </si>
  <si>
    <t>00000224</t>
  </si>
  <si>
    <t>32BKR5EY</t>
  </si>
  <si>
    <t>3200173</t>
  </si>
  <si>
    <t>FILTRO DE A/C HONDA</t>
  </si>
  <si>
    <t>00000201</t>
  </si>
  <si>
    <t>00000203</t>
  </si>
  <si>
    <t>00000202</t>
  </si>
  <si>
    <t>3200145</t>
  </si>
  <si>
    <t>BOBINA DE ENCENDIDO HYUNDAI</t>
  </si>
  <si>
    <t>3200860</t>
  </si>
  <si>
    <t>RAMAL DE BOBINAS</t>
  </si>
  <si>
    <t>3200373</t>
  </si>
  <si>
    <t>REFUERZO DELANTERO</t>
  </si>
  <si>
    <t>3200691</t>
  </si>
  <si>
    <t>MOLDURA SUP DE FUNDA FR</t>
  </si>
  <si>
    <t>00000182</t>
  </si>
  <si>
    <t>3200014</t>
  </si>
  <si>
    <t>FARITO DE GUARDAFANGO CHEVROLET SAIL RH</t>
  </si>
  <si>
    <t>3200712</t>
  </si>
  <si>
    <t>MANIJA DE PTA FR</t>
  </si>
  <si>
    <t>3200861</t>
  </si>
  <si>
    <t>MOLDURA DE GDFGO FR</t>
  </si>
  <si>
    <t>3200380</t>
  </si>
  <si>
    <t>CAPOT</t>
  </si>
  <si>
    <t>PLANCHAR</t>
  </si>
  <si>
    <t>MANTENIMIENTO-MECANICA</t>
  </si>
  <si>
    <t>AXA172</t>
  </si>
  <si>
    <t>CARRERA DONDERO JOSE ANTONIO</t>
  </si>
  <si>
    <t>70452108</t>
  </si>
  <si>
    <t>C3K443</t>
  </si>
  <si>
    <t>EMILY VASQUEZ FORNERINO</t>
  </si>
  <si>
    <t>000623019</t>
  </si>
  <si>
    <t>ALBURQUEQUE BENAVIDES LUIS JAVIER</t>
  </si>
  <si>
    <t>43476826</t>
  </si>
  <si>
    <t>APU227</t>
  </si>
  <si>
    <t>SANCHEZ ALVARADO JULIO MOISES</t>
  </si>
  <si>
    <t>16660905</t>
  </si>
  <si>
    <t>005-00000185</t>
  </si>
  <si>
    <t>CABALLERO RAMOS JAIR</t>
  </si>
  <si>
    <t>46776419</t>
  </si>
  <si>
    <t>AXJ309</t>
  </si>
  <si>
    <t>005-00000182</t>
  </si>
  <si>
    <t>LAZO HUAYLINOS MAXIMO GELACIO</t>
  </si>
  <si>
    <t>09590507</t>
  </si>
  <si>
    <t>BLO680</t>
  </si>
  <si>
    <t>JAYO PACHECO JORGE LUIS</t>
  </si>
  <si>
    <t>45838819</t>
  </si>
  <si>
    <t>ATT247</t>
  </si>
  <si>
    <t>PRIETO DUCLOS MARIA ELSA</t>
  </si>
  <si>
    <t>07976203</t>
  </si>
  <si>
    <t>ATF661</t>
  </si>
  <si>
    <t>ALIAGA MORALES GUSTAVO</t>
  </si>
  <si>
    <t>07866589</t>
  </si>
  <si>
    <t>APE333</t>
  </si>
  <si>
    <t>VIGIL LEON JOSE LUIS</t>
  </si>
  <si>
    <t>43315348</t>
  </si>
  <si>
    <t>AKY655</t>
  </si>
  <si>
    <t>CASTILLO MALDONADO EDUARDO</t>
  </si>
  <si>
    <t>07787358</t>
  </si>
  <si>
    <t>AXN474</t>
  </si>
  <si>
    <t>REQUENA CASTILLO LORENA GUADALUPE</t>
  </si>
  <si>
    <t>03690852</t>
  </si>
  <si>
    <t>SALVATIERRA YARACSA KARINA</t>
  </si>
  <si>
    <t>40104004</t>
  </si>
  <si>
    <t>NUÑEZ SALINAS RAUL ENRIQUE</t>
  </si>
  <si>
    <t>08764281</t>
  </si>
  <si>
    <t>B8U062</t>
  </si>
  <si>
    <t>MONTEZA SAAVEDRA RODOLFO</t>
  </si>
  <si>
    <t>09380890</t>
  </si>
  <si>
    <t>AMPLIACION</t>
  </si>
  <si>
    <t>ORBEGOSO CHAVEZ RAFAEL ALBERTO</t>
  </si>
  <si>
    <t>47538843</t>
  </si>
  <si>
    <t>PALACIOS RUIZ GONZALO ANIBAL</t>
  </si>
  <si>
    <t>40638694</t>
  </si>
  <si>
    <t>FERNANDEZ RENGIFO ESSENIN FERNANDO</t>
  </si>
  <si>
    <t>06802452</t>
  </si>
  <si>
    <t>005-00000097</t>
  </si>
  <si>
    <t>JIMENEZ GUERRERO CHRISTIAN GUILLERMO</t>
  </si>
  <si>
    <t>43419829</t>
  </si>
  <si>
    <t>MIñAN VARGAS JULIO CESAR</t>
  </si>
  <si>
    <t>25831381</t>
  </si>
  <si>
    <t>GAYOSO MEZA GUSTAVO ALBERTO</t>
  </si>
  <si>
    <t>07877678</t>
  </si>
  <si>
    <t>CRUCES LIBERT CESAR DOMINGO</t>
  </si>
  <si>
    <t>07305520</t>
  </si>
  <si>
    <t>ACT191</t>
  </si>
  <si>
    <t>JIMENEZ MESIA JORGE</t>
  </si>
  <si>
    <t>10451093</t>
  </si>
  <si>
    <t>ADP623</t>
  </si>
  <si>
    <t>005-00000124</t>
  </si>
  <si>
    <t>PASTOR DE LA PUENTE ALEJANDRO</t>
  </si>
  <si>
    <t>26620706</t>
  </si>
  <si>
    <t>C4R002</t>
  </si>
  <si>
    <t>SPRIND SAC</t>
  </si>
  <si>
    <t>20463001651</t>
  </si>
  <si>
    <t>BBQ678</t>
  </si>
  <si>
    <t>00000159</t>
  </si>
  <si>
    <t>00000156</t>
  </si>
  <si>
    <t>AMPLIACION RESPUESTO</t>
  </si>
  <si>
    <t>00000155</t>
  </si>
  <si>
    <t>REPARACION TERCEROS</t>
  </si>
  <si>
    <t>AMPLIACION REPUESTO</t>
  </si>
  <si>
    <t>REPARACION CONCENTRADOR</t>
  </si>
  <si>
    <t>DARDOS COMUNICACION VISUAL SAC</t>
  </si>
  <si>
    <t>20537088118</t>
  </si>
  <si>
    <t>00000153</t>
  </si>
  <si>
    <t>SERVICIOS HOTELEROS LIMA S.A.C.</t>
  </si>
  <si>
    <t>20550071101</t>
  </si>
  <si>
    <t>ADY124</t>
  </si>
  <si>
    <t>00000150</t>
  </si>
  <si>
    <t>ROBERTO CARLOS TORRES JULCA</t>
  </si>
  <si>
    <t>10100547274</t>
  </si>
  <si>
    <t>00000149</t>
  </si>
  <si>
    <t>BFM214</t>
  </si>
  <si>
    <t>00000148</t>
  </si>
  <si>
    <t>00000147</t>
  </si>
  <si>
    <t>00000146</t>
  </si>
  <si>
    <t>00000145</t>
  </si>
  <si>
    <t>00000144</t>
  </si>
  <si>
    <t>00000143</t>
  </si>
  <si>
    <t>LA POSITIVA SEGUROS Y REASEGUROS</t>
  </si>
  <si>
    <t>20100210909</t>
  </si>
  <si>
    <t>BCP022</t>
  </si>
  <si>
    <t>00000142</t>
  </si>
  <si>
    <t>00000140</t>
  </si>
  <si>
    <t>00000139</t>
  </si>
  <si>
    <t>005-00000082</t>
  </si>
  <si>
    <t>00000138</t>
  </si>
  <si>
    <t>00000137</t>
  </si>
  <si>
    <t>00000136</t>
  </si>
  <si>
    <t>00000135</t>
  </si>
  <si>
    <t>00000134</t>
  </si>
  <si>
    <t>00000133</t>
  </si>
  <si>
    <t>00000132</t>
  </si>
  <si>
    <t>00000131</t>
  </si>
  <si>
    <t>INTEROC SOCIEDAD ANONIMA</t>
  </si>
  <si>
    <t>20514184331</t>
  </si>
  <si>
    <t>00000130</t>
  </si>
  <si>
    <t>00000129</t>
  </si>
  <si>
    <t>00000128</t>
  </si>
  <si>
    <t>00000127</t>
  </si>
  <si>
    <t>00000126</t>
  </si>
  <si>
    <t>AXV440</t>
  </si>
  <si>
    <t>00000125</t>
  </si>
  <si>
    <t>AXX712</t>
  </si>
  <si>
    <t>BKQ223</t>
  </si>
  <si>
    <t>00000121</t>
  </si>
  <si>
    <t>ECOLAB PERU HOLDINGS S.R.L.</t>
  </si>
  <si>
    <t>20510274009</t>
  </si>
  <si>
    <t>AXC070</t>
  </si>
  <si>
    <t>00000118</t>
  </si>
  <si>
    <t>AJV347</t>
  </si>
  <si>
    <t>00000117</t>
  </si>
  <si>
    <t>00000116</t>
  </si>
  <si>
    <t>B2F354</t>
  </si>
  <si>
    <t>005-00000140</t>
  </si>
  <si>
    <t>00000114</t>
  </si>
  <si>
    <t>FERNANDO ANTONIO MOLINA SHULLCA</t>
  </si>
  <si>
    <t>10722994944</t>
  </si>
  <si>
    <t>00000113</t>
  </si>
  <si>
    <t>00000112</t>
  </si>
  <si>
    <t>LUIS ALEJANDRO ARRIARAN SIERRALTA</t>
  </si>
  <si>
    <t>10078574181</t>
  </si>
  <si>
    <t>00000111</t>
  </si>
  <si>
    <t>00000110</t>
  </si>
  <si>
    <t>RESPUESTO SEGUNDA PARTE</t>
  </si>
  <si>
    <t>AMPLIACION DE TERCEROS</t>
  </si>
  <si>
    <t>ALVARO MARQUEZ VERTIZ</t>
  </si>
  <si>
    <t>10474822261</t>
  </si>
  <si>
    <t>00000104</t>
  </si>
  <si>
    <t>00000103</t>
  </si>
  <si>
    <t>00000101</t>
  </si>
  <si>
    <t>F1P230</t>
  </si>
  <si>
    <t>00000100</t>
  </si>
  <si>
    <t>00000099</t>
  </si>
  <si>
    <t>00000098</t>
  </si>
  <si>
    <t>F0S053</t>
  </si>
  <si>
    <t>00000096</t>
  </si>
  <si>
    <t>00000095</t>
  </si>
  <si>
    <t>00000094</t>
  </si>
  <si>
    <t>MASEDI CONTRATISTAS GENERALES SAC</t>
  </si>
  <si>
    <t>20426128803</t>
  </si>
  <si>
    <t>AHQ605</t>
  </si>
  <si>
    <t>00000093</t>
  </si>
  <si>
    <t>ATF409</t>
  </si>
  <si>
    <t>00000092</t>
  </si>
  <si>
    <t>00000091</t>
  </si>
  <si>
    <t>ANJ035</t>
  </si>
  <si>
    <t>00000088</t>
  </si>
  <si>
    <t>00000087</t>
  </si>
  <si>
    <t>BKX624</t>
  </si>
  <si>
    <t>005-00000134</t>
  </si>
  <si>
    <t>00000086</t>
  </si>
  <si>
    <t>00000084</t>
  </si>
  <si>
    <t>BKP647</t>
  </si>
  <si>
    <t>00000083</t>
  </si>
  <si>
    <t>00000082</t>
  </si>
  <si>
    <t>JUAN SMITH ORTIZ ORTIZ</t>
  </si>
  <si>
    <t>10038627185</t>
  </si>
  <si>
    <t>005-00000147</t>
  </si>
  <si>
    <t>00000081</t>
  </si>
  <si>
    <t>00000080</t>
  </si>
  <si>
    <t>00000078</t>
  </si>
  <si>
    <t>00000077</t>
  </si>
  <si>
    <t>00000076</t>
  </si>
  <si>
    <t>00000075</t>
  </si>
  <si>
    <t>00000073</t>
  </si>
  <si>
    <t>PATRON JORGE RICARDO GALLEGOS RIZO</t>
  </si>
  <si>
    <t>10079552394</t>
  </si>
  <si>
    <t>00000072</t>
  </si>
  <si>
    <t>00000071</t>
  </si>
  <si>
    <t>00000070</t>
  </si>
  <si>
    <t>00000068</t>
  </si>
  <si>
    <t>ABO-00000004</t>
  </si>
  <si>
    <t>ABO-00000006</t>
  </si>
  <si>
    <t>CAR-00000002</t>
  </si>
  <si>
    <t>Noviembre</t>
  </si>
  <si>
    <t>IMPREZA</t>
  </si>
  <si>
    <t>(en blanco)</t>
  </si>
  <si>
    <t>Suma de Dias_Taller</t>
  </si>
  <si>
    <t>005-00000215</t>
  </si>
  <si>
    <t>ASM-675</t>
  </si>
  <si>
    <t>005-00000205</t>
  </si>
  <si>
    <t>ASW-232</t>
  </si>
  <si>
    <t>005-00000212</t>
  </si>
  <si>
    <t>BFS-488</t>
  </si>
  <si>
    <t>005-00000209</t>
  </si>
  <si>
    <t>BDW-631</t>
  </si>
  <si>
    <t>MAZDA3</t>
  </si>
  <si>
    <t>005-00000221</t>
  </si>
  <si>
    <t>005-00000222</t>
  </si>
  <si>
    <t>F5O-186</t>
  </si>
  <si>
    <t>D3X-162</t>
  </si>
  <si>
    <t>B9L-447</t>
  </si>
  <si>
    <t>DODGE</t>
  </si>
  <si>
    <t>DURANTO</t>
  </si>
  <si>
    <t>005-00000218</t>
  </si>
  <si>
    <t>AWP-639</t>
  </si>
  <si>
    <t>TUCSON</t>
  </si>
  <si>
    <t>005-00000232</t>
  </si>
  <si>
    <t>BFE-603</t>
  </si>
  <si>
    <t>005-00000229</t>
  </si>
  <si>
    <t>005-00000227</t>
  </si>
  <si>
    <t>005-00000226</t>
  </si>
  <si>
    <t>F4J-046</t>
  </si>
  <si>
    <t>005-00000223</t>
  </si>
  <si>
    <t>AYK-320</t>
  </si>
  <si>
    <t>005-00000241</t>
  </si>
  <si>
    <t>EGH-498</t>
  </si>
  <si>
    <t>005-00000244</t>
  </si>
  <si>
    <t>005-00000243</t>
  </si>
  <si>
    <t>005-00000238</t>
  </si>
  <si>
    <t>BET-590</t>
  </si>
  <si>
    <t>005-00000237</t>
  </si>
  <si>
    <t>ASL-101</t>
  </si>
  <si>
    <t>D1Q-268</t>
  </si>
  <si>
    <t>005-00000233</t>
  </si>
  <si>
    <t>AVP-525</t>
  </si>
  <si>
    <t>005-00000239</t>
  </si>
  <si>
    <t>BFB-527</t>
  </si>
  <si>
    <t>BALENO</t>
  </si>
  <si>
    <t>005-00000256</t>
  </si>
  <si>
    <t>BET-306</t>
  </si>
  <si>
    <t>005-00000252</t>
  </si>
  <si>
    <t>BJJ-554</t>
  </si>
  <si>
    <t>005-00000216</t>
  </si>
  <si>
    <t>BFZ-575</t>
  </si>
  <si>
    <t>005-00000257</t>
  </si>
  <si>
    <t>EGX-296</t>
  </si>
  <si>
    <t>MAXUS</t>
  </si>
  <si>
    <t>S8</t>
  </si>
  <si>
    <t>005-00000094</t>
  </si>
  <si>
    <t>BEQ-177</t>
  </si>
  <si>
    <t>005-00000259</t>
  </si>
  <si>
    <t>BFS-508</t>
  </si>
  <si>
    <t>QQ</t>
  </si>
  <si>
    <t>005-00000262</t>
  </si>
  <si>
    <t>005-00000265</t>
  </si>
  <si>
    <t>005-00000263</t>
  </si>
  <si>
    <t>AKI-444</t>
  </si>
  <si>
    <t>005-00000267</t>
  </si>
  <si>
    <t>005-00000261</t>
  </si>
  <si>
    <t>BMD-515</t>
  </si>
  <si>
    <t>XPANDER</t>
  </si>
  <si>
    <t>005-00000268</t>
  </si>
  <si>
    <t>BKQ-559</t>
  </si>
  <si>
    <t>ECOSPORT</t>
  </si>
  <si>
    <t>005-00000269</t>
  </si>
  <si>
    <t>BEE-024</t>
  </si>
  <si>
    <t>005-00000206</t>
  </si>
  <si>
    <t>AJD-170</t>
  </si>
  <si>
    <t>005-00000272</t>
  </si>
  <si>
    <t>005-00000258</t>
  </si>
  <si>
    <t>D3W-105</t>
  </si>
  <si>
    <t>005-00000273</t>
  </si>
  <si>
    <t>005-00000271</t>
  </si>
  <si>
    <t>ATT-083</t>
  </si>
  <si>
    <t>005-00000278</t>
  </si>
  <si>
    <t>T2Z-271</t>
  </si>
  <si>
    <t>005-00000276</t>
  </si>
  <si>
    <t>F2O-046</t>
  </si>
  <si>
    <t>CX-5</t>
  </si>
  <si>
    <t>005-00000274</t>
  </si>
  <si>
    <t>F2Y-614</t>
  </si>
  <si>
    <t>005-00000280</t>
  </si>
  <si>
    <t>005-00000277</t>
  </si>
  <si>
    <t>F7V-531</t>
  </si>
  <si>
    <t>ACCORD</t>
  </si>
  <si>
    <t>005-00000285</t>
  </si>
  <si>
    <t>ARQ-263</t>
  </si>
  <si>
    <t>SUNNY</t>
  </si>
  <si>
    <t>005-00000283</t>
  </si>
  <si>
    <t>BEA-170</t>
  </si>
  <si>
    <t>005-00000286</t>
  </si>
  <si>
    <t>005-00000288</t>
  </si>
  <si>
    <t>F8V-681</t>
  </si>
  <si>
    <t>JOURNEY SXT</t>
  </si>
  <si>
    <t>005-00000289</t>
  </si>
  <si>
    <t>005-00000290</t>
  </si>
  <si>
    <t>OI6344</t>
  </si>
  <si>
    <t>005-00000282</t>
  </si>
  <si>
    <t>F3M-334</t>
  </si>
  <si>
    <t>005-00000295</t>
  </si>
  <si>
    <t>C4S-251</t>
  </si>
  <si>
    <t>005-00000294</t>
  </si>
  <si>
    <t>AXU-411</t>
  </si>
  <si>
    <t>005-00000249</t>
  </si>
  <si>
    <t>D8F-472</t>
  </si>
  <si>
    <t>005-00000293</t>
  </si>
  <si>
    <t>005-00000296</t>
  </si>
  <si>
    <t>BDK-341</t>
  </si>
  <si>
    <t>005-00000275</t>
  </si>
  <si>
    <t>BDU537</t>
  </si>
  <si>
    <t>CORRECCION DE ANGULOS</t>
  </si>
  <si>
    <t>VOLANTE</t>
  </si>
  <si>
    <t>REPARACION ELECTRICA</t>
  </si>
  <si>
    <t>005-00000101</t>
  </si>
  <si>
    <t>ASL101</t>
  </si>
  <si>
    <t>BFB527</t>
  </si>
  <si>
    <t>005-00000264</t>
  </si>
  <si>
    <t>BEQ177</t>
  </si>
  <si>
    <t>CARGA DE GAS A/C</t>
  </si>
  <si>
    <t>005-00000228</t>
  </si>
  <si>
    <t>D1Q268</t>
  </si>
  <si>
    <t>BFS508</t>
  </si>
  <si>
    <t>EMBOCINADO</t>
  </si>
  <si>
    <t>F6K132</t>
  </si>
  <si>
    <t>F2O046</t>
  </si>
  <si>
    <t>005-00000279</t>
  </si>
  <si>
    <t>BAK021</t>
  </si>
  <si>
    <t>LUNA Y LAMINA</t>
  </si>
  <si>
    <t>RECTIFICADO DE CULATA</t>
  </si>
  <si>
    <t>RECTIFICADO DE MONOBLOCK</t>
  </si>
  <si>
    <t>005-00000114</t>
  </si>
  <si>
    <t>BFZ509</t>
  </si>
  <si>
    <t>00000236</t>
  </si>
  <si>
    <t>3200100</t>
  </si>
  <si>
    <t>RETEN DE CIGUEÑAL DELANTERO</t>
  </si>
  <si>
    <t>3200863</t>
  </si>
  <si>
    <t>TAPA PURIFICADORA</t>
  </si>
  <si>
    <t>3200864</t>
  </si>
  <si>
    <t>SENSOR CKP</t>
  </si>
  <si>
    <t>3200544</t>
  </si>
  <si>
    <t>SOPORTE DE MOTOR  LAT/LH</t>
  </si>
  <si>
    <t>3200722</t>
  </si>
  <si>
    <t>SOPORTE DE MOTOR RR</t>
  </si>
  <si>
    <t>3200784</t>
  </si>
  <si>
    <t>CAÑERIA DE FRENO</t>
  </si>
  <si>
    <t>00000244</t>
  </si>
  <si>
    <t>3200862</t>
  </si>
  <si>
    <t>ARTICULACION DE MOTOR LIMPIAPARABRISA</t>
  </si>
  <si>
    <t>3200629</t>
  </si>
  <si>
    <t>BRAZO DE PLUMILLA</t>
  </si>
  <si>
    <t>3200110</t>
  </si>
  <si>
    <t>EMPAQUE DE TAPA BALANCIN</t>
  </si>
  <si>
    <t>3200489</t>
  </si>
  <si>
    <t>CHAPA DE MALETERA</t>
  </si>
  <si>
    <t>3200866</t>
  </si>
  <si>
    <t>BOCINAS DE MOTOR</t>
  </si>
  <si>
    <t>3200527</t>
  </si>
  <si>
    <t>TRAPECIOS DELANTEROS</t>
  </si>
  <si>
    <t>3200226</t>
  </si>
  <si>
    <t>RETEN DE EJE DE PALIER</t>
  </si>
  <si>
    <t>3200867</t>
  </si>
  <si>
    <t>BRIDA DE SENSOR DE TEMPERATURA</t>
  </si>
  <si>
    <t>3200868</t>
  </si>
  <si>
    <t>MANGUERA DE CALEFACCION</t>
  </si>
  <si>
    <t>3200869</t>
  </si>
  <si>
    <t>MANGUERA DOSIFICADORA</t>
  </si>
  <si>
    <t>3200035</t>
  </si>
  <si>
    <t>FOCO AMBAR 12V</t>
  </si>
  <si>
    <t>00000242</t>
  </si>
  <si>
    <t>00000248</t>
  </si>
  <si>
    <t>3200871</t>
  </si>
  <si>
    <t>TRICETA DE PALIER</t>
  </si>
  <si>
    <t>00000207</t>
  </si>
  <si>
    <t>3200534</t>
  </si>
  <si>
    <t>VALVULAS DE ADMIC. Y ESCAPE</t>
  </si>
  <si>
    <t>3200430</t>
  </si>
  <si>
    <t>TAPA DE ARO</t>
  </si>
  <si>
    <t>00000213</t>
  </si>
  <si>
    <t>00000243</t>
  </si>
  <si>
    <t>3200608</t>
  </si>
  <si>
    <t>REJILLA CENTRAL DE FUNDA FR</t>
  </si>
  <si>
    <t>3200332</t>
  </si>
  <si>
    <t>FOCO H27 12V</t>
  </si>
  <si>
    <t>3200478</t>
  </si>
  <si>
    <t>SOPORTE DE PARACHOQUE LH</t>
  </si>
  <si>
    <t>3200456</t>
  </si>
  <si>
    <t>SOPORTE DE PARACHOQUE RH</t>
  </si>
  <si>
    <t>3200497</t>
  </si>
  <si>
    <t>PORTA PLACA FR</t>
  </si>
  <si>
    <t>3200872</t>
  </si>
  <si>
    <t>CAPUCHON DE MANIJA</t>
  </si>
  <si>
    <t>3200873</t>
  </si>
  <si>
    <t>MANIJA ELEVA VIDRIO</t>
  </si>
  <si>
    <t>00000252</t>
  </si>
  <si>
    <t>00000216</t>
  </si>
  <si>
    <t>3200121</t>
  </si>
  <si>
    <t>JGO. DE ZAPATAS DE FRENO</t>
  </si>
  <si>
    <t>00000233</t>
  </si>
  <si>
    <t>00000228</t>
  </si>
  <si>
    <t>3200635</t>
  </si>
  <si>
    <t>DEPOSITO DE REFRIGERANTE</t>
  </si>
  <si>
    <t>3200439</t>
  </si>
  <si>
    <t>CARTER DE MOTOR</t>
  </si>
  <si>
    <t>3500017</t>
  </si>
  <si>
    <t>ACEITE DE CAJA ATF 1800</t>
  </si>
  <si>
    <t>3200874</t>
  </si>
  <si>
    <t>BIELA DE MOTOR</t>
  </si>
  <si>
    <t>3200628</t>
  </si>
  <si>
    <t>POLEA TEMPLADORA FAJ</t>
  </si>
  <si>
    <t>00000262</t>
  </si>
  <si>
    <t>32PH4967</t>
  </si>
  <si>
    <t>FILTRO ACEITE T/C/C</t>
  </si>
  <si>
    <t>3200575</t>
  </si>
  <si>
    <t>JGO DE ANILLOS</t>
  </si>
  <si>
    <t>3200877</t>
  </si>
  <si>
    <t>TAPONES DE MOTOR MONOBLOCK</t>
  </si>
  <si>
    <t>3200875</t>
  </si>
  <si>
    <t>MANGUERA DE BRIDA</t>
  </si>
  <si>
    <t>3200876</t>
  </si>
  <si>
    <t>MANGUERA DE TUBO DE AGUA</t>
  </si>
  <si>
    <t>3200114</t>
  </si>
  <si>
    <t>TUBO DE AGUA</t>
  </si>
  <si>
    <t>3200541</t>
  </si>
  <si>
    <t>KIT DE DISTRIBUCION CON CADENA</t>
  </si>
  <si>
    <t>32BKR6E</t>
  </si>
  <si>
    <t>3200865</t>
  </si>
  <si>
    <t>BRIDA DE TERMOSTATO</t>
  </si>
  <si>
    <t>00000275</t>
  </si>
  <si>
    <t>3200878</t>
  </si>
  <si>
    <t>MANGUERA DE HIDROLINA</t>
  </si>
  <si>
    <t>00000273</t>
  </si>
  <si>
    <t>3200443</t>
  </si>
  <si>
    <t>PASTILLAS DELANTERAS Y POSTERIORES</t>
  </si>
  <si>
    <t>3200886</t>
  </si>
  <si>
    <t>MANGUERA INF DE RADIADOR (ALT)</t>
  </si>
  <si>
    <t>3200887</t>
  </si>
  <si>
    <t>MANGUERA SUP DE RADIADOR (ALT)</t>
  </si>
  <si>
    <t>3200888</t>
  </si>
  <si>
    <t>3200889</t>
  </si>
  <si>
    <t>OBTURADOR (ALT)</t>
  </si>
  <si>
    <t>3200890</t>
  </si>
  <si>
    <t>FAJA DE ALTERNADOR (ALT)</t>
  </si>
  <si>
    <t>3200891</t>
  </si>
  <si>
    <t>FAJA DE DIRECCION (ALT)</t>
  </si>
  <si>
    <t>3200892</t>
  </si>
  <si>
    <t>FILTRO DE AIRE (ALT)</t>
  </si>
  <si>
    <t>00000295</t>
  </si>
  <si>
    <t>3200893</t>
  </si>
  <si>
    <t>3200894</t>
  </si>
  <si>
    <t>TENSOR DE FAJA MOVIL</t>
  </si>
  <si>
    <t>3200896</t>
  </si>
  <si>
    <t>FILTRO DE GASOLINA CHEVROLET</t>
  </si>
  <si>
    <t>3200897</t>
  </si>
  <si>
    <t>CABLE DE FRENO DE MANO</t>
  </si>
  <si>
    <t>3200898</t>
  </si>
  <si>
    <t>RODAJE DE CAJA</t>
  </si>
  <si>
    <t>3200899</t>
  </si>
  <si>
    <t>RETEN DE CAJA</t>
  </si>
  <si>
    <t>3200900</t>
  </si>
  <si>
    <t>SWITCH DE PRESION DE ACEITE</t>
  </si>
  <si>
    <t>3200901</t>
  </si>
  <si>
    <t>EMPAQUE DE BALANCINES (ALT)</t>
  </si>
  <si>
    <t>3200902</t>
  </si>
  <si>
    <t>TENSOR  DE FAJA FIJO (ALT)</t>
  </si>
  <si>
    <t>3200903</t>
  </si>
  <si>
    <t>THERMOSTATO (ALT)</t>
  </si>
  <si>
    <t>3200904</t>
  </si>
  <si>
    <t>REJILLA DE FUNDA DELT INF (ALT)</t>
  </si>
  <si>
    <t>3200905</t>
  </si>
  <si>
    <t>JGO. DE GRAPAS DE FUNDA</t>
  </si>
  <si>
    <t>3200906</t>
  </si>
  <si>
    <t>FARO DELANTERO RH</t>
  </si>
  <si>
    <t>3200907</t>
  </si>
  <si>
    <t>FARO POSTERIOR LH</t>
  </si>
  <si>
    <t>3200908</t>
  </si>
  <si>
    <t>FARO POSTRIOR RH</t>
  </si>
  <si>
    <t>3200909</t>
  </si>
  <si>
    <t>FUNDA POSTERIOR (ALT)</t>
  </si>
  <si>
    <t>3200910</t>
  </si>
  <si>
    <t>JGO. DE GRAPAS DE MANDIL DE GDFGO</t>
  </si>
  <si>
    <t>3200911</t>
  </si>
  <si>
    <t>TAPA DE REMOLQUE</t>
  </si>
  <si>
    <t>3200912</t>
  </si>
  <si>
    <t>ESPEJO RH EXT (ALT)</t>
  </si>
  <si>
    <t>3200913</t>
  </si>
  <si>
    <t>FARO POSTERIOR RH</t>
  </si>
  <si>
    <t>3200914</t>
  </si>
  <si>
    <t>EMBLEMA DE MALETERA</t>
  </si>
  <si>
    <t>00000288</t>
  </si>
  <si>
    <t>3200915</t>
  </si>
  <si>
    <t>LLANTA 175/70 R14</t>
  </si>
  <si>
    <t>3200916</t>
  </si>
  <si>
    <t>LLANTA 185/60 R14</t>
  </si>
  <si>
    <t>3200919</t>
  </si>
  <si>
    <t>ARO DE FIERRO (NEGRO)</t>
  </si>
  <si>
    <t>3200917</t>
  </si>
  <si>
    <t>LLANTA 185/70 R14</t>
  </si>
  <si>
    <t>3200918</t>
  </si>
  <si>
    <t>LLANTA 175/65 R14</t>
  </si>
  <si>
    <t>3200920</t>
  </si>
  <si>
    <t>TERMOSTATO ORIGINAL</t>
  </si>
  <si>
    <t>00000278</t>
  </si>
  <si>
    <t>3200921</t>
  </si>
  <si>
    <t>3500024</t>
  </si>
  <si>
    <t>REFRIGERANTE  (ROJO)</t>
  </si>
  <si>
    <t>3200922</t>
  </si>
  <si>
    <t>JEBE CONTORNO DE PUERTA</t>
  </si>
  <si>
    <t>3200923</t>
  </si>
  <si>
    <t>MANDIL DE GDFGO DELT LH</t>
  </si>
  <si>
    <t>3200924</t>
  </si>
  <si>
    <t>MANDIL DE GDFGO DELT RH</t>
  </si>
  <si>
    <t>3200925</t>
  </si>
  <si>
    <t>CABLE JALADOR DE CAPOT</t>
  </si>
  <si>
    <t>3200926</t>
  </si>
  <si>
    <t>GUIA DE FUNDA DELANTERA LH</t>
  </si>
  <si>
    <t>3200927</t>
  </si>
  <si>
    <t>GUIA DE FUNDA DELTANTERA RH</t>
  </si>
  <si>
    <t>3200928</t>
  </si>
  <si>
    <t>RODAJE DE BOCAMAZA</t>
  </si>
  <si>
    <t>00000258</t>
  </si>
  <si>
    <t>3200881</t>
  </si>
  <si>
    <t>ROTULAS DE DIRECCION SUSP.</t>
  </si>
  <si>
    <t>3200929</t>
  </si>
  <si>
    <t>3200930</t>
  </si>
  <si>
    <t>BOMBINES DE FRENO POSTERIOR</t>
  </si>
  <si>
    <t>3200931</t>
  </si>
  <si>
    <t>BIELETA DE BARRA DE DIRECCION</t>
  </si>
  <si>
    <t>00000272</t>
  </si>
  <si>
    <t>3200932</t>
  </si>
  <si>
    <t>BOCINAS DE BIELA</t>
  </si>
  <si>
    <t>3200933</t>
  </si>
  <si>
    <t>PERNO DE CIGUEÑAL</t>
  </si>
  <si>
    <t>3500022</t>
  </si>
  <si>
    <t>ACEITE 20W50 MOTOR</t>
  </si>
  <si>
    <t>00000285</t>
  </si>
  <si>
    <t>3200895</t>
  </si>
  <si>
    <t>FILTRO DE ACEITE (ALT)</t>
  </si>
  <si>
    <t>3200934</t>
  </si>
  <si>
    <t>TAPA DE TORRETA (PLATILLO)</t>
  </si>
  <si>
    <t>00000276</t>
  </si>
  <si>
    <t>3200935</t>
  </si>
  <si>
    <t>PAPELERA DE RADIO</t>
  </si>
  <si>
    <t>00000308</t>
  </si>
  <si>
    <t>00000306</t>
  </si>
  <si>
    <t>00000249</t>
  </si>
  <si>
    <t>3200211</t>
  </si>
  <si>
    <t>FILTRO DE ACEITE CITROEN</t>
  </si>
  <si>
    <t>00000322</t>
  </si>
  <si>
    <t>3200210</t>
  </si>
  <si>
    <t>FILTRO DE AIRE CITROEN</t>
  </si>
  <si>
    <t>3200755</t>
  </si>
  <si>
    <t>BUJIAS (ORG)</t>
  </si>
  <si>
    <t>3200936</t>
  </si>
  <si>
    <t>PONCHO DE PALIER (ALT)</t>
  </si>
  <si>
    <t>3200312</t>
  </si>
  <si>
    <t>BOCAMAZA DE RUEDA RR</t>
  </si>
  <si>
    <t>00000309</t>
  </si>
  <si>
    <t>00000301</t>
  </si>
  <si>
    <t>3200271</t>
  </si>
  <si>
    <t>PASTILLAS DE FRENO RR (ORG)</t>
  </si>
  <si>
    <t>00000307</t>
  </si>
  <si>
    <t>00000310</t>
  </si>
  <si>
    <t>00000294</t>
  </si>
  <si>
    <t>3200052</t>
  </si>
  <si>
    <t>CAPOT CHEVROLET</t>
  </si>
  <si>
    <t>3200937</t>
  </si>
  <si>
    <t>COMPUERTA O MALETERA</t>
  </si>
  <si>
    <t>3200938</t>
  </si>
  <si>
    <t>JGO ZAPATAS POST</t>
  </si>
  <si>
    <t>3200939</t>
  </si>
  <si>
    <t>RODAJES DE SEMI EJE</t>
  </si>
  <si>
    <t>3200940</t>
  </si>
  <si>
    <t>RETENES DE SEMI EJE</t>
  </si>
  <si>
    <t>3200941</t>
  </si>
  <si>
    <t>SEGURO O SOPORTE DE BATERIA</t>
  </si>
  <si>
    <t>3200942</t>
  </si>
  <si>
    <t>MANIJA DE CAPOT</t>
  </si>
  <si>
    <t>3200559</t>
  </si>
  <si>
    <t>CHAPA DE CAPOT</t>
  </si>
  <si>
    <t>3200943</t>
  </si>
  <si>
    <t>ORQUILLA</t>
  </si>
  <si>
    <t>00000299</t>
  </si>
  <si>
    <t>3200437</t>
  </si>
  <si>
    <t>SOPORTE DE FARO FR/LH</t>
  </si>
  <si>
    <t>00000293</t>
  </si>
  <si>
    <t>3200521</t>
  </si>
  <si>
    <t>SOPORTE DE FARO FR/RH</t>
  </si>
  <si>
    <t>00000172</t>
  </si>
  <si>
    <t>R00885</t>
  </si>
  <si>
    <t>00000173</t>
  </si>
  <si>
    <t>BDG262</t>
  </si>
  <si>
    <t>ARN470</t>
  </si>
  <si>
    <t>AMPLIACION MANO DE OBRA PL</t>
  </si>
  <si>
    <t>ASW232</t>
  </si>
  <si>
    <t>00000177</t>
  </si>
  <si>
    <t>BDW631</t>
  </si>
  <si>
    <t>00000179</t>
  </si>
  <si>
    <t>ASM675</t>
  </si>
  <si>
    <t>00000180</t>
  </si>
  <si>
    <t>BFS488</t>
  </si>
  <si>
    <t>AJJ599</t>
  </si>
  <si>
    <t>REPUESTOS CONTINUIDAD</t>
  </si>
  <si>
    <t>00000184</t>
  </si>
  <si>
    <t>BFE603</t>
  </si>
  <si>
    <t>00000187</t>
  </si>
  <si>
    <t>00000192</t>
  </si>
  <si>
    <t>AYK320</t>
  </si>
  <si>
    <t>F4T034</t>
  </si>
  <si>
    <t>005-00000236</t>
  </si>
  <si>
    <t>EGH498</t>
  </si>
  <si>
    <t>00000205</t>
  </si>
  <si>
    <t>AWP639</t>
  </si>
  <si>
    <t>00000206</t>
  </si>
  <si>
    <t>F4J046</t>
  </si>
  <si>
    <t>20604455066</t>
  </si>
  <si>
    <t>CORPORACION MINERA PALOMA S.A.C.</t>
  </si>
  <si>
    <t>00000208</t>
  </si>
  <si>
    <t>00000209</t>
  </si>
  <si>
    <t>20499250771</t>
  </si>
  <si>
    <t>INTER PLUS ASESORIA Y SERV GENERALES SRL</t>
  </si>
  <si>
    <t>00000210</t>
  </si>
  <si>
    <t>00000211</t>
  </si>
  <si>
    <t>EGX296</t>
  </si>
  <si>
    <t>00000214</t>
  </si>
  <si>
    <t>BET306</t>
  </si>
  <si>
    <t>00000215</t>
  </si>
  <si>
    <t>BET590</t>
  </si>
  <si>
    <t>00000217</t>
  </si>
  <si>
    <t>00000218</t>
  </si>
  <si>
    <t>005-00000266</t>
  </si>
  <si>
    <t>00000219</t>
  </si>
  <si>
    <t>AJD170</t>
  </si>
  <si>
    <t>00000221</t>
  </si>
  <si>
    <t>BKQ559</t>
  </si>
  <si>
    <t>20600392132</t>
  </si>
  <si>
    <t>ARSEGUIN PERU S.A.C.</t>
  </si>
  <si>
    <t>00000222</t>
  </si>
  <si>
    <t>00000225</t>
  </si>
  <si>
    <t>00000226</t>
  </si>
  <si>
    <t>F8V681</t>
  </si>
  <si>
    <t>20516542692</t>
  </si>
  <si>
    <t>CONSULTING CENTER SAC</t>
  </si>
  <si>
    <t>00000227</t>
  </si>
  <si>
    <t>F2Y614</t>
  </si>
  <si>
    <t>20548521263</t>
  </si>
  <si>
    <t>NGV SUMINISTROS S.A.C.</t>
  </si>
  <si>
    <t>AMPLIACION REPARACION</t>
  </si>
  <si>
    <t>07566397</t>
  </si>
  <si>
    <t>MILLA HUAYAKAWA ELEONORA</t>
  </si>
  <si>
    <t>41237139</t>
  </si>
  <si>
    <t>AMAYA ARAUJO RAUL EDUARDO</t>
  </si>
  <si>
    <t>07635775</t>
  </si>
  <si>
    <t>TEJADA LIZA DE DEL MOS CLAUDIA</t>
  </si>
  <si>
    <t>42625196</t>
  </si>
  <si>
    <t>DIAZ PAURO RAUL</t>
  </si>
  <si>
    <t>07596242</t>
  </si>
  <si>
    <t>VASQUEZ NASSI SAUL ENRIQUE</t>
  </si>
  <si>
    <t>09004745</t>
  </si>
  <si>
    <t>ARANDA RAMIREZ DIOSES FREDI</t>
  </si>
  <si>
    <t>10547159</t>
  </si>
  <si>
    <t>CHUMBIPUMA SEGURA JUAN PABLO</t>
  </si>
  <si>
    <t>005-00000248</t>
  </si>
  <si>
    <t>07702673</t>
  </si>
  <si>
    <t>RIVAROLA GANOZA IVAN</t>
  </si>
  <si>
    <t>AKI444</t>
  </si>
  <si>
    <t>07525328</t>
  </si>
  <si>
    <t>RUIZ FLORES OMAR</t>
  </si>
  <si>
    <t>40208356</t>
  </si>
  <si>
    <t>RODRIGUEZ CHUMPITAZ MARCOS</t>
  </si>
  <si>
    <t>BEE024</t>
  </si>
  <si>
    <t>26733435</t>
  </si>
  <si>
    <t>MARTOS SALCEDO KARIN LILIANA</t>
  </si>
  <si>
    <t>005-00000284</t>
  </si>
  <si>
    <t>BKA372</t>
  </si>
  <si>
    <t>46919544</t>
  </si>
  <si>
    <t>VERME ALVA RODRIGO</t>
  </si>
  <si>
    <t>F7V531</t>
  </si>
  <si>
    <t>07274474</t>
  </si>
  <si>
    <t>DIAZ SALCEDO LUIS FELIPE</t>
  </si>
  <si>
    <t>42916668</t>
  </si>
  <si>
    <t>LOAYZA VEGA FELIPE</t>
  </si>
  <si>
    <t>BEA170</t>
  </si>
  <si>
    <t>06157806</t>
  </si>
  <si>
    <t>GUZMAN ZUÑIGA CARLOS LEONARDO</t>
  </si>
  <si>
    <t>ABO-00000007</t>
  </si>
  <si>
    <t>ABO-00000008</t>
  </si>
  <si>
    <t>ABO-00000009</t>
  </si>
  <si>
    <t>ABO-00000010</t>
  </si>
  <si>
    <t>ABO-00000011</t>
  </si>
  <si>
    <t>ABO-00000012</t>
  </si>
  <si>
    <t>3200944</t>
  </si>
  <si>
    <t>LLANTA 195/60 R15</t>
  </si>
  <si>
    <t>00000311</t>
  </si>
  <si>
    <t>00000313</t>
  </si>
  <si>
    <t>3200880</t>
  </si>
  <si>
    <t>RETEN DE CIGUEÑAL</t>
  </si>
  <si>
    <t>3200779</t>
  </si>
  <si>
    <t>BASE DE MANIJA PTA</t>
  </si>
  <si>
    <t>00000314</t>
  </si>
  <si>
    <t>3200946</t>
  </si>
  <si>
    <t>RETENES DE VALVULA</t>
  </si>
  <si>
    <t>3200947</t>
  </si>
  <si>
    <t>DISCO Y PRENSA DE EMBRAGUE</t>
  </si>
  <si>
    <t>00000312</t>
  </si>
  <si>
    <t>3200948</t>
  </si>
  <si>
    <t>LOGO DE MALETERA</t>
  </si>
  <si>
    <t>3200949</t>
  </si>
  <si>
    <t>BASE DE TIRADOR DE CAPOT</t>
  </si>
  <si>
    <t>3200950</t>
  </si>
  <si>
    <t>SPOILER POSTERIOR</t>
  </si>
  <si>
    <t>3200156</t>
  </si>
  <si>
    <t>FILTRO DE A/C KIA</t>
  </si>
  <si>
    <t>00000333</t>
  </si>
  <si>
    <t>3251223</t>
  </si>
  <si>
    <t>TAPON DE CARTER ORG.</t>
  </si>
  <si>
    <t>3200672</t>
  </si>
  <si>
    <t>CINTA DE TIMON DE AIRBAG</t>
  </si>
  <si>
    <t>3200951</t>
  </si>
  <si>
    <t>EMPAQUE DE ADMISION</t>
  </si>
  <si>
    <t>3200771</t>
  </si>
  <si>
    <t>EMPAQUE CIRCULAR</t>
  </si>
  <si>
    <t>3200349</t>
  </si>
  <si>
    <t>EMPAQUE DE CULATA</t>
  </si>
  <si>
    <t>3200885</t>
  </si>
  <si>
    <t>BOMBIN DE EMBRAGUE (ALT)</t>
  </si>
  <si>
    <t>32421320</t>
  </si>
  <si>
    <t>COLLARIN DE EMBRAGUE</t>
  </si>
  <si>
    <t>3200883</t>
  </si>
  <si>
    <t>BOMBA DE AGUA (ALT)</t>
  </si>
  <si>
    <t>3200664</t>
  </si>
  <si>
    <t>MANDIL INF. DE FUNDA FR</t>
  </si>
  <si>
    <t>3200952</t>
  </si>
  <si>
    <t>SENSOR MAP</t>
  </si>
  <si>
    <t>3200081</t>
  </si>
  <si>
    <t>ORING</t>
  </si>
  <si>
    <t>00000338</t>
  </si>
  <si>
    <t>3200953</t>
  </si>
  <si>
    <t>TAPA SOL DELT RH</t>
  </si>
  <si>
    <t>3200954</t>
  </si>
  <si>
    <t>TAPA SOL DELT LH</t>
  </si>
  <si>
    <t>3200644</t>
  </si>
  <si>
    <t>RESONADOR</t>
  </si>
  <si>
    <t>3200955</t>
  </si>
  <si>
    <t>ANTENA (ALT)</t>
  </si>
  <si>
    <t>3200677</t>
  </si>
  <si>
    <t>BATERIA ENERJET MED.</t>
  </si>
  <si>
    <t>00000351</t>
  </si>
  <si>
    <t>3200789</t>
  </si>
  <si>
    <t>ESPARRAGOS DE RUEDA C/ TUERCAS</t>
  </si>
  <si>
    <t>3200956</t>
  </si>
  <si>
    <t>RESORTE DE PALANCA DE CAMBIOS</t>
  </si>
  <si>
    <t>3200879</t>
  </si>
  <si>
    <t>VASO DE ARO 14 PLOMO</t>
  </si>
  <si>
    <t>3200882</t>
  </si>
  <si>
    <t>TERMINALES DE DIRECCION SUSP.</t>
  </si>
  <si>
    <t>3200135</t>
  </si>
  <si>
    <t>PERNO DE RUEDA</t>
  </si>
  <si>
    <t>3200482</t>
  </si>
  <si>
    <t>TUERCA DE RUEDA</t>
  </si>
  <si>
    <t>3200957</t>
  </si>
  <si>
    <t>TAPA DE ACEITE</t>
  </si>
  <si>
    <t>3200229</t>
  </si>
  <si>
    <t>SWITCH DE ACEITE</t>
  </si>
  <si>
    <t>3200959</t>
  </si>
  <si>
    <t>VALVULA IAC</t>
  </si>
  <si>
    <t>3200960</t>
  </si>
  <si>
    <t>TAPA TRIANGULAR DE PTA DELT</t>
  </si>
  <si>
    <t>3200961</t>
  </si>
  <si>
    <t>TAPA TRIANGULAR DE PTA POST</t>
  </si>
  <si>
    <t>3200962</t>
  </si>
  <si>
    <t>SOPORTE VARILLA DE CAPOT</t>
  </si>
  <si>
    <t>3200763</t>
  </si>
  <si>
    <t>LUZ DE PLACA</t>
  </si>
  <si>
    <t>00000370</t>
  </si>
  <si>
    <t>RECTIFICADODE VOLANTE</t>
  </si>
  <si>
    <t>SIKA</t>
  </si>
  <si>
    <t>F003</t>
  </si>
  <si>
    <t>REPUESTOS VARIOS</t>
  </si>
  <si>
    <t>PLASTIGAYS</t>
  </si>
  <si>
    <t>PROGRAMACION ECU</t>
  </si>
  <si>
    <t>MANGUERA Y FILTRO DE GAS</t>
  </si>
  <si>
    <t>SERVICIO DE PRENSADO</t>
  </si>
  <si>
    <t>BOCINAS DE BARRA ESTABILIZADORA</t>
  </si>
  <si>
    <t>JEBE DE BARRA ESTABILIZADORA</t>
  </si>
  <si>
    <t>PRENSADO DE RODAJE Y RECTIFICADO</t>
  </si>
  <si>
    <t>RECTIFICADO DE EMBRAGUE</t>
  </si>
  <si>
    <t>CHAPA DE COMPUERTA</t>
  </si>
  <si>
    <t>ESPARRAGOS</t>
  </si>
  <si>
    <t>PLUMILLAS</t>
  </si>
  <si>
    <t>CHAPAS DE RESORTES</t>
  </si>
  <si>
    <t>PRUEBA DE BOMBA DE GASOLINA</t>
  </si>
  <si>
    <t>DISCO DE FRENOS</t>
  </si>
  <si>
    <t>AYW081</t>
  </si>
  <si>
    <t>ABRAZADERAS SINFÍN</t>
  </si>
  <si>
    <t>BJJ554</t>
  </si>
  <si>
    <t>RECITIFICADO DE DISCOS</t>
  </si>
  <si>
    <t>GRASA</t>
  </si>
  <si>
    <t>PERNOS DE VOLANTE</t>
  </si>
  <si>
    <t>D9T310</t>
  </si>
  <si>
    <t>ENLLANTE Y DESENLLANTE</t>
  </si>
  <si>
    <t>REGULAR VILLAJE</t>
  </si>
  <si>
    <t>SILICONA</t>
  </si>
  <si>
    <t>SERVICIO DE PRENSAR</t>
  </si>
  <si>
    <t>FE02</t>
  </si>
  <si>
    <t>FAJA ALTERNADOR</t>
  </si>
  <si>
    <t>EMPAQUETADURAS</t>
  </si>
  <si>
    <t>REPARACION DE MICA DE FARO</t>
  </si>
  <si>
    <t>PICO DE BRIDA</t>
  </si>
  <si>
    <t>PUNTA DE PALIER</t>
  </si>
  <si>
    <t>MANGUERA DE ACEITE</t>
  </si>
  <si>
    <t>F9A025</t>
  </si>
  <si>
    <t>TEMPLADOR</t>
  </si>
  <si>
    <t>SERVICIO DE ALTERNADOR</t>
  </si>
  <si>
    <t>TRABAJO DE MAESTRANZA</t>
  </si>
  <si>
    <t>005-00000302</t>
  </si>
  <si>
    <t>005-00000301</t>
  </si>
  <si>
    <t>AUO888</t>
  </si>
  <si>
    <t>AXU411</t>
  </si>
  <si>
    <t>005-00000287</t>
  </si>
  <si>
    <t>BFR644</t>
  </si>
  <si>
    <t>005-00000326</t>
  </si>
  <si>
    <t>F2S454</t>
  </si>
  <si>
    <t>005-00000325</t>
  </si>
  <si>
    <t>ANE092</t>
  </si>
  <si>
    <t>005-00000320</t>
  </si>
  <si>
    <t>F2F448</t>
  </si>
  <si>
    <t>BUJIAS DE IRIDIUM</t>
  </si>
  <si>
    <t>RPTOS VARIOS</t>
  </si>
  <si>
    <t>BARRA ESTABILIZADORA</t>
  </si>
  <si>
    <t>TORNEADA DE VOLANTE</t>
  </si>
  <si>
    <t>BFZ575</t>
  </si>
  <si>
    <t>CAMBIO DE PAÑO DE ASIENTO</t>
  </si>
  <si>
    <t>BOBINA</t>
  </si>
  <si>
    <t>BALANCEO DE LLANTA</t>
  </si>
  <si>
    <t>BRIDA AGUA</t>
  </si>
  <si>
    <t>PARACHOQUE</t>
  </si>
  <si>
    <t>FUNDA DE PALANCA DE CAMBIO</t>
  </si>
  <si>
    <t>AVP525</t>
  </si>
  <si>
    <t>TRABAJOS VARIOS</t>
  </si>
  <si>
    <t>RECTIFICADOS DE DISCOS</t>
  </si>
  <si>
    <t>D3W105</t>
  </si>
  <si>
    <t>D/M BOU</t>
  </si>
  <si>
    <t>SONDEAR RADIADOR</t>
  </si>
  <si>
    <t>SOLDADURA EN ALUMINIO</t>
  </si>
  <si>
    <t>MANGUERA DE GASOLINA</t>
  </si>
  <si>
    <t>TUBO DE BRIDA</t>
  </si>
  <si>
    <t>TUBO DE BRIDA DE PLASTICO</t>
  </si>
  <si>
    <t>005-00000309</t>
  </si>
  <si>
    <t>BKY290</t>
  </si>
  <si>
    <t>REPARACION DE TUBO DE ESCAPE</t>
  </si>
  <si>
    <t>005-00000311</t>
  </si>
  <si>
    <t>AJK417</t>
  </si>
  <si>
    <t>SERVICIO DE ALINEAMIENTO Y ENLLANTE</t>
  </si>
  <si>
    <t>005-00000310</t>
  </si>
  <si>
    <t>AZN215</t>
  </si>
  <si>
    <t>AUO555</t>
  </si>
  <si>
    <t>SONDEAR CONDENSADOR</t>
  </si>
  <si>
    <t>REPARACION DE OBSTURADOR</t>
  </si>
  <si>
    <t>005-00000306</t>
  </si>
  <si>
    <t>BEA419</t>
  </si>
  <si>
    <t>CARBON</t>
  </si>
  <si>
    <t>SONDEO Y REPARACION DE RADIADOR</t>
  </si>
  <si>
    <t>BRIDA DE GASOLINA</t>
  </si>
  <si>
    <t>005-00000314</t>
  </si>
  <si>
    <t>BCI195</t>
  </si>
  <si>
    <t>CAMBIO DE TUBO INTERMEDIO</t>
  </si>
  <si>
    <t>005-00000333</t>
  </si>
  <si>
    <t>C4S259</t>
  </si>
  <si>
    <t>CAMBIO DE LLANTA</t>
  </si>
  <si>
    <t>MICAS ROJAS</t>
  </si>
  <si>
    <t>REPARACION DE BRIDA</t>
  </si>
  <si>
    <t>005-00000313</t>
  </si>
  <si>
    <t>AUG197</t>
  </si>
  <si>
    <t>RECTIFICADO DE VOLANTE DE EMBRAGUE</t>
  </si>
  <si>
    <t>RODAJE</t>
  </si>
  <si>
    <t>MANGUERAS</t>
  </si>
  <si>
    <t>REPARACION DE BOMBA</t>
  </si>
  <si>
    <t>SEGURO DE RUEDAS</t>
  </si>
  <si>
    <t>PERNOS</t>
  </si>
  <si>
    <t>D8F472</t>
  </si>
  <si>
    <t>005-00000322</t>
  </si>
  <si>
    <t>C7L474</t>
  </si>
  <si>
    <t>SERVICIO DE SOLDADURA</t>
  </si>
  <si>
    <t>TAPA DE MALETERA</t>
  </si>
  <si>
    <t>POR EXTRACCION DE EJE DE LEVAS</t>
  </si>
  <si>
    <t>ORIG FORMADO</t>
  </si>
  <si>
    <t>F010</t>
  </si>
  <si>
    <t>ABRAZADERA GALVANIZADA</t>
  </si>
  <si>
    <t>ESPARRAGO</t>
  </si>
  <si>
    <t>PIN DE FRENO</t>
  </si>
  <si>
    <t>PRENSADO DE TERMINALES</t>
  </si>
  <si>
    <t>005-00000330</t>
  </si>
  <si>
    <t>BDS618</t>
  </si>
  <si>
    <t>005-00000312</t>
  </si>
  <si>
    <t>BKJ027</t>
  </si>
  <si>
    <t>005-00000308</t>
  </si>
  <si>
    <t>BKD354</t>
  </si>
  <si>
    <t>CAMBIO DE RESONADOR</t>
  </si>
  <si>
    <t>005-00000291</t>
  </si>
  <si>
    <t>AWJ-049</t>
  </si>
  <si>
    <t>BFZ-509</t>
  </si>
  <si>
    <t>005-00000298</t>
  </si>
  <si>
    <t>BAG-855</t>
  </si>
  <si>
    <t>RAM</t>
  </si>
  <si>
    <t>V700</t>
  </si>
  <si>
    <t>005-00000299</t>
  </si>
  <si>
    <t>F2F-448</t>
  </si>
  <si>
    <t>005-00000281</t>
  </si>
  <si>
    <t>AJE-585</t>
  </si>
  <si>
    <t>Q3</t>
  </si>
  <si>
    <t>GREAT</t>
  </si>
  <si>
    <t>AUO-555</t>
  </si>
  <si>
    <t>BKY-290</t>
  </si>
  <si>
    <t>BKD-354</t>
  </si>
  <si>
    <t>BEA-419</t>
  </si>
  <si>
    <t>005-00000307</t>
  </si>
  <si>
    <t>BJS-447</t>
  </si>
  <si>
    <t>005-00000242</t>
  </si>
  <si>
    <t>BDW-301</t>
  </si>
  <si>
    <t>005-00000317</t>
  </si>
  <si>
    <t>005-00000303</t>
  </si>
  <si>
    <t>BES-112</t>
  </si>
  <si>
    <t>005-00000304</t>
  </si>
  <si>
    <t>BFF-666</t>
  </si>
  <si>
    <t>005-00000305</t>
  </si>
  <si>
    <t>BCI-195</t>
  </si>
  <si>
    <t>VOLEX</t>
  </si>
  <si>
    <t>C7L-474</t>
  </si>
  <si>
    <t>CITROEN</t>
  </si>
  <si>
    <t>NAUVELLE</t>
  </si>
  <si>
    <t>AZN-215</t>
  </si>
  <si>
    <t>AJK-417</t>
  </si>
  <si>
    <t>BFR-644</t>
  </si>
  <si>
    <t>MITSUBHI</t>
  </si>
  <si>
    <t>ASX</t>
  </si>
  <si>
    <t>AUG-197</t>
  </si>
  <si>
    <t>BKJ-027</t>
  </si>
  <si>
    <t>005-00000318</t>
  </si>
  <si>
    <t>AVL-461</t>
  </si>
  <si>
    <t>HR-V</t>
  </si>
  <si>
    <t>005-00000093</t>
  </si>
  <si>
    <t>BEJ-577</t>
  </si>
  <si>
    <t>005-00000323</t>
  </si>
  <si>
    <t>AVK-314</t>
  </si>
  <si>
    <t>005-00000324</t>
  </si>
  <si>
    <t>ASP-160</t>
  </si>
  <si>
    <t>CIAZ</t>
  </si>
  <si>
    <t>ANE-092</t>
  </si>
  <si>
    <t>MAZDA2</t>
  </si>
  <si>
    <t>C4S-529</t>
  </si>
  <si>
    <t>005-00000327</t>
  </si>
  <si>
    <t>D1M-272</t>
  </si>
  <si>
    <t>005-00000200</t>
  </si>
  <si>
    <t>A4H-567</t>
  </si>
  <si>
    <t>C4</t>
  </si>
  <si>
    <t>005-00000335</t>
  </si>
  <si>
    <t>AUV-610</t>
  </si>
  <si>
    <t>BMW</t>
  </si>
  <si>
    <t>X3</t>
  </si>
  <si>
    <t>005-00000340</t>
  </si>
  <si>
    <t>005-00000342</t>
  </si>
  <si>
    <t>BEN-226</t>
  </si>
  <si>
    <t>005-00000344</t>
  </si>
  <si>
    <t>005-00000338</t>
  </si>
  <si>
    <t>005-00000345</t>
  </si>
  <si>
    <t>005-00000334</t>
  </si>
  <si>
    <t>C0X-378</t>
  </si>
  <si>
    <t>005-00000349</t>
  </si>
  <si>
    <t>005-00000343</t>
  </si>
  <si>
    <t>BKR-397</t>
  </si>
  <si>
    <t>005-00000350</t>
  </si>
  <si>
    <t>D6B-575</t>
  </si>
  <si>
    <t>PRADO</t>
  </si>
  <si>
    <t>005-00000347</t>
  </si>
  <si>
    <t>AYQ-680</t>
  </si>
  <si>
    <t>005-00000348</t>
  </si>
  <si>
    <t>005-00000351</t>
  </si>
  <si>
    <t>F6L-635</t>
  </si>
  <si>
    <t>005-00000352</t>
  </si>
  <si>
    <t>005-00000361</t>
  </si>
  <si>
    <t>005-00000357</t>
  </si>
  <si>
    <t>AWL-408</t>
  </si>
  <si>
    <t>005-00000365</t>
  </si>
  <si>
    <t>BDS-618</t>
  </si>
  <si>
    <t>RENEGADE</t>
  </si>
  <si>
    <t>005-00000358</t>
  </si>
  <si>
    <t>BLZ-136</t>
  </si>
  <si>
    <t>005-00000354</t>
  </si>
  <si>
    <t>C8O-042</t>
  </si>
  <si>
    <t>I30</t>
  </si>
  <si>
    <t>005-00000364</t>
  </si>
  <si>
    <t>D6X-505</t>
  </si>
  <si>
    <t>005-00000378</t>
  </si>
  <si>
    <t>005-00000362</t>
  </si>
  <si>
    <t>F1D-251</t>
  </si>
  <si>
    <t>NEXU</t>
  </si>
  <si>
    <t>005-00000353</t>
  </si>
  <si>
    <t>JOURNEY</t>
  </si>
  <si>
    <t>005-00000370</t>
  </si>
  <si>
    <t>AHC-389</t>
  </si>
  <si>
    <t>TEJADA CONCEPCION RICARDO</t>
  </si>
  <si>
    <t>08386734</t>
  </si>
  <si>
    <t>C0X378</t>
  </si>
  <si>
    <t>LLALLICO GAMARRA MARCO</t>
  </si>
  <si>
    <t>42906478</t>
  </si>
  <si>
    <t>BKR397</t>
  </si>
  <si>
    <t>HAYOR LATOUR ALESSANDRA ISABEL</t>
  </si>
  <si>
    <t>70524507</t>
  </si>
  <si>
    <t>ampliacion repuesto</t>
  </si>
  <si>
    <t>REP TERCEROS</t>
  </si>
  <si>
    <t>AMPLIACION Y CORRECION DE ANGULO</t>
  </si>
  <si>
    <t>AMPLIACION MEC</t>
  </si>
  <si>
    <t>FONSECA PALOMINO MIGUEL</t>
  </si>
  <si>
    <t>09994082</t>
  </si>
  <si>
    <t>005-00000363</t>
  </si>
  <si>
    <t>PAU LEYVA RICARDO</t>
  </si>
  <si>
    <t>41736941</t>
  </si>
  <si>
    <t>AYD066</t>
  </si>
  <si>
    <t>005-00000339</t>
  </si>
  <si>
    <t>ALVA CUNEO CARLOS ENRIQUE</t>
  </si>
  <si>
    <t>08075804</t>
  </si>
  <si>
    <t>ASP160</t>
  </si>
  <si>
    <t>TORRES CAMACHO JOSE GABRIEL</t>
  </si>
  <si>
    <t>45805783</t>
  </si>
  <si>
    <t>B0M243</t>
  </si>
  <si>
    <t>005-00000355</t>
  </si>
  <si>
    <t>CAMPOS MATA TERESA</t>
  </si>
  <si>
    <t>44547155</t>
  </si>
  <si>
    <t>AXU177</t>
  </si>
  <si>
    <t>005-00000331</t>
  </si>
  <si>
    <t>LUIS DANIEL PAIRAZAMAN GRADOS</t>
  </si>
  <si>
    <t>46524152</t>
  </si>
  <si>
    <t>BEN226</t>
  </si>
  <si>
    <t>MORZAN MONSANTE MARTIN</t>
  </si>
  <si>
    <t>07817513</t>
  </si>
  <si>
    <t>NUÑEZ MANRIQUE FABRICIO ALEXANDER</t>
  </si>
  <si>
    <t>70448516</t>
  </si>
  <si>
    <t>RIVERA RIVERA ARNALDO</t>
  </si>
  <si>
    <t>08251735</t>
  </si>
  <si>
    <t>D1M272</t>
  </si>
  <si>
    <t>ALFARO ZAVALETA SILVIA</t>
  </si>
  <si>
    <t>42944188</t>
  </si>
  <si>
    <t>AVL461</t>
  </si>
  <si>
    <t>PRECIADO SAAVEDRA JORGE LUIS</t>
  </si>
  <si>
    <t>03890465</t>
  </si>
  <si>
    <t>BES112</t>
  </si>
  <si>
    <t>OCHOA CACERES OSWALDO</t>
  </si>
  <si>
    <t>47629056</t>
  </si>
  <si>
    <t>BFF666</t>
  </si>
  <si>
    <t>MERCADO DIAZ GABRIEL</t>
  </si>
  <si>
    <t>43462147</t>
  </si>
  <si>
    <t>AJE585</t>
  </si>
  <si>
    <t>VALENZUELA IZURRIETA SILVIA</t>
  </si>
  <si>
    <t>10344250</t>
  </si>
  <si>
    <t>AWJ049</t>
  </si>
  <si>
    <t>SOTO SALAZAR JAVIER</t>
  </si>
  <si>
    <t>41000895</t>
  </si>
  <si>
    <t>KONG SAC LUIS ANTONIO</t>
  </si>
  <si>
    <t>07944017</t>
  </si>
  <si>
    <t>BDK341</t>
  </si>
  <si>
    <t>GARCIA PERALTA GLADYS LIZZETTHE</t>
  </si>
  <si>
    <t>46413935</t>
  </si>
  <si>
    <t>F3M334</t>
  </si>
  <si>
    <t>AVK314</t>
  </si>
  <si>
    <t>00000305</t>
  </si>
  <si>
    <t>EXPORT &amp;IMPORT VANISTSAC</t>
  </si>
  <si>
    <t>20553455201</t>
  </si>
  <si>
    <t>00000304</t>
  </si>
  <si>
    <t>00000303</t>
  </si>
  <si>
    <t>00000302</t>
  </si>
  <si>
    <t>CONTINUIDAD DE REPUESTOS NUEVO PRESUPUEST</t>
  </si>
  <si>
    <t>ESTRUCTURAS Y MONTAJE JC EIRL</t>
  </si>
  <si>
    <t>20557435841</t>
  </si>
  <si>
    <t>005-00000341</t>
  </si>
  <si>
    <t>00000300</t>
  </si>
  <si>
    <t>F6L635</t>
  </si>
  <si>
    <t>00000298</t>
  </si>
  <si>
    <t>00000297</t>
  </si>
  <si>
    <t>FASHIONLIGHT SA</t>
  </si>
  <si>
    <t>20509254711</t>
  </si>
  <si>
    <t>AUV610</t>
  </si>
  <si>
    <t>00000296</t>
  </si>
  <si>
    <t>00000292</t>
  </si>
  <si>
    <t>AND446</t>
  </si>
  <si>
    <t>00000291</t>
  </si>
  <si>
    <t>00000290</t>
  </si>
  <si>
    <t>00000289</t>
  </si>
  <si>
    <t>00000287</t>
  </si>
  <si>
    <t>00000286</t>
  </si>
  <si>
    <t>00000284</t>
  </si>
  <si>
    <t>00000283</t>
  </si>
  <si>
    <t>00000282</t>
  </si>
  <si>
    <t>BJS447</t>
  </si>
  <si>
    <t>00000281</t>
  </si>
  <si>
    <t>00000280</t>
  </si>
  <si>
    <t>00000279</t>
  </si>
  <si>
    <t>00000277</t>
  </si>
  <si>
    <t>AMPLIACION REPSUESTOS</t>
  </si>
  <si>
    <t>00000274</t>
  </si>
  <si>
    <t>AMPLIACION MANO DE OBRA</t>
  </si>
  <si>
    <t>CERAMICOS BARCELONA SAC</t>
  </si>
  <si>
    <t>20545994985</t>
  </si>
  <si>
    <t>GONZALES  AMADO GUIA</t>
  </si>
  <si>
    <t>10093540251</t>
  </si>
  <si>
    <t>00000271</t>
  </si>
  <si>
    <t>BEJ577</t>
  </si>
  <si>
    <t>00000270</t>
  </si>
  <si>
    <t>00000269</t>
  </si>
  <si>
    <t>AMPLIACION TERCEROS REPARACION</t>
  </si>
  <si>
    <t>AMPLAICION PLANCHADO</t>
  </si>
  <si>
    <t>00000267</t>
  </si>
  <si>
    <t>00000266</t>
  </si>
  <si>
    <t>00000264</t>
  </si>
  <si>
    <t>00000263</t>
  </si>
  <si>
    <t>00000260</t>
  </si>
  <si>
    <t>SOLUCION INTEGRAL DE TECNOLOGIAS DE INFORMACION Y COMUNICACION E.I.R.L.</t>
  </si>
  <si>
    <t>20602703526</t>
  </si>
  <si>
    <t>00000259</t>
  </si>
  <si>
    <t>BAG855</t>
  </si>
  <si>
    <t>GRUPO BONNETT SA</t>
  </si>
  <si>
    <t>20117331823</t>
  </si>
  <si>
    <t>00000257</t>
  </si>
  <si>
    <t>00000256</t>
  </si>
  <si>
    <t>00000255</t>
  </si>
  <si>
    <t>00000254</t>
  </si>
  <si>
    <t>005-00000319</t>
  </si>
  <si>
    <t>00000253</t>
  </si>
  <si>
    <t>00000251</t>
  </si>
  <si>
    <t>LADO B EDUCACION EMOCIONAL S.A.C.</t>
  </si>
  <si>
    <t>20600184289</t>
  </si>
  <si>
    <t>00000250</t>
  </si>
  <si>
    <t>00000247</t>
  </si>
  <si>
    <t>00000246</t>
  </si>
  <si>
    <t>REPUESTOS PRESUPUESTO INICIAL AMPLIACION</t>
  </si>
  <si>
    <t>00000245</t>
  </si>
  <si>
    <t>REPUESTOS II</t>
  </si>
  <si>
    <t>REPUESTOS AMPLIACION</t>
  </si>
  <si>
    <t>00000241</t>
  </si>
  <si>
    <t>00000240</t>
  </si>
  <si>
    <t>00000239</t>
  </si>
  <si>
    <t>00000238</t>
  </si>
  <si>
    <t>00000237</t>
  </si>
  <si>
    <t>BMD515</t>
  </si>
  <si>
    <t>00000235</t>
  </si>
  <si>
    <t>ATT083</t>
  </si>
  <si>
    <t>00000234</t>
  </si>
  <si>
    <t>00000232</t>
  </si>
  <si>
    <t>00000230</t>
  </si>
  <si>
    <t>ABO-00000014</t>
  </si>
  <si>
    <t>Etiquetas de columna</t>
  </si>
  <si>
    <t>Cuenta de TIPO DE CLIENTE</t>
  </si>
  <si>
    <t>RECTIFICADO DE RODAMIENTOS</t>
  </si>
  <si>
    <t>ACEITE DE CORONA</t>
  </si>
  <si>
    <t>AHC399</t>
  </si>
  <si>
    <t>005-00000366</t>
  </si>
  <si>
    <t>BKW21</t>
  </si>
  <si>
    <t>SEGURO DE ESPEJOS</t>
  </si>
  <si>
    <t>F022</t>
  </si>
  <si>
    <t>ADITIVO</t>
  </si>
  <si>
    <t>&gt;&gt;&gt;</t>
  </si>
  <si>
    <t>Diciembre</t>
  </si>
  <si>
    <t>005-00000373</t>
  </si>
  <si>
    <t>005-00000367</t>
  </si>
  <si>
    <t>BJF-224</t>
  </si>
  <si>
    <t>WILLIAN</t>
  </si>
  <si>
    <t>005-00000368</t>
  </si>
  <si>
    <t>005-00000359</t>
  </si>
  <si>
    <t>D5M-328</t>
  </si>
  <si>
    <t>005-00000371</t>
  </si>
  <si>
    <t>BFO-123</t>
  </si>
  <si>
    <t xml:space="preserve">MAZDA 5 </t>
  </si>
  <si>
    <t>005-00000003</t>
  </si>
  <si>
    <t>C9N-319</t>
  </si>
  <si>
    <t>005-00000375</t>
  </si>
  <si>
    <t>A3E-362</t>
  </si>
  <si>
    <t>RAV 4</t>
  </si>
  <si>
    <t>005-00000369</t>
  </si>
  <si>
    <t>BFK-304</t>
  </si>
  <si>
    <t>NEW XV</t>
  </si>
  <si>
    <t>005-00000377</t>
  </si>
  <si>
    <t>B4F-196</t>
  </si>
  <si>
    <t>PASSANT</t>
  </si>
  <si>
    <t>005-00000381</t>
  </si>
  <si>
    <t>005-00000379</t>
  </si>
  <si>
    <t>BDO-197</t>
  </si>
  <si>
    <t>005-00000385</t>
  </si>
  <si>
    <t>C3N-598</t>
  </si>
  <si>
    <t>005-00000388</t>
  </si>
  <si>
    <t>005-00000382</t>
  </si>
  <si>
    <t>BHG-013</t>
  </si>
  <si>
    <t>SSAN YONG</t>
  </si>
  <si>
    <t>RODIOUS</t>
  </si>
  <si>
    <t>005-00000380</t>
  </si>
  <si>
    <t>BKS-038</t>
  </si>
  <si>
    <t>005-00000391</t>
  </si>
  <si>
    <t>BAN-755</t>
  </si>
  <si>
    <t>AMAROK</t>
  </si>
  <si>
    <t>005-00000346</t>
  </si>
  <si>
    <t>AVF-200</t>
  </si>
  <si>
    <t>VOLVO</t>
  </si>
  <si>
    <t>S60</t>
  </si>
  <si>
    <t>005-00000383</t>
  </si>
  <si>
    <t>AZS-168</t>
  </si>
  <si>
    <t>BKW-218</t>
  </si>
  <si>
    <t>005-00000392</t>
  </si>
  <si>
    <t>ATO-331</t>
  </si>
  <si>
    <t>005-00000386</t>
  </si>
  <si>
    <t>D9G-573</t>
  </si>
  <si>
    <t>005-00000393</t>
  </si>
  <si>
    <t>V4K-291</t>
  </si>
  <si>
    <t>005-00000397</t>
  </si>
  <si>
    <t>005-00000395</t>
  </si>
  <si>
    <t>TRACKER</t>
  </si>
  <si>
    <t>005-00000336</t>
  </si>
  <si>
    <t>ATF-492</t>
  </si>
  <si>
    <t>005-00000337</t>
  </si>
  <si>
    <t>M3K-474</t>
  </si>
  <si>
    <t>005-00000396</t>
  </si>
  <si>
    <t>BKF-172</t>
  </si>
  <si>
    <t>005-00000400</t>
  </si>
  <si>
    <t>AFX-260</t>
  </si>
  <si>
    <t>SCROOS</t>
  </si>
  <si>
    <t>005-00000411</t>
  </si>
  <si>
    <t>005-00000408</t>
  </si>
  <si>
    <t>005-00000401</t>
  </si>
  <si>
    <t>F7Y-066</t>
  </si>
  <si>
    <t>GRAND NOMADE</t>
  </si>
  <si>
    <t>SANG YONG</t>
  </si>
  <si>
    <t>005-00000415</t>
  </si>
  <si>
    <t>ACL-572</t>
  </si>
  <si>
    <t>005-00000416</t>
  </si>
  <si>
    <t>BEE-120</t>
  </si>
  <si>
    <t>005-00000409</t>
  </si>
  <si>
    <t>BMM-137</t>
  </si>
  <si>
    <t>005-00000420</t>
  </si>
  <si>
    <t>005-00000422</t>
  </si>
  <si>
    <t>005-00000412</t>
  </si>
  <si>
    <t>W3G-525</t>
  </si>
  <si>
    <t>005-00000407</t>
  </si>
  <si>
    <t>ANL-279</t>
  </si>
  <si>
    <t>005-00000406</t>
  </si>
  <si>
    <t>F3V-336</t>
  </si>
  <si>
    <t>AVH-107</t>
  </si>
  <si>
    <t>BNJ-062</t>
  </si>
  <si>
    <t>DSIRE</t>
  </si>
  <si>
    <t>11.31.19</t>
  </si>
  <si>
    <t>ACW-155</t>
  </si>
  <si>
    <t>SPARK</t>
  </si>
  <si>
    <t>BAI-779</t>
  </si>
  <si>
    <t>PEGEOUT</t>
  </si>
  <si>
    <t>BOXER</t>
  </si>
  <si>
    <t>APB-297</t>
  </si>
  <si>
    <t>ADL-243</t>
  </si>
  <si>
    <t>F3Y-336</t>
  </si>
  <si>
    <t>AFY-280</t>
  </si>
  <si>
    <t>AFY-548</t>
  </si>
  <si>
    <t>ASJ-205</t>
  </si>
  <si>
    <t>AFQ-557</t>
  </si>
  <si>
    <t>F1O-146</t>
  </si>
  <si>
    <t>ADB-122</t>
  </si>
  <si>
    <t>BAK-335</t>
  </si>
  <si>
    <t>CHEROKE</t>
  </si>
  <si>
    <t>BBM-206</t>
  </si>
  <si>
    <t>AHT-438</t>
  </si>
  <si>
    <t>BNT-353</t>
  </si>
  <si>
    <t>005-00000446</t>
  </si>
  <si>
    <t>F5B-055</t>
  </si>
  <si>
    <t>CHANGAN</t>
  </si>
  <si>
    <t>C835</t>
  </si>
  <si>
    <t>JUAN CARLOS ESPINOZA VIVANCO</t>
  </si>
  <si>
    <t>44031595</t>
  </si>
  <si>
    <t>ANL279</t>
  </si>
  <si>
    <t>GUTIERREZ CASAS PIERO</t>
  </si>
  <si>
    <t>71231672</t>
  </si>
  <si>
    <t>A4H567</t>
  </si>
  <si>
    <t>ZEGARRA RAMIREZ LEONOR MARIA</t>
  </si>
  <si>
    <t>08519377</t>
  </si>
  <si>
    <t>F5B055</t>
  </si>
  <si>
    <t>SALINAS CARLOS JANCCEN</t>
  </si>
  <si>
    <t>07336839</t>
  </si>
  <si>
    <t>AFX260</t>
  </si>
  <si>
    <t>GARCIA PRESA RAFAEL GUSTAVO</t>
  </si>
  <si>
    <t>25738536</t>
  </si>
  <si>
    <t>AFW077</t>
  </si>
  <si>
    <t>005-00000399</t>
  </si>
  <si>
    <t>ORLANDO BELLO LIZARRAGA</t>
  </si>
  <si>
    <t>44399181</t>
  </si>
  <si>
    <t>BBM137</t>
  </si>
  <si>
    <t>MONTESINOS TORRES ORLANDO</t>
  </si>
  <si>
    <t>09161145</t>
  </si>
  <si>
    <t>D9G573</t>
  </si>
  <si>
    <t>00000141</t>
  </si>
  <si>
    <t>CARHUAS BALVIN HENRY CESAR</t>
  </si>
  <si>
    <t>44832037</t>
  </si>
  <si>
    <t>BHG013</t>
  </si>
  <si>
    <t>SAMUEL SANCHEZ BELTRAME</t>
  </si>
  <si>
    <t>47033479</t>
  </si>
  <si>
    <t>V4K291</t>
  </si>
  <si>
    <t>RODRIGUEZ VIVAR MIGUEL HERNAN</t>
  </si>
  <si>
    <t>097911106</t>
  </si>
  <si>
    <t>JORGE MARTIN CRISOLOGO DURAND</t>
  </si>
  <si>
    <t>42034153</t>
  </si>
  <si>
    <t>BKF172</t>
  </si>
  <si>
    <t>KELLY SANTOS TRUJILLO</t>
  </si>
  <si>
    <t>41607449</t>
  </si>
  <si>
    <t>BKS038</t>
  </si>
  <si>
    <t>RENE PARLONA ALVARADO</t>
  </si>
  <si>
    <t>22103446</t>
  </si>
  <si>
    <t>BEE120</t>
  </si>
  <si>
    <t>005-00000414</t>
  </si>
  <si>
    <t>GALLESE D ANGELO STEFANO</t>
  </si>
  <si>
    <t>47326464</t>
  </si>
  <si>
    <t>AVF200</t>
  </si>
  <si>
    <t>005-00000404</t>
  </si>
  <si>
    <t>005-00000398</t>
  </si>
  <si>
    <t>DUSAN GRANTHON FRANK</t>
  </si>
  <si>
    <t>07260619</t>
  </si>
  <si>
    <t>B4F196</t>
  </si>
  <si>
    <t>PALOMINO HUAMANI JULIO</t>
  </si>
  <si>
    <t>42192844</t>
  </si>
  <si>
    <t>AZS168</t>
  </si>
  <si>
    <t>AMPLIACION TECEROS</t>
  </si>
  <si>
    <t>DE LA CRUZ TENORIO JULIAN</t>
  </si>
  <si>
    <t>09418360</t>
  </si>
  <si>
    <t>BFO123</t>
  </si>
  <si>
    <t>005-00000394</t>
  </si>
  <si>
    <t>TANG MEN YING</t>
  </si>
  <si>
    <t>000059733</t>
  </si>
  <si>
    <t>ATO331</t>
  </si>
  <si>
    <t>RUIZ PALACIOS ANGEL GUSTAVO</t>
  </si>
  <si>
    <t>08750600</t>
  </si>
  <si>
    <t>C3N598</t>
  </si>
  <si>
    <t>005-00000387</t>
  </si>
  <si>
    <t>ESGAR BAZAN VILLALOBOS</t>
  </si>
  <si>
    <t>43134972</t>
  </si>
  <si>
    <t>BDO197</t>
  </si>
  <si>
    <t>RAMOS BONIFAZ HILDA YSABEL</t>
  </si>
  <si>
    <t>09739728</t>
  </si>
  <si>
    <t>BJF224</t>
  </si>
  <si>
    <t>CURO GUEVARA ALEX</t>
  </si>
  <si>
    <t>46122414</t>
  </si>
  <si>
    <t>C8O042</t>
  </si>
  <si>
    <t>00000115</t>
  </si>
  <si>
    <t>VASQUEZ CAMPOS EVELYN</t>
  </si>
  <si>
    <t>47499679</t>
  </si>
  <si>
    <t>D6X505</t>
  </si>
  <si>
    <t>GAMARRA ALEMAN GUILLERMO</t>
  </si>
  <si>
    <t>45104606</t>
  </si>
  <si>
    <t>BNL501</t>
  </si>
  <si>
    <t>005-00000372</t>
  </si>
  <si>
    <t>FERNANDEZ RAMOS LEANDRO</t>
  </si>
  <si>
    <t>73153298</t>
  </si>
  <si>
    <t>D5M328</t>
  </si>
  <si>
    <t>MAROCS HUGO FIGUEROA CANTERA</t>
  </si>
  <si>
    <t>45156825</t>
  </si>
  <si>
    <t>AYQ680</t>
  </si>
  <si>
    <t>00000375</t>
  </si>
  <si>
    <t>00000374</t>
  </si>
  <si>
    <t>M3K474</t>
  </si>
  <si>
    <t>00000373</t>
  </si>
  <si>
    <t>00000372</t>
  </si>
  <si>
    <t>00000371</t>
  </si>
  <si>
    <t>00000369</t>
  </si>
  <si>
    <t>00000368</t>
  </si>
  <si>
    <t>005-00000430</t>
  </si>
  <si>
    <t>00000367</t>
  </si>
  <si>
    <t>AXW530</t>
  </si>
  <si>
    <t>00000366</t>
  </si>
  <si>
    <t>00000364</t>
  </si>
  <si>
    <t>00000363</t>
  </si>
  <si>
    <t>00000362</t>
  </si>
  <si>
    <t>00000361</t>
  </si>
  <si>
    <t>00000359</t>
  </si>
  <si>
    <t>F1D251</t>
  </si>
  <si>
    <t>00000358</t>
  </si>
  <si>
    <t>00000357</t>
  </si>
  <si>
    <t>00000356</t>
  </si>
  <si>
    <t>BKW218</t>
  </si>
  <si>
    <t>00000355</t>
  </si>
  <si>
    <t>ABI176</t>
  </si>
  <si>
    <t>00000354</t>
  </si>
  <si>
    <t>PROMUNE S.A.C</t>
  </si>
  <si>
    <t>20556804932</t>
  </si>
  <si>
    <t>00000353</t>
  </si>
  <si>
    <t>00000352</t>
  </si>
  <si>
    <t>00000350</t>
  </si>
  <si>
    <t>00000349</t>
  </si>
  <si>
    <t>00000348</t>
  </si>
  <si>
    <t>00000347</t>
  </si>
  <si>
    <t>00000346</t>
  </si>
  <si>
    <t>00000345</t>
  </si>
  <si>
    <t>00000344</t>
  </si>
  <si>
    <t>AMPLIACION TERCERO</t>
  </si>
  <si>
    <t>00000343</t>
  </si>
  <si>
    <t>00000342</t>
  </si>
  <si>
    <t>00000341</t>
  </si>
  <si>
    <t>A3E362</t>
  </si>
  <si>
    <t>00000340</t>
  </si>
  <si>
    <t>00000339</t>
  </si>
  <si>
    <t>BAN755</t>
  </si>
  <si>
    <t>00000337</t>
  </si>
  <si>
    <t>00000336</t>
  </si>
  <si>
    <t>00000335</t>
  </si>
  <si>
    <t>00000334</t>
  </si>
  <si>
    <t>00000332</t>
  </si>
  <si>
    <t>BLZ136</t>
  </si>
  <si>
    <t>00000331</t>
  </si>
  <si>
    <t>LUJAN MENDOZA ANGEL ARTURO</t>
  </si>
  <si>
    <t>10100661603</t>
  </si>
  <si>
    <t>00000330</t>
  </si>
  <si>
    <t>00000329</t>
  </si>
  <si>
    <t>SERVICIO MECANICA</t>
  </si>
  <si>
    <t>00000328</t>
  </si>
  <si>
    <t>00000327</t>
  </si>
  <si>
    <t>00000326</t>
  </si>
  <si>
    <t>00000325</t>
  </si>
  <si>
    <t>00000324</t>
  </si>
  <si>
    <t>00000323</t>
  </si>
  <si>
    <t>AWL408</t>
  </si>
  <si>
    <t>SALMON CORNEJO JUAN CARLOS</t>
  </si>
  <si>
    <t>10088908886</t>
  </si>
  <si>
    <t>00000321</t>
  </si>
  <si>
    <t>LINDER INGENIEROS GRAFICOS CONSULTORES SAC</t>
  </si>
  <si>
    <t>20265797599</t>
  </si>
  <si>
    <t>D6B575</t>
  </si>
  <si>
    <t>00000320</t>
  </si>
  <si>
    <t>00000319</t>
  </si>
  <si>
    <t>00000318</t>
  </si>
  <si>
    <t>00000317</t>
  </si>
  <si>
    <t>00000316</t>
  </si>
  <si>
    <t>00000315</t>
  </si>
  <si>
    <t>ABO-00000015</t>
  </si>
  <si>
    <t>ABO-00000016</t>
  </si>
  <si>
    <t>ABO-00000017</t>
  </si>
  <si>
    <t>ABO-00000018</t>
  </si>
  <si>
    <t>ABO-00000019</t>
  </si>
  <si>
    <t>ABO-00000020</t>
  </si>
  <si>
    <t>ABO-00000021</t>
  </si>
  <si>
    <t>ABO-00000022</t>
  </si>
  <si>
    <t>ABO-00000023</t>
  </si>
  <si>
    <t>(Varios elementos)</t>
  </si>
  <si>
    <t>BBJ554</t>
  </si>
  <si>
    <t>RELAY DE 12V</t>
  </si>
  <si>
    <t>CAMBIO DE BOCINAS</t>
  </si>
  <si>
    <t>ALINEAMIENTO Y DDIRECCION</t>
  </si>
  <si>
    <t>ALFOMBRA DE MALETERA</t>
  </si>
  <si>
    <t>JUEGO DE VALVULAS</t>
  </si>
  <si>
    <t>AUG157</t>
  </si>
  <si>
    <t>FORRO DE PALANCA DE CAMBIO</t>
  </si>
  <si>
    <t>TUERCA DE RUEDAS</t>
  </si>
  <si>
    <t>D/M PARABRISA POST</t>
  </si>
  <si>
    <t>SERVICIO DE GRUA</t>
  </si>
  <si>
    <t>REPARACION DE CHAPA DE CONTACTO</t>
  </si>
  <si>
    <t>CORREGIR INCLINACION</t>
  </si>
  <si>
    <t>F201</t>
  </si>
  <si>
    <t>3200963</t>
  </si>
  <si>
    <t>FORRO DE TIMON</t>
  </si>
  <si>
    <t>3200051</t>
  </si>
  <si>
    <t>00000388</t>
  </si>
  <si>
    <t>Febrero</t>
  </si>
  <si>
    <t>Suma de Salidas_Almacen</t>
  </si>
  <si>
    <t>Suma de Compras_Rpto</t>
  </si>
  <si>
    <t>Suma de Serv_Terceros</t>
  </si>
  <si>
    <t>Suma de Ser_Ter_Taller</t>
  </si>
  <si>
    <t>005-00000444</t>
  </si>
  <si>
    <t>ABI-176</t>
  </si>
  <si>
    <t>005-00000418</t>
  </si>
  <si>
    <t>005-00000421</t>
  </si>
  <si>
    <t>005-00000419</t>
  </si>
  <si>
    <t>005-00000428</t>
  </si>
  <si>
    <t>005-00000435</t>
  </si>
  <si>
    <t>005-00000429</t>
  </si>
  <si>
    <t>ADX-447</t>
  </si>
  <si>
    <t>005-00000427</t>
  </si>
  <si>
    <t>AJI-091</t>
  </si>
  <si>
    <t>005-00000456</t>
  </si>
  <si>
    <t>AEP-104</t>
  </si>
  <si>
    <t>005-00000426</t>
  </si>
  <si>
    <t>005-00000452</t>
  </si>
  <si>
    <t>005-00000432</t>
  </si>
  <si>
    <t>005-00000549</t>
  </si>
  <si>
    <t>005-00000453</t>
  </si>
  <si>
    <t>005-00000410</t>
  </si>
  <si>
    <t>005-00000442</t>
  </si>
  <si>
    <t>005-00000441</t>
  </si>
  <si>
    <t>005-00000374</t>
  </si>
  <si>
    <t>005-00000439</t>
  </si>
  <si>
    <t>005-00000445</t>
  </si>
  <si>
    <t>CQW-106</t>
  </si>
  <si>
    <t>005-00000450</t>
  </si>
  <si>
    <t>C1X-536</t>
  </si>
  <si>
    <t>YARIS</t>
  </si>
  <si>
    <t>005-00000449</t>
  </si>
  <si>
    <t>B0T312</t>
  </si>
  <si>
    <t>005-00000447</t>
  </si>
  <si>
    <t>BCO-462</t>
  </si>
  <si>
    <t>TERRY DANIEL MEDINA MOLINA</t>
  </si>
  <si>
    <t>10477068</t>
  </si>
  <si>
    <t>ACW155</t>
  </si>
  <si>
    <t>MARIO ENRIQUE SALIRROSAS GARCIA GODOS</t>
  </si>
  <si>
    <t>10467371318</t>
  </si>
  <si>
    <t>AVH107</t>
  </si>
  <si>
    <t>NANCY DOMINGUEZ RODRIGUEZ</t>
  </si>
  <si>
    <t>08231738</t>
  </si>
  <si>
    <t>BBM206</t>
  </si>
  <si>
    <t>SONIA SANCHEZ POLAR</t>
  </si>
  <si>
    <t>09634615</t>
  </si>
  <si>
    <t>ADB122</t>
  </si>
  <si>
    <t>00000392</t>
  </si>
  <si>
    <t>MAPFRE PERU COMPAÑIA DE SEGUROS Y REASEGUROS S.A</t>
  </si>
  <si>
    <t>20202380621</t>
  </si>
  <si>
    <t>BAK335</t>
  </si>
  <si>
    <t>00000391</t>
  </si>
  <si>
    <t>00000390</t>
  </si>
  <si>
    <t>00000389</t>
  </si>
  <si>
    <t>F3Y336</t>
  </si>
  <si>
    <t>005-00000423</t>
  </si>
  <si>
    <t>00000387</t>
  </si>
  <si>
    <t>SEVILLA RODRIGUEZ SRL</t>
  </si>
  <si>
    <t>20264545812</t>
  </si>
  <si>
    <t>005-00000425</t>
  </si>
  <si>
    <t>00000386</t>
  </si>
  <si>
    <t>00000384</t>
  </si>
  <si>
    <t>DE PIEROLA, PIZARRO, ARCE &amp; BARRON ABOGADOS S.A.C.</t>
  </si>
  <si>
    <t>20603887353</t>
  </si>
  <si>
    <t>00000383</t>
  </si>
  <si>
    <t>00000382</t>
  </si>
  <si>
    <t>00000381</t>
  </si>
  <si>
    <t>CQW106</t>
  </si>
  <si>
    <t>00000380</t>
  </si>
  <si>
    <t>W3G525</t>
  </si>
  <si>
    <t>00000379</t>
  </si>
  <si>
    <t>AGUERO MARTINEZ JOSE LUIS</t>
  </si>
  <si>
    <t>10207221258</t>
  </si>
  <si>
    <t>00000378</t>
  </si>
  <si>
    <t>AGB BUSINESS EIRL</t>
  </si>
  <si>
    <t>20510689551</t>
  </si>
  <si>
    <t>00000377</t>
  </si>
  <si>
    <t>00000376</t>
  </si>
  <si>
    <t>SANTA FE</t>
  </si>
  <si>
    <t>&gt;&gt;&gt;Febrero 2020 - Sin IGV</t>
  </si>
  <si>
    <t>PARABRISA DELANTERO</t>
  </si>
  <si>
    <t>3200428</t>
  </si>
  <si>
    <t>KIT EMPAQUE DE MOTOR</t>
  </si>
  <si>
    <t>00000427</t>
  </si>
  <si>
    <t>00000428</t>
  </si>
  <si>
    <t>00000452</t>
  </si>
  <si>
    <t>00000426</t>
  </si>
  <si>
    <t>00000435</t>
  </si>
  <si>
    <t>00000429</t>
  </si>
  <si>
    <t>00000432</t>
  </si>
  <si>
    <t>00000453</t>
  </si>
  <si>
    <t>00000459</t>
  </si>
  <si>
    <t>00000401</t>
  </si>
  <si>
    <t>3200964</t>
  </si>
  <si>
    <t>KIT DE AFINAMIENTO</t>
  </si>
  <si>
    <t>005-00000443</t>
  </si>
  <si>
    <t>EMBOCINAR TREN DE ATAQUE</t>
  </si>
  <si>
    <t>F1O146</t>
  </si>
  <si>
    <t>ASJ205</t>
  </si>
  <si>
    <t>ENLLANTE</t>
  </si>
  <si>
    <t>APB297</t>
  </si>
  <si>
    <t>AJI091</t>
  </si>
  <si>
    <t>SOPORTE DE CAJA</t>
  </si>
  <si>
    <t>ADL243</t>
  </si>
  <si>
    <t>ADX447</t>
  </si>
  <si>
    <t>FFY280</t>
  </si>
  <si>
    <t>MANTENIMIENTO DE BOMBA DE COMBUSTIBLE</t>
  </si>
  <si>
    <t>ORINS</t>
  </si>
  <si>
    <t>REPARACION DE BOMBIN DE EMBRAGUE</t>
  </si>
  <si>
    <t>MANTENIMIENTO DE PALIER</t>
  </si>
  <si>
    <t>AFY548</t>
  </si>
  <si>
    <t>SOLDAR RADIADOR</t>
  </si>
  <si>
    <t>REPARACION DE EJE DE PALIER</t>
  </si>
  <si>
    <t>BOMBA DE TRAPECIO</t>
  </si>
  <si>
    <t>REPARACION DE BOMBINES DE FRENO</t>
  </si>
  <si>
    <t>REPARAR BOMBINES</t>
  </si>
  <si>
    <t>AFW-077</t>
  </si>
  <si>
    <t>BNL-501</t>
  </si>
  <si>
    <t>CRETA</t>
  </si>
  <si>
    <t>VOLKSWAGEN</t>
  </si>
  <si>
    <t>Cuenta de Cuenta_Dia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</si>
</sst>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-* #,##0.00_-;\-* #,##0.00_-;_-* &quot;-&quot;??_-;_-@_-"/>
    <numFmt numFmtId="165" formatCode="_ * #,##0.00_ ;_ * \-#,##0.00_ ;_ * &quot;-&quot;??_ ;_ @_ "/>
    <numFmt numFmtId="166" formatCode="dd\/mm\/yyyy"/>
    <numFmt numFmtId="167" formatCode="#,##0.00_);\-#,##0.00"/>
    <numFmt numFmtId="168" formatCode="_ * #,##0_ ;_ * \-#,##0_ ;_ * &quot;-&quot;??_ ;_ @_ "/>
    <numFmt numFmtId="169" formatCode="#,##0.00_);\-#,##0.00;&quot;&lt;Default Format&gt;&quot;"/>
    <numFmt numFmtId="170" formatCode="0.0%;\(0.0%\)"/>
    <numFmt numFmtId="171" formatCode="#,##0.000_);\-#,##0.000"/>
    <numFmt numFmtId="172" formatCode="#,##0.0"/>
    <numFmt numFmtId="173" formatCode="dd/mm/yyyy;@"/>
    <numFmt numFmtId="174" formatCode="#,##0.000_);\-#,##0.000;&quot;&lt;Default Format&gt;&quot;"/>
  </numFmts>
  <fonts count="36" x14ac:knownFonts="1">
    <font>
      <sz val="11"/>
      <color theme="1"/>
      <name val="Calibri"/>
      <family val="2"/>
      <scheme val="minor"/>
    </font>
    <font>
      <sz val="8.0500000000000007"/>
      <color indexed="8"/>
      <name val="Arial"/>
      <family val="2"/>
    </font>
    <font>
      <b/>
      <sz val="15.95"/>
      <color indexed="8"/>
      <name val="Arial"/>
      <family val="2"/>
    </font>
    <font>
      <b/>
      <sz val="8.0500000000000007"/>
      <color indexed="8"/>
      <name val="Times New Roman"/>
      <family val="1"/>
    </font>
    <font>
      <sz val="10"/>
      <color theme="1"/>
      <name val="Arial Narrow"/>
      <family val="2"/>
    </font>
    <font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Arial Narrow"/>
      <family val="2"/>
    </font>
    <font>
      <b/>
      <sz val="8"/>
      <color indexed="8"/>
      <name val="Arial"/>
      <family val="2"/>
    </font>
    <font>
      <sz val="8"/>
      <color theme="1"/>
      <name val="Arial"/>
      <family val="2"/>
    </font>
    <font>
      <sz val="8"/>
      <color indexed="8"/>
      <name val="Arial"/>
      <family val="2"/>
    </font>
    <font>
      <b/>
      <sz val="8"/>
      <color theme="0"/>
      <name val="Arial"/>
      <family val="2"/>
    </font>
    <font>
      <sz val="10"/>
      <name val="Arial Narrow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00B05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9"/>
      <name val="Arial Narrow"/>
      <family val="2"/>
    </font>
    <font>
      <b/>
      <sz val="8"/>
      <color theme="1"/>
      <name val="Arial"/>
      <family val="2"/>
    </font>
    <font>
      <sz val="10"/>
      <color indexed="8"/>
      <name val="MS Sans Serif"/>
    </font>
    <font>
      <b/>
      <vertAlign val="superscript"/>
      <sz val="11"/>
      <color theme="1"/>
      <name val="Calibri"/>
      <family val="2"/>
      <scheme val="minor"/>
    </font>
    <font>
      <b/>
      <vertAlign val="superscript"/>
      <sz val="10"/>
      <color theme="0"/>
      <name val="Calibri"/>
      <family val="2"/>
      <scheme val="minor"/>
    </font>
    <font>
      <sz val="8.0500000000000007"/>
      <color indexed="8"/>
      <name val="Arial"/>
      <family val="2"/>
    </font>
    <font>
      <sz val="8.0500000000000007"/>
      <color indexed="8"/>
      <name val="Arial"/>
      <family val="2"/>
    </font>
    <font>
      <sz val="8.0500000000000007"/>
      <color indexed="8"/>
      <name val="Arial"/>
      <family val="2"/>
    </font>
    <font>
      <sz val="8.0500000000000007"/>
      <color indexed="8"/>
      <name val="Arial"/>
      <family val="2"/>
    </font>
    <font>
      <sz val="8.0500000000000007"/>
      <color indexed="8"/>
      <name val="Times New Roman"/>
      <family val="1"/>
    </font>
    <font>
      <sz val="11"/>
      <color theme="0"/>
      <name val="Calibri"/>
      <family val="2"/>
      <scheme val="minor"/>
    </font>
    <font>
      <sz val="10"/>
      <color rgb="FFFF0000"/>
      <name val="Arial Narrow"/>
      <family val="2"/>
    </font>
    <font>
      <sz val="8"/>
      <color indexed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8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165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25" fillId="0" borderId="0"/>
    <xf numFmtId="165" fontId="14" fillId="0" borderId="0" applyFont="0" applyFill="0" applyBorder="0" applyAlignment="0" applyProtection="0"/>
  </cellStyleXfs>
  <cellXfs count="236">
    <xf numFmtId="0" fontId="0" fillId="0" borderId="0" xfId="0"/>
    <xf numFmtId="0" fontId="0" fillId="2" borderId="1" xfId="0" applyFill="1" applyBorder="1" applyAlignment="1">
      <alignment horizontal="left"/>
    </xf>
    <xf numFmtId="0" fontId="0" fillId="0" borderId="1" xfId="0" applyBorder="1"/>
    <xf numFmtId="4" fontId="0" fillId="2" borderId="1" xfId="0" applyNumberFormat="1" applyFill="1" applyBorder="1"/>
    <xf numFmtId="4" fontId="0" fillId="0" borderId="1" xfId="0" applyNumberFormat="1" applyBorder="1"/>
    <xf numFmtId="0" fontId="0" fillId="0" borderId="0" xfId="0" applyNumberFormat="1" applyFill="1" applyBorder="1" applyAlignment="1" applyProtection="1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0" fillId="0" borderId="0" xfId="0"/>
    <xf numFmtId="167" fontId="1" fillId="0" borderId="0" xfId="0" applyNumberFormat="1" applyFont="1" applyAlignment="1">
      <alignment horizontal="right" vertical="center"/>
    </xf>
    <xf numFmtId="0" fontId="4" fillId="2" borderId="0" xfId="0" applyFont="1" applyFill="1"/>
    <xf numFmtId="0" fontId="6" fillId="4" borderId="1" xfId="0" applyFont="1" applyFill="1" applyBorder="1" applyAlignment="1">
      <alignment horizontal="center" vertical="center" wrapText="1"/>
    </xf>
    <xf numFmtId="0" fontId="5" fillId="0" borderId="0" xfId="0" applyFont="1"/>
    <xf numFmtId="0" fontId="7" fillId="0" borderId="1" xfId="0" applyFont="1" applyBorder="1" applyAlignment="1">
      <alignment horizontal="center"/>
    </xf>
    <xf numFmtId="0" fontId="5" fillId="0" borderId="1" xfId="0" applyFont="1" applyBorder="1"/>
    <xf numFmtId="14" fontId="5" fillId="0" borderId="1" xfId="0" applyNumberFormat="1" applyFont="1" applyBorder="1"/>
    <xf numFmtId="4" fontId="5" fillId="0" borderId="1" xfId="0" applyNumberFormat="1" applyFont="1" applyBorder="1"/>
    <xf numFmtId="4" fontId="7" fillId="0" borderId="1" xfId="0" applyNumberFormat="1" applyFont="1" applyBorder="1"/>
    <xf numFmtId="0" fontId="8" fillId="3" borderId="3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14" fontId="0" fillId="0" borderId="1" xfId="0" applyNumberFormat="1" applyBorder="1"/>
    <xf numFmtId="167" fontId="1" fillId="0" borderId="5" xfId="0" applyNumberFormat="1" applyFont="1" applyBorder="1" applyAlignment="1">
      <alignment horizontal="right" vertical="center"/>
    </xf>
    <xf numFmtId="0" fontId="10" fillId="0" borderId="0" xfId="0" applyNumberFormat="1" applyFont="1" applyFill="1" applyBorder="1" applyAlignment="1" applyProtection="1"/>
    <xf numFmtId="4" fontId="11" fillId="0" borderId="0" xfId="0" applyNumberFormat="1" applyFont="1" applyAlignment="1">
      <alignment horizontal="right" vertical="center"/>
    </xf>
    <xf numFmtId="4" fontId="10" fillId="0" borderId="0" xfId="0" applyNumberFormat="1" applyFont="1" applyFill="1" applyBorder="1" applyAlignment="1" applyProtection="1"/>
    <xf numFmtId="14" fontId="11" fillId="0" borderId="0" xfId="0" applyNumberFormat="1" applyFont="1" applyAlignment="1">
      <alignment horizontal="right" vertical="center"/>
    </xf>
    <xf numFmtId="14" fontId="10" fillId="0" borderId="0" xfId="0" applyNumberFormat="1" applyFont="1" applyFill="1" applyBorder="1" applyAlignment="1" applyProtection="1"/>
    <xf numFmtId="10" fontId="10" fillId="0" borderId="0" xfId="0" applyNumberFormat="1" applyFont="1" applyFill="1" applyBorder="1" applyAlignment="1" applyProtection="1"/>
    <xf numFmtId="0" fontId="9" fillId="6" borderId="0" xfId="0" applyFont="1" applyFill="1" applyAlignment="1">
      <alignment horizontal="left" vertical="center"/>
    </xf>
    <xf numFmtId="0" fontId="9" fillId="6" borderId="0" xfId="0" applyFont="1" applyFill="1" applyAlignment="1">
      <alignment horizontal="center" vertical="center"/>
    </xf>
    <xf numFmtId="4" fontId="9" fillId="6" borderId="0" xfId="0" applyNumberFormat="1" applyFont="1" applyFill="1" applyAlignment="1">
      <alignment horizontal="left" vertical="center"/>
    </xf>
    <xf numFmtId="4" fontId="12" fillId="4" borderId="0" xfId="0" applyNumberFormat="1" applyFont="1" applyFill="1" applyAlignment="1">
      <alignment horizontal="left" vertical="center"/>
    </xf>
    <xf numFmtId="14" fontId="12" fillId="4" borderId="0" xfId="0" applyNumberFormat="1" applyFont="1" applyFill="1" applyAlignment="1">
      <alignment horizontal="left" vertical="center"/>
    </xf>
    <xf numFmtId="4" fontId="12" fillId="4" borderId="0" xfId="0" applyNumberFormat="1" applyFont="1" applyFill="1" applyBorder="1" applyAlignment="1" applyProtection="1"/>
    <xf numFmtId="10" fontId="12" fillId="4" borderId="0" xfId="0" applyNumberFormat="1" applyFont="1" applyFill="1" applyBorder="1" applyAlignment="1" applyProtection="1"/>
    <xf numFmtId="0" fontId="12" fillId="4" borderId="0" xfId="0" applyNumberFormat="1" applyFont="1" applyFill="1" applyBorder="1" applyAlignment="1" applyProtection="1"/>
    <xf numFmtId="0" fontId="8" fillId="3" borderId="1" xfId="0" applyFont="1" applyFill="1" applyBorder="1" applyAlignment="1">
      <alignment horizontal="center" vertical="center"/>
    </xf>
    <xf numFmtId="1" fontId="12" fillId="4" borderId="0" xfId="0" applyNumberFormat="1" applyFont="1" applyFill="1" applyBorder="1" applyAlignment="1" applyProtection="1"/>
    <xf numFmtId="1" fontId="10" fillId="0" borderId="0" xfId="0" applyNumberFormat="1" applyFont="1" applyFill="1" applyBorder="1" applyAlignment="1" applyProtection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5" fontId="0" fillId="0" borderId="0" xfId="0" applyNumberFormat="1"/>
    <xf numFmtId="168" fontId="0" fillId="0" borderId="0" xfId="0" applyNumberFormat="1"/>
    <xf numFmtId="164" fontId="0" fillId="0" borderId="0" xfId="0" applyNumberFormat="1"/>
    <xf numFmtId="4" fontId="16" fillId="0" borderId="1" xfId="0" applyNumberFormat="1" applyFont="1" applyBorder="1"/>
    <xf numFmtId="4" fontId="17" fillId="0" borderId="1" xfId="0" applyNumberFormat="1" applyFont="1" applyBorder="1"/>
    <xf numFmtId="4" fontId="18" fillId="0" borderId="1" xfId="0" applyNumberFormat="1" applyFont="1" applyBorder="1"/>
    <xf numFmtId="4" fontId="19" fillId="0" borderId="1" xfId="0" applyNumberFormat="1" applyFont="1" applyBorder="1"/>
    <xf numFmtId="169" fontId="1" fillId="0" borderId="0" xfId="0" applyNumberFormat="1" applyFont="1" applyAlignment="1">
      <alignment horizontal="right" vertical="center"/>
    </xf>
    <xf numFmtId="14" fontId="12" fillId="4" borderId="0" xfId="0" applyNumberFormat="1" applyFont="1" applyFill="1" applyBorder="1" applyAlignment="1" applyProtection="1"/>
    <xf numFmtId="0" fontId="0" fillId="2" borderId="0" xfId="0" applyFill="1" applyAlignment="1">
      <alignment vertical="center"/>
    </xf>
    <xf numFmtId="0" fontId="20" fillId="2" borderId="0" xfId="0" applyNumberFormat="1" applyFont="1" applyFill="1" applyBorder="1" applyAlignment="1" applyProtection="1">
      <alignment vertical="center"/>
    </xf>
    <xf numFmtId="0" fontId="21" fillId="7" borderId="0" xfId="0" applyNumberFormat="1" applyFont="1" applyFill="1" applyBorder="1" applyAlignment="1" applyProtection="1">
      <alignment vertical="center"/>
    </xf>
    <xf numFmtId="17" fontId="21" fillId="7" borderId="0" xfId="0" applyNumberFormat="1" applyFont="1" applyFill="1" applyBorder="1" applyAlignment="1" applyProtection="1">
      <alignment horizontal="center" vertical="center"/>
    </xf>
    <xf numFmtId="0" fontId="21" fillId="7" borderId="0" xfId="0" applyNumberFormat="1" applyFont="1" applyFill="1" applyBorder="1" applyAlignment="1" applyProtection="1">
      <alignment horizontal="center" vertical="center"/>
    </xf>
    <xf numFmtId="0" fontId="22" fillId="2" borderId="0" xfId="0" applyNumberFormat="1" applyFont="1" applyFill="1" applyBorder="1" applyAlignment="1" applyProtection="1">
      <alignment vertical="center"/>
    </xf>
    <xf numFmtId="3" fontId="22" fillId="2" borderId="0" xfId="0" applyNumberFormat="1" applyFont="1" applyFill="1" applyBorder="1" applyAlignment="1" applyProtection="1">
      <alignment horizontal="right" vertical="center"/>
    </xf>
    <xf numFmtId="170" fontId="22" fillId="2" borderId="0" xfId="1" applyNumberFormat="1" applyFont="1" applyFill="1" applyBorder="1" applyAlignment="1" applyProtection="1">
      <alignment horizontal="right" vertical="center"/>
    </xf>
    <xf numFmtId="0" fontId="22" fillId="2" borderId="6" xfId="0" applyNumberFormat="1" applyFont="1" applyFill="1" applyBorder="1" applyAlignment="1" applyProtection="1">
      <alignment vertical="center"/>
    </xf>
    <xf numFmtId="3" fontId="22" fillId="2" borderId="6" xfId="1" applyNumberFormat="1" applyFont="1" applyFill="1" applyBorder="1" applyAlignment="1" applyProtection="1">
      <alignment horizontal="right" vertical="center"/>
    </xf>
    <xf numFmtId="3" fontId="22" fillId="2" borderId="6" xfId="0" applyNumberFormat="1" applyFont="1" applyFill="1" applyBorder="1" applyAlignment="1" applyProtection="1">
      <alignment horizontal="right" vertical="center"/>
    </xf>
    <xf numFmtId="170" fontId="22" fillId="2" borderId="6" xfId="1" applyNumberFormat="1" applyFont="1" applyFill="1" applyBorder="1" applyAlignment="1" applyProtection="1">
      <alignment horizontal="right" vertical="center"/>
    </xf>
    <xf numFmtId="3" fontId="20" fillId="2" borderId="0" xfId="1" applyNumberFormat="1" applyFont="1" applyFill="1" applyBorder="1" applyAlignment="1" applyProtection="1">
      <alignment horizontal="right" vertical="center"/>
    </xf>
    <xf numFmtId="3" fontId="20" fillId="2" borderId="0" xfId="0" applyNumberFormat="1" applyFont="1" applyFill="1" applyBorder="1" applyAlignment="1" applyProtection="1">
      <alignment horizontal="right" vertical="center"/>
    </xf>
    <xf numFmtId="170" fontId="20" fillId="2" borderId="0" xfId="1" applyNumberFormat="1" applyFont="1" applyFill="1" applyBorder="1" applyAlignment="1" applyProtection="1">
      <alignment horizontal="right" vertical="center"/>
    </xf>
    <xf numFmtId="3" fontId="5" fillId="2" borderId="0" xfId="0" applyNumberFormat="1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3" fontId="20" fillId="2" borderId="0" xfId="1" applyNumberFormat="1" applyFont="1" applyFill="1" applyBorder="1" applyAlignment="1" applyProtection="1">
      <alignment vertical="center"/>
    </xf>
    <xf numFmtId="170" fontId="20" fillId="2" borderId="0" xfId="1" applyNumberFormat="1" applyFont="1" applyFill="1" applyBorder="1" applyAlignment="1" applyProtection="1">
      <alignment vertical="center"/>
    </xf>
    <xf numFmtId="3" fontId="22" fillId="2" borderId="6" xfId="1" applyNumberFormat="1" applyFont="1" applyFill="1" applyBorder="1" applyAlignment="1" applyProtection="1">
      <alignment vertical="center"/>
    </xf>
    <xf numFmtId="3" fontId="7" fillId="2" borderId="0" xfId="0" applyNumberFormat="1" applyFont="1" applyFill="1" applyAlignment="1">
      <alignment horizontal="right" vertical="center"/>
    </xf>
    <xf numFmtId="0" fontId="15" fillId="2" borderId="0" xfId="0" applyFont="1" applyFill="1" applyAlignment="1">
      <alignment horizontal="right" vertical="center"/>
    </xf>
    <xf numFmtId="0" fontId="5" fillId="0" borderId="1" xfId="0" applyFont="1" applyFill="1" applyBorder="1"/>
    <xf numFmtId="14" fontId="5" fillId="0" borderId="1" xfId="0" applyNumberFormat="1" applyFont="1" applyFill="1" applyBorder="1"/>
    <xf numFmtId="4" fontId="5" fillId="0" borderId="1" xfId="0" applyNumberFormat="1" applyFont="1" applyFill="1" applyBorder="1"/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167" fontId="11" fillId="0" borderId="0" xfId="0" applyNumberFormat="1" applyFont="1" applyAlignment="1">
      <alignment horizontal="right" vertical="center"/>
    </xf>
    <xf numFmtId="0" fontId="11" fillId="0" borderId="0" xfId="0" applyFont="1" applyAlignment="1">
      <alignment horizontal="right" vertical="center"/>
    </xf>
    <xf numFmtId="0" fontId="5" fillId="0" borderId="1" xfId="0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/>
    </xf>
    <xf numFmtId="0" fontId="5" fillId="5" borderId="1" xfId="0" applyFont="1" applyFill="1" applyBorder="1"/>
    <xf numFmtId="14" fontId="5" fillId="5" borderId="1" xfId="0" applyNumberFormat="1" applyFont="1" applyFill="1" applyBorder="1"/>
    <xf numFmtId="4" fontId="5" fillId="5" borderId="1" xfId="0" applyNumberFormat="1" applyFont="1" applyFill="1" applyBorder="1"/>
    <xf numFmtId="167" fontId="1" fillId="5" borderId="0" xfId="0" applyNumberFormat="1" applyFont="1" applyFill="1" applyAlignment="1">
      <alignment horizontal="right" vertical="center"/>
    </xf>
    <xf numFmtId="0" fontId="23" fillId="3" borderId="3" xfId="0" applyFont="1" applyFill="1" applyBorder="1" applyAlignment="1">
      <alignment horizontal="center" vertical="center" wrapText="1"/>
    </xf>
    <xf numFmtId="3" fontId="22" fillId="2" borderId="0" xfId="0" applyNumberFormat="1" applyFont="1" applyFill="1" applyBorder="1" applyAlignment="1" applyProtection="1">
      <alignment vertical="center"/>
    </xf>
    <xf numFmtId="170" fontId="22" fillId="2" borderId="0" xfId="1" applyNumberFormat="1" applyFont="1" applyFill="1" applyBorder="1" applyAlignment="1" applyProtection="1">
      <alignment vertical="center"/>
    </xf>
    <xf numFmtId="3" fontId="22" fillId="2" borderId="6" xfId="0" applyNumberFormat="1" applyFont="1" applyFill="1" applyBorder="1" applyAlignment="1" applyProtection="1">
      <alignment vertical="center"/>
    </xf>
    <xf numFmtId="170" fontId="22" fillId="2" borderId="6" xfId="1" applyNumberFormat="1" applyFont="1" applyFill="1" applyBorder="1" applyAlignment="1" applyProtection="1">
      <alignment vertical="center"/>
    </xf>
    <xf numFmtId="3" fontId="20" fillId="2" borderId="0" xfId="0" applyNumberFormat="1" applyFont="1" applyFill="1" applyBorder="1" applyAlignment="1" applyProtection="1">
      <alignment vertical="center"/>
    </xf>
    <xf numFmtId="0" fontId="1" fillId="5" borderId="0" xfId="0" applyFont="1" applyFill="1" applyAlignment="1">
      <alignment vertical="center"/>
    </xf>
    <xf numFmtId="0" fontId="0" fillId="2" borderId="0" xfId="0" applyFill="1"/>
    <xf numFmtId="4" fontId="24" fillId="0" borderId="0" xfId="0" applyNumberFormat="1" applyFont="1" applyFill="1" applyBorder="1" applyAlignment="1" applyProtection="1"/>
    <xf numFmtId="0" fontId="1" fillId="0" borderId="0" xfId="0" quotePrefix="1" applyFont="1" applyAlignment="1">
      <alignment vertical="center"/>
    </xf>
    <xf numFmtId="1" fontId="0" fillId="0" borderId="0" xfId="0" applyNumberFormat="1" applyAlignment="1">
      <alignment horizontal="left"/>
    </xf>
    <xf numFmtId="4" fontId="15" fillId="0" borderId="0" xfId="0" applyNumberFormat="1" applyFont="1" applyFill="1" applyBorder="1" applyAlignment="1" applyProtection="1"/>
    <xf numFmtId="4" fontId="0" fillId="0" borderId="0" xfId="0" applyNumberFormat="1" applyFill="1" applyBorder="1" applyAlignment="1" applyProtection="1"/>
    <xf numFmtId="0" fontId="1" fillId="0" borderId="0" xfId="3" applyFont="1" applyAlignment="1">
      <alignment vertical="center"/>
    </xf>
    <xf numFmtId="0" fontId="1" fillId="0" borderId="0" xfId="3" applyFont="1" applyAlignment="1">
      <alignment horizontal="center" vertical="center"/>
    </xf>
    <xf numFmtId="167" fontId="1" fillId="0" borderId="0" xfId="3" applyNumberFormat="1" applyFont="1" applyAlignment="1">
      <alignment horizontal="right" vertical="center"/>
    </xf>
    <xf numFmtId="0" fontId="1" fillId="0" borderId="0" xfId="3" applyFont="1" applyAlignment="1">
      <alignment horizontal="right" vertical="center"/>
    </xf>
    <xf numFmtId="0" fontId="10" fillId="5" borderId="0" xfId="0" applyNumberFormat="1" applyFont="1" applyFill="1" applyBorder="1" applyAlignment="1" applyProtection="1"/>
    <xf numFmtId="9" fontId="22" fillId="2" borderId="0" xfId="2" applyFont="1" applyFill="1" applyBorder="1" applyAlignment="1" applyProtection="1">
      <alignment horizontal="right" vertical="center"/>
    </xf>
    <xf numFmtId="9" fontId="22" fillId="2" borderId="6" xfId="2" applyFont="1" applyFill="1" applyBorder="1" applyAlignment="1" applyProtection="1">
      <alignment horizontal="right" vertical="center"/>
    </xf>
    <xf numFmtId="9" fontId="20" fillId="2" borderId="0" xfId="2" applyFont="1" applyFill="1" applyBorder="1" applyAlignment="1" applyProtection="1">
      <alignment horizontal="right" vertical="center"/>
    </xf>
    <xf numFmtId="0" fontId="15" fillId="2" borderId="0" xfId="0" applyFont="1" applyFill="1" applyAlignment="1">
      <alignment horizontal="center"/>
    </xf>
    <xf numFmtId="3" fontId="22" fillId="2" borderId="0" xfId="1" applyNumberFormat="1" applyFont="1" applyFill="1" applyBorder="1" applyAlignment="1" applyProtection="1">
      <alignment horizontal="right" vertical="center"/>
    </xf>
    <xf numFmtId="1" fontId="0" fillId="0" borderId="0" xfId="0" applyNumberFormat="1"/>
    <xf numFmtId="167" fontId="1" fillId="0" borderId="0" xfId="0" applyNumberFormat="1" applyFont="1" applyFill="1" applyAlignment="1">
      <alignment horizontal="right" vertical="center"/>
    </xf>
    <xf numFmtId="4" fontId="5" fillId="2" borderId="0" xfId="0" applyNumberFormat="1" applyFont="1" applyFill="1" applyAlignment="1">
      <alignment horizontal="right" vertical="center"/>
    </xf>
    <xf numFmtId="4" fontId="22" fillId="2" borderId="6" xfId="1" applyNumberFormat="1" applyFont="1" applyFill="1" applyBorder="1" applyAlignment="1" applyProtection="1">
      <alignment horizontal="right" vertical="center"/>
    </xf>
    <xf numFmtId="0" fontId="28" fillId="0" borderId="0" xfId="0" applyFont="1" applyAlignment="1">
      <alignment vertical="center"/>
    </xf>
    <xf numFmtId="0" fontId="28" fillId="0" borderId="0" xfId="0" applyFont="1" applyAlignment="1">
      <alignment horizontal="center" vertical="center"/>
    </xf>
    <xf numFmtId="167" fontId="28" fillId="0" borderId="0" xfId="0" applyNumberFormat="1" applyFont="1" applyAlignment="1">
      <alignment horizontal="right" vertical="center"/>
    </xf>
    <xf numFmtId="0" fontId="28" fillId="0" borderId="0" xfId="0" applyFont="1" applyAlignment="1">
      <alignment horizontal="right" vertical="center"/>
    </xf>
    <xf numFmtId="0" fontId="0" fillId="0" borderId="0" xfId="0" applyNumberFormat="1"/>
    <xf numFmtId="172" fontId="22" fillId="2" borderId="0" xfId="0" applyNumberFormat="1" applyFont="1" applyFill="1" applyBorder="1" applyAlignment="1" applyProtection="1">
      <alignment horizontal="right" vertical="center"/>
    </xf>
    <xf numFmtId="172" fontId="22" fillId="2" borderId="6" xfId="0" applyNumberFormat="1" applyFont="1" applyFill="1" applyBorder="1" applyAlignment="1" applyProtection="1">
      <alignment horizontal="right" vertical="center"/>
    </xf>
    <xf numFmtId="172" fontId="20" fillId="2" borderId="0" xfId="0" applyNumberFormat="1" applyFont="1" applyFill="1" applyBorder="1" applyAlignment="1" applyProtection="1">
      <alignment horizontal="right" vertical="center"/>
    </xf>
    <xf numFmtId="0" fontId="29" fillId="0" borderId="0" xfId="0" applyFont="1" applyAlignment="1">
      <alignment vertical="center"/>
    </xf>
    <xf numFmtId="0" fontId="29" fillId="0" borderId="0" xfId="0" applyFont="1" applyAlignment="1">
      <alignment horizontal="center" vertical="center"/>
    </xf>
    <xf numFmtId="167" fontId="29" fillId="0" borderId="0" xfId="0" applyNumberFormat="1" applyFont="1" applyAlignment="1">
      <alignment horizontal="right" vertical="center"/>
    </xf>
    <xf numFmtId="0" fontId="29" fillId="0" borderId="0" xfId="0" applyFont="1" applyAlignment="1">
      <alignment horizontal="right" vertical="center"/>
    </xf>
    <xf numFmtId="167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167" fontId="1" fillId="0" borderId="0" xfId="0" applyNumberFormat="1" applyFont="1" applyFill="1" applyAlignment="1">
      <alignment horizontal="right" vertical="center"/>
    </xf>
    <xf numFmtId="0" fontId="29" fillId="0" borderId="0" xfId="3" applyFont="1" applyAlignment="1">
      <alignment vertical="center"/>
    </xf>
    <xf numFmtId="0" fontId="29" fillId="0" borderId="0" xfId="3" applyFont="1" applyAlignment="1">
      <alignment horizontal="center" vertical="center"/>
    </xf>
    <xf numFmtId="167" fontId="29" fillId="0" borderId="0" xfId="3" applyNumberFormat="1" applyFont="1" applyAlignment="1">
      <alignment horizontal="right" vertical="center"/>
    </xf>
    <xf numFmtId="0" fontId="29" fillId="0" borderId="0" xfId="3" applyFont="1" applyAlignment="1">
      <alignment horizontal="right" vertical="center"/>
    </xf>
    <xf numFmtId="0" fontId="4" fillId="2" borderId="1" xfId="0" applyFont="1" applyFill="1" applyBorder="1" applyAlignment="1">
      <alignment horizontal="center" vertical="center"/>
    </xf>
    <xf numFmtId="0" fontId="8" fillId="4" borderId="0" xfId="0" applyFont="1" applyFill="1" applyBorder="1" applyAlignment="1">
      <alignment horizontal="center"/>
    </xf>
    <xf numFmtId="167" fontId="29" fillId="0" borderId="5" xfId="0" applyNumberFormat="1" applyFont="1" applyBorder="1" applyAlignment="1">
      <alignment horizontal="right" vertical="center"/>
    </xf>
    <xf numFmtId="0" fontId="29" fillId="0" borderId="0" xfId="0" applyFont="1" applyFill="1" applyAlignment="1">
      <alignment vertical="center"/>
    </xf>
    <xf numFmtId="0" fontId="29" fillId="0" borderId="0" xfId="0" applyFont="1" applyFill="1" applyAlignment="1">
      <alignment horizontal="center" vertical="center"/>
    </xf>
    <xf numFmtId="167" fontId="29" fillId="0" borderId="0" xfId="0" applyNumberFormat="1" applyFont="1" applyFill="1" applyAlignment="1">
      <alignment horizontal="right" vertical="center"/>
    </xf>
    <xf numFmtId="0" fontId="29" fillId="0" borderId="0" xfId="0" applyFont="1" applyFill="1" applyAlignment="1">
      <alignment horizontal="right" vertical="center"/>
    </xf>
    <xf numFmtId="173" fontId="8" fillId="4" borderId="0" xfId="0" applyNumberFormat="1" applyFont="1" applyFill="1" applyBorder="1" applyAlignment="1">
      <alignment horizontal="center"/>
    </xf>
    <xf numFmtId="173" fontId="4" fillId="2" borderId="0" xfId="0" applyNumberFormat="1" applyFont="1" applyFill="1"/>
    <xf numFmtId="173" fontId="8" fillId="3" borderId="1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vertical="center"/>
    </xf>
    <xf numFmtId="0" fontId="30" fillId="0" borderId="0" xfId="0" applyFont="1" applyAlignment="1">
      <alignment horizontal="center" vertical="center"/>
    </xf>
    <xf numFmtId="167" fontId="30" fillId="0" borderId="0" xfId="0" applyNumberFormat="1" applyFont="1" applyAlignment="1">
      <alignment horizontal="right" vertical="center"/>
    </xf>
    <xf numFmtId="0" fontId="30" fillId="0" borderId="0" xfId="0" applyFont="1" applyAlignment="1">
      <alignment horizontal="right" vertical="center"/>
    </xf>
    <xf numFmtId="0" fontId="5" fillId="8" borderId="1" xfId="0" applyFont="1" applyFill="1" applyBorder="1"/>
    <xf numFmtId="14" fontId="5" fillId="8" borderId="1" xfId="0" applyNumberFormat="1" applyFont="1" applyFill="1" applyBorder="1"/>
    <xf numFmtId="4" fontId="5" fillId="8" borderId="1" xfId="0" applyNumberFormat="1" applyFont="1" applyFill="1" applyBorder="1"/>
    <xf numFmtId="0" fontId="7" fillId="0" borderId="0" xfId="0" applyFont="1" applyAlignment="1"/>
    <xf numFmtId="14" fontId="4" fillId="0" borderId="7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" fontId="13" fillId="0" borderId="1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vertical="center"/>
    </xf>
    <xf numFmtId="0" fontId="13" fillId="0" borderId="3" xfId="0" applyFont="1" applyBorder="1" applyAlignment="1">
      <alignment horizontal="center" vertical="center"/>
    </xf>
    <xf numFmtId="16" fontId="13" fillId="0" borderId="3" xfId="0" applyNumberFormat="1" applyFont="1" applyBorder="1" applyAlignment="1">
      <alignment horizontal="center" vertical="center"/>
    </xf>
    <xf numFmtId="1" fontId="4" fillId="0" borderId="3" xfId="0" applyNumberFormat="1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13" fillId="0" borderId="2" xfId="0" applyFont="1" applyBorder="1" applyAlignment="1">
      <alignment horizontal="center" vertical="center"/>
    </xf>
    <xf numFmtId="16" fontId="13" fillId="0" borderId="2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49" fontId="4" fillId="0" borderId="7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167" fontId="11" fillId="0" borderId="5" xfId="0" applyNumberFormat="1" applyFont="1" applyBorder="1" applyAlignment="1">
      <alignment horizontal="right" vertical="center"/>
    </xf>
    <xf numFmtId="166" fontId="31" fillId="0" borderId="0" xfId="0" applyNumberFormat="1" applyFont="1" applyAlignment="1">
      <alignment vertical="center"/>
    </xf>
    <xf numFmtId="0" fontId="31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1" fillId="0" borderId="0" xfId="0" applyFont="1" applyAlignment="1">
      <alignment horizontal="right" vertical="center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horizontal="center" vertical="center"/>
    </xf>
    <xf numFmtId="171" fontId="31" fillId="0" borderId="0" xfId="0" applyNumberFormat="1" applyFont="1" applyAlignment="1">
      <alignment horizontal="right" vertical="center"/>
    </xf>
    <xf numFmtId="167" fontId="31" fillId="0" borderId="0" xfId="0" applyNumberFormat="1" applyFont="1" applyAlignment="1">
      <alignment horizontal="right" vertical="center"/>
    </xf>
    <xf numFmtId="14" fontId="0" fillId="0" borderId="0" xfId="0" applyNumberFormat="1"/>
    <xf numFmtId="9" fontId="0" fillId="0" borderId="0" xfId="2" applyFont="1"/>
    <xf numFmtId="4" fontId="0" fillId="0" borderId="0" xfId="0" applyNumberFormat="1"/>
    <xf numFmtId="4" fontId="15" fillId="0" borderId="0" xfId="0" applyNumberFormat="1" applyFont="1"/>
    <xf numFmtId="10" fontId="15" fillId="0" borderId="0" xfId="2" applyNumberFormat="1" applyFont="1"/>
    <xf numFmtId="10" fontId="0" fillId="0" borderId="1" xfId="2" applyNumberFormat="1" applyFont="1" applyBorder="1"/>
    <xf numFmtId="1" fontId="0" fillId="0" borderId="1" xfId="0" applyNumberFormat="1" applyBorder="1"/>
    <xf numFmtId="0" fontId="0" fillId="0" borderId="1" xfId="0" applyNumberFormat="1" applyBorder="1"/>
    <xf numFmtId="14" fontId="0" fillId="0" borderId="3" xfId="0" applyNumberFormat="1" applyBorder="1"/>
    <xf numFmtId="4" fontId="0" fillId="0" borderId="3" xfId="0" applyNumberFormat="1" applyBorder="1"/>
    <xf numFmtId="10" fontId="0" fillId="0" borderId="3" xfId="2" applyNumberFormat="1" applyFont="1" applyBorder="1"/>
    <xf numFmtId="1" fontId="0" fillId="0" borderId="3" xfId="0" applyNumberFormat="1" applyBorder="1"/>
    <xf numFmtId="0" fontId="0" fillId="0" borderId="3" xfId="0" applyNumberFormat="1" applyBorder="1"/>
    <xf numFmtId="0" fontId="33" fillId="7" borderId="1" xfId="0" applyFont="1" applyFill="1" applyBorder="1"/>
    <xf numFmtId="14" fontId="15" fillId="0" borderId="0" xfId="0" applyNumberFormat="1" applyFont="1"/>
    <xf numFmtId="14" fontId="0" fillId="0" borderId="0" xfId="0" applyNumberFormat="1" applyBorder="1"/>
    <xf numFmtId="4" fontId="0" fillId="0" borderId="0" xfId="0" applyNumberFormat="1" applyBorder="1"/>
    <xf numFmtId="14" fontId="0" fillId="0" borderId="8" xfId="0" applyNumberFormat="1" applyBorder="1"/>
    <xf numFmtId="14" fontId="0" fillId="0" borderId="10" xfId="0" applyNumberFormat="1" applyBorder="1"/>
    <xf numFmtId="4" fontId="0" fillId="0" borderId="11" xfId="0" applyNumberFormat="1" applyBorder="1"/>
    <xf numFmtId="14" fontId="15" fillId="0" borderId="0" xfId="0" applyNumberFormat="1" applyFont="1" applyBorder="1"/>
    <xf numFmtId="14" fontId="0" fillId="0" borderId="0" xfId="0" applyNumberFormat="1" applyFont="1" applyBorder="1"/>
    <xf numFmtId="14" fontId="0" fillId="0" borderId="13" xfId="0" applyNumberFormat="1" applyBorder="1"/>
    <xf numFmtId="4" fontId="0" fillId="0" borderId="2" xfId="0" applyNumberFormat="1" applyBorder="1"/>
    <xf numFmtId="14" fontId="15" fillId="9" borderId="15" xfId="0" applyNumberFormat="1" applyFont="1" applyFill="1" applyBorder="1" applyAlignment="1">
      <alignment horizontal="center"/>
    </xf>
    <xf numFmtId="14" fontId="15" fillId="9" borderId="16" xfId="0" applyNumberFormat="1" applyFont="1" applyFill="1" applyBorder="1" applyAlignment="1">
      <alignment horizontal="center"/>
    </xf>
    <xf numFmtId="4" fontId="15" fillId="9" borderId="16" xfId="0" applyNumberFormat="1" applyFont="1" applyFill="1" applyBorder="1" applyAlignment="1">
      <alignment horizontal="center"/>
    </xf>
    <xf numFmtId="4" fontId="15" fillId="9" borderId="17" xfId="0" applyNumberFormat="1" applyFont="1" applyFill="1" applyBorder="1" applyAlignment="1">
      <alignment horizontal="center"/>
    </xf>
    <xf numFmtId="10" fontId="24" fillId="10" borderId="14" xfId="0" applyNumberFormat="1" applyFont="1" applyFill="1" applyBorder="1" applyAlignment="1" applyProtection="1"/>
    <xf numFmtId="10" fontId="24" fillId="10" borderId="9" xfId="0" applyNumberFormat="1" applyFont="1" applyFill="1" applyBorder="1" applyAlignment="1" applyProtection="1"/>
    <xf numFmtId="10" fontId="24" fillId="10" borderId="12" xfId="0" applyNumberFormat="1" applyFont="1" applyFill="1" applyBorder="1" applyAlignment="1" applyProtection="1"/>
    <xf numFmtId="10" fontId="24" fillId="11" borderId="0" xfId="0" applyNumberFormat="1" applyFont="1" applyFill="1" applyBorder="1" applyAlignment="1" applyProtection="1"/>
    <xf numFmtId="14" fontId="4" fillId="0" borderId="7" xfId="0" applyNumberFormat="1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16" fontId="13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34" fillId="0" borderId="1" xfId="0" applyFont="1" applyFill="1" applyBorder="1" applyAlignment="1">
      <alignment horizontal="center" vertical="center"/>
    </xf>
    <xf numFmtId="171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166" fontId="1" fillId="0" borderId="0" xfId="0" applyNumberFormat="1" applyFont="1" applyAlignment="1">
      <alignment vertical="center"/>
    </xf>
    <xf numFmtId="174" fontId="1" fillId="0" borderId="0" xfId="0" applyNumberFormat="1" applyFont="1" applyAlignment="1">
      <alignment horizontal="right" vertical="center"/>
    </xf>
    <xf numFmtId="1" fontId="4" fillId="0" borderId="4" xfId="0" applyNumberFormat="1" applyFont="1" applyBorder="1" applyAlignment="1">
      <alignment vertical="center"/>
    </xf>
    <xf numFmtId="1" fontId="4" fillId="0" borderId="2" xfId="0" applyNumberFormat="1" applyFont="1" applyBorder="1" applyAlignment="1">
      <alignment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horizontal="center" vertical="center"/>
    </xf>
    <xf numFmtId="167" fontId="35" fillId="0" borderId="0" xfId="0" applyNumberFormat="1" applyFont="1" applyAlignment="1">
      <alignment horizontal="right" vertical="center"/>
    </xf>
    <xf numFmtId="0" fontId="35" fillId="0" borderId="0" xfId="0" applyFont="1" applyAlignment="1">
      <alignment horizontal="right" vertical="center"/>
    </xf>
    <xf numFmtId="0" fontId="20" fillId="2" borderId="0" xfId="0" applyNumberFormat="1" applyFont="1" applyFill="1" applyBorder="1" applyAlignment="1" applyProtection="1">
      <alignment horizontal="left" vertical="center"/>
    </xf>
    <xf numFmtId="0" fontId="20" fillId="2" borderId="0" xfId="0" applyNumberFormat="1" applyFont="1" applyFill="1" applyBorder="1" applyAlignment="1" applyProtection="1">
      <alignment horizontal="right" vertical="center"/>
    </xf>
    <xf numFmtId="0" fontId="33" fillId="2" borderId="0" xfId="0" applyFont="1" applyFill="1" applyAlignment="1">
      <alignment vertical="center"/>
    </xf>
    <xf numFmtId="0" fontId="13" fillId="5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13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/>
    </xf>
  </cellXfs>
  <cellStyles count="5">
    <cellStyle name="Comma" xfId="1" builtinId="3"/>
    <cellStyle name="Millares 2" xfId="4" xr:uid="{00000000-0005-0000-0000-000001000000}"/>
    <cellStyle name="Normal" xfId="0" builtinId="0"/>
    <cellStyle name="Normal 2" xfId="3" xr:uid="{00000000-0005-0000-0000-000003000000}"/>
    <cellStyle name="Percent" xfId="2" builtinId="5"/>
  </cellStyles>
  <dxfs count="54"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5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5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5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5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5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5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5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5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5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numFmt numFmtId="175" formatCode="dd/mm/yyyy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68" formatCode="_ * #,##0_ ;_ * \-#,##0_ ;_ * &quot;-&quot;??_ ;_ @_ "/>
    </dxf>
    <dxf>
      <numFmt numFmtId="168" formatCode="_ * #,##0_ ;_ * \-#,##0_ ;_ * &quot;-&quot;??_ ;_ @_ "/>
    </dxf>
    <dxf>
      <numFmt numFmtId="165" formatCode="_ * #,##0.00_ ;_ * \-#,##0.00_ ;_ * &quot;-&quot;??_ ;_ @_ "/>
    </dxf>
    <dxf>
      <numFmt numFmtId="168" formatCode="_ * #,##0_ ;_ * \-#,##0_ ;_ * &quot;-&quot;??_ ;_ @_ "/>
    </dxf>
    <dxf>
      <numFmt numFmtId="165" formatCode="_ * #,##0.00_ ;_ * \-#,##0.00_ ;_ * &quot;-&quot;??_ ;_ @_ "/>
    </dxf>
    <dxf>
      <numFmt numFmtId="168" formatCode="_ * #,##0_ ;_ * \-#,##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8" formatCode="_ * #,##0_ ;_ * \-#,##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8" formatCode="_ * #,##0_ ;_ * \-#,##0_ ;_ * &quot;-&quot;??_ ;_ @_ "/>
    </dxf>
    <dxf>
      <numFmt numFmtId="168" formatCode="_ * #,##0_ ;_ * \-#,##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  <dxf>
      <numFmt numFmtId="165" formatCode="_ * #,##0.00_ ;_ * \-#,##0.00_ ;_ * &quot;-&quot;??_ ;_ @_ "/>
    </dxf>
  </dxfs>
  <tableStyles count="0" defaultTableStyle="TableStyleMedium2" defaultPivotStyle="PivotStyleLight16"/>
  <colors>
    <mruColors>
      <color rgb="FF99FF99"/>
      <color rgb="FFFF0000"/>
      <color rgb="FFCC9900"/>
      <color rgb="FF00FFFF"/>
      <color rgb="FFFFFF66"/>
      <color rgb="FFCC3399"/>
      <color rgb="FF66CCFF"/>
      <color rgb="FFFF6699"/>
      <color rgb="FF00669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" refreshedDate="43504.759083333331" createdVersion="6" refreshedVersion="6" minRefreshableVersion="3" recordCount="4862" xr:uid="{00000000-000A-0000-FFFF-FFFF38000000}">
  <cacheSource type="worksheet">
    <worksheetSource ref="Y3:AV314" sheet="Facturacion"/>
  </cacheSource>
  <cacheFields count="26">
    <cacheField name="Fecha2" numFmtId="14">
      <sharedItems containsSemiMixedTypes="0" containsNonDate="0" containsDate="1" containsString="0" minDate="2017-03-01T00:00:00" maxDate="2019-02-01T00:00:00"/>
    </cacheField>
    <cacheField name="OT Unicas" numFmtId="0">
      <sharedItems/>
    </cacheField>
    <cacheField name="Sum_Acum" numFmtId="4">
      <sharedItems containsSemiMixedTypes="0" containsString="0" containsNumber="1" minValue="5.3834158826801968" maxValue="21996.859405626739"/>
    </cacheField>
    <cacheField name="Salidas_Almacen" numFmtId="4">
      <sharedItems containsSemiMixedTypes="0" containsString="0" containsNumber="1" minValue="0" maxValue="7731.3061112000014"/>
    </cacheField>
    <cacheField name="Compras_Rpto" numFmtId="4">
      <sharedItems containsSemiMixedTypes="0" containsString="0" containsNumber="1" minValue="0" maxValue="1845.3175000000001"/>
    </cacheField>
    <cacheField name="Serv_Terceros" numFmtId="4">
      <sharedItems containsSemiMixedTypes="0" containsString="0" containsNumber="1" minValue="0" maxValue="3264.8305084745766"/>
    </cacheField>
    <cacheField name="MO_Mecanica" numFmtId="4">
      <sharedItems containsSemiMixedTypes="0" containsString="0" containsNumber="1" minValue="0" maxValue="380.25"/>
    </cacheField>
    <cacheField name="MO_Planchado" numFmtId="4">
      <sharedItems containsSemiMixedTypes="0" containsString="0" containsNumber="1" minValue="0" maxValue="2032.875"/>
    </cacheField>
    <cacheField name="MO_Pintura" numFmtId="4">
      <sharedItems containsSemiMixedTypes="0" containsString="0" containsNumber="1" minValue="0" maxValue="1487.46"/>
    </cacheField>
    <cacheField name="Ser_Ter_Taller" numFmtId="4">
      <sharedItems containsSemiMixedTypes="0" containsString="0" containsNumber="1" minValue="0" maxValue="455"/>
    </cacheField>
    <cacheField name="Total_Gastos" numFmtId="4">
      <sharedItems containsSemiMixedTypes="0" containsString="0" containsNumber="1" minValue="0" maxValue="8518.4461112000008"/>
    </cacheField>
    <cacheField name="Margen_bruto" numFmtId="4">
      <sharedItems containsSemiMixedTypes="0" containsString="0" containsNumber="1" minValue="-1829.0895530999999" maxValue="19332.52440562674"/>
    </cacheField>
    <cacheField name="Porcentaje" numFmtId="10">
      <sharedItems containsSemiMixedTypes="0" containsString="0" containsNumber="1" minValue="-13.772683688782058" maxValue="1"/>
    </cacheField>
    <cacheField name="Tip_Cli" numFmtId="4">
      <sharedItems count="6">
        <s v="C.C"/>
        <s v="RIMAC"/>
        <s v="POSITIVA"/>
        <s v="HDI"/>
        <s v="S/TIPO"/>
        <s v="OFICINA"/>
      </sharedItems>
    </cacheField>
    <cacheField name="Tip_Siniestro" numFmtId="4">
      <sharedItems/>
    </cacheField>
    <cacheField name="Mes_Fac" numFmtId="14">
      <sharedItems count="12">
        <s v="Abril"/>
        <s v="Mayo"/>
        <s v="Junio"/>
        <s v="Julio"/>
        <s v="Agosto"/>
        <s v="Septiembre"/>
        <s v="Octubre"/>
        <s v="Marzo"/>
        <s v="Noviembre"/>
        <s v="Diciembre"/>
        <s v="Enero"/>
        <s v="Febrero"/>
      </sharedItems>
    </cacheField>
    <cacheField name="Año_Fac" numFmtId="1">
      <sharedItems containsSemiMixedTypes="0" containsString="0" containsNumber="1" containsInteger="1" minValue="2017" maxValue="2019" count="3">
        <n v="2017"/>
        <n v="2018"/>
        <n v="2019"/>
      </sharedItems>
    </cacheField>
    <cacheField name="Dias_Taller" numFmtId="1">
      <sharedItems containsSemiMixedTypes="0" containsString="0" containsNumber="1" containsInteger="1" minValue="-19" maxValue="6212"/>
    </cacheField>
    <cacheField name="Cuenta_Dia" numFmtId="0">
      <sharedItems containsSemiMixedTypes="0" containsString="0" containsNumber="1" containsInteger="1" minValue="1" maxValue="1"/>
    </cacheField>
    <cacheField name="Fecha_Rep" numFmtId="14">
      <sharedItems containsSemiMixedTypes="0" containsNonDate="0" containsDate="1" containsString="0" minDate="2002-01-01T00:00:00" maxDate="2019-02-01T00:00:00"/>
    </cacheField>
    <cacheField name="Marca" numFmtId="0">
      <sharedItems/>
    </cacheField>
    <cacheField name="Modelo" numFmtId="0">
      <sharedItems containsMixedTypes="1" containsNumber="1" containsInteger="1" minValue="203" maxValue="328"/>
    </cacheField>
    <cacheField name="Rep_Seg" numFmtId="0">
      <sharedItems containsSemiMixedTypes="0" containsString="0" containsNumber="1" minValue="0" maxValue="493777.34249999997"/>
    </cacheField>
    <cacheField name="Fec_Apro_Seg" numFmtId="14">
      <sharedItems containsDate="1" containsMixedTypes="1" minDate="1899-12-30T00:00:00" maxDate="2019-01-01T00:00:00"/>
    </cacheField>
    <cacheField name="Horas_plancha" numFmtId="0">
      <sharedItems containsSemiMixedTypes="0" containsString="0" containsNumber="1" minValue="0" maxValue="139"/>
    </cacheField>
    <cacheField name="Cliente" numFmtId="0">
      <sharedItems count="1424">
        <s v="O &amp; H SAFETY PERU S.A.C."/>
        <s v="RIMAC SEGUROS  Y REASEGUROS S.A"/>
        <s v="LA POSITIVA SEGUROS Y REASEGUROS"/>
        <s v="RD RENTAL SOCIEDAD ANONIMA CERRADA"/>
        <s v="D LORENS SAC"/>
        <s v="INKATERRA PERU SAC"/>
        <s v="PEPOLLOS SOCIEDAD ANONIMA CERRADA"/>
        <s v="ASOCIACION IGLESIA ADVENTISTA DEL SEPTIMO DIA PERU"/>
        <s v="IMPORTACIONES DIESEL JUNIOR S.A.C."/>
        <s v="INGENIEROS EPCM SOCIEDAD ANONIMA CERRADA"/>
        <s v="A &amp; J OPERADOR LOGISTICO E.I.R.L."/>
        <s v="ROKEMAR EL MUNDO DE LA BELLEZA E.I.R.L."/>
        <s v="CHACON GRAPHIC SOCIEDAD ANONIMA CERRADA"/>
        <s v="MINAYA MORENO FIDEL ANSELMO"/>
        <s v="CADENILLAS SILVA DIANA VANESSA"/>
        <s v="GONZALEZ MALLQUI ALEJANDRO HILVER"/>
        <s v="INSTA GAS PERU S.A.C."/>
        <s v="VILLA CHICKEN SAC"/>
        <s v="MOVILES &amp; NEGOCIOS S.A.C."/>
        <s v="ZIRDENT EIRL"/>
        <s v="ROBLADILLO SALCEDO CESAR JUAN"/>
        <s v="HUAMANYAURI RIVERA FRANCISCO"/>
        <s v="GICER MOVIL &amp; TOURS SAC"/>
        <s v="SOCORRO CARGO EXPRESS S.A."/>
        <s v="LOAYZA FIESTAS JOSE GUSTAVO"/>
        <s v="BENDEZU MAQUINARIAS INDUSTRIALES S.A.C."/>
        <s v="ARCOS CRUZ JIMMY"/>
        <s v="LOGISTIC &amp; TRANSPORT PERU S.A.C."/>
        <s v="SERVICENTRO PASAMAYO SAC"/>
        <s v="SERVICIOS NUESTRA SEÑORA DEL CARMEN S.R.L."/>
        <s v="NEGOCIACIONES ESTRATEGICAS INTEGRALES S.R.L."/>
        <s v="RIOS CONSULTORES S.A.C."/>
        <s v="REDSAT SAC"/>
        <s v="PERU VIGILIA SAC"/>
        <s v="DISTRIBUIDORA FERRETERA ADEMIFE E.I.R.L."/>
        <s v="REENCAUCHADORA PALACIOS S.A.C."/>
        <s v="FINANCIERA CONFIANZA S.A.A."/>
        <s v="SYSTEMPER SOCIEDAD ANONIMA CERRADA"/>
        <s v="JOHNSON INDUSTRIES PERU S.A.C."/>
        <s v="INVERSIONES MYRPLAST S.A.C."/>
        <s v="SANABIO MATOS DAVID TORIBIO"/>
        <s v="MAXSEGURIDAD S.A.C."/>
        <s v="SERVICIOS DANFER E.I.R.L."/>
        <s v="RUIZ GARCIA RANDY JEFFERSON"/>
        <s v="FG VENTUS SAC"/>
        <s v="RAMOS SIFUENTES JOHN CHRISTIAN"/>
        <s v="TRANSPORTES VAJETON E.I.R.L."/>
        <s v="LIBRALATO MORA DINO ALDO"/>
        <s v="FARMAGRO S A"/>
        <s v="QUIMICA MARTELL S.A.C."/>
        <s v="JJ TRANSGAS SAC"/>
        <s v="CARROCERIAS METALICAS INDUSTRIALES S.A.C."/>
        <s v="CORPORACION TEXTIL FRALUSE S.A.C"/>
        <s v="JAS CONSULTORES Y ASESORES S.A.C."/>
        <s v="FKS ASESORES Y CONSULTORES S.A.C."/>
        <s v="AREVALO CHAVEZ CARMIN YACQUELINE"/>
        <s v="APONTE SANCHEZ PRIMITIVO"/>
        <s v="CONSORCIO MEDICO PAJUELO SAC"/>
        <s v="JOVALCO INGENIEROS S.R.L"/>
        <s v="FAFSA S.A.C."/>
        <s v="GRUPO EMPRESARIAL WILLCORP PERÚ S.A.C"/>
        <s v="GODS FIGHTERS S.A.C."/>
        <s v="SENVIAL SEÑALES VIALES S.A.C."/>
        <s v="CONSULTORIA S &amp; M SERVICIOS S.A.C"/>
        <s v="HALDATECH SOLUCIONES Y SERVICIOS S.A.C."/>
        <s v="HIJAR ROJAS EDUARDO"/>
        <s v="FD SAFETY GLOBAL S.A.C"/>
        <s v="GEHSIMA S.A.C."/>
        <s v="VALQUI AMEZ LUCAS MARLOMBRANDO"/>
        <s v="INVERSIONES MAGCO E.I.R.L."/>
        <s v="ALITANTA SAC"/>
        <s v="WEIGHT TRONIX S.A.C."/>
        <s v="EXPANDER PERU SAC"/>
        <s v="INPOLAC S.A.C.."/>
        <s v="EMPRESA CONTINENTAL S.A."/>
        <s v="LAZO GARCIA LUIS ALBERTO"/>
        <s v="CORREO PRIVADO SAC"/>
        <s v="RAMOS OLIVERA WILLIAMS OMAR"/>
        <s v="FARMINDUSTRIA S.A."/>
        <s v="CREACIONES MASSIEL SAC"/>
        <s v="ORE ALANIA FLOR YESENIA"/>
        <s v="CAMARGO COSME RUBEN WILLY"/>
        <s v="FRAMI INDUSTRIAS  S.A.C."/>
        <s v="SERVIC NAC DE ADIESTRAM EN TRABAJ INDUST"/>
        <s v="AGURTO ROJAS JEREMIAS"/>
        <s v="MFGO CONSULTORES S.A.C."/>
        <s v="NEGOCIACIONES JOHAO E.I.R.L."/>
        <s v="CORPORACION CIAN LEE S.R.L"/>
        <s v="PROIMEC S.G. S.A.C."/>
        <s v="I T S ELECTROMECATRONICA E.I.R.L."/>
        <s v="FARFAN DOMINGUEZ HAYDEE ELIZABETH"/>
        <s v="TEIR S.A.C."/>
        <s v="AGURTO QUISPE EDSON RESEMBRIN"/>
        <s v="EMAVI SERVICIOS GENERALES SAC"/>
        <s v="MAZUELOS REYNA JAIME"/>
        <s v="MEDIFARMA S A"/>
        <s v="J K Y S CONTRATISTAS GENERALES S.A.C."/>
        <s v="INTERSER S.A.C."/>
        <s v="TRANSPORTES Y COMERCIO SOL DEL PACIFICO E.I.R.L."/>
        <s v="IBAÑEZ BERROSPI JUNIOR ARTURO"/>
        <s v="SERVINTEC PERU S.A.C."/>
        <s v="PONTIFICIA UNIVERSIDAD CATOLICA DEL PERU"/>
        <s v="CONSORCIO AVENDAÑO SAC"/>
        <s v="LUCANA LEYVA MARIA VICTORIA"/>
        <s v="CONSORCIO JOTAME S.A.C."/>
        <s v="DEVELOWEB S.R.L."/>
        <s v="CHAVEZ GAMARRA MIGUEL ANGEL"/>
        <s v="NEPTUNO COMERCIO Y SERVICIOS GENERALES SRL"/>
        <s v="DISTRIBUCIONES RIMAC CORN SOCIEDAD ANONIMA CERRADA"/>
        <s v="PRAIG SOLUTIONS S.A.C."/>
        <s v="FERNANDEZ GALVEZ ANDREA VERONICA"/>
        <s v="INTEGRACION ESPECIALIZADA EN CALDERAS E.I.R.L."/>
        <s v="INVERSIONES Y NEGOCIOS RENOIR S.A.C."/>
        <s v="INGENIEROS MONTES &amp; ASOCIADOS S.A.C."/>
        <s v="COMPAÑIA DISTRIBUIDORA NACIONAL DE REV ISTAS SAC"/>
        <s v="VALVERDE MANSILLA RAY EDWARD"/>
        <s v="LEGA ASESORES EDIFICADORES INVERSORES S.A.C."/>
        <s v="EZENTIS PERU S.A.C."/>
        <s v="AGILE SOLUTIONS SOCIEDAD ANONIMA CERRADA"/>
        <s v="VALENTINI RIVERA GESELL BETSAIDA"/>
        <s v="ALBET S.A.C."/>
        <s v="SERVICIO DE LOGISTICA EXPRESS S.A.C."/>
        <s v="CORPORACION DE TRANSPORTES PERU INTERNATIONAL S.A.C."/>
        <s v="BARJA CRUZADO OCTAVIO EDGAR"/>
        <s v="CHOQUEHUAYTA ESPINOZA NIDIA SUSANA"/>
        <s v="VASQUEZ PALOMINO JESUS GIOVANNA"/>
        <s v="ARIANNA KNIT &amp; APPAREL S.A.C."/>
        <s v="RALE INGENIEROS S.A.C."/>
        <s v="AGB BUSINESS EIRL"/>
        <s v="GRUPO GRÁFICO IDEAS S.A.C"/>
        <s v="UEZU INGENIEROS S R L"/>
        <s v="GRUPO AVENDAÑO S.A.C."/>
        <s v="TECNOLOGIA DE PROYECTOS Y OPERACIONES S.A.C."/>
        <s v="CHINCHA LLIUYAC WENCESLAO ALFREDO"/>
        <s v="CARDENAS NAVARRO TOMAS"/>
        <s v="CATOR INGENIEROS S.A.C."/>
        <s v="L. VASQUEZ INVERSIONES E.I.R.L."/>
        <s v="KR ENVASES INDUSTRIALES PERUANOS S.A.C."/>
        <s v="MULTI SERVICIOS FEROES E.I.R.L."/>
        <s v="LEON ARIAS LUIS ENRIQUE"/>
        <s v="ASOCIACION DE PROPIETARIOS DEL CENTRO COMERCIAL CANGALLO N° 634"/>
        <s v="GEORAM &amp; CONSTRUCTION E.I.R.L."/>
        <s v="TECNICAS CP S.A.C."/>
        <s v="MONTENEGRO SANCHEZ ROBERTO APOLONIO"/>
        <s v="ANDRE BELU E.I.R.L."/>
        <s v="TECNOLOGIA MEDICAL LATINOAMERICANA E.I.R.L."/>
        <s v="PADILLA BERNABE ELIO"/>
        <s v="GEKA CORP SAC"/>
        <s v="JP SERVICIOS INDUSTRIALES S.A.C."/>
        <s v="ALUVIM E.I.R.L."/>
        <s v="VISTONY COMPAÑIA INDUSTRIAL DEL PERU SAC"/>
        <s v="DAILY TECHNOLOGY SAC"/>
        <s v="ARKASOFT SAC"/>
        <s v="MAGNETISMO PERU E.I.R.L."/>
        <s v="EMPRESA COMERCIALIZADORA DE BEBIDAS S.A.C."/>
        <s v="PROYECTOS ARQUITECTONICOS, TASACIONES, TOPOGRAFICOS Y CONSTRUCCIONES S.R.L."/>
        <s v="NOVAHOME AGENTES INMOBILIARIOS S.A.C."/>
        <s v="INDURA PERU S.A."/>
        <s v="RODRIGUEZ MARTEL DANIEL"/>
        <s v="QUIÑONES SAENZ, GIULIANA CELINA"/>
        <s v="GARCIA BUSTINZA JOSE WILSON"/>
        <s v="HERRERA RUIZ FLORDITH STEFANY"/>
        <s v="PERCY RICALDI JAIME"/>
        <s v="BRYAN LOPEZ MURGA"/>
        <s v="VARGAS MACHUCA MIRIAM KATHERINE"/>
        <s v="MAYTA FLORES BERTHA TATIANA"/>
        <s v="FLORES ASCUE OSCAR"/>
        <s v="RICRA LESCANO DANIEL OMAR"/>
        <s v="PAREDES TRUJILLO CESAR"/>
        <s v="JAPAJA DE DE LA CRUZ OLGA"/>
        <s v="FLORIAN CAJAN ZOILA"/>
        <s v="SANCHEZ PORTILLA JOSE"/>
        <s v="RODRIGO RAMIREZ CARMEN ROSA"/>
        <s v="CURO CACERES JAIR PEDRO"/>
        <s v="BAUTISTA GUTIERREZ OMAR"/>
        <s v="FLORES GOMEZ FRANCISCO"/>
        <s v="DAVILA RIVERA EULER"/>
        <s v="ACEVEDO HOLGUIN LUIS ARMANDO"/>
        <s v="ARCE OSORIO CRISTHIAN"/>
        <s v="HECTOR JAUREGUI ROMERO"/>
        <s v="MARTINEZ ROSAS TORIBIO"/>
        <s v="DAVALOS LOPEZ ALLAN JHON"/>
        <s v="GIAN MARCO BARMAIMON LLANCA"/>
        <s v="COTRINA RUIZ MAXIMO JUNIOR"/>
        <s v="OJEDA ARDIAN LUIS HERMAN"/>
        <s v="SALDAÑA PAZ CHRISTIAN TOMAS"/>
        <s v="ORDOÑEZ BLAS PERCY"/>
        <s v="BENAVIDES CRUZADO DIANA"/>
        <s v="SOTO PEDROSO WALTER"/>
        <s v="PADILLA CARRASCO RUBEN"/>
        <s v="JUANA RAMIREZ SANTOME"/>
        <s v="AMANCIO CASANOVA MERCEDES"/>
        <s v="PATRICIA MANSILLA PAULINI"/>
        <s v="PIñAS PEREZ JOSE"/>
        <s v="BLAS DIAZ HECTOR JESUS"/>
        <s v="OCHOA IDELFONSO MIGUEL"/>
        <s v="YAURI HUAMAN LUIS ALBERTO"/>
        <s v="MERVIN CHAVEZ RUIZ"/>
        <s v="SANCHEZ RIVERA JUAN"/>
        <s v="ELIAS SUENG SERGIO MANUEL"/>
        <s v="QUEVEDO SALAVERRY OSCAR ALBERTO"/>
        <s v="ZEGARRA RAMIREZ LEONOR MARIA"/>
        <s v="ISIDRO GALARZA WILFREDO"/>
        <s v="STEVE ANDERSON ALEJANDRO LIMAS"/>
        <s v="CAROL ELIZABETH MONTERO VICARIO"/>
        <s v="YOUNG CHAVEZ HENRY"/>
        <s v="CASTAÑEDA NIETO TEODORO EMILIO"/>
        <s v="ROJAS PILAR WILBER"/>
        <s v="SILVA NICK PAUL"/>
        <s v="AGUILAR MENDOZA MARIA DEL PILAR"/>
        <s v="LI LIU JIGEN"/>
        <s v="CACERES DAVILA JOAN MANUEL"/>
        <s v="SANCHEZ ECHEVARRIA JEREMIAS"/>
        <s v="LIPE BALLENA ANDY JUNIOR"/>
        <s v="RODRIGUEZ APOLINARIO AMERICO"/>
        <s v="ALEXANDER ARTURO PINTO VENTURA"/>
        <s v="SALVA RAMOS LUIS"/>
        <s v="MALDONADO MOSCOSO MARIBEL"/>
        <s v="DURAN MATOS RONALD PRECY"/>
        <s v="MARIA CECILIA ROMERO BENITES"/>
        <s v="TRIVIÑOS POMA ADALBERTO ESTEBAN"/>
        <s v="GUERRERO RAMOS CESAR"/>
        <s v="LINARES  DIAZ EDUARDO FIDENCIO"/>
        <s v="BLANCA MENA CORDOVA"/>
        <s v="ATALAYA JAIME"/>
        <s v="JUAN CARLOS LIVAGE"/>
        <s v="NIETO CELIS ZOILA JANNET"/>
        <s v="RAMIREZ CUEVA ESDRAS"/>
        <s v="SOLORZANO DOLORES MABEL"/>
        <s v="ISLA RIOS LUCIO PEDRO"/>
        <s v="DAVID LA TORRE CASTRO"/>
        <s v="VARGAS ROMERO YOBER ANGEL"/>
        <s v="SILVIO RAMIREZ CORDOVA"/>
        <s v="CRUZ PEÑA JORGE"/>
        <s v="AGURTO SANCHEZ CINDY ROXANA"/>
        <s v="SORA HINOJOSA JOSE CARLOS"/>
        <s v="GUILLEN TRUJILLO FRANCISCO"/>
        <s v="MORE DURAN ALEX MARCOS"/>
        <s v="DIAZ COLLANTES PABLO"/>
        <s v="ALVAREZ ALVAREZ ENIQUE"/>
        <s v="PAREDES ROJAS JULIO"/>
        <s v="VILLAVERDE FARROMEQUE JOSE"/>
        <s v="RAQUEL YANET SANCHEZ VASQUEZ"/>
        <s v="CASTELLO CARRANZA CARLOS"/>
        <s v="SERRANO ZEGARRA WILLIAMS"/>
        <s v="FERNANDEZ CASTRO MARCO"/>
        <s v="AMAYA QUIÑONES LUIS"/>
        <s v="SEVERINO BERROCAL PEDRO"/>
        <s v="BARRETO GAMARRA DANTE"/>
        <s v="ALMERI ESTRADA MARCO ANTONIO"/>
        <s v="ROJAS MALDONADO JOHANA"/>
        <s v="CUTIMBO VELASQUEZ ERICK"/>
        <s v="OCIANDER VILLACREZ GARCIA"/>
        <s v="ROJAS PALOMINO JUAN"/>
        <s v="BAUTISTA BAUTISTA OSWALDO"/>
        <s v="MARTIN ALTUNA  GONZALEZ"/>
        <s v="BUITRON NEIRA DINA VANESSA"/>
        <s v="SALVATIERRA TRINIDAD EDINSON"/>
        <s v="GONZALES ALAVA JACOB DALEN"/>
        <s v="COMECA HUAMAN LESTER"/>
        <s v="MARCA LUNA MARINA DEL ROSARIO"/>
        <s v="CAJAS RAMIREZ CIRILA"/>
        <s v="LUIS FELIPE NOLE GARRIDO"/>
        <s v="MUÑANTE GUTIERREZ CARLOS"/>
        <s v="TRINIDAD ALVAREZ DAVID LEONARDO"/>
        <s v="REBATA QUINTANILLA CHRISTIAN"/>
        <s v="RIVERA BACO FRANCISCO"/>
        <s v="ARTURO CALDERON MUñOZ"/>
        <s v="ALEX IVAN FERNANDEZ ESPINO"/>
        <s v="JUAN GONZALES HUAYLLA"/>
        <s v="COSSIO VALDEZ CARLOS RENAN"/>
        <s v="FERNANDO LORA CISNEROS"/>
        <s v="MOISES ROJAS  CHAVEZ"/>
        <s v="SANCHEZ GUEVARA GUILLERMO DAVID"/>
        <s v="RICARDO  SOLANO  SANCHEZ"/>
        <s v="RAUL CHAVEZ PAREDES"/>
        <s v="IWASAKI SIANCA JAVIER"/>
        <s v="MORALES YZENA WILLY"/>
        <s v="CAICEDO SOSA PABLO ALEX"/>
        <s v="BURGOS MURILLO GERARDO EDINHO"/>
        <s v="ARAUJO CUYA ERICK"/>
        <s v="DAVID  MARCACUZCO HILASACA"/>
        <s v="CASTAÑEDA MEDRANO JOSE REYNALDO"/>
        <s v="LUIS SALVATI VILLENA"/>
        <s v="FUENTES PALOMINO MARINO"/>
        <s v="RAYA CHARQUI ANA MARIA"/>
        <s v="MIGUEL DEL ROSARIO URRUTIA"/>
        <s v="SANCHEZ NAVARRO JOSUE ANDERSON"/>
        <s v="ESQUEN ACOSTA MILTON ENRIQUE"/>
        <s v="ALCANTARA SARRIN JAVIER"/>
        <s v="LUJAN PALOMINO MAYON"/>
        <s v="HURTADO MINAYA ERASMO"/>
        <s v="JARPI HUAMANCHA LAVINIA"/>
        <s v="LAPA SANCHEZ MARTIN ALEXIS"/>
        <s v="JUAN BAUTISTA AGUILAR AREVALO"/>
        <s v="SERGIO ALAN ESQUEN ACOSTA"/>
        <s v="CORDOVA VENEGAS JORGE"/>
        <s v="MONTERO LOPEZ JULIO CESAR"/>
        <s v="ABEL CANO  MACHADO"/>
        <s v="CARRILLO RUCANA DIANA ANTONIA"/>
        <s v="JARA CERVANTES TONIO"/>
        <s v="ALBINO DELGADO  FLORES"/>
        <s v="HUALLANCA JIHAÑO JEFFERSON SERGIO"/>
        <s v="ARDILES LUNA MICHEL ALFREDO"/>
        <s v="RONALD BERNANDO CALLALLI TORRES"/>
        <s v="MOSQUERA PAZ NELLY VICTORIA"/>
        <s v="MANRIQUE EUSEBIO MARIO"/>
        <s v="SEGUNDO FILEMON PINEDO PAREDES"/>
        <s v="ANALI ROJAS ROSAS"/>
        <s v="RODRIGUEZ ARROYO VICTOR"/>
        <s v="MALIMA SAAVEDRA ANDY"/>
        <s v="CHAVEZ VEGA JOSE"/>
        <s v="ENRIQUE HUAMAN PALOMINO"/>
        <s v="MENENDEZ ALIAGA FELIX"/>
        <s v="DENNIS AYALA AYALA"/>
        <s v="JONATHAN BUJAICO BERNARDO"/>
        <s v="ISLA VENTURA LUIS ALBERTO"/>
        <s v="FLORE ALAYO MARIA DE LOS ANGELES"/>
        <s v="VASQUEZ CALLEPE DE KAVAJARA MATILDE SOLEDAD"/>
        <s v="ALVA BAZAN ROXANA"/>
        <s v="OLAZA ORTIZ RONI"/>
        <s v="JAIME FARACH RENE EMILIO"/>
        <s v="FIERRO SANCHEZ CESAR VIDAL"/>
        <s v="CUTIMBO GUTIERREZ MOISES"/>
        <s v="BENITES INFANTE ROSELL"/>
        <s v="VASQUEZ MARTELL JOSE YVAN"/>
        <s v="RAMOS BONIFAS PABLO CESAR"/>
        <s v="SOTO COTRINA ULISES"/>
        <s v="ROJAS ZEVALLOS BENITO ALEJANDRO"/>
        <s v="TOMAS RENZO YESQUEN HERRERA"/>
        <s v="ATALAYA PISCO CESAR AUGUSTO"/>
        <s v="CONDE JACOBO HUGO ALEJANDRO"/>
        <s v="QUISPE FLORES JIMMY"/>
        <s v="CANTO GONZALES JULIO"/>
        <s v="TIRADO MENDOZA GABRIEL AUGUSTO"/>
        <s v="GUTARRA BERNAOLA, HENER ULICES"/>
        <s v="CARLOS FREITAS YALTA"/>
        <s v="ARIAS TASAYCO NILTON"/>
        <s v="TRELLES LAINEE MIGUEL FERNANDO"/>
        <s v="ARELLANO AGUIRRE BRAULIO"/>
        <s v="CORDOVA TERREL ALEXIS"/>
        <s v="REYES ABAD PATRICIA ISABEL"/>
        <s v="CCAHUANA RAVICHAGUA JOSE"/>
        <s v="SANTOS FIDEL GARCIA BOBADILLA"/>
        <s v="VALVERDE LA TORRE MARCO"/>
        <s v="PERALTA CRISOSTOMO LUIS MIGUEL"/>
        <s v="MANRIQUE SANCHEZ JULIO C"/>
        <s v="ASPILCUETA DIAZ JESUS ALEJANDRO"/>
        <s v="SANTOS EURIBE JULIO ALEJANDRO"/>
        <s v="CHAVEZ VIVANCO LUIS"/>
        <s v="VALERA RODRIGUEZ SANTRA FABIOLA"/>
        <s v="CARDENAS CASTILLO DIEGO"/>
        <s v="CLEMENTINO DE ALENCAR STELLA MARCIA"/>
        <s v="ALEJOS BRAVO JUAN MANUEL"/>
        <s v="DIAZ AEDO RAUL"/>
        <s v="GARCIA SANCHEZ JOSE CARLOS"/>
        <s v="RAUL ROBERTO VALDIVIA CARDOZA"/>
        <s v="FLORES RAMOS JAIME JONAS"/>
        <s v="FUEL NILO DURAND HUAYNATE"/>
        <s v="TERZANO NAPURI ALVARO MARIO"/>
        <s v="ALVAREZ VALDIVIA LUIS"/>
        <s v="BECERRA LOAYZA FRANZ ANTHONY"/>
        <s v="GONZALES SOTELO ROMULO"/>
        <s v="PRIETO SANCHEZ JOSE MARTIN"/>
        <s v="ALVARO BOLOVICH JUAN CARLOS"/>
        <s v="DOMINGUEZ LUCAS FELICIANO"/>
        <s v="ROBLES PALMA WILMER"/>
        <s v="MARCHENA DELZO WILLIAM FRANK"/>
        <s v="LUCAR DELGADO MARIO EDUARDO"/>
        <s v="ARMAS FALCON VICTOR ANIBAL"/>
        <s v="RAYMONDI DIAZ LUIS ANTONIO"/>
        <s v="VASQUEZ ROJAS LUIS"/>
        <s v="TORRES BECERRA GLORIA MARINA"/>
        <s v="CAYAO RAMOS GEAN GUSTAVO"/>
        <s v="PARDO ANDIA EFRAIN"/>
        <s v="CARRASCO CARRASCO MARCO ANIBAL"/>
        <s v="HERRERA PIMENTEL YENY ROXANA"/>
        <s v="QUEQUEZANA Y ASOCIADOS SAC"/>
        <s v="TRANSPAUCAR E.I.R.L"/>
        <s v="LEON QUIJANO MARIO ALBERTO"/>
        <s v="INTERNACIONAL SABOR S.A.C"/>
        <s v="CER CCOR E.I.R.L."/>
        <s v="REFRIGERACION INDUSTRIAL K Y C SAC"/>
        <s v="CORONADO RONDOY BENEDICTO"/>
        <s v="SERVICIOS Y FORMULACIONES INDUSTRIALES S.A"/>
        <s v="CORPORACION DE SALUD MEDIPED S.A.C"/>
        <s v="RIMAC S.A. ENTIDAD PRESTADORA DE SALUD"/>
        <s v="FALCON OROZCO FABIO JOSE"/>
        <s v="EXCASEP INGENIERIA Y PROYECTOS S.A.C."/>
        <s v="FULL ELECTRONICS G &amp; N S.A.C"/>
        <s v="CORPORACION GRAFICA DHIAGO S.A.C"/>
        <s v="EMETSOLD E.I.R.L"/>
        <s v="MENDOZA TAPIA FERNANDO"/>
        <s v="REDCOTEA S.A.C."/>
        <s v="DCG TEC S.A.C."/>
        <s v="DIEGO ANDAHUA  MONTESINOS"/>
        <s v="CUADROS ZUBIAUR OSWALDO SANTOS"/>
        <s v="VARA JIMENEZ JUAN JOSUE"/>
        <s v="GUEVARA SANCHEZ CESAR"/>
        <s v="ESPINOZA MILLA JOSE ANTONIO"/>
        <s v="SANCHEZ ALVAREZ CHRISTIAN"/>
        <s v="MANDUJANO MENDIETA LUIS CARLOS"/>
        <s v="MONSALVE MORACES JUAN"/>
        <s v="ROBLES CARDENAS ROCIO"/>
        <s v="CARRASCO COLLANTE EDUARDO"/>
        <s v="LOPEZ MUÑOZ MARVIN"/>
        <s v="CALLAÑAUPA GAYOSO JUAN CARLOS"/>
        <s v="SANCHEZ FRANCO DIEGO"/>
        <s v="PUNIL RAMIREZ LUIS"/>
        <s v="TAZO TOLENTINO SAUL"/>
        <s v="SANCHEZ CHUQUILLANQUI"/>
        <s v="MINAYA REYES RICHARD ANTONIO"/>
        <s v="CASTELLARES CACERES CESAR AUGUSTO"/>
        <s v="ALEJANDRO ELERA  VASQUEZ"/>
        <s v="VILLEGAS MORALES MIGUEL"/>
        <s v="REYES DE LA CRUZ ROCINA YSAURA"/>
        <s v="BALLENA RODRIGUEZ HERNAN"/>
        <s v="FERREYRA SALVATIERRA LUIS ALBERTO"/>
        <s v="CADILLO ALCANTARA JAVIER MARTIN"/>
        <s v="MOSTAJO RAMOS EDUARDO ANIBAL"/>
        <s v="ALAN GARCIA PEREZ"/>
        <s v="YASPANA CAMPOJO ROSA"/>
        <s v="LAZO PACHECO LUIS ALBERTO"/>
        <s v="AGURTO JEREMIAS"/>
        <s v="TORRES TURRIATE DANIEL EDUARDO"/>
        <s v="SALAZAR OYOLA HECTOR"/>
        <s v="GUTIERREZ CORNEJO JESUS MANUEL"/>
        <s v="GAMONAL TEMPLO LUIS"/>
        <s v="ROSADO GEREDA JOHANA LIZBETH"/>
        <s v="WALTER ARANA BARREAL"/>
        <s v="ROJAS MARTINEZ ERICK CHRISTIAN"/>
        <s v="BRAND COMUNICACIONES S.A.C."/>
        <s v="TRANFORMACIONES METAL MECANICOS SA"/>
        <s v="CENTENO DE LA CRUZ S.A.C."/>
        <s v="CONFECCIONES ZELA SOCIEDAD ANONIMA CERRADA - CONFECCIONES ZELA S.A.C"/>
        <s v="GARCIA RAMIREZ, MANUEL"/>
        <s v="RESEARCH CENTER OF SOFTWARE APPLIED TO BUSINESS SAC"/>
        <s v="LADY PLAST MEL S.A.C."/>
        <s v="REPRESENTACIONES CRATI EIRL"/>
        <s v="ISACOM E.I.R.L."/>
        <s v="TIMS E.I.R.L."/>
        <s v="A &amp; V IMPORT S.A.C."/>
        <s v="AGRICOLA LAS LLAMOZAS S.A."/>
        <s v="CORINICO S.A.C."/>
        <s v="ALFARO TERRONES JUAN CRISOSTOMO"/>
        <s v="LESAFFRE PERU S.A.C."/>
        <s v="BIR SERVICIOS S.A.C"/>
        <s v="VALENCIA NOLASCO ORESTES"/>
        <s v="PEREZ LOZANO ALEJANDRO CARLOS"/>
        <s v="CASAS VILLAGARAY LUIS CARLOS"/>
        <s v="HIDROTRANSP SAC"/>
        <s v="SERVINT MAS SRL"/>
        <s v="SUMYCAN SERVICIOS GENERALES E.I.R.L."/>
        <s v="FRIO PERU EXPERT E.I.R.L"/>
        <s v="ARTTEMETAL E.I.R.L."/>
        <s v="SALINAS CASTROMONTE, YGNACIO JOSÉ"/>
        <s v="CASAVILCA YARASCA EDUVIGES"/>
        <s v="JVC &amp;  ASOCIADOS S.R.L."/>
        <s v="INVERSIONES HASV EIRL"/>
        <s v="MONTEVERDE PINEDO LUIGI"/>
        <s v="VENTAS Y SERVICIOS MULTIPLES ARIES S.A.C"/>
        <s v="AGURTO CASTILLO JUAN"/>
        <s v="AGUILAR DEL CASTILLO ROBERTO ROBINSON"/>
        <s v="CARRASCO ESCOBEDO ELIAS JUAN"/>
        <s v="SANCHEZ RIVAS JULIAN"/>
        <s v="GUERRERO ROMERO CHRISTIAN"/>
        <s v="NARVAEZ DEL AGUILA GUILLERMO"/>
        <s v="BERNILLA CABREJOS NILTON"/>
        <s v="RICHARD PABLO  VELASQUEZ"/>
        <s v="SANDOVAL DAVILA ANGEL"/>
        <s v="FUENTES PAJARES MIGUEL"/>
        <s v="TICERAN NACION JOSE DANIEL"/>
        <s v="QUISPE OTINIANO MANUEL"/>
        <s v="GARAY GUEVARA JULIO EDUARDO"/>
        <s v="MARTINEZ LARA LESLY YASMIN"/>
        <s v="ZAPATA GARATE PABLO"/>
        <s v="PINEDO COA VICENTE AMADOR"/>
        <s v="MARTINEZ OLORTEGUI OSCAR"/>
        <s v="CARMEN BRAVO MACIEL MAGALY"/>
        <s v="QUIROZ HERNANDEZ EDER"/>
        <s v="ONOFRIO VARILLAS ENOC RODOLFO"/>
        <s v="MONTESINOS ILLESCAS OMAR"/>
        <s v="PILCO PICON RAUL"/>
        <s v="WONG FOX MARIA ELENA"/>
        <s v="BURGA CHAVEZ YNGRID LUDIT"/>
        <s v="PINEDO REATEGUI EYNER"/>
        <s v="HUERTA QUIÑONEZ MIGUEL ANGEL"/>
        <s v="WALTER  BARRAGAN CHUMPITAZ"/>
        <s v="POLO FILIOS KENY"/>
        <s v="ALARCON WONG RAFAEL RICARDO"/>
        <s v="STEVEN JAMANCA LINO GUSTAVO"/>
        <s v="JHONY BERTI FLORES SANCHEZ"/>
        <s v="SANTIAGO LUCAS GOYO FERRIOL"/>
        <s v="SANTA CRUZ VILCHEZ"/>
        <s v="ELIZABEHT PUENTE VIDAL"/>
        <s v="CARRANZA AYBAR MARINA JANETH"/>
        <s v="MELQUIADES ZELADE HOLINA"/>
        <s v="FLORES CARDENAS JUAN CARLOS"/>
        <s v="AGUILAR VILLANUEVA HERMELINDA NORIS"/>
        <s v="MIRANDA SILVA DAVIS"/>
        <s v="LARA AGUILAR WILLY EDGAR"/>
        <s v="VARGAS VILCA CESAR JULIO"/>
        <s v="STURREGUI CALLE LUIS RAFAEL"/>
        <s v="VIETTEL PERU SAC"/>
        <s v="J.C. NEGOCIACIONES E INVERSIONES MULTIPLES S.A.C"/>
        <s v="G Y O TECNOLOGIA INDUSTRIAL  SCRL"/>
        <s v="TRAUMA PREMIUM EIRL"/>
        <s v="CASANOVA IMPORTACIONES S.A.C."/>
        <s v="CUEVA CARPIO JOSE FRANCISCO"/>
        <s v="MENDOZA QUISPE FLAVIO ALEJANDRO"/>
        <s v="AJE COMPANY SRL"/>
        <s v="OBRAS PROYECTOS ELÉCTRICOS CONSTRUCCIÓN Y MONTAJES SAC"/>
        <s v="LZ GEOTECNIA CONSULTORES &amp; CONSTRUCTORES E.I.R.L"/>
        <s v="IMPORTADORA ARCANGEL S.A.C."/>
        <s v="CLASSIC MARBLE S.A.C."/>
        <s v="ACCOUNTING AND LOGISTICS SOLUTIONS SAC"/>
        <s v="PROMECANICA INDUSTRIAL S.R.L."/>
        <s v="ARAUJO POCLIN SHELLEY MERCEDES"/>
        <s v="SERVIMED D.G. E.I.R.L."/>
        <s v="MACAVILCA HUARINGA VICTOR EDUARDO"/>
        <s v="CONSORCIO NKLAC - NK"/>
        <s v="LA TERMINAL ESTUDIOS SOCIEDAD ANONIMA CERRADA"/>
        <s v="NILOC CONSTRUCTORES &amp; CONSULTORES E.I.R.L"/>
        <s v="FIGRAPHIC S.A.C"/>
        <s v="ESEMVIG S.A"/>
        <s v="AMOROS TUDELA OCTAVIO BERNARDO"/>
        <s v="JAKES PRODUCCIONES &amp; EVENTOS S.A.C."/>
        <s v="MAURICIO TIPO RUBEN"/>
        <s v="PANAPAMALLCA MANRIQUE JENY TERESA"/>
        <s v="CORREA SILVA MIGUEL"/>
        <s v="PALOMINO AGUILAR WALTER ANTONIO"/>
        <s v="REYES TARAZONA JULIO MANUEL"/>
        <s v="LEON QUIJANO MARIO"/>
        <s v="SANDOVAL PINTADO MARIELA"/>
        <s v="APOLO ARRIETA LILA DEL ROSARIO"/>
        <s v="CORDOVA FLORENTINI, ELLIOT RAMON"/>
        <s v="DIAZ VASQUEZ HENRY"/>
        <s v="SILVA CABRERA DAVID EDWIN"/>
        <s v="RABELO LOZANO GABRIEL"/>
        <s v="PONCE MELGAREJO NELSON TEODORO"/>
        <s v="REYES TORRES FELIPE"/>
        <s v="PALOMINO VELASQUEZ YURI"/>
        <s v="VILLANUEVA HILARIO JUAN"/>
        <s v="MURILLO COLQUICOCHA JORGE"/>
        <s v="RODRIGUEZ ZAVALA SABY GIANELLA"/>
        <s v="RIVERO DAVILA JOSE GABRIEL"/>
        <s v="CASTRO ALEJOS JONATHAN GIOVANNI"/>
        <s v="JOHN DURAND VENTACILLA"/>
        <s v="HUCHIMA AMEZQUITA JOSE"/>
        <s v="ORTIZ ROJAS CHRISTIAN ALBERT"/>
        <s v="ZEGARRA MEZA LENIN"/>
        <s v="LORD CHEMICAL SAC"/>
        <s v="MOLITALIA SA"/>
        <s v="SANCHEZ MENDOZA VICTOR HUGO"/>
        <s v="PROYECTOS, INGENIERIA, CONSULTORIA Y SERVICIOS GENERALES S.A.C."/>
        <s v="EDPYME ACCESO CREDITICIO SOCIEDAD ANONIMA"/>
        <s v="VICTOR RAUL HUERTA CAPILLO"/>
        <s v="ZULEN SANCHEZ JOSE FLORENTINO"/>
        <s v="PRIETO MIRANDA CARLOS ALFONSO"/>
        <s v="GAR SECURITY &amp; SERVICES S.A.C."/>
        <s v="TRANFORMACIONES METAL MECANICAS S.A."/>
        <s v="CONTRERAS BERROCAL MARLON"/>
        <s v="CORPORACION PANDA CLEAN SAC"/>
        <s v="CORPORACION PACIFICO CONSTRUCTOR SAC"/>
        <s v="QUALITY PACKAGING E.I.R.L"/>
        <s v="VILLANUEVA JIMENEZ KATHERINE PATRICIA"/>
        <s v="SUMINISTROS LK SAC"/>
        <s v="MULTIHERRAMIENTAS ASENCIOS S.A.C."/>
        <s v="WR &amp; CC HNOS CONTRATISTAS S.A.C."/>
        <s v="SANTOS ROMERO JOHN IVAN"/>
        <s v="CORTE SUPERIOR DE JUSTICIA DE LIMA NORTE"/>
        <s v="ONYX S.A.C."/>
        <s v="MAAF CONSTRUCTORES SOCIEDAD ANONIMA CERRADA - MAAF CONSTRUCTORES S.A.C."/>
        <s v="EMPRESA DE TRANSPORTES TSP E.I.R.L."/>
        <s v="COMERCIAL ALVAN E.I.R.L. - CALVAN E.I.R.L."/>
        <s v="GRUAS V &amp; C S.A.C."/>
        <s v="MULTISERVICIOS Y PRODUCTOS DE SALUD J &amp; L S.A.C."/>
        <s v="MEGADIESEL CENTER EMPRESA INDIVIDUAL DE RESPONSABILIDAD LIMITADA"/>
        <s v="PRONEGOCIOS K &amp; M E.I.R.L"/>
        <s v="CERTERA EMPRESA INDIVIDUAL DE RESPONSABILIDAD LIMITADA"/>
        <s v="DIAZ PRINCIPE JOSE"/>
        <s v="PEZO MARTINEZ DIEGO"/>
        <s v="BACA REYES DANIEL"/>
        <s v="SALINAS SANTOS SAUL ENRIQUE"/>
        <s v="RAMIREZ MASSA CARMEN JANETT"/>
        <s v="HURTADO CCAÑIHUA EBER"/>
        <s v="DAVID MONTERO VICARIO"/>
        <s v="ESQUIVEL NINANYA OMAR"/>
        <s v="TEJADA TORRES EDWIN OMAR"/>
        <s v="CUADROS PARAVICINO EDISON"/>
        <s v="VILLANUEVA VASQUEZ GUILLERMO"/>
        <s v="ROSELL VILLAVICENCIO PIO OMAR"/>
        <s v="HERRERA LEVIS CINTHIA"/>
        <s v="VEGA HUERTA MARTIN MARCELO"/>
        <s v="CORTEZ GIMENEZ GERARDO"/>
        <s v="MELENEDEZ YAULAUPARI HENRY"/>
        <s v="VICENTE CACERES OMAR ELIAS"/>
        <s v="ROMERO ROMERO MICHEL"/>
        <s v="ORMEÑO MUÑOZ RICARDO"/>
        <s v="GOMEZ ROMANI NADIA"/>
        <s v="SUCASACA RUELAS OSWALDO"/>
        <s v="MORALES SOTO LOLYN JESUS"/>
        <s v="HURTAO TAZZA DIEGO"/>
        <s v="MUÑOZ RAMOS JORGE ALEJANDRO"/>
        <s v="JUAN ARMANDO ARBULU ASALDE"/>
        <s v="CHAVARRIA DOMINGUEZ JUAN"/>
        <s v="ACUÑA TRUJILLO YANET MILAGROS"/>
        <s v="ASCAÑO RAMIREZ ALBERTO"/>
        <s v="DIAZ VALVERDE LUIS"/>
        <s v="RAMIREZ JARA ROY ADOLFO"/>
        <s v="HERRERA MESTANZA LULIO ARTURO"/>
        <s v="PEREZ GUILLEN EULALIA"/>
        <s v="ALBORNOZ CAMPOS CARLOS HUGO"/>
        <s v="CORTEZ REYNA HEBERT ALEXANDER"/>
        <s v="DAVID TRAVEZAÑO BLAS"/>
        <s v="HERRERA ALTAMIRANO SEGUNDO"/>
        <s v="ERICK ALFREDO MALDONADO VILLARREAL"/>
        <s v="SAKIHARA FRIAS RICARDO"/>
        <s v="ROQUE ANTONIO CAMARGO RIVERA"/>
        <s v="SALAZAR BEDOYA ROSSE MARY"/>
        <s v="CARELI SERVICIOS E.I.R.L."/>
        <s v="DIGETEL CONEXIONES S.A.C"/>
        <s v="DIGETEL S.A.C."/>
        <s v="JUNTA DE PROPIETARIOS PUERTO MADERO"/>
        <s v="INDUSTRIAS BOLT PERU E.I.R.L."/>
        <s v="LABORATORIO ROKER PERU S.A"/>
        <s v="MOVILNET SECURITY E.I.R.L"/>
        <s v="ACN ASOCIADOS &amp; CONTRATISTAS NALVARTE S.A.C"/>
        <s v="CORPORATION INTHERPHARMA S.A.C"/>
        <s v="CAHUBISA EIRL"/>
        <s v="ODONTOBELL IMAGENES E.I.R.L"/>
        <s v="COORPORACION PERUANA DE PRODUCTOS QUIMICOS"/>
        <s v="MAVA TRAVEL SERVICE SRLTDA"/>
        <s v="M.B GALEB S.A.C."/>
        <s v="ALVAREZ MORENO MARCELA AMALIA"/>
        <s v="JOKER CONTRATISTAS GENERALES S.A.C."/>
        <s v="QUIMICA SUIZA S A"/>
        <s v="ITS SOLUCIONES PERU SA"/>
        <s v="TAXIMO PERU S.A.C."/>
        <s v="ECHEVARRIA SOTERO JULIO ALBERTO"/>
        <s v="RIVERA ARMAS RAUL"/>
        <s v="VALERIO LLANOS PABLO CESAR"/>
        <s v="GUERRA SALAZAR FLAVIO"/>
        <s v="AÑI ESPEJO MIGUEL EULOGIO"/>
        <s v="CASTILLO HUERTA LENIN VICTORINO"/>
        <s v="SERVAN ZELADA WILLIAM"/>
        <s v="LA TORRE ARISTA GLADYS"/>
        <s v="CASTRO DAGA GLORIA"/>
        <s v="CASTRO JORGE FRANK ROBERTO"/>
        <s v="ESPINOZA ZAVALA JESUS JOSUE"/>
        <s v="VALDIVIA LINARES JOSE DANIEL"/>
        <s v="CRYSTOPHER VALENCIA LARA"/>
        <s v="ATAGUA CANALES DANIEL FRANK"/>
        <s v="VALERIO CECILIO WILDER DAVID"/>
        <s v="REYES CHUQUIN RICHAR RONALD"/>
        <s v="TERAN ULLOA MILTON BENJAMIN"/>
        <s v="HUAMAN QUISPE MARIBEL"/>
        <s v="FERNANDEZ OBISPO MARCO A"/>
        <s v="JEAN PIERRE ROCA CONSTANTINI"/>
        <s v="TRUJILLO DELGADO DIANA MARJORIE"/>
        <s v="VARGAS SIMON LUIS ALBERTO"/>
        <s v="GUTIERREZ PALMA PAUL"/>
        <s v="VALDIVIA MELO WILVER ENRIQUE"/>
        <s v="SOTO WILSON JANET MARTHA"/>
        <s v="ANABEL CABEÑAS TORRES"/>
        <s v="URDANIVIA COLLANTES HERVERT"/>
        <s v="RODRIGUEZ CHINCHAY JOSE LUIS"/>
        <s v="HUAMAN REYES YULENKA"/>
        <s v="JORGE PUMAPILLO HURTADO"/>
        <s v="ARELLANO RUIZ JUAN ALFONZO"/>
        <s v="AMAYA CARCAMO JUAN CARLOS"/>
        <s v="ERIKA MILAGROS AGUILAR VELASQUEZ"/>
        <s v="CARCAMO DAVILA JAVIER GREGORIO"/>
        <s v="CONDORI SILLO WILMER SAUL"/>
        <s v="ESPINOZA TRUCIOS LISBETH"/>
        <s v="AVELLANEDA BOSIO MANUEL GUILLERMO"/>
        <s v="GERMAN YURI MOREIRA FLORES"/>
        <s v="CABRERA TOLEDO ANGEL EDGARDO"/>
        <s v="GIOVANNA MAGNOLIA MANRRIQUE"/>
        <s v="RED DE SALUD SAN JUAN DE LURIGANCHO"/>
        <s v="CARDENAS SILVA ALINA"/>
        <s v="JARA ACCOSTA EDGAR"/>
        <s v="PALPA ALMONACID RUBEN"/>
        <s v="BUSCONSULTING S.A.C"/>
        <s v="RED PERU INDUSTRIAL S.A.C. - RP INDUSTRIAL S.A.C."/>
        <s v="BANDIN BAZAN JEAN CONNIE"/>
        <s v="L&amp;M TABLECORP INDUSTRIAL"/>
        <s v="G &amp; A SERVIS BUSINESS PACIFIC S.A.C"/>
        <s v="ZUBIETA LIZARME PAUL GIANCARLO"/>
        <s v="TRANSPORTES ANDAMAYO S.A.C."/>
        <s v="NUÑEZ VILLACORTA SERGIO MANUEL"/>
        <s v="GRUPO CONSTRUCTOR PARASOL S.A.C."/>
        <s v="MATPROFERR S.R.L."/>
        <s v="ATLAS MAQUINARIAS EIRL"/>
        <s v="DELTA ELECTRIC S.A.C. INNOVACIONES ELECTRICAS"/>
        <s v="TOVAL SYSTEMS S.A.C."/>
        <s v="IDEAS SMART E.I.R.L."/>
        <s v="ORGANISMO NO GUBERNAMENTAL INTERNACIONAL GLOSALUD"/>
        <s v="VEGA CENTENO ODONTOLOGOS E.I.R.L."/>
        <s v="GALVEZ DELGADO FRANCISCO MARTIN"/>
        <s v="ANTAY CUCHO CESAR ANTONIO"/>
        <s v="RF EQUIPAMIENTOS INDUSTRIALES S.A.C."/>
        <s v="CONSTRUCTORA CORAZON DE JESUS S.A.C."/>
        <s v="GRUPO SAMA SAC"/>
        <s v="IE INGENIERIA Y SERVICIOS SAC"/>
        <s v="MATINDUSTRIA S.R.L."/>
        <s v="DE LA CRUZ SUAREZ MARIO"/>
        <s v="VILLAR CUBA SERGIO"/>
        <s v="SALVADOR CASTRO MENDOZA"/>
        <s v="ROQUE CERNA CHRISTIAN"/>
        <s v="ANDRADE GONZALES MANUEL ALEJANDRO"/>
        <s v="MARCO ANTONIO RIOS ESTRADA"/>
        <s v="LOPEZ QUILIANO JEAN PAUL"/>
        <s v="CALLE CACHAY ELIZABETH YOVANA"/>
        <s v="FERNANDEZ ESPINO ALEX"/>
        <s v="CASTRO VENTURA ALISON SHARON"/>
        <s v="CHAVEZ VILCARIMA VIOLETA YSELA"/>
        <s v="LOZANO JIMENEZ EUGENIO"/>
        <s v="CAROLINA MENA LANDAURO"/>
        <s v="CAMONES CREMER DOROTEO"/>
        <s v="ACHA LEON JOSE MARCELINO"/>
        <s v="ROJAS LLAULLI LUIS"/>
        <s v="TORRES GALLO YANET"/>
        <s v="ROLAND ALEX VILLEGAS VALDIVIEZO"/>
        <s v="RAYO LOLI MARGARITA ANDREA"/>
        <s v="MARIO LEONARDO GARCIA CANDELA"/>
        <s v="JOSE  SAMUEL YAPIAS"/>
        <s v="PATRICIO ESPINOZA WALTER DAMIAN"/>
        <s v="QUISPE AGUILAR PEDRO LUIS"/>
        <s v="JULLIETE HUARATO QUINTANILLA"/>
        <s v="VILCA SIFUENTES RICHARD"/>
        <s v="SALAS SALAS RODOLFO"/>
        <s v="MARTIN RICHARD RODRIGUEZ SANCHEZ"/>
        <s v="GARCIA HERRERA ERICK"/>
        <s v="NARVAEZ POZO JOSE RAULIN"/>
        <s v="GARCIA JUNCO MONICA GABRIELA"/>
        <s v="LLANOS DIAZ JUAN"/>
        <s v="CASTILLO REYES NELSON ALEJANDRO"/>
        <s v="ORTIZ GUERRA PERCY"/>
        <s v="MELGAREJO FLORES ROBERTO CARLOS"/>
        <s v="PEDRO  CORTEZ  VIRHUEZ"/>
        <s v="PINEDA NUÑEZ CUENCA JAIME"/>
        <s v="APARICIO CARDENAS TITO"/>
        <s v="GAN PLARA PATRICIA"/>
        <s v="PALACIOS MIO WALDIR CESAR"/>
        <s v="VASQUEZ ROSILLO GINO MARTIN"/>
        <s v="TU LUZ SAC"/>
        <s v="CORPORACION LOGISTICA FAR SRL"/>
        <s v="VELIZ QUISPE NORMA HAYDEE"/>
        <s v="ESTUDIO CONTABLE HAMAGUCHI &amp; ASOCIADOS"/>
        <s v="DIFAMONTES"/>
        <s v="CIEZA BAUTISTA ELMER"/>
        <s v="EMPRESA DE TRANSPORTES MARIFE EIRL"/>
        <s v="MINAYA CAMPODONICO RONALD AUGUSTO"/>
        <s v="ANCOTA QUEZADA ROGER"/>
        <s v="INVERSIONES GENERALES TAMARIS SAC"/>
        <s v="CARMELO VELASQUEZ ISABEL"/>
        <s v="KURESA SA"/>
        <s v="JWA TRUCKS S.R.L."/>
        <s v="TURISMO WGS E.I.R.L"/>
        <s v="NAVENTA FLORES JUNIOR"/>
        <s v="AYRAMPO ESPINOZA MICKEY ELVIS"/>
        <s v="PIERO DIOGENES BOGGIANO ESPINOZA"/>
        <s v="MEJIA PAUCAR HECTOR"/>
        <s v="JEITHER ELIAS MANDUZANO ESPINOZA"/>
        <s v="SOTO VALVERDE DAISY"/>
        <s v="CALLE ARNILLA LUIS ALFREDO"/>
        <s v="LOPEZ VISAG VANIA ISARENA"/>
        <s v="HORNA ARCE SANDRO WILLIAMS"/>
        <s v="ABREGU SOTO ELIZABETH"/>
        <s v="SOTELO SANCHEZ JUNIOR"/>
        <s v="TRUJILLO GOÑI NELSON"/>
        <s v="FLORES BRICEñO LUIS ALBERTO"/>
        <s v="VIDAL SOTO RENE ALFREDO"/>
        <s v="NIDIA RUTH VILCHEZ YUCRA"/>
        <s v="VIVAR DE LA CRUZ ALEJANDRO"/>
        <s v="RIVAS HUANCA RENZO ALONSO"/>
        <s v="IYARI JANET CAMPOS KAIZEN"/>
        <s v="BARRANZUELA ZAGACETA HANNIE JOHA"/>
        <s v="MARTINEZ MARCELO CARLOS LUIS"/>
        <s v="VEGA CASAS HUMBERTO YOEL"/>
        <s v="PABLO LAZARTE MONTES"/>
        <s v="MENDOZA GALVEZ GUILLERMO"/>
        <s v="JACKSON  NILS  MOGROVEJO  PASTOR"/>
        <s v="ANGEL REMIGIO REMIGIO"/>
        <s v="JIMENEZ GALARZA JESUS"/>
        <s v="ESQUIVES MARTINEZ YOHANES POLL"/>
        <s v="PEREYRA RAMIREZ UBEN"/>
        <s v="CUEVA CARPIO JOSE"/>
        <s v="VILLEGAS BRICEÑO JANETH MONICA"/>
        <s v="PEREZ MUTO VALERIA"/>
        <s v="ALDAZABAL AVILA JOSE"/>
        <s v="TRANSLAMADRID S.A.C."/>
        <s v="COMPAÑIA INDUSTRIAL EXIM DEL PERU SOCIEDAD ANONIMA CERRADA"/>
        <s v="KATHERINE TIXI BRICEÑO"/>
        <s v="PROCAMPO SA"/>
        <s v="NUÑEZ VILCA ROSA MARGARITA"/>
        <s v="MOTAÑEZ SOSA CARLOS ALBERTO"/>
        <s v="EDK ASESORES Y CONSULTORES S.A.C."/>
        <s v="SAAVEDRA FLORES PAULO CESAR"/>
        <s v="VASQUEZ TAFUR TELMO"/>
        <s v="INGA CASTILLO IGNACIO"/>
        <s v="NVERSIONES TELEANDES S.A.C."/>
        <s v="OBREGON EZPINOZA PETHER"/>
        <s v="NEGOCIOS Y SERVICIOS GENERALES TECHNICAL MARINE E.I.R.L."/>
        <s v="TEXEM CONSULTORES SAC"/>
        <s v="DESING ENGINEERING MINING &amp; OIL CAD E.I.R.L. - DEMOCAD E.I.R.L."/>
        <s v="RAMIREZ CALIXTO CHRISTIAN RAFAEL"/>
        <s v="ESPINOZA VILLAORDUÑA YEDIONI"/>
        <s v="YEMPAC PHARMACEUTICA SOCIEDAD ANONIMA CERRADA-YEMPAC PHARMA S.A.C."/>
        <s v="CORPORACION  GTM DEL PERU S.A."/>
        <s v="VILLAS OQUENDO S.A."/>
        <s v="SANCHEZ NUÑUVERO BRYAN EDGARD"/>
        <s v="SAMUEL CHUQUE MARINO"/>
        <s v="INDUTECH S.A.C."/>
        <s v="DENVER GROUP S.A.C."/>
        <s v="AKRE S.A.C."/>
        <s v="GIANFRANCO CRUZ GUEVARA"/>
        <s v="CESPEDES RAMIREZ WILDER"/>
        <s v="PONE GONZALES MANYLIN NAIKE"/>
        <s v="SARMIENTO BURGOS"/>
        <s v="SEGURIDAD INTEGRAL E INDUSTRIAL &amp; SOPORTE TECNICO SAC"/>
        <s v="GUTIERREZ GUTIERREZ HUGO CALIXTO"/>
        <s v="LISER MANTENIMIENTO Y SERVICIOS COMPLEMENTARIOS S.A.C."/>
        <s v="MEYZIE MAGALI CELMI ALFARO"/>
        <s v="TORRES VILLAFUERTE CYNTHIA"/>
        <s v="CORPORACION SOL DEL NORTE CONTRATISTAS GENERALES S.A.C"/>
        <s v="GARCIA JUAREZ JONATHAN"/>
        <s v="VICENTE WILBER CUSTODIO CORTEZ"/>
        <s v="PILESY TIME BEAUTY E.I.R.L."/>
        <s v="TAMARIZ ORTIZ EDWIN ENRIQUE"/>
        <s v="CRUZ MAYLLE RICHARD ABELARDO"/>
        <s v="CASTILLO HUAMANCHAQUI CESAR"/>
        <s v="LAVADO ORE JESUS RODOLFO"/>
        <s v="ZUÑIGA RUIZ JORGE ALBERTO"/>
        <s v="MIRANDA ALEGRE OSCAR ALEXANDER RONLEY"/>
        <s v="ZARZOSA CORPUS RYCHEL GREGORIO"/>
        <s v="PEREZ OBLITAS ROGER MOISES"/>
        <s v="IMPRENTA GRAFICA RAMIREZ E.I.R.L."/>
        <s v="ELIAS OLORTEGUI KENNY IVAN"/>
        <s v="PAREDES LEON RICHARD JINMYS"/>
        <s v="SALVATIERRA AGUERO MOISES"/>
        <s v="BRAVO ESTEIA JORDAN DAVID"/>
        <s v="PASACHE MARCHENA JORGE ANTONIO"/>
        <s v="LOPEZ CRUZ SANDRA PAOLA"/>
        <s v="ROCEGAL NEGOCIACIONES EMPRESA INDIVIDUAL DE RESPONSABILIDAD LIMITADA"/>
        <s v="NESTOR HUGO YNGA PITA"/>
        <s v="DIEMEC E.I.R.L"/>
        <s v="SIEMENS SAC"/>
        <s v="MUSIC MAN S.A.C"/>
        <s v="HEBO COMERCIAL S.A.C."/>
        <s v="TORRES ESPINOZA  SILVIA"/>
        <s v="MUNDO DE INGLES S.A.C."/>
        <s v="BERTHA ROSARIO ARAUJO ROLDAN DE GARAY"/>
        <s v="JUAN CARLOS CAYO SIVINDO"/>
        <s v="QUISPE GONZALEZ KATRA"/>
        <s v="MCH RENTA A CAR"/>
        <s v="DAHUA NACIMINETO WILLIAN"/>
        <s v="PRADA ESPINOZA MACARIA DEUNICIA"/>
        <s v="MULTIAGRO NORT"/>
        <s v="REAÑO TOVAR FERNANDO MANUEL"/>
        <s v="DE LA CRUZ URRIOLA JUAN GUSTAVO"/>
        <s v="PEREZ FALCON THATIANA"/>
        <s v="QUINTO LEON MOISES ANTONIO"/>
        <s v="VALENCIA IBARRA JOSE CARLOS"/>
        <s v="ZORRILLA MEJIA JOSE"/>
        <s v="MENDOZA MONTERO CESAR AUGUSTO"/>
        <s v="CORDOVA MATIAS MARIA LUZ"/>
        <s v="KAREN VALENZUELA DIAZ"/>
        <s v="CONSTRUCCIONES A MAGGIOLO S A"/>
        <s v="CARDENAS BADILLO RICARDO"/>
        <s v="UNIMAR SA"/>
        <s v="INGA SANTILLANA JOSUE DAMIAN"/>
        <s v="YATACO NAPAN RUBEN MAXIMO"/>
        <s v="ALVA DOMINGUEZ LUIS ALBERTO"/>
        <s v="M.W. FACTORY S.R.L."/>
        <s v="RAMIREZ RODRIGUEZ EDWIN"/>
        <s v="IZARRA DE LLICAN JANET DEL PILAR"/>
        <s v="SOBERON BRONCANO CARLOS ENRIQUE"/>
        <s v="LOYAGA REYES DAMARIS"/>
        <s v="PARIONA MENDOZA JUAN"/>
        <s v="MENDEZ JARA PABLO ALFONSO"/>
        <s v="ELIZALDE ORMEÑO EDUARDO JEYSON FERRER"/>
        <s v="LI CANALES CARLOS"/>
        <s v="TORRES VASQUEZ JAIME"/>
        <s v="ASCENSORES S.A"/>
        <s v="GRUPO ABAN SOCIEDAD ANONIMA CERRADA-GRUPO ABAN S.A.C."/>
        <s v="HERNAN GARCIA MANUEL"/>
        <s v="RETUERTO ARANA LUIS"/>
        <s v="CACERES SALINAS ANDRES AVELINO"/>
        <s v="CANECILLAS ZAFRA MIGUEL ANGEL"/>
        <s v="CANCHO ALARCON RAFAEL"/>
        <s v="M &amp; R REPUESTOS IMPORT SOCIEDAD ANONIMA CERRADA"/>
        <s v="YLLANTES REYES JOSUE"/>
        <s v="MILLA LOPEZ ELIDA LIDIA"/>
        <s v="HUAMANI QUISPE CHIRLEY YOLANDA"/>
        <s v="CRISTALES Y VIDRIOS DEL PERU SAC"/>
        <s v="PADILLA CALDERON LEONARDO"/>
        <s v="MANAY GUERRERO ESWIN"/>
        <s v="QUEVEDO FLORES JOSE ABSALON"/>
        <s v="PONCE GONZALES JOSSEMAR SHANE"/>
        <s v="LLICAN CALDERON GERARDO"/>
        <s v="MARILLO AGUILAR MARCO"/>
        <s v="FC INGENIERIA Y SERVICIOS AMBIENTALES S.A.C."/>
        <s v="SALAS JESSICA"/>
        <s v="CUEVA CASHU JESUS JOSE"/>
        <s v="SINOMAQ S.A."/>
        <s v="SALINAS ERAZO ENERGY INGENIEROS E.I.R.L.-SEENERGY INGENIEROS E.I.R.L."/>
        <s v="ESC LOGISTICA S.A.C."/>
        <s v="ABELIN S A"/>
        <s v="GARCIA VALDIVIA CARLOS AUGUSTO"/>
        <s v="SANCHEZ CERNA GINA PAOLA"/>
        <s v="LONGHORN GRILL S.A.C."/>
        <s v="BENAVIDES VIDAL DIEGO"/>
        <s v="BARRON GAMARRA RICARDO ERICK"/>
        <s v="VICTOR GARCIA VIVANCO"/>
        <s v="DAVID QUISPE SAIG"/>
        <s v="TRANSPORTES PAJUELO Y CIA SRLTDA"/>
        <s v="AYALA MEDRANO MIGUEL ANGEL"/>
        <s v="NSTAPANELCON INGENIERIA Y CONSTRUCCION S.A.C."/>
        <s v="VALDIVIEZO CASTRO PAMELA"/>
        <s v="MOGOLLON ROSALES YEFFERSON"/>
        <s v="GASTELU ROQUE"/>
        <s v="ESPINO GUERRERO LUIS ALBERTO"/>
        <s v="CILSA"/>
        <s v="TEXCO PERÚ SAC"/>
        <s v="RODRIGUEZ ALVARADO MIGUEL"/>
        <s v="J&amp;M QUIMICOS  Y TECNOLOGIA  SAC"/>
        <s v="GOMEZ ATOCHE SEGUNDO JHONATAN"/>
        <s v="MENDOZA SIGUEÑAS DE RAMOS LUISA"/>
        <s v="INFORMATICA &amp; CONECTIVIDAD S.A.C."/>
        <s v="PERU FARMA SA"/>
        <s v="COMPARTAMOS FINANCIERA S.A."/>
        <s v="MULTISERVICIOS PHOENIX E.I.R.L."/>
        <s v="BALTUANO VASQUEZ BRAULIO"/>
        <s v="BETTY LIDIA INGA CUEVA"/>
        <s v="BRAVO MANCO ERNESTO"/>
        <s v="RUEDA CAYCHO DANTE"/>
        <s v="QUISPE PIERRE REYES"/>
        <s v="AUTOMOTORES  YOSHIVAL  S.A.C"/>
        <s v="GLORIA DAVILA URBINA"/>
        <s v="EZPINOZA CXANALES FRANKLIN"/>
        <s v="PACHECO CENTENO JOHNNY"/>
        <s v="ABEL SILVA QUISPE"/>
        <s v="DBA INDUSTRIAL SUPPLY S.A.C."/>
        <s v="GARIBAY CAUTE EDGAR"/>
        <s v="VIDAL DEL AGUILA MARGIT"/>
        <s v="CORDOVA CRUZ ISRAEL"/>
        <s v="GNOSIS COACHING &amp; CONSULTING SAC"/>
        <s v="ICETEL PERU S.A.C."/>
        <s v="YULIANA PATRICIA CRISTOBAL PAREDES"/>
        <s v="ROSAS RAMIREZ LEONOR MARGARITA"/>
        <s v="JOSE LUIS CRUZ AGUILAR"/>
        <s v="ASENJO BENDEZU RICHARD"/>
        <s v="EMPRESA DE SERVICIOS GD SAC"/>
        <s v="HE &amp; RI SERVICE SAC"/>
        <s v="LINARES VASQUEZ FREDY RAFAEL"/>
        <s v="CUENCA AEDO FERNAD CARLO"/>
        <s v="MORENO VALDEZ ALBERTO RAFAEL"/>
        <s v="JUAREZ TORRES MARIO"/>
        <s v="ANAYA AGUEDO ORLANDO ALBERTO"/>
        <s v="SIMON CABALLA BERROCAL"/>
        <s v="PEREDA TRUJILLO CARLOS ALBERTO"/>
        <s v="CALIENES SANDOVAL RAFAEL"/>
        <s v="POMASONCCO CAYLLAHUA ZELMIRA"/>
        <s v="BALDEON SIFUENTES CINDY SUTEY"/>
        <s v="CHANGANA ARROYO ARTURO MARTIN"/>
        <s v="TRANSPANTERA S.A.C."/>
        <s v="ALBORNOZ VALLE EDUARDO"/>
        <s v="CHAVEZ BAÑEZ IRIS MARGOTT"/>
        <s v="COPIERMAX EIRL"/>
        <s v="MARLON RAFAEL RAMOS"/>
        <s v="SERRANO CORREA JOSE"/>
        <s v="CORPORACION RAMS FG S.R.L."/>
        <s v="VILLANUEVA PALOMINO OSCAR GRIMALDO"/>
        <s v="CORPORACION RC S.A.C."/>
        <s v="TEJADA TAVARA RONALD SERGIO"/>
        <s v="KATEHIJO E.I.R.L."/>
        <s v="VASQUEZ SEGUNDO RICARDO"/>
        <s v="BONIFAZ RINCON JESUS JORGE"/>
        <s v="ALDAZ PECAR FERNANDO"/>
        <s v="CENTRO GINECO OBSTETRICO PLANIFICAR Y CONCEBIR EMPRESA INDIVIDUAL DE RESPONSABILIDAD LIMITADA"/>
        <s v="CORPORACION KHRONOS SOCIEDAD ANONIMA CERRADA"/>
        <s v="MARCO ORTIZ CORDOVA"/>
        <s v="CORPORACION METALINDUSTRIA LME S.A.C."/>
        <s v="CALDERON ALVAREZ DORIS MARIBEL"/>
        <s v="ROMERO ECHEVARRIA JUAN RAUL"/>
        <s v="HUMBERTO REGULO ALARCON QUISPE"/>
        <s v="CUCHUPOMA GOMEZ HILTON"/>
        <s v="CORPORACION CRONS PERU S. A.C"/>
        <s v="TAVERA TERREROS ROCIO DEL PILAR"/>
        <s v="DUQUE OLIVOS FRANCISCO JOSE"/>
        <s v="RODRIGUEZ EPIQUEN VICTOR MANUEL"/>
        <s v="RIOS HUAMANI FLOR AMPARO"/>
        <s v="BASILIO VERASTEGUI LUIS"/>
        <s v="FEDICASA SAC"/>
        <s v="PUJAY VALVERDE YERSON TEODOCIO"/>
        <s v="ALVA SALVADOR NERY ZENON"/>
        <s v="MUÑOZ CHACON JUAN"/>
        <s v="RENTAEQUIPOS LEASING PERU S.A."/>
        <s v="INMOBILIARIA LIU &amp; LIDO SAC"/>
        <s v="TPM INGENIERIA E IMPORTACIONES S.A.C."/>
        <s v="LAZO RIOS VICTOR JAVIER"/>
        <s v="SERPROVAN E.I.R.L."/>
        <s v="GRANOS ANDINOS DEL PERU S.A."/>
        <s v="CARROCERIAS METAL Y MADERA S.A.C. - CAMEM S.A.C."/>
        <s v="MENDOZA TIRADO JOSE"/>
        <s v="GUEVARA PAREDES EDWIN JOSE"/>
        <s v="KARIAND 2000 E.I.R.L."/>
        <s v="ROQUE BORJA KAREN"/>
        <s v="JUAREZ TORRES JORGE"/>
        <s v="MANYARI AGUILAR ROLANDO EUSEBIO"/>
        <s v="METALAB S.A.C."/>
        <s v="CUCCHI HURTADO SANTOS ORLANDO"/>
        <s v="CESPEDES HERRERA MARLY GRISEL"/>
        <s v="NUEVA IMAGEN DENTS E.I.R.L."/>
        <s v="MATA TORRES ANDERSON ELMER"/>
        <s v="DISTRIBUIDORA ROGAS S. R. L."/>
        <s v="EDER SERGIO CASTILLO"/>
        <s v="CANAHUALPA DURAND HENRY ALEJANDRO"/>
        <s v="RODRIGUEZ HERRERA MARIBEL"/>
        <s v="CAMARGO LUNA JUAN DE LA CRUZ"/>
        <s v="CUIPAL HUERTA GLADYS MARILU"/>
        <s v="CRUZADO SOLANO DAVID ERNESTO"/>
        <s v="PEREZ OLIVERA JOSE SALOMON"/>
        <s v="GUERRERO NILTON PERCY"/>
        <s v="MCM CONSULTORES S.A.C."/>
        <s v="SANDOVAL RUIZ GUILLERMO"/>
        <s v="DESIGN INGENIERIA Y CONSTRUCCION S.A.C."/>
        <s v="M.MILLONES ASESORIA &amp; GESTION EMPRESARIAL E.I.R.L."/>
        <s v="PORRAS SALAZAR ITALO CESAR"/>
        <s v="ZAVALETA AGUILAR LUCILA ANITA"/>
        <s v="TALAVERA ZAPATA SILVIA MARIA"/>
        <s v="VALDIVIA CARDENAS VICENTE ALONSO"/>
        <s v="DE LA CERNA PRINCIPE VICTOR PERICLES"/>
        <s v="PUMAYALLA GIOVE ALEXIS"/>
        <s v="COMPUTER AND PRINTING SOLUTIONS S.A.C"/>
        <s v="MARCELIANO ARTEAGA ROGER"/>
        <s v="VILLACORTA CASTRO VICTOR ANTONIO"/>
        <s v="CUSCO TOURS AERO SOCIEDAD ANONIMA CERRADA - CUSCO TOURS AERO S.A.C."/>
        <s v="INVERSIONES SLID E.I.R.L."/>
        <s v="PAREDES PAREDES LUIS"/>
        <s v="DOMINGUEZ GARCIA JESUS AGUSTO"/>
        <s v="CRUZ GUEVARA GIANCARLO"/>
        <s v="RAMIREZ GARCIA DANTE"/>
        <s v="PARSA CONTRATISTAS GENERALES S.R.L."/>
        <s v="LAZARO DAVIDAD JOSE LUIS"/>
        <s v="ROMERO MALPARTIDA JOSEP´S ALEXANDER"/>
        <s v="TAPIA PECHO MARCO ANTONIO"/>
        <s v="AVENDAÑO SUAREZ JANET"/>
        <s v="SALCEDO MONCADA ROBERTO"/>
        <s v="VILCA GUERRA MARTIN FERNANDO"/>
        <s v="HUERTA TORRES OSCAR"/>
        <s v="YUCRA JARAMILLO CARLOS"/>
        <s v="INVERSIONES Y NEGOCIACIONES INBIMA PERU S.A.C. - INBIMA PERU S.A.C."/>
        <s v="VICTOR LAURA MONTERO"/>
        <s v="UZURIAGA RIVERA JAIME"/>
        <s v="FALLA CASTRO MARLON ARTURO"/>
        <s v="ECOLAB SRL"/>
        <s v="WONG NUÑEZ JAIME RENZO"/>
        <s v="PERU FORWARDERS LOGISTICA ADUANERA S.A.C"/>
        <s v="MENDOZA RICARDO MANUEL"/>
        <s v="MARIO CONDORI CABEZAS"/>
        <s v="DISTRIBUIDORA VITANOR SECTOR I SOCIEDAD ANONIMA CE"/>
        <s v="ZAVALETA TINTAYA GUISELLA LOURDES"/>
        <s v="CUMPA MALPARTIDA JOSE ALEJANDRO"/>
        <s v="CUADROS JURADO ROCIO ESTHER"/>
        <s v="CONSORCIO JOVIZA S.A"/>
        <s v="INVERSIONES HUZA SAC"/>
        <s v="ERCOS SERVICIOS GENERALES S.A.C."/>
        <s v="UNIDAD DE GESTION EDUCATIVA LOCAL 04"/>
        <s v="YURY-GOL S.A.C."/>
        <s v="VASQUEZ MORALES JUANA LUZ"/>
        <s v="VILLANUEVA CASTILLO SUSY"/>
        <s v="CASAHUAMAN GARCIA JOSUE"/>
        <s v="CASTRO RIVERA MIRTHA LUISA"/>
        <s v="ROSAS VICUÑA JULIO GENARO"/>
        <s v="AGUIRRE PEREDA DIEGO ARMANDO"/>
        <s v="AMARANTO GONZALES ALBERT"/>
        <s v="JIMENEZ MESIA JORGE"/>
        <s v="ERHUAY CHILINGANO MARIA"/>
        <s v="PALACIOS SANDOVAL RAUL"/>
        <s v="DIAZ TORRES PEDRO"/>
        <s v="ZUñIGA LAVINI VERONICA"/>
        <s v="MONTES CHAVEZ RONALD FRANCISCO"/>
        <s v="CLIMA SYSTEM S.A.C"/>
        <s v="CONFECCIONES LIVIO E.I.R.L."/>
        <s v="CARLOS CORDOVA JOSE"/>
        <s v="FERNANDEZ CANCHIS HUGO FERNANDO"/>
        <s v="VENTILATION COLD MACHINE S.A.C. - VECOMA S.A.C."/>
        <s v="GRUPO FADELA S.A.C."/>
        <s v="MASTER MEDICA EIRL"/>
        <s v="PERU ENGINES SAC"/>
        <s v="BRAVO DIAZ JORGE ANTONIO"/>
        <s v="D VIDAL CONTRATISTAS E.I.R.L."/>
        <s v="DIAZ VELARDE DE HOYOS, MARIA DEL PILAR"/>
        <s v="CORPORACION EDUCATIVA THALES DE MILETO"/>
        <s v="S.A. &amp; D.A. S.R.L."/>
        <s v="GUTIERRES CHUQUIVILCA CARLO"/>
        <s v="GRUPO CREDIVARGAS S.A.C."/>
        <s v="INDUSTRIAL JACO EIRL"/>
        <s v="VERGARA LOU SANDRA HORTENSIA"/>
        <s v="BARBA ENCARNACION RENATO ANTONIO"/>
        <s v="HOLGUIN PRETELL OSCAR EDUARDO"/>
        <s v="VIVANCO PIZANGO CESAR AUGUSTO"/>
        <s v="CRUZ HUAMAN VICTOR ANTONIO"/>
        <s v="ASPIROS SILVA ANA PATRICIA"/>
        <s v="CONDORI URBIZAGASTEGUI MIGUEL"/>
        <s v="RSC IMPORT SOCIEDAD ANONIMA CERRADA - RSC IMPORT S.A.C."/>
        <s v="J.J.PRODUCCIONES GRAFICAS SRL"/>
        <s v="BUSTILLOS MOSTACERO SONIA"/>
        <s v="FACTORION S.A.C."/>
        <s v="MANUEL RODRIGUEZ PALACIOS"/>
        <s v="GONZALES ARANDA ESTRELLA MIA"/>
        <s v="PUJAICO RAMIREZ CAYO SERAPIO"/>
        <s v="SALAS CARPIO JACKSON"/>
        <s v="ALVAREZ SALINAS RENZO JAVIER"/>
        <s v="FIESTAS ZAPATA NORMA BEATRIZ"/>
        <s v="VELA RIOS DANIEL MARTIN"/>
        <s v="GAN PLAZA PATRICIA"/>
        <s v="PARDO MILLA NELSON"/>
        <s v="MARTIN ANDRES GUTIERREZ"/>
        <s v="JOSSEPP YURI CRUZ"/>
        <s v="JTR CONTRATISTAS GENERALES S.A.C."/>
        <s v="MENDOZA NARREA JOSE FRANCISCO"/>
        <s v="TENORIO CACERES CESAR MARIN"/>
        <s v="CAYO SIVINCHA JUAN CARLOS"/>
        <s v="MEJIA CLEMENTE SHIRLEY"/>
        <s v="SANCHEZ GUTIERREZ DE RODRIGUEZ GUADALUPE ESTELA"/>
        <s v="ALVAREZ AVAYA LUIS CARLOS"/>
        <s v="GARCIA LEANDRO VICTOR"/>
        <s v="IMPACTO TEL E.I.R.L."/>
        <s v="INDUSTRIAS SIGMA SRL"/>
        <s v="SANCHEZ PALOMINO MARCO"/>
        <s v="AVILA HUAMAN JOSE ANTONIO"/>
        <s v="CLINICA SANTA ROSA DE LOS OLIVOS S.A.C."/>
        <s v="SIHUA TORIBIO LUZMILA YSABEL"/>
        <s v="CASTRO MARTINEZ DELMER ALBINO"/>
        <s v="CHRISTIAN CHAVEZ GARCIA"/>
        <s v="M &amp; F LEON SERVICIOS INTEGRALES S.A.C. - M &amp; F LEON S.A.C."/>
        <s v="CASTAñEDA ALVARADO WILLIAM"/>
        <s v="M &amp; A TRAVEL EXPRESS S.A.C."/>
        <s v="CAVERO EGUSQUIZA MARTINEZ DANILO AUGUSTO"/>
        <s v="DANIEL MARTINEZ ECHACCAYA"/>
        <s v="LANDEO SANCHEZ CARMELA"/>
        <s v="AIDA TEOFILA COLONIA FIGEROA"/>
        <s v="CHACON ACUÑA RICARDO"/>
        <s v="A&amp;C SEGUREX SAC"/>
        <s v="OBREGON TARAZONA JHONE"/>
        <s v="FORKLIFT &amp; SERVICE S.A.C."/>
        <s v="CORDOVA SOLIS SAUL IVAN"/>
        <s v="TUEST ARROYO JORGE AUGUSTO"/>
        <s v="CHICCHON VERASTEGUI PABLO MIGUEL"/>
        <s v="CORPORACION DEL PACIFICO CENTRAL S.A.C."/>
        <s v="CLINICA JESUS DEL NORTE"/>
        <s v="PACHECO ALVARADO JULL MICHAEL"/>
        <s v="CABANILLAS MACHUCA VDA DE PADILLA MAGDALENA"/>
        <s v="J.S.MARKET SOLUTIONS S.A.C."/>
        <s v="HJJ EL PORVENIR E.I.R.L"/>
        <s v="FABIAN MESTANZA JOE LUIS"/>
        <s v="LUIS FERNANDO AROSEMENA CAVERO"/>
        <s v="CARDENAS ASENCIOS RICHARD"/>
        <s v="CHAVARRI PEREZ MARIA LAURA"/>
        <s v="RAVICHAGUA ROMERO CANDY YAMILET"/>
        <s v="INVERSIONES INMOBILIARIAS ARAGOM S.A.C."/>
        <s v="RAMIREZ VEGA JULIO CESAR"/>
        <s v="CASTAÑEDA GUZMAN MILAGROS LISSETE"/>
        <s v="INVERSIONES JC Y LV S.A.C."/>
        <s v="LAVANDERIA EL PINAR EIRL"/>
        <s v="HUAMANI QUISPE FREDDY JOSE"/>
        <s v="ACUÑA CHAVARRY VICTOR"/>
        <s v="BARDALAGO FLORES ERIKA"/>
        <s v="DANIELA VICTORIA QUIROZ"/>
        <s v="GORDILLO VEGA JOSE LUIS"/>
        <s v="ADIP CONSULTING ASESORAMIENTO EN EL DESARROLLO INTEGRAL DE PERSONAS S.A.C."/>
        <s v="CHAVARRI MONTOYA GIANFRANCO ANDRE"/>
        <s v="SANTA CRUZ ARIAS MARIA"/>
        <s v="MORENO LAVERIAN RUTH MARIA"/>
        <s v="RODRIGUEZ QUIÑONEZ ALAN ENRIQUE"/>
        <s v="CRUZ AGUILAR DANIEL"/>
        <s v="FERNANDEZ HUAMAN IDELSON"/>
        <s v="MIRIAM YANAC REYES"/>
        <s v="HAC COMERCIO Y MANUFACTURA SOCIEDAD ANONIMA"/>
        <s v="DIGUESA IMPORT S.A.C"/>
        <s v="O &amp; T FERROTECS EMPRESA INDIVIDUAL DE RESPONSABILIDAD LIMITADA"/>
        <s v="KONTROL PERUANA S.A.C."/>
        <s v="R&amp;L MEDICASOCIADOS S.A.C."/>
        <s v="TRANSPORTES INTERVEGA S.A.C."/>
        <s v="SUAREZ SAMPEN WILLIANS ISAAC"/>
        <s v="LARREA PALOMINO MARIA SHIRLEY"/>
        <s v="E-SYSTEM TIC PERU S.A.C"/>
        <s v="RAMOS SILUPU JORGE LUIS"/>
        <s v="FLOR DE MARIA CASALINDO ZAMBRANO"/>
        <s v="DIAZ GARCIA JULIA"/>
        <s v="TORRES RODRIGUEZ LORENZA"/>
        <s v="PINTO VENTURA ALEXANDER ARTURO"/>
        <s v="ARGUEDAS ALVARADO JOSE MARIA SAUL"/>
        <s v="CESAR CABRERA"/>
        <s v="VELASQUEZ VALENZUELA KENNY"/>
        <s v="AMANQUI PUNIL STIVEN WLADIMIR"/>
        <s v="GARY AGUILAR LAGOS"/>
        <s v="GIANFRANCO MIGUEL ANGEL HILARIO GUTIERREZ"/>
        <s v="KPI INGENIEROS S.A.C"/>
        <s v="CINTHYA PAOLA MALDONADOTUESTA"/>
        <s v="GARCIA HERNADEZ JESUS ALEXIS"/>
        <s v="LAURENTE CHOMBA JOSE"/>
        <s v="LANDAURO REYES ALEXIS"/>
        <s v="SANCHEZ BLAS OSCAR PEDRO"/>
        <s v="SANDOVAL NAQUICHE FELIPE"/>
        <s v="LAISHA TOURS E.I.R.L."/>
        <s v="DM EQUIPOS Y HERRAMIENTAS INDUSTRIALES E.I.R.L."/>
        <s v="CONDUCTORES METALICOS S.A.C."/>
        <s v="SOLUTION TRANSPORT S.R.L."/>
        <s v="COFACO INDUSTRIES S.A.C."/>
        <s v="TINCOPA AGURTO MARIA ORIETTA"/>
        <s v="BERISHHAJ KOLA"/>
        <s v="SC INGENIERIA Y CONSTRUCCION S.A.C."/>
        <s v="EDGAR RICHARDO GALINDO"/>
        <s v="CORPORACION VEGA S.A.C."/>
        <s v="LECO INSTRUMENTOS PERU S.R.L."/>
        <s v="AURICA SAC"/>
        <s v="ASOC.DE PROP.DE LA URB.POP.TAHUANTINSUYO"/>
        <s v="3 TOWERS S.A.C."/>
        <s v="ALTEXTIL GROUP S.A.C."/>
        <s v="PAZOS NOVOA GLADYS"/>
        <s v="CHANCAFE SANTIAGO CHRISTHIAN PAUL"/>
        <s v="CAMA FUENTES LUIS GUSTAVO"/>
        <s v="MET CORREDORES S.A.C"/>
        <s v="DEMETRIO LAURENTE ESLAVA"/>
        <s v="H G P REPRESENTACIONES Y SERVICIOS E.I.R.L."/>
        <s v="GARCIA CALDERON VICTOR"/>
        <s v="JORGE LUIS PEREZ DIAZ"/>
        <s v="CORPORACION LEC S.A.C."/>
        <s v="BACA GONZALES JOSE FRANCISCO"/>
        <s v="ABREGO LIÑAN, CESAR JUAN"/>
        <s v="BRIAN RODRIGUEZ SANCHEZ"/>
        <s v="PADILLA SAAVEDRA KEIT ROLLIN"/>
        <s v="WANG - XIAMENG"/>
        <s v="OTOYA PAUCAR MARIO RUBEN"/>
        <s v="AGUILAR MALAVER RAFAEL ALBERTO"/>
        <s v="CORDOVA DIAZ EDDIE OSCAR MARTIN"/>
        <s v="ANGEL FLORES CIRIACO"/>
        <s v="GAROFOLIN LAY NADIA ROSA"/>
        <s v="CHRISTIAN CORDOVA RUIZ"/>
        <s v="H2 SYSTEM PERU E.I.R.L. - H2S PERU"/>
        <s v="LUIS ENRIQUE AGUILAR VARGAS"/>
        <s v="DANIEL MENDOZA DAVILA"/>
        <s v="ESPINOZA TORVISCO DAVID"/>
        <s v="OVALLE CORDERO EDGAR MANUEL"/>
        <s v="YECSABELL ALVA CADILLO"/>
        <s v="ARTURO ULLOA REYES"/>
        <s v="T&amp;D ELECTRIC"/>
        <s v="RAMIREZ OLIVERA MARCO"/>
        <s v="RIVERA INFANTAS JORGE LUIS"/>
        <s v="ALKOFARMA E.I.R.L."/>
        <s v="DISTRIBUIDORA CIPRIANO S.A.C."/>
        <s v="CARRERA QUINO JORGE"/>
        <s v="OLIVOS MAQUINARIAS S.A.C."/>
        <s v="J &amp; C FRENOS S.R.L."/>
        <s v="WILLMAN JULIO LEON RODRIGUEZ"/>
        <s v="ELECTRIC ENERGY COMPANY S.A.C."/>
        <s v="RODRIGUEZ VASQUEZ GLORIA"/>
        <s v="VASQUEZ PARAGULLA JUAN JULIO"/>
        <s v="A &amp; HNOS. PERU IMPORT SOCIEDAD ANONIMA CERRADA"/>
        <s v="GRANADOS NUÑES CESAR LUIS"/>
        <s v="SANCHEZ VIVANCO WILMER"/>
        <s v="HIDROSTAL S.A."/>
        <s v="TARAZONA ANTONIO WILFREDO WALTER"/>
        <s v="AXEL HEREDIA VALDIVIA"/>
        <s v="LISSETH GAVANCHO RAMIREZ"/>
        <s v="LUIS AMARO CARRASCO CORDOBA"/>
        <s v="EDITORIA JAVI GRAFICA IMPRESORES E.I.R.L."/>
        <s v="FERNANDEZ DIAZ LENYN"/>
        <s v="CALDERON EZPINOZA ROGER IVAN"/>
        <s v="ISLA VENTURA LUIS ANTONIO"/>
        <s v="ATOCHE SCOLA DE GOMEZ AZUCENA DE JESUS"/>
        <s v="PERCY EDUARDO AQUINO"/>
        <s v="MIGUEL ANGEL LINO"/>
        <s v="BENDEZU HUAPAYA JUAN"/>
        <s v="JOHANSON EDUARDO VEGA HERRERA"/>
        <s v="WALTER DURAN GAMBOA"/>
        <s v="MORON REYES MARCO ANTONIO"/>
        <s v="AUGUSTO HIDALGO LA ROSA LLAMOZAS"/>
        <s v="FLORES ALVAREZ JOSE FRANKLIN"/>
        <s v="AVA SERVICES &amp; TRADE COMPANY S.A.C."/>
        <s v="CONSULTING CENTER SAC"/>
        <s v="WILFRDO GUERRERA DIAZ"/>
        <s v="GUERRERO BURE JAIR ROBERTO"/>
        <s v="CAMINA CHUMPITAZ ROWBLAND FERNANDO"/>
        <s v="CARLOS ENRIQUE VARGAS CHILO"/>
        <s v="WONG MENDOZA JOSE ANTONIO"/>
        <s v="RIOS CASTILLO JOSE BELTONS"/>
        <s v="CUEVA CONTRERAS JOSE MARTIN"/>
        <s v="MARTIN VICENTE MANCO"/>
        <s v="ADRIASEB DIAGNOSTIC E.I.R.L."/>
        <s v="VILLALTA LOZANO GIANCARLOS"/>
        <s v="IT4BLESS E.I.R.L."/>
        <s v="HUAMANI BARRAZA JORGE ARTURO"/>
        <s v="VELARDE LOPEZ GIANCARLO"/>
        <s v="CONSORCIO NISSI S.A.C."/>
        <s v="KATHERINE LISSET VELASQUEZ PEÑA"/>
        <s v="TRANSPORTES LINEA S.A."/>
        <s v="HCM PRO S.A.C."/>
        <s v="RAA VILCA SUSANA BERNARDINA"/>
        <s v="ALEJOS LLUQUE ERIKA JUDITH"/>
        <s v="CONSORCIO DE SEGURIDAD AGUILAS DEL SUR S.A.C."/>
        <s v="IMPORTADORA Y EXPORTADORA DOÑA ISABEL E. I.R.L"/>
        <s v="GRAFICA ROMERO S.A.C."/>
        <s v="ZUVILETA QUISPE FELIX"/>
        <s v="GRUPO URANO 3 S.A.C."/>
        <s v="MANDUJANO PORTOCARRERO EDWIN RAFAEL"/>
        <s v="CONSORCIO ANG E.I.R.L."/>
        <s v="INGENIERIA Y CONSTRUCCIONES HIDRAULICAS SAC."/>
        <s v="JEACKSON ARTURO RIOS VELASCO"/>
        <s v="NILDHATEL SOCIEDAD ANONIMA CERRADA - NILDHATEL S.A.C."/>
        <s v="GUZMAN COLLAZOS MARITZA"/>
        <s v="MOI SERVICIOS GENERALES"/>
        <s v="FERNANDEZ SANCHEZ JUAN ALBERTO"/>
        <s v="GAPECA GOLD SAC"/>
        <s v="COGORNO S.A."/>
        <s v="JARA ROMERO, SEGUNDO AURELIO"/>
        <s v="CONSTRUDECOR PERU S.A.C."/>
        <s v="POSEIDON CARGO S.A.C."/>
        <s v="LOPEZ PACORA LUIS"/>
        <s v="LOPEZ CUBA PEDRO ENRRIQUE"/>
        <s v="JORGE LUIS JOYA REYES"/>
        <s v="ANDAHUA JUAN VELASQUEZ"/>
        <s v="CONKRETO INGENIERIA Y CONSTRUCCION S.A.C."/>
        <s v="IBERIA LINEAS AEREAS DE ESPAÑA SOCIEDAD ANONIMA OPERADORA"/>
        <s v="CHAVEZ BAÑEZ AYVAR"/>
        <s v="SUAREZ SOTO, YANINA DEL PILAR"/>
        <s v="ZANINGROUP MINING AND CONSTRUCTION S.A.C.-ZANINGROUP S.A.C."/>
        <s v="GOMEZ CHULLUNCUY JOAN"/>
        <s v="MEZA CERNA JUNOR RAUL"/>
        <s v="MOLERO VENERO ELI"/>
        <s v="CASTILLO QUIÑONES JOHNNY DANIEL"/>
        <s v="MANCO MATOS VICTOR EMMANUEL"/>
        <s v="MIGUEL ANGEL FIGUEROA APESTEGUI"/>
        <s v="DENNYS M. CANCHACHI VILLASANTE"/>
        <s v="MULTISERVICIOS SANTA URSULA S.A.C."/>
        <s v="MENDEZ SANDOVAL ENRIQUE"/>
        <s v="CHATE CHAVEZ ARTURO"/>
        <s v="ELECTRONIC INTELLIGENT SOLUTIONS SOCIEDAD ANONIMA CERRADA"/>
        <s v="FABRISERV FAVIYOHEL SOCIEDAD ANONIMA CERRADA - FAVIYOHEL S.A.C"/>
        <s v="CONSORCIO IE GRAN BRETAñA"/>
        <s v="LOAYZA BEDON CARLOS ALBERTO"/>
        <s v="PRECISION SERVICES SYSTEM IT S.A.C."/>
        <s v="LIDETAB MELECSA SOCIEDAD ANONIMA CERRADA - MELECSA S.A.C."/>
        <s v="IASAC INGENIERIA &amp; ARQUITECTURA S.A.C."/>
        <s v="JUANA HERRERA MANCILLA SIERRA"/>
        <s v="RICHARD JUNIOR CHAVEZ LORENZO"/>
        <s v="LAYTEN PAZOS ERIKA"/>
        <s v="ORLANDO VILLALOBOS SAAVEDRA"/>
        <s v="INFRAESTRUCTURAS Y ENERGIAS DEL PERU S.A.C."/>
        <s v="CHUNG INGENIERIA Y CONSTRUCCION S.A.C."/>
        <s v="ANGELICA RAMOS MUCHA"/>
        <s v="ASTOCAZA CRUZ ALIXON"/>
        <s v="TECNISOL REPRESENTACIONES E.I.R.L."/>
        <s v="GIL COELLO JULIA ESTHER"/>
        <s v="MUNICIPALIDAD DISTRITAL  DE SAN JUAN DE LURIGANCHO"/>
        <s v="LAZARTE BEJARANO ROBERT"/>
        <s v="TRABAJADORES VARIOS"/>
        <s v="CLIENTES VARIOS"/>
        <s v="PROVEEDORES VARIOS"/>
        <s v="VAENCO S.R.L."/>
        <s v="M Q METALURGICA S.A.C."/>
        <s v="MORENO MUÑOZ ERNESTO"/>
        <s v="DELTO DISTRIBUIRORA E.I.R.L."/>
        <s v="QUIROZ HUERTA JOSMELL RICHARD"/>
        <s v="CONINGTEC S.A.C."/>
        <s v="MELGAREJO RODRIGUEZ LINDOL WILIAM"/>
        <s v="NARVAEZ CHAVEZ CRISTHIAN GONZALO"/>
        <s v="EMPRE Y LECAL E.I.R.L."/>
        <s v="LV &amp; JC DISTRIBUIDORES S.A.C."/>
        <s v="YUPANQUI MURGA YENY"/>
        <s v="MARA &amp; CHRIS EMPRESA INDIVIDUAL DE RESPONSABILIDAD LIMITADA"/>
        <s v="VILLANUEVA VEGA YONY TEODORO"/>
        <s v="STIERLIFT S.A."/>
        <s v="ESTACIO JIMENEZ GUSTAVO DARIO"/>
        <s v="GREEN &amp; WHITE CONSULTING S.A.C."/>
        <s v="PASTOR YAURIS OSCAR JOSE"/>
        <s v="CONSTRUCTORA CONSTRUCCIONES DE VILLALAZ S.A.C."/>
        <s v="ROJAS HIDALGO NIDIA"/>
        <s v="MONTAÑE SOSA CARLOS ALBERTO"/>
        <s v="SUDAMERICANA DE FIBRAS S.A."/>
        <s v="MJR CONSTRUCCIONES S.A.C."/>
        <s v="MUÑOZ JIMENEZ DAVID ENRIQUE"/>
        <s v="DIONICIO, ANDREA, MOVIL SOCIEDAD ANONIMA CERRADA - DAN MOVIL S.A.C."/>
        <s v="MILETT S.A.C."/>
        <s v="IV` DAGA SERVICIOS GENERALES SOCIEDAD ANONIMA CERRADA - IV` DAGA SERVICOS GENERALES S.A.C."/>
        <s v="MENDOZA VALVERDE SHEILA FANNY"/>
        <s v="CASTAñEDA HORNA JULIO CESAR"/>
        <s v="VILLAFUERTE ARMANDIZ JANET MARIBELL"/>
        <s v="ABANTO PUERTA EDER MARTIN"/>
        <s v="AVILES CAMIZAN WALTER RUBEN"/>
        <s v="GUERRA CHAMPI JOSE"/>
        <s v="AKIRA DEIVI ROSALES CONDOR"/>
        <s v="ESTRADA MEDINA EDER JAVIER"/>
        <s v="PACHECHO MARREROS BRISMARCK JULIO"/>
        <s v="ARAUCO SEGOVIA JHONY JORGE"/>
        <s v="RICARDO VASQUEZ PRO"/>
        <s v="MARCO ANTONIO SORALUZ CUBAS"/>
        <s v="OMAR ARIAS ATOCCZA"/>
        <s v="ISIDORO TALLA MARCO ANTONIO"/>
        <s v="BARDALES GARCIA KARLOS ULISSES"/>
        <s v="CARLOS ENRIQUE ORDOÑEZ TITO"/>
        <s v="JHON CHRISTIAN RAMOS SIFUENTES"/>
        <s v="OCTAVIO JORGE ANGELES MUÑOZ"/>
        <s v="QUINTANILLA HUISA JANETH"/>
        <s v="LOPEZ SOTOMAYOR FRANCISCO"/>
        <s v="GUIZABALO ANTEZANA YEFRI"/>
        <s v="MEDINA GODOY JUAN"/>
        <s v="MOSQUIPA TAIRO JUAN PABLO"/>
        <s v="GONZAGA EMILIO"/>
        <s v="VIDAL CAMPOS MADELEYNE CRISTINA"/>
        <s v="VASQUEZ ARENAS JAVIER FERNANDO"/>
        <s v="LUPERCIO CHAVEZ SAUCEDA"/>
        <s v="ZEGARRA CASAHUAMAN ALDO"/>
        <s v="AGUILAR VILLALOBOS PAUL MARTIN"/>
        <s v="ALBUJAR GARCIA DANIEL FREDDY"/>
        <s v="BERNARDINA MARLENE RODRIGUEZ TALAVERANO"/>
        <s v="BENAVIDES MENDOZA JESUS"/>
        <s v="BENDEZU MEJIA RICARDO LEONEL"/>
        <s v="JUAREZ MARTELL GLE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stor Castro Valerio" refreshedDate="43806.540959722224" createdVersion="6" refreshedVersion="6" minRefreshableVersion="3" recordCount="724" xr:uid="{3E9D6A4B-D6FC-4A4F-A8F5-114806C53408}">
  <cacheSource type="worksheet">
    <worksheetSource ref="X3:AV727" sheet="Facturacion"/>
  </cacheSource>
  <cacheFields count="25">
    <cacheField name="Sin_IGV" numFmtId="4">
      <sharedItems containsSemiMixedTypes="0" containsString="0" containsNumber="1" minValue="-1608.4800479999999" maxValue="6110.3029682449196"/>
    </cacheField>
    <cacheField name="Fecha2" numFmtId="14">
      <sharedItems containsNonDate="0" containsDate="1" containsString="0" containsBlank="1" minDate="2019-10-07T00:00:00" maxDate="2019-12-01T00:00:00"/>
    </cacheField>
    <cacheField name="OT Unicas" numFmtId="0">
      <sharedItems containsBlank="1"/>
    </cacheField>
    <cacheField name="Sum_Acum" numFmtId="0">
      <sharedItems containsString="0" containsBlank="1" containsNumber="1" minValue="16.949200000000001" maxValue="11290.754209999999"/>
    </cacheField>
    <cacheField name="Salidas_Almacen" numFmtId="4">
      <sharedItems containsString="0" containsBlank="1" containsNumber="1" minValue="0" maxValue="5608.7373900000002"/>
    </cacheField>
    <cacheField name="Compras_Rpto" numFmtId="4">
      <sharedItems containsString="0" containsBlank="1" containsNumber="1" minValue="0" maxValue="563.56474576271182"/>
    </cacheField>
    <cacheField name="Serv_Terceros" numFmtId="4">
      <sharedItems containsString="0" containsBlank="1" containsNumber="1" minValue="0" maxValue="824.5"/>
    </cacheField>
    <cacheField name="MO_Mecanica" numFmtId="4">
      <sharedItems containsString="0" containsBlank="1" containsNumber="1" minValue="0" maxValue="452.25"/>
    </cacheField>
    <cacheField name="MO_Planchado" numFmtId="4">
      <sharedItems containsString="0" containsBlank="1" containsNumber="1" minValue="0" maxValue="1055.25"/>
    </cacheField>
    <cacheField name="MO_Pintura" numFmtId="4">
      <sharedItems containsString="0" containsBlank="1" containsNumber="1" minValue="0" maxValue="1301.4750000000001"/>
    </cacheField>
    <cacheField name="Ser_Ter_Taller" numFmtId="4">
      <sharedItems containsString="0" containsBlank="1" containsNumber="1" containsInteger="1" minValue="0" maxValue="0"/>
    </cacheField>
    <cacheField name="Total_Gastos" numFmtId="4">
      <sharedItems containsString="0" containsBlank="1" containsNumber="1" minValue="0" maxValue="5858.4847814383047"/>
    </cacheField>
    <cacheField name="Margen_bruto" numFmtId="4">
      <sharedItems containsString="0" containsBlank="1" containsNumber="1" minValue="-69.544986149999886" maxValue="6316.4565190699996" count="153">
        <n v="754.97400000000005"/>
        <n v="136.86338783050849"/>
        <n v="476.96680771186436"/>
        <n v="238.91150964999997"/>
        <n v="302.49000899999999"/>
        <n v="1319.6674989999997"/>
        <n v="1024.7250425"/>
        <n v="558.39623979746"/>
        <n v="1032.0724609499998"/>
        <n v="683.06499999999994"/>
        <n v="953.62189015762715"/>
        <n v="598.26059000000009"/>
        <n v="829.16230099999996"/>
        <n v="1148.8899999999999"/>
        <n v="511.91500000000013"/>
        <n v="664.65284099999985"/>
        <n v="1489.3600000000001"/>
        <n v="523.64797909999993"/>
        <n v="369.76530666257975"/>
        <n v="1236.2847988000003"/>
        <n v="2000.9837842440679"/>
        <n v="2532.2737283000001"/>
        <n v="84.924999999999997"/>
        <n v="706.37599999999998"/>
        <n v="1889.9240698200001"/>
        <n v="811.47996764999959"/>
        <n v="1038.49995775"/>
        <n v="3585.4999993864412"/>
        <n v="2742.9674999999997"/>
        <n v="1201.4668719754197"/>
        <n v="550.92999999999984"/>
        <n v="3381.745356718644"/>
        <n v="1611.2912062033902"/>
        <n v="2690.3777673516947"/>
        <n v="3676.3101536576269"/>
        <n v="1250.1352903500001"/>
        <n v="787.91999999999985"/>
        <n v="249.5"/>
        <n v="3294.1237172338983"/>
        <n v="2250.2433507000001"/>
        <n v="436.93998090000014"/>
        <n v="302.32798009270982"/>
        <n v="677.18649922458007"/>
        <n v="578.02400422458004"/>
        <n v="648.89497319999998"/>
        <n v="1053.0299577000003"/>
        <n v="3467.233772461017"/>
        <n v="1794.4065726440676"/>
        <n v="1153.5984999999998"/>
        <n v="115.60710025000003"/>
        <n v="739.58389717541991"/>
        <n v="114.50915115000004"/>
        <n v="101.52864200000002"/>
        <n v="16.949099000000004"/>
        <n v="157.50715189999997"/>
        <n v="13.445201200000014"/>
        <n v="237.07749111000001"/>
        <n v="683.75250000000005"/>
        <n v="38.324999999999996"/>
        <n v="102.41662189576272"/>
        <n v="7.0999980000000136"/>
        <n v="103.10484000000002"/>
        <n v="103.10804000000002"/>
        <n v="353.30600000000004"/>
        <n v="1355.7380932999999"/>
        <n v="1920.9110000000001"/>
        <n v="668.423"/>
        <n v="660.75800000000004"/>
        <n v="4592.7386301240658"/>
        <n v="4491.6929628186426"/>
        <n v="1980.679592757627"/>
        <n v="5163.7392596322034"/>
        <n v="4003.2334355915254"/>
        <n v="1669.4260705999995"/>
        <n v="781.56279900000004"/>
        <n v="669.02842915500003"/>
        <n v="876.66500000000008"/>
        <n v="3540.92186790712"/>
        <n v="283.34199110000003"/>
        <n v="217.12082612457999"/>
        <n v="560.16247625000005"/>
        <n v="330.3919861"/>
        <n v="307.75533338657942"/>
        <n v="2790.5492549545788"/>
        <n v="219.83654998000003"/>
        <n v="334.92500000000001"/>
        <n v="4951.3832092800003"/>
        <n v="171.84475399999999"/>
        <n v="1748.020736415421"/>
        <n v="206.43350890000002"/>
        <n v="227.94529979999993"/>
        <n v="326.56398734999999"/>
        <n v="400.83598514999989"/>
        <n v="1109.184"/>
        <n v="4122.9365817999987"/>
        <n v="4226.3557401240678"/>
        <n v="1333.381402"/>
        <n v="5303.3006585799994"/>
        <n v="4079.1287605172865"/>
        <n v="877.8449999999998"/>
        <n v="856.93099999999981"/>
        <n v="238.72882860800001"/>
        <n v="468.73099999999994"/>
        <n v="1260.4449999999999"/>
        <n v="929.80200000000013"/>
        <n v="1378.1519999999998"/>
        <n v="1952.4915251099999"/>
        <n v="1112.3389556999996"/>
        <n v="1001.9240795250805"/>
        <n v="551.1789776999999"/>
        <n v="890.26896719999991"/>
        <n v="762.50896919999991"/>
        <n v="1175.6339999999998"/>
        <n v="1572.835"/>
        <n v="1143.1972001999998"/>
        <n v="952.07304999999997"/>
        <n v="2232.1844999999998"/>
        <n v="618.75299999999993"/>
        <n v="508.05001499999997"/>
        <n v="81.610002999999992"/>
        <n v="-69.544986149999886"/>
        <n v="1219.596511"/>
        <n v="3598.7694285616944"/>
        <n v="4128.4664059400002"/>
        <n v="245.30499999999995"/>
        <n v="5058.5069140799988"/>
        <n v="1127.2364921999999"/>
        <n v="1047.1799999999998"/>
        <n v="592.75997549999988"/>
        <n v="1810.2000700000001"/>
        <n v="6316.4565190699996"/>
        <n v="3830.3776574416943"/>
        <n v="4693.7051583599987"/>
        <n v="1298.2206039949187"/>
        <n v="694.82503029999998"/>
        <n v="1495.6175864499999"/>
        <n v="1718.9000676999999"/>
        <n v="135.41250450000001"/>
        <n v="134.0364907"/>
        <n v="64.964049899999992"/>
        <n v="375.30651546610136"/>
        <n v="133.52999050000003"/>
        <n v="314.03494999999998"/>
        <n v="5.2237599999999702"/>
        <n v="202.06125996799994"/>
        <n v="287.30665205000003"/>
        <n v="186.96084999999999"/>
        <n v="1226.7124837299989"/>
        <n v="229.26248999999996"/>
        <n v="100"/>
        <n v="13.135599900000001"/>
        <n v="234.17195090000001"/>
        <m/>
      </sharedItems>
    </cacheField>
    <cacheField name="Porcentaje" numFmtId="10">
      <sharedItems containsString="0" containsBlank="1" containsNumber="1" minValue="-0.14855912693579981" maxValue="1"/>
    </cacheField>
    <cacheField name="Tip_Cli" numFmtId="0">
      <sharedItems containsBlank="1" count="5">
        <s v="C.C"/>
        <s v="RIMAC"/>
        <s v="ACCESO"/>
        <s v="POSITIVA"/>
        <m/>
      </sharedItems>
    </cacheField>
    <cacheField name="Tip_Siniestro" numFmtId="0">
      <sharedItems containsBlank="1"/>
    </cacheField>
    <cacheField name="Mes_Fac" numFmtId="0">
      <sharedItems containsBlank="1" count="3">
        <s v="Octubre"/>
        <s v="Noviembre"/>
        <m/>
      </sharedItems>
    </cacheField>
    <cacheField name="Año_Fac" numFmtId="1">
      <sharedItems containsString="0" containsBlank="1" containsNumber="1" containsInteger="1" minValue="2019" maxValue="2019" count="2">
        <n v="2019"/>
        <m/>
      </sharedItems>
    </cacheField>
    <cacheField name="Dias_Taller" numFmtId="1">
      <sharedItems containsString="0" containsBlank="1" containsNumber="1" containsInteger="1" minValue="0" maxValue="49" count="32">
        <n v="6"/>
        <n v="5"/>
        <n v="2"/>
        <n v="8"/>
        <n v="9"/>
        <n v="13"/>
        <n v="7"/>
        <n v="3"/>
        <n v="14"/>
        <n v="17"/>
        <n v="18"/>
        <n v="15"/>
        <n v="4"/>
        <n v="21"/>
        <n v="24"/>
        <n v="20"/>
        <n v="22"/>
        <n v="23"/>
        <n v="11"/>
        <n v="0"/>
        <n v="1"/>
        <n v="10"/>
        <n v="12"/>
        <n v="16"/>
        <n v="27"/>
        <n v="29"/>
        <n v="36"/>
        <n v="26"/>
        <n v="28"/>
        <n v="49"/>
        <n v="32"/>
        <m/>
      </sharedItems>
    </cacheField>
    <cacheField name="Cuenta_Dia" numFmtId="0">
      <sharedItems containsString="0" containsBlank="1" containsNumber="1" containsInteger="1" minValue="1" maxValue="1"/>
    </cacheField>
    <cacheField name="Fecha_Rep" numFmtId="14">
      <sharedItems containsNonDate="0" containsDate="1" containsString="0" containsBlank="1" minDate="2019-10-01T00:00:00" maxDate="2019-12-01T00:00:00"/>
    </cacheField>
    <cacheField name="Placa" numFmtId="14">
      <sharedItems containsBlank="1"/>
    </cacheField>
    <cacheField name="Marca" numFmtId="0">
      <sharedItems containsBlank="1"/>
    </cacheField>
    <cacheField name="Modelo" numFmtId="0">
      <sharedItems containsBlank="1"/>
    </cacheField>
    <cacheField name="Client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 Rivera" refreshedDate="43866.480195717595" createdVersion="6" refreshedVersion="6" minRefreshableVersion="3" recordCount="257" xr:uid="{75E1E978-EE6A-4C5E-AB4E-8A15FF6402D1}">
  <cacheSource type="worksheet">
    <worksheetSource ref="A4:AC261" sheet="ASIGNACION"/>
  </cacheSource>
  <cacheFields count="29">
    <cacheField name="Nº" numFmtId="0">
      <sharedItems containsMixedTypes="1" containsNumber="1" containsInteger="1" minValue="1" maxValue="155"/>
    </cacheField>
    <cacheField name="FECHA DE INGRESO" numFmtId="14">
      <sharedItems containsSemiMixedTypes="0" containsNonDate="0" containsDate="1" containsString="0" minDate="2019-10-02T00:00:00" maxDate="2020-01-31T00:00:00"/>
    </cacheField>
    <cacheField name="ORDEN DE TRABAJO" numFmtId="0">
      <sharedItems/>
    </cacheField>
    <cacheField name="PLACA" numFmtId="0">
      <sharedItems/>
    </cacheField>
    <cacheField name="MARCA" numFmtId="0">
      <sharedItems/>
    </cacheField>
    <cacheField name="MODELO" numFmtId="0">
      <sharedItems containsMixedTypes="1" containsNumber="1" containsInteger="1" minValue="3161" maxValue="3161"/>
    </cacheField>
    <cacheField name="TIPO DE CLIENTE" numFmtId="0">
      <sharedItems count="4">
        <s v="ACCESO"/>
        <s v="C.C"/>
        <s v="POSITIVA"/>
        <s v="RIMAC"/>
      </sharedItems>
    </cacheField>
    <cacheField name="FECHA APROBACIÓN" numFmtId="16">
      <sharedItems containsNonDate="0" containsDate="1" containsString="0" containsBlank="1" minDate="1900-01-29T00:00:00" maxDate="2021-01-01T00:00:00"/>
    </cacheField>
    <cacheField name="PLANCHADOR" numFmtId="0">
      <sharedItems containsBlank="1"/>
    </cacheField>
    <cacheField name="HORA COMPANIA" numFmtId="0">
      <sharedItems containsSemiMixedTypes="0" containsString="0" containsNumber="1" minValue="0" maxValue="86" count="64">
        <n v="0"/>
        <n v="3"/>
        <n v="4"/>
        <n v="14"/>
        <n v="24"/>
        <n v="2"/>
        <n v="5"/>
        <n v="11"/>
        <n v="10"/>
        <n v="17"/>
        <n v="16"/>
        <n v="18"/>
        <n v="21"/>
        <n v="26"/>
        <n v="45"/>
        <n v="25"/>
        <n v="19"/>
        <n v="22"/>
        <n v="36"/>
        <n v="27"/>
        <n v="31"/>
        <n v="44"/>
        <n v="29"/>
        <n v="39"/>
        <n v="42"/>
        <n v="33"/>
        <n v="35"/>
        <n v="64"/>
        <n v="58"/>
        <n v="40"/>
        <n v="52"/>
        <n v="49"/>
        <n v="38"/>
        <n v="46"/>
        <n v="40.5"/>
        <n v="56"/>
        <n v="30"/>
        <n v="86"/>
        <n v="48"/>
        <n v="54"/>
        <n v="69"/>
        <n v="51"/>
        <n v="62"/>
        <n v="72"/>
        <n v="73.75"/>
        <n v="1"/>
        <n v="2.6"/>
        <n v="4.66"/>
        <n v="4.5"/>
        <n v="12.5"/>
        <n v="6"/>
        <n v="2.25"/>
        <n v="8"/>
        <n v="7"/>
        <n v="28"/>
        <n v="12"/>
        <n v="8.5"/>
        <n v="0.5"/>
        <n v="6.5"/>
        <n v="2.5"/>
        <n v="1.5"/>
        <n v="15"/>
        <n v="20"/>
        <n v="3.5"/>
      </sharedItems>
    </cacheField>
    <cacheField name="HORA AJUSTADA" numFmtId="0">
      <sharedItems containsSemiMixedTypes="0" containsString="0" containsNumber="1" minValue="0" maxValue="70"/>
    </cacheField>
    <cacheField name="TERCEROS / PLANCHADOR" numFmtId="0">
      <sharedItems containsSemiMixedTypes="0" containsString="0" containsNumber="1" containsInteger="1" minValue="0" maxValue="0"/>
    </cacheField>
    <cacheField name="PINTOR" numFmtId="0">
      <sharedItems containsBlank="1"/>
    </cacheField>
    <cacheField name="PAÑO COMPANIA" numFmtId="0">
      <sharedItems containsSemiMixedTypes="0" containsString="0" containsNumber="1" minValue="0" maxValue="21" count="41">
        <n v="0"/>
        <n v="0.5"/>
        <n v="0.75"/>
        <n v="1"/>
        <n v="6"/>
        <n v="8"/>
        <n v="8.25"/>
        <n v="9"/>
        <n v="9.25"/>
        <n v="10"/>
        <n v="11"/>
        <n v="12"/>
        <n v="12.5"/>
        <n v="13"/>
        <n v="13.5"/>
        <n v="13.75"/>
        <n v="14.5"/>
        <n v="15"/>
        <n v="15.5"/>
        <n v="16"/>
        <n v="16.25"/>
        <n v="16.5"/>
        <n v="17"/>
        <n v="17.5"/>
        <n v="18"/>
        <n v="18.5"/>
        <n v="19"/>
        <n v="20"/>
        <n v="21"/>
        <n v="2"/>
        <n v="2.25"/>
        <n v="2.75"/>
        <n v="3"/>
        <n v="3.25"/>
        <n v="4"/>
        <n v="4.5"/>
        <n v="9.75"/>
        <n v="2.5"/>
        <n v="0.25"/>
        <n v="1.25"/>
        <n v="1.5"/>
      </sharedItems>
    </cacheField>
    <cacheField name="PAÑOS AJUSTADOS" numFmtId="0">
      <sharedItems containsSemiMixedTypes="0" containsString="0" containsNumber="1" minValue="0" maxValue="19.5"/>
    </cacheField>
    <cacheField name="TERCEROS/PINTOR ($)" numFmtId="0">
      <sharedItems containsSemiMixedTypes="0" containsString="0" containsNumber="1" containsInteger="1" minValue="0" maxValue="0"/>
    </cacheField>
    <cacheField name="RPTOS " numFmtId="0">
      <sharedItems containsBlank="1"/>
    </cacheField>
    <cacheField name="COSTO RPTOS" numFmtId="0">
      <sharedItems containsSemiMixedTypes="0" containsString="0" containsNumber="1" minValue="0" maxValue="3275"/>
    </cacheField>
    <cacheField name="TIPO SINIESTRO" numFmtId="0">
      <sharedItems/>
    </cacheField>
    <cacheField name="TOTAL HORAS COMPAÑÍA" numFmtId="0">
      <sharedItems containsString="0" containsBlank="1" containsNumber="1" minValue="0" maxValue="222.6"/>
    </cacheField>
    <cacheField name="TOTAL HORAS AJUSTADAS" numFmtId="0">
      <sharedItems containsString="0" containsBlank="1" containsNumber="1" minValue="0" maxValue="159"/>
    </cacheField>
    <cacheField name="TOTAL PAÑOS COMPAÑÍA" numFmtId="0">
      <sharedItems containsString="0" containsBlank="1" containsNumber="1" minValue="0" maxValue="111.25"/>
    </cacheField>
    <cacheField name="TOTAL PAÑOS AJUSTADOS" numFmtId="0">
      <sharedItems containsString="0" containsBlank="1" containsNumber="1" minValue="0" maxValue="105.75"/>
    </cacheField>
    <cacheField name="AHORRO PLANCHADO" numFmtId="0">
      <sharedItems containsString="0" containsBlank="1" containsNumber="1" minValue="0" maxValue="70.599999999999994"/>
    </cacheField>
    <cacheField name="AHORRO PINTURA" numFmtId="0">
      <sharedItems containsString="0" containsBlank="1" containsNumber="1" minValue="0" maxValue="5.5"/>
    </cacheField>
    <cacheField name="HORAS MECÁNICA" numFmtId="0">
      <sharedItems containsSemiMixedTypes="0" containsString="0" containsNumber="1" minValue="0" maxValue="30"/>
    </cacheField>
    <cacheField name="AMPL." numFmtId="0">
      <sharedItems containsBlank="1"/>
    </cacheField>
    <cacheField name="T. O/C" numFmtId="0">
      <sharedItems containsNonDate="0" containsString="0" containsBlank="1"/>
    </cacheField>
    <cacheField name="SERVICIO POR TERCEROS " numFmtId="0">
      <sharedItems containsSemiMixedTypes="0" containsString="0" containsNumber="1" minValue="0" maxValue="11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 Rivera" refreshedDate="43888.691247337963" createdVersion="6" refreshedVersion="6" minRefreshableVersion="3" recordCount="351" xr:uid="{1B6406E0-7C7F-4D86-977F-E1BF8170B8D7}">
  <cacheSource type="worksheet">
    <worksheetSource ref="Y3:AV354" sheet="Facturacion"/>
  </cacheSource>
  <cacheFields count="24">
    <cacheField name="Fecha2" numFmtId="14">
      <sharedItems containsSemiMixedTypes="0" containsNonDate="0" containsDate="1" containsString="0" minDate="2019-10-07T00:00:00" maxDate="2020-02-27T00:00:00"/>
    </cacheField>
    <cacheField name="OT Unicas" numFmtId="0">
      <sharedItems/>
    </cacheField>
    <cacheField name="Sum_Acum" numFmtId="4">
      <sharedItems containsSemiMixedTypes="0" containsString="0" containsNumber="1" minValue="8.4830999000000009" maxValue="15503.754209999999"/>
    </cacheField>
    <cacheField name="Salidas_Almacen" numFmtId="4">
      <sharedItems containsSemiMixedTypes="0" containsString="0" containsNumber="1" minValue="0" maxValue="7280.8806479999985"/>
    </cacheField>
    <cacheField name="Compras_Rpto" numFmtId="4">
      <sharedItems containsSemiMixedTypes="0" containsString="0" containsNumber="1" minValue="0" maxValue="563.56474576271182"/>
    </cacheField>
    <cacheField name="Serv_Terceros" numFmtId="4">
      <sharedItems containsSemiMixedTypes="0" containsString="0" containsNumber="1" minValue="0" maxValue="1884.75"/>
    </cacheField>
    <cacheField name="MO_Mecanica" numFmtId="4">
      <sharedItems containsSemiMixedTypes="0" containsString="0" containsNumber="1" minValue="0" maxValue="452.25"/>
    </cacheField>
    <cacheField name="MO_Planchado" numFmtId="4">
      <sharedItems containsSemiMixedTypes="0" containsString="0" containsNumber="1" minValue="0" maxValue="1055.25"/>
    </cacheField>
    <cacheField name="MO_Pintura" numFmtId="4">
      <sharedItems containsSemiMixedTypes="0" containsString="0" containsNumber="1" minValue="0" maxValue="1371.825"/>
    </cacheField>
    <cacheField name="Ser_Ter_Taller" numFmtId="4">
      <sharedItems containsSemiMixedTypes="0" containsString="0" containsNumber="1" containsInteger="1" minValue="0" maxValue="0"/>
    </cacheField>
    <cacheField name="Total_Gastos" numFmtId="4">
      <sharedItems containsSemiMixedTypes="0" containsString="0" containsNumber="1" minValue="0" maxValue="10749.150647999999"/>
    </cacheField>
    <cacheField name="Margen_bruto" numFmtId="4">
      <sharedItems containsSemiMixedTypes="0" containsString="0" containsNumber="1" minValue="-135.01499850000002" maxValue="7932.8790897799981"/>
    </cacheField>
    <cacheField name="Porcentaje" numFmtId="10">
      <sharedItems containsSemiMixedTypes="0" containsString="0" containsNumber="1" minValue="-2.6520328918081062" maxValue="1"/>
    </cacheField>
    <cacheField name="Tip_Cli" numFmtId="4">
      <sharedItems count="4">
        <s v="C.C"/>
        <s v="RIMAC"/>
        <s v="ACCESO"/>
        <s v="POSITIVA"/>
      </sharedItems>
    </cacheField>
    <cacheField name="Tip_Siniestro" numFmtId="4">
      <sharedItems/>
    </cacheField>
    <cacheField name="Mes_Fac" numFmtId="14">
      <sharedItems count="5">
        <s v="Octubre"/>
        <s v="Noviembre"/>
        <s v="Diciembre"/>
        <s v="Enero"/>
        <s v="Febrero"/>
      </sharedItems>
    </cacheField>
    <cacheField name="Año_Fac" numFmtId="1">
      <sharedItems containsSemiMixedTypes="0" containsString="0" containsNumber="1" containsInteger="1" minValue="2019" maxValue="2020" count="2">
        <n v="2019"/>
        <n v="2020"/>
      </sharedItems>
    </cacheField>
    <cacheField name="Dias_Taller" numFmtId="1">
      <sharedItems containsSemiMixedTypes="0" containsString="0" containsNumber="1" containsInteger="1" minValue="0" maxValue="127"/>
    </cacheField>
    <cacheField name="Cuenta_Dia" numFmtId="0">
      <sharedItems containsSemiMixedTypes="0" containsString="0" containsNumber="1" containsInteger="1" minValue="1" maxValue="1"/>
    </cacheField>
    <cacheField name="Fecha_Rep" numFmtId="14">
      <sharedItems containsSemiMixedTypes="0" containsNonDate="0" containsDate="1" containsString="0" minDate="2019-10-01T00:00:00" maxDate="2020-02-26T00:00:00"/>
    </cacheField>
    <cacheField name="Placa" numFmtId="14">
      <sharedItems/>
    </cacheField>
    <cacheField name="Marca" numFmtId="0">
      <sharedItems/>
    </cacheField>
    <cacheField name="Modelo" numFmtId="0">
      <sharedItems/>
    </cacheField>
    <cacheField name="Clien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 Rivera" refreshedDate="43893.69878564815" createdVersion="6" refreshedVersion="6" minRefreshableVersion="3" recordCount="1787" xr:uid="{00000000-000A-0000-FFFF-FFFF39000000}">
  <cacheSource type="worksheet">
    <worksheetSource name="=Matriz3"/>
  </cacheSource>
  <cacheFields count="48">
    <cacheField name="F. Emisión " numFmtId="166">
      <sharedItems containsSemiMixedTypes="0" containsNonDate="0" containsDate="1" containsString="0" minDate="2019-10-07T00:00:00" maxDate="2020-02-29T00:00:00" count="105">
        <d v="2019-10-07T00:00:00"/>
        <d v="2019-10-11T00:00:00"/>
        <d v="2019-10-12T00:00:00"/>
        <d v="2019-10-14T00:00:00"/>
        <d v="2019-10-17T00:00:00"/>
        <d v="2019-10-18T00:00:00"/>
        <d v="2019-10-19T00:00:00"/>
        <d v="2019-10-21T00:00:00"/>
        <d v="2019-10-22T00:00:00"/>
        <d v="2019-10-23T00:00:00"/>
        <d v="2019-10-26T00:00:00"/>
        <d v="2019-10-28T00:00:00"/>
        <d v="2019-10-29T00:00:00"/>
        <d v="2019-10-30T00:00:00"/>
        <d v="2019-10-31T00:00:00"/>
        <d v="2019-11-02T00:00:00"/>
        <d v="2019-11-04T00:00:00"/>
        <d v="2019-11-05T00:00:00"/>
        <d v="2019-11-06T00:00:00"/>
        <d v="2019-11-07T00:00:00"/>
        <d v="2019-11-08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9T00:00:00"/>
        <d v="2019-11-20T00:00:00"/>
        <d v="2019-11-21T00:00:00"/>
        <d v="2019-11-22T00:00:00"/>
        <d v="2019-11-23T00:00:00"/>
        <d v="2019-11-25T00:00:00"/>
        <d v="2019-11-26T00:00:00"/>
        <d v="2019-11-27T00:00:00"/>
        <d v="2019-11-28T00:00:00"/>
        <d v="2019-11-29T00:00:00"/>
        <d v="2019-11-30T00:00:00"/>
        <d v="2019-12-03T00:00:00"/>
        <d v="2019-12-05T00:00:00"/>
        <d v="2019-12-06T00:00:00"/>
        <d v="2019-12-07T00:00:00"/>
        <d v="2019-12-09T00:00:00"/>
        <d v="2019-12-10T00:00:00"/>
        <d v="2019-12-11T00:00:00"/>
        <d v="2019-12-12T00:00:00"/>
        <d v="2019-12-13T00:00:00"/>
        <d v="2019-12-14T00:00:00"/>
        <d v="2019-12-16T00:00:00"/>
        <d v="2019-12-17T00:00:00"/>
        <d v="2019-12-18T00:00:00"/>
        <d v="2019-12-19T00:00:00"/>
        <d v="2019-12-27T00:00:00"/>
        <d v="2019-12-30T00:00:00"/>
        <d v="2019-12-20T00:00:00"/>
        <d v="2019-12-21T00:00:00"/>
        <d v="2019-12-23T00:00:00"/>
        <d v="2019-12-28T00:00:00"/>
        <d v="2019-12-02T00:00:00"/>
        <d v="2020-01-02T00:00:00"/>
        <d v="2020-01-04T00:00:00"/>
        <d v="2020-01-06T00:00:00"/>
        <d v="2020-01-07T00:00:00"/>
        <d v="2020-01-08T00:00:00"/>
        <d v="2020-01-10T00:00:00"/>
        <d v="2020-01-11T00:00:00"/>
        <d v="2020-01-13T00:00:00"/>
        <d v="2020-01-14T00:00:00"/>
        <d v="2020-01-16T00:00:00"/>
        <d v="2020-01-17T00:00:00"/>
        <d v="2020-01-18T00:00:00"/>
        <d v="2020-01-20T00:00:00"/>
        <d v="2020-01-21T00:00:00"/>
        <d v="2020-01-22T00:00:00"/>
        <d v="2020-01-23T00:00:00"/>
        <d v="2020-01-24T00:00:00"/>
        <d v="2020-01-25T00:00:00"/>
        <d v="2020-01-28T00:00:00"/>
        <d v="2020-01-29T00:00:00"/>
        <d v="2020-01-31T00:00:00"/>
        <d v="2020-02-01T00:00:00"/>
        <d v="2020-02-03T00:00:00"/>
        <d v="2020-02-04T00:00:00"/>
        <d v="2020-02-05T00:00:00"/>
        <d v="2020-02-06T00:00:00"/>
        <d v="2020-02-07T00:00:00"/>
        <d v="2020-02-08T00:00:00"/>
        <d v="2020-02-11T00:00:00"/>
        <d v="2020-02-13T00:00:00"/>
        <d v="2020-02-14T00:00:00"/>
        <d v="2020-02-15T00:00:00"/>
        <d v="2020-02-17T00:00:00"/>
        <d v="2020-02-18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10T00:00:00"/>
      </sharedItems>
    </cacheField>
    <cacheField name="Doc." numFmtId="0">
      <sharedItems/>
    </cacheField>
    <cacheField name="Serie" numFmtId="0">
      <sharedItems/>
    </cacheField>
    <cacheField name="Nro. Doc." numFmtId="0">
      <sharedItems/>
    </cacheField>
    <cacheField name="No OT" numFmtId="0">
      <sharedItems count="6684">
        <s v="005-00000004"/>
        <s v="005-00000005"/>
        <s v="005-00000023"/>
        <s v="005-00000022"/>
        <s v="005-00000011"/>
        <s v="005-00000006"/>
        <s v="005-00000024"/>
        <s v="005-00000009"/>
        <s v="005-00000031"/>
        <s v="005-00000039"/>
        <s v="005-00000038"/>
        <s v="005-00000045"/>
        <s v="005-00000015"/>
        <s v="005-00000014"/>
        <s v="005-00000010"/>
        <s v="005-00000043"/>
        <s v="005-00000007"/>
        <s v="005-00000030"/>
        <s v="005-00000028"/>
        <s v="005-00000016"/>
        <s v="005-00000041"/>
        <s v="005-00000026"/>
        <s v="005-00000070"/>
        <s v="005-00000060"/>
        <s v="005-00000040"/>
        <s v="005-00000033"/>
        <s v="005-00000071"/>
        <s v="005-00000017"/>
        <s v="005-00000034"/>
        <s v="005-00000021"/>
        <s v="005-00000073"/>
        <s v="005-00000013"/>
        <s v="005-00000027"/>
        <s v="005-00000018"/>
        <s v="005-00000029"/>
        <s v="005-00000044"/>
        <s v="005-00000084"/>
        <s v="005-00000042"/>
        <s v="005-00000019"/>
        <s v="005-00000065"/>
        <s v="005-00000088"/>
        <s v="005-00000092"/>
        <s v="005-00000087"/>
        <s v="005-00000081"/>
        <s v="005-00000078"/>
        <s v="005-00000068"/>
        <s v="005-00000049"/>
        <s v="005-00000055"/>
        <s v="005-00000080"/>
        <s v="005-00000020"/>
        <s v="005-00000008"/>
        <s v="005-00000058"/>
        <s v="005-00000063"/>
        <s v="005-00000064"/>
        <s v="005-00000067"/>
        <s v="005-00000074"/>
        <s v="005-00000061"/>
        <s v="005-00000057"/>
        <s v="005-00000062"/>
        <s v="005-00000066"/>
        <s v="005-00000083"/>
        <s v="005-00000119"/>
        <s v="005-00000122"/>
        <s v="ABO00000001"/>
        <s v="ABO00000002"/>
        <s v="ABO00000003"/>
        <s v="CAR00000001"/>
        <s v="005-00000086"/>
        <s v="005-00000075"/>
        <s v="005-00000091"/>
        <s v="005-00000103"/>
        <s v="005-00000098"/>
        <s v="005-00000069"/>
        <s v="005-00000050"/>
        <s v="005-00000085"/>
        <s v="005-00000090"/>
        <s v="005-00000046"/>
        <s v="005-00000111"/>
        <s v="005-00000146"/>
        <s v="005-00000147"/>
        <s v="005-00000095"/>
        <s v="005-00000089"/>
        <s v="005-00000100"/>
        <s v="005-00000134"/>
        <s v="005-00000110"/>
        <s v="005-00000118"/>
        <s v="005-00000115"/>
        <s v="005-00000116"/>
        <s v="005-00000160"/>
        <s v="005-00000173"/>
        <s v="005-00000048"/>
        <s v="005-00000162"/>
        <s v="005-00000113"/>
        <s v="005-00000130"/>
        <s v="005-00000155"/>
        <s v="005-00000164"/>
        <s v="005-00000159"/>
        <s v="005-00000137"/>
        <s v="005-00000140"/>
        <s v="005-00000052"/>
        <s v="005-00000051"/>
        <s v="005-00000163"/>
        <s v="005-00000151"/>
        <s v="005-00000047"/>
        <s v="005-00000141"/>
        <s v="005-00000144"/>
        <s v="005-00000161"/>
        <s v="005-00000150"/>
        <s v="005-00000132"/>
        <s v="005-00000156"/>
        <s v="005-00000153"/>
        <s v="005-00000123"/>
        <s v="005-00000125"/>
        <s v="005-00000128"/>
        <s v="005-00000139"/>
        <s v="005-00000135"/>
        <s v="005-00000126"/>
        <s v="005-00000099"/>
        <s v="005-00000145"/>
        <s v="005-00000148"/>
        <s v="005-00000169"/>
        <s v="005-00000072"/>
        <s v="005-00000171"/>
        <s v="005-00000082"/>
        <s v="005-00000187"/>
        <s v="005-00000059"/>
        <s v="005-00000189"/>
        <s v="005-00000105"/>
        <s v="005-00000165"/>
        <s v="005-00000181"/>
        <s v="005-00000107"/>
        <s v="005-00000117"/>
        <s v="005-00000179"/>
        <s v="005-00000032"/>
        <s v="005-00000192"/>
        <s v="005-00000166"/>
        <s v="005-00000109"/>
        <s v="005-00000152"/>
        <s v="005-00000036"/>
        <s v="005-00000180"/>
        <s v="005-00000035"/>
        <s v="005-00000199"/>
        <s v="005-00000210"/>
        <s v="005-00000124"/>
        <s v="005-00000102"/>
        <s v="005-00000120"/>
        <s v="005-00000097"/>
        <s v="005-00000154"/>
        <s v="005-00000168"/>
        <s v="005-00000170"/>
        <s v="005-00000174"/>
        <s v="005-00000176"/>
        <s v="005-00000136"/>
        <s v="005-00000172"/>
        <s v="005-00000182"/>
        <s v="005-00000185"/>
        <s v="005-00000220"/>
        <s v="ABO-00000004"/>
        <s v="ABO-00000006"/>
        <s v="CAR-00000002"/>
        <s v="005-00000158"/>
        <s v="005-00000211"/>
        <s v="005-00000193"/>
        <s v="005-00000167"/>
        <s v="005-00000205"/>
        <s v="005-00000222"/>
        <s v="005-00000209"/>
        <s v="005-00000215"/>
        <s v="005-00000212"/>
        <s v="005-00000188"/>
        <s v="005-00000208"/>
        <s v="005-00000232"/>
        <s v="005-00000229"/>
        <s v="005-00000227"/>
        <s v="005-00000223"/>
        <s v="005-00000079"/>
        <s v="005-00000197"/>
        <s v="005-00000236"/>
        <s v="005-00000108"/>
        <s v="005-00000241"/>
        <s v="005-00000218"/>
        <s v="005-00000226"/>
        <s v="005-00000237"/>
        <s v="005-00000257"/>
        <s v="005-00000239"/>
        <s v="005-00000256"/>
        <s v="005-00000238"/>
        <s v="005-00000266"/>
        <s v="005-00000206"/>
        <s v="005-00000268"/>
        <s v="005-00000094"/>
        <s v="005-00000288"/>
        <s v="005-00000274"/>
        <s v="005-00000280"/>
        <s v="005-00000213"/>
        <s v="005-00000224"/>
        <s v="005-00000221"/>
        <s v="005-00000248"/>
        <s v="005-00000267"/>
        <s v="005-00000262"/>
        <s v="005-00000259"/>
        <s v="005-00000269"/>
        <s v="005-00000273"/>
        <s v="005-00000284"/>
        <s v="005-00000277"/>
        <s v="005-00000279"/>
        <s v="005-00000286"/>
        <s v="ABO-00000007"/>
        <s v="ABO-00000008"/>
        <s v="ABO-00000009"/>
        <s v="ABO-00000010"/>
        <s v="ABO-00000011"/>
        <s v="ABO-00000012"/>
        <s v="005-00000283"/>
        <s v="005-00000271"/>
        <s v="005-00000261"/>
        <s v="005-00000263"/>
        <s v="005-00000243"/>
        <s v="005-00000202"/>
        <s v="005-00000195"/>
        <s v="005-00000196"/>
        <s v="005-00000054"/>
        <s v="005-00000191"/>
        <s v="005-00000252"/>
        <s v="005-00000194"/>
        <s v="005-00000276"/>
        <s v="005-00000295"/>
        <s v="005-00000282"/>
        <s v="005-00000299"/>
        <s v="005-00000293"/>
        <s v="005-00000296"/>
        <s v="005-00000319"/>
        <s v="005-00000207"/>
        <s v="005-00000190"/>
        <s v="005-00000298"/>
        <s v="005-00000114"/>
        <s v="005-00000291"/>
        <s v="005-00000281"/>
        <s v="005-00000304"/>
        <s v="005-00000305"/>
        <s v="005-00000201"/>
        <s v="005-00000203"/>
        <s v="005-00000093"/>
        <s v="005-00000301"/>
        <s v="005-00000303"/>
        <s v="005-00000302"/>
        <s v="005-00000216"/>
        <s v="005-00000258"/>
        <s v="005-00000309"/>
        <s v="005-00000308"/>
        <s v="005-00000306"/>
        <s v="005-00000307"/>
        <s v="005-00000314"/>
        <s v="005-00000244"/>
        <s v="005-00000106"/>
        <s v="005-00000272"/>
        <s v="005-00000233"/>
        <s v="005-00000056"/>
        <s v="005-00000186"/>
        <s v="005-00000333"/>
        <s v="005-00000214"/>
        <s v="005-00000318"/>
        <s v="005-00000327"/>
        <s v="005-00000320"/>
        <s v="005-00000325"/>
        <s v="005-00000335"/>
        <s v="005-00000331"/>
        <s v="005-00000351"/>
        <s v="005-00000324"/>
        <s v="005-00000287"/>
        <s v="005-00000341"/>
        <s v="005-00000323"/>
        <s v="005-00000340"/>
        <s v="005-00000339"/>
        <s v="005-00000310"/>
        <s v="005-00000228"/>
        <s v="005-00000275"/>
        <s v="005-00000198"/>
        <s v="005-00000326"/>
        <s v="005-00000343"/>
        <s v="005-00000334"/>
        <s v="005-00000317"/>
        <s v="005-00000342"/>
        <s v="005-00000352"/>
        <s v="005-00000355"/>
        <s v="005-00000344"/>
        <s v="005-00000338"/>
        <s v="005-00000363"/>
        <s v="005-00000322"/>
        <s v="005-00000349"/>
        <s v="ABO-00000014"/>
        <s v="005-00000347"/>
        <s v="005-00000348"/>
        <s v="005-00000353"/>
        <s v="005-00000345"/>
        <s v="005-00000361"/>
        <s v="005-00000350"/>
        <s v="005-00000357"/>
        <s v="005-00000365"/>
        <s v="005-00000354"/>
        <s v="005-00000249"/>
        <s v="005-00000178"/>
        <s v="005-00000311"/>
        <s v="005-00000312"/>
        <s v="005-00000294"/>
        <s v="005-00000358"/>
        <s v="005-00000359"/>
        <s v="005-00000372"/>
        <s v="005-00000364"/>
        <s v="005-00000367"/>
        <s v="005-00000265"/>
        <s v="005-00000378"/>
        <s v="005-00000368"/>
        <s v="005-00000375"/>
        <s v="005-00000379"/>
        <s v="005-00000392"/>
        <s v="005-00000383"/>
        <s v="005-00000371"/>
        <s v="005-00000381"/>
        <s v="005-00000377"/>
        <s v="005-00000346"/>
        <s v="005-00000395"/>
        <s v="005-00000366"/>
        <s v="005-00000411"/>
        <s v="005-00000362"/>
        <s v="005-00000380"/>
        <s v="005-00000396"/>
        <s v="005-00000330"/>
        <s v="005-00000408"/>
        <s v="005-00000393"/>
        <s v="005-00000406"/>
        <s v="005-00000430"/>
        <s v="005-00000382"/>
        <s v="005-00000386"/>
        <s v="005-00000409"/>
        <s v="005-00000399"/>
        <s v="005-00000400"/>
        <s v="005-00000337"/>
        <s v="005-00000200"/>
        <s v="005-00000407"/>
        <s v="005-00000410"/>
        <s v="005-00000449"/>
        <s v="005-00000412"/>
        <s v="005-00000445"/>
        <s v="005-00000440"/>
        <s v="005-00000441"/>
        <s v="005-00000442"/>
        <s v="005-00000423"/>
        <s v="005-00000425"/>
        <s v="005-00000374"/>
        <s v="005-00000418"/>
        <s v="005-00000419"/>
        <s v="005-00000387"/>
        <s v="005-00000388"/>
        <s v="005-00000391"/>
        <s v="005-00000394"/>
        <s v="005-00000398"/>
        <s v="005-00000404"/>
        <s v="005-00000414"/>
        <s v="005-00000422"/>
        <s v="005-00000420"/>
        <s v="005-00000397"/>
        <s v="005-00000446"/>
        <s v="005-00000444"/>
        <s v="ABO-00000015"/>
        <s v="ABO-00000016"/>
        <s v="ABO-00000017"/>
        <s v="ABO-00000018"/>
        <s v="ABO-00000019"/>
        <s v="ABO-00000020"/>
        <s v="ABO-00000021"/>
        <s v="ABO-00000022"/>
        <s v="ABO-00000023"/>
        <s v="001-00013142" u="1"/>
        <s v="001-00014561" u="1"/>
        <s v="001-00015980" u="1"/>
        <s v="001-00009340" u="1"/>
        <s v="001-00010157" u="1"/>
        <s v="001-00011576" u="1"/>
        <s v="001-00012995" u="1"/>
        <s v="001-00013152" u="1"/>
        <s v="001-00015990" u="1"/>
        <s v="001-00010167" u="1"/>
        <s v="001-00011586" u="1"/>
        <s v="001-00014605" u="1"/>
        <s v="001-00013162" u="1"/>
        <s v="001-00014581" u="1"/>
        <s v="001-00009360" u="1"/>
        <s v="001-00011596" u="1"/>
        <s v="001-00014615" u="1"/>
        <s v="001-00014591" u="1"/>
        <s v="001-00009370" u="1"/>
        <s v="001-00010187" u="1"/>
        <s v="001-00013206" u="1"/>
        <s v="001-00009404" u="1"/>
        <s v="001-00016201" u="1"/>
        <s v="001-00009380" u="1"/>
        <s v="001-00010197" u="1"/>
        <s v="001-00013216" u="1"/>
        <s v="001-00014635" u="1"/>
        <s v="001-00009414" u="1"/>
        <s v="001-00013192" u="1"/>
        <s v="001-00009390" u="1"/>
        <s v="001-00013226" u="1"/>
        <s v="001-00014645" u="1"/>
        <s v="001-00009424" u="1"/>
        <s v="001-00013236" u="1"/>
        <s v="001-00014655" u="1"/>
        <s v="001-00009434" u="1"/>
        <s v="001-00016231" u="1"/>
        <s v="001-00013246" u="1"/>
        <s v="001-00014665" u="1"/>
        <s v="001-00009444" u="1"/>
        <s v="001-00013256" u="1"/>
        <s v="001-00014675" u="1"/>
        <s v="ABO00000004" u="1"/>
        <s v="001-00014709" u="1"/>
        <s v="001-00016251" u="1"/>
        <s v="001-00013266" u="1"/>
        <s v="001-00014685" u="1"/>
        <s v="001-00009464" u="1"/>
        <s v="ABO00000005" u="1"/>
        <s v="001-00014719" u="1"/>
        <s v="001-00016261" u="1"/>
        <s v="001-00013276" u="1"/>
        <s v="001-00009474" u="1"/>
        <s v="ABO00000006" u="1"/>
        <s v="001-00014729" u="1"/>
        <s v="001-00016271" u="1"/>
        <s v="001-00009508" u="1"/>
        <s v="001-00013286" u="1"/>
        <s v="001-00016305" u="1"/>
        <s v="ABO00000007" u="1"/>
        <s v="001-00014739" u="1"/>
        <s v="001-00016281" u="1"/>
        <s v="001-00009518" u="1"/>
        <s v="ABO-00000387" u="1"/>
        <s v="001-00013296" u="1"/>
        <s v="001-00016315" u="1"/>
        <s v="001-00009494" u="1"/>
        <s v="ABO00000008" u="1"/>
        <s v="001-00014749" u="1"/>
        <s v="001-00016291" u="1"/>
        <s v="001-00009528" u="1"/>
        <s v="001-00016325" u="1"/>
        <s v="ABO00000009" u="1"/>
        <s v="001-00014759" u="1"/>
        <s v="001-00009538" u="1"/>
        <s v="001-00016335" u="1"/>
        <s v="001-00014769" u="1"/>
        <s v="001-00009548" u="1"/>
        <s v="001-00016345" u="1"/>
        <s v="001-00012802" u="1"/>
        <s v="001-00014779" u="1"/>
        <s v="001-00009558" u="1"/>
        <s v="001-00016355" u="1"/>
        <s v="001-00014789" u="1"/>
        <s v="001-00009568" u="1"/>
        <s v="001-00016365" u="1"/>
        <s v="001-00011403" u="1"/>
        <s v="001-00012822" u="1"/>
        <s v="001-00014799" u="1"/>
        <s v="001-00009578" u="1"/>
        <s v="001-00011413" u="1"/>
        <s v="001-00012832" u="1"/>
        <s v="001-00016409" u="1"/>
        <s v="001-00009588" u="1"/>
        <s v="001-00016385" u="1"/>
        <s v="001-00010004" u="1"/>
        <s v="001-00011423" u="1"/>
        <s v="001-00012842" u="1"/>
        <s v="001-00009598" u="1"/>
        <s v="001-00010014" u="1"/>
        <s v="001-00011433" u="1"/>
        <s v="001-00012852" u="1"/>
        <s v="001-00016429" u="1"/>
        <s v="001-00010024" u="1"/>
        <s v="001-00011443" u="1"/>
        <s v="001-00012862" u="1"/>
        <s v="001-00016439" u="1"/>
        <s v="001-00010034" u="1"/>
        <s v="001-00011453" u="1"/>
        <s v="001-00012872" u="1"/>
        <s v="001-00012906" u="1"/>
        <s v="001-00010044" u="1"/>
        <s v="001-00011463" u="1"/>
        <s v="001-00012882" u="1"/>
        <s v="001-00015901" u="1"/>
        <s v="001-00012916" u="1"/>
        <s v="001-00010054" u="1"/>
        <s v="001-00011473" u="1"/>
        <s v="001-00012892" u="1"/>
        <s v="001-00016469" u="1"/>
        <s v="001-00012926" u="1"/>
        <s v="001-00011483" u="1"/>
        <s v="001-00014502" u="1"/>
        <s v="001-00015921" u="1"/>
        <s v="001-00016479" u="1"/>
        <s v="001-00011517" u="1"/>
        <s v="001-00012936" u="1"/>
        <s v="001-00010074" u="1"/>
        <s v="001-00011493" u="1"/>
        <s v="001-00014512" u="1"/>
        <s v="001-00015931" u="1"/>
        <s v="001-00010108" u="1"/>
        <s v="001-00011527" u="1"/>
        <s v="001-00010084" u="1"/>
        <s v="001-00013103" u="1"/>
        <s v="001-00014522" u="1"/>
        <s v="001-00015941" u="1"/>
        <s v="001-00016499" u="1"/>
        <s v="001-00009301" u="1"/>
        <s v="001-00010118" u="1"/>
        <s v="001-00011537" u="1"/>
        <s v="001-00012956" u="1"/>
        <s v="001-00010094" u="1"/>
        <s v="001-00013113" u="1"/>
        <s v="001-00014532" u="1"/>
        <s v="001-00009311" u="1"/>
        <s v="001-00010128" u="1"/>
        <s v="001-00011547" u="1"/>
        <s v="001-00014542" u="1"/>
        <s v="001-00015961" u="1"/>
        <s v="001-00010138" u="1"/>
        <s v="001-00011557" u="1"/>
        <s v="001-00012976" u="1"/>
        <s v="001-00013133" u="1"/>
        <s v="001-00014552" u="1"/>
        <s v="001-00015971" u="1"/>
        <s v="001-00009331" u="1"/>
        <s v="001-00010148" u="1"/>
        <s v="001-00011567" u="1"/>
        <s v="001-00012986" u="1"/>
        <s v="001-00013143" u="1"/>
        <s v="001-00014562" u="1"/>
        <s v="001-00015981" u="1"/>
        <s v="001-00009341" u="1"/>
        <s v="001-00010158" u="1"/>
        <s v="001-00011577" u="1"/>
        <s v="001-00012996" u="1"/>
        <s v="001-00013153" u="1"/>
        <s v="001-00014572" u="1"/>
        <s v="001-00015991" u="1"/>
        <s v="001-00009351" u="1"/>
        <s v="001-00010168" u="1"/>
        <s v="001-00011587" u="1"/>
        <s v="001-00013163" u="1"/>
        <s v="001-00014582" u="1"/>
        <s v="001-00009361" u="1"/>
        <s v="001-00011597" u="1"/>
        <s v="001-00014616" u="1"/>
        <s v="001-00013173" u="1"/>
        <s v="001-00014592" u="1"/>
        <s v="001-00009371" u="1"/>
        <s v="001-00010188" u="1"/>
        <s v="001-00013207" u="1"/>
        <s v="001-00014626" u="1"/>
        <s v="001-00009405" u="1"/>
        <s v="001-00013183" u="1"/>
        <s v="001-00009381" u="1"/>
        <s v="001-00013217" u="1"/>
        <s v="001-00009415" u="1"/>
        <s v="001-00013193" u="1"/>
        <s v="001-00016212" u="1"/>
        <s v="001-00009391" u="1"/>
        <s v="001-00013227" u="1"/>
        <s v="001-00014646" u="1"/>
        <s v="001-00009425" u="1"/>
        <s v="001-00016222" u="1"/>
        <s v="001-00009435" u="1"/>
        <s v="001-00016232" u="1"/>
        <s v="001-00014666" u="1"/>
        <s v="001-00009445" u="1"/>
        <s v="001-00016242" u="1"/>
        <s v="001-00014676" u="1"/>
        <s v="001-00009455" u="1"/>
        <s v="001-00016252" u="1"/>
        <s v="001-00013267" u="1"/>
        <s v="001-00016262" u="1"/>
        <s v="001-00011300" u="1"/>
        <s v="001-00013277" u="1"/>
        <s v="001-00014696" u="1"/>
        <s v="001-00009475" u="1"/>
        <s v="001-00009509" u="1"/>
        <s v="001-00011310" u="1"/>
        <s v="001-00013287" u="1"/>
        <s v="001-00009485" u="1"/>
        <s v="001-00009519" u="1"/>
        <s v="001-00011320" u="1"/>
        <s v="001-00013297" u="1"/>
        <s v="001-00016292" u="1"/>
        <s v="001-00009529" u="1"/>
        <s v="001-00011330" u="1"/>
        <s v="001-00016326" u="1"/>
        <s v="001-00009539" u="1"/>
        <s v="001-00016336" u="1"/>
        <s v="001-00009549" u="1"/>
        <s v="001-00011350" u="1"/>
        <s v="001-00016346" u="1"/>
        <s v="001-00012803" u="1"/>
        <s v="001-00009559" u="1"/>
        <s v="001-00011360" u="1"/>
        <s v="001-00012813" u="1"/>
        <s v="001-00009569" u="1"/>
        <s v="001-00011370" u="1"/>
        <s v="001-00016366" u="1"/>
        <s v="001-00011404" u="1"/>
        <s v="001-00012823" u="1"/>
        <s v="001-00009579" u="1"/>
        <s v="001-00011380" u="1"/>
        <s v="001-00016376" u="1"/>
        <s v="001-00011414" u="1"/>
        <s v="001-00012833" u="1"/>
        <s v="001-00009589" u="1"/>
        <s v="001-00011390" u="1"/>
        <s v="001-00016386" u="1"/>
        <s v="001-00010005" u="1"/>
        <s v="001-00011424" u="1"/>
        <s v="001-00012843" u="1"/>
        <s v="001-00009599" u="1"/>
        <s v="001-00016396" u="1"/>
        <s v="001-00010015" u="1"/>
        <s v="001-00011434" u="1"/>
        <s v="001-00012853" u="1"/>
        <s v="001-00013010" u="1"/>
        <s v="001-00010025" u="1"/>
        <s v="001-00011444" u="1"/>
        <s v="001-00013020" u="1"/>
        <s v="001-00010035" u="1"/>
        <s v="001-00012873" u="1"/>
        <s v="ABO-0000454" u="1"/>
        <s v="001-00012907" u="1"/>
        <s v="001-00013030" u="1"/>
        <s v="001-00010045" u="1"/>
        <s v="001-00011464" u="1"/>
        <s v="001-00012883" u="1"/>
        <s v="001-00015902" u="1"/>
        <s v="ABO-0000455" u="1"/>
        <s v="001-00012917" u="1"/>
        <s v="001-00013040" u="1"/>
        <s v="001-00011474" u="1"/>
        <s v="001-00015912" u="1"/>
        <s v="ABO-0000456" u="1"/>
        <s v="001-00011508" u="1"/>
        <s v="001-00012927" u="1"/>
        <s v="001-00011484" u="1"/>
        <s v="001-00015922" u="1"/>
        <s v="ABO-0000457" u="1"/>
        <s v="001-00011518" u="1"/>
        <s v="001-00012937" u="1"/>
        <s v="001-00010075" u="1"/>
        <s v="001-00011494" u="1"/>
        <s v="001-00015932" u="1"/>
        <s v="001-00010109" u="1"/>
        <s v="001-00011528" u="1"/>
        <s v="001-00013104" u="1"/>
        <s v="001-00014523" u="1"/>
        <s v="001-00015942" u="1"/>
        <s v="001-00009302" u="1"/>
        <s v="001-00011538" u="1"/>
        <s v="001-00012957" u="1"/>
        <s v="001-00013080" u="1"/>
        <s v="001-00010095" u="1"/>
        <s v="001-00013114" u="1"/>
        <s v="001-00014533" u="1"/>
        <s v="001-00015952" u="1"/>
        <s v="001-00009312" u="1"/>
        <s v="001-00010129" u="1"/>
        <s v="001-00011548" u="1"/>
        <s v="001-00013090" u="1"/>
        <s v="001-00013124" u="1"/>
        <s v="001-00014543" u="1"/>
        <s v="001-00010139" u="1"/>
        <s v="001-00011558" u="1"/>
        <s v="001-00012977" u="1"/>
        <s v="001-00007756" u="1"/>
        <s v="001-00014553" u="1"/>
        <s v="001-00015972" u="1"/>
        <s v="001-00010149" u="1"/>
        <s v="001-00011568" u="1"/>
        <s v="001-00012987" u="1"/>
        <s v="001-00014563" u="1"/>
        <s v="001-00015982" u="1"/>
        <s v="001-00010159" u="1"/>
        <s v="001-00012997" u="1"/>
        <s v="001-00013154" u="1"/>
        <s v="001-00009352" u="1"/>
        <s v="001-00010169" u="1"/>
        <s v="001-00014607" u="1"/>
        <s v="001-00014583" u="1"/>
        <s v="001-00009362" u="1"/>
        <s v="001-00010179" u="1"/>
        <s v="001-00014617" u="1"/>
        <s v="001-00013174" u="1"/>
        <s v="001-00014593" u="1"/>
        <s v="001-00009372" u="1"/>
        <s v="001-00013208" u="1"/>
        <s v="001-00014627" u="1"/>
        <s v="001-00009406" u="1"/>
        <s v="001-00013184" u="1"/>
        <s v="001-00016203" u="1"/>
        <s v="001-00013218" u="1"/>
        <s v="001-00014637" u="1"/>
        <s v="001-00013194" u="1"/>
        <s v="001-00016213" u="1"/>
        <s v="001-00009392" u="1"/>
        <s v="001-00013228" u="1"/>
        <s v="001-00014647" u="1"/>
        <s v="001-00009426" u="1"/>
        <s v="001-00016223" u="1"/>
        <s v="001-00013238" u="1"/>
        <s v="001-00016233" u="1"/>
        <s v="001-00009446" u="1"/>
        <s v="001-00016243" u="1"/>
        <s v="001-00012700" u="1"/>
        <s v="001-00013258" u="1"/>
        <s v="001-00014677" u="1"/>
        <s v="001-00009456" u="1"/>
        <s v="001-00016253" u="1"/>
        <s v="001-00012710" u="1"/>
        <s v="001-00013268" u="1"/>
        <s v="001-00014687" u="1"/>
        <s v="001-00012720" u="1"/>
        <s v="001-00013278" u="1"/>
        <s v="001-00014697" u="1"/>
        <s v="001-00009476" u="1"/>
        <s v="001-00016273" u="1"/>
        <s v="001-00011311" u="1"/>
        <s v="001-00012730" u="1"/>
        <s v="001-00013288" u="1"/>
        <s v="001-00016307" u="1"/>
        <s v="001-00009486" u="1"/>
        <s v="001-00016283" u="1"/>
        <s v="ABO-00000389" u="1"/>
        <s v="001-00011321" u="1"/>
        <s v="001-00012740" u="1"/>
        <s v="001-00013298" u="1"/>
        <s v="001-00016317" u="1"/>
        <s v="001-00009496" u="1"/>
        <s v="001-00016293" u="1"/>
        <s v="001-00011331" u="1"/>
        <s v="001-00016327" u="1"/>
        <s v="001-00011341" u="1"/>
        <s v="001-00012760" u="1"/>
        <s v="001-00011351" u="1"/>
        <s v="001-00012770" u="1"/>
        <s v="001-00016347" u="1"/>
        <s v="001-00011361" u="1"/>
        <s v="001-00012780" u="1"/>
        <s v="001-00016357" u="1"/>
        <s v="001-00012814" u="1"/>
        <s v="001-00011371" u="1"/>
        <s v="001-00012790" u="1"/>
        <s v="001-00016367" u="1"/>
        <s v="001-00012824" u="1"/>
        <s v="001-00011381" u="1"/>
        <s v="001-00014400" u="1"/>
        <s v="001-00011415" u="1"/>
        <s v="001-00012834" u="1"/>
        <s v="ABO00000458" u="1"/>
        <s v="001-00011391" u="1"/>
        <s v="001-00014410" u="1"/>
        <s v="001-00016387" u="1"/>
        <s v="001-00010006" u="1"/>
        <s v="001-00011425" u="1"/>
        <s v="001-00012844" u="1"/>
        <s v="001-00013001" u="1"/>
        <s v="001-00016397" u="1"/>
        <s v="001-00010016" u="1"/>
        <s v="001-00011435" u="1"/>
        <s v="001-00013011" u="1"/>
        <s v="001-00014430" u="1"/>
        <s v="001-00010026" u="1"/>
        <s v="001-00011445" u="1"/>
        <s v="001-00012864" u="1"/>
        <s v="001-00013021" u="1"/>
        <s v="001-00014440" u="1"/>
        <s v="001-00010036" u="1"/>
        <s v="001-00011455" u="1"/>
        <s v="001-00012874" u="1"/>
        <s v="001-00012908" u="1"/>
        <s v="001-00013031" u="1"/>
        <s v="001-00010046" u="1"/>
        <s v="001-00011465" u="1"/>
        <s v="001-00012884" u="1"/>
        <s v="001-00015903" u="1"/>
        <s v="001-00012918" u="1"/>
        <s v="001-00014460" u="1"/>
        <s v="001-00010056" u="1"/>
        <s v="001-00011475" u="1"/>
        <s v="001-00012894" u="1"/>
        <s v="001-00011509" u="1"/>
        <s v="001-00013051" u="1"/>
        <s v="001-00014470" u="1"/>
        <s v="001-00010066" u="1"/>
        <s v="001-00011485" u="1"/>
        <s v="001-00014504" u="1"/>
        <s v="001-00015923" u="1"/>
        <s v="001-00011519" u="1"/>
        <s v="001-00012938" u="1"/>
        <s v="001-00014480" u="1"/>
        <s v="001-00010076" u="1"/>
        <s v="001-00011495" u="1"/>
        <s v="001-00014514" u="1"/>
        <s v="001-00015933" u="1"/>
        <s v="001-00011529" u="1"/>
        <s v="001-00012948" u="1"/>
        <s v="001-00013071" u="1"/>
        <s v="001-00014490" u="1"/>
        <s v="001-00010086" u="1"/>
        <s v="001-00013105" u="1"/>
        <s v="001-00015943" u="1"/>
        <s v="001-00009303" u="1"/>
        <s v="001-00012958" u="1"/>
        <s v="001-00013081" u="1"/>
        <s v="001-00016100" u="1"/>
        <s v="001-00010096" u="1"/>
        <s v="001-00013115" u="1"/>
        <s v="001-00014534" u="1"/>
        <s v="001-00015953" u="1"/>
        <s v="001-00009313" u="1"/>
        <s v="001-00011549" u="1"/>
        <s v="001-00012968" u="1"/>
        <s v="001-00013091" u="1"/>
        <s v="001-00016110" u="1"/>
        <s v="001-00013125" u="1"/>
        <s v="001-00015963" u="1"/>
        <s v="001-00009323" u="1"/>
        <s v="001-00011559" u="1"/>
        <s v="001-00012978" u="1"/>
        <s v="001-00016120" u="1"/>
        <s v="001-00013135" u="1"/>
        <s v="001-00014554" u="1"/>
        <s v="001-00015973" u="1"/>
        <s v="001-00009333" u="1"/>
        <s v="001-00011569" u="1"/>
        <s v="001-00012988" u="1"/>
        <s v="001-00016130" u="1"/>
        <s v="001-00013145" u="1"/>
        <s v="001-00014564" u="1"/>
        <s v="001-00015983" u="1"/>
        <s v="001-00011579" u="1"/>
        <s v="001-00013155" u="1"/>
        <s v="001-00014574" u="1"/>
        <s v="001-00015993" u="1"/>
        <s v="001-00009353" u="1"/>
        <s v="001-00011589" u="1"/>
        <s v="001-00016150" u="1"/>
        <s v="001-00013165" u="1"/>
        <s v="001-00014584" u="1"/>
        <s v="001-00009363" u="1"/>
        <s v="001-00011599" u="1"/>
        <s v="001-00014618" u="1"/>
        <s v="001-00016160" u="1"/>
        <s v="001-00014594" u="1"/>
        <s v="001-00016170" u="1"/>
        <s v="001-00009407" u="1"/>
        <s v="001-00013185" u="1"/>
        <s v="001-00016204" u="1"/>
        <s v="001-00009383" u="1"/>
        <s v="001-00013219" u="1"/>
        <s v="001-00016180" u="1"/>
        <s v="001-00009417" u="1"/>
        <s v="001-00013195" u="1"/>
        <s v="001-00009393" u="1"/>
        <s v="001-00013229" u="1"/>
        <s v="001-00014648" u="1"/>
        <s v="001-00016190" u="1"/>
        <s v="001-00009427" u="1"/>
        <s v="001-00016224" u="1"/>
        <s v="001-00013239" u="1"/>
        <s v="001-00014658" u="1"/>
        <s v="001-00009437" u="1"/>
        <s v="001-00016234" u="1"/>
        <s v="001-00013249" u="1"/>
        <s v="001-00014668" u="1"/>
        <s v="001-00016244" u="1"/>
        <s v="001-00012701" u="1"/>
        <s v="001-00013259" u="1"/>
        <s v="001-00016254" u="1"/>
        <s v="001-00012711" u="1"/>
        <s v="001-00013269" u="1"/>
        <s v="001-00014688" u="1"/>
        <s v="001-00009467" u="1"/>
        <s v="001-00016264" u="1"/>
        <s v="001-00011302" u="1"/>
        <s v="001-00012721" u="1"/>
        <s v="001-00013279" u="1"/>
        <s v="001-00009477" u="1"/>
        <s v="001-00016274" u="1"/>
        <s v="001-00012731" u="1"/>
        <s v="001-00013289" u="1"/>
        <s v="001-00016308" u="1"/>
        <s v="001-00009487" u="1"/>
        <s v="001-00016284" u="1"/>
        <s v="001-00012741" u="1"/>
        <s v="001-00013299" u="1"/>
        <s v="001-00016318" u="1"/>
        <s v="001-00009497" u="1"/>
        <s v="001-00016294" u="1"/>
        <s v="001-00011332" u="1"/>
        <s v="001-00012751" u="1"/>
        <s v="001-00016328" u="1"/>
        <s v="001-00011342" u="1"/>
        <s v="001-00012761" u="1"/>
        <s v="001-00016338" u="1"/>
        <s v="001-00011352" u="1"/>
        <s v="001-00012771" u="1"/>
        <s v="001-00016348" u="1"/>
        <s v="001-00012805" u="1"/>
        <s v="001-00011362" u="1"/>
        <s v="001-00012781" u="1"/>
        <s v="001-00015800" u="1"/>
        <s v="001-00016358" u="1"/>
        <s v="001-00012815" u="1"/>
        <s v="001-00011372" u="1"/>
        <s v="001-00012791" u="1"/>
        <s v="001-00015810" u="1"/>
        <s v="001-00011406" u="1"/>
        <s v="001-00012825" u="1"/>
        <s v="001-00011382" u="1"/>
        <s v="001-00014401" u="1"/>
        <s v="001-00015820" u="1"/>
        <s v="001-00016378" u="1"/>
        <s v="001-00011416" u="1"/>
        <s v="001-00012835" u="1"/>
        <s v="001-00011392" u="1"/>
        <s v="001-00014411" u="1"/>
        <s v="001-00015830" u="1"/>
        <s v="001-00016388" u="1"/>
        <s v="001-00010007" u="1"/>
        <s v="001-00011426" u="1"/>
        <s v="001-00012845" u="1"/>
        <s v="001-00015840" u="1"/>
        <s v="001-00009200" u="1"/>
        <s v="001-00010017" u="1"/>
        <s v="001-00011436" u="1"/>
        <s v="001-00012855" u="1"/>
        <s v="001-00013012" u="1"/>
        <s v="001-00015850" u="1"/>
        <s v="001-00010027" u="1"/>
        <s v="001-00011446" u="1"/>
        <s v="001-00012865" u="1"/>
        <s v="001-00013022" u="1"/>
        <s v="001-00014441" u="1"/>
        <s v="001-00009220" u="1"/>
        <s v="001-00010037" u="1"/>
        <s v="001-00011456" u="1"/>
        <s v="001-00012875" u="1"/>
        <s v="001-00012909" u="1"/>
        <s v="001-00013032" u="1"/>
        <s v="001-00014451" u="1"/>
        <s v="001-00015870" u="1"/>
        <s v="001-00009230" u="1"/>
        <s v="001-00010047" u="1"/>
        <s v="001-00011466" u="1"/>
        <s v="001-00012919" u="1"/>
        <s v="001-00013042" u="1"/>
        <s v="001-00015880" u="1"/>
        <s v="001-00009240" u="1"/>
        <s v="001-00010057" u="1"/>
        <s v="001-00011476" u="1"/>
        <s v="001-00012895" u="1"/>
        <s v="001-00015914" u="1"/>
        <s v="001-00012929" u="1"/>
        <s v="001-00013052" u="1"/>
        <s v="001-00014471" u="1"/>
        <s v="001-00015890" u="1"/>
        <s v="001-00009250" u="1"/>
        <s v="001-00010067" u="1"/>
        <s v="001-00014505" u="1"/>
        <s v="001-00015924" u="1"/>
        <s v="001-00012939" u="1"/>
        <s v="001-00013062" u="1"/>
        <s v="001-00014481" u="1"/>
        <s v="001-00010077" u="1"/>
        <s v="001-00011496" u="1"/>
        <s v="001-00014515" u="1"/>
        <s v="001-00012949" u="1"/>
        <s v="001-00013072" u="1"/>
        <s v="001-00009270" u="1"/>
        <s v="001-00010087" u="1"/>
        <s v="001-00013106" u="1"/>
        <s v="001-00014525" u="1"/>
        <s v="001-00015944" u="1"/>
        <s v="001-00009304" u="1"/>
        <s v="001-00012959" u="1"/>
        <s v="001-00013082" u="1"/>
        <s v="001-00016101" u="1"/>
        <s v="001-00009280" u="1"/>
        <s v="001-00010097" u="1"/>
        <s v="001-00013116" u="1"/>
        <s v="001-00015954" u="1"/>
        <s v="001-00009314" u="1"/>
        <s v="001-00012969" u="1"/>
        <s v="001-00013092" u="1"/>
        <s v="001-00016111" u="1"/>
        <s v="001-00009290" u="1"/>
        <s v="001-00013126" u="1"/>
        <s v="001-00014545" u="1"/>
        <s v="001-00009324" u="1"/>
        <s v="001-00012979" u="1"/>
        <s v="001-00016121" u="1"/>
        <s v="001-00014555" u="1"/>
        <s v="001-00015974" u="1"/>
        <s v="001-00009334" u="1"/>
        <s v="001-00013146" u="1"/>
        <s v="001-00014565" u="1"/>
        <s v="001-00015984" u="1"/>
        <s v="001-00009344" u="1"/>
        <s v="001-00016141" u="1"/>
        <s v="001-00013156" u="1"/>
        <s v="001-00015994" u="1"/>
        <s v="001-00009354" u="1"/>
        <s v="001-00014609" u="1"/>
        <s v="001-00016151" u="1"/>
        <s v="001-00014585" u="1"/>
        <s v="001-00014619" u="1"/>
        <s v="001-00013176" u="1"/>
        <s v="001-00014595" u="1"/>
        <s v="001-00014629" u="1"/>
        <s v="001-00016171" u="1"/>
        <s v="001-00009408" u="1"/>
        <s v="001-00013186" u="1"/>
        <s v="001-00016205" u="1"/>
        <s v="001-00009384" u="1"/>
        <s v="001-00014639" u="1"/>
        <s v="001-00016181" u="1"/>
        <s v="001-00009418" u="1"/>
        <s v="001-00013196" u="1"/>
        <s v="001-00009394" u="1"/>
        <s v="001-00014649" u="1"/>
        <s v="001-00016191" u="1"/>
        <s v="001-00009428" u="1"/>
        <s v="001-00016225" u="1"/>
        <s v="001-00014659" u="1"/>
        <s v="001-00009438" u="1"/>
        <s v="001-00014669" u="1"/>
        <s v="001-00009448" u="1"/>
        <s v="001-00016245" u="1"/>
        <s v="001-00012702" u="1"/>
        <s v="001-00009458" u="1"/>
        <s v="001-00014689" u="1"/>
        <s v="001-00008910" u="1"/>
        <s v="001-00009468" u="1"/>
        <s v="001-00016265" u="1"/>
        <s v="001-00011303" u="1"/>
        <s v="001-00014699" u="1"/>
        <s v="001-00011313" u="1"/>
        <s v="001-00012732" u="1"/>
        <s v="001-00016309" u="1"/>
        <s v="001-00011323" u="1"/>
        <s v="001-00012742" u="1"/>
        <s v="001-00016319" u="1"/>
        <s v="001-00009498" u="1"/>
        <s v="001-00016295" u="1"/>
        <s v="001-00011333" u="1"/>
        <s v="001-00012752" u="1"/>
        <s v="001-00016329" u="1"/>
        <s v="001-00011343" u="1"/>
        <s v="001-00016339" u="1"/>
        <s v="001-00011353" u="1"/>
        <s v="001-00012772" u="1"/>
        <s v="001-00016349" u="1"/>
        <s v="001-00012806" u="1"/>
        <s v="001-00011363" u="1"/>
        <s v="001-00012782" u="1"/>
        <s v="001-00015801" u="1"/>
        <s v="001-00016359" u="1"/>
        <s v="001-00011373" u="1"/>
        <s v="001-00015811" u="1"/>
        <s v="001-00008990" u="1"/>
        <s v="001-00016369" u="1"/>
        <s v="ABO-00000040" u="1"/>
        <s v="001-00011407" u="1"/>
        <s v="001-00011383" u="1"/>
        <s v="001-00014402" u="1"/>
        <s v="001-00015821" u="1"/>
        <s v="001-00011417" u="1"/>
        <s v="001-00012836" u="1"/>
        <s v="001-00011393" u="1"/>
        <s v="001-00015831" u="1"/>
        <s v="001-00016389" u="1"/>
        <s v="001-00010008" u="1"/>
        <s v="001-00011427" u="1"/>
        <s v="001-00012846" u="1"/>
        <s v="001-00013003" u="1"/>
        <s v="001-00014422" u="1"/>
        <s v="001-00015841" u="1"/>
        <s v="001-00016399" u="1"/>
        <s v="001-00009201" u="1"/>
        <s v="001-00010018" u="1"/>
        <s v="001-00012856" u="1"/>
        <s v="001-00013013" u="1"/>
        <s v="001-00014432" u="1"/>
        <s v="001-00015851" u="1"/>
        <s v="001-00009211" u="1"/>
        <s v="001-00010028" u="1"/>
        <s v="001-00011447" u="1"/>
        <s v="001-00013023" u="1"/>
        <s v="001-00014442" u="1"/>
        <s v="001-00015861" u="1"/>
        <s v="001-00009221" u="1"/>
        <s v="001-00010038" u="1"/>
        <s v="001-00011457" u="1"/>
        <s v="001-00012876" u="1"/>
        <s v="001-00013033" u="1"/>
        <s v="001-00014452" u="1"/>
        <s v="001-00015871" u="1"/>
        <s v="001-00010048" u="1"/>
        <s v="001-00011467" u="1"/>
        <s v="001-00012886" u="1"/>
        <s v="001-00015905" u="1"/>
        <s v="001-00014462" u="1"/>
        <s v="001-00010058" u="1"/>
        <s v="001-00012896" u="1"/>
        <s v="001-00015915" u="1"/>
        <s v="001-00013053" u="1"/>
        <s v="001-00014472" u="1"/>
        <s v="001-00015891" u="1"/>
        <s v="001-00009251" u="1"/>
        <s v="001-00010068" u="1"/>
        <s v="001-00011487" u="1"/>
        <s v="001-00014506" u="1"/>
        <s v="001-00015925" u="1"/>
        <s v="001-00013063" u="1"/>
        <s v="001-00014482" u="1"/>
        <s v="001-00009261" u="1"/>
        <s v="001-00011497" u="1"/>
        <s v="001-00014492" u="1"/>
        <s v="001-00009271" u="1"/>
        <s v="001-00010088" u="1"/>
        <s v="001-00013107" u="1"/>
        <s v="001-00014526" u="1"/>
        <s v="001-00015945" u="1"/>
        <s v="001-00009305" u="1"/>
        <s v="001-00013083" u="1"/>
        <s v="001-00016102" u="1"/>
        <s v="001-00009281" u="1"/>
        <s v="001-00010098" u="1"/>
        <s v="001-00013117" u="1"/>
        <s v="001-00014536" u="1"/>
        <s v="001-00015955" u="1"/>
        <s v="001-00009315" u="1"/>
        <s v="001-00013093" u="1"/>
        <s v="001-00009291" u="1"/>
        <s v="001-00013127" u="1"/>
        <s v="001-00014546" u="1"/>
        <s v="001-00015965" u="1"/>
        <s v="001-00009325" u="1"/>
        <s v="001-00013137" u="1"/>
        <s v="001-00015975" u="1"/>
        <s v="001-00009335" u="1"/>
        <s v="001-00013147" u="1"/>
        <s v="001-00014566" u="1"/>
        <s v="001-00015985" u="1"/>
        <s v="001-00009345" u="1"/>
        <s v="001-00016142" u="1"/>
        <s v="001-00014576" u="1"/>
        <s v="001-00015995" u="1"/>
        <s v="001-00009355" u="1"/>
        <s v="001-00016152" u="1"/>
        <s v="001-00013167" u="1"/>
        <s v="001-00014586" u="1"/>
        <s v="001-00009365" u="1"/>
        <s v="001-00016162" u="1"/>
        <s v="001-00011200" u="1"/>
        <s v="001-00013177" u="1"/>
        <s v="001-00014596" u="1"/>
        <s v="001-00016172" u="1"/>
        <s v="001-00009409" u="1"/>
        <s v="001-00013187" u="1"/>
        <s v="001-00016206" u="1"/>
        <s v="001-00009385" u="1"/>
        <s v="001-00013197" u="1"/>
        <s v="001-00016216" u="1"/>
        <s v="001-00009395" u="1"/>
        <s v="001-00016192" u="1"/>
        <s v="001-00009429" u="1"/>
        <s v="001-00011230" u="1"/>
        <s v="001-00016226" u="1"/>
        <s v="001-00009439" u="1"/>
        <s v="001-00011240" u="1"/>
        <s v="001-00009449" u="1"/>
        <s v="001-00011250" u="1"/>
        <s v="001-00016246" u="1"/>
        <s v="001-00009459" u="1"/>
        <s v="001-00011260" u="1"/>
        <s v="001-00016256" u="1"/>
        <s v="001-00012713" u="1"/>
        <s v="001-00009469" u="1"/>
        <s v="001-00011270" u="1"/>
        <s v="001-00011304" u="1"/>
        <s v="001-00012723" u="1"/>
        <s v="001-00009479" u="1"/>
        <s v="001-00011280" u="1"/>
        <s v="001-00016276" u="1"/>
        <s v="001-00011314" u="1"/>
        <s v="001-00012733" u="1"/>
        <s v="001-00009489" u="1"/>
        <s v="001-00011290" u="1"/>
        <s v="001-00016286" u="1"/>
        <s v="001-00011324" u="1"/>
        <s v="001-00009499" u="1"/>
        <s v="001-00016296" u="1"/>
        <s v="001-00011334" u="1"/>
        <s v="001-00012753" u="1"/>
        <s v="001-00011344" u="1"/>
        <s v="001-00012763" u="1"/>
        <s v="001-00011354" u="1"/>
        <s v="001-00012773" u="1"/>
        <s v="001-00011364" u="1"/>
        <s v="001-00012783" u="1"/>
        <s v="001-00012817" u="1"/>
        <s v="001-00011374" u="1"/>
        <s v="001-00012793" u="1"/>
        <s v="001-00015812" u="1"/>
        <s v="ABO-00000041" u="1"/>
        <s v="001-00011408" u="1"/>
        <s v="001-00012827" u="1"/>
        <s v="001-00011384" u="1"/>
        <s v="001-00014403" u="1"/>
        <s v="001-00015822" u="1"/>
        <s v="001-00011418" u="1"/>
        <s v="001-00012837" u="1"/>
        <s v="001-00011394" u="1"/>
        <s v="001-00015832" u="1"/>
        <s v="001-00010009" u="1"/>
        <s v="001-00011428" u="1"/>
        <s v="001-00012847" u="1"/>
        <s v="001-00013004" u="1"/>
        <s v="001-00014423" u="1"/>
        <s v="001-00015842" u="1"/>
        <s v="001-00009202" u="1"/>
        <s v="001-00010019" u="1"/>
        <s v="001-00011438" u="1"/>
        <s v="001-00012857" u="1"/>
        <s v="001-00013014" u="1"/>
        <s v="001-00014433" u="1"/>
        <s v="001-00015852" u="1"/>
        <s v="001-00009212" u="1"/>
        <s v="001-00010029" u="1"/>
        <s v="001-00011448" u="1"/>
        <s v="001-00012867" u="1"/>
        <s v="001-00013024" u="1"/>
        <s v="001-00014443" u="1"/>
        <s v="001-00015862" u="1"/>
        <s v="001-00009222" u="1"/>
        <s v="001-00010039" u="1"/>
        <s v="001-00011458" u="1"/>
        <s v="001-00012877" u="1"/>
        <s v="001-00013034" u="1"/>
        <s v="001-00014453" u="1"/>
        <s v="001-00010910" u="1"/>
        <s v="001-00011468" u="1"/>
        <s v="001-00012887" u="1"/>
        <s v="001-00014463" u="1"/>
        <s v="001-00009242" u="1"/>
        <s v="001-00010920" u="1"/>
        <s v="001-00010059" u="1"/>
        <s v="001-00011478" u="1"/>
        <s v="001-00012897" u="1"/>
        <s v="001-00014473" u="1"/>
        <s v="001-00009252" u="1"/>
        <s v="001-00010069" u="1"/>
        <s v="001-00011488" u="1"/>
        <s v="001-00014507" u="1"/>
        <s v="001-00015926" u="1"/>
        <s v="001-00013064" u="1"/>
        <s v="001-00014483" u="1"/>
        <s v="001-00009262" u="1"/>
        <s v="001-00010940" u="1"/>
        <s v="001-00010079" u="1"/>
        <s v="001-00011498" u="1"/>
        <s v="001-00014517" u="1"/>
        <s v="001-00015936" u="1"/>
        <s v="001-00013074" u="1"/>
        <s v="001-00014493" u="1"/>
        <s v="001-00009272" u="1"/>
        <s v="001-00010950" u="1"/>
        <s v="001-00010089" u="1"/>
        <s v="001-00014527" u="1"/>
        <s v="001-00009306" u="1"/>
        <s v="001-00013084" u="1"/>
        <s v="001-00016103" u="1"/>
        <s v="001-00009282" u="1"/>
        <s v="001-00010960" u="1"/>
        <s v="001-00010099" u="1"/>
        <s v="001-00013118" u="1"/>
        <s v="001-00014537" u="1"/>
        <s v="001-00015956" u="1"/>
        <s v="001-00009316" u="1"/>
        <s v="001-00013094" u="1"/>
        <s v="001-00016113" u="1"/>
        <s v="001-00009292" u="1"/>
        <s v="001-00010970" u="1"/>
        <s v="001-00013128" u="1"/>
        <s v="001-00015966" u="1"/>
        <s v="001-00009326" u="1"/>
        <s v="001-00016123" u="1"/>
        <s v="001-00010980" u="1"/>
        <s v="001-00013138" u="1"/>
        <s v="001-00014557" u="1"/>
        <s v="001-00015976" u="1"/>
        <s v="001-00009336" u="1"/>
        <s v="001-00010990" u="1"/>
        <s v="001-00013148" u="1"/>
        <s v="001-00014567" u="1"/>
        <s v="001-00015986" u="1"/>
        <s v="001-00009346" u="1"/>
        <s v="001-00016143" u="1"/>
        <s v="001-00012600" u="1"/>
        <s v="001-00014577" u="1"/>
        <s v="001-00009356" u="1"/>
        <s v="001-00012610" u="1"/>
        <s v="001-00013168" u="1"/>
        <s v="001-00014587" u="1"/>
        <s v="001-00011201" u="1"/>
        <s v="001-00012620" u="1"/>
        <s v="001-00013178" u="1"/>
        <s v="001-00014597" u="1"/>
        <s v="001-00009376" u="1"/>
        <s v="001-00016173" u="1"/>
        <s v="001-00012630" u="1"/>
        <s v="001-00013188" u="1"/>
        <s v="001-00016207" u="1"/>
        <s v="001-00009386" u="1"/>
        <s v="001-00012640" u="1"/>
        <s v="001-00016217" u="1"/>
        <s v="001-00009396" u="1"/>
        <s v="001-00016193" u="1"/>
        <s v="001-00011231" u="1"/>
        <s v="001-00012650" u="1"/>
        <s v="001-00016227" u="1"/>
        <s v="001-00011241" u="1"/>
        <s v="001-00012660" u="1"/>
        <s v="001-00011251" u="1"/>
        <s v="001-00012670" u="1"/>
        <s v="001-00016247" u="1"/>
        <s v="001-00012704" u="1"/>
        <s v="001-00011261" u="1"/>
        <s v="001-00012714" u="1"/>
        <s v="001-00011271" u="1"/>
        <s v="001-00012690" u="1"/>
        <s v="001-00016267" u="1"/>
        <s v="001-00011305" u="1"/>
        <s v="001-00012724" u="1"/>
        <s v="001-00008922" u="1"/>
        <s v="001-00011281" u="1"/>
        <s v="001-00014300" u="1"/>
        <s v="001-00016277" u="1"/>
        <s v="001-00011315" u="1"/>
        <s v="001-00012734" u="1"/>
        <s v="001-00011291" u="1"/>
        <s v="001-00014310" u="1"/>
        <s v="001-00016287" u="1"/>
        <s v="001-00011325" u="1"/>
        <s v="001-00012744" u="1"/>
        <s v="001-00008942" u="1"/>
        <s v="001-00014320" u="1"/>
        <s v="001-00011335" u="1"/>
        <s v="001-00012754" u="1"/>
        <s v="001-00014330" u="1"/>
        <s v="001-00011345" u="1"/>
        <s v="001-00012764" u="1"/>
        <s v="001-00014340" u="1"/>
        <s v="001-00011355" u="1"/>
        <s v="001-00012808" u="1"/>
        <s v="001-00014350" u="1"/>
        <s v="001-00011365" u="1"/>
        <s v="001-00012784" u="1"/>
        <s v="001-00015803" u="1"/>
        <s v="001-00012818" u="1"/>
        <s v="001-00014360" u="1"/>
        <s v="001-00011375" u="1"/>
        <s v="001-00015813" u="1"/>
        <s v="001-00008992" u="1"/>
        <s v="ABO-00000042" u="1"/>
        <s v="001-00011409" u="1"/>
        <s v="001-00014370" u="1"/>
        <s v="001-00011385" u="1"/>
        <s v="001-00014404" u="1"/>
        <s v="001-00015823" u="1"/>
        <s v="001-00012838" u="1"/>
        <s v="001-00011395" u="1"/>
        <s v="001-00014414" u="1"/>
        <s v="001-00015833" u="1"/>
        <s v="001-00011429" u="1"/>
        <s v="001-00012848" u="1"/>
        <s v="001-00014390" u="1"/>
        <s v="001-00013005" u="1"/>
        <s v="001-00014424" u="1"/>
        <s v="001-00015843" u="1"/>
        <s v="001-00009203" u="1"/>
        <s v="001-00011439" u="1"/>
        <s v="001-00012858" u="1"/>
        <s v="001-00013015" u="1"/>
        <s v="001-00014434" u="1"/>
        <s v="001-00012868" u="1"/>
        <s v="001-00016010" u="1"/>
        <s v="001-00013025" u="1"/>
        <s v="001-00014444" u="1"/>
        <s v="001-00015863" u="1"/>
        <s v="001-00009223" u="1"/>
        <s v="001-00010901" u="1"/>
        <s v="001-00011459" u="1"/>
        <s v="001-00012878" u="1"/>
        <s v="001-00016020" u="1"/>
        <s v="001-00013035" u="1"/>
        <s v="001-00014454" u="1"/>
        <s v="001-00015873" u="1"/>
        <s v="001-00009233" u="1"/>
        <s v="001-00011469" u="1"/>
        <s v="001-00012888" u="1"/>
        <s v="001-00015907" u="1"/>
        <s v="001-00016030" u="1"/>
        <s v="001-00015883" u="1"/>
        <s v="001-00009243" u="1"/>
        <s v="001-00011479" u="1"/>
        <s v="001-00012898" u="1"/>
        <s v="001-00016040" u="1"/>
        <s v="001-00013055" u="1"/>
        <s v="001-00014474" u="1"/>
        <s v="001-00015893" u="1"/>
        <s v="001-00010931" u="1"/>
        <s v="001-00011489" u="1"/>
        <s v="001-00014508" u="1"/>
        <s v="001-00015927" u="1"/>
        <s v="001-00016050" u="1"/>
        <s v="001-00013065" u="1"/>
        <s v="001-00009263" u="1"/>
        <s v="001-00010941" u="1"/>
        <s v="001-00011499" u="1"/>
        <s v="001-00016060" u="1"/>
        <s v="001-00013075" u="1"/>
        <s v="001-00014494" u="1"/>
        <s v="001-00009273" u="1"/>
        <s v="001-00013109" u="1"/>
        <s v="001-00014528" u="1"/>
        <s v="001-00015947" u="1"/>
        <s v="001-00016070" u="1"/>
        <s v="001-00013085" u="1"/>
        <s v="001-00016104" u="1"/>
        <s v="001-00009283" u="1"/>
        <s v="001-00010961" u="1"/>
        <s v="001-00014538" u="1"/>
        <s v="001-00015957" u="1"/>
        <s v="001-00016080" u="1"/>
        <s v="001-00009317" u="1"/>
        <s v="001-00013095" u="1"/>
        <s v="001-00016114" u="1"/>
        <s v="001-00009293" u="1"/>
        <s v="001-00010971" u="1"/>
        <s v="001-00013129" u="1"/>
        <s v="001-00014548" u="1"/>
        <s v="001-00015967" u="1"/>
        <s v="001-00016090" u="1"/>
        <s v="001-00009327" u="1"/>
        <s v="001-00016124" u="1"/>
        <s v="001-00010981" u="1"/>
        <s v="001-00013139" u="1"/>
        <s v="001-00014558" u="1"/>
        <s v="001-00015977" u="1"/>
        <s v="001-00009337" u="1"/>
        <s v="001-00016134" u="1"/>
        <s v="001-00013149" u="1"/>
        <s v="001-00014568" u="1"/>
        <s v="001-00015987" u="1"/>
        <s v="001-00009347" u="1"/>
        <s v="001-00016144" u="1"/>
        <s v="001-00013159" u="1"/>
        <s v="001-00015997" u="1"/>
        <s v="001-00009357" u="1"/>
        <s v="001-00016154" u="1"/>
        <s v="001-00012611" u="1"/>
        <s v="001-00014588" u="1"/>
        <s v="001-00009367" u="1"/>
        <s v="001-00016164" u="1"/>
        <s v="001-00011202" u="1"/>
        <s v="001-00014598" u="1"/>
        <s v="001-00009377" u="1"/>
        <s v="001-00016174" u="1"/>
        <s v="001-00011212" u="1"/>
        <s v="001-00012631" u="1"/>
        <s v="001-00013189" u="1"/>
        <s v="001-00016208" u="1"/>
        <s v="001-00009387" u="1"/>
        <s v="001-00016184" u="1"/>
        <s v="001-00011222" u="1"/>
        <s v="001-00012641" u="1"/>
        <s v="001-00013199" u="1"/>
        <s v="001-00016218" u="1"/>
        <s v="001-00011232" u="1"/>
        <s v="001-00012651" u="1"/>
        <s v="001-00011242" u="1"/>
        <s v="001-00012661" u="1"/>
        <s v="001-00016238" u="1"/>
        <s v="001-00011252" u="1"/>
        <s v="001-00012671" u="1"/>
        <s v="001-00016248" u="1"/>
        <s v="001-00011262" u="1"/>
        <s v="001-00012681" u="1"/>
        <s v="001-00015700" u="1"/>
        <s v="001-00016258" u="1"/>
        <s v="001-00012715" u="1"/>
        <s v="001-00008913" u="1"/>
        <s v="001-00011272" u="1"/>
        <s v="001-00015710" u="1"/>
        <s v="001-00011306" u="1"/>
        <s v="001-00012725" u="1"/>
        <s v="001-00011282" u="1"/>
        <s v="001-00014301" u="1"/>
        <s v="001-00016278" u="1"/>
        <s v="001-00011316" u="1"/>
        <s v="001-00012735" u="1"/>
        <s v="001-00011292" u="1"/>
        <s v="001-00014311" u="1"/>
        <s v="001-00015730" u="1"/>
        <s v="001-00016288" u="1"/>
        <s v="001-00011326" u="1"/>
        <s v="001-00012745" u="1"/>
        <s v="001-00014321" u="1"/>
        <s v="001-00015740" u="1"/>
        <s v="001-00016298" u="1"/>
        <s v="001-00009100" u="1"/>
        <s v="001-00011336" u="1"/>
        <s v="001-00012755" u="1"/>
        <s v="001-00008953" u="1"/>
        <s v="001-00014331" u="1"/>
        <s v="001-00015750" u="1"/>
        <s v="001-00009110" u="1"/>
        <s v="001-00011346" u="1"/>
        <s v="001-00012765" u="1"/>
        <s v="001-00008963" u="1"/>
        <s v="001-00014341" u="1"/>
        <s v="001-00015760" u="1"/>
        <s v="001-00009120" u="1"/>
        <s v="001-00011356" u="1"/>
        <s v="001-00012775" u="1"/>
        <s v="001-00012809" u="1"/>
        <s v="001-00014351" u="1"/>
        <s v="001-00015770" u="1"/>
        <s v="001-00011366" u="1"/>
        <s v="001-00012785" u="1"/>
        <s v="001-00015804" u="1"/>
        <s v="001-00012819" u="1"/>
        <s v="001-00015780" u="1"/>
        <s v="001-00009140" u="1"/>
        <s v="001-00011376" u="1"/>
        <s v="001-00012795" u="1"/>
        <s v="001-00015814" u="1"/>
        <s v="ABO-00000043" u="1"/>
        <s v="001-00012829" u="1"/>
        <s v="001-00014371" u="1"/>
        <s v="001-00015790" u="1"/>
        <s v="001-00009150" u="1"/>
        <s v="001-00011386" u="1"/>
        <s v="001-00014405" u="1"/>
        <s v="001-00015824" u="1"/>
        <s v="001-00012839" u="1"/>
        <s v="001-00014381" u="1"/>
        <s v="001-00009160" u="1"/>
        <s v="001-00011396" u="1"/>
        <s v="001-00014415" u="1"/>
        <s v="001-00015834" u="1"/>
        <s v="001-00012849" u="1"/>
        <s v="001-00014391" u="1"/>
        <s v="001-00009170" u="1"/>
        <s v="001-00014425" u="1"/>
        <s v="001-00015844" u="1"/>
        <s v="001-00009204" u="1"/>
        <s v="001-00016001" u="1"/>
        <s v="001-00009180" u="1"/>
        <s v="001-00014435" u="1"/>
        <s v="001-00015854" u="1"/>
        <s v="001-00009214" u="1"/>
        <s v="001-00016011" u="1"/>
        <s v="001-00009190" u="1"/>
        <s v="001-00014445" u="1"/>
        <s v="001-00015864" u="1"/>
        <s v="001-00009224" u="1"/>
        <s v="001-00010902" u="1"/>
        <s v="001-00016021" u="1"/>
        <s v="001-00013036" u="1"/>
        <s v="001-00015874" u="1"/>
        <s v="001-00012889" u="1"/>
        <s v="001-00015908" u="1"/>
        <s v="001-00016031" u="1"/>
        <s v="001-00014465" u="1"/>
        <s v="001-00015884" u="1"/>
        <s v="001-00009244" u="1"/>
        <s v="001-00010922" u="1"/>
        <s v="001-00012899" u="1"/>
        <s v="001-00015918" u="1"/>
        <s v="001-00016041" u="1"/>
        <s v="001-00013056" u="1"/>
        <s v="001-00014475" u="1"/>
        <s v="001-00015894" u="1"/>
        <s v="001-00010932" u="1"/>
        <s v="001-00014509" u="1"/>
        <s v="001-00015928" u="1"/>
        <s v="001-00016051" u="1"/>
        <s v="001-00013066" u="1"/>
        <s v="001-00014485" u="1"/>
        <s v="001-00009264" u="1"/>
        <s v="001-00010942" u="1"/>
        <s v="001-00014519" u="1"/>
        <s v="001-00015938" u="1"/>
        <s v="001-00016061" u="1"/>
        <s v="001-00013076" u="1"/>
        <s v="001-00014495" u="1"/>
        <s v="001-00009274" u="1"/>
        <s v="001-00010952" u="1"/>
        <s v="001-00014529" u="1"/>
        <s v="001-00016071" u="1"/>
        <s v="001-00009308" u="1"/>
        <s v="001-00013086" u="1"/>
        <s v="001-00016105" u="1"/>
        <s v="001-00009284" u="1"/>
        <s v="001-00010962" u="1"/>
        <s v="001-00014539" u="1"/>
        <s v="001-00009318" u="1"/>
        <s v="001-00013096" u="1"/>
        <s v="001-00016115" u="1"/>
        <s v="001-00009294" u="1"/>
        <s v="001-00014549" u="1"/>
        <s v="001-00015968" u="1"/>
        <s v="001-00016091" u="1"/>
        <s v="001-00009328" u="1"/>
        <s v="001-00010982" u="1"/>
        <s v="001-00014559" u="1"/>
        <s v="001-00015978" u="1"/>
        <s v="001-00009338" u="1"/>
        <s v="001-00016135" u="1"/>
        <s v="001-00010992" u="1"/>
        <s v="001-00014569" u="1"/>
        <s v="001-00015988" u="1"/>
        <s v="001-00016145" u="1"/>
        <s v="001-00012602" u="1"/>
        <s v="001-00015998" u="1"/>
        <s v="001-00009358" u="1"/>
        <s v="001-00012612" u="1"/>
        <s v="001-00014589" u="1"/>
        <s v="001-00009368" u="1"/>
        <s v="001-00016165" u="1"/>
        <s v="001-00011203" u="1"/>
        <s v="001-00012622" u="1"/>
        <s v="001-00014599" u="1"/>
        <s v="001-00009378" u="1"/>
        <s v="001-00016175" u="1"/>
        <s v="001-00016209" u="1"/>
        <s v="001-00009388" u="1"/>
        <s v="001-00011223" u="1"/>
        <s v="001-00012642" u="1"/>
        <s v="001-00016219" u="1"/>
        <s v="001-00009398" u="1"/>
        <s v="001-00016195" u="1"/>
        <s v="001-00011233" u="1"/>
        <s v="001-00016229" u="1"/>
        <s v="001-00011243" u="1"/>
        <s v="001-00011253" u="1"/>
        <s v="001-00016249" u="1"/>
        <s v="001-00012706" u="1"/>
        <s v="001-00011263" u="1"/>
        <s v="001-00012682" u="1"/>
        <s v="001-00015701" u="1"/>
        <s v="001-00016259" u="1"/>
        <s v="001-00012716" u="1"/>
        <s v="001-00011273" u="1"/>
        <s v="001-00012692" u="1"/>
        <s v="001-00015711" u="1"/>
        <s v="001-00011307" u="1"/>
        <s v="001-00012726" u="1"/>
        <s v="001-00011283" u="1"/>
        <s v="001-00014302" u="1"/>
        <s v="001-00015721" u="1"/>
        <s v="001-00016279" u="1"/>
        <s v="001-00011317" u="1"/>
        <s v="001-00012736" u="1"/>
        <s v="001-00011293" u="1"/>
        <s v="001-00014312" u="1"/>
        <s v="001-00015731" u="1"/>
        <s v="001-00016289" u="1"/>
        <s v="001-00011327" u="1"/>
        <s v="001-00012746" u="1"/>
        <s v="001-00008944" u="1"/>
        <s v="001-00014322" u="1"/>
        <s v="001-00015741" u="1"/>
        <s v="001-00016299" u="1"/>
        <s v="001-00009101" u="1"/>
        <s v="001-00011337" u="1"/>
        <s v="001-00012756" u="1"/>
        <s v="001-00014332" u="1"/>
        <s v="001-00012766" u="1"/>
        <s v="001-00014342" u="1"/>
        <s v="001-00015761" u="1"/>
        <s v="001-00009121" u="1"/>
        <s v="001-00011357" u="1"/>
        <s v="001-00012776" u="1"/>
        <s v="001-00014352" u="1"/>
        <s v="001-00015771" u="1"/>
        <s v="001-00009131" u="1"/>
        <s v="001-00011367" u="1"/>
        <s v="001-00012786" u="1"/>
        <s v="001-00015805" u="1"/>
        <s v="001-00014362" u="1"/>
        <s v="001-00015781" u="1"/>
        <s v="001-00009141" u="1"/>
        <s v="001-00012796" u="1"/>
        <s v="001-00015815" u="1"/>
        <s v="001-00008994" u="1"/>
        <s v="ABO-00000044" u="1"/>
        <s v="001-00014372" u="1"/>
        <s v="001-00015791" u="1"/>
        <s v="001-00009151" u="1"/>
        <s v="001-00011387" u="1"/>
        <s v="001-00014406" u="1"/>
        <s v="001-00015825" u="1"/>
        <s v="001-00014382" u="1"/>
        <s v="001-00009161" u="1"/>
        <s v="001-00011397" u="1"/>
        <s v="001-00014416" u="1"/>
        <s v="001-00015835" u="1"/>
        <s v="001-00014392" u="1"/>
        <s v="001-00009171" u="1"/>
        <s v="001-00013007" u="1"/>
        <s v="001-00009205" u="1"/>
        <s v="001-00016002" u="1"/>
        <s v="001-00009181" u="1"/>
        <s v="001-00013017" u="1"/>
        <s v="001-00014436" u="1"/>
        <s v="001-00015855" u="1"/>
        <s v="001-00009215" u="1"/>
        <s v="001-00016012" u="1"/>
        <s v="001-00009191" u="1"/>
        <s v="001-00013027" u="1"/>
        <s v="001-00014446" u="1"/>
        <s v="001-00015865" u="1"/>
        <s v="001-00010903" u="1"/>
        <s v="001-00016022" u="1"/>
        <s v="001-00013037" u="1"/>
        <s v="001-00014456" u="1"/>
        <s v="001-00009235" u="1"/>
        <s v="001-00010913" u="1"/>
        <s v="001-00015909" u="1"/>
        <s v="001-00016032" u="1"/>
        <s v="001-00014466" u="1"/>
        <s v="001-00015885" u="1"/>
        <s v="001-00009245" u="1"/>
        <s v="001-00010923" u="1"/>
        <s v="001-00015919" u="1"/>
        <s v="001-00013057" u="1"/>
        <s v="001-00014476" u="1"/>
        <s v="001-00015895" u="1"/>
        <s v="001-00009255" u="1"/>
        <s v="001-00010933" u="1"/>
        <s v="001-00015929" u="1"/>
        <s v="001-00016052" u="1"/>
        <s v="001-00013067" u="1"/>
        <s v="001-00014486" u="1"/>
        <s v="001-00009265" u="1"/>
        <s v="001-00010943" u="1"/>
        <s v="001-00011100" u="1"/>
        <s v="001-00014496" u="1"/>
        <s v="001-00009275" u="1"/>
        <s v="001-00015949" u="1"/>
        <s v="001-00016072" u="1"/>
        <s v="001-00009309" u="1"/>
        <s v="001-00011110" u="1"/>
        <s v="001-00013087" u="1"/>
        <s v="001-00016106" u="1"/>
        <s v="001-00009285" u="1"/>
        <s v="001-00010963" u="1"/>
        <s v="001-00016082" u="1"/>
        <s v="001-00009319" u="1"/>
        <s v="001-00011120" u="1"/>
        <s v="001-00013097" u="1"/>
        <s v="001-00016116" u="1"/>
        <s v="001-00010973" u="1"/>
        <s v="001-00015969" u="1"/>
        <s v="001-00009329" u="1"/>
        <s v="001-00011130" u="1"/>
        <s v="001-00016126" u="1"/>
        <s v="001-00009339" u="1"/>
        <s v="001-00011140" u="1"/>
        <s v="001-00016136" u="1"/>
        <s v="001-00010993" u="1"/>
        <s v="001-00015989" u="1"/>
        <s v="001-00016146" u="1"/>
        <s v="001-00012603" u="1"/>
        <s v="001-00015999" u="1"/>
        <s v="001-00009359" u="1"/>
        <s v="001-00016156" u="1"/>
        <s v="001-00012613" u="1"/>
        <s v="001-00011170" u="1"/>
        <s v="001-00016166" u="1"/>
        <s v="001-00011204" u="1"/>
        <s v="001-00012623" u="1"/>
        <s v="001-00009379" u="1"/>
        <s v="001-00011180" u="1"/>
        <s v="001-00016176" u="1"/>
        <s v="001-00011214" u="1"/>
        <s v="001-00012633" u="1"/>
        <s v="001-00009389" u="1"/>
        <s v="001-00011190" u="1"/>
        <s v="001-00016186" u="1"/>
        <s v="001-00012643" u="1"/>
        <s v="001-00009399" u="1"/>
        <s v="001-00016196" u="1"/>
        <s v="001-00011234" u="1"/>
        <s v="001-00012653" u="1"/>
        <s v="CAR00000003" u="1"/>
        <s v="001-00011244" u="1"/>
        <s v="001-00012663" u="1"/>
        <s v="CAR00000004" u="1"/>
        <s v="001-00011254" u="1"/>
        <s v="001-00012673" u="1"/>
        <s v="001-00012707" u="1"/>
        <s v="CAR00000005" u="1"/>
        <s v="001-00011264" u="1"/>
        <s v="001-00012683" u="1"/>
        <s v="001-00012717" u="1"/>
        <s v="001-00011274" u="1"/>
        <s v="001-00015712" u="1"/>
        <s v="001-00011308" u="1"/>
        <s v="001-00011284" u="1"/>
        <s v="001-00014303" u="1"/>
        <s v="001-00015722" u="1"/>
        <s v="001-00011318" u="1"/>
        <s v="001-00012737" u="1"/>
        <s v="001-00011294" u="1"/>
        <s v="001-00014313" u="1"/>
        <s v="001-00015732" u="1"/>
        <s v="ABO-0000438" u="1"/>
        <s v="001-00011328" u="1"/>
        <s v="001-00012747" u="1"/>
        <s v="001-00008945" u="1"/>
        <s v="001-00014323" u="1"/>
        <s v="001-00015742" u="1"/>
        <s v="001-00009102" u="1"/>
        <s v="001-00011338" u="1"/>
        <s v="001-00012757" u="1"/>
        <s v="001-00014333" u="1"/>
        <s v="001-00009112" u="1"/>
        <s v="001-00011348" u="1"/>
        <s v="001-00012767" u="1"/>
        <s v="001-00014343" u="1"/>
        <s v="001-00015762" u="1"/>
        <s v="001-00009122" u="1"/>
        <s v="001-00010800" u="1"/>
        <s v="001-00011358" u="1"/>
        <s v="001-00012777" u="1"/>
        <s v="001-00014353" u="1"/>
        <s v="001-00015772" u="1"/>
        <s v="001-00010810" u="1"/>
        <s v="001-00011368" u="1"/>
        <s v="001-00012787" u="1"/>
        <s v="001-00015806" u="1"/>
        <s v="001-00008985" u="1"/>
        <s v="001-00014363" u="1"/>
        <s v="001-00015782" u="1"/>
        <s v="001-00009142" u="1"/>
        <s v="001-00010820" u="1"/>
        <s v="001-00011378" u="1"/>
        <s v="001-00012797" u="1"/>
        <s v="001-00008995" u="1"/>
        <s v="ABO-00000045" u="1"/>
        <s v="001-00014373" u="1"/>
        <s v="001-00015792" u="1"/>
        <s v="001-00009152" u="1"/>
        <s v="001-00010830" u="1"/>
        <s v="001-00011388" u="1"/>
        <s v="001-00014407" u="1"/>
        <s v="001-00015826" u="1"/>
        <s v="001-00014383" u="1"/>
        <s v="001-00009162" u="1"/>
        <s v="001-00010840" u="1"/>
        <s v="001-00011398" u="1"/>
        <s v="001-00014417" u="1"/>
        <s v="001-00015836" u="1"/>
        <s v="001-00010850" u="1"/>
        <s v="001-00013008" u="1"/>
        <s v="001-00014427" u="1"/>
        <s v="001-00009206" u="1"/>
        <s v="001-00016003" u="1"/>
        <s v="001-00009182" u="1"/>
        <s v="001-00010860" u="1"/>
        <s v="001-00014437" u="1"/>
        <s v="001-00015856" u="1"/>
        <s v="001-00009216" u="1"/>
        <s v="001-00009192" u="1"/>
        <s v="001-00010870" u="1"/>
        <s v="001-00013028" u="1"/>
        <s v="001-00014447" u="1"/>
        <s v="001-00009226" u="1"/>
        <s v="001-00010904" u="1"/>
        <s v="001-00016023" u="1"/>
        <s v="001-00010880" u="1"/>
        <s v="001-00014457" u="1"/>
        <s v="001-00015876" u="1"/>
        <s v="001-00009236" u="1"/>
        <s v="001-00010914" u="1"/>
        <s v="001-00016033" u="1"/>
        <s v="001-00010890" u="1"/>
        <s v="001-00013048" u="1"/>
        <s v="001-00014467" u="1"/>
        <s v="001-00015886" u="1"/>
        <s v="001-00009246" u="1"/>
        <s v="001-00010924" u="1"/>
        <s v="001-00014477" u="1"/>
        <s v="001-00015896" u="1"/>
        <s v="001-00009256" u="1"/>
        <s v="001-00010934" u="1"/>
        <s v="001-00016053" u="1"/>
        <s v="001-00012510" u="1"/>
        <s v="001-00013068" u="1"/>
        <s v="001-00014487" u="1"/>
        <s v="001-00009266" u="1"/>
        <s v="001-00010944" u="1"/>
        <s v="001-00016063" u="1"/>
        <s v="001-00011101" u="1"/>
        <s v="001-00012520" u="1"/>
        <s v="001-00013078" u="1"/>
        <s v="001-00014497" u="1"/>
        <s v="001-00009276" u="1"/>
        <s v="001-00010954" u="1"/>
        <s v="001-00011111" u="1"/>
        <s v="001-00012530" u="1"/>
        <s v="001-00013088" u="1"/>
        <s v="001-00016107" u="1"/>
        <s v="001-00010964" u="1"/>
        <s v="001-00016083" u="1"/>
        <s v="001-00011121" u="1"/>
        <s v="001-00012540" u="1"/>
        <s v="001-00013098" u="1"/>
        <s v="001-00016117" u="1"/>
        <s v="001-00009296" u="1"/>
        <s v="001-00010974" u="1"/>
        <s v="001-00016093" u="1"/>
        <s v="001-00011131" u="1"/>
        <s v="001-00012550" u="1"/>
        <s v="001-00016127" u="1"/>
        <s v="001-00010984" u="1"/>
        <s v="001-00011141" u="1"/>
        <s v="001-00012560" u="1"/>
        <s v="001-00016137" u="1"/>
        <s v="001-00010994" u="1"/>
        <s v="001-00011151" u="1"/>
        <s v="001-00012570" u="1"/>
        <s v="001-00012580" u="1"/>
        <s v="001-00016157" u="1"/>
        <s v="001-00012614" u="1"/>
        <s v="001-00012590" u="1"/>
        <s v="001-00016167" u="1"/>
        <s v="001-00011205" u="1"/>
        <s v="001-00012624" u="1"/>
        <s v="001-00014200" u="1"/>
        <s v="001-00011215" u="1"/>
        <s v="001-00012634" u="1"/>
        <s v="001-00014210" u="1"/>
        <s v="001-00016187" u="1"/>
        <s v="001-00011225" u="1"/>
        <s v="001-00012644" u="1"/>
        <s v="001-00014220" u="1"/>
        <s v="001-00016197" u="1"/>
        <s v="001-00011235" u="1"/>
        <s v="001-00012654" u="1"/>
        <s v="001-00014230" u="1"/>
        <s v="001-00011245" u="1"/>
        <s v="001-00012664" u="1"/>
        <s v="001-00014240" u="1"/>
        <s v="001-00011255" u="1"/>
        <s v="001-00007453" u="1"/>
        <s v="001-00012708" u="1"/>
        <s v="001-00011265" u="1"/>
        <s v="001-00012684" u="1"/>
        <s v="001-00015703" u="1"/>
        <s v="001-00012718" u="1"/>
        <s v="001-00014260" u="1"/>
        <s v="001-00011275" u="1"/>
        <s v="001-00012694" u="1"/>
        <s v="001-00015713" u="1"/>
        <s v="001-00011309" u="1"/>
        <s v="001-00012728" u="1"/>
        <s v="001-00011285" u="1"/>
        <s v="001-00014304" u="1"/>
        <s v="001-00015723" u="1"/>
        <s v="001-00011319" u="1"/>
        <s v="001-00012738" u="1"/>
        <s v="001-00014280" u="1"/>
        <s v="001-00011295" u="1"/>
        <s v="001-00014314" u="1"/>
        <s v="001-00011329" u="1"/>
        <s v="001-00012748" u="1"/>
        <s v="001-00014290" u="1"/>
        <s v="001-00014324" u="1"/>
        <s v="001-00015743" u="1"/>
        <s v="001-00009103" u="1"/>
        <s v="001-00011339" u="1"/>
        <s v="001-00012758" u="1"/>
        <s v="001-00014334" u="1"/>
        <s v="001-00015753" u="1"/>
        <s v="001-00009113" u="1"/>
        <s v="001-00011349" u="1"/>
        <s v="001-00015763" u="1"/>
        <s v="001-00009123" u="1"/>
        <s v="001-00010801" u="1"/>
        <s v="001-00011359" u="1"/>
        <s v="001-00012778" u="1"/>
        <s v="001-00014354" u="1"/>
        <s v="001-00009133" u="1"/>
        <s v="001-00010811" u="1"/>
        <s v="001-00011369" u="1"/>
        <s v="001-00015807" u="1"/>
        <s v="001-00008986" u="1"/>
        <s v="001-00014364" u="1"/>
        <s v="001-00015783" u="1"/>
        <s v="001-00009143" u="1"/>
        <s v="001-00010821" u="1"/>
        <s v="001-00011379" u="1"/>
        <s v="001-00012798" u="1"/>
        <s v="001-00015817" u="1"/>
        <s v="001-00008996" u="1"/>
        <s v="001-00014374" u="1"/>
        <s v="001-00015793" u="1"/>
        <s v="001-00009153" u="1"/>
        <s v="001-00010831" u="1"/>
        <s v="001-00011389" u="1"/>
        <s v="001-00014408" u="1"/>
        <s v="001-00015827" u="1"/>
        <s v="001-00014384" u="1"/>
        <s v="001-00009163" u="1"/>
        <s v="001-00010841" u="1"/>
        <s v="001-00015837" u="1"/>
        <s v="001-00014394" u="1"/>
        <s v="001-00009173" u="1"/>
        <s v="001-00010851" u="1"/>
        <s v="001-00013009" u="1"/>
        <s v="001-00014428" u="1"/>
        <s v="001-00009207" u="1"/>
        <s v="001-00016004" u="1"/>
        <s v="001-00009183" u="1"/>
        <s v="001-00010861" u="1"/>
        <s v="001-00013019" u="1"/>
        <s v="001-00014438" u="1"/>
        <s v="001-00015857" u="1"/>
        <s v="001-00016014" u="1"/>
        <s v="001-00009193" u="1"/>
        <s v="001-00010871" u="1"/>
        <s v="001-00014448" u="1"/>
        <s v="001-00015867" u="1"/>
        <s v="001-00009227" u="1"/>
        <s v="001-00010905" u="1"/>
        <s v="001-00016024" u="1"/>
        <s v="001-00010881" u="1"/>
        <s v="001-00013900" u="1"/>
        <s v="001-00013039" u="1"/>
        <s v="001-00015877" u="1"/>
        <s v="001-00009237" u="1"/>
        <s v="001-00010915" u="1"/>
        <s v="001-00016034" u="1"/>
        <s v="001-00010891" u="1"/>
        <s v="001-00013910" u="1"/>
        <s v="001-00013049" u="1"/>
        <s v="001-00014468" u="1"/>
        <s v="001-00009247" u="1"/>
        <s v="001-00010925" u="1"/>
        <s v="001-00016044" u="1"/>
        <s v="001-00012501" u="1"/>
        <s v="001-00013920" u="1"/>
        <s v="001-00013059" u="1"/>
        <s v="001-00014478" u="1"/>
        <s v="001-00015897" u="1"/>
        <s v="001-00009257" u="1"/>
        <s v="001-00010935" u="1"/>
        <s v="001-00016054" u="1"/>
        <s v="001-00012511" u="1"/>
        <s v="001-00013930" u="1"/>
        <s v="001-00013069" u="1"/>
        <s v="001-00014488" u="1"/>
        <s v="001-00009267" u="1"/>
        <s v="001-00010945" u="1"/>
        <s v="001-00016064" u="1"/>
        <s v="001-00011102" u="1"/>
        <s v="001-00012521" u="1"/>
        <s v="001-00013940" u="1"/>
        <s v="001-00013079" u="1"/>
        <s v="001-00016074" u="1"/>
        <s v="001-00011112" u="1"/>
        <s v="001-00012531" u="1"/>
        <s v="001-00013950" u="1"/>
        <s v="001-00013089" u="1"/>
        <s v="001-00016108" u="1"/>
        <s v="001-00009287" u="1"/>
        <s v="001-00016084" u="1"/>
        <s v="001-00011122" u="1"/>
        <s v="001-00013960" u="1"/>
        <s v="001-00013099" u="1"/>
        <s v="001-00016118" u="1"/>
        <s v="001-00010975" u="1"/>
        <s v="001-00016094" u="1"/>
        <s v="001-00011132" u="1"/>
        <s v="001-00012551" u="1"/>
        <s v="001-00013970" u="1"/>
        <s v="001-00016128" u="1"/>
        <s v="001-00010985" u="1"/>
        <s v="001-00011142" u="1"/>
        <s v="001-00012561" u="1"/>
        <s v="001-00013980" u="1"/>
        <s v="001-00016138" u="1"/>
        <s v="001-00011152" u="1"/>
        <s v="001-00012571" u="1"/>
        <s v="001-00013990" u="1"/>
        <s v="001-00012605" u="1"/>
        <s v="001-00011162" u="1"/>
        <s v="001-00012581" u="1"/>
        <s v="001-00015600" u="1"/>
        <s v="001-00016158" u="1"/>
        <s v="001-00011172" u="1"/>
        <s v="001-00012591" u="1"/>
        <s v="001-00015610" u="1"/>
        <s v="001-00016168" u="1"/>
        <s v="001-00011206" u="1"/>
        <s v="001-00012625" u="1"/>
        <s v="001-00014201" u="1"/>
        <s v="001-00015620" u="1"/>
        <s v="001-00016178" u="1"/>
        <s v="001-00011216" u="1"/>
        <s v="001-00012635" u="1"/>
        <s v="001-00014211" u="1"/>
        <s v="001-00015630" u="1"/>
        <s v="001-00011226" u="1"/>
        <s v="001-00012645" u="1"/>
        <s v="001-00014221" u="1"/>
        <s v="001-00015640" u="1"/>
        <s v="001-00011236" u="1"/>
        <s v="001-00012655" u="1"/>
        <s v="001-00014231" u="1"/>
        <s v="001-00011246" u="1"/>
        <s v="001-00012665" u="1"/>
        <s v="001-00015660" u="1"/>
        <s v="001-00009020" u="1"/>
        <s v="001-00012675" u="1"/>
        <s v="001-00012709" u="1"/>
        <s v="001-00015670" u="1"/>
        <s v="001-00011266" u="1"/>
        <s v="001-00015704" u="1"/>
        <s v="001-00012719" u="1"/>
        <s v="001-00014261" u="1"/>
        <s v="001-00015680" u="1"/>
        <s v="001-00009040" u="1"/>
        <s v="001-00011276" u="1"/>
        <s v="001-00012695" u="1"/>
        <s v="001-00015714" u="1"/>
        <s v="001-00012729" u="1"/>
        <s v="001-00014271" u="1"/>
        <s v="001-00009050" u="1"/>
        <s v="001-00011286" u="1"/>
        <s v="001-00015724" u="1"/>
        <s v="001-00014281" u="1"/>
        <s v="001-00009060" u="1"/>
        <s v="001-00011296" u="1"/>
        <s v="001-00012749" u="1"/>
        <s v="001-00014291" u="1"/>
        <s v="001-00009070" u="1"/>
        <s v="001-00014325" u="1"/>
        <s v="001-00009104" u="1"/>
        <s v="001-00012759" u="1"/>
        <s v="001-00009080" u="1"/>
        <s v="001-00014335" u="1"/>
        <s v="001-00015754" u="1"/>
        <s v="001-00009114" u="1"/>
        <s v="001-00008967" u="1"/>
        <s v="001-00009090" u="1"/>
        <s v="001-00014345" u="1"/>
        <s v="001-00015764" u="1"/>
        <s v="001-00009124" u="1"/>
        <s v="001-00010802" u="1"/>
        <s v="001-00014355" u="1"/>
        <s v="001-00015774" u="1"/>
        <s v="001-00009134" u="1"/>
        <s v="001-00010812" u="1"/>
        <s v="001-00012789" u="1"/>
        <s v="001-00015808" u="1"/>
        <s v="001-00014365" u="1"/>
        <s v="001-00009144" u="1"/>
        <s v="001-00010822" u="1"/>
        <s v="001-00012799" u="1"/>
        <s v="001-00015818" u="1"/>
        <s v="001-00015794" u="1"/>
        <s v="001-00009154" u="1"/>
        <s v="001-00010832" u="1"/>
        <s v="001-00015828" u="1"/>
        <s v="001-00014385" u="1"/>
        <s v="001-00010842" u="1"/>
        <s v="001-00014419" u="1"/>
        <s v="001-00015838" u="1"/>
        <s v="001-00014395" u="1"/>
        <s v="001-00009174" u="1"/>
        <s v="001-00014429" u="1"/>
        <s v="001-00015848" u="1"/>
        <s v="001-00009208" u="1"/>
        <s v="001-00009184" u="1"/>
        <s v="001-00010862" u="1"/>
        <s v="001-00014439" u="1"/>
        <s v="001-00009218" u="1"/>
        <s v="001-00016015" u="1"/>
        <s v="001-00009194" u="1"/>
        <s v="001-00010872" u="1"/>
        <s v="001-00014449" u="1"/>
        <s v="001-00015868" u="1"/>
        <s v="001-00009228" u="1"/>
        <s v="001-00010906" u="1"/>
        <s v="001-00016025" u="1"/>
        <s v="001-00013901" u="1"/>
        <s v="001-00014459" u="1"/>
        <s v="001-00015878" u="1"/>
        <s v="001-00009238" u="1"/>
        <s v="001-00010916" u="1"/>
        <s v="001-00016035" u="1"/>
        <s v="001-00010892" u="1"/>
        <s v="001-00013911" u="1"/>
        <s v="001-00014469" u="1"/>
        <s v="001-00015888" u="1"/>
        <s v="001-00009248" u="1"/>
        <s v="001-00010926" u="1"/>
        <s v="001-00016045" u="1"/>
        <s v="001-00012502" u="1"/>
        <s v="001-00009258" u="1"/>
        <s v="001-00010936" u="1"/>
        <s v="001-00016055" u="1"/>
        <s v="001-00012512" u="1"/>
        <s v="001-00013931" u="1"/>
        <s v="001-00014489" u="1"/>
        <s v="001-00009268" u="1"/>
        <s v="001-00010946" u="1"/>
        <s v="001-00016065" u="1"/>
        <s v="001-00011103" u="1"/>
        <s v="001-00012522" u="1"/>
        <s v="001-00014499" u="1"/>
        <s v="001-00009278" u="1"/>
        <s v="001-00010956" u="1"/>
        <s v="001-00011113" u="1"/>
        <s v="001-00012532" u="1"/>
        <s v="001-00013951" u="1"/>
        <s v="001-00016109" u="1"/>
        <s v="001-00009288" u="1"/>
        <s v="001-00016085" u="1"/>
        <s v="001-00011123" u="1"/>
        <s v="001-00012542" u="1"/>
        <s v="001-00013961" u="1"/>
        <s v="001-00016119" u="1"/>
        <s v="001-00010976" u="1"/>
        <s v="001-00016095" u="1"/>
        <s v="001-00011133" u="1"/>
        <s v="001-00012552" u="1"/>
        <s v="001-00013971" u="1"/>
        <s v="001-00016129" u="1"/>
        <s v="001-00011143" u="1"/>
        <s v="001-00012562" u="1"/>
        <s v="001-00010996" u="1"/>
        <s v="001-00011153" u="1"/>
        <s v="001-00012572" u="1"/>
        <s v="001-00013991" u="1"/>
        <s v="001-00016149" u="1"/>
        <s v="001-00012606" u="1"/>
        <s v="001-00011163" u="1"/>
        <s v="001-00012582" u="1"/>
        <s v="001-00015601" u="1"/>
        <s v="001-00016159" u="1"/>
        <s v="001-00012616" u="1"/>
        <s v="001-00012592" u="1"/>
        <s v="001-00015611" u="1"/>
        <s v="001-00016169" u="1"/>
        <s v="001-00011207" u="1"/>
        <s v="001-00012626" u="1"/>
        <s v="001-00014202" u="1"/>
        <s v="001-00016179" u="1"/>
        <s v="001-00011217" u="1"/>
        <s v="001-00012636" u="1"/>
        <s v="001-00011193" u="1"/>
        <s v="001-00014212" u="1"/>
        <s v="001-00015631" u="1"/>
        <s v="001-00011227" u="1"/>
        <s v="001-00012646" u="1"/>
        <s v="001-00014222" u="1"/>
        <s v="001-00015641" u="1"/>
        <s v="001-00016199" u="1"/>
        <s v="001-00011237" u="1"/>
        <s v="001-00012656" u="1"/>
        <s v="001-00014232" u="1"/>
        <s v="001-00015651" u="1"/>
        <s v="001-00009011" u="1"/>
        <s v="001-00011247" u="1"/>
        <s v="001-00012666" u="1"/>
        <s v="001-00014242" u="1"/>
        <s v="001-00015661" u="1"/>
        <s v="001-00011257" u="1"/>
        <s v="001-00012676" u="1"/>
        <s v="001-00014252" u="1"/>
        <s v="001-00015671" u="1"/>
        <s v="001-00011267" u="1"/>
        <s v="001-00012686" u="1"/>
        <s v="001-00015705" u="1"/>
        <s v="001-00008884" u="1"/>
        <s v="001-00014262" u="1"/>
        <s v="001-00015681" u="1"/>
        <s v="001-00011277" u="1"/>
        <s v="001-00012696" u="1"/>
        <s v="001-00015715" u="1"/>
        <s v="001-00014272" u="1"/>
        <s v="001-00015691" u="1"/>
        <s v="001-00009051" u="1"/>
        <s v="001-00011287" u="1"/>
        <s v="001-00014306" u="1"/>
        <s v="001-00015725" u="1"/>
        <s v="001-00014282" u="1"/>
        <s v="001-00009061" u="1"/>
        <s v="001-00011297" u="1"/>
        <s v="001-00014316" u="1"/>
        <s v="001-00014292" u="1"/>
        <s v="001-00008948" u="1"/>
        <s v="001-00009071" u="1"/>
        <s v="001-00015745" u="1"/>
        <s v="001-00009081" u="1"/>
        <s v="001-00014336" u="1"/>
        <s v="001-00015755" u="1"/>
        <s v="001-00009115" u="1"/>
        <s v="001-00009091" u="1"/>
        <s v="001-00014346" u="1"/>
        <s v="001-00015765" u="1"/>
        <s v="001-00009125" u="1"/>
        <s v="001-00010803" u="1"/>
        <s v="001-00008978" u="1"/>
        <s v="001-00014356" u="1"/>
        <s v="001-00015775" u="1"/>
        <s v="001-00009135" u="1"/>
        <s v="001-00015809" u="1"/>
        <s v="001-00008988" u="1"/>
        <s v="ABO-00000038" u="1"/>
        <s v="001-00014366" u="1"/>
        <s v="001-00015785" u="1"/>
        <s v="001-00010823" u="1"/>
        <s v="001-00015819" u="1"/>
        <s v="001-00014376" u="1"/>
        <s v="001-00009155" u="1"/>
        <s v="001-00010833" u="1"/>
        <s v="001-00009165" u="1"/>
        <s v="001-00010843" u="1"/>
        <s v="001-00015839" u="1"/>
        <s v="001-00011000" u="1"/>
        <s v="001-00010853" u="1"/>
        <s v="001-00015849" u="1"/>
        <s v="001-00009209" u="1"/>
        <s v="001-00016006" u="1"/>
        <s v="001-00009185" u="1"/>
        <s v="001-00010863" u="1"/>
        <s v="001-00015859" u="1"/>
        <s v="001-00009219" u="1"/>
        <s v="001-00011020" u="1"/>
        <s v="001-00016016" u="1"/>
        <s v="001-00009195" u="1"/>
        <s v="001-00010873" u="1"/>
        <s v="001-00015869" u="1"/>
        <s v="001-00009229" u="1"/>
        <s v="001-00010907" u="1"/>
        <s v="001-00011030" u="1"/>
        <s v="001-00016026" u="1"/>
        <s v="001-00010883" u="1"/>
        <s v="001-00015879" u="1"/>
        <s v="001-00009239" u="1"/>
        <s v="001-00010917" u="1"/>
        <s v="001-00011040" u="1"/>
        <s v="001-00016036" u="1"/>
        <s v="001-00010893" u="1"/>
        <s v="001-00013912" u="1"/>
        <s v="001-00015889" u="1"/>
        <s v="001-00009249" u="1"/>
        <s v="001-00010927" u="1"/>
        <s v="001-00016046" u="1"/>
        <s v="001-00013922" u="1"/>
        <s v="001-00015899" u="1"/>
        <s v="001-00009259" u="1"/>
        <s v="001-00010937" u="1"/>
        <s v="001-00011060" u="1"/>
        <s v="001-00016056" u="1"/>
        <s v="001-00012513" u="1"/>
        <s v="001-00013932" u="1"/>
        <s v="001-00009269" u="1"/>
        <s v="001-00010947" u="1"/>
        <s v="001-00011070" u="1"/>
        <s v="001-00016066" u="1"/>
        <s v="001-00011104" u="1"/>
        <s v="001-00012523" u="1"/>
        <s v="001-00009279" u="1"/>
        <s v="001-00010957" u="1"/>
        <s v="001-00011080" u="1"/>
        <s v="001-00016076" u="1"/>
        <s v="001-00011114" u="1"/>
        <s v="001-00012533" u="1"/>
        <s v="001-00013952" u="1"/>
        <s v="001-00009289" u="1"/>
        <s v="001-00010967" u="1"/>
        <s v="001-00016086" u="1"/>
        <s v="001-00011124" u="1"/>
        <s v="001-00012543" u="1"/>
        <s v="001-00010977" u="1"/>
        <s v="001-00016096" u="1"/>
        <s v="001-00011134" u="1"/>
        <s v="001-00012553" u="1"/>
        <s v="001-00013972" u="1"/>
        <s v="001-00011144" u="1"/>
        <s v="001-00012563" u="1"/>
        <s v="001-00013982" u="1"/>
        <s v="001-00010997" u="1"/>
        <s v="001-00011154" u="1"/>
        <s v="001-00012573" u="1"/>
        <s v="001-00013992" u="1"/>
        <s v="001-00012607" u="1"/>
        <s v="001-00012583" u="1"/>
        <s v="001-00015602" u="1"/>
        <s v="001-00012617" u="1"/>
        <s v="001-00012593" u="1"/>
        <s v="001-00011208" u="1"/>
        <s v="001-00012627" u="1"/>
        <s v="001-00015622" u="1"/>
        <s v="001-00011218" u="1"/>
        <s v="001-00012637" u="1"/>
        <s v="001-00011194" u="1"/>
        <s v="001-00014213" u="1"/>
        <s v="001-00015632" u="1"/>
        <s v="001-00011228" u="1"/>
        <s v="001-00012647" u="1"/>
        <s v="001-00009002" u="1"/>
        <s v="001-00011238" u="1"/>
        <s v="001-00011248" u="1"/>
        <s v="001-00014243" u="1"/>
        <s v="001-00015662" u="1"/>
        <s v="001-00009022" u="1"/>
        <s v="001-00010700" u="1"/>
        <s v="001-00011258" u="1"/>
        <s v="001-00012677" u="1"/>
        <s v="001-00015672" u="1"/>
        <s v="001-00010710" u="1"/>
        <s v="001-00011268" u="1"/>
        <s v="001-00012687" u="1"/>
        <s v="001-00014263" u="1"/>
        <s v="001-00012697" u="1"/>
        <s v="001-00015716" u="1"/>
        <s v="001-00014273" u="1"/>
        <s v="001-00015692" u="1"/>
        <s v="001-00009052" u="1"/>
        <s v="001-00010730" u="1"/>
        <s v="001-00011288" u="1"/>
        <s v="001-00014307" u="1"/>
        <s v="001-00015726" u="1"/>
        <s v="001-00014283" u="1"/>
        <s v="001-00009062" u="1"/>
        <s v="001-00010740" u="1"/>
        <s v="001-00011298" u="1"/>
        <s v="001-00014317" u="1"/>
        <s v="001-00015736" u="1"/>
        <s v="001-00009072" u="1"/>
        <s v="001-00010750" u="1"/>
        <s v="001-00014327" u="1"/>
        <s v="001-00015746" u="1"/>
        <s v="001-00009082" u="1"/>
        <s v="001-00010760" u="1"/>
        <s v="001-00014337" u="1"/>
        <s v="001-00015756" u="1"/>
        <s v="001-00008969" u="1"/>
        <s v="001-00010770" u="1"/>
        <s v="001-00014347" u="1"/>
        <s v="001-00009126" u="1"/>
        <s v="001-00014357" u="1"/>
        <s v="001-00015776" u="1"/>
        <s v="001-00009136" u="1"/>
        <s v="001-00010814" u="1"/>
        <s v="001-00008989" u="1"/>
        <s v="001-00010790" u="1"/>
        <s v="ABO-00000039" u="1"/>
        <s v="001-00014367" u="1"/>
        <s v="001-00015786" u="1"/>
        <s v="001-00009146" u="1"/>
        <s v="001-00010824" u="1"/>
        <s v="001-00012400" u="1"/>
        <s v="001-00014377" u="1"/>
        <s v="001-00015796" u="1"/>
        <s v="001-00009156" u="1"/>
        <s v="001-00010834" u="1"/>
        <s v="001-00012410" u="1"/>
        <s v="001-00009166" u="1"/>
        <s v="001-00010844" u="1"/>
        <s v="001-00011001" u="1"/>
        <s v="001-00012420" u="1"/>
        <s v="001-00009176" u="1"/>
        <s v="001-00010854" u="1"/>
        <s v="001-00012430" u="1"/>
        <s v="001-00016007" u="1"/>
        <s v="001-00009186" u="1"/>
        <s v="001-00010864" u="1"/>
        <s v="001-00011021" u="1"/>
        <s v="001-00012440" u="1"/>
        <s v="001-00016017" u="1"/>
        <s v="001-00009196" u="1"/>
        <s v="001-00010874" u="1"/>
        <s v="001-00010908" u="1"/>
        <s v="001-00011031" u="1"/>
        <s v="001-00012450" u="1"/>
        <s v="001-00016027" u="1"/>
        <s v="001-00010884" u="1"/>
        <s v="001-00010918" u="1"/>
        <s v="001-00011041" u="1"/>
        <s v="001-00012460" u="1"/>
        <s v="001-00010894" u="1"/>
        <s v="001-00010928" u="1"/>
        <s v="001-00011051" u="1"/>
        <s v="001-00012470" u="1"/>
        <s v="001-00016047" u="1"/>
        <s v="001-00012504" u="1"/>
        <s v="001-00013923" u="1"/>
        <s v="001-00011061" u="1"/>
        <s v="001-00012480" u="1"/>
        <s v="001-00016057" u="1"/>
        <s v="001-00012514" u="1"/>
        <s v="001-00013933" u="1"/>
        <s v="001-00010948" u="1"/>
        <s v="001-00012490" u="1"/>
        <s v="001-00011105" u="1"/>
        <s v="001-00012524" u="1"/>
        <s v="001-00013943" u="1"/>
        <s v="001-00010958" u="1"/>
        <s v="001-00011081" u="1"/>
        <s v="001-00014100" u="1"/>
        <s v="001-00016077" u="1"/>
        <s v="001-00012534" u="1"/>
        <s v="001-00013953" u="1"/>
        <s v="001-00010968" u="1"/>
        <s v="001-00011091" u="1"/>
        <s v="001-00014110" u="1"/>
        <s v="001-00016087" u="1"/>
        <s v="001-00011125" u="1"/>
        <s v="001-00012544" u="1"/>
        <s v="001-00013963" u="1"/>
        <s v="001-00010978" u="1"/>
        <s v="001-00014120" u="1"/>
        <s v="001-00016097" u="1"/>
        <s v="001-00011135" u="1"/>
        <s v="001-00012554" u="1"/>
        <s v="001-00013973" u="1"/>
        <s v="001-00011145" u="1"/>
        <s v="001-00012564" u="1"/>
        <s v="001-00013983" u="1"/>
        <s v="001-00010998" u="1"/>
        <s v="001-00011155" u="1"/>
        <s v="001-00013993" u="1"/>
        <s v="001-00012608" u="1"/>
        <s v="001-00014150" u="1"/>
        <s v="001-00012584" u="1"/>
        <s v="001-00015603" u="1"/>
        <s v="001-00012618" u="1"/>
        <s v="001-00012594" u="1"/>
        <s v="001-00015613" u="1"/>
        <s v="001-00011209" u="1"/>
        <s v="001-00012628" u="1"/>
        <s v="001-00014170" u="1"/>
        <s v="001-00011185" u="1"/>
        <s v="001-00015623" u="1"/>
        <s v="001-00011219" u="1"/>
        <s v="001-00012638" u="1"/>
        <s v="001-00014180" u="1"/>
        <s v="001-00011195" u="1"/>
        <s v="001-00014214" u="1"/>
        <s v="001-00011229" u="1"/>
        <s v="001-00012648" u="1"/>
        <s v="001-00014190" u="1"/>
        <s v="001-00014224" u="1"/>
        <s v="001-00011239" u="1"/>
        <s v="001-00012658" u="1"/>
        <s v="001-00015653" u="1"/>
        <s v="001-00009013" u="1"/>
        <s v="001-00011249" u="1"/>
        <s v="001-00012668" u="1"/>
        <s v="001-00014244" u="1"/>
        <s v="001-00015663" u="1"/>
        <s v="001-00009023" u="1"/>
        <s v="001-00010701" u="1"/>
        <s v="001-00011259" u="1"/>
        <s v="001-00012678" u="1"/>
        <s v="001-00014254" u="1"/>
        <s v="001-00015673" u="1"/>
        <s v="001-00009033" u="1"/>
        <s v="001-00010711" u="1"/>
        <s v="001-00011269" u="1"/>
        <s v="001-00015707" u="1"/>
        <s v="001-00014264" u="1"/>
        <s v="001-00009043" u="1"/>
        <s v="001-00010721" u="1"/>
        <s v="001-00011279" u="1"/>
        <s v="001-00012698" u="1"/>
        <s v="001-00015717" u="1"/>
        <s v="001-00014274" u="1"/>
        <s v="001-00015693" u="1"/>
        <s v="001-00009053" u="1"/>
        <s v="001-00010731" u="1"/>
        <s v="001-00011289" u="1"/>
        <s v="001-00015727" u="1"/>
        <s v="001-00014284" u="1"/>
        <s v="001-00010741" u="1"/>
        <s v="001-00011299" u="1"/>
        <s v="001-00014318" u="1"/>
        <s v="001-00015737" u="1"/>
        <s v="001-00014294" u="1"/>
        <s v="001-00009073" u="1"/>
        <s v="001-00010751" u="1"/>
        <s v="001-00014328" u="1"/>
        <s v="001-00015747" u="1"/>
        <s v="001-00009107" u="1"/>
        <s v="001-00010761" u="1"/>
        <s v="001-00014338" u="1"/>
        <s v="001-00015757" u="1"/>
        <s v="001-00009093" u="1"/>
        <s v="001-00010771" u="1"/>
        <s v="001-00014348" u="1"/>
        <s v="001-00015767" u="1"/>
        <s v="001-00009127" u="1"/>
        <s v="001-00010805" u="1"/>
        <s v="001-00010781" u="1"/>
        <s v="001-00014358" u="1"/>
        <s v="001-00015777" u="1"/>
        <s v="001-00009137" u="1"/>
        <s v="001-00010815" u="1"/>
        <s v="001-00010791" u="1"/>
        <s v="001-00013810" u="1"/>
        <s v="001-00014368" u="1"/>
        <s v="001-00009147" u="1"/>
        <s v="001-00010825" u="1"/>
        <s v="001-00012401" u="1"/>
        <s v="001-00013820" u="1"/>
        <s v="001-00014378" u="1"/>
        <s v="001-00015797" u="1"/>
        <s v="001-00010835" u="1"/>
        <s v="001-00012411" u="1"/>
        <s v="001-00013830" u="1"/>
        <s v="001-00014388" u="1"/>
        <s v="001-00009167" u="1"/>
        <s v="001-00010845" u="1"/>
        <s v="001-00011002" u="1"/>
        <s v="001-00012421" u="1"/>
        <s v="001-00013840" u="1"/>
        <s v="001-00014398" u="1"/>
        <s v="001-00009177" u="1"/>
        <s v="001-00011012" u="1"/>
        <s v="001-00012431" u="1"/>
        <s v="001-00013850" u="1"/>
        <s v="001-00016008" u="1"/>
        <s v="001-00009187" u="1"/>
        <s v="001-00010865" u="1"/>
        <s v="001-00011022" u="1"/>
        <s v="001-00012441" u="1"/>
        <s v="001-00016018" u="1"/>
        <s v="001-00009197" u="1"/>
        <s v="001-00010875" u="1"/>
        <s v="001-00010909" u="1"/>
        <s v="001-00011032" u="1"/>
        <s v="001-00012451" u="1"/>
        <s v="001-00013870" u="1"/>
        <s v="001-00016028" u="1"/>
        <s v="001-00010885" u="1"/>
        <s v="001-00013904" u="1"/>
        <s v="001-00010919" u="1"/>
        <s v="001-00011042" u="1"/>
        <s v="001-00013880" u="1"/>
        <s v="001-00016038" u="1"/>
        <s v="001-00010929" u="1"/>
        <s v="001-00011052" u="1"/>
        <s v="001-00012471" u="1"/>
        <s v="001-00013890" u="1"/>
        <s v="001-00012505" u="1"/>
        <s v="001-00010939" u="1"/>
        <s v="001-00011062" u="1"/>
        <s v="001-00012481" u="1"/>
        <s v="001-00015500" u="1"/>
        <s v="001-00016058" u="1"/>
        <s v="001-00012515" u="1"/>
        <s v="001-00013934" u="1"/>
        <s v="001-00010949" u="1"/>
        <s v="001-00011072" u="1"/>
        <s v="001-00012491" u="1"/>
        <s v="001-00015510" u="1"/>
        <s v="001-00016068" u="1"/>
        <s v="001-00012525" u="1"/>
        <s v="001-00013944" u="1"/>
        <s v="001-00011082" u="1"/>
        <s v="001-00014101" u="1"/>
        <s v="001-00015520" u="1"/>
        <s v="001-00011116" u="1"/>
        <s v="001-00012535" u="1"/>
        <s v="001-00013954" u="1"/>
        <s v="001-00010969" u="1"/>
        <s v="001-00011092" u="1"/>
        <s v="001-00014111" u="1"/>
        <s v="001-00015530" u="1"/>
        <s v="001-00016088" u="1"/>
        <s v="001-00012545" u="1"/>
        <s v="001-00010979" u="1"/>
        <s v="001-00014121" u="1"/>
        <s v="001-00015540" u="1"/>
        <s v="001-00011136" u="1"/>
        <s v="001-00012555" u="1"/>
        <s v="001-00013974" u="1"/>
        <s v="001-00010989" u="1"/>
        <s v="001-00014131" u="1"/>
        <s v="001-00015550" u="1"/>
        <s v="001-00011146" u="1"/>
        <s v="001-00012565" u="1"/>
        <s v="001-00013984" u="1"/>
        <s v="001-00014141" u="1"/>
        <s v="001-00015560" u="1"/>
        <s v="001-00011156" u="1"/>
        <s v="001-00012575" u="1"/>
        <s v="001-00013994" u="1"/>
        <s v="001-00012609" u="1"/>
        <s v="001-00014151" u="1"/>
        <s v="001-00015570" u="1"/>
        <s v="001-00012585" u="1"/>
        <s v="001-00015604" u="1"/>
        <s v="001-00012619" u="1"/>
        <s v="001-00014161" u="1"/>
        <s v="001-00015580" u="1"/>
        <s v="001-00011176" u="1"/>
        <s v="001-00012595" u="1"/>
        <s v="001-00015614" u="1"/>
        <s v="001-00012629" u="1"/>
        <s v="001-00014171" u="1"/>
        <s v="001-00015590" u="1"/>
        <s v="001-00011186" u="1"/>
        <s v="001-00015624" u="1"/>
        <s v="001-00012639" u="1"/>
        <s v="001-00014181" u="1"/>
        <s v="001-00011196" u="1"/>
        <s v="001-00015634" u="1"/>
        <s v="001-00012649" u="1"/>
        <s v="001-00014191" u="1"/>
        <s v="001-00014225" u="1"/>
        <s v="001-00012659" u="1"/>
        <s v="001-00014235" u="1"/>
        <s v="001-00015654" u="1"/>
        <s v="001-00009024" u="1"/>
        <s v="001-00010702" u="1"/>
        <s v="001-00012679" u="1"/>
        <s v="001-00014255" u="1"/>
        <s v="001-00015674" u="1"/>
        <s v="001-00009034" u="1"/>
        <s v="001-00010712" u="1"/>
        <s v="001-00012689" u="1"/>
        <s v="001-00015708" u="1"/>
        <s v="001-00014265" u="1"/>
        <s v="001-00015684" u="1"/>
        <s v="001-00009044" u="1"/>
        <s v="001-00010722" u="1"/>
        <s v="001-00012699" u="1"/>
        <s v="001-00014275" u="1"/>
        <s v="001-00015694" u="1"/>
        <s v="001-00009054" u="1"/>
        <s v="001-00010732" u="1"/>
        <s v="001-00014309" u="1"/>
        <s v="001-00015728" u="1"/>
        <s v="001-00014285" u="1"/>
        <s v="001-00009064" u="1"/>
        <s v="001-00010742" u="1"/>
        <s v="001-00015738" u="1"/>
        <s v="001-00009074" u="1"/>
        <s v="001-00010752" u="1"/>
        <s v="001-00014329" u="1"/>
        <s v="001-00015748" u="1"/>
        <s v="001-00009084" u="1"/>
        <s v="001-00010762" u="1"/>
        <s v="001-00015758" u="1"/>
        <s v="001-00009118" u="1"/>
        <s v="001-00009094" u="1"/>
        <s v="001-00010772" u="1"/>
        <s v="001-00014349" u="1"/>
        <s v="001-00015768" u="1"/>
        <s v="001-00009128" u="1"/>
        <s v="001-00010806" u="1"/>
        <s v="001-00010782" u="1"/>
        <s v="001-00013801" u="1"/>
        <s v="001-00014359" u="1"/>
        <s v="001-00015778" u="1"/>
        <s v="001-00009138" u="1"/>
        <s v="001-00010816" u="1"/>
        <s v="001-00010792" u="1"/>
        <s v="001-00013811" u="1"/>
        <s v="001-00014369" u="1"/>
        <s v="001-00015788" u="1"/>
        <s v="001-00009148" u="1"/>
        <s v="001-00010826" u="1"/>
        <s v="001-00012402" u="1"/>
        <s v="001-00013821" u="1"/>
        <s v="001-00014379" u="1"/>
        <s v="001-00015798" u="1"/>
        <s v="001-00009158" u="1"/>
        <s v="001-00010836" u="1"/>
        <s v="001-00012412" u="1"/>
        <s v="001-00013831" u="1"/>
        <s v="001-00014389" u="1"/>
        <s v="001-00009168" u="1"/>
        <s v="001-00010846" u="1"/>
        <s v="001-00012422" u="1"/>
        <s v="001-00013841" u="1"/>
        <s v="001-00014399" u="1"/>
        <s v="001-00009178" u="1"/>
        <s v="001-00010856" u="1"/>
        <s v="001-00011013" u="1"/>
        <s v="001-00012432" u="1"/>
        <s v="001-00013851" u="1"/>
        <s v="001-00016009" u="1"/>
        <s v="001-00010866" u="1"/>
        <s v="001-00011023" u="1"/>
        <s v="001-00012442" u="1"/>
        <s v="001-00013861" u="1"/>
        <s v="001-00016019" u="1"/>
        <s v="001-00009198" u="1"/>
        <s v="001-00010876" u="1"/>
        <s v="001-00011033" u="1"/>
        <s v="001-00012452" u="1"/>
        <s v="001-00013871" u="1"/>
        <s v="001-00016029" u="1"/>
        <s v="001-00010886" u="1"/>
        <s v="001-00011043" u="1"/>
        <s v="001-00012462" u="1"/>
        <s v="001-00013881" u="1"/>
        <s v="001-00008660" u="1"/>
        <s v="001-00010896" u="1"/>
        <s v="001-00013915" u="1"/>
        <s v="001-00012472" u="1"/>
        <s v="001-00013891" u="1"/>
        <s v="001-00016049" u="1"/>
        <s v="001-00012506" u="1"/>
        <s v="001-00013925" u="1"/>
        <s v="001-00012482" u="1"/>
        <s v="001-00015501" u="1"/>
        <s v="001-00016059" u="1"/>
        <s v="001-00012516" u="1"/>
        <s v="001-00011073" u="1"/>
        <s v="001-00012492" u="1"/>
        <s v="001-00015511" u="1"/>
        <s v="001-00016069" u="1"/>
        <s v="001-00011107" u="1"/>
        <s v="001-00012526" u="1"/>
        <s v="001-00013945" u="1"/>
        <s v="001-00011083" u="1"/>
        <s v="001-00014102" u="1"/>
        <s v="001-00015521" u="1"/>
        <s v="001-00016079" u="1"/>
        <s v="001-00011117" u="1"/>
        <s v="001-00012536" u="1"/>
        <s v="001-00013955" u="1"/>
        <s v="001-00011093" u="1"/>
        <s v="001-00015531" u="1"/>
        <s v="001-00016089" u="1"/>
        <s v="001-00011127" u="1"/>
        <s v="001-00012546" u="1"/>
        <s v="001-00014122" u="1"/>
        <s v="001-00015541" u="1"/>
        <s v="001-00012556" u="1"/>
        <s v="001-00013975" u="1"/>
        <s v="001-00014132" u="1"/>
        <s v="001-00015551" u="1"/>
        <s v="001-00012566" u="1"/>
        <s v="001-00013985" u="1"/>
        <s v="001-00014142" u="1"/>
        <s v="001-00011157" u="1"/>
        <s v="001-00012576" u="1"/>
        <s v="001-00013995" u="1"/>
        <s v="001-00011167" u="1"/>
        <s v="001-00012586" u="1"/>
        <s v="001-00015605" u="1"/>
        <s v="001-00014162" u="1"/>
        <s v="001-00015581" u="1"/>
        <s v="001-00011177" u="1"/>
        <s v="001-00012596" u="1"/>
        <s v="001-00014172" u="1"/>
        <s v="001-00015591" u="1"/>
        <s v="001-00011187" u="1"/>
        <s v="001-00014206" u="1"/>
        <s v="001-00015625" u="1"/>
        <s v="001-00014182" u="1"/>
        <s v="001-00014216" u="1"/>
        <s v="001-00015635" u="1"/>
        <s v="001-00014192" u="1"/>
        <s v="001-00014226" u="1"/>
        <s v="001-00015645" u="1"/>
        <s v="001-00014236" u="1"/>
        <s v="001-00015655" u="1"/>
        <s v="001-00009015" u="1"/>
        <s v="001-00014246" u="1"/>
        <s v="001-00015665" u="1"/>
        <s v="001-00009025" u="1"/>
        <s v="001-00010703" u="1"/>
        <s v="001-00014256" u="1"/>
        <s v="001-00015675" u="1"/>
        <s v="001-00009035" u="1"/>
        <s v="001-00010713" u="1"/>
        <s v="001-00015709" u="1"/>
        <s v="001-00008888" u="1"/>
        <s v="001-00015719" u="1"/>
        <s v="001-00014276" u="1"/>
        <s v="001-00015695" u="1"/>
        <s v="001-00009055" u="1"/>
        <s v="001-00010733" u="1"/>
        <s v="001-00015729" u="1"/>
        <s v="001-00009065" u="1"/>
        <s v="001-00010743" u="1"/>
        <s v="001-00014296" u="1"/>
        <s v="001-00010753" u="1"/>
        <s v="001-00015749" u="1"/>
        <s v="001-00009109" u="1"/>
        <s v="001-00009085" u="1"/>
        <s v="001-00010763" u="1"/>
        <s v="001-00015759" u="1"/>
        <s v="001-00009119" u="1"/>
        <s v="001-00009095" u="1"/>
        <s v="001-00010773" u="1"/>
        <s v="001-00015769" u="1"/>
        <s v="001-00009129" u="1"/>
        <s v="001-00010807" u="1"/>
        <s v="001-00010783" u="1"/>
        <s v="001-00013802" u="1"/>
        <s v="001-00015779" u="1"/>
        <s v="001-00009139" u="1"/>
        <s v="001-00010817" u="1"/>
        <s v="001-00010793" u="1"/>
        <s v="001-00013812" u="1"/>
        <s v="001-00015789" u="1"/>
        <s v="001-00009149" u="1"/>
        <s v="001-00010827" u="1"/>
        <s v="001-00013822" u="1"/>
        <s v="001-00015799" u="1"/>
        <s v="001-00009159" u="1"/>
        <s v="001-00010837" u="1"/>
        <s v="001-00012413" u="1"/>
        <s v="001-00013832" u="1"/>
        <s v="001-00009169" u="1"/>
        <s v="001-00010847" u="1"/>
        <s v="001-00011004" u="1"/>
        <s v="001-00013842" u="1"/>
        <s v="001-00009179" u="1"/>
        <s v="001-00010857" u="1"/>
        <s v="001-00011014" u="1"/>
        <s v="001-00009189" u="1"/>
        <s v="001-00010867" u="1"/>
        <s v="001-00011024" u="1"/>
        <s v="001-00012443" u="1"/>
        <s v="001-00013862" u="1"/>
        <s v="001-00010877" u="1"/>
        <s v="001-00011034" u="1"/>
        <s v="001-00012453" u="1"/>
        <s v="001-00013872" u="1"/>
        <s v="001-00010887" u="1"/>
        <s v="001-00013906" u="1"/>
        <s v="001-00012463" u="1"/>
        <s v="001-00013882" u="1"/>
        <s v="001-00010897" u="1"/>
        <s v="001-00013916" u="1"/>
        <s v="001-00012473" u="1"/>
        <s v="001-00012507" u="1"/>
        <s v="001-00013926" u="1"/>
        <s v="001-00011064" u="1"/>
        <s v="001-00012483" u="1"/>
        <s v="001-00015502" u="1"/>
        <s v="001-00012517" u="1"/>
        <s v="001-00013936" u="1"/>
        <s v="001-00012493" u="1"/>
        <s v="001-00011084" u="1"/>
        <s v="001-00014103" u="1"/>
        <s v="001-00015522" u="1"/>
        <s v="001-00012537" u="1"/>
        <s v="001-00011094" u="1"/>
        <s v="001-00014113" u="1"/>
        <s v="001-00015532" u="1"/>
        <s v="001-00011128" u="1"/>
        <s v="001-00014123" u="1"/>
        <s v="001-00015542" u="1"/>
        <s v="001-00011138" u="1"/>
        <s v="001-00012557" u="1"/>
        <s v="001-00013976" u="1"/>
        <s v="001-00014133" u="1"/>
        <s v="001-00011148" u="1"/>
        <s v="001-00012567" u="1"/>
        <s v="001-00014143" u="1"/>
        <s v="001-00010600" u="1"/>
        <s v="001-00011158" u="1"/>
        <s v="001-00012577" u="1"/>
        <s v="001-00013996" u="1"/>
        <s v="001-00014153" u="1"/>
        <s v="001-00015572" u="1"/>
        <s v="001-00010610" u="1"/>
        <s v="001-00011168" u="1"/>
        <s v="001-00012587" u="1"/>
        <s v="001-00015606" u="1"/>
        <s v="001-00014163" u="1"/>
        <s v="001-00015582" u="1"/>
        <s v="001-00010620" u="1"/>
        <s v="001-00011178" u="1"/>
        <s v="001-00012597" u="1"/>
        <s v="001-00015616" u="1"/>
        <s v="001-00014173" u="1"/>
        <s v="001-00010630" u="1"/>
        <s v="001-00011188" u="1"/>
        <s v="001-00014207" u="1"/>
        <s v="001-00015626" u="1"/>
        <s v="001-00010640" u="1"/>
        <s v="001-00011198" u="1"/>
        <s v="001-00014217" u="1"/>
        <s v="001-00015636" u="1"/>
        <s v="001-00010650" u="1"/>
        <s v="001-00014227" u="1"/>
        <s v="001-00014237" u="1"/>
        <s v="001-00015656" u="1"/>
        <s v="001-00009016" u="1"/>
        <s v="001-00010670" u="1"/>
        <s v="001-00015666" u="1"/>
        <s v="001-00009026" u="1"/>
        <s v="001-00010704" u="1"/>
        <s v="001-00008879" u="1"/>
        <s v="001-00010680" u="1"/>
        <s v="001-00014257" u="1"/>
        <s v="001-00015676" u="1"/>
        <s v="001-00010690" u="1"/>
        <s v="001-00014267" u="1"/>
        <s v="001-00015686" u="1"/>
        <s v="001-00010724" u="1"/>
        <s v="001-00008899" u="1"/>
        <s v="001-00012300" u="1"/>
        <s v="001-00014277" u="1"/>
        <s v="001-00015696" u="1"/>
        <s v="001-00009056" u="1"/>
        <s v="001-00010734" u="1"/>
        <s v="001-00012310" u="1"/>
        <s v="001-00014287" u="1"/>
        <s v="001-00014297" u="1"/>
        <s v="001-00009076" u="1"/>
        <s v="001-00010754" u="1"/>
        <s v="001-00009086" u="1"/>
        <s v="001-00010764" u="1"/>
        <s v="001-00012340" u="1"/>
        <s v="001-00009096" u="1"/>
        <s v="001-00010774" u="1"/>
        <s v="001-00010808" u="1"/>
        <s v="001-00012350" u="1"/>
        <s v="001-00010784" u="1"/>
        <s v="001-00013803" u="1"/>
        <s v="001-00010818" u="1"/>
        <s v="001-00012360" u="1"/>
        <s v="001-00010794" u="1"/>
        <s v="001-00010828" u="1"/>
        <s v="001-00012370" u="1"/>
        <s v="001-00012404" u="1"/>
        <s v="001-00013823" u="1"/>
        <s v="001-00012380" u="1"/>
        <s v="001-00012414" u="1"/>
        <s v="001-00013833" u="1"/>
        <s v="001-00010848" u="1"/>
        <s v="001-00012390" u="1"/>
        <s v="001-00011005" u="1"/>
        <s v="001-00013843" u="1"/>
        <s v="001-00010858" u="1"/>
        <s v="001-00014000" u="1"/>
        <s v="001-00011015" u="1"/>
        <s v="001-00012434" u="1"/>
        <s v="001-00013853" u="1"/>
        <s v="001-00010868" u="1"/>
        <s v="001-00014010" u="1"/>
        <s v="001-00011025" u="1"/>
        <s v="001-00012444" u="1"/>
        <s v="001-00013863" u="1"/>
        <s v="001-00010878" u="1"/>
        <s v="001-00013873" u="1"/>
        <s v="001-00010888" u="1"/>
        <s v="001-00013907" u="1"/>
        <s v="001-00014030" u="1"/>
        <s v="001-00011045" u="1"/>
        <s v="001-00012464" u="1"/>
        <s v="001-00013883" u="1"/>
        <s v="001-00010898" u="1"/>
        <s v="001-00014040" u="1"/>
        <s v="001-00011055" u="1"/>
        <s v="001-00012474" u="1"/>
        <s v="001-00013893" u="1"/>
        <s v="001-00013927" u="1"/>
        <s v="001-00014050" u="1"/>
        <s v="001-00011065" u="1"/>
        <s v="001-00012484" u="1"/>
        <s v="001-00015503" u="1"/>
        <s v="001-00012518" u="1"/>
        <s v="001-00013937" u="1"/>
        <s v="001-00014060" u="1"/>
        <s v="001-00011075" u="1"/>
        <s v="001-00012494" u="1"/>
        <s v="001-00015513" u="1"/>
        <s v="001-00011109" u="1"/>
        <s v="001-00013947" u="1"/>
        <s v="001-00014070" u="1"/>
        <s v="001-00014104" u="1"/>
        <s v="001-00011119" u="1"/>
        <s v="001-00012538" u="1"/>
        <s v="001-00013957" u="1"/>
        <s v="001-00014080" u="1"/>
        <s v="001-00011095" u="1"/>
        <s v="001-00014114" u="1"/>
        <s v="001-00015533" u="1"/>
        <s v="001-00012548" u="1"/>
        <s v="001-00013967" u="1"/>
        <s v="001-00014090" u="1"/>
        <s v="001-00014124" u="1"/>
        <s v="001-00015543" u="1"/>
        <s v="001-00011139" u="1"/>
        <s v="001-00013977" u="1"/>
        <s v="001-00014134" u="1"/>
        <s v="001-00015553" u="1"/>
        <s v="001-00011149" u="1"/>
        <s v="001-00013987" u="1"/>
        <s v="001-00014144" u="1"/>
        <s v="001-00015563" u="1"/>
        <s v="001-00010601" u="1"/>
        <s v="001-00012578" u="1"/>
        <s v="001-00013997" u="1"/>
        <s v="001-00014154" u="1"/>
        <s v="001-00015573" u="1"/>
        <s v="001-00011169" u="1"/>
        <s v="001-00015607" u="1"/>
        <s v="001-00010621" u="1"/>
        <s v="001-00011179" u="1"/>
        <s v="001-00015617" u="1"/>
        <s v="001-00014174" u="1"/>
        <s v="001-00010631" u="1"/>
        <s v="001-00011189" u="1"/>
        <s v="001-00014208" u="1"/>
        <s v="001-00015627" u="1"/>
        <s v="001-00014184" u="1"/>
        <s v="001-00010641" u="1"/>
        <s v="001-00011199" u="1"/>
        <s v="001-00014218" u="1"/>
        <s v="001-00015637" u="1"/>
        <s v="001-00014194" u="1"/>
        <s v="001-00010651" u="1"/>
        <s v="001-00014228" u="1"/>
        <s v="001-00010661" u="1"/>
        <s v="001-00014238" u="1"/>
        <s v="001-00015657" u="1"/>
        <s v="001-00009017" u="1"/>
        <s v="001-00010671" u="1"/>
        <s v="001-00014248" u="1"/>
        <s v="001-00015667" u="1"/>
        <s v="001-00010705" u="1"/>
        <s v="001-00010681" u="1"/>
        <s v="001-00013700" u="1"/>
        <s v="001-00014258" u="1"/>
        <s v="001-00010715" u="1"/>
        <s v="001-00010691" u="1"/>
        <s v="001-00013710" u="1"/>
        <s v="001-00014268" u="1"/>
        <s v="001-00009047" u="1"/>
        <s v="001-00012301" u="1"/>
        <s v="001-00013720" u="1"/>
        <s v="001-00014278" u="1"/>
        <s v="001-00015697" u="1"/>
        <s v="001-00009057" u="1"/>
        <s v="001-00010735" u="1"/>
        <s v="001-00012311" u="1"/>
        <s v="001-00013730" u="1"/>
        <s v="001-00014288" u="1"/>
        <s v="001-00009067" u="1"/>
        <s v="001-00010745" u="1"/>
        <s v="001-00012321" u="1"/>
        <s v="001-00013740" u="1"/>
        <s v="001-00014298" u="1"/>
        <s v="001-00009077" u="1"/>
        <s v="001-00010755" u="1"/>
        <s v="001-00012331" u="1"/>
        <s v="001-00013750" u="1"/>
        <s v="001-00009087" u="1"/>
        <s v="001-00010765" u="1"/>
        <s v="001-00012341" u="1"/>
        <s v="001-00013760" u="1"/>
        <s v="001-00010775" u="1"/>
        <s v="001-00010809" u="1"/>
        <s v="001-00012351" u="1"/>
        <s v="001-00013770" u="1"/>
        <s v="001-00010785" u="1"/>
        <s v="001-00013804" u="1"/>
        <s v="001-00010819" u="1"/>
        <s v="001-00012361" u="1"/>
        <s v="001-00013780" u="1"/>
        <s v="001-00010829" u="1"/>
        <s v="001-00012371" u="1"/>
        <s v="001-00013790" u="1"/>
        <s v="001-00012405" u="1"/>
        <s v="001-00013824" u="1"/>
        <s v="001-00010839" u="1"/>
        <s v="001-00012381" u="1"/>
        <s v="001-00015400" u="1"/>
        <s v="001-00012415" u="1"/>
        <s v="001-00010849" u="1"/>
        <s v="001-00012391" u="1"/>
        <s v="001-00011006" u="1"/>
        <s v="001-00012425" u="1"/>
        <s v="001-00013844" u="1"/>
        <s v="001-00010859" u="1"/>
        <s v="001-00014001" u="1"/>
        <s v="001-00015420" u="1"/>
        <s v="001-00013854" u="1"/>
        <s v="001-00010869" u="1"/>
        <s v="001-00014011" u="1"/>
        <s v="001-00015430" u="1"/>
        <s v="001-00011026" u="1"/>
        <s v="001-00012445" u="1"/>
        <s v="001-00013864" u="1"/>
        <s v="001-00010879" u="1"/>
        <s v="001-00014021" u="1"/>
        <s v="001-00015440" u="1"/>
        <s v="001-00011036" u="1"/>
        <s v="001-00013874" u="1"/>
        <s v="001-00010889" u="1"/>
        <s v="001-00013908" u="1"/>
        <s v="001-00014031" u="1"/>
        <s v="001-00015450" u="1"/>
        <s v="001-00011046" u="1"/>
        <s v="001-00012465" u="1"/>
        <s v="001-00013918" u="1"/>
        <s v="001-00014041" u="1"/>
        <s v="001-00015460" u="1"/>
        <s v="001-00011056" u="1"/>
        <s v="001-00012475" u="1"/>
        <s v="001-00013894" u="1"/>
        <s v="001-00012509" u="1"/>
        <s v="001-00014051" u="1"/>
        <s v="001-00015470" u="1"/>
        <s v="001-00011066" u="1"/>
        <s v="001-00012485" u="1"/>
        <s v="001-00012519" u="1"/>
        <s v="001-00014061" u="1"/>
        <s v="001-00015480" u="1"/>
        <s v="001-00011076" u="1"/>
        <s v="001-00012495" u="1"/>
        <s v="001-00015514" u="1"/>
        <s v="001-00012529" u="1"/>
        <s v="001-00013948" u="1"/>
        <s v="001-00014071" u="1"/>
        <s v="001-00015490" u="1"/>
        <s v="001-00011086" u="1"/>
        <s v="001-00014105" u="1"/>
        <s v="001-00015524" u="1"/>
        <s v="001-00013958" u="1"/>
        <s v="001-00014081" u="1"/>
        <s v="001-00011096" u="1"/>
        <s v="001-00014115" u="1"/>
        <s v="001-00015534" u="1"/>
        <s v="001-00012549" u="1"/>
        <s v="001-00014091" u="1"/>
        <s v="001-00014125" u="1"/>
        <s v="001-00015544" u="1"/>
        <s v="001-00012559" u="1"/>
        <s v="001-00013978" u="1"/>
        <s v="001-00014135" u="1"/>
        <s v="001-00012569" u="1"/>
        <s v="001-00013988" u="1"/>
        <s v="001-00014145" u="1"/>
        <s v="001-00012579" u="1"/>
        <s v="001-00013998" u="1"/>
        <s v="001-00014155" u="1"/>
        <s v="001-00015574" u="1"/>
        <s v="001-00010612" u="1"/>
        <s v="001-00012589" u="1"/>
        <s v="001-00015608" u="1"/>
        <s v="001-00014165" u="1"/>
        <s v="001-00010622" u="1"/>
        <s v="001-00012599" u="1"/>
        <s v="001-00015618" u="1"/>
        <s v="001-00014175" u="1"/>
        <s v="001-00015594" u="1"/>
        <s v="001-00010632" u="1"/>
        <s v="001-00014209" u="1"/>
        <s v="001-00015628" u="1"/>
        <s v="001-00014185" u="1"/>
        <s v="001-00010642" u="1"/>
        <s v="001-00014219" u="1"/>
        <s v="001-00015638" u="1"/>
        <s v="001-00014195" u="1"/>
        <s v="001-00010652" u="1"/>
        <s v="001-00014229" u="1"/>
        <s v="001-00015648" u="1"/>
        <s v="001-00010662" u="1"/>
        <s v="001-00014239" u="1"/>
        <s v="001-00015658" u="1"/>
        <s v="001-00014249" u="1"/>
        <s v="001-00015668" u="1"/>
        <s v="001-00009028" u="1"/>
        <s v="001-00010706" u="1"/>
        <s v="001-00010682" u="1"/>
        <s v="001-00013701" u="1"/>
        <s v="001-00014259" u="1"/>
        <s v="001-00015678" u="1"/>
        <s v="001-00009038" u="1"/>
        <s v="001-00010716" u="1"/>
        <s v="001-00010692" u="1"/>
        <s v="001-00013711" u="1"/>
        <s v="001-00014269" u="1"/>
        <s v="001-00015688" u="1"/>
        <s v="001-00010726" u="1"/>
        <s v="001-00012302" u="1"/>
        <s v="001-00013721" u="1"/>
        <s v="001-00014279" u="1"/>
        <s v="001-00015698" u="1"/>
        <s v="001-00009058" u="1"/>
        <s v="001-00010736" u="1"/>
        <s v="001-00012312" u="1"/>
        <s v="001-00013731" u="1"/>
        <s v="001-00014289" u="1"/>
        <s v="001-00009068" u="1"/>
        <s v="001-00010746" u="1"/>
        <s v="001-00012322" u="1"/>
        <s v="001-00013741" u="1"/>
        <s v="001-00014299" u="1"/>
        <s v="CAR-00000006" u="1"/>
        <s v="001-00009078" u="1"/>
        <s v="001-00010756" u="1"/>
        <s v="001-00012332" u="1"/>
        <s v="001-00013751" u="1"/>
        <s v="001-00009088" u="1"/>
        <s v="001-00010766" u="1"/>
        <s v="001-00012342" u="1"/>
        <s v="001-00013761" u="1"/>
        <s v="001-00009098" u="1"/>
        <s v="001-00012352" u="1"/>
        <s v="001-00013771" u="1"/>
        <s v="001-00010786" u="1"/>
        <s v="001-00013805" u="1"/>
        <s v="001-00012362" u="1"/>
        <s v="001-00013781" u="1"/>
        <s v="001-00010796" u="1"/>
        <s v="001-00013815" u="1"/>
        <s v="001-00012372" u="1"/>
        <s v="001-00013791" u="1"/>
        <s v="001-00012406" u="1"/>
        <s v="001-00013825" u="1"/>
        <s v="001-00012382" u="1"/>
        <s v="001-00015401" u="1"/>
        <s v="001-00013835" u="1"/>
        <s v="001-00012392" u="1"/>
        <s v="001-00015411" u="1"/>
        <s v="001-00011007" u="1"/>
        <s v="001-00013845" u="1"/>
        <s v="001-00014002" u="1"/>
        <s v="001-00015421" u="1"/>
        <s v="001-00012436" u="1"/>
        <s v="001-00013855" u="1"/>
        <s v="001-00014012" u="1"/>
        <s v="001-00011027" u="1"/>
        <s v="001-00012446" u="1"/>
        <s v="001-00013865" u="1"/>
        <s v="001-00014022" u="1"/>
        <s v="001-00015441" u="1"/>
        <s v="001-00011037" u="1"/>
        <s v="001-00012456" u="1"/>
        <s v="001-00013909" u="1"/>
        <s v="001-00014032" u="1"/>
        <s v="001-00015451" u="1"/>
        <s v="001-00011047" u="1"/>
        <s v="001-00012466" u="1"/>
        <s v="001-00013885" u="1"/>
        <s v="001-00013919" u="1"/>
        <s v="001-00014042" u="1"/>
        <s v="001-00015461" u="1"/>
        <s v="001-00011057" u="1"/>
        <s v="001-00012476" u="1"/>
        <s v="001-00013895" u="1"/>
        <s v="001-00013929" u="1"/>
        <s v="001-00014052" u="1"/>
        <s v="001-00015471" u="1"/>
        <s v="001-00012486" u="1"/>
        <s v="001-00013939" u="1"/>
        <s v="001-00015481" u="1"/>
        <s v="001-00011077" u="1"/>
        <s v="001-00012496" u="1"/>
        <s v="001-00013949" u="1"/>
        <s v="001-00014072" u="1"/>
        <s v="001-00015491" u="1"/>
        <s v="001-00014106" u="1"/>
        <s v="001-00015525" u="1"/>
        <s v="001-00013959" u="1"/>
        <s v="001-00011097" u="1"/>
        <s v="001-00014116" u="1"/>
        <s v="001-00013969" u="1"/>
        <s v="001-00014092" u="1"/>
        <s v="001-00015545" u="1"/>
        <s v="001-00013979" u="1"/>
        <s v="001-00014136" u="1"/>
        <s v="001-00015555" u="1"/>
        <s v="001-00013989" u="1"/>
        <s v="001-00014146" u="1"/>
        <s v="001-00015565" u="1"/>
        <s v="001-00010603" u="1"/>
        <s v="001-00013999" u="1"/>
        <s v="001-00014156" u="1"/>
        <s v="001-00015575" u="1"/>
        <s v="001-00010613" u="1"/>
        <s v="001-00015609" u="1"/>
        <s v="001-00014166" u="1"/>
        <s v="001-00015585" u="1"/>
        <s v="001-00010623" u="1"/>
        <s v="001-00015619" u="1"/>
        <s v="001-00015595" u="1"/>
        <s v="001-00015629" u="1"/>
        <s v="001-00014186" u="1"/>
        <s v="001-00010643" u="1"/>
        <s v="001-00015639" u="1"/>
        <s v="001-00014196" u="1"/>
        <s v="001-00010653" u="1"/>
        <s v="001-00015649" u="1"/>
        <s v="001-00010663" u="1"/>
        <s v="001-00015659" u="1"/>
        <s v="001-00010673" u="1"/>
        <s v="001-00015669" u="1"/>
        <s v="001-00009029" u="1"/>
        <s v="001-00010707" u="1"/>
        <s v="001-00010683" u="1"/>
        <s v="001-00015679" u="1"/>
        <s v="001-00009900" u="1"/>
        <s v="001-00009039" u="1"/>
        <s v="001-00010717" u="1"/>
        <s v="001-00010693" u="1"/>
        <s v="001-00013712" u="1"/>
        <s v="001-00015689" u="1"/>
        <s v="001-00009910" u="1"/>
        <s v="001-00009049" u="1"/>
        <s v="001-00010727" u="1"/>
        <s v="001-00015699" u="1"/>
        <s v="001-00008501" u="1"/>
        <s v="001-00009920" u="1"/>
        <s v="001-00009059" u="1"/>
        <s v="001-00010737" u="1"/>
        <s v="001-00012313" u="1"/>
        <s v="001-00013732" u="1"/>
        <s v="001-00009930" u="1"/>
        <s v="001-00009069" u="1"/>
        <s v="001-00010747" u="1"/>
        <s v="001-00013742" u="1"/>
        <s v="001-00009940" u="1"/>
        <s v="001-00009079" u="1"/>
        <s v="001-00010757" u="1"/>
        <s v="001-00012333" u="1"/>
        <s v="001-00013752" u="1"/>
        <s v="001-00009950" u="1"/>
        <s v="001-00010767" u="1"/>
        <s v="001-00012343" u="1"/>
        <s v="001-00013762" u="1"/>
        <s v="001-00009960" u="1"/>
        <s v="001-00009099" u="1"/>
        <s v="001-00010777" u="1"/>
        <s v="001-00012353" u="1"/>
        <s v="001-00013772" u="1"/>
        <s v="001-00009970" u="1"/>
        <s v="001-00010787" u="1"/>
        <s v="001-00013806" u="1"/>
        <s v="001-00012363" u="1"/>
        <s v="001-00013782" u="1"/>
        <s v="001-00010797" u="1"/>
        <s v="001-00013816" u="1"/>
        <s v="001-00012373" u="1"/>
        <s v="001-00013792" u="1"/>
        <s v="001-00009990" u="1"/>
        <s v="001-00013826" u="1"/>
        <s v="001-00012383" u="1"/>
        <s v="001-00015402" u="1"/>
        <s v="001-00013836" u="1"/>
        <s v="001-00012393" u="1"/>
        <s v="001-00015412" u="1"/>
        <s v="001-00011008" u="1"/>
        <s v="001-00013846" u="1"/>
        <s v="001-00014003" u="1"/>
        <s v="001-00015422" u="1"/>
        <s v="001-00011018" u="1"/>
        <s v="001-00013856" u="1"/>
        <s v="001-00015432" u="1"/>
        <s v="001-00011028" u="1"/>
        <s v="001-00012447" u="1"/>
        <s v="001-00013866" u="1"/>
        <s v="001-00014023" u="1"/>
        <s v="001-00015442" u="1"/>
        <s v="001-00011038" u="1"/>
        <s v="001-00012457" u="1"/>
        <s v="001-00014033" u="1"/>
        <s v="001-00015452" u="1"/>
        <s v="001-00011048" u="1"/>
        <s v="001-00012467" u="1"/>
        <s v="001-00013886" u="1"/>
        <s v="001-00014043" u="1"/>
        <s v="001-00015462" u="1"/>
        <s v="001-00010500" u="1"/>
        <s v="001-00011058" u="1"/>
        <s v="001-00012477" u="1"/>
        <s v="001-00014053" u="1"/>
        <s v="001-00015472" u="1"/>
        <s v="001-00010510" u="1"/>
        <s v="001-00011068" u="1"/>
        <s v="001-00012487" u="1"/>
        <s v="001-00015506" u="1"/>
        <s v="001-00014063" u="1"/>
        <s v="001-00015482" u="1"/>
        <s v="001-00010520" u="1"/>
        <s v="001-00011078" u="1"/>
        <s v="001-00012497" u="1"/>
        <s v="001-00015516" u="1"/>
        <s v="001-00014073" u="1"/>
        <s v="001-00015492" u="1"/>
        <s v="001-00010530" u="1"/>
        <s v="001-00011088" u="1"/>
        <s v="001-00014107" u="1"/>
        <s v="001-00015526" u="1"/>
        <s v="001-00014083" u="1"/>
        <s v="001-00010540" u="1"/>
        <s v="001-00011098" u="1"/>
        <s v="001-00014117" u="1"/>
        <s v="001-00015536" u="1"/>
        <s v="001-00014093" u="1"/>
        <s v="001-00014127" u="1"/>
        <s v="001-00015546" u="1"/>
        <s v="001-00010560" u="1"/>
        <s v="001-00014137" u="1"/>
        <s v="001-00015556" u="1"/>
        <s v="001-00014147" u="1"/>
        <s v="001-00015566" u="1"/>
        <s v="001-00010604" u="1"/>
        <s v="001-00010580" u="1"/>
        <s v="001-00014157" u="1"/>
        <s v="001-00015576" u="1"/>
        <s v="001-00010614" u="1"/>
        <s v="001-00010590" u="1"/>
        <s v="001-00015586" u="1"/>
        <s v="001-00012200" u="1"/>
        <s v="001-00014177" u="1"/>
        <s v="001-00010634" u="1"/>
        <s v="001-00012210" u="1"/>
        <s v="001-00014187" u="1"/>
        <s v="001-00010644" u="1"/>
        <s v="001-00012220" u="1"/>
        <s v="001-00014197" u="1"/>
        <s v="001-00010654" u="1"/>
        <s v="001-00012230" u="1"/>
        <s v="001-00010674" u="1"/>
        <s v="001-00010708" u="1"/>
        <s v="001-00012250" u="1"/>
        <s v="001-00010684" u="1"/>
        <s v="001-00013703" u="1"/>
        <s v="001-00009901" u="1"/>
        <s v="001-00010718" u="1"/>
        <s v="001-00012260" u="1"/>
        <s v="001-00010694" u="1"/>
        <s v="001-00013713" u="1"/>
        <s v="001-00009911" u="1"/>
        <s v="001-00010728" u="1"/>
        <s v="001-00012270" u="1"/>
        <s v="001-00012304" u="1"/>
        <s v="001-00013723" u="1"/>
        <s v="001-00009921" u="1"/>
        <s v="001-00010738" u="1"/>
        <s v="001-00012314" u="1"/>
        <s v="001-00013733" u="1"/>
        <s v="001-00009931" u="1"/>
        <s v="001-00010748" u="1"/>
        <s v="001-00012290" u="1"/>
        <s v="001-00012324" u="1"/>
        <s v="001-00013743" u="1"/>
        <s v="001-00009941" u="1"/>
        <s v="001-00010758" u="1"/>
        <s v="001-00013753" u="1"/>
        <s v="001-00009951" u="1"/>
        <s v="001-00012344" u="1"/>
        <s v="001-00013763" u="1"/>
        <s v="001-00010778" u="1"/>
        <s v="001-00012354" u="1"/>
        <s v="001-00013773" u="1"/>
        <s v="001-00009971" u="1"/>
        <s v="001-00013783" u="1"/>
        <s v="001-00009981" u="1"/>
        <s v="001-00010798" u="1"/>
        <s v="001-00013817" u="1"/>
        <s v="001-00012374" u="1"/>
        <s v="001-00013793" u="1"/>
        <s v="001-00009991" u="1"/>
        <s v="001-00012408" u="1"/>
        <s v="001-00013827" u="1"/>
        <s v="001-00012384" u="1"/>
        <s v="001-00015403" u="1"/>
        <s v="001-00012418" u="1"/>
        <s v="001-00013837" u="1"/>
        <s v="001-00012394" u="1"/>
        <s v="001-00015413" u="1"/>
        <s v="001-00011009" u="1"/>
        <s v="001-00012428" u="1"/>
        <s v="001-00013847" u="1"/>
        <s v="001-00011019" u="1"/>
        <s v="001-00012438" u="1"/>
        <s v="001-00013857" u="1"/>
        <s v="001-00015433" u="1"/>
        <s v="001-00011029" u="1"/>
        <s v="001-00012448" u="1"/>
        <s v="001-00013867" u="1"/>
        <s v="001-00014024" u="1"/>
        <s v="001-00015443" u="1"/>
        <s v="001-00011900" u="1"/>
        <s v="001-00011039" u="1"/>
        <s v="001-00012458" u="1"/>
        <s v="001-00013877" u="1"/>
        <s v="001-00014034" u="1"/>
        <s v="001-00015453" u="1"/>
        <s v="001-00011910" u="1"/>
        <s v="001-00011049" u="1"/>
        <s v="001-00012468" u="1"/>
        <s v="001-00013887" u="1"/>
        <s v="001-00010501" u="1"/>
        <s v="001-00011920" u="1"/>
        <s v="001-00011059" u="1"/>
        <s v="001-00012478" u="1"/>
        <s v="001-00013897" u="1"/>
        <s v="001-00014054" u="1"/>
        <s v="001-00015473" u="1"/>
        <s v="001-00010511" u="1"/>
        <s v="001-00011069" u="1"/>
        <s v="001-00012488" u="1"/>
        <s v="001-00015507" u="1"/>
        <s v="001-00014064" u="1"/>
        <s v="001-00015483" u="1"/>
        <s v="001-00010521" u="1"/>
        <s v="001-00011940" u="1"/>
        <s v="001-00011079" u="1"/>
        <s v="001-00012498" u="1"/>
        <s v="001-00015517" u="1"/>
        <s v="001-00014074" u="1"/>
        <s v="001-00015493" u="1"/>
        <s v="001-00010531" u="1"/>
        <s v="001-00011950" u="1"/>
        <s v="001-00011089" u="1"/>
        <s v="001-00014108" u="1"/>
        <s v="001-00015527" u="1"/>
        <s v="001-00014084" u="1"/>
        <s v="001-00010541" u="1"/>
        <s v="001-00011099" u="1"/>
        <s v="001-00015537" u="1"/>
        <s v="001-00010551" u="1"/>
        <s v="001-00011970" u="1"/>
        <s v="001-00014128" u="1"/>
        <s v="001-00015547" u="1"/>
        <s v="001-00010561" u="1"/>
        <s v="001-00014138" u="1"/>
        <s v="001-00015557" u="1"/>
        <s v="001-00010571" u="1"/>
        <s v="001-00011990" u="1"/>
        <s v="001-00014148" u="1"/>
        <s v="001-00015567" u="1"/>
        <s v="001-00010605" u="1"/>
        <s v="001-00010581" u="1"/>
        <s v="001-00013600" u="1"/>
        <s v="001-00014158" u="1"/>
        <s v="001-00015577" u="1"/>
        <s v="001-00010615" u="1"/>
        <s v="001-00010591" u="1"/>
        <s v="001-00013610" u="1"/>
        <s v="001-00014168" u="1"/>
        <s v="001-00010625" u="1"/>
        <s v="001-00012201" u="1"/>
        <s v="001-00013620" u="1"/>
        <s v="001-00014178" u="1"/>
        <s v="001-00013630" u="1"/>
        <s v="001-00014188" u="1"/>
        <s v="001-00010645" u="1"/>
        <s v="001-00012221" u="1"/>
        <s v="001-00013640" u="1"/>
        <s v="001-00014198" u="1"/>
        <s v="001-00010655" u="1"/>
        <s v="001-00012231" u="1"/>
        <s v="001-00013650" u="1"/>
        <s v="001-00010665" u="1"/>
        <s v="001-00012241" u="1"/>
        <s v="001-00013660" u="1"/>
        <s v="001-00010675" u="1"/>
        <s v="001-00010709" u="1"/>
        <s v="001-00012251" u="1"/>
        <s v="001-00013670" u="1"/>
        <s v="001-00010685" u="1"/>
        <s v="001-00013704" u="1"/>
        <s v="001-00010719" u="1"/>
        <s v="001-00012261" u="1"/>
        <s v="001-00013680" u="1"/>
        <s v="001-00013714" u="1"/>
        <s v="001-00010729" u="1"/>
        <s v="001-00012305" u="1"/>
        <s v="001-00009922" u="1"/>
        <s v="001-00012281" u="1"/>
        <s v="001-00015300" u="1"/>
        <s v="001-00009932" u="1"/>
        <s v="001-00010749" u="1"/>
        <s v="001-00012291" u="1"/>
        <s v="001-00015310" u="1"/>
        <s v="001-00012325" u="1"/>
        <s v="001-00013744" u="1"/>
        <s v="001-00009942" u="1"/>
        <s v="001-00015320" u="1"/>
        <s v="001-00012335" u="1"/>
        <s v="001-00013754" u="1"/>
        <s v="001-00009952" u="1"/>
        <s v="001-00010769" u="1"/>
        <s v="001-00015330" u="1"/>
        <s v="001-00012345" u="1"/>
        <s v="001-00009962" u="1"/>
        <s v="001-00010779" u="1"/>
        <s v="001-00015340" u="1"/>
        <s v="001-00012355" u="1"/>
        <s v="001-00013774" u="1"/>
        <s v="001-00009972" u="1"/>
        <s v="001-00010789" u="1"/>
        <s v="001-00015350" u="1"/>
        <s v="001-00012365" u="1"/>
        <s v="001-00013784" u="1"/>
        <s v="001-00009982" u="1"/>
        <s v="001-00013818" u="1"/>
        <s v="001-00015360" u="1"/>
        <s v="001-00012375" u="1"/>
        <s v="001-00013794" u="1"/>
        <s v="001-00009992" u="1"/>
        <s v="001-00012409" u="1"/>
        <s v="001-00013828" u="1"/>
        <s v="001-00015370" u="1"/>
        <s v="001-00012385" u="1"/>
        <s v="001-00015404" u="1"/>
        <s v="001-00012419" u="1"/>
        <s v="001-00013838" u="1"/>
        <s v="001-00015380" u="1"/>
        <s v="001-00012395" u="1"/>
        <s v="001-00015414" u="1"/>
        <s v="001-00012429" u="1"/>
        <s v="001-00013848" u="1"/>
        <s v="001-00015390" u="1"/>
        <s v="001-00014005" u="1"/>
        <s v="001-00015424" u="1"/>
        <s v="001-00012439" u="1"/>
        <s v="001-00013858" u="1"/>
        <s v="001-00014015" u="1"/>
        <s v="001-00015434" u="1"/>
        <s v="001-00012449" u="1"/>
        <s v="001-00014025" u="1"/>
        <s v="001-00015444" u="1"/>
        <s v="001-00011901" u="1"/>
        <s v="001-00012459" u="1"/>
        <s v="001-00013878" u="1"/>
        <s v="001-00014035" u="1"/>
        <s v="001-00011911" u="1"/>
        <s v="001-00012469" u="1"/>
        <s v="001-00013888" u="1"/>
        <s v="001-00015464" u="1"/>
        <s v="001-00010502" u="1"/>
        <s v="001-00011921" u="1"/>
        <s v="001-00012479" u="1"/>
        <s v="001-00013898" u="1"/>
        <s v="001-00014055" u="1"/>
        <s v="001-00015474" u="1"/>
        <s v="001-00010512" u="1"/>
        <s v="001-00011931" u="1"/>
        <s v="001-00012489" u="1"/>
        <s v="001-00015508" u="1"/>
        <s v="001-00014065" u="1"/>
        <s v="001-00015484" u="1"/>
        <s v="001-00011941" u="1"/>
        <s v="001-00012499" u="1"/>
        <s v="001-00015518" u="1"/>
        <s v="001-00014075" u="1"/>
        <s v="001-00015494" u="1"/>
        <s v="001-00011951" u="1"/>
        <s v="001-00015528" u="1"/>
        <s v="001-00014085" u="1"/>
        <s v="001-00011961" u="1"/>
        <s v="001-00014119" u="1"/>
        <s v="001-00015538" u="1"/>
        <s v="001-00014095" u="1"/>
        <s v="001-00010552" u="1"/>
        <s v="001-00011971" u="1"/>
        <s v="001-00014129" u="1"/>
        <s v="001-00015548" u="1"/>
        <s v="001-00010562" u="1"/>
        <s v="001-00014139" u="1"/>
        <s v="001-00015558" u="1"/>
        <s v="001-00010572" u="1"/>
        <s v="001-00011991" u="1"/>
        <s v="001-00014149" u="1"/>
        <s v="001-00010606" u="1"/>
        <s v="001-00010582" u="1"/>
        <s v="001-00014159" u="1"/>
        <s v="001-00015578" u="1"/>
        <s v="001-00010616" u="1"/>
        <s v="001-00013611" u="1"/>
        <s v="001-00014169" u="1"/>
        <s v="001-00015588" u="1"/>
        <s v="001-00012202" u="1"/>
        <s v="001-00013621" u="1"/>
        <s v="001-00014179" u="1"/>
        <s v="001-00015598" u="1"/>
        <s v="001-00010636" u="1"/>
        <s v="001-00013631" u="1"/>
        <s v="001-00014189" u="1"/>
        <s v="001-00010646" u="1"/>
        <s v="001-00012222" u="1"/>
        <s v="001-00013641" u="1"/>
        <s v="001-00014199" u="1"/>
        <s v="001-00010656" u="1"/>
        <s v="001-00012242" u="1"/>
        <s v="001-00013661" u="1"/>
        <s v="001-00013671" u="1"/>
        <s v="001-00010686" u="1"/>
        <s v="001-00013705" u="1"/>
        <s v="001-00009903" u="1"/>
        <s v="001-00012262" u="1"/>
        <s v="001-00013681" u="1"/>
        <s v="001-00010696" u="1"/>
        <s v="001-00013715" u="1"/>
        <s v="001-00009913" u="1"/>
        <s v="001-00012272" u="1"/>
        <s v="001-00013691" u="1"/>
        <s v="001-00012306" u="1"/>
        <s v="001-00013725" u="1"/>
        <s v="001-00009923" u="1"/>
        <s v="001-00012282" u="1"/>
        <s v="001-00015301" u="1"/>
        <s v="001-00012316" u="1"/>
        <s v="001-00013735" u="1"/>
        <s v="001-00009933" u="1"/>
        <s v="001-00015311" u="1"/>
        <s v="001-00012326" u="1"/>
        <s v="001-00013745" u="1"/>
        <s v="001-00009943" u="1"/>
        <s v="001-00015321" u="1"/>
        <s v="001-00012336" u="1"/>
        <s v="001-00009953" u="1"/>
        <s v="001-00015331" u="1"/>
        <s v="001-00009963" u="1"/>
        <s v="001-00015341" u="1"/>
        <s v="001-00012356" u="1"/>
        <s v="001-00013775" u="1"/>
        <s v="001-00009973" u="1"/>
        <s v="001-00013809" u="1"/>
        <s v="001-00015351" u="1"/>
        <s v="001-00009983" u="1"/>
        <s v="001-00013819" u="1"/>
        <s v="001-00015361" u="1"/>
        <s v="001-00013795" u="1"/>
        <s v="001-00013829" u="1"/>
        <s v="001-00015371" u="1"/>
        <s v="001-00012386" u="1"/>
        <s v="001-00015405" u="1"/>
        <s v="001-00013839" u="1"/>
        <s v="001-00015381" u="1"/>
        <s v="001-00012396" u="1"/>
        <s v="001-00015415" u="1"/>
        <s v="001-00013849" u="1"/>
        <s v="001-00015391" u="1"/>
        <s v="001-00014006" u="1"/>
        <s v="001-00015425" u="1"/>
        <s v="001-00013859" u="1"/>
        <s v="001-00014016" u="1"/>
        <s v="001-00015435" u="1"/>
        <s v="001-00013869" u="1"/>
        <s v="001-00014026" u="1"/>
        <s v="001-00015445" u="1"/>
        <s v="001-00011902" u="1"/>
        <s v="001-00013879" u="1"/>
        <s v="001-00014036" u="1"/>
        <s v="001-00015455" u="1"/>
        <s v="001-00011912" u="1"/>
        <s v="001-00013889" u="1"/>
        <s v="001-00014046" u="1"/>
        <s v="001-00015465" u="1"/>
        <s v="001-00010503" u="1"/>
        <s v="001-00013899" u="1"/>
        <s v="001-00014056" u="1"/>
        <s v="001-00015475" u="1"/>
        <s v="001-00010513" u="1"/>
        <s v="001-00011932" u="1"/>
        <s v="001-00015509" u="1"/>
        <s v="001-00014066" u="1"/>
        <s v="001-00015485" u="1"/>
        <s v="001-00010523" u="1"/>
        <s v="001-00011942" u="1"/>
        <s v="001-00015519" u="1"/>
        <s v="001-00014076" u="1"/>
        <s v="001-00015495" u="1"/>
        <s v="001-00010533" u="1"/>
        <s v="001-00015529" u="1"/>
        <s v="001-00014086" u="1"/>
        <s v="001-00010543" u="1"/>
        <s v="001-00011962" u="1"/>
        <s v="001-00015539" u="1"/>
        <s v="001-00014096" u="1"/>
        <s v="001-00010553" u="1"/>
        <s v="001-00015549" u="1"/>
        <s v="001-00010563" u="1"/>
        <s v="001-00011982" u="1"/>
        <s v="001-00011992" u="1"/>
        <s v="001-00015569" u="1"/>
        <s v="001-00009800" u="1"/>
        <s v="001-00010617" u="1"/>
        <s v="001-00015589" u="1"/>
        <s v="001-00009810" u="1"/>
        <s v="001-00012203" u="1"/>
        <s v="001-00013622" u="1"/>
        <s v="001-00015599" u="1"/>
        <s v="001-00009820" u="1"/>
        <s v="001-00010637" u="1"/>
        <s v="001-00013632" u="1"/>
        <s v="001-00009830" u="1"/>
        <s v="001-00010647" u="1"/>
        <s v="001-00012223" u="1"/>
        <s v="001-00010657" u="1"/>
        <s v="001-00012233" u="1"/>
        <s v="001-00013652" u="1"/>
        <s v="001-00009850" u="1"/>
        <s v="001-00010667" u="1"/>
        <s v="001-00012243" u="1"/>
        <s v="001-00009860" u="1"/>
        <s v="001-00010677" u="1"/>
        <s v="001-00012253" u="1"/>
        <s v="001-00013672" u="1"/>
        <s v="001-00009870" u="1"/>
        <s v="001-00013706" u="1"/>
        <s v="001-00012263" u="1"/>
        <s v="001-00009880" u="1"/>
        <s v="001-00010697" u="1"/>
        <s v="001-00013716" u="1"/>
        <s v="001-00012273" u="1"/>
        <s v="001-00013692" u="1"/>
        <s v="001-00009890" u="1"/>
        <s v="001-00012307" u="1"/>
        <s v="001-00013726" u="1"/>
        <s v="001-00009924" u="1"/>
        <s v="001-00012283" u="1"/>
        <s v="001-00015302" u="1"/>
        <s v="001-00012317" u="1"/>
        <s v="001-00013736" u="1"/>
        <s v="001-00015312" u="1"/>
        <s v="001-00012327" u="1"/>
        <s v="001-00013746" u="1"/>
        <s v="001-00009944" u="1"/>
        <s v="001-00015322" u="1"/>
        <s v="001-00013756" u="1"/>
        <s v="001-00009954" u="1"/>
        <s v="001-00015332" u="1"/>
        <s v="001-00012347" u="1"/>
        <s v="001-00013766" u="1"/>
        <s v="001-00015342" u="1"/>
        <s v="001-00012357" u="1"/>
        <s v="001-00013776" u="1"/>
        <s v="001-00009974" u="1"/>
        <s v="001-00015352" u="1"/>
        <s v="001-00012367" u="1"/>
        <s v="001-00013786" u="1"/>
        <s v="001-00009984" u="1"/>
        <s v="001-00015362" u="1"/>
        <s v="001-00010400" u="1"/>
        <s v="001-00012377" u="1"/>
        <s v="001-00009994" u="1"/>
        <s v="001-00010410" u="1"/>
        <s v="001-00012387" u="1"/>
        <s v="001-00015406" u="1"/>
        <s v="001-00015382" u="1"/>
        <s v="001-00010420" u="1"/>
        <s v="001-00012397" u="1"/>
        <s v="001-00015416" u="1"/>
        <s v="001-00015392" u="1"/>
        <s v="001-00010430" u="1"/>
        <s v="001-00015426" u="1"/>
        <s v="001-00010440" u="1"/>
        <s v="001-00014017" u="1"/>
        <s v="001-00015436" u="1"/>
        <s v="001-00010450" u="1"/>
        <s v="001-00014027" u="1"/>
        <s v="001-00015446" u="1"/>
        <s v="001-00011903" u="1"/>
        <s v="001-00008659" u="1"/>
        <s v="001-00010460" u="1"/>
        <s v="001-00014037" u="1"/>
        <s v="001-00015456" u="1"/>
        <s v="001-00011913" u="1"/>
        <s v="001-00010470" u="1"/>
        <s v="001-00014047" u="1"/>
        <s v="001-00015466" u="1"/>
        <s v="001-00010504" u="1"/>
        <s v="001-00011923" u="1"/>
        <s v="001-00010480" u="1"/>
        <s v="001-00015476" u="1"/>
        <s v="001-00010514" u="1"/>
        <s v="001-00011933" u="1"/>
        <s v="001-00010490" u="1"/>
        <s v="001-00014067" u="1"/>
        <s v="001-00015486" u="1"/>
        <s v="001-00010524" u="1"/>
        <s v="001-00011943" u="1"/>
        <s v="001-00012100" u="1"/>
        <s v="001-00014077" u="1"/>
        <s v="001-00015496" u="1"/>
        <s v="001-00010534" u="1"/>
        <s v="001-00011953" u="1"/>
        <s v="001-00012110" u="1"/>
        <s v="001-00014087" u="1"/>
        <s v="001-00010544" u="1"/>
        <s v="001-00011963" u="1"/>
        <s v="001-00012120" u="1"/>
        <s v="001-00014097" u="1"/>
        <s v="001-00010554" u="1"/>
        <s v="001-00011973" u="1"/>
        <s v="001-00012130" u="1"/>
        <s v="001-00010564" u="1"/>
        <s v="001-00012140" u="1"/>
        <s v="001-00010574" u="1"/>
        <s v="001-00010608" u="1"/>
        <s v="001-00012150" u="1"/>
        <s v="001-00013603" u="1"/>
        <s v="001-00009801" u="1"/>
        <s v="001-00010618" u="1"/>
        <s v="001-00012160" u="1"/>
        <s v="001-00010594" u="1"/>
        <s v="001-00013613" u="1"/>
        <s v="001-00009811" u="1"/>
        <s v="001-00010628" u="1"/>
        <s v="001-00012170" u="1"/>
        <s v="001-00012204" u="1"/>
        <s v="001-00013623" u="1"/>
        <s v="001-00009821" u="1"/>
        <s v="001-00010638" u="1"/>
        <s v="001-00012180" u="1"/>
        <s v="001-00012214" u="1"/>
        <s v="001-00013633" u="1"/>
        <s v="001-00009831" u="1"/>
        <s v="001-00010648" u="1"/>
        <s v="001-00012190" u="1"/>
        <s v="001-00012224" u="1"/>
        <s v="001-00013643" u="1"/>
        <s v="001-00009841" u="1"/>
        <s v="001-00010658" u="1"/>
        <s v="001-00012234" u="1"/>
        <s v="001-00013653" u="1"/>
        <s v="001-00009851" u="1"/>
        <s v="001-00010668" u="1"/>
        <s v="001-00012244" u="1"/>
        <s v="001-00013663" u="1"/>
        <s v="001-00010678" u="1"/>
        <s v="001-00012254" u="1"/>
        <s v="001-00013673" u="1"/>
        <s v="001-00009871" u="1"/>
        <s v="001-00010688" u="1"/>
        <s v="001-00009905" u="1"/>
        <s v="001-00012264" u="1"/>
        <s v="001-00013683" u="1"/>
        <s v="001-00009881" u="1"/>
        <s v="001-00013717" u="1"/>
        <s v="001-00009915" u="1"/>
        <s v="001-00012274" u="1"/>
        <s v="001-00013693" u="1"/>
        <s v="001-00009891" u="1"/>
        <s v="001-00012308" u="1"/>
        <s v="001-00013727" u="1"/>
        <s v="001-00015303" u="1"/>
        <s v="001-00013737" u="1"/>
        <s v="001-00009935" u="1"/>
        <s v="001-00012294" u="1"/>
        <s v="001-00015313" u="1"/>
        <s v="001-00012328" u="1"/>
        <s v="001-00013747" u="1"/>
        <s v="001-00009945" u="1"/>
        <s v="001-00012338" u="1"/>
        <s v="001-00013757" u="1"/>
        <s v="001-00009955" u="1"/>
        <s v="001-00015333" u="1"/>
        <s v="001-00009965" u="1"/>
        <s v="001-00015343" u="1"/>
        <s v="001-00011800" u="1"/>
        <s v="001-00012358" u="1"/>
        <s v="001-00009975" u="1"/>
        <s v="001-00015353" u="1"/>
        <s v="001-00011810" u="1"/>
        <s v="001-00012368" u="1"/>
        <s v="001-00013787" u="1"/>
        <s v="001-00015363" u="1"/>
        <s v="001-00010401" u="1"/>
        <s v="001-00011820" u="1"/>
        <s v="001-00012378" u="1"/>
        <s v="001-00013797" u="1"/>
        <s v="001-00009995" u="1"/>
        <s v="001-00015373" u="1"/>
        <s v="001-00010411" u="1"/>
        <s v="001-00015407" u="1"/>
        <s v="001-00015383" u="1"/>
        <s v="001-00010421" u="1"/>
        <s v="001-00011840" u="1"/>
        <s v="001-00012398" u="1"/>
        <s v="001-00015417" u="1"/>
        <s v="001-00015393" u="1"/>
        <s v="001-00010431" u="1"/>
        <s v="001-00011850" u="1"/>
        <s v="001-00014008" u="1"/>
        <s v="001-00015427" u="1"/>
        <s v="001-00010441" u="1"/>
        <s v="001-00011860" u="1"/>
        <s v="001-00015437" u="1"/>
        <s v="001-00010451" u="1"/>
        <s v="001-00011870" u="1"/>
        <s v="001-00014028" u="1"/>
        <s v="001-00015447" u="1"/>
        <s v="001-00010461" u="1"/>
        <s v="001-00011880" u="1"/>
        <s v="001-00014038" u="1"/>
        <s v="001-00015457" u="1"/>
        <s v="001-00011914" u="1"/>
        <s v="001-00010471" u="1"/>
        <s v="001-00011890" u="1"/>
        <s v="001-00014048" u="1"/>
        <s v="001-00015467" u="1"/>
        <s v="001-00010505" u="1"/>
        <s v="001-00011924" u="1"/>
        <s v="001-00013500" u="1"/>
        <s v="001-00014058" u="1"/>
        <s v="001-00010515" u="1"/>
        <s v="001-00011934" u="1"/>
        <s v="001-00010491" u="1"/>
        <s v="001-00013510" u="1"/>
        <s v="001-00015487" u="1"/>
        <s v="001-00010525" u="1"/>
        <s v="001-00011944" u="1"/>
        <s v="001-00013520" u="1"/>
        <s v="001-00010535" u="1"/>
        <s v="001-00011954" u="1"/>
        <s v="001-00012111" u="1"/>
        <s v="001-00013530" u="1"/>
        <s v="001-00014088" u="1"/>
        <s v="001-00010545" u="1"/>
        <s v="001-00012121" u="1"/>
        <s v="001-00013540" u="1"/>
        <s v="001-00014098" u="1"/>
        <s v="001-00010555" u="1"/>
        <s v="001-00011974" u="1"/>
        <s v="001-00013550" u="1"/>
        <s v="001-00010565" u="1"/>
        <s v="001-00011984" u="1"/>
        <s v="001-00012141" u="1"/>
        <s v="001-00011994" u="1"/>
        <s v="001-00010609" u="1"/>
        <s v="001-00012151" u="1"/>
        <s v="001-00010585" u="1"/>
        <s v="001-00013604" u="1"/>
        <s v="001-00010619" u="1"/>
        <s v="001-00012161" u="1"/>
        <s v="001-00013580" u="1"/>
        <s v="001-00010595" u="1"/>
        <s v="001-00013614" u="1"/>
        <s v="001-00009812" u="1"/>
        <s v="001-00010629" u="1"/>
        <s v="001-00012171" u="1"/>
        <s v="001-00013590" u="1"/>
        <s v="001-00012205" u="1"/>
        <s v="001-00013624" u="1"/>
        <s v="001-00012181" u="1"/>
        <s v="001-00015200" u="1"/>
        <s v="001-00012215" u="1"/>
        <s v="001-00013634" u="1"/>
        <s v="001-00009832" u="1"/>
        <s v="001-00010649" u="1"/>
        <s v="001-00012191" u="1"/>
        <s v="001-00012225" u="1"/>
        <s v="001-00013644" u="1"/>
        <s v="001-00009842" u="1"/>
        <s v="001-00010659" u="1"/>
        <s v="001-00015220" u="1"/>
        <s v="001-00012235" u="1"/>
        <s v="001-00013654" u="1"/>
        <s v="001-00009852" u="1"/>
        <s v="001-00010669" u="1"/>
        <s v="001-00015230" u="1"/>
        <s v="001-00012245" u="1"/>
        <s v="001-00013664" u="1"/>
        <s v="001-00009862" u="1"/>
        <s v="001-00010679" u="1"/>
        <s v="001-00015240" u="1"/>
        <s v="001-00012255" u="1"/>
        <s v="001-00013674" u="1"/>
        <s v="001-00009872" u="1"/>
        <s v="001-00010689" u="1"/>
        <s v="001-00013708" u="1"/>
        <s v="001-00009906" u="1"/>
        <s v="001-00013684" u="1"/>
        <s v="001-00009882" u="1"/>
        <s v="001-00010699" u="1"/>
        <s v="001-00013718" u="1"/>
        <s v="001-00015260" u="1"/>
        <s v="001-00009916" u="1"/>
        <s v="001-00012275" u="1"/>
        <s v="001-00009892" u="1"/>
        <s v="001-00015270" u="1"/>
        <s v="001-00015304" u="1"/>
        <s v="001-00012319" u="1"/>
        <s v="001-00013738" u="1"/>
        <s v="001-00015280" u="1"/>
        <s v="001-00009936" u="1"/>
        <s v="001-00012295" u="1"/>
        <s v="001-00015314" u="1"/>
        <s v="001-00012329" u="1"/>
        <s v="001-00013748" u="1"/>
        <s v="001-00015290" u="1"/>
        <s v="001-00009946" u="1"/>
        <s v="001-00015324" u="1"/>
        <s v="001-00012339" u="1"/>
        <s v="001-00013758" u="1"/>
        <s v="001-00015334" u="1"/>
        <s v="001-00012349" u="1"/>
        <s v="001-00013768" u="1"/>
        <s v="001-00009966" u="1"/>
        <s v="001-00012359" u="1"/>
        <s v="001-00013778" u="1"/>
        <s v="001-00009976" u="1"/>
        <s v="001-00015354" u="1"/>
        <s v="001-00011811" u="1"/>
        <s v="001-00012369" u="1"/>
        <s v="001-00009986" u="1"/>
        <s v="001-00015364" u="1"/>
        <s v="001-00010402" u="1"/>
        <s v="001-00012379" u="1"/>
        <s v="001-00013798" u="1"/>
        <s v="001-00009996" u="1"/>
        <s v="001-00015374" u="1"/>
        <s v="001-00010412" u="1"/>
        <s v="001-00011831" u="1"/>
        <s v="001-00012389" u="1"/>
        <s v="001-00015384" u="1"/>
        <s v="001-00010422" u="1"/>
        <s v="001-00011841" u="1"/>
        <s v="001-00012399" u="1"/>
        <s v="001-00015418" u="1"/>
        <s v="001-00015394" u="1"/>
        <s v="001-00010432" u="1"/>
        <s v="001-00011851" u="1"/>
        <s v="001-00014009" u="1"/>
        <s v="001-00015428" u="1"/>
        <s v="001-00010442" u="1"/>
        <s v="001-00011861" u="1"/>
        <s v="001-00015438" u="1"/>
        <s v="001-00011871" u="1"/>
        <s v="001-00014029" u="1"/>
        <s v="001-00015448" u="1"/>
        <s v="001-00011905" u="1"/>
        <s v="001-00010462" u="1"/>
        <s v="001-00014900" u="1"/>
        <s v="001-00014039" u="1"/>
        <s v="001-00015458" u="1"/>
        <s v="001-00011915" u="1"/>
        <s v="001-00014910" u="1"/>
        <s v="001-00014049" u="1"/>
        <s v="001-00015468" u="1"/>
        <s v="001-00011925" u="1"/>
        <s v="001-00013501" u="1"/>
        <s v="001-00014920" u="1"/>
        <s v="001-00014059" u="1"/>
        <s v="001-00015478" u="1"/>
        <s v="001-00010516" u="1"/>
        <s v="001-00011935" u="1"/>
        <s v="001-00010492" u="1"/>
        <s v="001-00014930" u="1"/>
        <s v="001-00014069" u="1"/>
        <s v="001-00015488" u="1"/>
        <s v="001-00010526" u="1"/>
        <s v="001-00011945" u="1"/>
        <s v="001-00013521" u="1"/>
        <s v="001-00014940" u="1"/>
        <s v="001-00014079" u="1"/>
        <s v="001-00015498" u="1"/>
        <s v="001-00011955" u="1"/>
        <s v="001-00012112" u="1"/>
        <s v="001-00013531" u="1"/>
        <s v="001-00010546" u="1"/>
        <s v="001-00011965" u="1"/>
        <s v="001-00012122" u="1"/>
        <s v="001-00013541" u="1"/>
        <s v="001-00014960" u="1"/>
        <s v="001-00014099" u="1"/>
        <s v="001-00011975" u="1"/>
        <s v="001-00013551" u="1"/>
        <s v="001-00014970" u="1"/>
        <s v="001-00010566" u="1"/>
        <s v="001-00011985" u="1"/>
        <s v="001-00012142" u="1"/>
        <s v="001-00014980" u="1"/>
        <s v="001-00010576" u="1"/>
        <s v="001-00012152" u="1"/>
        <s v="001-00013571" u="1"/>
        <s v="001-00014990" u="1"/>
        <s v="001-00010586" u="1"/>
        <s v="001-00013605" u="1"/>
        <s v="001-00009803" u="1"/>
        <s v="001-00012162" u="1"/>
        <s v="001-00013581" u="1"/>
        <s v="001-00010596" u="1"/>
        <s v="001-00013615" u="1"/>
        <s v="001-00012172" u="1"/>
        <s v="001-00013591" u="1"/>
        <s v="001-00009823" u="1"/>
        <s v="001-00012182" u="1"/>
        <s v="001-00015201" u="1"/>
        <s v="001-00012216" u="1"/>
        <s v="001-00013635" u="1"/>
        <s v="001-00009833" u="1"/>
        <s v="001-00015211" u="1"/>
        <s v="001-00012226" u="1"/>
        <s v="001-00013645" u="1"/>
        <s v="001-00009843" u="1"/>
        <s v="001-00015221" u="1"/>
        <s v="001-00012236" u="1"/>
        <s v="001-00013655" u="1"/>
        <s v="001-00009853" u="1"/>
        <s v="001-00015231" u="1"/>
        <s v="001-00012246" u="1"/>
        <s v="001-00013665" u="1"/>
        <s v="001-00009863" u="1"/>
        <s v="001-00015241" u="1"/>
        <s v="001-00013675" u="1"/>
        <s v="001-00009873" u="1"/>
        <s v="001-00013709" u="1"/>
        <s v="001-00015251" u="1"/>
        <s v="001-00009907" u="1"/>
        <s v="001-00012266" u="1"/>
        <s v="001-00009883" u="1"/>
        <s v="001-00015261" u="1"/>
        <s v="001-00009917" u="1"/>
        <s v="001-00009893" u="1"/>
        <s v="001-00013729" u="1"/>
        <s v="001-00015271" u="1"/>
        <s v="001-00009927" u="1"/>
        <s v="001-00012286" u="1"/>
        <s v="001-00015305" u="1"/>
        <s v="001-00013739" u="1"/>
        <s v="001-00015281" u="1"/>
        <s v="001-00009937" u="1"/>
        <s v="001-00012296" u="1"/>
        <s v="001-00015315" u="1"/>
        <s v="001-00013749" u="1"/>
        <s v="001-00015291" u="1"/>
        <s v="001-00009947" u="1"/>
        <s v="001-00015325" u="1"/>
        <s v="001-00013759" u="1"/>
        <s v="001-00015335" u="1"/>
        <s v="001-00013769" u="1"/>
        <s v="001-00009967" u="1"/>
        <s v="001-00011802" u="1"/>
        <s v="001-00013779" u="1"/>
        <s v="001-00009977" u="1"/>
        <s v="001-00015355" u="1"/>
        <s v="001-00011812" u="1"/>
        <s v="001-00013789" u="1"/>
        <s v="001-00009987" u="1"/>
        <s v="001-00015365" u="1"/>
        <s v="001-00011822" u="1"/>
        <s v="001-00009997" u="1"/>
        <s v="001-00015375" u="1"/>
        <s v="001-00010413" u="1"/>
        <s v="001-00011832" u="1"/>
        <s v="001-00010423" u="1"/>
        <s v="001-00011842" u="1"/>
        <s v="001-00015419" u="1"/>
        <s v="001-00015395" u="1"/>
        <s v="001-00010433" u="1"/>
        <s v="001-00015429" u="1"/>
        <s v="001-00010443" u="1"/>
        <s v="001-00011872" u="1"/>
        <s v="001-00015449" u="1"/>
        <s v="001-00011906" u="1"/>
        <s v="001-00010463" u="1"/>
        <s v="001-00014901" u="1"/>
        <s v="001-00015459" u="1"/>
        <s v="001-00011916" u="1"/>
        <s v="001-00010473" u="1"/>
        <s v="001-00011892" u="1"/>
        <s v="001-00014911" u="1"/>
        <s v="001-00015469" u="1"/>
        <s v="001-00010507" u="1"/>
        <s v="001-00011926" u="1"/>
        <s v="001-00010483" u="1"/>
        <s v="001-00013502" u="1"/>
        <s v="001-00014921" u="1"/>
        <s v="001-00015479" u="1"/>
        <s v="001-00010517" u="1"/>
        <s v="001-00011936" u="1"/>
        <s v="001-00010493" u="1"/>
        <s v="001-00013512" u="1"/>
        <s v="001-00014931" u="1"/>
        <s v="001-00015489" u="1"/>
        <s v="001-00009710" u="1"/>
        <s v="001-00010527" u="1"/>
        <s v="001-00011946" u="1"/>
        <s v="001-00012103" u="1"/>
        <s v="001-00013522" u="1"/>
        <s v="001-00014941" u="1"/>
        <s v="001-00015499" u="1"/>
        <s v="001-00009720" u="1"/>
        <s v="001-00010537" u="1"/>
        <s v="001-00011956" u="1"/>
        <s v="001-00012113" u="1"/>
        <s v="001-00013532" u="1"/>
        <s v="001-00014951" u="1"/>
        <s v="001-00009730" u="1"/>
        <s v="001-00010547" u="1"/>
        <s v="001-00011966" u="1"/>
        <s v="001-00012123" u="1"/>
        <s v="001-00013542" u="1"/>
        <s v="001-00014961" u="1"/>
        <s v="001-00009740" u="1"/>
        <s v="001-00010557" u="1"/>
        <s v="001-00011976" u="1"/>
        <s v="001-00012133" u="1"/>
        <s v="001-00013552" u="1"/>
        <s v="001-00014971" u="1"/>
        <s v="001-00009750" u="1"/>
        <s v="001-00010567" u="1"/>
        <s v="001-00011986" u="1"/>
        <s v="001-00012143" u="1"/>
        <s v="001-00013562" u="1"/>
        <s v="001-00014981" u="1"/>
        <s v="001-00009760" u="1"/>
        <s v="001-00010577" u="1"/>
        <s v="001-00011996" u="1"/>
        <s v="001-00012153" u="1"/>
        <s v="001-00013572" u="1"/>
        <s v="001-00014991" u="1"/>
        <s v="001-00009770" u="1"/>
        <s v="001-00013606" u="1"/>
        <s v="001-00009804" u="1"/>
        <s v="001-00012163" u="1"/>
        <s v="001-00010597" u="1"/>
        <s v="001-00013616" u="1"/>
        <s v="001-00009814" u="1"/>
        <s v="001-00012173" u="1"/>
        <s v="001-00013592" u="1"/>
        <s v="001-00009790" u="1"/>
        <s v="001-00012207" u="1"/>
        <s v="001-00013626" u="1"/>
        <s v="001-00012183" u="1"/>
        <s v="001-00015202" u="1"/>
        <s v="001-00012217" u="1"/>
        <s v="001-00013636" u="1"/>
        <s v="001-00012193" u="1"/>
        <s v="001-00015212" u="1"/>
        <s v="001-00012227" u="1"/>
        <s v="001-00013646" u="1"/>
        <s v="001-00009844" u="1"/>
        <s v="001-00015222" u="1"/>
        <s v="001-00013656" u="1"/>
        <s v="001-00009854" u="1"/>
        <s v="001-00015232" u="1"/>
        <s v="001-00012247" u="1"/>
        <s v="001-00013666" u="1"/>
        <s v="001-00009864" u="1"/>
        <s v="001-00015242" u="1"/>
        <s v="001-00012257" u="1"/>
        <s v="001-00013676" u="1"/>
        <s v="001-00009874" u="1"/>
        <s v="001-00015252" u="1"/>
        <s v="001-00009908" u="1"/>
        <s v="001-00012267" u="1"/>
        <s v="001-00013686" u="1"/>
        <s v="001-00009884" u="1"/>
        <s v="001-00015262" u="1"/>
        <s v="001-00009918" u="1"/>
        <s v="001-00010300" u="1"/>
        <s v="001-00012277" u="1"/>
        <s v="001-00013696" u="1"/>
        <s v="001-00009894" u="1"/>
        <s v="001-00015272" u="1"/>
        <s v="001-00009928" u="1"/>
        <s v="001-00010310" u="1"/>
        <s v="001-00012287" u="1"/>
        <s v="001-00015306" u="1"/>
        <s v="001-00015282" u="1"/>
        <s v="001-00009938" u="1"/>
        <s v="001-00010320" u="1"/>
        <s v="001-00012297" u="1"/>
        <s v="001-00015292" u="1"/>
        <s v="001-00009948" u="1"/>
        <s v="001-00010330" u="1"/>
        <s v="001-00015326" u="1"/>
        <s v="001-00009958" u="1"/>
        <s v="001-00010340" u="1"/>
        <s v="001-00015336" u="1"/>
        <s v="001-00009968" u="1"/>
        <s v="001-00011803" u="1"/>
        <s v="001-00010360" u="1"/>
        <s v="001-00015356" u="1"/>
        <s v="001-00011813" u="1"/>
        <s v="001-00009988" u="1"/>
        <s v="001-00010370" u="1"/>
        <s v="001-00010404" u="1"/>
        <s v="001-00011823" u="1"/>
        <s v="001-00009998" u="1"/>
        <s v="001-00010380" u="1"/>
        <s v="001-00015376" u="1"/>
        <s v="001-00010414" u="1"/>
        <s v="001-00010390" u="1"/>
        <s v="001-00015386" u="1"/>
        <s v="001-00010424" u="1"/>
        <s v="001-00011843" u="1"/>
        <s v="001-00012000" u="1"/>
        <s v="001-00015396" u="1"/>
        <s v="001-00010434" u="1"/>
        <s v="001-00011853" u="1"/>
        <s v="001-00012010" u="1"/>
        <s v="001-00010444" u="1"/>
        <s v="001-00011863" u="1"/>
        <s v="001-00012020" u="1"/>
        <s v="001-00010454" u="1"/>
        <s v="001-00011873" u="1"/>
        <s v="001-00011907" u="1"/>
        <s v="001-00012030" u="1"/>
        <s v="001-00014902" u="1"/>
        <s v="001-00011917" u="1"/>
        <s v="001-00010474" u="1"/>
        <s v="001-00011893" u="1"/>
        <s v="001-00010508" u="1"/>
        <s v="001-00011927" u="1"/>
        <s v="001-00012050" u="1"/>
        <s v="001-00010484" u="1"/>
        <s v="001-00013503" u="1"/>
        <s v="001-00014922" u="1"/>
        <s v="001-00010518" u="1"/>
        <s v="001-00011937" u="1"/>
        <s v="001-00012060" u="1"/>
        <s v="001-00010494" u="1"/>
        <s v="001-00013513" u="1"/>
        <s v="001-00014932" u="1"/>
        <s v="001-00010528" u="1"/>
        <s v="001-00011947" u="1"/>
        <s v="001-00012070" u="1"/>
        <s v="001-00012104" u="1"/>
        <s v="001-00014942" u="1"/>
        <s v="001-00009721" u="1"/>
        <s v="001-00011957" u="1"/>
        <s v="001-00012080" u="1"/>
        <s v="001-00012114" u="1"/>
        <s v="001-00013533" u="1"/>
        <s v="001-00014952" u="1"/>
        <s v="001-00009731" u="1"/>
        <s v="001-00011967" u="1"/>
        <s v="001-00012090" u="1"/>
        <s v="001-00012124" u="1"/>
        <s v="001-00013543" u="1"/>
        <s v="001-00014962" u="1"/>
        <s v="001-00009741" u="1"/>
        <s v="001-00010558" u="1"/>
        <s v="001-00011977" u="1"/>
        <s v="001-00012134" u="1"/>
        <s v="001-00013553" u="1"/>
        <s v="001-00014972" u="1"/>
        <s v="001-00009751" u="1"/>
        <s v="001-00010568" u="1"/>
        <s v="001-00011987" u="1"/>
        <s v="001-00005347" u="1"/>
        <s v="001-00012144" u="1"/>
        <s v="001-00013563" u="1"/>
        <s v="001-00014982" u="1"/>
        <s v="001-00010578" u="1"/>
        <s v="001-00014992" u="1"/>
        <s v="001-00009771" u="1"/>
        <s v="001-00010588" u="1"/>
        <s v="001-00013607" u="1"/>
        <s v="001-00009805" u="1"/>
        <s v="001-00013583" u="1"/>
        <s v="001-00009781" u="1"/>
        <s v="001-00010598" u="1"/>
        <s v="001-00013617" u="1"/>
        <s v="001-00009815" u="1"/>
        <s v="001-00012174" u="1"/>
        <s v="001-00013593" u="1"/>
        <s v="001-00009791" u="1"/>
        <s v="001-00013627" u="1"/>
        <s v="001-00009825" u="1"/>
        <s v="001-00015203" u="1"/>
        <s v="001-00012218" u="1"/>
        <s v="001-00013637" u="1"/>
        <s v="001-00009835" u="1"/>
        <s v="001-00012194" u="1"/>
        <s v="001-00015213" u="1"/>
        <s v="001-00012228" u="1"/>
        <s v="001-00013647" u="1"/>
        <s v="001-00009845" u="1"/>
        <s v="001-00015223" u="1"/>
        <s v="001-00012238" u="1"/>
        <s v="001-00013657" u="1"/>
        <s v="001-00009855" u="1"/>
        <s v="001-00015233" u="1"/>
        <s v="001-00012248" u="1"/>
        <s v="001-00013667" u="1"/>
        <s v="001-00015243" u="1"/>
        <s v="001-00012258" u="1"/>
        <s v="001-00013677" u="1"/>
        <s v="001-00009875" u="1"/>
        <s v="001-00015253" u="1"/>
        <s v="001-00009909" u="1"/>
        <s v="001-00011710" u="1"/>
        <s v="001-00012268" u="1"/>
        <s v="001-00013687" u="1"/>
        <s v="001-00009885" u="1"/>
        <s v="001-00015263" u="1"/>
        <s v="001-00009919" u="1"/>
        <s v="001-00010301" u="1"/>
        <s v="001-00011720" u="1"/>
        <s v="001-00012278" u="1"/>
        <s v="001-00013697" u="1"/>
        <s v="001-00010311" u="1"/>
        <s v="001-00011730" u="1"/>
        <s v="001-00012288" u="1"/>
        <s v="001-00015307" u="1"/>
        <s v="001-00015283" u="1"/>
        <s v="001-00009939" u="1"/>
        <s v="001-00010321" u="1"/>
        <s v="001-00011740" u="1"/>
        <s v="001-00012298" u="1"/>
        <s v="001-00015317" u="1"/>
        <s v="001-00015293" u="1"/>
        <s v="001-00009949" u="1"/>
        <s v="001-00010331" u="1"/>
        <s v="001-00011750" u="1"/>
        <s v="001-00015327" u="1"/>
        <s v="001-00009959" u="1"/>
        <s v="001-00010341" u="1"/>
        <s v="001-00011760" u="1"/>
        <s v="001-00009969" u="1"/>
        <s v="001-00010351" u="1"/>
        <s v="001-00011770" u="1"/>
        <s v="001-00015347" u="1"/>
        <s v="001-00011804" u="1"/>
        <s v="001-00009979" u="1"/>
        <s v="001-00010361" u="1"/>
        <s v="001-00011780" u="1"/>
        <s v="001-00015357" u="1"/>
        <s v="001-00011814" u="1"/>
        <s v="001-00009989" u="1"/>
        <s v="001-00010371" u="1"/>
        <s v="001-00010405" u="1"/>
        <s v="001-00011824" u="1"/>
        <s v="001-00009999" u="1"/>
        <s v="001-00010381" u="1"/>
        <s v="001-00013400" u="1"/>
        <s v="001-00015377" u="1"/>
        <s v="001-00010415" u="1"/>
        <s v="001-00011834" u="1"/>
        <s v="001-00010391" u="1"/>
        <s v="001-00013410" u="1"/>
        <s v="001-00015387" u="1"/>
        <s v="001-00011844" u="1"/>
        <s v="001-00012001" u="1"/>
        <s v="001-00013420" u="1"/>
        <s v="001-00015397" u="1"/>
        <s v="001-00010435" u="1"/>
        <s v="001-00011854" u="1"/>
        <s v="001-00012011" u="1"/>
        <s v="001-00013430" u="1"/>
        <s v="001-00010445" u="1"/>
        <s v="001-00011864" u="1"/>
        <s v="001-00012021" u="1"/>
        <s v="001-00010455" u="1"/>
        <s v="001-00011874" u="1"/>
        <s v="001-00011908" u="1"/>
        <s v="001-00010465" u="1"/>
        <s v="001-00011884" u="1"/>
        <s v="001-00014903" u="1"/>
        <s v="001-00011918" u="1"/>
        <s v="001-00012041" u="1"/>
        <s v="001-00013460" u="1"/>
        <s v="001-00010475" u="1"/>
        <s v="001-00011894" u="1"/>
        <s v="001-00014913" u="1"/>
        <s v="001-00011928" u="1"/>
        <s v="001-00013470" u="1"/>
        <s v="001-00010485" u="1"/>
        <s v="001-00013504" u="1"/>
        <s v="001-00014923" u="1"/>
        <s v="001-00010519" u="1"/>
        <s v="001-00011938" u="1"/>
        <s v="001-00012061" u="1"/>
        <s v="001-00013480" u="1"/>
        <s v="001-00010495" u="1"/>
        <s v="001-00013514" u="1"/>
        <s v="001-00014933" u="1"/>
        <s v="001-00009712" u="1"/>
        <s v="001-00010529" u="1"/>
        <s v="001-00011948" u="1"/>
        <s v="001-00012071" u="1"/>
        <s v="001-00012105" u="1"/>
        <s v="001-00013524" u="1"/>
        <s v="001-00014943" u="1"/>
        <s v="001-00009722" u="1"/>
        <s v="001-00010539" u="1"/>
        <s v="001-00011958" u="1"/>
        <s v="001-00015100" u="1"/>
        <s v="001-00012115" u="1"/>
        <s v="001-00013534" u="1"/>
        <s v="001-00014953" u="1"/>
        <s v="001-00009732" u="1"/>
        <s v="001-00010549" u="1"/>
        <s v="001-00011968" u="1"/>
        <s v="001-00012091" u="1"/>
        <s v="001-00015110" u="1"/>
        <s v="001-00012125" u="1"/>
        <s v="001-00013544" u="1"/>
        <s v="001-00014963" u="1"/>
        <s v="001-00009742" u="1"/>
        <s v="001-00010559" u="1"/>
        <s v="001-00015120" u="1"/>
        <s v="001-00012135" u="1"/>
        <s v="001-00014973" u="1"/>
        <s v="001-00009752" u="1"/>
        <s v="001-00010569" u="1"/>
        <s v="001-00015130" u="1"/>
        <s v="001-00012145" u="1"/>
        <s v="001-00014983" u="1"/>
        <s v="001-00009762" u="1"/>
        <s v="001-00011998" u="1"/>
        <s v="001-00015140" u="1"/>
        <s v="001-00012155" u="1"/>
        <s v="001-00013574" u="1"/>
        <s v="001-00014993" u="1"/>
        <s v="001-00009772" u="1"/>
        <s v="001-00013608" u="1"/>
        <s v="001-00015150" u="1"/>
        <s v="001-00009806" u="1"/>
        <s v="001-00012165" u="1"/>
        <s v="001-00013584" u="1"/>
        <s v="001-00009782" u="1"/>
        <s v="001-00010599" u="1"/>
        <s v="001-00013618" u="1"/>
        <s v="001-00009816" u="1"/>
        <s v="001-00013594" u="1"/>
        <s v="001-00009792" u="1"/>
        <s v="001-00012209" u="1"/>
        <s v="001-00013628" u="1"/>
        <s v="001-00015170" u="1"/>
        <s v="001-00009826" u="1"/>
        <s v="001-00015204" u="1"/>
        <s v="001-00012219" u="1"/>
        <s v="001-00013638" u="1"/>
        <s v="001-00015180" u="1"/>
        <s v="001-00012195" u="1"/>
        <s v="001-00015214" u="1"/>
        <s v="001-00013648" u="1"/>
        <s v="001-00015190" u="1"/>
        <s v="001-00009846" u="1"/>
        <s v="001-00015224" u="1"/>
        <s v="001-00012239" u="1"/>
        <s v="001-00015234" u="1"/>
        <s v="001-00012249" u="1"/>
        <s v="001-00015244" u="1"/>
        <s v="001-00011701" u="1"/>
        <s v="001-00012259" u="1"/>
        <s v="001-00013678" u="1"/>
        <s v="001-00009876" u="1"/>
        <s v="001-00015254" u="1"/>
        <s v="001-00012269" u="1"/>
        <s v="001-00009886" u="1"/>
        <s v="001-00015264" u="1"/>
        <s v="001-00011721" u="1"/>
        <s v="001-00012279" u="1"/>
        <s v="001-00013698" u="1"/>
        <s v="001-00009896" u="1"/>
        <s v="001-00015274" u="1"/>
        <s v="001-00010312" u="1"/>
        <s v="001-00011731" u="1"/>
        <s v="001-00015308" u="1"/>
        <s v="001-00015284" u="1"/>
        <s v="001-00010322" u="1"/>
        <s v="001-00011741" u="1"/>
        <s v="001-00015318" u="1"/>
        <s v="001-00015294" u="1"/>
        <s v="001-00010332" u="1"/>
        <s v="001-00011751" u="1"/>
        <s v="001-00015328" u="1"/>
        <s v="001-00010342" u="1"/>
        <s v="001-00011761" u="1"/>
        <s v="001-00010352" u="1"/>
        <s v="001-00011771" u="1"/>
        <s v="001-00015348" u="1"/>
        <s v="001-00010362" u="1"/>
        <s v="001-00011781" u="1"/>
        <s v="001-00014800" u="1"/>
        <s v="001-00015358" u="1"/>
        <s v="001-00011815" u="1"/>
        <s v="001-00010372" u="1"/>
        <s v="001-00011791" u="1"/>
        <s v="001-00015368" u="1"/>
        <s v="001-00010406" u="1"/>
        <s v="001-00011825" u="1"/>
        <s v="001-00013401" u="1"/>
        <s v="001-00015378" u="1"/>
        <s v="001-00010416" u="1"/>
        <s v="001-00010392" u="1"/>
        <s v="001-00014830" u="1"/>
        <s v="001-00015388" u="1"/>
        <s v="001-00010426" u="1"/>
        <s v="001-00011845" u="1"/>
        <s v="001-00012002" u="1"/>
        <s v="001-00013421" u="1"/>
        <s v="001-00014840" u="1"/>
        <s v="001-00015398" u="1"/>
        <s v="001-00010436" u="1"/>
        <s v="001-00011855" u="1"/>
        <s v="001-00012012" u="1"/>
        <s v="001-00013431" u="1"/>
        <s v="001-00014850" u="1"/>
        <s v="001-00010446" u="1"/>
        <s v="001-00011865" u="1"/>
        <s v="001-00012022" u="1"/>
        <s v="001-00013441" u="1"/>
        <s v="001-00014860" u="1"/>
        <s v="001-00010456" u="1"/>
        <s v="001-00011875" u="1"/>
        <s v="001-00012032" u="1"/>
        <s v="001-00013451" u="1"/>
        <s v="001-00014870" u="1"/>
        <s v="001-00010466" u="1"/>
        <s v="001-00011885" u="1"/>
        <s v="001-00014904" u="1"/>
        <s v="001-00011919" u="1"/>
        <s v="001-00012042" u="1"/>
        <s v="001-00013461" u="1"/>
        <s v="001-00014880" u="1"/>
        <s v="001-00010476" u="1"/>
        <s v="001-00011895" u="1"/>
        <s v="001-00014914" u="1"/>
        <s v="001-00011929" u="1"/>
        <s v="001-00012052" u="1"/>
        <s v="001-00013471" u="1"/>
        <s v="001-00014890" u="1"/>
        <s v="001-00010486" u="1"/>
        <s v="001-00013505" u="1"/>
        <s v="001-00014924" u="1"/>
        <s v="001-00009703" u="1"/>
        <s v="001-00011939" u="1"/>
        <s v="001-00012062" u="1"/>
        <s v="001-00010496" u="1"/>
        <s v="001-00014934" u="1"/>
        <s v="001-00009713" u="1"/>
        <s v="001-00011949" u="1"/>
        <s v="001-00012072" u="1"/>
        <s v="001-00013491" u="1"/>
        <s v="001-00016510" u="1"/>
        <s v="001-00012106" u="1"/>
        <s v="001-00014944" u="1"/>
        <s v="001-00009723" u="1"/>
        <s v="001-00011959" u="1"/>
        <s v="001-00012082" u="1"/>
        <s v="001-00015101" u="1"/>
        <s v="001-00013535" u="1"/>
        <s v="001-00014954" u="1"/>
        <s v="001-00011969" u="1"/>
        <s v="001-00012092" u="1"/>
        <s v="001-00005329" u="1"/>
        <s v="001-00015111" u="1"/>
        <s v="001-00012126" u="1"/>
        <s v="001-00013545" u="1"/>
        <s v="001-00009743" u="1"/>
        <s v="001-00014974" u="1"/>
        <s v="001-00009753" u="1"/>
        <s v="001-00011989" u="1"/>
        <s v="001-00015131" u="1"/>
        <s v="001-00012146" u="1"/>
        <s v="001-00014984" u="1"/>
        <s v="001-00009763" u="1"/>
        <s v="001-00011999" u="1"/>
        <s v="001-00015141" u="1"/>
        <s v="001-00012156" u="1"/>
        <s v="001-00013575" u="1"/>
        <s v="001-00014994" u="1"/>
        <s v="001-00009773" u="1"/>
        <s v="001-00015151" u="1"/>
        <s v="001-00012166" u="1"/>
        <s v="001-00013585" u="1"/>
        <s v="001-00009783" u="1"/>
        <s v="001-00013619" u="1"/>
        <s v="001-00009817" u="1"/>
        <s v="001-00012176" u="1"/>
        <s v="001-00013595" u="1"/>
        <s v="001-00009793" u="1"/>
        <s v="001-00013629" u="1"/>
        <s v="001-00015171" u="1"/>
        <s v="001-00009827" u="1"/>
        <s v="001-00012186" u="1"/>
        <s v="001-00013639" u="1"/>
        <s v="001-00015181" u="1"/>
        <s v="001-00009837" u="1"/>
        <s v="001-00012196" u="1"/>
        <s v="001-00015215" u="1"/>
        <s v="001-00013649" u="1"/>
        <s v="001-00015191" u="1"/>
        <s v="001-00009847" u="1"/>
        <s v="001-00015225" u="1"/>
        <s v="001-00013659" u="1"/>
        <s v="001-00009857" u="1"/>
        <s v="001-00015235" u="1"/>
        <s v="001-00013669" u="1"/>
        <s v="001-00009867" u="1"/>
        <s v="001-00015245" u="1"/>
        <s v="001-00011702" u="1"/>
        <s v="001-00013679" u="1"/>
        <s v="001-00009877" u="1"/>
        <s v="001-00015255" u="1"/>
        <s v="001-00011712" u="1"/>
        <s v="001-00009887" u="1"/>
        <s v="001-00015265" u="1"/>
        <s v="001-00011722" u="1"/>
        <s v="001-00013699" u="1"/>
        <s v="001-00009897" u="1"/>
        <s v="001-00010313" u="1"/>
        <s v="001-00011732" u="1"/>
        <s v="001-00015309" u="1"/>
        <s v="001-00015285" u="1"/>
        <s v="001-00010323" u="1"/>
        <s v="001-00011742" u="1"/>
        <s v="001-00015319" u="1"/>
        <s v="001-00015295" u="1"/>
        <s v="001-00010333" u="1"/>
        <s v="001-00011752" u="1"/>
        <s v="001-00010343" u="1"/>
        <s v="001-00011762" u="1"/>
        <s v="001-00015339" u="1"/>
        <s v="001-00011772" u="1"/>
        <s v="001-00015349" u="1"/>
        <s v="001-00011806" u="1"/>
        <s v="001-00011782" u="1"/>
        <s v="001-00014801" u="1"/>
        <s v="001-00015359" u="1"/>
        <s v="001-00011816" u="1"/>
        <s v="001-00010373" u="1"/>
        <s v="001-00015369" u="1"/>
        <s v="001-00011826" u="1"/>
        <s v="001-00010383" u="1"/>
        <s v="001-00013402" u="1"/>
        <s v="001-00014821" u="1"/>
        <s v="001-00015379" u="1"/>
        <s v="001-00009600" u="1"/>
        <s v="001-00010417" u="1"/>
        <s v="001-00011836" u="1"/>
        <s v="001-00010393" u="1"/>
        <s v="001-00013412" u="1"/>
        <s v="001-00014831" u="1"/>
        <s v="001-00015389" u="1"/>
        <s v="001-00009610" u="1"/>
        <s v="001-00010427" u="1"/>
        <s v="001-00011846" u="1"/>
        <s v="001-00012003" u="1"/>
        <s v="001-00013422" u="1"/>
        <s v="001-00014841" u="1"/>
        <s v="001-00015399" u="1"/>
        <s v="001-00009620" u="1"/>
        <s v="001-00010437" u="1"/>
        <s v="001-00011856" u="1"/>
        <s v="001-00012013" u="1"/>
        <s v="001-00013432" u="1"/>
        <s v="001-00014851" u="1"/>
        <s v="001-00009630" u="1"/>
        <s v="001-00012023" u="1"/>
        <s v="001-00013442" u="1"/>
        <s v="001-00014861" u="1"/>
        <s v="001-00009640" u="1"/>
        <s v="001-00010457" u="1"/>
        <s v="001-00011876" u="1"/>
        <s v="001-00012033" u="1"/>
        <s v="001-00013452" u="1"/>
        <s v="001-00014871" u="1"/>
        <s v="001-00010467" u="1"/>
        <s v="001-00011886" u="1"/>
        <s v="001-00014905" u="1"/>
        <s v="001-00012043" u="1"/>
        <s v="001-00013462" u="1"/>
        <s v="001-00009660" u="1"/>
        <s v="001-00011896" u="1"/>
        <s v="001-00014915" u="1"/>
        <s v="001-00013472" u="1"/>
        <s v="001-00014891" u="1"/>
        <s v="001-00009670" u="1"/>
        <s v="001-00010487" u="1"/>
        <s v="001-00013506" u="1"/>
        <s v="001-00014925" u="1"/>
        <s v="001-00009704" u="1"/>
        <s v="001-00012063" u="1"/>
        <s v="001-00013482" u="1"/>
        <s v="001-00016501" u="1"/>
        <s v="001-00013516" u="1"/>
        <s v="001-00014935" u="1"/>
        <s v="ABO00000030" u="1"/>
        <s v="001-00012073" u="1"/>
        <s v="001-00013492" u="1"/>
        <s v="001-00009690" u="1"/>
        <s v="001-00012107" u="1"/>
        <s v="001-00013526" u="1"/>
        <s v="001-00014945" u="1"/>
        <s v="ABO00000031" u="1"/>
        <s v="001-00012117" u="1"/>
        <s v="001-00013536" u="1"/>
        <s v="001-00014955" u="1"/>
        <s v="001-00008315" u="1"/>
        <s v="001-00009734" u="1"/>
        <s v="ABO00000032" u="1"/>
        <s v="001-00012093" u="1"/>
        <s v="001-00015112" u="1"/>
        <s v="001-00012127" u="1"/>
        <s v="001-00013546" u="1"/>
        <s v="001-00014965" u="1"/>
        <s v="001-00009744" u="1"/>
        <s v="ABO00000033" u="1"/>
        <s v="001-00015122" u="1"/>
        <s v="001-00012137" u="1"/>
        <s v="001-00014975" u="1"/>
        <s v="001-00009754" u="1"/>
        <s v="ABO00000034" u="1"/>
        <s v="001-00012147" u="1"/>
        <s v="001-00014985" u="1"/>
        <s v="001-00009764" u="1"/>
        <s v="ABO00000035" u="1"/>
        <s v="001-00012157" u="1"/>
        <s v="001-00009774" u="1"/>
        <s v="ABO00000036" u="1"/>
        <s v="001-00015152" u="1"/>
        <s v="001-00009808" u="1"/>
        <s v="001-00013586" u="1"/>
        <s v="ABO00000037" u="1"/>
        <s v="001-00015162" u="1"/>
        <s v="001-00009818" u="1"/>
        <s v="001-00010200" u="1"/>
        <s v="001-00012177" u="1"/>
        <s v="001-00013596" u="1"/>
        <s v="001-00009794" u="1"/>
        <s v="001-00015172" u="1"/>
        <s v="001-00009828" u="1"/>
        <s v="001-00012187" u="1"/>
        <s v="001-00015206" u="1"/>
        <s v="001-00015182" u="1"/>
        <s v="001-00012197" u="1"/>
        <s v="001-00015216" u="1"/>
        <s v="001-00015192" u="1"/>
        <s v="001-00010230" u="1"/>
        <s v="001-00015226" u="1"/>
        <s v="001-00009858" u="1"/>
        <s v="001-00010240" u="1"/>
        <s v="001-00015236" u="1"/>
        <s v="001-00009868" u="1"/>
        <s v="001-00010250" u="1"/>
        <s v="001-00015246" u="1"/>
        <s v="001-00011703" u="1"/>
        <s v="001-00009878" u="1"/>
        <s v="001-00010260" u="1"/>
        <s v="001-00015256" u="1"/>
        <s v="001-00009888" u="1"/>
        <s v="001-00010270" u="1"/>
        <s v="001-00015266" u="1"/>
        <s v="001-00011723" u="1"/>
        <s v="001-00009898" u="1"/>
        <s v="001-00010280" u="1"/>
        <s v="001-00015276" u="1"/>
        <s v="001-00010314" u="1"/>
        <s v="001-00011733" u="1"/>
        <s v="001-00015286" u="1"/>
        <s v="ABO-00000410" u="1"/>
        <s v="001-00015296" u="1"/>
        <s v="001-00010334" u="1"/>
        <s v="001-00011753" u="1"/>
        <s v="ABO-00000420" u="1"/>
        <s v="001-00010344" u="1"/>
        <s v="001-00011763" u="1"/>
        <s v="ABO-00000430" u="1"/>
        <s v="001-00010354" u="1"/>
        <s v="001-00011773" u="1"/>
        <s v="ABO-00000440" u="1"/>
        <s v="001-00011807" u="1"/>
        <s v="001-00010364" u="1"/>
        <s v="001-00011783" u="1"/>
        <s v="001-00014802" u="1"/>
        <s v="ABO-00000450" u="1"/>
        <s v="001-00010374" u="1"/>
        <s v="001-00011827" u="1"/>
        <s v="001-00010384" u="1"/>
        <s v="001-00013403" u="1"/>
        <s v="001-00014822" u="1"/>
        <s v="001-00010418" u="1"/>
        <s v="001-00011837" u="1"/>
        <s v="001-00010394" u="1"/>
        <s v="001-00013413" u="1"/>
        <s v="001-00014832" u="1"/>
        <s v="001-00010428" u="1"/>
        <s v="001-00011847" u="1"/>
        <s v="001-00012004" u="1"/>
        <s v="001-00014842" u="1"/>
        <s v="001-00009621" u="1"/>
        <s v="001-00010438" u="1"/>
        <s v="001-00011857" u="1"/>
        <s v="001-00012014" u="1"/>
        <s v="001-00014852" u="1"/>
        <s v="001-00009631" u="1"/>
        <s v="001-00010448" u="1"/>
        <s v="001-00011867" u="1"/>
        <s v="001-00013443" u="1"/>
        <s v="001-00014862" u="1"/>
        <s v="001-00009641" u="1"/>
        <s v="001-00010458" u="1"/>
        <s v="001-00012034" u="1"/>
        <s v="001-00013453" u="1"/>
        <s v="001-00009651" u="1"/>
        <s v="001-00010468" u="1"/>
        <s v="001-00011887" u="1"/>
        <s v="001-00014906" u="1"/>
        <s v="001-00012044" u="1"/>
        <s v="001-00014882" u="1"/>
        <s v="001-00009661" u="1"/>
        <s v="001-00010478" u="1"/>
        <s v="001-00011897" u="1"/>
        <s v="001-00014916" u="1"/>
        <s v="001-00012054" u="1"/>
        <s v="001-00013473" u="1"/>
        <s v="001-00009671" u="1"/>
        <s v="001-00010488" u="1"/>
        <s v="001-00014926" u="1"/>
        <s v="001-00009705" u="1"/>
        <s v="001-00012064" u="1"/>
        <s v="001-00013483" u="1"/>
        <s v="001-00009681" u="1"/>
        <s v="001-00010498" u="1"/>
        <s v="001-00013517" u="1"/>
        <s v="001-00014936" u="1"/>
        <s v="001-00009715" u="1"/>
        <s v="001-00012074" u="1"/>
        <s v="001-00013493" u="1"/>
        <s v="001-00009691" u="1"/>
        <s v="001-00012108" u="1"/>
        <s v="001-00014946" u="1"/>
        <s v="001-00009725" u="1"/>
        <s v="001-00012084" u="1"/>
        <s v="001-00012118" u="1"/>
        <s v="001-00013537" u="1"/>
        <s v="001-00014956" u="1"/>
        <s v="001-00009735" u="1"/>
        <s v="001-00012094" u="1"/>
        <s v="001-00015113" u="1"/>
        <s v="001-00012128" u="1"/>
        <s v="001-00013547" u="1"/>
        <s v="001-00014966" u="1"/>
        <s v="001-00009745" u="1"/>
        <s v="001-00012138" u="1"/>
        <s v="001-00013557" u="1"/>
        <s v="001-00014976" u="1"/>
        <s v="001-00009755" u="1"/>
        <s v="001-00015133" u="1"/>
        <s v="001-00012148" u="1"/>
        <s v="001-00013567" u="1"/>
        <s v="001-00014986" u="1"/>
        <s v="001-00011600" u="1"/>
        <s v="001-00012158" u="1"/>
        <s v="001-00013577" u="1"/>
        <s v="001-00009775" u="1"/>
        <s v="001-00015153" u="1"/>
        <s v="001-00009809" u="1"/>
        <s v="001-00012168" u="1"/>
        <s v="001-00013587" u="1"/>
        <s v="001-00009785" u="1"/>
        <s v="001-00009819" u="1"/>
        <s v="001-00010201" u="1"/>
        <s v="001-00012178" u="1"/>
        <s v="001-00013597" u="1"/>
        <s v="001-00009795" u="1"/>
        <s v="001-00015173" u="1"/>
        <s v="001-00009829" u="1"/>
        <s v="001-00010211" u="1"/>
        <s v="001-00011630" u="1"/>
        <s v="001-00012188" u="1"/>
        <s v="001-00015207" u="1"/>
        <s v="001-00015183" u="1"/>
        <s v="001-00009839" u="1"/>
        <s v="001-00010221" u="1"/>
        <s v="001-00011640" u="1"/>
        <s v="001-00012198" u="1"/>
        <s v="001-00015217" u="1"/>
        <s v="001-00010231" u="1"/>
        <s v="001-00011650" u="1"/>
        <s v="001-00015227" u="1"/>
        <s v="001-00009859" u="1"/>
        <s v="001-00010241" u="1"/>
        <s v="001-00011660" u="1"/>
        <s v="001-00015237" u="1"/>
        <s v="001-00009869" u="1"/>
        <s v="001-00010251" u="1"/>
        <s v="001-00011670" u="1"/>
        <s v="001-00015247" u="1"/>
        <s v="001-00011704" u="1"/>
        <s v="001-00009879" u="1"/>
        <s v="001-00010261" u="1"/>
        <s v="001-00011680" u="1"/>
        <s v="001-00015257" u="1"/>
        <s v="001-00009889" u="1"/>
        <s v="001-00010271" u="1"/>
        <s v="001-00011690" u="1"/>
        <s v="001-00015267" u="1"/>
        <s v="001-00010305" u="1"/>
        <s v="001-00011724" u="1"/>
        <s v="001-00009899" u="1"/>
        <s v="001-00010281" u="1"/>
        <s v="001-00015277" u="1"/>
        <s v="001-00010315" u="1"/>
        <s v="001-00011734" u="1"/>
        <s v="ABO-00000401" u="1"/>
        <s v="001-00010291" u="1"/>
        <s v="001-00015287" u="1"/>
        <s v="001-00010325" u="1"/>
        <s v="001-00011744" u="1"/>
        <s v="ABO-00000411" u="1"/>
        <s v="001-00013320" u="1"/>
        <s v="001-00015297" u="1"/>
        <s v="001-00010335" u="1"/>
        <s v="001-00011754" u="1"/>
        <s v="ABO-00000421" u="1"/>
        <s v="001-00013330" u="1"/>
        <s v="001-00010345" u="1"/>
        <s v="001-00011764" u="1"/>
        <s v="ABO-00000431" u="1"/>
        <s v="001-00013340" u="1"/>
        <s v="001-00011774" u="1"/>
        <s v="ABO-00000441" u="1"/>
        <s v="001-00011808" u="1"/>
        <s v="001-00013350" u="1"/>
        <s v="001-00010365" u="1"/>
        <s v="001-00011784" u="1"/>
        <s v="001-00014803" u="1"/>
        <s v="ABO-00000451" u="1"/>
        <s v="001-00011818" u="1"/>
        <s v="001-00010375" u="1"/>
        <s v="001-00014813" u="1"/>
        <s v="001-00011828" u="1"/>
        <s v="001-00010385" u="1"/>
        <s v="001-00013404" u="1"/>
        <s v="001-00014823" u="1"/>
        <s v="001-00010419" u="1"/>
        <s v="001-00011838" u="1"/>
        <s v="001-00013380" u="1"/>
        <s v="001-00010395" u="1"/>
        <s v="001-00013414" u="1"/>
        <s v="001-00014833" u="1"/>
        <s v="001-00009612" u="1"/>
        <s v="001-00011848" u="1"/>
        <s v="001-00013390" u="1"/>
        <s v="001-00012005" u="1"/>
        <s v="001-00013424" u="1"/>
        <s v="001-00014843" u="1"/>
        <s v="001-00009622" u="1"/>
        <s v="001-00011858" u="1"/>
        <s v="001-00015000" u="1"/>
        <s v="001-00012015" u="1"/>
        <s v="001-00013434" u="1"/>
        <s v="001-00014853" u="1"/>
        <s v="001-00009632" u="1"/>
        <s v="001-00010449" u="1"/>
        <s v="001-00011868" u="1"/>
        <s v="001-00015010" u="1"/>
        <s v="001-00012025" u="1"/>
        <s v="001-00013444" u="1"/>
        <s v="001-00014863" u="1"/>
        <s v="001-00009642" u="1"/>
        <s v="001-00010459" u="1"/>
        <s v="001-00011878" u="1"/>
        <s v="001-00014873" u="1"/>
        <s v="001-00009652" u="1"/>
        <s v="001-00010469" u="1"/>
        <s v="001-00011888" u="1"/>
        <s v="001-00014907" u="1"/>
        <s v="001-00015030" u="1"/>
        <s v="001-00012045" u="1"/>
        <s v="001-00013464" u="1"/>
        <s v="001-00014883" u="1"/>
        <s v="001-00009662" u="1"/>
        <s v="001-00010479" u="1"/>
        <s v="001-00011898" u="1"/>
        <s v="001-00014917" u="1"/>
        <s v="001-00015040" u="1"/>
        <s v="001-00012055" u="1"/>
        <s v="001-00014893" u="1"/>
        <s v="001-00009672" u="1"/>
        <s v="001-00010489" u="1"/>
        <s v="001-00013508" u="1"/>
        <s v="001-00014927" u="1"/>
        <s v="001-00015050" u="1"/>
        <s v="001-00009706" u="1"/>
        <s v="001-00012065" u="1"/>
        <s v="001-00013484" u="1"/>
        <s v="001-00009682" u="1"/>
        <s v="001-00010499" u="1"/>
        <s v="001-00013518" u="1"/>
        <s v="001-00014937" u="1"/>
        <s v="001-00015060" u="1"/>
        <s v="001-00012075" u="1"/>
        <s v="001-00009692" u="1"/>
        <s v="001-00012109" u="1"/>
        <s v="001-00013528" u="1"/>
        <s v="001-00014947" u="1"/>
        <s v="001-00015070" u="1"/>
        <s v="001-00012085" u="1"/>
        <s v="001-00015104" u="1"/>
        <s v="001-00012119" u="1"/>
        <s v="001-00013538" u="1"/>
        <s v="001-00014957" u="1"/>
        <s v="001-00015080" u="1"/>
        <s v="001-00009736" u="1"/>
        <s v="001-00012095" u="1"/>
        <s v="001-00015114" u="1"/>
        <s v="001-00012129" u="1"/>
        <s v="001-00014967" u="1"/>
        <s v="001-00009746" u="1"/>
        <s v="001-00012139" u="1"/>
        <s v="001-00013558" u="1"/>
        <s v="001-00014977" u="1"/>
        <s v="001-00015134" u="1"/>
        <s v="001-00012149" u="1"/>
        <s v="001-00014987" u="1"/>
        <s v="001-00009766" u="1"/>
        <s v="001-00015144" u="1"/>
        <s v="001-00011601" u="1"/>
        <s v="001-00012159" u="1"/>
        <s v="001-00014997" u="1"/>
        <s v="001-00009776" u="1"/>
        <s v="001-00011611" u="1"/>
        <s v="001-00012169" u="1"/>
        <s v="001-00013588" u="1"/>
        <s v="001-00009786" u="1"/>
        <s v="001-00015164" u="1"/>
        <s v="001-00010202" u="1"/>
        <s v="001-00011621" u="1"/>
        <s v="001-00012179" u="1"/>
        <s v="001-00013598" u="1"/>
        <s v="001-00009796" u="1"/>
        <s v="001-00015174" u="1"/>
        <s v="001-00010212" u="1"/>
        <s v="001-00011631" u="1"/>
        <s v="001-00015208" u="1"/>
        <s v="001-00015184" u="1"/>
        <s v="001-00011641" u="1"/>
        <s v="001-00012199" u="1"/>
        <s v="001-00015218" u="1"/>
        <s v="001-00010232" u="1"/>
        <s v="001-00011651" u="1"/>
        <s v="001-00015228" u="1"/>
        <s v="001-00010242" u="1"/>
        <s v="001-00011661" u="1"/>
        <s v="001-00015238" u="1"/>
        <s v="001-00015248" u="1"/>
        <s v="001-00011705" u="1"/>
        <s v="001-00010262" u="1"/>
        <s v="001-00011681" u="1"/>
        <s v="001-00014700" u="1"/>
        <s v="001-00015258" u="1"/>
        <s v="001-00011715" u="1"/>
        <s v="001-00011691" u="1"/>
        <s v="001-00015268" u="1"/>
        <s v="001-00010306" u="1"/>
        <s v="001-00011725" u="1"/>
        <s v="001-00010282" u="1"/>
        <s v="001-00013301" u="1"/>
        <s v="001-00014720" u="1"/>
        <s v="001-00015278" u="1"/>
        <s v="001-00010316" u="1"/>
        <s v="001-00011735" u="1"/>
        <s v="ABO-00000402" u="1"/>
        <s v="001-00010292" u="1"/>
        <s v="001-00013311" u="1"/>
        <s v="001-00014730" u="1"/>
        <s v="001-00015288" u="1"/>
        <s v="001-00010326" u="1"/>
        <s v="001-00011745" u="1"/>
        <s v="ABO-00000412" u="1"/>
        <s v="001-00013321" u="1"/>
        <s v="001-00014740" u="1"/>
        <s v="001-00015298" u="1"/>
        <s v="001-00010336" u="1"/>
        <s v="001-00011755" u="1"/>
        <s v="001-00013331" u="1"/>
        <s v="001-00010346" u="1"/>
        <s v="001-00011765" u="1"/>
        <s v="ABO-00000432" u="1"/>
        <s v="001-00013341" u="1"/>
        <s v="001-00014760" u="1"/>
        <s v="001-00010356" u="1"/>
        <s v="001-00011775" u="1"/>
        <s v="ABO-00000442" u="1"/>
        <s v="001-00011809" u="1"/>
        <s v="001-00013351" u="1"/>
        <s v="001-00014770" u="1"/>
        <s v="001-00010366" u="1"/>
        <s v="001-00011785" u="1"/>
        <s v="ABO-00000452" u="1"/>
        <s v="001-00013361" u="1"/>
        <s v="001-00010376" u="1"/>
        <s v="001-00011795" u="1"/>
        <s v="001-00014814" u="1"/>
        <s v="001-00011829" u="1"/>
        <s v="001-00013371" u="1"/>
        <s v="001-00014790" u="1"/>
        <s v="001-00010386" u="1"/>
        <s v="001-00013405" u="1"/>
        <s v="001-00014824" u="1"/>
        <s v="001-00009603" u="1"/>
        <s v="001-00011839" u="1"/>
        <s v="001-00013381" u="1"/>
        <s v="001-00016400" u="1"/>
        <s v="001-00010396" u="1"/>
        <s v="001-00013415" u="1"/>
        <s v="001-00014834" u="1"/>
        <s v="001-00009613" u="1"/>
        <s v="001-00011849" u="1"/>
        <s v="001-00013391" u="1"/>
        <s v="001-00012006" u="1"/>
        <s v="001-00013425" u="1"/>
        <s v="001-00014844" u="1"/>
        <s v="001-00009623" u="1"/>
        <s v="001-00011859" u="1"/>
        <s v="001-00015001" u="1"/>
        <s v="001-00016420" u="1"/>
        <s v="001-00012016" u="1"/>
        <s v="001-00013435" u="1"/>
        <s v="001-00014854" u="1"/>
        <s v="001-00011869" u="1"/>
        <s v="001-00015011" u="1"/>
        <s v="001-00016430" u="1"/>
        <s v="001-00012026" u="1"/>
        <s v="001-00013445" u="1"/>
        <s v="001-00015021" u="1"/>
        <s v="001-00016440" u="1"/>
        <s v="001-00012036" u="1"/>
        <s v="001-00013455" u="1"/>
        <s v="001-00014874" u="1"/>
        <s v="001-00014908" u="1"/>
        <s v="001-00015031" u="1"/>
        <s v="001-00012046" u="1"/>
        <s v="001-00013465" u="1"/>
        <s v="001-00014884" u="1"/>
        <s v="001-00009663" u="1"/>
        <s v="001-00011899" u="1"/>
        <s v="001-00014918" u="1"/>
        <s v="001-00015041" u="1"/>
        <s v="001-00016460" u="1"/>
        <s v="001-00012056" u="1"/>
        <s v="001-00013475" u="1"/>
        <s v="001-00014894" u="1"/>
        <s v="001-00009673" u="1"/>
        <s v="001-00014928" u="1"/>
        <s v="001-00015051" u="1"/>
        <s v="001-00016470" u="1"/>
        <s v="001-00012066" u="1"/>
        <s v="001-00013485" u="1"/>
        <s v="001-00009683" u="1"/>
        <s v="001-00013519" u="1"/>
        <s v="001-00015061" u="1"/>
        <s v="001-00009717" u="1"/>
        <s v="001-00013495" u="1"/>
        <s v="001-00009693" u="1"/>
        <s v="001-00013529" u="1"/>
        <s v="001-00014948" u="1"/>
        <s v="001-00015071" u="1"/>
        <s v="001-00009727" u="1"/>
        <s v="001-00012086" u="1"/>
        <s v="001-00015105" u="1"/>
        <s v="001-00013539" u="1"/>
        <s v="001-00014958" u="1"/>
        <s v="001-00015081" u="1"/>
        <s v="001-00009737" u="1"/>
        <s v="001-00012096" u="1"/>
        <s v="001-00015115" u="1"/>
        <s v="001-00014968" u="1"/>
        <s v="001-00009747" u="1"/>
        <s v="001-00015125" u="1"/>
        <s v="001-00014978" u="1"/>
        <s v="001-00009757" u="1"/>
        <s v="001-00015135" u="1"/>
        <s v="001-00013569" u="1"/>
        <s v="001-00014988" u="1"/>
        <s v="001-00009767" u="1"/>
        <s v="001-00015145" u="1"/>
        <s v="001-00011602" u="1"/>
        <s v="001-00013579" u="1"/>
        <s v="001-00014998" u="1"/>
        <s v="001-00009777" u="1"/>
        <s v="001-00015155" u="1"/>
        <s v="001-00011612" u="1"/>
        <s v="001-00013589" u="1"/>
        <s v="001-00009787" u="1"/>
        <s v="001-00015165" u="1"/>
        <s v="001-00010203" u="1"/>
        <s v="001-00009797" u="1"/>
        <s v="001-00015175" u="1"/>
        <s v="001-00010213" u="1"/>
        <s v="001-00011632" u="1"/>
        <s v="001-00015209" u="1"/>
        <s v="001-00015185" u="1"/>
        <s v="001-00010223" u="1"/>
        <s v="001-00011642" u="1"/>
        <s v="001-00015219" u="1"/>
        <s v="001-00010233" u="1"/>
        <s v="001-00011652" u="1"/>
        <s v="001-00010243" u="1"/>
        <s v="001-00011662" u="1"/>
        <s v="001-00015239" u="1"/>
        <s v="001-00010253" u="1"/>
        <s v="001-00011672" u="1"/>
        <s v="001-00015249" u="1"/>
        <s v="001-00011706" u="1"/>
        <s v="001-00014701" u="1"/>
        <s v="001-00015259" u="1"/>
        <s v="001-00010273" u="1"/>
        <s v="001-00011692" u="1"/>
        <s v="001-00015269" u="1"/>
        <s v="001-00010307" u="1"/>
        <s v="001-00011726" u="1"/>
        <s v="001-00010283" u="1"/>
        <s v="001-00009500" u="1"/>
        <s v="001-00010317" u="1"/>
        <s v="001-00011736" u="1"/>
        <s v="ABO-00000403" u="1"/>
        <s v="001-00013312" u="1"/>
        <s v="001-00014731" u="1"/>
        <s v="001-00015289" u="1"/>
        <s v="001-00011746" u="1"/>
        <s v="001-00013322" u="1"/>
        <s v="001-00014741" u="1"/>
        <s v="001-00015299" u="1"/>
        <s v="001-00009520" u="1"/>
        <s v="001-00010337" u="1"/>
        <s v="001-00011756" u="1"/>
        <s v="001-00013332" u="1"/>
        <s v="001-00014751" u="1"/>
        <s v="001-00009530" u="1"/>
        <s v="001-00010347" u="1"/>
        <s v="001-00011766" u="1"/>
        <s v="001-00013342" u="1"/>
        <s v="001-00014761" u="1"/>
        <s v="001-00009540" u="1"/>
        <s v="001-00010357" u="1"/>
        <s v="001-00013352" u="1"/>
        <s v="001-00014771" u="1"/>
        <s v="001-00009550" u="1"/>
        <s v="001-00010367" u="1"/>
        <s v="001-00011786" u="1"/>
        <s v="001-00014805" u="1"/>
        <s v="ABO-00000453" u="1"/>
        <s v="001-00013362" u="1"/>
        <s v="001-00014781" u="1"/>
        <s v="001-00009560" u="1"/>
        <s v="001-00010377" u="1"/>
        <s v="001-00014815" u="1"/>
        <s v="001-00014791" u="1"/>
        <s v="001-00009570" u="1"/>
        <s v="001-00010387" u="1"/>
        <s v="001-00013406" u="1"/>
        <s v="001-00014825" u="1"/>
        <s v="001-00009604" u="1"/>
        <s v="001-00010397" u="1"/>
        <s v="001-00013416" u="1"/>
        <s v="001-00014835" u="1"/>
        <s v="001-00009614" u="1"/>
        <s v="ABO00000020" u="1"/>
        <s v="001-00013392" u="1"/>
        <s v="001-00016411" u="1"/>
        <s v="001-00009590" u="1"/>
        <s v="001-00012007" u="1"/>
        <s v="001-00014845" u="1"/>
        <s v="001-00009624" u="1"/>
        <s v="ABO00000021" u="1"/>
        <s v="001-00015002" u="1"/>
        <s v="001-00016421" u="1"/>
        <s v="001-00012017" u="1"/>
        <s v="001-00013436" u="1"/>
        <s v="001-00014855" u="1"/>
        <s v="ABO00000022" u="1"/>
        <s v="001-00012027" u="1"/>
        <s v="ABO00000023" u="1"/>
        <s v="001-00015022" u="1"/>
        <s v="001-00016441" u="1"/>
        <s v="001-00012037" u="1"/>
        <s v="001-00013456" u="1"/>
        <s v="001-00014875" u="1"/>
        <s v="001-00009654" u="1"/>
        <s v="ABO00000024" u="1"/>
        <s v="001-00014909" u="1"/>
        <s v="001-00015032" u="1"/>
        <s v="001-00012047" u="1"/>
        <s v="001-00013466" u="1"/>
        <s v="001-00014885" u="1"/>
        <s v="001-00009664" u="1"/>
        <s v="ABO00000025" u="1"/>
        <s v="001-00014919" u="1"/>
        <s v="001-00015042" u="1"/>
        <s v="001-00016461" u="1"/>
        <s v="001-00012057" u="1"/>
        <s v="001-00013476" u="1"/>
        <s v="001-00009674" u="1"/>
        <s v="ABO00000026" u="1"/>
        <s v="001-00014929" u="1"/>
        <s v="001-00015052" u="1"/>
        <s v="001-00009708" u="1"/>
        <s v="001-00012067" u="1"/>
        <s v="001-00013486" u="1"/>
        <s v="ABO00000027" u="1"/>
        <s v="001-00014939" u="1"/>
        <s v="001-00015062" u="1"/>
        <s v="001-00009718" u="1"/>
        <s v="001-00010100" u="1"/>
        <s v="001-00012077" u="1"/>
        <s v="001-00013496" u="1"/>
        <s v="ABO00000028" u="1"/>
        <s v="001-00014949" u="1"/>
        <s v="001-00015072" u="1"/>
        <s v="001-00016491" u="1"/>
        <s v="001-00010110" u="1"/>
        <s v="001-00012087" u="1"/>
        <s v="001-00015106" u="1"/>
        <s v="ABO00000029" u="1"/>
        <s v="001-00014959" u="1"/>
        <s v="001-00009738" u="1"/>
        <s v="001-00010120" u="1"/>
        <s v="001-00012097" u="1"/>
        <s v="001-00015116" u="1"/>
        <s v="001-00016535" u="1"/>
        <s v="001-00014969" u="1"/>
        <s v="001-00015092" u="1"/>
        <s v="001-00009748" u="1"/>
        <s v="001-00010130" u="1"/>
        <s v="001-00015126" u="1"/>
        <s v="001-00014979" u="1"/>
        <s v="001-00009758" u="1"/>
        <s v="001-00015136" u="1"/>
        <s v="001-00014989" u="1"/>
        <s v="001-00015146" u="1"/>
        <s v="001-00011603" u="1"/>
        <s v="001-00014999" u="1"/>
        <s v="001-00010160" u="1"/>
        <s v="001-00015156" u="1"/>
        <s v="001-00011613" u="1"/>
        <s v="001-00009788" u="1"/>
        <s v="001-00010170" u="1"/>
        <s v="001-00015166" u="1"/>
        <s v="001-00010204" u="1"/>
        <s v="001-00011623" u="1"/>
        <s v="001-00009798" u="1"/>
        <s v="001-00010180" u="1"/>
        <s v="001-00015176" u="1"/>
        <s v="001-00011633" u="1"/>
        <s v="001-00010190" u="1"/>
        <s v="001-00015186" u="1"/>
        <s v="001-00011643" u="1"/>
        <s v="001-00015196" u="1"/>
        <s v="001-00010234" u="1"/>
        <s v="001-00011653" u="1"/>
        <s v="001-00011663" u="1"/>
        <s v="001-00010254" u="1"/>
        <s v="001-00011673" u="1"/>
        <s v="001-00011707" u="1"/>
        <s v="001-00010264" u="1"/>
        <s v="001-00011683" u="1"/>
        <s v="001-00014702" u="1"/>
        <s v="001-00011717" u="1"/>
        <s v="001-00011693" u="1"/>
        <s v="001-00014712" u="1"/>
        <s v="001-00010308" u="1"/>
        <s v="001-00011727" u="1"/>
        <s v="001-00013303" u="1"/>
        <s v="001-00014722" u="1"/>
        <s v="001-00009501" u="1"/>
        <s v="001-00010318" u="1"/>
        <s v="001-00011737" u="1"/>
        <s v="ABO-00000404" u="1"/>
        <s v="001-00010294" u="1"/>
        <s v="001-00013313" u="1"/>
        <s v="001-00014732" u="1"/>
        <s v="001-00009511" u="1"/>
        <s v="001-00010328" u="1"/>
        <s v="001-00011747" u="1"/>
        <s v="ABO-00000414" u="1"/>
        <s v="001-00013323" u="1"/>
        <s v="001-00014742" u="1"/>
        <s v="001-00009521" u="1"/>
        <s v="ABO-00000390" u="1"/>
        <s v="001-00010338" u="1"/>
        <s v="001-00011757" u="1"/>
        <s v="001-00013333" u="1"/>
        <s v="001-00014752" u="1"/>
        <s v="001-00010348" u="1"/>
        <s v="001-00011767" u="1"/>
        <s v="ABO-00000434" u="1"/>
        <s v="001-00014762" u="1"/>
        <s v="001-00010358" u="1"/>
        <s v="001-00011777" u="1"/>
        <s v="ABO-00000444" u="1"/>
        <s v="001-00013353" u="1"/>
        <s v="001-00014772" u="1"/>
        <s v="001-00010368" u="1"/>
        <s v="001-00011787" u="1"/>
        <s v="001-00013363" u="1"/>
        <s v="001-00014782" u="1"/>
        <s v="001-00010378" u="1"/>
        <s v="001-00011797" u="1"/>
        <s v="001-00014816" u="1"/>
        <s v="001-00013373" u="1"/>
        <s v="001-00009571" u="1"/>
        <s v="001-00010388" u="1"/>
        <s v="001-00013407" u="1"/>
        <s v="001-00013383" u="1"/>
        <s v="001-00016402" u="1"/>
        <s v="001-00009581" u="1"/>
        <s v="001-00010398" u="1"/>
        <s v="001-00014836" u="1"/>
        <s v="001-00009615" u="1"/>
        <s v="001-00016412" u="1"/>
        <s v="001-00009591" u="1"/>
        <s v="001-00012008" u="1"/>
        <s v="001-00013427" u="1"/>
        <s v="001-00014846" u="1"/>
        <s v="001-00009625" u="1"/>
        <s v="001-00015003" u="1"/>
        <s v="001-00016422" u="1"/>
        <s v="001-00012018" u="1"/>
        <s v="001-00013437" u="1"/>
        <s v="001-00009635" u="1"/>
        <s v="001-00015013" u="1"/>
        <s v="001-00016432" u="1"/>
        <s v="001-00012028" u="1"/>
        <s v="001-00014866" u="1"/>
        <s v="001-00013457" u="1"/>
        <s v="001-00014876" u="1"/>
        <s v="001-00009655" u="1"/>
        <s v="001-00015033" u="1"/>
        <s v="001-00016452" u="1"/>
        <s v="001-00013467" u="1"/>
        <s v="001-00014886" u="1"/>
        <s v="001-00009665" u="1"/>
        <s v="001-00015043" u="1"/>
        <s v="001-00016462" u="1"/>
        <s v="001-00011500" u="1"/>
        <s v="001-00012058" u="1"/>
        <s v="001-00013477" u="1"/>
        <s v="001-00014896" u="1"/>
        <s v="001-00009675" u="1"/>
        <s v="001-00009709" u="1"/>
        <s v="001-00012068" u="1"/>
        <s v="001-00009685" u="1"/>
        <s v="001-00015063" u="1"/>
        <s v="001-00009719" u="1"/>
        <s v="001-00010101" u="1"/>
        <s v="001-00011520" u="1"/>
        <s v="001-00013497" u="1"/>
        <s v="001-00009695" u="1"/>
        <s v="001-00015073" u="1"/>
        <s v="001-00009729" u="1"/>
        <s v="001-00010111" u="1"/>
        <s v="001-00011530" u="1"/>
        <s v="001-00015107" u="1"/>
        <s v="001-00015083" u="1"/>
        <s v="001-00009739" u="1"/>
        <s v="001-00010121" u="1"/>
        <s v="001-00011540" u="1"/>
        <s v="001-00012098" u="1"/>
        <s v="001-00015093" u="1"/>
        <s v="001-00009749" u="1"/>
        <s v="001-00011550" u="1"/>
        <s v="001-00010141" u="1"/>
        <s v="001-00011560" u="1"/>
        <s v="001-00015137" u="1"/>
        <s v="001-00009769" u="1"/>
        <s v="001-00010151" u="1"/>
        <s v="001-00011570" u="1"/>
        <s v="001-00015147" u="1"/>
        <s v="001-00011604" u="1"/>
        <s v="001-00009779" u="1"/>
        <s v="001-00010161" u="1"/>
        <s v="001-00015157" u="1"/>
        <s v="001-00011614" u="1"/>
        <s v="001-00009789" u="1"/>
        <s v="001-00010171" u="1"/>
        <s v="001-00011590" u="1"/>
        <s v="001-00015167" u="1"/>
        <s v="001-00010205" u="1"/>
        <s v="001-00011624" u="1"/>
        <s v="001-00009799" u="1"/>
        <s v="001-00010181" u="1"/>
        <s v="001-00013200" u="1"/>
        <s v="001-00015177" u="1"/>
        <s v="001-00010215" u="1"/>
        <s v="001-00011634" u="1"/>
        <s v="001-00010191" u="1"/>
        <s v="001-00015187" u="1"/>
        <s v="001-00011644" u="1"/>
        <s v="001-00013220" u="1"/>
        <s v="001-00015197" u="1"/>
        <s v="001-00010235" u="1"/>
        <s v="001-00010245" u="1"/>
        <s v="001-00011664" u="1"/>
        <s v="001-00013240" u="1"/>
        <s v="001-00010255" u="1"/>
        <s v="001-00011674" u="1"/>
        <s v="001-00011708" u="1"/>
        <s v="001-00013250" u="1"/>
        <s v="001-00010265" u="1"/>
        <s v="001-00011684" u="1"/>
        <s v="001-00014703" u="1"/>
        <s v="001-00013260" u="1"/>
        <s v="001-00010275" u="1"/>
        <s v="001-00011694" u="1"/>
        <s v="001-00014713" u="1"/>
        <s v="001-00010309" u="1"/>
        <s v="001-00011728" u="1"/>
        <s v="001-00013304" u="1"/>
        <s v="001-00014723" u="1"/>
        <s v="001-00009502" u="1"/>
        <s v="001-00010319" u="1"/>
        <s v="001-00013280" u="1"/>
        <s v="ABO-00000405" u="1"/>
        <s v="001-00010295" u="1"/>
        <s v="001-00013314" u="1"/>
        <s v="001-00014733" u="1"/>
        <s v="001-00009512" u="1"/>
        <s v="001-00010329" u="1"/>
        <s v="001-00013290" u="1"/>
        <s v="ABO-00000415" u="1"/>
        <s v="001-00013324" u="1"/>
        <s v="001-00014743" u="1"/>
        <s v="001-00010339" u="1"/>
        <s v="001-00011758" u="1"/>
        <s v="001-00014753" u="1"/>
        <s v="001-00009532" u="1"/>
        <s v="001-00010349" u="1"/>
        <s v="ABO-00000435" u="1"/>
        <s v="001-00013344" u="1"/>
        <s v="001-00014763" u="1"/>
        <s v="001-00009542" u="1"/>
        <s v="001-00010359" u="1"/>
        <s v="001-00011778" u="1"/>
        <s v="ABO-00000445" u="1"/>
        <s v="001-00013354" u="1"/>
        <s v="001-00014773" u="1"/>
        <s v="001-00009552" u="1"/>
        <s v="001-00010369" u="1"/>
        <s v="001-00011788" u="1"/>
        <s v="001-00014807" u="1"/>
        <s v="001-00013364" u="1"/>
        <s v="001-00009562" u="1"/>
        <s v="001-00010379" u="1"/>
        <s v="001-00014817" u="1"/>
        <s v="001-00013374" u="1"/>
        <s v="001-00014793" u="1"/>
        <s v="001-00009572" u="1"/>
        <s v="001-00013408" u="1"/>
        <s v="001-00014827" u="1"/>
        <s v="001-00009606" u="1"/>
        <s v="001-00013384" u="1"/>
        <s v="001-00016403" u="1"/>
        <s v="001-00009582" u="1"/>
        <s v="001-00010399" u="1"/>
        <s v="001-00013418" u="1"/>
        <s v="001-00009616" u="1"/>
        <s v="001-00009592" u="1"/>
        <s v="001-00012009" u="1"/>
        <s v="001-00013428" u="1"/>
        <s v="001-00009626" u="1"/>
        <s v="001-00015004" u="1"/>
        <s v="001-00016423" u="1"/>
        <s v="001-00012019" u="1"/>
        <s v="001-00014857" u="1"/>
        <s v="001-00009636" u="1"/>
        <s v="001-00015014" u="1"/>
        <s v="001-00016433" u="1"/>
        <s v="001-00012029" u="1"/>
        <s v="001-00013448" u="1"/>
        <s v="001-00014867" u="1"/>
        <s v="001-00009646" u="1"/>
        <s v="001-00015024" u="1"/>
        <s v="001-00012039" u="1"/>
        <s v="001-00013458" u="1"/>
        <s v="001-00009656" u="1"/>
        <s v="001-00015034" u="1"/>
        <s v="001-00012049" u="1"/>
        <s v="001-00013468" u="1"/>
        <s v="001-00014887" u="1"/>
        <s v="001-00016463" u="1"/>
        <s v="001-00012920" u="1"/>
        <s v="001-00012059" u="1"/>
        <s v="001-00013478" u="1"/>
        <s v="001-00014897" u="1"/>
        <s v="001-00009676" u="1"/>
        <s v="001-00015054" u="1"/>
        <s v="001-00011511" u="1"/>
        <s v="001-00012930" u="1"/>
        <s v="001-00012069" u="1"/>
        <s v="001-00009686" u="1"/>
        <s v="001-00015064" u="1"/>
        <s v="001-00010102" u="1"/>
        <s v="001-00011521" u="1"/>
        <s v="001-00012940" u="1"/>
        <s v="001-00012079" u="1"/>
        <s v="001-00013498" u="1"/>
        <s v="001-00009696" u="1"/>
        <s v="001-00015074" u="1"/>
        <s v="001-00011531" u="1"/>
        <s v="001-00012950" u="1"/>
        <s v="001-00012089" u="1"/>
        <s v="001-00015108" u="1"/>
        <s v="001-00010122" u="1"/>
        <s v="001-00012099" u="1"/>
        <s v="001-00015118" u="1"/>
        <s v="001-00015094" u="1"/>
        <s v="001-00010132" u="1"/>
        <s v="001-00011551" u="1"/>
        <s v="001-00012970" u="1"/>
        <s v="001-00015128" u="1"/>
        <s v="001-00010142" u="1"/>
        <s v="001-00011561" u="1"/>
        <s v="001-00012980" u="1"/>
        <s v="001-00011571" u="1"/>
        <s v="001-00012990" u="1"/>
        <s v="001-00015148" u="1"/>
        <s v="001-00011605" u="1"/>
        <s v="001-00010162" u="1"/>
        <s v="001-00011581" u="1"/>
        <s v="001-00014600" u="1"/>
        <s v="001-00011615" u="1"/>
        <s v="001-00010172" u="1"/>
        <s v="001-00011591" u="1"/>
        <s v="001-00014610" u="1"/>
        <s v="001-00015168" u="1"/>
        <s v="001-00010206" u="1"/>
        <s v="001-00011625" u="1"/>
        <s v="001-00010182" u="1"/>
        <s v="001-00013201" u="1"/>
        <s v="001-00014620" u="1"/>
        <s v="001-00011635" u="1"/>
        <s v="001-00010192" u="1"/>
        <s v="001-00013211" u="1"/>
        <s v="001-00014630" u="1"/>
        <s v="001-00015188" u="1"/>
        <s v="001-00010226" u="1"/>
        <s v="001-00011645" u="1"/>
        <s v="001-00013221" u="1"/>
        <s v="001-00015198" u="1"/>
        <s v="001-00010236" u="1"/>
        <s v="001-00011655" u="1"/>
        <s v="001-00013231" u="1"/>
        <s v="001-00014650" u="1"/>
        <s v="001-00013241" u="1"/>
        <s v="001-00014660" u="1"/>
        <s v="001-00010256" u="1"/>
        <s v="001-00011675" u="1"/>
        <s v="001-00013251" u="1"/>
        <s v="001-00010266" u="1"/>
        <s v="001-00011685" u="1"/>
        <s v="001-00014704" u="1"/>
        <s v="001-00013261" u="1"/>
        <s v="001-00014680" u="1"/>
        <s v="001-00010276" u="1"/>
        <s v="001-00011695" u="1"/>
        <s v="001-00014714" u="1"/>
        <s v="001-00011729" u="1"/>
        <s v="001-00013271" u="1"/>
        <s v="001-00014690" u="1"/>
        <s v="001-00010286" u="1"/>
        <s v="001-00013305" u="1"/>
        <s v="001-00014724" u="1"/>
        <s v="001-00009503" u="1"/>
        <s v="001-00011739" u="1"/>
        <s v="001-00013281" u="1"/>
        <s v="001-00016300" u="1"/>
        <s v="ABO-00000406" u="1"/>
        <s v="001-00010296" u="1"/>
        <s v="001-00013315" u="1"/>
        <s v="001-00014734" u="1"/>
        <s v="001-00009513" u="1"/>
        <s v="001-00011749" u="1"/>
        <s v="001-00013291" u="1"/>
        <s v="001-00016310" u="1"/>
        <s v="001-00013325" u="1"/>
        <s v="001-00014744" u="1"/>
        <s v="001-00009523" u="1"/>
        <s v="001-00011759" u="1"/>
        <s v="ABO-00000426" u="1"/>
        <s v="001-00013335" u="1"/>
        <s v="001-00009533" u="1"/>
        <s v="001-00011769" u="1"/>
        <s v="ABO-00000436" u="1"/>
        <s v="001-00013345" u="1"/>
        <s v="001-00014764" u="1"/>
        <s v="001-00009543" u="1"/>
        <s v="001-00011779" u="1"/>
        <s v="001-00016340" u="1"/>
        <s v="ABO-00000446" u="1"/>
        <s v="001-00014774" u="1"/>
        <s v="001-00009553" u="1"/>
        <s v="001-00011789" u="1"/>
        <s v="001-00014808" u="1"/>
        <s v="001-00016350" u="1"/>
        <s v="001-00013365" u="1"/>
        <s v="001-00014784" u="1"/>
        <s v="001-00009563" u="1"/>
        <s v="001-00011799" u="1"/>
        <s v="001-00014818" u="1"/>
        <s v="001-00014794" u="1"/>
        <s v="001-00009573" u="1"/>
        <s v="001-00013409" u="1"/>
        <s v="001-00014828" u="1"/>
        <s v="001-00009607" u="1"/>
        <s v="001-00016404" u="1"/>
        <s v="001-00013419" u="1"/>
        <s v="001-00016380" u="1"/>
        <s v="001-00009617" u="1"/>
        <s v="001-00013395" u="1"/>
        <s v="001-00016414" u="1"/>
        <s v="001-00013429" u="1"/>
        <s v="001-00016390" u="1"/>
        <s v="001-00016424" u="1"/>
        <s v="001-00013439" u="1"/>
        <s v="001-00014858" u="1"/>
        <s v="001-00009637" u="1"/>
        <s v="001-00016434" u="1"/>
        <s v="001-00014868" u="1"/>
        <s v="001-00009647" u="1"/>
        <s v="001-00015025" u="1"/>
        <s v="001-00016444" u="1"/>
        <s v="001-00012901" u="1"/>
        <s v="001-00014878" u="1"/>
        <s v="001-00012911" u="1"/>
        <s v="001-00013469" u="1"/>
        <s v="001-00014888" u="1"/>
        <s v="001-00009667" u="1"/>
        <s v="001-00015045" u="1"/>
        <s v="001-00011502" u="1"/>
        <s v="001-00012921" u="1"/>
        <s v="001-00013479" u="1"/>
        <s v="001-00014898" u="1"/>
        <s v="001-00009677" u="1"/>
        <s v="001-00015055" u="1"/>
        <s v="001-00016474" u="1"/>
        <s v="001-00011512" u="1"/>
        <s v="001-00012931" u="1"/>
        <s v="001-00013489" u="1"/>
        <s v="001-00009687" u="1"/>
        <s v="001-00015065" u="1"/>
        <s v="001-00016484" u="1"/>
        <s v="001-00010103" u="1"/>
        <s v="001-00011522" u="1"/>
        <s v="001-00012941" u="1"/>
        <s v="001-00013499" u="1"/>
        <s v="001-00016518" u="1"/>
        <s v="001-00015075" u="1"/>
        <s v="001-00010113" u="1"/>
        <s v="001-00011532" u="1"/>
        <s v="001-00012951" u="1"/>
        <s v="001-00015109" u="1"/>
        <s v="001-00016528" u="1"/>
        <s v="001-00015085" u="1"/>
        <s v="001-00010123" u="1"/>
        <s v="001-00011542" u="1"/>
        <s v="001-00012961" u="1"/>
        <s v="001-00015119" u="1"/>
        <s v="001-00015095" u="1"/>
        <s v="001-00010133" u="1"/>
        <s v="001-00010143" u="1"/>
        <s v="001-00011562" u="1"/>
        <s v="001-00015139" u="1"/>
        <s v="001-00010153" u="1"/>
        <s v="001-00011572" u="1"/>
        <s v="001-00012991" u="1"/>
        <s v="001-00015149" u="1"/>
        <s v="001-00011606" u="1"/>
        <s v="001-00010163" u="1"/>
        <s v="001-00011582" u="1"/>
        <s v="001-00011616" u="1"/>
        <s v="001-00010173" u="1"/>
        <s v="001-00011592" u="1"/>
        <s v="001-00014611" u="1"/>
        <s v="001-00015169" u="1"/>
        <s v="001-00010207" u="1"/>
        <s v="001-00011626" u="1"/>
        <s v="001-00010183" u="1"/>
        <s v="001-00013202" u="1"/>
        <s v="001-00014621" u="1"/>
        <s v="001-00015179" u="1"/>
        <s v="001-00009400" u="1"/>
        <s v="001-00010217" u="1"/>
        <s v="001-00011636" u="1"/>
        <s v="001-00010193" u="1"/>
        <s v="001-00013212" u="1"/>
        <s v="001-00014631" u="1"/>
        <s v="001-00015189" u="1"/>
        <s v="001-00009410" u="1"/>
        <s v="001-00010227" u="1"/>
        <s v="001-00011646" u="1"/>
        <s v="001-00013222" u="1"/>
        <s v="001-00014641" u="1"/>
        <s v="001-00010237" u="1"/>
        <s v="001-00011656" u="1"/>
        <s v="001-00014651" u="1"/>
        <s v="001-00010247" u="1"/>
        <s v="001-00011666" u="1"/>
        <s v="001-00014661" u="1"/>
        <s v="001-00009440" u="1"/>
        <s v="001-00010257" u="1"/>
        <s v="001-00011676" u="1"/>
        <s v="001-00014671" u="1"/>
        <s v="001-00009450" u="1"/>
        <s v="001-00010267" u="1"/>
        <s v="001-00011686" u="1"/>
        <s v="001-00014705" u="1"/>
        <s v="001-00013262" u="1"/>
        <s v="001-00014681" u="1"/>
        <s v="001-00009460" u="1"/>
        <s v="001-00010277" u="1"/>
        <s v="001-00011696" u="1"/>
        <s v="001-00014715" u="1"/>
        <s v="001-00013272" u="1"/>
        <s v="001-00009470" u="1"/>
        <s v="001-00010287" u="1"/>
        <s v="001-00013306" u="1"/>
        <s v="001-00014725" u="1"/>
        <s v="001-00009504" u="1"/>
        <s v="001-00016301" u="1"/>
        <s v="ABO-00000407" u="1"/>
        <s v="001-00010297" u="1"/>
        <s v="001-00009514" u="1"/>
        <s v="ABO-00000383" u="1"/>
        <s v="ABO00000010" u="1"/>
        <s v="001-00009490" u="1"/>
        <s v="001-00013326" u="1"/>
        <s v="001-00014745" u="1"/>
        <s v="001-00009524" u="1"/>
        <s v="ABO00000011" u="1"/>
        <s v="001-00016321" u="1"/>
        <s v="ABO-00000427" u="1"/>
        <s v="001-00013336" u="1"/>
        <s v="001-00014755" u="1"/>
        <s v="001-00009534" u="1"/>
        <s v="ABO00000012" u="1"/>
        <s v="001-00016331" u="1"/>
        <s v="ABO-00000437" u="1"/>
        <s v="001-00013346" u="1"/>
        <s v="001-00014765" u="1"/>
        <s v="ABO00000013" u="1"/>
        <s v="001-00016341" u="1"/>
        <s v="ABO-00000447" u="1"/>
        <s v="001-00013356" u="1"/>
        <s v="001-00014775" u="1"/>
        <s v="001-00014809" u="1"/>
        <s v="001-00016351" u="1"/>
        <s v="001-00014785" u="1"/>
        <s v="001-00009564" u="1"/>
        <s v="001-00014819" u="1"/>
        <s v="001-00016361" u="1"/>
        <s v="001-00013376" u="1"/>
        <s v="001-00014795" u="1"/>
        <s v="001-00009574" u="1"/>
        <s v="001-00014829" u="1"/>
        <s v="001-00013386" u="1"/>
        <s v="001-00016405" u="1"/>
        <s v="001-00009584" u="1"/>
        <s v="ABO00000017" u="1"/>
        <s v="001-00014839" u="1"/>
        <s v="001-00009618" u="1"/>
        <s v="001-00010000" u="1"/>
        <s v="001-00013396" u="1"/>
        <s v="001-00016415" u="1"/>
        <s v="001-00009594" u="1"/>
        <s v="ABO00000018" u="1"/>
        <s v="001-00014849" u="1"/>
        <s v="001-00016391" u="1"/>
        <s v="001-00009628" u="1"/>
        <s v="001-00010010" u="1"/>
        <s v="001-00015006" u="1"/>
        <s v="001-00016425" u="1"/>
        <s v="ABO00000019" u="1"/>
        <s v="001-00014859" u="1"/>
        <s v="001-00009638" u="1"/>
        <s v="001-00010020" u="1"/>
        <s v="001-00015016" u="1"/>
        <s v="001-00014869" u="1"/>
        <s v="001-00009648" u="1"/>
        <s v="001-00010030" u="1"/>
        <s v="001-00015026" u="1"/>
        <s v="001-00016445" u="1"/>
        <s v="001-00014879" u="1"/>
        <s v="001-00009658" u="1"/>
        <s v="001-00010040" u="1"/>
        <s v="001-00015036" u="1"/>
        <s v="001-00010050" u="1"/>
        <s v="001-00015046" u="1"/>
        <s v="001-00011503" u="1"/>
        <s v="001-00012922" u="1"/>
        <s v="001-00014899" u="1"/>
        <s v="001-00010060" u="1"/>
        <s v="001-00015056" u="1"/>
        <s v="001-00016475" u="1"/>
        <s v="001-00011513" u="1"/>
        <s v="001-00012932" u="1"/>
        <s v="001-00009688" u="1"/>
        <s v="001-00010070" u="1"/>
        <s v="001-00015066" u="1"/>
        <s v="001-00016485" u="1"/>
        <s v="001-00010104" u="1"/>
        <s v="001-00011523" u="1"/>
        <s v="001-00012942" u="1"/>
        <s v="001-00016519" u="1"/>
        <s v="001-00009698" u="1"/>
        <s v="001-00010080" u="1"/>
        <s v="001-00015076" u="1"/>
        <s v="001-00010114" u="1"/>
        <s v="001-00011533" u="1"/>
        <s v="001-00012952" u="1"/>
        <s v="001-00010090" u="1"/>
        <s v="001-00015086" u="1"/>
        <s v="001-00010124" u="1"/>
        <s v="001-00011543" u="1"/>
        <s v="001-00012962" u="1"/>
        <s v="001-00015096" u="1"/>
        <s v="001-00010134" u="1"/>
        <s v="001-00012972" u="1"/>
        <s v="001-00010144" u="1"/>
        <s v="001-00011563" u="1"/>
        <s v="001-00012982" u="1"/>
        <s v="001-00010154" u="1"/>
        <s v="001-00011573" u="1"/>
        <s v="001-00012992" u="1"/>
        <s v="001-00010164" u="1"/>
        <s v="001-00011583" u="1"/>
        <s v="001-00014602" u="1"/>
        <s v="001-00011617" u="1"/>
        <s v="001-00010174" u="1"/>
        <s v="001-00011593" u="1"/>
        <s v="001-00014612" u="1"/>
        <s v="001-00010208" u="1"/>
        <s v="001-00010184" u="1"/>
        <s v="001-00014622" u="1"/>
        <s v="001-00009401" u="1"/>
        <s v="001-00010218" u="1"/>
        <s v="001-00011637" u="1"/>
        <s v="001-00010194" u="1"/>
        <s v="001-00013213" u="1"/>
        <s v="001-00014632" u="1"/>
        <s v="001-00009411" u="1"/>
        <s v="001-00010228" u="1"/>
        <s v="001-00011647" u="1"/>
        <s v="001-00013223" u="1"/>
        <s v="001-00014642" u="1"/>
        <s v="001-00014652" u="1"/>
        <s v="001-00009431" u="1"/>
        <s v="001-00010248" u="1"/>
        <s v="001-00014662" u="1"/>
        <s v="001-00009441" u="1"/>
        <s v="001-00010258" u="1"/>
        <s v="001-00011677" u="1"/>
        <s v="001-00013253" u="1"/>
        <s v="001-00014672" u="1"/>
        <s v="001-00010268" u="1"/>
        <s v="001-00011687" u="1"/>
        <s v="001-00014706" u="1"/>
        <s v="001-00013263" u="1"/>
        <s v="001-00014682" u="1"/>
        <s v="001-00009461" u="1"/>
        <s v="001-00010278" u="1"/>
        <s v="001-00011697" u="1"/>
        <s v="001-00014716" u="1"/>
        <s v="001-00013273" u="1"/>
        <s v="001-00014692" u="1"/>
        <s v="001-00009471" u="1"/>
        <s v="001-00010288" u="1"/>
        <s v="001-00013307" u="1"/>
        <s v="001-00014726" u="1"/>
        <s v="001-00009505" u="1"/>
        <s v="001-00013283" u="1"/>
        <s v="001-00009481" u="1"/>
        <s v="ABO-00000408" u="1"/>
        <s v="001-00010298" u="1"/>
        <s v="ABO-00000384" u="1"/>
        <s v="ABO-00000418" u="1"/>
        <s v="001-00013327" u="1"/>
        <s v="001-00014746" u="1"/>
        <s v="ABO-00000394" u="1"/>
        <s v="ABO-00000428" u="1"/>
        <s v="001-00013337" u="1"/>
        <s v="001-00014756" u="1"/>
        <s v="001-00009535" u="1"/>
        <s v="001-00016332" u="1"/>
        <s v="001-00013347" u="1"/>
        <s v="001-00014766" u="1"/>
        <s v="001-00009545" u="1"/>
        <s v="001-00016342" u="1"/>
        <s v="ABO-00000448" u="1"/>
        <s v="001-00013357" u="1"/>
        <s v="001-00014776" u="1"/>
        <s v="001-00009555" u="1"/>
        <s v="001-00013367" u="1"/>
        <s v="001-00014786" u="1"/>
        <s v="001-00009565" u="1"/>
        <s v="001-00016362" u="1"/>
        <s v="001-00011400" u="1"/>
        <s v="001-00013377" u="1"/>
        <s v="001-00014796" u="1"/>
        <s v="001-00009575" u="1"/>
        <s v="001-00016372" u="1"/>
        <s v="001-00009609" u="1"/>
        <s v="001-00011410" u="1"/>
        <s v="001-00013387" u="1"/>
        <s v="001-00016406" u="1"/>
        <s v="001-00009585" u="1"/>
        <s v="001-00016382" u="1"/>
        <s v="001-00009619" u="1"/>
        <s v="001-00010001" u="1"/>
        <s v="001-00011420" u="1"/>
        <s v="001-00016416" u="1"/>
        <s v="001-00009629" u="1"/>
        <s v="001-00010011" u="1"/>
        <s v="001-00011430" u="1"/>
        <s v="001-00015007" u="1"/>
        <s v="001-00009639" u="1"/>
        <s v="001-00010021" u="1"/>
        <s v="001-00015017" u="1"/>
        <s v="001-00016436" u="1"/>
        <s v="001-00009649" u="1"/>
        <s v="001-00011450" u="1"/>
        <s v="001-00015027" u="1"/>
        <s v="001-00012903" u="1"/>
        <s v="001-00009659" u="1"/>
        <s v="001-00010041" u="1"/>
        <s v="001-00011460" u="1"/>
        <s v="001-00015037" u="1"/>
        <s v="001-00009669" u="1"/>
        <s v="001-00011470" u="1"/>
        <s v="001-00011504" u="1"/>
        <s v="001-00012923" u="1"/>
        <s v="001-00009679" u="1"/>
        <s v="001-00011480" u="1"/>
        <s v="001-00015057" u="1"/>
        <s v="001-00011514" u="1"/>
        <s v="001-00012933" u="1"/>
        <s v="001-00009689" u="1"/>
        <s v="001-00010071" u="1"/>
        <s v="001-00011490" u="1"/>
        <s v="001-00015067" u="1"/>
        <s v="001-00010105" u="1"/>
        <s v="001-00011524" u="1"/>
        <s v="001-00012943" u="1"/>
        <s v="001-00009699" u="1"/>
        <s v="001-00013100" u="1"/>
        <s v="001-00015077" u="1"/>
        <s v="001-00012953" u="1"/>
        <s v="001-00013110" u="1"/>
        <s v="001-00015087" u="1"/>
        <s v="001-00011544" u="1"/>
        <s v="001-00013120" u="1"/>
        <s v="001-00015097" u="1"/>
        <s v="001-00010135" u="1"/>
        <s v="001-00011554" u="1"/>
        <s v="001-00012973" u="1"/>
        <s v="001-00013130" u="1"/>
        <s v="001-00010145" u="1"/>
        <s v="001-00011564" u="1"/>
        <s v="001-00012983" u="1"/>
        <s v="001-00013140" u="1"/>
        <s v="001-00010155" u="1"/>
        <s v="001-00010165" u="1"/>
        <s v="001-00011584" u="1"/>
        <s v="001-00014603" u="1"/>
        <s v="001-00011618" u="1"/>
        <s v="001-00013160" u="1"/>
        <s v="001-00010175" u="1"/>
        <s v="001-00011594" u="1"/>
        <s v="001-00014613" u="1"/>
        <s v="001-00010209" u="1"/>
        <s v="001-00011628" u="1"/>
        <s v="001-00010185" u="1"/>
        <s v="001-00013204" u="1"/>
        <s v="001-00014623" u="1"/>
        <s v="001-00010219" u="1"/>
        <s v="001-00011638" u="1"/>
        <s v="001-00013180" u="1"/>
        <s v="001-00010195" u="1"/>
        <s v="001-00013214" u="1"/>
        <s v="001-00014633" u="1"/>
        <s v="001-00009412" u="1"/>
        <s v="001-00010229" u="1"/>
        <s v="001-00011648" u="1"/>
        <s v="001-00013190" u="1"/>
        <s v="001-00013224" u="1"/>
        <s v="001-00014643" u="1"/>
        <s v="001-00009422" u="1"/>
        <s v="001-00010239" u="1"/>
        <s v="001-00014653" u="1"/>
        <s v="001-00009432" u="1"/>
        <s v="001-00010249" u="1"/>
        <s v="001-00011668" u="1"/>
        <s v="001-00013244" u="1"/>
        <s v="001-00014663" u="1"/>
        <s v="001-00009442" u="1"/>
        <s v="001-00010259" u="1"/>
        <s v="001-00011678" u="1"/>
        <s v="001-00013254" u="1"/>
        <s v="001-00014673" u="1"/>
        <s v="001-00009452" u="1"/>
        <s v="001-00010269" u="1"/>
        <s v="001-00011688" u="1"/>
        <s v="001-00014707" u="1"/>
        <s v="001-00013264" u="1"/>
        <s v="001-00014683" u="1"/>
        <s v="001-00009462" u="1"/>
        <s v="001-00010279" u="1"/>
        <s v="001-00011698" u="1"/>
        <s v="001-00014717" u="1"/>
        <s v="001-00009472" u="1"/>
        <s v="001-00010289" u="1"/>
        <s v="001-00013308" u="1"/>
        <s v="001-00014727" u="1"/>
        <s v="001-00009506" u="1"/>
        <s v="001-00013284" u="1"/>
        <s v="001-00016303" u="1"/>
        <s v="001-00009482" u="1"/>
        <s v="ABO-00000409" u="1"/>
        <s v="001-00010299" u="1"/>
        <s v="001-00013318" u="1"/>
        <s v="001-00014737" u="1"/>
        <s v="001-00009516" u="1"/>
        <s v="001-00013294" u="1"/>
        <s v="001-00016313" u="1"/>
        <s v="001-00009492" u="1"/>
        <s v="001-00013328" u="1"/>
        <s v="001-00014747" u="1"/>
        <s v="ABO-00000395" u="1"/>
        <s v="001-00016323" u="1"/>
        <s v="001-00013338" u="1"/>
        <s v="001-00014757" u="1"/>
        <s v="001-00009536" u="1"/>
        <s v="001-00016333" u="1"/>
        <s v="ABO-00000439" u="1"/>
        <s v="001-00013348" u="1"/>
        <s v="001-00014767" u="1"/>
        <s v="001-00009546" u="1"/>
        <s v="001-00016343" u="1"/>
        <s v="ABO-00000449" u="1"/>
        <s v="001-00012800" u="1"/>
        <s v="001-00014777" u="1"/>
        <s v="001-00009556" u="1"/>
        <s v="001-00016353" u="1"/>
        <s v="001-00012810" u="1"/>
        <s v="001-00013368" u="1"/>
        <s v="001-00014787" u="1"/>
        <s v="001-00016363" u="1"/>
        <s v="001-00011401" u="1"/>
        <s v="001-00012820" u="1"/>
        <s v="001-00013378" u="1"/>
        <s v="001-00014797" u="1"/>
        <s v="001-00009576" u="1"/>
        <s v="001-00011411" u="1"/>
        <s v="001-00012830" u="1"/>
        <s v="001-00013388" u="1"/>
        <s v="001-00016407" u="1"/>
        <s v="001-00009586" u="1"/>
        <s v="001-00016383" u="1"/>
        <s v="001-00011421" u="1"/>
        <s v="001-00012840" u="1"/>
        <s v="001-00013398" u="1"/>
        <s v="001-00016417" u="1"/>
        <s v="001-00009596" u="1"/>
        <s v="001-00010012" u="1"/>
        <s v="001-00011431" u="1"/>
        <s v="001-00015008" u="1"/>
        <s v="001-00016427" u="1"/>
        <s v="001-00010022" u="1"/>
        <s v="001-00011441" u="1"/>
        <s v="001-00012860" u="1"/>
        <s v="001-00015018" u="1"/>
        <s v="001-00016437" u="1"/>
        <s v="001-00010032" u="1"/>
        <s v="001-00011451" u="1"/>
        <s v="001-00015028" u="1"/>
        <s v="001-00010042" u="1"/>
        <s v="001-00011461" u="1"/>
        <s v="001-00012880" u="1"/>
        <s v="001-00015038" u="1"/>
        <s v="001-00012914" u="1"/>
        <s v="001-00010052" u="1"/>
        <s v="001-00011471" u="1"/>
        <s v="001-00012890" u="1"/>
        <s v="001-00015048" u="1"/>
        <s v="001-00011505" u="1"/>
        <s v="001-00012924" u="1"/>
        <s v="001-00010062" u="1"/>
        <s v="001-00011481" u="1"/>
        <s v="001-00014500" u="1"/>
        <s v="001-00015058" u="1"/>
        <s v="001-00012934" u="1"/>
        <s v="001-00010072" u="1"/>
        <s v="001-00011491" u="1"/>
        <s v="001-00014510" u="1"/>
        <s v="001-00011525" u="1"/>
        <s v="001-00010082" u="1"/>
        <s v="001-00013101" u="1"/>
        <s v="001-00014520" u="1"/>
        <s v="001-00015078" u="1"/>
        <s v="001-00010116" u="1"/>
        <s v="001-00011535" u="1"/>
        <s v="001-00012954" u="1"/>
        <s v="001-00010092" u="1"/>
        <s v="001-00015088" u="1"/>
        <s v="001-00011545" u="1"/>
        <s v="001-00013121" u="1"/>
        <s v="001-00014540" u="1"/>
        <s v="001-00015098" u="1"/>
        <s v="001-00011555" u="1"/>
        <s v="001-00013131" u="1"/>
        <s v="001-00014550" u="1"/>
        <s v="001-00010146" u="1"/>
        <s v="001-00012984" u="1"/>
        <s v="001-00013141" u="1"/>
        <s v="001-00010156" u="1"/>
        <s v="001-00011575" u="1"/>
        <s v="001-00012994" u="1"/>
        <s v="001-00011609" u="1"/>
        <s v="001-00013151" u="1"/>
        <s v="001-00010166" u="1"/>
        <s v="001-00011585" u="1"/>
        <s v="001-00014604" u="1"/>
        <s v="001-00011619" u="1"/>
        <s v="001-00013161" u="1"/>
        <s v="001-00014580" u="1"/>
        <s v="001-00010176" u="1"/>
        <s v="001-00011595" u="1"/>
        <s v="001-00014614" u="1"/>
        <s v="001-00011629" u="1"/>
        <s v="001-00013171" u="1"/>
        <s v="001-00014590" u="1"/>
        <s v="001-00013205" u="1"/>
        <s v="001-00014624" u="1"/>
        <s v="001-00009403" u="1"/>
        <s v="001-00011639" u="1"/>
        <s v="001-00013181" u="1"/>
        <s v="001-00016200" u="1"/>
        <s v="001-00010196" u="1"/>
        <s v="001-00009413" u="1"/>
        <s v="001-00011649" u="1"/>
        <s v="001-00013191" u="1"/>
        <s v="001-00016210" u="1"/>
        <s v="001-00014644" u="1"/>
        <s v="001-00009423" u="1"/>
        <s v="001-00013235" u="1"/>
        <s v="001-00009433" u="1"/>
        <s v="001-00011669" u="1"/>
        <s v="001-00016230" u="1"/>
        <s v="001-00013245" u="1"/>
        <s v="001-00013255" u="1"/>
        <s v="001-00014674" u="1"/>
        <s v="001-00009453" u="1"/>
        <s v="001-00011689" u="1"/>
        <s v="001-00014708" u="1"/>
        <s v="001-00016250" u="1"/>
        <s v="001-00014684" u="1"/>
        <s v="001-00009463" u="1"/>
        <s v="001-00011699" u="1"/>
        <s v="001-00014718" u="1"/>
        <s v="001-00016260" u="1"/>
        <s v="001-00013275" u="1"/>
        <s v="001-00014694" u="1"/>
        <s v="001-00009473" u="1"/>
        <s v="001-00013309" u="1"/>
        <s v="001-00013285" u="1"/>
        <s v="001-00016304" u="1"/>
        <s v="001-00009483" u="1"/>
        <s v="001-00013319" u="1"/>
        <s v="001-00014738" u="1"/>
        <s v="001-00016280" u="1"/>
        <s v="001-00009517" u="1"/>
        <s v="001-00013295" u="1"/>
        <s v="001-00013329" u="1"/>
        <s v="001-00014748" u="1"/>
        <s v="001-00016290" u="1"/>
        <s v="001-00009527" u="1"/>
        <s v="001-00016324" u="1"/>
        <s v="001-00013339" u="1"/>
        <s v="001-00014758" u="1"/>
        <s v="001-00009537" u="1"/>
        <s v="001-00013349" u="1"/>
        <s v="001-00009547" u="1"/>
        <s v="001-00016344" u="1"/>
        <s v="001-00012801" u="1"/>
        <s v="001-00013359" u="1"/>
        <s v="001-00014778" u="1"/>
        <s v="001-00009557" u="1"/>
        <s v="001-00012811" u="1"/>
        <s v="001-00013369" u="1"/>
        <s v="001-00014788" u="1"/>
        <s v="001-00009567" u="1"/>
        <s v="001-00016364" u="1"/>
        <s v="001-00011402" u="1"/>
        <s v="001-00012821" u="1"/>
        <s v="001-00013379" u="1"/>
        <s v="001-00016374" u="1"/>
        <s v="001-00011412" u="1"/>
        <s v="001-00012831" u="1"/>
        <s v="001-00013389" u="1"/>
        <s v="001-00016408" u="1"/>
        <s v="001-00009587" u="1"/>
        <s v="001-00016384" u="1"/>
        <s v="001-00010003" u="1"/>
        <s v="001-00011422" u="1"/>
        <s v="001-00012841" u="1"/>
        <s v="001-00013399" u="1"/>
        <s v="001-00009597" u="1"/>
        <s v="001-00016394" u="1"/>
        <s v="001-00010013" u="1"/>
        <s v="001-00011432" u="1"/>
        <s v="001-00012851" u="1"/>
        <s v="001-00015009" u="1"/>
        <s v="001-00010023" u="1"/>
        <s v="001-00011442" u="1"/>
        <s v="001-00012861" u="1"/>
        <s v="001-00015019" u="1"/>
        <s v="001-00016438" u="1"/>
        <s v="001-00010033" u="1"/>
        <s v="001-00011452" u="1"/>
        <s v="001-00012871" u="1"/>
        <s v="001-00015029" u="1"/>
        <s v="001-00012881" u="1"/>
        <s v="001-00016458" u="1"/>
        <s v="001-00012915" u="1"/>
        <s v="001-00010053" u="1"/>
        <s v="001-00011472" u="1"/>
        <s v="001-00015910" u="1"/>
        <s v="001-00010063" u="1"/>
        <s v="001-00011482" u="1"/>
        <s v="001-00014501" u="1"/>
        <s v="001-00015059" u="1"/>
        <s v="001-00016478" u="1"/>
        <s v="001-00011516" u="1"/>
        <s v="001-00010073" u="1"/>
        <s v="001-00014511" u="1"/>
        <s v="001-00015930" u="1"/>
        <s v="001-00015069" u="1"/>
        <s v="001-00010107" u="1"/>
        <s v="001-00011526" u="1"/>
        <s v="001-00010083" u="1"/>
        <s v="001-00013102" u="1"/>
        <s v="001-00014521" u="1"/>
        <s v="001-00015940" u="1"/>
        <s v="001-00015079" u="1"/>
        <s v="001-00016498" u="1"/>
        <s v="001-00009300" u="1"/>
        <s v="001-00010117" u="1"/>
        <s v="001-00011536" u="1"/>
        <s v="001-00010093" u="1"/>
        <s v="001-00013112" u="1"/>
        <s v="001-00014531" u="1"/>
        <s v="001-00015950" u="1"/>
        <s v="001-00015089" u="1"/>
        <s v="001-00009310" u="1"/>
        <s v="001-00010127" u="1"/>
        <s v="001-00011546" u="1"/>
        <s v="001-00012965" u="1"/>
        <s v="001-00013122" u="1"/>
        <s v="001-00014541" u="1"/>
        <s v="001-00015099" u="1"/>
        <s v="001-00010137" u="1"/>
        <s v="001-00012975" u="1"/>
        <s v="001-00013132" u="1"/>
        <s v="001-00014551" u="1"/>
        <s v="001-00015970" u="1"/>
        <s v="001-00009330" u="1"/>
        <s v="001-00010147" u="1"/>
        <s v="001-00012985" u="1"/>
      </sharedItems>
    </cacheField>
    <cacheField name="Placa" numFmtId="0">
      <sharedItems containsMixedTypes="1" containsNumber="1" containsInteger="1" minValue="0" maxValue="0"/>
    </cacheField>
    <cacheField name="Fecha Rec" numFmtId="166">
      <sharedItems containsSemiMixedTypes="0" containsNonDate="0" containsDate="1" containsString="0" minDate="2019-10-01T00:00:00" maxDate="2020-02-27T00:00:00"/>
    </cacheField>
    <cacheField name="R.U.C." numFmtId="0">
      <sharedItems/>
    </cacheField>
    <cacheField name="Nombre / Razón Social" numFmtId="0">
      <sharedItems/>
    </cacheField>
    <cacheField name="Cód. de Prod." numFmtId="0">
      <sharedItems/>
    </cacheField>
    <cacheField name="Descrip. del Producto" numFmtId="0">
      <sharedItems/>
    </cacheField>
    <cacheField name="Vend " numFmtId="0">
      <sharedItems/>
    </cacheField>
    <cacheField name="Cod. Pago" numFmtId="0">
      <sharedItems/>
    </cacheField>
    <cacheField name="Modo  pago" numFmtId="0">
      <sharedItems/>
    </cacheField>
    <cacheField name="Div" numFmtId="0">
      <sharedItems/>
    </cacheField>
    <cacheField name="División" numFmtId="0">
      <sharedItems/>
    </cacheField>
    <cacheField name="Mon." numFmtId="0">
      <sharedItems/>
    </cacheField>
    <cacheField name="T/C." numFmtId="0">
      <sharedItems containsSemiMixedTypes="0" containsString="0" containsNumber="1" minValue="3.3110000999999998" maxValue="3.4300000999999996"/>
    </cacheField>
    <cacheField name="Cant." numFmtId="0">
      <sharedItems containsSemiMixedTypes="0" containsString="0" containsNumber="1" minValue="-6" maxValue="48"/>
    </cacheField>
    <cacheField name="Prec. sin IGV" numFmtId="0">
      <sharedItems containsSemiMixedTypes="0" containsString="0" containsNumber="1" minValue="-3070" maxValue="6227"/>
    </cacheField>
    <cacheField name="Subtotal" numFmtId="0">
      <sharedItems containsSemiMixedTypes="0" containsString="0" containsNumber="1" minValue="-3070" maxValue="6227"/>
    </cacheField>
    <cacheField name="Impuesto " numFmtId="0">
      <sharedItems containsSemiMixedTypes="0" containsString="0" containsNumber="1" minValue="-552.60010000000011" maxValue="1120.8599000000011"/>
    </cacheField>
    <cacheField name="Total" numFmtId="0">
      <sharedItems containsSemiMixedTypes="0" containsString="0" containsNumber="1" minValue="-3622.6001000000001" maxValue="7347.8599000000013"/>
    </cacheField>
    <cacheField name="Sin_IGV" numFmtId="4">
      <sharedItems containsSemiMixedTypes="0" containsString="0" containsNumber="1" minValue="-3070" maxValue="6227"/>
    </cacheField>
    <cacheField name="Fecha2" numFmtId="14">
      <sharedItems containsNonDate="0" containsDate="1" containsString="0" containsBlank="1" minDate="2019-10-07T00:00:00" maxDate="2020-02-27T00:00:00"/>
    </cacheField>
    <cacheField name="OT Unicas" numFmtId="0">
      <sharedItems containsBlank="1"/>
    </cacheField>
    <cacheField name="Sum_Acum" numFmtId="0">
      <sharedItems containsString="0" containsBlank="1" containsNumber="1" minValue="8.4830999000000009" maxValue="901469.25742308924"/>
    </cacheField>
    <cacheField name="Salidas_Almacen" numFmtId="4">
      <sharedItems containsString="0" containsBlank="1" containsNumber="1" minValue="0" maxValue="179751.67708612006"/>
    </cacheField>
    <cacheField name="Compras_Rpto" numFmtId="4">
      <sharedItems containsString="0" containsBlank="1" containsNumber="1" minValue="0" maxValue="10631.469717514121"/>
    </cacheField>
    <cacheField name="Serv_Terceros" numFmtId="4">
      <sharedItems containsString="0" containsBlank="1" containsNumber="1" minValue="0" maxValue="30717.246610169503"/>
    </cacheField>
    <cacheField name="MO_Mecanica" numFmtId="4">
      <sharedItems containsString="0" containsBlank="1" containsNumber="1" minValue="0" maxValue="18062.928250000008"/>
    </cacheField>
    <cacheField name="MO_Planchado" numFmtId="4">
      <sharedItems containsString="0" containsBlank="1" containsNumber="1" minValue="0" maxValue="47919.656249999985"/>
    </cacheField>
    <cacheField name="MO_Pintura" numFmtId="4">
      <sharedItems containsString="0" containsBlank="1" containsNumber="1" minValue="0" maxValue="107354.10000000014"/>
    </cacheField>
    <cacheField name="Ser_Ter_Taller" numFmtId="4">
      <sharedItems containsString="0" containsBlank="1" containsNumber="1" containsInteger="1" minValue="0" maxValue="0"/>
    </cacheField>
    <cacheField name="Total_Gastos" numFmtId="4">
      <sharedItems containsString="0" containsBlank="1" containsNumber="1" minValue="0" maxValue="394437.07791380351"/>
    </cacheField>
    <cacheField name="Margen_bruto" numFmtId="4">
      <sharedItems containsString="0" containsBlank="1" containsNumber="1" minValue="-622.4399985" maxValue="507032.17950928584"/>
    </cacheField>
    <cacheField name="Porcentaje" numFmtId="10">
      <sharedItems containsString="0" containsBlank="1" containsNumber="1" minValue="-12.226281283845573" maxValue="1"/>
    </cacheField>
    <cacheField name="Tip_Cli" numFmtId="0">
      <sharedItems containsBlank="1"/>
    </cacheField>
    <cacheField name="Tip_Siniestro" numFmtId="0">
      <sharedItems containsBlank="1"/>
    </cacheField>
    <cacheField name="Mes_Fac" numFmtId="0">
      <sharedItems containsBlank="1"/>
    </cacheField>
    <cacheField name="Año_Fac" numFmtId="1">
      <sharedItems containsString="0" containsBlank="1" containsNumber="1" containsInteger="1" minValue="2019" maxValue="2020"/>
    </cacheField>
    <cacheField name="Dias_Taller" numFmtId="1">
      <sharedItems containsString="0" containsBlank="1" containsNumber="1" containsInteger="1" minValue="0" maxValue="127"/>
    </cacheField>
    <cacheField name="Cuenta_Dia" numFmtId="0">
      <sharedItems containsString="0" containsBlank="1" containsNumber="1" containsInteger="1" minValue="1" maxValue="1"/>
    </cacheField>
    <cacheField name="Fecha_Rep" numFmtId="14">
      <sharedItems containsNonDate="0" containsDate="1" containsString="0" containsBlank="1" minDate="2019-10-01T00:00:00" maxDate="2020-02-26T00:00:00"/>
    </cacheField>
    <cacheField name="Placa2" numFmtId="14">
      <sharedItems containsBlank="1"/>
    </cacheField>
    <cacheField name="Marca" numFmtId="0">
      <sharedItems containsBlank="1"/>
    </cacheField>
    <cacheField name="Modelo" numFmtId="0">
      <sharedItems containsBlank="1"/>
    </cacheField>
    <cacheField name="Client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rlando Rivera" refreshedDate="43895.739434490744" createdVersion="6" refreshedVersion="6" minRefreshableVersion="3" recordCount="364" xr:uid="{00000000-000A-0000-FFFF-FFFF40000000}">
  <cacheSource type="worksheet">
    <worksheetSource name="=Rango_Dinamico"/>
  </cacheSource>
  <cacheFields count="23">
    <cacheField name="OT Unicas" numFmtId="0">
      <sharedItems/>
    </cacheField>
    <cacheField name="Sum_Acum" numFmtId="4">
      <sharedItems containsSemiMixedTypes="0" containsString="0" containsNumber="1" minValue="8.4830999000000009" maxValue="15503.754209999999"/>
    </cacheField>
    <cacheField name="Salidas_Almacen" numFmtId="4">
      <sharedItems containsSemiMixedTypes="0" containsString="0" containsNumber="1" minValue="0" maxValue="7280.8806479999985"/>
    </cacheField>
    <cacheField name="Compras_Rpto" numFmtId="4">
      <sharedItems containsSemiMixedTypes="0" containsString="0" containsNumber="1" minValue="0" maxValue="563.56474576271182"/>
    </cacheField>
    <cacheField name="Serv_Terceros" numFmtId="4">
      <sharedItems containsSemiMixedTypes="0" containsString="0" containsNumber="1" minValue="0" maxValue="1906.8100000000004"/>
    </cacheField>
    <cacheField name="MO_Mecanica" numFmtId="4">
      <sharedItems containsSemiMixedTypes="0" containsString="0" containsNumber="1" minValue="0" maxValue="452.25"/>
    </cacheField>
    <cacheField name="MO_Planchado" numFmtId="4">
      <sharedItems containsSemiMixedTypes="0" containsString="0" containsNumber="1" minValue="0" maxValue="1055.25"/>
    </cacheField>
    <cacheField name="MO_Pintura" numFmtId="4">
      <sharedItems containsSemiMixedTypes="0" containsString="0" containsNumber="1" minValue="0" maxValue="1371.825"/>
    </cacheField>
    <cacheField name="Ser_Ter_Taller" numFmtId="4">
      <sharedItems containsSemiMixedTypes="0" containsString="0" containsNumber="1" containsInteger="1" minValue="0" maxValue="0"/>
    </cacheField>
    <cacheField name="Total_Gastos" numFmtId="4">
      <sharedItems containsSemiMixedTypes="0" containsString="0" containsNumber="1" minValue="0" maxValue="10749.150647999999"/>
    </cacheField>
    <cacheField name="Margen_bruto" numFmtId="4">
      <sharedItems containsSemiMixedTypes="0" containsString="0" containsNumber="1" minValue="-69.544986149999886" maxValue="7932.8790897799981"/>
    </cacheField>
    <cacheField name="Porcentaje" numFmtId="10">
      <sharedItems containsSemiMixedTypes="0" containsString="0" containsNumber="1" minValue="-0.66025934785012896" maxValue="1"/>
    </cacheField>
    <cacheField name="Tip_Cli" numFmtId="4">
      <sharedItems count="7">
        <s v="C.C"/>
        <s v="RIMAC"/>
        <s v="ACCESO"/>
        <s v="POSITIVA"/>
        <s v="OFICINA" u="1"/>
        <s v="HDI" u="1"/>
        <s v="S/TIPO" u="1"/>
      </sharedItems>
    </cacheField>
    <cacheField name="Tip_Siniestro" numFmtId="4">
      <sharedItems count="7">
        <s v="LEVE"/>
        <s v="MECANICA"/>
        <s v="GRAVE"/>
        <s v="MEDIANO"/>
        <s v="-" u="1"/>
        <s v="S/TIPO" u="1"/>
        <s v="MECÁNICA" u="1"/>
      </sharedItems>
    </cacheField>
    <cacheField name="Mes_Fac" numFmtId="14">
      <sharedItems count="12">
        <s v="Octubre"/>
        <s v="Noviembre"/>
        <s v="Diciembre"/>
        <s v="Enero"/>
        <s v="Febrero"/>
        <s v="Septiembre" u="1"/>
        <s v="Agosto" u="1"/>
        <s v="Marzo" u="1"/>
        <s v="Mayo" u="1"/>
        <s v="Julio" u="1"/>
        <s v="Abril" u="1"/>
        <s v="Junio" u="1"/>
      </sharedItems>
    </cacheField>
    <cacheField name="Año_Fac" numFmtId="1">
      <sharedItems containsSemiMixedTypes="0" containsString="0" containsNumber="1" containsInteger="1" minValue="2017" maxValue="2020" count="4">
        <n v="2019"/>
        <n v="2020"/>
        <n v="2018" u="1"/>
        <n v="2017" u="1"/>
      </sharedItems>
    </cacheField>
    <cacheField name="Dias_Taller" numFmtId="1">
      <sharedItems containsSemiMixedTypes="0" containsString="0" containsNumber="1" containsInteger="1" minValue="0" maxValue="127"/>
    </cacheField>
    <cacheField name="Cuenta_Dia" numFmtId="0">
      <sharedItems containsSemiMixedTypes="0" containsString="0" containsNumber="1" containsInteger="1" minValue="1" maxValue="1"/>
    </cacheField>
    <cacheField name="Fecha_Rep" numFmtId="14">
      <sharedItems containsSemiMixedTypes="0" containsNonDate="0" containsDate="1" containsString="0" minDate="2019-10-01T00:00:00" maxDate="2020-02-27T00:00:00"/>
    </cacheField>
    <cacheField name="Placa" numFmtId="14">
      <sharedItems/>
    </cacheField>
    <cacheField name="Marca" numFmtId="0">
      <sharedItems/>
    </cacheField>
    <cacheField name="Modelo" numFmtId="0">
      <sharedItems/>
    </cacheField>
    <cacheField name="Clien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62">
  <r>
    <d v="2017-04-01T00:00:00"/>
    <s v="001-00009237"/>
    <n v="349"/>
    <n v="0"/>
    <n v="0"/>
    <n v="0"/>
    <n v="39.048749999999998"/>
    <n v="0"/>
    <n v="0"/>
    <n v="0"/>
    <n v="39.048749999999998"/>
    <n v="309.95125000000002"/>
    <n v="0.88811246418338119"/>
    <x v="0"/>
    <s v="-"/>
    <x v="0"/>
    <x v="0"/>
    <n v="2"/>
    <n v="1"/>
    <d v="2017-03-30T00:00:00"/>
    <s v="HYUNDAI"/>
    <s v="ELANTRA"/>
    <n v="349.76499999999999"/>
    <d v="2017-03-30T00:00:00"/>
    <n v="0"/>
    <x v="0"/>
  </r>
  <r>
    <d v="2017-04-01T00:00:00"/>
    <s v="001-00009182"/>
    <n v="1998.1350614999997"/>
    <n v="0"/>
    <n v="0"/>
    <n v="0"/>
    <n v="0"/>
    <n v="175.5"/>
    <n v="371.86500000000001"/>
    <n v="0"/>
    <n v="547.36500000000001"/>
    <n v="1450.7700614999997"/>
    <n v="0.72606206129574991"/>
    <x v="1"/>
    <s v="MEDIANO"/>
    <x v="0"/>
    <x v="0"/>
    <n v="10"/>
    <n v="1"/>
    <d v="2017-03-22T00:00:00"/>
    <s v="KIA"/>
    <s v="RIO"/>
    <n v="3517.0200000000004"/>
    <d v="2017-03-24T00:00:00"/>
    <n v="12"/>
    <x v="1"/>
  </r>
  <r>
    <d v="2017-04-01T00:00:00"/>
    <s v="001-00009216"/>
    <n v="180.31950555"/>
    <n v="0"/>
    <n v="0"/>
    <n v="0"/>
    <n v="12.577500000000001"/>
    <n v="0"/>
    <n v="15.494375"/>
    <n v="0"/>
    <n v="28.071874999999999"/>
    <n v="152.24763055"/>
    <n v="0.84432147307426997"/>
    <x v="2"/>
    <s v="LEVE"/>
    <x v="0"/>
    <x v="0"/>
    <n v="4"/>
    <n v="1"/>
    <d v="2017-03-28T00:00:00"/>
    <s v="SUZUKI"/>
    <s v="SWIFT"/>
    <n v="2660.58"/>
    <d v="2017-03-28T00:00:00"/>
    <n v="0"/>
    <x v="2"/>
  </r>
  <r>
    <d v="2017-04-01T00:00:00"/>
    <s v="001-00009123"/>
    <n v="2972.8350914999996"/>
    <n v="0"/>
    <n v="0"/>
    <n v="0"/>
    <n v="39.048749999999998"/>
    <n v="204.75"/>
    <n v="433.84250000000003"/>
    <n v="0"/>
    <n v="677.64125000000001"/>
    <n v="2295.1938414999995"/>
    <n v="0.77205555332096021"/>
    <x v="1"/>
    <s v="MEDIANO"/>
    <x v="0"/>
    <x v="0"/>
    <n v="19"/>
    <n v="1"/>
    <d v="2017-03-13T00:00:00"/>
    <s v="KIA"/>
    <s v="CERATO"/>
    <n v="12906.237500000001"/>
    <d v="2017-03-14T00:00:00"/>
    <n v="14"/>
    <x v="1"/>
  </r>
  <r>
    <d v="2017-04-01T00:00:00"/>
    <s v="001-00009177"/>
    <n v="1929.1074876654211"/>
    <n v="0"/>
    <n v="0"/>
    <n v="0"/>
    <n v="0"/>
    <n v="160.875"/>
    <n v="387.359375"/>
    <n v="0"/>
    <n v="548.234375"/>
    <n v="1380.8731126654211"/>
    <n v="0.71580931674083881"/>
    <x v="1"/>
    <s v="MEDIANO"/>
    <x v="0"/>
    <x v="0"/>
    <n v="11"/>
    <n v="1"/>
    <d v="2017-03-21T00:00:00"/>
    <s v="KIA"/>
    <s v="RIO"/>
    <n v="2547.9349999999999"/>
    <d v="2017-03-22T00:00:00"/>
    <n v="11"/>
    <x v="1"/>
  </r>
  <r>
    <d v="2017-04-03T00:00:00"/>
    <s v="001-00009258"/>
    <n v="2531.0763999999999"/>
    <n v="0"/>
    <n v="0"/>
    <n v="0"/>
    <n v="0"/>
    <n v="0"/>
    <n v="0"/>
    <n v="0"/>
    <n v="0"/>
    <n v="2531.0763999999999"/>
    <n v="1"/>
    <x v="0"/>
    <s v="GRAVE"/>
    <x v="0"/>
    <x v="0"/>
    <n v="0"/>
    <n v="1"/>
    <d v="2017-04-03T00:00:00"/>
    <s v="HONDA"/>
    <s v="CRV"/>
    <n v="0"/>
    <s v="F/Fecha"/>
    <n v="0"/>
    <x v="3"/>
  </r>
  <r>
    <d v="2017-04-03T00:00:00"/>
    <s v="001-00009242"/>
    <n v="550"/>
    <n v="0"/>
    <n v="254.05"/>
    <n v="0"/>
    <n v="39.048749999999998"/>
    <n v="0"/>
    <n v="0"/>
    <n v="0"/>
    <n v="293.09875"/>
    <n v="256.90125"/>
    <n v="0.46709318181818182"/>
    <x v="0"/>
    <s v="-"/>
    <x v="0"/>
    <x v="0"/>
    <n v="4"/>
    <n v="1"/>
    <d v="2017-03-30T00:00:00"/>
    <s v="HONDA"/>
    <s v="CRV"/>
    <n v="450.96999999999997"/>
    <d v="2017-03-30T00:00:00"/>
    <n v="0"/>
    <x v="3"/>
  </r>
  <r>
    <d v="2017-04-03T00:00:00"/>
    <s v="001-00009160"/>
    <n v="2501.7300770000002"/>
    <n v="0"/>
    <n v="0"/>
    <n v="0"/>
    <n v="0"/>
    <n v="175.5"/>
    <n v="449.33687499999996"/>
    <n v="0"/>
    <n v="624.83687499999996"/>
    <n v="1876.8932020000002"/>
    <n v="0.75023809293235755"/>
    <x v="1"/>
    <s v="MEDIANO"/>
    <x v="0"/>
    <x v="0"/>
    <n v="14"/>
    <n v="1"/>
    <d v="2017-03-20T00:00:00"/>
    <s v="HYUNDAI"/>
    <s v="ACCENT"/>
    <n v="4951.375"/>
    <d v="2017-03-20T00:00:00"/>
    <n v="12"/>
    <x v="1"/>
  </r>
  <r>
    <d v="2017-04-03T00:00:00"/>
    <s v="001-00009171"/>
    <n v="1615.3313392277989"/>
    <n v="0"/>
    <n v="0"/>
    <n v="0"/>
    <n v="14.625"/>
    <n v="146.25"/>
    <n v="265.88347499999998"/>
    <n v="0"/>
    <n v="426.75847499999998"/>
    <n v="1188.5728642277991"/>
    <n v="0.73580746894689131"/>
    <x v="1"/>
    <s v="MEDIANO"/>
    <x v="0"/>
    <x v="0"/>
    <n v="13"/>
    <n v="1"/>
    <d v="2017-03-21T00:00:00"/>
    <s v="NISSAN"/>
    <s v="VERSA"/>
    <n v="3010.9625000000001"/>
    <d v="2017-03-22T00:00:00"/>
    <n v="10"/>
    <x v="1"/>
  </r>
  <r>
    <d v="2017-04-03T00:00:00"/>
    <s v="001-00009257"/>
    <n v="500"/>
    <n v="0"/>
    <n v="0"/>
    <n v="0"/>
    <n v="39.048749999999998"/>
    <n v="0"/>
    <n v="0"/>
    <n v="0"/>
    <n v="39.048749999999998"/>
    <n v="460.95125000000002"/>
    <n v="0.92190250000000007"/>
    <x v="0"/>
    <s v="-"/>
    <x v="0"/>
    <x v="0"/>
    <n v="0"/>
    <n v="1"/>
    <d v="2017-04-03T00:00:00"/>
    <s v="HYUNDAI"/>
    <s v="SANTA FE"/>
    <n v="500.01249999999999"/>
    <d v="2017-04-03T00:00:00"/>
    <n v="0"/>
    <x v="4"/>
  </r>
  <r>
    <d v="2017-04-04T00:00:00"/>
    <s v="001-00009051"/>
    <n v="97.5"/>
    <n v="0"/>
    <n v="0"/>
    <n v="0"/>
    <n v="14.625"/>
    <n v="14.625"/>
    <n v="0"/>
    <n v="0"/>
    <n v="29.25"/>
    <n v="68.25"/>
    <n v="0.7"/>
    <x v="1"/>
    <s v="LEVE"/>
    <x v="0"/>
    <x v="0"/>
    <n v="36"/>
    <n v="1"/>
    <d v="2017-02-27T00:00:00"/>
    <s v="HYUNDAI"/>
    <s v="ACCENT"/>
    <n v="640.70499999999993"/>
    <d v="2017-02-28T00:00:00"/>
    <n v="1"/>
    <x v="1"/>
  </r>
  <r>
    <d v="2017-04-05T00:00:00"/>
    <s v="001-00009272"/>
    <n v="4409.4919751932293"/>
    <n v="0"/>
    <n v="0"/>
    <n v="0"/>
    <n v="0"/>
    <n v="117"/>
    <n v="1487.46"/>
    <n v="0"/>
    <n v="1604.46"/>
    <n v="2805.0319751932293"/>
    <n v="0.63613495408851706"/>
    <x v="0"/>
    <s v="LEVE"/>
    <x v="0"/>
    <x v="0"/>
    <n v="1"/>
    <n v="1"/>
    <d v="2017-04-04T00:00:00"/>
    <s v="HYUNDAI"/>
    <s v="H1"/>
    <n v="0"/>
    <d v="2017-04-04T00:00:00"/>
    <n v="8"/>
    <x v="5"/>
  </r>
  <r>
    <d v="2017-04-05T00:00:00"/>
    <s v="001-00009174"/>
    <n v="2430.8700747499997"/>
    <n v="0"/>
    <n v="0"/>
    <n v="0"/>
    <n v="0"/>
    <n v="175.5"/>
    <n v="433.84250000000003"/>
    <n v="0"/>
    <n v="609.34249999999997"/>
    <n v="1821.5275747499998"/>
    <n v="0.74933152276241377"/>
    <x v="1"/>
    <s v="MEDIANO"/>
    <x v="0"/>
    <x v="0"/>
    <n v="15"/>
    <n v="1"/>
    <d v="2017-03-21T00:00:00"/>
    <s v="CHEVROLET"/>
    <s v="SAIL"/>
    <n v="2021.0450000000001"/>
    <d v="2017-03-22T00:00:00"/>
    <n v="12"/>
    <x v="1"/>
  </r>
  <r>
    <d v="2017-04-06T00:00:00"/>
    <s v="001-00009206"/>
    <n v="633.55501949999996"/>
    <n v="0"/>
    <n v="0"/>
    <n v="0"/>
    <n v="0"/>
    <n v="87.75"/>
    <n v="92.966250000000002"/>
    <n v="0"/>
    <n v="180.71625"/>
    <n v="452.83876949999996"/>
    <n v="0.71475839597542634"/>
    <x v="1"/>
    <s v="LEVE"/>
    <x v="0"/>
    <x v="0"/>
    <n v="10"/>
    <n v="1"/>
    <d v="2017-03-27T00:00:00"/>
    <s v="CHEVROLET"/>
    <s v="AVEO"/>
    <n v="0"/>
    <d v="2017-03-29T00:00:00"/>
    <n v="6"/>
    <x v="1"/>
  </r>
  <r>
    <d v="2017-04-06T00:00:00"/>
    <s v="001-00009194"/>
    <n v="609.18751874999998"/>
    <n v="0"/>
    <n v="0"/>
    <n v="0"/>
    <n v="0"/>
    <n v="73.125"/>
    <n v="92.966250000000002"/>
    <n v="0"/>
    <n v="166.09125"/>
    <n v="443.09626874999998"/>
    <n v="0.72735611796380062"/>
    <x v="1"/>
    <s v="LEVE"/>
    <x v="0"/>
    <x v="0"/>
    <n v="14"/>
    <n v="1"/>
    <d v="2017-03-23T00:00:00"/>
    <s v="HYUNDAI"/>
    <s v="ACCENT"/>
    <n v="943.34500000000003"/>
    <d v="2017-03-29T00:00:00"/>
    <n v="5"/>
    <x v="1"/>
  </r>
  <r>
    <d v="2017-04-06T00:00:00"/>
    <s v="001-00009255"/>
    <n v="872.88139000000001"/>
    <n v="0"/>
    <n v="359.03000000000003"/>
    <n v="0"/>
    <n v="39.048749999999998"/>
    <n v="0"/>
    <n v="0"/>
    <n v="0"/>
    <n v="398.07875000000001"/>
    <n v="474.80264"/>
    <n v="0.54394863430414064"/>
    <x v="0"/>
    <s v="-"/>
    <x v="0"/>
    <x v="0"/>
    <n v="3"/>
    <n v="1"/>
    <d v="2017-04-03T00:00:00"/>
    <s v="KIA"/>
    <s v="SORENTO"/>
    <n v="600.01499999999999"/>
    <d v="2017-04-03T00:00:00"/>
    <n v="0"/>
    <x v="6"/>
  </r>
  <r>
    <d v="2017-04-06T00:00:00"/>
    <s v="001-00009176"/>
    <n v="2030.6250624999998"/>
    <n v="0"/>
    <n v="0"/>
    <n v="0"/>
    <n v="14.625"/>
    <n v="175.5"/>
    <n v="371.86500000000001"/>
    <n v="0"/>
    <n v="561.99"/>
    <n v="1468.6350624999998"/>
    <n v="0.7232428524702107"/>
    <x v="1"/>
    <s v="MEDIANO"/>
    <x v="0"/>
    <x v="0"/>
    <n v="16"/>
    <n v="1"/>
    <d v="2017-03-21T00:00:00"/>
    <s v="VOLKSWAGEN"/>
    <s v="GOL"/>
    <n v="5151.25"/>
    <d v="2017-03-24T00:00:00"/>
    <n v="12"/>
    <x v="1"/>
  </r>
  <r>
    <d v="2017-04-06T00:00:00"/>
    <s v="001-00009193"/>
    <n v="601.06501849999995"/>
    <n v="0"/>
    <n v="0"/>
    <n v="0"/>
    <n v="0"/>
    <n v="58.5"/>
    <n v="123.955"/>
    <n v="0"/>
    <n v="182.45499999999998"/>
    <n v="418.61001849999997"/>
    <n v="0.69644714900339855"/>
    <x v="1"/>
    <s v="LEVE"/>
    <x v="0"/>
    <x v="0"/>
    <n v="14"/>
    <n v="1"/>
    <d v="2017-03-23T00:00:00"/>
    <s v="NISSAN"/>
    <s v="TIIDA"/>
    <n v="2861.3325"/>
    <d v="2017-03-29T00:00:00"/>
    <n v="4"/>
    <x v="1"/>
  </r>
  <r>
    <d v="2017-04-06T00:00:00"/>
    <s v="001-00009281"/>
    <n v="350"/>
    <n v="0"/>
    <n v="0"/>
    <n v="0"/>
    <n v="39.048749999999998"/>
    <n v="0"/>
    <n v="0"/>
    <n v="0"/>
    <n v="39.048749999999998"/>
    <n v="310.95125000000002"/>
    <n v="0.88843214285714289"/>
    <x v="0"/>
    <s v="-"/>
    <x v="0"/>
    <x v="0"/>
    <n v="1"/>
    <n v="1"/>
    <d v="2017-04-05T00:00:00"/>
    <s v="MAZDA"/>
    <s v="MAZDA 2"/>
    <n v="349.76499999999999"/>
    <d v="2017-04-05T00:00:00"/>
    <n v="0"/>
    <x v="7"/>
  </r>
  <r>
    <d v="2017-04-07T00:00:00"/>
    <s v="001-00009236"/>
    <n v="584.63998200000015"/>
    <n v="0"/>
    <n v="0"/>
    <n v="0"/>
    <n v="0"/>
    <n v="29.25"/>
    <n v="123.955"/>
    <n v="0"/>
    <n v="153.20499999999998"/>
    <n v="431.43498200000016"/>
    <n v="0.73794984141197528"/>
    <x v="1"/>
    <s v="LEVE"/>
    <x v="0"/>
    <x v="0"/>
    <n v="8"/>
    <n v="1"/>
    <d v="2017-03-30T00:00:00"/>
    <s v="HYUNDAI"/>
    <s v="ELANTRA"/>
    <n v="995.08500000000004"/>
    <d v="2017-03-31T00:00:00"/>
    <n v="2"/>
    <x v="0"/>
  </r>
  <r>
    <d v="2017-04-07T00:00:00"/>
    <s v="001-00009289"/>
    <n v="101.68639999999999"/>
    <n v="0"/>
    <n v="0"/>
    <n v="0"/>
    <n v="0"/>
    <n v="0"/>
    <n v="0"/>
    <n v="0"/>
    <n v="0"/>
    <n v="101.68639999999999"/>
    <n v="1"/>
    <x v="1"/>
    <s v="LEVE"/>
    <x v="0"/>
    <x v="0"/>
    <n v="0"/>
    <n v="1"/>
    <d v="2017-04-07T00:00:00"/>
    <s v="HYUNDAI"/>
    <s v="ELANTRA"/>
    <n v="0"/>
    <s v="F/Fecha"/>
    <n v="0"/>
    <x v="0"/>
  </r>
  <r>
    <d v="2017-04-07T00:00:00"/>
    <s v="001-00009259"/>
    <n v="690.00737235592999"/>
    <n v="0"/>
    <n v="0"/>
    <n v="0"/>
    <n v="0"/>
    <n v="36.5625"/>
    <n v="123.955"/>
    <n v="0"/>
    <n v="160.51749999999998"/>
    <n v="529.48987235592995"/>
    <n v="0.76736842759819168"/>
    <x v="1"/>
    <s v="LEVE"/>
    <x v="0"/>
    <x v="0"/>
    <n v="4"/>
    <n v="1"/>
    <d v="2017-04-03T00:00:00"/>
    <s v="HYUNDAI"/>
    <s v="CRETA"/>
    <n v="536.21749999999997"/>
    <d v="2017-04-04T00:00:00"/>
    <n v="2.5"/>
    <x v="8"/>
  </r>
  <r>
    <d v="2017-04-07T00:00:00"/>
    <s v="001-00009167"/>
    <n v="1128.6799652499999"/>
    <n v="0"/>
    <n v="0"/>
    <n v="0"/>
    <n v="0"/>
    <n v="146.25"/>
    <n v="154.94374999999999"/>
    <n v="0"/>
    <n v="301.19375000000002"/>
    <n v="827.48621524999987"/>
    <n v="0.73314512592301895"/>
    <x v="1"/>
    <s v="MEDIANO"/>
    <x v="0"/>
    <x v="0"/>
    <n v="18"/>
    <n v="1"/>
    <d v="2017-03-20T00:00:00"/>
    <s v="KIA"/>
    <s v="CERATO"/>
    <n v="1536.7625"/>
    <d v="2017-03-24T00:00:00"/>
    <n v="10"/>
    <x v="1"/>
  </r>
  <r>
    <d v="2017-04-07T00:00:00"/>
    <s v="001-00009226"/>
    <n v="1932.5599404999998"/>
    <n v="0"/>
    <n v="0"/>
    <n v="0"/>
    <n v="0"/>
    <n v="204.75"/>
    <n v="309.88749999999999"/>
    <n v="0"/>
    <n v="514.63750000000005"/>
    <n v="1417.9224404999998"/>
    <n v="0.7337016621244612"/>
    <x v="1"/>
    <s v="MEDIANO"/>
    <x v="0"/>
    <x v="0"/>
    <n v="9"/>
    <n v="1"/>
    <d v="2017-03-29T00:00:00"/>
    <s v="HYUNDAI"/>
    <s v="ACCENT"/>
    <n v="923.48749999999995"/>
    <d v="2017-03-30T00:00:00"/>
    <n v="14"/>
    <x v="1"/>
  </r>
  <r>
    <d v="2017-04-07T00:00:00"/>
    <s v="001-00009204"/>
    <n v="845.99386675339008"/>
    <n v="0"/>
    <n v="0"/>
    <n v="0"/>
    <n v="0"/>
    <n v="73.125"/>
    <n v="123.955"/>
    <n v="0"/>
    <n v="197.07999999999998"/>
    <n v="648.91386675339004"/>
    <n v="0.76704322839086314"/>
    <x v="1"/>
    <s v="LEVE"/>
    <x v="0"/>
    <x v="0"/>
    <n v="11"/>
    <n v="1"/>
    <d v="2017-03-27T00:00:00"/>
    <s v="PEUGEOT"/>
    <n v="301"/>
    <n v="1394.2175"/>
    <d v="2017-04-03T00:00:00"/>
    <n v="5"/>
    <x v="1"/>
  </r>
  <r>
    <d v="2017-04-08T00:00:00"/>
    <s v="001-00009269"/>
    <n v="276.07999150000001"/>
    <n v="0"/>
    <n v="0"/>
    <n v="0"/>
    <n v="0"/>
    <n v="21.9375"/>
    <n v="61.977499999999999"/>
    <n v="0"/>
    <n v="83.914999999999992"/>
    <n v="192.16499150000001"/>
    <n v="0.6960482375268402"/>
    <x v="1"/>
    <s v="LEVE"/>
    <x v="0"/>
    <x v="0"/>
    <n v="4"/>
    <n v="1"/>
    <d v="2017-04-04T00:00:00"/>
    <s v="MAZDA"/>
    <s v="MAZDA 3"/>
    <n v="2312.895"/>
    <d v="2017-04-05T00:00:00"/>
    <n v="1.5"/>
    <x v="1"/>
  </r>
  <r>
    <d v="2017-04-08T00:00:00"/>
    <s v="001-00009205"/>
    <n v="2996.2799077499999"/>
    <n v="0"/>
    <n v="0"/>
    <n v="0"/>
    <n v="63.326250000000002"/>
    <n v="146.25"/>
    <n v="371.86500000000001"/>
    <n v="0"/>
    <n v="581.44125000000008"/>
    <n v="2414.8386577499996"/>
    <n v="0.80594561659740838"/>
    <x v="1"/>
    <s v="MEDIANO"/>
    <x v="0"/>
    <x v="0"/>
    <n v="12"/>
    <n v="1"/>
    <d v="2017-03-27T00:00:00"/>
    <s v="HYUNDAI"/>
    <s v="ACCENT"/>
    <n v="7236.32"/>
    <d v="2017-03-29T00:00:00"/>
    <n v="10"/>
    <x v="1"/>
  </r>
  <r>
    <d v="2017-04-08T00:00:00"/>
    <s v="001-00009230"/>
    <n v="2103.0799352499998"/>
    <n v="0"/>
    <n v="0"/>
    <n v="0"/>
    <n v="29.25"/>
    <n v="175.5"/>
    <n v="0"/>
    <n v="0"/>
    <n v="204.75"/>
    <n v="1898.3299352499998"/>
    <n v="0.90264278757637395"/>
    <x v="1"/>
    <s v="MEDIANO"/>
    <x v="0"/>
    <x v="0"/>
    <n v="9"/>
    <n v="1"/>
    <d v="2017-03-30T00:00:00"/>
    <s v="NISSAN"/>
    <s v="VERSA"/>
    <n v="3246.8150000000001"/>
    <d v="2017-03-30T00:00:00"/>
    <n v="12"/>
    <x v="1"/>
  </r>
  <r>
    <d v="2017-04-08T00:00:00"/>
    <s v="001-00009293"/>
    <n v="364.40679999999992"/>
    <n v="0"/>
    <n v="0"/>
    <n v="0"/>
    <n v="0"/>
    <n v="0"/>
    <n v="0"/>
    <n v="0"/>
    <n v="0"/>
    <n v="364.40679999999992"/>
    <n v="1"/>
    <x v="0"/>
    <s v="LEVE"/>
    <x v="0"/>
    <x v="0"/>
    <n v="0"/>
    <n v="1"/>
    <d v="2017-04-08T00:00:00"/>
    <s v="MAZDA"/>
    <s v="MAZDA 3"/>
    <n v="0"/>
    <s v="F/Fecha"/>
    <n v="0"/>
    <x v="9"/>
  </r>
  <r>
    <d v="2017-04-08T00:00:00"/>
    <s v="001-00009161"/>
    <n v="3174.9199022500002"/>
    <n v="0"/>
    <n v="0"/>
    <n v="0"/>
    <n v="39.048749999999998"/>
    <n v="234"/>
    <n v="402.85374999999999"/>
    <n v="0"/>
    <n v="675.90249999999992"/>
    <n v="2499.0174022500005"/>
    <n v="0.78711195217208418"/>
    <x v="1"/>
    <s v="MEDIANO"/>
    <x v="0"/>
    <x v="0"/>
    <n v="19"/>
    <n v="1"/>
    <d v="2017-03-20T00:00:00"/>
    <s v="CHEVROLET"/>
    <s v="SAIL"/>
    <n v="7191.7300000000005"/>
    <d v="2017-03-22T00:00:00"/>
    <n v="16"/>
    <x v="1"/>
  </r>
  <r>
    <d v="2017-04-10T00:00:00"/>
    <s v="001-00009302"/>
    <n v="129.919996"/>
    <n v="0"/>
    <n v="0"/>
    <n v="0"/>
    <n v="24.2775"/>
    <n v="0"/>
    <n v="0"/>
    <n v="0"/>
    <n v="24.2775"/>
    <n v="105.64249599999999"/>
    <n v="0.81313500040440267"/>
    <x v="0"/>
    <s v="-"/>
    <x v="0"/>
    <x v="0"/>
    <n v="0"/>
    <n v="1"/>
    <d v="2017-04-10T00:00:00"/>
    <s v="KIA"/>
    <s v="RIO"/>
    <n v="0"/>
    <d v="2017-04-10T00:00:00"/>
    <n v="0"/>
    <x v="10"/>
  </r>
  <r>
    <d v="2017-04-10T00:00:00"/>
    <s v="001-00009221"/>
    <n v="1936.6336144545787"/>
    <n v="0"/>
    <n v="0"/>
    <n v="0"/>
    <n v="14.625"/>
    <n v="175.5"/>
    <n v="340.87625000000003"/>
    <n v="0"/>
    <n v="531.00125000000003"/>
    <n v="1405.6323644545787"/>
    <n v="0.72581223106077919"/>
    <x v="1"/>
    <s v="MEDIANO"/>
    <x v="0"/>
    <x v="0"/>
    <n v="44"/>
    <n v="1"/>
    <d v="2017-02-25T00:00:00"/>
    <s v="HYUNDAI"/>
    <s v="I10"/>
    <n v="3608.7350000000006"/>
    <d v="2017-03-30T00:00:00"/>
    <n v="12"/>
    <x v="11"/>
  </r>
  <r>
    <d v="2017-04-10T00:00:00"/>
    <s v="001-00009207"/>
    <n v="1940.6799402500001"/>
    <n v="0"/>
    <n v="0"/>
    <n v="0"/>
    <n v="19.451250000000002"/>
    <n v="117"/>
    <n v="309.88749999999999"/>
    <n v="0"/>
    <n v="446.33875"/>
    <n v="1494.3411902500002"/>
    <n v="0.77000908766929277"/>
    <x v="1"/>
    <s v="MEDIANO"/>
    <x v="0"/>
    <x v="0"/>
    <n v="14"/>
    <n v="1"/>
    <d v="2017-03-27T00:00:00"/>
    <s v="GREAT WALL"/>
    <s v="GREAT WALL 4"/>
    <n v="3367.9749999999999"/>
    <d v="2017-03-29T00:00:00"/>
    <n v="8"/>
    <x v="1"/>
  </r>
  <r>
    <d v="2017-04-10T00:00:00"/>
    <s v="001-00009246"/>
    <n v="836.35997425000005"/>
    <n v="0"/>
    <n v="0"/>
    <n v="0"/>
    <n v="0"/>
    <n v="87.75"/>
    <n v="154.94374999999999"/>
    <n v="0"/>
    <n v="242.69374999999999"/>
    <n v="593.66622425000003"/>
    <n v="0.70982141963735901"/>
    <x v="1"/>
    <s v="LEVE"/>
    <x v="0"/>
    <x v="0"/>
    <n v="10"/>
    <n v="1"/>
    <d v="2017-03-31T00:00:00"/>
    <s v="HYUNDAI"/>
    <s v="I30"/>
    <n v="140.465"/>
    <d v="2017-03-31T00:00:00"/>
    <n v="6"/>
    <x v="1"/>
  </r>
  <r>
    <d v="2017-04-10T00:00:00"/>
    <s v="001-00009264"/>
    <n v="1416.9536304545786"/>
    <n v="0"/>
    <n v="0"/>
    <n v="0"/>
    <n v="0"/>
    <n v="117"/>
    <n v="278.89875000000001"/>
    <n v="0"/>
    <n v="395.89875000000001"/>
    <n v="1021.0548804545786"/>
    <n v="0.72059865510701981"/>
    <x v="1"/>
    <s v="MEDIANO"/>
    <x v="0"/>
    <x v="0"/>
    <n v="6"/>
    <n v="1"/>
    <d v="2017-04-04T00:00:00"/>
    <s v="JONWAY"/>
    <s v="A380"/>
    <n v="0"/>
    <d v="2017-04-05T00:00:00"/>
    <n v="8"/>
    <x v="1"/>
  </r>
  <r>
    <d v="2017-04-10T00:00:00"/>
    <s v="001-00008989"/>
    <n v="1144.91996475"/>
    <n v="0"/>
    <n v="0"/>
    <n v="0"/>
    <n v="39.048749999999998"/>
    <n v="73.125"/>
    <n v="92.966250000000002"/>
    <n v="0"/>
    <n v="205.14"/>
    <n v="939.77996474999998"/>
    <n v="0.82082590371738906"/>
    <x v="1"/>
    <s v="LEVE"/>
    <x v="0"/>
    <x v="0"/>
    <n v="52"/>
    <n v="1"/>
    <d v="2017-02-17T00:00:00"/>
    <s v="SUZUKI"/>
    <s v="SX4"/>
    <n v="6691.4250000000002"/>
    <d v="2017-02-28T00:00:00"/>
    <n v="5"/>
    <x v="1"/>
  </r>
  <r>
    <d v="2017-04-11T00:00:00"/>
    <s v="001-00009288"/>
    <n v="70"/>
    <n v="0"/>
    <n v="0"/>
    <n v="0"/>
    <n v="0"/>
    <n v="14.625"/>
    <n v="61.977499999999999"/>
    <n v="0"/>
    <n v="76.602499999999992"/>
    <n v="-6.602499999999992"/>
    <n v="-9.4321428571428459E-2"/>
    <x v="0"/>
    <s v="LEVE"/>
    <x v="0"/>
    <x v="0"/>
    <n v="4"/>
    <n v="1"/>
    <d v="2017-04-07T00:00:00"/>
    <s v="TOYOTA"/>
    <s v="RAV4"/>
    <n v="0"/>
    <d v="2017-04-07T00:00:00"/>
    <n v="1"/>
    <x v="12"/>
  </r>
  <r>
    <d v="2017-04-12T00:00:00"/>
    <s v="001-00009287"/>
    <n v="507.32113519491998"/>
    <n v="0"/>
    <n v="0"/>
    <n v="0"/>
    <n v="0"/>
    <n v="73.125"/>
    <n v="216.30147500000004"/>
    <n v="0"/>
    <n v="289.42647500000004"/>
    <n v="217.89466019491994"/>
    <n v="0.42950045854328878"/>
    <x v="1"/>
    <s v="LEVE"/>
    <x v="0"/>
    <x v="0"/>
    <n v="6"/>
    <n v="1"/>
    <d v="2017-04-06T00:00:00"/>
    <s v="VOLKSWAGEN"/>
    <s v="VOYAGE"/>
    <n v="0"/>
    <d v="2017-04-06T00:00:00"/>
    <n v="5"/>
    <x v="1"/>
  </r>
  <r>
    <d v="2017-04-12T00:00:00"/>
    <s v="001-00009278"/>
    <n v="1071.5074602406803"/>
    <n v="0"/>
    <n v="0"/>
    <n v="0"/>
    <n v="0"/>
    <n v="29.25"/>
    <n v="123.955"/>
    <n v="0"/>
    <n v="153.20499999999998"/>
    <n v="918.30246024068038"/>
    <n v="0.8570191942801898"/>
    <x v="1"/>
    <s v="LEVE"/>
    <x v="0"/>
    <x v="0"/>
    <n v="7"/>
    <n v="1"/>
    <d v="2017-04-05T00:00:00"/>
    <s v="VOLKSWAGEN"/>
    <s v="VOYAGE"/>
    <n v="1106.69"/>
    <d v="2017-04-06T00:00:00"/>
    <n v="2"/>
    <x v="1"/>
  </r>
  <r>
    <d v="2017-04-12T00:00:00"/>
    <s v="001-00009266"/>
    <n v="747.72997699999996"/>
    <n v="0"/>
    <n v="0"/>
    <n v="0"/>
    <n v="0"/>
    <n v="73.125"/>
    <n v="123.955"/>
    <n v="0"/>
    <n v="197.07999999999998"/>
    <n v="550.64997700000004"/>
    <n v="0.73642891677191658"/>
    <x v="1"/>
    <s v="LEVE"/>
    <x v="0"/>
    <x v="0"/>
    <n v="8"/>
    <n v="1"/>
    <d v="2017-04-04T00:00:00"/>
    <s v="TOYOTA"/>
    <s v="COROLLA"/>
    <n v="659.29500000000007"/>
    <d v="2017-04-05T00:00:00"/>
    <n v="5"/>
    <x v="1"/>
  </r>
  <r>
    <d v="2017-04-12T00:00:00"/>
    <s v="001-00009318"/>
    <n v="400"/>
    <n v="0"/>
    <n v="0"/>
    <n v="0"/>
    <n v="39.048749999999998"/>
    <n v="0"/>
    <n v="0"/>
    <n v="0"/>
    <n v="39.048749999999998"/>
    <n v="360.95125000000002"/>
    <n v="0.90237812500000003"/>
    <x v="0"/>
    <s v="-"/>
    <x v="0"/>
    <x v="0"/>
    <n v="0"/>
    <n v="1"/>
    <d v="2017-04-12T00:00:00"/>
    <s v="MAZDA"/>
    <s v="CX-5"/>
    <n v="499.85"/>
    <d v="2017-04-12T00:00:00"/>
    <n v="0"/>
    <x v="13"/>
  </r>
  <r>
    <d v="2017-04-12T00:00:00"/>
    <s v="001-00009180"/>
    <n v="1804.3049445000001"/>
    <n v="0"/>
    <n v="0"/>
    <n v="0"/>
    <n v="0"/>
    <n v="175.5"/>
    <n v="309.88749999999999"/>
    <n v="0"/>
    <n v="485.38749999999999"/>
    <n v="1318.9174445000001"/>
    <n v="0.73098366687981997"/>
    <x v="1"/>
    <s v="MEDIANO"/>
    <x v="0"/>
    <x v="0"/>
    <n v="21"/>
    <n v="1"/>
    <d v="2017-03-22T00:00:00"/>
    <s v="RENAULT"/>
    <s v="STEPWAY"/>
    <n v="9103.4125000000004"/>
    <d v="2017-03-24T00:00:00"/>
    <n v="12"/>
    <x v="1"/>
  </r>
  <r>
    <d v="2017-04-12T00:00:00"/>
    <s v="001-00008963"/>
    <n v="4974.0298469999998"/>
    <n v="0"/>
    <n v="0"/>
    <n v="0"/>
    <n v="39.048749999999998"/>
    <n v="526.5"/>
    <n v="681.75250000000005"/>
    <n v="0"/>
    <n v="1247.30125"/>
    <n v="3726.7285969999998"/>
    <n v="0.74923728076294349"/>
    <x v="1"/>
    <s v="GRAVE"/>
    <x v="0"/>
    <x v="0"/>
    <n v="58"/>
    <n v="1"/>
    <d v="2017-02-13T00:00:00"/>
    <s v="HYUNDAI"/>
    <s v="ACCENT"/>
    <n v="5064.0524999999998"/>
    <d v="2017-03-29T00:00:00"/>
    <n v="36"/>
    <x v="1"/>
  </r>
  <r>
    <d v="2017-04-12T00:00:00"/>
    <s v="001-00009187"/>
    <n v="885.89747274999991"/>
    <n v="0"/>
    <n v="0"/>
    <n v="0"/>
    <n v="0"/>
    <n v="87.75"/>
    <n v="154.94374999999999"/>
    <n v="0"/>
    <n v="242.69374999999999"/>
    <n v="643.20372274999988"/>
    <n v="0.72604758737302755"/>
    <x v="1"/>
    <s v="LEVE"/>
    <x v="0"/>
    <x v="0"/>
    <n v="20"/>
    <n v="1"/>
    <d v="2017-03-23T00:00:00"/>
    <s v="KIA"/>
    <s v="RIO"/>
    <n v="795.50250000000005"/>
    <d v="2017-03-30T00:00:00"/>
    <n v="6"/>
    <x v="1"/>
  </r>
  <r>
    <d v="2017-04-12T00:00:00"/>
    <s v="001-00009196"/>
    <n v="2686.1523540845787"/>
    <n v="0"/>
    <n v="0"/>
    <n v="0"/>
    <n v="39.048749999999998"/>
    <n v="175.5"/>
    <n v="356.37062500000002"/>
    <n v="0"/>
    <n v="570.91937499999995"/>
    <n v="2115.2329790845788"/>
    <n v="0.78745830476374257"/>
    <x v="1"/>
    <s v="MEDIANO"/>
    <x v="0"/>
    <x v="0"/>
    <n v="20"/>
    <n v="1"/>
    <d v="2017-03-23T00:00:00"/>
    <s v="KIA"/>
    <s v="RIO"/>
    <n v="11851.449999999999"/>
    <d v="2017-03-24T00:00:00"/>
    <n v="12"/>
    <x v="1"/>
  </r>
  <r>
    <d v="2017-04-12T00:00:00"/>
    <s v="001-00009211"/>
    <n v="487.64998500000002"/>
    <n v="0"/>
    <n v="0"/>
    <n v="0"/>
    <n v="0"/>
    <n v="43.875"/>
    <n v="61.977499999999999"/>
    <n v="0"/>
    <n v="105.85249999999999"/>
    <n v="381.79748500000005"/>
    <n v="0.78293344969548195"/>
    <x v="2"/>
    <s v="LEVE"/>
    <x v="0"/>
    <x v="0"/>
    <n v="16"/>
    <n v="1"/>
    <d v="2017-03-27T00:00:00"/>
    <s v="HYUNDAI"/>
    <s v="ACCENT"/>
    <n v="468.87750000000005"/>
    <d v="2017-03-28T00:00:00"/>
    <n v="3"/>
    <x v="14"/>
  </r>
  <r>
    <d v="2017-04-12T00:00:00"/>
    <s v="001-00009252"/>
    <n v="2499.2198598345794"/>
    <n v="0"/>
    <n v="0"/>
    <n v="0"/>
    <n v="39.048749999999998"/>
    <n v="263.25"/>
    <n v="387.359375"/>
    <n v="0"/>
    <n v="689.65812499999993"/>
    <n v="1809.5617348345795"/>
    <n v="0.72405063832773497"/>
    <x v="1"/>
    <s v="MEDIANO"/>
    <x v="0"/>
    <x v="0"/>
    <n v="11"/>
    <n v="1"/>
    <d v="2017-04-01T00:00:00"/>
    <s v="KIA"/>
    <s v="RIO"/>
    <n v="5564.2924999999996"/>
    <d v="2017-04-05T00:00:00"/>
    <n v="18"/>
    <x v="15"/>
  </r>
  <r>
    <d v="2017-04-12T00:00:00"/>
    <s v="001-00009235"/>
    <n v="2775.5548513345793"/>
    <n v="0"/>
    <n v="0"/>
    <n v="0"/>
    <n v="0"/>
    <n v="0"/>
    <n v="0"/>
    <n v="0"/>
    <n v="0"/>
    <n v="2775.5548513345793"/>
    <n v="1"/>
    <x v="1"/>
    <s v="GRAVE"/>
    <x v="0"/>
    <x v="0"/>
    <n v="13"/>
    <n v="1"/>
    <d v="2017-03-30T00:00:00"/>
    <s v="HYUNDAI"/>
    <s v="ACCENT"/>
    <n v="0"/>
    <s v="F/Fecha"/>
    <n v="0"/>
    <x v="1"/>
  </r>
  <r>
    <d v="2017-04-13T00:00:00"/>
    <s v="001-00009306"/>
    <n v="488.09998500000006"/>
    <n v="0"/>
    <n v="0"/>
    <n v="0"/>
    <n v="0"/>
    <n v="29.25"/>
    <n v="61.977499999999999"/>
    <n v="0"/>
    <n v="91.227499999999992"/>
    <n v="396.8724850000001"/>
    <n v="0.81309669575179366"/>
    <x v="0"/>
    <s v="LEVE"/>
    <x v="0"/>
    <x v="0"/>
    <n v="3"/>
    <n v="1"/>
    <d v="2017-04-10T00:00:00"/>
    <s v="HYUNDAI"/>
    <s v="TUCSON"/>
    <n v="0"/>
    <d v="2017-04-10T00:00:00"/>
    <n v="2"/>
    <x v="16"/>
  </r>
  <r>
    <d v="2017-04-15T00:00:00"/>
    <s v="001-00009330"/>
    <n v="254.23729999999995"/>
    <n v="0"/>
    <n v="0"/>
    <n v="0"/>
    <n v="0"/>
    <n v="0"/>
    <n v="0"/>
    <n v="0"/>
    <n v="0"/>
    <n v="254.23729999999995"/>
    <n v="1"/>
    <x v="0"/>
    <s v="LEVE"/>
    <x v="0"/>
    <x v="0"/>
    <n v="0"/>
    <n v="1"/>
    <d v="2017-04-15T00:00:00"/>
    <s v="TOYOTA"/>
    <s v="YARIS"/>
    <n v="0"/>
    <s v="F/Fecha"/>
    <n v="0"/>
    <x v="17"/>
  </r>
  <r>
    <d v="2017-04-15T00:00:00"/>
    <s v="001-00009224"/>
    <n v="1993.07493875"/>
    <n v="0"/>
    <n v="0"/>
    <n v="0"/>
    <n v="0"/>
    <n v="0"/>
    <n v="0"/>
    <n v="0"/>
    <n v="0"/>
    <n v="1993.07493875"/>
    <n v="1"/>
    <x v="1"/>
    <s v="GRAVE"/>
    <x v="0"/>
    <x v="0"/>
    <n v="53"/>
    <n v="1"/>
    <d v="2017-02-21T00:00:00"/>
    <s v="TOYOTA"/>
    <s v="YARIS"/>
    <n v="0"/>
    <s v="F/Fecha"/>
    <n v="0"/>
    <x v="1"/>
  </r>
  <r>
    <d v="2017-04-15T00:00:00"/>
    <s v="001-00009280"/>
    <n v="276.5899915"/>
    <n v="0"/>
    <n v="0"/>
    <n v="0"/>
    <n v="0"/>
    <n v="43.875"/>
    <n v="0"/>
    <n v="0"/>
    <n v="43.875"/>
    <n v="232.7149915"/>
    <n v="0.84137170053747223"/>
    <x v="1"/>
    <s v="LEVE"/>
    <x v="0"/>
    <x v="0"/>
    <n v="10"/>
    <n v="1"/>
    <d v="2017-04-05T00:00:00"/>
    <s v="TOYOTA"/>
    <s v="URBAN CRUISER"/>
    <n v="1282.125"/>
    <d v="2017-04-07T00:00:00"/>
    <n v="3"/>
    <x v="1"/>
  </r>
  <r>
    <d v="2017-04-17T00:00:00"/>
    <s v="001-00009275"/>
    <n v="993.84872179762897"/>
    <n v="0"/>
    <n v="0"/>
    <n v="0"/>
    <n v="0"/>
    <n v="117"/>
    <n v="123.955"/>
    <n v="0"/>
    <n v="240.95499999999998"/>
    <n v="752.89372179762904"/>
    <n v="0.75755364502137579"/>
    <x v="1"/>
    <s v="MEDIANO"/>
    <x v="0"/>
    <x v="0"/>
    <n v="12"/>
    <n v="1"/>
    <d v="2017-04-05T00:00:00"/>
    <s v="SUZUKI"/>
    <s v="APV"/>
    <n v="0"/>
    <d v="2017-04-06T00:00:00"/>
    <n v="8"/>
    <x v="1"/>
  </r>
  <r>
    <d v="2017-04-17T00:00:00"/>
    <s v="001-00009143"/>
    <n v="3136.0561029645792"/>
    <n v="0"/>
    <n v="0"/>
    <n v="0"/>
    <n v="29.25"/>
    <n v="263.25"/>
    <n v="557.79750000000001"/>
    <n v="0"/>
    <n v="850.29750000000001"/>
    <n v="2285.758602964579"/>
    <n v="0.72886406617655974"/>
    <x v="1"/>
    <s v="MEDIANO"/>
    <x v="0"/>
    <x v="0"/>
    <n v="33"/>
    <n v="1"/>
    <d v="2017-03-15T00:00:00"/>
    <s v="VOLKSWAGEN"/>
    <s v="VOYAGE"/>
    <n v="7395.05"/>
    <d v="2017-03-16T00:00:00"/>
    <n v="18"/>
    <x v="1"/>
  </r>
  <r>
    <d v="2017-04-17T00:00:00"/>
    <s v="001-00009159"/>
    <n v="4074.8350741145791"/>
    <n v="0"/>
    <n v="0"/>
    <n v="0"/>
    <n v="78.097499999999997"/>
    <n v="321.75"/>
    <n v="480.32562499999995"/>
    <n v="0"/>
    <n v="880.17312499999991"/>
    <n v="3194.6619491145793"/>
    <n v="0.78399785292138413"/>
    <x v="2"/>
    <s v="MEDIANO"/>
    <x v="0"/>
    <x v="0"/>
    <n v="28"/>
    <n v="1"/>
    <d v="2017-03-20T00:00:00"/>
    <s v="CHEVROLET"/>
    <s v="SONIC"/>
    <n v="12583.805"/>
    <d v="2017-03-21T00:00:00"/>
    <n v="22"/>
    <x v="18"/>
  </r>
  <r>
    <d v="2017-04-18T00:00:00"/>
    <s v="001-00009067"/>
    <n v="2474.8373605845791"/>
    <n v="0"/>
    <n v="0"/>
    <n v="0"/>
    <n v="21.9375"/>
    <n v="190.125"/>
    <n v="449.33687499999996"/>
    <n v="0"/>
    <n v="661.39937499999996"/>
    <n v="1813.4379855845791"/>
    <n v="0.73275036754586109"/>
    <x v="1"/>
    <s v="MEDIANO"/>
    <x v="0"/>
    <x v="0"/>
    <n v="47"/>
    <n v="1"/>
    <d v="2017-03-02T00:00:00"/>
    <s v="CHEVROLET"/>
    <s v="SAIL"/>
    <n v="6218.7125000000005"/>
    <d v="2017-03-22T00:00:00"/>
    <n v="13"/>
    <x v="1"/>
  </r>
  <r>
    <d v="2017-04-18T00:00:00"/>
    <s v="001-00009270"/>
    <n v="837.13247424999997"/>
    <n v="0"/>
    <n v="0"/>
    <n v="0"/>
    <n v="0"/>
    <n v="58.5"/>
    <n v="154.94374999999999"/>
    <n v="0"/>
    <n v="213.44374999999999"/>
    <n v="623.68872424999995"/>
    <n v="0.74502990080366005"/>
    <x v="1"/>
    <s v="LEVE"/>
    <x v="0"/>
    <x v="0"/>
    <n v="14"/>
    <n v="1"/>
    <d v="2017-04-04T00:00:00"/>
    <s v="TOYOTA"/>
    <s v="COROLLA"/>
    <n v="405.86"/>
    <d v="2017-04-05T00:00:00"/>
    <n v="4"/>
    <x v="1"/>
  </r>
  <r>
    <d v="2017-04-18T00:00:00"/>
    <s v="001-00009243"/>
    <n v="503.90498450000007"/>
    <n v="0"/>
    <n v="0"/>
    <n v="0"/>
    <n v="34.076250000000002"/>
    <n v="21.9375"/>
    <n v="61.977499999999999"/>
    <n v="0"/>
    <n v="117.99125000000001"/>
    <n v="385.91373450000003"/>
    <n v="0.76584623365637694"/>
    <x v="1"/>
    <s v="LEVE"/>
    <x v="0"/>
    <x v="0"/>
    <n v="18"/>
    <n v="1"/>
    <d v="2017-03-31T00:00:00"/>
    <s v="TOYOTA"/>
    <s v="YARIS"/>
    <n v="3664.4724999999999"/>
    <d v="2017-03-31T00:00:00"/>
    <n v="1.5"/>
    <x v="1"/>
  </r>
  <r>
    <d v="2017-04-19T00:00:00"/>
    <s v="001-00009300"/>
    <n v="292.79764724700004"/>
    <n v="0"/>
    <n v="0"/>
    <n v="0"/>
    <n v="0"/>
    <n v="14.625"/>
    <n v="30.98875"/>
    <n v="0"/>
    <n v="45.613749999999996"/>
    <n v="247.18389724700006"/>
    <n v="0.84421408290374389"/>
    <x v="1"/>
    <s v="LEVE"/>
    <x v="0"/>
    <x v="0"/>
    <n v="9"/>
    <n v="1"/>
    <d v="2017-04-10T00:00:00"/>
    <s v="KIA"/>
    <s v="RIO"/>
    <n v="997.71749999999997"/>
    <d v="2017-04-10T00:00:00"/>
    <n v="1"/>
    <x v="1"/>
  </r>
  <r>
    <d v="2017-04-19T00:00:00"/>
    <s v="001-00009273"/>
    <n v="825.46241259999988"/>
    <n v="0"/>
    <n v="0"/>
    <n v="0"/>
    <n v="0"/>
    <n v="58.5"/>
    <n v="123.955"/>
    <n v="0"/>
    <n v="182.45499999999998"/>
    <n v="643.00741259999995"/>
    <n v="0.77896631365041524"/>
    <x v="1"/>
    <s v="LEVE"/>
    <x v="0"/>
    <x v="0"/>
    <n v="15"/>
    <n v="1"/>
    <d v="2017-04-04T00:00:00"/>
    <s v="CHEVROLET"/>
    <s v="SONIC"/>
    <n v="643.69500000000005"/>
    <d v="2017-04-05T00:00:00"/>
    <n v="4"/>
    <x v="1"/>
  </r>
  <r>
    <d v="2017-04-19T00:00:00"/>
    <s v="001-00009283"/>
    <n v="1504.5125"/>
    <n v="0"/>
    <n v="0"/>
    <n v="0"/>
    <n v="29.25"/>
    <n v="117"/>
    <n v="216.92125000000001"/>
    <n v="0"/>
    <n v="363.17124999999999"/>
    <n v="1141.3412499999999"/>
    <n v="0.75861200887330604"/>
    <x v="1"/>
    <s v="MEDIANO"/>
    <x v="0"/>
    <x v="0"/>
    <n v="13"/>
    <n v="1"/>
    <d v="2017-04-06T00:00:00"/>
    <s v="HYUNDAI"/>
    <s v="ELANTRA"/>
    <n v="2990.4874999999997"/>
    <d v="2017-04-07T00:00:00"/>
    <n v="8"/>
    <x v="1"/>
  </r>
  <r>
    <d v="2017-04-19T00:00:00"/>
    <s v="001-00009365"/>
    <n v="279.66100999999998"/>
    <n v="0"/>
    <n v="236.85999999999999"/>
    <n v="0"/>
    <n v="0"/>
    <n v="0"/>
    <n v="0"/>
    <n v="0"/>
    <n v="236.85999999999999"/>
    <n v="42.801009999999991"/>
    <n v="0.15304603956053794"/>
    <x v="0"/>
    <s v="LEVE"/>
    <x v="0"/>
    <x v="0"/>
    <n v="0"/>
    <n v="1"/>
    <d v="2017-04-19T00:00:00"/>
    <s v="MAZDA"/>
    <s v="MAZDA 3"/>
    <n v="0"/>
    <s v="F/Fecha"/>
    <n v="0"/>
    <x v="19"/>
  </r>
  <r>
    <d v="2017-04-20T00:00:00"/>
    <s v="001-00009352"/>
    <n v="200"/>
    <n v="0"/>
    <n v="0"/>
    <n v="0"/>
    <n v="0"/>
    <n v="0"/>
    <n v="0"/>
    <n v="0"/>
    <n v="0"/>
    <n v="200"/>
    <n v="1"/>
    <x v="0"/>
    <s v="LEVE"/>
    <x v="0"/>
    <x v="0"/>
    <n v="3"/>
    <n v="1"/>
    <d v="2017-04-17T00:00:00"/>
    <s v="HYUNDAI"/>
    <s v="CRV"/>
    <n v="0"/>
    <s v="F/Fecha"/>
    <n v="0"/>
    <x v="3"/>
  </r>
  <r>
    <d v="2017-04-21T00:00:00"/>
    <s v="001-00009240"/>
    <n v="440"/>
    <n v="0"/>
    <n v="105.71"/>
    <n v="0"/>
    <n v="39.048749999999998"/>
    <n v="0"/>
    <n v="0"/>
    <n v="0"/>
    <n v="144.75874999999999"/>
    <n v="295.24125000000004"/>
    <n v="0.67100284090909101"/>
    <x v="0"/>
    <s v="-"/>
    <x v="0"/>
    <x v="0"/>
    <n v="22"/>
    <n v="1"/>
    <d v="2017-03-30T00:00:00"/>
    <s v="SUZUKI"/>
    <s v="APV"/>
    <n v="350.74"/>
    <d v="2017-03-30T00:00:00"/>
    <n v="0"/>
    <x v="20"/>
  </r>
  <r>
    <d v="2017-04-21T00:00:00"/>
    <s v="001-00009344"/>
    <n v="751.32748234660994"/>
    <n v="0"/>
    <n v="25.423728813559322"/>
    <n v="0"/>
    <n v="0"/>
    <n v="73.125"/>
    <n v="123.955"/>
    <n v="0"/>
    <n v="222.50372881355932"/>
    <n v="528.82375353305065"/>
    <n v="0.70385253562319228"/>
    <x v="1"/>
    <s v="LEVE"/>
    <x v="0"/>
    <x v="0"/>
    <n v="3"/>
    <n v="1"/>
    <d v="2017-04-18T00:00:00"/>
    <s v="KIA"/>
    <s v="SOUL"/>
    <n v="1886.3649999999998"/>
    <d v="2017-04-19T00:00:00"/>
    <n v="5"/>
    <x v="21"/>
  </r>
  <r>
    <d v="2017-04-21T00:00:00"/>
    <s v="001-00009356"/>
    <n v="713.89997799999992"/>
    <n v="0"/>
    <n v="0"/>
    <n v="0"/>
    <n v="0"/>
    <n v="43.875"/>
    <n v="123.955"/>
    <n v="0"/>
    <n v="167.82999999999998"/>
    <n v="546.06997799999999"/>
    <n v="0.76491104472341087"/>
    <x v="0"/>
    <s v="LEVE"/>
    <x v="0"/>
    <x v="0"/>
    <n v="2"/>
    <n v="1"/>
    <d v="2017-04-19T00:00:00"/>
    <s v="HYUNDAI"/>
    <s v="ELANTRA"/>
    <n v="0"/>
    <d v="2017-04-19T00:00:00"/>
    <n v="3"/>
    <x v="22"/>
  </r>
  <r>
    <d v="2017-04-21T00:00:00"/>
    <s v="001-00009285"/>
    <n v="652.24497989999986"/>
    <n v="0"/>
    <n v="0"/>
    <n v="0"/>
    <n v="0"/>
    <n v="73.125"/>
    <n v="123.955"/>
    <n v="0"/>
    <n v="197.07999999999998"/>
    <n v="455.16497989999988"/>
    <n v="0.69784359240263427"/>
    <x v="2"/>
    <s v="LEVE"/>
    <x v="0"/>
    <x v="0"/>
    <n v="15"/>
    <n v="1"/>
    <d v="2017-04-06T00:00:00"/>
    <s v="VOLKSWAGEN"/>
    <s v="GOL"/>
    <n v="1591.2"/>
    <d v="2017-04-07T00:00:00"/>
    <n v="5"/>
    <x v="2"/>
  </r>
  <r>
    <d v="2017-04-21T00:00:00"/>
    <s v="001-00008913"/>
    <n v="2433.7499250000001"/>
    <n v="0"/>
    <n v="0"/>
    <n v="0"/>
    <n v="0"/>
    <n v="0"/>
    <n v="0"/>
    <n v="0"/>
    <n v="0"/>
    <n v="2433.7499250000001"/>
    <n v="1"/>
    <x v="1"/>
    <s v="GRAVE"/>
    <x v="0"/>
    <x v="0"/>
    <n v="76"/>
    <n v="1"/>
    <d v="2017-02-04T00:00:00"/>
    <s v="MITSUBISHI"/>
    <s v="LANCER"/>
    <n v="0"/>
    <s v="F/Fecha"/>
    <n v="0"/>
    <x v="1"/>
  </r>
  <r>
    <d v="2017-04-21T00:00:00"/>
    <s v="001-00009267"/>
    <n v="1792.8624447499997"/>
    <n v="0"/>
    <n v="0"/>
    <n v="0"/>
    <n v="0"/>
    <n v="117"/>
    <n v="216.92125000000001"/>
    <n v="0"/>
    <n v="333.92124999999999"/>
    <n v="1458.9411947499998"/>
    <n v="0.81374965437096736"/>
    <x v="1"/>
    <s v="MEDIANO"/>
    <x v="0"/>
    <x v="0"/>
    <n v="17"/>
    <n v="1"/>
    <d v="2017-04-04T00:00:00"/>
    <s v="DAIHATSU"/>
    <s v="TERIOS"/>
    <n v="3473.6324999999997"/>
    <d v="2017-04-05T00:00:00"/>
    <n v="8"/>
    <x v="1"/>
  </r>
  <r>
    <d v="2017-04-21T00:00:00"/>
    <s v="001-00009222"/>
    <n v="1784.7499449999998"/>
    <n v="0"/>
    <n v="0"/>
    <n v="0"/>
    <n v="33.637499999999996"/>
    <n v="146.25"/>
    <n v="247.91"/>
    <n v="0"/>
    <n v="427.79750000000001"/>
    <n v="1356.9524449999999"/>
    <n v="0.76030395675400908"/>
    <x v="1"/>
    <s v="MEDIANO"/>
    <x v="0"/>
    <x v="0"/>
    <n v="55"/>
    <n v="1"/>
    <d v="2017-02-25T00:00:00"/>
    <s v="KIA"/>
    <s v="PICANTO"/>
    <n v="3771.8849999999998"/>
    <d v="2017-03-31T00:00:00"/>
    <n v="10"/>
    <x v="1"/>
  </r>
  <r>
    <d v="2017-04-21T00:00:00"/>
    <s v="001-00009311"/>
    <n v="839.65735312457991"/>
    <n v="0"/>
    <n v="0"/>
    <n v="0"/>
    <n v="0"/>
    <n v="73.125"/>
    <n v="139.449375"/>
    <n v="0"/>
    <n v="212.574375"/>
    <n v="627.08297812457988"/>
    <n v="0.74683199735111427"/>
    <x v="1"/>
    <s v="LEVE"/>
    <x v="0"/>
    <x v="0"/>
    <n v="10"/>
    <n v="1"/>
    <d v="2017-04-11T00:00:00"/>
    <s v="CHEVROLET"/>
    <s v="SAIL"/>
    <n v="831.93499999999995"/>
    <d v="2017-04-11T00:00:00"/>
    <n v="5"/>
    <x v="1"/>
  </r>
  <r>
    <d v="2017-04-22T00:00:00"/>
    <s v="001-00009372"/>
    <n v="1198.630429244"/>
    <n v="0"/>
    <n v="0"/>
    <n v="54.368644067796616"/>
    <n v="0"/>
    <n v="117"/>
    <n v="216.92125000000001"/>
    <n v="0"/>
    <n v="388.28989406779664"/>
    <n v="810.34053517620328"/>
    <n v="0.67605536736398486"/>
    <x v="0"/>
    <s v="LEVE"/>
    <x v="0"/>
    <x v="0"/>
    <n v="2"/>
    <n v="1"/>
    <d v="2017-04-20T00:00:00"/>
    <s v="KIA"/>
    <s v="SOUL"/>
    <n v="0"/>
    <d v="2017-04-20T00:00:00"/>
    <n v="8"/>
    <x v="23"/>
  </r>
  <r>
    <d v="2017-04-22T00:00:00"/>
    <s v="001-00009326"/>
    <n v="1014.4646856400002"/>
    <n v="0"/>
    <n v="0"/>
    <n v="0"/>
    <n v="0"/>
    <n v="73.125"/>
    <n v="210.72349999999997"/>
    <n v="0"/>
    <n v="283.84849999999994"/>
    <n v="730.61618564000025"/>
    <n v="0.72019873730653616"/>
    <x v="1"/>
    <s v="LEVE"/>
    <x v="0"/>
    <x v="0"/>
    <n v="10"/>
    <n v="1"/>
    <d v="2017-04-12T00:00:00"/>
    <s v="KIA"/>
    <s v="CERATO"/>
    <n v="2060.89"/>
    <d v="2017-04-17T00:00:00"/>
    <n v="5"/>
    <x v="1"/>
  </r>
  <r>
    <d v="2017-04-22T00:00:00"/>
    <s v="001-00009284"/>
    <n v="2141.04"/>
    <n v="0"/>
    <n v="0"/>
    <n v="81.099999999999994"/>
    <n v="14.625"/>
    <n v="175.5"/>
    <n v="371.86500000000001"/>
    <n v="0"/>
    <n v="643.09"/>
    <n v="1497.9499999999998"/>
    <n v="0.69963662519149561"/>
    <x v="1"/>
    <s v="MEDIANO"/>
    <x v="0"/>
    <x v="0"/>
    <n v="16"/>
    <n v="1"/>
    <d v="2017-04-06T00:00:00"/>
    <s v="KIA"/>
    <s v="RIO"/>
    <n v="5798.6175000000003"/>
    <d v="2017-04-07T00:00:00"/>
    <n v="12"/>
    <x v="1"/>
  </r>
  <r>
    <d v="2017-04-22T00:00:00"/>
    <s v="001-00009337"/>
    <n v="1200.28"/>
    <n v="0"/>
    <n v="0"/>
    <n v="0"/>
    <n v="0"/>
    <n v="0"/>
    <n v="0"/>
    <n v="0"/>
    <n v="0"/>
    <n v="1200.28"/>
    <n v="1"/>
    <x v="1"/>
    <s v="MEDIANO"/>
    <x v="0"/>
    <x v="0"/>
    <n v="5"/>
    <n v="1"/>
    <d v="2017-04-17T00:00:00"/>
    <s v="KIA"/>
    <s v="RIO"/>
    <n v="0"/>
    <s v="F/Fecha"/>
    <n v="0"/>
    <x v="1"/>
  </r>
  <r>
    <d v="2017-04-22T00:00:00"/>
    <s v="001-00009262"/>
    <n v="1204.3486247999999"/>
    <n v="0"/>
    <n v="0"/>
    <n v="0"/>
    <n v="14.625"/>
    <n v="58.5"/>
    <n v="154.94374999999999"/>
    <n v="0"/>
    <n v="228.06874999999999"/>
    <n v="976.2798747999999"/>
    <n v="0.81062896132930429"/>
    <x v="1"/>
    <s v="LEVE"/>
    <x v="0"/>
    <x v="0"/>
    <n v="19"/>
    <n v="1"/>
    <d v="2017-04-03T00:00:00"/>
    <s v="GREAT WALL"/>
    <s v="GREAT WALL 4"/>
    <n v="2682.0625"/>
    <d v="2017-04-07T00:00:00"/>
    <n v="4"/>
    <x v="24"/>
  </r>
  <r>
    <d v="2017-04-22T00:00:00"/>
    <s v="001-00009155"/>
    <n v="437.94000000000005"/>
    <n v="0"/>
    <n v="0"/>
    <n v="0"/>
    <n v="78.097499999999997"/>
    <n v="0"/>
    <n v="0"/>
    <n v="0"/>
    <n v="78.097499999999997"/>
    <n v="359.84250000000009"/>
    <n v="0.82167077681874234"/>
    <x v="1"/>
    <s v="GRAVE"/>
    <x v="0"/>
    <x v="0"/>
    <n v="35"/>
    <n v="1"/>
    <d v="2017-03-18T00:00:00"/>
    <s v="KIA"/>
    <s v="RIO"/>
    <n v="6461.13"/>
    <d v="2017-03-20T00:00:00"/>
    <n v="0"/>
    <x v="1"/>
  </r>
  <r>
    <d v="2017-04-22T00:00:00"/>
    <s v="001-00009363"/>
    <n v="3016.92"/>
    <n v="0"/>
    <n v="0"/>
    <n v="0"/>
    <n v="0"/>
    <n v="117"/>
    <n v="495.82"/>
    <n v="0"/>
    <n v="612.81999999999994"/>
    <n v="2404.1000000000004"/>
    <n v="0.79687230685599897"/>
    <x v="0"/>
    <s v="LEVE"/>
    <x v="0"/>
    <x v="0"/>
    <n v="3"/>
    <n v="1"/>
    <d v="2017-04-19T00:00:00"/>
    <s v="KIA"/>
    <s v="RIO"/>
    <n v="1072.5"/>
    <d v="2017-04-19T00:00:00"/>
    <n v="8"/>
    <x v="25"/>
  </r>
  <r>
    <d v="2017-04-24T00:00:00"/>
    <s v="001-00009329"/>
    <n v="519.04"/>
    <n v="0"/>
    <n v="0"/>
    <n v="0"/>
    <n v="0"/>
    <n v="29.25"/>
    <n v="123.955"/>
    <n v="0"/>
    <n v="153.20499999999998"/>
    <n v="365.83499999999998"/>
    <n v="0.70483007090012328"/>
    <x v="0"/>
    <s v="LEVE"/>
    <x v="0"/>
    <x v="0"/>
    <n v="9"/>
    <n v="1"/>
    <d v="2017-04-15T00:00:00"/>
    <s v="JEEP"/>
    <s v="COMPASS"/>
    <n v="0"/>
    <d v="2017-04-15T00:00:00"/>
    <n v="2"/>
    <x v="26"/>
  </r>
  <r>
    <d v="2017-04-24T00:00:00"/>
    <s v="001-00009368"/>
    <n v="1483.0423000000001"/>
    <n v="0"/>
    <n v="238.65"/>
    <n v="0"/>
    <n v="39.048749999999998"/>
    <n v="0"/>
    <n v="0"/>
    <n v="0"/>
    <n v="277.69875000000002"/>
    <n v="1205.3435500000001"/>
    <n v="0.81275062080157789"/>
    <x v="0"/>
    <s v="-"/>
    <x v="0"/>
    <x v="0"/>
    <n v="4"/>
    <n v="1"/>
    <d v="2017-04-20T00:00:00"/>
    <s v="HYUNDAI"/>
    <s v="ELANTRA"/>
    <n v="801.44999999999993"/>
    <d v="2017-04-20T00:00:00"/>
    <n v="0"/>
    <x v="27"/>
  </r>
  <r>
    <d v="2017-04-24T00:00:00"/>
    <s v="001-00009392"/>
    <n v="400"/>
    <n v="0"/>
    <n v="0"/>
    <n v="0"/>
    <n v="0"/>
    <n v="0"/>
    <n v="0"/>
    <n v="0"/>
    <n v="0"/>
    <n v="400"/>
    <n v="1"/>
    <x v="0"/>
    <s v="LEVE"/>
    <x v="0"/>
    <x v="0"/>
    <n v="0"/>
    <n v="1"/>
    <d v="2017-04-24T00:00:00"/>
    <s v="HYUNDAI"/>
    <s v="TUCSON"/>
    <n v="0"/>
    <s v="F/Fecha"/>
    <n v="0"/>
    <x v="28"/>
  </r>
  <r>
    <d v="2017-04-25T00:00:00"/>
    <s v="001-00009331"/>
    <n v="2801.1549030300002"/>
    <n v="0"/>
    <n v="0"/>
    <n v="123.9406779661017"/>
    <n v="14.625"/>
    <n v="292.5"/>
    <n v="387.359375"/>
    <n v="0"/>
    <n v="818.4250529661017"/>
    <n v="1982.7298500638985"/>
    <n v="0.70782584994467324"/>
    <x v="1"/>
    <s v="MEDIANO"/>
    <x v="0"/>
    <x v="0"/>
    <n v="8"/>
    <n v="1"/>
    <d v="2017-04-17T00:00:00"/>
    <s v="RENAULT"/>
    <s v="DUSTER"/>
    <n v="4365.3675000000003"/>
    <d v="2017-04-18T00:00:00"/>
    <n v="20"/>
    <x v="1"/>
  </r>
  <r>
    <d v="2017-04-25T00:00:00"/>
    <s v="001-00009316"/>
    <n v="2319.8991837000008"/>
    <n v="0"/>
    <n v="0"/>
    <n v="0"/>
    <n v="0"/>
    <n v="263.25"/>
    <n v="297.49200000000002"/>
    <n v="0"/>
    <n v="560.74199999999996"/>
    <n v="1759.1571837000008"/>
    <n v="0.75829035850356474"/>
    <x v="1"/>
    <s v="MEDIANO"/>
    <x v="0"/>
    <x v="0"/>
    <n v="14"/>
    <n v="1"/>
    <d v="2017-04-11T00:00:00"/>
    <s v="HYUNDAI"/>
    <s v="ACCENT"/>
    <n v="1823.1525000000001"/>
    <d v="2017-04-17T00:00:00"/>
    <n v="18"/>
    <x v="1"/>
  </r>
  <r>
    <d v="2017-04-25T00:00:00"/>
    <s v="001-00009401"/>
    <n v="65"/>
    <n v="0"/>
    <n v="0"/>
    <n v="0"/>
    <n v="0"/>
    <n v="0"/>
    <n v="0"/>
    <n v="0"/>
    <n v="0"/>
    <n v="65"/>
    <n v="1"/>
    <x v="0"/>
    <s v="-"/>
    <x v="0"/>
    <x v="0"/>
    <n v="1"/>
    <n v="1"/>
    <d v="2017-04-24T00:00:00"/>
    <s v="MG"/>
    <s v="MG3"/>
    <n v="0"/>
    <s v="F/Fecha"/>
    <n v="0"/>
    <x v="29"/>
  </r>
  <r>
    <d v="2017-04-26T00:00:00"/>
    <s v="001-00009184"/>
    <n v="3961.3399999999992"/>
    <n v="0"/>
    <n v="0"/>
    <n v="0"/>
    <n v="14.625"/>
    <n v="336.375"/>
    <n v="743.73"/>
    <n v="0"/>
    <n v="1094.73"/>
    <n v="2866.6099999999992"/>
    <n v="0.72364654384627414"/>
    <x v="1"/>
    <s v="GRAVE"/>
    <x v="0"/>
    <x v="0"/>
    <n v="34"/>
    <n v="1"/>
    <d v="2017-03-23T00:00:00"/>
    <s v="NISSAN"/>
    <s v="SENTRA"/>
    <n v="1812.5900000000001"/>
    <d v="2017-03-24T00:00:00"/>
    <n v="23"/>
    <x v="30"/>
  </r>
  <r>
    <d v="2017-04-26T00:00:00"/>
    <s v="001-00009338"/>
    <n v="1818.3200000000002"/>
    <n v="0"/>
    <n v="0"/>
    <n v="0"/>
    <n v="0"/>
    <n v="146.25"/>
    <n v="371.86500000000001"/>
    <n v="0"/>
    <n v="518.11500000000001"/>
    <n v="1300.2050000000002"/>
    <n v="0.71505840556117739"/>
    <x v="1"/>
    <s v="MEDIANO"/>
    <x v="0"/>
    <x v="0"/>
    <n v="9"/>
    <n v="1"/>
    <d v="2017-04-17T00:00:00"/>
    <s v="TOYOTA"/>
    <s v="COROLLA"/>
    <n v="3009.8575000000001"/>
    <d v="2017-04-18T00:00:00"/>
    <n v="10"/>
    <x v="1"/>
  </r>
  <r>
    <d v="2017-04-26T00:00:00"/>
    <s v="001-00009360"/>
    <n v="1043.1123873999998"/>
    <n v="0"/>
    <n v="0"/>
    <n v="0"/>
    <n v="0"/>
    <n v="117"/>
    <n v="154.94374999999999"/>
    <n v="0"/>
    <n v="271.94375000000002"/>
    <n v="771.16863739999974"/>
    <n v="0.7392958292079812"/>
    <x v="1"/>
    <s v="MEDIANO"/>
    <x v="0"/>
    <x v="0"/>
    <n v="7"/>
    <n v="1"/>
    <d v="2017-04-19T00:00:00"/>
    <s v="CHEVROLET"/>
    <s v="SPARK LITE"/>
    <n v="583.79750000000001"/>
    <d v="2017-04-20T00:00:00"/>
    <n v="8"/>
    <x v="1"/>
  </r>
  <r>
    <d v="2017-04-26T00:00:00"/>
    <s v="001-00009238"/>
    <n v="373.40500000000003"/>
    <n v="0"/>
    <n v="0"/>
    <n v="0"/>
    <n v="0"/>
    <n v="29.25"/>
    <n v="0"/>
    <n v="0"/>
    <n v="29.25"/>
    <n v="344.15500000000003"/>
    <n v="0.92166682288667801"/>
    <x v="1"/>
    <s v="LEVE"/>
    <x v="0"/>
    <x v="0"/>
    <n v="27"/>
    <n v="1"/>
    <d v="2017-03-30T00:00:00"/>
    <s v="HYUNDAI"/>
    <s v="TUCSON"/>
    <n v="0"/>
    <d v="2017-04-17T00:00:00"/>
    <n v="2"/>
    <x v="1"/>
  </r>
  <r>
    <d v="2017-04-26T00:00:00"/>
    <s v="001-00009233"/>
    <n v="3348.4824198699998"/>
    <n v="0"/>
    <n v="0"/>
    <n v="0"/>
    <n v="0"/>
    <n v="614.25"/>
    <n v="356.37062500000002"/>
    <n v="0"/>
    <n v="970.62062500000002"/>
    <n v="2377.8617948699998"/>
    <n v="0.71013118682054088"/>
    <x v="1"/>
    <s v="GRAVE"/>
    <x v="0"/>
    <x v="0"/>
    <n v="27"/>
    <n v="1"/>
    <d v="2017-03-30T00:00:00"/>
    <s v="KIA"/>
    <s v="SORENTO"/>
    <n v="7792.2975000000006"/>
    <d v="2017-03-31T00:00:00"/>
    <n v="42"/>
    <x v="1"/>
  </r>
  <r>
    <d v="2017-04-26T00:00:00"/>
    <s v="001-00009395"/>
    <n v="580"/>
    <n v="0"/>
    <n v="50.85"/>
    <n v="0"/>
    <n v="39.048749999999998"/>
    <n v="0"/>
    <n v="0"/>
    <n v="0"/>
    <n v="89.898750000000007"/>
    <n v="490.10124999999999"/>
    <n v="0.84500215517241373"/>
    <x v="0"/>
    <s v="-"/>
    <x v="0"/>
    <x v="0"/>
    <n v="1"/>
    <n v="1"/>
    <d v="2017-04-25T00:00:00"/>
    <s v="MITSUBISHI"/>
    <s v="ASX"/>
    <n v="400.85500000000002"/>
    <d v="2017-04-25T00:00:00"/>
    <n v="0"/>
    <x v="31"/>
  </r>
  <r>
    <d v="2017-04-27T00:00:00"/>
    <s v="001-00009396"/>
    <n v="975.05492174999995"/>
    <n v="0"/>
    <n v="0"/>
    <n v="22.391949152542377"/>
    <n v="0"/>
    <n v="65.8125"/>
    <n v="263.40437500000002"/>
    <n v="0"/>
    <n v="351.60882415254241"/>
    <n v="623.44609759745754"/>
    <n v="0.63939587780195473"/>
    <x v="0"/>
    <s v="MEDIANO"/>
    <x v="0"/>
    <x v="0"/>
    <n v="2"/>
    <n v="1"/>
    <d v="2017-04-25T00:00:00"/>
    <s v="TOYOTA"/>
    <s v="RAV4"/>
    <n v="0"/>
    <d v="2017-04-25T00:00:00"/>
    <n v="4.5"/>
    <x v="32"/>
  </r>
  <r>
    <d v="2017-04-27T00:00:00"/>
    <s v="001-00009359"/>
    <n v="869.375"/>
    <n v="0"/>
    <n v="0"/>
    <n v="0"/>
    <n v="0"/>
    <n v="102.375"/>
    <n v="154.94374999999999"/>
    <n v="0"/>
    <n v="257.31875000000002"/>
    <n v="612.05624999999998"/>
    <n v="0.70401869158878505"/>
    <x v="2"/>
    <s v="MEDIANO"/>
    <x v="0"/>
    <x v="0"/>
    <n v="8"/>
    <n v="1"/>
    <d v="2017-04-19T00:00:00"/>
    <s v="KIA"/>
    <s v="CERATO"/>
    <n v="3844.5550000000003"/>
    <d v="2017-04-19T00:00:00"/>
    <n v="7"/>
    <x v="2"/>
  </r>
  <r>
    <d v="2017-04-28T00:00:00"/>
    <s v="001-00009245"/>
    <n v="1206.2049329254198"/>
    <n v="0"/>
    <n v="0"/>
    <n v="0"/>
    <n v="0"/>
    <n v="117"/>
    <n v="232.41562500000001"/>
    <n v="0"/>
    <n v="349.41562499999998"/>
    <n v="856.78930792541985"/>
    <n v="0.71031819265358243"/>
    <x v="1"/>
    <s v="MEDIANO"/>
    <x v="0"/>
    <x v="0"/>
    <n v="28"/>
    <n v="1"/>
    <d v="2017-03-31T00:00:00"/>
    <s v="KIA"/>
    <s v="RIO"/>
    <n v="1203.3125"/>
    <d v="2017-03-29T00:00:00"/>
    <n v="8"/>
    <x v="33"/>
  </r>
  <r>
    <d v="2017-04-28T00:00:00"/>
    <s v="001-00009212"/>
    <n v="2420.5050745000003"/>
    <n v="0"/>
    <n v="0"/>
    <n v="0"/>
    <n v="0"/>
    <n v="117"/>
    <n v="619.77499999999998"/>
    <n v="0"/>
    <n v="736.77499999999998"/>
    <n v="1683.7300745000002"/>
    <n v="0.69561104921368755"/>
    <x v="1"/>
    <s v="MEDIANO"/>
    <x v="0"/>
    <x v="0"/>
    <n v="32"/>
    <n v="1"/>
    <d v="2017-03-27T00:00:00"/>
    <s v="KIA"/>
    <s v="RIO"/>
    <n v="783.08749999999998"/>
    <d v="2017-03-29T00:00:00"/>
    <n v="8"/>
    <x v="33"/>
  </r>
  <r>
    <d v="2017-04-28T00:00:00"/>
    <s v="001-00009379"/>
    <n v="1730.09255325"/>
    <n v="0"/>
    <n v="0"/>
    <n v="137.71186440677968"/>
    <n v="0"/>
    <n v="146.25"/>
    <n v="216.92125000000001"/>
    <n v="0"/>
    <n v="500.88311440677967"/>
    <n v="1229.2094388432204"/>
    <n v="0.71048767682060443"/>
    <x v="1"/>
    <s v="MEDIANO"/>
    <x v="0"/>
    <x v="0"/>
    <n v="6"/>
    <n v="1"/>
    <d v="2017-04-22T00:00:00"/>
    <s v="RENAULT"/>
    <s v="DUSTER"/>
    <n v="1875.8675000000003"/>
    <d v="2017-04-24T00:00:00"/>
    <n v="10"/>
    <x v="1"/>
  </r>
  <r>
    <d v="2017-04-28T00:00:00"/>
    <s v="001-00009263"/>
    <n v="1224.0195253737297"/>
    <n v="0"/>
    <n v="0"/>
    <n v="0"/>
    <n v="0"/>
    <n v="58.5"/>
    <n v="208.24439999999998"/>
    <n v="0"/>
    <n v="266.74439999999998"/>
    <n v="957.27512537372968"/>
    <n v="0.7820750449887186"/>
    <x v="1"/>
    <s v="LEVE"/>
    <x v="0"/>
    <x v="0"/>
    <n v="25"/>
    <n v="1"/>
    <d v="2017-04-03T00:00:00"/>
    <s v="MAZDA"/>
    <s v="MAZDA 2"/>
    <n v="3944.2324999999996"/>
    <d v="2017-04-17T00:00:00"/>
    <n v="4"/>
    <x v="34"/>
  </r>
  <r>
    <d v="2017-04-28T00:00:00"/>
    <s v="001-00009370"/>
    <n v="1238.6949339254197"/>
    <n v="0"/>
    <n v="0"/>
    <n v="34.427966101694921"/>
    <n v="0"/>
    <n v="117"/>
    <n v="221.25967499999999"/>
    <n v="0"/>
    <n v="372.68764110169491"/>
    <n v="866.00729282372481"/>
    <n v="0.69912879200962808"/>
    <x v="1"/>
    <s v="MEDIANO"/>
    <x v="0"/>
    <x v="0"/>
    <n v="8"/>
    <n v="1"/>
    <d v="2017-04-20T00:00:00"/>
    <s v="CHEVROLET"/>
    <s v="AVEO"/>
    <n v="935.1875"/>
    <d v="2017-04-21T00:00:00"/>
    <n v="8"/>
    <x v="1"/>
  </r>
  <r>
    <d v="2017-04-29T00:00:00"/>
    <s v="001-00009378"/>
    <n v="600.5100185"/>
    <n v="0"/>
    <n v="0"/>
    <n v="0"/>
    <n v="0"/>
    <n v="58.5"/>
    <n v="123.955"/>
    <n v="0"/>
    <n v="182.45499999999998"/>
    <n v="418.05501850000002"/>
    <n v="0.6961666010906028"/>
    <x v="1"/>
    <s v="LEVE"/>
    <x v="0"/>
    <x v="0"/>
    <n v="7"/>
    <n v="1"/>
    <d v="2017-04-22T00:00:00"/>
    <s v="TOYOTA"/>
    <s v="RAV4"/>
    <n v="1275.0074999999999"/>
    <d v="2017-04-25T00:00:00"/>
    <n v="4"/>
    <x v="35"/>
  </r>
  <r>
    <d v="2017-04-29T00:00:00"/>
    <s v="001-00009261"/>
    <n v="2580.5700794999998"/>
    <n v="0"/>
    <n v="0"/>
    <n v="0"/>
    <n v="29.25"/>
    <n v="234"/>
    <n v="402.85374999999999"/>
    <n v="0"/>
    <n v="666.10374999999999"/>
    <n v="1914.4663294999998"/>
    <n v="0.74187728700277678"/>
    <x v="1"/>
    <s v="MEDIANO"/>
    <x v="0"/>
    <x v="0"/>
    <n v="26"/>
    <n v="1"/>
    <d v="2017-04-03T00:00:00"/>
    <s v="NISSAN"/>
    <s v="ADVAN"/>
    <n v="3237"/>
    <d v="2017-04-06T00:00:00"/>
    <n v="16"/>
    <x v="36"/>
  </r>
  <r>
    <d v="2017-04-29T00:00:00"/>
    <s v="001-00009325"/>
    <n v="2307.8784476391484"/>
    <n v="0"/>
    <n v="0"/>
    <n v="55.084745762711876"/>
    <n v="0"/>
    <n v="219.375"/>
    <n v="404.713075"/>
    <n v="0"/>
    <n v="679.17282076271181"/>
    <n v="1628.7056268764366"/>
    <n v="0.70571551484547468"/>
    <x v="1"/>
    <s v="MEDIANO"/>
    <x v="0"/>
    <x v="0"/>
    <n v="17"/>
    <n v="1"/>
    <d v="2017-04-12T00:00:00"/>
    <s v="KIA"/>
    <s v="RIO"/>
    <n v="3043.4949999999999"/>
    <d v="2017-04-18T00:00:00"/>
    <n v="15"/>
    <x v="1"/>
  </r>
  <r>
    <d v="2017-04-29T00:00:00"/>
    <s v="001-00009383"/>
    <n v="1156.4563183671189"/>
    <n v="0"/>
    <n v="0"/>
    <n v="0"/>
    <n v="0"/>
    <n v="73.125"/>
    <n v="179.73474999999999"/>
    <n v="0"/>
    <n v="252.85974999999999"/>
    <n v="903.59656836711895"/>
    <n v="0.78134950193619923"/>
    <x v="1"/>
    <s v="LEVE"/>
    <x v="0"/>
    <x v="0"/>
    <n v="5"/>
    <n v="1"/>
    <d v="2017-04-24T00:00:00"/>
    <s v="HYUNDAI"/>
    <s v="CRETA"/>
    <n v="0"/>
    <d v="2017-04-24T00:00:00"/>
    <n v="5"/>
    <x v="1"/>
  </r>
  <r>
    <d v="2017-04-29T00:00:00"/>
    <s v="001-00009361"/>
    <n v="911.1908522251897"/>
    <n v="0"/>
    <n v="0"/>
    <n v="81.08"/>
    <n v="14.625"/>
    <n v="58.5"/>
    <n v="92.966250000000002"/>
    <n v="0"/>
    <n v="247.17124999999999"/>
    <n v="664.01960222518971"/>
    <n v="0.72873822273743083"/>
    <x v="1"/>
    <s v="LEVE"/>
    <x v="0"/>
    <x v="0"/>
    <n v="10"/>
    <n v="1"/>
    <d v="2017-04-19T00:00:00"/>
    <s v="HYUNDAI"/>
    <s v="ELANTRA"/>
    <n v="4123.47"/>
    <d v="2017-04-20T00:00:00"/>
    <n v="4"/>
    <x v="1"/>
  </r>
  <r>
    <d v="2017-04-29T00:00:00"/>
    <s v="001-00009354"/>
    <n v="2077.4400639999999"/>
    <n v="0"/>
    <n v="0"/>
    <n v="137.71186440677968"/>
    <n v="0"/>
    <n v="175.5"/>
    <n v="371.86500000000001"/>
    <n v="0"/>
    <n v="685.07686440677969"/>
    <n v="1392.3631995932201"/>
    <n v="0.6702302625820642"/>
    <x v="1"/>
    <s v="MEDIANO"/>
    <x v="0"/>
    <x v="0"/>
    <n v="10"/>
    <n v="1"/>
    <d v="2017-04-19T00:00:00"/>
    <s v="NISSAN"/>
    <s v="TIIDA"/>
    <n v="0"/>
    <d v="2017-04-20T00:00:00"/>
    <n v="12"/>
    <x v="1"/>
  </r>
  <r>
    <d v="2017-04-29T00:00:00"/>
    <s v="001-00009388"/>
    <n v="1527.5455742593199"/>
    <n v="0"/>
    <n v="0"/>
    <n v="0"/>
    <n v="0"/>
    <n v="175.5"/>
    <n v="257.20662500000003"/>
    <n v="0"/>
    <n v="432.70662500000003"/>
    <n v="1094.8389492593199"/>
    <n v="0.71673079200284295"/>
    <x v="1"/>
    <s v="MEDIANO"/>
    <x v="0"/>
    <x v="0"/>
    <n v="5"/>
    <n v="1"/>
    <d v="2017-04-24T00:00:00"/>
    <s v="NISSAN"/>
    <s v="VERSA"/>
    <n v="0"/>
    <d v="2017-04-25T00:00:00"/>
    <n v="12"/>
    <x v="1"/>
  </r>
  <r>
    <d v="2017-04-29T00:00:00"/>
    <s v="001-00009327"/>
    <n v="2608.9862460354207"/>
    <n v="0"/>
    <n v="0"/>
    <n v="85.805932203389844"/>
    <n v="39.048749999999998"/>
    <n v="234"/>
    <n v="387.359375"/>
    <n v="0"/>
    <n v="746.21405720338987"/>
    <n v="1862.7721888320307"/>
    <n v="0.71398313872396735"/>
    <x v="1"/>
    <s v="MEDIANO"/>
    <x v="0"/>
    <x v="0"/>
    <n v="17"/>
    <n v="1"/>
    <d v="2017-04-12T00:00:00"/>
    <s v="NISSAN"/>
    <s v="ALMERA"/>
    <n v="2015"/>
    <d v="2017-04-17T00:00:00"/>
    <n v="16"/>
    <x v="1"/>
  </r>
  <r>
    <d v="2017-04-29T00:00:00"/>
    <s v="001-00009310"/>
    <n v="2378.2728288077988"/>
    <n v="0"/>
    <n v="0"/>
    <n v="44.492372881355934"/>
    <n v="39.048749999999998"/>
    <n v="146.25"/>
    <n v="257.82640000000004"/>
    <n v="0"/>
    <n v="487.61752288135597"/>
    <n v="1890.6553059264429"/>
    <n v="0.79496989707198862"/>
    <x v="1"/>
    <s v="MEDIANO"/>
    <x v="0"/>
    <x v="0"/>
    <n v="18"/>
    <n v="1"/>
    <d v="2017-04-11T00:00:00"/>
    <s v="KIA"/>
    <s v="RIO"/>
    <n v="5413.3625000000002"/>
    <d v="2017-04-17T00:00:00"/>
    <n v="10"/>
    <x v="1"/>
  </r>
  <r>
    <d v="2017-05-02T00:00:00"/>
    <s v="001-00009432"/>
    <n v="549"/>
    <n v="53.275499000000003"/>
    <n v="131.97"/>
    <n v="0"/>
    <n v="39.048749999999998"/>
    <n v="0"/>
    <n v="0"/>
    <n v="0"/>
    <n v="224.29424899999998"/>
    <n v="324.70575100000002"/>
    <n v="0.59144945537340621"/>
    <x v="0"/>
    <s v="-"/>
    <x v="1"/>
    <x v="0"/>
    <n v="0"/>
    <n v="1"/>
    <d v="2017-05-02T00:00:00"/>
    <s v="KIA"/>
    <s v="PICANTO"/>
    <n v="550.67999999999995"/>
    <d v="2017-05-02T00:00:00"/>
    <n v="0"/>
    <x v="37"/>
  </r>
  <r>
    <d v="2017-05-03T00:00:00"/>
    <s v="001-00009279"/>
    <n v="3468.3076067499996"/>
    <n v="0"/>
    <n v="0"/>
    <n v="0"/>
    <n v="14.625"/>
    <n v="409.5"/>
    <n v="371.86500000000001"/>
    <n v="0"/>
    <n v="795.99"/>
    <n v="2672.3176067499999"/>
    <n v="0.77049613521855764"/>
    <x v="1"/>
    <s v="GRAVE"/>
    <x v="1"/>
    <x v="0"/>
    <n v="28"/>
    <n v="1"/>
    <d v="2017-04-05T00:00:00"/>
    <s v="NISSAN"/>
    <s v="FRONTIER"/>
    <n v="6501.17"/>
    <d v="2017-04-06T00:00:00"/>
    <n v="28"/>
    <x v="1"/>
  </r>
  <r>
    <d v="2017-05-03T00:00:00"/>
    <s v="001-00009412"/>
    <n v="1068.12242867542"/>
    <n v="0"/>
    <n v="0"/>
    <n v="0"/>
    <n v="0"/>
    <n v="58.5"/>
    <n v="201.426875"/>
    <n v="0"/>
    <n v="259.926875"/>
    <n v="808.19555367542"/>
    <n v="0.7566506722245917"/>
    <x v="1"/>
    <s v="LEVE"/>
    <x v="1"/>
    <x v="0"/>
    <n v="6"/>
    <n v="1"/>
    <d v="2017-04-27T00:00:00"/>
    <s v="NISSAN"/>
    <s v="QASHQAI"/>
    <n v="972.5625"/>
    <d v="2017-04-27T00:00:00"/>
    <n v="4"/>
    <x v="1"/>
  </r>
  <r>
    <d v="2017-05-03T00:00:00"/>
    <s v="001-00009357"/>
    <n v="4122.182555165421"/>
    <n v="0"/>
    <n v="0"/>
    <n v="0"/>
    <n v="14.625"/>
    <n v="351"/>
    <n v="619.77499999999998"/>
    <n v="0"/>
    <n v="985.4"/>
    <n v="3136.7825551654209"/>
    <n v="0.76095187760056482"/>
    <x v="1"/>
    <s v="GRAVE"/>
    <x v="1"/>
    <x v="0"/>
    <n v="14"/>
    <n v="1"/>
    <d v="2017-04-19T00:00:00"/>
    <s v="HYUNDAI"/>
    <s v="ELANTRA"/>
    <n v="4149.4049999999997"/>
    <d v="2017-04-20T00:00:00"/>
    <n v="24"/>
    <x v="1"/>
  </r>
  <r>
    <d v="2017-05-04T00:00:00"/>
    <s v="001-00009405"/>
    <n v="2044.70872127542"/>
    <n v="0"/>
    <n v="0"/>
    <n v="0"/>
    <n v="0"/>
    <n v="263.25"/>
    <n v="263.40437500000002"/>
    <n v="0"/>
    <n v="526.65437500000007"/>
    <n v="1518.0543462754199"/>
    <n v="0.74243061149976852"/>
    <x v="1"/>
    <s v="MEDIANO"/>
    <x v="1"/>
    <x v="0"/>
    <n v="8"/>
    <n v="1"/>
    <d v="2017-04-26T00:00:00"/>
    <s v="NISSAN"/>
    <s v="TIIDA"/>
    <n v="507"/>
    <d v="2017-04-26T00:00:00"/>
    <n v="18"/>
    <x v="1"/>
  </r>
  <r>
    <d v="2017-05-04T00:00:00"/>
    <s v="001-00009399"/>
    <n v="1606.6259016842394"/>
    <n v="0"/>
    <n v="0"/>
    <n v="0"/>
    <n v="0"/>
    <n v="146.25"/>
    <n v="288.19537500000007"/>
    <n v="0"/>
    <n v="434.44537500000007"/>
    <n v="1172.1805266842393"/>
    <n v="0.72959145340270737"/>
    <x v="1"/>
    <s v="MEDIANO"/>
    <x v="1"/>
    <x v="0"/>
    <n v="9"/>
    <n v="1"/>
    <d v="2017-04-25T00:00:00"/>
    <s v="HYUNDAI"/>
    <s v="ACCENT"/>
    <n v="1088.8474999999999"/>
    <d v="2017-04-26T00:00:00"/>
    <n v="10"/>
    <x v="1"/>
  </r>
  <r>
    <d v="2017-05-04T00:00:00"/>
    <s v="001-00009387"/>
    <n v="1826.3412168699997"/>
    <n v="0"/>
    <n v="0"/>
    <n v="0"/>
    <n v="14.625"/>
    <n v="234"/>
    <n v="247.91"/>
    <n v="0"/>
    <n v="496.53499999999997"/>
    <n v="1329.8062168699998"/>
    <n v="0.72812583135424935"/>
    <x v="1"/>
    <s v="MEDIANO"/>
    <x v="1"/>
    <x v="0"/>
    <n v="10"/>
    <n v="1"/>
    <d v="2017-04-24T00:00:00"/>
    <s v="NISSAN"/>
    <s v="FRONTIER"/>
    <n v="3658.8824999999997"/>
    <d v="2017-04-25T00:00:00"/>
    <n v="16"/>
    <x v="23"/>
  </r>
  <r>
    <d v="2017-05-04T00:00:00"/>
    <s v="001-00009403"/>
    <n v="2304.8687617954211"/>
    <n v="0"/>
    <n v="0"/>
    <n v="0"/>
    <n v="0"/>
    <n v="321.75"/>
    <n v="325.38187500000004"/>
    <n v="0"/>
    <n v="647.13187500000004"/>
    <n v="1657.736886795421"/>
    <n v="0.71923265839400574"/>
    <x v="1"/>
    <s v="MEDIANO"/>
    <x v="1"/>
    <x v="0"/>
    <n v="9"/>
    <n v="1"/>
    <d v="2017-04-25T00:00:00"/>
    <s v="TOYOTA"/>
    <s v="YARIS"/>
    <n v="1952.73"/>
    <d v="2017-04-26T00:00:00"/>
    <n v="22"/>
    <x v="1"/>
  </r>
  <r>
    <d v="2017-05-05T00:00:00"/>
    <s v="001-00009315"/>
    <n v="644.18687140592988"/>
    <n v="0"/>
    <n v="0"/>
    <n v="0"/>
    <n v="0"/>
    <n v="36.5625"/>
    <n v="123.955"/>
    <n v="0"/>
    <n v="160.51749999999998"/>
    <n v="483.66937140592989"/>
    <n v="0.75082152846475658"/>
    <x v="1"/>
    <s v="LEVE"/>
    <x v="1"/>
    <x v="0"/>
    <n v="24"/>
    <n v="1"/>
    <d v="2017-04-11T00:00:00"/>
    <s v="HYUNDAI"/>
    <s v="I10"/>
    <n v="981.46749999999997"/>
    <d v="2017-04-17T00:00:00"/>
    <n v="2.5"/>
    <x v="1"/>
  </r>
  <r>
    <d v="2017-05-05T00:00:00"/>
    <s v="001-00009461"/>
    <n v="59.321998999999998"/>
    <n v="0"/>
    <n v="0"/>
    <n v="0"/>
    <n v="0"/>
    <n v="0"/>
    <n v="0"/>
    <n v="0"/>
    <n v="0"/>
    <n v="59.321998999999998"/>
    <n v="1"/>
    <x v="0"/>
    <s v="-"/>
    <x v="1"/>
    <x v="0"/>
    <n v="0"/>
    <n v="1"/>
    <d v="2017-05-05T00:00:00"/>
    <s v="KIA"/>
    <s v="RIO"/>
    <n v="0"/>
    <s v="F/Fecha"/>
    <n v="0"/>
    <x v="38"/>
  </r>
  <r>
    <d v="2017-05-05T00:00:00"/>
    <s v="001-00009456"/>
    <n v="350"/>
    <n v="79.795499000000007"/>
    <n v="42.37"/>
    <n v="0"/>
    <n v="39.048749999999998"/>
    <n v="0"/>
    <n v="0"/>
    <n v="0"/>
    <n v="161.214249"/>
    <n v="188.785751"/>
    <n v="0.53938786000000005"/>
    <x v="0"/>
    <s v="-"/>
    <x v="1"/>
    <x v="0"/>
    <n v="0"/>
    <n v="1"/>
    <d v="2017-05-05T00:00:00"/>
    <s v="HYUNDAI"/>
    <s v="ACCENT"/>
    <n v="347.96449999999999"/>
    <d v="2017-05-05T00:00:00"/>
    <n v="0"/>
    <x v="39"/>
  </r>
  <r>
    <d v="2017-05-05T00:00:00"/>
    <s v="001-00009414"/>
    <n v="576.97851764999996"/>
    <n v="0"/>
    <n v="0"/>
    <n v="0"/>
    <n v="0"/>
    <n v="29.25"/>
    <n v="61.977499999999999"/>
    <n v="0"/>
    <n v="91.227499999999992"/>
    <n v="485.75101764999999"/>
    <n v="0.84188752750871165"/>
    <x v="2"/>
    <s v="LEVE"/>
    <x v="1"/>
    <x v="0"/>
    <n v="7"/>
    <n v="1"/>
    <d v="2017-04-28T00:00:00"/>
    <s v="JEEP"/>
    <s v="GRAND CHEROKEE"/>
    <n v="172.25"/>
    <d v="2017-04-25T00:00:00"/>
    <n v="2"/>
    <x v="2"/>
  </r>
  <r>
    <d v="2017-05-05T00:00:00"/>
    <s v="001-00009390"/>
    <n v="874.45752674999994"/>
    <n v="0"/>
    <n v="0"/>
    <n v="0"/>
    <n v="0"/>
    <n v="58.5"/>
    <n v="123.955"/>
    <n v="0"/>
    <n v="182.45499999999998"/>
    <n v="692.00252675000002"/>
    <n v="0.79135064377785125"/>
    <x v="2"/>
    <s v="LEVE"/>
    <x v="1"/>
    <x v="0"/>
    <n v="11"/>
    <n v="1"/>
    <d v="2017-04-24T00:00:00"/>
    <s v="JEEP"/>
    <s v="GRAND CHEROKEE"/>
    <n v="574.6"/>
    <d v="2017-04-25T00:00:00"/>
    <n v="4"/>
    <x v="2"/>
  </r>
  <r>
    <d v="2017-05-05T00:00:00"/>
    <s v="001-00009411"/>
    <n v="653.80002000000002"/>
    <n v="0"/>
    <n v="0"/>
    <n v="0"/>
    <n v="0"/>
    <n v="58.5"/>
    <n v="123.955"/>
    <n v="0"/>
    <n v="182.45499999999998"/>
    <n v="471.34502000000003"/>
    <n v="0.72093148605287594"/>
    <x v="1"/>
    <s v="LEVE"/>
    <x v="1"/>
    <x v="0"/>
    <n v="8"/>
    <n v="1"/>
    <d v="2017-04-27T00:00:00"/>
    <s v="FORD"/>
    <s v="ECOSPORT"/>
    <n v="2978.9500000000003"/>
    <d v="2017-04-27T00:00:00"/>
    <n v="4"/>
    <x v="1"/>
  </r>
  <r>
    <d v="2017-05-06T00:00:00"/>
    <s v="001-00009334"/>
    <n v="2954.7849097500011"/>
    <n v="0"/>
    <n v="0"/>
    <n v="0"/>
    <n v="39.048749999999998"/>
    <n v="351"/>
    <n v="402.85374999999999"/>
    <n v="0"/>
    <n v="792.90249999999992"/>
    <n v="2161.882409750001"/>
    <n v="0.7316547484104059"/>
    <x v="1"/>
    <s v="MEDIANO"/>
    <x v="1"/>
    <x v="0"/>
    <n v="19"/>
    <n v="1"/>
    <d v="2017-04-17T00:00:00"/>
    <s v="TOYOTA"/>
    <s v="YARIS"/>
    <n v="4439.5"/>
    <d v="2017-04-18T00:00:00"/>
    <n v="24"/>
    <x v="40"/>
  </r>
  <r>
    <d v="2017-05-06T00:00:00"/>
    <s v="001-00009460"/>
    <n v="98.219997000000006"/>
    <n v="0"/>
    <n v="0"/>
    <n v="0"/>
    <n v="0"/>
    <n v="29.25"/>
    <n v="0"/>
    <n v="0"/>
    <n v="29.25"/>
    <n v="68.969997000000006"/>
    <n v="0.7021991356810976"/>
    <x v="0"/>
    <s v="LEVE"/>
    <x v="1"/>
    <x v="0"/>
    <n v="1"/>
    <n v="1"/>
    <d v="2017-05-05T00:00:00"/>
    <s v="KIA"/>
    <s v="PICANTO"/>
    <n v="0"/>
    <d v="2017-05-05T00:00:00"/>
    <n v="2"/>
    <x v="37"/>
  </r>
  <r>
    <d v="2017-05-06T00:00:00"/>
    <s v="001-00009333"/>
    <n v="2604.6170964676176"/>
    <n v="0"/>
    <n v="0"/>
    <n v="61.970338983050851"/>
    <n v="39.048749999999998"/>
    <n v="175.5"/>
    <n v="402.85374999999999"/>
    <n v="0"/>
    <n v="679.37283898305077"/>
    <n v="1925.2442574845668"/>
    <n v="0.73916594500419408"/>
    <x v="1"/>
    <s v="MEDIANO"/>
    <x v="1"/>
    <x v="0"/>
    <n v="19"/>
    <n v="1"/>
    <d v="2017-04-17T00:00:00"/>
    <s v="KIA"/>
    <s v="CARENS"/>
    <n v="11509.225"/>
    <d v="2017-04-19T00:00:00"/>
    <n v="12"/>
    <x v="1"/>
  </r>
  <r>
    <d v="2017-05-06T00:00:00"/>
    <s v="001-00009410"/>
    <n v="2246.7962149145792"/>
    <n v="0"/>
    <n v="0"/>
    <n v="0"/>
    <n v="14.625"/>
    <n v="204.75"/>
    <n v="418.34812499999998"/>
    <n v="0"/>
    <n v="637.72312499999998"/>
    <n v="1609.0730899145792"/>
    <n v="0.71616334371284063"/>
    <x v="1"/>
    <s v="MEDIANO"/>
    <x v="1"/>
    <x v="0"/>
    <n v="9"/>
    <n v="1"/>
    <d v="2017-04-27T00:00:00"/>
    <s v="GONOW"/>
    <s v="INCAPOWER SEVE"/>
    <n v="2018.25"/>
    <d v="2017-04-27T00:00:00"/>
    <n v="14"/>
    <x v="1"/>
  </r>
  <r>
    <d v="2017-05-06T00:00:00"/>
    <s v="001-00009389"/>
    <n v="981.95019654762905"/>
    <n v="0"/>
    <n v="0"/>
    <n v="0"/>
    <n v="0"/>
    <n v="102.375"/>
    <n v="170.43812500000001"/>
    <n v="0"/>
    <n v="272.81312500000001"/>
    <n v="709.13707154762903"/>
    <n v="0.722172136673362"/>
    <x v="1"/>
    <s v="MEDIANO"/>
    <x v="1"/>
    <x v="0"/>
    <n v="12"/>
    <n v="1"/>
    <d v="2017-04-24T00:00:00"/>
    <s v="VOLKSWAGEN"/>
    <s v="POLO"/>
    <n v="0"/>
    <d v="2017-04-25T00:00:00"/>
    <n v="7"/>
    <x v="1"/>
  </r>
  <r>
    <d v="2017-05-06T00:00:00"/>
    <s v="001-00009407"/>
    <n v="926.90276648897998"/>
    <n v="0"/>
    <n v="0"/>
    <n v="0"/>
    <n v="14.625"/>
    <n v="73.125"/>
    <n v="157.42285000000001"/>
    <n v="0"/>
    <n v="245.17285000000001"/>
    <n v="681.72991648897994"/>
    <n v="0.73549237432024117"/>
    <x v="1"/>
    <s v="LEVE"/>
    <x v="1"/>
    <x v="0"/>
    <n v="10"/>
    <n v="1"/>
    <d v="2017-04-26T00:00:00"/>
    <s v="VOLKSWAGEN"/>
    <s v="POLO"/>
    <n v="0"/>
    <d v="2017-04-25T00:00:00"/>
    <n v="5"/>
    <x v="1"/>
  </r>
  <r>
    <d v="2017-05-06T00:00:00"/>
    <s v="001-00009406"/>
    <n v="278.28999150000004"/>
    <n v="0"/>
    <n v="0"/>
    <n v="0"/>
    <n v="0"/>
    <n v="14.625"/>
    <n v="61.977499999999999"/>
    <n v="0"/>
    <n v="76.602499999999992"/>
    <n v="201.68749150000005"/>
    <n v="0.72473857364719496"/>
    <x v="1"/>
    <s v="LEVE"/>
    <x v="1"/>
    <x v="0"/>
    <n v="10"/>
    <n v="1"/>
    <d v="2017-04-26T00:00:00"/>
    <s v="VOLKSWAGEN"/>
    <s v="POLO"/>
    <n v="421.42749999999995"/>
    <d v="2017-04-25T00:00:00"/>
    <n v="1"/>
    <x v="1"/>
  </r>
  <r>
    <d v="2017-05-06T00:00:00"/>
    <s v="001-00009434"/>
    <n v="1080.4199669999998"/>
    <n v="0"/>
    <n v="0"/>
    <n v="0"/>
    <n v="0"/>
    <n v="58.5"/>
    <n v="185.9325"/>
    <n v="0"/>
    <n v="244.4325"/>
    <n v="835.98746699999981"/>
    <n v="0.7737615858037914"/>
    <x v="1"/>
    <s v="LEVE"/>
    <x v="1"/>
    <x v="0"/>
    <n v="4"/>
    <n v="1"/>
    <d v="2017-05-02T00:00:00"/>
    <s v="NISSAN"/>
    <s v="X-TRAIL"/>
    <n v="522.63250000000005"/>
    <d v="2017-05-03T00:00:00"/>
    <n v="4"/>
    <x v="41"/>
  </r>
  <r>
    <d v="2017-05-06T00:00:00"/>
    <s v="001-00009435"/>
    <n v="294.65999099999999"/>
    <n v="0"/>
    <n v="0"/>
    <n v="0"/>
    <n v="0"/>
    <n v="29.25"/>
    <n v="61.977499999999999"/>
    <n v="0"/>
    <n v="91.227499999999992"/>
    <n v="203.432491"/>
    <n v="0.69039739772475595"/>
    <x v="0"/>
    <s v="LEVE"/>
    <x v="1"/>
    <x v="0"/>
    <n v="4"/>
    <n v="1"/>
    <d v="2017-05-02T00:00:00"/>
    <s v="NISSAN"/>
    <s v="X-TRAIL"/>
    <n v="0"/>
    <d v="2017-05-02T00:00:00"/>
    <n v="2"/>
    <x v="41"/>
  </r>
  <r>
    <d v="2017-05-06T00:00:00"/>
    <s v="001-00009393"/>
    <n v="2545.5349222500004"/>
    <n v="0"/>
    <n v="0"/>
    <n v="0"/>
    <n v="14.625"/>
    <n v="204.75"/>
    <n v="464.83125000000001"/>
    <n v="0"/>
    <n v="684.20624999999995"/>
    <n v="1861.3286722500004"/>
    <n v="0.73121317487358239"/>
    <x v="1"/>
    <s v="MEDIANO"/>
    <x v="1"/>
    <x v="0"/>
    <n v="12"/>
    <n v="1"/>
    <d v="2017-04-24T00:00:00"/>
    <s v="TOYOTA"/>
    <s v="COROLLA"/>
    <n v="1577.1599999999999"/>
    <d v="2017-04-25T00:00:00"/>
    <n v="14"/>
    <x v="42"/>
  </r>
  <r>
    <d v="2017-05-08T00:00:00"/>
    <s v="001-00009470"/>
    <n v="400"/>
    <n v="0"/>
    <n v="356.78"/>
    <n v="0"/>
    <n v="0"/>
    <n v="0"/>
    <n v="0"/>
    <n v="0"/>
    <n v="356.78"/>
    <n v="43.220000000000027"/>
    <n v="0.10805000000000006"/>
    <x v="0"/>
    <s v="-"/>
    <x v="1"/>
    <x v="0"/>
    <n v="0"/>
    <n v="1"/>
    <d v="2017-05-08T00:00:00"/>
    <s v="HYUNDAI"/>
    <s v="ELANTRA"/>
    <n v="0"/>
    <s v="F/Fecha"/>
    <n v="0"/>
    <x v="43"/>
  </r>
  <r>
    <d v="2017-05-08T00:00:00"/>
    <s v="001-00009469"/>
    <n v="450"/>
    <n v="58.462698650000007"/>
    <n v="29.61"/>
    <n v="0"/>
    <n v="0"/>
    <n v="0"/>
    <n v="0"/>
    <n v="0"/>
    <n v="88.072698650000007"/>
    <n v="361.92730134999999"/>
    <n v="0.80428289188888891"/>
    <x v="0"/>
    <s v="-"/>
    <x v="1"/>
    <x v="0"/>
    <n v="0"/>
    <n v="1"/>
    <d v="2017-05-08T00:00:00"/>
    <s v="SUZUKI"/>
    <s v="GRAND NOMADE"/>
    <n v="447.39499999999998"/>
    <d v="2017-05-08T00:00:00"/>
    <n v="0"/>
    <x v="44"/>
  </r>
  <r>
    <d v="2017-05-08T00:00:00"/>
    <s v="001-00009458"/>
    <n v="381.35589999999996"/>
    <n v="0"/>
    <n v="296.61"/>
    <n v="0"/>
    <n v="0"/>
    <n v="0"/>
    <n v="61.977499999999999"/>
    <n v="0"/>
    <n v="358.58750000000003"/>
    <n v="22.768399999999929"/>
    <n v="5.9703809486099289E-2"/>
    <x v="0"/>
    <s v="LEVE"/>
    <x v="1"/>
    <x v="0"/>
    <n v="3"/>
    <n v="1"/>
    <d v="2017-05-05T00:00:00"/>
    <s v="BRILLANCE"/>
    <s v="M530"/>
    <n v="0"/>
    <d v="2017-05-10T00:00:00"/>
    <n v="0"/>
    <x v="45"/>
  </r>
  <r>
    <d v="2017-05-08T00:00:00"/>
    <s v="001-00009404"/>
    <n v="2590.5662044145793"/>
    <n v="0"/>
    <n v="0"/>
    <n v="0"/>
    <n v="39.048749999999998"/>
    <n v="175.5"/>
    <n v="418.34812499999998"/>
    <n v="0"/>
    <n v="632.89687499999991"/>
    <n v="1957.6693294145794"/>
    <n v="0.75569168086826677"/>
    <x v="1"/>
    <s v="MEDIANO"/>
    <x v="1"/>
    <x v="0"/>
    <n v="12"/>
    <n v="1"/>
    <d v="2017-04-26T00:00:00"/>
    <s v="BRILLANCE"/>
    <s v="H230"/>
    <n v="4489.9075000000003"/>
    <d v="2017-04-26T00:00:00"/>
    <n v="12"/>
    <x v="45"/>
  </r>
  <r>
    <d v="2017-05-09T00:00:00"/>
    <s v="001-00009437"/>
    <n v="743.47130119999986"/>
    <n v="0"/>
    <n v="0"/>
    <n v="0"/>
    <n v="0"/>
    <n v="51.1875"/>
    <n v="170.43812500000001"/>
    <n v="0"/>
    <n v="221.62562500000001"/>
    <n v="521.84567619999984"/>
    <n v="0.70190426363158176"/>
    <x v="1"/>
    <s v="LEVE"/>
    <x v="1"/>
    <x v="0"/>
    <n v="7"/>
    <n v="1"/>
    <d v="2017-05-02T00:00:00"/>
    <s v="KIA"/>
    <s v="RIO"/>
    <n v="937.17000000000007"/>
    <d v="2017-05-03T00:00:00"/>
    <n v="3.5"/>
    <x v="46"/>
  </r>
  <r>
    <d v="2017-05-09T00:00:00"/>
    <s v="001-00009448"/>
    <n v="842.85900000000004"/>
    <n v="0"/>
    <n v="16.95"/>
    <n v="0"/>
    <n v="0"/>
    <n v="87.75"/>
    <n v="216.92125000000001"/>
    <n v="0"/>
    <n v="321.62125000000003"/>
    <n v="521.23775000000001"/>
    <n v="0.61841630687932381"/>
    <x v="0"/>
    <s v="LEVE"/>
    <x v="1"/>
    <x v="0"/>
    <n v="5"/>
    <n v="1"/>
    <d v="2017-05-04T00:00:00"/>
    <s v="CHERY"/>
    <s v="Q22"/>
    <n v="0"/>
    <d v="2017-05-04T00:00:00"/>
    <n v="6"/>
    <x v="47"/>
  </r>
  <r>
    <d v="2017-05-09T00:00:00"/>
    <s v="001-00009440"/>
    <n v="556.25309748600012"/>
    <n v="0"/>
    <n v="0"/>
    <n v="10.17"/>
    <n v="0"/>
    <n v="43.875"/>
    <n v="61.977499999999999"/>
    <n v="0"/>
    <n v="116.02250000000001"/>
    <n v="440.23059748600008"/>
    <n v="0.79142138619206504"/>
    <x v="1"/>
    <s v="LEVE"/>
    <x v="1"/>
    <x v="0"/>
    <n v="6"/>
    <n v="1"/>
    <d v="2017-05-03T00:00:00"/>
    <s v="HYUNDAI"/>
    <s v="ACCENT"/>
    <n v="0"/>
    <d v="2017-05-03T00:00:00"/>
    <n v="3"/>
    <x v="1"/>
  </r>
  <r>
    <d v="2017-05-09T00:00:00"/>
    <s v="001-00009431"/>
    <n v="692.59413033999999"/>
    <n v="0"/>
    <n v="0"/>
    <n v="0"/>
    <n v="0"/>
    <n v="29.25"/>
    <n v="123.955"/>
    <n v="0"/>
    <n v="153.20499999999998"/>
    <n v="539.38913034000007"/>
    <n v="0.77879541092155902"/>
    <x v="1"/>
    <s v="LEVE"/>
    <x v="1"/>
    <x v="0"/>
    <n v="7"/>
    <n v="1"/>
    <d v="2017-05-02T00:00:00"/>
    <s v="HYUNDAI"/>
    <s v="ACCENT"/>
    <n v="570.245"/>
    <d v="2017-05-03T00:00:00"/>
    <n v="2"/>
    <x v="1"/>
  </r>
  <r>
    <d v="2017-05-10T00:00:00"/>
    <s v="001-00009415"/>
    <n v="3978.2980411083086"/>
    <n v="0"/>
    <n v="0"/>
    <n v="0"/>
    <n v="0"/>
    <n v="292.5"/>
    <n v="526.80875000000003"/>
    <n v="0"/>
    <n v="819.30875000000003"/>
    <n v="3158.9892911083084"/>
    <n v="0.79405546252845605"/>
    <x v="1"/>
    <s v="MEDIANO"/>
    <x v="1"/>
    <x v="0"/>
    <n v="12"/>
    <n v="1"/>
    <d v="2017-04-28T00:00:00"/>
    <s v="TOYOTA"/>
    <s v="HILUX"/>
    <n v="2863.8675000000003"/>
    <d v="2017-05-02T00:00:00"/>
    <n v="20"/>
    <x v="48"/>
  </r>
  <r>
    <d v="2017-05-11T00:00:00"/>
    <s v="001-00009409"/>
    <n v="1629.1484494683091"/>
    <n v="0"/>
    <n v="0"/>
    <n v="0"/>
    <n v="14.625"/>
    <n v="131.625"/>
    <n v="275.79987500000004"/>
    <n v="0"/>
    <n v="422.04987500000004"/>
    <n v="1207.0985744683089"/>
    <n v="0.74093835639242034"/>
    <x v="1"/>
    <s v="MEDIANO"/>
    <x v="1"/>
    <x v="0"/>
    <n v="14"/>
    <n v="1"/>
    <d v="2017-04-27T00:00:00"/>
    <s v="KIA"/>
    <s v="CERATO"/>
    <n v="8730.02"/>
    <d v="2017-04-28T00:00:00"/>
    <n v="9"/>
    <x v="49"/>
  </r>
  <r>
    <d v="2017-05-11T00:00:00"/>
    <s v="001-00009494"/>
    <n v="600"/>
    <n v="154.35"/>
    <n v="95.45"/>
    <n v="0"/>
    <n v="39.048749999999998"/>
    <n v="0"/>
    <n v="0"/>
    <n v="0"/>
    <n v="288.84875"/>
    <n v="311.15125"/>
    <n v="0.51858541666666669"/>
    <x v="0"/>
    <s v="-"/>
    <x v="1"/>
    <x v="0"/>
    <n v="1"/>
    <n v="1"/>
    <d v="2017-05-10T00:00:00"/>
    <s v="JEEP"/>
    <s v="PATRIOT"/>
    <n v="593.05999999999995"/>
    <d v="2017-05-10T00:00:00"/>
    <n v="0"/>
    <x v="23"/>
  </r>
  <r>
    <d v="2017-05-11T00:00:00"/>
    <s v="001-00009445"/>
    <n v="974.08383922541987"/>
    <n v="0"/>
    <n v="0"/>
    <n v="0"/>
    <n v="29.25"/>
    <n v="73.125"/>
    <n v="154.94374999999999"/>
    <n v="0"/>
    <n v="257.31875000000002"/>
    <n v="716.76508922541984"/>
    <n v="0.73583511024613968"/>
    <x v="1"/>
    <s v="LEVE"/>
    <x v="1"/>
    <x v="0"/>
    <n v="7"/>
    <n v="1"/>
    <d v="2017-05-04T00:00:00"/>
    <s v="HYUNDAI"/>
    <s v="TUCSON"/>
    <n v="0"/>
    <d v="2017-05-04T00:00:00"/>
    <n v="5"/>
    <x v="1"/>
  </r>
  <r>
    <d v="2017-05-11T00:00:00"/>
    <s v="001-00009413"/>
    <n v="2862.2040870499995"/>
    <n v="0"/>
    <n v="0"/>
    <n v="0"/>
    <n v="0"/>
    <n v="234"/>
    <n v="526.80875000000003"/>
    <n v="0"/>
    <n v="760.80875000000003"/>
    <n v="2101.3953370499994"/>
    <n v="0.7341878053202886"/>
    <x v="1"/>
    <s v="MEDIANO"/>
    <x v="1"/>
    <x v="0"/>
    <n v="14"/>
    <n v="1"/>
    <d v="2017-04-27T00:00:00"/>
    <s v="TOYOTA"/>
    <s v="YARIS"/>
    <n v="3642.1125000000002"/>
    <d v="2017-04-28T00:00:00"/>
    <n v="16"/>
    <x v="1"/>
  </r>
  <r>
    <d v="2017-05-11T00:00:00"/>
    <s v="001-00009479"/>
    <n v="604.18384112742035"/>
    <n v="0"/>
    <n v="0"/>
    <n v="0"/>
    <n v="0"/>
    <n v="43.875"/>
    <n v="77.471874999999997"/>
    <n v="0"/>
    <n v="121.346875"/>
    <n v="482.83696612742034"/>
    <n v="0.79915570933912417"/>
    <x v="1"/>
    <s v="LEVE"/>
    <x v="1"/>
    <x v="0"/>
    <n v="3"/>
    <n v="1"/>
    <d v="2017-05-08T00:00:00"/>
    <s v="KIA"/>
    <s v="SORENTO"/>
    <n v="611.32499999999993"/>
    <d v="2017-05-08T00:00:00"/>
    <n v="3"/>
    <x v="1"/>
  </r>
  <r>
    <d v="2017-05-11T00:00:00"/>
    <s v="001-00009498"/>
    <n v="860"/>
    <n v="128.625"/>
    <n v="262.2"/>
    <n v="0"/>
    <n v="39.048749999999998"/>
    <n v="0"/>
    <n v="0"/>
    <n v="0"/>
    <n v="429.87374999999997"/>
    <n v="430.12625000000003"/>
    <n v="0.5001468023255814"/>
    <x v="0"/>
    <s v="-"/>
    <x v="1"/>
    <x v="0"/>
    <n v="0"/>
    <n v="1"/>
    <d v="2017-05-11T00:00:00"/>
    <s v="NISSAN"/>
    <s v="QASHQAI"/>
    <n v="593.05999999999995"/>
    <d v="2017-05-11T00:00:00"/>
    <n v="0"/>
    <x v="50"/>
  </r>
  <r>
    <d v="2017-05-11T00:00:00"/>
    <s v="001-00009441"/>
    <n v="402.78001224999997"/>
    <n v="0"/>
    <n v="0"/>
    <n v="0"/>
    <n v="0"/>
    <n v="21.9375"/>
    <n v="77.471874999999997"/>
    <n v="0"/>
    <n v="99.409374999999997"/>
    <n v="303.37063724999996"/>
    <n v="0.75319188644768698"/>
    <x v="1"/>
    <s v="LEVE"/>
    <x v="1"/>
    <x v="0"/>
    <n v="8"/>
    <n v="1"/>
    <d v="2017-05-03T00:00:00"/>
    <s v="KIA"/>
    <s v="SPORTAGE"/>
    <n v="876.03750000000002"/>
    <d v="2017-05-04T00:00:00"/>
    <n v="1.5"/>
    <x v="1"/>
  </r>
  <r>
    <d v="2017-05-11T00:00:00"/>
    <s v="001-00009468"/>
    <n v="468.54001424999996"/>
    <n v="0"/>
    <n v="0"/>
    <n v="0"/>
    <n v="39.048749999999998"/>
    <n v="58.5"/>
    <n v="92.966250000000002"/>
    <n v="0"/>
    <n v="190.51499999999999"/>
    <n v="278.02501424999997"/>
    <n v="0.59338584922152138"/>
    <x v="1"/>
    <s v="LEVE"/>
    <x v="1"/>
    <x v="0"/>
    <n v="3"/>
    <n v="1"/>
    <d v="2017-05-08T00:00:00"/>
    <s v="HYUNDAI"/>
    <s v="ELANTRA"/>
    <n v="810.77750000000003"/>
    <d v="2017-05-08T00:00:00"/>
    <n v="4"/>
    <x v="1"/>
  </r>
  <r>
    <d v="2017-05-13T00:00:00"/>
    <s v="001-00009506"/>
    <n v="338.98309799999998"/>
    <n v="0"/>
    <n v="0"/>
    <n v="111.86"/>
    <n v="39.048749999999998"/>
    <n v="0"/>
    <n v="0"/>
    <n v="0"/>
    <n v="150.90875"/>
    <n v="188.07434799999999"/>
    <n v="0.55481924942464234"/>
    <x v="0"/>
    <s v="-"/>
    <x v="1"/>
    <x v="0"/>
    <n v="1"/>
    <n v="1"/>
    <d v="2017-05-12T00:00:00"/>
    <s v="TOYOTA"/>
    <s v="HILUX"/>
    <n v="0"/>
    <d v="2017-05-12T00:00:00"/>
    <n v="0"/>
    <x v="51"/>
  </r>
  <r>
    <d v="2017-05-13T00:00:00"/>
    <s v="001-00009497"/>
    <n v="255.91799219999999"/>
    <n v="0"/>
    <n v="0"/>
    <n v="0"/>
    <n v="0"/>
    <n v="0"/>
    <n v="92.966250000000002"/>
    <n v="0"/>
    <n v="92.966250000000002"/>
    <n v="162.95174219999998"/>
    <n v="0.6367342162979035"/>
    <x v="0"/>
    <s v="LEVE"/>
    <x v="1"/>
    <x v="0"/>
    <n v="3"/>
    <n v="1"/>
    <d v="2017-05-10T00:00:00"/>
    <s v="CHERY"/>
    <s v="Q22"/>
    <n v="0"/>
    <d v="2017-05-10T00:00:00"/>
    <n v="0"/>
    <x v="47"/>
  </r>
  <r>
    <d v="2017-05-13T00:00:00"/>
    <s v="001-00009371"/>
    <n v="1730.7274472500001"/>
    <n v="0"/>
    <n v="0"/>
    <n v="0"/>
    <n v="0"/>
    <n v="292.5"/>
    <n v="154.94374999999999"/>
    <n v="0"/>
    <n v="447.44375000000002"/>
    <n v="1283.2836972499999"/>
    <n v="0.74147070313644381"/>
    <x v="1"/>
    <s v="MEDIANO"/>
    <x v="1"/>
    <x v="0"/>
    <n v="23"/>
    <n v="1"/>
    <d v="2017-04-20T00:00:00"/>
    <s v="HONDA"/>
    <s v="PILOT"/>
    <n v="105.04"/>
    <d v="2017-04-20T00:00:00"/>
    <n v="20"/>
    <x v="52"/>
  </r>
  <r>
    <d v="2017-05-13T00:00:00"/>
    <s v="001-00009439"/>
    <n v="1405.6009229781409"/>
    <n v="0"/>
    <n v="0"/>
    <n v="0"/>
    <n v="0"/>
    <n v="117"/>
    <n v="263.40437500000002"/>
    <n v="0"/>
    <n v="380.40437500000002"/>
    <n v="1025.1965479781409"/>
    <n v="0.72936530648115128"/>
    <x v="1"/>
    <s v="MEDIANO"/>
    <x v="1"/>
    <x v="0"/>
    <n v="11"/>
    <n v="1"/>
    <d v="2017-05-02T00:00:00"/>
    <s v="RENAULT"/>
    <s v="LOGAN"/>
    <n v="3582.8"/>
    <d v="2017-05-03T00:00:00"/>
    <n v="8"/>
    <x v="1"/>
  </r>
  <r>
    <d v="2017-05-13T00:00:00"/>
    <s v="001-00009474"/>
    <n v="833.91751982458004"/>
    <n v="0"/>
    <n v="0"/>
    <n v="0"/>
    <n v="0"/>
    <n v="73.125"/>
    <n v="139.449375"/>
    <n v="0"/>
    <n v="212.574375"/>
    <n v="621.34314482458001"/>
    <n v="0.74508944836089253"/>
    <x v="1"/>
    <s v="LEVE"/>
    <x v="1"/>
    <x v="0"/>
    <n v="5"/>
    <n v="1"/>
    <d v="2017-05-08T00:00:00"/>
    <s v="MAZDA"/>
    <s v="MAZDA 3"/>
    <n v="1845.3824999999997"/>
    <d v="2017-05-09T00:00:00"/>
    <n v="5"/>
    <x v="1"/>
  </r>
  <r>
    <d v="2017-05-13T00:00:00"/>
    <s v="001-00009473"/>
    <n v="574.17498250000006"/>
    <n v="0"/>
    <n v="0"/>
    <n v="0"/>
    <n v="0"/>
    <n v="58.5"/>
    <n v="61.977499999999999"/>
    <n v="0"/>
    <n v="120.47749999999999"/>
    <n v="453.69748250000009"/>
    <n v="0.7901728503122305"/>
    <x v="1"/>
    <s v="LEVE"/>
    <x v="1"/>
    <x v="0"/>
    <n v="5"/>
    <n v="1"/>
    <d v="2017-05-08T00:00:00"/>
    <s v="SUZUKI"/>
    <s v="SX4"/>
    <n v="0"/>
    <d v="2017-05-08T00:00:00"/>
    <n v="4"/>
    <x v="1"/>
  </r>
  <r>
    <d v="2017-05-13T00:00:00"/>
    <s v="001-00009425"/>
    <n v="507.59714417034002"/>
    <n v="0"/>
    <n v="0"/>
    <n v="15.25"/>
    <n v="0"/>
    <n v="23.400000000000002"/>
    <n v="92.966250000000002"/>
    <n v="0"/>
    <n v="131.61625000000001"/>
    <n v="375.98089417033998"/>
    <n v="0.74070726852664859"/>
    <x v="1"/>
    <s v="LEVE"/>
    <x v="1"/>
    <x v="0"/>
    <n v="11"/>
    <n v="1"/>
    <d v="2017-05-02T00:00:00"/>
    <s v="HYUNDAI"/>
    <s v="ACCENT"/>
    <n v="430.03999999999996"/>
    <d v="2017-05-03T00:00:00"/>
    <n v="1.6"/>
    <x v="1"/>
  </r>
  <r>
    <d v="2017-05-13T00:00:00"/>
    <s v="001-00009472"/>
    <n v="972.01000057457986"/>
    <n v="0"/>
    <n v="0"/>
    <n v="0"/>
    <n v="0"/>
    <n v="73.125"/>
    <n v="232.41562500000001"/>
    <n v="0"/>
    <n v="305.54062499999998"/>
    <n v="666.46937557457989"/>
    <n v="0.68566102733574019"/>
    <x v="1"/>
    <s v="LEVE"/>
    <x v="1"/>
    <x v="0"/>
    <n v="5"/>
    <n v="1"/>
    <d v="2017-05-08T00:00:00"/>
    <s v="TOYOTA"/>
    <s v="YARIS"/>
    <n v="750.23"/>
    <d v="2017-05-08T00:00:00"/>
    <n v="5"/>
    <x v="53"/>
  </r>
  <r>
    <d v="2017-05-13T00:00:00"/>
    <s v="001-00009438"/>
    <n v="926.88247174999992"/>
    <n v="0"/>
    <n v="0"/>
    <n v="15.25"/>
    <n v="0"/>
    <n v="73.125"/>
    <n v="216.92125000000001"/>
    <n v="0"/>
    <n v="305.29624999999999"/>
    <n v="621.58622174999994"/>
    <n v="0.67062032209586875"/>
    <x v="1"/>
    <s v="LEVE"/>
    <x v="1"/>
    <x v="0"/>
    <n v="11"/>
    <n v="1"/>
    <d v="2017-05-02T00:00:00"/>
    <s v="NISSAN"/>
    <s v="VERSA"/>
    <n v="2328.2999999999997"/>
    <d v="2017-05-03T00:00:00"/>
    <n v="5"/>
    <x v="1"/>
  </r>
  <r>
    <d v="2017-05-13T00:00:00"/>
    <s v="001-00009400"/>
    <n v="2678.129981384579"/>
    <n v="0"/>
    <n v="0"/>
    <n v="33.9"/>
    <n v="39.048749999999998"/>
    <n v="234"/>
    <n v="294.393125"/>
    <n v="0"/>
    <n v="601.34187500000007"/>
    <n v="2076.7881063845789"/>
    <n v="0.77546202791504937"/>
    <x v="1"/>
    <s v="MEDIANO"/>
    <x v="1"/>
    <x v="0"/>
    <n v="18"/>
    <n v="1"/>
    <d v="2017-04-25T00:00:00"/>
    <s v="KIA"/>
    <s v="CERATO"/>
    <n v="6633.9324999999999"/>
    <d v="2017-04-27T00:00:00"/>
    <n v="16"/>
    <x v="1"/>
  </r>
  <r>
    <d v="2017-05-13T00:00:00"/>
    <s v="001-00009341"/>
    <n v="3760.8599483845792"/>
    <n v="0"/>
    <n v="0"/>
    <n v="50.85"/>
    <n v="39.048749999999998"/>
    <n v="409.5"/>
    <n v="402.85374999999999"/>
    <n v="0"/>
    <n v="902.25250000000005"/>
    <n v="2858.6074483845791"/>
    <n v="0.76009409752480972"/>
    <x v="1"/>
    <s v="GRAVE"/>
    <x v="1"/>
    <x v="0"/>
    <n v="26"/>
    <n v="1"/>
    <d v="2017-04-17T00:00:00"/>
    <s v="MAZDA"/>
    <s v="MAZDA 3"/>
    <n v="10266.359999999999"/>
    <d v="2017-04-20T00:00:00"/>
    <n v="28"/>
    <x v="1"/>
  </r>
  <r>
    <d v="2017-05-15T00:00:00"/>
    <s v="001-00009516"/>
    <n v="222.44063782033999"/>
    <n v="0"/>
    <n v="165.26250000000002"/>
    <n v="0"/>
    <n v="0"/>
    <n v="0"/>
    <n v="0"/>
    <n v="0"/>
    <n v="165.26250000000002"/>
    <n v="57.17813782033997"/>
    <n v="0.25704897441681224"/>
    <x v="0"/>
    <s v="-"/>
    <x v="1"/>
    <x v="0"/>
    <n v="0"/>
    <n v="1"/>
    <d v="2017-05-15T00:00:00"/>
    <s v="MG"/>
    <s v="MG3"/>
    <n v="0"/>
    <s v="F/Fecha"/>
    <n v="0"/>
    <x v="29"/>
  </r>
  <r>
    <d v="2017-05-15T00:00:00"/>
    <s v="001-00009519"/>
    <n v="450"/>
    <n v="150.74260000000001"/>
    <n v="0"/>
    <n v="0"/>
    <n v="39.048749999999998"/>
    <n v="0"/>
    <n v="0"/>
    <n v="0"/>
    <n v="189.79135000000002"/>
    <n v="260.20864999999998"/>
    <n v="0.57824144444444436"/>
    <x v="0"/>
    <s v="-"/>
    <x v="1"/>
    <x v="0"/>
    <n v="0"/>
    <n v="1"/>
    <d v="2017-05-15T00:00:00"/>
    <s v="KIA"/>
    <s v="SPORTAGE"/>
    <n v="525.98"/>
    <d v="2017-05-15T00:00:00"/>
    <n v="0"/>
    <x v="54"/>
  </r>
  <r>
    <d v="2017-05-15T00:00:00"/>
    <s v="001-00009521"/>
    <n v="1070"/>
    <n v="125.0176"/>
    <n v="337.46999999999997"/>
    <n v="50.85"/>
    <n v="39.048749999999998"/>
    <n v="0"/>
    <n v="0"/>
    <n v="0"/>
    <n v="552.38634999999999"/>
    <n v="517.61365000000001"/>
    <n v="0.48375107476635515"/>
    <x v="0"/>
    <s v="-"/>
    <x v="1"/>
    <x v="0"/>
    <n v="0"/>
    <n v="1"/>
    <d v="2017-05-15T00:00:00"/>
    <s v="KIA"/>
    <s v="CERATO"/>
    <n v="485.38749999999999"/>
    <d v="2017-05-15T00:00:00"/>
    <n v="0"/>
    <x v="55"/>
  </r>
  <r>
    <d v="2017-05-16T00:00:00"/>
    <s v="001-00009376"/>
    <n v="1315.525208"/>
    <n v="0"/>
    <n v="0"/>
    <n v="0"/>
    <n v="39.048749999999998"/>
    <n v="14.625"/>
    <n v="61.977499999999999"/>
    <n v="0"/>
    <n v="115.65125"/>
    <n v="1199.8739580000001"/>
    <n v="0.91208739346331102"/>
    <x v="0"/>
    <s v="LEVE"/>
    <x v="1"/>
    <x v="0"/>
    <n v="25"/>
    <n v="1"/>
    <d v="2017-04-21T00:00:00"/>
    <s v="SUZUKI"/>
    <s v="APV"/>
    <n v="350.54500000000002"/>
    <d v="2017-04-21T00:00:00"/>
    <n v="1"/>
    <x v="56"/>
  </r>
  <r>
    <d v="2017-05-16T00:00:00"/>
    <s v="001-00008660"/>
    <n v="471.08874007000003"/>
    <n v="0"/>
    <n v="0"/>
    <n v="0"/>
    <n v="0"/>
    <n v="0"/>
    <n v="0"/>
    <n v="0"/>
    <n v="0"/>
    <n v="471.08874007000003"/>
    <n v="1"/>
    <x v="1"/>
    <s v="LEVE"/>
    <x v="1"/>
    <x v="0"/>
    <n v="144"/>
    <n v="1"/>
    <d v="2016-12-23T00:00:00"/>
    <s v="SUZUKI"/>
    <s v="CIAZ"/>
    <n v="0"/>
    <s v="F/Fecha"/>
    <n v="0"/>
    <x v="1"/>
  </r>
  <r>
    <d v="2017-05-16T00:00:00"/>
    <s v="001-00009527"/>
    <n v="220"/>
    <n v="0"/>
    <n v="84.12"/>
    <n v="38.14"/>
    <n v="7.3125"/>
    <n v="0"/>
    <n v="0"/>
    <n v="0"/>
    <n v="129.57249999999999"/>
    <n v="90.427500000000009"/>
    <n v="0.41103409090909093"/>
    <x v="0"/>
    <s v="-"/>
    <x v="1"/>
    <x v="0"/>
    <n v="0"/>
    <n v="1"/>
    <d v="2017-05-16T00:00:00"/>
    <s v="GREAT WALL"/>
    <s v="VOLEEX"/>
    <n v="149.4025"/>
    <d v="2017-05-16T00:00:00"/>
    <n v="0"/>
    <x v="57"/>
  </r>
  <r>
    <d v="2017-05-17T00:00:00"/>
    <s v="001-00009500"/>
    <n v="2500"/>
    <n v="0"/>
    <n v="142.13"/>
    <n v="296.62"/>
    <n v="0"/>
    <n v="0"/>
    <n v="0"/>
    <n v="0"/>
    <n v="438.75"/>
    <n v="2061.25"/>
    <n v="0.82450000000000001"/>
    <x v="0"/>
    <s v="GRAVE"/>
    <x v="1"/>
    <x v="0"/>
    <n v="6"/>
    <n v="1"/>
    <d v="2017-05-11T00:00:00"/>
    <s v="NISSAN"/>
    <s v="NAVARA"/>
    <n v="0"/>
    <s v="F/Fecha"/>
    <n v="0"/>
    <x v="58"/>
  </r>
  <r>
    <d v="2017-05-17T00:00:00"/>
    <s v="001-00009463"/>
    <n v="1356.9886919999999"/>
    <n v="0"/>
    <n v="0"/>
    <n v="25.42"/>
    <n v="68.298749999999998"/>
    <n v="58.5"/>
    <n v="170.43812500000001"/>
    <n v="0"/>
    <n v="322.65687500000001"/>
    <n v="1034.3318169999998"/>
    <n v="0.76222581890166541"/>
    <x v="1"/>
    <s v="LEVE"/>
    <x v="1"/>
    <x v="0"/>
    <n v="12"/>
    <n v="1"/>
    <d v="2017-05-05T00:00:00"/>
    <s v="KIA"/>
    <s v="RIO"/>
    <n v="2760.0625"/>
    <d v="2017-05-08T00:00:00"/>
    <n v="4"/>
    <x v="1"/>
  </r>
  <r>
    <d v="2017-05-17T00:00:00"/>
    <s v="001-00009532"/>
    <n v="550"/>
    <n v="0"/>
    <n v="190.25"/>
    <n v="0"/>
    <n v="39.048749999999998"/>
    <n v="0"/>
    <n v="0"/>
    <n v="0"/>
    <n v="229.29874999999998"/>
    <n v="320.70125000000002"/>
    <n v="0.58309318181818182"/>
    <x v="0"/>
    <s v="-"/>
    <x v="1"/>
    <x v="0"/>
    <n v="0"/>
    <n v="1"/>
    <d v="2017-05-17T00:00:00"/>
    <s v="HYUNDAI"/>
    <s v="H100"/>
    <n v="548.3075"/>
    <d v="2017-05-17T00:00:00"/>
    <n v="0"/>
    <x v="59"/>
  </r>
  <r>
    <d v="2017-05-17T00:00:00"/>
    <s v="001-00009453"/>
    <n v="1992.6887245999999"/>
    <n v="0"/>
    <n v="0"/>
    <n v="0"/>
    <n v="39.048749999999998"/>
    <n v="117"/>
    <n v="356.37062500000002"/>
    <n v="0"/>
    <n v="512.41937499999995"/>
    <n v="1480.2693495999999"/>
    <n v="0.74285026623871731"/>
    <x v="1"/>
    <s v="MEDIANO"/>
    <x v="1"/>
    <x v="0"/>
    <n v="13"/>
    <n v="1"/>
    <d v="2017-05-04T00:00:00"/>
    <s v="HYUNDAI"/>
    <s v="ACCENT"/>
    <n v="3291.4375"/>
    <d v="2017-05-09T00:00:00"/>
    <n v="8"/>
    <x v="1"/>
  </r>
  <r>
    <d v="2017-05-18T00:00:00"/>
    <s v="001-00009499"/>
    <n v="676.95828890424002"/>
    <n v="0"/>
    <n v="0"/>
    <n v="0"/>
    <n v="0"/>
    <n v="73.125"/>
    <n v="108.46062500000001"/>
    <n v="0"/>
    <n v="181.58562499999999"/>
    <n v="495.37266390424003"/>
    <n v="0.73176246162237857"/>
    <x v="1"/>
    <s v="LEVE"/>
    <x v="1"/>
    <x v="0"/>
    <n v="7"/>
    <n v="1"/>
    <d v="2017-05-11T00:00:00"/>
    <s v="NISSAN"/>
    <s v="X-TRAIL"/>
    <n v="0"/>
    <d v="2017-05-12T00:00:00"/>
    <n v="5"/>
    <x v="1"/>
  </r>
  <r>
    <d v="2017-05-18T00:00:00"/>
    <s v="001-00009427"/>
    <n v="2064.8324577845788"/>
    <n v="0"/>
    <n v="25.42"/>
    <n v="91.42"/>
    <n v="14.625"/>
    <n v="146.25"/>
    <n v="340.87625000000003"/>
    <n v="0"/>
    <n v="618.59125000000006"/>
    <n v="1446.2412077845788"/>
    <n v="0.70041576609866685"/>
    <x v="1"/>
    <s v="MEDIANO"/>
    <x v="1"/>
    <x v="0"/>
    <n v="16"/>
    <n v="1"/>
    <d v="2017-05-02T00:00:00"/>
    <s v="CHEVROLET"/>
    <s v="SONIC"/>
    <n v="3142.2950000000001"/>
    <d v="2017-05-03T00:00:00"/>
    <n v="10"/>
    <x v="1"/>
  </r>
  <r>
    <d v="2017-05-18T00:00:00"/>
    <s v="001-00009449"/>
    <n v="374.91742586714008"/>
    <n v="0"/>
    <n v="0"/>
    <n v="0"/>
    <n v="0"/>
    <n v="14.625"/>
    <n v="61.977499999999999"/>
    <n v="0"/>
    <n v="76.602499999999992"/>
    <n v="298.31492586714012"/>
    <n v="0.79568167624423602"/>
    <x v="1"/>
    <s v="LEVE"/>
    <x v="1"/>
    <x v="0"/>
    <n v="14"/>
    <n v="1"/>
    <d v="2017-05-04T00:00:00"/>
    <s v="MAZDA"/>
    <s v="CX-5"/>
    <n v="1254.825"/>
    <d v="2017-05-10T00:00:00"/>
    <n v="1"/>
    <x v="1"/>
  </r>
  <r>
    <d v="2017-05-18T00:00:00"/>
    <s v="001-00009355"/>
    <n v="4554.8673607500004"/>
    <n v="0"/>
    <n v="80.09"/>
    <n v="16.95"/>
    <n v="14.625"/>
    <n v="409.5"/>
    <n v="712.74125000000004"/>
    <n v="0"/>
    <n v="1233.90625"/>
    <n v="3320.9611107500004"/>
    <n v="0.72910160663891954"/>
    <x v="1"/>
    <s v="GRAVE"/>
    <x v="1"/>
    <x v="0"/>
    <n v="29"/>
    <n v="1"/>
    <d v="2017-04-19T00:00:00"/>
    <s v="HYUNDAI"/>
    <s v="ELANTRA"/>
    <n v="4986.085"/>
    <d v="2017-04-20T00:00:00"/>
    <n v="28"/>
    <x v="1"/>
  </r>
  <r>
    <d v="2017-05-18T00:00:00"/>
    <s v="001-00009486"/>
    <n v="1743.0271699027112"/>
    <n v="0"/>
    <n v="0"/>
    <n v="0"/>
    <n v="14.625"/>
    <n v="190.125"/>
    <n v="232.41562500000001"/>
    <n v="0"/>
    <n v="437.16562499999998"/>
    <n v="1305.8615449027111"/>
    <n v="0.74919173232141822"/>
    <x v="1"/>
    <s v="MEDIANO"/>
    <x v="1"/>
    <x v="0"/>
    <n v="9"/>
    <n v="1"/>
    <d v="2017-05-09T00:00:00"/>
    <s v="KIA"/>
    <s v="CERATO"/>
    <n v="68.834999999999994"/>
    <d v="2017-05-10T00:00:00"/>
    <n v="13"/>
    <x v="1"/>
  </r>
  <r>
    <d v="2017-05-19T00:00:00"/>
    <s v="001-00009492"/>
    <n v="738.89997749999998"/>
    <n v="0"/>
    <n v="55.084745762711869"/>
    <n v="0"/>
    <n v="0"/>
    <n v="58.5"/>
    <n v="123.955"/>
    <n v="0"/>
    <n v="237.53974576271185"/>
    <n v="501.36023173728813"/>
    <n v="0.6785224617729646"/>
    <x v="1"/>
    <s v="LEVE"/>
    <x v="1"/>
    <x v="0"/>
    <n v="10"/>
    <n v="1"/>
    <d v="2017-05-09T00:00:00"/>
    <s v="NISSAN"/>
    <s v="VERSA"/>
    <n v="859.46249999999998"/>
    <d v="2017-05-11T00:00:00"/>
    <n v="4"/>
    <x v="60"/>
  </r>
  <r>
    <d v="2017-05-19T00:00:00"/>
    <s v="001-00009496"/>
    <n v="1330.0199594999999"/>
    <n v="0"/>
    <n v="0"/>
    <n v="0"/>
    <n v="14.625"/>
    <n v="160.875"/>
    <n v="185.9325"/>
    <n v="0"/>
    <n v="361.4325"/>
    <n v="968.58745949999991"/>
    <n v="0.72825031878779112"/>
    <x v="1"/>
    <s v="MEDIANO"/>
    <x v="1"/>
    <x v="0"/>
    <n v="9"/>
    <n v="1"/>
    <d v="2017-05-10T00:00:00"/>
    <s v="TOYOTA"/>
    <s v="COROLLA"/>
    <n v="1646.58"/>
    <d v="2017-05-11T00:00:00"/>
    <n v="11"/>
    <x v="61"/>
  </r>
  <r>
    <d v="2017-05-19T00:00:00"/>
    <s v="001-00009417"/>
    <n v="2939.1799105"/>
    <n v="0"/>
    <n v="0"/>
    <n v="0"/>
    <n v="0"/>
    <n v="380.25"/>
    <n v="433.84250000000003"/>
    <n v="0"/>
    <n v="814.09249999999997"/>
    <n v="2125.0874105000003"/>
    <n v="0.72302052790585725"/>
    <x v="1"/>
    <s v="GRAVE"/>
    <x v="1"/>
    <x v="0"/>
    <n v="21"/>
    <n v="1"/>
    <d v="2017-04-28T00:00:00"/>
    <s v="TOYOTA"/>
    <s v="COROLLA"/>
    <n v="4413.8249999999998"/>
    <d v="2017-05-03T00:00:00"/>
    <n v="26"/>
    <x v="1"/>
  </r>
  <r>
    <d v="2017-05-20T00:00:00"/>
    <s v="001-00009508"/>
    <n v="1431.5000437500003"/>
    <n v="0"/>
    <n v="0"/>
    <n v="0"/>
    <n v="7.3125"/>
    <n v="175.5"/>
    <n v="185.9325"/>
    <n v="0"/>
    <n v="368.745"/>
    <n v="1062.7550437500004"/>
    <n v="0.74240657441125568"/>
    <x v="1"/>
    <s v="MEDIANO"/>
    <x v="1"/>
    <x v="0"/>
    <n v="8"/>
    <n v="1"/>
    <d v="2017-05-12T00:00:00"/>
    <s v="KIA"/>
    <s v="CERATO"/>
    <n v="1739.0425"/>
    <d v="2017-05-11T00:00:00"/>
    <n v="12"/>
    <x v="62"/>
  </r>
  <r>
    <d v="2017-05-20T00:00:00"/>
    <s v="001-00009476"/>
    <n v="1335.460751124238"/>
    <n v="0"/>
    <n v="0"/>
    <n v="15.25"/>
    <n v="0"/>
    <n v="73.125"/>
    <n v="216.92125000000001"/>
    <n v="0"/>
    <n v="305.29624999999999"/>
    <n v="1030.1645011242381"/>
    <n v="0.77139257013507079"/>
    <x v="1"/>
    <s v="LEVE"/>
    <x v="1"/>
    <x v="0"/>
    <n v="12"/>
    <n v="1"/>
    <d v="2017-05-08T00:00:00"/>
    <s v="MAZDA"/>
    <s v="MAZDA 2"/>
    <n v="4419.1875"/>
    <d v="2017-05-08T00:00:00"/>
    <n v="5"/>
    <x v="1"/>
  </r>
  <r>
    <d v="2017-05-20T00:00:00"/>
    <s v="001-00009535"/>
    <n v="654.40002000000004"/>
    <n v="0"/>
    <n v="74.682203389830505"/>
    <n v="0"/>
    <n v="0"/>
    <n v="43.875"/>
    <n v="92.966250000000002"/>
    <n v="0"/>
    <n v="211.52345338983051"/>
    <n v="442.87656661016956"/>
    <n v="0.6767673488307191"/>
    <x v="0"/>
    <s v="LEVE"/>
    <x v="1"/>
    <x v="0"/>
    <n v="3"/>
    <n v="1"/>
    <d v="2017-05-17T00:00:00"/>
    <s v="SUZUKI"/>
    <s v="BALENO"/>
    <n v="0"/>
    <d v="2017-05-17T00:00:00"/>
    <n v="3"/>
    <x v="63"/>
  </r>
  <r>
    <d v="2017-05-20T00:00:00"/>
    <s v="001-00009477"/>
    <n v="1361.9837840254199"/>
    <n v="0"/>
    <n v="0"/>
    <n v="0"/>
    <n v="0"/>
    <n v="146.25"/>
    <n v="216.92125000000001"/>
    <n v="0"/>
    <n v="363.17124999999999"/>
    <n v="998.81253402541995"/>
    <n v="0.73335126727674627"/>
    <x v="1"/>
    <s v="MEDIANO"/>
    <x v="1"/>
    <x v="0"/>
    <n v="12"/>
    <n v="1"/>
    <d v="2017-05-08T00:00:00"/>
    <s v="CHEVROLET"/>
    <s v="AVEO"/>
    <n v="1470.1374999999998"/>
    <d v="2017-05-08T00:00:00"/>
    <n v="10"/>
    <x v="64"/>
  </r>
  <r>
    <d v="2017-05-20T00:00:00"/>
    <s v="001-00009490"/>
    <n v="4498.5"/>
    <n v="0"/>
    <n v="0"/>
    <n v="0"/>
    <n v="39.048749999999998"/>
    <n v="102.375"/>
    <n v="166.09970000000001"/>
    <n v="0"/>
    <n v="307.52345000000003"/>
    <n v="4190.9765500000003"/>
    <n v="0.93163866844503729"/>
    <x v="0"/>
    <s v="MEDIANO"/>
    <x v="1"/>
    <x v="0"/>
    <n v="11"/>
    <n v="1"/>
    <d v="2017-05-09T00:00:00"/>
    <s v="HYUNDAI"/>
    <s v="SANTA FE"/>
    <n v="0"/>
    <d v="2017-05-09T00:00:00"/>
    <n v="7"/>
    <x v="65"/>
  </r>
  <r>
    <d v="2017-05-20T00:00:00"/>
    <s v="001-00009475"/>
    <n v="2069.54006325"/>
    <n v="0"/>
    <n v="12.711864406779661"/>
    <n v="16.95"/>
    <n v="0"/>
    <n v="190.125"/>
    <n v="340.87625000000003"/>
    <n v="0"/>
    <n v="560.66311440677964"/>
    <n v="1508.8769488432204"/>
    <n v="0.72908805953419631"/>
    <x v="1"/>
    <s v="MEDIANO"/>
    <x v="1"/>
    <x v="0"/>
    <n v="12"/>
    <n v="1"/>
    <d v="2017-05-08T00:00:00"/>
    <s v="TOYOTA"/>
    <s v="YARIS"/>
    <n v="1971.6125"/>
    <d v="2017-05-09T00:00:00"/>
    <n v="13"/>
    <x v="1"/>
  </r>
  <r>
    <d v="2017-05-20T00:00:00"/>
    <s v="001-00009549"/>
    <n v="610"/>
    <n v="48.510598900000005"/>
    <n v="86.57"/>
    <n v="38.14"/>
    <n v="39.048749999999998"/>
    <n v="0"/>
    <n v="0"/>
    <n v="0"/>
    <n v="212.26934889999995"/>
    <n v="397.73065110000005"/>
    <n v="0.65201746081967216"/>
    <x v="0"/>
    <s v="-"/>
    <x v="1"/>
    <x v="0"/>
    <n v="1"/>
    <n v="1"/>
    <d v="2017-05-19T00:00:00"/>
    <s v="SUZUKI"/>
    <s v="SWIFT"/>
    <n v="346.38499999999999"/>
    <d v="2017-05-19T00:00:00"/>
    <n v="0"/>
    <x v="66"/>
  </r>
  <r>
    <d v="2017-05-20T00:00:00"/>
    <s v="001-00009429"/>
    <n v="4090.0001249999996"/>
    <n v="0"/>
    <n v="0"/>
    <n v="67.8"/>
    <n v="29.25"/>
    <n v="555.75"/>
    <n v="495.82"/>
    <n v="0"/>
    <n v="1148.6199999999999"/>
    <n v="2941.3801249999997"/>
    <n v="0.71916382276394186"/>
    <x v="1"/>
    <s v="GRAVE"/>
    <x v="1"/>
    <x v="0"/>
    <n v="18"/>
    <n v="1"/>
    <d v="2017-05-02T00:00:00"/>
    <s v="CHEVROLET"/>
    <s v="SAIL"/>
    <n v="6795.4249999999993"/>
    <d v="2017-05-04T00:00:00"/>
    <n v="38"/>
    <x v="1"/>
  </r>
  <r>
    <d v="2017-05-20T00:00:00"/>
    <s v="001-00009552"/>
    <n v="625"/>
    <n v="139.6276"/>
    <n v="68.7"/>
    <n v="0"/>
    <n v="39.048749999999998"/>
    <n v="0"/>
    <n v="0"/>
    <n v="0"/>
    <n v="247.37635"/>
    <n v="377.62365"/>
    <n v="0.60419783999999999"/>
    <x v="0"/>
    <s v="-"/>
    <x v="1"/>
    <x v="0"/>
    <n v="0"/>
    <n v="1"/>
    <d v="2017-05-20T00:00:00"/>
    <s v="KIA"/>
    <s v="SPORTAGE"/>
    <n v="455"/>
    <d v="2017-05-20T00:00:00"/>
    <n v="0"/>
    <x v="67"/>
  </r>
  <r>
    <d v="2017-05-23T00:00:00"/>
    <s v="001-00009564"/>
    <n v="914.42371000000003"/>
    <n v="128.625"/>
    <n v="206.19"/>
    <n v="0"/>
    <n v="39.048749999999998"/>
    <n v="0"/>
    <n v="0"/>
    <n v="0"/>
    <n v="373.86374999999998"/>
    <n v="540.55996000000005"/>
    <n v="0.59114823258465166"/>
    <x v="0"/>
    <s v="-"/>
    <x v="1"/>
    <x v="0"/>
    <n v="1"/>
    <n v="1"/>
    <d v="2017-05-22T00:00:00"/>
    <s v="FORD"/>
    <s v="ECOSPORT"/>
    <n v="494.8125"/>
    <d v="2017-05-22T00:00:00"/>
    <n v="0"/>
    <x v="68"/>
  </r>
  <r>
    <d v="2017-05-23T00:00:00"/>
    <s v="001-00009574"/>
    <n v="483.05080999999996"/>
    <n v="71.870498749999996"/>
    <n v="0"/>
    <n v="0"/>
    <n v="39.048749999999998"/>
    <n v="0"/>
    <n v="0"/>
    <n v="0"/>
    <n v="110.91924874999999"/>
    <n v="372.13156124999995"/>
    <n v="0.77037767776437427"/>
    <x v="0"/>
    <s v="-"/>
    <x v="1"/>
    <x v="0"/>
    <n v="0"/>
    <n v="1"/>
    <d v="2017-05-23T00:00:00"/>
    <s v="KIA"/>
    <s v="SPORTAGE"/>
    <n v="446.84250000000003"/>
    <d v="2017-05-23T00:00:00"/>
    <n v="0"/>
    <x v="69"/>
  </r>
  <r>
    <d v="2017-05-23T00:00:00"/>
    <s v="001-00009385"/>
    <n v="5326.0030293299988"/>
    <n v="0"/>
    <n v="10.17"/>
    <n v="0"/>
    <n v="39.048749999999998"/>
    <n v="468"/>
    <n v="883.17937500000005"/>
    <n v="0"/>
    <n v="1400.3981250000002"/>
    <n v="3925.6049043299986"/>
    <n v="0.73706396386031203"/>
    <x v="1"/>
    <s v="GRAVE"/>
    <x v="1"/>
    <x v="0"/>
    <n v="29"/>
    <n v="1"/>
    <d v="2017-04-24T00:00:00"/>
    <s v="CHEVROLET"/>
    <s v="N300"/>
    <n v="5806.45"/>
    <d v="2017-05-02T00:00:00"/>
    <n v="32"/>
    <x v="70"/>
  </r>
  <r>
    <d v="2017-05-23T00:00:00"/>
    <s v="001-00009459"/>
    <n v="327.3"/>
    <n v="0"/>
    <n v="0"/>
    <n v="0"/>
    <n v="0"/>
    <n v="58.5"/>
    <n v="0"/>
    <n v="0"/>
    <n v="58.5"/>
    <n v="268.8"/>
    <n v="0.82126489459211738"/>
    <x v="0"/>
    <s v="LEVE"/>
    <x v="1"/>
    <x v="0"/>
    <n v="18"/>
    <n v="1"/>
    <d v="2017-05-05T00:00:00"/>
    <s v="CHEVROLET"/>
    <s v="N300"/>
    <n v="0"/>
    <d v="2017-05-05T00:00:00"/>
    <n v="4"/>
    <x v="70"/>
  </r>
  <r>
    <d v="2017-05-23T00:00:00"/>
    <s v="001-00009424"/>
    <n v="3185.01714507"/>
    <n v="0"/>
    <n v="0"/>
    <n v="0"/>
    <n v="0"/>
    <n v="365.625"/>
    <n v="371.86500000000001"/>
    <n v="0"/>
    <n v="737.49"/>
    <n v="2447.5271450700002"/>
    <n v="0.76845022603990054"/>
    <x v="1"/>
    <s v="GRAVE"/>
    <x v="1"/>
    <x v="0"/>
    <n v="21"/>
    <n v="1"/>
    <d v="2017-05-02T00:00:00"/>
    <s v="HYUNDAI"/>
    <s v="VELOSTER"/>
    <n v="1258.6275000000001"/>
    <d v="2017-05-08T00:00:00"/>
    <n v="25"/>
    <x v="1"/>
  </r>
  <r>
    <d v="2017-05-23T00:00:00"/>
    <s v="001-00009533"/>
    <n v="924.62250000000006"/>
    <n v="0"/>
    <n v="0"/>
    <n v="0"/>
    <n v="0"/>
    <n v="58.5"/>
    <n v="154.94374999999999"/>
    <n v="0"/>
    <n v="213.44374999999999"/>
    <n v="711.17875000000004"/>
    <n v="0.76915579060643668"/>
    <x v="1"/>
    <s v="LEVE"/>
    <x v="1"/>
    <x v="0"/>
    <n v="6"/>
    <n v="1"/>
    <d v="2017-05-17T00:00:00"/>
    <s v="KIA"/>
    <s v="RIO"/>
    <n v="220.02500000000001"/>
    <d v="2017-05-18T00:00:00"/>
    <n v="4"/>
    <x v="1"/>
  </r>
  <r>
    <d v="2017-05-23T00:00:00"/>
    <s v="001-00009503"/>
    <n v="897.13486409999996"/>
    <n v="0"/>
    <n v="12.711864406779661"/>
    <n v="0"/>
    <n v="0"/>
    <n v="51.1875"/>
    <n v="139.449375"/>
    <n v="0"/>
    <n v="203.34873940677966"/>
    <n v="693.78612469322024"/>
    <n v="0.77333537292547661"/>
    <x v="1"/>
    <s v="LEVE"/>
    <x v="1"/>
    <x v="0"/>
    <n v="12"/>
    <n v="1"/>
    <d v="2017-05-11T00:00:00"/>
    <s v="HYUNDAI"/>
    <s v="ELANTRA"/>
    <n v="1164.3775000000001"/>
    <d v="2017-05-12T00:00:00"/>
    <n v="3.5"/>
    <x v="1"/>
  </r>
  <r>
    <d v="2017-05-24T00:00:00"/>
    <s v="001-00009547"/>
    <n v="131.28000399999996"/>
    <n v="0"/>
    <n v="0"/>
    <n v="0"/>
    <n v="0"/>
    <n v="0"/>
    <n v="45.243575"/>
    <n v="0"/>
    <n v="45.243575"/>
    <n v="86.03642899999997"/>
    <n v="0.65536583164637929"/>
    <x v="0"/>
    <s v="LEVE"/>
    <x v="1"/>
    <x v="0"/>
    <n v="5"/>
    <n v="1"/>
    <d v="2017-05-19T00:00:00"/>
    <s v="HAFEI"/>
    <s v="MINYI"/>
    <n v="0"/>
    <d v="2017-05-19T00:00:00"/>
    <n v="0"/>
    <x v="71"/>
  </r>
  <r>
    <d v="2017-05-24T00:00:00"/>
    <s v="001-00009537"/>
    <n v="1476.9000449999999"/>
    <n v="0"/>
    <n v="0"/>
    <n v="12.71"/>
    <n v="14.625"/>
    <n v="146.25"/>
    <n v="185.9325"/>
    <n v="0"/>
    <n v="359.51750000000004"/>
    <n v="1117.3825449999999"/>
    <n v="0.75657289657676197"/>
    <x v="1"/>
    <s v="MEDIANO"/>
    <x v="1"/>
    <x v="0"/>
    <n v="7"/>
    <n v="1"/>
    <d v="2017-05-17T00:00:00"/>
    <s v="KIA"/>
    <s v="SPORTAGE"/>
    <n v="45.5"/>
    <d v="2017-05-18T00:00:00"/>
    <n v="10"/>
    <x v="1"/>
  </r>
  <r>
    <d v="2017-05-24T00:00:00"/>
    <s v="001-00009505"/>
    <n v="2617.3950797500001"/>
    <n v="0"/>
    <n v="0"/>
    <n v="0"/>
    <n v="53.673749999999998"/>
    <n v="292.5"/>
    <n v="340.87625000000003"/>
    <n v="0"/>
    <n v="687.05"/>
    <n v="1930.3450797500002"/>
    <n v="0.73750619258227401"/>
    <x v="1"/>
    <s v="MEDIANO"/>
    <x v="1"/>
    <x v="0"/>
    <n v="13"/>
    <n v="1"/>
    <d v="2017-05-11T00:00:00"/>
    <s v="KIA"/>
    <s v="CERATO"/>
    <n v="4400.9875000000002"/>
    <d v="2017-05-16T00:00:00"/>
    <n v="20"/>
    <x v="1"/>
  </r>
  <r>
    <d v="2017-05-24T00:00:00"/>
    <s v="001-00009524"/>
    <n v="1165.1100354999999"/>
    <n v="0"/>
    <n v="10.593220338983052"/>
    <n v="0"/>
    <n v="0"/>
    <n v="58.5"/>
    <n v="247.91"/>
    <n v="0"/>
    <n v="317.00322033898306"/>
    <n v="848.10681516101681"/>
    <n v="0.72791992972325303"/>
    <x v="1"/>
    <s v="LEVE"/>
    <x v="1"/>
    <x v="0"/>
    <n v="9"/>
    <n v="1"/>
    <d v="2017-05-15T00:00:00"/>
    <s v="DAIHATSU"/>
    <s v="TERIOS"/>
    <n v="1105"/>
    <d v="2017-05-16T00:00:00"/>
    <n v="4"/>
    <x v="1"/>
  </r>
  <r>
    <d v="2017-05-24T00:00:00"/>
    <s v="001-00009467"/>
    <n v="1770.6390539499996"/>
    <n v="0"/>
    <n v="133.9"/>
    <n v="15.25"/>
    <n v="39.048749999999998"/>
    <n v="117"/>
    <n v="216.92125000000001"/>
    <n v="0"/>
    <n v="522.12"/>
    <n v="1248.5190539499995"/>
    <n v="0.70512341358605091"/>
    <x v="1"/>
    <s v="MEDIANO"/>
    <x v="1"/>
    <x v="0"/>
    <n v="16"/>
    <n v="1"/>
    <d v="2017-05-08T00:00:00"/>
    <s v="CHEVROLET"/>
    <s v="SAIL"/>
    <n v="3607.5"/>
    <d v="2017-05-08T00:00:00"/>
    <n v="8"/>
    <x v="1"/>
  </r>
  <r>
    <d v="2017-05-25T00:00:00"/>
    <s v="001-00009511"/>
    <n v="1884.2750000000001"/>
    <n v="0"/>
    <n v="103.28389830508476"/>
    <n v="42.378305084745762"/>
    <n v="0"/>
    <n v="175.5"/>
    <n v="247.91"/>
    <n v="0"/>
    <n v="569.07220338983052"/>
    <n v="1315.2027966101696"/>
    <n v="0.69798877372473211"/>
    <x v="2"/>
    <s v="MEDIANO"/>
    <x v="1"/>
    <x v="0"/>
    <n v="13"/>
    <n v="1"/>
    <d v="2017-05-12T00:00:00"/>
    <s v="HYUNDAI"/>
    <s v="SANTA FE"/>
    <n v="2067.8775000000001"/>
    <d v="2017-05-16T00:00:00"/>
    <n v="12"/>
    <x v="72"/>
  </r>
  <r>
    <d v="2017-05-25T00:00:00"/>
    <s v="001-00009509"/>
    <n v="990.54251499999998"/>
    <n v="0"/>
    <n v="0"/>
    <n v="0"/>
    <n v="0"/>
    <n v="73.125"/>
    <n v="123.955"/>
    <n v="0"/>
    <n v="197.07999999999998"/>
    <n v="793.46251499999994"/>
    <n v="0.80103832292347388"/>
    <x v="1"/>
    <s v="LEVE"/>
    <x v="1"/>
    <x v="0"/>
    <n v="13"/>
    <n v="1"/>
    <d v="2017-05-12T00:00:00"/>
    <s v="HONDA"/>
    <s v="CRV"/>
    <n v="1103.3425"/>
    <d v="2017-05-15T00:00:00"/>
    <n v="5"/>
    <x v="1"/>
  </r>
  <r>
    <d v="2017-05-26T00:00:00"/>
    <s v="001-00009573"/>
    <n v="1541.0800471999999"/>
    <n v="0"/>
    <n v="0"/>
    <n v="0"/>
    <n v="0"/>
    <n v="102.375"/>
    <n v="371.86500000000001"/>
    <n v="0"/>
    <n v="474.24"/>
    <n v="1066.8400471999998"/>
    <n v="0.69226776969720016"/>
    <x v="0"/>
    <s v="LEVE"/>
    <x v="1"/>
    <x v="0"/>
    <n v="3"/>
    <n v="1"/>
    <d v="2017-05-23T00:00:00"/>
    <s v="RENAULT"/>
    <s v="DUSTER"/>
    <n v="0"/>
    <d v="2017-05-23T00:00:00"/>
    <n v="7"/>
    <x v="73"/>
  </r>
  <r>
    <d v="2017-05-26T00:00:00"/>
    <s v="001-00009543"/>
    <n v="2486.4633728550789"/>
    <n v="0"/>
    <n v="0"/>
    <n v="0"/>
    <n v="39.048749999999998"/>
    <n v="0"/>
    <n v="0"/>
    <n v="0"/>
    <n v="39.048749999999998"/>
    <n v="2447.414622855079"/>
    <n v="0.98429546542840796"/>
    <x v="0"/>
    <s v="-"/>
    <x v="1"/>
    <x v="0"/>
    <n v="7"/>
    <n v="1"/>
    <d v="2017-05-19T00:00:00"/>
    <s v="KIA"/>
    <s v="RIO"/>
    <n v="668.98"/>
    <d v="2017-05-19T00:00:00"/>
    <n v="0"/>
    <x v="25"/>
  </r>
  <r>
    <d v="2017-05-26T00:00:00"/>
    <s v="001-00009546"/>
    <n v="1246"/>
    <n v="69.280498000000009"/>
    <n v="1682.5725000000002"/>
    <n v="93.224745762711876"/>
    <n v="39.048749999999998"/>
    <n v="43.875"/>
    <n v="0"/>
    <n v="0"/>
    <n v="1928.001493762712"/>
    <n v="-682.00149376271202"/>
    <n v="-0.54735272372609312"/>
    <x v="0"/>
    <s v="LEVE"/>
    <x v="1"/>
    <x v="0"/>
    <n v="7"/>
    <n v="1"/>
    <d v="2017-05-19T00:00:00"/>
    <s v="KIA"/>
    <s v="RIO"/>
    <n v="2133.7874999999999"/>
    <d v="2017-05-24T00:00:00"/>
    <n v="3"/>
    <x v="25"/>
  </r>
  <r>
    <d v="2017-05-26T00:00:00"/>
    <s v="001-00009513"/>
    <n v="1946.6593717720311"/>
    <n v="0"/>
    <n v="16.95"/>
    <n v="0"/>
    <n v="0"/>
    <n v="263.25"/>
    <n v="247.91"/>
    <n v="0"/>
    <n v="528.11"/>
    <n v="1418.549371772031"/>
    <n v="0.72870959981084671"/>
    <x v="1"/>
    <s v="MEDIANO"/>
    <x v="1"/>
    <x v="0"/>
    <n v="14"/>
    <n v="1"/>
    <d v="2017-05-12T00:00:00"/>
    <s v="HYUNDAI"/>
    <s v="ACCENT"/>
    <n v="2098.4274999999998"/>
    <d v="2017-05-16T00:00:00"/>
    <n v="18"/>
    <x v="1"/>
  </r>
  <r>
    <d v="2017-05-26T00:00:00"/>
    <s v="001-00009523"/>
    <n v="1254.009125257629"/>
    <n v="0"/>
    <n v="0"/>
    <n v="16.95"/>
    <n v="0"/>
    <n v="146.25"/>
    <n v="216.92125000000001"/>
    <n v="0"/>
    <n v="380.12125000000003"/>
    <n v="873.88787525762893"/>
    <n v="0.69687521219440385"/>
    <x v="1"/>
    <s v="MEDIANO"/>
    <x v="1"/>
    <x v="0"/>
    <n v="11"/>
    <n v="1"/>
    <d v="2017-05-15T00:00:00"/>
    <s v="HYUNDAI"/>
    <s v="ELANTRA"/>
    <n v="1127.0349999999999"/>
    <d v="2017-05-16T00:00:00"/>
    <n v="10"/>
    <x v="1"/>
  </r>
  <r>
    <d v="2017-05-26T00:00:00"/>
    <s v="001-00009553"/>
    <n v="359.15001099999995"/>
    <n v="0"/>
    <n v="0"/>
    <n v="0"/>
    <n v="0"/>
    <n v="14.625"/>
    <n v="61.977499999999999"/>
    <n v="0"/>
    <n v="76.602499999999992"/>
    <n v="282.54751099999999"/>
    <n v="0.78671168688896409"/>
    <x v="1"/>
    <s v="LEVE"/>
    <x v="1"/>
    <x v="0"/>
    <n v="6"/>
    <n v="1"/>
    <d v="2017-05-20T00:00:00"/>
    <s v="HYUNDAI"/>
    <s v="I10"/>
    <n v="266.69499999999999"/>
    <d v="2017-05-24T00:00:00"/>
    <n v="1"/>
    <x v="1"/>
  </r>
  <r>
    <d v="2017-05-26T00:00:00"/>
    <s v="001-00009530"/>
    <n v="1544.3172621491492"/>
    <n v="0"/>
    <n v="0"/>
    <n v="16.95"/>
    <n v="0"/>
    <n v="102.375"/>
    <n v="309.88749999999999"/>
    <n v="0"/>
    <n v="429.21249999999998"/>
    <n v="1115.1047621491493"/>
    <n v="0.72206973882899794"/>
    <x v="1"/>
    <s v="MEDIANO"/>
    <x v="1"/>
    <x v="0"/>
    <n v="10"/>
    <n v="1"/>
    <d v="2017-05-16T00:00:00"/>
    <s v="NISSAN"/>
    <s v="VERSA"/>
    <n v="1069.25"/>
    <d v="2017-05-19T00:00:00"/>
    <n v="7"/>
    <x v="1"/>
  </r>
  <r>
    <d v="2017-05-27T00:00:00"/>
    <s v="001-00009501"/>
    <n v="3053.9375932499993"/>
    <n v="0"/>
    <n v="0"/>
    <n v="0"/>
    <n v="0"/>
    <n v="351"/>
    <n v="433.84250000000003"/>
    <n v="0"/>
    <n v="784.84249999999997"/>
    <n v="2269.0950932499991"/>
    <n v="0.74300637258118585"/>
    <x v="1"/>
    <s v="GRAVE"/>
    <x v="1"/>
    <x v="0"/>
    <n v="16"/>
    <n v="1"/>
    <d v="2017-05-11T00:00:00"/>
    <s v="NISSAN"/>
    <s v="URBAN"/>
    <n v="7037.3225000000002"/>
    <d v="2017-05-16T00:00:00"/>
    <n v="24"/>
    <x v="74"/>
  </r>
  <r>
    <d v="2017-05-27T00:00:00"/>
    <s v="001-00009483"/>
    <n v="1878.073730095761"/>
    <n v="0"/>
    <n v="20.656779661016948"/>
    <n v="0"/>
    <n v="0"/>
    <n v="234"/>
    <n v="294.393125"/>
    <n v="0"/>
    <n v="549.04990466101697"/>
    <n v="1329.0238254347441"/>
    <n v="0.707652635856303"/>
    <x v="1"/>
    <s v="MEDIANO"/>
    <x v="1"/>
    <x v="0"/>
    <n v="19"/>
    <n v="1"/>
    <d v="2017-05-08T00:00:00"/>
    <s v="SUZUKI"/>
    <s v="SX4"/>
    <n v="2661.0349999999999"/>
    <d v="2017-05-16T00:00:00"/>
    <n v="16"/>
    <x v="1"/>
  </r>
  <r>
    <d v="2017-05-27T00:00:00"/>
    <s v="001-00009559"/>
    <n v="217.78750665000001"/>
    <n v="0"/>
    <n v="0"/>
    <n v="0"/>
    <n v="0"/>
    <n v="7.3125"/>
    <n v="30.98875"/>
    <n v="0"/>
    <n v="38.301249999999996"/>
    <n v="179.48625665000003"/>
    <n v="0.82413476976182654"/>
    <x v="1"/>
    <s v="LEVE"/>
    <x v="1"/>
    <x v="0"/>
    <n v="7"/>
    <n v="1"/>
    <d v="2017-05-20T00:00:00"/>
    <s v="HYUNDAI"/>
    <s v="ELANTRA"/>
    <n v="780"/>
    <d v="2017-05-22T00:00:00"/>
    <n v="0.5"/>
    <x v="1"/>
  </r>
  <r>
    <d v="2017-05-29T00:00:00"/>
    <s v="001-00009539"/>
    <n v="1359.9575465254202"/>
    <n v="0"/>
    <n v="0"/>
    <n v="0"/>
    <n v="0"/>
    <n v="138.9375"/>
    <n v="309.88749999999999"/>
    <n v="0"/>
    <n v="448.82499999999999"/>
    <n v="911.13254652542014"/>
    <n v="0.66997131554090705"/>
    <x v="0"/>
    <s v="LEVE"/>
    <x v="1"/>
    <x v="0"/>
    <n v="11"/>
    <n v="1"/>
    <d v="2017-05-18T00:00:00"/>
    <s v="NISSAN"/>
    <s v="TIIDA"/>
    <n v="0"/>
    <d v="2017-05-18T00:00:00"/>
    <n v="9.5"/>
    <x v="75"/>
  </r>
  <r>
    <d v="2017-05-29T00:00:00"/>
    <s v="001-00009538"/>
    <n v="1055.38253722542"/>
    <n v="0"/>
    <n v="0"/>
    <n v="0"/>
    <n v="0"/>
    <n v="117"/>
    <n v="170.43812500000001"/>
    <n v="0"/>
    <n v="287.43812500000001"/>
    <n v="767.94441222542002"/>
    <n v="0.72764555517881768"/>
    <x v="2"/>
    <s v="MEDIANO"/>
    <x v="1"/>
    <x v="0"/>
    <n v="12"/>
    <n v="1"/>
    <d v="2017-05-17T00:00:00"/>
    <s v="NISSAN"/>
    <s v="TIIDA"/>
    <n v="1947.92"/>
    <d v="2017-05-19T00:00:00"/>
    <n v="8"/>
    <x v="75"/>
  </r>
  <r>
    <d v="2017-05-29T00:00:00"/>
    <s v="001-00009482"/>
    <n v="2508.1781490855901"/>
    <n v="0"/>
    <n v="0"/>
    <n v="0"/>
    <n v="14.625"/>
    <n v="248.625"/>
    <n v="387.359375"/>
    <n v="0"/>
    <n v="650.609375"/>
    <n v="1857.5687740855901"/>
    <n v="0.74060479905018173"/>
    <x v="1"/>
    <s v="MEDIANO"/>
    <x v="1"/>
    <x v="0"/>
    <n v="21"/>
    <n v="1"/>
    <d v="2017-05-08T00:00:00"/>
    <s v="NISSAN"/>
    <s v="TIIDA"/>
    <n v="3014.44"/>
    <d v="2017-05-09T00:00:00"/>
    <n v="17"/>
    <x v="1"/>
  </r>
  <r>
    <d v="2017-05-29T00:00:00"/>
    <s v="001-00009567"/>
    <n v="1179.0000359999999"/>
    <n v="0"/>
    <n v="0"/>
    <n v="0"/>
    <n v="0"/>
    <n v="146.25"/>
    <n v="185.9325"/>
    <n v="0"/>
    <n v="332.1825"/>
    <n v="846.8175359999999"/>
    <n v="0.71825064473534928"/>
    <x v="1"/>
    <s v="MEDIANO"/>
    <x v="1"/>
    <x v="0"/>
    <n v="7"/>
    <n v="1"/>
    <d v="2017-05-22T00:00:00"/>
    <s v="NISSAN"/>
    <s v="SENTRA"/>
    <n v="529.36"/>
    <d v="2017-05-24T00:00:00"/>
    <n v="10"/>
    <x v="1"/>
  </r>
  <r>
    <d v="2017-05-29T00:00:00"/>
    <s v="001-00009568"/>
    <n v="749.17002787542003"/>
    <n v="0"/>
    <n v="0"/>
    <n v="0"/>
    <n v="14.625"/>
    <n v="43.875"/>
    <n v="139.449375"/>
    <n v="0"/>
    <n v="197.949375"/>
    <n v="551.22065287542"/>
    <n v="0.735775100932205"/>
    <x v="1"/>
    <s v="LEVE"/>
    <x v="1"/>
    <x v="0"/>
    <n v="7"/>
    <n v="1"/>
    <d v="2017-05-22T00:00:00"/>
    <s v="CHEVROLET"/>
    <s v="CRUZE"/>
    <n v="1054.5275000000001"/>
    <d v="2017-05-24T00:00:00"/>
    <n v="3"/>
    <x v="1"/>
  </r>
  <r>
    <d v="2017-05-30T00:00:00"/>
    <s v="001-00009563"/>
    <n v="688.36649560000001"/>
    <n v="0"/>
    <n v="34.427966101694921"/>
    <n v="16.95"/>
    <n v="0"/>
    <n v="43.875"/>
    <n v="123.955"/>
    <n v="0"/>
    <n v="219.20796610169492"/>
    <n v="469.15852949830509"/>
    <n v="0.68155340577605106"/>
    <x v="1"/>
    <s v="LEVE"/>
    <x v="1"/>
    <x v="0"/>
    <n v="8"/>
    <n v="1"/>
    <d v="2017-05-22T00:00:00"/>
    <s v="KIA"/>
    <s v="RIO"/>
    <n v="906.1"/>
    <d v="2017-05-24T00:00:00"/>
    <n v="3"/>
    <x v="1"/>
  </r>
  <r>
    <d v="2017-05-31T00:00:00"/>
    <s v="001-00009462"/>
    <n v="3375.0077292850774"/>
    <n v="0"/>
    <n v="10.17"/>
    <n v="16.95"/>
    <n v="39.048749999999998"/>
    <n v="394.875"/>
    <n v="449.33687499999996"/>
    <n v="0"/>
    <n v="910.38062500000001"/>
    <n v="2464.6271042850776"/>
    <n v="0.73025821034405625"/>
    <x v="1"/>
    <s v="GRAVE"/>
    <x v="1"/>
    <x v="0"/>
    <n v="26"/>
    <n v="1"/>
    <d v="2017-05-05T00:00:00"/>
    <s v="LIFAN"/>
    <s v="FOISON"/>
    <n v="5788.25"/>
    <d v="2017-05-11T00:00:00"/>
    <n v="27"/>
    <x v="76"/>
  </r>
  <r>
    <d v="2017-05-31T00:00:00"/>
    <s v="001-00009034"/>
    <n v="4988.0223482499996"/>
    <n v="0"/>
    <n v="0"/>
    <n v="0"/>
    <n v="39.048749999999998"/>
    <n v="424.125"/>
    <n v="836.69624999999996"/>
    <n v="0"/>
    <n v="1299.8699999999999"/>
    <n v="3688.1523482499997"/>
    <n v="0.73940172893250022"/>
    <x v="1"/>
    <s v="GRAVE"/>
    <x v="1"/>
    <x v="0"/>
    <n v="97"/>
    <n v="1"/>
    <d v="2017-02-23T00:00:00"/>
    <s v="SUZUKI"/>
    <s v="SWIFT"/>
    <n v="9685.5524999999998"/>
    <d v="2017-02-28T00:00:00"/>
    <n v="29"/>
    <x v="77"/>
  </r>
  <r>
    <d v="2017-05-31T00:00:00"/>
    <s v="001-00009619"/>
    <n v="25.423700000000004"/>
    <n v="0"/>
    <n v="0"/>
    <n v="25.42"/>
    <n v="0"/>
    <n v="0"/>
    <n v="0"/>
    <n v="0"/>
    <n v="25.42"/>
    <n v="3.700000000002035E-3"/>
    <n v="1.4553349827137806E-4"/>
    <x v="0"/>
    <s v="-"/>
    <x v="1"/>
    <x v="0"/>
    <n v="1"/>
    <n v="1"/>
    <d v="2017-05-30T00:00:00"/>
    <s v="SUZUKI"/>
    <s v="SWIFT"/>
    <n v="29.705000000000002"/>
    <d v="2017-05-30T00:00:00"/>
    <n v="0"/>
    <x v="77"/>
  </r>
  <r>
    <d v="2017-05-31T00:00:00"/>
    <s v="001-00009569"/>
    <n v="1253.1825172745798"/>
    <n v="0"/>
    <n v="0"/>
    <n v="0"/>
    <n v="0"/>
    <n v="87.75"/>
    <n v="201.426875"/>
    <n v="0"/>
    <n v="289.176875"/>
    <n v="964.00564227457983"/>
    <n v="0.76924600286564671"/>
    <x v="1"/>
    <s v="LEVE"/>
    <x v="1"/>
    <x v="0"/>
    <n v="9"/>
    <n v="1"/>
    <d v="2017-05-22T00:00:00"/>
    <s v="SSANYONG"/>
    <s v="KYRON"/>
    <n v="3013.335"/>
    <d v="2017-05-25T00:00:00"/>
    <n v="6"/>
    <x v="1"/>
  </r>
  <r>
    <d v="2017-05-31T00:00:00"/>
    <s v="001-00009556"/>
    <n v="1114.2929661000001"/>
    <n v="0"/>
    <n v="0"/>
    <n v="8.48"/>
    <n v="0"/>
    <n v="146.25"/>
    <n v="123.955"/>
    <n v="0"/>
    <n v="278.685"/>
    <n v="835.60796610000011"/>
    <n v="0.74989970458541877"/>
    <x v="0"/>
    <s v="MEDIANO"/>
    <x v="1"/>
    <x v="0"/>
    <n v="11"/>
    <n v="1"/>
    <d v="2017-05-20T00:00:00"/>
    <s v="HYUNDAI"/>
    <s v="ACCENT"/>
    <n v="0"/>
    <d v="2017-05-20T00:00:00"/>
    <n v="10"/>
    <x v="78"/>
  </r>
  <r>
    <d v="2017-05-31T00:00:00"/>
    <s v="001-00009550"/>
    <n v="2153.0125452991601"/>
    <n v="0"/>
    <n v="0"/>
    <n v="0"/>
    <n v="0"/>
    <n v="102.375"/>
    <n v="418.34812499999998"/>
    <n v="0"/>
    <n v="520.72312499999998"/>
    <n v="1632.2894202991602"/>
    <n v="0.75814208508123404"/>
    <x v="1"/>
    <s v="LEVE"/>
    <x v="1"/>
    <x v="0"/>
    <n v="12"/>
    <n v="1"/>
    <d v="2017-05-19T00:00:00"/>
    <s v="HYUNDAI"/>
    <s v="ACCENT"/>
    <n v="1160.25"/>
    <d v="2017-05-24T00:00:00"/>
    <n v="7"/>
    <x v="78"/>
  </r>
  <r>
    <d v="2017-05-31T00:00:00"/>
    <s v="001-00009578"/>
    <n v="1335.3575147745801"/>
    <n v="0"/>
    <n v="55.084745762711869"/>
    <n v="0"/>
    <n v="0"/>
    <n v="102.375"/>
    <n v="263.40437500000002"/>
    <n v="0"/>
    <n v="420.86412076271188"/>
    <n v="914.49339401186819"/>
    <n v="0.68483037980000627"/>
    <x v="1"/>
    <s v="MEDIANO"/>
    <x v="1"/>
    <x v="0"/>
    <n v="8"/>
    <n v="1"/>
    <d v="2017-05-23T00:00:00"/>
    <s v="KIA"/>
    <s v="PICANTO"/>
    <n v="2546.5374999999999"/>
    <d v="2017-05-24T00:00:00"/>
    <n v="7"/>
    <x v="1"/>
  </r>
  <r>
    <d v="2017-06-01T00:00:00"/>
    <s v="001-00009579"/>
    <n v="1231.1037800254198"/>
    <n v="0"/>
    <n v="0"/>
    <n v="10.17"/>
    <n v="0"/>
    <n v="131.625"/>
    <n v="154.94374999999999"/>
    <n v="0"/>
    <n v="296.73874999999998"/>
    <n v="934.36503002541986"/>
    <n v="0.75896528398777807"/>
    <x v="1"/>
    <s v="MEDIANO"/>
    <x v="2"/>
    <x v="0"/>
    <n v="9"/>
    <n v="1"/>
    <d v="2017-05-23T00:00:00"/>
    <s v="HONDA"/>
    <s v="PILOT"/>
    <n v="13.942500000000001"/>
    <d v="2017-05-24T00:00:00"/>
    <n v="9"/>
    <x v="79"/>
  </r>
  <r>
    <d v="2017-06-01T00:00:00"/>
    <s v="001-00009558"/>
    <n v="1284.2600392500001"/>
    <n v="0"/>
    <n v="84.75"/>
    <n v="50.85"/>
    <n v="39.048749999999998"/>
    <n v="87.75"/>
    <n v="154.94374999999999"/>
    <n v="0"/>
    <n v="417.34249999999997"/>
    <n v="866.91753925000012"/>
    <n v="0.6750327135899008"/>
    <x v="1"/>
    <s v="LEVE"/>
    <x v="2"/>
    <x v="0"/>
    <n v="12"/>
    <n v="1"/>
    <d v="2017-05-20T00:00:00"/>
    <s v="KIA"/>
    <s v="RIO"/>
    <n v="9544.5025000000005"/>
    <d v="2017-05-22T00:00:00"/>
    <n v="6"/>
    <x v="1"/>
  </r>
  <r>
    <d v="2017-06-02T00:00:00"/>
    <s v="001-00009560"/>
    <n v="2436.0909464345787"/>
    <n v="0"/>
    <n v="94.92"/>
    <n v="0"/>
    <n v="14.625"/>
    <n v="234"/>
    <n v="387.359375"/>
    <n v="0"/>
    <n v="730.90437500000007"/>
    <n v="1705.1865714345786"/>
    <n v="0.69996835460115336"/>
    <x v="1"/>
    <s v="MEDIANO"/>
    <x v="2"/>
    <x v="0"/>
    <n v="13"/>
    <n v="1"/>
    <d v="2017-05-20T00:00:00"/>
    <s v="HYUNDAI"/>
    <s v="ACCENT"/>
    <n v="7003.2950000000001"/>
    <d v="2017-05-23T00:00:00"/>
    <n v="16"/>
    <x v="80"/>
  </r>
  <r>
    <d v="2017-06-02T00:00:00"/>
    <s v="001-00009610"/>
    <n v="662.37747975000002"/>
    <n v="0"/>
    <n v="0"/>
    <n v="16.95"/>
    <n v="0"/>
    <n v="43.875"/>
    <n v="77.471874999999997"/>
    <n v="0"/>
    <n v="138.296875"/>
    <n v="524.08060475000002"/>
    <n v="0.79121138742187136"/>
    <x v="1"/>
    <s v="LEVE"/>
    <x v="2"/>
    <x v="0"/>
    <n v="4"/>
    <n v="1"/>
    <d v="2017-05-29T00:00:00"/>
    <s v="KIA"/>
    <s v="SORENTO"/>
    <n v="928.81750000000011"/>
    <d v="2017-05-30T00:00:00"/>
    <n v="3"/>
    <x v="1"/>
  </r>
  <r>
    <d v="2017-06-03T00:00:00"/>
    <s v="001-00009603"/>
    <n v="773.25999659999991"/>
    <n v="0"/>
    <n v="34.427966101694921"/>
    <n v="0"/>
    <n v="0"/>
    <n v="43.875"/>
    <n v="170.43812500000001"/>
    <n v="0"/>
    <n v="248.74109110169493"/>
    <n v="524.518905498305"/>
    <n v="0.67832153196156308"/>
    <x v="1"/>
    <s v="LEVE"/>
    <x v="2"/>
    <x v="0"/>
    <n v="5"/>
    <n v="1"/>
    <d v="2017-05-29T00:00:00"/>
    <s v="TOYOTA"/>
    <s v="YARIS"/>
    <n v="1056.6400000000001"/>
    <d v="2017-05-29T00:00:00"/>
    <n v="3"/>
    <x v="1"/>
  </r>
  <r>
    <d v="2017-06-03T00:00:00"/>
    <s v="001-00009571"/>
    <n v="1890.1575000000003"/>
    <n v="0"/>
    <n v="22.245762711864408"/>
    <n v="0"/>
    <n v="14.625"/>
    <n v="117"/>
    <n v="340.87625000000003"/>
    <n v="0"/>
    <n v="494.74701271186444"/>
    <n v="1395.4104872881358"/>
    <n v="0.73825090622772738"/>
    <x v="1"/>
    <s v="MEDIANO"/>
    <x v="2"/>
    <x v="0"/>
    <n v="12"/>
    <n v="1"/>
    <d v="2017-05-22T00:00:00"/>
    <s v="KIA"/>
    <s v="CERATO"/>
    <n v="4002.6674999999996"/>
    <d v="2017-05-26T00:00:00"/>
    <n v="8"/>
    <x v="1"/>
  </r>
  <r>
    <d v="2017-06-03T00:00:00"/>
    <s v="001-00009630"/>
    <n v="1112.8200000000002"/>
    <n v="0"/>
    <n v="0"/>
    <n v="12.71"/>
    <n v="0"/>
    <n v="117"/>
    <n v="185.9325"/>
    <n v="0"/>
    <n v="315.64250000000004"/>
    <n v="797.17750000000012"/>
    <n v="0.71635799140921264"/>
    <x v="1"/>
    <s v="MEDIANO"/>
    <x v="2"/>
    <x v="0"/>
    <n v="2"/>
    <n v="1"/>
    <d v="2017-06-01T00:00:00"/>
    <s v="HYUNDAI"/>
    <s v="ACCENT"/>
    <n v="382.8175"/>
    <d v="2017-05-31T00:00:00"/>
    <n v="8"/>
    <x v="1"/>
  </r>
  <r>
    <d v="2017-06-05T00:00:00"/>
    <s v="001-00009620"/>
    <n v="1145.5500000000002"/>
    <n v="0"/>
    <n v="0"/>
    <n v="0"/>
    <n v="0"/>
    <n v="73.125"/>
    <n v="216.92125000000001"/>
    <n v="0"/>
    <n v="290.04624999999999"/>
    <n v="855.5037500000002"/>
    <n v="0.74680611933132557"/>
    <x v="1"/>
    <s v="LEVE"/>
    <x v="2"/>
    <x v="0"/>
    <n v="6"/>
    <n v="1"/>
    <d v="2017-05-30T00:00:00"/>
    <s v="MAZDA"/>
    <s v="BT-50"/>
    <n v="1805.5374999999999"/>
    <d v="2017-05-31T00:00:00"/>
    <n v="5"/>
    <x v="81"/>
  </r>
  <r>
    <d v="2017-06-05T00:00:00"/>
    <s v="001-00009631"/>
    <n v="130.92000000000002"/>
    <n v="0"/>
    <n v="81.567796610169495"/>
    <n v="0"/>
    <n v="0"/>
    <n v="0"/>
    <n v="0"/>
    <n v="0"/>
    <n v="81.567796610169495"/>
    <n v="49.352203389830521"/>
    <n v="0.37696458440139408"/>
    <x v="1"/>
    <s v="LEVE"/>
    <x v="2"/>
    <x v="0"/>
    <n v="4"/>
    <n v="1"/>
    <d v="2017-06-01T00:00:00"/>
    <s v="MAZDA"/>
    <s v="BT-50"/>
    <n v="130"/>
    <d v="2017-05-31T00:00:00"/>
    <n v="0"/>
    <x v="1"/>
  </r>
  <r>
    <d v="2017-06-05T00:00:00"/>
    <s v="001-00009391"/>
    <n v="2741.1374999999998"/>
    <n v="0"/>
    <n v="50.17"/>
    <n v="0"/>
    <n v="29.25"/>
    <n v="263.25"/>
    <n v="464.83125000000001"/>
    <n v="0"/>
    <n v="807.50125000000003"/>
    <n v="1933.6362499999998"/>
    <n v="0.70541381087231114"/>
    <x v="1"/>
    <s v="MEDIANO"/>
    <x v="2"/>
    <x v="0"/>
    <n v="42"/>
    <n v="1"/>
    <d v="2017-04-24T00:00:00"/>
    <s v="VOLKSWAGEN"/>
    <s v="GOL"/>
    <n v="6818.0774999999994"/>
    <d v="2017-05-09T00:00:00"/>
    <n v="18"/>
    <x v="1"/>
  </r>
  <r>
    <d v="2017-06-06T00:00:00"/>
    <s v="001-00009590"/>
    <n v="1018.4237735254198"/>
    <n v="0"/>
    <n v="34.427966101694921"/>
    <n v="0"/>
    <n v="0"/>
    <n v="102.375"/>
    <n v="154.94374999999999"/>
    <n v="0"/>
    <n v="291.74671610169491"/>
    <n v="726.67705742372493"/>
    <n v="0.71353112163537591"/>
    <x v="1"/>
    <s v="MEDIANO"/>
    <x v="2"/>
    <x v="0"/>
    <n v="12"/>
    <n v="1"/>
    <d v="2017-05-25T00:00:00"/>
    <s v="BRILLANCE"/>
    <s v="H530"/>
    <n v="0"/>
    <d v="2017-05-29T00:00:00"/>
    <n v="7"/>
    <x v="1"/>
  </r>
  <r>
    <d v="2017-06-06T00:00:00"/>
    <s v="001-00009612"/>
    <n v="944.80377127541999"/>
    <n v="0"/>
    <n v="61.970338983050844"/>
    <n v="0"/>
    <n v="0"/>
    <n v="87.75"/>
    <n v="123.955"/>
    <n v="0"/>
    <n v="273.67533898305084"/>
    <n v="671.1284322923691"/>
    <n v="0.71033631818212573"/>
    <x v="1"/>
    <s v="LEVE"/>
    <x v="2"/>
    <x v="0"/>
    <n v="7"/>
    <n v="1"/>
    <d v="2017-05-30T00:00:00"/>
    <s v="TOYOTA"/>
    <s v="COROLLA"/>
    <n v="338"/>
    <d v="2017-05-31T00:00:00"/>
    <n v="6"/>
    <x v="1"/>
  </r>
  <r>
    <d v="2017-06-06T00:00:00"/>
    <s v="001-00009669"/>
    <n v="400"/>
    <n v="127.98662750000001"/>
    <n v="0"/>
    <n v="0"/>
    <n v="39.048749999999998"/>
    <n v="0"/>
    <n v="0"/>
    <n v="0"/>
    <n v="167.03537750000001"/>
    <n v="232.96462249999999"/>
    <n v="0.58241155624999996"/>
    <x v="0"/>
    <s v="-"/>
    <x v="2"/>
    <x v="0"/>
    <n v="1"/>
    <n v="1"/>
    <d v="2017-06-05T00:00:00"/>
    <s v="KIA"/>
    <s v="SORENTO"/>
    <n v="0"/>
    <d v="2017-06-06T00:00:00"/>
    <n v="0"/>
    <x v="82"/>
  </r>
  <r>
    <d v="2017-06-06T00:00:00"/>
    <s v="001-00009582"/>
    <n v="3342.320257429149"/>
    <n v="0"/>
    <n v="68.855932203389841"/>
    <n v="0"/>
    <n v="0"/>
    <n v="380.25"/>
    <n v="464.83125000000001"/>
    <n v="0"/>
    <n v="913.93718220338985"/>
    <n v="2428.3830752257591"/>
    <n v="0.72655607128852051"/>
    <x v="1"/>
    <s v="GRAVE"/>
    <x v="2"/>
    <x v="0"/>
    <n v="13"/>
    <n v="1"/>
    <d v="2017-05-24T00:00:00"/>
    <s v="TOYOTA"/>
    <s v="YARIS"/>
    <n v="1979.25"/>
    <d v="2017-05-26T00:00:00"/>
    <n v="26"/>
    <x v="1"/>
  </r>
  <r>
    <d v="2017-06-06T00:00:00"/>
    <s v="001-00009651"/>
    <n v="186.44070000000002"/>
    <n v="0"/>
    <n v="84.745762711864415"/>
    <n v="0"/>
    <n v="0"/>
    <n v="0"/>
    <n v="0"/>
    <n v="0"/>
    <n v="84.745762711864415"/>
    <n v="101.69493728813561"/>
    <n v="0.54545459917354733"/>
    <x v="0"/>
    <s v="-"/>
    <x v="2"/>
    <x v="0"/>
    <n v="1"/>
    <n v="1"/>
    <d v="2017-06-05T00:00:00"/>
    <s v="HYUNDAI"/>
    <s v="ACCENT"/>
    <n v="0"/>
    <d v="2017-06-05T00:00:00"/>
    <n v="0"/>
    <x v="78"/>
  </r>
  <r>
    <d v="2017-06-09T00:00:00"/>
    <s v="001-00009609"/>
    <n v="1414.6900432499999"/>
    <n v="0"/>
    <n v="0"/>
    <n v="0"/>
    <n v="0"/>
    <n v="146.25"/>
    <n v="247.91"/>
    <n v="0"/>
    <n v="394.15999999999997"/>
    <n v="1020.5300432499999"/>
    <n v="0.72138066435069614"/>
    <x v="1"/>
    <s v="MEDIANO"/>
    <x v="2"/>
    <x v="0"/>
    <n v="11"/>
    <n v="1"/>
    <d v="2017-05-29T00:00:00"/>
    <s v="RENAULT"/>
    <s v="LOGAN"/>
    <n v="667.48500000000001"/>
    <d v="2017-05-31T00:00:00"/>
    <n v="10"/>
    <x v="1"/>
  </r>
  <r>
    <d v="2017-06-09T00:00:00"/>
    <s v="001-00009606"/>
    <n v="1410.6137855254199"/>
    <n v="0"/>
    <n v="20.656779661016948"/>
    <n v="0"/>
    <n v="14.625"/>
    <n v="146.25"/>
    <n v="232.41562500000001"/>
    <n v="0"/>
    <n v="413.94740466101695"/>
    <n v="996.66638086440298"/>
    <n v="0.70654802263481964"/>
    <x v="1"/>
    <s v="MEDIANO"/>
    <x v="2"/>
    <x v="0"/>
    <n v="11"/>
    <n v="1"/>
    <d v="2017-05-29T00:00:00"/>
    <s v="TOYOTA"/>
    <s v="YARIS"/>
    <n v="3946.8650000000002"/>
    <d v="2017-05-30T00:00:00"/>
    <n v="10"/>
    <x v="1"/>
  </r>
  <r>
    <d v="2017-06-09T00:00:00"/>
    <s v="001-00009452"/>
    <n v="1911.1788219599998"/>
    <n v="0"/>
    <n v="20.656779661016948"/>
    <n v="0"/>
    <n v="0"/>
    <n v="160.875"/>
    <n v="387.359375"/>
    <n v="0"/>
    <n v="568.89115466101691"/>
    <n v="1342.2876672989828"/>
    <n v="0.70233494211829239"/>
    <x v="1"/>
    <s v="MEDIANO"/>
    <x v="2"/>
    <x v="0"/>
    <n v="36"/>
    <n v="1"/>
    <d v="2017-05-04T00:00:00"/>
    <s v="HYUNDAI"/>
    <s v="H1"/>
    <n v="1615.25"/>
    <d v="2017-05-09T00:00:00"/>
    <n v="11"/>
    <x v="83"/>
  </r>
  <r>
    <d v="2017-06-09T00:00:00"/>
    <s v="001-00009622"/>
    <n v="1734.1600530000001"/>
    <n v="0"/>
    <n v="74.152542372881356"/>
    <n v="8.48"/>
    <n v="0"/>
    <n v="175.5"/>
    <n v="247.91"/>
    <n v="0"/>
    <n v="506.04254237288137"/>
    <n v="1228.1175106271187"/>
    <n v="0.70819155850265603"/>
    <x v="1"/>
    <s v="MEDIANO"/>
    <x v="2"/>
    <x v="0"/>
    <n v="10"/>
    <n v="1"/>
    <d v="2017-05-30T00:00:00"/>
    <s v="KIA"/>
    <s v="RIO"/>
    <n v="1360.19"/>
    <d v="2017-05-31T00:00:00"/>
    <n v="12"/>
    <x v="1"/>
  </r>
  <r>
    <d v="2017-06-09T00:00:00"/>
    <s v="001-00009520"/>
    <n v="2624.4324723376294"/>
    <n v="0"/>
    <n v="30.82677966101695"/>
    <n v="0"/>
    <n v="39.048749999999998"/>
    <n v="351"/>
    <n v="294.393125"/>
    <n v="0"/>
    <n v="715.26865466101685"/>
    <n v="1909.1638176766126"/>
    <n v="0.72745777908169451"/>
    <x v="1"/>
    <s v="MEDIANO"/>
    <x v="2"/>
    <x v="0"/>
    <n v="25"/>
    <n v="1"/>
    <d v="2017-05-15T00:00:00"/>
    <s v="LIFAN"/>
    <s v="LF6401"/>
    <n v="4290"/>
    <d v="2017-05-19T00:00:00"/>
    <n v="24"/>
    <x v="76"/>
  </r>
  <r>
    <d v="2017-06-09T00:00:00"/>
    <s v="001-00009635"/>
    <n v="1277.6326357674511"/>
    <n v="0"/>
    <n v="0"/>
    <n v="0"/>
    <n v="0"/>
    <n v="73.125"/>
    <n v="254.72752500000001"/>
    <n v="0"/>
    <n v="327.85252500000001"/>
    <n v="949.78011076745111"/>
    <n v="0.74339061493755221"/>
    <x v="1"/>
    <s v="LEVE"/>
    <x v="2"/>
    <x v="0"/>
    <n v="8"/>
    <n v="1"/>
    <d v="2017-06-01T00:00:00"/>
    <s v="HYUNDAI"/>
    <s v="ACCENT"/>
    <n v="802.78250000000003"/>
    <d v="2017-06-06T00:00:00"/>
    <n v="5"/>
    <x v="1"/>
  </r>
  <r>
    <d v="2017-06-09T00:00:00"/>
    <s v="001-00009607"/>
    <n v="623.26072224831"/>
    <n v="0"/>
    <n v="0"/>
    <n v="0"/>
    <n v="0"/>
    <n v="58.5"/>
    <n v="123.955"/>
    <n v="0"/>
    <n v="182.45499999999998"/>
    <n v="440.80572224831002"/>
    <n v="0.7072573427347969"/>
    <x v="1"/>
    <s v="LEVE"/>
    <x v="2"/>
    <x v="0"/>
    <n v="11"/>
    <n v="1"/>
    <d v="2017-05-29T00:00:00"/>
    <s v="HYUNDAI"/>
    <s v="I10"/>
    <n v="547.23500000000001"/>
    <d v="2017-06-01T00:00:00"/>
    <n v="4"/>
    <x v="1"/>
  </r>
  <r>
    <d v="2017-06-09T00:00:00"/>
    <s v="001-00009673"/>
    <n v="702.03805105593005"/>
    <n v="0"/>
    <n v="8.4745762711864412"/>
    <n v="0"/>
    <n v="0"/>
    <n v="14.625"/>
    <n v="123.955"/>
    <n v="0"/>
    <n v="147.05457627118645"/>
    <n v="554.98347478474363"/>
    <n v="0.79053190058572642"/>
    <x v="1"/>
    <s v="LEVE"/>
    <x v="2"/>
    <x v="0"/>
    <n v="3"/>
    <n v="1"/>
    <d v="2017-06-06T00:00:00"/>
    <s v="MAZDA"/>
    <s v="CX-5"/>
    <n v="1254.825"/>
    <d v="2017-06-06T00:00:00"/>
    <n v="1"/>
    <x v="1"/>
  </r>
  <r>
    <d v="2017-06-10T00:00:00"/>
    <s v="001-00009663"/>
    <n v="692.8243829999999"/>
    <n v="0"/>
    <n v="8.4745762711864412"/>
    <n v="0"/>
    <n v="0"/>
    <n v="29.25"/>
    <n v="185.9325"/>
    <n v="0"/>
    <n v="223.65707627118644"/>
    <n v="469.16730672881346"/>
    <n v="0.67718070876384484"/>
    <x v="0"/>
    <s v="LEVE"/>
    <x v="2"/>
    <x v="0"/>
    <n v="5"/>
    <n v="1"/>
    <d v="2017-06-05T00:00:00"/>
    <s v="JEEP"/>
    <s v="PATRIOT"/>
    <n v="0"/>
    <d v="2017-06-05T00:00:00"/>
    <n v="2"/>
    <x v="23"/>
  </r>
  <r>
    <d v="2017-06-10T00:00:00"/>
    <s v="001-00009687"/>
    <n v="50"/>
    <n v="0"/>
    <n v="92.21"/>
    <n v="0"/>
    <n v="39.048749999999998"/>
    <n v="0"/>
    <n v="0"/>
    <n v="0"/>
    <n v="131.25874999999999"/>
    <n v="-81.258749999999992"/>
    <n v="-1.6251749999999998"/>
    <x v="0"/>
    <s v="-"/>
    <x v="2"/>
    <x v="0"/>
    <n v="0"/>
    <n v="1"/>
    <d v="2017-06-10T00:00:00"/>
    <s v="HYUNDAI"/>
    <s v="I10"/>
    <n v="0"/>
    <d v="2017-06-10T00:00:00"/>
    <n v="0"/>
    <x v="84"/>
  </r>
  <r>
    <d v="2017-06-10T00:00:00"/>
    <s v="001-00009512"/>
    <n v="5309.6762667000003"/>
    <n v="0"/>
    <n v="25.42"/>
    <n v="0"/>
    <n v="14.625"/>
    <n v="614.25"/>
    <n v="712.74125000000004"/>
    <n v="0"/>
    <n v="1367.0362500000001"/>
    <n v="3942.6400167000002"/>
    <n v="0.74253868195817097"/>
    <x v="1"/>
    <s v="GRAVE"/>
    <x v="2"/>
    <x v="0"/>
    <n v="29"/>
    <n v="1"/>
    <d v="2017-05-12T00:00:00"/>
    <s v="NISSAN"/>
    <s v="URBAN"/>
    <n v="18085.827499999999"/>
    <d v="2017-05-18T00:00:00"/>
    <n v="42"/>
    <x v="1"/>
  </r>
  <r>
    <d v="2017-06-10T00:00:00"/>
    <s v="001-00009692"/>
    <n v="65.400000000000006"/>
    <n v="0"/>
    <n v="0"/>
    <n v="0"/>
    <n v="0"/>
    <n v="0"/>
    <n v="0"/>
    <n v="0"/>
    <n v="0"/>
    <n v="65.400000000000006"/>
    <n v="1"/>
    <x v="0"/>
    <s v="-"/>
    <x v="2"/>
    <x v="0"/>
    <n v="0"/>
    <n v="1"/>
    <d v="2017-06-10T00:00:00"/>
    <s v="JEEP"/>
    <s v="PATRIOT"/>
    <n v="0"/>
    <s v="F/Fecha"/>
    <n v="0"/>
    <x v="23"/>
  </r>
  <r>
    <d v="2017-06-10T00:00:00"/>
    <s v="001-00009628"/>
    <n v="1158.6607022999999"/>
    <n v="0"/>
    <n v="0"/>
    <n v="0"/>
    <n v="0"/>
    <n v="73.125"/>
    <n v="232.41562500000001"/>
    <n v="0"/>
    <n v="305.54062499999998"/>
    <n v="853.12007729999993"/>
    <n v="0.73629844837795355"/>
    <x v="1"/>
    <s v="LEVE"/>
    <x v="2"/>
    <x v="0"/>
    <n v="10"/>
    <n v="1"/>
    <d v="2017-05-31T00:00:00"/>
    <s v="CHEVROLET"/>
    <s v="CAPTIVA"/>
    <n v="1802.19"/>
    <d v="2017-06-02T00:00:00"/>
    <n v="5"/>
    <x v="1"/>
  </r>
  <r>
    <d v="2017-06-10T00:00:00"/>
    <s v="001-00009604"/>
    <n v="1832.4746459999997"/>
    <n v="0"/>
    <n v="0"/>
    <n v="8.4700000000000006"/>
    <n v="14.625"/>
    <n v="146.25"/>
    <n v="309.88749999999999"/>
    <n v="0"/>
    <n v="479.23249999999996"/>
    <n v="1353.2421459999996"/>
    <n v="0.73847796418570466"/>
    <x v="1"/>
    <s v="MEDIANO"/>
    <x v="2"/>
    <x v="0"/>
    <n v="12"/>
    <n v="1"/>
    <d v="2017-05-29T00:00:00"/>
    <s v="MAZDA"/>
    <s v="MAZDA 2"/>
    <n v="4391.4975000000004"/>
    <d v="2017-05-29T00:00:00"/>
    <n v="10"/>
    <x v="1"/>
  </r>
  <r>
    <d v="2017-06-10T00:00:00"/>
    <s v="001-00009672"/>
    <n v="1663.6262666999996"/>
    <n v="0"/>
    <n v="20.656779661016948"/>
    <n v="15.25"/>
    <n v="7.3125"/>
    <n v="117"/>
    <n v="278.89875000000001"/>
    <n v="0"/>
    <n v="439.11802966101698"/>
    <n v="1224.5082370389828"/>
    <n v="0.73604766980984282"/>
    <x v="1"/>
    <s v="MEDIANO"/>
    <x v="2"/>
    <x v="0"/>
    <n v="4"/>
    <n v="1"/>
    <d v="2017-06-06T00:00:00"/>
    <s v="RENAULT"/>
    <s v="LOGAN"/>
    <n v="1158.3"/>
    <d v="2017-06-06T00:00:00"/>
    <n v="8"/>
    <x v="1"/>
  </r>
  <r>
    <d v="2017-06-12T00:00:00"/>
    <s v="001-00009658"/>
    <n v="1163.7043503"/>
    <n v="0"/>
    <n v="0"/>
    <n v="0"/>
    <n v="0"/>
    <n v="117"/>
    <n v="184.69295"/>
    <n v="0"/>
    <n v="301.69295"/>
    <n v="862.01140029999999"/>
    <n v="0.74074776817477361"/>
    <x v="1"/>
    <s v="MEDIANO"/>
    <x v="2"/>
    <x v="0"/>
    <n v="7"/>
    <n v="1"/>
    <d v="2017-06-05T00:00:00"/>
    <s v="RENAULT"/>
    <s v="SANDERO"/>
    <n v="0"/>
    <d v="2017-06-07T00:00:00"/>
    <n v="8"/>
    <x v="1"/>
  </r>
  <r>
    <d v="2017-06-12T00:00:00"/>
    <s v="001-00009584"/>
    <n v="1438.8"/>
    <n v="0"/>
    <n v="0"/>
    <n v="0"/>
    <n v="14.625"/>
    <n v="146.25"/>
    <n v="247.91"/>
    <n v="0"/>
    <n v="408.78499999999997"/>
    <n v="1030.0149999999999"/>
    <n v="0.71588476508201271"/>
    <x v="2"/>
    <s v="MEDIANO"/>
    <x v="2"/>
    <x v="0"/>
    <n v="19"/>
    <n v="1"/>
    <d v="2017-05-24T00:00:00"/>
    <s v="KIA"/>
    <s v="RIO"/>
    <n v="3326.4074999999998"/>
    <d v="2017-05-26T00:00:00"/>
    <n v="10"/>
    <x v="2"/>
  </r>
  <r>
    <d v="2017-06-13T00:00:00"/>
    <s v="001-00009675"/>
    <n v="783.20299999999997"/>
    <n v="0"/>
    <n v="48.199152542372886"/>
    <n v="0"/>
    <n v="0"/>
    <n v="36.5625"/>
    <n v="185.9325"/>
    <n v="0"/>
    <n v="270.69415254237288"/>
    <n v="512.5088474576271"/>
    <n v="0.65437549071904366"/>
    <x v="2"/>
    <s v="LEVE"/>
    <x v="2"/>
    <x v="0"/>
    <n v="6"/>
    <n v="1"/>
    <d v="2017-06-07T00:00:00"/>
    <s v="TOYOTA"/>
    <s v="YARIS"/>
    <n v="549.64"/>
    <d v="2017-06-07T00:00:00"/>
    <n v="2.5"/>
    <x v="85"/>
  </r>
  <r>
    <d v="2017-06-13T00:00:00"/>
    <s v="001-00009654"/>
    <n v="629.29509029999986"/>
    <n v="0"/>
    <n v="27.542372881355934"/>
    <n v="0"/>
    <n v="0"/>
    <n v="29.25"/>
    <n v="92.966250000000002"/>
    <n v="0"/>
    <n v="149.75862288135593"/>
    <n v="479.53646741864395"/>
    <n v="0.76202162516481353"/>
    <x v="1"/>
    <s v="LEVE"/>
    <x v="2"/>
    <x v="0"/>
    <n v="8"/>
    <n v="1"/>
    <d v="2017-06-05T00:00:00"/>
    <s v="KIA"/>
    <s v="SORENTO"/>
    <n v="1460.81"/>
    <d v="2017-06-07T00:00:00"/>
    <n v="2"/>
    <x v="1"/>
  </r>
  <r>
    <d v="2017-06-14T00:00:00"/>
    <s v="001-00009655"/>
    <n v="1507.8800459999998"/>
    <n v="0"/>
    <n v="48.199152542372886"/>
    <n v="101.7"/>
    <n v="23.400000000000002"/>
    <n v="117"/>
    <n v="185.9325"/>
    <n v="0"/>
    <n v="476.2316525423729"/>
    <n v="1031.6483934576268"/>
    <n v="0.68417139426595142"/>
    <x v="1"/>
    <s v="MEDIANO"/>
    <x v="2"/>
    <x v="0"/>
    <n v="9"/>
    <n v="1"/>
    <d v="2017-06-05T00:00:00"/>
    <s v="MAZDA"/>
    <s v="CX-5"/>
    <n v="11232.584999999999"/>
    <d v="2017-06-07T00:00:00"/>
    <n v="8"/>
    <x v="1"/>
  </r>
  <r>
    <d v="2017-06-14T00:00:00"/>
    <s v="001-00009623"/>
    <n v="983.40003000000002"/>
    <n v="0"/>
    <n v="10.17"/>
    <n v="0"/>
    <n v="23.400000000000002"/>
    <n v="58.5"/>
    <n v="185.9325"/>
    <n v="0"/>
    <n v="278.0025"/>
    <n v="705.39752999999996"/>
    <n v="0.71730476762340545"/>
    <x v="1"/>
    <s v="LEVE"/>
    <x v="2"/>
    <x v="0"/>
    <n v="14"/>
    <n v="1"/>
    <d v="2017-05-31T00:00:00"/>
    <s v="KIA"/>
    <s v="RIO"/>
    <n v="4329.7475000000004"/>
    <d v="2017-06-05T00:00:00"/>
    <n v="4"/>
    <x v="1"/>
  </r>
  <r>
    <d v="2017-06-14T00:00:00"/>
    <s v="001-00009709"/>
    <n v="847.45758000000001"/>
    <n v="0"/>
    <n v="55.084745762711869"/>
    <n v="0"/>
    <n v="0"/>
    <n v="51.1875"/>
    <n v="185.9325"/>
    <n v="0"/>
    <n v="292.20474576271187"/>
    <n v="555.2528342372882"/>
    <n v="0.65519838082903004"/>
    <x v="0"/>
    <s v="LEVE"/>
    <x v="2"/>
    <x v="0"/>
    <n v="2"/>
    <n v="1"/>
    <d v="2017-06-12T00:00:00"/>
    <s v="TOYOTA"/>
    <s v="RAV4"/>
    <n v="0"/>
    <d v="2017-06-12T00:00:00"/>
    <n v="3.5"/>
    <x v="86"/>
  </r>
  <r>
    <d v="2017-06-15T00:00:00"/>
    <s v="001-00009639"/>
    <n v="1533.5167478277992"/>
    <n v="0"/>
    <n v="23.931186440677969"/>
    <n v="0"/>
    <n v="29.25"/>
    <n v="146.25"/>
    <n v="216.92125000000001"/>
    <n v="0"/>
    <n v="416.35243644067799"/>
    <n v="1117.1643113871212"/>
    <n v="0.72849827885451246"/>
    <x v="1"/>
    <s v="MEDIANO"/>
    <x v="2"/>
    <x v="0"/>
    <n v="13"/>
    <n v="1"/>
    <d v="2017-06-02T00:00:00"/>
    <s v="SUZUKI"/>
    <s v="GRAND NOMADE"/>
    <n v="6241.8850000000002"/>
    <d v="2017-06-06T00:00:00"/>
    <n v="10"/>
    <x v="1"/>
  </r>
  <r>
    <d v="2017-06-15T00:00:00"/>
    <s v="001-00009662"/>
    <n v="2207.3426618078015"/>
    <n v="0"/>
    <n v="0"/>
    <n v="0"/>
    <n v="0"/>
    <n v="234"/>
    <n v="363.18815000000001"/>
    <n v="0"/>
    <n v="597.18814999999995"/>
    <n v="1610.1545118078016"/>
    <n v="0.72945380872088694"/>
    <x v="1"/>
    <s v="MEDIANO"/>
    <x v="2"/>
    <x v="0"/>
    <n v="10"/>
    <n v="1"/>
    <d v="2017-06-05T00:00:00"/>
    <s v="HYUNDAI"/>
    <s v="ACCENT"/>
    <n v="2268.3375000000001"/>
    <d v="2017-06-06T00:00:00"/>
    <n v="16"/>
    <x v="1"/>
  </r>
  <r>
    <d v="2017-06-17T00:00:00"/>
    <s v="001-00009636"/>
    <n v="1301.7653082000002"/>
    <n v="0"/>
    <n v="111.22881355932205"/>
    <n v="0"/>
    <n v="0"/>
    <n v="102.375"/>
    <n v="201.426875"/>
    <n v="0"/>
    <n v="415.03068855932202"/>
    <n v="886.73461964067815"/>
    <n v="0.6811785611853487"/>
    <x v="1"/>
    <s v="LEVE"/>
    <x v="2"/>
    <x v="0"/>
    <n v="16"/>
    <n v="1"/>
    <d v="2017-06-01T00:00:00"/>
    <s v="HYUNDAI"/>
    <s v="ACCENT"/>
    <n v="48.75"/>
    <d v="2017-06-02T00:00:00"/>
    <n v="7"/>
    <x v="1"/>
  </r>
  <r>
    <d v="2017-06-17T00:00:00"/>
    <s v="001-00009638"/>
    <n v="2847.5665632847467"/>
    <n v="0"/>
    <n v="18.47"/>
    <n v="0"/>
    <n v="14.625"/>
    <n v="263.25"/>
    <n v="433.84250000000003"/>
    <n v="0"/>
    <n v="730.1875"/>
    <n v="2117.3790632847467"/>
    <n v="0.74357491430939249"/>
    <x v="1"/>
    <s v="MEDIANO"/>
    <x v="2"/>
    <x v="0"/>
    <n v="16"/>
    <n v="1"/>
    <d v="2017-06-01T00:00:00"/>
    <s v="NISSAN"/>
    <s v="TIIDA"/>
    <n v="9589.06"/>
    <d v="2017-06-06T00:00:00"/>
    <n v="18"/>
    <x v="1"/>
  </r>
  <r>
    <d v="2017-06-19T00:00:00"/>
    <s v="001-00009695"/>
    <n v="1359.54"/>
    <n v="0"/>
    <n v="0"/>
    <n v="0"/>
    <n v="0"/>
    <n v="146.25"/>
    <n v="247.91"/>
    <n v="0"/>
    <n v="394.15999999999997"/>
    <n v="965.38"/>
    <n v="0.71007840887358964"/>
    <x v="1"/>
    <s v="MEDIANO"/>
    <x v="2"/>
    <x v="0"/>
    <n v="7"/>
    <n v="1"/>
    <d v="2017-06-12T00:00:00"/>
    <s v="HYUNDAI"/>
    <s v="VELOSTER"/>
    <n v="0"/>
    <d v="2017-06-13T00:00:00"/>
    <n v="10"/>
    <x v="1"/>
  </r>
  <r>
    <d v="2017-06-19T00:00:00"/>
    <s v="001-00009688"/>
    <n v="1005.50991996"/>
    <n v="0"/>
    <n v="0"/>
    <n v="0"/>
    <n v="0"/>
    <n v="87.75"/>
    <n v="193.3698"/>
    <n v="0"/>
    <n v="281.1198"/>
    <n v="724.39011995999999"/>
    <n v="0.72042065978704295"/>
    <x v="1"/>
    <s v="LEVE"/>
    <x v="2"/>
    <x v="0"/>
    <n v="9"/>
    <n v="1"/>
    <d v="2017-06-10T00:00:00"/>
    <s v="HYUNDAI"/>
    <s v="I10"/>
    <n v="1566.4025000000001"/>
    <d v="2017-06-09T00:00:00"/>
    <n v="6"/>
    <x v="1"/>
  </r>
  <r>
    <d v="2017-06-19T00:00:00"/>
    <s v="001-00009656"/>
    <n v="1064.6999999999998"/>
    <n v="0"/>
    <n v="27.542372881355934"/>
    <n v="33.9"/>
    <n v="43.875"/>
    <n v="58.5"/>
    <n v="123.955"/>
    <n v="0"/>
    <n v="287.77237288135592"/>
    <n v="776.92762711864384"/>
    <n v="0.7297150625703428"/>
    <x v="1"/>
    <s v="LEVE"/>
    <x v="2"/>
    <x v="0"/>
    <n v="14"/>
    <n v="1"/>
    <d v="2017-06-05T00:00:00"/>
    <s v="FORD"/>
    <s v="ECOSPORT"/>
    <n v="4057.4625000000001"/>
    <d v="2017-06-07T00:00:00"/>
    <n v="4"/>
    <x v="1"/>
  </r>
  <r>
    <d v="2017-06-19T00:00:00"/>
    <s v="001-00009618"/>
    <n v="2008.4379260399996"/>
    <n v="0"/>
    <n v="103.28389830508476"/>
    <n v="0"/>
    <n v="0"/>
    <n v="204.75"/>
    <n v="247.91"/>
    <n v="0"/>
    <n v="555.94389830508476"/>
    <n v="1452.4940277349149"/>
    <n v="0.72319587720531187"/>
    <x v="1"/>
    <s v="MEDIANO"/>
    <x v="2"/>
    <x v="0"/>
    <n v="20"/>
    <n v="1"/>
    <d v="2017-05-30T00:00:00"/>
    <s v="HYUNDAI"/>
    <s v="SANTA FE"/>
    <n v="4490.9799999999996"/>
    <d v="2017-05-31T00:00:00"/>
    <n v="14"/>
    <x v="1"/>
  </r>
  <r>
    <d v="2017-06-19T00:00:00"/>
    <s v="001-00009642"/>
    <n v="711.39158999999995"/>
    <n v="0"/>
    <n v="48.199152542372886"/>
    <n v="16.95"/>
    <n v="0"/>
    <n v="29.25"/>
    <n v="123.955"/>
    <n v="0"/>
    <n v="218.3541525423729"/>
    <n v="493.03743745762705"/>
    <n v="0.69306053710534743"/>
    <x v="1"/>
    <s v="LEVE"/>
    <x v="2"/>
    <x v="0"/>
    <n v="17"/>
    <n v="1"/>
    <d v="2017-06-02T00:00:00"/>
    <s v="MAZDA"/>
    <s v="CX-5"/>
    <n v="353.92500000000001"/>
    <d v="2017-06-06T00:00:00"/>
    <n v="2"/>
    <x v="1"/>
  </r>
  <r>
    <d v="2017-06-17T00:00:00"/>
    <s v="001-00009629"/>
    <n v="3251.4300000000003"/>
    <n v="0"/>
    <n v="118.11152542372881"/>
    <n v="16.95"/>
    <n v="23.400000000000002"/>
    <n v="263.25"/>
    <n v="526.80875000000003"/>
    <n v="0"/>
    <n v="948.52027542372889"/>
    <n v="2302.9097245762714"/>
    <n v="0.70827596613682942"/>
    <x v="1"/>
    <s v="MEDIANO"/>
    <x v="2"/>
    <x v="0"/>
    <n v="16"/>
    <n v="1"/>
    <d v="2017-06-01T00:00:00"/>
    <s v="RENAULT"/>
    <s v="LOGAN"/>
    <n v="13770.77"/>
    <d v="2017-06-02T00:00:00"/>
    <n v="18"/>
    <x v="1"/>
  </r>
  <r>
    <d v="2017-06-19T00:00:00"/>
    <s v="001-00009596"/>
    <n v="1123.6679999999999"/>
    <n v="0"/>
    <n v="58.157966101694925"/>
    <n v="16.95"/>
    <n v="82.923749999999998"/>
    <n v="29.25"/>
    <n v="123.955"/>
    <n v="0"/>
    <n v="311.23671610169492"/>
    <n v="812.43128389830497"/>
    <n v="0.72301719360016037"/>
    <x v="1"/>
    <s v="LEVE"/>
    <x v="2"/>
    <x v="0"/>
    <n v="24"/>
    <n v="1"/>
    <d v="2017-05-26T00:00:00"/>
    <s v="TOYOTA"/>
    <s v="YARIS"/>
    <n v="29196.7"/>
    <d v="2017-05-29T00:00:00"/>
    <n v="2"/>
    <x v="1"/>
  </r>
  <r>
    <d v="2017-06-19T00:00:00"/>
    <s v="001-00009621"/>
    <n v="1732.1987591999998"/>
    <n v="0"/>
    <n v="0"/>
    <n v="0"/>
    <n v="14.625"/>
    <n v="175.5"/>
    <n v="263.40437500000002"/>
    <n v="0"/>
    <n v="453.52937500000002"/>
    <n v="1278.6693841999997"/>
    <n v="0.73817705815153767"/>
    <x v="1"/>
    <s v="MEDIANO"/>
    <x v="2"/>
    <x v="0"/>
    <n v="20"/>
    <n v="1"/>
    <d v="2017-05-30T00:00:00"/>
    <s v="NISSAN"/>
    <s v="VERSA"/>
    <n v="1501.24"/>
    <d v="2017-05-31T00:00:00"/>
    <n v="12"/>
    <x v="1"/>
  </r>
  <r>
    <d v="2017-06-19T00:00:00"/>
    <s v="001-00009710"/>
    <n v="1116.7828308000001"/>
    <n v="0"/>
    <n v="73.619152542372888"/>
    <n v="16.95"/>
    <n v="0"/>
    <n v="58.5"/>
    <n v="216.92125000000001"/>
    <n v="0"/>
    <n v="365.99040254237286"/>
    <n v="750.79242825762719"/>
    <n v="0.67228149247226698"/>
    <x v="1"/>
    <s v="LEVE"/>
    <x v="2"/>
    <x v="0"/>
    <n v="6"/>
    <n v="1"/>
    <d v="2017-06-13T00:00:00"/>
    <s v="HYUNDAI"/>
    <s v="ELANTRA"/>
    <n v="2632.0450000000001"/>
    <d v="2017-06-14T00:00:00"/>
    <n v="4"/>
    <x v="1"/>
  </r>
  <r>
    <d v="2017-06-19T00:00:00"/>
    <s v="001-00009696"/>
    <n v="1425.06"/>
    <n v="0"/>
    <n v="27.542372881355934"/>
    <n v="0"/>
    <n v="14.625"/>
    <n v="117"/>
    <n v="247.91"/>
    <n v="0"/>
    <n v="407.07737288135593"/>
    <n v="1017.982627118644"/>
    <n v="0.71434369578729606"/>
    <x v="1"/>
    <s v="MEDIANO"/>
    <x v="2"/>
    <x v="0"/>
    <n v="7"/>
    <n v="1"/>
    <d v="2017-06-12T00:00:00"/>
    <s v="GREAT WALL"/>
    <s v="VOLEEX"/>
    <n v="0"/>
    <d v="2017-06-13T00:00:00"/>
    <n v="8"/>
    <x v="1"/>
  </r>
  <r>
    <d v="2017-06-20T00:00:00"/>
    <s v="001-00009557"/>
    <n v="5912.16"/>
    <n v="0"/>
    <n v="265.88830508474575"/>
    <n v="0"/>
    <n v="0"/>
    <n v="321.75"/>
    <n v="650.76375000000007"/>
    <n v="0"/>
    <n v="1238.4020550847458"/>
    <n v="4673.7579449152545"/>
    <n v="0.7905330615063284"/>
    <x v="0"/>
    <s v="MEDIANO"/>
    <x v="2"/>
    <x v="0"/>
    <n v="31"/>
    <n v="1"/>
    <d v="2017-05-20T00:00:00"/>
    <s v="TOYOTA"/>
    <s v="RAV4"/>
    <n v="2531.75"/>
    <d v="2017-06-08T00:00:00"/>
    <n v="22"/>
    <x v="87"/>
  </r>
  <r>
    <d v="2017-06-20T00:00:00"/>
    <s v="001-00009721"/>
    <n v="1118.1460890000001"/>
    <n v="0"/>
    <n v="55.084745762711869"/>
    <n v="0"/>
    <n v="0"/>
    <n v="87.75"/>
    <n v="201.426875"/>
    <n v="0"/>
    <n v="344.26162076271186"/>
    <n v="773.88446823728827"/>
    <n v="0.6921139159279287"/>
    <x v="1"/>
    <s v="LEVE"/>
    <x v="2"/>
    <x v="0"/>
    <n v="6"/>
    <n v="1"/>
    <d v="2017-06-14T00:00:00"/>
    <s v="HYUNDAI"/>
    <s v="ACCENT"/>
    <n v="365.20249999999999"/>
    <d v="2017-06-15T00:00:00"/>
    <n v="6"/>
    <x v="88"/>
  </r>
  <r>
    <d v="2017-06-20T00:00:00"/>
    <s v="001-00009637"/>
    <n v="2597.1559382999999"/>
    <n v="0"/>
    <n v="61.970338983050844"/>
    <n v="16.95"/>
    <n v="29.25"/>
    <n v="263.25"/>
    <n v="371.86500000000001"/>
    <n v="0"/>
    <n v="743.28533898305091"/>
    <n v="1853.870599316949"/>
    <n v="0.71380796662152779"/>
    <x v="1"/>
    <s v="MEDIANO"/>
    <x v="2"/>
    <x v="0"/>
    <n v="19"/>
    <n v="1"/>
    <d v="2017-06-01T00:00:00"/>
    <s v="TOYOTA"/>
    <s v="COROLLA"/>
    <n v="1743.7224999999999"/>
    <d v="2017-06-06T00:00:00"/>
    <n v="18"/>
    <x v="1"/>
  </r>
  <r>
    <d v="2017-06-20T00:00:00"/>
    <s v="001-00009626"/>
    <n v="3449.8500000000004"/>
    <n v="0"/>
    <n v="37.712372881355932"/>
    <n v="16.95"/>
    <n v="155.02499999999998"/>
    <n v="234"/>
    <n v="495.82"/>
    <n v="0"/>
    <n v="939.50737288135588"/>
    <n v="2510.3426271186445"/>
    <n v="0.72766718179591694"/>
    <x v="1"/>
    <s v="MEDIANO"/>
    <x v="2"/>
    <x v="0"/>
    <n v="20"/>
    <n v="1"/>
    <d v="2017-05-31T00:00:00"/>
    <s v="NISSAN"/>
    <s v="TIIDA"/>
    <n v="7823.92"/>
    <d v="2017-06-02T00:00:00"/>
    <n v="16"/>
    <x v="1"/>
  </r>
  <r>
    <d v="2017-06-20T00:00:00"/>
    <s v="001-00009685"/>
    <n v="1171.4082087000002"/>
    <n v="0"/>
    <n v="0"/>
    <n v="0"/>
    <n v="0"/>
    <n v="131.625"/>
    <n v="216.92125000000001"/>
    <n v="0"/>
    <n v="348.54624999999999"/>
    <n v="822.86195870000017"/>
    <n v="0.70245534612839367"/>
    <x v="1"/>
    <s v="MEDIANO"/>
    <x v="2"/>
    <x v="0"/>
    <n v="11"/>
    <n v="1"/>
    <d v="2017-06-09T00:00:00"/>
    <s v="NISSAN"/>
    <s v="ALMERA"/>
    <n v="1168.2124999999999"/>
    <d v="2017-06-13T00:00:00"/>
    <n v="9"/>
    <x v="1"/>
  </r>
  <r>
    <d v="2017-06-21T00:00:00"/>
    <s v="001-00009746"/>
    <n v="450"/>
    <n v="157.50840200000002"/>
    <n v="321.13"/>
    <n v="0"/>
    <n v="39.048749999999998"/>
    <n v="0"/>
    <n v="0"/>
    <n v="0"/>
    <n v="517.68715200000008"/>
    <n v="-67.687152000000083"/>
    <n v="-0.15041589333333352"/>
    <x v="0"/>
    <s v="-"/>
    <x v="2"/>
    <x v="0"/>
    <n v="0"/>
    <n v="1"/>
    <d v="2017-06-21T00:00:00"/>
    <s v="HYUNDAI"/>
    <s v="ELANTRA"/>
    <n v="0"/>
    <d v="2017-06-21T00:00:00"/>
    <n v="0"/>
    <x v="0"/>
  </r>
  <r>
    <d v="2017-06-21T00:00:00"/>
    <s v="001-00009570"/>
    <n v="1769.04"/>
    <n v="0"/>
    <n v="75.741525423728817"/>
    <n v="0"/>
    <n v="0"/>
    <n v="160.875"/>
    <n v="309.88749999999999"/>
    <n v="0"/>
    <n v="546.50402542372876"/>
    <n v="1222.5359745762712"/>
    <n v="0.69107311003497451"/>
    <x v="1"/>
    <s v="MEDIANO"/>
    <x v="2"/>
    <x v="0"/>
    <n v="30"/>
    <n v="1"/>
    <d v="2017-05-22T00:00:00"/>
    <s v="TOYOTA"/>
    <s v="COROLLA"/>
    <n v="3395.0475000000006"/>
    <d v="2017-05-23T00:00:00"/>
    <n v="11"/>
    <x v="1"/>
  </r>
  <r>
    <d v="2017-06-21T00:00:00"/>
    <s v="001-00009408"/>
    <n v="2285.0099999999998"/>
    <n v="0"/>
    <n v="35.590000000000003"/>
    <n v="0"/>
    <n v="14.625"/>
    <n v="219.375"/>
    <n v="340.87625000000003"/>
    <n v="0"/>
    <n v="610.46625000000006"/>
    <n v="1674.5437499999998"/>
    <n v="0.73283869654837397"/>
    <x v="1"/>
    <s v="MEDIANO"/>
    <x v="2"/>
    <x v="0"/>
    <n v="56"/>
    <n v="1"/>
    <d v="2017-04-26T00:00:00"/>
    <s v="JAC"/>
    <s v="J6"/>
    <n v="4404.3024999999998"/>
    <d v="2017-04-27T00:00:00"/>
    <n v="15"/>
    <x v="1"/>
  </r>
  <r>
    <d v="2017-06-22T00:00:00"/>
    <s v="001-00009730"/>
    <n v="1704.3982800000001"/>
    <n v="0"/>
    <n v="558.89"/>
    <n v="93.22"/>
    <n v="39.048749999999998"/>
    <n v="0"/>
    <n v="0"/>
    <n v="0"/>
    <n v="691.15875000000005"/>
    <n v="1013.2395300000001"/>
    <n v="0.5944851868777995"/>
    <x v="0"/>
    <s v="-"/>
    <x v="2"/>
    <x v="0"/>
    <n v="7"/>
    <n v="1"/>
    <d v="2017-06-15T00:00:00"/>
    <s v="JAC"/>
    <s v="REFINE"/>
    <n v="1161.1599999999999"/>
    <d v="2017-06-16T00:00:00"/>
    <n v="0"/>
    <x v="89"/>
  </r>
  <r>
    <d v="2017-06-22T00:00:00"/>
    <s v="001-00009613"/>
    <n v="1917.3047688847505"/>
    <n v="0"/>
    <n v="103.28389830508476"/>
    <n v="0"/>
    <n v="0"/>
    <n v="175.5"/>
    <n v="309.88749999999999"/>
    <n v="0"/>
    <n v="588.67139830508472"/>
    <n v="1328.6333705796658"/>
    <n v="0.69296931408171458"/>
    <x v="1"/>
    <s v="MEDIANO"/>
    <x v="2"/>
    <x v="0"/>
    <n v="23"/>
    <n v="1"/>
    <d v="2017-05-30T00:00:00"/>
    <s v="MAZDA"/>
    <s v="AXELA"/>
    <n v="2847"/>
    <d v="2017-06-12T00:00:00"/>
    <n v="12"/>
    <x v="1"/>
  </r>
  <r>
    <d v="2017-06-22T00:00:00"/>
    <s v="001-00009676"/>
    <n v="1741.8074467500001"/>
    <n v="0"/>
    <n v="0"/>
    <n v="0"/>
    <n v="23.400000000000002"/>
    <n v="102.375"/>
    <n v="325.38187500000004"/>
    <n v="0"/>
    <n v="451.15687500000001"/>
    <n v="1290.6505717499999"/>
    <n v="0.74098349628611149"/>
    <x v="1"/>
    <s v="MEDIANO"/>
    <x v="2"/>
    <x v="0"/>
    <n v="15"/>
    <n v="1"/>
    <d v="2017-06-07T00:00:00"/>
    <s v="KIA"/>
    <s v="RIO"/>
    <n v="9111.2450000000008"/>
    <d v="2017-06-13T00:00:00"/>
    <n v="7"/>
    <x v="1"/>
  </r>
  <r>
    <d v="2017-06-23T00:00:00"/>
    <s v="001-00009587"/>
    <n v="4030.7879750933907"/>
    <n v="0"/>
    <n v="0"/>
    <n v="32.200000000000003"/>
    <n v="53.673749999999998"/>
    <n v="380.25"/>
    <n v="387.359375"/>
    <n v="0"/>
    <n v="853.48312499999997"/>
    <n v="3177.304850093391"/>
    <n v="0.78825898800091931"/>
    <x v="1"/>
    <s v="GRAVE"/>
    <x v="2"/>
    <x v="0"/>
    <n v="29"/>
    <n v="1"/>
    <d v="2017-05-25T00:00:00"/>
    <s v="KIA"/>
    <s v="RIO"/>
    <n v="16597.424999999999"/>
    <d v="2017-05-26T00:00:00"/>
    <n v="26"/>
    <x v="1"/>
  </r>
  <r>
    <d v="2017-06-23T00:00:00"/>
    <s v="001-00009664"/>
    <n v="4564.3551521154204"/>
    <n v="0"/>
    <n v="75.741525423728817"/>
    <n v="16.95"/>
    <n v="0"/>
    <n v="438.75"/>
    <n v="650.76375000000007"/>
    <n v="0"/>
    <n v="1182.2052754237288"/>
    <n v="3382.1498766916916"/>
    <n v="0.74099182994648927"/>
    <x v="1"/>
    <s v="GRAVE"/>
    <x v="2"/>
    <x v="0"/>
    <n v="18"/>
    <n v="1"/>
    <d v="2017-06-05T00:00:00"/>
    <s v="KIA"/>
    <s v="RIO"/>
    <n v="10581.317499999999"/>
    <d v="2017-06-07T00:00:00"/>
    <n v="30"/>
    <x v="1"/>
  </r>
  <r>
    <d v="2017-06-23T00:00:00"/>
    <s v="001-00009708"/>
    <n v="1295.3550194254199"/>
    <n v="0"/>
    <n v="13.771186440677967"/>
    <n v="50.85"/>
    <n v="43.875"/>
    <n v="58.5"/>
    <n v="154.94374999999999"/>
    <n v="0"/>
    <n v="321.93993644067797"/>
    <n v="973.41508298474196"/>
    <n v="0.75146586718482733"/>
    <x v="1"/>
    <s v="LEVE"/>
    <x v="2"/>
    <x v="0"/>
    <n v="11"/>
    <n v="1"/>
    <d v="2017-06-12T00:00:00"/>
    <s v="KIA"/>
    <s v="RIO"/>
    <n v="5625.8474999999999"/>
    <d v="2017-06-13T00:00:00"/>
    <n v="4"/>
    <x v="1"/>
  </r>
  <r>
    <d v="2017-06-23T00:00:00"/>
    <s v="001-00009598"/>
    <n v="4891.5875867355899"/>
    <n v="0"/>
    <n v="0"/>
    <n v="0"/>
    <n v="9.6524999999999999"/>
    <n v="658.125"/>
    <n v="511.31437500000004"/>
    <n v="227.5"/>
    <n v="1406.5918750000001"/>
    <n v="3484.9957117355898"/>
    <n v="0.71244675679237057"/>
    <x v="1"/>
    <s v="GRAVE"/>
    <x v="2"/>
    <x v="0"/>
    <n v="28"/>
    <n v="1"/>
    <d v="2017-05-26T00:00:00"/>
    <s v="NISSAN"/>
    <s v="SENTRA"/>
    <n v="16456.439999999999"/>
    <d v="2017-05-30T00:00:00"/>
    <n v="45"/>
    <x v="90"/>
  </r>
  <r>
    <d v="2017-06-23T00:00:00"/>
    <s v="001-00009735"/>
    <n v="1175.37160115508"/>
    <n v="0"/>
    <n v="82.627118644067792"/>
    <n v="0"/>
    <n v="0"/>
    <n v="117"/>
    <n v="123.955"/>
    <n v="0"/>
    <n v="323.5821186440678"/>
    <n v="851.78948251101224"/>
    <n v="0.72469802883949896"/>
    <x v="1"/>
    <s v="LEVE"/>
    <x v="2"/>
    <x v="0"/>
    <n v="4"/>
    <n v="1"/>
    <d v="2017-06-19T00:00:00"/>
    <s v="HYUNDAI"/>
    <s v="CRETA"/>
    <n v="4385.1274999999996"/>
    <d v="2017-06-19T00:00:00"/>
    <n v="8"/>
    <x v="91"/>
  </r>
  <r>
    <d v="2017-06-23T00:00:00"/>
    <s v="001-00009690"/>
    <n v="1314.4225252499998"/>
    <n v="0"/>
    <n v="82.627118644067806"/>
    <n v="0"/>
    <n v="0"/>
    <n v="73.125"/>
    <n v="201.426875"/>
    <n v="0"/>
    <n v="357.17899364406782"/>
    <n v="957.24353160593205"/>
    <n v="0.72826166108486823"/>
    <x v="1"/>
    <s v="LEVE"/>
    <x v="2"/>
    <x v="0"/>
    <n v="13"/>
    <n v="1"/>
    <d v="2017-06-10T00:00:00"/>
    <s v="CHEVROLET"/>
    <s v="SAIL"/>
    <n v="1626.6575"/>
    <d v="2017-06-13T00:00:00"/>
    <n v="5"/>
    <x v="1"/>
  </r>
  <r>
    <d v="2017-06-23T00:00:00"/>
    <s v="001-00009741"/>
    <n v="1749.1717520491502"/>
    <n v="0"/>
    <n v="34.427966101694921"/>
    <n v="0"/>
    <n v="0"/>
    <n v="234"/>
    <n v="201.426875"/>
    <n v="0"/>
    <n v="469.85484110169489"/>
    <n v="1279.3169109474552"/>
    <n v="0.73138438775308301"/>
    <x v="1"/>
    <s v="MEDIANO"/>
    <x v="2"/>
    <x v="0"/>
    <n v="3"/>
    <n v="1"/>
    <d v="2017-06-20T00:00:00"/>
    <s v="RENAULT"/>
    <s v="LOGAN"/>
    <n v="276.25"/>
    <d v="2017-06-20T00:00:00"/>
    <n v="16"/>
    <x v="1"/>
  </r>
  <r>
    <d v="2017-06-23T00:00:00"/>
    <s v="001-00009686"/>
    <n v="2782.5965045940702"/>
    <n v="0"/>
    <n v="110.16949152542374"/>
    <n v="0"/>
    <n v="38.025000000000006"/>
    <n v="234"/>
    <n v="449.33687499999996"/>
    <n v="0"/>
    <n v="831.53136652542366"/>
    <n v="1951.0651380686465"/>
    <n v="0.70116710591975362"/>
    <x v="1"/>
    <s v="MEDIANO"/>
    <x v="2"/>
    <x v="0"/>
    <n v="14"/>
    <n v="1"/>
    <d v="2017-06-09T00:00:00"/>
    <s v="RENAULT"/>
    <s v="LOGAN"/>
    <n v="4269.7849999999999"/>
    <d v="2017-06-13T00:00:00"/>
    <n v="16"/>
    <x v="1"/>
  </r>
  <r>
    <d v="2017-06-26T00:00:00"/>
    <s v="001-00009717"/>
    <n v="3260.0000000000005"/>
    <n v="0"/>
    <n v="127.22508474576271"/>
    <n v="16.95"/>
    <n v="14.625"/>
    <n v="365.625"/>
    <n v="464.83125000000001"/>
    <n v="0"/>
    <n v="989.25633474576262"/>
    <n v="2270.7436652542378"/>
    <n v="0.69654713658105449"/>
    <x v="1"/>
    <s v="MEDIANO"/>
    <x v="2"/>
    <x v="0"/>
    <n v="12"/>
    <n v="1"/>
    <d v="2017-06-14T00:00:00"/>
    <s v="TOYOTA"/>
    <s v="YARIS"/>
    <n v="6058.3575000000001"/>
    <d v="2017-06-15T00:00:00"/>
    <n v="25"/>
    <x v="92"/>
  </r>
  <r>
    <d v="2017-06-26T00:00:00"/>
    <s v="001-00009744"/>
    <n v="1828.86"/>
    <n v="0"/>
    <n v="27.542372881355934"/>
    <n v="0"/>
    <n v="14.625"/>
    <n v="204.75"/>
    <n v="294.393125"/>
    <n v="0"/>
    <n v="541.3104978813559"/>
    <n v="1287.5495021186439"/>
    <n v="0.70401753120449018"/>
    <x v="2"/>
    <s v="MEDIANO"/>
    <x v="2"/>
    <x v="0"/>
    <n v="5"/>
    <n v="1"/>
    <d v="2017-06-21T00:00:00"/>
    <s v="SUZUKI"/>
    <s v="SWIFT"/>
    <n v="0"/>
    <d v="2017-06-20T00:00:00"/>
    <n v="14"/>
    <x v="2"/>
  </r>
  <r>
    <d v="2017-06-26T00:00:00"/>
    <s v="001-00009704"/>
    <n v="2400.1887246000001"/>
    <n v="0"/>
    <n v="44.597966101694922"/>
    <n v="81.25"/>
    <n v="23.400000000000002"/>
    <n v="204.75"/>
    <n v="402.85374999999999"/>
    <n v="0"/>
    <n v="756.85171610169493"/>
    <n v="1643.3370084983053"/>
    <n v="0.68466991435107805"/>
    <x v="1"/>
    <s v="MEDIANO"/>
    <x v="2"/>
    <x v="0"/>
    <n v="14"/>
    <n v="1"/>
    <d v="2017-06-12T00:00:00"/>
    <s v="VOLKSWAGEN"/>
    <s v="GOL"/>
    <n v="7320.6575000000012"/>
    <d v="2017-06-13T00:00:00"/>
    <n v="14"/>
    <x v="1"/>
  </r>
  <r>
    <d v="2017-06-27T00:00:00"/>
    <s v="001-00009209"/>
    <n v="2582.1805123296599"/>
    <n v="0"/>
    <n v="0"/>
    <n v="0"/>
    <n v="24.423749999999998"/>
    <n v="175.5"/>
    <n v="508.21549999999996"/>
    <n v="0"/>
    <n v="708.13924999999995"/>
    <n v="1874.04126232966"/>
    <n v="0.72575919978533487"/>
    <x v="1"/>
    <s v="MEDIANO"/>
    <x v="2"/>
    <x v="0"/>
    <n v="92"/>
    <n v="1"/>
    <d v="2017-03-27T00:00:00"/>
    <s v="VOLKSWAGEN"/>
    <s v="GOL"/>
    <n v="3406.2599999999998"/>
    <d v="2017-03-22T00:00:00"/>
    <n v="12"/>
    <x v="1"/>
  </r>
  <r>
    <d v="2017-06-27T00:00:00"/>
    <s v="001-00009740"/>
    <n v="1676.3250515"/>
    <n v="0"/>
    <n v="0"/>
    <n v="0"/>
    <n v="0"/>
    <n v="131.625"/>
    <n v="309.88749999999999"/>
    <n v="0"/>
    <n v="441.51249999999999"/>
    <n v="1234.8125514999999"/>
    <n v="0.73661880217984677"/>
    <x v="1"/>
    <s v="MEDIANO"/>
    <x v="2"/>
    <x v="0"/>
    <n v="8"/>
    <n v="1"/>
    <d v="2017-06-19T00:00:00"/>
    <s v="KIA"/>
    <s v="CERATO"/>
    <n v="4995.3149999999996"/>
    <d v="2017-06-20T00:00:00"/>
    <n v="9"/>
    <x v="1"/>
  </r>
  <r>
    <d v="2017-06-27T00:00:00"/>
    <s v="001-00009640"/>
    <n v="2195.148969690179"/>
    <n v="0"/>
    <n v="34.427966101694921"/>
    <n v="0"/>
    <n v="0"/>
    <n v="204.75"/>
    <n v="387.359375"/>
    <n v="0"/>
    <n v="626.53734110169489"/>
    <n v="1568.6116285884841"/>
    <n v="0.71458094655410853"/>
    <x v="1"/>
    <s v="MEDIANO"/>
    <x v="2"/>
    <x v="0"/>
    <n v="25"/>
    <n v="1"/>
    <d v="2017-06-02T00:00:00"/>
    <s v="BYD"/>
    <s v="F3GL"/>
    <n v="1426.75"/>
    <d v="2017-06-06T00:00:00"/>
    <n v="14"/>
    <x v="1"/>
  </r>
  <r>
    <d v="2017-06-29T00:00:00"/>
    <s v="001-00009749"/>
    <n v="1012.441372530008"/>
    <n v="0"/>
    <n v="0"/>
    <n v="0"/>
    <n v="0"/>
    <n v="117"/>
    <n v="139.449375"/>
    <n v="0"/>
    <n v="256.44937500000003"/>
    <n v="755.99199753000801"/>
    <n v="0.74670199978182039"/>
    <x v="1"/>
    <s v="LEVE"/>
    <x v="2"/>
    <x v="0"/>
    <n v="8"/>
    <n v="1"/>
    <d v="2017-06-21T00:00:00"/>
    <s v="KIA"/>
    <s v="CERATO"/>
    <n v="2417.1875"/>
    <d v="2017-06-23T00:00:00"/>
    <n v="8"/>
    <x v="1"/>
  </r>
  <r>
    <d v="2017-06-29T00:00:00"/>
    <s v="001-00009798"/>
    <n v="350"/>
    <n v="88.340398699999994"/>
    <n v="0"/>
    <n v="0"/>
    <n v="39.048749999999998"/>
    <n v="0"/>
    <n v="0"/>
    <n v="0"/>
    <n v="127.38914869999999"/>
    <n v="222.61085130000001"/>
    <n v="0.63603100371428578"/>
    <x v="0"/>
    <s v="-"/>
    <x v="2"/>
    <x v="0"/>
    <n v="0"/>
    <n v="1"/>
    <d v="2017-06-29T00:00:00"/>
    <s v="SUZUKI"/>
    <s v="APV"/>
    <n v="0"/>
    <d v="2017-06-29T00:00:00"/>
    <n v="0"/>
    <x v="93"/>
  </r>
  <r>
    <d v="2017-06-30T00:00:00"/>
    <s v="001-00009751"/>
    <n v="1175.1377163575401"/>
    <n v="313.16359999999997"/>
    <n v="312.6825"/>
    <n v="0"/>
    <n v="0"/>
    <n v="87.75"/>
    <n v="201.426875"/>
    <n v="0"/>
    <n v="915.02297499999997"/>
    <n v="260.11474135754008"/>
    <n v="0.22134830474490463"/>
    <x v="0"/>
    <s v="LEVE"/>
    <x v="2"/>
    <x v="0"/>
    <n v="8"/>
    <n v="1"/>
    <d v="2017-06-22T00:00:00"/>
    <s v="SUZUKI"/>
    <s v="APV"/>
    <n v="0"/>
    <d v="2017-06-22T00:00:00"/>
    <n v="6"/>
    <x v="94"/>
  </r>
  <r>
    <d v="2017-06-30T00:00:00"/>
    <s v="001-00009734"/>
    <n v="3299.0529784033911"/>
    <n v="0"/>
    <n v="0"/>
    <n v="0"/>
    <n v="0"/>
    <n v="380.25"/>
    <n v="480.32562499999995"/>
    <n v="0"/>
    <n v="860.57562499999995"/>
    <n v="2438.4773534033911"/>
    <n v="0.73914464828737492"/>
    <x v="1"/>
    <s v="GRAVE"/>
    <x v="2"/>
    <x v="0"/>
    <n v="11"/>
    <n v="1"/>
    <d v="2017-06-19T00:00:00"/>
    <s v="SUZUKI"/>
    <s v="APV"/>
    <n v="247.16249999999999"/>
    <d v="2017-06-19T00:00:00"/>
    <n v="26"/>
    <x v="94"/>
  </r>
  <r>
    <d v="2017-06-30T00:00:00"/>
    <s v="001-00009790"/>
    <n v="704.23847613558985"/>
    <n v="0"/>
    <n v="27.542372881355934"/>
    <n v="0"/>
    <n v="0"/>
    <n v="14.625"/>
    <n v="61.977499999999999"/>
    <n v="0"/>
    <n v="104.14487288135592"/>
    <n v="600.09360325423393"/>
    <n v="0.8521170364720253"/>
    <x v="0"/>
    <s v="LEVE"/>
    <x v="2"/>
    <x v="0"/>
    <n v="2"/>
    <n v="1"/>
    <d v="2017-06-28T00:00:00"/>
    <s v="SUZUKI"/>
    <s v="GRAND NOMADE"/>
    <n v="179.6275"/>
    <d v="2017-06-28T00:00:00"/>
    <n v="1"/>
    <x v="95"/>
  </r>
  <r>
    <d v="2017-06-30T00:00:00"/>
    <s v="001-00009739"/>
    <n v="1575.4200484000003"/>
    <n v="0"/>
    <n v="0"/>
    <n v="0"/>
    <n v="0"/>
    <n v="117"/>
    <n v="309.88749999999999"/>
    <n v="0"/>
    <n v="426.88749999999999"/>
    <n v="1148.5325484000002"/>
    <n v="0.72903258376485192"/>
    <x v="1"/>
    <s v="LEVE"/>
    <x v="2"/>
    <x v="0"/>
    <n v="11"/>
    <n v="1"/>
    <d v="2017-06-19T00:00:00"/>
    <s v="SUZUKI"/>
    <s v="GRAND NOMADE"/>
    <n v="4608.9225000000006"/>
    <d v="2017-06-23T00:00:00"/>
    <n v="8"/>
    <x v="95"/>
  </r>
  <r>
    <d v="2017-06-30T00:00:00"/>
    <s v="001-00009384"/>
    <n v="1623.44497087542"/>
    <n v="0"/>
    <n v="161.11470466101696"/>
    <n v="0"/>
    <n v="14.625"/>
    <n v="146.25"/>
    <n v="201.426875"/>
    <n v="0"/>
    <n v="523.41657966101695"/>
    <n v="1100.0283912144032"/>
    <n v="0.67758896109747913"/>
    <x v="1"/>
    <s v="MEDIANO"/>
    <x v="2"/>
    <x v="0"/>
    <n v="67"/>
    <n v="1"/>
    <d v="2017-04-24T00:00:00"/>
    <s v="HONDA"/>
    <s v="ACCORD"/>
    <n v="4917.9975000000004"/>
    <d v="2017-04-25T00:00:00"/>
    <n v="10"/>
    <x v="1"/>
  </r>
  <r>
    <d v="2017-06-30T00:00:00"/>
    <s v="001-00009753"/>
    <n v="1827.21351063559"/>
    <n v="0"/>
    <n v="0"/>
    <n v="0"/>
    <n v="0"/>
    <n v="219.375"/>
    <n v="253.48797500000001"/>
    <n v="0"/>
    <n v="472.86297500000001"/>
    <n v="1354.3505356355899"/>
    <n v="0.74121088080422726"/>
    <x v="1"/>
    <s v="MEDIANO"/>
    <x v="2"/>
    <x v="0"/>
    <n v="8"/>
    <n v="1"/>
    <d v="2017-06-22T00:00:00"/>
    <s v="MAZDA"/>
    <s v="MAZDA 3"/>
    <n v="2273.6025"/>
    <d v="2017-06-24T00:00:00"/>
    <n v="15"/>
    <x v="1"/>
  </r>
  <r>
    <d v="2017-06-30T00:00:00"/>
    <s v="001-00009736"/>
    <n v="4679.0626437500005"/>
    <n v="0"/>
    <n v="137.7171186440678"/>
    <n v="135.6"/>
    <n v="102.375"/>
    <n v="497.25"/>
    <n v="495.82"/>
    <n v="48.75"/>
    <n v="1417.5121186440679"/>
    <n v="3261.5505251059326"/>
    <n v="0.69705211779169229"/>
    <x v="1"/>
    <s v="GRAVE"/>
    <x v="2"/>
    <x v="0"/>
    <n v="11"/>
    <n v="1"/>
    <d v="2017-06-19T00:00:00"/>
    <s v="NISSAN"/>
    <s v="TIIDA"/>
    <n v="5493.7674999999999"/>
    <d v="2017-06-20T00:00:00"/>
    <n v="34"/>
    <x v="1"/>
  </r>
  <r>
    <d v="2017-06-30T00:00:00"/>
    <s v="001-00009781"/>
    <n v="1103.3900276533102"/>
    <n v="0"/>
    <n v="103.28389830508476"/>
    <n v="16.95"/>
    <n v="0"/>
    <n v="87.75"/>
    <n v="247.91"/>
    <n v="0"/>
    <n v="455.8938983050848"/>
    <n v="647.4961293482254"/>
    <n v="0.58682434417621132"/>
    <x v="0"/>
    <s v="LEVE"/>
    <x v="2"/>
    <x v="0"/>
    <n v="3"/>
    <n v="1"/>
    <d v="2017-06-27T00:00:00"/>
    <s v="TOYOTA"/>
    <s v="RAV4"/>
    <n v="0"/>
    <d v="2017-06-27T00:00:00"/>
    <n v="6"/>
    <x v="96"/>
  </r>
  <r>
    <d v="2017-06-30T00:00:00"/>
    <s v="001-00009775"/>
    <n v="1367.100042"/>
    <n v="0"/>
    <n v="0"/>
    <n v="0"/>
    <n v="0"/>
    <n v="117"/>
    <n v="185.9325"/>
    <n v="0"/>
    <n v="302.9325"/>
    <n v="1064.1675420000001"/>
    <n v="0.77841233948261424"/>
    <x v="1"/>
    <s v="MEDIANO"/>
    <x v="2"/>
    <x v="0"/>
    <n v="4"/>
    <n v="1"/>
    <d v="2017-06-26T00:00:00"/>
    <s v="TOYOTA"/>
    <s v="RAV4"/>
    <n v="0"/>
    <d v="2017-06-28T00:00:00"/>
    <n v="8"/>
    <x v="96"/>
  </r>
  <r>
    <d v="2017-06-30T00:00:00"/>
    <s v="001-00009718"/>
    <n v="3748.684305116949"/>
    <n v="0"/>
    <n v="68.855932203389841"/>
    <n v="16.95"/>
    <n v="0"/>
    <n v="380.25"/>
    <n v="433.84250000000003"/>
    <n v="0"/>
    <n v="899.8984322033898"/>
    <n v="2848.7858729135592"/>
    <n v="0.75994286022564517"/>
    <x v="1"/>
    <s v="GRAVE"/>
    <x v="2"/>
    <x v="0"/>
    <n v="16"/>
    <n v="1"/>
    <d v="2017-06-14T00:00:00"/>
    <s v="SUZUKI"/>
    <s v="CIAZ"/>
    <n v="3772.3724999999999"/>
    <d v="2017-06-15T00:00:00"/>
    <n v="26"/>
    <x v="97"/>
  </r>
  <r>
    <d v="2017-07-01T00:00:00"/>
    <s v="001-00009677"/>
    <n v="875.42967289492003"/>
    <n v="0"/>
    <n v="34.427966101694921"/>
    <n v="0"/>
    <n v="43.875"/>
    <n v="58.5"/>
    <n v="123.955"/>
    <n v="0"/>
    <n v="260.75796610169493"/>
    <n v="614.6717067932251"/>
    <n v="0.70213716284095573"/>
    <x v="1"/>
    <s v="LEVE"/>
    <x v="3"/>
    <x v="0"/>
    <n v="24"/>
    <n v="1"/>
    <d v="2017-06-07T00:00:00"/>
    <s v="NISSAN"/>
    <s v="TIIDA"/>
    <n v="6646.3149999999996"/>
    <d v="2017-06-19T00:00:00"/>
    <n v="4"/>
    <x v="1"/>
  </r>
  <r>
    <d v="2017-07-03T00:00:00"/>
    <s v="001-00009693"/>
    <n v="695.76994237541999"/>
    <n v="0"/>
    <n v="20.656779661016948"/>
    <n v="0"/>
    <n v="0"/>
    <n v="58.5"/>
    <n v="139.449375"/>
    <n v="0"/>
    <n v="218.60615466101694"/>
    <n v="477.16378771440304"/>
    <n v="0.68580684311444062"/>
    <x v="1"/>
    <s v="LEVE"/>
    <x v="3"/>
    <x v="0"/>
    <n v="21"/>
    <n v="1"/>
    <d v="2017-06-12T00:00:00"/>
    <s v="KIA"/>
    <s v="SOUL"/>
    <n v="3412.6949999999997"/>
    <d v="2017-06-13T00:00:00"/>
    <n v="4"/>
    <x v="98"/>
  </r>
  <r>
    <d v="2017-07-03T00:00:00"/>
    <s v="001-00009823"/>
    <n v="350"/>
    <n v="76.565199750000005"/>
    <n v="0"/>
    <n v="0"/>
    <n v="39.048749999999998"/>
    <n v="0"/>
    <n v="0"/>
    <n v="0"/>
    <n v="115.61394975"/>
    <n v="234.38605024999998"/>
    <n v="0.66967442928571419"/>
    <x v="0"/>
    <s v="-"/>
    <x v="3"/>
    <x v="0"/>
    <n v="1"/>
    <n v="1"/>
    <d v="2017-07-02T00:00:00"/>
    <s v="BYD"/>
    <s v="S6"/>
    <n v="0"/>
    <d v="2017-07-03T00:00:00"/>
    <n v="0"/>
    <x v="99"/>
  </r>
  <r>
    <d v="2017-07-03T00:00:00"/>
    <s v="001-00009755"/>
    <n v="1444.4199653754199"/>
    <n v="0"/>
    <n v="61.970338983050844"/>
    <n v="0"/>
    <n v="0"/>
    <n v="117"/>
    <n v="247.91"/>
    <n v="0"/>
    <n v="426.88033898305082"/>
    <n v="1017.5396263923691"/>
    <n v="0.70446244913812162"/>
    <x v="1"/>
    <s v="LEVE"/>
    <x v="3"/>
    <x v="0"/>
    <n v="11"/>
    <n v="1"/>
    <d v="2017-06-22T00:00:00"/>
    <s v="KIA"/>
    <s v="CARENS"/>
    <n v="28.372500000000002"/>
    <d v="2017-06-27T00:00:00"/>
    <n v="8"/>
    <x v="1"/>
  </r>
  <r>
    <d v="2017-07-04T00:00:00"/>
    <s v="001-00009748"/>
    <n v="1239.393"/>
    <n v="0"/>
    <n v="0"/>
    <n v="0"/>
    <n v="0"/>
    <n v="117"/>
    <n v="185.9325"/>
    <n v="0"/>
    <n v="302.9325"/>
    <n v="936.46050000000002"/>
    <n v="0.75557994921707639"/>
    <x v="2"/>
    <s v="MEDIANO"/>
    <x v="3"/>
    <x v="0"/>
    <n v="13"/>
    <n v="1"/>
    <d v="2017-06-21T00:00:00"/>
    <s v="SUZUKI"/>
    <s v="S CROSS"/>
    <n v="81.314999999999998"/>
    <d v="2017-06-23T00:00:00"/>
    <n v="8"/>
    <x v="2"/>
  </r>
  <r>
    <d v="2017-07-04T00:00:00"/>
    <s v="001-00009764"/>
    <n v="180.54150000000004"/>
    <n v="0"/>
    <n v="103.28389830508473"/>
    <n v="0"/>
    <n v="0"/>
    <n v="14.625"/>
    <n v="30.98875"/>
    <n v="0"/>
    <n v="148.89764830508474"/>
    <n v="31.643851694915298"/>
    <n v="0.17527189978434482"/>
    <x v="2"/>
    <s v="LEVE"/>
    <x v="3"/>
    <x v="0"/>
    <n v="11"/>
    <n v="1"/>
    <d v="2017-06-23T00:00:00"/>
    <s v="SUZUKI"/>
    <s v="S CROSS"/>
    <n v="861.86749999999995"/>
    <d v="2017-06-23T00:00:00"/>
    <n v="1"/>
    <x v="2"/>
  </r>
  <r>
    <d v="2017-07-04T00:00:00"/>
    <s v="001-00009706"/>
    <n v="569.27500000000009"/>
    <n v="0"/>
    <n v="0"/>
    <n v="0"/>
    <n v="0"/>
    <n v="0"/>
    <n v="0"/>
    <n v="0"/>
    <n v="0"/>
    <n v="569.27500000000009"/>
    <n v="1"/>
    <x v="1"/>
    <s v="MEDIANO"/>
    <x v="3"/>
    <x v="0"/>
    <n v="22"/>
    <n v="1"/>
    <d v="2017-06-12T00:00:00"/>
    <s v="RENAULT"/>
    <s v="OROCH"/>
    <n v="788.28750000000002"/>
    <d v="2017-06-13T00:00:00"/>
    <n v="0"/>
    <x v="1"/>
  </r>
  <r>
    <d v="2017-07-04T00:00:00"/>
    <s v="001-00009774"/>
    <n v="1385.6400728000003"/>
    <n v="0"/>
    <n v="0"/>
    <n v="0"/>
    <n v="0"/>
    <n v="102.375"/>
    <n v="185.9325"/>
    <n v="0"/>
    <n v="288.3075"/>
    <n v="1097.3325728000004"/>
    <n v="0.79193189800190378"/>
    <x v="1"/>
    <s v="LEVE"/>
    <x v="3"/>
    <x v="0"/>
    <n v="8"/>
    <n v="1"/>
    <d v="2017-06-26T00:00:00"/>
    <s v="SUZUKI"/>
    <s v="SWIFT"/>
    <n v="547.23500000000001"/>
    <d v="2017-06-26T00:00:00"/>
    <n v="7"/>
    <x v="1"/>
  </r>
  <r>
    <d v="2017-07-05T00:00:00"/>
    <s v="001-00009754"/>
    <n v="849.59254352288008"/>
    <n v="0"/>
    <n v="0"/>
    <n v="16.95"/>
    <n v="0"/>
    <n v="102.375"/>
    <n v="139.449375"/>
    <n v="0"/>
    <n v="258.77437500000002"/>
    <n v="590.81816852288011"/>
    <n v="0.69541355209289102"/>
    <x v="1"/>
    <s v="LEVE"/>
    <x v="3"/>
    <x v="0"/>
    <n v="13"/>
    <n v="1"/>
    <d v="2017-06-22T00:00:00"/>
    <s v="VOLKSWAGEN"/>
    <s v="VOYAGE"/>
    <n v="2310.1"/>
    <d v="2017-06-24T00:00:00"/>
    <n v="7"/>
    <x v="100"/>
  </r>
  <r>
    <d v="2017-07-05T00:00:00"/>
    <s v="001-00009777"/>
    <n v="928.5299715000001"/>
    <n v="0"/>
    <n v="34.427966101694921"/>
    <n v="0"/>
    <n v="0"/>
    <n v="73.125"/>
    <n v="123.955"/>
    <n v="0"/>
    <n v="231.50796610169493"/>
    <n v="697.02200539830517"/>
    <n v="0.75067259732316038"/>
    <x v="1"/>
    <s v="LEVE"/>
    <x v="3"/>
    <x v="0"/>
    <n v="9"/>
    <n v="1"/>
    <d v="2017-06-26T00:00:00"/>
    <s v="KIA"/>
    <s v="RIO"/>
    <n v="137.1825"/>
    <d v="2017-06-28T00:00:00"/>
    <n v="5"/>
    <x v="101"/>
  </r>
  <r>
    <d v="2017-07-05T00:00:00"/>
    <s v="001-00009805"/>
    <n v="358.37998900000002"/>
    <n v="0"/>
    <n v="68.855932203389841"/>
    <n v="0"/>
    <n v="0"/>
    <n v="14.625"/>
    <n v="61.977499999999999"/>
    <n v="0"/>
    <n v="145.45843220338983"/>
    <n v="212.92155679661019"/>
    <n v="0.59412233755219568"/>
    <x v="0"/>
    <s v="LEVE"/>
    <x v="3"/>
    <x v="0"/>
    <n v="6"/>
    <n v="1"/>
    <d v="2017-06-29T00:00:00"/>
    <s v="KIA"/>
    <s v="RIO"/>
    <n v="0"/>
    <d v="2017-06-30T00:00:00"/>
    <n v="1"/>
    <x v="101"/>
  </r>
  <r>
    <d v="2017-07-05T00:00:00"/>
    <s v="001-00009818"/>
    <n v="502.33927578136002"/>
    <n v="0"/>
    <n v="0"/>
    <n v="0"/>
    <n v="0"/>
    <n v="14.625"/>
    <n v="123.955"/>
    <n v="0"/>
    <n v="138.57999999999998"/>
    <n v="363.75927578136003"/>
    <n v="0.72413066889017041"/>
    <x v="1"/>
    <s v="LEVE"/>
    <x v="3"/>
    <x v="0"/>
    <n v="2"/>
    <n v="1"/>
    <d v="2017-07-03T00:00:00"/>
    <s v="TOYOTA"/>
    <s v="AVANZA"/>
    <n v="0"/>
    <d v="2017-07-03T00:00:00"/>
    <n v="1"/>
    <x v="1"/>
  </r>
  <r>
    <d v="2017-07-05T00:00:00"/>
    <s v="001-00009725"/>
    <n v="3826.0563793844094"/>
    <n v="0"/>
    <n v="0"/>
    <n v="0"/>
    <n v="0"/>
    <n v="468"/>
    <n v="635.26937499999997"/>
    <n v="0"/>
    <n v="1103.2693749999999"/>
    <n v="2722.7870043844096"/>
    <n v="0.71164319978538593"/>
    <x v="1"/>
    <s v="GRAVE"/>
    <x v="3"/>
    <x v="0"/>
    <n v="20"/>
    <n v="1"/>
    <d v="2017-06-15T00:00:00"/>
    <s v="TOYOTA"/>
    <s v="YARIS"/>
    <n v="6217.12"/>
    <d v="2017-06-16T00:00:00"/>
    <n v="32"/>
    <x v="1"/>
  </r>
  <r>
    <d v="2017-07-06T00:00:00"/>
    <s v="001-00009832"/>
    <n v="2265"/>
    <n v="843.90840244999993"/>
    <n v="0"/>
    <n v="29.66"/>
    <n v="39.048749999999998"/>
    <n v="0"/>
    <n v="0"/>
    <n v="0"/>
    <n v="912.61715244999994"/>
    <n v="1352.38284755"/>
    <n v="0.59707851988962468"/>
    <x v="0"/>
    <s v="-"/>
    <x v="3"/>
    <x v="0"/>
    <n v="2"/>
    <n v="1"/>
    <d v="2017-07-04T00:00:00"/>
    <s v="SUZUKI"/>
    <s v="APV"/>
    <n v="1142.96"/>
    <d v="2017-07-04T00:00:00"/>
    <n v="0"/>
    <x v="102"/>
  </r>
  <r>
    <d v="2017-07-07T00:00:00"/>
    <s v="001-00009835"/>
    <n v="579.63558672289992"/>
    <n v="0"/>
    <n v="0"/>
    <n v="0"/>
    <n v="0"/>
    <n v="65.8125"/>
    <n v="123.955"/>
    <n v="0"/>
    <n v="189.76749999999998"/>
    <n v="389.86808672289993"/>
    <n v="0.67260895578738844"/>
    <x v="0"/>
    <s v="LEVE"/>
    <x v="3"/>
    <x v="0"/>
    <n v="4"/>
    <n v="1"/>
    <d v="2017-07-03T00:00:00"/>
    <s v="HYUNDAI"/>
    <s v="ACCENT"/>
    <n v="0"/>
    <d v="2017-07-04T00:00:00"/>
    <n v="4.5"/>
    <x v="103"/>
  </r>
  <r>
    <d v="2017-07-07T00:00:00"/>
    <s v="001-00009841"/>
    <n v="668.2093769999999"/>
    <n v="0"/>
    <n v="34.427966101694921"/>
    <n v="0"/>
    <n v="0"/>
    <n v="29.25"/>
    <n v="123.955"/>
    <n v="0"/>
    <n v="187.63296610169493"/>
    <n v="480.57641089830497"/>
    <n v="0.7192003396538762"/>
    <x v="1"/>
    <s v="LEVE"/>
    <x v="3"/>
    <x v="0"/>
    <n v="3"/>
    <n v="1"/>
    <d v="2017-07-04T00:00:00"/>
    <s v="HYUNDAI"/>
    <s v="ACCENT"/>
    <n v="0"/>
    <d v="2017-07-05T00:00:00"/>
    <n v="2"/>
    <x v="1"/>
  </r>
  <r>
    <d v="2017-07-08T00:00:00"/>
    <s v="001-00009782"/>
    <n v="800.57237957457971"/>
    <n v="0"/>
    <n v="0"/>
    <n v="0"/>
    <n v="7.3125"/>
    <n v="58.5"/>
    <n v="139.449375"/>
    <n v="0"/>
    <n v="205.261875"/>
    <n v="595.31050457457968"/>
    <n v="0.74360609953958789"/>
    <x v="1"/>
    <s v="LEVE"/>
    <x v="3"/>
    <x v="0"/>
    <n v="11"/>
    <n v="1"/>
    <d v="2017-06-27T00:00:00"/>
    <s v="NISSAN"/>
    <s v="VERSA"/>
    <n v="2183.9675000000002"/>
    <d v="2017-06-30T00:00:00"/>
    <n v="4"/>
    <x v="48"/>
  </r>
  <r>
    <d v="2017-07-08T00:00:00"/>
    <s v="001-00009820"/>
    <n v="682.70997899999998"/>
    <n v="0"/>
    <n v="0"/>
    <n v="0"/>
    <n v="0"/>
    <n v="43.875"/>
    <n v="185.9325"/>
    <n v="0"/>
    <n v="229.8075"/>
    <n v="452.90247899999997"/>
    <n v="0.66338927645878165"/>
    <x v="0"/>
    <s v="LEVE"/>
    <x v="3"/>
    <x v="0"/>
    <n v="5"/>
    <n v="1"/>
    <d v="2017-07-03T00:00:00"/>
    <s v="NISSAN"/>
    <s v="VERSA"/>
    <n v="0"/>
    <d v="2017-07-03T00:00:00"/>
    <n v="3"/>
    <x v="48"/>
  </r>
  <r>
    <d v="2017-07-08T00:00:00"/>
    <s v="001-00009796"/>
    <n v="903.44734551017007"/>
    <n v="0"/>
    <n v="55.084745762711869"/>
    <n v="0"/>
    <n v="0"/>
    <n v="43.875"/>
    <n v="154.94374999999999"/>
    <n v="0"/>
    <n v="253.90349576271186"/>
    <n v="649.54384974745824"/>
    <n v="0.71896149009178345"/>
    <x v="1"/>
    <s v="LEVE"/>
    <x v="3"/>
    <x v="0"/>
    <n v="10"/>
    <n v="1"/>
    <d v="2017-06-28T00:00:00"/>
    <s v="FORD"/>
    <s v="ECOSPORT"/>
    <n v="4353.1149999999998"/>
    <d v="2017-06-30T00:00:00"/>
    <n v="3"/>
    <x v="1"/>
  </r>
  <r>
    <d v="2017-07-08T00:00:00"/>
    <s v="001-00009793"/>
    <n v="1323.2119337083091"/>
    <n v="0"/>
    <n v="0"/>
    <n v="0"/>
    <n v="0"/>
    <n v="175.5"/>
    <n v="182.83362500000001"/>
    <n v="0"/>
    <n v="358.33362499999998"/>
    <n v="964.87830870830908"/>
    <n v="0.72919408004750386"/>
    <x v="1"/>
    <s v="MEDIANO"/>
    <x v="3"/>
    <x v="0"/>
    <n v="10"/>
    <n v="1"/>
    <d v="2017-06-28T00:00:00"/>
    <s v="KIA"/>
    <s v="CERATO"/>
    <n v="1590.2574999999999"/>
    <d v="2017-06-30T00:00:00"/>
    <n v="12"/>
    <x v="1"/>
  </r>
  <r>
    <d v="2017-07-08T00:00:00"/>
    <s v="001-00009815"/>
    <n v="1140.3847371120307"/>
    <n v="0"/>
    <n v="0"/>
    <n v="0"/>
    <n v="0"/>
    <n v="87.75"/>
    <n v="185.9325"/>
    <n v="0"/>
    <n v="273.6825"/>
    <n v="866.70223711203073"/>
    <n v="0.76000862595452856"/>
    <x v="1"/>
    <s v="MEDIANO"/>
    <x v="3"/>
    <x v="0"/>
    <n v="7"/>
    <n v="1"/>
    <d v="2017-07-01T00:00:00"/>
    <s v="MAZDA"/>
    <s v="MAZDA 3"/>
    <n v="0"/>
    <d v="2017-07-03T00:00:00"/>
    <n v="6"/>
    <x v="1"/>
  </r>
  <r>
    <d v="2017-07-08T00:00:00"/>
    <s v="001-00009773"/>
    <n v="2260.4917199578008"/>
    <n v="0"/>
    <n v="0"/>
    <n v="16.95"/>
    <n v="29.25"/>
    <n v="248.625"/>
    <n v="371.86500000000001"/>
    <n v="0"/>
    <n v="666.69"/>
    <n v="1593.8017199578007"/>
    <n v="0.70506859453904747"/>
    <x v="1"/>
    <s v="MEDIANO"/>
    <x v="3"/>
    <x v="0"/>
    <n v="12"/>
    <n v="1"/>
    <d v="2017-06-26T00:00:00"/>
    <s v="TOYOTA"/>
    <s v="YARIS"/>
    <n v="572"/>
    <d v="2017-06-27T00:00:00"/>
    <n v="17"/>
    <x v="1"/>
  </r>
  <r>
    <d v="2017-07-08T00:00:00"/>
    <s v="001-00009806"/>
    <n v="1825.2436595559302"/>
    <n v="0"/>
    <n v="0"/>
    <n v="0"/>
    <n v="0"/>
    <n v="175.5"/>
    <n v="285.09649999999999"/>
    <n v="113.75"/>
    <n v="574.34649999999999"/>
    <n v="1250.8971595559301"/>
    <n v="0.6853316010752587"/>
    <x v="1"/>
    <s v="MEDIANO"/>
    <x v="3"/>
    <x v="0"/>
    <n v="9"/>
    <n v="1"/>
    <d v="2017-06-29T00:00:00"/>
    <s v="AUDI"/>
    <s v="Q5"/>
    <n v="3334.2400000000002"/>
    <d v="2017-07-03T00:00:00"/>
    <n v="12"/>
    <x v="104"/>
  </r>
  <r>
    <d v="2017-07-08T00:00:00"/>
    <s v="001-00009738"/>
    <n v="2166.5491889593204"/>
    <n v="0"/>
    <n v="0"/>
    <n v="84.75"/>
    <n v="29.25"/>
    <n v="168.1875"/>
    <n v="356.37062500000002"/>
    <n v="0"/>
    <n v="638.55812500000002"/>
    <n v="1527.9910639593204"/>
    <n v="0.70526488470509874"/>
    <x v="1"/>
    <s v="MEDIANO"/>
    <x v="3"/>
    <x v="0"/>
    <n v="19"/>
    <n v="1"/>
    <d v="2017-06-19T00:00:00"/>
    <s v="MITSUBISHI"/>
    <s v="MIRAGE"/>
    <n v="5298.6049999999996"/>
    <d v="2017-06-21T00:00:00"/>
    <n v="11.5"/>
    <x v="1"/>
  </r>
  <r>
    <d v="2017-07-08T00:00:00"/>
    <s v="001-00009828"/>
    <n v="1515.2965800898301"/>
    <n v="0"/>
    <n v="0"/>
    <n v="0"/>
    <n v="0"/>
    <n v="146.25"/>
    <n v="247.91"/>
    <n v="0"/>
    <n v="394.15999999999997"/>
    <n v="1121.1365800898302"/>
    <n v="0.7398793046991281"/>
    <x v="0"/>
    <s v="MEDIANO"/>
    <x v="3"/>
    <x v="0"/>
    <n v="5"/>
    <n v="1"/>
    <d v="2017-07-03T00:00:00"/>
    <s v="TOYOTA"/>
    <s v="URBAN CRUISER"/>
    <n v="0"/>
    <d v="2017-07-03T00:00:00"/>
    <n v="10"/>
    <x v="105"/>
  </r>
  <r>
    <d v="2017-07-10T00:00:00"/>
    <s v="001-00009648"/>
    <n v="2893.3899110000002"/>
    <n v="0"/>
    <n v="0"/>
    <n v="15.25"/>
    <n v="0"/>
    <n v="380.25"/>
    <n v="356.37062500000002"/>
    <n v="0"/>
    <n v="751.87062500000002"/>
    <n v="2141.5192860000002"/>
    <n v="0.74014196215257355"/>
    <x v="1"/>
    <s v="MEDIANO"/>
    <x v="3"/>
    <x v="0"/>
    <n v="37"/>
    <n v="1"/>
    <d v="2017-06-03T00:00:00"/>
    <s v="KIA"/>
    <s v="RIO"/>
    <n v="5477.1925000000001"/>
    <d v="2017-06-06T00:00:00"/>
    <n v="26"/>
    <x v="106"/>
  </r>
  <r>
    <d v="2017-07-10T00:00:00"/>
    <s v="001-00009809"/>
    <n v="16.949200000000001"/>
    <n v="0"/>
    <n v="0"/>
    <n v="0"/>
    <n v="0"/>
    <n v="0"/>
    <n v="0"/>
    <n v="0"/>
    <n v="0"/>
    <n v="16.949200000000001"/>
    <n v="1"/>
    <x v="0"/>
    <s v="-"/>
    <x v="3"/>
    <x v="0"/>
    <n v="10"/>
    <n v="1"/>
    <d v="2017-06-30T00:00:00"/>
    <s v="KIA"/>
    <s v="RIO"/>
    <n v="0"/>
    <d v="2017-06-30T00:00:00"/>
    <n v="0"/>
    <x v="106"/>
  </r>
  <r>
    <d v="2017-07-11T00:00:00"/>
    <s v="001-00009842"/>
    <n v="244.2"/>
    <n v="0"/>
    <n v="0"/>
    <n v="0"/>
    <n v="0"/>
    <n v="14.625"/>
    <n v="61.977499999999999"/>
    <n v="0"/>
    <n v="76.602499999999992"/>
    <n v="167.5975"/>
    <n v="0.68631244881244879"/>
    <x v="0"/>
    <s v="LEVE"/>
    <x v="3"/>
    <x v="0"/>
    <n v="7"/>
    <n v="1"/>
    <d v="2017-07-04T00:00:00"/>
    <s v="GREAT WALL"/>
    <s v="VOLEEX"/>
    <n v="0"/>
    <d v="2017-07-04T00:00:00"/>
    <n v="1"/>
    <x v="107"/>
  </r>
  <r>
    <d v="2017-07-11T00:00:00"/>
    <s v="001-00009808"/>
    <n v="1139.5999999999999"/>
    <n v="0"/>
    <n v="0"/>
    <n v="0"/>
    <n v="0"/>
    <n v="102.375"/>
    <n v="185.9325"/>
    <n v="113.75"/>
    <n v="402.0575"/>
    <n v="737.5424999999999"/>
    <n v="0.64719419094419095"/>
    <x v="1"/>
    <s v="MEDIANO"/>
    <x v="3"/>
    <x v="0"/>
    <n v="12"/>
    <n v="1"/>
    <d v="2017-06-29T00:00:00"/>
    <s v="GREAT WALL"/>
    <s v="VOLEEX"/>
    <n v="0"/>
    <d v="2017-07-03T00:00:00"/>
    <n v="7"/>
    <x v="107"/>
  </r>
  <r>
    <d v="2017-07-11T00:00:00"/>
    <s v="001-00009826"/>
    <n v="2069.4914592"/>
    <n v="0"/>
    <n v="0"/>
    <n v="0"/>
    <n v="0"/>
    <n v="234"/>
    <n v="278.89875000000001"/>
    <n v="0"/>
    <n v="512.89875000000006"/>
    <n v="1556.5927091999999"/>
    <n v="0.75216193924362917"/>
    <x v="0"/>
    <s v="MEDIANO"/>
    <x v="3"/>
    <x v="0"/>
    <n v="9"/>
    <n v="1"/>
    <d v="2017-07-02T00:00:00"/>
    <s v="MAZDA"/>
    <s v="CX-9"/>
    <n v="0"/>
    <d v="2017-07-06T00:00:00"/>
    <n v="16"/>
    <x v="108"/>
  </r>
  <r>
    <d v="2017-07-11T00:00:00"/>
    <s v="001-00009810"/>
    <n v="1541.7159999999999"/>
    <n v="0"/>
    <n v="0"/>
    <n v="0"/>
    <n v="29.25"/>
    <n v="175.5"/>
    <n v="216.92125000000001"/>
    <n v="0"/>
    <n v="421.67124999999999"/>
    <n v="1120.04475"/>
    <n v="0.72649226576100923"/>
    <x v="2"/>
    <s v="MEDIANO"/>
    <x v="3"/>
    <x v="0"/>
    <n v="10"/>
    <n v="1"/>
    <d v="2017-07-01T00:00:00"/>
    <s v="KIA"/>
    <s v="RIO"/>
    <n v="1822.5349999999999"/>
    <d v="2017-07-03T00:00:00"/>
    <n v="12"/>
    <x v="2"/>
  </r>
  <r>
    <d v="2017-07-11T00:00:00"/>
    <s v="001-00009843"/>
    <n v="595.90302640000004"/>
    <n v="0"/>
    <n v="0"/>
    <n v="0"/>
    <n v="0"/>
    <n v="29.25"/>
    <n v="123.955"/>
    <n v="0"/>
    <n v="153.20499999999998"/>
    <n v="442.69802640000006"/>
    <n v="0.74290279925988978"/>
    <x v="1"/>
    <s v="LEVE"/>
    <x v="3"/>
    <x v="0"/>
    <n v="7"/>
    <n v="1"/>
    <d v="2017-07-04T00:00:00"/>
    <s v="NISSAN"/>
    <s v="SENTRA"/>
    <n v="1318.8500000000001"/>
    <d v="2017-07-06T00:00:00"/>
    <n v="2"/>
    <x v="1"/>
  </r>
  <r>
    <d v="2017-07-12T00:00:00"/>
    <s v="001-00009891"/>
    <n v="84.737297000000012"/>
    <n v="65.614598000000001"/>
    <n v="0"/>
    <n v="0"/>
    <n v="24.423749999999998"/>
    <n v="0"/>
    <n v="0"/>
    <n v="0"/>
    <n v="90.038347999999999"/>
    <n v="-5.3010509999999869"/>
    <n v="-6.2558651121477071E-2"/>
    <x v="0"/>
    <s v="-"/>
    <x v="3"/>
    <x v="0"/>
    <n v="2"/>
    <n v="1"/>
    <d v="2017-07-10T00:00:00"/>
    <s v="KIA"/>
    <s v="RIO"/>
    <n v="0"/>
    <d v="2017-07-10T00:00:00"/>
    <n v="0"/>
    <x v="109"/>
  </r>
  <r>
    <d v="2017-07-12T00:00:00"/>
    <s v="001-00009896"/>
    <n v="639"/>
    <n v="0"/>
    <n v="0"/>
    <n v="38.86"/>
    <n v="39.048749999999998"/>
    <n v="0"/>
    <n v="0"/>
    <n v="0"/>
    <n v="77.908749999999998"/>
    <n v="561.09124999999995"/>
    <n v="0.87807707355242559"/>
    <x v="0"/>
    <s v="-"/>
    <x v="3"/>
    <x v="0"/>
    <n v="2"/>
    <n v="1"/>
    <d v="2017-07-10T00:00:00"/>
    <s v="HYUNDAI"/>
    <s v="ACCENT"/>
    <n v="0"/>
    <d v="2017-07-11T00:00:00"/>
    <n v="0"/>
    <x v="110"/>
  </r>
  <r>
    <d v="2017-07-12T00:00:00"/>
    <s v="001-00009897"/>
    <n v="179.3283747643201"/>
    <n v="213.7711031"/>
    <n v="96.394999999999996"/>
    <n v="0"/>
    <n v="0"/>
    <n v="0"/>
    <n v="0"/>
    <n v="0"/>
    <n v="310.16610309999999"/>
    <n v="-130.83772833567988"/>
    <n v="-0.72959858420415402"/>
    <x v="0"/>
    <s v="-"/>
    <x v="3"/>
    <x v="0"/>
    <n v="2"/>
    <n v="1"/>
    <d v="2017-07-10T00:00:00"/>
    <s v="HYUNDAI"/>
    <s v="ACCENT"/>
    <n v="179.04250000000002"/>
    <d v="2017-07-11T00:00:00"/>
    <n v="0"/>
    <x v="110"/>
  </r>
  <r>
    <d v="2017-07-12T00:00:00"/>
    <s v="001-00009816"/>
    <n v="560.05303870593002"/>
    <n v="0"/>
    <n v="0"/>
    <n v="0"/>
    <n v="0"/>
    <n v="43.875"/>
    <n v="123.955"/>
    <n v="0"/>
    <n v="167.82999999999998"/>
    <n v="392.22303870593004"/>
    <n v="0.70033195358105471"/>
    <x v="1"/>
    <s v="LEVE"/>
    <x v="3"/>
    <x v="0"/>
    <n v="9"/>
    <n v="1"/>
    <d v="2017-07-03T00:00:00"/>
    <s v="HYUNDAI"/>
    <s v="I10"/>
    <n v="1070.7449999999999"/>
    <d v="2017-07-04T00:00:00"/>
    <n v="3"/>
    <x v="1"/>
  </r>
  <r>
    <d v="2017-07-12T00:00:00"/>
    <s v="001-00009779"/>
    <n v="1119.22364688475"/>
    <n v="0"/>
    <n v="0"/>
    <n v="0"/>
    <n v="0"/>
    <n v="43.875"/>
    <n v="154.94374999999999"/>
    <n v="0"/>
    <n v="198.81874999999999"/>
    <n v="920.40489688474997"/>
    <n v="0.82236012386497315"/>
    <x v="1"/>
    <s v="LEVE"/>
    <x v="3"/>
    <x v="0"/>
    <n v="15"/>
    <n v="1"/>
    <d v="2017-06-27T00:00:00"/>
    <s v="HYUNDAI"/>
    <s v="I20"/>
    <n v="1837.4849999999999"/>
    <d v="2017-06-28T00:00:00"/>
    <n v="3"/>
    <x v="1"/>
  </r>
  <r>
    <d v="2017-07-13T00:00:00"/>
    <s v="001-00009766"/>
    <n v="2353.6487632954208"/>
    <n v="0"/>
    <n v="0"/>
    <n v="0"/>
    <n v="29.25"/>
    <n v="263.25"/>
    <n v="325.38187500000004"/>
    <n v="0"/>
    <n v="617.88187500000004"/>
    <n v="1735.7668882954208"/>
    <n v="0.73747914955038429"/>
    <x v="1"/>
    <s v="MEDIANO"/>
    <x v="3"/>
    <x v="0"/>
    <n v="17"/>
    <n v="1"/>
    <d v="2017-06-26T00:00:00"/>
    <s v="VOLKSWAGEN"/>
    <s v="GOL"/>
    <n v="2423.2000000000003"/>
    <d v="2017-06-27T00:00:00"/>
    <n v="18"/>
    <x v="1"/>
  </r>
  <r>
    <d v="2017-07-15T00:00:00"/>
    <s v="001-00009917"/>
    <n v="42.372897999999985"/>
    <n v="0"/>
    <n v="0"/>
    <n v="30"/>
    <n v="0"/>
    <n v="0"/>
    <n v="0"/>
    <n v="0"/>
    <n v="30"/>
    <n v="12.372897999999985"/>
    <n v="0.29200027810229051"/>
    <x v="0"/>
    <s v="-"/>
    <x v="3"/>
    <x v="0"/>
    <n v="1"/>
    <n v="1"/>
    <d v="2017-07-14T00:00:00"/>
    <s v="MAZDA"/>
    <s v="MAZDA 2"/>
    <n v="0"/>
    <d v="2017-07-14T00:00:00"/>
    <n v="0"/>
    <x v="111"/>
  </r>
  <r>
    <d v="2017-07-15T00:00:00"/>
    <s v="001-00009839"/>
    <n v="1398.99845209915"/>
    <n v="0"/>
    <n v="0"/>
    <n v="0"/>
    <n v="0"/>
    <n v="117"/>
    <n v="201.426875"/>
    <n v="113.75"/>
    <n v="432.176875"/>
    <n v="966.82157709914998"/>
    <n v="0.69108123432764834"/>
    <x v="1"/>
    <s v="MEDIANO"/>
    <x v="3"/>
    <x v="0"/>
    <n v="11"/>
    <n v="1"/>
    <d v="2017-07-04T00:00:00"/>
    <s v="MAZDA"/>
    <s v="MAZDA 2"/>
    <n v="0"/>
    <d v="2017-07-05T00:00:00"/>
    <n v="8"/>
    <x v="111"/>
  </r>
  <r>
    <d v="2017-07-15T00:00:00"/>
    <s v="001-00009890"/>
    <n v="1303.2690401499999"/>
    <n v="0"/>
    <n v="0"/>
    <n v="0"/>
    <n v="0"/>
    <n v="117"/>
    <n v="139.449375"/>
    <n v="113.75"/>
    <n v="370.19937500000003"/>
    <n v="933.06966514999988"/>
    <n v="0.71594554647182296"/>
    <x v="2"/>
    <s v="MEDIANO"/>
    <x v="3"/>
    <x v="0"/>
    <n v="5"/>
    <n v="1"/>
    <d v="2017-07-10T00:00:00"/>
    <s v="CHEVROLET"/>
    <s v="AVEO"/>
    <n v="113.75"/>
    <d v="2017-07-11T00:00:00"/>
    <n v="8"/>
    <x v="2"/>
  </r>
  <r>
    <d v="2017-07-15T00:00:00"/>
    <s v="001-00009817"/>
    <n v="2166.5086682216916"/>
    <n v="0"/>
    <n v="65.254745762711863"/>
    <n v="0"/>
    <n v="29.25"/>
    <n v="175.5"/>
    <n v="304.30952500000001"/>
    <n v="0"/>
    <n v="574.31427076271189"/>
    <n v="1592.1943974589797"/>
    <n v="0.73491254422992036"/>
    <x v="1"/>
    <s v="MEDIANO"/>
    <x v="3"/>
    <x v="0"/>
    <n v="12"/>
    <n v="1"/>
    <d v="2017-07-03T00:00:00"/>
    <s v="HYUNDAI"/>
    <s v="CRETA"/>
    <n v="5243.1274999999996"/>
    <d v="2017-07-04T00:00:00"/>
    <n v="12"/>
    <x v="1"/>
  </r>
  <r>
    <d v="2017-07-15T00:00:00"/>
    <s v="001-00009827"/>
    <n v="774.99617005942036"/>
    <n v="0"/>
    <n v="0"/>
    <n v="0"/>
    <n v="0"/>
    <n v="58.5"/>
    <n v="77.471874999999997"/>
    <n v="0"/>
    <n v="135.97187500000001"/>
    <n v="639.02429505942041"/>
    <n v="0.8245515523133814"/>
    <x v="1"/>
    <s v="LEVE"/>
    <x v="3"/>
    <x v="0"/>
    <n v="12"/>
    <n v="1"/>
    <d v="2017-07-03T00:00:00"/>
    <s v="RENAULT"/>
    <s v="KOLEOS"/>
    <n v="14420.835000000001"/>
    <d v="2017-07-04T00:00:00"/>
    <n v="4"/>
    <x v="1"/>
  </r>
  <r>
    <d v="2017-07-15T00:00:00"/>
    <s v="001-00009819"/>
    <n v="2187.0062330354208"/>
    <n v="0"/>
    <n v="0"/>
    <n v="0"/>
    <n v="0"/>
    <n v="175.5"/>
    <n v="387.359375"/>
    <n v="162.5"/>
    <n v="725.359375"/>
    <n v="1461.6468580354208"/>
    <n v="0.66833227814204765"/>
    <x v="1"/>
    <s v="MEDIANO"/>
    <x v="3"/>
    <x v="0"/>
    <n v="12"/>
    <n v="1"/>
    <d v="2017-07-03T00:00:00"/>
    <s v="CHEVROLET"/>
    <s v="SAIL"/>
    <n v="468.71499999999997"/>
    <d v="2017-07-04T00:00:00"/>
    <n v="12"/>
    <x v="1"/>
  </r>
  <r>
    <d v="2017-07-15T00:00:00"/>
    <s v="001-00009833"/>
    <n v="1739.1958171796598"/>
    <n v="0"/>
    <n v="0"/>
    <n v="0"/>
    <n v="58.5"/>
    <n v="219.375"/>
    <n v="185.9325"/>
    <n v="0"/>
    <n v="463.8075"/>
    <n v="1275.3883171796597"/>
    <n v="0.73332071327533066"/>
    <x v="1"/>
    <s v="MEDIANO"/>
    <x v="3"/>
    <x v="0"/>
    <n v="11"/>
    <n v="1"/>
    <d v="2017-07-04T00:00:00"/>
    <s v="KIA"/>
    <s v="SPORTAGE"/>
    <n v="42.477499999999999"/>
    <d v="2017-07-05T00:00:00"/>
    <n v="15"/>
    <x v="1"/>
  </r>
  <r>
    <d v="2017-07-15T00:00:00"/>
    <s v="001-00009867"/>
    <n v="782.28602409999996"/>
    <n v="0"/>
    <n v="0"/>
    <n v="0"/>
    <n v="0"/>
    <n v="58.5"/>
    <n v="123.955"/>
    <n v="0"/>
    <n v="182.45499999999998"/>
    <n v="599.83102409999992"/>
    <n v="0.7667668929533672"/>
    <x v="1"/>
    <s v="LEVE"/>
    <x v="3"/>
    <x v="0"/>
    <n v="8"/>
    <n v="1"/>
    <d v="2017-07-07T00:00:00"/>
    <s v="MAZDA"/>
    <s v="MAZDA 3"/>
    <n v="0"/>
    <d v="2017-07-10T00:00:00"/>
    <n v="4"/>
    <x v="1"/>
  </r>
  <r>
    <d v="2017-07-15T00:00:00"/>
    <s v="001-00009860"/>
    <n v="844.64785342119001"/>
    <n v="0"/>
    <n v="0"/>
    <n v="0"/>
    <n v="0"/>
    <n v="43.875"/>
    <n v="167.33925000000002"/>
    <n v="0"/>
    <n v="211.21425000000002"/>
    <n v="633.43360342119001"/>
    <n v="0.74993809651621002"/>
    <x v="1"/>
    <s v="LEVE"/>
    <x v="3"/>
    <x v="0"/>
    <n v="9"/>
    <n v="1"/>
    <d v="2017-07-06T00:00:00"/>
    <s v="HYUNDAI"/>
    <s v="ELANTRA"/>
    <n v="2549.1375000000003"/>
    <d v="2017-07-10T00:00:00"/>
    <n v="3"/>
    <x v="1"/>
  </r>
  <r>
    <d v="2017-07-15T00:00:00"/>
    <s v="001-00009855"/>
    <n v="1718.7846439508498"/>
    <n v="0"/>
    <n v="0"/>
    <n v="0"/>
    <n v="0"/>
    <n v="175.5"/>
    <n v="247.91"/>
    <n v="113.75"/>
    <n v="537.16"/>
    <n v="1181.62464395085"/>
    <n v="0.68747684482142701"/>
    <x v="1"/>
    <s v="MEDIANO"/>
    <x v="3"/>
    <x v="0"/>
    <n v="9"/>
    <n v="1"/>
    <d v="2017-07-06T00:00:00"/>
    <s v="HYUNDAI"/>
    <s v="ELANTRA"/>
    <n v="1383.2650000000001"/>
    <d v="2017-07-11T00:00:00"/>
    <n v="12"/>
    <x v="1"/>
  </r>
  <r>
    <d v="2017-07-15T00:00:00"/>
    <s v="001-00009847"/>
    <n v="3241.9562655354207"/>
    <n v="0"/>
    <n v="0"/>
    <n v="72.03"/>
    <n v="58.5"/>
    <n v="409.5"/>
    <n v="433.84250000000003"/>
    <n v="113.75"/>
    <n v="1087.6224999999999"/>
    <n v="2154.3337655354208"/>
    <n v="0.66451660327367956"/>
    <x v="1"/>
    <s v="GRAVE"/>
    <x v="3"/>
    <x v="0"/>
    <n v="10"/>
    <n v="1"/>
    <d v="2017-07-05T00:00:00"/>
    <s v="TOYOTA"/>
    <s v="YARIS"/>
    <n v="3873.5774999999994"/>
    <d v="2017-07-06T00:00:00"/>
    <n v="28"/>
    <x v="1"/>
  </r>
  <r>
    <d v="2017-07-17T00:00:00"/>
    <s v="001-00009911"/>
    <n v="680"/>
    <n v="146.36962644999997"/>
    <n v="86.570000000000007"/>
    <n v="50.85"/>
    <n v="39.048749999999998"/>
    <n v="0"/>
    <n v="0"/>
    <n v="0"/>
    <n v="322.83837645"/>
    <n v="357.16162355"/>
    <n v="0.52523768169117646"/>
    <x v="0"/>
    <s v="-"/>
    <x v="3"/>
    <x v="0"/>
    <n v="4"/>
    <n v="1"/>
    <d v="2017-07-13T00:00:00"/>
    <s v="SUZUKI"/>
    <s v="GRAND NOMADE"/>
    <n v="29.802499999999998"/>
    <d v="2017-07-13T00:00:00"/>
    <n v="0"/>
    <x v="112"/>
  </r>
  <r>
    <d v="2017-07-17T00:00:00"/>
    <s v="001-00009857"/>
    <n v="551.82001700000001"/>
    <n v="0"/>
    <n v="0"/>
    <n v="0"/>
    <n v="0"/>
    <n v="0"/>
    <n v="92.966250000000002"/>
    <n v="0"/>
    <n v="92.966250000000002"/>
    <n v="458.853767"/>
    <n v="0.83152794908489158"/>
    <x v="1"/>
    <s v="LEVE"/>
    <x v="3"/>
    <x v="0"/>
    <n v="11"/>
    <n v="1"/>
    <d v="2017-07-06T00:00:00"/>
    <s v="SUZUKI"/>
    <s v="GRAND NOMADE"/>
    <n v="1295.4825000000001"/>
    <d v="2017-07-07T00:00:00"/>
    <n v="0"/>
    <x v="1"/>
  </r>
  <r>
    <d v="2017-07-17T00:00:00"/>
    <s v="001-00009785"/>
    <n v="2373.6512387854209"/>
    <n v="0"/>
    <n v="10.17"/>
    <n v="0"/>
    <n v="29.25"/>
    <n v="263.25"/>
    <n v="340.87625000000003"/>
    <n v="0"/>
    <n v="643.5462500000001"/>
    <n v="1730.1049887854208"/>
    <n v="0.72887918853264322"/>
    <x v="1"/>
    <s v="MEDIANO"/>
    <x v="3"/>
    <x v="0"/>
    <n v="20"/>
    <n v="1"/>
    <d v="2017-06-27T00:00:00"/>
    <s v="KIA"/>
    <s v="RIO"/>
    <n v="7430.8974999999991"/>
    <d v="2017-06-30T00:00:00"/>
    <n v="18"/>
    <x v="1"/>
  </r>
  <r>
    <d v="2017-07-17T00:00:00"/>
    <s v="001-00009858"/>
    <n v="564.00616355942032"/>
    <n v="0"/>
    <n v="0"/>
    <n v="0"/>
    <n v="0"/>
    <n v="43.875"/>
    <n v="77.471874999999997"/>
    <n v="0"/>
    <n v="121.346875"/>
    <n v="442.6592885594203"/>
    <n v="0.78484831755350914"/>
    <x v="1"/>
    <s v="LEVE"/>
    <x v="3"/>
    <x v="0"/>
    <n v="11"/>
    <n v="1"/>
    <d v="2017-07-06T00:00:00"/>
    <s v="SUZUKI"/>
    <s v="GRAND NOMADE"/>
    <n v="343.39499999999998"/>
    <d v="2017-07-07T00:00:00"/>
    <n v="3"/>
    <x v="1"/>
  </r>
  <r>
    <d v="2017-07-19T00:00:00"/>
    <s v="001-00009901"/>
    <n v="1265"/>
    <n v="332.05012605000002"/>
    <n v="550.875"/>
    <n v="0"/>
    <n v="39.048749999999998"/>
    <n v="0"/>
    <n v="0"/>
    <n v="0"/>
    <n v="921.97387605000006"/>
    <n v="343.02612394999994"/>
    <n v="0.27116689640316199"/>
    <x v="0"/>
    <s v="-"/>
    <x v="3"/>
    <x v="0"/>
    <n v="8"/>
    <n v="1"/>
    <d v="2017-07-11T00:00:00"/>
    <s v="HONDA"/>
    <s v="CRV"/>
    <n v="660.92000000000007"/>
    <d v="2017-07-11T00:00:00"/>
    <n v="0"/>
    <x v="113"/>
  </r>
  <r>
    <d v="2017-07-19T00:00:00"/>
    <s v="001-00009814"/>
    <n v="2101.7850647499995"/>
    <n v="0"/>
    <n v="0"/>
    <n v="0"/>
    <n v="58.5"/>
    <n v="234"/>
    <n v="216.92125000000001"/>
    <n v="0"/>
    <n v="509.42124999999999"/>
    <n v="1592.3638147499996"/>
    <n v="0.75762447904700769"/>
    <x v="1"/>
    <s v="MEDIANO"/>
    <x v="3"/>
    <x v="0"/>
    <n v="18"/>
    <n v="1"/>
    <d v="2017-07-01T00:00:00"/>
    <s v="DAEWOO"/>
    <s v="DAMAS"/>
    <n v="204.75"/>
    <d v="2017-07-04T00:00:00"/>
    <n v="16"/>
    <x v="114"/>
  </r>
  <r>
    <d v="2017-07-19T00:00:00"/>
    <s v="001-00009542"/>
    <n v="4608.4261815354203"/>
    <n v="0"/>
    <n v="48.199152542372886"/>
    <n v="15"/>
    <n v="14.625"/>
    <n v="468"/>
    <n v="697.24687499999993"/>
    <n v="0"/>
    <n v="1243.0710275423728"/>
    <n v="3365.3551539930477"/>
    <n v="0.73026126955814441"/>
    <x v="1"/>
    <s v="GRAVE"/>
    <x v="3"/>
    <x v="0"/>
    <n v="62"/>
    <n v="1"/>
    <d v="2017-05-18T00:00:00"/>
    <s v="CHEVROLET"/>
    <s v="SAIL"/>
    <n v="5626.6274999999996"/>
    <d v="2017-05-22T00:00:00"/>
    <n v="32"/>
    <x v="1"/>
  </r>
  <r>
    <d v="2017-07-19T00:00:00"/>
    <s v="001-00009882"/>
    <n v="2020.3048791198278"/>
    <n v="0"/>
    <n v="10.17"/>
    <n v="0"/>
    <n v="14.625"/>
    <n v="234"/>
    <n v="332.19940000000003"/>
    <n v="0"/>
    <n v="590.99440000000004"/>
    <n v="1429.3104791198277"/>
    <n v="0.70747266607727322"/>
    <x v="1"/>
    <s v="MEDIANO"/>
    <x v="3"/>
    <x v="0"/>
    <n v="11"/>
    <n v="1"/>
    <d v="2017-07-08T00:00:00"/>
    <s v="RENAULT"/>
    <s v="LOGAN"/>
    <n v="3931.7849999999999"/>
    <d v="2017-07-12T00:00:00"/>
    <n v="16"/>
    <x v="115"/>
  </r>
  <r>
    <d v="2017-07-19T00:00:00"/>
    <s v="001-00009900"/>
    <n v="606.86438829575991"/>
    <n v="0"/>
    <n v="0"/>
    <n v="8.48"/>
    <n v="0"/>
    <n v="29.25"/>
    <n v="123.955"/>
    <n v="113.75"/>
    <n v="275.435"/>
    <n v="331.42938829575991"/>
    <n v="0.54613418531033542"/>
    <x v="1"/>
    <s v="LEVE"/>
    <x v="3"/>
    <x v="0"/>
    <n v="8"/>
    <n v="1"/>
    <d v="2017-07-11T00:00:00"/>
    <s v="KIA"/>
    <s v="RIO"/>
    <n v="1671.7674999999999"/>
    <d v="2017-07-12T00:00:00"/>
    <n v="2"/>
    <x v="1"/>
  </r>
  <r>
    <d v="2017-07-19T00:00:00"/>
    <s v="001-00009884"/>
    <n v="1008.21314926017"/>
    <n v="0"/>
    <n v="0"/>
    <n v="0"/>
    <n v="0"/>
    <n v="117"/>
    <n v="154.94374999999999"/>
    <n v="0"/>
    <n v="271.94375000000002"/>
    <n v="736.26939926016996"/>
    <n v="0.73027156985648001"/>
    <x v="1"/>
    <s v="MEDIANO"/>
    <x v="3"/>
    <x v="0"/>
    <n v="10"/>
    <n v="1"/>
    <d v="2017-07-09T00:00:00"/>
    <s v="HYUNDAI"/>
    <s v="ACCENT"/>
    <n v="568.75"/>
    <d v="2017-07-10T00:00:00"/>
    <n v="8"/>
    <x v="1"/>
  </r>
  <r>
    <d v="2017-07-20T00:00:00"/>
    <s v="001-00009850"/>
    <n v="874.64812619999987"/>
    <n v="0"/>
    <n v="0"/>
    <n v="16.95"/>
    <n v="0"/>
    <n v="73.125"/>
    <n v="175.39632499999999"/>
    <n v="0"/>
    <n v="265.47132499999998"/>
    <n v="609.17680119999989"/>
    <n v="0.69648214287799615"/>
    <x v="1"/>
    <s v="LEVE"/>
    <x v="3"/>
    <x v="0"/>
    <n v="14"/>
    <n v="1"/>
    <d v="2017-07-06T00:00:00"/>
    <s v="SUZUKI"/>
    <s v="SX4"/>
    <n v="1698.5474999999999"/>
    <d v="2017-07-06T00:00:00"/>
    <n v="5"/>
    <x v="116"/>
  </r>
  <r>
    <d v="2017-07-21T00:00:00"/>
    <s v="001-00005347"/>
    <n v="486.14998499999996"/>
    <n v="0"/>
    <n v="0"/>
    <n v="0"/>
    <n v="0"/>
    <n v="0"/>
    <n v="0"/>
    <n v="0"/>
    <n v="0"/>
    <n v="486.14998499999996"/>
    <n v="1"/>
    <x v="1"/>
    <s v="GRAVE"/>
    <x v="3"/>
    <x v="0"/>
    <n v="757"/>
    <n v="1"/>
    <d v="2015-06-25T00:00:00"/>
    <s v="FIAT"/>
    <s v="FIORINO"/>
    <n v="0"/>
    <s v="F/Fecha"/>
    <n v="0"/>
    <x v="117"/>
  </r>
  <r>
    <d v="2017-07-21T00:00:00"/>
    <s v="001-00009971"/>
    <n v="2355"/>
    <n v="0"/>
    <n v="0"/>
    <n v="0"/>
    <n v="0"/>
    <n v="0"/>
    <n v="0"/>
    <n v="0"/>
    <n v="0"/>
    <n v="2355"/>
    <n v="1"/>
    <x v="0"/>
    <s v="GRAVE"/>
    <x v="3"/>
    <x v="0"/>
    <n v="0"/>
    <n v="1"/>
    <d v="2017-07-21T00:00:00"/>
    <s v="FIAT"/>
    <s v="FIORINO"/>
    <n v="0"/>
    <s v="F/Fecha"/>
    <n v="0"/>
    <x v="117"/>
  </r>
  <r>
    <d v="2017-07-21T00:00:00"/>
    <s v="001-00008659"/>
    <n v="1940.5623347345786"/>
    <n v="0"/>
    <n v="0"/>
    <n v="0"/>
    <n v="0"/>
    <n v="0"/>
    <n v="0"/>
    <n v="0"/>
    <n v="0"/>
    <n v="1940.5623347345786"/>
    <n v="1"/>
    <x v="1"/>
    <s v="MEDIANO"/>
    <x v="3"/>
    <x v="0"/>
    <n v="210"/>
    <n v="1"/>
    <d v="2016-12-23T00:00:00"/>
    <s v="FIAT"/>
    <s v="FIORINO"/>
    <n v="0"/>
    <s v="F/Fecha"/>
    <n v="0"/>
    <x v="117"/>
  </r>
  <r>
    <d v="2017-07-21T00:00:00"/>
    <s v="001-00009973"/>
    <n v="274.6335711032703"/>
    <n v="0"/>
    <n v="243.75"/>
    <n v="0"/>
    <n v="0"/>
    <n v="0"/>
    <n v="0"/>
    <n v="0"/>
    <n v="243.75"/>
    <n v="30.883571103270299"/>
    <n v="0.11245373600613877"/>
    <x v="0"/>
    <s v="-"/>
    <x v="3"/>
    <x v="0"/>
    <n v="0"/>
    <n v="1"/>
    <d v="2017-07-21T00:00:00"/>
    <s v="FORD"/>
    <s v="ECOSPORT"/>
    <n v="275.40499999999997"/>
    <d v="2017-07-21T00:00:00"/>
    <n v="0"/>
    <x v="118"/>
  </r>
  <r>
    <d v="2017-07-21T00:00:00"/>
    <s v="001-00009966"/>
    <n v="450"/>
    <n v="109.49730099999999"/>
    <n v="0"/>
    <n v="0"/>
    <n v="39.048749999999998"/>
    <n v="0"/>
    <n v="0"/>
    <n v="0"/>
    <n v="148.54605099999998"/>
    <n v="301.45394900000002"/>
    <n v="0.66989766444444454"/>
    <x v="0"/>
    <s v="-"/>
    <x v="3"/>
    <x v="0"/>
    <n v="0"/>
    <n v="1"/>
    <d v="2017-07-21T00:00:00"/>
    <s v="FORD"/>
    <s v="ECOSPORT"/>
    <n v="0"/>
    <d v="2017-07-21T00:00:00"/>
    <n v="0"/>
    <x v="118"/>
  </r>
  <r>
    <d v="2017-07-21T00:00:00"/>
    <s v="001-00009868"/>
    <n v="1544.6385135406804"/>
    <n v="0"/>
    <n v="0"/>
    <n v="16.95"/>
    <n v="14.625"/>
    <n v="175.5"/>
    <n v="185.9325"/>
    <n v="0"/>
    <n v="393.00749999999999"/>
    <n v="1151.6310135406804"/>
    <n v="0.74556668336649656"/>
    <x v="1"/>
    <s v="MEDIANO"/>
    <x v="3"/>
    <x v="0"/>
    <n v="14"/>
    <n v="1"/>
    <d v="2017-07-07T00:00:00"/>
    <s v="MAZDA"/>
    <s v="MAZDA 3"/>
    <n v="2035.2150000000001"/>
    <d v="2017-07-10T00:00:00"/>
    <n v="12"/>
    <x v="119"/>
  </r>
  <r>
    <d v="2017-07-21T00:00:00"/>
    <s v="001-00009874"/>
    <n v="1941.5236153049191"/>
    <n v="0"/>
    <n v="10.17"/>
    <n v="16.95"/>
    <n v="29.25"/>
    <n v="175.5"/>
    <n v="334.67850000000004"/>
    <n v="0"/>
    <n v="566.5485000000001"/>
    <n v="1374.975115304919"/>
    <n v="0.70819386612970825"/>
    <x v="1"/>
    <s v="MEDIANO"/>
    <x v="3"/>
    <x v="0"/>
    <n v="14"/>
    <n v="1"/>
    <d v="2017-07-07T00:00:00"/>
    <s v="VOLKSWAGEN"/>
    <s v="VOYAGE"/>
    <n v="6838.4225000000006"/>
    <d v="2017-07-10T00:00:00"/>
    <n v="12"/>
    <x v="1"/>
  </r>
  <r>
    <d v="2017-07-22T00:00:00"/>
    <s v="001-00009965"/>
    <n v="350"/>
    <n v="107.5896999"/>
    <n v="0"/>
    <n v="0"/>
    <n v="39.048749999999998"/>
    <n v="0"/>
    <n v="0"/>
    <n v="0"/>
    <n v="146.63844990000001"/>
    <n v="203.36155009999999"/>
    <n v="0.58103300028571425"/>
    <x v="0"/>
    <s v="-"/>
    <x v="3"/>
    <x v="0"/>
    <n v="1"/>
    <n v="1"/>
    <d v="2017-07-21T00:00:00"/>
    <s v="KIA"/>
    <s v="RIO"/>
    <n v="0"/>
    <d v="2017-07-21T00:00:00"/>
    <n v="0"/>
    <x v="96"/>
  </r>
  <r>
    <d v="2017-07-22T00:00:00"/>
    <s v="001-00009930"/>
    <n v="639.46645289999992"/>
    <n v="0"/>
    <n v="0"/>
    <n v="0"/>
    <n v="0"/>
    <n v="24.862499999999997"/>
    <n v="123.955"/>
    <n v="113.75"/>
    <n v="262.5675"/>
    <n v="376.89895289999993"/>
    <n v="0.5893959740823802"/>
    <x v="1"/>
    <s v="LEVE"/>
    <x v="3"/>
    <x v="0"/>
    <n v="5"/>
    <n v="1"/>
    <d v="2017-07-17T00:00:00"/>
    <s v="HYUNDAI"/>
    <s v="ACCENT"/>
    <n v="899.89249999999993"/>
    <d v="2017-07-18T00:00:00"/>
    <n v="1.7"/>
    <x v="1"/>
  </r>
  <r>
    <d v="2017-07-22T00:00:00"/>
    <s v="001-00009825"/>
    <n v="1412.4449999999999"/>
    <n v="0"/>
    <n v="0"/>
    <n v="0"/>
    <n v="0"/>
    <n v="175.5"/>
    <n v="185.9325"/>
    <n v="0"/>
    <n v="361.4325"/>
    <n v="1051.0124999999998"/>
    <n v="0.74410862015866097"/>
    <x v="1"/>
    <s v="MEDIANO"/>
    <x v="3"/>
    <x v="0"/>
    <n v="19"/>
    <n v="1"/>
    <d v="2017-07-03T00:00:00"/>
    <s v="MAZDA"/>
    <s v="MAZDA 2"/>
    <n v="5092.2624999999998"/>
    <d v="2017-07-04T00:00:00"/>
    <n v="12"/>
    <x v="1"/>
  </r>
  <r>
    <d v="2017-07-22T00:00:00"/>
    <s v="001-00009907"/>
    <n v="1809.1293340300001"/>
    <n v="0"/>
    <n v="10.17"/>
    <n v="0"/>
    <n v="29.25"/>
    <n v="117"/>
    <n v="320.423675"/>
    <n v="113.75"/>
    <n v="590.59367500000008"/>
    <n v="1218.53565903"/>
    <n v="0.67354811848393448"/>
    <x v="1"/>
    <s v="MEDIANO"/>
    <x v="3"/>
    <x v="0"/>
    <n v="10"/>
    <n v="1"/>
    <d v="2017-07-12T00:00:00"/>
    <s v="KIA"/>
    <s v="RIO"/>
    <n v="6640.8225000000002"/>
    <d v="2017-07-14T00:00:00"/>
    <n v="8"/>
    <x v="1"/>
  </r>
  <r>
    <d v="2017-07-24T00:00:00"/>
    <s v="001-00009936"/>
    <n v="1399.4569999999999"/>
    <n v="0"/>
    <n v="0"/>
    <n v="0"/>
    <n v="0"/>
    <n v="117"/>
    <n v="216.92125000000001"/>
    <n v="0"/>
    <n v="333.92124999999999"/>
    <n v="1065.53575"/>
    <n v="0.76139227571836798"/>
    <x v="2"/>
    <s v="MEDIANO"/>
    <x v="3"/>
    <x v="0"/>
    <n v="6"/>
    <n v="1"/>
    <d v="2017-07-18T00:00:00"/>
    <s v="KIA"/>
    <s v="SPORTAGE"/>
    <n v="44.8825"/>
    <d v="2017-07-18T00:00:00"/>
    <n v="8"/>
    <x v="120"/>
  </r>
  <r>
    <d v="2017-07-24T00:00:00"/>
    <s v="001-00009986"/>
    <n v="296.61020000000002"/>
    <n v="100.80162524999999"/>
    <n v="0"/>
    <n v="0"/>
    <n v="39.048749999999998"/>
    <n v="0"/>
    <n v="0"/>
    <n v="0"/>
    <n v="139.85037524999998"/>
    <n v="156.75982475000004"/>
    <n v="0.52850449765382324"/>
    <x v="0"/>
    <s v="-"/>
    <x v="3"/>
    <x v="0"/>
    <n v="0"/>
    <n v="1"/>
    <d v="2017-07-24T00:00:00"/>
    <s v="HYUNDAI"/>
    <s v="H1"/>
    <n v="0"/>
    <d v="2017-07-24T00:00:00"/>
    <n v="0"/>
    <x v="121"/>
  </r>
  <r>
    <d v="2017-07-24T00:00:00"/>
    <s v="001-00009886"/>
    <n v="296.61020000000002"/>
    <n v="100.80162525"/>
    <n v="0"/>
    <n v="0"/>
    <n v="39.048749999999998"/>
    <n v="0"/>
    <n v="0"/>
    <n v="0"/>
    <n v="139.85037525000001"/>
    <n v="156.75982475000001"/>
    <n v="0.52850449765382312"/>
    <x v="0"/>
    <s v="-"/>
    <x v="3"/>
    <x v="0"/>
    <n v="14"/>
    <n v="1"/>
    <d v="2017-07-10T00:00:00"/>
    <s v="HYUNDAI"/>
    <s v="H1"/>
    <n v="0"/>
    <d v="2017-07-10T00:00:00"/>
    <n v="0"/>
    <x v="121"/>
  </r>
  <r>
    <d v="2017-07-24T00:00:00"/>
    <s v="001-00009885"/>
    <n v="296.61020000000002"/>
    <n v="100.80162525"/>
    <n v="0"/>
    <n v="0"/>
    <n v="39.048749999999998"/>
    <n v="0"/>
    <n v="0"/>
    <n v="0"/>
    <n v="139.85037525000001"/>
    <n v="156.75982475000001"/>
    <n v="0.52850449765382312"/>
    <x v="0"/>
    <s v="-"/>
    <x v="3"/>
    <x v="0"/>
    <n v="16"/>
    <n v="1"/>
    <d v="2017-07-08T00:00:00"/>
    <s v="HYUNDAI"/>
    <s v="H1"/>
    <n v="0"/>
    <d v="2017-07-10T00:00:00"/>
    <n v="0"/>
    <x v="121"/>
  </r>
  <r>
    <d v="2017-07-24T00:00:00"/>
    <s v="001-00009879"/>
    <n v="296.61020000000002"/>
    <n v="100.80162525"/>
    <n v="0"/>
    <n v="0"/>
    <n v="39.048749999999998"/>
    <n v="0"/>
    <n v="0"/>
    <n v="0"/>
    <n v="139.85037525000001"/>
    <n v="156.75982475000001"/>
    <n v="0.52850449765382312"/>
    <x v="0"/>
    <s v="-"/>
    <x v="3"/>
    <x v="0"/>
    <n v="14"/>
    <n v="1"/>
    <d v="2017-07-10T00:00:00"/>
    <s v="HYUNDAI"/>
    <s v="H1"/>
    <n v="0"/>
    <d v="2017-07-10T00:00:00"/>
    <n v="0"/>
    <x v="121"/>
  </r>
  <r>
    <d v="2017-07-24T00:00:00"/>
    <s v="001-00009877"/>
    <n v="296.61020000000002"/>
    <n v="99.812497750000006"/>
    <n v="0"/>
    <n v="0"/>
    <n v="39.048749999999998"/>
    <n v="0"/>
    <n v="0"/>
    <n v="0"/>
    <n v="138.86124775000002"/>
    <n v="157.74895225"/>
    <n v="0.53183927002510367"/>
    <x v="0"/>
    <s v="-"/>
    <x v="3"/>
    <x v="0"/>
    <n v="16"/>
    <n v="1"/>
    <d v="2017-07-08T00:00:00"/>
    <s v="HYUNDAI"/>
    <s v="H1"/>
    <n v="0"/>
    <d v="2017-07-08T00:00:00"/>
    <n v="0"/>
    <x v="121"/>
  </r>
  <r>
    <d v="2017-07-24T00:00:00"/>
    <s v="001-00009876"/>
    <n v="296.61020000000002"/>
    <n v="99.812497750000006"/>
    <n v="0"/>
    <n v="0"/>
    <n v="39.048749999999998"/>
    <n v="0"/>
    <n v="0"/>
    <n v="0"/>
    <n v="138.86124775000002"/>
    <n v="157.74895225"/>
    <n v="0.53183927002510367"/>
    <x v="0"/>
    <s v="-"/>
    <x v="3"/>
    <x v="0"/>
    <n v="16"/>
    <n v="1"/>
    <d v="2017-07-08T00:00:00"/>
    <s v="HYUNDAI"/>
    <s v="H1"/>
    <n v="0"/>
    <d v="2017-07-08T00:00:00"/>
    <n v="0"/>
    <x v="121"/>
  </r>
  <r>
    <d v="2017-07-24T00:00:00"/>
    <s v="001-00009875"/>
    <n v="296.61020000000002"/>
    <n v="99.812497750000006"/>
    <n v="0"/>
    <n v="0"/>
    <n v="39.048749999999998"/>
    <n v="0"/>
    <n v="0"/>
    <n v="0"/>
    <n v="138.86124775000002"/>
    <n v="157.74895225"/>
    <n v="0.53183927002510367"/>
    <x v="0"/>
    <s v="-"/>
    <x v="3"/>
    <x v="0"/>
    <n v="16"/>
    <n v="1"/>
    <d v="2017-07-08T00:00:00"/>
    <s v="HYUNDAI"/>
    <s v="H1"/>
    <n v="0"/>
    <d v="2017-07-08T00:00:00"/>
    <n v="0"/>
    <x v="121"/>
  </r>
  <r>
    <d v="2017-07-24T00:00:00"/>
    <s v="001-00009862"/>
    <n v="296.61020000000002"/>
    <n v="99.812497750000006"/>
    <n v="0"/>
    <n v="0"/>
    <n v="39.048749999999998"/>
    <n v="0"/>
    <n v="0"/>
    <n v="0"/>
    <n v="138.86124775000002"/>
    <n v="157.74895225"/>
    <n v="0.53183927002510367"/>
    <x v="0"/>
    <s v="-"/>
    <x v="3"/>
    <x v="0"/>
    <n v="17"/>
    <n v="1"/>
    <d v="2017-07-07T00:00:00"/>
    <s v="HYUNDAI"/>
    <s v="H1"/>
    <n v="0"/>
    <d v="2017-07-07T00:00:00"/>
    <n v="0"/>
    <x v="121"/>
  </r>
  <r>
    <d v="2017-07-24T00:00:00"/>
    <s v="001-00009863"/>
    <n v="296.61020000000002"/>
    <n v="99.812497750000006"/>
    <n v="0"/>
    <n v="0"/>
    <n v="39.048749999999998"/>
    <n v="0"/>
    <n v="0"/>
    <n v="0"/>
    <n v="138.86124775000002"/>
    <n v="157.74895225"/>
    <n v="0.53183927002510367"/>
    <x v="0"/>
    <s v="-"/>
    <x v="3"/>
    <x v="0"/>
    <n v="18"/>
    <n v="1"/>
    <d v="2017-07-06T00:00:00"/>
    <s v="HYUNDAI"/>
    <s v="H1"/>
    <n v="0"/>
    <d v="2017-07-07T00:00:00"/>
    <n v="0"/>
    <x v="121"/>
  </r>
  <r>
    <d v="2017-07-24T00:00:00"/>
    <s v="001-00009937"/>
    <n v="1447.0063926999999"/>
    <n v="0"/>
    <n v="0"/>
    <n v="0"/>
    <n v="0"/>
    <n v="117"/>
    <n v="247.91"/>
    <n v="0"/>
    <n v="364.90999999999997"/>
    <n v="1082.0963926999998"/>
    <n v="0.74781728550686855"/>
    <x v="1"/>
    <s v="MEDIANO"/>
    <x v="3"/>
    <x v="0"/>
    <n v="6"/>
    <n v="1"/>
    <d v="2017-07-18T00:00:00"/>
    <s v="KIA"/>
    <s v="RIO"/>
    <n v="60.092499999999994"/>
    <d v="2017-07-18T00:00:00"/>
    <n v="8"/>
    <x v="1"/>
  </r>
  <r>
    <d v="2017-07-25T00:00:00"/>
    <s v="001-00009641"/>
    <n v="487.05"/>
    <n v="0"/>
    <n v="0"/>
    <n v="0"/>
    <n v="0"/>
    <n v="87.75"/>
    <n v="61.977499999999999"/>
    <n v="0"/>
    <n v="149.72749999999999"/>
    <n v="337.32249999999999"/>
    <n v="0.69258289703315878"/>
    <x v="0"/>
    <s v="LEVE"/>
    <x v="3"/>
    <x v="0"/>
    <n v="53"/>
    <n v="1"/>
    <d v="2017-06-02T00:00:00"/>
    <s v="HYUNDAI"/>
    <s v="ELANTRA"/>
    <n v="0"/>
    <d v="2017-06-02T00:00:00"/>
    <n v="6"/>
    <x v="122"/>
  </r>
  <r>
    <d v="2017-07-25T00:00:00"/>
    <s v="001-00009575"/>
    <n v="4786.2157377399999"/>
    <n v="0"/>
    <n v="110.16949152542374"/>
    <n v="101.7"/>
    <n v="14.625"/>
    <n v="555.75"/>
    <n v="627.83207500000003"/>
    <n v="0"/>
    <n v="1410.0765665254239"/>
    <n v="3376.139171214576"/>
    <n v="0.70538800509831445"/>
    <x v="1"/>
    <s v="GRAVE"/>
    <x v="3"/>
    <x v="0"/>
    <n v="63"/>
    <n v="1"/>
    <d v="2017-05-23T00:00:00"/>
    <s v="HYUNDAI"/>
    <s v="ELANTRA"/>
    <n v="14925.4625"/>
    <d v="2017-05-24T00:00:00"/>
    <n v="38"/>
    <x v="122"/>
  </r>
  <r>
    <d v="2017-07-25T00:00:00"/>
    <s v="001-00009872"/>
    <n v="1940.6604692469998"/>
    <n v="0"/>
    <n v="82.615000000000009"/>
    <n v="0"/>
    <n v="0"/>
    <n v="117"/>
    <n v="402.85374999999999"/>
    <n v="0"/>
    <n v="602.46875"/>
    <n v="1338.1917192469998"/>
    <n v="0.68955478840986273"/>
    <x v="0"/>
    <s v="MEDIANO"/>
    <x v="3"/>
    <x v="0"/>
    <n v="18"/>
    <n v="1"/>
    <d v="2017-07-07T00:00:00"/>
    <s v="KIA"/>
    <s v="RIO"/>
    <n v="132.21"/>
    <d v="2017-07-07T00:00:00"/>
    <n v="8"/>
    <x v="123"/>
  </r>
  <r>
    <d v="2017-07-25T00:00:00"/>
    <s v="001-00009996"/>
    <n v="296.61020000000002"/>
    <n v="101.36452525"/>
    <n v="0"/>
    <n v="0"/>
    <n v="39.048749999999998"/>
    <n v="0"/>
    <n v="0"/>
    <n v="0"/>
    <n v="140.41327525"/>
    <n v="156.19692475000002"/>
    <n v="0.52660672070616588"/>
    <x v="0"/>
    <s v="-"/>
    <x v="3"/>
    <x v="0"/>
    <n v="0"/>
    <n v="1"/>
    <d v="2017-07-25T00:00:00"/>
    <s v="HYUNDAI"/>
    <s v="H1"/>
    <n v="0"/>
    <d v="2017-07-25T00:00:00"/>
    <n v="0"/>
    <x v="121"/>
  </r>
  <r>
    <d v="2017-07-25T00:00:00"/>
    <s v="001-00009837"/>
    <n v="3847.6950000000002"/>
    <n v="0"/>
    <n v="65.254745762711863"/>
    <n v="135.6"/>
    <n v="198.89999999999998"/>
    <n v="351"/>
    <n v="433.84250000000003"/>
    <n v="113.75"/>
    <n v="1298.3472457627117"/>
    <n v="2549.3477542372884"/>
    <n v="0.66256492633571229"/>
    <x v="1"/>
    <s v="MEDIANO"/>
    <x v="3"/>
    <x v="0"/>
    <n v="21"/>
    <n v="1"/>
    <d v="2017-07-04T00:00:00"/>
    <s v="KIA"/>
    <s v="RIO"/>
    <n v="10526.099999999999"/>
    <d v="2017-07-06T00:00:00"/>
    <n v="24"/>
    <x v="124"/>
  </r>
  <r>
    <d v="2017-07-25T00:00:00"/>
    <s v="001-00009922"/>
    <n v="1870.0794529"/>
    <n v="0"/>
    <n v="0"/>
    <n v="16.95"/>
    <n v="43.875"/>
    <n v="58.5"/>
    <n v="325.38187500000004"/>
    <n v="113.75"/>
    <n v="558.45687500000008"/>
    <n v="1311.6225778999999"/>
    <n v="0.70137264802627464"/>
    <x v="1"/>
    <s v="LEVE"/>
    <x v="3"/>
    <x v="0"/>
    <n v="8"/>
    <n v="1"/>
    <d v="2017-07-17T00:00:00"/>
    <s v="HYUNDAI"/>
    <s v="TUCSON"/>
    <n v="698.42500000000007"/>
    <d v="2017-07-18T00:00:00"/>
    <n v="4"/>
    <x v="1"/>
  </r>
  <r>
    <d v="2017-07-25T00:00:00"/>
    <s v="001-00009528"/>
    <n v="2078.08"/>
    <n v="0"/>
    <n v="0"/>
    <n v="16.95"/>
    <n v="14.625"/>
    <n v="190.125"/>
    <n v="371.86500000000001"/>
    <n v="0"/>
    <n v="593.56500000000005"/>
    <n v="1484.5149999999999"/>
    <n v="0.71436855174006775"/>
    <x v="1"/>
    <s v="MEDIANO"/>
    <x v="3"/>
    <x v="0"/>
    <n v="70"/>
    <n v="1"/>
    <d v="2017-05-16T00:00:00"/>
    <s v="CHEVROLET"/>
    <s v="SAIL"/>
    <n v="4984.5574999999999"/>
    <d v="2017-06-30T00:00:00"/>
    <n v="13"/>
    <x v="1"/>
  </r>
  <r>
    <d v="2017-07-26T00:00:00"/>
    <s v="001-00009995"/>
    <n v="590"/>
    <n v="206.8404022"/>
    <n v="0"/>
    <n v="38.14"/>
    <n v="39.048749999999998"/>
    <n v="0"/>
    <n v="0"/>
    <n v="0"/>
    <n v="284.0291522"/>
    <n v="305.9708478"/>
    <n v="0.51859465728813559"/>
    <x v="0"/>
    <s v="-"/>
    <x v="3"/>
    <x v="0"/>
    <n v="1"/>
    <n v="1"/>
    <d v="2017-07-25T00:00:00"/>
    <s v="SUZUKI"/>
    <s v="SWIFT"/>
    <n v="178.88"/>
    <d v="2017-07-25T00:00:00"/>
    <n v="0"/>
    <x v="125"/>
  </r>
  <r>
    <d v="2017-07-26T00:00:00"/>
    <s v="001-00009987"/>
    <n v="895"/>
    <n v="274.32452624999996"/>
    <n v="29.66"/>
    <n v="50.85"/>
    <n v="39.048749999999998"/>
    <n v="0"/>
    <n v="0"/>
    <n v="0"/>
    <n v="393.88327624999999"/>
    <n v="501.11672375000001"/>
    <n v="0.55990695391061451"/>
    <x v="0"/>
    <s v="-"/>
    <x v="3"/>
    <x v="0"/>
    <n v="2"/>
    <n v="1"/>
    <d v="2017-07-24T00:00:00"/>
    <s v="HYUNDAI"/>
    <s v="TUCSON"/>
    <n v="392.5675"/>
    <d v="2017-07-24T00:00:00"/>
    <n v="0"/>
    <x v="28"/>
  </r>
  <r>
    <d v="2017-07-26T00:00:00"/>
    <s v="001-00009899"/>
    <n v="1120.5599654999999"/>
    <n v="0"/>
    <n v="0"/>
    <n v="0"/>
    <n v="0"/>
    <n v="117"/>
    <n v="185.9325"/>
    <n v="0"/>
    <n v="302.9325"/>
    <n v="817.62746549999986"/>
    <n v="0.72965971538628915"/>
    <x v="1"/>
    <s v="MEDIANO"/>
    <x v="3"/>
    <x v="0"/>
    <n v="15"/>
    <n v="1"/>
    <d v="2017-07-11T00:00:00"/>
    <s v="FAW"/>
    <s v="CA6390B5"/>
    <n v="689"/>
    <d v="2017-07-12T00:00:00"/>
    <n v="8"/>
    <x v="107"/>
  </r>
  <r>
    <d v="2017-07-26T00:00:00"/>
    <s v="001-00009967"/>
    <n v="357.279989"/>
    <n v="0"/>
    <n v="0"/>
    <n v="0"/>
    <n v="0"/>
    <n v="55.574999999999996"/>
    <n v="77.471874999999997"/>
    <n v="0"/>
    <n v="133.046875"/>
    <n v="224.233114"/>
    <n v="0.62761173562396189"/>
    <x v="0"/>
    <s v="LEVE"/>
    <x v="3"/>
    <x v="0"/>
    <n v="5"/>
    <n v="1"/>
    <d v="2017-07-21T00:00:00"/>
    <s v="FAW"/>
    <s v="CA6390B5"/>
    <n v="0"/>
    <d v="2017-07-21T00:00:00"/>
    <n v="3.8"/>
    <x v="107"/>
  </r>
  <r>
    <d v="2017-07-26T00:00:00"/>
    <s v="001-00010005"/>
    <n v="350"/>
    <n v="63.467301199999994"/>
    <n v="0"/>
    <n v="0"/>
    <n v="39.048749999999998"/>
    <n v="0"/>
    <n v="0"/>
    <n v="0"/>
    <n v="102.51605119999999"/>
    <n v="247.48394880000001"/>
    <n v="0.70709699657142855"/>
    <x v="0"/>
    <s v="-"/>
    <x v="3"/>
    <x v="0"/>
    <n v="0"/>
    <n v="1"/>
    <d v="2017-07-26T00:00:00"/>
    <s v="SUZUKI"/>
    <s v="APV"/>
    <n v="0"/>
    <d v="2017-07-26T00:00:00"/>
    <n v="0"/>
    <x v="126"/>
  </r>
  <r>
    <d v="2017-07-26T00:00:00"/>
    <s v="001-00009945"/>
    <n v="1445.3599555000001"/>
    <n v="0"/>
    <n v="0"/>
    <n v="0"/>
    <n v="0"/>
    <n v="175.5"/>
    <n v="232.41562500000001"/>
    <n v="0"/>
    <n v="407.91562499999998"/>
    <n v="1037.4443305"/>
    <n v="0.71777575305876806"/>
    <x v="1"/>
    <s v="MEDIANO"/>
    <x v="3"/>
    <x v="0"/>
    <n v="8"/>
    <n v="1"/>
    <d v="2017-07-18T00:00:00"/>
    <s v="TOYOTA"/>
    <s v="AVANZA"/>
    <n v="878.54"/>
    <d v="2017-07-20T00:00:00"/>
    <n v="12"/>
    <x v="1"/>
  </r>
  <r>
    <d v="2017-07-26T00:00:00"/>
    <s v="001-00009927"/>
    <n v="1254.5536029745799"/>
    <n v="0"/>
    <n v="0"/>
    <n v="0"/>
    <n v="23.400000000000002"/>
    <n v="102.375"/>
    <n v="216.92125000000001"/>
    <n v="0"/>
    <n v="342.69625000000002"/>
    <n v="911.85735297457995"/>
    <n v="0.72683809668438393"/>
    <x v="1"/>
    <s v="LEVE"/>
    <x v="3"/>
    <x v="0"/>
    <n v="9"/>
    <n v="1"/>
    <d v="2017-07-17T00:00:00"/>
    <s v="SUZUKI"/>
    <s v="SWIFT"/>
    <n v="1402.5375000000001"/>
    <d v="2017-07-18T00:00:00"/>
    <n v="7"/>
    <x v="1"/>
  </r>
  <r>
    <d v="2017-07-26T00:00:00"/>
    <s v="001-00009938"/>
    <n v="608.99998125000002"/>
    <n v="0"/>
    <n v="0"/>
    <n v="0"/>
    <n v="0"/>
    <n v="73.125"/>
    <n v="92.966250000000002"/>
    <n v="0"/>
    <n v="166.09125"/>
    <n v="442.90873125000002"/>
    <n v="0.7272721590908916"/>
    <x v="1"/>
    <s v="LEVE"/>
    <x v="3"/>
    <x v="0"/>
    <n v="8"/>
    <n v="1"/>
    <d v="2017-07-18T00:00:00"/>
    <s v="VOLKSWAGEN"/>
    <s v="VOYAGE"/>
    <n v="1593.67"/>
    <d v="2017-07-18T00:00:00"/>
    <n v="5"/>
    <x v="1"/>
  </r>
  <r>
    <d v="2017-07-26T00:00:00"/>
    <s v="001-00009723"/>
    <n v="2241.1199309999997"/>
    <n v="0"/>
    <n v="0"/>
    <n v="0"/>
    <n v="73.125"/>
    <n v="131.625"/>
    <n v="371.86500000000001"/>
    <n v="0"/>
    <n v="576.61500000000001"/>
    <n v="1664.5049309999997"/>
    <n v="0.74271122574742743"/>
    <x v="1"/>
    <s v="MEDIANO"/>
    <x v="3"/>
    <x v="0"/>
    <n v="41"/>
    <n v="1"/>
    <d v="2017-06-15T00:00:00"/>
    <s v="KIA"/>
    <s v="RIO"/>
    <n v="11082.5"/>
    <d v="2017-07-04T00:00:00"/>
    <n v="9"/>
    <x v="1"/>
  </r>
  <r>
    <d v="2017-07-26T00:00:00"/>
    <s v="001-00009950"/>
    <n v="876.95997299999999"/>
    <n v="0"/>
    <n v="0"/>
    <n v="0"/>
    <n v="0"/>
    <n v="43.875"/>
    <n v="123.955"/>
    <n v="113.75"/>
    <n v="281.58"/>
    <n v="595.37997300000006"/>
    <n v="0.67891350954509311"/>
    <x v="1"/>
    <s v="LEVE"/>
    <x v="3"/>
    <x v="0"/>
    <n v="7"/>
    <n v="1"/>
    <d v="2017-07-19T00:00:00"/>
    <s v="KIA"/>
    <s v="CERATO"/>
    <n v="773.24"/>
    <d v="2017-07-20T00:00:00"/>
    <n v="3"/>
    <x v="1"/>
  </r>
  <r>
    <d v="2017-07-27T00:00:00"/>
    <s v="001-00009974"/>
    <n v="225"/>
    <n v="49.649701200000003"/>
    <n v="0"/>
    <n v="0"/>
    <n v="39.048749999999998"/>
    <n v="0"/>
    <n v="0"/>
    <n v="0"/>
    <n v="88.698451199999994"/>
    <n v="136.30154880000001"/>
    <n v="0.60578466133333331"/>
    <x v="0"/>
    <s v="-"/>
    <x v="3"/>
    <x v="0"/>
    <n v="6"/>
    <n v="1"/>
    <d v="2017-07-21T00:00:00"/>
    <s v="SUZUKI"/>
    <s v="SWIFT"/>
    <n v="0"/>
    <d v="2017-07-21T00:00:00"/>
    <n v="0"/>
    <x v="127"/>
  </r>
  <r>
    <d v="2017-07-27T00:00:00"/>
    <s v="001-00009959"/>
    <n v="1943.5933"/>
    <n v="921.95069479999984"/>
    <n v="0"/>
    <n v="67.8"/>
    <n v="78.097499999999997"/>
    <n v="0"/>
    <n v="0"/>
    <n v="0"/>
    <n v="1067.8481947999999"/>
    <n v="875.74510520000013"/>
    <n v="0.45058043017538707"/>
    <x v="0"/>
    <s v="-"/>
    <x v="3"/>
    <x v="0"/>
    <n v="7"/>
    <n v="1"/>
    <d v="2017-07-20T00:00:00"/>
    <s v="NISSAN"/>
    <s v="SENTRA"/>
    <n v="1370.2325000000001"/>
    <d v="2017-07-20T00:00:00"/>
    <n v="0"/>
    <x v="128"/>
  </r>
  <r>
    <d v="2017-07-27T00:00:00"/>
    <s v="001-00009923"/>
    <n v="48.75"/>
    <n v="0"/>
    <n v="0"/>
    <n v="0"/>
    <n v="14.625"/>
    <n v="0"/>
    <n v="0"/>
    <n v="0"/>
    <n v="14.625"/>
    <n v="34.125"/>
    <n v="0.7"/>
    <x v="1"/>
    <s v="LEVE"/>
    <x v="3"/>
    <x v="0"/>
    <n v="10"/>
    <n v="1"/>
    <d v="2017-07-17T00:00:00"/>
    <s v="MAZDA"/>
    <s v="MAZDA 3"/>
    <n v="1235"/>
    <d v="2017-07-18T00:00:00"/>
    <n v="0"/>
    <x v="1"/>
  </r>
  <r>
    <d v="2017-07-27T00:00:00"/>
    <s v="001-00009953"/>
    <n v="845"/>
    <n v="0"/>
    <n v="0"/>
    <n v="0"/>
    <n v="0"/>
    <n v="58.5"/>
    <n v="123.955"/>
    <n v="0"/>
    <n v="182.45499999999998"/>
    <n v="662.54500000000007"/>
    <n v="0.78407692307692312"/>
    <x v="1"/>
    <s v="LEVE"/>
    <x v="3"/>
    <x v="0"/>
    <n v="7"/>
    <n v="1"/>
    <d v="2017-07-20T00:00:00"/>
    <s v="KIA"/>
    <s v="RIO"/>
    <n v="316.84249999999997"/>
    <d v="2017-07-20T00:00:00"/>
    <n v="4"/>
    <x v="1"/>
  </r>
  <r>
    <d v="2017-07-27T00:00:00"/>
    <s v="001-00009870"/>
    <n v="4119.375"/>
    <n v="0"/>
    <n v="0"/>
    <n v="0"/>
    <n v="58.5"/>
    <n v="409.5"/>
    <n v="650.76375000000007"/>
    <n v="113.75"/>
    <n v="1232.5137500000001"/>
    <n v="2886.8612499999999"/>
    <n v="0.70080078895463505"/>
    <x v="1"/>
    <s v="GRAVE"/>
    <x v="3"/>
    <x v="0"/>
    <n v="20"/>
    <n v="1"/>
    <d v="2017-07-07T00:00:00"/>
    <s v="TOYOTA"/>
    <s v="YARIS"/>
    <n v="18157.782500000001"/>
    <d v="2017-07-10T00:00:00"/>
    <n v="28"/>
    <x v="1"/>
  </r>
  <r>
    <d v="2017-07-27T00:00:00"/>
    <s v="001-00009928"/>
    <n v="1681.875"/>
    <n v="0"/>
    <n v="0"/>
    <n v="0"/>
    <n v="0"/>
    <n v="146.25"/>
    <n v="278.89875000000001"/>
    <n v="113.75"/>
    <n v="538.89875000000006"/>
    <n v="1142.9762499999999"/>
    <n v="0.67958454106280186"/>
    <x v="1"/>
    <s v="MEDIANO"/>
    <x v="3"/>
    <x v="0"/>
    <n v="10"/>
    <n v="1"/>
    <d v="2017-07-17T00:00:00"/>
    <s v="SUZUKI"/>
    <s v="SWIFT"/>
    <n v="0"/>
    <d v="2017-07-18T00:00:00"/>
    <n v="10"/>
    <x v="1"/>
  </r>
  <r>
    <d v="2017-07-27T00:00:00"/>
    <s v="001-00009939"/>
    <n v="713.375"/>
    <n v="0"/>
    <n v="0"/>
    <n v="0"/>
    <n v="0"/>
    <n v="58.5"/>
    <n v="123.955"/>
    <n v="0"/>
    <n v="182.45499999999998"/>
    <n v="530.92000000000007"/>
    <n v="0.74423690205011395"/>
    <x v="1"/>
    <s v="LEVE"/>
    <x v="3"/>
    <x v="0"/>
    <n v="9"/>
    <n v="1"/>
    <d v="2017-07-18T00:00:00"/>
    <s v="HYUNDAI"/>
    <s v="ACCENT"/>
    <n v="416.74749999999995"/>
    <d v="2017-07-20T00:00:00"/>
    <n v="4"/>
    <x v="1"/>
  </r>
  <r>
    <d v="2017-07-27T00:00:00"/>
    <s v="001-00009883"/>
    <n v="1446.4151000000002"/>
    <n v="0"/>
    <n v="0"/>
    <n v="46.611016949152543"/>
    <n v="0"/>
    <n v="102.375"/>
    <n v="185.9325"/>
    <n v="0"/>
    <n v="334.91851694915255"/>
    <n v="1111.4965830508477"/>
    <n v="0.76844923912288221"/>
    <x v="1"/>
    <s v="LEVE"/>
    <x v="3"/>
    <x v="0"/>
    <n v="18"/>
    <n v="1"/>
    <d v="2017-07-09T00:00:00"/>
    <s v="VOLKSWAGEN"/>
    <s v="CROSSFOX"/>
    <n v="2237.4300000000003"/>
    <d v="2017-07-10T00:00:00"/>
    <n v="7"/>
    <x v="1"/>
  </r>
  <r>
    <d v="2017-07-27T00:00:00"/>
    <s v="001-00009975"/>
    <n v="938.45114999999987"/>
    <n v="0"/>
    <n v="0"/>
    <n v="41.313559322033903"/>
    <n v="14.625"/>
    <n v="73.125"/>
    <n v="139.449375"/>
    <n v="227.5"/>
    <n v="496.01293432203391"/>
    <n v="442.43821567796596"/>
    <n v="0.47145577655050669"/>
    <x v="1"/>
    <s v="LEVE"/>
    <x v="3"/>
    <x v="0"/>
    <n v="6"/>
    <n v="1"/>
    <d v="2017-07-21T00:00:00"/>
    <s v="KIA"/>
    <s v="CERATO"/>
    <n v="1137.5"/>
    <d v="2017-07-20T00:00:00"/>
    <n v="5"/>
    <x v="1"/>
  </r>
  <r>
    <d v="2017-07-27T00:00:00"/>
    <s v="001-00009994"/>
    <n v="503.75"/>
    <n v="0"/>
    <n v="0"/>
    <n v="0"/>
    <n v="0"/>
    <n v="29.25"/>
    <n v="61.977499999999999"/>
    <n v="0"/>
    <n v="91.227499999999992"/>
    <n v="412.52250000000004"/>
    <n v="0.8189032258064517"/>
    <x v="1"/>
    <s v="LEVE"/>
    <x v="3"/>
    <x v="0"/>
    <n v="3"/>
    <n v="1"/>
    <d v="2017-07-24T00:00:00"/>
    <s v="KIA"/>
    <s v="CERATO"/>
    <n v="1105.26"/>
    <d v="2017-07-20T00:00:00"/>
    <n v="2"/>
    <x v="1"/>
  </r>
  <r>
    <d v="2017-07-27T00:00:00"/>
    <s v="001-00010011"/>
    <n v="296.61020000000002"/>
    <n v="101.36452525"/>
    <n v="0"/>
    <n v="0"/>
    <n v="39.048749999999998"/>
    <n v="0"/>
    <n v="0"/>
    <n v="0"/>
    <n v="140.41327525"/>
    <n v="156.19692475000002"/>
    <n v="0.52660672070616588"/>
    <x v="0"/>
    <s v="-"/>
    <x v="3"/>
    <x v="0"/>
    <n v="0"/>
    <n v="1"/>
    <d v="2017-07-27T00:00:00"/>
    <s v="HYUNDAI"/>
    <s v="H1"/>
    <n v="0"/>
    <d v="2017-07-27T00:00:00"/>
    <n v="0"/>
    <x v="121"/>
  </r>
  <r>
    <d v="2017-07-27T00:00:00"/>
    <s v="001-00010009"/>
    <n v="560"/>
    <n v="66.111699799999997"/>
    <n v="0"/>
    <n v="38.14"/>
    <n v="39.048749999999998"/>
    <n v="0"/>
    <n v="0"/>
    <n v="0"/>
    <n v="143.3004498"/>
    <n v="416.69955019999998"/>
    <n v="0.74410633964285711"/>
    <x v="0"/>
    <s v="-"/>
    <x v="3"/>
    <x v="0"/>
    <n v="1"/>
    <n v="1"/>
    <d v="2017-07-26T00:00:00"/>
    <s v="SUZUKI"/>
    <s v="APV"/>
    <n v="0"/>
    <d v="2017-07-26T00:00:00"/>
    <n v="0"/>
    <x v="93"/>
  </r>
  <r>
    <d v="2017-07-27T00:00:00"/>
    <s v="001-00010016"/>
    <n v="523.3049575"/>
    <n v="0"/>
    <n v="357.5"/>
    <n v="0"/>
    <n v="0"/>
    <n v="0"/>
    <n v="0"/>
    <n v="0"/>
    <n v="357.5"/>
    <n v="165.8049575"/>
    <n v="0.31684193914788206"/>
    <x v="0"/>
    <s v="-"/>
    <x v="3"/>
    <x v="0"/>
    <n v="0"/>
    <n v="1"/>
    <d v="2017-07-27T00:00:00"/>
    <s v="CHEVROLET"/>
    <s v="AVEO"/>
    <n v="0"/>
    <s v="F/Fecha"/>
    <n v="0"/>
    <x v="129"/>
  </r>
  <r>
    <d v="2017-07-27T00:00:00"/>
    <s v="001-00010013"/>
    <n v="314.10169999999999"/>
    <n v="88.879702999999992"/>
    <n v="0"/>
    <n v="0"/>
    <n v="39.048749999999998"/>
    <n v="0"/>
    <n v="0"/>
    <n v="0"/>
    <n v="127.92845299999999"/>
    <n v="186.173247"/>
    <n v="0.59271645775874504"/>
    <x v="0"/>
    <s v="-"/>
    <x v="3"/>
    <x v="0"/>
    <n v="0"/>
    <n v="1"/>
    <d v="2017-07-27T00:00:00"/>
    <s v="CHEVROLET"/>
    <s v="AVEO"/>
    <n v="0"/>
    <d v="2017-07-27T00:00:00"/>
    <n v="0"/>
    <x v="129"/>
  </r>
  <r>
    <d v="2017-07-31T00:00:00"/>
    <s v="001-00009949"/>
    <n v="2367.3770575000003"/>
    <n v="0"/>
    <n v="55.084745762711869"/>
    <n v="0"/>
    <n v="0"/>
    <n v="234"/>
    <n v="402.85374999999999"/>
    <n v="0"/>
    <n v="691.93849576271191"/>
    <n v="1675.4385617372884"/>
    <n v="0.70771935396999519"/>
    <x v="1"/>
    <s v="MEDIANO"/>
    <x v="3"/>
    <x v="0"/>
    <n v="12"/>
    <n v="1"/>
    <d v="2017-07-19T00:00:00"/>
    <s v="HYUNDAI"/>
    <s v="TUCSON"/>
    <n v="4816.6949999999997"/>
    <d v="2017-07-18T00:00:00"/>
    <n v="16"/>
    <x v="1"/>
  </r>
  <r>
    <d v="2017-07-31T00:00:00"/>
    <s v="001-00008884"/>
    <n v="3325.5761825"/>
    <n v="0"/>
    <n v="0"/>
    <n v="0"/>
    <n v="0"/>
    <n v="0"/>
    <n v="0"/>
    <n v="0"/>
    <n v="0"/>
    <n v="3325.5761825"/>
    <n v="1"/>
    <x v="2"/>
    <s v="MEDIANO"/>
    <x v="3"/>
    <x v="0"/>
    <n v="181"/>
    <n v="1"/>
    <d v="2017-01-31T00:00:00"/>
    <s v="SUZUKI"/>
    <s v="CELERIO"/>
    <n v="0"/>
    <s v="F/Fecha"/>
    <n v="0"/>
    <x v="2"/>
  </r>
  <r>
    <d v="2017-07-31T00:00:00"/>
    <s v="001-00009944"/>
    <n v="1356.875"/>
    <n v="0"/>
    <n v="0"/>
    <n v="0"/>
    <n v="0"/>
    <n v="175.5"/>
    <n v="201.426875"/>
    <n v="0"/>
    <n v="376.926875"/>
    <n v="979.948125"/>
    <n v="0.72220958083832332"/>
    <x v="1"/>
    <s v="MEDIANO"/>
    <x v="3"/>
    <x v="0"/>
    <n v="13"/>
    <n v="1"/>
    <d v="2017-07-18T00:00:00"/>
    <s v="NISSAN"/>
    <s v="SENTRA"/>
    <n v="1954.1599999999999"/>
    <d v="2017-07-20T00:00:00"/>
    <n v="12"/>
    <x v="1"/>
  </r>
  <r>
    <d v="2017-08-01T00:00:00"/>
    <s v="001-00009988"/>
    <n v="1765.37895825339"/>
    <n v="0"/>
    <n v="126.75"/>
    <n v="0"/>
    <n v="0"/>
    <n v="204.75"/>
    <n v="278.89875000000001"/>
    <n v="0"/>
    <n v="610.39875000000006"/>
    <n v="1154.9802082533899"/>
    <n v="0.65423925149537909"/>
    <x v="0"/>
    <s v="MEDIANO"/>
    <x v="4"/>
    <x v="0"/>
    <n v="8"/>
    <n v="1"/>
    <d v="2017-07-24T00:00:00"/>
    <s v="TOYOTA"/>
    <s v="COROLLA"/>
    <n v="0"/>
    <d v="2017-07-24T00:00:00"/>
    <n v="14"/>
    <x v="130"/>
  </r>
  <r>
    <d v="2017-08-01T00:00:00"/>
    <s v="001-00010045"/>
    <n v="450"/>
    <n v="159.41730200000001"/>
    <n v="0"/>
    <n v="0"/>
    <n v="39.048749999999998"/>
    <n v="0"/>
    <n v="0"/>
    <n v="0"/>
    <n v="198.46605199999999"/>
    <n v="251.53394800000001"/>
    <n v="0.55896432888888892"/>
    <x v="0"/>
    <s v="LEVE"/>
    <x v="4"/>
    <x v="0"/>
    <n v="-1"/>
    <n v="1"/>
    <d v="2017-08-02T00:00:00"/>
    <s v="HYUNDAI"/>
    <s v="ACCENT"/>
    <n v="0"/>
    <d v="2017-08-02T00:00:00"/>
    <n v="0"/>
    <x v="131"/>
  </r>
  <r>
    <d v="2017-08-02T00:00:00"/>
    <s v="001-00010038"/>
    <n v="329.51901600000008"/>
    <n v="0"/>
    <n v="0"/>
    <n v="0"/>
    <n v="0"/>
    <n v="0"/>
    <n v="61.977499999999999"/>
    <n v="0"/>
    <n v="61.977499999999999"/>
    <n v="267.54151600000006"/>
    <n v="0.81191525529440156"/>
    <x v="0"/>
    <s v="LEVE"/>
    <x v="4"/>
    <x v="0"/>
    <n v="0"/>
    <n v="1"/>
    <d v="2017-08-02T00:00:00"/>
    <s v="MITSUBISHI"/>
    <s v="ASX"/>
    <n v="0"/>
    <d v="2017-08-01T00:00:00"/>
    <n v="0"/>
    <x v="132"/>
  </r>
  <r>
    <d v="2017-08-02T00:00:00"/>
    <s v="001-00009924"/>
    <n v="1053"/>
    <n v="0"/>
    <n v="0"/>
    <n v="0"/>
    <n v="0"/>
    <n v="102.375"/>
    <n v="185.9325"/>
    <n v="0"/>
    <n v="288.3075"/>
    <n v="764.6925"/>
    <n v="0.72620370370370368"/>
    <x v="2"/>
    <s v="LEVE"/>
    <x v="4"/>
    <x v="0"/>
    <n v="16"/>
    <n v="1"/>
    <d v="2017-07-17T00:00:00"/>
    <s v="GREAT WALL"/>
    <s v="HAVAL 6"/>
    <n v="0"/>
    <d v="2017-07-18T00:00:00"/>
    <n v="7"/>
    <x v="2"/>
  </r>
  <r>
    <d v="2017-08-03T00:00:00"/>
    <s v="001-00009960"/>
    <n v="1540"/>
    <n v="544.07001060000005"/>
    <n v="0"/>
    <n v="0"/>
    <n v="39.048749999999998"/>
    <n v="0"/>
    <n v="0"/>
    <n v="0"/>
    <n v="583.11876060000009"/>
    <n v="956.88123939999991"/>
    <n v="0.62135145415584414"/>
    <x v="0"/>
    <s v="-"/>
    <x v="4"/>
    <x v="0"/>
    <n v="14"/>
    <n v="1"/>
    <d v="2017-07-20T00:00:00"/>
    <s v="KIA"/>
    <s v="PICANTO"/>
    <n v="298.15499999999997"/>
    <d v="2017-07-20T00:00:00"/>
    <n v="0"/>
    <x v="37"/>
  </r>
  <r>
    <d v="2017-08-03T00:00:00"/>
    <s v="001-00010018"/>
    <n v="1511.10175801017"/>
    <n v="0"/>
    <n v="0"/>
    <n v="65.550847457627128"/>
    <n v="0"/>
    <n v="102.375"/>
    <n v="340.87625000000003"/>
    <n v="0"/>
    <n v="508.80209745762716"/>
    <n v="1002.2996605525428"/>
    <n v="0.66329064554353934"/>
    <x v="0"/>
    <s v="LEVE"/>
    <x v="4"/>
    <x v="0"/>
    <n v="3"/>
    <n v="1"/>
    <d v="2017-07-31T00:00:00"/>
    <s v="TOYOTA"/>
    <s v="COROLLA"/>
    <n v="0"/>
    <d v="2017-07-31T00:00:00"/>
    <n v="7"/>
    <x v="133"/>
  </r>
  <r>
    <d v="2017-08-04T00:00:00"/>
    <s v="001-00010034"/>
    <n v="942.04360799999995"/>
    <n v="0"/>
    <n v="0"/>
    <n v="0"/>
    <n v="0"/>
    <n v="87.75"/>
    <n v="123.955"/>
    <n v="0"/>
    <n v="211.70499999999998"/>
    <n v="730.33860800000002"/>
    <n v="0.77527048832754253"/>
    <x v="1"/>
    <s v="LEVE"/>
    <x v="4"/>
    <x v="0"/>
    <n v="3"/>
    <n v="1"/>
    <d v="2017-08-01T00:00:00"/>
    <s v="KIA"/>
    <s v="RIO"/>
    <n v="687.47249999999997"/>
    <d v="2017-08-01T00:00:00"/>
    <n v="6"/>
    <x v="101"/>
  </r>
  <r>
    <d v="2017-08-04T00:00:00"/>
    <s v="001-00010000"/>
    <n v="1989.3600000000001"/>
    <n v="0"/>
    <n v="0"/>
    <n v="213.77169491525424"/>
    <n v="0"/>
    <n v="204.75"/>
    <n v="241.71225000000001"/>
    <n v="0"/>
    <n v="660.23394491525426"/>
    <n v="1329.126055084746"/>
    <n v="0.66811741217514475"/>
    <x v="1"/>
    <s v="MEDIANO"/>
    <x v="4"/>
    <x v="0"/>
    <n v="10"/>
    <n v="1"/>
    <d v="2017-07-25T00:00:00"/>
    <s v="KIA"/>
    <s v="SPORTAGE"/>
    <n v="741.91"/>
    <d v="2017-07-26T00:00:00"/>
    <n v="14"/>
    <x v="1"/>
  </r>
  <r>
    <d v="2017-08-04T00:00:00"/>
    <s v="001-00009946"/>
    <n v="2324.7000000000003"/>
    <n v="0"/>
    <n v="0"/>
    <n v="0"/>
    <n v="14.625"/>
    <n v="234"/>
    <n v="387.359375"/>
    <n v="0"/>
    <n v="635.984375"/>
    <n v="1688.7156250000003"/>
    <n v="0.72642303307953715"/>
    <x v="1"/>
    <s v="MEDIANO"/>
    <x v="4"/>
    <x v="0"/>
    <n v="17"/>
    <n v="1"/>
    <d v="2017-07-18T00:00:00"/>
    <s v="NISSAN"/>
    <s v="SENTRA"/>
    <n v="654.48500000000001"/>
    <d v="2017-07-20T00:00:00"/>
    <n v="16"/>
    <x v="1"/>
  </r>
  <r>
    <d v="2017-08-04T00:00:00"/>
    <s v="001-00009991"/>
    <n v="2416.2987204000001"/>
    <n v="0"/>
    <n v="0"/>
    <n v="0"/>
    <n v="0"/>
    <n v="292.5"/>
    <n v="297.49200000000002"/>
    <n v="0"/>
    <n v="589.99199999999996"/>
    <n v="1826.3067204000001"/>
    <n v="0.75582820326853828"/>
    <x v="1"/>
    <s v="MEDIANO"/>
    <x v="4"/>
    <x v="0"/>
    <n v="11"/>
    <n v="1"/>
    <d v="2017-07-24T00:00:00"/>
    <s v="SUZUKI"/>
    <s v="ERTIGA"/>
    <n v="1074.645"/>
    <d v="2017-07-25T00:00:00"/>
    <n v="20"/>
    <x v="1"/>
  </r>
  <r>
    <d v="2017-08-04T00:00:00"/>
    <s v="001-00009935"/>
    <n v="1125.9000000000001"/>
    <n v="0"/>
    <n v="0"/>
    <n v="0"/>
    <n v="0"/>
    <n v="117"/>
    <n v="154.94374999999999"/>
    <n v="0"/>
    <n v="271.94375000000002"/>
    <n v="853.95625000000007"/>
    <n v="0.75846544986233233"/>
    <x v="1"/>
    <s v="MEDIANO"/>
    <x v="4"/>
    <x v="0"/>
    <n v="17"/>
    <n v="1"/>
    <d v="2017-07-18T00:00:00"/>
    <s v="KIA"/>
    <s v="SPORTAGE"/>
    <n v="4014.7249999999999"/>
    <d v="2017-07-24T00:00:00"/>
    <n v="8"/>
    <x v="1"/>
  </r>
  <r>
    <d v="2017-08-05T00:00:00"/>
    <s v="001-00009845"/>
    <n v="389.04001199999999"/>
    <n v="0"/>
    <n v="0"/>
    <n v="0"/>
    <n v="117"/>
    <n v="0"/>
    <n v="0"/>
    <n v="0"/>
    <n v="117"/>
    <n v="272.04001199999999"/>
    <n v="0.69925972550093385"/>
    <x v="1"/>
    <s v="GRAVE"/>
    <x v="4"/>
    <x v="0"/>
    <n v="31"/>
    <n v="1"/>
    <d v="2017-07-05T00:00:00"/>
    <s v="LIFAN"/>
    <s v="LF6401"/>
    <n v="5193.5"/>
    <d v="2017-07-04T00:00:00"/>
    <n v="0"/>
    <x v="1"/>
  </r>
  <r>
    <d v="2017-08-05T00:00:00"/>
    <s v="001-00009918"/>
    <n v="1469.340290342031"/>
    <n v="0"/>
    <n v="0"/>
    <n v="55.084745762711869"/>
    <n v="0"/>
    <n v="146.25"/>
    <n v="185.9325"/>
    <n v="0"/>
    <n v="387.26724576271187"/>
    <n v="1082.0730445793192"/>
    <n v="0.73643461061524129"/>
    <x v="1"/>
    <s v="MEDIANO"/>
    <x v="4"/>
    <x v="0"/>
    <n v="22"/>
    <n v="1"/>
    <d v="2017-07-14T00:00:00"/>
    <s v="VOLKSWAGEN"/>
    <s v="GOL"/>
    <n v="0"/>
    <d v="2017-07-26T00:00:00"/>
    <n v="10"/>
    <x v="1"/>
  </r>
  <r>
    <d v="2017-08-05T00:00:00"/>
    <s v="001-00009958"/>
    <n v="3489.2162564454206"/>
    <n v="0"/>
    <n v="0"/>
    <n v="80.510000000000005"/>
    <n v="102.375"/>
    <n v="351"/>
    <n v="449.33687499999996"/>
    <n v="97.5"/>
    <n v="1080.721875"/>
    <n v="2408.4943814454209"/>
    <n v="0.69026801563140527"/>
    <x v="1"/>
    <s v="MEDIANO"/>
    <x v="4"/>
    <x v="0"/>
    <n v="16"/>
    <n v="1"/>
    <d v="2017-07-20T00:00:00"/>
    <s v="NISSAN"/>
    <s v="VERSA"/>
    <n v="3180.3199999999997"/>
    <d v="2017-07-21T00:00:00"/>
    <n v="24"/>
    <x v="1"/>
  </r>
  <r>
    <d v="2017-08-05T00:00:00"/>
    <s v="001-00009906"/>
    <n v="2308.1393451749191"/>
    <n v="0"/>
    <n v="10.17"/>
    <n v="0"/>
    <n v="29.25"/>
    <n v="146.25"/>
    <n v="464.83125000000001"/>
    <n v="0"/>
    <n v="650.50125000000003"/>
    <n v="1657.638095174919"/>
    <n v="0.71817071990915582"/>
    <x v="1"/>
    <s v="MEDIANO"/>
    <x v="4"/>
    <x v="0"/>
    <n v="24"/>
    <n v="1"/>
    <d v="2017-07-12T00:00:00"/>
    <s v="KIA"/>
    <s v="CERATO"/>
    <n v="3966.1699999999996"/>
    <d v="2017-07-18T00:00:00"/>
    <n v="10"/>
    <x v="1"/>
  </r>
  <r>
    <d v="2017-08-05T00:00:00"/>
    <s v="001-00009954"/>
    <n v="1797.3869010406797"/>
    <n v="0"/>
    <n v="0"/>
    <n v="0"/>
    <n v="0"/>
    <n v="146.25"/>
    <n v="317.94457499999999"/>
    <n v="0"/>
    <n v="464.19457499999999"/>
    <n v="1333.1923260406797"/>
    <n v="0.74173920221003431"/>
    <x v="1"/>
    <s v="MEDIANO"/>
    <x v="4"/>
    <x v="0"/>
    <n v="16"/>
    <n v="1"/>
    <d v="2017-07-20T00:00:00"/>
    <s v="HYUNDAI"/>
    <s v="ELANTRA"/>
    <n v="636.80499999999995"/>
    <d v="2017-07-20T00:00:00"/>
    <n v="10"/>
    <x v="1"/>
  </r>
  <r>
    <d v="2017-08-05T00:00:00"/>
    <s v="001-00009772"/>
    <n v="3140.7012456954208"/>
    <n v="0"/>
    <n v="55.09"/>
    <n v="0"/>
    <n v="14.625"/>
    <n v="438.75"/>
    <n v="387.359375"/>
    <n v="0"/>
    <n v="895.82437500000003"/>
    <n v="2244.8768706954206"/>
    <n v="0.71476931267251276"/>
    <x v="1"/>
    <s v="GRAVE"/>
    <x v="4"/>
    <x v="0"/>
    <n v="40"/>
    <n v="1"/>
    <d v="2017-06-26T00:00:00"/>
    <s v="KIA"/>
    <s v="RIO"/>
    <n v="8559.7849999999999"/>
    <d v="2017-06-26T00:00:00"/>
    <n v="30"/>
    <x v="1"/>
  </r>
  <r>
    <d v="2017-08-05T00:00:00"/>
    <s v="001-00010060"/>
    <n v="1260"/>
    <n v="281.53009970000005"/>
    <n v="0"/>
    <n v="38.14"/>
    <n v="63.472500000000004"/>
    <n v="0"/>
    <n v="0"/>
    <n v="0"/>
    <n v="383.14259970000006"/>
    <n v="876.85740029999988"/>
    <n v="0.6959185716666666"/>
    <x v="0"/>
    <s v="MEDIANO"/>
    <x v="4"/>
    <x v="0"/>
    <n v="2"/>
    <n v="1"/>
    <d v="2017-08-03T00:00:00"/>
    <s v="NISSAN"/>
    <s v="VERSA"/>
    <n v="725.53"/>
    <d v="2017-08-03T00:00:00"/>
    <n v="0"/>
    <x v="48"/>
  </r>
  <r>
    <d v="2017-08-07T00:00:00"/>
    <s v="001-00009829"/>
    <n v="2717.0982382093198"/>
    <n v="0"/>
    <n v="10.17"/>
    <n v="0"/>
    <n v="58.5"/>
    <n v="263.25"/>
    <n v="402.85374999999999"/>
    <n v="0"/>
    <n v="734.77375000000006"/>
    <n v="1982.3244882093197"/>
    <n v="0.72957409501533288"/>
    <x v="1"/>
    <s v="MEDIANO"/>
    <x v="4"/>
    <x v="0"/>
    <n v="35"/>
    <n v="1"/>
    <d v="2017-07-03T00:00:00"/>
    <s v="CHEVROLET"/>
    <s v="SAIL"/>
    <n v="7399.0149999999994"/>
    <d v="2017-07-12T00:00:00"/>
    <n v="18"/>
    <x v="1"/>
  </r>
  <r>
    <d v="2017-08-08T00:00:00"/>
    <s v="001-00010077"/>
    <n v="660"/>
    <n v="158.35955250000001"/>
    <n v="0"/>
    <n v="0"/>
    <n v="39.048749999999998"/>
    <n v="0"/>
    <n v="0"/>
    <n v="0"/>
    <n v="197.40830249999999"/>
    <n v="462.59169750000001"/>
    <n v="0.7008965113636364"/>
    <x v="1"/>
    <s v="LEVE"/>
    <x v="4"/>
    <x v="0"/>
    <n v="1"/>
    <n v="1"/>
    <d v="2017-08-07T00:00:00"/>
    <s v="TOYOTA"/>
    <s v="LAND CRUISER"/>
    <n v="59.604999999999997"/>
    <d v="2017-08-07T00:00:00"/>
    <n v="0"/>
    <x v="134"/>
  </r>
  <r>
    <d v="2017-08-08T00:00:00"/>
    <s v="001-00010023"/>
    <n v="1198.8503691999999"/>
    <n v="0"/>
    <n v="0"/>
    <n v="0"/>
    <n v="0"/>
    <n v="175.5"/>
    <n v="135.11095"/>
    <n v="113.75"/>
    <n v="424.36095"/>
    <n v="774.48941919999993"/>
    <n v="0.64602675955033606"/>
    <x v="1"/>
    <s v="MEDIANO"/>
    <x v="4"/>
    <x v="0"/>
    <n v="8"/>
    <n v="1"/>
    <d v="2017-07-31T00:00:00"/>
    <s v="TOYOTA"/>
    <s v="RAV4"/>
    <n v="0"/>
    <d v="2017-07-31T00:00:00"/>
    <n v="12"/>
    <x v="48"/>
  </r>
  <r>
    <d v="2017-08-08T00:00:00"/>
    <s v="001-00010090"/>
    <n v="349"/>
    <n v="111.186002"/>
    <n v="0"/>
    <n v="0"/>
    <n v="39.048749999999998"/>
    <n v="0"/>
    <n v="0"/>
    <n v="0"/>
    <n v="150.23475200000001"/>
    <n v="198.76524799999999"/>
    <n v="0.56952793123209167"/>
    <x v="1"/>
    <s v="LEVE"/>
    <x v="4"/>
    <x v="0"/>
    <n v="0"/>
    <n v="1"/>
    <d v="2017-08-08T00:00:00"/>
    <s v="HYUNDAI"/>
    <s v="ELANTRA"/>
    <n v="0"/>
    <d v="2017-08-08T00:00:00"/>
    <n v="0"/>
    <x v="27"/>
  </r>
  <r>
    <d v="2017-08-08T00:00:00"/>
    <s v="001-00010074"/>
    <n v="296.61020000000002"/>
    <n v="102.47262524999999"/>
    <n v="0"/>
    <n v="0"/>
    <n v="39.048749999999998"/>
    <n v="0"/>
    <n v="0"/>
    <n v="0"/>
    <n v="141.52137525000001"/>
    <n v="155.08882475000001"/>
    <n v="0.52287084109042781"/>
    <x v="1"/>
    <s v="LEVE"/>
    <x v="4"/>
    <x v="0"/>
    <n v="3"/>
    <n v="1"/>
    <d v="2017-08-05T00:00:00"/>
    <s v="HYUNDAI"/>
    <s v="H1"/>
    <n v="0"/>
    <d v="2017-08-05T00:00:00"/>
    <n v="0"/>
    <x v="121"/>
  </r>
  <r>
    <d v="2017-08-08T00:00:00"/>
    <s v="001-00010042"/>
    <n v="296.61020000000002"/>
    <n v="101.36452525000001"/>
    <n v="0"/>
    <n v="0"/>
    <n v="39.048749999999998"/>
    <n v="0"/>
    <n v="0"/>
    <n v="0"/>
    <n v="140.41327525000003"/>
    <n v="156.19692474999999"/>
    <n v="0.52660672070616577"/>
    <x v="0"/>
    <s v="-"/>
    <x v="4"/>
    <x v="0"/>
    <n v="6"/>
    <n v="1"/>
    <d v="2017-08-02T00:00:00"/>
    <s v="HYUNDAI"/>
    <s v="H1"/>
    <n v="0"/>
    <d v="2017-08-02T00:00:00"/>
    <n v="0"/>
    <x v="121"/>
  </r>
  <r>
    <d v="2017-08-08T00:00:00"/>
    <s v="001-00010039"/>
    <n v="296.61020000000002"/>
    <n v="101.36452525000001"/>
    <n v="0"/>
    <n v="0"/>
    <n v="39.048749999999998"/>
    <n v="0"/>
    <n v="0"/>
    <n v="0"/>
    <n v="140.41327525000003"/>
    <n v="156.19692474999999"/>
    <n v="0.52660672070616577"/>
    <x v="0"/>
    <s v="-"/>
    <x v="4"/>
    <x v="0"/>
    <n v="7"/>
    <n v="1"/>
    <d v="2017-08-01T00:00:00"/>
    <s v="HYUNDAI"/>
    <s v="H1"/>
    <n v="0"/>
    <d v="2017-08-02T00:00:00"/>
    <n v="0"/>
    <x v="121"/>
  </r>
  <r>
    <d v="2017-08-08T00:00:00"/>
    <s v="001-00010028"/>
    <n v="296.61020000000002"/>
    <n v="101.36452525000001"/>
    <n v="0"/>
    <n v="0"/>
    <n v="39.048749999999998"/>
    <n v="0"/>
    <n v="0"/>
    <n v="0"/>
    <n v="140.41327525000003"/>
    <n v="156.19692474999999"/>
    <n v="0.52660672070616577"/>
    <x v="0"/>
    <s v="LEVE"/>
    <x v="4"/>
    <x v="0"/>
    <n v="7"/>
    <n v="1"/>
    <d v="2017-08-01T00:00:00"/>
    <s v="HYUNDAI"/>
    <s v="H1"/>
    <n v="0"/>
    <d v="2017-08-01T00:00:00"/>
    <n v="0"/>
    <x v="121"/>
  </r>
  <r>
    <d v="2017-08-08T00:00:00"/>
    <s v="001-00010022"/>
    <n v="2132.9300000000003"/>
    <n v="0"/>
    <n v="0"/>
    <n v="0"/>
    <n v="14.625"/>
    <n v="175.5"/>
    <n v="325.38187500000004"/>
    <n v="0"/>
    <n v="515.50687500000004"/>
    <n v="1617.4231250000003"/>
    <n v="0.75831045791469953"/>
    <x v="1"/>
    <s v="MEDIANO"/>
    <x v="4"/>
    <x v="0"/>
    <n v="8"/>
    <n v="1"/>
    <d v="2017-07-31T00:00:00"/>
    <s v="SUZUKI"/>
    <s v="CELERIO"/>
    <n v="1738.6200000000001"/>
    <d v="2017-08-01T00:00:00"/>
    <n v="12"/>
    <x v="1"/>
  </r>
  <r>
    <d v="2017-08-08T00:00:00"/>
    <s v="001-00009983"/>
    <n v="1018.9459148000001"/>
    <n v="0"/>
    <n v="0"/>
    <n v="0"/>
    <n v="0"/>
    <n v="73.125"/>
    <n v="139.449375"/>
    <n v="113.75"/>
    <n v="326.32437500000003"/>
    <n v="692.62153980000005"/>
    <n v="0.67974318336214012"/>
    <x v="1"/>
    <s v="LEVE"/>
    <x v="4"/>
    <x v="0"/>
    <n v="17"/>
    <n v="1"/>
    <d v="2017-07-22T00:00:00"/>
    <s v="GREAT WALL"/>
    <s v="HAVAL 6"/>
    <n v="1771.9650000000001"/>
    <d v="2017-07-24T00:00:00"/>
    <n v="5"/>
    <x v="135"/>
  </r>
  <r>
    <d v="2017-08-09T00:00:00"/>
    <s v="001-00009892"/>
    <n v="3144.7005112000006"/>
    <n v="0"/>
    <n v="0"/>
    <n v="15.25"/>
    <n v="58.5"/>
    <n v="263.25"/>
    <n v="511.31437500000004"/>
    <n v="227.5"/>
    <n v="1075.8143749999999"/>
    <n v="2068.8861362000007"/>
    <n v="0.65789607908020631"/>
    <x v="1"/>
    <s v="MEDIANO"/>
    <x v="4"/>
    <x v="0"/>
    <n v="30"/>
    <n v="1"/>
    <d v="2017-07-10T00:00:00"/>
    <s v="KIA"/>
    <s v="CERATO"/>
    <n v="3576.2674999999995"/>
    <d v="2017-07-18T00:00:00"/>
    <n v="18"/>
    <x v="136"/>
  </r>
  <r>
    <d v="2017-08-09T00:00:00"/>
    <s v="001-00010036"/>
    <n v="762.33999999999992"/>
    <n v="0"/>
    <n v="0"/>
    <n v="0"/>
    <n v="14.625"/>
    <n v="73.125"/>
    <n v="61.977499999999999"/>
    <n v="0"/>
    <n v="149.72749999999999"/>
    <n v="612.61249999999995"/>
    <n v="0.80359485269040065"/>
    <x v="1"/>
    <s v="LEVE"/>
    <x v="4"/>
    <x v="0"/>
    <n v="8"/>
    <n v="1"/>
    <d v="2017-08-01T00:00:00"/>
    <s v="KIA"/>
    <s v="RIO"/>
    <n v="1936.7399999999998"/>
    <d v="2017-08-02T00:00:00"/>
    <n v="5"/>
    <x v="137"/>
  </r>
  <r>
    <d v="2017-08-09T00:00:00"/>
    <s v="001-00009758"/>
    <n v="2651.9700000000003"/>
    <n v="0"/>
    <n v="0"/>
    <n v="0"/>
    <n v="0"/>
    <n v="234"/>
    <n v="464.83125000000001"/>
    <n v="0"/>
    <n v="698.83124999999995"/>
    <n v="1953.1387500000003"/>
    <n v="0.73648598966051659"/>
    <x v="1"/>
    <s v="MEDIANO"/>
    <x v="4"/>
    <x v="0"/>
    <n v="47"/>
    <n v="1"/>
    <d v="2017-06-23T00:00:00"/>
    <s v="TOYOTA"/>
    <s v="COROLLA"/>
    <n v="4724.4274999999998"/>
    <d v="2017-06-26T00:00:00"/>
    <n v="16"/>
    <x v="138"/>
  </r>
  <r>
    <d v="2017-08-09T00:00:00"/>
    <s v="001-00009970"/>
    <n v="2971.00929"/>
    <n v="0"/>
    <n v="8.4700000000000006"/>
    <n v="156.78"/>
    <n v="43.875"/>
    <n v="204.75"/>
    <n v="418.34812499999998"/>
    <n v="113.75"/>
    <n v="945.97312499999998"/>
    <n v="2025.036165"/>
    <n v="0.68159873205916499"/>
    <x v="1"/>
    <s v="MEDIANO"/>
    <x v="4"/>
    <x v="0"/>
    <n v="19"/>
    <n v="1"/>
    <d v="2017-07-21T00:00:00"/>
    <s v="KIA"/>
    <s v="SPORTAGE"/>
    <n v="21230.949999999997"/>
    <d v="2017-07-24T00:00:00"/>
    <n v="14"/>
    <x v="1"/>
  </r>
  <r>
    <d v="2017-08-09T00:00:00"/>
    <s v="001-00010020"/>
    <n v="275.74"/>
    <n v="0"/>
    <n v="0"/>
    <n v="0"/>
    <n v="0"/>
    <n v="29.25"/>
    <n v="61.977499999999999"/>
    <n v="0"/>
    <n v="91.227499999999992"/>
    <n v="184.51250000000002"/>
    <n v="0.6691539131065497"/>
    <x v="1"/>
    <s v="LEVE"/>
    <x v="4"/>
    <x v="0"/>
    <n v="9"/>
    <n v="1"/>
    <d v="2017-07-31T00:00:00"/>
    <s v="SUZUKI"/>
    <s v="SWIFT"/>
    <n v="1436.175"/>
    <d v="2017-07-31T00:00:00"/>
    <n v="2"/>
    <x v="1"/>
  </r>
  <r>
    <d v="2017-08-09T00:00:00"/>
    <s v="001-00010019"/>
    <n v="420.48273515599999"/>
    <n v="0"/>
    <n v="0"/>
    <n v="0"/>
    <n v="0"/>
    <n v="21.9375"/>
    <n v="61.977499999999999"/>
    <n v="0"/>
    <n v="83.914999999999992"/>
    <n v="336.56773515600003"/>
    <n v="0.80043175858607529"/>
    <x v="1"/>
    <s v="LEVE"/>
    <x v="4"/>
    <x v="0"/>
    <n v="9"/>
    <n v="1"/>
    <d v="2017-07-31T00:00:00"/>
    <s v="KIA"/>
    <s v="RIO"/>
    <n v="453.18"/>
    <d v="2017-07-31T00:00:00"/>
    <n v="1.5"/>
    <x v="1"/>
  </r>
  <r>
    <d v="2017-08-09T00:00:00"/>
    <s v="001-00010037"/>
    <n v="3568.4"/>
    <n v="0"/>
    <n v="0"/>
    <n v="0"/>
    <n v="0"/>
    <n v="482.625"/>
    <n v="371.86500000000001"/>
    <n v="0"/>
    <n v="854.49"/>
    <n v="2713.91"/>
    <n v="0.76053973769756744"/>
    <x v="0"/>
    <s v="GRAVE"/>
    <x v="4"/>
    <x v="0"/>
    <n v="8"/>
    <n v="1"/>
    <d v="2017-08-01T00:00:00"/>
    <s v="GREAT WALL"/>
    <s v="M4"/>
    <n v="0"/>
    <d v="2017-08-01T00:00:00"/>
    <n v="33"/>
    <x v="139"/>
  </r>
  <r>
    <d v="2017-08-10T00:00:00"/>
    <s v="001-00009887"/>
    <n v="2813.606437609149"/>
    <n v="0"/>
    <n v="81.790000000000006"/>
    <n v="20.656779661016952"/>
    <n v="150.63750000000002"/>
    <n v="234"/>
    <n v="416.48879999999997"/>
    <n v="0"/>
    <n v="903.57307966101689"/>
    <n v="1910.0333579481321"/>
    <n v="0.67885590977364108"/>
    <x v="1"/>
    <s v="MEDIANO"/>
    <x v="4"/>
    <x v="0"/>
    <n v="32"/>
    <n v="1"/>
    <d v="2017-07-09T00:00:00"/>
    <s v="BYD"/>
    <s v="F3GL"/>
    <n v="4215.25"/>
    <d v="2017-07-12T00:00:00"/>
    <n v="16"/>
    <x v="140"/>
  </r>
  <r>
    <d v="2017-08-10T00:00:00"/>
    <s v="001-00010113"/>
    <n v="100"/>
    <n v="0"/>
    <n v="0"/>
    <n v="16.95"/>
    <n v="0"/>
    <n v="0"/>
    <n v="0"/>
    <n v="0"/>
    <n v="16.95"/>
    <n v="83.05"/>
    <n v="0.83050000000000002"/>
    <x v="0"/>
    <s v="-"/>
    <x v="4"/>
    <x v="0"/>
    <n v="1"/>
    <n v="1"/>
    <d v="2017-08-09T00:00:00"/>
    <s v="GREAT WALL"/>
    <s v="M4"/>
    <n v="0"/>
    <d v="2017-08-10T00:00:00"/>
    <n v="0"/>
    <x v="139"/>
  </r>
  <r>
    <d v="2017-08-10T00:00:00"/>
    <s v="001-00010083"/>
    <n v="1324.4630132652499"/>
    <n v="0"/>
    <n v="0"/>
    <n v="15.25"/>
    <n v="0"/>
    <n v="102.375"/>
    <n v="201.426875"/>
    <n v="0"/>
    <n v="319.051875"/>
    <n v="1005.4111382652499"/>
    <n v="0.75910850525494922"/>
    <x v="1"/>
    <s v="LEVE"/>
    <x v="4"/>
    <x v="0"/>
    <n v="3"/>
    <n v="1"/>
    <d v="2017-08-07T00:00:00"/>
    <s v="SUZUKI"/>
    <s v="SWIFT"/>
    <n v="0"/>
    <d v="2017-08-07T00:00:00"/>
    <n v="7"/>
    <x v="1"/>
  </r>
  <r>
    <d v="2017-08-11T00:00:00"/>
    <s v="001-00010026"/>
    <n v="1100"/>
    <n v="0"/>
    <n v="12.71"/>
    <n v="555.09"/>
    <n v="39.048749999999998"/>
    <n v="0"/>
    <n v="0"/>
    <n v="0"/>
    <n v="606.84875000000011"/>
    <n v="493.15124999999989"/>
    <n v="0.44831931818181808"/>
    <x v="0"/>
    <s v="-"/>
    <x v="4"/>
    <x v="0"/>
    <n v="10"/>
    <n v="1"/>
    <d v="2017-08-01T00:00:00"/>
    <s v="FORD"/>
    <s v="ESCORT"/>
    <n v="0"/>
    <d v="2017-08-01T00:00:00"/>
    <n v="0"/>
    <x v="141"/>
  </r>
  <r>
    <d v="2017-08-11T00:00:00"/>
    <s v="001-00010069"/>
    <n v="839"/>
    <n v="222.90470400000001"/>
    <n v="0"/>
    <n v="38.14"/>
    <n v="39.048749999999998"/>
    <n v="0"/>
    <n v="0"/>
    <n v="0"/>
    <n v="300.09345400000001"/>
    <n v="538.90654599999993"/>
    <n v="0.64232007866507734"/>
    <x v="0"/>
    <s v="-"/>
    <x v="4"/>
    <x v="0"/>
    <n v="7"/>
    <n v="1"/>
    <d v="2017-08-04T00:00:00"/>
    <s v="KIA"/>
    <s v="RIO"/>
    <n v="327.95749999999998"/>
    <d v="2017-08-04T00:00:00"/>
    <n v="0"/>
    <x v="142"/>
  </r>
  <r>
    <d v="2017-08-11T00:00:00"/>
    <s v="001-00010097"/>
    <n v="1185.857384260149"/>
    <n v="67.800004000000001"/>
    <n v="0"/>
    <n v="129.72689075630254"/>
    <n v="0"/>
    <n v="87.75"/>
    <n v="123.955"/>
    <n v="0"/>
    <n v="409.23189475630255"/>
    <n v="776.62548950384644"/>
    <n v="0.65490631488404438"/>
    <x v="0"/>
    <s v="LEVE"/>
    <x v="4"/>
    <x v="0"/>
    <n v="4"/>
    <n v="1"/>
    <d v="2017-08-07T00:00:00"/>
    <s v="KIA"/>
    <s v="RIO"/>
    <n v="195"/>
    <d v="2017-08-08T00:00:00"/>
    <n v="6"/>
    <x v="142"/>
  </r>
  <r>
    <d v="2017-08-11T00:00:00"/>
    <s v="001-00010066"/>
    <n v="1937"/>
    <n v="616.97469479999984"/>
    <n v="0"/>
    <n v="76.28"/>
    <n v="78.097499999999997"/>
    <n v="0"/>
    <n v="0"/>
    <n v="0"/>
    <n v="771.35219479999978"/>
    <n v="1165.6478052000002"/>
    <n v="0.60177997170882824"/>
    <x v="0"/>
    <s v="-"/>
    <x v="4"/>
    <x v="0"/>
    <n v="7"/>
    <n v="1"/>
    <d v="2017-08-04T00:00:00"/>
    <s v="KIA"/>
    <s v="RIO"/>
    <n v="1131"/>
    <d v="2017-08-04T00:00:00"/>
    <n v="0"/>
    <x v="142"/>
  </r>
  <r>
    <d v="2017-08-11T00:00:00"/>
    <s v="001-00009787"/>
    <n v="1654.2917239269491"/>
    <n v="0"/>
    <n v="0"/>
    <n v="72.03"/>
    <n v="73.125"/>
    <n v="73.125"/>
    <n v="242.95180000000002"/>
    <n v="113.75"/>
    <n v="574.98180000000002"/>
    <n v="1079.3099239269491"/>
    <n v="0.65243022637197801"/>
    <x v="1"/>
    <s v="LEVE"/>
    <x v="4"/>
    <x v="0"/>
    <n v="45"/>
    <n v="1"/>
    <d v="2017-06-27T00:00:00"/>
    <s v="CHEVROLET"/>
    <s v="CRUZE"/>
    <n v="2108.6"/>
    <d v="2017-06-30T00:00:00"/>
    <n v="5"/>
    <x v="1"/>
  </r>
  <r>
    <d v="2017-08-11T00:00:00"/>
    <s v="001-00010030"/>
    <n v="2826.630087"/>
    <n v="0"/>
    <n v="0"/>
    <n v="0"/>
    <n v="0"/>
    <n v="292.5"/>
    <n v="495.82"/>
    <n v="0"/>
    <n v="788.31999999999994"/>
    <n v="2038.3100870000001"/>
    <n v="0.72110959844884726"/>
    <x v="1"/>
    <s v="MEDIANO"/>
    <x v="4"/>
    <x v="0"/>
    <n v="10"/>
    <n v="1"/>
    <d v="2017-08-01T00:00:00"/>
    <s v="NISSAN"/>
    <s v="SENTRA"/>
    <n v="3998.41"/>
    <d v="2017-08-02T00:00:00"/>
    <n v="20"/>
    <x v="1"/>
  </r>
  <r>
    <d v="2017-08-11T00:00:00"/>
    <s v="001-00010082"/>
    <n v="1365.956675832371"/>
    <n v="0"/>
    <n v="0"/>
    <n v="110.16949152542374"/>
    <n v="0"/>
    <n v="117"/>
    <n v="201.426875"/>
    <n v="0"/>
    <n v="428.59636652542372"/>
    <n v="937.36030930694733"/>
    <n v="0.68622989725186523"/>
    <x v="1"/>
    <s v="LEVE"/>
    <x v="4"/>
    <x v="0"/>
    <n v="4"/>
    <n v="1"/>
    <d v="2017-08-07T00:00:00"/>
    <s v="KIA"/>
    <s v="RIO"/>
    <n v="633.00250000000005"/>
    <d v="2017-08-07T00:00:00"/>
    <n v="8"/>
    <x v="1"/>
  </r>
  <r>
    <d v="2017-08-11T00:00:00"/>
    <s v="001-00009981"/>
    <n v="1247.6160384000002"/>
    <n v="0"/>
    <n v="0"/>
    <n v="0"/>
    <n v="0"/>
    <n v="87.75"/>
    <n v="247.91"/>
    <n v="0"/>
    <n v="335.65999999999997"/>
    <n v="911.95603840000024"/>
    <n v="0.73095889306579798"/>
    <x v="2"/>
    <s v="LEVE"/>
    <x v="4"/>
    <x v="0"/>
    <n v="20"/>
    <n v="1"/>
    <d v="2017-07-22T00:00:00"/>
    <s v="SUZUKI"/>
    <s v="GRAND NOMADE"/>
    <n v="1787.5"/>
    <d v="2017-07-24T00:00:00"/>
    <n v="6"/>
    <x v="2"/>
  </r>
  <r>
    <d v="2017-08-12T00:00:00"/>
    <s v="001-00009962"/>
    <n v="2503.2699229999998"/>
    <n v="0"/>
    <n v="0"/>
    <n v="0"/>
    <n v="58.5"/>
    <n v="263.25"/>
    <n v="371.86500000000001"/>
    <n v="0"/>
    <n v="693.61500000000001"/>
    <n v="1809.6549229999998"/>
    <n v="0.72291641679266083"/>
    <x v="1"/>
    <s v="MEDIANO"/>
    <x v="4"/>
    <x v="0"/>
    <n v="23"/>
    <n v="1"/>
    <d v="2017-07-20T00:00:00"/>
    <s v="CHEVROLET"/>
    <s v="SAIL"/>
    <n v="1607.905"/>
    <d v="2017-07-24T00:00:00"/>
    <n v="18"/>
    <x v="143"/>
  </r>
  <r>
    <d v="2017-08-12T00:00:00"/>
    <s v="001-00010047"/>
    <n v="2183.9100212738913"/>
    <n v="0"/>
    <n v="0"/>
    <n v="0"/>
    <n v="0"/>
    <n v="234"/>
    <n v="276.41964999999999"/>
    <n v="0"/>
    <n v="510.41964999999999"/>
    <n v="1673.4903712738912"/>
    <n v="0.76628174007724537"/>
    <x v="1"/>
    <s v="LEVE"/>
    <x v="4"/>
    <x v="0"/>
    <n v="10"/>
    <n v="1"/>
    <d v="2017-08-02T00:00:00"/>
    <s v="RENAULT"/>
    <s v="LOGAN"/>
    <n v="1594.2549999999999"/>
    <d v="2017-08-04T00:00:00"/>
    <n v="16"/>
    <x v="1"/>
  </r>
  <r>
    <d v="2017-08-12T00:00:00"/>
    <s v="001-00010001"/>
    <n v="2487.0149234999999"/>
    <n v="0"/>
    <n v="27.119999999999997"/>
    <n v="84.75"/>
    <n v="92.137499999999989"/>
    <n v="175.5"/>
    <n v="371.86500000000001"/>
    <n v="0"/>
    <n v="751.37249999999995"/>
    <n v="1735.6424234999999"/>
    <n v="0.69788178876603357"/>
    <x v="1"/>
    <s v="MEDIANO"/>
    <x v="4"/>
    <x v="0"/>
    <n v="17"/>
    <n v="1"/>
    <d v="2017-07-26T00:00:00"/>
    <s v="CHEVROLET"/>
    <s v="SAIL"/>
    <n v="9574.2075000000004"/>
    <d v="2017-07-27T00:00:00"/>
    <n v="12"/>
    <x v="1"/>
  </r>
  <r>
    <d v="2017-08-12T00:00:00"/>
    <s v="001-00010128"/>
    <n v="296.61020000000002"/>
    <n v="102.47262524999999"/>
    <n v="0"/>
    <n v="0"/>
    <n v="39.048749999999998"/>
    <n v="0"/>
    <n v="0"/>
    <n v="0"/>
    <n v="141.52137525000001"/>
    <n v="155.08882475000001"/>
    <n v="0.52287084109042781"/>
    <x v="0"/>
    <s v="-"/>
    <x v="4"/>
    <x v="0"/>
    <n v="1"/>
    <n v="1"/>
    <d v="2017-08-11T00:00:00"/>
    <s v="HYUNDAI"/>
    <s v="H1"/>
    <n v="0"/>
    <d v="2017-08-12T00:00:00"/>
    <n v="0"/>
    <x v="121"/>
  </r>
  <r>
    <d v="2017-08-12T00:00:00"/>
    <s v="001-00010053"/>
    <n v="2182.2473695845788"/>
    <n v="0"/>
    <n v="0"/>
    <n v="50.85"/>
    <n v="73.125"/>
    <n v="204.75"/>
    <n v="263.40437500000002"/>
    <n v="81.25"/>
    <n v="673.37937499999998"/>
    <n v="1508.8679945845788"/>
    <n v="0.69142848588783634"/>
    <x v="1"/>
    <s v="MEDIANO"/>
    <x v="4"/>
    <x v="0"/>
    <n v="9"/>
    <n v="1"/>
    <d v="2017-08-03T00:00:00"/>
    <s v="CHEVROLET"/>
    <s v="SAIL"/>
    <n v="2318.5499999999997"/>
    <d v="2017-08-03T00:00:00"/>
    <n v="14"/>
    <x v="144"/>
  </r>
  <r>
    <d v="2017-08-14T00:00:00"/>
    <s v="001-00009889"/>
    <n v="4477.2055727921988"/>
    <n v="0"/>
    <n v="10.17"/>
    <n v="161.01999999999998"/>
    <n v="146.25"/>
    <n v="497.25"/>
    <n v="464.83125000000001"/>
    <n v="227.5"/>
    <n v="1507.02125"/>
    <n v="2970.1843227921991"/>
    <n v="0.66340137268699295"/>
    <x v="1"/>
    <s v="GRAVE"/>
    <x v="4"/>
    <x v="0"/>
    <n v="36"/>
    <n v="1"/>
    <d v="2017-07-09T00:00:00"/>
    <s v="HYUNDAI"/>
    <s v="TUCSON"/>
    <n v="6141.2650000000003"/>
    <d v="2017-07-17T00:00:00"/>
    <n v="34"/>
    <x v="145"/>
  </r>
  <r>
    <d v="2017-08-14T00:00:00"/>
    <s v="001-00010098"/>
    <n v="357.60998899999998"/>
    <n v="0"/>
    <n v="0"/>
    <n v="0"/>
    <n v="0"/>
    <n v="58.5"/>
    <n v="61.977499999999999"/>
    <n v="0"/>
    <n v="120.47749999999999"/>
    <n v="237.13248899999999"/>
    <n v="0.66310365004932792"/>
    <x v="0"/>
    <s v="LEVE"/>
    <x v="4"/>
    <x v="0"/>
    <n v="6"/>
    <n v="1"/>
    <d v="2017-08-08T00:00:00"/>
    <s v="NISSAN"/>
    <s v="VERSA"/>
    <n v="0"/>
    <d v="2017-08-08T00:00:00"/>
    <n v="4"/>
    <x v="146"/>
  </r>
  <r>
    <d v="2017-08-14T00:00:00"/>
    <s v="001-00010052"/>
    <n v="1430.4399560000002"/>
    <n v="0"/>
    <n v="0"/>
    <n v="0"/>
    <n v="0"/>
    <n v="204.75"/>
    <n v="185.9325"/>
    <n v="0"/>
    <n v="390.6825"/>
    <n v="1039.7574560000003"/>
    <n v="0.72687948322383145"/>
    <x v="1"/>
    <s v="MEDIANO"/>
    <x v="4"/>
    <x v="0"/>
    <n v="11"/>
    <n v="1"/>
    <d v="2017-08-03T00:00:00"/>
    <s v="NISSAN"/>
    <s v="VERSA"/>
    <n v="96.784999999999997"/>
    <d v="2017-08-03T00:00:00"/>
    <n v="14"/>
    <x v="146"/>
  </r>
  <r>
    <d v="2017-08-14T00:00:00"/>
    <s v="001-00010080"/>
    <n v="629.89488482458"/>
    <n v="0"/>
    <n v="0"/>
    <n v="0"/>
    <n v="0"/>
    <n v="29.25"/>
    <n v="123.955"/>
    <n v="0"/>
    <n v="153.20499999999998"/>
    <n v="476.68988482458002"/>
    <n v="0.75677687866497567"/>
    <x v="1"/>
    <s v="LEVE"/>
    <x v="4"/>
    <x v="0"/>
    <n v="7"/>
    <n v="1"/>
    <d v="2017-08-07T00:00:00"/>
    <s v="SUZUKI"/>
    <s v="SWIFT"/>
    <n v="497.25"/>
    <d v="2017-08-07T00:00:00"/>
    <n v="2"/>
    <x v="1"/>
  </r>
  <r>
    <d v="2017-08-14T00:00:00"/>
    <s v="001-00010063"/>
    <n v="568.95261599914988"/>
    <n v="0"/>
    <n v="0"/>
    <n v="32.200000000000003"/>
    <n v="0"/>
    <n v="43.875"/>
    <n v="92.966250000000002"/>
    <n v="0"/>
    <n v="169.04124999999999"/>
    <n v="399.91136599914989"/>
    <n v="0.70289046003744438"/>
    <x v="1"/>
    <s v="LEVE"/>
    <x v="4"/>
    <x v="0"/>
    <n v="11"/>
    <n v="1"/>
    <d v="2017-08-03T00:00:00"/>
    <s v="CHEVROLET"/>
    <s v="CAPTIVA"/>
    <n v="1978.6650000000002"/>
    <d v="2017-08-04T00:00:00"/>
    <n v="3"/>
    <x v="1"/>
  </r>
  <r>
    <d v="2017-08-14T00:00:00"/>
    <s v="001-00009776"/>
    <n v="3024.4766964578007"/>
    <n v="0"/>
    <n v="0"/>
    <n v="0"/>
    <n v="43.875"/>
    <n v="351"/>
    <n v="418.34812499999998"/>
    <n v="0"/>
    <n v="813.22312499999998"/>
    <n v="2211.2535714578007"/>
    <n v="0.73111939465348541"/>
    <x v="1"/>
    <s v="MEDIANO"/>
    <x v="4"/>
    <x v="0"/>
    <n v="49"/>
    <n v="1"/>
    <d v="2017-06-26T00:00:00"/>
    <s v="CHEVROLET"/>
    <s v="SAIL"/>
    <n v="3203.8175000000001"/>
    <d v="2017-06-27T00:00:00"/>
    <n v="24"/>
    <x v="1"/>
  </r>
  <r>
    <d v="2017-08-14T00:00:00"/>
    <s v="001-00010062"/>
    <n v="638.07765157288009"/>
    <n v="0"/>
    <n v="0"/>
    <n v="0"/>
    <n v="0"/>
    <n v="43.875"/>
    <n v="139.449375"/>
    <n v="0"/>
    <n v="183.324375"/>
    <n v="454.75327657288005"/>
    <n v="0.71269268787568396"/>
    <x v="1"/>
    <s v="LEVE"/>
    <x v="4"/>
    <x v="0"/>
    <n v="11"/>
    <n v="1"/>
    <d v="2017-08-03T00:00:00"/>
    <s v="CHEVROLET"/>
    <s v="N300"/>
    <n v="228.05250000000001"/>
    <d v="2017-08-04T00:00:00"/>
    <n v="3"/>
    <x v="1"/>
  </r>
  <r>
    <d v="2017-08-14T00:00:00"/>
    <s v="001-00010130"/>
    <n v="296.61020000000002"/>
    <n v="102.47262525000002"/>
    <n v="0"/>
    <n v="0"/>
    <n v="39.048749999999998"/>
    <n v="0"/>
    <n v="0"/>
    <n v="0"/>
    <n v="141.52137525000001"/>
    <n v="155.08882475000001"/>
    <n v="0.52287084109042781"/>
    <x v="0"/>
    <s v="-"/>
    <x v="4"/>
    <x v="0"/>
    <n v="2"/>
    <n v="1"/>
    <d v="2017-08-12T00:00:00"/>
    <s v="HYUNDAI"/>
    <s v="H1"/>
    <n v="0"/>
    <d v="2017-08-14T00:00:00"/>
    <n v="0"/>
    <x v="121"/>
  </r>
  <r>
    <d v="2017-08-15T00:00:00"/>
    <s v="001-00010040"/>
    <n v="1691.9912177854208"/>
    <n v="0"/>
    <n v="0"/>
    <n v="13.56"/>
    <n v="0"/>
    <n v="175.5"/>
    <n v="294.393125"/>
    <n v="0"/>
    <n v="483.453125"/>
    <n v="1208.5380927854208"/>
    <n v="0.71426971965447172"/>
    <x v="1"/>
    <s v="MEDIANO"/>
    <x v="4"/>
    <x v="0"/>
    <n v="13"/>
    <n v="1"/>
    <d v="2017-08-02T00:00:00"/>
    <s v="TOYOTA"/>
    <s v="COROLLA"/>
    <n v="568.75"/>
    <d v="2017-08-02T00:00:00"/>
    <n v="12"/>
    <x v="147"/>
  </r>
  <r>
    <d v="2017-08-15T00:00:00"/>
    <s v="001-00010149"/>
    <n v="450"/>
    <n v="77.888426549999991"/>
    <n v="0"/>
    <n v="0"/>
    <n v="39.048749999999998"/>
    <n v="0"/>
    <n v="0"/>
    <n v="0"/>
    <n v="116.93717654999999"/>
    <n v="333.06282345"/>
    <n v="0.74013960766666664"/>
    <x v="0"/>
    <s v="-"/>
    <x v="4"/>
    <x v="0"/>
    <n v="0"/>
    <n v="1"/>
    <d v="2017-08-15T00:00:00"/>
    <s v="MAZDA"/>
    <s v="CX-5"/>
    <n v="0"/>
    <d v="2017-08-15T00:00:00"/>
    <n v="0"/>
    <x v="148"/>
  </r>
  <r>
    <d v="2017-08-15T00:00:00"/>
    <s v="001-00010151"/>
    <n v="296.61020000000002"/>
    <n v="101.54332725"/>
    <n v="0"/>
    <n v="0"/>
    <n v="39.048749999999998"/>
    <n v="0"/>
    <n v="0"/>
    <n v="0"/>
    <n v="140.59207724999999"/>
    <n v="156.01812275000003"/>
    <n v="0.52600390259674157"/>
    <x v="0"/>
    <s v="-"/>
    <x v="4"/>
    <x v="0"/>
    <n v="0"/>
    <n v="1"/>
    <d v="2017-08-15T00:00:00"/>
    <s v="HYUNDAI"/>
    <s v="H1"/>
    <n v="0"/>
    <d v="2017-08-15T00:00:00"/>
    <n v="0"/>
    <x v="121"/>
  </r>
  <r>
    <d v="2017-08-15T00:00:00"/>
    <s v="001-00009947"/>
    <n v="1850.220057"/>
    <n v="0"/>
    <n v="10.17"/>
    <n v="0"/>
    <n v="23.400000000000002"/>
    <n v="175.5"/>
    <n v="309.88749999999999"/>
    <n v="0"/>
    <n v="518.95749999999998"/>
    <n v="1331.262557"/>
    <n v="0.71951579595269732"/>
    <x v="1"/>
    <s v="MEDIANO"/>
    <x v="4"/>
    <x v="0"/>
    <n v="27"/>
    <n v="1"/>
    <d v="2017-07-19T00:00:00"/>
    <s v="NISSAN"/>
    <s v="SENTRA"/>
    <n v="5874.31"/>
    <d v="2017-07-20T00:00:00"/>
    <n v="12"/>
    <x v="1"/>
  </r>
  <r>
    <d v="2017-08-16T00:00:00"/>
    <s v="001-00010159"/>
    <n v="500"/>
    <n v="91.492751799999994"/>
    <n v="0"/>
    <n v="0"/>
    <n v="39.048749999999998"/>
    <n v="0"/>
    <n v="0"/>
    <n v="0"/>
    <n v="130.54150179999999"/>
    <n v="369.45849820000001"/>
    <n v="0.73891699639999997"/>
    <x v="0"/>
    <s v="-"/>
    <x v="4"/>
    <x v="0"/>
    <n v="2"/>
    <n v="1"/>
    <d v="2017-08-14T00:00:00"/>
    <s v="HONDA"/>
    <s v="CRV"/>
    <n v="50.147500000000001"/>
    <d v="2017-08-16T00:00:00"/>
    <n v="0"/>
    <x v="3"/>
  </r>
  <r>
    <d v="2017-08-16T00:00:00"/>
    <s v="001-00009699"/>
    <n v="1306.9175"/>
    <n v="0"/>
    <n v="0"/>
    <n v="0"/>
    <n v="0"/>
    <n v="146.25"/>
    <n v="216.92125000000001"/>
    <n v="0"/>
    <n v="363.17124999999999"/>
    <n v="943.74625000000003"/>
    <n v="0.72211616264989953"/>
    <x v="1"/>
    <s v="MEDIANO"/>
    <x v="4"/>
    <x v="0"/>
    <n v="65"/>
    <n v="1"/>
    <d v="2017-06-12T00:00:00"/>
    <s v="SUZUKI"/>
    <s v="BALENO"/>
    <n v="0"/>
    <d v="2017-06-13T00:00:00"/>
    <n v="10"/>
    <x v="1"/>
  </r>
  <r>
    <d v="2017-08-17T00:00:00"/>
    <s v="001-00010073"/>
    <n v="2616.2948308245786"/>
    <n v="0"/>
    <n v="0"/>
    <n v="0"/>
    <n v="0"/>
    <n v="292.5"/>
    <n v="418.34812499999998"/>
    <n v="113.75"/>
    <n v="824.59812499999998"/>
    <n v="1791.6967058245787"/>
    <n v="0.68482217092478403"/>
    <x v="1"/>
    <s v="MEDIANO"/>
    <x v="4"/>
    <x v="0"/>
    <n v="12"/>
    <n v="1"/>
    <d v="2017-08-05T00:00:00"/>
    <s v="KIA"/>
    <s v="RIO"/>
    <n v="1964.7874999999999"/>
    <d v="2017-08-08T00:00:00"/>
    <n v="20"/>
    <x v="149"/>
  </r>
  <r>
    <d v="2017-08-17T00:00:00"/>
    <s v="001-00009763"/>
    <n v="1079.3473204931399"/>
    <n v="0"/>
    <n v="213.55999999999997"/>
    <n v="0"/>
    <n v="21.9375"/>
    <n v="29.25"/>
    <n v="61.977499999999999"/>
    <n v="0"/>
    <n v="326.72499999999997"/>
    <n v="752.62232049314002"/>
    <n v="0.69729391661367779"/>
    <x v="1"/>
    <s v="LEVE"/>
    <x v="4"/>
    <x v="0"/>
    <n v="55"/>
    <n v="1"/>
    <d v="2017-06-23T00:00:00"/>
    <s v="CHEVROLET"/>
    <s v="CRUZE"/>
    <n v="4784.8774999999996"/>
    <d v="2017-06-26T00:00:00"/>
    <n v="2"/>
    <x v="1"/>
  </r>
  <r>
    <d v="2017-08-17T00:00:00"/>
    <s v="001-00010092"/>
    <n v="1264.4223235347499"/>
    <n v="0"/>
    <n v="0"/>
    <n v="41.313559322033903"/>
    <n v="0"/>
    <n v="117"/>
    <n v="216.92125000000001"/>
    <n v="0"/>
    <n v="375.23480932203393"/>
    <n v="889.187514212716"/>
    <n v="0.70323617169851282"/>
    <x v="1"/>
    <s v="LEVE"/>
    <x v="4"/>
    <x v="0"/>
    <n v="9"/>
    <n v="1"/>
    <d v="2017-08-08T00:00:00"/>
    <s v="HYUNDAI"/>
    <s v="ACCENT"/>
    <n v="1102.53"/>
    <d v="2017-08-10T00:00:00"/>
    <n v="8"/>
    <x v="1"/>
  </r>
  <r>
    <d v="2017-08-17T00:00:00"/>
    <s v="001-00010118"/>
    <n v="746.92758698219995"/>
    <n v="0"/>
    <n v="0"/>
    <n v="41.313559322033903"/>
    <n v="0"/>
    <n v="43.875"/>
    <n v="123.955"/>
    <n v="0"/>
    <n v="209.14355932203392"/>
    <n v="537.78402766016598"/>
    <n v="0.71999486567763082"/>
    <x v="1"/>
    <s v="LEVE"/>
    <x v="4"/>
    <x v="0"/>
    <n v="6"/>
    <n v="1"/>
    <d v="2017-08-11T00:00:00"/>
    <s v="HYUNDAI"/>
    <s v="ACCENT"/>
    <n v="703.04"/>
    <d v="2017-08-10T00:00:00"/>
    <n v="3"/>
    <x v="1"/>
  </r>
  <r>
    <d v="2017-08-17T00:00:00"/>
    <s v="001-00010021"/>
    <n v="2393.7374212830509"/>
    <n v="0"/>
    <n v="0"/>
    <n v="0"/>
    <n v="29.25"/>
    <n v="292.5"/>
    <n v="278.89875000000001"/>
    <n v="0"/>
    <n v="600.64875000000006"/>
    <n v="1793.0886712830509"/>
    <n v="0.74907492164364031"/>
    <x v="1"/>
    <s v="MEDIANO"/>
    <x v="4"/>
    <x v="0"/>
    <n v="17"/>
    <n v="1"/>
    <d v="2017-07-31T00:00:00"/>
    <s v="TOYOTA"/>
    <s v="YARIS"/>
    <n v="2445.5925000000002"/>
    <d v="2017-07-31T00:00:00"/>
    <n v="20"/>
    <x v="1"/>
  </r>
  <r>
    <d v="2017-08-17T00:00:00"/>
    <s v="001-00010166"/>
    <n v="296.61020000000002"/>
    <n v="101.54332725"/>
    <n v="0"/>
    <n v="0"/>
    <n v="39.048749999999998"/>
    <n v="0"/>
    <n v="0"/>
    <n v="0"/>
    <n v="140.59207724999999"/>
    <n v="156.01812275000003"/>
    <n v="0.52600390259674157"/>
    <x v="0"/>
    <s v="-"/>
    <x v="4"/>
    <x v="0"/>
    <n v="0"/>
    <n v="1"/>
    <d v="2017-08-17T00:00:00"/>
    <s v="HYUNDAI"/>
    <s v="H1"/>
    <n v="0"/>
    <d v="2017-08-17T00:00:00"/>
    <n v="0"/>
    <x v="121"/>
  </r>
  <r>
    <d v="2017-08-18T00:00:00"/>
    <s v="001-00009893"/>
    <n v="2314.311622440001"/>
    <n v="0"/>
    <n v="0"/>
    <n v="0"/>
    <n v="58.5"/>
    <n v="263.25"/>
    <n v="307.40839999999997"/>
    <n v="0"/>
    <n v="629.15840000000003"/>
    <n v="1685.1532224400009"/>
    <n v="0.72814447548914252"/>
    <x v="1"/>
    <s v="MEDIANO"/>
    <x v="4"/>
    <x v="0"/>
    <n v="39"/>
    <n v="1"/>
    <d v="2017-07-10T00:00:00"/>
    <s v="JAC"/>
    <s v="J12"/>
    <n v="2983.5"/>
    <d v="2017-07-24T00:00:00"/>
    <n v="18"/>
    <x v="150"/>
  </r>
  <r>
    <d v="2017-08-18T00:00:00"/>
    <s v="001-00010180"/>
    <n v="296.61020000000002"/>
    <n v="101.4784485"/>
    <n v="0"/>
    <n v="0"/>
    <n v="39.048749999999998"/>
    <n v="0"/>
    <n v="0"/>
    <n v="0"/>
    <n v="140.5271985"/>
    <n v="156.08300150000002"/>
    <n v="0.5262226366456717"/>
    <x v="0"/>
    <s v="-"/>
    <x v="4"/>
    <x v="0"/>
    <n v="0"/>
    <n v="1"/>
    <d v="2017-08-18T00:00:00"/>
    <s v="HYUNDAI"/>
    <s v="H1"/>
    <n v="0"/>
    <d v="2017-08-18T00:00:00"/>
    <n v="0"/>
    <x v="121"/>
  </r>
  <r>
    <d v="2017-08-18T00:00:00"/>
    <s v="001-00010176"/>
    <n v="296.61020000000002"/>
    <n v="101.4784485"/>
    <n v="0"/>
    <n v="0"/>
    <n v="39.048749999999998"/>
    <n v="0"/>
    <n v="0"/>
    <n v="0"/>
    <n v="140.5271985"/>
    <n v="156.08300150000002"/>
    <n v="0.5262226366456717"/>
    <x v="0"/>
    <s v="-"/>
    <x v="4"/>
    <x v="0"/>
    <n v="0"/>
    <n v="1"/>
    <d v="2017-08-18T00:00:00"/>
    <s v="HYUNDAI"/>
    <s v="H1"/>
    <n v="0"/>
    <d v="2017-08-18T00:00:00"/>
    <n v="0"/>
    <x v="121"/>
  </r>
  <r>
    <d v="2017-08-19T00:00:00"/>
    <s v="001-00010101"/>
    <n v="1118.835"/>
    <n v="0"/>
    <n v="0"/>
    <n v="0"/>
    <n v="14.625"/>
    <n v="117"/>
    <n v="123.955"/>
    <n v="0"/>
    <n v="255.57999999999998"/>
    <n v="863.25500000000011"/>
    <n v="0.77156595923438231"/>
    <x v="1"/>
    <s v="LEVE"/>
    <x v="4"/>
    <x v="0"/>
    <n v="10"/>
    <n v="1"/>
    <d v="2017-08-09T00:00:00"/>
    <s v="NISSAN"/>
    <s v="VERSA"/>
    <n v="806.48750000000007"/>
    <d v="2017-08-11T00:00:00"/>
    <n v="8"/>
    <x v="151"/>
  </r>
  <r>
    <d v="2017-08-19T00:00:00"/>
    <s v="001-00010121"/>
    <n v="131.91875724300002"/>
    <n v="0"/>
    <n v="0"/>
    <n v="0"/>
    <n v="0"/>
    <n v="0"/>
    <n v="0"/>
    <n v="0"/>
    <n v="0"/>
    <n v="131.91875724300002"/>
    <n v="1"/>
    <x v="0"/>
    <s v="-"/>
    <x v="4"/>
    <x v="0"/>
    <n v="9"/>
    <n v="1"/>
    <d v="2017-08-10T00:00:00"/>
    <s v="NISSAN"/>
    <s v="VERSA"/>
    <n v="132.21"/>
    <d v="2017-08-10T00:00:00"/>
    <n v="0"/>
    <x v="151"/>
  </r>
  <r>
    <d v="2017-08-19T00:00:00"/>
    <s v="001-00010135"/>
    <n v="647.94037380000009"/>
    <n v="0"/>
    <n v="0"/>
    <n v="27.542372881355934"/>
    <n v="0"/>
    <n v="29.25"/>
    <n v="185.9325"/>
    <n v="0"/>
    <n v="242.72487288135594"/>
    <n v="405.21550091864412"/>
    <n v="0.62539010888017621"/>
    <x v="0"/>
    <s v="LEVE"/>
    <x v="4"/>
    <x v="0"/>
    <n v="5"/>
    <n v="1"/>
    <d v="2017-08-14T00:00:00"/>
    <s v="HYUNDAI"/>
    <s v="ELANTRA"/>
    <n v="0"/>
    <d v="2017-08-14T00:00:00"/>
    <n v="2"/>
    <x v="152"/>
  </r>
  <r>
    <d v="2017-08-19T00:00:00"/>
    <s v="001-00010141"/>
    <n v="861.34631310000009"/>
    <n v="0"/>
    <n v="0"/>
    <n v="41.313559322033903"/>
    <n v="0"/>
    <n v="43.875"/>
    <n v="123.955"/>
    <n v="113.75"/>
    <n v="322.89355932203392"/>
    <n v="538.45275377796611"/>
    <n v="0.62512922571185736"/>
    <x v="1"/>
    <s v="LEVE"/>
    <x v="4"/>
    <x v="0"/>
    <n v="5"/>
    <n v="1"/>
    <d v="2017-08-14T00:00:00"/>
    <s v="SUZUKI"/>
    <s v="GRAND NOMADE"/>
    <n v="58.5"/>
    <d v="2017-08-15T00:00:00"/>
    <n v="3"/>
    <x v="153"/>
  </r>
  <r>
    <d v="2017-08-19T00:00:00"/>
    <s v="001-00010017"/>
    <n v="2290.3824030300002"/>
    <n v="0"/>
    <n v="10.17"/>
    <n v="0"/>
    <n v="29.25"/>
    <n v="204.75"/>
    <n v="402.85374999999999"/>
    <n v="0"/>
    <n v="647.02375000000006"/>
    <n v="1643.3586530300001"/>
    <n v="0.71750405122566552"/>
    <x v="1"/>
    <s v="MEDIANO"/>
    <x v="4"/>
    <x v="0"/>
    <n v="19"/>
    <n v="1"/>
    <d v="2017-07-31T00:00:00"/>
    <s v="CHEVROLET"/>
    <s v="SAIL"/>
    <n v="3259.75"/>
    <d v="2017-08-02T00:00:00"/>
    <n v="14"/>
    <x v="1"/>
  </r>
  <r>
    <d v="2017-08-19T00:00:00"/>
    <s v="001-00009932"/>
    <n v="1005.3300000000002"/>
    <n v="0"/>
    <n v="0"/>
    <n v="0"/>
    <n v="0"/>
    <n v="87.75"/>
    <n v="0"/>
    <n v="0"/>
    <n v="87.75"/>
    <n v="917.58000000000015"/>
    <n v="0.91271522783563608"/>
    <x v="1"/>
    <s v="LEVE"/>
    <x v="4"/>
    <x v="0"/>
    <n v="33"/>
    <n v="1"/>
    <d v="2017-07-17T00:00:00"/>
    <s v="MAZDA"/>
    <s v="MAZDA 3"/>
    <n v="4872.92"/>
    <d v="2017-07-20T00:00:00"/>
    <n v="6"/>
    <x v="1"/>
  </r>
  <r>
    <d v="2017-08-19T00:00:00"/>
    <s v="001-00009976"/>
    <n v="1597.1775000000002"/>
    <n v="0"/>
    <n v="0"/>
    <n v="0"/>
    <n v="14.625"/>
    <n v="190.125"/>
    <n v="0"/>
    <n v="113.75"/>
    <n v="318.5"/>
    <n v="1278.6775000000002"/>
    <n v="0.80058572074800705"/>
    <x v="1"/>
    <s v="MEDIANO"/>
    <x v="4"/>
    <x v="0"/>
    <n v="29"/>
    <n v="1"/>
    <d v="2017-07-21T00:00:00"/>
    <s v="MAZDA"/>
    <s v="MAZDA 3"/>
    <n v="67.924999999999997"/>
    <d v="2017-07-20T00:00:00"/>
    <n v="13"/>
    <x v="1"/>
  </r>
  <r>
    <d v="2017-08-19T00:00:00"/>
    <s v="001-00010050"/>
    <n v="1783.65"/>
    <n v="0"/>
    <n v="0"/>
    <n v="20.656779661016952"/>
    <n v="0"/>
    <n v="234"/>
    <n v="185.9325"/>
    <n v="0"/>
    <n v="440.58927966101692"/>
    <n v="1343.0607203389832"/>
    <n v="0.7529844534179817"/>
    <x v="1"/>
    <s v="MEDIANO"/>
    <x v="4"/>
    <x v="0"/>
    <n v="16"/>
    <n v="1"/>
    <d v="2017-08-03T00:00:00"/>
    <s v="SUZUKI"/>
    <s v="CELERIO"/>
    <n v="1090.44"/>
    <d v="2017-08-03T00:00:00"/>
    <n v="16"/>
    <x v="1"/>
  </r>
  <r>
    <d v="2017-08-19T00:00:00"/>
    <s v="001-00010094"/>
    <n v="1818.6085346700002"/>
    <n v="0"/>
    <n v="0"/>
    <n v="0"/>
    <n v="0"/>
    <n v="234"/>
    <n v="236.134275"/>
    <n v="0"/>
    <n v="470.134275"/>
    <n v="1348.4742596700003"/>
    <n v="0.74148682025991419"/>
    <x v="1"/>
    <s v="MEDIANO"/>
    <x v="4"/>
    <x v="0"/>
    <n v="11"/>
    <n v="1"/>
    <d v="2017-08-08T00:00:00"/>
    <s v="RENAULT"/>
    <s v="SANDERO"/>
    <n v="3117.7574999999997"/>
    <d v="2017-08-08T00:00:00"/>
    <n v="16"/>
    <x v="1"/>
  </r>
  <r>
    <d v="2017-08-19T00:00:00"/>
    <s v="001-00010114"/>
    <n v="1418.8125"/>
    <n v="0"/>
    <n v="0"/>
    <n v="82.627118644067806"/>
    <n v="0"/>
    <n v="87.75"/>
    <n v="216.92125000000001"/>
    <n v="0"/>
    <n v="387.29836864406786"/>
    <n v="1031.514131355932"/>
    <n v="0.72702639098255195"/>
    <x v="1"/>
    <s v="LEVE"/>
    <x v="4"/>
    <x v="0"/>
    <n v="9"/>
    <n v="1"/>
    <d v="2017-08-10T00:00:00"/>
    <s v="SSANYONG"/>
    <s v="KORANDO"/>
    <n v="978.34749999999985"/>
    <d v="2017-08-10T00:00:00"/>
    <n v="6"/>
    <x v="1"/>
  </r>
  <r>
    <d v="2017-08-19T00:00:00"/>
    <s v="001-00010170"/>
    <n v="1678.5"/>
    <n v="309.44047875000001"/>
    <n v="264.38749999999999"/>
    <n v="59.33"/>
    <n v="39.048749999999998"/>
    <n v="0"/>
    <n v="0"/>
    <n v="0"/>
    <n v="672.20672875000014"/>
    <n v="1006.2932712499999"/>
    <n v="0.59951937518617804"/>
    <x v="0"/>
    <s v="-"/>
    <x v="4"/>
    <x v="0"/>
    <n v="2"/>
    <n v="1"/>
    <d v="2017-08-17T00:00:00"/>
    <s v="TOYOTA"/>
    <s v="URBAN CRUISER"/>
    <n v="401.21250000000003"/>
    <d v="2017-08-17T00:00:00"/>
    <n v="0"/>
    <x v="105"/>
  </r>
  <r>
    <d v="2017-08-19T00:00:00"/>
    <s v="001-00010171"/>
    <n v="681.57965607000028"/>
    <n v="0"/>
    <n v="0"/>
    <n v="12.39406779661017"/>
    <n v="0"/>
    <n v="0"/>
    <n v="0"/>
    <n v="0"/>
    <n v="12.39406779661017"/>
    <n v="669.18558827339007"/>
    <n v="0.98181567233377443"/>
    <x v="0"/>
    <s v="-"/>
    <x v="4"/>
    <x v="0"/>
    <n v="2"/>
    <n v="1"/>
    <d v="2017-08-17T00:00:00"/>
    <s v="TOYOTA"/>
    <s v="URBAN CRUISER"/>
    <n v="1330.875"/>
    <d v="2017-08-17T00:00:00"/>
    <n v="0"/>
    <x v="105"/>
  </r>
  <r>
    <d v="2017-08-19T00:00:00"/>
    <s v="001-00010105"/>
    <n v="1259.3282784300002"/>
    <n v="0"/>
    <n v="0"/>
    <n v="62.16101694915254"/>
    <n v="0"/>
    <n v="131.625"/>
    <n v="176.635875"/>
    <n v="0"/>
    <n v="370.42189194915255"/>
    <n v="888.90638648084769"/>
    <n v="0.70585756049966886"/>
    <x v="1"/>
    <s v="LEVE"/>
    <x v="4"/>
    <x v="0"/>
    <n v="10"/>
    <n v="1"/>
    <d v="2017-08-09T00:00:00"/>
    <s v="HYUNDAI"/>
    <s v="CRETA"/>
    <n v="1654.6724999999999"/>
    <d v="2017-08-11T00:00:00"/>
    <n v="9"/>
    <x v="1"/>
  </r>
  <r>
    <d v="2017-08-19T00:00:00"/>
    <s v="001-00010100"/>
    <n v="1202.0260575000002"/>
    <n v="0"/>
    <n v="0"/>
    <n v="0"/>
    <n v="0"/>
    <n v="117"/>
    <n v="185.9325"/>
    <n v="0"/>
    <n v="302.9325"/>
    <n v="899.0935575000002"/>
    <n v="0.7479817528830901"/>
    <x v="1"/>
    <s v="LEVE"/>
    <x v="4"/>
    <x v="0"/>
    <n v="10"/>
    <n v="1"/>
    <d v="2017-08-09T00:00:00"/>
    <s v="TOYOTA"/>
    <s v="YARIS"/>
    <n v="384.05250000000001"/>
    <d v="2017-08-10T00:00:00"/>
    <n v="8"/>
    <x v="1"/>
  </r>
  <r>
    <d v="2017-08-21T00:00:00"/>
    <s v="001-00010143"/>
    <n v="650.79875400000003"/>
    <n v="0"/>
    <n v="0"/>
    <n v="27.542372881355934"/>
    <n v="0"/>
    <n v="43.875"/>
    <n v="123.955"/>
    <n v="0"/>
    <n v="195.37237288135594"/>
    <n v="455.42638111864409"/>
    <n v="0.69979602499153537"/>
    <x v="1"/>
    <s v="LEVE"/>
    <x v="4"/>
    <x v="0"/>
    <n v="7"/>
    <n v="1"/>
    <d v="2017-08-14T00:00:00"/>
    <s v="HYUNDAI"/>
    <s v="ACCENT"/>
    <n v="773.53250000000003"/>
    <d v="2017-08-16T00:00:00"/>
    <n v="3"/>
    <x v="1"/>
  </r>
  <r>
    <d v="2017-08-21T00:00:00"/>
    <s v="001-00010111"/>
    <n v="1686.1125915300001"/>
    <n v="0"/>
    <n v="0"/>
    <n v="55.084745762711869"/>
    <n v="0"/>
    <n v="175.5"/>
    <n v="216.92125000000001"/>
    <n v="113.75"/>
    <n v="561.2559957627119"/>
    <n v="1124.8565957672881"/>
    <n v="0.66713017945413644"/>
    <x v="1"/>
    <s v="MEDIANO"/>
    <x v="4"/>
    <x v="0"/>
    <n v="11"/>
    <n v="1"/>
    <d v="2017-08-10T00:00:00"/>
    <s v="HYUNDAI"/>
    <s v="ELANTRA"/>
    <n v="1151.8325"/>
    <d v="2017-08-11T00:00:00"/>
    <n v="12"/>
    <x v="1"/>
  </r>
  <r>
    <d v="2017-08-22T00:00:00"/>
    <s v="001-00009757"/>
    <n v="2587.28809"/>
    <n v="120.5923011"/>
    <n v="35.590000000000003"/>
    <n v="0"/>
    <n v="39.048749999999998"/>
    <n v="0"/>
    <n v="0"/>
    <n v="0"/>
    <n v="195.2310511"/>
    <n v="2392.0570389"/>
    <n v="0.92454220623726524"/>
    <x v="0"/>
    <s v="-"/>
    <x v="4"/>
    <x v="0"/>
    <n v="61"/>
    <n v="1"/>
    <d v="2017-06-22T00:00:00"/>
    <s v="MAZDA"/>
    <s v="MAZDA 3"/>
    <n v="129.1875"/>
    <d v="2017-06-23T00:00:00"/>
    <n v="0"/>
    <x v="89"/>
  </r>
  <r>
    <d v="2017-08-22T00:00:00"/>
    <s v="001-00010025"/>
    <n v="2218.4390159999998"/>
    <n v="0"/>
    <n v="0"/>
    <n v="61.970338983050851"/>
    <n v="0"/>
    <n v="292.5"/>
    <n v="294.393125"/>
    <n v="0"/>
    <n v="648.86346398305091"/>
    <n v="1569.5755520169489"/>
    <n v="0.70751349967104482"/>
    <x v="1"/>
    <s v="MEDIANO"/>
    <x v="4"/>
    <x v="0"/>
    <n v="21"/>
    <n v="1"/>
    <d v="2017-08-01T00:00:00"/>
    <s v="KIA"/>
    <s v="RIO"/>
    <n v="2168.9524999999999"/>
    <d v="2017-08-01T00:00:00"/>
    <n v="20"/>
    <x v="1"/>
  </r>
  <r>
    <d v="2017-08-22T00:00:00"/>
    <s v="001-00010132"/>
    <n v="575.26458228000001"/>
    <n v="0"/>
    <n v="0"/>
    <n v="48.199152542372886"/>
    <n v="0"/>
    <n v="29.25"/>
    <n v="61.977499999999999"/>
    <n v="0"/>
    <n v="139.42665254237289"/>
    <n v="435.83792973762712"/>
    <n v="0.7576303898464074"/>
    <x v="1"/>
    <s v="LEVE"/>
    <x v="4"/>
    <x v="0"/>
    <n v="8"/>
    <n v="1"/>
    <d v="2017-08-14T00:00:00"/>
    <s v="HONDA"/>
    <s v="WR-V"/>
    <n v="3695.8025000000002"/>
    <d v="2017-08-15T00:00:00"/>
    <n v="2"/>
    <x v="1"/>
  </r>
  <r>
    <d v="2017-08-23T00:00:00"/>
    <s v="001-00010161"/>
    <n v="779.25852734322007"/>
    <n v="0"/>
    <n v="0"/>
    <n v="41.313559322033903"/>
    <n v="0"/>
    <n v="73.125"/>
    <n v="123.955"/>
    <n v="0"/>
    <n v="238.39355932203392"/>
    <n v="540.86496802118609"/>
    <n v="0.69407641885574789"/>
    <x v="1"/>
    <s v="LEVE"/>
    <x v="4"/>
    <x v="0"/>
    <n v="7"/>
    <n v="1"/>
    <d v="2017-08-16T00:00:00"/>
    <s v="CHEVROLET"/>
    <s v="AVEO"/>
    <n v="260"/>
    <d v="2017-08-17T00:00:00"/>
    <n v="5"/>
    <x v="154"/>
  </r>
  <r>
    <d v="2017-08-23T00:00:00"/>
    <s v="001-00010187"/>
    <n v="713.89836323999998"/>
    <n v="0"/>
    <n v="0"/>
    <n v="23.879237288135592"/>
    <n v="14.625"/>
    <n v="29.25"/>
    <n v="185.9325"/>
    <n v="0"/>
    <n v="253.68673728813559"/>
    <n v="460.21162595186439"/>
    <n v="0.64464586228102805"/>
    <x v="0"/>
    <s v="LEVE"/>
    <x v="4"/>
    <x v="0"/>
    <n v="4"/>
    <n v="1"/>
    <d v="2017-08-19T00:00:00"/>
    <s v="JEEP"/>
    <s v="COMPASS"/>
    <n v="0"/>
    <d v="2017-08-19T00:00:00"/>
    <n v="2"/>
    <x v="155"/>
  </r>
  <r>
    <d v="2017-08-23T00:00:00"/>
    <s v="001-00010211"/>
    <n v="250"/>
    <n v="52.164397999999998"/>
    <n v="0"/>
    <n v="0"/>
    <n v="39.048749999999998"/>
    <n v="0"/>
    <n v="0"/>
    <n v="0"/>
    <n v="91.21314799999999"/>
    <n v="158.78685200000001"/>
    <n v="0.63514740800000002"/>
    <x v="0"/>
    <s v="-"/>
    <x v="4"/>
    <x v="0"/>
    <n v="0"/>
    <n v="1"/>
    <d v="2017-08-23T00:00:00"/>
    <s v="HYUNDAI"/>
    <s v="ELANTRA"/>
    <n v="0"/>
    <d v="2017-08-23T00:00:00"/>
    <n v="0"/>
    <x v="0"/>
  </r>
  <r>
    <d v="2017-08-23T00:00:00"/>
    <s v="001-00010109"/>
    <n v="2171.2941000000001"/>
    <n v="0"/>
    <n v="0"/>
    <n v="61.970338983050851"/>
    <n v="0"/>
    <n v="292.5"/>
    <n v="232.41562500000001"/>
    <n v="113.75"/>
    <n v="700.63596398305083"/>
    <n v="1470.6581360169494"/>
    <n v="0.67731871790972453"/>
    <x v="1"/>
    <s v="MEDIANO"/>
    <x v="4"/>
    <x v="0"/>
    <n v="13"/>
    <n v="1"/>
    <d v="2017-08-10T00:00:00"/>
    <s v="KIA"/>
    <s v="RIO"/>
    <n v="60.092499999999994"/>
    <d v="2017-08-15T00:00:00"/>
    <n v="20"/>
    <x v="1"/>
  </r>
  <r>
    <d v="2017-08-23T00:00:00"/>
    <s v="001-00010162"/>
    <n v="1589.4121320000004"/>
    <n v="0"/>
    <n v="0"/>
    <n v="0"/>
    <n v="0"/>
    <n v="204.75"/>
    <n v="216.92125000000001"/>
    <n v="0"/>
    <n v="421.67124999999999"/>
    <n v="1167.7408820000005"/>
    <n v="0.73469986700718115"/>
    <x v="1"/>
    <s v="MEDIANO"/>
    <x v="4"/>
    <x v="0"/>
    <n v="7"/>
    <n v="1"/>
    <d v="2017-08-16T00:00:00"/>
    <s v="MAZDA"/>
    <s v="MAZDA 3"/>
    <n v="2062.4175"/>
    <d v="2017-08-15T00:00:00"/>
    <n v="14"/>
    <x v="1"/>
  </r>
  <r>
    <d v="2017-08-23T00:00:00"/>
    <s v="001-00010175"/>
    <n v="573.69967847999999"/>
    <n v="0"/>
    <n v="0"/>
    <n v="20.656779661016952"/>
    <n v="0"/>
    <n v="43.875"/>
    <n v="92.966250000000002"/>
    <n v="0"/>
    <n v="157.49802966101697"/>
    <n v="416.20164881898302"/>
    <n v="0.72546955215609799"/>
    <x v="1"/>
    <s v="LEVE"/>
    <x v="4"/>
    <x v="0"/>
    <n v="6"/>
    <n v="1"/>
    <d v="2017-08-17T00:00:00"/>
    <s v="KIA"/>
    <s v="RIO"/>
    <n v="905.77499999999998"/>
    <d v="2017-08-18T00:00:00"/>
    <n v="3"/>
    <x v="1"/>
  </r>
  <r>
    <d v="2017-08-24T00:00:00"/>
    <s v="001-00010190"/>
    <n v="466.41601439999999"/>
    <n v="0"/>
    <n v="0"/>
    <n v="0"/>
    <n v="0"/>
    <n v="29.25"/>
    <n v="92.966250000000002"/>
    <n v="130"/>
    <n v="252.21625"/>
    <n v="214.19976439999999"/>
    <n v="0.45924616176729627"/>
    <x v="0"/>
    <s v="LEVE"/>
    <x v="4"/>
    <x v="0"/>
    <n v="3"/>
    <n v="1"/>
    <d v="2017-08-21T00:00:00"/>
    <s v="HYUNDAI"/>
    <s v="VELOSTER"/>
    <n v="0"/>
    <d v="2017-08-21T00:00:00"/>
    <n v="2"/>
    <x v="156"/>
  </r>
  <r>
    <d v="2017-08-24T00:00:00"/>
    <s v="001-00010194"/>
    <n v="1314.5"/>
    <n v="255.50998999999996"/>
    <n v="0"/>
    <n v="254.24"/>
    <n v="39.048749999999998"/>
    <n v="0"/>
    <n v="0"/>
    <n v="0"/>
    <n v="548.79873999999995"/>
    <n v="765.70126000000005"/>
    <n v="0.58250381133510842"/>
    <x v="0"/>
    <s v="-"/>
    <x v="4"/>
    <x v="0"/>
    <n v="5"/>
    <n v="1"/>
    <d v="2017-08-19T00:00:00"/>
    <s v="GREAT WALL"/>
    <s v="M4"/>
    <n v="0"/>
    <d v="2017-08-21T00:00:00"/>
    <n v="0"/>
    <x v="139"/>
  </r>
  <r>
    <d v="2017-08-24T00:00:00"/>
    <s v="001-00010086"/>
    <n v="1793.6099091754199"/>
    <n v="0"/>
    <n v="0"/>
    <n v="37.712372881355932"/>
    <n v="0"/>
    <n v="234"/>
    <n v="263.40437500000002"/>
    <n v="0"/>
    <n v="535.11674788135588"/>
    <n v="1258.4931612940641"/>
    <n v="0.70165377368629378"/>
    <x v="1"/>
    <s v="MEDIANO"/>
    <x v="4"/>
    <x v="0"/>
    <n v="17"/>
    <n v="1"/>
    <d v="2017-08-07T00:00:00"/>
    <s v="SUZUKI"/>
    <s v="SWIFT"/>
    <n v="2922.3675000000003"/>
    <d v="2017-08-11T00:00:00"/>
    <n v="16"/>
    <x v="1"/>
  </r>
  <r>
    <d v="2017-08-25T00:00:00"/>
    <s v="001-00010155"/>
    <n v="2189.7110643545793"/>
    <n v="0"/>
    <n v="0"/>
    <n v="34.427966101694921"/>
    <n v="0"/>
    <n v="204.75"/>
    <n v="340.87625000000003"/>
    <n v="113.75"/>
    <n v="693.80421610169492"/>
    <n v="1495.9068482528844"/>
    <n v="0.68315261890216794"/>
    <x v="0"/>
    <s v="-"/>
    <x v="4"/>
    <x v="0"/>
    <n v="9"/>
    <n v="1"/>
    <d v="2017-08-16T00:00:00"/>
    <s v="ZOTYE"/>
    <s v="HUNTER"/>
    <n v="2408.25"/>
    <d v="2017-08-18T00:00:00"/>
    <n v="14"/>
    <x v="1"/>
  </r>
  <r>
    <d v="2017-08-25T00:00:00"/>
    <s v="001-00010138"/>
    <n v="1565.8199786623711"/>
    <n v="0"/>
    <n v="0"/>
    <n v="34.427966101694921"/>
    <n v="14.625"/>
    <n v="117"/>
    <n v="216.92125000000001"/>
    <n v="113.75"/>
    <n v="496.72421610169494"/>
    <n v="1069.0957625606761"/>
    <n v="0.68277054650558855"/>
    <x v="1"/>
    <s v="LEVE"/>
    <x v="4"/>
    <x v="0"/>
    <n v="11"/>
    <n v="1"/>
    <d v="2017-08-14T00:00:00"/>
    <s v="HYUNDAI"/>
    <s v="ACCENT"/>
    <n v="1467.7974999999999"/>
    <d v="2017-08-15T00:00:00"/>
    <n v="8"/>
    <x v="1"/>
  </r>
  <r>
    <d v="2017-08-25T00:00:00"/>
    <s v="001-00010226"/>
    <n v="743.98308999999995"/>
    <n v="346.728297"/>
    <n v="0"/>
    <n v="0"/>
    <n v="39.048749999999998"/>
    <n v="0"/>
    <n v="0"/>
    <n v="0"/>
    <n v="385.77704699999998"/>
    <n v="358.20604299999997"/>
    <n v="0.48147067831877738"/>
    <x v="0"/>
    <s v="-"/>
    <x v="4"/>
    <x v="0"/>
    <n v="0"/>
    <n v="1"/>
    <d v="2017-08-25T00:00:00"/>
    <s v="KIA"/>
    <s v="SORENTO"/>
    <n v="0"/>
    <d v="2017-08-25T00:00:00"/>
    <n v="0"/>
    <x v="157"/>
  </r>
  <r>
    <d v="2017-08-25T00:00:00"/>
    <s v="001-00010227"/>
    <n v="296.61020000000002"/>
    <n v="101.47844850000001"/>
    <n v="0"/>
    <n v="0"/>
    <n v="39.048749999999998"/>
    <n v="0"/>
    <n v="0"/>
    <n v="0"/>
    <n v="140.5271985"/>
    <n v="156.08300150000002"/>
    <n v="0.5262226366456717"/>
    <x v="0"/>
    <s v="-"/>
    <x v="4"/>
    <x v="0"/>
    <n v="0"/>
    <n v="1"/>
    <d v="2017-08-25T00:00:00"/>
    <s v="HYUNDAI"/>
    <s v="H1"/>
    <n v="0"/>
    <d v="2017-08-25T00:00:00"/>
    <n v="0"/>
    <x v="121"/>
  </r>
  <r>
    <d v="2017-08-26T00:00:00"/>
    <s v="001-00009783"/>
    <n v="7204.5497775000003"/>
    <n v="0"/>
    <n v="0"/>
    <n v="84.75"/>
    <n v="117"/>
    <n v="672.75"/>
    <n v="867.68500000000006"/>
    <n v="455"/>
    <n v="2197.1849999999999"/>
    <n v="5007.3647775000009"/>
    <n v="0.69502813251955498"/>
    <x v="1"/>
    <s v="GRAVE"/>
    <x v="4"/>
    <x v="0"/>
    <n v="60"/>
    <n v="1"/>
    <d v="2017-06-27T00:00:00"/>
    <s v="TOYOTA"/>
    <s v="TERCEL"/>
    <n v="2841.6699999999996"/>
    <d v="2017-07-17T00:00:00"/>
    <n v="46"/>
    <x v="1"/>
  </r>
  <r>
    <d v="2017-08-26T00:00:00"/>
    <s v="001-00009518"/>
    <n v="4970.3298464999998"/>
    <n v="0"/>
    <n v="0"/>
    <n v="0"/>
    <n v="39.048749999999998"/>
    <n v="585"/>
    <n v="666.25812499999995"/>
    <n v="0"/>
    <n v="1290.306875"/>
    <n v="3680.0229714999996"/>
    <n v="0.74039813959055323"/>
    <x v="1"/>
    <s v="GRAVE"/>
    <x v="4"/>
    <x v="0"/>
    <n v="103"/>
    <n v="1"/>
    <d v="2017-05-15T00:00:00"/>
    <s v="MAZDA"/>
    <s v="MAZDA 3"/>
    <n v="16460.502499999999"/>
    <d v="2017-05-16T00:00:00"/>
    <n v="40"/>
    <x v="1"/>
  </r>
  <r>
    <d v="2017-08-26T00:00:00"/>
    <s v="001-00010124"/>
    <n v="2393.81479387119"/>
    <n v="0"/>
    <n v="0"/>
    <n v="0"/>
    <n v="0"/>
    <n v="351"/>
    <n v="247.91"/>
    <n v="0"/>
    <n v="598.91"/>
    <n v="1794.9047938711901"/>
    <n v="0.74980938310959955"/>
    <x v="1"/>
    <s v="MEDIANO"/>
    <x v="4"/>
    <x v="0"/>
    <n v="15"/>
    <n v="1"/>
    <d v="2017-08-11T00:00:00"/>
    <s v="VOLKSWAGEN"/>
    <s v="JETTA"/>
    <n v="2752.2950000000001"/>
    <d v="2017-08-14T00:00:00"/>
    <n v="24"/>
    <x v="1"/>
  </r>
  <r>
    <d v="2017-08-26T00:00:00"/>
    <s v="001-00010096"/>
    <n v="3407.9948947500002"/>
    <n v="0"/>
    <n v="10.17"/>
    <n v="85.805932203389844"/>
    <n v="58.5"/>
    <n v="292.5"/>
    <n v="511.31437500000004"/>
    <n v="97.5"/>
    <n v="1055.7903072033898"/>
    <n v="2352.2045875466101"/>
    <n v="0.690201910563355"/>
    <x v="1"/>
    <s v="MEDIANO"/>
    <x v="4"/>
    <x v="0"/>
    <n v="18"/>
    <n v="1"/>
    <d v="2017-08-08T00:00:00"/>
    <s v="NISSAN"/>
    <s v="SENTRA"/>
    <n v="3959.41"/>
    <d v="2017-08-10T00:00:00"/>
    <n v="20"/>
    <x v="1"/>
  </r>
  <r>
    <d v="2017-08-26T00:00:00"/>
    <s v="001-00010202"/>
    <n v="93.106096724579999"/>
    <n v="0"/>
    <n v="0"/>
    <n v="0"/>
    <n v="0"/>
    <n v="0"/>
    <n v="0"/>
    <n v="0"/>
    <n v="0"/>
    <n v="93.106096724579999"/>
    <n v="1"/>
    <x v="1"/>
    <s v="LEVE"/>
    <x v="4"/>
    <x v="0"/>
    <n v="4"/>
    <n v="1"/>
    <d v="2017-08-22T00:00:00"/>
    <s v="MITSUBISHI"/>
    <s v="MONTERO"/>
    <n v="1603.5174999999999"/>
    <d v="2017-08-23T00:00:00"/>
    <n v="0"/>
    <x v="1"/>
  </r>
  <r>
    <d v="2017-08-26T00:00:00"/>
    <s v="001-00010129"/>
    <n v="2889.9149107500002"/>
    <n v="50.6847475"/>
    <n v="10.17"/>
    <n v="41.313559322033903"/>
    <n v="43.875"/>
    <n v="380.25"/>
    <n v="278.89875000000001"/>
    <n v="0"/>
    <n v="805.19205682203392"/>
    <n v="2084.7228539279663"/>
    <n v="0.72137862819875631"/>
    <x v="1"/>
    <s v="MEDIANO"/>
    <x v="4"/>
    <x v="0"/>
    <n v="14"/>
    <n v="1"/>
    <d v="2017-08-12T00:00:00"/>
    <s v="NISSAN"/>
    <s v="VERSA"/>
    <n v="1477.7749999999999"/>
    <d v="2017-08-16T00:00:00"/>
    <n v="26"/>
    <x v="1"/>
  </r>
  <r>
    <d v="2017-08-26T00:00:00"/>
    <s v="001-00010116"/>
    <n v="3726.3343217186402"/>
    <n v="0"/>
    <n v="10.17"/>
    <n v="16.95"/>
    <n v="58.5"/>
    <n v="409.5"/>
    <n v="418.34812499999998"/>
    <n v="227.5"/>
    <n v="1140.9681249999999"/>
    <n v="2585.3661967186404"/>
    <n v="0.69380951184386253"/>
    <x v="1"/>
    <s v="GRAVE"/>
    <x v="4"/>
    <x v="0"/>
    <n v="16"/>
    <n v="1"/>
    <d v="2017-08-10T00:00:00"/>
    <s v="HYUNDAI"/>
    <s v="I10"/>
    <n v="5410.1774999999998"/>
    <d v="2017-08-14T00:00:00"/>
    <n v="28"/>
    <x v="1"/>
  </r>
  <r>
    <d v="2017-08-28T00:00:00"/>
    <s v="001-00010157"/>
    <n v="1961.5418072211901"/>
    <n v="0"/>
    <n v="10.17"/>
    <n v="112.29237288135593"/>
    <n v="29.25"/>
    <n v="204.75"/>
    <n v="263.40437500000002"/>
    <n v="0"/>
    <n v="619.86674788135588"/>
    <n v="1341.6750593398342"/>
    <n v="0.68399004008000852"/>
    <x v="1"/>
    <s v="MEDIANO"/>
    <x v="4"/>
    <x v="0"/>
    <n v="12"/>
    <n v="1"/>
    <d v="2017-08-16T00:00:00"/>
    <s v="HYUNDAI"/>
    <s v="ACCENT"/>
    <n v="861.25"/>
    <d v="2017-08-18T00:00:00"/>
    <n v="14"/>
    <x v="78"/>
  </r>
  <r>
    <d v="2017-08-28T00:00:00"/>
    <s v="001-00010103"/>
    <n v="771.19281718305012"/>
    <n v="0"/>
    <n v="0"/>
    <n v="34.427966101694921"/>
    <n v="0"/>
    <n v="58.5"/>
    <n v="123.955"/>
    <n v="0"/>
    <n v="216.88296610169493"/>
    <n v="554.30985108135519"/>
    <n v="0.71876946819356113"/>
    <x v="1"/>
    <s v="LEVE"/>
    <x v="4"/>
    <x v="0"/>
    <n v="19"/>
    <n v="1"/>
    <d v="2017-08-09T00:00:00"/>
    <s v="HYUNDAI"/>
    <s v="H1"/>
    <n v="119.24249999999999"/>
    <d v="2017-08-10T00:00:00"/>
    <n v="4"/>
    <x v="1"/>
  </r>
  <r>
    <d v="2017-08-28T00:00:00"/>
    <s v="001-00010196"/>
    <n v="29.1419991"/>
    <n v="0"/>
    <n v="0"/>
    <n v="0"/>
    <n v="0"/>
    <n v="8.7749999999999986"/>
    <n v="0"/>
    <n v="0"/>
    <n v="8.7749999999999986"/>
    <n v="20.366999100000001"/>
    <n v="0.69888819329487939"/>
    <x v="1"/>
    <s v="LEVE"/>
    <x v="4"/>
    <x v="0"/>
    <n v="7"/>
    <n v="1"/>
    <d v="2017-08-21T00:00:00"/>
    <s v="HYUNDAI"/>
    <s v="ELANTRA"/>
    <n v="1903.5900000000001"/>
    <d v="2017-08-21T00:00:00"/>
    <n v="0.6"/>
    <x v="1"/>
  </r>
  <r>
    <d v="2017-08-28T00:00:00"/>
    <s v="001-00010139"/>
    <n v="1350.657540467289"/>
    <n v="0"/>
    <n v="0"/>
    <n v="20.656779661016952"/>
    <n v="0"/>
    <n v="117"/>
    <n v="255.34729999999999"/>
    <n v="0"/>
    <n v="393.00407966101693"/>
    <n v="957.65346080627205"/>
    <n v="0.70902758998032267"/>
    <x v="1"/>
    <s v="LEVE"/>
    <x v="4"/>
    <x v="0"/>
    <n v="14"/>
    <n v="1"/>
    <d v="2017-08-14T00:00:00"/>
    <s v="HYUNDAI"/>
    <s v="ELANTRA"/>
    <n v="2803.8074999999999"/>
    <d v="2017-08-15T00:00:00"/>
    <n v="8"/>
    <x v="1"/>
  </r>
  <r>
    <d v="2017-08-28T00:00:00"/>
    <s v="001-00010236"/>
    <n v="296.61020000000002"/>
    <n v="101.4784485"/>
    <n v="0"/>
    <n v="41.313559322033896"/>
    <n v="39.048749999999998"/>
    <n v="0"/>
    <n v="0"/>
    <n v="0"/>
    <n v="181.84075782203388"/>
    <n v="114.76944217796614"/>
    <n v="0.3869369366864866"/>
    <x v="0"/>
    <s v="-"/>
    <x v="4"/>
    <x v="0"/>
    <n v="0"/>
    <n v="1"/>
    <d v="2017-08-28T00:00:00"/>
    <s v="HYUNDAI"/>
    <s v="H1"/>
    <n v="0"/>
    <d v="2017-08-28T00:00:00"/>
    <n v="0"/>
    <x v="121"/>
  </r>
  <r>
    <d v="2017-08-29T00:00:00"/>
    <s v="001-00010204"/>
    <n v="1327.5799590000001"/>
    <n v="0"/>
    <n v="0"/>
    <n v="61.970338983050851"/>
    <n v="0"/>
    <n v="234"/>
    <n v="123.955"/>
    <n v="0"/>
    <n v="419.92533898305084"/>
    <n v="907.65462001694937"/>
    <n v="0.68369111318962694"/>
    <x v="1"/>
    <s v="MEDIANO"/>
    <x v="4"/>
    <x v="0"/>
    <n v="7"/>
    <n v="1"/>
    <d v="2017-08-22T00:00:00"/>
    <s v="TOYOTA"/>
    <s v="RAV4"/>
    <n v="0"/>
    <d v="2017-08-23T00:00:00"/>
    <n v="16"/>
    <x v="1"/>
  </r>
  <r>
    <d v="2017-08-29T00:00:00"/>
    <s v="001-00010122"/>
    <n v="1784.961076854579"/>
    <n v="0"/>
    <n v="0"/>
    <n v="61.970338983050851"/>
    <n v="0"/>
    <n v="146.25"/>
    <n v="278.89875000000001"/>
    <n v="113.75"/>
    <n v="600.86908898305091"/>
    <n v="1184.0919878715281"/>
    <n v="0.66337132121564812"/>
    <x v="1"/>
    <s v="MEDIANO"/>
    <x v="4"/>
    <x v="0"/>
    <n v="18"/>
    <n v="1"/>
    <d v="2017-08-11T00:00:00"/>
    <s v="TOYOTA"/>
    <s v="COROLLA"/>
    <n v="1045.915"/>
    <d v="2017-08-14T00:00:00"/>
    <n v="10"/>
    <x v="1"/>
  </r>
  <r>
    <d v="2017-08-29T00:00:00"/>
    <s v="001-00010160"/>
    <n v="1925.8140725045789"/>
    <n v="0"/>
    <n v="0"/>
    <n v="103.28389830508475"/>
    <n v="0"/>
    <n v="175.5"/>
    <n v="309.88749999999999"/>
    <n v="0"/>
    <n v="588.67139830508472"/>
    <n v="1337.1426741994942"/>
    <n v="0.69432594417616866"/>
    <x v="1"/>
    <s v="MEDIANO"/>
    <x v="4"/>
    <x v="0"/>
    <n v="13"/>
    <n v="1"/>
    <d v="2017-08-16T00:00:00"/>
    <s v="ZOTYE"/>
    <s v="HUNTER"/>
    <n v="474.5"/>
    <d v="2017-08-18T00:00:00"/>
    <n v="12"/>
    <x v="1"/>
  </r>
  <r>
    <d v="2017-08-29T00:00:00"/>
    <s v="001-00010168"/>
    <n v="1821.3749437500001"/>
    <n v="0"/>
    <n v="0"/>
    <n v="110.16949152542374"/>
    <n v="0"/>
    <n v="117"/>
    <n v="325.38187500000004"/>
    <n v="0"/>
    <n v="552.55136652542376"/>
    <n v="1268.8235772245762"/>
    <n v="0.69662953340744627"/>
    <x v="1"/>
    <s v="LEVE"/>
    <x v="4"/>
    <x v="0"/>
    <n v="12"/>
    <n v="1"/>
    <d v="2017-08-17T00:00:00"/>
    <s v="SUZUKI"/>
    <s v="SWIFT"/>
    <n v="668.42750000000001"/>
    <d v="2017-08-18T00:00:00"/>
    <n v="8"/>
    <x v="1"/>
  </r>
  <r>
    <d v="2017-08-29T00:00:00"/>
    <s v="001-00010071"/>
    <n v="1411.2466384161"/>
    <n v="0"/>
    <n v="0"/>
    <n v="48.199152542372886"/>
    <n v="0"/>
    <n v="117"/>
    <n v="139.449375"/>
    <n v="113.75"/>
    <n v="418.3985275423729"/>
    <n v="992.84811087372714"/>
    <n v="0.70352558075039329"/>
    <x v="1"/>
    <s v="LEVE"/>
    <x v="4"/>
    <x v="0"/>
    <n v="24"/>
    <n v="1"/>
    <d v="2017-08-05T00:00:00"/>
    <s v="KIA"/>
    <s v="SOUL"/>
    <n v="1221.1224999999999"/>
    <d v="2017-08-08T00:00:00"/>
    <n v="8"/>
    <x v="1"/>
  </r>
  <r>
    <d v="2017-08-29T00:00:00"/>
    <s v="001-00010104"/>
    <n v="2513.5110543545793"/>
    <n v="0"/>
    <n v="0"/>
    <n v="158.8971186440678"/>
    <n v="73.125"/>
    <n v="234"/>
    <n v="356.37062500000002"/>
    <n v="113.75"/>
    <n v="936.14274364406788"/>
    <n v="1577.3683107105114"/>
    <n v="0.62755574835359096"/>
    <x v="1"/>
    <s v="MEDIANO"/>
    <x v="4"/>
    <x v="0"/>
    <n v="20"/>
    <n v="1"/>
    <d v="2017-08-09T00:00:00"/>
    <s v="KIA"/>
    <s v="SOUL"/>
    <n v="3977.7724999999996"/>
    <d v="2017-08-08T00:00:00"/>
    <n v="16"/>
    <x v="1"/>
  </r>
  <r>
    <d v="2017-08-29T00:00:00"/>
    <s v="001-00010254"/>
    <n v="296.61020000000002"/>
    <n v="92.688346500000009"/>
    <n v="0"/>
    <n v="0"/>
    <n v="39.048749999999998"/>
    <n v="0"/>
    <n v="0"/>
    <n v="0"/>
    <n v="131.73709650000001"/>
    <n v="164.87310350000001"/>
    <n v="0.55585783462605132"/>
    <x v="0"/>
    <s v="-"/>
    <x v="4"/>
    <x v="0"/>
    <n v="0"/>
    <n v="1"/>
    <d v="2017-08-29T00:00:00"/>
    <s v="HYUNDAI"/>
    <s v="H1"/>
    <n v="0"/>
    <d v="2017-08-29T00:00:00"/>
    <n v="0"/>
    <x v="121"/>
  </r>
  <r>
    <d v="2017-08-29T00:00:00"/>
    <s v="001-00010255"/>
    <n v="296.61020000000002"/>
    <n v="92.688346500000009"/>
    <n v="0"/>
    <n v="0"/>
    <n v="39.048749999999998"/>
    <n v="0"/>
    <n v="0"/>
    <n v="0"/>
    <n v="131.73709650000001"/>
    <n v="164.87310350000001"/>
    <n v="0.55585783462605132"/>
    <x v="0"/>
    <s v="-"/>
    <x v="4"/>
    <x v="0"/>
    <n v="0"/>
    <n v="1"/>
    <d v="2017-08-29T00:00:00"/>
    <s v="HYUNDAI"/>
    <s v="H1"/>
    <n v="0"/>
    <d v="2017-08-29T00:00:00"/>
    <n v="0"/>
    <x v="121"/>
  </r>
  <r>
    <d v="2017-08-29T00:00:00"/>
    <s v="001-00010253"/>
    <n v="405"/>
    <n v="98.906146500000006"/>
    <n v="0"/>
    <n v="0"/>
    <n v="39.048749999999998"/>
    <n v="0"/>
    <n v="0"/>
    <n v="0"/>
    <n v="137.95489650000002"/>
    <n v="267.04510349999998"/>
    <n v="0.65937062592592588"/>
    <x v="0"/>
    <s v="-"/>
    <x v="4"/>
    <x v="0"/>
    <n v="0"/>
    <n v="1"/>
    <d v="2017-08-29T00:00:00"/>
    <s v="KIA"/>
    <s v="SORENTO"/>
    <n v="0"/>
    <d v="2017-08-29T00:00:00"/>
    <n v="0"/>
    <x v="157"/>
  </r>
  <r>
    <d v="2017-08-29T00:00:00"/>
    <s v="001-00010235"/>
    <n v="1760"/>
    <n v="804.49539100000004"/>
    <n v="0"/>
    <n v="139.82999999999998"/>
    <n v="39.048749999999998"/>
    <n v="0"/>
    <n v="0"/>
    <n v="0"/>
    <n v="983.37414100000012"/>
    <n v="776.62585899999988"/>
    <n v="0.44126469261363627"/>
    <x v="0"/>
    <s v="-"/>
    <x v="4"/>
    <x v="0"/>
    <n v="1"/>
    <n v="1"/>
    <d v="2017-08-28T00:00:00"/>
    <s v="KIA"/>
    <s v="SORENTO"/>
    <n v="1364.1875"/>
    <d v="2017-08-28T00:00:00"/>
    <n v="0"/>
    <x v="157"/>
  </r>
  <r>
    <d v="2017-08-31T00:00:00"/>
    <s v="001-00010191"/>
    <n v="1110.38503425"/>
    <n v="0"/>
    <n v="0"/>
    <n v="68.855932203389841"/>
    <n v="29.25"/>
    <n v="87.75"/>
    <n v="92.966250000000002"/>
    <n v="0"/>
    <n v="278.82218220338984"/>
    <n v="831.56285204661015"/>
    <n v="0.74889594725876518"/>
    <x v="1"/>
    <s v="LEVE"/>
    <x v="4"/>
    <x v="0"/>
    <n v="10"/>
    <n v="1"/>
    <d v="2017-08-21T00:00:00"/>
    <s v="MITSUBISHI"/>
    <s v="MIRAGE"/>
    <n v="1628.9974999999999"/>
    <d v="2017-08-23T00:00:00"/>
    <n v="6"/>
    <x v="1"/>
  </r>
  <r>
    <d v="2017-08-31T00:00:00"/>
    <s v="001-00010158"/>
    <n v="2293.71507075"/>
    <n v="0"/>
    <n v="45.760000000000005"/>
    <n v="40.656779661016955"/>
    <n v="29.25"/>
    <n v="131.625"/>
    <n v="449.33687499999996"/>
    <n v="0"/>
    <n v="696.62865466101698"/>
    <n v="1597.086416088983"/>
    <n v="0.69628805968771312"/>
    <x v="1"/>
    <s v="LEVE"/>
    <x v="4"/>
    <x v="0"/>
    <n v="15"/>
    <n v="1"/>
    <d v="2017-08-16T00:00:00"/>
    <s v="KIA"/>
    <s v="CERATO"/>
    <n v="10898.745000000001"/>
    <d v="2017-08-17T00:00:00"/>
    <n v="9"/>
    <x v="1"/>
  </r>
  <r>
    <d v="2017-08-31T00:00:00"/>
    <s v="001-00010110"/>
    <n v="3670.2462676093201"/>
    <n v="0"/>
    <n v="55.084745762711869"/>
    <n v="82.627118644067806"/>
    <n v="0"/>
    <n v="468"/>
    <n v="557.79750000000001"/>
    <n v="0"/>
    <n v="1163.5093644067797"/>
    <n v="2506.7369032025404"/>
    <n v="0.68298874800991161"/>
    <x v="1"/>
    <s v="GRAVE"/>
    <x v="4"/>
    <x v="0"/>
    <n v="21"/>
    <n v="1"/>
    <d v="2017-08-10T00:00:00"/>
    <s v="HYUNDAI"/>
    <s v="ACCENT"/>
    <n v="4046.4449999999997"/>
    <d v="2017-08-15T00:00:00"/>
    <n v="32"/>
    <x v="1"/>
  </r>
  <r>
    <d v="2017-08-31T00:00:00"/>
    <s v="001-00010213"/>
    <n v="886.85172095508005"/>
    <n v="0"/>
    <n v="0"/>
    <n v="34.427966101694921"/>
    <n v="0"/>
    <n v="87.75"/>
    <n v="139.449375"/>
    <n v="0"/>
    <n v="261.62734110169492"/>
    <n v="625.22437985338513"/>
    <n v="0.70499314043170624"/>
    <x v="1"/>
    <s v="LEVE"/>
    <x v="4"/>
    <x v="0"/>
    <n v="8"/>
    <n v="1"/>
    <d v="2017-08-23T00:00:00"/>
    <s v="HYUNDAI"/>
    <s v="TUCSON"/>
    <n v="1670.2725000000003"/>
    <d v="2017-08-25T00:00:00"/>
    <n v="6"/>
    <x v="1"/>
  </r>
  <r>
    <d v="2017-08-31T00:00:00"/>
    <s v="001-00010209"/>
    <n v="1103.59887964068"/>
    <n v="0"/>
    <n v="0"/>
    <n v="0"/>
    <n v="0"/>
    <n v="117"/>
    <n v="222.49922499999997"/>
    <n v="0"/>
    <n v="339.49922499999997"/>
    <n v="764.09965464068"/>
    <n v="0.69237081401302503"/>
    <x v="1"/>
    <s v="LEVE"/>
    <x v="4"/>
    <x v="0"/>
    <n v="8"/>
    <n v="1"/>
    <d v="2017-08-23T00:00:00"/>
    <s v="HYUNDAI"/>
    <s v="ACCENT"/>
    <n v="1699.23"/>
    <d v="2017-08-24T00:00:00"/>
    <n v="8"/>
    <x v="1"/>
  </r>
  <r>
    <d v="2017-04-01T00:00:00"/>
    <s v="001-00009249"/>
    <n v="660"/>
    <n v="0"/>
    <n v="823.2"/>
    <n v="0"/>
    <n v="39.048749999999998"/>
    <n v="0"/>
    <n v="0"/>
    <n v="0"/>
    <n v="862.24875000000009"/>
    <n v="-202.24875000000009"/>
    <n v="-0.30643750000000014"/>
    <x v="0"/>
    <s v="-"/>
    <x v="0"/>
    <x v="0"/>
    <n v="1"/>
    <n v="1"/>
    <d v="2017-03-31T00:00:00"/>
    <s v="JEEP"/>
    <s v="COMPASS"/>
    <n v="500.76000000000005"/>
    <d v="2017-03-31T00:00:00"/>
    <n v="0"/>
    <x v="158"/>
  </r>
  <r>
    <d v="2017-04-03T00:00:00"/>
    <s v="001-00009203"/>
    <n v="1137.1500350000001"/>
    <n v="0"/>
    <n v="0"/>
    <n v="0"/>
    <n v="0"/>
    <n v="146.25"/>
    <n v="123.955"/>
    <n v="0"/>
    <n v="270.20499999999998"/>
    <n v="866.94503500000019"/>
    <n v="0.76238403756457707"/>
    <x v="0"/>
    <s v="MEDIANO"/>
    <x v="0"/>
    <x v="0"/>
    <n v="7"/>
    <n v="1"/>
    <d v="2017-03-27T00:00:00"/>
    <s v="KIA"/>
    <s v="CERATO"/>
    <n v="0"/>
    <d v="2017-03-27T00:00:00"/>
    <n v="10"/>
    <x v="159"/>
  </r>
  <r>
    <d v="2017-04-03T00:00:00"/>
    <s v="001-00009214"/>
    <n v="2065.0423736083203"/>
    <n v="0"/>
    <n v="0"/>
    <n v="0"/>
    <n v="0"/>
    <n v="292.5"/>
    <n v="309.88749999999999"/>
    <n v="0"/>
    <n v="602.38750000000005"/>
    <n v="1462.6548736083203"/>
    <n v="0.70829291074186174"/>
    <x v="0"/>
    <s v="MEDIANO"/>
    <x v="0"/>
    <x v="0"/>
    <n v="7"/>
    <n v="1"/>
    <d v="2017-03-27T00:00:00"/>
    <s v="MERCEDES BENZ"/>
    <s v="ML-350"/>
    <n v="0"/>
    <d v="2017-03-28T00:00:00"/>
    <n v="20"/>
    <x v="160"/>
  </r>
  <r>
    <d v="2017-04-04T00:00:00"/>
    <s v="001-00009251"/>
    <n v="325"/>
    <n v="0"/>
    <n v="0"/>
    <n v="0"/>
    <n v="0"/>
    <n v="0"/>
    <n v="123.955"/>
    <n v="0"/>
    <n v="123.955"/>
    <n v="201.04500000000002"/>
    <n v="0.61860000000000004"/>
    <x v="0"/>
    <s v="-"/>
    <x v="0"/>
    <x v="0"/>
    <n v="3"/>
    <n v="1"/>
    <d v="2017-04-01T00:00:00"/>
    <s v="KIA"/>
    <s v="SPORTAGE"/>
    <n v="0"/>
    <d v="2017-04-01T00:00:00"/>
    <n v="0"/>
    <x v="161"/>
  </r>
  <r>
    <d v="2017-04-04T00:00:00"/>
    <s v="001-00009244"/>
    <n v="824.70114999999987"/>
    <n v="0"/>
    <n v="0"/>
    <n v="0"/>
    <n v="0"/>
    <n v="102.375"/>
    <n v="139.449375"/>
    <n v="0"/>
    <n v="241.824375"/>
    <n v="582.87677499999984"/>
    <n v="0.70677332631341661"/>
    <x v="0"/>
    <s v="LEVE"/>
    <x v="0"/>
    <x v="0"/>
    <n v="4"/>
    <n v="1"/>
    <d v="2017-03-31T00:00:00"/>
    <s v="NISSAN"/>
    <s v="VERSA"/>
    <n v="0"/>
    <d v="2017-03-31T00:00:00"/>
    <n v="7"/>
    <x v="162"/>
  </r>
  <r>
    <d v="2017-04-04T00:00:00"/>
    <s v="001-00009250"/>
    <n v="1359"/>
    <n v="0"/>
    <n v="0"/>
    <n v="0"/>
    <n v="39.048749999999998"/>
    <n v="0"/>
    <n v="0"/>
    <n v="0"/>
    <n v="39.048749999999998"/>
    <n v="1319.9512500000001"/>
    <n v="0.9712665562913908"/>
    <x v="0"/>
    <s v="-"/>
    <x v="0"/>
    <x v="0"/>
    <n v="3"/>
    <n v="1"/>
    <d v="2017-04-01T00:00:00"/>
    <s v="TOYOTA"/>
    <s v="YARIS"/>
    <n v="349.53749999999997"/>
    <d v="2017-04-01T00:00:00"/>
    <n v="0"/>
    <x v="163"/>
  </r>
  <r>
    <d v="2017-04-05T00:00:00"/>
    <s v="001-00009256"/>
    <n v="1186.440701"/>
    <n v="0"/>
    <n v="0"/>
    <n v="0"/>
    <n v="0"/>
    <n v="117"/>
    <n v="278.89875000000001"/>
    <n v="0"/>
    <n v="395.89875000000001"/>
    <n v="790.54195099999993"/>
    <n v="0.66631391719256261"/>
    <x v="0"/>
    <s v="LEVE"/>
    <x v="0"/>
    <x v="0"/>
    <n v="2"/>
    <n v="1"/>
    <d v="2017-04-03T00:00:00"/>
    <s v="TOYOTA"/>
    <s v="YARIS"/>
    <n v="0"/>
    <d v="2017-04-03T00:00:00"/>
    <n v="8"/>
    <x v="164"/>
  </r>
  <r>
    <d v="2017-04-05T00:00:00"/>
    <s v="001-00009271"/>
    <n v="249"/>
    <n v="0"/>
    <n v="0"/>
    <n v="0"/>
    <n v="39.048749999999998"/>
    <n v="0"/>
    <n v="0"/>
    <n v="0"/>
    <n v="39.048749999999998"/>
    <n v="209.95125000000002"/>
    <n v="0.84317771084337356"/>
    <x v="0"/>
    <s v="-"/>
    <x v="0"/>
    <x v="0"/>
    <n v="1"/>
    <n v="1"/>
    <d v="2017-04-04T00:00:00"/>
    <s v="TOYOTA"/>
    <s v="YARIS"/>
    <n v="249.01500000000001"/>
    <d v="2017-04-04T00:00:00"/>
    <n v="0"/>
    <x v="165"/>
  </r>
  <r>
    <d v="2017-04-05T00:00:00"/>
    <s v="001-00009268"/>
    <n v="349"/>
    <n v="0"/>
    <n v="0"/>
    <n v="0"/>
    <n v="39.048749999999998"/>
    <n v="0"/>
    <n v="0"/>
    <n v="0"/>
    <n v="39.048749999999998"/>
    <n v="309.95125000000002"/>
    <n v="0.88811246418338119"/>
    <x v="0"/>
    <s v="-"/>
    <x v="0"/>
    <x v="0"/>
    <n v="1"/>
    <n v="1"/>
    <d v="2017-04-04T00:00:00"/>
    <s v="SUZUKI"/>
    <s v="GRAND NOMADE"/>
    <n v="348.98500000000001"/>
    <d v="2017-04-04T00:00:00"/>
    <n v="0"/>
    <x v="166"/>
  </r>
  <r>
    <d v="2017-04-06T00:00:00"/>
    <s v="001-00009274"/>
    <n v="450"/>
    <n v="0"/>
    <n v="0"/>
    <n v="0"/>
    <n v="39.048749999999998"/>
    <n v="0"/>
    <n v="0"/>
    <n v="0"/>
    <n v="39.048749999999998"/>
    <n v="410.95125000000002"/>
    <n v="0.91322500000000006"/>
    <x v="0"/>
    <s v="-"/>
    <x v="0"/>
    <x v="0"/>
    <n v="2"/>
    <n v="1"/>
    <d v="2017-04-04T00:00:00"/>
    <s v="KIA"/>
    <s v="RIO"/>
    <n v="449.73500000000001"/>
    <d v="2017-04-04T00:00:00"/>
    <n v="0"/>
    <x v="167"/>
  </r>
  <r>
    <d v="2017-04-06T00:00:00"/>
    <s v="001-00009229"/>
    <n v="1910.4120588000001"/>
    <n v="0"/>
    <n v="0"/>
    <n v="0"/>
    <n v="0"/>
    <n v="87.75"/>
    <n v="247.91"/>
    <n v="0"/>
    <n v="335.65999999999997"/>
    <n v="1574.7520588000002"/>
    <n v="0.82429968526745989"/>
    <x v="0"/>
    <s v="LEVE"/>
    <x v="0"/>
    <x v="0"/>
    <n v="8"/>
    <n v="1"/>
    <d v="2017-03-29T00:00:00"/>
    <s v="SUZUKI"/>
    <s v="GRAND NOMADE"/>
    <n v="520"/>
    <d v="2017-03-29T00:00:00"/>
    <n v="6"/>
    <x v="168"/>
  </r>
  <r>
    <d v="2017-04-06T00:00:00"/>
    <s v="001-00009282"/>
    <n v="450"/>
    <n v="0"/>
    <n v="0"/>
    <n v="0"/>
    <n v="39.048749999999998"/>
    <n v="0"/>
    <n v="0"/>
    <n v="0"/>
    <n v="39.048749999999998"/>
    <n v="410.95125000000002"/>
    <n v="0.91322500000000006"/>
    <x v="0"/>
    <s v="-"/>
    <x v="0"/>
    <x v="0"/>
    <n v="0"/>
    <n v="1"/>
    <d v="2017-04-06T00:00:00"/>
    <s v="KIA"/>
    <s v="RIO"/>
    <n v="449.70249999999999"/>
    <d v="2017-04-06T00:00:00"/>
    <n v="0"/>
    <x v="169"/>
  </r>
  <r>
    <d v="2017-04-06T00:00:00"/>
    <s v="001-00009276"/>
    <n v="1269"/>
    <n v="0"/>
    <n v="112.43"/>
    <n v="0"/>
    <n v="39.048749999999998"/>
    <n v="0"/>
    <n v="0"/>
    <n v="0"/>
    <n v="151.47874999999999"/>
    <n v="1117.52125"/>
    <n v="0.88063140267927498"/>
    <x v="0"/>
    <s v="-"/>
    <x v="0"/>
    <x v="0"/>
    <n v="1"/>
    <n v="1"/>
    <d v="2017-04-05T00:00:00"/>
    <s v="CHEVROLET"/>
    <s v="SONIC"/>
    <n v="448.72749999999996"/>
    <d v="2017-04-05T00:00:00"/>
    <n v="0"/>
    <x v="170"/>
  </r>
  <r>
    <d v="2017-04-08T00:00:00"/>
    <s v="001-00009296"/>
    <n v="249"/>
    <n v="0"/>
    <n v="0"/>
    <n v="0"/>
    <n v="78.097499999999997"/>
    <n v="0"/>
    <n v="0"/>
    <n v="0"/>
    <n v="78.097499999999997"/>
    <n v="170.9025"/>
    <n v="0.68635542168674701"/>
    <x v="0"/>
    <s v="-"/>
    <x v="0"/>
    <x v="0"/>
    <n v="0"/>
    <n v="1"/>
    <d v="2017-04-08T00:00:00"/>
    <s v="HYUNDAI"/>
    <s v="ELANTRA"/>
    <n v="613.76249999999993"/>
    <d v="2017-04-08T00:00:00"/>
    <n v="0"/>
    <x v="171"/>
  </r>
  <r>
    <d v="2017-04-08T00:00:00"/>
    <s v="001-00009294"/>
    <n v="84.754204000000016"/>
    <n v="0"/>
    <n v="0"/>
    <n v="0"/>
    <n v="29.25"/>
    <n v="0"/>
    <n v="0"/>
    <n v="0"/>
    <n v="29.25"/>
    <n v="55.504204000000016"/>
    <n v="0.65488437600098282"/>
    <x v="0"/>
    <s v="-"/>
    <x v="0"/>
    <x v="0"/>
    <n v="0"/>
    <n v="1"/>
    <d v="2017-04-08T00:00:00"/>
    <s v="CHEVROLET"/>
    <s v="AVEO"/>
    <n v="0"/>
    <d v="2017-04-08T00:00:00"/>
    <n v="0"/>
    <x v="172"/>
  </r>
  <r>
    <d v="2017-04-08T00:00:00"/>
    <s v="001-00009248"/>
    <n v="750.2879769000001"/>
    <n v="0"/>
    <n v="0"/>
    <n v="0"/>
    <n v="29.25"/>
    <n v="117"/>
    <n v="61.977499999999999"/>
    <n v="0"/>
    <n v="208.22749999999999"/>
    <n v="542.06047690000014"/>
    <n v="0.72246989634520964"/>
    <x v="0"/>
    <s v="MEDIANO"/>
    <x v="0"/>
    <x v="0"/>
    <n v="8"/>
    <n v="1"/>
    <d v="2017-03-31T00:00:00"/>
    <s v="RENAULT"/>
    <s v="SANDERO"/>
    <n v="0"/>
    <d v="2017-03-31T00:00:00"/>
    <n v="8"/>
    <x v="173"/>
  </r>
  <r>
    <d v="2017-04-10T00:00:00"/>
    <s v="001-00009247"/>
    <n v="1513.8983074698288"/>
    <n v="0"/>
    <n v="0"/>
    <n v="0"/>
    <n v="0"/>
    <n v="131.625"/>
    <n v="325.38187500000004"/>
    <n v="0"/>
    <n v="457.00687500000004"/>
    <n v="1056.8914324698287"/>
    <n v="0.69812577717733659"/>
    <x v="0"/>
    <s v="MEDIANO"/>
    <x v="0"/>
    <x v="0"/>
    <n v="10"/>
    <n v="1"/>
    <d v="2017-03-31T00:00:00"/>
    <s v="HYUNDAI"/>
    <s v="I30"/>
    <n v="0"/>
    <d v="2017-03-31T00:00:00"/>
    <n v="9"/>
    <x v="174"/>
  </r>
  <r>
    <d v="2017-04-10T00:00:00"/>
    <s v="001-00009303"/>
    <n v="534.25419999999997"/>
    <n v="0"/>
    <n v="0"/>
    <n v="0"/>
    <n v="39.048749999999998"/>
    <n v="0"/>
    <n v="0"/>
    <n v="0"/>
    <n v="39.048749999999998"/>
    <n v="495.20544999999998"/>
    <n v="0.92690979312843969"/>
    <x v="0"/>
    <s v="-"/>
    <x v="0"/>
    <x v="0"/>
    <n v="0"/>
    <n v="1"/>
    <d v="2017-04-10T00:00:00"/>
    <s v="HYUNDAI"/>
    <s v="H1"/>
    <n v="350.22"/>
    <d v="2017-04-10T00:00:00"/>
    <n v="0"/>
    <x v="175"/>
  </r>
  <r>
    <d v="2017-04-10T00:00:00"/>
    <s v="001-00009291"/>
    <n v="344.06777175878005"/>
    <n v="0"/>
    <n v="0"/>
    <n v="0"/>
    <n v="0"/>
    <n v="43.875"/>
    <n v="61.977499999999999"/>
    <n v="0"/>
    <n v="105.85249999999999"/>
    <n v="238.21527175878006"/>
    <n v="0.69234985462628174"/>
    <x v="0"/>
    <s v="LEVE"/>
    <x v="0"/>
    <x v="0"/>
    <n v="3"/>
    <n v="1"/>
    <d v="2017-04-07T00:00:00"/>
    <s v="SSANYONG"/>
    <s v="KYRON"/>
    <n v="0"/>
    <d v="2017-04-07T00:00:00"/>
    <n v="3"/>
    <x v="176"/>
  </r>
  <r>
    <d v="2017-04-10T00:00:00"/>
    <s v="001-00009265"/>
    <n v="487.19998499999997"/>
    <n v="0"/>
    <n v="0"/>
    <n v="0"/>
    <n v="0"/>
    <n v="43.875"/>
    <n v="101.6431"/>
    <n v="0"/>
    <n v="145.5181"/>
    <n v="341.68188499999997"/>
    <n v="0.70131751953974297"/>
    <x v="0"/>
    <s v="LEVE"/>
    <x v="0"/>
    <x v="0"/>
    <n v="6"/>
    <n v="1"/>
    <d v="2017-04-04T00:00:00"/>
    <s v="JONWAY"/>
    <s v="A380"/>
    <n v="0"/>
    <d v="2017-04-04T00:00:00"/>
    <n v="3"/>
    <x v="177"/>
  </r>
  <r>
    <d v="2017-04-10T00:00:00"/>
    <s v="001-00009308"/>
    <n v="250"/>
    <n v="0"/>
    <n v="0"/>
    <n v="0"/>
    <n v="39.048749999999998"/>
    <n v="0"/>
    <n v="0"/>
    <n v="0"/>
    <n v="39.048749999999998"/>
    <n v="210.95125000000002"/>
    <n v="0.84380500000000003"/>
    <x v="0"/>
    <s v="-"/>
    <x v="0"/>
    <x v="0"/>
    <n v="0"/>
    <n v="1"/>
    <d v="2017-04-10T00:00:00"/>
    <s v="KIA"/>
    <s v="RIO"/>
    <n v="250.1525"/>
    <d v="2017-04-10T00:00:00"/>
    <n v="0"/>
    <x v="178"/>
  </r>
  <r>
    <d v="2017-04-10T00:00:00"/>
    <s v="001-00009292"/>
    <n v="1030"/>
    <n v="0"/>
    <n v="0"/>
    <n v="0"/>
    <n v="39.048749999999998"/>
    <n v="0"/>
    <n v="0"/>
    <n v="0"/>
    <n v="39.048749999999998"/>
    <n v="990.95124999999996"/>
    <n v="0.96208859223300969"/>
    <x v="0"/>
    <s v="-"/>
    <x v="0"/>
    <x v="0"/>
    <n v="2"/>
    <n v="1"/>
    <d v="2017-04-08T00:00:00"/>
    <s v="HYUNDAI"/>
    <s v="TUCSON"/>
    <n v="449.995"/>
    <d v="2017-04-08T00:00:00"/>
    <n v="0"/>
    <x v="179"/>
  </r>
  <r>
    <d v="2017-04-11T00:00:00"/>
    <s v="001-00009312"/>
    <n v="500"/>
    <n v="0"/>
    <n v="0"/>
    <n v="0"/>
    <n v="39.048749999999998"/>
    <n v="0"/>
    <n v="0"/>
    <n v="0"/>
    <n v="39.048749999999998"/>
    <n v="460.95125000000002"/>
    <n v="0.92190250000000007"/>
    <x v="0"/>
    <s v="-"/>
    <x v="0"/>
    <x v="0"/>
    <n v="0"/>
    <n v="1"/>
    <d v="2017-04-11T00:00:00"/>
    <s v="FORD"/>
    <s v="ECOSPORT"/>
    <n v="500.46750000000003"/>
    <d v="2017-04-11T00:00:00"/>
    <n v="0"/>
    <x v="180"/>
  </r>
  <r>
    <d v="2017-04-11T00:00:00"/>
    <s v="001-00009304"/>
    <n v="270"/>
    <n v="0"/>
    <n v="0"/>
    <n v="0"/>
    <n v="39.048749999999998"/>
    <n v="0"/>
    <n v="0"/>
    <n v="0"/>
    <n v="39.048749999999998"/>
    <n v="230.95125000000002"/>
    <n v="0.85537500000000011"/>
    <x v="0"/>
    <s v="-"/>
    <x v="0"/>
    <x v="0"/>
    <n v="1"/>
    <n v="1"/>
    <d v="2017-04-10T00:00:00"/>
    <s v="CHEVROLET"/>
    <s v="SAIL"/>
    <n v="0"/>
    <d v="2017-04-10T00:00:00"/>
    <n v="0"/>
    <x v="181"/>
  </r>
  <r>
    <d v="2017-04-11T00:00:00"/>
    <s v="001-00009314"/>
    <n v="588.98309000000006"/>
    <n v="0"/>
    <n v="0"/>
    <n v="0"/>
    <n v="39.048749999999998"/>
    <n v="0"/>
    <n v="0"/>
    <n v="0"/>
    <n v="39.048749999999998"/>
    <n v="549.93434000000002"/>
    <n v="0.93370140728488482"/>
    <x v="0"/>
    <s v="-"/>
    <x v="0"/>
    <x v="0"/>
    <n v="0"/>
    <n v="1"/>
    <d v="2017-04-11T00:00:00"/>
    <s v="FORD"/>
    <s v="ECOSPORT"/>
    <n v="500.46750000000003"/>
    <d v="2017-04-11T00:00:00"/>
    <n v="0"/>
    <x v="182"/>
  </r>
  <r>
    <d v="2017-04-12T00:00:00"/>
    <s v="001-00009301"/>
    <n v="230.5"/>
    <n v="0"/>
    <n v="0"/>
    <n v="0"/>
    <n v="0"/>
    <n v="87.75"/>
    <n v="154.94374999999999"/>
    <n v="0"/>
    <n v="242.69374999999999"/>
    <n v="-12.193749999999994"/>
    <n v="-5.2901301518438151E-2"/>
    <x v="0"/>
    <s v="LEVE"/>
    <x v="0"/>
    <x v="0"/>
    <n v="2"/>
    <n v="1"/>
    <d v="2017-04-10T00:00:00"/>
    <s v="MITSUBISHI"/>
    <s v="OUTLANDER"/>
    <n v="0"/>
    <d v="2017-04-10T00:00:00"/>
    <n v="6"/>
    <x v="183"/>
  </r>
  <r>
    <d v="2017-04-12T00:00:00"/>
    <s v="001-00009290"/>
    <n v="1349.9913626745802"/>
    <n v="0"/>
    <n v="0"/>
    <n v="0"/>
    <n v="0"/>
    <n v="51.1875"/>
    <n v="185.9325"/>
    <n v="0"/>
    <n v="237.12"/>
    <n v="1112.8713626745803"/>
    <n v="0.82435443177190282"/>
    <x v="0"/>
    <s v="LEVE"/>
    <x v="0"/>
    <x v="0"/>
    <n v="5"/>
    <n v="1"/>
    <d v="2017-04-07T00:00:00"/>
    <s v="HYUNDAI"/>
    <s v="CRETA"/>
    <n v="552.5"/>
    <d v="2017-04-10T00:00:00"/>
    <n v="3.5"/>
    <x v="184"/>
  </r>
  <r>
    <d v="2017-04-12T00:00:00"/>
    <s v="001-00009319"/>
    <n v="250"/>
    <n v="0"/>
    <n v="0"/>
    <n v="0"/>
    <n v="39.048749999999998"/>
    <n v="0"/>
    <n v="0"/>
    <n v="0"/>
    <n v="39.048749999999998"/>
    <n v="210.95125000000002"/>
    <n v="0.84380500000000003"/>
    <x v="0"/>
    <s v="-"/>
    <x v="0"/>
    <x v="0"/>
    <n v="0"/>
    <n v="1"/>
    <d v="2017-04-12T00:00:00"/>
    <s v="HYUNDAI"/>
    <s v="ACCENT"/>
    <n v="249.89250000000001"/>
    <d v="2017-04-12T00:00:00"/>
    <n v="0"/>
    <x v="185"/>
  </r>
  <r>
    <d v="2017-04-13T00:00:00"/>
    <s v="001-00009323"/>
    <n v="350"/>
    <n v="0"/>
    <n v="0"/>
    <n v="0"/>
    <n v="39.048749999999998"/>
    <n v="0"/>
    <n v="0"/>
    <n v="0"/>
    <n v="39.048749999999998"/>
    <n v="310.95125000000002"/>
    <n v="0.88843214285714289"/>
    <x v="0"/>
    <s v="-"/>
    <x v="0"/>
    <x v="0"/>
    <n v="0"/>
    <n v="1"/>
    <d v="2017-04-13T00:00:00"/>
    <s v="NISSAN"/>
    <s v="TIIDA"/>
    <n v="349.57"/>
    <d v="2017-04-13T00:00:00"/>
    <n v="0"/>
    <x v="186"/>
  </r>
  <r>
    <d v="2017-04-18T00:00:00"/>
    <s v="001-00009347"/>
    <n v="55.084699000000001"/>
    <n v="0"/>
    <n v="0"/>
    <n v="25.423728813559322"/>
    <n v="0"/>
    <n v="0"/>
    <n v="0"/>
    <n v="0"/>
    <n v="25.423728813559322"/>
    <n v="29.660970186440679"/>
    <n v="0.538461146650555"/>
    <x v="0"/>
    <s v="-"/>
    <x v="0"/>
    <x v="0"/>
    <n v="0"/>
    <n v="1"/>
    <d v="2017-04-18T00:00:00"/>
    <s v="TOYOTA"/>
    <s v="YARIS"/>
    <n v="0"/>
    <s v="F/Fecha"/>
    <n v="0"/>
    <x v="187"/>
  </r>
  <r>
    <d v="2017-04-18T00:00:00"/>
    <s v="001-00009328"/>
    <n v="585.17998200000011"/>
    <n v="0"/>
    <n v="0"/>
    <n v="0"/>
    <n v="0"/>
    <n v="29.25"/>
    <n v="61.977499999999999"/>
    <n v="0"/>
    <n v="91.227499999999992"/>
    <n v="493.95248200000015"/>
    <n v="0.84410351890676949"/>
    <x v="0"/>
    <s v="LEVE"/>
    <x v="0"/>
    <x v="0"/>
    <n v="3"/>
    <n v="1"/>
    <d v="2017-04-15T00:00:00"/>
    <s v="MAZDA"/>
    <s v="CX-5"/>
    <n v="0"/>
    <d v="2017-04-15T00:00:00"/>
    <n v="2"/>
    <x v="188"/>
  </r>
  <r>
    <d v="2017-04-18T00:00:00"/>
    <s v="001-00009351"/>
    <n v="42.262998699999997"/>
    <n v="0"/>
    <n v="0"/>
    <n v="0"/>
    <n v="0"/>
    <n v="14.625"/>
    <n v="0"/>
    <n v="0"/>
    <n v="14.625"/>
    <n v="27.637998699999997"/>
    <n v="0.65395261931567572"/>
    <x v="0"/>
    <s v="LEVE"/>
    <x v="0"/>
    <x v="0"/>
    <n v="0"/>
    <n v="1"/>
    <d v="2017-04-18T00:00:00"/>
    <s v="KIA"/>
    <s v="CERATO"/>
    <n v="0"/>
    <d v="2017-04-18T00:00:00"/>
    <n v="1"/>
    <x v="189"/>
  </r>
  <r>
    <d v="2017-04-18T00:00:00"/>
    <s v="001-00009309"/>
    <n v="3799.9576099999999"/>
    <n v="0"/>
    <n v="1012.88"/>
    <n v="0"/>
    <n v="39.048749999999998"/>
    <n v="0"/>
    <n v="0"/>
    <n v="0"/>
    <n v="1051.92875"/>
    <n v="2748.0288599999999"/>
    <n v="0.72317355666501759"/>
    <x v="0"/>
    <s v="-"/>
    <x v="0"/>
    <x v="0"/>
    <n v="8"/>
    <n v="1"/>
    <d v="2017-04-10T00:00:00"/>
    <s v="KIA"/>
    <s v="RIO"/>
    <n v="1620.5150000000001"/>
    <d v="2017-04-12T00:00:00"/>
    <n v="0"/>
    <x v="190"/>
  </r>
  <r>
    <d v="2017-04-19T00:00:00"/>
    <s v="001-00009313"/>
    <n v="1490.9767670000001"/>
    <n v="0"/>
    <n v="0"/>
    <n v="0"/>
    <n v="0"/>
    <n v="87.75"/>
    <n v="185.9325"/>
    <n v="0"/>
    <n v="273.6825"/>
    <n v="1217.2942670000002"/>
    <n v="0.81644080172310296"/>
    <x v="0"/>
    <s v="MEDIANO"/>
    <x v="0"/>
    <x v="0"/>
    <n v="8"/>
    <n v="1"/>
    <d v="2017-04-11T00:00:00"/>
    <s v="HYUNDAI"/>
    <s v="ACCENT"/>
    <n v="0"/>
    <d v="2017-04-11T00:00:00"/>
    <n v="6"/>
    <x v="191"/>
  </r>
  <r>
    <d v="2017-04-19T00:00:00"/>
    <s v="001-00009335"/>
    <n v="306.80500000000001"/>
    <n v="0"/>
    <n v="0"/>
    <n v="0"/>
    <n v="0"/>
    <n v="14.625"/>
    <n v="61.977499999999999"/>
    <n v="0"/>
    <n v="76.602499999999992"/>
    <n v="230.20250000000001"/>
    <n v="0.75032186568015513"/>
    <x v="0"/>
    <s v="LEVE"/>
    <x v="0"/>
    <x v="0"/>
    <n v="2"/>
    <n v="1"/>
    <d v="2017-04-17T00:00:00"/>
    <s v="KIA"/>
    <s v="PICANTO"/>
    <n v="0"/>
    <d v="2017-04-17T00:00:00"/>
    <n v="1"/>
    <x v="192"/>
  </r>
  <r>
    <d v="2017-04-19T00:00:00"/>
    <s v="001-00009358"/>
    <n v="420"/>
    <n v="0"/>
    <n v="0"/>
    <n v="0"/>
    <n v="39.048749999999998"/>
    <n v="0"/>
    <n v="0"/>
    <n v="0"/>
    <n v="39.048749999999998"/>
    <n v="380.95125000000002"/>
    <n v="0.90702678571428574"/>
    <x v="0"/>
    <s v="-"/>
    <x v="0"/>
    <x v="0"/>
    <n v="0"/>
    <n v="1"/>
    <d v="2017-04-19T00:00:00"/>
    <s v="KIA"/>
    <s v="CERATO"/>
    <n v="419.60750000000007"/>
    <d v="2017-04-19T00:00:00"/>
    <n v="0"/>
    <x v="193"/>
  </r>
  <r>
    <d v="2017-04-20T00:00:00"/>
    <s v="001-00009336"/>
    <n v="390.11998800000003"/>
    <n v="0"/>
    <n v="0"/>
    <n v="0"/>
    <n v="0"/>
    <n v="14.625"/>
    <n v="61.977499999999999"/>
    <n v="0"/>
    <n v="76.602499999999992"/>
    <n v="313.51748800000007"/>
    <n v="0.80364374460095611"/>
    <x v="0"/>
    <s v="LEVE"/>
    <x v="0"/>
    <x v="0"/>
    <n v="3"/>
    <n v="1"/>
    <d v="2017-04-17T00:00:00"/>
    <s v="CHERY"/>
    <s v="FULWIN"/>
    <n v="0"/>
    <d v="2017-04-17T00:00:00"/>
    <n v="1"/>
    <x v="194"/>
  </r>
  <r>
    <d v="2017-04-20T00:00:00"/>
    <s v="001-00009367"/>
    <n v="350"/>
    <n v="0"/>
    <n v="0"/>
    <n v="0"/>
    <n v="39.048749999999998"/>
    <n v="0"/>
    <n v="0"/>
    <n v="0"/>
    <n v="39.048749999999998"/>
    <n v="310.95125000000002"/>
    <n v="0.88843214285714289"/>
    <x v="0"/>
    <s v="-"/>
    <x v="0"/>
    <x v="0"/>
    <n v="0"/>
    <n v="1"/>
    <d v="2017-04-20T00:00:00"/>
    <s v="HYUNDAI"/>
    <s v="ACCENT"/>
    <n v="349.89499999999998"/>
    <d v="2017-04-20T00:00:00"/>
    <n v="0"/>
    <x v="195"/>
  </r>
  <r>
    <d v="2017-04-20T00:00:00"/>
    <s v="001-00009340"/>
    <n v="1462.949955"/>
    <n v="0"/>
    <n v="0"/>
    <n v="41.313559322033903"/>
    <n v="0"/>
    <n v="175.5"/>
    <n v="216.92125000000001"/>
    <n v="0"/>
    <n v="433.73480932203393"/>
    <n v="1029.2151456779661"/>
    <n v="0.70352040557529949"/>
    <x v="0"/>
    <s v="MEDIANO"/>
    <x v="0"/>
    <x v="0"/>
    <n v="3"/>
    <n v="1"/>
    <d v="2017-04-17T00:00:00"/>
    <s v="HYUNDAI"/>
    <s v="ELANTRA"/>
    <n v="0"/>
    <d v="2017-04-17T00:00:00"/>
    <n v="12"/>
    <x v="196"/>
  </r>
  <r>
    <d v="2017-04-21T00:00:00"/>
    <s v="001-00009345"/>
    <n v="380"/>
    <n v="0"/>
    <n v="0"/>
    <n v="0"/>
    <n v="38.025000000000006"/>
    <n v="0"/>
    <n v="0"/>
    <n v="0"/>
    <n v="38.025000000000006"/>
    <n v="341.97500000000002"/>
    <n v="0.89993421052631584"/>
    <x v="0"/>
    <s v="-"/>
    <x v="0"/>
    <x v="0"/>
    <n v="4"/>
    <n v="1"/>
    <d v="2017-04-17T00:00:00"/>
    <s v="NISSAN"/>
    <s v="TIIDA"/>
    <n v="0"/>
    <d v="2017-04-18T00:00:00"/>
    <n v="0"/>
    <x v="197"/>
  </r>
  <r>
    <d v="2017-04-21T00:00:00"/>
    <s v="001-00009377"/>
    <n v="249"/>
    <n v="0"/>
    <n v="0"/>
    <n v="0"/>
    <n v="39.048749999999998"/>
    <n v="0"/>
    <n v="0"/>
    <n v="0"/>
    <n v="39.048749999999998"/>
    <n v="209.95125000000002"/>
    <n v="0.84317771084337356"/>
    <x v="0"/>
    <s v="-"/>
    <x v="0"/>
    <x v="0"/>
    <n v="0"/>
    <n v="1"/>
    <d v="2017-04-21T00:00:00"/>
    <s v="SUZUKI"/>
    <s v="SX4"/>
    <n v="249.3725"/>
    <d v="2017-04-21T00:00:00"/>
    <n v="0"/>
    <x v="198"/>
  </r>
  <r>
    <d v="2017-04-21T00:00:00"/>
    <s v="001-00009183"/>
    <n v="1654.9499489999998"/>
    <n v="0"/>
    <n v="0"/>
    <n v="0"/>
    <n v="0"/>
    <n v="146.25"/>
    <n v="334.67850000000004"/>
    <n v="0"/>
    <n v="480.92850000000004"/>
    <n v="1174.0214489999998"/>
    <n v="0.70939997291724743"/>
    <x v="0"/>
    <s v="MEDIANO"/>
    <x v="0"/>
    <x v="0"/>
    <n v="30"/>
    <n v="1"/>
    <d v="2017-03-22T00:00:00"/>
    <s v="MITSUBISHI"/>
    <s v="LANCER"/>
    <n v="97.5"/>
    <d v="2017-03-23T00:00:00"/>
    <n v="10"/>
    <x v="199"/>
  </r>
  <r>
    <d v="2017-04-21T00:00:00"/>
    <s v="001-00009353"/>
    <n v="551.64998300000002"/>
    <n v="0"/>
    <n v="0"/>
    <n v="0"/>
    <n v="0"/>
    <n v="43.875"/>
    <n v="123.955"/>
    <n v="0"/>
    <n v="167.82999999999998"/>
    <n v="383.81998300000004"/>
    <n v="0.69576723434794341"/>
    <x v="0"/>
    <s v="LEVE"/>
    <x v="0"/>
    <x v="0"/>
    <n v="3"/>
    <n v="1"/>
    <d v="2017-04-18T00:00:00"/>
    <s v="HYUNDAI"/>
    <s v="ELANTRA"/>
    <n v="0"/>
    <d v="2017-04-19T00:00:00"/>
    <n v="3"/>
    <x v="200"/>
  </r>
  <r>
    <d v="2017-04-21T00:00:00"/>
    <s v="001-00009362"/>
    <n v="584.09998199999995"/>
    <n v="0"/>
    <n v="0"/>
    <n v="24.788135593220339"/>
    <n v="0"/>
    <n v="58.5"/>
    <n v="123.955"/>
    <n v="0"/>
    <n v="207.24313559322036"/>
    <n v="376.8568464067796"/>
    <n v="0.64519236093176191"/>
    <x v="0"/>
    <s v="LEVE"/>
    <x v="0"/>
    <x v="0"/>
    <n v="2"/>
    <n v="1"/>
    <d v="2017-04-19T00:00:00"/>
    <s v="CHANGAN"/>
    <s v="CS-35"/>
    <n v="0"/>
    <d v="2017-04-19T00:00:00"/>
    <n v="4"/>
    <x v="201"/>
  </r>
  <r>
    <d v="2017-04-21T00:00:00"/>
    <s v="001-00009339"/>
    <n v="100"/>
    <n v="0"/>
    <n v="0"/>
    <n v="0"/>
    <n v="0"/>
    <n v="0"/>
    <n v="0"/>
    <n v="0"/>
    <n v="0"/>
    <n v="100"/>
    <n v="1"/>
    <x v="0"/>
    <s v="-"/>
    <x v="0"/>
    <x v="0"/>
    <n v="4"/>
    <n v="1"/>
    <d v="2017-04-17T00:00:00"/>
    <s v="KIA"/>
    <s v="CERATO"/>
    <n v="0"/>
    <s v="F/Fecha"/>
    <n v="0"/>
    <x v="202"/>
  </r>
  <r>
    <d v="2017-04-22T00:00:00"/>
    <s v="001-00009346"/>
    <n v="3672.2080000000001"/>
    <n v="0"/>
    <n v="25.42"/>
    <n v="0"/>
    <n v="0"/>
    <n v="219.375"/>
    <n v="371.86500000000001"/>
    <n v="0"/>
    <n v="616.66000000000008"/>
    <n v="3055.5479999999998"/>
    <n v="0.83207378231298434"/>
    <x v="0"/>
    <s v="MEDIANO"/>
    <x v="0"/>
    <x v="0"/>
    <n v="4"/>
    <n v="1"/>
    <d v="2017-04-18T00:00:00"/>
    <s v="HYUNDAI"/>
    <s v="ELANTRA"/>
    <n v="1436.5"/>
    <d v="2017-04-18T00:00:00"/>
    <n v="15"/>
    <x v="203"/>
  </r>
  <r>
    <d v="2017-04-22T00:00:00"/>
    <s v="001-00009381"/>
    <n v="250"/>
    <n v="0"/>
    <n v="0"/>
    <n v="0"/>
    <n v="39.048749999999998"/>
    <n v="0"/>
    <n v="0"/>
    <n v="0"/>
    <n v="39.048749999999998"/>
    <n v="210.95125000000002"/>
    <n v="0.84380500000000003"/>
    <x v="0"/>
    <s v="-"/>
    <x v="0"/>
    <x v="0"/>
    <n v="0"/>
    <n v="1"/>
    <d v="2017-04-22T00:00:00"/>
    <s v="SUZUKI"/>
    <s v="CELERIO"/>
    <n v="250.38000000000002"/>
    <d v="2017-04-22T00:00:00"/>
    <n v="0"/>
    <x v="204"/>
  </r>
  <r>
    <d v="2017-04-24T00:00:00"/>
    <s v="001-00009380"/>
    <n v="508.46608999999995"/>
    <n v="0"/>
    <n v="361.01"/>
    <n v="0"/>
    <n v="0"/>
    <n v="0"/>
    <n v="0"/>
    <n v="0"/>
    <n v="361.01"/>
    <n v="147.45608999999996"/>
    <n v="0.29000181703365896"/>
    <x v="0"/>
    <s v="-"/>
    <x v="0"/>
    <x v="0"/>
    <n v="2"/>
    <n v="1"/>
    <d v="2017-04-22T00:00:00"/>
    <s v="HYUNDAI"/>
    <s v="I10"/>
    <n v="509.24250000000001"/>
    <d v="2017-04-22T00:00:00"/>
    <n v="0"/>
    <x v="205"/>
  </r>
  <r>
    <d v="2017-04-25T00:00:00"/>
    <s v="001-00009317"/>
    <n v="1021.5450000000001"/>
    <n v="0"/>
    <n v="0"/>
    <n v="20.656779661016952"/>
    <n v="0"/>
    <n v="102.375"/>
    <n v="185.9325"/>
    <n v="0"/>
    <n v="308.96427966101697"/>
    <n v="712.58072033898316"/>
    <n v="0.69755196328990221"/>
    <x v="1"/>
    <s v="MEDIANO"/>
    <x v="0"/>
    <x v="0"/>
    <n v="14"/>
    <n v="1"/>
    <d v="2017-04-11T00:00:00"/>
    <s v="HYUNDAI"/>
    <s v="ELANTRA"/>
    <n v="0"/>
    <d v="2017-04-11T00:00:00"/>
    <n v="7"/>
    <x v="206"/>
  </r>
  <r>
    <d v="2017-04-25T00:00:00"/>
    <s v="001-00009386"/>
    <n v="100"/>
    <n v="0"/>
    <n v="0"/>
    <n v="0"/>
    <n v="39.048749999999998"/>
    <n v="0"/>
    <n v="0"/>
    <n v="0"/>
    <n v="39.048749999999998"/>
    <n v="60.951250000000002"/>
    <n v="0.60951250000000001"/>
    <x v="0"/>
    <s v="-"/>
    <x v="0"/>
    <x v="0"/>
    <n v="1"/>
    <n v="1"/>
    <d v="2017-04-24T00:00:00"/>
    <s v="KIA"/>
    <s v="RIO"/>
    <n v="0"/>
    <d v="2017-04-24T00:00:00"/>
    <n v="0"/>
    <x v="207"/>
  </r>
  <r>
    <d v="2017-04-25T00:00:00"/>
    <s v="001-00009394"/>
    <n v="350"/>
    <n v="0"/>
    <n v="0"/>
    <n v="0"/>
    <n v="39.048749999999998"/>
    <n v="0"/>
    <n v="0"/>
    <n v="0"/>
    <n v="39.048749999999998"/>
    <n v="310.95125000000002"/>
    <n v="0.88843214285714289"/>
    <x v="0"/>
    <s v="-"/>
    <x v="0"/>
    <x v="0"/>
    <n v="0"/>
    <n v="1"/>
    <d v="2017-04-25T00:00:00"/>
    <s v="SUBARU"/>
    <s v="IMPREZA"/>
    <n v="350.74"/>
    <d v="2017-04-25T00:00:00"/>
    <n v="0"/>
    <x v="208"/>
  </r>
  <r>
    <d v="2017-04-26T00:00:00"/>
    <s v="001-00009324"/>
    <n v="1103.98"/>
    <n v="0"/>
    <n v="0"/>
    <n v="41.313559322033903"/>
    <n v="39.048749999999998"/>
    <n v="58.5"/>
    <n v="123.955"/>
    <n v="0"/>
    <n v="262.81730932203391"/>
    <n v="841.16269067796611"/>
    <n v="0.76193653026138708"/>
    <x v="3"/>
    <s v="LEVE"/>
    <x v="0"/>
    <x v="0"/>
    <n v="14"/>
    <n v="1"/>
    <d v="2017-04-12T00:00:00"/>
    <s v="SUZUKI"/>
    <s v="CELERIO"/>
    <n v="466.34250000000003"/>
    <d v="2017-04-19T00:00:00"/>
    <n v="4"/>
    <x v="209"/>
  </r>
  <r>
    <d v="2017-04-26T00:00:00"/>
    <s v="001-00009398"/>
    <n v="620"/>
    <n v="0"/>
    <n v="0"/>
    <n v="0"/>
    <n v="39.048749999999998"/>
    <n v="0"/>
    <n v="0"/>
    <n v="0"/>
    <n v="39.048749999999998"/>
    <n v="580.95124999999996"/>
    <n v="0.93701814516129023"/>
    <x v="0"/>
    <s v="-"/>
    <x v="0"/>
    <x v="0"/>
    <n v="1"/>
    <n v="1"/>
    <d v="2017-04-25T00:00:00"/>
    <s v="KIA"/>
    <s v="SORENTO"/>
    <n v="501.08500000000004"/>
    <d v="2017-04-25T00:00:00"/>
    <n v="0"/>
    <x v="210"/>
  </r>
  <r>
    <d v="2017-04-28T00:00:00"/>
    <s v="001-00008899"/>
    <n v="21996.859405626739"/>
    <n v="0"/>
    <n v="896.34"/>
    <n v="110.17"/>
    <n v="39.048749999999998"/>
    <n v="658.125"/>
    <n v="960.65124999999989"/>
    <n v="0"/>
    <n v="2664.335"/>
    <n v="19332.52440562674"/>
    <n v="0.87887657274754094"/>
    <x v="0"/>
    <s v="GRAVE"/>
    <x v="0"/>
    <x v="0"/>
    <n v="86"/>
    <n v="1"/>
    <d v="2017-02-01T00:00:00"/>
    <s v="HYUNDAI"/>
    <s v="TUCSON"/>
    <n v="15483"/>
    <d v="2017-03-22T00:00:00"/>
    <n v="45"/>
    <x v="211"/>
  </r>
  <r>
    <d v="2017-05-03T00:00:00"/>
    <s v="001-00009444"/>
    <n v="300"/>
    <n v="128.625"/>
    <n v="10.25"/>
    <n v="0"/>
    <n v="39.048749999999998"/>
    <n v="0"/>
    <n v="0"/>
    <n v="0"/>
    <n v="177.92374999999998"/>
    <n v="122.07625000000002"/>
    <n v="0.4069208333333334"/>
    <x v="0"/>
    <s v="-"/>
    <x v="1"/>
    <x v="0"/>
    <n v="0"/>
    <n v="1"/>
    <d v="2017-05-03T00:00:00"/>
    <s v="MAZDA"/>
    <s v="MAZDA 3"/>
    <n v="300.10500000000002"/>
    <d v="2017-05-03T00:00:00"/>
    <n v="0"/>
    <x v="212"/>
  </r>
  <r>
    <d v="2017-05-03T00:00:00"/>
    <s v="001-00009423"/>
    <n v="649.8000199999999"/>
    <n v="0"/>
    <n v="0"/>
    <n v="0"/>
    <n v="0"/>
    <n v="14.625"/>
    <n v="185.9325"/>
    <n v="0"/>
    <n v="200.5575"/>
    <n v="449.2425199999999"/>
    <n v="0.6913550418173271"/>
    <x v="0"/>
    <s v="LEVE"/>
    <x v="1"/>
    <x v="0"/>
    <n v="1"/>
    <n v="1"/>
    <d v="2017-05-02T00:00:00"/>
    <s v="TOYOTA"/>
    <s v="YARIS"/>
    <n v="0"/>
    <d v="2017-05-02T00:00:00"/>
    <n v="1"/>
    <x v="213"/>
  </r>
  <r>
    <d v="2017-05-03T00:00:00"/>
    <s v="001-00009433"/>
    <n v="150"/>
    <n v="0"/>
    <n v="0"/>
    <n v="0"/>
    <n v="39.048749999999998"/>
    <n v="0"/>
    <n v="0"/>
    <n v="0"/>
    <n v="39.048749999999998"/>
    <n v="110.95125"/>
    <n v="0.73967499999999997"/>
    <x v="0"/>
    <s v="-"/>
    <x v="1"/>
    <x v="0"/>
    <n v="1"/>
    <n v="1"/>
    <d v="2017-05-02T00:00:00"/>
    <s v="KIA"/>
    <s v="SORENTO"/>
    <n v="0"/>
    <d v="2017-05-02T00:00:00"/>
    <n v="0"/>
    <x v="214"/>
  </r>
  <r>
    <d v="2017-05-04T00:00:00"/>
    <s v="001-00009422"/>
    <n v="2070"/>
    <n v="0"/>
    <n v="552.69000000000005"/>
    <n v="84.75"/>
    <n v="39.048749999999998"/>
    <n v="0"/>
    <n v="0"/>
    <n v="0"/>
    <n v="676.4887500000001"/>
    <n v="1393.51125"/>
    <n v="0.6731938405797101"/>
    <x v="0"/>
    <s v="-"/>
    <x v="1"/>
    <x v="0"/>
    <n v="2"/>
    <n v="1"/>
    <d v="2017-05-02T00:00:00"/>
    <s v="KIA"/>
    <s v="SORENTO"/>
    <n v="1722.11"/>
    <d v="2017-05-02T00:00:00"/>
    <n v="0"/>
    <x v="210"/>
  </r>
  <r>
    <d v="2017-05-04T00:00:00"/>
    <s v="001-00009426"/>
    <n v="682.92002100000002"/>
    <n v="0"/>
    <n v="0"/>
    <n v="0"/>
    <n v="0"/>
    <n v="43.875"/>
    <n v="185.9325"/>
    <n v="0"/>
    <n v="229.8075"/>
    <n v="453.11252100000002"/>
    <n v="0.66349280598994187"/>
    <x v="0"/>
    <s v="LEVE"/>
    <x v="1"/>
    <x v="0"/>
    <n v="2"/>
    <n v="1"/>
    <d v="2017-05-02T00:00:00"/>
    <s v="HYUNDAI"/>
    <s v="TUCSON"/>
    <n v="0"/>
    <d v="2017-05-02T00:00:00"/>
    <n v="3"/>
    <x v="215"/>
  </r>
  <r>
    <d v="2017-05-04T00:00:00"/>
    <s v="001-00009428"/>
    <n v="593.22029900000007"/>
    <n v="0"/>
    <n v="0"/>
    <n v="0"/>
    <n v="0"/>
    <n v="43.875"/>
    <n v="154.94374999999999"/>
    <n v="0"/>
    <n v="198.81874999999999"/>
    <n v="394.40154900000005"/>
    <n v="0.66484837026792298"/>
    <x v="0"/>
    <s v="LEVE"/>
    <x v="1"/>
    <x v="0"/>
    <n v="2"/>
    <n v="1"/>
    <d v="2017-05-02T00:00:00"/>
    <s v="MAZDA"/>
    <s v="MAZDA 3"/>
    <n v="0"/>
    <d v="2017-05-02T00:00:00"/>
    <n v="3"/>
    <x v="216"/>
  </r>
  <r>
    <d v="2017-05-05T00:00:00"/>
    <s v="001-00009450"/>
    <n v="350"/>
    <n v="84.46100100000001"/>
    <n v="97.449999999999989"/>
    <n v="0"/>
    <n v="39.048749999999998"/>
    <n v="0"/>
    <n v="0"/>
    <n v="0"/>
    <n v="220.95975099999998"/>
    <n v="129.04024900000002"/>
    <n v="0.36868642571428578"/>
    <x v="0"/>
    <s v="-"/>
    <x v="1"/>
    <x v="0"/>
    <n v="1"/>
    <n v="1"/>
    <d v="2017-05-04T00:00:00"/>
    <s v="KIA"/>
    <s v="CERATO"/>
    <n v="349.79750000000001"/>
    <d v="2017-05-04T00:00:00"/>
    <n v="0"/>
    <x v="217"/>
  </r>
  <r>
    <d v="2017-05-05T00:00:00"/>
    <s v="001-00009446"/>
    <n v="350"/>
    <n v="0"/>
    <n v="0"/>
    <n v="50.85"/>
    <n v="39.048749999999998"/>
    <n v="0"/>
    <n v="0"/>
    <n v="0"/>
    <n v="89.898750000000007"/>
    <n v="260.10124999999999"/>
    <n v="0.74314642857142854"/>
    <x v="0"/>
    <s v="-"/>
    <x v="1"/>
    <x v="0"/>
    <n v="1"/>
    <n v="1"/>
    <d v="2017-05-04T00:00:00"/>
    <s v="NISSAN"/>
    <s v="TIIDA"/>
    <n v="0"/>
    <d v="2017-05-04T00:00:00"/>
    <n v="0"/>
    <x v="214"/>
  </r>
  <r>
    <d v="2017-05-06T00:00:00"/>
    <s v="001-00009464"/>
    <n v="423.72879"/>
    <n v="137.25500009999999"/>
    <n v="0"/>
    <n v="0"/>
    <n v="39.048749999999998"/>
    <n v="0"/>
    <n v="0"/>
    <n v="0"/>
    <n v="176.3037501"/>
    <n v="247.4250399"/>
    <n v="0.5839231266301258"/>
    <x v="0"/>
    <s v="-"/>
    <x v="1"/>
    <x v="0"/>
    <n v="0"/>
    <n v="1"/>
    <d v="2017-05-06T00:00:00"/>
    <s v="MAZDA"/>
    <s v="MAZDA 2"/>
    <n v="421.26499999999999"/>
    <d v="2017-05-06T00:00:00"/>
    <n v="0"/>
    <x v="218"/>
  </r>
  <r>
    <d v="2017-05-09T00:00:00"/>
    <s v="001-00009489"/>
    <n v="381.35589999999996"/>
    <n v="0"/>
    <n v="261.65750000000003"/>
    <n v="0"/>
    <n v="0"/>
    <n v="0"/>
    <n v="0"/>
    <n v="0"/>
    <n v="261.65750000000003"/>
    <n v="119.69839999999994"/>
    <n v="0.31387583094951449"/>
    <x v="0"/>
    <s v="-"/>
    <x v="1"/>
    <x v="0"/>
    <n v="0"/>
    <n v="1"/>
    <d v="2017-05-09T00:00:00"/>
    <s v="MAZDA"/>
    <s v="MAZDA 2"/>
    <n v="378.56"/>
    <d v="2017-05-09T00:00:00"/>
    <n v="0"/>
    <x v="219"/>
  </r>
  <r>
    <d v="2017-05-09T00:00:00"/>
    <s v="001-00009455"/>
    <n v="627"/>
    <n v="39.808399000000001"/>
    <n v="16.489999999999998"/>
    <n v="0"/>
    <n v="39.048749999999998"/>
    <n v="29.25"/>
    <n v="61.977499999999999"/>
    <n v="0"/>
    <n v="186.57464899999999"/>
    <n v="440.42535099999998"/>
    <n v="0.70243277671451354"/>
    <x v="0"/>
    <s v="LEVE"/>
    <x v="1"/>
    <x v="0"/>
    <n v="4"/>
    <n v="1"/>
    <d v="2017-05-05T00:00:00"/>
    <s v="NISSAN"/>
    <s v="TIIDA"/>
    <n v="298.2525"/>
    <d v="2017-05-05T00:00:00"/>
    <n v="2"/>
    <x v="220"/>
  </r>
  <r>
    <d v="2017-05-10T00:00:00"/>
    <s v="001-00009487"/>
    <n v="390"/>
    <n v="49.760498750000004"/>
    <n v="56.78"/>
    <n v="0"/>
    <n v="0"/>
    <n v="0"/>
    <n v="0"/>
    <n v="0"/>
    <n v="106.54049875000001"/>
    <n v="283.45950125000002"/>
    <n v="0.72681923397435899"/>
    <x v="0"/>
    <s v="-"/>
    <x v="1"/>
    <x v="0"/>
    <n v="1"/>
    <n v="1"/>
    <d v="2017-05-09T00:00:00"/>
    <s v="MAZDA"/>
    <s v="MAZDA 3"/>
    <n v="387.14"/>
    <d v="2017-05-09T00:00:00"/>
    <n v="0"/>
    <x v="221"/>
  </r>
  <r>
    <d v="2017-05-11T00:00:00"/>
    <s v="001-00009481"/>
    <n v="762.71189900000002"/>
    <n v="0"/>
    <n v="0"/>
    <n v="0"/>
    <n v="39.048749999999998"/>
    <n v="117"/>
    <n v="123.955"/>
    <n v="0"/>
    <n v="280.00374999999997"/>
    <n v="482.70814900000005"/>
    <n v="0.63288398887297292"/>
    <x v="0"/>
    <s v="LEVE"/>
    <x v="1"/>
    <x v="0"/>
    <n v="3"/>
    <n v="1"/>
    <d v="2017-05-08T00:00:00"/>
    <s v="MAZDA"/>
    <s v="MAZDA 3"/>
    <n v="0"/>
    <d v="2017-05-08T00:00:00"/>
    <n v="8"/>
    <x v="222"/>
  </r>
  <r>
    <d v="2017-05-11T00:00:00"/>
    <s v="001-00009442"/>
    <n v="873.72879"/>
    <n v="0"/>
    <n v="356.14249999999998"/>
    <n v="0"/>
    <n v="39.048749999999998"/>
    <n v="0"/>
    <n v="0"/>
    <n v="0"/>
    <n v="395.19124999999997"/>
    <n v="478.53754000000004"/>
    <n v="0.54769574435105894"/>
    <x v="0"/>
    <s v="-"/>
    <x v="1"/>
    <x v="0"/>
    <n v="8"/>
    <n v="1"/>
    <d v="2017-05-03T00:00:00"/>
    <s v="KIA"/>
    <s v="SPORTAGE"/>
    <n v="450.125"/>
    <d v="2017-05-03T00:00:00"/>
    <n v="0"/>
    <x v="223"/>
  </r>
  <r>
    <d v="2017-05-11T00:00:00"/>
    <s v="001-00009471"/>
    <n v="1631.4661000000006"/>
    <n v="0"/>
    <n v="836.28"/>
    <n v="35"/>
    <n v="78.097499999999997"/>
    <n v="0"/>
    <n v="0"/>
    <n v="0"/>
    <n v="949.37749999999994"/>
    <n v="682.08860000000061"/>
    <n v="0.41808321974940232"/>
    <x v="0"/>
    <s v="-"/>
    <x v="1"/>
    <x v="0"/>
    <n v="3"/>
    <n v="1"/>
    <d v="2017-05-08T00:00:00"/>
    <s v="SUZUKI"/>
    <s v="SWIFT"/>
    <n v="1191.6775"/>
    <d v="2017-05-06T00:00:00"/>
    <n v="0"/>
    <x v="224"/>
  </r>
  <r>
    <d v="2017-05-11T00:00:00"/>
    <s v="001-00009502"/>
    <n v="250"/>
    <n v="48.510598900000005"/>
    <n v="0"/>
    <n v="0"/>
    <n v="39.048749999999998"/>
    <n v="0"/>
    <n v="0"/>
    <n v="0"/>
    <n v="87.559348900000003"/>
    <n v="162.4406511"/>
    <n v="0.6497626044"/>
    <x v="0"/>
    <s v="-"/>
    <x v="1"/>
    <x v="0"/>
    <n v="0"/>
    <n v="1"/>
    <d v="2017-05-11T00:00:00"/>
    <s v="SUZUKI"/>
    <s v="SWIFT"/>
    <n v="247.0975"/>
    <d v="2017-05-11T00:00:00"/>
    <n v="0"/>
    <x v="225"/>
  </r>
  <r>
    <d v="2017-05-11T00:00:00"/>
    <s v="001-00009485"/>
    <n v="445.8304584473201"/>
    <n v="0"/>
    <n v="216.56"/>
    <n v="0"/>
    <n v="39.048749999999998"/>
    <n v="0"/>
    <n v="0"/>
    <n v="0"/>
    <n v="255.60874999999999"/>
    <n v="190.22170844732011"/>
    <n v="0.42666826557745596"/>
    <x v="0"/>
    <s v="-"/>
    <x v="1"/>
    <x v="0"/>
    <n v="2"/>
    <n v="1"/>
    <d v="2017-05-09T00:00:00"/>
    <s v="SUZUKI"/>
    <s v="VITARA"/>
    <n v="744.96500000000003"/>
    <d v="2017-05-22T00:00:00"/>
    <n v="0"/>
    <x v="226"/>
  </r>
  <r>
    <d v="2017-05-13T00:00:00"/>
    <s v="001-00009504"/>
    <n v="246.07499250000001"/>
    <n v="0"/>
    <n v="0"/>
    <n v="0"/>
    <n v="0"/>
    <n v="14.625"/>
    <n v="61.977499999999999"/>
    <n v="0"/>
    <n v="76.602499999999992"/>
    <n v="169.47249250000002"/>
    <n v="0.688702621823711"/>
    <x v="0"/>
    <s v="LEVE"/>
    <x v="1"/>
    <x v="0"/>
    <n v="2"/>
    <n v="1"/>
    <d v="2017-05-11T00:00:00"/>
    <s v="CHERY"/>
    <s v="FULWIN"/>
    <n v="0"/>
    <d v="2017-05-11T00:00:00"/>
    <n v="1"/>
    <x v="194"/>
  </r>
  <r>
    <d v="2017-05-13T00:00:00"/>
    <s v="001-00009514"/>
    <n v="510"/>
    <n v="102.9"/>
    <n v="103.9425"/>
    <n v="0"/>
    <n v="39.048749999999998"/>
    <n v="0"/>
    <n v="0"/>
    <n v="0"/>
    <n v="245.89125000000001"/>
    <n v="264.10874999999999"/>
    <n v="0.517860294117647"/>
    <x v="0"/>
    <s v="-"/>
    <x v="1"/>
    <x v="0"/>
    <n v="0"/>
    <n v="1"/>
    <d v="2017-05-13T00:00:00"/>
    <s v="FORD"/>
    <s v="FIESTA"/>
    <n v="444.53500000000003"/>
    <d v="2017-05-13T00:00:00"/>
    <n v="0"/>
    <x v="227"/>
  </r>
  <r>
    <d v="2017-05-15T00:00:00"/>
    <s v="001-00009418"/>
    <n v="4587.8667784876397"/>
    <n v="0"/>
    <n v="0"/>
    <n v="0"/>
    <n v="0"/>
    <n v="292.5"/>
    <n v="1115.595"/>
    <n v="0"/>
    <n v="1408.095"/>
    <n v="3179.7717784876395"/>
    <n v="0.69308284917894469"/>
    <x v="0"/>
    <s v="MEDIANO"/>
    <x v="1"/>
    <x v="0"/>
    <n v="17"/>
    <n v="1"/>
    <d v="2017-04-28T00:00:00"/>
    <s v="NISSAN"/>
    <s v="MARCH"/>
    <n v="0"/>
    <d v="2017-04-28T00:00:00"/>
    <n v="20"/>
    <x v="228"/>
  </r>
  <r>
    <d v="2017-05-17T00:00:00"/>
    <s v="001-00009517"/>
    <n v="50"/>
    <n v="0"/>
    <n v="0"/>
    <n v="0"/>
    <n v="14.625"/>
    <n v="0"/>
    <n v="0"/>
    <n v="0"/>
    <n v="14.625"/>
    <n v="35.375"/>
    <n v="0.70750000000000002"/>
    <x v="0"/>
    <s v="-"/>
    <x v="1"/>
    <x v="0"/>
    <n v="2"/>
    <n v="1"/>
    <d v="2017-05-15T00:00:00"/>
    <s v="CHEVROLET"/>
    <s v="CHEVY"/>
    <n v="0"/>
    <d v="2017-05-15T00:00:00"/>
    <n v="0"/>
    <x v="229"/>
  </r>
  <r>
    <d v="2017-05-17T00:00:00"/>
    <s v="001-00009534"/>
    <n v="160"/>
    <n v="0"/>
    <n v="36.010000000000005"/>
    <n v="50.85"/>
    <n v="17.842500000000001"/>
    <n v="0"/>
    <n v="0"/>
    <n v="0"/>
    <n v="104.70250000000001"/>
    <n v="55.297499999999985"/>
    <n v="0.34560937499999989"/>
    <x v="0"/>
    <s v="-"/>
    <x v="1"/>
    <x v="0"/>
    <n v="0"/>
    <n v="1"/>
    <d v="2017-05-17T00:00:00"/>
    <s v="CHEVROLET"/>
    <s v="CRUZE"/>
    <n v="0"/>
    <d v="2017-05-17T00:00:00"/>
    <n v="0"/>
    <x v="230"/>
  </r>
  <r>
    <d v="2017-05-18T00:00:00"/>
    <s v="001-00009540"/>
    <n v="30"/>
    <n v="0"/>
    <n v="0"/>
    <n v="0"/>
    <n v="0"/>
    <n v="0"/>
    <n v="61.977499999999999"/>
    <n v="0"/>
    <n v="61.977499999999999"/>
    <n v="-31.977499999999999"/>
    <n v="-1.0659166666666666"/>
    <x v="1"/>
    <s v="LEVE"/>
    <x v="1"/>
    <x v="0"/>
    <n v="0"/>
    <n v="1"/>
    <d v="2017-05-18T00:00:00"/>
    <s v="CHEVROLET"/>
    <s v="SONIC"/>
    <n v="0"/>
    <d v="2017-05-10T00:00:00"/>
    <n v="0"/>
    <x v="231"/>
  </r>
  <r>
    <d v="2017-05-19T00:00:00"/>
    <s v="001-00009536"/>
    <n v="250"/>
    <n v="50.810999000000002"/>
    <n v="0"/>
    <n v="0"/>
    <n v="39.048749999999998"/>
    <n v="0"/>
    <n v="0"/>
    <n v="0"/>
    <n v="89.859748999999994"/>
    <n v="160.14025100000001"/>
    <n v="0.64056100400000004"/>
    <x v="0"/>
    <s v="-"/>
    <x v="1"/>
    <x v="0"/>
    <n v="2"/>
    <n v="1"/>
    <d v="2017-05-17T00:00:00"/>
    <s v="KIA"/>
    <s v="RIO"/>
    <n v="249.24250000000001"/>
    <d v="2017-05-17T00:00:00"/>
    <n v="0"/>
    <x v="167"/>
  </r>
  <r>
    <d v="2017-05-20T00:00:00"/>
    <s v="001-00009548"/>
    <n v="350"/>
    <n v="84.450497750000011"/>
    <n v="13.9"/>
    <n v="0"/>
    <n v="39.048749999999998"/>
    <n v="0"/>
    <n v="0"/>
    <n v="0"/>
    <n v="137.39924775000003"/>
    <n v="212.60075224999997"/>
    <n v="0.60743072071428561"/>
    <x v="0"/>
    <s v="-"/>
    <x v="1"/>
    <x v="0"/>
    <n v="1"/>
    <n v="1"/>
    <d v="2017-05-19T00:00:00"/>
    <s v="CHEVROLET"/>
    <s v="TRACKER"/>
    <n v="346.38499999999999"/>
    <d v="2017-05-19T00:00:00"/>
    <n v="0"/>
    <x v="232"/>
  </r>
  <r>
    <d v="2017-05-22T00:00:00"/>
    <s v="001-00009562"/>
    <n v="370"/>
    <n v="50.808399000000001"/>
    <n v="77.17"/>
    <n v="0"/>
    <n v="39.048749999999998"/>
    <n v="0"/>
    <n v="0"/>
    <n v="0"/>
    <n v="167.02714900000001"/>
    <n v="202.97285099999999"/>
    <n v="0.54857527297297293"/>
    <x v="0"/>
    <s v="-"/>
    <x v="1"/>
    <x v="0"/>
    <n v="0"/>
    <n v="1"/>
    <d v="2017-05-22T00:00:00"/>
    <s v="HYUNDAI"/>
    <s v="ELANTRA"/>
    <n v="247.42249999999999"/>
    <d v="2017-05-22T00:00:00"/>
    <n v="0"/>
    <x v="233"/>
  </r>
  <r>
    <d v="2017-05-23T00:00:00"/>
    <s v="001-00009545"/>
    <n v="166.4238675"/>
    <n v="0"/>
    <n v="0"/>
    <n v="0"/>
    <n v="0"/>
    <n v="0"/>
    <n v="61.977499999999999"/>
    <n v="0"/>
    <n v="61.977499999999999"/>
    <n v="104.44636750000001"/>
    <n v="0.62759247858484002"/>
    <x v="0"/>
    <s v="LEVE"/>
    <x v="1"/>
    <x v="0"/>
    <n v="4"/>
    <n v="1"/>
    <d v="2017-05-19T00:00:00"/>
    <s v="HYUNDAI"/>
    <s v="ELANTRA"/>
    <n v="0"/>
    <d v="2017-05-19T00:00:00"/>
    <n v="0"/>
    <x v="234"/>
  </r>
  <r>
    <d v="2017-05-23T00:00:00"/>
    <s v="001-00009572"/>
    <n v="330.50850000000003"/>
    <n v="0"/>
    <n v="0"/>
    <n v="0"/>
    <n v="0"/>
    <n v="21.9375"/>
    <n v="61.977499999999999"/>
    <n v="0"/>
    <n v="83.914999999999992"/>
    <n v="246.59350000000003"/>
    <n v="0.74610335286384466"/>
    <x v="0"/>
    <s v="LEVE"/>
    <x v="1"/>
    <x v="0"/>
    <n v="1"/>
    <n v="1"/>
    <d v="2017-05-22T00:00:00"/>
    <s v="NISSAN"/>
    <s v="TIIDA"/>
    <n v="0"/>
    <d v="2017-05-22T00:00:00"/>
    <n v="1.5"/>
    <x v="235"/>
  </r>
  <r>
    <d v="2017-05-24T00:00:00"/>
    <s v="001-00009555"/>
    <n v="1454.5"/>
    <n v="59.712598500000006"/>
    <n v="277.90355932203391"/>
    <n v="0"/>
    <n v="39.048749999999998"/>
    <n v="0"/>
    <n v="0"/>
    <n v="0"/>
    <n v="376.66490782203391"/>
    <n v="1077.8350921779661"/>
    <n v="0.74103478320932703"/>
    <x v="0"/>
    <s v="-"/>
    <x v="1"/>
    <x v="0"/>
    <n v="4"/>
    <n v="1"/>
    <d v="2017-05-20T00:00:00"/>
    <s v="CHEVROLET"/>
    <s v="CAPTIVA"/>
    <n v="994.07749999999999"/>
    <d v="2017-05-20T00:00:00"/>
    <n v="0"/>
    <x v="236"/>
  </r>
  <r>
    <d v="2017-05-24T00:00:00"/>
    <s v="001-00009565"/>
    <n v="1330"/>
    <n v="49.760498750000004"/>
    <n v="0"/>
    <n v="0"/>
    <n v="0"/>
    <n v="29.25"/>
    <n v="61.977499999999999"/>
    <n v="0"/>
    <n v="140.98799875"/>
    <n v="1189.0120012499999"/>
    <n v="0.89399398590225554"/>
    <x v="0"/>
    <s v="LEVE"/>
    <x v="1"/>
    <x v="0"/>
    <n v="2"/>
    <n v="1"/>
    <d v="2017-05-22T00:00:00"/>
    <s v="SUZUKI"/>
    <s v="VITARA"/>
    <n v="0"/>
    <d v="2017-05-08T00:00:00"/>
    <n v="2"/>
    <x v="226"/>
  </r>
  <r>
    <d v="2017-05-25T00:00:00"/>
    <s v="001-00009529"/>
    <n v="98.309999999999988"/>
    <n v="0"/>
    <n v="0"/>
    <n v="0"/>
    <n v="0"/>
    <n v="0"/>
    <n v="0"/>
    <n v="0"/>
    <n v="0"/>
    <n v="98.309999999999988"/>
    <n v="1"/>
    <x v="0"/>
    <s v="-"/>
    <x v="1"/>
    <x v="0"/>
    <n v="9"/>
    <n v="1"/>
    <d v="2017-05-16T00:00:00"/>
    <s v="FORD"/>
    <s v="FIESTA"/>
    <n v="0"/>
    <s v="F/Fecha"/>
    <n v="0"/>
    <x v="227"/>
  </r>
  <r>
    <d v="2017-05-26T00:00:00"/>
    <s v="001-00009585"/>
    <n v="20"/>
    <n v="0"/>
    <n v="0"/>
    <n v="0"/>
    <n v="0"/>
    <n v="0"/>
    <n v="0"/>
    <n v="0"/>
    <n v="0"/>
    <n v="20"/>
    <n v="1"/>
    <x v="0"/>
    <s v="-"/>
    <x v="1"/>
    <x v="0"/>
    <n v="1"/>
    <n v="1"/>
    <d v="2017-05-25T00:00:00"/>
    <s v="HYUNDAI"/>
    <s v="ACCENT"/>
    <n v="19.824999999999999"/>
    <d v="2017-05-25T00:00:00"/>
    <n v="0"/>
    <x v="237"/>
  </r>
  <r>
    <d v="2017-05-26T00:00:00"/>
    <s v="001-00009592"/>
    <n v="500"/>
    <n v="59.712598500000006"/>
    <n v="7.44"/>
    <n v="0"/>
    <n v="39.048749999999998"/>
    <n v="0"/>
    <n v="0"/>
    <n v="0"/>
    <n v="106.20134850000001"/>
    <n v="393.79865150000001"/>
    <n v="0.78759730299999997"/>
    <x v="0"/>
    <s v="-"/>
    <x v="1"/>
    <x v="0"/>
    <n v="1"/>
    <n v="1"/>
    <d v="2017-05-25T00:00:00"/>
    <s v="CHEVROLET"/>
    <s v="CAPTIVA"/>
    <n v="497.70499999999993"/>
    <d v="2017-05-26T00:00:00"/>
    <n v="0"/>
    <x v="238"/>
  </r>
  <r>
    <d v="2017-05-26T00:00:00"/>
    <s v="001-00009591"/>
    <n v="500"/>
    <n v="116.98662750000001"/>
    <n v="189.67000000000002"/>
    <n v="50.85"/>
    <n v="39.048749999999998"/>
    <n v="0"/>
    <n v="0"/>
    <n v="0"/>
    <n v="396.55537750000002"/>
    <n v="103.44462249999998"/>
    <n v="0.20688924499999997"/>
    <x v="0"/>
    <s v="-"/>
    <x v="1"/>
    <x v="0"/>
    <n v="0"/>
    <n v="1"/>
    <d v="2017-05-26T00:00:00"/>
    <s v="RENAULT"/>
    <s v="DUSTER"/>
    <n v="497.70499999999993"/>
    <d v="2017-05-26T00:00:00"/>
    <n v="0"/>
    <x v="239"/>
  </r>
  <r>
    <d v="2017-05-27T00:00:00"/>
    <s v="001-00009600"/>
    <n v="529"/>
    <n v="104.589302"/>
    <n v="84.94"/>
    <n v="0"/>
    <n v="39.048749999999998"/>
    <n v="0"/>
    <n v="0"/>
    <n v="0"/>
    <n v="228.57805200000001"/>
    <n v="300.42194799999999"/>
    <n v="0.56790538374291111"/>
    <x v="0"/>
    <s v="-"/>
    <x v="1"/>
    <x v="0"/>
    <n v="0"/>
    <n v="1"/>
    <d v="2017-05-27T00:00:00"/>
    <s v="KIA"/>
    <s v="CERATO"/>
    <n v="621.36749999999995"/>
    <d v="2017-05-27T00:00:00"/>
    <n v="0"/>
    <x v="240"/>
  </r>
  <r>
    <d v="2017-05-27T00:00:00"/>
    <s v="001-00009599"/>
    <n v="355.93219000000005"/>
    <n v="125.09662720000001"/>
    <n v="0"/>
    <n v="0"/>
    <n v="39.048749999999998"/>
    <n v="0"/>
    <n v="0"/>
    <n v="0"/>
    <n v="164.14537720000001"/>
    <n v="191.78681280000004"/>
    <n v="0.53882963718454358"/>
    <x v="0"/>
    <s v="-"/>
    <x v="1"/>
    <x v="0"/>
    <n v="0"/>
    <n v="1"/>
    <d v="2017-05-27T00:00:00"/>
    <s v="CHEVROLET"/>
    <s v="CRUZE"/>
    <n v="418.07999999999993"/>
    <d v="2017-05-27T00:00:00"/>
    <n v="0"/>
    <x v="241"/>
  </r>
  <r>
    <d v="2017-05-27T00:00:00"/>
    <s v="001-00009581"/>
    <n v="930.12753840083997"/>
    <n v="0"/>
    <n v="0"/>
    <n v="0"/>
    <n v="0"/>
    <n v="73.125"/>
    <n v="170.43812500000001"/>
    <n v="0"/>
    <n v="243.56312500000001"/>
    <n v="686.56441340083995"/>
    <n v="0.73814007762983136"/>
    <x v="0"/>
    <s v="LEVE"/>
    <x v="1"/>
    <x v="0"/>
    <n v="3"/>
    <n v="1"/>
    <d v="2017-05-24T00:00:00"/>
    <s v="HYUNDAI"/>
    <s v="TUCSON"/>
    <n v="0"/>
    <d v="2017-05-24T00:00:00"/>
    <n v="5"/>
    <x v="242"/>
  </r>
  <r>
    <d v="2017-05-29T00:00:00"/>
    <s v="001-00009594"/>
    <n v="1067.7966000000001"/>
    <n v="0"/>
    <n v="124.36499999999999"/>
    <n v="0"/>
    <n v="0"/>
    <n v="73.125"/>
    <n v="185.9325"/>
    <n v="0"/>
    <n v="383.42250000000001"/>
    <n v="684.37410000000011"/>
    <n v="0.64092178229449315"/>
    <x v="0"/>
    <s v="LEVE"/>
    <x v="1"/>
    <x v="0"/>
    <n v="3"/>
    <n v="1"/>
    <d v="2017-05-26T00:00:00"/>
    <s v="RENAULT"/>
    <s v="LOGAN"/>
    <n v="271.73250000000002"/>
    <d v="2017-05-26T00:00:00"/>
    <n v="5"/>
    <x v="243"/>
  </r>
  <r>
    <d v="2017-05-29T00:00:00"/>
    <s v="001-00009586"/>
    <n v="261.97217377415012"/>
    <n v="0"/>
    <n v="0"/>
    <n v="0"/>
    <n v="0"/>
    <n v="21.9375"/>
    <n v="61.977499999999999"/>
    <n v="0"/>
    <n v="83.914999999999992"/>
    <n v="178.05717377415013"/>
    <n v="0.67967972021202416"/>
    <x v="0"/>
    <s v="LEVE"/>
    <x v="1"/>
    <x v="0"/>
    <n v="4"/>
    <n v="1"/>
    <d v="2017-05-25T00:00:00"/>
    <s v="CHEVROLET"/>
    <s v="CRUZE"/>
    <n v="0"/>
    <d v="2017-05-25T00:00:00"/>
    <n v="1.5"/>
    <x v="244"/>
  </r>
  <r>
    <d v="2017-05-29T00:00:00"/>
    <s v="001-00009614"/>
    <n v="250"/>
    <n v="53.275499000000003"/>
    <n v="0"/>
    <n v="0"/>
    <n v="39.048749999999998"/>
    <n v="0"/>
    <n v="0"/>
    <n v="0"/>
    <n v="92.324249000000009"/>
    <n v="157.67575099999999"/>
    <n v="0.63070300400000001"/>
    <x v="0"/>
    <s v="-"/>
    <x v="1"/>
    <x v="0"/>
    <n v="-1"/>
    <n v="1"/>
    <d v="2017-05-30T00:00:00"/>
    <s v="HYUNDAI"/>
    <s v="ACCENT"/>
    <n v="247.55250000000001"/>
    <d v="2017-05-30T00:00:00"/>
    <n v="0"/>
    <x v="195"/>
  </r>
  <r>
    <d v="2017-05-29T00:00:00"/>
    <s v="001-00009616"/>
    <n v="746"/>
    <n v="48.510398700000003"/>
    <n v="230.5925"/>
    <n v="0"/>
    <n v="39.048749999999998"/>
    <n v="0"/>
    <n v="0"/>
    <n v="0"/>
    <n v="318.15164870000001"/>
    <n v="427.84835129999999"/>
    <n v="0.57352325911528146"/>
    <x v="0"/>
    <s v="-"/>
    <x v="1"/>
    <x v="0"/>
    <n v="0"/>
    <n v="1"/>
    <d v="2017-05-29T00:00:00"/>
    <s v="SUZUKI"/>
    <s v="ALTO"/>
    <n v="738.72500000000002"/>
    <d v="2017-05-30T00:00:00"/>
    <n v="0"/>
    <x v="245"/>
  </r>
  <r>
    <d v="2017-05-31T00:00:00"/>
    <s v="001-00009588"/>
    <n v="443.57801676607977"/>
    <n v="0"/>
    <n v="0"/>
    <n v="0"/>
    <n v="0"/>
    <n v="43.875"/>
    <n v="61.977499999999999"/>
    <n v="0"/>
    <n v="105.85249999999999"/>
    <n v="337.72551676607975"/>
    <n v="0.76136666832202105"/>
    <x v="0"/>
    <s v="LEVE"/>
    <x v="1"/>
    <x v="0"/>
    <n v="6"/>
    <n v="1"/>
    <d v="2017-05-25T00:00:00"/>
    <s v="SSANYONG"/>
    <s v="KORANDO"/>
    <n v="0"/>
    <d v="2017-05-25T00:00:00"/>
    <n v="3"/>
    <x v="246"/>
  </r>
  <r>
    <d v="2017-05-31T00:00:00"/>
    <s v="001-00009597"/>
    <n v="4178.38957296836"/>
    <n v="0"/>
    <n v="1162.892966101695"/>
    <n v="0"/>
    <n v="0"/>
    <n v="277.875"/>
    <n v="619.77499999999998"/>
    <n v="0"/>
    <n v="2060.5429661016951"/>
    <n v="2117.8466068666648"/>
    <n v="0.50685714433327245"/>
    <x v="0"/>
    <s v="MEDIANO"/>
    <x v="1"/>
    <x v="0"/>
    <n v="5"/>
    <n v="1"/>
    <d v="2017-05-26T00:00:00"/>
    <s v="KIA"/>
    <s v="RIO"/>
    <n v="1137.5"/>
    <d v="2017-05-26T00:00:00"/>
    <n v="19"/>
    <x v="247"/>
  </r>
  <r>
    <d v="2017-06-02T00:00:00"/>
    <s v="001-00009632"/>
    <n v="401.97252351102014"/>
    <n v="0"/>
    <n v="195.55250000000001"/>
    <n v="0"/>
    <n v="0"/>
    <n v="0"/>
    <n v="0"/>
    <n v="0"/>
    <n v="195.55250000000001"/>
    <n v="206.42002351102013"/>
    <n v="0.51351774421805996"/>
    <x v="0"/>
    <s v="-"/>
    <x v="2"/>
    <x v="0"/>
    <n v="1"/>
    <n v="1"/>
    <d v="2017-06-01T00:00:00"/>
    <s v="KIA"/>
    <s v="PICANTO"/>
    <n v="399.39249999999998"/>
    <d v="2017-06-01T00:00:00"/>
    <n v="0"/>
    <x v="248"/>
  </r>
  <r>
    <d v="2017-06-03T00:00:00"/>
    <s v="001-00009625"/>
    <n v="968.80799999999999"/>
    <n v="0"/>
    <n v="38.559322033898304"/>
    <n v="0"/>
    <n v="0"/>
    <n v="87.75"/>
    <n v="123.955"/>
    <n v="0"/>
    <n v="250.26432203389828"/>
    <n v="718.54367796610177"/>
    <n v="0.74167810130191103"/>
    <x v="0"/>
    <s v="LEVE"/>
    <x v="2"/>
    <x v="0"/>
    <n v="3"/>
    <n v="1"/>
    <d v="2017-05-31T00:00:00"/>
    <s v="TOYOTA"/>
    <s v="RAV4"/>
    <n v="0"/>
    <d v="2017-05-31T00:00:00"/>
    <n v="6"/>
    <x v="249"/>
  </r>
  <r>
    <d v="2017-06-05T00:00:00"/>
    <s v="001-00009646"/>
    <n v="98.19"/>
    <n v="0"/>
    <n v="0"/>
    <n v="0"/>
    <n v="0"/>
    <n v="7.3125"/>
    <n v="0"/>
    <n v="0"/>
    <n v="7.3125"/>
    <n v="90.877499999999998"/>
    <n v="0.92552703941338221"/>
    <x v="0"/>
    <s v="LEVE"/>
    <x v="2"/>
    <x v="0"/>
    <n v="3"/>
    <n v="1"/>
    <d v="2017-06-02T00:00:00"/>
    <s v="KIA"/>
    <s v="RIO"/>
    <n v="0"/>
    <d v="2017-06-03T00:00:00"/>
    <n v="0.5"/>
    <x v="250"/>
  </r>
  <r>
    <d v="2017-06-05T00:00:00"/>
    <s v="001-00009649"/>
    <n v="800"/>
    <n v="125.68862720000001"/>
    <n v="106.64999999999999"/>
    <n v="29.66"/>
    <n v="39.048749999999998"/>
    <n v="0"/>
    <n v="0"/>
    <n v="0"/>
    <n v="301.04737720000003"/>
    <n v="498.95262279999997"/>
    <n v="0.62369077849999999"/>
    <x v="0"/>
    <s v="-"/>
    <x v="2"/>
    <x v="0"/>
    <n v="0"/>
    <n v="1"/>
    <d v="2017-06-05T00:00:00"/>
    <s v="SUZUKI"/>
    <s v="APV"/>
    <n v="0"/>
    <d v="2017-06-05T00:00:00"/>
    <n v="0"/>
    <x v="251"/>
  </r>
  <r>
    <d v="2017-06-06T00:00:00"/>
    <s v="001-00009667"/>
    <n v="500"/>
    <n v="125.68862720000001"/>
    <n v="39.090000000000003"/>
    <n v="0"/>
    <n v="39.048749999999998"/>
    <n v="0"/>
    <n v="0"/>
    <n v="0"/>
    <n v="203.8273772"/>
    <n v="296.1726228"/>
    <n v="0.59234524560000001"/>
    <x v="0"/>
    <s v="-"/>
    <x v="2"/>
    <x v="0"/>
    <n v="1"/>
    <n v="1"/>
    <d v="2017-06-05T00:00:00"/>
    <s v="SUZUKI"/>
    <s v="SX4"/>
    <n v="0"/>
    <d v="2017-06-06T00:00:00"/>
    <n v="0"/>
    <x v="252"/>
  </r>
  <r>
    <d v="2017-06-06T00:00:00"/>
    <s v="001-00009670"/>
    <n v="10"/>
    <n v="0"/>
    <n v="0"/>
    <n v="8.4700000000000006"/>
    <n v="0"/>
    <n v="0"/>
    <n v="0"/>
    <n v="0"/>
    <n v="8.4700000000000006"/>
    <n v="1.5299999999999994"/>
    <n v="0.15299999999999994"/>
    <x v="0"/>
    <s v="LEVE"/>
    <x v="2"/>
    <x v="0"/>
    <n v="0"/>
    <n v="1"/>
    <d v="2017-06-06T00:00:00"/>
    <s v="TOYOTA"/>
    <s v="YARIS"/>
    <n v="0"/>
    <d v="2017-06-06T00:00:00"/>
    <n v="0"/>
    <x v="253"/>
  </r>
  <r>
    <d v="2017-06-06T00:00:00"/>
    <s v="001-00009665"/>
    <n v="166.37302508475"/>
    <n v="0"/>
    <n v="0"/>
    <n v="0"/>
    <n v="0"/>
    <n v="0"/>
    <n v="61.977499999999999"/>
    <n v="0"/>
    <n v="61.977499999999999"/>
    <n v="104.39552508475001"/>
    <n v="0.62747867349031605"/>
    <x v="0"/>
    <s v="LEVE"/>
    <x v="2"/>
    <x v="0"/>
    <n v="0"/>
    <n v="1"/>
    <d v="2017-06-06T00:00:00"/>
    <s v="MAZDA"/>
    <s v="MAZDA 3"/>
    <n v="0"/>
    <d v="2017-06-06T00:00:00"/>
    <n v="0"/>
    <x v="254"/>
  </r>
  <r>
    <d v="2017-06-07T00:00:00"/>
    <s v="001-00009679"/>
    <n v="230"/>
    <n v="0"/>
    <n v="38.14"/>
    <n v="38.14"/>
    <n v="39.048749999999998"/>
    <n v="0"/>
    <n v="0"/>
    <n v="0"/>
    <n v="115.32875"/>
    <n v="114.67125"/>
    <n v="0.49857065217391305"/>
    <x v="0"/>
    <s v="LEVE"/>
    <x v="2"/>
    <x v="0"/>
    <n v="0"/>
    <n v="1"/>
    <d v="2017-06-07T00:00:00"/>
    <s v="HONDA"/>
    <s v="CIVIC"/>
    <n v="70.524999999999991"/>
    <d v="2017-06-07T00:00:00"/>
    <n v="0"/>
    <x v="255"/>
  </r>
  <r>
    <d v="2017-06-08T00:00:00"/>
    <s v="001-00009671"/>
    <n v="360.03392151904978"/>
    <n v="0"/>
    <n v="41.313559322033896"/>
    <n v="0"/>
    <n v="0"/>
    <n v="14.625"/>
    <n v="61.977499999999999"/>
    <n v="0"/>
    <n v="117.9160593220339"/>
    <n v="242.11786219701588"/>
    <n v="0.67248625122731709"/>
    <x v="0"/>
    <s v="LEVE"/>
    <x v="2"/>
    <x v="0"/>
    <n v="2"/>
    <n v="1"/>
    <d v="2017-06-06T00:00:00"/>
    <s v="CHEVROLET"/>
    <s v="SAIL"/>
    <n v="0"/>
    <d v="2017-06-06T00:00:00"/>
    <n v="1"/>
    <x v="256"/>
  </r>
  <r>
    <d v="2017-06-08T00:00:00"/>
    <s v="001-00009682"/>
    <n v="400"/>
    <n v="126.37962710000001"/>
    <n v="0"/>
    <n v="0"/>
    <n v="39.048749999999998"/>
    <n v="0"/>
    <n v="0"/>
    <n v="0"/>
    <n v="165.42837710000001"/>
    <n v="234.57162289999999"/>
    <n v="0.58642905724999994"/>
    <x v="0"/>
    <s v="LEVE"/>
    <x v="2"/>
    <x v="0"/>
    <n v="1"/>
    <n v="1"/>
    <d v="2017-06-07T00:00:00"/>
    <s v="MAZDA"/>
    <s v="CX-5"/>
    <n v="0"/>
    <d v="2017-06-08T00:00:00"/>
    <n v="0"/>
    <x v="257"/>
  </r>
  <r>
    <d v="2017-06-08T00:00:00"/>
    <s v="001-00009674"/>
    <n v="769"/>
    <n v="48.510398700000003"/>
    <n v="171.95"/>
    <n v="76.28"/>
    <n v="39.048749999999998"/>
    <n v="0"/>
    <n v="0"/>
    <n v="0"/>
    <n v="335.7891487"/>
    <n v="433.2108513"/>
    <n v="0.56334310962288692"/>
    <x v="0"/>
    <s v="-"/>
    <x v="2"/>
    <x v="0"/>
    <n v="2"/>
    <n v="1"/>
    <d v="2017-06-06T00:00:00"/>
    <s v="SUZUKI"/>
    <s v="SWIFT"/>
    <n v="162.5"/>
    <d v="2017-06-06T00:00:00"/>
    <n v="0"/>
    <x v="258"/>
  </r>
  <r>
    <d v="2017-06-09T00:00:00"/>
    <s v="001-00009652"/>
    <n v="423.72879"/>
    <n v="0"/>
    <n v="0"/>
    <n v="0"/>
    <n v="0"/>
    <n v="0"/>
    <n v="0"/>
    <n v="420.875"/>
    <n v="420.875"/>
    <n v="2.8537900000000036"/>
    <n v="6.7349447744629379E-3"/>
    <x v="0"/>
    <s v="-"/>
    <x v="2"/>
    <x v="0"/>
    <n v="4"/>
    <n v="1"/>
    <d v="2017-06-05T00:00:00"/>
    <s v="MAZDA"/>
    <s v="MAZDA 3"/>
    <n v="0"/>
    <d v="2017-06-05T00:00:00"/>
    <n v="0"/>
    <x v="219"/>
  </r>
  <r>
    <d v="2017-06-09T00:00:00"/>
    <s v="001-00009661"/>
    <n v="294.480009"/>
    <n v="0"/>
    <n v="0"/>
    <n v="10.17"/>
    <n v="0"/>
    <n v="29.25"/>
    <n v="61.977499999999999"/>
    <n v="0"/>
    <n v="101.39750000000001"/>
    <n v="193.08250899999999"/>
    <n v="0.65567272174322699"/>
    <x v="0"/>
    <s v="LEVE"/>
    <x v="2"/>
    <x v="0"/>
    <n v="4"/>
    <n v="1"/>
    <d v="2017-06-05T00:00:00"/>
    <s v="MAZDA"/>
    <s v="CX-5"/>
    <n v="0"/>
    <d v="2017-06-05T00:00:00"/>
    <n v="2"/>
    <x v="259"/>
  </r>
  <r>
    <d v="2017-06-10T00:00:00"/>
    <s v="001-00009660"/>
    <n v="294.3"/>
    <n v="0"/>
    <n v="34.427966101694921"/>
    <n v="0"/>
    <n v="0"/>
    <n v="29.25"/>
    <n v="30.98875"/>
    <n v="0"/>
    <n v="94.666716101694917"/>
    <n v="199.63328389830508"/>
    <n v="0.67833259904283072"/>
    <x v="0"/>
    <s v="LEVE"/>
    <x v="2"/>
    <x v="0"/>
    <n v="5"/>
    <n v="1"/>
    <d v="2017-06-05T00:00:00"/>
    <s v="MAZDA"/>
    <s v="MAZDA 3"/>
    <n v="0"/>
    <d v="2017-06-05T00:00:00"/>
    <n v="2"/>
    <x v="260"/>
  </r>
  <r>
    <d v="2017-06-10T00:00:00"/>
    <s v="001-00009624"/>
    <n v="1301.46"/>
    <n v="0"/>
    <n v="0"/>
    <n v="0"/>
    <n v="0"/>
    <n v="117"/>
    <n v="247.91"/>
    <n v="0"/>
    <n v="364.90999999999997"/>
    <n v="936.55000000000007"/>
    <n v="0.7196148940420759"/>
    <x v="0"/>
    <s v="MEDIANO"/>
    <x v="2"/>
    <x v="0"/>
    <n v="10"/>
    <n v="1"/>
    <d v="2017-05-31T00:00:00"/>
    <s v="NISSAN"/>
    <s v="URBAN"/>
    <n v="113.75"/>
    <d v="2017-05-31T00:00:00"/>
    <n v="8"/>
    <x v="261"/>
  </r>
  <r>
    <d v="2017-06-10T00:00:00"/>
    <s v="001-00009681"/>
    <n v="237.28809999999999"/>
    <n v="0"/>
    <n v="0"/>
    <n v="0"/>
    <n v="0"/>
    <n v="14.625"/>
    <n v="61.977499999999999"/>
    <n v="0"/>
    <n v="76.602499999999992"/>
    <n v="160.68559999999999"/>
    <n v="0.67717513014769815"/>
    <x v="0"/>
    <s v="LEVE"/>
    <x v="2"/>
    <x v="0"/>
    <n v="2"/>
    <n v="1"/>
    <d v="2017-06-08T00:00:00"/>
    <s v="KIA"/>
    <s v="CERATO"/>
    <n v="0"/>
    <d v="2017-06-08T00:00:00"/>
    <n v="1"/>
    <x v="202"/>
  </r>
  <r>
    <d v="2017-06-10T00:00:00"/>
    <s v="001-00009659"/>
    <n v="147.14999999999998"/>
    <n v="0"/>
    <n v="55.084745762711869"/>
    <n v="0"/>
    <n v="0"/>
    <n v="29.25"/>
    <n v="61.977499999999999"/>
    <n v="0"/>
    <n v="146.31224576271185"/>
    <n v="0.8377542372881237"/>
    <n v="5.6931990301605428E-3"/>
    <x v="0"/>
    <s v="LEVE"/>
    <x v="2"/>
    <x v="0"/>
    <n v="5"/>
    <n v="1"/>
    <d v="2017-06-05T00:00:00"/>
    <s v="CHEVROLET"/>
    <s v="CAPTIVA"/>
    <n v="0"/>
    <d v="2017-06-05T00:00:00"/>
    <n v="2"/>
    <x v="262"/>
  </r>
  <r>
    <d v="2017-06-10T00:00:00"/>
    <s v="001-00009689"/>
    <n v="350"/>
    <n v="102.29130170000001"/>
    <n v="0"/>
    <n v="0"/>
    <n v="39.048749999999998"/>
    <n v="0"/>
    <n v="0"/>
    <n v="0"/>
    <n v="141.3400517"/>
    <n v="208.6599483"/>
    <n v="0.59617128085714288"/>
    <x v="0"/>
    <s v="-"/>
    <x v="2"/>
    <x v="0"/>
    <n v="0"/>
    <n v="1"/>
    <d v="2017-06-10T00:00:00"/>
    <s v="SUZUKI"/>
    <s v="SWIFT"/>
    <n v="0"/>
    <d v="2017-06-10T00:00:00"/>
    <n v="0"/>
    <x v="263"/>
  </r>
  <r>
    <d v="2017-06-10T00:00:00"/>
    <s v="001-00009691"/>
    <n v="250"/>
    <n v="49.201398599999997"/>
    <n v="0"/>
    <n v="0"/>
    <n v="39.048749999999998"/>
    <n v="0"/>
    <n v="0"/>
    <n v="0"/>
    <n v="88.250148599999989"/>
    <n v="161.74985140000001"/>
    <n v="0.64699940560000002"/>
    <x v="0"/>
    <s v="-"/>
    <x v="2"/>
    <x v="0"/>
    <n v="0"/>
    <n v="1"/>
    <d v="2017-06-10T00:00:00"/>
    <s v="MAZDA"/>
    <s v="MAZDA 2"/>
    <n v="0"/>
    <d v="2017-06-10T00:00:00"/>
    <n v="0"/>
    <x v="264"/>
  </r>
  <r>
    <d v="2017-06-12T00:00:00"/>
    <s v="001-00009703"/>
    <n v="98.1"/>
    <n v="0"/>
    <n v="110.16949152542372"/>
    <n v="0"/>
    <n v="0"/>
    <n v="0"/>
    <n v="0"/>
    <n v="0"/>
    <n v="110.16949152542372"/>
    <n v="-12.069491525423729"/>
    <n v="-0.12303253338862109"/>
    <x v="0"/>
    <s v="-"/>
    <x v="2"/>
    <x v="0"/>
    <n v="0"/>
    <n v="1"/>
    <d v="2017-06-12T00:00:00"/>
    <s v="HONDA"/>
    <s v="CRV"/>
    <n v="0"/>
    <d v="2017-06-12T00:00:00"/>
    <n v="0"/>
    <x v="265"/>
  </r>
  <r>
    <d v="2017-06-13T00:00:00"/>
    <s v="001-00009713"/>
    <n v="710"/>
    <n v="79.792200000000008"/>
    <n v="308.26750000000004"/>
    <n v="0"/>
    <n v="39.048749999999998"/>
    <n v="0"/>
    <n v="0"/>
    <n v="0"/>
    <n v="427.10845"/>
    <n v="282.89155"/>
    <n v="0.39843880281690142"/>
    <x v="0"/>
    <s v="-"/>
    <x v="2"/>
    <x v="0"/>
    <n v="1"/>
    <n v="1"/>
    <d v="2017-06-12T00:00:00"/>
    <s v="HYUNDAI"/>
    <s v="ACCENT"/>
    <n v="357.565"/>
    <d v="2017-06-13T00:00:00"/>
    <n v="0"/>
    <x v="185"/>
  </r>
  <r>
    <d v="2017-06-14T00:00:00"/>
    <s v="001-00009712"/>
    <n v="620"/>
    <n v="161.62992650000001"/>
    <n v="126.15"/>
    <n v="0"/>
    <n v="39.048749999999998"/>
    <n v="0"/>
    <n v="0"/>
    <n v="0"/>
    <n v="326.82867649999997"/>
    <n v="293.17132350000003"/>
    <n v="0.47285697338709681"/>
    <x v="0"/>
    <s v="-"/>
    <x v="2"/>
    <x v="0"/>
    <n v="1"/>
    <n v="1"/>
    <d v="2017-06-13T00:00:00"/>
    <s v="KIA"/>
    <s v="CERATO"/>
    <n v="117"/>
    <d v="2017-06-13T00:00:00"/>
    <n v="0"/>
    <x v="266"/>
  </r>
  <r>
    <d v="2017-06-15T00:00:00"/>
    <s v="001-00009705"/>
    <n v="510"/>
    <n v="39.808399000000001"/>
    <n v="37.65"/>
    <n v="50.85"/>
    <n v="39.048749999999998"/>
    <n v="0"/>
    <n v="0"/>
    <n v="0"/>
    <n v="167.35714899999999"/>
    <n v="342.64285100000001"/>
    <n v="0.67184872745098045"/>
    <x v="0"/>
    <s v="-"/>
    <x v="2"/>
    <x v="0"/>
    <n v="4"/>
    <n v="1"/>
    <d v="2017-06-11T00:00:00"/>
    <s v="NISSAN"/>
    <s v="SUNNY"/>
    <n v="0"/>
    <d v="2017-06-12T00:00:00"/>
    <n v="0"/>
    <x v="267"/>
  </r>
  <r>
    <d v="2017-06-15T00:00:00"/>
    <s v="001-00009647"/>
    <n v="806.96679672966002"/>
    <n v="0"/>
    <n v="0"/>
    <n v="10.17"/>
    <n v="0"/>
    <n v="117"/>
    <n v="154.94374999999999"/>
    <n v="0"/>
    <n v="282.11374999999998"/>
    <n v="524.85304672966004"/>
    <n v="0.65040228279118373"/>
    <x v="0"/>
    <s v="MEDIANO"/>
    <x v="2"/>
    <x v="0"/>
    <n v="12"/>
    <n v="1"/>
    <d v="2017-06-03T00:00:00"/>
    <s v="HYUNDAI"/>
    <s v="ACCENT"/>
    <n v="0"/>
    <d v="2017-06-03T00:00:00"/>
    <n v="8"/>
    <x v="268"/>
  </r>
  <r>
    <d v="2017-06-16T00:00:00"/>
    <s v="001-00009698"/>
    <n v="950"/>
    <n v="0"/>
    <n v="368.64000000000004"/>
    <n v="0"/>
    <n v="39.048749999999998"/>
    <n v="0"/>
    <n v="0"/>
    <n v="0"/>
    <n v="407.68875000000003"/>
    <n v="542.31124999999997"/>
    <n v="0.57085394736842099"/>
    <x v="0"/>
    <s v="-"/>
    <x v="2"/>
    <x v="0"/>
    <n v="5"/>
    <n v="1"/>
    <d v="2017-06-11T00:00:00"/>
    <s v="CHERY"/>
    <s v="TIIGO"/>
    <n v="695.69500000000005"/>
    <d v="2017-06-12T00:00:00"/>
    <n v="0"/>
    <x v="269"/>
  </r>
  <r>
    <d v="2017-06-16T00:00:00"/>
    <s v="001-00009729"/>
    <n v="540"/>
    <n v="0"/>
    <n v="245.76"/>
    <n v="0"/>
    <n v="39.048749999999998"/>
    <n v="0"/>
    <n v="0"/>
    <n v="0"/>
    <n v="284.80874999999997"/>
    <n v="255.19125000000003"/>
    <n v="0.47257638888888892"/>
    <x v="0"/>
    <s v="-"/>
    <x v="2"/>
    <x v="0"/>
    <n v="0"/>
    <n v="1"/>
    <d v="2017-06-16T00:00:00"/>
    <s v="KIA"/>
    <s v="RIO"/>
    <n v="397.53999999999996"/>
    <d v="2017-06-16T00:00:00"/>
    <n v="0"/>
    <x v="270"/>
  </r>
  <r>
    <d v="2017-06-16T00:00:00"/>
    <s v="001-00009719"/>
    <n v="717"/>
    <n v="0"/>
    <n v="0"/>
    <n v="0"/>
    <n v="39.048749999999998"/>
    <n v="0"/>
    <n v="0"/>
    <n v="0"/>
    <n v="39.048749999999998"/>
    <n v="677.95124999999996"/>
    <n v="0.94553870292887021"/>
    <x v="0"/>
    <s v="-"/>
    <x v="2"/>
    <x v="0"/>
    <n v="3"/>
    <n v="1"/>
    <d v="2017-06-13T00:00:00"/>
    <s v="CHEVROLET"/>
    <s v="CRUZE"/>
    <n v="675.83749999999998"/>
    <d v="2017-06-14T00:00:00"/>
    <n v="0"/>
    <x v="230"/>
  </r>
  <r>
    <d v="2017-06-17T00:00:00"/>
    <s v="001-00009731"/>
    <n v="278.45999999999998"/>
    <n v="0"/>
    <n v="0"/>
    <n v="0"/>
    <n v="0"/>
    <n v="29.25"/>
    <n v="61.977499999999999"/>
    <n v="0"/>
    <n v="91.227499999999992"/>
    <n v="187.23249999999999"/>
    <n v="0.67238562091503273"/>
    <x v="0"/>
    <s v="LEVE"/>
    <x v="2"/>
    <x v="0"/>
    <n v="0"/>
    <n v="1"/>
    <d v="2017-06-17T00:00:00"/>
    <s v="FORD"/>
    <s v="ECOSPORT"/>
    <n v="0"/>
    <d v="2017-06-17T00:00:00"/>
    <n v="2"/>
    <x v="271"/>
  </r>
  <r>
    <d v="2017-06-17T00:00:00"/>
    <s v="001-00009722"/>
    <n v="1270"/>
    <n v="39.808399000000001"/>
    <n v="375.71"/>
    <n v="0"/>
    <n v="39.048749999999998"/>
    <n v="0"/>
    <n v="0"/>
    <n v="0"/>
    <n v="454.56714899999997"/>
    <n v="815.43285100000003"/>
    <n v="0.64207311102362208"/>
    <x v="0"/>
    <s v="-"/>
    <x v="2"/>
    <x v="0"/>
    <n v="4"/>
    <n v="1"/>
    <d v="2017-06-13T00:00:00"/>
    <s v="BRILLANCE"/>
    <s v="FRV"/>
    <n v="864.66250000000002"/>
    <d v="2017-06-14T00:00:00"/>
    <n v="0"/>
    <x v="272"/>
  </r>
  <r>
    <d v="2017-06-17T00:00:00"/>
    <s v="001-00009683"/>
    <n v="4267.2880999999998"/>
    <n v="0"/>
    <n v="327.96694915254238"/>
    <n v="0"/>
    <n v="0"/>
    <n v="277.875"/>
    <n v="1028.8265000000001"/>
    <n v="0"/>
    <n v="1634.6684491525425"/>
    <n v="2632.6196508474573"/>
    <n v="0.61693037572210263"/>
    <x v="0"/>
    <s v="MEDIANO"/>
    <x v="2"/>
    <x v="0"/>
    <n v="9"/>
    <n v="1"/>
    <d v="2017-06-08T00:00:00"/>
    <s v="CHEVROLET"/>
    <s v="CRUZE"/>
    <n v="198.25"/>
    <d v="2017-06-08T00:00:00"/>
    <n v="19"/>
    <x v="273"/>
  </r>
  <r>
    <d v="2017-06-17T00:00:00"/>
    <s v="001-00009727"/>
    <n v="393.12"/>
    <n v="0"/>
    <n v="61.970338983050844"/>
    <n v="0"/>
    <n v="0"/>
    <n v="14.625"/>
    <n v="61.977499999999999"/>
    <n v="0"/>
    <n v="138.57283898305084"/>
    <n v="254.54716101694916"/>
    <n v="0.64750498834185277"/>
    <x v="0"/>
    <s v="LEVE"/>
    <x v="2"/>
    <x v="0"/>
    <n v="2"/>
    <n v="1"/>
    <d v="2017-06-15T00:00:00"/>
    <s v="MAZDA"/>
    <s v="CX-5"/>
    <n v="0"/>
    <d v="2017-06-15T00:00:00"/>
    <n v="1"/>
    <x v="188"/>
  </r>
  <r>
    <d v="2017-06-20T00:00:00"/>
    <s v="001-00009742"/>
    <n v="296.61020000000002"/>
    <n v="107.05640200000001"/>
    <n v="0"/>
    <n v="0"/>
    <n v="39.048749999999998"/>
    <n v="0"/>
    <n v="0"/>
    <n v="0"/>
    <n v="146.105152"/>
    <n v="150.50504800000002"/>
    <n v="0.50741696677996917"/>
    <x v="0"/>
    <s v="-"/>
    <x v="2"/>
    <x v="0"/>
    <n v="1"/>
    <n v="1"/>
    <d v="2017-06-19T00:00:00"/>
    <s v="KIA"/>
    <s v="RIO"/>
    <n v="0"/>
    <d v="2017-06-20T00:00:00"/>
    <n v="0"/>
    <x v="274"/>
  </r>
  <r>
    <d v="2017-06-21T00:00:00"/>
    <s v="001-00009732"/>
    <n v="360.91527544799993"/>
    <n v="0"/>
    <n v="0"/>
    <n v="0"/>
    <n v="0"/>
    <n v="21.9375"/>
    <n v="61.977499999999999"/>
    <n v="0"/>
    <n v="83.914999999999992"/>
    <n v="277.00027544799991"/>
    <n v="0.76749390865809908"/>
    <x v="0"/>
    <s v="LEVE"/>
    <x v="2"/>
    <x v="0"/>
    <n v="2"/>
    <n v="1"/>
    <d v="2017-06-19T00:00:00"/>
    <s v="MAZDA"/>
    <s v="CX-5"/>
    <n v="0"/>
    <d v="2017-06-19T00:00:00"/>
    <n v="1.5"/>
    <x v="275"/>
  </r>
  <r>
    <d v="2017-06-21T00:00:00"/>
    <s v="001-00009747"/>
    <n v="25.423700000000004"/>
    <n v="0"/>
    <n v="48.199152542372886"/>
    <n v="0"/>
    <n v="0"/>
    <n v="0"/>
    <n v="0"/>
    <n v="0"/>
    <n v="48.199152542372886"/>
    <n v="-22.775452542372882"/>
    <n v="-0.89583548194687945"/>
    <x v="0"/>
    <s v="-"/>
    <x v="2"/>
    <x v="0"/>
    <n v="0"/>
    <n v="1"/>
    <d v="2017-06-21T00:00:00"/>
    <s v="JAC"/>
    <s v="J6"/>
    <n v="0"/>
    <d v="2017-06-21T00:00:00"/>
    <n v="0"/>
    <x v="276"/>
  </r>
  <r>
    <d v="2017-06-22T00:00:00"/>
    <s v="001-00009752"/>
    <n v="150"/>
    <n v="0"/>
    <n v="0"/>
    <n v="0"/>
    <n v="39.048749999999998"/>
    <n v="0"/>
    <n v="0"/>
    <n v="0"/>
    <n v="39.048749999999998"/>
    <n v="110.95125"/>
    <n v="0.73967499999999997"/>
    <x v="0"/>
    <s v="-"/>
    <x v="2"/>
    <x v="0"/>
    <n v="1"/>
    <n v="1"/>
    <d v="2017-06-21T00:00:00"/>
    <s v="KIA"/>
    <s v="CERATO"/>
    <n v="0"/>
    <d v="2017-06-22T00:00:00"/>
    <n v="0"/>
    <x v="240"/>
  </r>
  <r>
    <d v="2017-06-23T00:00:00"/>
    <s v="001-00009750"/>
    <n v="25.423700000000004"/>
    <n v="0"/>
    <n v="114.93271186440678"/>
    <n v="0"/>
    <n v="0"/>
    <n v="0"/>
    <n v="0"/>
    <n v="0"/>
    <n v="114.93271186440678"/>
    <n v="-89.509011864406773"/>
    <n v="-3.5206917901173616"/>
    <x v="0"/>
    <s v="-"/>
    <x v="2"/>
    <x v="0"/>
    <n v="2"/>
    <n v="1"/>
    <d v="2017-06-21T00:00:00"/>
    <s v="KIA"/>
    <s v="RIO"/>
    <n v="0"/>
    <d v="2017-06-21T00:00:00"/>
    <n v="0"/>
    <x v="277"/>
  </r>
  <r>
    <d v="2017-06-24T00:00:00"/>
    <s v="001-00009743"/>
    <n v="326"/>
    <n v="0"/>
    <n v="0"/>
    <n v="16.95"/>
    <n v="0"/>
    <n v="14.625"/>
    <n v="77.471874999999997"/>
    <n v="0"/>
    <n v="109.046875"/>
    <n v="216.953125"/>
    <n v="0.66550038343558282"/>
    <x v="1"/>
    <s v="LEVE"/>
    <x v="2"/>
    <x v="0"/>
    <n v="4"/>
    <n v="1"/>
    <d v="2017-06-20T00:00:00"/>
    <s v="HYUNDAI"/>
    <s v="TUCSON"/>
    <n v="0"/>
    <d v="2017-06-23T00:00:00"/>
    <n v="1"/>
    <x v="278"/>
  </r>
  <r>
    <d v="2017-06-24T00:00:00"/>
    <s v="001-00009615"/>
    <n v="520"/>
    <n v="0"/>
    <n v="0"/>
    <n v="0"/>
    <n v="0"/>
    <n v="0"/>
    <n v="0"/>
    <n v="0"/>
    <n v="0"/>
    <n v="520"/>
    <n v="1"/>
    <x v="0"/>
    <s v="-"/>
    <x v="2"/>
    <x v="0"/>
    <n v="25"/>
    <n v="1"/>
    <d v="2017-05-30T00:00:00"/>
    <s v="SUZUKI"/>
    <s v="CELERIO"/>
    <n v="0"/>
    <s v="F/Fecha"/>
    <n v="0"/>
    <x v="204"/>
  </r>
  <r>
    <d v="2017-06-27T00:00:00"/>
    <s v="001-00009760"/>
    <n v="25.423700000000004"/>
    <n v="0"/>
    <n v="25.42"/>
    <n v="0"/>
    <n v="0"/>
    <n v="0"/>
    <n v="0"/>
    <n v="113.75"/>
    <n v="139.17000000000002"/>
    <n v="-113.74630000000002"/>
    <n v="-4.4740262038963641"/>
    <x v="0"/>
    <s v="-"/>
    <x v="2"/>
    <x v="0"/>
    <n v="4"/>
    <n v="1"/>
    <d v="2017-06-23T00:00:00"/>
    <s v="VOLKSWAGEN"/>
    <s v="GOL"/>
    <n v="0"/>
    <d v="2017-06-23T00:00:00"/>
    <n v="0"/>
    <x v="279"/>
  </r>
  <r>
    <d v="2017-06-27T00:00:00"/>
    <s v="001-00009767"/>
    <n v="1430.5725439500002"/>
    <n v="0"/>
    <n v="0"/>
    <n v="0"/>
    <n v="0"/>
    <n v="138.9375"/>
    <n v="278.89875000000001"/>
    <n v="0"/>
    <n v="417.83625000000001"/>
    <n v="1012.7362939500001"/>
    <n v="0.70792375977921473"/>
    <x v="0"/>
    <s v="LEVE"/>
    <x v="2"/>
    <x v="0"/>
    <n v="1"/>
    <n v="1"/>
    <d v="2017-06-26T00:00:00"/>
    <s v="TOYOTA"/>
    <s v="HILUX"/>
    <n v="0"/>
    <d v="2017-06-26T00:00:00"/>
    <n v="9.5"/>
    <x v="280"/>
  </r>
  <r>
    <d v="2017-06-28T00:00:00"/>
    <s v="001-00009792"/>
    <n v="373.55930000000006"/>
    <n v="0"/>
    <n v="286.45499999999998"/>
    <n v="0"/>
    <n v="24.423749999999998"/>
    <n v="0"/>
    <n v="0"/>
    <n v="0"/>
    <n v="310.87874999999997"/>
    <n v="62.680550000000096"/>
    <n v="0.16779277078632518"/>
    <x v="0"/>
    <s v="-"/>
    <x v="2"/>
    <x v="0"/>
    <n v="1"/>
    <n v="1"/>
    <d v="2017-06-27T00:00:00"/>
    <s v="SUZUKI"/>
    <s v="VITARA"/>
    <n v="0"/>
    <d v="2017-06-28T00:00:00"/>
    <n v="0"/>
    <x v="281"/>
  </r>
  <r>
    <d v="2017-06-28T00:00:00"/>
    <s v="001-00009771"/>
    <n v="827.53197460000001"/>
    <n v="0"/>
    <n v="0"/>
    <n v="0"/>
    <n v="0"/>
    <n v="102.375"/>
    <n v="185.9325"/>
    <n v="0"/>
    <n v="288.3075"/>
    <n v="539.22447460000001"/>
    <n v="0.65160560697445224"/>
    <x v="0"/>
    <s v="LEVE"/>
    <x v="2"/>
    <x v="0"/>
    <n v="2"/>
    <n v="1"/>
    <d v="2017-06-26T00:00:00"/>
    <s v="MAZDA"/>
    <s v="MAZDA 3"/>
    <n v="0"/>
    <d v="2017-06-26T00:00:00"/>
    <n v="7"/>
    <x v="254"/>
  </r>
  <r>
    <d v="2017-06-28T00:00:00"/>
    <s v="001-00009788"/>
    <n v="69.025285823360107"/>
    <n v="0"/>
    <n v="0"/>
    <n v="8.48"/>
    <n v="0"/>
    <n v="0"/>
    <n v="0"/>
    <n v="0"/>
    <n v="8.48"/>
    <n v="60.545285823360103"/>
    <n v="0.87714647032826731"/>
    <x v="0"/>
    <s v="-"/>
    <x v="2"/>
    <x v="0"/>
    <n v="0"/>
    <n v="1"/>
    <d v="2017-06-28T00:00:00"/>
    <s v="KIA"/>
    <s v="CERATO"/>
    <n v="0"/>
    <s v="F/Fecha"/>
    <n v="0"/>
    <x v="282"/>
  </r>
  <r>
    <d v="2017-06-29T00:00:00"/>
    <s v="001-00009745"/>
    <n v="1420"/>
    <n v="0"/>
    <n v="0"/>
    <n v="211.86"/>
    <n v="39.048749999999998"/>
    <n v="43.875"/>
    <n v="0"/>
    <n v="0"/>
    <n v="294.78375"/>
    <n v="1125.2162499999999"/>
    <n v="0.79240580985915487"/>
    <x v="0"/>
    <s v="LEVE"/>
    <x v="2"/>
    <x v="0"/>
    <n v="9"/>
    <n v="1"/>
    <d v="2017-06-20T00:00:00"/>
    <s v="TOYOTA"/>
    <s v="LAND CRUISER"/>
    <n v="0"/>
    <d v="2017-06-20T00:00:00"/>
    <n v="3"/>
    <x v="283"/>
  </r>
  <r>
    <d v="2017-06-29T00:00:00"/>
    <s v="001-00009799"/>
    <n v="342.37288999999987"/>
    <n v="63.810300599999991"/>
    <n v="0"/>
    <n v="0"/>
    <n v="39.048749999999998"/>
    <n v="0"/>
    <n v="0"/>
    <n v="0"/>
    <n v="102.85905059999999"/>
    <n v="239.51383939999988"/>
    <n v="0.69957010731778435"/>
    <x v="0"/>
    <s v="-"/>
    <x v="2"/>
    <x v="0"/>
    <n v="0"/>
    <n v="1"/>
    <d v="2017-06-29T00:00:00"/>
    <s v="MAZDA"/>
    <s v="MAZDA 3"/>
    <n v="0"/>
    <d v="2017-06-29T00:00:00"/>
    <n v="0"/>
    <x v="284"/>
  </r>
  <r>
    <d v="2017-06-30T00:00:00"/>
    <s v="001-00009797"/>
    <n v="350"/>
    <n v="77.32510000000002"/>
    <n v="0"/>
    <n v="0"/>
    <n v="39.048749999999998"/>
    <n v="0"/>
    <n v="0"/>
    <n v="0"/>
    <n v="116.37385000000002"/>
    <n v="233.62615"/>
    <n v="0.66750328571428574"/>
    <x v="0"/>
    <s v="-"/>
    <x v="2"/>
    <x v="0"/>
    <n v="1"/>
    <n v="1"/>
    <d v="2017-06-29T00:00:00"/>
    <s v="KIA"/>
    <s v="RIO"/>
    <n v="0"/>
    <d v="2017-06-29T00:00:00"/>
    <n v="0"/>
    <x v="167"/>
  </r>
  <r>
    <d v="2017-06-30T00:00:00"/>
    <s v="001-00009800"/>
    <n v="193.09311267719991"/>
    <n v="0"/>
    <n v="0"/>
    <n v="0"/>
    <n v="0"/>
    <n v="0"/>
    <n v="0"/>
    <n v="0"/>
    <n v="0"/>
    <n v="193.09311267719991"/>
    <n v="1"/>
    <x v="0"/>
    <s v="-"/>
    <x v="2"/>
    <x v="0"/>
    <n v="1"/>
    <n v="1"/>
    <d v="2017-06-29T00:00:00"/>
    <s v="KIA"/>
    <s v="RIO"/>
    <n v="227.5"/>
    <d v="2017-06-29T00:00:00"/>
    <n v="0"/>
    <x v="167"/>
  </r>
  <r>
    <d v="2017-06-30T00:00:00"/>
    <s v="001-00009737"/>
    <n v="2923.4865098652513"/>
    <n v="529.66000199999996"/>
    <n v="0"/>
    <n v="16.95"/>
    <n v="0"/>
    <n v="190.125"/>
    <n v="325.38187500000004"/>
    <n v="0"/>
    <n v="1062.1168769999999"/>
    <n v="1861.3696328652513"/>
    <n v="0.63669513321990501"/>
    <x v="0"/>
    <s v="MEDIANO"/>
    <x v="2"/>
    <x v="0"/>
    <n v="11"/>
    <n v="1"/>
    <d v="2017-06-19T00:00:00"/>
    <s v="CHEVROLET"/>
    <s v="SAIL"/>
    <n v="1202.5"/>
    <d v="2017-06-26T00:00:00"/>
    <n v="13"/>
    <x v="285"/>
  </r>
  <r>
    <d v="2017-06-30T00:00:00"/>
    <s v="001-00009801"/>
    <n v="400"/>
    <n v="63.810300599999991"/>
    <n v="0"/>
    <n v="0"/>
    <n v="39.048749999999998"/>
    <n v="0"/>
    <n v="0"/>
    <n v="0"/>
    <n v="102.85905059999999"/>
    <n v="297.14094940000001"/>
    <n v="0.7428523735"/>
    <x v="0"/>
    <s v="-"/>
    <x v="2"/>
    <x v="0"/>
    <n v="0"/>
    <n v="1"/>
    <d v="2017-06-30T00:00:00"/>
    <s v="MAZDA"/>
    <s v="MAZDA 2"/>
    <n v="0"/>
    <d v="2017-06-30T00:00:00"/>
    <n v="0"/>
    <x v="286"/>
  </r>
  <r>
    <d v="2017-06-30T00:00:00"/>
    <s v="001-00009770"/>
    <n v="2049.0225629500001"/>
    <n v="0"/>
    <n v="0"/>
    <n v="0"/>
    <n v="0"/>
    <n v="160.875"/>
    <n v="402.85374999999999"/>
    <n v="0"/>
    <n v="563.72874999999999"/>
    <n v="1485.2938129500001"/>
    <n v="0.72487918864671086"/>
    <x v="0"/>
    <s v="MEDIANO"/>
    <x v="2"/>
    <x v="0"/>
    <n v="4"/>
    <n v="1"/>
    <d v="2017-06-26T00:00:00"/>
    <s v="SUZUKI"/>
    <s v="CIAZ"/>
    <n v="0"/>
    <d v="2017-06-26T00:00:00"/>
    <n v="11"/>
    <x v="287"/>
  </r>
  <r>
    <d v="2017-06-30T00:00:00"/>
    <s v="001-00009720"/>
    <n v="4819.0276480500006"/>
    <n v="971.4199979"/>
    <n v="1095.3706779661015"/>
    <n v="84.75"/>
    <n v="43.875"/>
    <n v="351"/>
    <n v="449.33687499999996"/>
    <n v="0"/>
    <n v="2995.7525508661015"/>
    <n v="1823.2750971838991"/>
    <n v="0.37834916716480754"/>
    <x v="1"/>
    <s v="MEDIANO"/>
    <x v="2"/>
    <x v="0"/>
    <n v="16"/>
    <n v="1"/>
    <d v="2017-06-14T00:00:00"/>
    <s v="VOLKSWAGEN"/>
    <s v="VOYAGE"/>
    <n v="1521"/>
    <d v="2017-06-26T00:00:00"/>
    <n v="24"/>
    <x v="288"/>
  </r>
  <r>
    <d v="2017-06-30T00:00:00"/>
    <s v="001-00009803"/>
    <n v="132.40689732280012"/>
    <n v="0"/>
    <n v="0"/>
    <n v="0"/>
    <n v="0"/>
    <n v="0"/>
    <n v="0"/>
    <n v="0"/>
    <n v="0"/>
    <n v="132.40689732280012"/>
    <n v="1"/>
    <x v="0"/>
    <s v="-"/>
    <x v="2"/>
    <x v="0"/>
    <n v="0"/>
    <n v="1"/>
    <d v="2017-06-30T00:00:00"/>
    <s v="HYUNDAI"/>
    <s v="ACCENT"/>
    <n v="132.21"/>
    <d v="2017-06-30T00:00:00"/>
    <n v="0"/>
    <x v="289"/>
  </r>
  <r>
    <d v="2017-06-30T00:00:00"/>
    <s v="001-00009791"/>
    <n v="1079.0325331500001"/>
    <n v="0"/>
    <n v="0"/>
    <n v="0"/>
    <n v="0"/>
    <n v="80.4375"/>
    <n v="247.91"/>
    <n v="0"/>
    <n v="328.34749999999997"/>
    <n v="750.68503315000009"/>
    <n v="0.69570194603728852"/>
    <x v="0"/>
    <s v="LEVE"/>
    <x v="2"/>
    <x v="0"/>
    <n v="2"/>
    <n v="1"/>
    <d v="2017-06-28T00:00:00"/>
    <s v="KIA"/>
    <s v="RIO"/>
    <n v="311.61"/>
    <d v="2017-06-28T00:00:00"/>
    <n v="5.5"/>
    <x v="290"/>
  </r>
  <r>
    <d v="2017-07-01T00:00:00"/>
    <s v="001-00009769"/>
    <n v="1144.7946021703399"/>
    <n v="117.78500099999999"/>
    <n v="0"/>
    <n v="0"/>
    <n v="14.625"/>
    <n v="0"/>
    <n v="0"/>
    <n v="0"/>
    <n v="132.41000099999999"/>
    <n v="1012.3846011703399"/>
    <n v="0.88433732937858667"/>
    <x v="0"/>
    <s v="-"/>
    <x v="3"/>
    <x v="0"/>
    <n v="5"/>
    <n v="1"/>
    <d v="2017-06-26T00:00:00"/>
    <s v="TOYOTA"/>
    <s v="HIACE"/>
    <n v="0"/>
    <d v="2017-06-26T00:00:00"/>
    <n v="0"/>
    <x v="291"/>
  </r>
  <r>
    <d v="2017-07-01T00:00:00"/>
    <s v="001-00009786"/>
    <n v="720"/>
    <n v="27.970000200000001"/>
    <n v="0"/>
    <n v="0"/>
    <n v="0"/>
    <n v="0"/>
    <n v="0"/>
    <n v="0"/>
    <n v="27.970000200000001"/>
    <n v="692.02999980000004"/>
    <n v="0.96115277750000006"/>
    <x v="0"/>
    <s v="-"/>
    <x v="3"/>
    <x v="0"/>
    <n v="4"/>
    <n v="1"/>
    <d v="2017-06-27T00:00:00"/>
    <s v="TOYOTA"/>
    <s v="HIACE"/>
    <n v="0"/>
    <s v="F/Fecha"/>
    <n v="0"/>
    <x v="291"/>
  </r>
  <r>
    <d v="2017-07-01T00:00:00"/>
    <s v="001-00009812"/>
    <n v="400"/>
    <n v="79.060300599999991"/>
    <n v="0"/>
    <n v="0"/>
    <n v="39.048749999999998"/>
    <n v="0"/>
    <n v="0"/>
    <n v="0"/>
    <n v="118.10905059999999"/>
    <n v="281.89094940000001"/>
    <n v="0.70472737350000003"/>
    <x v="0"/>
    <s v="-"/>
    <x v="3"/>
    <x v="0"/>
    <n v="1"/>
    <n v="1"/>
    <d v="2017-06-30T00:00:00"/>
    <s v="MITSUBISHI"/>
    <s v="MIRAGE"/>
    <n v="0"/>
    <d v="2017-07-01T00:00:00"/>
    <n v="0"/>
    <x v="292"/>
  </r>
  <r>
    <d v="2017-07-03T00:00:00"/>
    <s v="001-00009789"/>
    <n v="275.81992322873009"/>
    <n v="0"/>
    <n v="0"/>
    <n v="0"/>
    <n v="0"/>
    <n v="29.25"/>
    <n v="65.696150000000003"/>
    <n v="0"/>
    <n v="94.946150000000003"/>
    <n v="180.8737732287301"/>
    <n v="0.6557676150128442"/>
    <x v="0"/>
    <s v="LEVE"/>
    <x v="3"/>
    <x v="0"/>
    <n v="5"/>
    <n v="1"/>
    <d v="2017-06-28T00:00:00"/>
    <s v="KIA"/>
    <s v="CARENS"/>
    <n v="0"/>
    <d v="2017-06-27T00:00:00"/>
    <n v="2"/>
    <x v="293"/>
  </r>
  <r>
    <d v="2017-07-04T00:00:00"/>
    <s v="001-00009804"/>
    <n v="311.51607285900008"/>
    <n v="0"/>
    <n v="0"/>
    <n v="0"/>
    <n v="0"/>
    <n v="0"/>
    <n v="0"/>
    <n v="0"/>
    <n v="0"/>
    <n v="311.51607285900008"/>
    <n v="1"/>
    <x v="0"/>
    <s v="-"/>
    <x v="3"/>
    <x v="0"/>
    <n v="4"/>
    <n v="1"/>
    <d v="2017-06-30T00:00:00"/>
    <s v="SUZUKI"/>
    <s v="S CROSS"/>
    <n v="317.72000000000003"/>
    <d v="2017-06-30T00:00:00"/>
    <n v="0"/>
    <x v="294"/>
  </r>
  <r>
    <d v="2017-07-04T00:00:00"/>
    <s v="001-00009821"/>
    <n v="490.70691750000003"/>
    <n v="0"/>
    <n v="0"/>
    <n v="0"/>
    <n v="14.625"/>
    <n v="0"/>
    <n v="123.955"/>
    <n v="0"/>
    <n v="138.57999999999998"/>
    <n v="352.12691750000005"/>
    <n v="0.71759110161718886"/>
    <x v="0"/>
    <s v="-"/>
    <x v="3"/>
    <x v="0"/>
    <n v="2"/>
    <n v="1"/>
    <d v="2017-07-02T00:00:00"/>
    <s v="AUDI"/>
    <s v="A3"/>
    <n v="132.76250000000002"/>
    <d v="2017-07-03T00:00:00"/>
    <n v="0"/>
    <x v="295"/>
  </r>
  <r>
    <d v="2017-07-05T00:00:00"/>
    <s v="001-00009846"/>
    <n v="101.68639999999999"/>
    <n v="0"/>
    <n v="0"/>
    <n v="0"/>
    <n v="29.25"/>
    <n v="0"/>
    <n v="0"/>
    <n v="0"/>
    <n v="29.25"/>
    <n v="72.436399999999992"/>
    <n v="0.71235091418321428"/>
    <x v="0"/>
    <s v="-"/>
    <x v="3"/>
    <x v="0"/>
    <n v="1"/>
    <n v="1"/>
    <d v="2017-07-04T00:00:00"/>
    <s v="TOYOTA"/>
    <s v="HIACE"/>
    <n v="0"/>
    <d v="2017-07-05T00:00:00"/>
    <n v="0"/>
    <x v="291"/>
  </r>
  <r>
    <d v="2017-07-06T00:00:00"/>
    <s v="001-00009831"/>
    <n v="489.599985"/>
    <n v="0"/>
    <n v="0"/>
    <n v="0"/>
    <n v="0"/>
    <n v="43.875"/>
    <n v="123.955"/>
    <n v="0"/>
    <n v="167.82999999999998"/>
    <n v="321.76998500000002"/>
    <n v="0.65720995681811556"/>
    <x v="0"/>
    <s v="LEVE"/>
    <x v="3"/>
    <x v="0"/>
    <n v="2"/>
    <n v="1"/>
    <d v="2017-07-04T00:00:00"/>
    <s v="SUBARU"/>
    <s v="NEW XV"/>
    <n v="0"/>
    <d v="2017-07-04T00:00:00"/>
    <n v="3"/>
    <x v="296"/>
  </r>
  <r>
    <d v="2017-07-07T00:00:00"/>
    <s v="001-00009859"/>
    <n v="350"/>
    <n v="64.111901099999997"/>
    <n v="0"/>
    <n v="0"/>
    <n v="39.048749999999998"/>
    <n v="0"/>
    <n v="0"/>
    <n v="0"/>
    <n v="103.1606511"/>
    <n v="246.8393489"/>
    <n v="0.70525528257142855"/>
    <x v="0"/>
    <s v="-"/>
    <x v="3"/>
    <x v="0"/>
    <n v="2"/>
    <n v="1"/>
    <d v="2017-07-05T00:00:00"/>
    <s v="NISSAN"/>
    <s v="VERSA"/>
    <n v="0"/>
    <d v="2017-07-06T00:00:00"/>
    <n v="0"/>
    <x v="297"/>
  </r>
  <r>
    <d v="2017-07-07T00:00:00"/>
    <s v="001-00009852"/>
    <n v="981.35590000000002"/>
    <n v="107.85162625"/>
    <n v="0"/>
    <n v="262.70999999999998"/>
    <n v="38.025000000000006"/>
    <n v="0"/>
    <n v="0"/>
    <n v="0"/>
    <n v="408.58662624999999"/>
    <n v="572.76927375000002"/>
    <n v="0.58365091986505613"/>
    <x v="0"/>
    <s v="-"/>
    <x v="3"/>
    <x v="0"/>
    <n v="2"/>
    <n v="1"/>
    <d v="2017-07-05T00:00:00"/>
    <s v="MITSUBISHI"/>
    <s v="OUTLANDER"/>
    <n v="0"/>
    <d v="2017-07-06T00:00:00"/>
    <n v="0"/>
    <x v="298"/>
  </r>
  <r>
    <d v="2017-07-07T00:00:00"/>
    <s v="001-00009864"/>
    <n v="450"/>
    <n v="134.51049875000001"/>
    <n v="0"/>
    <n v="0"/>
    <n v="39.048749999999998"/>
    <n v="0"/>
    <n v="0"/>
    <n v="0"/>
    <n v="173.55924874999999"/>
    <n v="276.44075125000001"/>
    <n v="0.6143127805555556"/>
    <x v="0"/>
    <s v="-"/>
    <x v="3"/>
    <x v="0"/>
    <n v="1"/>
    <n v="1"/>
    <d v="2017-07-06T00:00:00"/>
    <s v="FORD"/>
    <s v="ESCAPE"/>
    <n v="0"/>
    <d v="2017-07-07T00:00:00"/>
    <n v="0"/>
    <x v="299"/>
  </r>
  <r>
    <d v="2017-07-07T00:00:00"/>
    <s v="001-00009869"/>
    <n v="349"/>
    <n v="64.752999100000011"/>
    <n v="0"/>
    <n v="0"/>
    <n v="39.048749999999998"/>
    <n v="0"/>
    <n v="0"/>
    <n v="0"/>
    <n v="103.80174910000001"/>
    <n v="245.19825090000001"/>
    <n v="0.70257378481375354"/>
    <x v="0"/>
    <s v="-"/>
    <x v="3"/>
    <x v="0"/>
    <n v="1"/>
    <n v="1"/>
    <d v="2017-07-06T00:00:00"/>
    <s v="NISSAN"/>
    <s v="VERSA"/>
    <n v="0"/>
    <d v="2017-07-07T00:00:00"/>
    <n v="0"/>
    <x v="300"/>
  </r>
  <r>
    <d v="2017-07-08T00:00:00"/>
    <s v="001-00009830"/>
    <n v="1267.3389230189498"/>
    <n v="0"/>
    <n v="55.084745762711869"/>
    <n v="0"/>
    <n v="0"/>
    <n v="219.375"/>
    <n v="154.94374999999999"/>
    <n v="0"/>
    <n v="429.40349576271183"/>
    <n v="837.93542725623797"/>
    <n v="0.66117706324380665"/>
    <x v="0"/>
    <s v="MEDIANO"/>
    <x v="3"/>
    <x v="0"/>
    <n v="6"/>
    <n v="1"/>
    <d v="2017-07-02T00:00:00"/>
    <s v="HYUNDAI"/>
    <s v="I20"/>
    <n v="0"/>
    <d v="2017-07-03T00:00:00"/>
    <n v="15"/>
    <x v="301"/>
  </r>
  <r>
    <d v="2017-07-08T00:00:00"/>
    <s v="001-00009851"/>
    <n v="29.2589991"/>
    <n v="0"/>
    <n v="0"/>
    <n v="0"/>
    <n v="0"/>
    <n v="0"/>
    <n v="0"/>
    <n v="0"/>
    <n v="0"/>
    <n v="29.2589991"/>
    <n v="1"/>
    <x v="1"/>
    <s v="LEVE"/>
    <x v="3"/>
    <x v="0"/>
    <n v="2"/>
    <n v="1"/>
    <d v="2017-07-06T00:00:00"/>
    <s v="MITSUBISHI"/>
    <s v="MIRAGE"/>
    <n v="0"/>
    <s v="F/Fecha"/>
    <n v="0"/>
    <x v="302"/>
  </r>
  <r>
    <d v="2017-07-11T00:00:00"/>
    <s v="001-00009880"/>
    <n v="275.95967519999999"/>
    <n v="0"/>
    <n v="0"/>
    <n v="0"/>
    <n v="0"/>
    <n v="58.5"/>
    <n v="30.98875"/>
    <n v="0"/>
    <n v="89.488749999999996"/>
    <n v="186.47092520000001"/>
    <n v="0.67571801954345834"/>
    <x v="0"/>
    <s v="LEVE"/>
    <x v="3"/>
    <x v="0"/>
    <n v="3"/>
    <n v="1"/>
    <d v="2017-07-08T00:00:00"/>
    <s v="HYUNDAI"/>
    <s v="ACCENT"/>
    <n v="0"/>
    <d v="2017-07-10T00:00:00"/>
    <n v="4"/>
    <x v="303"/>
  </r>
  <r>
    <d v="2017-07-11T00:00:00"/>
    <s v="001-00009844"/>
    <n v="179.38346245599999"/>
    <n v="0"/>
    <n v="0"/>
    <n v="16.95"/>
    <n v="0"/>
    <n v="0"/>
    <n v="0"/>
    <n v="0"/>
    <n v="16.95"/>
    <n v="162.433462456"/>
    <n v="0.90550968429345846"/>
    <x v="0"/>
    <s v="-"/>
    <x v="3"/>
    <x v="0"/>
    <n v="7"/>
    <n v="1"/>
    <d v="2017-07-04T00:00:00"/>
    <s v="NISSAN"/>
    <s v="SENTRA"/>
    <n v="178.75"/>
    <d v="2017-07-04T00:00:00"/>
    <n v="0"/>
    <x v="304"/>
  </r>
  <r>
    <d v="2017-07-11T00:00:00"/>
    <s v="001-00009811"/>
    <n v="1517.6271351999999"/>
    <n v="0"/>
    <n v="64.862288135593218"/>
    <n v="0"/>
    <n v="0"/>
    <n v="190.125"/>
    <n v="247.91"/>
    <n v="0"/>
    <n v="502.89728813559321"/>
    <n v="1014.7298470644066"/>
    <n v="0.6686292196078063"/>
    <x v="0"/>
    <s v="MEDIANO"/>
    <x v="3"/>
    <x v="0"/>
    <n v="10"/>
    <n v="1"/>
    <d v="2017-07-01T00:00:00"/>
    <s v="KIA"/>
    <s v="RIO"/>
    <n v="0"/>
    <d v="2017-07-01T00:00:00"/>
    <n v="13"/>
    <x v="305"/>
  </r>
  <r>
    <d v="2017-07-12T00:00:00"/>
    <s v="001-00009903"/>
    <n v="409"/>
    <n v="167.2497999"/>
    <n v="0"/>
    <n v="0"/>
    <n v="39.048749999999998"/>
    <n v="0"/>
    <n v="0"/>
    <n v="0"/>
    <n v="206.29854990000001"/>
    <n v="202.70145009999999"/>
    <n v="0.49560256748166254"/>
    <x v="0"/>
    <s v="-"/>
    <x v="3"/>
    <x v="0"/>
    <n v="1"/>
    <n v="1"/>
    <d v="2017-07-11T00:00:00"/>
    <s v="HYUNDAI"/>
    <s v="ACCENT"/>
    <n v="59.604999999999997"/>
    <d v="2017-07-12T00:00:00"/>
    <n v="0"/>
    <x v="195"/>
  </r>
  <r>
    <d v="2017-07-12T00:00:00"/>
    <s v="001-00009871"/>
    <n v="1791"/>
    <n v="339.22679799999997"/>
    <n v="236.85999999999999"/>
    <n v="76.28"/>
    <n v="78.097499999999997"/>
    <n v="0"/>
    <n v="0"/>
    <n v="0"/>
    <n v="730.46429799999987"/>
    <n v="1060.5357020000001"/>
    <n v="0.59214723729759922"/>
    <x v="0"/>
    <s v="-"/>
    <x v="3"/>
    <x v="0"/>
    <n v="5"/>
    <n v="1"/>
    <d v="2017-07-07T00:00:00"/>
    <s v="PEUGEOT"/>
    <n v="203"/>
    <n v="899.4375"/>
    <d v="2017-07-08T00:00:00"/>
    <n v="0"/>
    <x v="306"/>
  </r>
  <r>
    <d v="2017-07-12T00:00:00"/>
    <s v="001-00009881"/>
    <n v="707.99999000000003"/>
    <n v="0"/>
    <n v="0"/>
    <n v="0"/>
    <n v="0"/>
    <n v="87.75"/>
    <n v="30.98875"/>
    <n v="0"/>
    <n v="118.73875"/>
    <n v="589.26124000000004"/>
    <n v="0.83228989876115678"/>
    <x v="0"/>
    <s v="LEVE"/>
    <x v="3"/>
    <x v="0"/>
    <n v="3"/>
    <n v="1"/>
    <d v="2017-07-09T00:00:00"/>
    <s v="MAZDA"/>
    <s v="MAZDA 3"/>
    <n v="0"/>
    <d v="2017-07-10T00:00:00"/>
    <n v="6"/>
    <x v="307"/>
  </r>
  <r>
    <d v="2017-07-12T00:00:00"/>
    <s v="001-00009873"/>
    <n v="702.28027784043024"/>
    <n v="0"/>
    <n v="179.01"/>
    <n v="0"/>
    <n v="0"/>
    <n v="58.5"/>
    <n v="61.977499999999999"/>
    <n v="0"/>
    <n v="299.48750000000001"/>
    <n v="402.79277784043023"/>
    <n v="0.57354989247177957"/>
    <x v="0"/>
    <s v="LEVE"/>
    <x v="3"/>
    <x v="0"/>
    <n v="4"/>
    <n v="1"/>
    <d v="2017-07-08T00:00:00"/>
    <s v="HYUNDAI"/>
    <s v="I20"/>
    <n v="132.21"/>
    <d v="2017-07-08T00:00:00"/>
    <n v="4"/>
    <x v="308"/>
  </r>
  <r>
    <d v="2017-07-12T00:00:00"/>
    <s v="001-00009888"/>
    <n v="847.45761099999993"/>
    <n v="0"/>
    <n v="0"/>
    <n v="0"/>
    <n v="0"/>
    <n v="58.5"/>
    <n v="247.91"/>
    <n v="0"/>
    <n v="306.40999999999997"/>
    <n v="541.04761099999996"/>
    <n v="0.63843619312305644"/>
    <x v="0"/>
    <s v="LEVE"/>
    <x v="3"/>
    <x v="0"/>
    <n v="2"/>
    <n v="1"/>
    <d v="2017-07-10T00:00:00"/>
    <s v="NISSAN"/>
    <s v="VERSA"/>
    <n v="0"/>
    <d v="2017-07-10T00:00:00"/>
    <n v="4"/>
    <x v="309"/>
  </r>
  <r>
    <d v="2017-07-13T00:00:00"/>
    <s v="001-00009878"/>
    <n v="799.22032497627015"/>
    <n v="0"/>
    <n v="0"/>
    <n v="0"/>
    <n v="0"/>
    <n v="146.25"/>
    <n v="123.955"/>
    <n v="0"/>
    <n v="270.20499999999998"/>
    <n v="529.01532497627022"/>
    <n v="0.66191425373469748"/>
    <x v="0"/>
    <s v="MEDIANO"/>
    <x v="3"/>
    <x v="0"/>
    <n v="5"/>
    <n v="1"/>
    <d v="2017-07-08T00:00:00"/>
    <s v="KIA"/>
    <s v="PICANTO"/>
    <n v="0"/>
    <d v="2017-07-08T00:00:00"/>
    <n v="10"/>
    <x v="310"/>
  </r>
  <r>
    <d v="2017-07-13T00:00:00"/>
    <s v="001-00009908"/>
    <n v="400"/>
    <n v="83.679702200000008"/>
    <n v="0"/>
    <n v="0"/>
    <n v="39.048749999999998"/>
    <n v="0"/>
    <n v="0"/>
    <n v="0"/>
    <n v="122.72845220000001"/>
    <n v="277.27154780000001"/>
    <n v="0.69317886950000007"/>
    <x v="0"/>
    <s v="-"/>
    <x v="3"/>
    <x v="0"/>
    <n v="0"/>
    <n v="1"/>
    <d v="2017-07-13T00:00:00"/>
    <s v="SUZUKI"/>
    <s v="VITARA"/>
    <n v="0"/>
    <d v="2017-07-13T00:00:00"/>
    <n v="0"/>
    <x v="311"/>
  </r>
  <r>
    <d v="2017-07-14T00:00:00"/>
    <s v="001-00009909"/>
    <n v="975.11019999999996"/>
    <n v="359.23979599999996"/>
    <n v="126.75"/>
    <n v="38.14"/>
    <n v="39.048749999999998"/>
    <n v="0"/>
    <n v="0"/>
    <n v="0"/>
    <n v="563.17854599999998"/>
    <n v="411.93165399999998"/>
    <n v="0.42244625684358544"/>
    <x v="0"/>
    <s v="-"/>
    <x v="3"/>
    <x v="0"/>
    <n v="1"/>
    <n v="1"/>
    <d v="2017-07-13T00:00:00"/>
    <s v="VOLKSWAGEN"/>
    <s v="GOL"/>
    <n v="316.90750000000003"/>
    <d v="2017-07-12T00:00:00"/>
    <n v="0"/>
    <x v="312"/>
  </r>
  <r>
    <d v="2017-07-15T00:00:00"/>
    <s v="001-00009916"/>
    <n v="178.77768179963022"/>
    <n v="0"/>
    <n v="96.394999999999996"/>
    <n v="0"/>
    <n v="0"/>
    <n v="0"/>
    <n v="0"/>
    <n v="0"/>
    <n v="96.394999999999996"/>
    <n v="82.38268179963022"/>
    <n v="0.46081077330425829"/>
    <x v="0"/>
    <s v="-"/>
    <x v="3"/>
    <x v="0"/>
    <n v="1"/>
    <n v="1"/>
    <d v="2017-07-14T00:00:00"/>
    <s v="CHEVROLET"/>
    <s v="SAIL"/>
    <n v="179.01"/>
    <d v="2017-07-14T00:00:00"/>
    <n v="0"/>
    <x v="313"/>
  </r>
  <r>
    <d v="2017-07-15T00:00:00"/>
    <s v="001-00009853"/>
    <n v="340.83001049999996"/>
    <n v="0"/>
    <n v="0"/>
    <n v="0"/>
    <n v="0"/>
    <n v="0"/>
    <n v="61.977499999999999"/>
    <n v="0"/>
    <n v="61.977499999999999"/>
    <n v="278.85251049999994"/>
    <n v="0.81815715139321621"/>
    <x v="0"/>
    <s v="LEVE"/>
    <x v="3"/>
    <x v="0"/>
    <n v="9"/>
    <n v="1"/>
    <d v="2017-07-06T00:00:00"/>
    <s v="KIA"/>
    <s v="SPORTAGE"/>
    <n v="0"/>
    <d v="2017-07-06T00:00:00"/>
    <n v="0"/>
    <x v="314"/>
  </r>
  <r>
    <d v="2017-07-15T00:00:00"/>
    <s v="001-00009919"/>
    <n v="355"/>
    <n v="63.467301199999994"/>
    <n v="0"/>
    <n v="0"/>
    <n v="39.048749999999998"/>
    <n v="0"/>
    <n v="0"/>
    <n v="0"/>
    <n v="102.51605119999999"/>
    <n v="252.48394880000001"/>
    <n v="0.71122239098591555"/>
    <x v="0"/>
    <s v="-"/>
    <x v="3"/>
    <x v="0"/>
    <n v="0"/>
    <n v="1"/>
    <d v="2017-07-15T00:00:00"/>
    <s v="SUZUKI"/>
    <s v="SWIFT"/>
    <n v="0"/>
    <d v="2017-07-15T00:00:00"/>
    <n v="0"/>
    <x v="224"/>
  </r>
  <r>
    <d v="2017-07-15T00:00:00"/>
    <s v="001-00009854"/>
    <n v="421.98001299999999"/>
    <n v="0"/>
    <n v="0"/>
    <n v="0"/>
    <n v="0"/>
    <n v="73.125"/>
    <n v="61.977499999999999"/>
    <n v="0"/>
    <n v="135.10249999999999"/>
    <n v="286.87751300000002"/>
    <n v="0.67983673198284877"/>
    <x v="0"/>
    <s v="LEVE"/>
    <x v="3"/>
    <x v="0"/>
    <n v="9"/>
    <n v="1"/>
    <d v="2017-07-06T00:00:00"/>
    <s v="CHEVROLET"/>
    <s v="SAIL"/>
    <n v="0"/>
    <d v="2017-07-06T00:00:00"/>
    <n v="5"/>
    <x v="315"/>
  </r>
  <r>
    <d v="2017-07-15T00:00:00"/>
    <s v="001-00009898"/>
    <n v="1219"/>
    <n v="365.6740021"/>
    <n v="0"/>
    <n v="38.14"/>
    <n v="39.048749999999998"/>
    <n v="0"/>
    <n v="0"/>
    <n v="0"/>
    <n v="442.86275209999997"/>
    <n v="776.13724790000003"/>
    <n v="0.63669995726004924"/>
    <x v="0"/>
    <s v="LEVE"/>
    <x v="3"/>
    <x v="0"/>
    <n v="5"/>
    <n v="1"/>
    <d v="2017-07-10T00:00:00"/>
    <s v="HYUNDAI"/>
    <s v="ACCENT"/>
    <n v="0"/>
    <d v="2017-07-11T00:00:00"/>
    <n v="0"/>
    <x v="316"/>
  </r>
  <r>
    <d v="2017-07-17T00:00:00"/>
    <s v="001-00009894"/>
    <n v="132.04079531380009"/>
    <n v="0"/>
    <n v="82.615000000000009"/>
    <n v="0"/>
    <n v="0"/>
    <n v="0"/>
    <n v="0"/>
    <n v="0"/>
    <n v="82.615000000000009"/>
    <n v="49.42579531380008"/>
    <n v="0.37432215699956783"/>
    <x v="0"/>
    <s v="-"/>
    <x v="3"/>
    <x v="0"/>
    <n v="6"/>
    <n v="1"/>
    <d v="2017-07-11T00:00:00"/>
    <s v="SUZUKI"/>
    <s v="GRAND NOMADE"/>
    <n v="132.21"/>
    <d v="2017-07-10T00:00:00"/>
    <n v="0"/>
    <x v="317"/>
  </r>
  <r>
    <d v="2017-07-17T00:00:00"/>
    <s v="001-00009915"/>
    <n v="1229"/>
    <n v="461.90591183999999"/>
    <n v="0"/>
    <n v="38.14"/>
    <n v="63.472500000000004"/>
    <n v="0"/>
    <n v="0"/>
    <n v="0"/>
    <n v="563.51841184"/>
    <n v="665.48158816"/>
    <n v="0.54148217100081364"/>
    <x v="0"/>
    <s v="-"/>
    <x v="3"/>
    <x v="0"/>
    <n v="3"/>
    <n v="1"/>
    <d v="2017-07-14T00:00:00"/>
    <s v="TOYOTA"/>
    <s v="YARIS"/>
    <n v="1093.2349999999999"/>
    <d v="2017-07-14T00:00:00"/>
    <n v="0"/>
    <x v="318"/>
  </r>
  <r>
    <d v="2017-07-17T00:00:00"/>
    <s v="001-00009921"/>
    <n v="760"/>
    <n v="183.392302"/>
    <n v="0"/>
    <n v="38.14"/>
    <n v="53.673749999999998"/>
    <n v="0"/>
    <n v="0"/>
    <n v="0"/>
    <n v="275.206052"/>
    <n v="484.793948"/>
    <n v="0.63788677368421054"/>
    <x v="0"/>
    <s v="-"/>
    <x v="3"/>
    <x v="0"/>
    <n v="2"/>
    <n v="1"/>
    <d v="2017-07-15T00:00:00"/>
    <s v="SUZUKI"/>
    <s v="SWIFT"/>
    <n v="183.85249999999999"/>
    <d v="2017-07-15T00:00:00"/>
    <n v="0"/>
    <x v="319"/>
  </r>
  <r>
    <d v="2017-07-19T00:00:00"/>
    <s v="001-00009931"/>
    <n v="275.9100085"/>
    <n v="0"/>
    <n v="0"/>
    <n v="0"/>
    <n v="0"/>
    <n v="29.25"/>
    <n v="61.977499999999999"/>
    <n v="0"/>
    <n v="91.227499999999992"/>
    <n v="184.68250850000001"/>
    <n v="0.66935777177506772"/>
    <x v="0"/>
    <s v="LEVE"/>
    <x v="3"/>
    <x v="0"/>
    <n v="2"/>
    <n v="1"/>
    <d v="2017-07-17T00:00:00"/>
    <s v="CHERY"/>
    <s v="FULWIN"/>
    <n v="0"/>
    <d v="2017-07-17T00:00:00"/>
    <n v="2"/>
    <x v="194"/>
  </r>
  <r>
    <d v="2017-07-19T00:00:00"/>
    <s v="001-00009920"/>
    <n v="310.84573053026998"/>
    <n v="0"/>
    <n v="0"/>
    <n v="0"/>
    <n v="0"/>
    <n v="29.25"/>
    <n v="77.471874999999997"/>
    <n v="0"/>
    <n v="106.721875"/>
    <n v="204.12385553026996"/>
    <n v="0.65667254036932154"/>
    <x v="0"/>
    <s v="LEVE"/>
    <x v="3"/>
    <x v="0"/>
    <n v="4"/>
    <n v="1"/>
    <d v="2017-07-15T00:00:00"/>
    <s v="FORD"/>
    <s v="ECOSPORT"/>
    <n v="0"/>
    <d v="2017-07-15T00:00:00"/>
    <n v="2"/>
    <x v="320"/>
  </r>
  <r>
    <d v="2017-07-20T00:00:00"/>
    <s v="001-00009910"/>
    <n v="435"/>
    <n v="67.338201800000007"/>
    <n v="0"/>
    <n v="0"/>
    <n v="39.048749999999998"/>
    <n v="0"/>
    <n v="0"/>
    <n v="0"/>
    <n v="106.38695180000001"/>
    <n v="328.61304819999998"/>
    <n v="0.75543229471264361"/>
    <x v="0"/>
    <s v="-"/>
    <x v="3"/>
    <x v="0"/>
    <n v="8"/>
    <n v="1"/>
    <d v="2017-07-12T00:00:00"/>
    <s v="BRILLANCE"/>
    <s v="FR CROSS"/>
    <n v="0"/>
    <d v="2017-07-13T00:00:00"/>
    <n v="0"/>
    <x v="321"/>
  </r>
  <r>
    <d v="2017-07-20T00:00:00"/>
    <s v="001-00009943"/>
    <n v="324.3"/>
    <n v="0"/>
    <n v="32.5"/>
    <n v="0"/>
    <n v="0"/>
    <n v="14.625"/>
    <n v="61.977499999999999"/>
    <n v="0"/>
    <n v="109.10249999999999"/>
    <n v="215.19750000000002"/>
    <n v="0.66357539315448666"/>
    <x v="0"/>
    <s v="LEVE"/>
    <x v="3"/>
    <x v="0"/>
    <n v="2"/>
    <n v="1"/>
    <d v="2017-07-18T00:00:00"/>
    <s v="HYUNDAI"/>
    <s v="ACCENT"/>
    <n v="0"/>
    <d v="2017-07-18T00:00:00"/>
    <n v="1"/>
    <x v="322"/>
  </r>
  <r>
    <d v="2017-07-20T00:00:00"/>
    <s v="001-00009942"/>
    <n v="291.37289799999996"/>
    <n v="49.3047009"/>
    <n v="0"/>
    <n v="0"/>
    <n v="39.048749999999998"/>
    <n v="0"/>
    <n v="0"/>
    <n v="0"/>
    <n v="88.353450899999999"/>
    <n v="203.01944709999998"/>
    <n v="0.6967684657479708"/>
    <x v="0"/>
    <s v="-"/>
    <x v="3"/>
    <x v="0"/>
    <n v="2"/>
    <n v="1"/>
    <d v="2017-07-18T00:00:00"/>
    <s v="HYUNDAI"/>
    <s v="ACCENT"/>
    <n v="42.087499999999999"/>
    <d v="2017-07-18T00:00:00"/>
    <n v="0"/>
    <x v="322"/>
  </r>
  <r>
    <d v="2017-07-21T00:00:00"/>
    <s v="001-00009968"/>
    <n v="97.229996999999997"/>
    <n v="0"/>
    <n v="0"/>
    <n v="0"/>
    <n v="14.625"/>
    <n v="0"/>
    <n v="0"/>
    <n v="0"/>
    <n v="14.625"/>
    <n v="82.604996999999997"/>
    <n v="0.84958345725342355"/>
    <x v="0"/>
    <s v="-"/>
    <x v="3"/>
    <x v="0"/>
    <n v="0"/>
    <n v="1"/>
    <d v="2017-07-21T00:00:00"/>
    <s v="HYUNDAI"/>
    <s v="ELANTRA"/>
    <n v="0"/>
    <d v="2017-07-21T00:00:00"/>
    <n v="0"/>
    <x v="323"/>
  </r>
  <r>
    <d v="2017-07-21T00:00:00"/>
    <s v="001-00009963"/>
    <n v="350"/>
    <n v="100.50070119999999"/>
    <n v="276.13"/>
    <n v="0"/>
    <n v="39.048749999999998"/>
    <n v="0"/>
    <n v="0"/>
    <n v="0"/>
    <n v="415.67945119999996"/>
    <n v="-65.67945119999996"/>
    <n v="-0.18765557485714274"/>
    <x v="0"/>
    <s v="-"/>
    <x v="3"/>
    <x v="0"/>
    <n v="0"/>
    <n v="1"/>
    <d v="2017-07-21T00:00:00"/>
    <s v="SUZUKI"/>
    <s v="CELERIO"/>
    <n v="0"/>
    <d v="2017-07-21T00:00:00"/>
    <n v="0"/>
    <x v="204"/>
  </r>
  <r>
    <d v="2017-07-22T00:00:00"/>
    <s v="001-00009977"/>
    <n v="758.89828099999988"/>
    <n v="228.50700345000001"/>
    <n v="0"/>
    <n v="50.85"/>
    <n v="39.048749999999998"/>
    <n v="0"/>
    <n v="0"/>
    <n v="0"/>
    <n v="318.40575345000002"/>
    <n v="440.49252754999986"/>
    <n v="0.58043684981017885"/>
    <x v="0"/>
    <s v="-"/>
    <x v="3"/>
    <x v="0"/>
    <n v="0"/>
    <n v="1"/>
    <d v="2017-07-22T00:00:00"/>
    <s v="TOYOTA"/>
    <s v="HILUX"/>
    <n v="129.1875"/>
    <d v="2017-07-22T00:00:00"/>
    <n v="0"/>
    <x v="324"/>
  </r>
  <r>
    <d v="2017-07-24T00:00:00"/>
    <s v="001-00009990"/>
    <n v="42.372897999999985"/>
    <n v="0"/>
    <n v="0"/>
    <n v="0"/>
    <n v="0"/>
    <n v="0"/>
    <n v="0"/>
    <n v="0"/>
    <n v="0"/>
    <n v="42.372897999999985"/>
    <n v="1"/>
    <x v="0"/>
    <s v="-"/>
    <x v="3"/>
    <x v="0"/>
    <n v="0"/>
    <n v="1"/>
    <d v="2017-07-24T00:00:00"/>
    <s v="HYUNDAI"/>
    <s v="ACCENT"/>
    <n v="42.087499999999999"/>
    <d v="2017-07-24T00:00:00"/>
    <n v="0"/>
    <x v="325"/>
  </r>
  <r>
    <d v="2017-07-26T00:00:00"/>
    <s v="001-00009969"/>
    <n v="560"/>
    <n v="51.69499969999999"/>
    <n v="0"/>
    <n v="55.09"/>
    <n v="39.048749999999998"/>
    <n v="0"/>
    <n v="0"/>
    <n v="0"/>
    <n v="145.8337497"/>
    <n v="414.1662503"/>
    <n v="0.73958258982142855"/>
    <x v="0"/>
    <s v="-"/>
    <x v="3"/>
    <x v="0"/>
    <n v="5"/>
    <n v="1"/>
    <d v="2017-07-21T00:00:00"/>
    <s v="VOLKSWAGEN"/>
    <s v="GOL"/>
    <n v="109.29750000000001"/>
    <d v="2017-07-21T00:00:00"/>
    <n v="0"/>
    <x v="326"/>
  </r>
  <r>
    <d v="2017-07-26T00:00:00"/>
    <s v="001-00009951"/>
    <n v="5551"/>
    <n v="319.31802425000001"/>
    <n v="48.75"/>
    <n v="224.59699999999998"/>
    <n v="39.048749999999998"/>
    <n v="292.5"/>
    <n v="1115.595"/>
    <n v="0"/>
    <n v="2039.8087742500002"/>
    <n v="3511.1912257499998"/>
    <n v="0.63253309777517563"/>
    <x v="0"/>
    <s v="MEDIANO"/>
    <x v="3"/>
    <x v="0"/>
    <n v="7"/>
    <n v="1"/>
    <d v="2017-07-19T00:00:00"/>
    <s v="MITSUBISHI"/>
    <s v="OUTLANDER"/>
    <n v="397.53999999999996"/>
    <d v="2017-07-19T00:00:00"/>
    <n v="20"/>
    <x v="327"/>
  </r>
  <r>
    <d v="2017-07-26T00:00:00"/>
    <s v="001-00009933"/>
    <n v="536.74562507457995"/>
    <n v="0"/>
    <n v="0"/>
    <n v="0"/>
    <n v="0"/>
    <n v="36.5625"/>
    <n v="123.955"/>
    <n v="0"/>
    <n v="160.51749999999998"/>
    <n v="376.22812507457996"/>
    <n v="0.70094306781225024"/>
    <x v="0"/>
    <s v="LEVE"/>
    <x v="3"/>
    <x v="0"/>
    <n v="8"/>
    <n v="1"/>
    <d v="2017-07-18T00:00:00"/>
    <s v="SUBARU"/>
    <s v="IMPREZA"/>
    <n v="0"/>
    <d v="2017-07-18T00:00:00"/>
    <n v="2.5"/>
    <x v="328"/>
  </r>
  <r>
    <d v="2017-07-26T00:00:00"/>
    <s v="001-00009984"/>
    <n v="1044"/>
    <n v="488.684709"/>
    <n v="0"/>
    <n v="29.66"/>
    <n v="39.048749999999998"/>
    <n v="0"/>
    <n v="0"/>
    <n v="0"/>
    <n v="557.39345900000001"/>
    <n v="486.60654099999999"/>
    <n v="0.46609821934865897"/>
    <x v="0"/>
    <s v="-"/>
    <x v="3"/>
    <x v="0"/>
    <n v="2"/>
    <n v="1"/>
    <d v="2017-07-24T00:00:00"/>
    <s v="MITSUBISHI"/>
    <s v="MIRAGE"/>
    <n v="586.36500000000001"/>
    <d v="2017-07-24T00:00:00"/>
    <n v="0"/>
    <x v="329"/>
  </r>
  <r>
    <d v="2017-07-26T00:00:00"/>
    <s v="001-00010006"/>
    <n v="100"/>
    <n v="0"/>
    <n v="0"/>
    <n v="0"/>
    <n v="24.423749999999998"/>
    <n v="0"/>
    <n v="0"/>
    <n v="0"/>
    <n v="24.423749999999998"/>
    <n v="75.576250000000002"/>
    <n v="0.7557625"/>
    <x v="0"/>
    <s v="-"/>
    <x v="3"/>
    <x v="0"/>
    <n v="0"/>
    <n v="1"/>
    <d v="2017-07-26T00:00:00"/>
    <s v="FORD"/>
    <s v="ECOSPORT"/>
    <n v="0"/>
    <d v="2017-07-26T00:00:00"/>
    <n v="0"/>
    <x v="330"/>
  </r>
  <r>
    <d v="2017-07-26T00:00:00"/>
    <s v="001-00010003"/>
    <n v="405"/>
    <n v="122.89230190000001"/>
    <n v="0"/>
    <n v="0"/>
    <n v="39.048749999999998"/>
    <n v="0"/>
    <n v="0"/>
    <n v="0"/>
    <n v="161.94105189999999"/>
    <n v="243.05894810000001"/>
    <n v="0.60014555086419752"/>
    <x v="0"/>
    <s v="-"/>
    <x v="3"/>
    <x v="0"/>
    <n v="0"/>
    <n v="1"/>
    <d v="2017-07-26T00:00:00"/>
    <s v="KIA"/>
    <s v="RIO"/>
    <n v="0"/>
    <d v="2017-07-26T00:00:00"/>
    <n v="0"/>
    <x v="331"/>
  </r>
  <r>
    <d v="2017-07-26T00:00:00"/>
    <s v="001-00010004"/>
    <n v="450"/>
    <n v="142.72220300000001"/>
    <n v="0"/>
    <n v="0"/>
    <n v="39.048749999999998"/>
    <n v="0"/>
    <n v="0"/>
    <n v="0"/>
    <n v="181.77095300000002"/>
    <n v="268.22904699999998"/>
    <n v="0.59606454888888882"/>
    <x v="0"/>
    <s v="-"/>
    <x v="3"/>
    <x v="0"/>
    <n v="0"/>
    <n v="1"/>
    <d v="2017-07-26T00:00:00"/>
    <s v="KIA"/>
    <s v="RIO"/>
    <n v="0"/>
    <d v="2017-07-26T00:00:00"/>
    <n v="0"/>
    <x v="332"/>
  </r>
  <r>
    <d v="2017-07-26T00:00:00"/>
    <s v="001-00009999"/>
    <n v="405"/>
    <n v="131.58082725"/>
    <n v="0"/>
    <n v="0"/>
    <n v="39.048749999999998"/>
    <n v="0"/>
    <n v="0"/>
    <n v="0"/>
    <n v="170.62957725000001"/>
    <n v="234.37042274999999"/>
    <n v="0.57869240185185178"/>
    <x v="0"/>
    <s v="-"/>
    <x v="3"/>
    <x v="0"/>
    <n v="1"/>
    <n v="1"/>
    <d v="2017-07-25T00:00:00"/>
    <s v="VOLKSWAGEN"/>
    <s v="GOL"/>
    <n v="0"/>
    <d v="2017-07-25T00:00:00"/>
    <n v="0"/>
    <x v="333"/>
  </r>
  <r>
    <d v="2017-07-26T00:00:00"/>
    <s v="001-00010007"/>
    <n v="405"/>
    <n v="94.842202"/>
    <n v="0"/>
    <n v="0"/>
    <n v="39.048749999999998"/>
    <n v="0"/>
    <n v="0"/>
    <n v="0"/>
    <n v="133.890952"/>
    <n v="271.10904800000003"/>
    <n v="0.66940505679012352"/>
    <x v="0"/>
    <s v="-"/>
    <x v="3"/>
    <x v="0"/>
    <n v="0"/>
    <n v="1"/>
    <d v="2017-07-26T00:00:00"/>
    <s v="KIA"/>
    <s v="RIO"/>
    <n v="0"/>
    <d v="2017-07-26T00:00:00"/>
    <n v="0"/>
    <x v="334"/>
  </r>
  <r>
    <d v="2017-07-27T00:00:00"/>
    <s v="001-00010008"/>
    <n v="540"/>
    <n v="115.92902625000001"/>
    <n v="0"/>
    <n v="0"/>
    <n v="39.048749999999998"/>
    <n v="0"/>
    <n v="0"/>
    <n v="0"/>
    <n v="154.97777625000001"/>
    <n v="385.02222374999997"/>
    <n v="0.71300411805555552"/>
    <x v="0"/>
    <s v="-"/>
    <x v="3"/>
    <x v="0"/>
    <n v="1"/>
    <n v="1"/>
    <d v="2017-07-26T00:00:00"/>
    <s v="MAZDA"/>
    <s v="MAZDA 3"/>
    <n v="0"/>
    <d v="2017-07-26T00:00:00"/>
    <n v="0"/>
    <x v="335"/>
  </r>
  <r>
    <d v="2017-07-27T00:00:00"/>
    <s v="001-00009997"/>
    <n v="714.75420400000007"/>
    <n v="231.86162625000003"/>
    <n v="0"/>
    <n v="0"/>
    <n v="39.048749999999998"/>
    <n v="0"/>
    <n v="0"/>
    <n v="0"/>
    <n v="270.91037625000001"/>
    <n v="443.84382775000006"/>
    <n v="0.62097407089892409"/>
    <x v="0"/>
    <s v="-"/>
    <x v="3"/>
    <x v="0"/>
    <n v="2"/>
    <n v="1"/>
    <d v="2017-07-25T00:00:00"/>
    <s v="NISSAN"/>
    <s v="QASHQAI"/>
    <n v="29.802499999999998"/>
    <d v="2017-07-25T00:00:00"/>
    <n v="0"/>
    <x v="336"/>
  </r>
  <r>
    <d v="2017-07-27T00:00:00"/>
    <s v="001-00009955"/>
    <n v="349"/>
    <n v="165.94962325"/>
    <n v="0"/>
    <n v="0"/>
    <n v="39.048749999999998"/>
    <n v="0"/>
    <n v="0"/>
    <n v="0"/>
    <n v="204.99837324999999"/>
    <n v="144.00162675000001"/>
    <n v="0.41261211103151868"/>
    <x v="0"/>
    <s v="-"/>
    <x v="3"/>
    <x v="0"/>
    <n v="7"/>
    <n v="1"/>
    <d v="2017-07-20T00:00:00"/>
    <s v="CHEVROLET"/>
    <s v="CRUZE"/>
    <n v="0"/>
    <d v="2017-07-20T00:00:00"/>
    <n v="0"/>
    <x v="337"/>
  </r>
  <r>
    <d v="2017-07-27T00:00:00"/>
    <s v="001-00009794"/>
    <n v="12391.588950000001"/>
    <n v="2284.090267"/>
    <n v="593.22"/>
    <n v="16.95"/>
    <n v="140.39999999999998"/>
    <n v="804.375"/>
    <n v="1053.6175000000001"/>
    <n v="422.5"/>
    <n v="5315.1527669999996"/>
    <n v="7076.4361830000016"/>
    <n v="0.57106769854563333"/>
    <x v="0"/>
    <s v="GRAVE"/>
    <x v="3"/>
    <x v="0"/>
    <n v="29"/>
    <n v="1"/>
    <d v="2017-06-28T00:00:00"/>
    <s v="CHEVROLET"/>
    <s v="CRUZE"/>
    <n v="4851.5999999999995"/>
    <d v="2017-07-05T00:00:00"/>
    <n v="55"/>
    <x v="337"/>
  </r>
  <r>
    <d v="2017-07-27T00:00:00"/>
    <s v="001-00009940"/>
    <n v="881.35579675000008"/>
    <n v="0"/>
    <n v="0"/>
    <n v="0"/>
    <n v="0"/>
    <n v="87.75"/>
    <n v="185.9325"/>
    <n v="0"/>
    <n v="273.6825"/>
    <n v="607.67329675000008"/>
    <n v="0.68947557727627784"/>
    <x v="0"/>
    <s v="LEVE"/>
    <x v="3"/>
    <x v="0"/>
    <n v="9"/>
    <n v="1"/>
    <d v="2017-07-18T00:00:00"/>
    <s v="HYUNDAI"/>
    <s v="ACCENT"/>
    <n v="109.46"/>
    <d v="2017-07-18T00:00:00"/>
    <n v="6"/>
    <x v="338"/>
  </r>
  <r>
    <d v="2017-07-27T00:00:00"/>
    <s v="001-00009941"/>
    <n v="459.161"/>
    <n v="178.12170200000003"/>
    <n v="0"/>
    <n v="0"/>
    <n v="39.048749999999998"/>
    <n v="0"/>
    <n v="0"/>
    <n v="0"/>
    <n v="217.17045200000001"/>
    <n v="241.99054799999999"/>
    <n v="0.5270276613214101"/>
    <x v="0"/>
    <s v="-"/>
    <x v="3"/>
    <x v="0"/>
    <n v="9"/>
    <n v="1"/>
    <d v="2017-07-18T00:00:00"/>
    <s v="HYUNDAI"/>
    <s v="ACCENT"/>
    <n v="0"/>
    <d v="2017-07-18T00:00:00"/>
    <n v="0"/>
    <x v="338"/>
  </r>
  <r>
    <d v="2017-07-27T00:00:00"/>
    <s v="001-00009952"/>
    <n v="84.754204000000016"/>
    <n v="59.32"/>
    <n v="59.32"/>
    <n v="0"/>
    <n v="0"/>
    <n v="0"/>
    <n v="0"/>
    <n v="0"/>
    <n v="118.64"/>
    <n v="-33.885795999999985"/>
    <n v="-0.39981256858951775"/>
    <x v="0"/>
    <s v="-"/>
    <x v="3"/>
    <x v="0"/>
    <n v="7"/>
    <n v="1"/>
    <d v="2017-07-20T00:00:00"/>
    <s v="VOLKSWAGEN"/>
    <s v="CROSSFOX"/>
    <n v="84.207499999999996"/>
    <d v="2017-07-20T00:00:00"/>
    <n v="0"/>
    <x v="339"/>
  </r>
  <r>
    <d v="2017-07-27T00:00:00"/>
    <s v="001-00009972"/>
    <n v="137.73955325"/>
    <n v="0"/>
    <n v="0"/>
    <n v="0"/>
    <n v="0"/>
    <n v="0"/>
    <n v="0"/>
    <n v="0"/>
    <n v="0"/>
    <n v="137.73955325"/>
    <n v="1"/>
    <x v="0"/>
    <s v="-"/>
    <x v="3"/>
    <x v="0"/>
    <n v="6"/>
    <n v="1"/>
    <d v="2017-07-21T00:00:00"/>
    <s v="VOLKSWAGEN"/>
    <s v="CROSSFOX"/>
    <n v="0"/>
    <d v="2017-07-21T00:00:00"/>
    <n v="0"/>
    <x v="339"/>
  </r>
  <r>
    <d v="2017-07-27T00:00:00"/>
    <s v="001-00010012"/>
    <n v="315"/>
    <n v="84.971627249999997"/>
    <n v="0"/>
    <n v="0"/>
    <n v="39.048749999999998"/>
    <n v="0"/>
    <n v="0"/>
    <n v="0"/>
    <n v="124.02037725"/>
    <n v="190.97962275"/>
    <n v="0.60628451666666672"/>
    <x v="0"/>
    <s v="-"/>
    <x v="3"/>
    <x v="0"/>
    <n v="0"/>
    <n v="1"/>
    <d v="2017-07-27T00:00:00"/>
    <s v="FORD"/>
    <s v="ECOSPORT"/>
    <n v="0"/>
    <d v="2017-07-27T00:00:00"/>
    <n v="0"/>
    <x v="182"/>
  </r>
  <r>
    <d v="2017-07-27T00:00:00"/>
    <s v="001-00009992"/>
    <n v="468.05492175000001"/>
    <n v="0"/>
    <n v="0"/>
    <n v="0"/>
    <n v="0"/>
    <n v="0"/>
    <n v="0"/>
    <n v="0"/>
    <n v="0"/>
    <n v="468.05492175000001"/>
    <n v="1"/>
    <x v="0"/>
    <s v="-"/>
    <x v="3"/>
    <x v="0"/>
    <n v="3"/>
    <n v="1"/>
    <d v="2017-07-24T00:00:00"/>
    <s v="TOYOTA"/>
    <s v="RAV4"/>
    <n v="0"/>
    <d v="2017-07-24T00:00:00"/>
    <n v="0"/>
    <x v="340"/>
  </r>
  <r>
    <d v="2017-07-27T00:00:00"/>
    <s v="001-00010014"/>
    <n v="450"/>
    <n v="100.0373012"/>
    <n v="0"/>
    <n v="0"/>
    <n v="39.048749999999998"/>
    <n v="0"/>
    <n v="0"/>
    <n v="0"/>
    <n v="139.08605119999999"/>
    <n v="310.91394880000001"/>
    <n v="0.69091988622222222"/>
    <x v="0"/>
    <s v="-"/>
    <x v="3"/>
    <x v="0"/>
    <n v="0"/>
    <n v="1"/>
    <d v="2017-07-27T00:00:00"/>
    <s v="SUZUKI"/>
    <s v="SWIFT"/>
    <n v="0"/>
    <d v="2017-07-27T00:00:00"/>
    <n v="0"/>
    <x v="341"/>
  </r>
  <r>
    <d v="2017-07-31T00:00:00"/>
    <s v="001-00010010"/>
    <n v="941.51691000000005"/>
    <n v="82.147200999999995"/>
    <n v="381.36"/>
    <n v="0"/>
    <n v="39.048749999999998"/>
    <n v="0"/>
    <n v="0"/>
    <n v="0"/>
    <n v="502.55595099999999"/>
    <n v="438.96095900000006"/>
    <n v="0.46622737662778679"/>
    <x v="0"/>
    <s v="-"/>
    <x v="3"/>
    <x v="0"/>
    <n v="5"/>
    <n v="1"/>
    <d v="2017-07-26T00:00:00"/>
    <s v="KIA"/>
    <s v="RIO"/>
    <n v="0"/>
    <d v="2017-07-26T00:00:00"/>
    <n v="0"/>
    <x v="342"/>
  </r>
  <r>
    <d v="2017-07-31T00:00:00"/>
    <s v="001-00009795"/>
    <n v="4866.2139500000003"/>
    <n v="191.36"/>
    <n v="618.64"/>
    <n v="127.12"/>
    <n v="43.875"/>
    <n v="351"/>
    <n v="557.79750000000001"/>
    <n v="0"/>
    <n v="1889.7925"/>
    <n v="2976.4214500000003"/>
    <n v="0.61165034677523789"/>
    <x v="0"/>
    <s v="GRAVE"/>
    <x v="3"/>
    <x v="0"/>
    <n v="33"/>
    <n v="1"/>
    <d v="2017-06-28T00:00:00"/>
    <s v="NISSAN"/>
    <s v="VERSA"/>
    <n v="887.25"/>
    <d v="2017-07-18T00:00:00"/>
    <n v="24"/>
    <x v="343"/>
  </r>
  <r>
    <d v="2017-07-31T00:00:00"/>
    <s v="001-00010015"/>
    <n v="292.5"/>
    <n v="0"/>
    <n v="0"/>
    <n v="0"/>
    <n v="0"/>
    <n v="58.5"/>
    <n v="30.98875"/>
    <n v="0"/>
    <n v="89.488749999999996"/>
    <n v="203.01125000000002"/>
    <n v="0.69405555555555565"/>
    <x v="0"/>
    <s v="LEVE"/>
    <x v="3"/>
    <x v="0"/>
    <n v="4"/>
    <n v="1"/>
    <d v="2017-07-27T00:00:00"/>
    <s v="MG"/>
    <s v="MG3"/>
    <n v="0"/>
    <d v="2017-07-27T00:00:00"/>
    <n v="4"/>
    <x v="344"/>
  </r>
  <r>
    <d v="2017-08-02T00:00:00"/>
    <s v="001-00010041"/>
    <n v="250"/>
    <n v="55.849701000000003"/>
    <n v="0"/>
    <n v="0"/>
    <n v="39.048749999999998"/>
    <n v="0"/>
    <n v="0"/>
    <n v="0"/>
    <n v="94.898450999999994"/>
    <n v="155.10154900000001"/>
    <n v="0.62040619600000002"/>
    <x v="0"/>
    <s v="-"/>
    <x v="4"/>
    <x v="0"/>
    <n v="0"/>
    <n v="1"/>
    <d v="2017-08-02T00:00:00"/>
    <s v="HYUNDAI"/>
    <s v="ACCENT"/>
    <n v="0"/>
    <d v="2017-08-02T00:00:00"/>
    <n v="0"/>
    <x v="185"/>
  </r>
  <r>
    <d v="2017-08-02T00:00:00"/>
    <s v="001-00010024"/>
    <n v="325.99150000000003"/>
    <n v="0"/>
    <n v="0"/>
    <n v="0"/>
    <n v="0"/>
    <n v="14.625"/>
    <n v="61.977499999999999"/>
    <n v="0"/>
    <n v="76.602499999999992"/>
    <n v="249.38900000000004"/>
    <n v="0.7650168792744596"/>
    <x v="0"/>
    <s v="LEVE"/>
    <x v="4"/>
    <x v="0"/>
    <n v="2"/>
    <n v="1"/>
    <d v="2017-07-31T00:00:00"/>
    <s v="CHEVROLET"/>
    <s v="TRACKER"/>
    <n v="0"/>
    <d v="2017-07-31T00:00:00"/>
    <n v="1"/>
    <x v="232"/>
  </r>
  <r>
    <d v="2017-08-03T00:00:00"/>
    <s v="001-00010056"/>
    <n v="400"/>
    <n v="77.882026449999998"/>
    <n v="0"/>
    <n v="0"/>
    <n v="39.048749999999998"/>
    <n v="0"/>
    <n v="0"/>
    <n v="0"/>
    <n v="116.93077645"/>
    <n v="283.06922355"/>
    <n v="0.70767305887499998"/>
    <x v="0"/>
    <s v="-"/>
    <x v="4"/>
    <x v="0"/>
    <n v="0"/>
    <n v="1"/>
    <d v="2017-08-03T00:00:00"/>
    <s v="MAZDA"/>
    <s v="CX-5"/>
    <n v="0"/>
    <d v="2017-08-03T00:00:00"/>
    <n v="0"/>
    <x v="275"/>
  </r>
  <r>
    <d v="2017-08-03T00:00:00"/>
    <s v="001-00010057"/>
    <n v="349"/>
    <n v="81.079701"/>
    <n v="0"/>
    <n v="0"/>
    <n v="39.048749999999998"/>
    <n v="0"/>
    <n v="0"/>
    <n v="0"/>
    <n v="120.128451"/>
    <n v="228.87154900000002"/>
    <n v="0.65579240401146133"/>
    <x v="0"/>
    <s v="-"/>
    <x v="4"/>
    <x v="0"/>
    <n v="0"/>
    <n v="1"/>
    <d v="2017-08-03T00:00:00"/>
    <s v="TOYOTA"/>
    <s v="YARIS"/>
    <n v="0"/>
    <d v="2017-08-03T00:00:00"/>
    <n v="0"/>
    <x v="165"/>
  </r>
  <r>
    <d v="2017-08-04T00:00:00"/>
    <s v="001-00009998"/>
    <n v="400"/>
    <n v="242.39000199999998"/>
    <n v="0"/>
    <n v="0"/>
    <n v="0"/>
    <n v="0"/>
    <n v="0"/>
    <n v="0"/>
    <n v="242.39000199999998"/>
    <n v="157.60999800000002"/>
    <n v="0.39402499500000004"/>
    <x v="0"/>
    <s v="-"/>
    <x v="4"/>
    <x v="0"/>
    <n v="10"/>
    <n v="1"/>
    <d v="2017-07-25T00:00:00"/>
    <s v="AUDI"/>
    <s v="A3"/>
    <n v="0"/>
    <s v="F/Fecha"/>
    <n v="0"/>
    <x v="295"/>
  </r>
  <r>
    <d v="2017-08-04T00:00:00"/>
    <s v="001-00010059"/>
    <n v="164.74590000000001"/>
    <n v="0"/>
    <n v="81.25"/>
    <n v="0"/>
    <n v="39.048749999999998"/>
    <n v="0"/>
    <n v="0"/>
    <n v="0"/>
    <n v="120.29875"/>
    <n v="44.447150000000008"/>
    <n v="0.2697921465723882"/>
    <x v="0"/>
    <s v="-"/>
    <x v="4"/>
    <x v="0"/>
    <n v="1"/>
    <n v="1"/>
    <d v="2017-08-03T00:00:00"/>
    <s v="SUZUKI"/>
    <s v="SWIFT"/>
    <n v="0"/>
    <d v="2017-08-03T00:00:00"/>
    <n v="0"/>
    <x v="225"/>
  </r>
  <r>
    <d v="2017-08-04T00:00:00"/>
    <s v="001-00010058"/>
    <n v="450"/>
    <n v="105.912302"/>
    <n v="0"/>
    <n v="0"/>
    <n v="0"/>
    <n v="0"/>
    <n v="0"/>
    <n v="0"/>
    <n v="105.912302"/>
    <n v="344.08769799999999"/>
    <n v="0.76463932888888886"/>
    <x v="0"/>
    <s v="-"/>
    <x v="4"/>
    <x v="0"/>
    <n v="1"/>
    <n v="1"/>
    <d v="2017-08-03T00:00:00"/>
    <s v="SUZUKI"/>
    <s v="SWIFT"/>
    <n v="165.26250000000002"/>
    <d v="2017-08-03T00:00:00"/>
    <n v="0"/>
    <x v="225"/>
  </r>
  <r>
    <d v="2017-08-04T00:00:00"/>
    <s v="001-00010054"/>
    <n v="249"/>
    <n v="54.219701000000001"/>
    <n v="0"/>
    <n v="0"/>
    <n v="39.048749999999998"/>
    <n v="0"/>
    <n v="0"/>
    <n v="0"/>
    <n v="93.268450999999999"/>
    <n v="155.731549"/>
    <n v="0.62542790763052214"/>
    <x v="0"/>
    <s v="-"/>
    <x v="4"/>
    <x v="0"/>
    <n v="1"/>
    <n v="1"/>
    <d v="2017-08-03T00:00:00"/>
    <s v="HYUNDAI"/>
    <s v="ACCENT"/>
    <n v="0"/>
    <d v="2017-08-03T00:00:00"/>
    <n v="0"/>
    <x v="303"/>
  </r>
  <r>
    <d v="2017-08-05T00:00:00"/>
    <s v="001-00010044"/>
    <n v="774"/>
    <n v="84.73230199999999"/>
    <n v="0"/>
    <n v="114.41"/>
    <n v="53.673749999999998"/>
    <n v="29.25"/>
    <n v="0"/>
    <n v="0"/>
    <n v="282.06605199999996"/>
    <n v="491.93394800000004"/>
    <n v="0.63557357622739019"/>
    <x v="0"/>
    <s v="-"/>
    <x v="4"/>
    <x v="0"/>
    <n v="3"/>
    <n v="1"/>
    <d v="2017-08-02T00:00:00"/>
    <s v="SUZUKI"/>
    <s v="APV"/>
    <n v="29.802499999999998"/>
    <d v="2017-08-02T00:00:00"/>
    <n v="2"/>
    <x v="251"/>
  </r>
  <r>
    <d v="2017-08-05T00:00:00"/>
    <s v="001-00010032"/>
    <n v="296.61020000000002"/>
    <n v="0"/>
    <n v="0"/>
    <n v="0"/>
    <n v="0"/>
    <n v="0"/>
    <n v="0"/>
    <n v="292.5"/>
    <n v="292.5"/>
    <n v="4.1102000000000203"/>
    <n v="1.3857244288969226E-2"/>
    <x v="0"/>
    <s v="-"/>
    <x v="4"/>
    <x v="0"/>
    <n v="4"/>
    <n v="1"/>
    <d v="2017-08-01T00:00:00"/>
    <s v="KIA"/>
    <s v="CERATO"/>
    <n v="0"/>
    <d v="2017-08-01T00:00:00"/>
    <n v="0"/>
    <x v="345"/>
  </r>
  <r>
    <d v="2017-08-07T00:00:00"/>
    <s v="001-00010067"/>
    <n v="349"/>
    <n v="134.00160200000002"/>
    <n v="0"/>
    <n v="0"/>
    <n v="39.048749999999998"/>
    <n v="0"/>
    <n v="0"/>
    <n v="0"/>
    <n v="173.05035200000003"/>
    <n v="175.94964799999997"/>
    <n v="0.50415371919770768"/>
    <x v="0"/>
    <s v="-"/>
    <x v="4"/>
    <x v="0"/>
    <n v="3"/>
    <n v="1"/>
    <d v="2017-08-04T00:00:00"/>
    <s v="HYUNDAI"/>
    <s v="ACCENT"/>
    <n v="0"/>
    <d v="2017-08-04T00:00:00"/>
    <n v="0"/>
    <x v="234"/>
  </r>
  <r>
    <d v="2017-08-07T00:00:00"/>
    <s v="001-00010088"/>
    <n v="250"/>
    <n v="53.202701000000005"/>
    <n v="0"/>
    <n v="0"/>
    <n v="39.048749999999998"/>
    <n v="0"/>
    <n v="0"/>
    <n v="0"/>
    <n v="92.251451000000003"/>
    <n v="157.748549"/>
    <n v="0.63099419599999995"/>
    <x v="0"/>
    <s v="-"/>
    <x v="4"/>
    <x v="0"/>
    <n v="0"/>
    <n v="1"/>
    <d v="2017-08-07T00:00:00"/>
    <s v="KIA"/>
    <s v="RIO"/>
    <n v="0"/>
    <d v="2017-08-07T00:00:00"/>
    <n v="0"/>
    <x v="167"/>
  </r>
  <r>
    <d v="2017-08-07T00:00:00"/>
    <s v="001-00010087"/>
    <n v="96.160964966099996"/>
    <n v="0"/>
    <n v="0"/>
    <n v="0"/>
    <n v="14.625"/>
    <n v="0"/>
    <n v="0"/>
    <n v="0"/>
    <n v="14.625"/>
    <n v="81.535964966099996"/>
    <n v="0.84791125998833505"/>
    <x v="0"/>
    <s v="-"/>
    <x v="4"/>
    <x v="0"/>
    <n v="0"/>
    <n v="1"/>
    <d v="2017-08-07T00:00:00"/>
    <s v="MAZDA"/>
    <s v="CX-5"/>
    <n v="0"/>
    <d v="2017-08-07T00:00:00"/>
    <n v="0"/>
    <x v="346"/>
  </r>
  <r>
    <d v="2017-08-07T00:00:00"/>
    <s v="001-00010084"/>
    <n v="449"/>
    <n v="114.2777012"/>
    <n v="0"/>
    <n v="0"/>
    <n v="39.048749999999998"/>
    <n v="0"/>
    <n v="0"/>
    <n v="0"/>
    <n v="153.32645120000001"/>
    <n v="295.67354879999999"/>
    <n v="0.65851569888641426"/>
    <x v="0"/>
    <s v="-"/>
    <x v="4"/>
    <x v="0"/>
    <n v="0"/>
    <n v="1"/>
    <d v="2017-08-07T00:00:00"/>
    <s v="GREAT WALL"/>
    <s v="M4"/>
    <n v="0"/>
    <d v="2017-08-07T00:00:00"/>
    <n v="0"/>
    <x v="347"/>
  </r>
  <r>
    <d v="2017-08-08T00:00:00"/>
    <s v="001-00009948"/>
    <n v="3134.7033999999999"/>
    <n v="1214.1821335"/>
    <n v="0"/>
    <n v="0"/>
    <n v="117.14625000000001"/>
    <n v="0"/>
    <n v="0"/>
    <n v="0"/>
    <n v="1331.3283835"/>
    <n v="1803.3750164999999"/>
    <n v="0.57529366781558977"/>
    <x v="0"/>
    <s v="-"/>
    <x v="4"/>
    <x v="0"/>
    <n v="20"/>
    <n v="1"/>
    <d v="2017-07-19T00:00:00"/>
    <s v="KIA"/>
    <s v="SPORTAGE"/>
    <n v="2767.6349999999998"/>
    <d v="2017-07-19T00:00:00"/>
    <n v="0"/>
    <x v="348"/>
  </r>
  <r>
    <d v="2017-08-08T00:00:00"/>
    <s v="001-00010079"/>
    <n v="243.3"/>
    <n v="0"/>
    <n v="0"/>
    <n v="0"/>
    <n v="0"/>
    <n v="14.625"/>
    <n v="61.977499999999999"/>
    <n v="0"/>
    <n v="76.602499999999992"/>
    <n v="166.69750000000002"/>
    <n v="0.68515207562679825"/>
    <x v="0"/>
    <s v="LEVE"/>
    <x v="4"/>
    <x v="0"/>
    <n v="1"/>
    <n v="1"/>
    <d v="2017-08-07T00:00:00"/>
    <s v="KIA"/>
    <s v="SORENTO"/>
    <n v="0"/>
    <d v="2017-08-07T00:00:00"/>
    <n v="1"/>
    <x v="349"/>
  </r>
  <r>
    <d v="2017-08-09T00:00:00"/>
    <s v="001-00010099"/>
    <n v="174.5"/>
    <n v="93.054701000000009"/>
    <n v="0"/>
    <n v="0"/>
    <n v="39.048749999999998"/>
    <n v="0"/>
    <n v="0"/>
    <n v="0"/>
    <n v="132.10345100000001"/>
    <n v="42.396548999999993"/>
    <n v="0.2429601661891117"/>
    <x v="0"/>
    <s v="-"/>
    <x v="4"/>
    <x v="0"/>
    <n v="1"/>
    <n v="1"/>
    <d v="2017-08-08T00:00:00"/>
    <s v="SUZUKI"/>
    <s v="SX4"/>
    <n v="0"/>
    <d v="2017-08-09T00:00:00"/>
    <n v="0"/>
    <x v="350"/>
  </r>
  <r>
    <d v="2017-08-10T00:00:00"/>
    <s v="001-00010107"/>
    <n v="394.75351215000001"/>
    <n v="0"/>
    <n v="0"/>
    <n v="20.656779661016952"/>
    <n v="0"/>
    <n v="58.5"/>
    <n v="61.977499999999999"/>
    <n v="0"/>
    <n v="141.13427966101696"/>
    <n v="253.61923248898304"/>
    <n v="0.6424749234216105"/>
    <x v="0"/>
    <s v="LEVE"/>
    <x v="4"/>
    <x v="0"/>
    <n v="1"/>
    <n v="1"/>
    <d v="2017-08-09T00:00:00"/>
    <s v="HYUNDAI"/>
    <s v="SANTA FE"/>
    <n v="0"/>
    <d v="2017-08-10T00:00:00"/>
    <n v="4"/>
    <x v="351"/>
  </r>
  <r>
    <d v="2017-08-10T00:00:00"/>
    <s v="001-00010076"/>
    <n v="673"/>
    <n v="63.35262625"/>
    <n v="0"/>
    <n v="0"/>
    <n v="39.048749999999998"/>
    <n v="29.25"/>
    <n v="61.977499999999999"/>
    <n v="0"/>
    <n v="193.62887624999999"/>
    <n v="479.37112375000004"/>
    <n v="0.71228993127786033"/>
    <x v="0"/>
    <s v="-"/>
    <x v="4"/>
    <x v="0"/>
    <n v="3"/>
    <n v="1"/>
    <d v="2017-08-07T00:00:00"/>
    <s v="HYUNDAI"/>
    <s v="TUCSON"/>
    <n v="14.885"/>
    <d v="2017-08-07T00:00:00"/>
    <n v="2"/>
    <x v="179"/>
  </r>
  <r>
    <d v="2017-08-10T00:00:00"/>
    <s v="001-00010108"/>
    <n v="132.1628293168001"/>
    <n v="0"/>
    <n v="0"/>
    <n v="305.08"/>
    <n v="0"/>
    <n v="0"/>
    <n v="0"/>
    <n v="0"/>
    <n v="305.08"/>
    <n v="-172.91717068319988"/>
    <n v="-1.3083646254932229"/>
    <x v="0"/>
    <s v="-"/>
    <x v="4"/>
    <x v="0"/>
    <n v="1"/>
    <n v="1"/>
    <d v="2017-08-09T00:00:00"/>
    <s v="SUZUKI"/>
    <s v="SWIFT"/>
    <n v="132.21"/>
    <d v="2017-08-10T00:00:00"/>
    <n v="0"/>
    <x v="352"/>
  </r>
  <r>
    <d v="2017-08-11T00:00:00"/>
    <s v="001-00010089"/>
    <n v="980"/>
    <n v="423.73000999999988"/>
    <n v="0"/>
    <n v="0"/>
    <n v="0"/>
    <n v="43.875"/>
    <n v="61.977499999999999"/>
    <n v="0"/>
    <n v="529.58250999999984"/>
    <n v="450.41749000000016"/>
    <n v="0.45960968367346955"/>
    <x v="0"/>
    <s v="LEVE"/>
    <x v="4"/>
    <x v="0"/>
    <n v="6"/>
    <n v="1"/>
    <d v="2017-08-05T00:00:00"/>
    <s v="KIA"/>
    <s v="RIO"/>
    <n v="646.00250000000005"/>
    <d v="2017-08-08T00:00:00"/>
    <n v="3"/>
    <x v="342"/>
  </r>
  <r>
    <d v="2017-08-11T00:00:00"/>
    <s v="001-00010048"/>
    <n v="349"/>
    <n v="104.15970200000001"/>
    <n v="0"/>
    <n v="0"/>
    <n v="39.048749999999998"/>
    <n v="0"/>
    <n v="0"/>
    <n v="0"/>
    <n v="143.20845200000002"/>
    <n v="205.79154799999998"/>
    <n v="0.58966059598853859"/>
    <x v="0"/>
    <s v="-"/>
    <x v="4"/>
    <x v="0"/>
    <n v="9"/>
    <n v="1"/>
    <d v="2017-08-02T00:00:00"/>
    <s v="RENAULT"/>
    <s v="LOGAN"/>
    <n v="0"/>
    <d v="2017-08-02T00:00:00"/>
    <n v="0"/>
    <x v="353"/>
  </r>
  <r>
    <d v="2017-08-12T00:00:00"/>
    <s v="001-00010123"/>
    <n v="234.18219194361029"/>
    <n v="0"/>
    <n v="0"/>
    <n v="0"/>
    <n v="0"/>
    <n v="0"/>
    <n v="0"/>
    <n v="0"/>
    <n v="0"/>
    <n v="234.18219194361029"/>
    <n v="1"/>
    <x v="0"/>
    <s v="-"/>
    <x v="4"/>
    <x v="0"/>
    <n v="1"/>
    <n v="1"/>
    <d v="2017-08-11T00:00:00"/>
    <s v="KIA"/>
    <s v="RIO"/>
    <n v="234.0975"/>
    <d v="2017-08-10T00:00:00"/>
    <n v="0"/>
    <x v="354"/>
  </r>
  <r>
    <d v="2017-08-12T00:00:00"/>
    <s v="001-00010093"/>
    <n v="180"/>
    <n v="0"/>
    <n v="0"/>
    <n v="21.19"/>
    <n v="14.625"/>
    <n v="0"/>
    <n v="0"/>
    <n v="0"/>
    <n v="35.814999999999998"/>
    <n v="144.185"/>
    <n v="0.80102777777777778"/>
    <x v="0"/>
    <s v="-"/>
    <x v="4"/>
    <x v="0"/>
    <n v="4"/>
    <n v="1"/>
    <d v="2017-08-08T00:00:00"/>
    <s v="MITSUBISHI"/>
    <s v="MIRAGE"/>
    <n v="0"/>
    <d v="2017-08-10T00:00:00"/>
    <n v="0"/>
    <x v="302"/>
  </r>
  <r>
    <d v="2017-08-12T00:00:00"/>
    <s v="001-00010127"/>
    <n v="400"/>
    <n v="133.81970000000001"/>
    <n v="0"/>
    <n v="0"/>
    <n v="39.048749999999998"/>
    <n v="0"/>
    <n v="0"/>
    <n v="0"/>
    <n v="172.86845"/>
    <n v="227.13155"/>
    <n v="0.56782887500000001"/>
    <x v="0"/>
    <s v="-"/>
    <x v="4"/>
    <x v="0"/>
    <n v="0"/>
    <n v="1"/>
    <d v="2017-08-12T00:00:00"/>
    <s v="VOLKSWAGEN"/>
    <s v="GOL"/>
    <n v="0"/>
    <d v="2017-08-12T00:00:00"/>
    <n v="0"/>
    <x v="355"/>
  </r>
  <r>
    <d v="2017-08-14T00:00:00"/>
    <s v="001-00010134"/>
    <n v="150"/>
    <n v="0"/>
    <n v="0"/>
    <n v="0"/>
    <n v="14.625"/>
    <n v="0"/>
    <n v="0"/>
    <n v="0"/>
    <n v="14.625"/>
    <n v="135.375"/>
    <n v="0.90249999999999997"/>
    <x v="0"/>
    <s v="-"/>
    <x v="4"/>
    <x v="0"/>
    <n v="2"/>
    <n v="1"/>
    <d v="2017-08-12T00:00:00"/>
    <s v="KIA"/>
    <s v="RIO"/>
    <n v="0"/>
    <d v="2017-08-14T00:00:00"/>
    <n v="0"/>
    <x v="356"/>
  </r>
  <r>
    <d v="2017-08-14T00:00:00"/>
    <s v="001-00010095"/>
    <n v="292.56236075184989"/>
    <n v="0"/>
    <n v="0"/>
    <n v="0"/>
    <n v="0"/>
    <n v="29.25"/>
    <n v="61.977499999999999"/>
    <n v="0"/>
    <n v="91.227499999999992"/>
    <n v="201.3348607518499"/>
    <n v="0.6881775913840853"/>
    <x v="0"/>
    <s v="LEVE"/>
    <x v="4"/>
    <x v="0"/>
    <n v="6"/>
    <n v="1"/>
    <d v="2017-08-08T00:00:00"/>
    <s v="SUZUKI"/>
    <s v="SWIFT"/>
    <n v="0"/>
    <d v="2017-08-08T00:00:00"/>
    <n v="2"/>
    <x v="357"/>
  </r>
  <r>
    <d v="2017-08-15T00:00:00"/>
    <s v="001-00010146"/>
    <n v="450"/>
    <n v="136.15632395"/>
    <n v="0"/>
    <n v="0"/>
    <n v="39.048749999999998"/>
    <n v="0"/>
    <n v="0"/>
    <n v="0"/>
    <n v="175.20507394999998"/>
    <n v="274.79492605000002"/>
    <n v="0.61065539122222223"/>
    <x v="0"/>
    <s v="-"/>
    <x v="4"/>
    <x v="0"/>
    <n v="0"/>
    <n v="1"/>
    <d v="2017-08-15T00:00:00"/>
    <s v="SUZUKI"/>
    <s v="GRAND NOMADE"/>
    <n v="0"/>
    <d v="2017-08-15T00:00:00"/>
    <n v="0"/>
    <x v="358"/>
  </r>
  <r>
    <d v="2017-08-15T00:00:00"/>
    <s v="001-00010147"/>
    <n v="550"/>
    <n v="165.65482424999999"/>
    <n v="0"/>
    <n v="0"/>
    <n v="39.048749999999998"/>
    <n v="0"/>
    <n v="0"/>
    <n v="0"/>
    <n v="204.70357424999997"/>
    <n v="345.29642575000003"/>
    <n v="0.62781168318181824"/>
    <x v="0"/>
    <s v="-"/>
    <x v="4"/>
    <x v="0"/>
    <n v="0"/>
    <n v="1"/>
    <d v="2017-08-15T00:00:00"/>
    <s v="KIA"/>
    <s v="SPORTAGE"/>
    <n v="50.147500000000001"/>
    <d v="2017-08-15T00:00:00"/>
    <n v="0"/>
    <x v="359"/>
  </r>
  <r>
    <d v="2017-08-17T00:00:00"/>
    <s v="001-00010169"/>
    <n v="588.98308999999995"/>
    <n v="54.219701000000001"/>
    <n v="294.71000000000004"/>
    <n v="0"/>
    <n v="24.423749999999998"/>
    <n v="0"/>
    <n v="0"/>
    <n v="0"/>
    <n v="373.35345100000001"/>
    <n v="215.62963899999994"/>
    <n v="0.36610497425316568"/>
    <x v="0"/>
    <s v="-"/>
    <x v="4"/>
    <x v="0"/>
    <n v="0"/>
    <n v="1"/>
    <d v="2017-08-17T00:00:00"/>
    <s v="HYUNDAI"/>
    <s v="ACCENT"/>
    <n v="0"/>
    <d v="2017-08-17T00:00:00"/>
    <n v="0"/>
    <x v="206"/>
  </r>
  <r>
    <d v="2017-08-17T00:00:00"/>
    <s v="001-00010172"/>
    <n v="132.0001091771999"/>
    <n v="0"/>
    <n v="0"/>
    <n v="0"/>
    <n v="0"/>
    <n v="0"/>
    <n v="0"/>
    <n v="0"/>
    <n v="0"/>
    <n v="132.0001091771999"/>
    <n v="1"/>
    <x v="0"/>
    <s v="-"/>
    <x v="4"/>
    <x v="0"/>
    <n v="0"/>
    <n v="1"/>
    <d v="2017-08-17T00:00:00"/>
    <s v="HYUNDAI"/>
    <s v="ACCENT"/>
    <n v="132.21"/>
    <d v="2017-08-17T00:00:00"/>
    <n v="0"/>
    <x v="206"/>
  </r>
  <r>
    <d v="2017-08-17T00:00:00"/>
    <s v="001-00010167"/>
    <n v="169.49150000000006"/>
    <n v="0"/>
    <n v="0"/>
    <n v="0"/>
    <n v="0"/>
    <n v="0"/>
    <n v="0"/>
    <n v="0"/>
    <n v="0"/>
    <n v="169.49150000000006"/>
    <n v="1"/>
    <x v="0"/>
    <s v="-"/>
    <x v="4"/>
    <x v="0"/>
    <n v="0"/>
    <n v="1"/>
    <d v="2017-08-17T00:00:00"/>
    <s v="CHEVROLET"/>
    <s v="CRUZE"/>
    <n v="170.00749999999999"/>
    <d v="2017-08-17T00:00:00"/>
    <n v="0"/>
    <x v="360"/>
  </r>
  <r>
    <d v="2017-08-17T00:00:00"/>
    <s v="001-00010173"/>
    <n v="165.00013241524999"/>
    <n v="0"/>
    <n v="0"/>
    <n v="0"/>
    <n v="0"/>
    <n v="0"/>
    <n v="0"/>
    <n v="0"/>
    <n v="0"/>
    <n v="165.00013241524999"/>
    <n v="1"/>
    <x v="0"/>
    <s v="-"/>
    <x v="4"/>
    <x v="0"/>
    <n v="0"/>
    <n v="1"/>
    <d v="2017-08-17T00:00:00"/>
    <s v="CHEVROLET"/>
    <s v="CRUZE"/>
    <n v="165.26250000000002"/>
    <d v="2017-08-17T00:00:00"/>
    <n v="0"/>
    <x v="360"/>
  </r>
  <r>
    <d v="2017-08-18T00:00:00"/>
    <s v="001-00010137"/>
    <n v="1456.6015575000001"/>
    <n v="0"/>
    <n v="0"/>
    <n v="0"/>
    <n v="0"/>
    <n v="102.375"/>
    <n v="216.92125000000001"/>
    <n v="0"/>
    <n v="319.29624999999999"/>
    <n v="1137.3053075000003"/>
    <n v="0.78079369175739755"/>
    <x v="0"/>
    <s v="LEVE"/>
    <x v="4"/>
    <x v="0"/>
    <n v="4"/>
    <n v="1"/>
    <d v="2017-08-14T00:00:00"/>
    <s v="HYUNDAI"/>
    <s v="I30"/>
    <n v="0"/>
    <d v="2017-08-14T00:00:00"/>
    <n v="7"/>
    <x v="361"/>
  </r>
  <r>
    <d v="2017-08-18T00:00:00"/>
    <s v="001-00009979"/>
    <n v="1271.1695199999999"/>
    <n v="0"/>
    <n v="0"/>
    <n v="0"/>
    <n v="0"/>
    <n v="73.125"/>
    <n v="247.91"/>
    <n v="0"/>
    <n v="321.03499999999997"/>
    <n v="950.13451999999995"/>
    <n v="0.74744910497853978"/>
    <x v="0"/>
    <s v="LEVE"/>
    <x v="4"/>
    <x v="0"/>
    <n v="27"/>
    <n v="1"/>
    <d v="2017-07-22T00:00:00"/>
    <s v="TOYOTA"/>
    <s v="TERCEL"/>
    <n v="0"/>
    <d v="2017-07-19T00:00:00"/>
    <n v="5"/>
    <x v="362"/>
  </r>
  <r>
    <d v="2017-08-18T00:00:00"/>
    <s v="001-00010165"/>
    <n v="1700.4744989999999"/>
    <n v="825.55029000000002"/>
    <n v="0"/>
    <n v="38.14"/>
    <n v="39.048749999999998"/>
    <n v="0"/>
    <n v="0"/>
    <n v="0"/>
    <n v="902.73904000000005"/>
    <n v="797.73545899999988"/>
    <n v="0.46912521150368625"/>
    <x v="0"/>
    <s v="-"/>
    <x v="4"/>
    <x v="0"/>
    <n v="1"/>
    <n v="1"/>
    <d v="2017-08-17T00:00:00"/>
    <s v="HYUNDAI"/>
    <s v="ACCENT"/>
    <n v="1134.8025"/>
    <d v="2017-08-17T00:00:00"/>
    <n v="0"/>
    <x v="363"/>
  </r>
  <r>
    <d v="2017-08-19T00:00:00"/>
    <s v="001-00009989"/>
    <n v="4286.1433884318003"/>
    <n v="0"/>
    <n v="0"/>
    <n v="0"/>
    <n v="0"/>
    <n v="255.9375"/>
    <n v="1487.46"/>
    <n v="0"/>
    <n v="1743.3975"/>
    <n v="2542.7458884318003"/>
    <n v="0.59324797562643639"/>
    <x v="0"/>
    <s v="MEDIANO"/>
    <x v="4"/>
    <x v="0"/>
    <n v="26"/>
    <n v="1"/>
    <d v="2017-07-24T00:00:00"/>
    <s v="MAZDA"/>
    <s v="MAZDA 3"/>
    <n v="0"/>
    <d v="2017-07-24T00:00:00"/>
    <n v="17.5"/>
    <x v="364"/>
  </r>
  <r>
    <d v="2017-08-21T00:00:00"/>
    <s v="001-00010179"/>
    <n v="328.66995547200008"/>
    <n v="0"/>
    <n v="0"/>
    <n v="0"/>
    <n v="0"/>
    <n v="29.25"/>
    <n v="84.909175000000005"/>
    <n v="0"/>
    <n v="114.159175"/>
    <n v="214.51078047200008"/>
    <n v="0.65266318658163625"/>
    <x v="0"/>
    <s v="LEVE"/>
    <x v="4"/>
    <x v="0"/>
    <n v="3"/>
    <n v="1"/>
    <d v="2017-08-18T00:00:00"/>
    <s v="TOYOTA"/>
    <s v="YARIS"/>
    <n v="0"/>
    <d v="2017-08-18T00:00:00"/>
    <n v="2"/>
    <x v="365"/>
  </r>
  <r>
    <d v="2017-08-21T00:00:00"/>
    <s v="001-00010195"/>
    <n v="131.91875724300002"/>
    <n v="0"/>
    <n v="0"/>
    <n v="0"/>
    <n v="0"/>
    <n v="0"/>
    <n v="0"/>
    <n v="0"/>
    <n v="0"/>
    <n v="131.91875724300002"/>
    <n v="1"/>
    <x v="0"/>
    <s v="-"/>
    <x v="4"/>
    <x v="0"/>
    <n v="0"/>
    <n v="1"/>
    <d v="2017-08-21T00:00:00"/>
    <s v="HYUNDAI"/>
    <s v="ACCENT"/>
    <n v="132.21"/>
    <d v="2017-08-21T00:00:00"/>
    <n v="0"/>
    <x v="366"/>
  </r>
  <r>
    <d v="2017-08-21T00:00:00"/>
    <s v="001-00010193"/>
    <n v="98"/>
    <n v="0"/>
    <n v="0"/>
    <n v="25.42"/>
    <n v="29.25"/>
    <n v="0"/>
    <n v="0"/>
    <n v="0"/>
    <n v="54.67"/>
    <n v="43.33"/>
    <n v="0.44214285714285712"/>
    <x v="0"/>
    <s v="-"/>
    <x v="4"/>
    <x v="0"/>
    <n v="0"/>
    <n v="1"/>
    <d v="2017-08-21T00:00:00"/>
    <s v="SUZUKI"/>
    <s v="GRAND VITARA"/>
    <n v="0"/>
    <d v="2017-08-21T00:00:00"/>
    <n v="0"/>
    <x v="226"/>
  </r>
  <r>
    <d v="2017-08-22T00:00:00"/>
    <s v="001-00010164"/>
    <n v="388.8"/>
    <n v="0"/>
    <n v="0"/>
    <n v="41.313559322033903"/>
    <n v="0"/>
    <n v="14.625"/>
    <n v="61.977499999999999"/>
    <n v="0"/>
    <n v="117.9160593220339"/>
    <n v="270.88394067796611"/>
    <n v="0.69671795441863704"/>
    <x v="0"/>
    <s v="LEVE"/>
    <x v="4"/>
    <x v="0"/>
    <n v="6"/>
    <n v="1"/>
    <d v="2017-08-16T00:00:00"/>
    <s v="HONDA"/>
    <s v="WR-V"/>
    <n v="0"/>
    <d v="2017-08-16T00:00:00"/>
    <n v="1"/>
    <x v="367"/>
  </r>
  <r>
    <d v="2017-08-23T00:00:00"/>
    <s v="001-00010212"/>
    <n v="249"/>
    <n v="54.167797999999998"/>
    <n v="0"/>
    <n v="0"/>
    <n v="39.048749999999998"/>
    <n v="0"/>
    <n v="0"/>
    <n v="0"/>
    <n v="93.216547999999989"/>
    <n v="155.78345200000001"/>
    <n v="0.62563635341365464"/>
    <x v="0"/>
    <s v="-"/>
    <x v="4"/>
    <x v="0"/>
    <n v="1"/>
    <n v="1"/>
    <d v="2017-08-22T00:00:00"/>
    <s v="HYUNDAI"/>
    <s v="ACCENT"/>
    <n v="0"/>
    <d v="2017-08-23T00:00:00"/>
    <n v="0"/>
    <x v="195"/>
  </r>
  <r>
    <d v="2017-08-24T00:00:00"/>
    <s v="001-00010221"/>
    <n v="405"/>
    <n v="160.04410429999999"/>
    <n v="0"/>
    <n v="0"/>
    <n v="39.048749999999998"/>
    <n v="0"/>
    <n v="0"/>
    <n v="0"/>
    <n v="199.0928543"/>
    <n v="205.9071457"/>
    <n v="0.50841270543209882"/>
    <x v="0"/>
    <s v="-"/>
    <x v="4"/>
    <x v="0"/>
    <n v="0"/>
    <n v="1"/>
    <d v="2017-08-24T00:00:00"/>
    <s v="NISSAN"/>
    <s v="VERSA"/>
    <n v="0"/>
    <d v="2017-08-24T00:00:00"/>
    <n v="0"/>
    <x v="368"/>
  </r>
  <r>
    <d v="2017-08-24T00:00:00"/>
    <s v="001-00010201"/>
    <n v="1188.6579736983001"/>
    <n v="54.310001"/>
    <n v="0"/>
    <n v="20.656779661016952"/>
    <n v="0"/>
    <n v="14.625"/>
    <n v="61.977499999999999"/>
    <n v="0"/>
    <n v="151.56928066101696"/>
    <n v="1037.0886930372831"/>
    <n v="0.87248705345454769"/>
    <x v="0"/>
    <s v="LEVE"/>
    <x v="4"/>
    <x v="0"/>
    <n v="3"/>
    <n v="1"/>
    <d v="2017-08-21T00:00:00"/>
    <s v="SUZUKI"/>
    <s v="SWIFT"/>
    <n v="0"/>
    <d v="2017-08-21T00:00:00"/>
    <n v="1"/>
    <x v="224"/>
  </r>
  <r>
    <d v="2017-08-25T00:00:00"/>
    <s v="001-00010206"/>
    <n v="160"/>
    <n v="0"/>
    <n v="0"/>
    <n v="33.9"/>
    <n v="24.423749999999998"/>
    <n v="0"/>
    <n v="0"/>
    <n v="0"/>
    <n v="58.323749999999997"/>
    <n v="101.67625000000001"/>
    <n v="0.63547656250000006"/>
    <x v="0"/>
    <s v="-"/>
    <x v="4"/>
    <x v="0"/>
    <n v="5"/>
    <n v="1"/>
    <d v="2017-08-20T00:00:00"/>
    <s v="NISSAN"/>
    <s v="SUNNY"/>
    <n v="0"/>
    <d v="2017-08-22T00:00:00"/>
    <n v="0"/>
    <x v="267"/>
  </r>
  <r>
    <d v="2017-08-26T00:00:00"/>
    <s v="001-00010117"/>
    <n v="164.64419991525"/>
    <n v="0"/>
    <n v="0"/>
    <n v="0"/>
    <n v="0"/>
    <n v="0"/>
    <n v="0"/>
    <n v="0"/>
    <n v="0"/>
    <n v="164.64419991525"/>
    <n v="1"/>
    <x v="0"/>
    <s v="-"/>
    <x v="4"/>
    <x v="0"/>
    <n v="16"/>
    <n v="1"/>
    <d v="2017-08-10T00:00:00"/>
    <s v="HYUNDAI"/>
    <s v="I10"/>
    <n v="165.26250000000002"/>
    <d v="2017-08-10T00:00:00"/>
    <n v="0"/>
    <x v="369"/>
  </r>
  <r>
    <d v="2017-08-26T00:00:00"/>
    <s v="001-00010229"/>
    <n v="370"/>
    <n v="118.64"/>
    <n v="0"/>
    <n v="50.85"/>
    <n v="39.048749999999998"/>
    <n v="0"/>
    <n v="0"/>
    <n v="0"/>
    <n v="208.53874999999999"/>
    <n v="161.46125000000001"/>
    <n v="0.43638175675675678"/>
    <x v="0"/>
    <s v="-"/>
    <x v="4"/>
    <x v="0"/>
    <n v="1"/>
    <n v="1"/>
    <d v="2017-08-25T00:00:00"/>
    <s v="CHEVROLET"/>
    <s v="TRACKER"/>
    <n v="20.052499999999998"/>
    <d v="2017-08-25T00:00:00"/>
    <n v="0"/>
    <x v="370"/>
  </r>
  <r>
    <d v="2017-08-28T00:00:00"/>
    <s v="001-00010234"/>
    <n v="349"/>
    <n v="148.11960060000001"/>
    <n v="0"/>
    <n v="0"/>
    <n v="39.048749999999998"/>
    <n v="0"/>
    <n v="0"/>
    <n v="0"/>
    <n v="187.1683506"/>
    <n v="161.8316494"/>
    <n v="0.46370100114613183"/>
    <x v="0"/>
    <s v="-"/>
    <x v="4"/>
    <x v="0"/>
    <n v="0"/>
    <n v="1"/>
    <d v="2017-08-28T00:00:00"/>
    <s v="NISSAN"/>
    <s v="TIIDA"/>
    <n v="0"/>
    <d v="2017-08-28T00:00:00"/>
    <n v="0"/>
    <x v="186"/>
  </r>
  <r>
    <d v="2017-08-29T00:00:00"/>
    <s v="001-00010218"/>
    <n v="323.79999000000004"/>
    <n v="0"/>
    <n v="0"/>
    <n v="0"/>
    <n v="0"/>
    <n v="43.875"/>
    <n v="61.977499999999999"/>
    <n v="0"/>
    <n v="105.85249999999999"/>
    <n v="217.94749000000004"/>
    <n v="0.67309294852047408"/>
    <x v="0"/>
    <s v="LEVE"/>
    <x v="4"/>
    <x v="0"/>
    <n v="5"/>
    <n v="1"/>
    <d v="2017-08-24T00:00:00"/>
    <s v="RENAULT"/>
    <s v="DUSTER"/>
    <n v="0"/>
    <d v="2017-08-23T00:00:00"/>
    <n v="3"/>
    <x v="194"/>
  </r>
  <r>
    <d v="2017-08-29T00:00:00"/>
    <s v="001-00010153"/>
    <n v="131.71536317019991"/>
    <n v="0"/>
    <n v="0"/>
    <n v="0"/>
    <n v="0"/>
    <n v="0"/>
    <n v="0"/>
    <n v="0"/>
    <n v="0"/>
    <n v="131.71536317019991"/>
    <n v="1"/>
    <x v="0"/>
    <s v="-"/>
    <x v="4"/>
    <x v="0"/>
    <n v="14"/>
    <n v="1"/>
    <d v="2017-08-15T00:00:00"/>
    <s v="TOYOTA"/>
    <s v="COROLLA"/>
    <n v="132.17750000000001"/>
    <d v="2017-08-15T00:00:00"/>
    <n v="0"/>
    <x v="371"/>
  </r>
  <r>
    <d v="2017-08-29T00:00:00"/>
    <s v="001-00010231"/>
    <n v="220.18399320000003"/>
    <n v="0"/>
    <n v="0"/>
    <n v="0"/>
    <n v="0"/>
    <n v="14.625"/>
    <n v="61.977499999999999"/>
    <n v="0"/>
    <n v="76.602499999999992"/>
    <n v="143.58149320000004"/>
    <n v="0.65209778019413278"/>
    <x v="0"/>
    <s v="LEVE"/>
    <x v="4"/>
    <x v="0"/>
    <n v="4"/>
    <n v="1"/>
    <d v="2017-08-25T00:00:00"/>
    <s v="TOYOTA"/>
    <s v="RAV4"/>
    <n v="0"/>
    <d v="2017-08-25T00:00:00"/>
    <n v="1"/>
    <x v="372"/>
  </r>
  <r>
    <d v="2017-08-29T00:00:00"/>
    <s v="001-00010133"/>
    <n v="2023.0799850000003"/>
    <n v="0"/>
    <n v="0"/>
    <n v="27.542372881355934"/>
    <n v="14.625"/>
    <n v="204.75"/>
    <n v="387.359375"/>
    <n v="0"/>
    <n v="634.27674788135596"/>
    <n v="1388.8032371186443"/>
    <n v="0.68647964856349664"/>
    <x v="2"/>
    <s v="MEDIANO"/>
    <x v="4"/>
    <x v="0"/>
    <n v="15"/>
    <n v="1"/>
    <d v="2017-08-14T00:00:00"/>
    <s v="CHEVROLET"/>
    <s v="SAIL"/>
    <n v="1298.2449999999999"/>
    <d v="2017-08-16T00:00:00"/>
    <n v="14"/>
    <x v="373"/>
  </r>
  <r>
    <d v="2017-08-29T00:00:00"/>
    <s v="001-00010264"/>
    <n v="169.49150000000006"/>
    <n v="0"/>
    <n v="0"/>
    <n v="169.49"/>
    <n v="0"/>
    <n v="0"/>
    <n v="0"/>
    <n v="0"/>
    <n v="169.49"/>
    <n v="1.5000000000497948E-3"/>
    <n v="8.850001327793986E-6"/>
    <x v="0"/>
    <s v="-"/>
    <x v="4"/>
    <x v="0"/>
    <n v="2"/>
    <n v="1"/>
    <d v="2017-08-27T00:00:00"/>
    <s v="KIA"/>
    <s v="SOUL"/>
    <n v="0"/>
    <d v="2017-08-29T00:00:00"/>
    <n v="0"/>
    <x v="374"/>
  </r>
  <r>
    <d v="2017-08-31T00:00:00"/>
    <s v="001-00010237"/>
    <n v="1316.2520405999999"/>
    <n v="0"/>
    <n v="0"/>
    <n v="0"/>
    <n v="0"/>
    <n v="219.375"/>
    <n v="216.92125000000001"/>
    <n v="0"/>
    <n v="436.29624999999999"/>
    <n v="879.95579059999989"/>
    <n v="0.66853137807777385"/>
    <x v="0"/>
    <s v="MEDIANO"/>
    <x v="4"/>
    <x v="0"/>
    <n v="3"/>
    <n v="1"/>
    <d v="2017-08-28T00:00:00"/>
    <s v="TOYOTA"/>
    <s v="YARIS"/>
    <n v="0"/>
    <d v="2017-08-28T00:00:00"/>
    <n v="15"/>
    <x v="375"/>
  </r>
  <r>
    <d v="2017-08-31T00:00:00"/>
    <s v="001-00010273"/>
    <n v="961.61030130302004"/>
    <n v="0"/>
    <n v="0"/>
    <n v="35.805084745762713"/>
    <n v="0"/>
    <n v="117"/>
    <n v="154.94374999999999"/>
    <n v="0"/>
    <n v="307.74883474576268"/>
    <n v="653.86146655725736"/>
    <n v="0.67996512274384868"/>
    <x v="0"/>
    <s v="LEVE"/>
    <x v="4"/>
    <x v="0"/>
    <n v="0"/>
    <n v="1"/>
    <d v="2017-08-31T00:00:00"/>
    <s v="HYUNDAI"/>
    <s v="I10"/>
    <n v="0"/>
    <d v="2017-08-31T00:00:00"/>
    <n v="8"/>
    <x v="376"/>
  </r>
  <r>
    <d v="2017-09-01T00:00:00"/>
    <s v="001-00010276"/>
    <n v="296.61020000000002"/>
    <n v="92.688346500000009"/>
    <n v="0"/>
    <n v="0"/>
    <n v="39.048749999999998"/>
    <n v="0"/>
    <n v="0"/>
    <n v="0"/>
    <n v="131.73709650000001"/>
    <n v="164.87310350000001"/>
    <n v="0.55585783462605132"/>
    <x v="0"/>
    <s v="-"/>
    <x v="5"/>
    <x v="0"/>
    <n v="0"/>
    <n v="1"/>
    <d v="2017-09-01T00:00:00"/>
    <s v="HYUNDAI"/>
    <s v="H1"/>
    <n v="0"/>
    <d v="2017-09-01T00:00:00"/>
    <n v="0"/>
    <x v="121"/>
  </r>
  <r>
    <d v="2017-09-01T00:00:00"/>
    <s v="001-00010120"/>
    <n v="2053.6148127440706"/>
    <n v="0"/>
    <n v="0"/>
    <n v="110.16949152542374"/>
    <n v="0"/>
    <n v="204.75"/>
    <n v="305.54907499999996"/>
    <n v="0"/>
    <n v="620.46856652542374"/>
    <n v="1433.1462462186469"/>
    <n v="0.69786516795895892"/>
    <x v="1"/>
    <s v="MEDIANO"/>
    <x v="5"/>
    <x v="0"/>
    <n v="21"/>
    <n v="1"/>
    <d v="2017-08-11T00:00:00"/>
    <s v="NISSAN"/>
    <s v="VERSA"/>
    <n v="211.25"/>
    <d v="2017-08-14T00:00:00"/>
    <n v="14"/>
    <x v="377"/>
  </r>
  <r>
    <d v="2017-09-01T00:00:00"/>
    <s v="001-00010156"/>
    <n v="2934.0100904999995"/>
    <n v="0"/>
    <n v="0"/>
    <n v="116.50677966101695"/>
    <n v="0"/>
    <n v="292.5"/>
    <n v="495.82"/>
    <n v="0"/>
    <n v="904.82677966101687"/>
    <n v="2029.1833108389826"/>
    <n v="0.69160747517851218"/>
    <x v="1"/>
    <s v="MEDIANO"/>
    <x v="5"/>
    <x v="0"/>
    <n v="16"/>
    <n v="1"/>
    <d v="2017-08-16T00:00:00"/>
    <s v="TOYOTA"/>
    <s v="TERCEL"/>
    <n v="721.5"/>
    <d v="2017-08-18T00:00:00"/>
    <n v="20"/>
    <x v="1"/>
  </r>
  <r>
    <d v="2017-09-01T00:00:00"/>
    <s v="001-00010035"/>
    <n v="4891.3812996954202"/>
    <n v="0"/>
    <n v="0"/>
    <n v="68.855932203389841"/>
    <n v="58.5"/>
    <n v="555.75"/>
    <n v="681.75250000000005"/>
    <n v="0"/>
    <n v="1364.8584322033898"/>
    <n v="3526.5228674920304"/>
    <n v="0.72096666594191339"/>
    <x v="1"/>
    <s v="GRAVE"/>
    <x v="5"/>
    <x v="0"/>
    <n v="31"/>
    <n v="1"/>
    <d v="2017-08-01T00:00:00"/>
    <s v="NISSAN"/>
    <s v="SENTRA"/>
    <n v="4074.4925000000003"/>
    <d v="2017-08-08T00:00:00"/>
    <n v="38"/>
    <x v="1"/>
  </r>
  <r>
    <d v="2017-09-01T00:00:00"/>
    <s v="001-00010192"/>
    <n v="1728.5355398969491"/>
    <n v="0"/>
    <n v="0"/>
    <n v="68.855932203389841"/>
    <n v="0"/>
    <n v="204.75"/>
    <n v="247.91"/>
    <n v="0"/>
    <n v="521.51593220338987"/>
    <n v="1207.0196076935592"/>
    <n v="0.6982903040370918"/>
    <x v="1"/>
    <s v="MEDIANO"/>
    <x v="5"/>
    <x v="0"/>
    <n v="11"/>
    <n v="1"/>
    <d v="2017-08-21T00:00:00"/>
    <s v="KIA"/>
    <s v="RIO"/>
    <n v="3185"/>
    <d v="2017-08-23T00:00:00"/>
    <n v="14"/>
    <x v="1"/>
  </r>
  <r>
    <d v="2017-09-02T00:00:00"/>
    <s v="001-00010275"/>
    <n v="1223.72882"/>
    <n v="522.37731099999985"/>
    <n v="0"/>
    <n v="76.28"/>
    <n v="39.048749999999998"/>
    <n v="0"/>
    <n v="0"/>
    <n v="0"/>
    <n v="637.70606099999986"/>
    <n v="586.02275900000018"/>
    <n v="0.47888286148233411"/>
    <x v="0"/>
    <s v="-"/>
    <x v="5"/>
    <x v="0"/>
    <n v="1"/>
    <n v="1"/>
    <d v="2017-09-01T00:00:00"/>
    <s v="MG"/>
    <s v="MG3"/>
    <n v="431.3075"/>
    <d v="2017-09-01T00:00:00"/>
    <n v="0"/>
    <x v="29"/>
  </r>
  <r>
    <d v="2017-09-02T00:00:00"/>
    <s v="001-00010203"/>
    <n v="777.6"/>
    <n v="0"/>
    <n v="0"/>
    <n v="55.084745762711869"/>
    <n v="0"/>
    <n v="58.5"/>
    <n v="123.955"/>
    <n v="0"/>
    <n v="237.53974576271185"/>
    <n v="540.06025423728818"/>
    <n v="0.69452193188951672"/>
    <x v="1"/>
    <s v="LEVE"/>
    <x v="5"/>
    <x v="0"/>
    <n v="11"/>
    <n v="1"/>
    <d v="2017-08-22T00:00:00"/>
    <s v="HYUNDAI"/>
    <s v="I10"/>
    <n v="692.38"/>
    <d v="2017-08-23T00:00:00"/>
    <n v="4"/>
    <x v="1"/>
  </r>
  <r>
    <d v="2017-09-02T00:00:00"/>
    <s v="001-00010072"/>
    <n v="1530.9"/>
    <n v="0"/>
    <n v="0"/>
    <n v="82.627118644067806"/>
    <n v="14.625"/>
    <n v="117"/>
    <n v="216.92125000000001"/>
    <n v="0"/>
    <n v="431.17336864406786"/>
    <n v="1099.7266313559321"/>
    <n v="0.7183530154523039"/>
    <x v="1"/>
    <s v="LEVE"/>
    <x v="5"/>
    <x v="0"/>
    <n v="28"/>
    <n v="1"/>
    <d v="2017-08-05T00:00:00"/>
    <s v="GREAT WALL"/>
    <s v="VOLEEX"/>
    <n v="1385.28"/>
    <d v="2017-08-14T00:00:00"/>
    <n v="8"/>
    <x v="1"/>
  </r>
  <r>
    <d v="2017-09-05T00:00:00"/>
    <s v="001-00010174"/>
    <n v="2600.9024197499998"/>
    <n v="0"/>
    <n v="0"/>
    <n v="112.29237288135593"/>
    <n v="29.25"/>
    <n v="204.75"/>
    <n v="449.33687499999996"/>
    <n v="0"/>
    <n v="795.62924788135592"/>
    <n v="1805.2731718686439"/>
    <n v="0.69409492573049614"/>
    <x v="1"/>
    <s v="MEDIANO"/>
    <x v="5"/>
    <x v="0"/>
    <n v="19"/>
    <n v="1"/>
    <d v="2017-08-17T00:00:00"/>
    <s v="SUZUKI"/>
    <s v="VITARA"/>
    <n v="9230.7150000000001"/>
    <d v="2017-08-18T00:00:00"/>
    <n v="14"/>
    <x v="1"/>
  </r>
  <r>
    <d v="2017-09-06T00:00:00"/>
    <s v="001-00010317"/>
    <n v="540"/>
    <n v="46.609999799999997"/>
    <n v="0"/>
    <n v="38.14"/>
    <n v="43.875"/>
    <n v="0"/>
    <n v="0"/>
    <n v="0"/>
    <n v="128.62499980000001"/>
    <n v="411.37500019999999"/>
    <n v="0.76180555592592591"/>
    <x v="0"/>
    <s v="-"/>
    <x v="5"/>
    <x v="0"/>
    <n v="1"/>
    <n v="1"/>
    <d v="2017-09-05T00:00:00"/>
    <s v="KIA"/>
    <s v="SORENTO"/>
    <n v="280.83249999999998"/>
    <d v="2017-09-06T00:00:00"/>
    <n v="0"/>
    <x v="157"/>
  </r>
  <r>
    <d v="2017-09-07T00:00:00"/>
    <s v="001-00010330"/>
    <n v="42.372897999999985"/>
    <n v="0"/>
    <n v="0"/>
    <n v="0"/>
    <n v="0"/>
    <n v="0"/>
    <n v="30.98875"/>
    <n v="0"/>
    <n v="30.98875"/>
    <n v="11.384147999999986"/>
    <n v="0.26866578726807849"/>
    <x v="0"/>
    <s v="-"/>
    <x v="5"/>
    <x v="0"/>
    <n v="1"/>
    <n v="1"/>
    <d v="2017-09-06T00:00:00"/>
    <s v="TOYOTA"/>
    <s v="RAV4"/>
    <n v="0"/>
    <d v="2017-09-07T00:00:00"/>
    <n v="0"/>
    <x v="96"/>
  </r>
  <r>
    <d v="2017-09-07T00:00:00"/>
    <s v="001-00010283"/>
    <n v="388.55998800000003"/>
    <n v="0"/>
    <n v="0"/>
    <n v="0"/>
    <n v="0"/>
    <n v="58.5"/>
    <n v="61.977499999999999"/>
    <n v="0"/>
    <n v="120.47749999999999"/>
    <n v="268.08248800000001"/>
    <n v="0.68993848126225488"/>
    <x v="0"/>
    <s v="LEVE"/>
    <x v="5"/>
    <x v="0"/>
    <n v="3"/>
    <n v="1"/>
    <d v="2017-09-04T00:00:00"/>
    <s v="TOYOTA"/>
    <s v="RAV4"/>
    <n v="0"/>
    <d v="2017-09-04T00:00:00"/>
    <n v="4"/>
    <x v="96"/>
  </r>
  <r>
    <d v="2017-09-07T00:00:00"/>
    <s v="001-00010281"/>
    <n v="450"/>
    <n v="109.1547465"/>
    <n v="0"/>
    <n v="0"/>
    <n v="39.048749999999998"/>
    <n v="0"/>
    <n v="0"/>
    <n v="0"/>
    <n v="148.2034965"/>
    <n v="301.79650349999997"/>
    <n v="0.67065889666666656"/>
    <x v="0"/>
    <s v="-"/>
    <x v="5"/>
    <x v="0"/>
    <n v="5"/>
    <n v="1"/>
    <d v="2017-09-02T00:00:00"/>
    <s v="GREAT WALL"/>
    <s v="HAVAL 6"/>
    <n v="0"/>
    <d v="2017-09-02T00:00:00"/>
    <n v="0"/>
    <x v="135"/>
  </r>
  <r>
    <d v="2017-09-07T00:00:00"/>
    <s v="001-00010228"/>
    <n v="792.26730715220094"/>
    <n v="0"/>
    <n v="0"/>
    <n v="0"/>
    <n v="0"/>
    <n v="58.5"/>
    <n v="154.94374999999999"/>
    <n v="0"/>
    <n v="213.44374999999999"/>
    <n v="578.82355715220092"/>
    <n v="0.73059124354478033"/>
    <x v="1"/>
    <s v="LEVE"/>
    <x v="5"/>
    <x v="0"/>
    <n v="13"/>
    <n v="1"/>
    <d v="2017-08-25T00:00:00"/>
    <s v="DAIHATSU"/>
    <s v="TERIOS"/>
    <n v="634.72500000000002"/>
    <d v="2017-08-29T00:00:00"/>
    <n v="4"/>
    <x v="1"/>
  </r>
  <r>
    <d v="2017-09-07T00:00:00"/>
    <s v="001-00010185"/>
    <n v="1061.5426492161"/>
    <n v="0"/>
    <n v="0"/>
    <n v="0"/>
    <n v="0"/>
    <n v="73.125"/>
    <n v="184.07317499999999"/>
    <n v="113.75"/>
    <n v="370.94817499999999"/>
    <n v="690.59447421610002"/>
    <n v="0.65055744554971207"/>
    <x v="1"/>
    <s v="LEVE"/>
    <x v="5"/>
    <x v="0"/>
    <n v="20"/>
    <n v="1"/>
    <d v="2017-08-18T00:00:00"/>
    <s v="SUZUKI"/>
    <s v="BALENO"/>
    <n v="2790.7425000000003"/>
    <d v="2017-08-21T00:00:00"/>
    <n v="5"/>
    <x v="1"/>
  </r>
  <r>
    <d v="2017-09-07T00:00:00"/>
    <s v="001-00010215"/>
    <n v="1764.7099455000002"/>
    <n v="0"/>
    <n v="0"/>
    <n v="41.313559322033903"/>
    <n v="87.75"/>
    <n v="204.75"/>
    <n v="170.43812500000001"/>
    <n v="0"/>
    <n v="504.25168432203395"/>
    <n v="1260.4582611779663"/>
    <n v="0.71425803679076394"/>
    <x v="1"/>
    <s v="MEDIANO"/>
    <x v="5"/>
    <x v="0"/>
    <n v="15"/>
    <n v="1"/>
    <d v="2017-08-23T00:00:00"/>
    <s v="KIA"/>
    <s v="CERATO"/>
    <n v="3415.5875000000001"/>
    <d v="2017-08-25T00:00:00"/>
    <n v="14"/>
    <x v="1"/>
  </r>
  <r>
    <d v="2017-09-08T00:00:00"/>
    <s v="001-00010300"/>
    <n v="1245"/>
    <n v="273.88417205000002"/>
    <n v="0"/>
    <n v="76.287000000000006"/>
    <n v="78.097499999999997"/>
    <n v="0"/>
    <n v="0"/>
    <n v="0"/>
    <n v="428.26867204999996"/>
    <n v="816.73132795000004"/>
    <n v="0.65600909875502011"/>
    <x v="0"/>
    <s v="-"/>
    <x v="5"/>
    <x v="0"/>
    <n v="4"/>
    <n v="1"/>
    <d v="2017-09-04T00:00:00"/>
    <s v="NISSAN"/>
    <s v="TIIDA"/>
    <n v="571.74"/>
    <d v="2017-09-05T00:00:00"/>
    <n v="0"/>
    <x v="157"/>
  </r>
  <r>
    <d v="2017-09-08T00:00:00"/>
    <s v="001-00010278"/>
    <n v="113.2600035"/>
    <n v="0"/>
    <n v="55.084745762711869"/>
    <n v="0"/>
    <n v="0"/>
    <n v="0"/>
    <n v="0"/>
    <n v="0"/>
    <n v="55.084745762711869"/>
    <n v="58.175257737288128"/>
    <n v="0.51364343933900836"/>
    <x v="1"/>
    <s v="-"/>
    <x v="5"/>
    <x v="0"/>
    <n v="7"/>
    <n v="1"/>
    <d v="2017-09-01T00:00:00"/>
    <s v="SUZUKI"/>
    <s v="GRAND NOMADE"/>
    <n v="2044.575"/>
    <d v="2017-08-29T00:00:00"/>
    <n v="0"/>
    <x v="1"/>
  </r>
  <r>
    <d v="2017-09-08T00:00:00"/>
    <s v="001-00010240"/>
    <n v="231.70310836017001"/>
    <n v="0"/>
    <n v="0"/>
    <n v="0"/>
    <n v="0"/>
    <n v="0"/>
    <n v="30.98875"/>
    <n v="0"/>
    <n v="30.98875"/>
    <n v="200.71435836017"/>
    <n v="0.86625664964395011"/>
    <x v="1"/>
    <s v="LEVE"/>
    <x v="5"/>
    <x v="0"/>
    <n v="11"/>
    <n v="1"/>
    <d v="2017-08-28T00:00:00"/>
    <s v="SUZUKI"/>
    <s v="GRAND NOMADE"/>
    <n v="1295.4825000000001"/>
    <d v="2017-08-29T00:00:00"/>
    <n v="0"/>
    <x v="1"/>
  </r>
  <r>
    <d v="2017-09-08T00:00:00"/>
    <s v="001-00010247"/>
    <n v="1035.9313599727111"/>
    <n v="0"/>
    <n v="0"/>
    <n v="0"/>
    <n v="0"/>
    <n v="117"/>
    <n v="170.43812500000001"/>
    <n v="0"/>
    <n v="287.43812500000001"/>
    <n v="748.49323497271109"/>
    <n v="0.72253168877176199"/>
    <x v="1"/>
    <s v="LEVE"/>
    <x v="5"/>
    <x v="0"/>
    <n v="11"/>
    <n v="1"/>
    <d v="2017-08-28T00:00:00"/>
    <s v="HYUNDAI"/>
    <s v="TUCSON"/>
    <n v="1468.6424999999999"/>
    <d v="2017-09-01T00:00:00"/>
    <n v="8"/>
    <x v="1"/>
  </r>
  <r>
    <d v="2017-09-08T00:00:00"/>
    <s v="001-00010223"/>
    <n v="808.20462911942036"/>
    <n v="0"/>
    <n v="0"/>
    <n v="0"/>
    <n v="0"/>
    <n v="117"/>
    <n v="61.977499999999999"/>
    <n v="0"/>
    <n v="178.97749999999999"/>
    <n v="629.2271291194204"/>
    <n v="0.7785492763200268"/>
    <x v="1"/>
    <s v="LEVE"/>
    <x v="5"/>
    <x v="0"/>
    <n v="15"/>
    <n v="1"/>
    <d v="2017-08-24T00:00:00"/>
    <s v="FORD"/>
    <s v="ECOSPORT"/>
    <n v="0"/>
    <d v="2017-08-29T00:00:00"/>
    <n v="8"/>
    <x v="1"/>
  </r>
  <r>
    <d v="2017-09-09T00:00:00"/>
    <s v="001-00010241"/>
    <n v="3053.072207773731"/>
    <n v="0"/>
    <n v="0"/>
    <n v="61.970338983050851"/>
    <n v="29.25"/>
    <n v="351"/>
    <n v="371.86500000000001"/>
    <n v="0"/>
    <n v="814.08533898305086"/>
    <n v="2238.9868687906801"/>
    <n v="0.733355360246565"/>
    <x v="1"/>
    <s v="MEDIANO"/>
    <x v="5"/>
    <x v="0"/>
    <n v="12"/>
    <n v="1"/>
    <d v="2017-08-28T00:00:00"/>
    <s v="TOYOTA"/>
    <s v="HILUX"/>
    <n v="3700.6125000000002"/>
    <d v="2017-08-29T00:00:00"/>
    <n v="24"/>
    <x v="378"/>
  </r>
  <r>
    <d v="2017-09-09T00:00:00"/>
    <s v="001-00010267"/>
    <n v="1169.93149333983"/>
    <n v="0"/>
    <n v="0"/>
    <n v="48.199152542372886"/>
    <n v="0"/>
    <n v="146.25"/>
    <n v="123.955"/>
    <n v="0"/>
    <n v="318.40415254237286"/>
    <n v="851.5273407974571"/>
    <n v="0.72784376319897381"/>
    <x v="1"/>
    <s v="MEDIANO"/>
    <x v="5"/>
    <x v="0"/>
    <n v="9"/>
    <n v="1"/>
    <d v="2017-08-31T00:00:00"/>
    <s v="SUZUKI"/>
    <s v="VITARA"/>
    <n v="264.71250000000003"/>
    <d v="2017-09-01T00:00:00"/>
    <n v="10"/>
    <x v="1"/>
  </r>
  <r>
    <d v="2017-09-09T00:00:00"/>
    <s v="001-00010197"/>
    <n v="1795.9732446330513"/>
    <n v="0"/>
    <n v="0"/>
    <n v="0"/>
    <n v="0"/>
    <n v="204.75"/>
    <n v="278.89875000000001"/>
    <n v="113.75"/>
    <n v="597.39875000000006"/>
    <n v="1198.5744946330512"/>
    <n v="0.66736767834085464"/>
    <x v="1"/>
    <s v="MEDIANO"/>
    <x v="5"/>
    <x v="0"/>
    <n v="19"/>
    <n v="1"/>
    <d v="2017-08-21T00:00:00"/>
    <s v="CHEVROLET"/>
    <s v="CRUZE"/>
    <n v="1669.9475000000002"/>
    <d v="2017-08-23T00:00:00"/>
    <n v="14"/>
    <x v="1"/>
  </r>
  <r>
    <d v="2017-09-09T00:00:00"/>
    <s v="001-00010217"/>
    <n v="930.06247124999993"/>
    <n v="0"/>
    <n v="0"/>
    <n v="41.313559322033903"/>
    <n v="0"/>
    <n v="87.75"/>
    <n v="154.94374999999999"/>
    <n v="0"/>
    <n v="284.0073093220339"/>
    <n v="646.05516192796608"/>
    <n v="0.69463630874135873"/>
    <x v="1"/>
    <s v="LEVE"/>
    <x v="5"/>
    <x v="0"/>
    <n v="17"/>
    <n v="1"/>
    <d v="2017-08-23T00:00:00"/>
    <s v="KIA"/>
    <s v="CERATO"/>
    <n v="1353.3975"/>
    <d v="2017-08-24T00:00:00"/>
    <n v="6"/>
    <x v="1"/>
  </r>
  <r>
    <d v="2017-09-09T00:00:00"/>
    <s v="001-00010219"/>
    <n v="1122.13379681271"/>
    <n v="0"/>
    <n v="0"/>
    <n v="0"/>
    <n v="14.625"/>
    <n v="87.75"/>
    <n v="123.955"/>
    <n v="113.75"/>
    <n v="340.08"/>
    <n v="782.05379681271006"/>
    <n v="0.69693453582277132"/>
    <x v="1"/>
    <s v="LEVE"/>
    <x v="5"/>
    <x v="0"/>
    <n v="16"/>
    <n v="1"/>
    <d v="2017-08-24T00:00:00"/>
    <s v="HYUNDAI"/>
    <s v="I10"/>
    <n v="1922.1149999999998"/>
    <d v="2017-08-25T00:00:00"/>
    <n v="6"/>
    <x v="1"/>
  </r>
  <r>
    <d v="2017-09-11T00:00:00"/>
    <s v="001-00010181"/>
    <n v="2062.3124362499998"/>
    <n v="0"/>
    <n v="10.17"/>
    <n v="27.542372881355934"/>
    <n v="14.625"/>
    <n v="204.75"/>
    <n v="356.37062500000002"/>
    <n v="0"/>
    <n v="613.45799788135594"/>
    <n v="1448.854438368644"/>
    <n v="0.70253876808460913"/>
    <x v="1"/>
    <s v="MEDIANO"/>
    <x v="5"/>
    <x v="0"/>
    <n v="24"/>
    <n v="1"/>
    <d v="2017-08-18T00:00:00"/>
    <s v="HYUNDAI"/>
    <s v="ACCENT"/>
    <n v="4592.6400000000003"/>
    <d v="2017-08-23T00:00:00"/>
    <n v="14"/>
    <x v="1"/>
  </r>
  <r>
    <d v="2017-09-11T00:00:00"/>
    <s v="001-00010288"/>
    <n v="1439.5749555"/>
    <n v="0"/>
    <n v="0"/>
    <n v="34.427966101694921"/>
    <n v="0"/>
    <n v="204.75"/>
    <n v="154.94374999999999"/>
    <n v="0"/>
    <n v="394.12171610169491"/>
    <n v="1045.453239398305"/>
    <n v="0.72622355328152621"/>
    <x v="1"/>
    <s v="MEDIANO"/>
    <x v="5"/>
    <x v="0"/>
    <n v="7"/>
    <n v="1"/>
    <d v="2017-09-04T00:00:00"/>
    <s v="CITROEN"/>
    <s v="C-ELYSEE"/>
    <n v="581.78250000000003"/>
    <d v="2017-09-04T00:00:00"/>
    <n v="14"/>
    <x v="1"/>
  </r>
  <r>
    <d v="2017-09-11T00:00:00"/>
    <s v="001-00010344"/>
    <n v="296.61020000000002"/>
    <n v="92.688346500000009"/>
    <n v="0"/>
    <n v="0"/>
    <n v="39.048749999999998"/>
    <n v="0"/>
    <n v="0"/>
    <n v="0"/>
    <n v="131.73709650000001"/>
    <n v="164.87310350000001"/>
    <n v="0.55585783462605132"/>
    <x v="0"/>
    <s v="-"/>
    <x v="5"/>
    <x v="0"/>
    <n v="2"/>
    <n v="1"/>
    <d v="2017-09-09T00:00:00"/>
    <s v="HYUNDAI"/>
    <s v="H1"/>
    <n v="0"/>
    <d v="2017-09-11T00:00:00"/>
    <n v="0"/>
    <x v="121"/>
  </r>
  <r>
    <d v="2017-09-11T00:00:00"/>
    <s v="001-00009576"/>
    <n v="2579.9124202500002"/>
    <n v="0"/>
    <n v="10.17"/>
    <n v="0"/>
    <n v="43.875"/>
    <n v="234"/>
    <n v="449.33687499999996"/>
    <n v="0"/>
    <n v="737.38187500000004"/>
    <n v="1842.5305452500002"/>
    <n v="0.71418336947711358"/>
    <x v="1"/>
    <s v="MEDIANO"/>
    <x v="5"/>
    <x v="0"/>
    <n v="111"/>
    <n v="1"/>
    <d v="2017-05-23T00:00:00"/>
    <s v="CHEVROLET"/>
    <s v="SAIL"/>
    <n v="6806.8325000000013"/>
    <d v="2017-06-21T00:00:00"/>
    <n v="16"/>
    <x v="1"/>
  </r>
  <r>
    <d v="2017-09-11T00:00:00"/>
    <s v="001-00010256"/>
    <n v="833.01247425000008"/>
    <n v="0"/>
    <n v="0"/>
    <n v="0"/>
    <n v="0"/>
    <n v="58.5"/>
    <n v="154.94374999999999"/>
    <n v="0"/>
    <n v="213.44374999999999"/>
    <n v="619.56872425000006"/>
    <n v="0.74376884308704572"/>
    <x v="1"/>
    <s v="LEVE"/>
    <x v="5"/>
    <x v="0"/>
    <n v="13"/>
    <n v="1"/>
    <d v="2017-08-29T00:00:00"/>
    <s v="KIA"/>
    <s v="RIO"/>
    <n v="1384.3374999999999"/>
    <d v="2017-08-29T00:00:00"/>
    <n v="4"/>
    <x v="1"/>
  </r>
  <r>
    <d v="2017-09-11T00:00:00"/>
    <s v="001-00010232"/>
    <n v="314.04182726236979"/>
    <n v="0"/>
    <n v="0"/>
    <n v="0"/>
    <n v="0"/>
    <n v="29.25"/>
    <n v="61.977499999999999"/>
    <n v="0"/>
    <n v="91.227499999999992"/>
    <n v="222.8143272623698"/>
    <n v="0.70950525668740638"/>
    <x v="1"/>
    <s v="LEVE"/>
    <x v="5"/>
    <x v="0"/>
    <n v="17"/>
    <n v="1"/>
    <d v="2017-08-25T00:00:00"/>
    <s v="KIA"/>
    <s v="SORENTO"/>
    <n v="2224.5925000000002"/>
    <d v="2017-08-29T00:00:00"/>
    <n v="2"/>
    <x v="1"/>
  </r>
  <r>
    <d v="2017-09-11T00:00:00"/>
    <s v="001-00010142"/>
    <n v="2102.7499349999994"/>
    <n v="0"/>
    <n v="10.17"/>
    <n v="110.16949152542374"/>
    <n v="29.25"/>
    <n v="175.5"/>
    <n v="309.88749999999999"/>
    <n v="0"/>
    <n v="634.97699152542373"/>
    <n v="1467.7729434745756"/>
    <n v="0.69802543756805591"/>
    <x v="1"/>
    <s v="MEDIANO"/>
    <x v="5"/>
    <x v="0"/>
    <n v="28"/>
    <n v="1"/>
    <d v="2017-08-14T00:00:00"/>
    <s v="RENAULT"/>
    <s v="STEPWAY"/>
    <n v="13183.202499999999"/>
    <d v="2017-08-16T00:00:00"/>
    <n v="12"/>
    <x v="1"/>
  </r>
  <r>
    <d v="2017-09-12T00:00:00"/>
    <s v="001-00010249"/>
    <n v="1510.9600467499999"/>
    <n v="0"/>
    <n v="0"/>
    <n v="27.542372881355934"/>
    <n v="0"/>
    <n v="175.5"/>
    <n v="154.94374999999999"/>
    <n v="81.25"/>
    <n v="439.23612288135593"/>
    <n v="1071.7239238686441"/>
    <n v="0.70929997531957845"/>
    <x v="1"/>
    <s v="MEDIANO"/>
    <x v="5"/>
    <x v="0"/>
    <n v="15"/>
    <n v="1"/>
    <d v="2017-08-28T00:00:00"/>
    <s v="KIA"/>
    <s v="RIO"/>
    <n v="857.02499999999998"/>
    <d v="2017-09-01T00:00:00"/>
    <n v="12"/>
    <x v="1"/>
  </r>
  <r>
    <d v="2017-09-12T00:00:00"/>
    <s v="001-00010301"/>
    <n v="224.95270136017007"/>
    <n v="0"/>
    <n v="0"/>
    <n v="0"/>
    <n v="0"/>
    <n v="14.625"/>
    <n v="30.98875"/>
    <n v="0"/>
    <n v="45.613749999999996"/>
    <n v="179.33895136017009"/>
    <n v="0.79722959660320702"/>
    <x v="1"/>
    <s v="LEVE"/>
    <x v="5"/>
    <x v="0"/>
    <n v="7"/>
    <n v="1"/>
    <d v="2017-09-05T00:00:00"/>
    <s v="HYUNDAI"/>
    <s v="ELANTRA"/>
    <n v="966.25750000000005"/>
    <d v="2017-09-05T00:00:00"/>
    <n v="1"/>
    <x v="1"/>
  </r>
  <r>
    <d v="2017-09-12T00:00:00"/>
    <s v="001-00010313"/>
    <n v="1800.71693571525"/>
    <n v="0"/>
    <n v="0"/>
    <n v="41.313559322033903"/>
    <n v="0"/>
    <n v="204.75"/>
    <n v="247.91"/>
    <n v="0"/>
    <n v="493.97355932203391"/>
    <n v="1306.7433763932161"/>
    <n v="0.72567950602084708"/>
    <x v="1"/>
    <s v="MEDIANO"/>
    <x v="5"/>
    <x v="0"/>
    <n v="7"/>
    <n v="1"/>
    <d v="2017-09-05T00:00:00"/>
    <s v="RENAULT"/>
    <s v="LOGAN"/>
    <n v="0"/>
    <d v="2017-09-05T00:00:00"/>
    <n v="14"/>
    <x v="379"/>
  </r>
  <r>
    <d v="2017-09-12T00:00:00"/>
    <s v="001-00010343"/>
    <n v="520.40663366968988"/>
    <n v="0"/>
    <n v="0"/>
    <n v="48.199152542372886"/>
    <n v="0"/>
    <n v="43.875"/>
    <n v="92.966250000000002"/>
    <n v="0"/>
    <n v="185.04040254237287"/>
    <n v="335.36623112731701"/>
    <n v="0.64443112256747126"/>
    <x v="0"/>
    <s v="LEVE"/>
    <x v="5"/>
    <x v="0"/>
    <n v="3"/>
    <n v="1"/>
    <d v="2017-09-09T00:00:00"/>
    <s v="JEEP"/>
    <s v="CHEROKEE"/>
    <n v="0"/>
    <d v="2017-09-11T00:00:00"/>
    <n v="3"/>
    <x v="380"/>
  </r>
  <r>
    <d v="2017-09-13T00:00:00"/>
    <s v="001-00010366"/>
    <n v="296.61020000000002"/>
    <n v="97.979346499999991"/>
    <n v="0"/>
    <n v="0"/>
    <n v="39.048749999999998"/>
    <n v="0"/>
    <n v="0"/>
    <n v="0"/>
    <n v="137.0280965"/>
    <n v="159.58210350000002"/>
    <n v="0.53801960788941183"/>
    <x v="0"/>
    <s v="-"/>
    <x v="5"/>
    <x v="0"/>
    <n v="0"/>
    <n v="1"/>
    <d v="2017-09-13T00:00:00"/>
    <s v="HYUNDAI"/>
    <s v="H1"/>
    <n v="0"/>
    <d v="2017-09-13T00:00:00"/>
    <n v="0"/>
    <x v="121"/>
  </r>
  <r>
    <d v="2017-09-13T00:00:00"/>
    <s v="001-00010322"/>
    <n v="1446.949752422031"/>
    <n v="0"/>
    <n v="0"/>
    <n v="42.907966101694925"/>
    <n v="0"/>
    <n v="175.5"/>
    <n v="216.92125000000001"/>
    <n v="0"/>
    <n v="435.3292161016949"/>
    <n v="1011.6205363203361"/>
    <n v="0.69914005972010929"/>
    <x v="1"/>
    <s v="MEDIANO"/>
    <x v="5"/>
    <x v="0"/>
    <n v="7"/>
    <n v="1"/>
    <d v="2017-09-06T00:00:00"/>
    <s v="NISSAN"/>
    <s v="VERSA"/>
    <n v="0"/>
    <d v="2017-09-08T00:00:00"/>
    <n v="12"/>
    <x v="1"/>
  </r>
  <r>
    <d v="2017-09-13T00:00:00"/>
    <s v="001-00010233"/>
    <n v="671.8383092322"/>
    <n v="0"/>
    <n v="0"/>
    <n v="0"/>
    <n v="0"/>
    <n v="43.875"/>
    <n v="123.955"/>
    <n v="0"/>
    <n v="167.82999999999998"/>
    <n v="504.00830923220002"/>
    <n v="0.75019286978171595"/>
    <x v="1"/>
    <s v="LEVE"/>
    <x v="5"/>
    <x v="0"/>
    <n v="19"/>
    <n v="1"/>
    <d v="2017-08-25T00:00:00"/>
    <s v="HYUNDAI"/>
    <s v="ACCENT"/>
    <n v="1375.01"/>
    <d v="2017-08-29T00:00:00"/>
    <n v="3"/>
    <x v="1"/>
  </r>
  <r>
    <d v="2017-09-13T00:00:00"/>
    <s v="001-00010029"/>
    <n v="2717.3999159999998"/>
    <n v="0"/>
    <n v="10.17"/>
    <n v="56.563559322033903"/>
    <n v="29.25"/>
    <n v="175.5"/>
    <n v="495.82"/>
    <n v="0"/>
    <n v="767.30355932203383"/>
    <n v="1950.096356677966"/>
    <n v="0.71763318501477646"/>
    <x v="1"/>
    <s v="MEDIANO"/>
    <x v="5"/>
    <x v="0"/>
    <n v="43"/>
    <n v="1"/>
    <d v="2017-08-01T00:00:00"/>
    <s v="NISSAN"/>
    <s v="TIIDA"/>
    <n v="11433.955"/>
    <d v="2017-08-08T00:00:00"/>
    <n v="12"/>
    <x v="1"/>
  </r>
  <r>
    <d v="2017-09-14T00:00:00"/>
    <s v="001-00010145"/>
    <n v="2835"/>
    <n v="0"/>
    <n v="0"/>
    <n v="179.02542372881356"/>
    <n v="0"/>
    <n v="292.5"/>
    <n v="433.84250000000003"/>
    <n v="0"/>
    <n v="905.36792372881359"/>
    <n v="1929.6320762711864"/>
    <n v="0.68064623501629151"/>
    <x v="1"/>
    <s v="MEDIANO"/>
    <x v="5"/>
    <x v="0"/>
    <n v="31"/>
    <n v="1"/>
    <d v="2017-08-14T00:00:00"/>
    <s v="MITSUBISHI"/>
    <s v="MONTERO"/>
    <n v="11559.2425"/>
    <d v="2017-08-17T00:00:00"/>
    <n v="20"/>
    <x v="381"/>
  </r>
  <r>
    <d v="2017-09-14T00:00:00"/>
    <s v="001-00010295"/>
    <n v="1810.3636079999999"/>
    <n v="0"/>
    <n v="0"/>
    <n v="27.542372881355934"/>
    <n v="0"/>
    <n v="292.5"/>
    <n v="201.426875"/>
    <n v="0"/>
    <n v="521.46924788135595"/>
    <n v="1288.8943601186438"/>
    <n v="0.71195330839783644"/>
    <x v="1"/>
    <s v="MEDIANO"/>
    <x v="5"/>
    <x v="0"/>
    <n v="10"/>
    <n v="1"/>
    <d v="2017-09-04T00:00:00"/>
    <s v="KIA"/>
    <s v="RIO"/>
    <n v="1309.2950000000001"/>
    <d v="2017-09-05T00:00:00"/>
    <n v="20"/>
    <x v="1"/>
  </r>
  <r>
    <d v="2017-09-14T00:00:00"/>
    <s v="001-00010148"/>
    <n v="5799.6136403999999"/>
    <n v="0"/>
    <n v="10.17"/>
    <n v="20.656779661016952"/>
    <n v="165.26250000000002"/>
    <n v="585"/>
    <n v="743.73"/>
    <n v="0"/>
    <n v="1524.8192796610169"/>
    <n v="4274.7943607389825"/>
    <n v="0.73708261028990707"/>
    <x v="1"/>
    <s v="MEDIANO"/>
    <x v="5"/>
    <x v="0"/>
    <n v="30"/>
    <n v="1"/>
    <d v="2017-08-15T00:00:00"/>
    <s v="CHEVROLET"/>
    <s v="SAIL"/>
    <n v="7890.0574999999999"/>
    <d v="2017-08-17T00:00:00"/>
    <n v="40"/>
    <x v="1"/>
  </r>
  <r>
    <d v="2017-09-14T00:00:00"/>
    <s v="001-00010379"/>
    <n v="296.61020000000002"/>
    <n v="97.979346499999991"/>
    <n v="0"/>
    <n v="0"/>
    <n v="39.048749999999998"/>
    <n v="0"/>
    <n v="0"/>
    <n v="0"/>
    <n v="137.0280965"/>
    <n v="159.58210350000002"/>
    <n v="0.53801960788941183"/>
    <x v="0"/>
    <s v="-"/>
    <x v="5"/>
    <x v="0"/>
    <n v="0"/>
    <n v="1"/>
    <d v="2017-09-14T00:00:00"/>
    <s v="HYUNDAI"/>
    <s v="H1"/>
    <n v="0"/>
    <d v="2017-09-14T00:00:00"/>
    <n v="0"/>
    <x v="121"/>
  </r>
  <r>
    <d v="2017-09-14T00:00:00"/>
    <s v="001-00010378"/>
    <n v="315"/>
    <n v="130.14809599999998"/>
    <n v="0"/>
    <n v="0"/>
    <n v="39.048749999999998"/>
    <n v="0"/>
    <n v="0"/>
    <n v="0"/>
    <n v="169.19684599999999"/>
    <n v="145.80315400000001"/>
    <n v="0.46286715555555558"/>
    <x v="0"/>
    <s v="-"/>
    <x v="5"/>
    <x v="0"/>
    <n v="0"/>
    <n v="1"/>
    <d v="2017-09-14T00:00:00"/>
    <s v="KIA"/>
    <s v="RIO"/>
    <n v="0"/>
    <d v="2017-09-14T00:00:00"/>
    <n v="0"/>
    <x v="157"/>
  </r>
  <r>
    <d v="2017-09-14T00:00:00"/>
    <s v="001-00010248"/>
    <n v="1871.1000000000001"/>
    <n v="0"/>
    <n v="0"/>
    <n v="0"/>
    <n v="14.625"/>
    <n v="204.75"/>
    <n v="278.89875000000001"/>
    <n v="0"/>
    <n v="498.27375000000001"/>
    <n v="1372.8262500000001"/>
    <n v="0.73370009620009613"/>
    <x v="1"/>
    <s v="MEDIANO"/>
    <x v="5"/>
    <x v="0"/>
    <n v="17"/>
    <n v="1"/>
    <d v="2017-08-28T00:00:00"/>
    <s v="KIA"/>
    <s v="RIO"/>
    <n v="3396.1525000000001"/>
    <d v="2017-09-01T00:00:00"/>
    <n v="14"/>
    <x v="1"/>
  </r>
  <r>
    <d v="2017-09-14T00:00:00"/>
    <s v="001-00010259"/>
    <n v="729"/>
    <n v="0"/>
    <n v="0"/>
    <n v="34.427966101694921"/>
    <n v="7.3125"/>
    <n v="87.75"/>
    <n v="123.955"/>
    <n v="0"/>
    <n v="253.44546610169493"/>
    <n v="475.55453389830507"/>
    <n v="0.65233818093045959"/>
    <x v="1"/>
    <s v="LEVE"/>
    <x v="5"/>
    <x v="0"/>
    <n v="16"/>
    <n v="1"/>
    <d v="2017-08-29T00:00:00"/>
    <s v="KIA"/>
    <s v="CERATO"/>
    <n v="0"/>
    <d v="2017-09-05T00:00:00"/>
    <n v="6"/>
    <x v="1"/>
  </r>
  <r>
    <d v="2017-09-15T00:00:00"/>
    <s v="001-00010286"/>
    <n v="1620"/>
    <n v="0"/>
    <n v="0"/>
    <n v="84.75"/>
    <n v="29.25"/>
    <n v="175.5"/>
    <n v="185.9325"/>
    <n v="0"/>
    <n v="475.4325"/>
    <n v="1144.5675000000001"/>
    <n v="0.70652314814814821"/>
    <x v="1"/>
    <s v="MEDIANO"/>
    <x v="5"/>
    <x v="0"/>
    <n v="11"/>
    <n v="1"/>
    <d v="2017-09-04T00:00:00"/>
    <s v="SUZUKI"/>
    <s v="APV"/>
    <n v="2520.1800000000003"/>
    <d v="2017-09-04T00:00:00"/>
    <n v="12"/>
    <x v="382"/>
  </r>
  <r>
    <d v="2017-09-15T00:00:00"/>
    <s v="001-00010260"/>
    <n v="319.96360800000002"/>
    <n v="0"/>
    <n v="0"/>
    <n v="0"/>
    <n v="0"/>
    <n v="29.25"/>
    <n v="61.977499999999999"/>
    <n v="0"/>
    <n v="91.227499999999992"/>
    <n v="228.73610800000003"/>
    <n v="0.71488163741421495"/>
    <x v="1"/>
    <s v="LEVE"/>
    <x v="5"/>
    <x v="0"/>
    <n v="17"/>
    <n v="1"/>
    <d v="2017-08-29T00:00:00"/>
    <s v="VOLKSWAGEN"/>
    <s v="GOL"/>
    <n v="535.07999999999993"/>
    <d v="2017-09-04T00:00:00"/>
    <n v="2"/>
    <x v="1"/>
  </r>
  <r>
    <d v="2017-09-15T00:00:00"/>
    <s v="001-00010102"/>
    <n v="356.40000000000003"/>
    <n v="0"/>
    <n v="0"/>
    <n v="34.322033898305094"/>
    <n v="0"/>
    <n v="29.25"/>
    <n v="61.977499999999999"/>
    <n v="0"/>
    <n v="125.5495338983051"/>
    <n v="230.85046610169493"/>
    <n v="0.6477285805322528"/>
    <x v="1"/>
    <s v="LEVE"/>
    <x v="5"/>
    <x v="0"/>
    <n v="37"/>
    <n v="1"/>
    <d v="2017-08-09T00:00:00"/>
    <s v="NISSAN"/>
    <s v="VERSA"/>
    <n v="338.55250000000001"/>
    <d v="2017-08-10T00:00:00"/>
    <n v="2"/>
    <x v="1"/>
  </r>
  <r>
    <d v="2017-09-15T00:00:00"/>
    <s v="001-00010323"/>
    <n v="425.26362095999997"/>
    <n v="0"/>
    <n v="0"/>
    <n v="0"/>
    <n v="7.3125"/>
    <n v="0"/>
    <n v="0"/>
    <n v="0"/>
    <n v="7.3125"/>
    <n v="417.95112095999997"/>
    <n v="0.98280478357520307"/>
    <x v="1"/>
    <s v="LEVE"/>
    <x v="5"/>
    <x v="0"/>
    <n v="9"/>
    <n v="1"/>
    <d v="2017-09-06T00:00:00"/>
    <s v="MITSUBISHI"/>
    <s v="L200"/>
    <n v="2239.9"/>
    <d v="2017-09-07T00:00:00"/>
    <n v="0"/>
    <x v="1"/>
  </r>
  <r>
    <d v="2017-09-15T00:00:00"/>
    <s v="001-00010307"/>
    <n v="729.00000000000011"/>
    <n v="10.17"/>
    <n v="0"/>
    <n v="215.04355932203393"/>
    <n v="29.25"/>
    <n v="14.625"/>
    <n v="61.977499999999999"/>
    <n v="0"/>
    <n v="331.06605932203394"/>
    <n v="397.93394067796618"/>
    <n v="0.54586274441421967"/>
    <x v="1"/>
    <s v="LEVE"/>
    <x v="5"/>
    <x v="0"/>
    <n v="10"/>
    <n v="1"/>
    <d v="2017-09-05T00:00:00"/>
    <s v="TOYOTA"/>
    <s v="YARIS"/>
    <n v="500.5"/>
    <d v="2017-09-07T00:00:00"/>
    <n v="1"/>
    <x v="1"/>
  </r>
  <r>
    <d v="2017-09-15T00:00:00"/>
    <s v="001-00010345"/>
    <n v="563.76"/>
    <n v="0"/>
    <n v="0"/>
    <n v="96.398305084745772"/>
    <n v="0"/>
    <n v="29.25"/>
    <n v="61.977499999999999"/>
    <n v="0"/>
    <n v="187.62580508474576"/>
    <n v="376.13419491525423"/>
    <n v="0.6671885109182174"/>
    <x v="1"/>
    <s v="LEVE"/>
    <x v="5"/>
    <x v="0"/>
    <n v="4"/>
    <n v="1"/>
    <d v="2017-09-11T00:00:00"/>
    <s v="TOYOTA"/>
    <s v="COROLLA"/>
    <n v="0"/>
    <d v="2017-09-11T00:00:00"/>
    <n v="2"/>
    <x v="1"/>
  </r>
  <r>
    <d v="2017-09-15T00:00:00"/>
    <s v="001-00010388"/>
    <n v="296.61020000000002"/>
    <n v="97.979346499999991"/>
    <n v="0"/>
    <n v="0"/>
    <n v="39.048749999999998"/>
    <n v="0"/>
    <n v="0"/>
    <n v="0"/>
    <n v="137.0280965"/>
    <n v="159.58210350000002"/>
    <n v="0.53801960788941183"/>
    <x v="0"/>
    <s v="-"/>
    <x v="5"/>
    <x v="0"/>
    <n v="0"/>
    <n v="1"/>
    <d v="2017-09-15T00:00:00"/>
    <s v="HYUNDAI"/>
    <s v="H1"/>
    <n v="0"/>
    <d v="2017-09-15T00:00:00"/>
    <n v="0"/>
    <x v="121"/>
  </r>
  <r>
    <d v="2017-09-16T00:00:00"/>
    <s v="001-00010296"/>
    <n v="2695.8399169999993"/>
    <n v="0"/>
    <n v="0"/>
    <n v="123.9406779661017"/>
    <n v="29.25"/>
    <n v="234"/>
    <n v="402.85374999999999"/>
    <n v="0"/>
    <n v="790.04442796610169"/>
    <n v="1905.7954890338976"/>
    <n v="0.70693941321067622"/>
    <x v="1"/>
    <s v="MEDIANO"/>
    <x v="5"/>
    <x v="0"/>
    <n v="12"/>
    <n v="1"/>
    <d v="2017-09-04T00:00:00"/>
    <s v="RENAULT"/>
    <s v="LOGAN"/>
    <n v="779.22"/>
    <d v="2017-09-05T00:00:00"/>
    <n v="16"/>
    <x v="1"/>
  </r>
  <r>
    <d v="2017-09-16T00:00:00"/>
    <s v="001-00010269"/>
    <n v="1810.75994425"/>
    <n v="0"/>
    <n v="0"/>
    <n v="56.563559322033903"/>
    <n v="29.25"/>
    <n v="117"/>
    <n v="278.89875000000001"/>
    <n v="0"/>
    <n v="481.71230932203389"/>
    <n v="1329.0476349279661"/>
    <n v="0.73397229663065322"/>
    <x v="1"/>
    <s v="LEVE"/>
    <x v="5"/>
    <x v="0"/>
    <n v="16"/>
    <n v="1"/>
    <d v="2017-08-31T00:00:00"/>
    <s v="KIA"/>
    <s v="CERATO"/>
    <n v="4820.2375000000002"/>
    <d v="2017-09-01T00:00:00"/>
    <n v="8"/>
    <x v="1"/>
  </r>
  <r>
    <d v="2017-09-16T00:00:00"/>
    <s v="001-00010337"/>
    <n v="1798.5935862245799"/>
    <n v="0"/>
    <n v="0"/>
    <n v="0"/>
    <n v="0"/>
    <n v="321.75"/>
    <n v="185.9325"/>
    <n v="0"/>
    <n v="507.6825"/>
    <n v="1290.9110862245798"/>
    <n v="0.71773362037519872"/>
    <x v="1"/>
    <s v="MEDIANO"/>
    <x v="5"/>
    <x v="0"/>
    <n v="9"/>
    <n v="1"/>
    <d v="2017-09-07T00:00:00"/>
    <s v="TOYOTA"/>
    <s v="YARIS"/>
    <n v="1053.0650000000001"/>
    <d v="2017-09-08T00:00:00"/>
    <n v="22"/>
    <x v="1"/>
  </r>
  <r>
    <d v="2017-09-16T00:00:00"/>
    <s v="001-00010262"/>
    <n v="2330.4399282500003"/>
    <n v="0"/>
    <n v="10.17"/>
    <n v="70.334745762711862"/>
    <n v="14.625"/>
    <n v="234"/>
    <n v="402.85374999999999"/>
    <n v="0"/>
    <n v="731.98349576271187"/>
    <n v="1598.4564324872886"/>
    <n v="0.68590329796126481"/>
    <x v="1"/>
    <s v="MEDIANO"/>
    <x v="5"/>
    <x v="0"/>
    <n v="18"/>
    <n v="1"/>
    <d v="2017-08-29T00:00:00"/>
    <s v="SUZUKI"/>
    <s v="CELERIO"/>
    <n v="4185.3825000000006"/>
    <d v="2017-09-01T00:00:00"/>
    <n v="16"/>
    <x v="1"/>
  </r>
  <r>
    <d v="2017-09-16T00:00:00"/>
    <s v="001-00010291"/>
    <n v="1477.8399545"/>
    <n v="0"/>
    <n v="0"/>
    <n v="164.78033898305085"/>
    <n v="29.25"/>
    <n v="146.25"/>
    <n v="123.955"/>
    <n v="113.75"/>
    <n v="577.98533898305084"/>
    <n v="899.85461551694914"/>
    <n v="0.60889855682741945"/>
    <x v="1"/>
    <s v="MEDIANO"/>
    <x v="5"/>
    <x v="0"/>
    <n v="12"/>
    <n v="1"/>
    <d v="2017-09-04T00:00:00"/>
    <s v="KIA"/>
    <s v="SPORTAGE"/>
    <n v="4888.2924999999996"/>
    <d v="2017-09-05T00:00:00"/>
    <n v="10"/>
    <x v="1"/>
  </r>
  <r>
    <d v="2017-09-16T00:00:00"/>
    <s v="001-00010230"/>
    <n v="2761.3504185030506"/>
    <n v="0"/>
    <n v="55.084745762711869"/>
    <n v="20.656779661016952"/>
    <n v="29.25"/>
    <n v="321.75"/>
    <n v="371.86500000000001"/>
    <n v="0"/>
    <n v="798.60652542372884"/>
    <n v="1962.7438930793219"/>
    <n v="0.71079131425244479"/>
    <x v="1"/>
    <s v="MEDIANO"/>
    <x v="5"/>
    <x v="0"/>
    <n v="22"/>
    <n v="1"/>
    <d v="2017-08-25T00:00:00"/>
    <s v="HYUNDAI"/>
    <s v="ELANTRA"/>
    <n v="3621.54"/>
    <d v="2017-08-29T00:00:00"/>
    <n v="22"/>
    <x v="1"/>
  </r>
  <r>
    <d v="2017-09-16T00:00:00"/>
    <s v="001-00010399"/>
    <n v="296.61020000000002"/>
    <n v="97.979346499999991"/>
    <n v="0"/>
    <n v="0"/>
    <n v="39.048749999999998"/>
    <n v="0"/>
    <n v="0"/>
    <n v="0"/>
    <n v="137.0280965"/>
    <n v="159.58210350000002"/>
    <n v="0.53801960788941183"/>
    <x v="0"/>
    <s v="-"/>
    <x v="5"/>
    <x v="0"/>
    <n v="0"/>
    <n v="1"/>
    <d v="2017-09-16T00:00:00"/>
    <s v="HYUNDAI"/>
    <s v="H1"/>
    <n v="0"/>
    <d v="2017-09-16T00:00:00"/>
    <n v="0"/>
    <x v="121"/>
  </r>
  <r>
    <d v="2017-09-18T00:00:00"/>
    <s v="001-00010336"/>
    <n v="417.50569260176024"/>
    <n v="0"/>
    <n v="0"/>
    <n v="27.542372881355934"/>
    <n v="0"/>
    <n v="36.5625"/>
    <n v="61.977499999999999"/>
    <n v="0"/>
    <n v="126.08237288135592"/>
    <n v="291.42331972040432"/>
    <n v="0.69801041012003595"/>
    <x v="1"/>
    <s v="LEVE"/>
    <x v="5"/>
    <x v="0"/>
    <n v="10"/>
    <n v="1"/>
    <d v="2017-09-08T00:00:00"/>
    <s v="MG"/>
    <s v="MG3"/>
    <n v="1874.7625"/>
    <d v="2017-09-08T00:00:00"/>
    <n v="2.5"/>
    <x v="1"/>
  </r>
  <r>
    <d v="2017-09-18T00:00:00"/>
    <s v="001-00010258"/>
    <n v="3097.7935787045785"/>
    <n v="0"/>
    <n v="6.78"/>
    <n v="36.022372881355935"/>
    <n v="131.625"/>
    <n v="351"/>
    <n v="371.86500000000001"/>
    <n v="0"/>
    <n v="897.29237288135596"/>
    <n v="2200.5012058232223"/>
    <n v="0.71034468563377229"/>
    <x v="1"/>
    <s v="MEDIANO"/>
    <x v="5"/>
    <x v="0"/>
    <n v="20"/>
    <n v="1"/>
    <d v="2017-08-29T00:00:00"/>
    <s v="KIA"/>
    <s v="RIO"/>
    <n v="9786.14"/>
    <d v="2017-08-31T00:00:00"/>
    <n v="24"/>
    <x v="1"/>
  </r>
  <r>
    <d v="2017-09-18T00:00:00"/>
    <s v="001-00010325"/>
    <n v="795.7599755"/>
    <n v="0"/>
    <n v="0"/>
    <n v="15.25"/>
    <n v="0"/>
    <n v="58.5"/>
    <n v="185.9325"/>
    <n v="0"/>
    <n v="259.6825"/>
    <n v="536.07747549999999"/>
    <n v="0.67366730170509814"/>
    <x v="1"/>
    <s v="LEVE"/>
    <x v="5"/>
    <x v="0"/>
    <n v="11"/>
    <n v="1"/>
    <d v="2017-09-07T00:00:00"/>
    <s v="TOYOTA"/>
    <s v="RAV4"/>
    <n v="751.6925"/>
    <d v="2017-09-07T00:00:00"/>
    <n v="4"/>
    <x v="1"/>
  </r>
  <r>
    <d v="2017-09-18T00:00:00"/>
    <s v="001-00010367"/>
    <n v="1936.4961915788099"/>
    <n v="0"/>
    <n v="0"/>
    <n v="0"/>
    <n v="0"/>
    <n v="263.25"/>
    <n v="127.67364999999999"/>
    <n v="113.75"/>
    <n v="504.67365000000001"/>
    <n v="1431.8225415788099"/>
    <n v="0.73938825586403889"/>
    <x v="1"/>
    <s v="MEDIANO"/>
    <x v="5"/>
    <x v="0"/>
    <n v="6"/>
    <n v="1"/>
    <d v="2017-09-12T00:00:00"/>
    <s v="MAZDA"/>
    <s v="MAZDA 3"/>
    <n v="31.297500000000003"/>
    <d v="2017-09-13T00:00:00"/>
    <n v="18"/>
    <x v="1"/>
  </r>
  <r>
    <d v="2017-09-19T00:00:00"/>
    <s v="001-00010422"/>
    <n v="264"/>
    <n v="58.868096999999992"/>
    <n v="0"/>
    <n v="0"/>
    <n v="39.048749999999998"/>
    <n v="0"/>
    <n v="0"/>
    <n v="0"/>
    <n v="97.91684699999999"/>
    <n v="166.08315300000001"/>
    <n v="0.62910285227272733"/>
    <x v="0"/>
    <s v="-"/>
    <x v="5"/>
    <x v="0"/>
    <n v="0"/>
    <n v="1"/>
    <d v="2017-09-19T00:00:00"/>
    <s v="HYUNDAI"/>
    <s v="ELANTRA"/>
    <n v="15.015000000000001"/>
    <d v="2017-09-19T00:00:00"/>
    <n v="0"/>
    <x v="383"/>
  </r>
  <r>
    <d v="2017-09-19T00:00:00"/>
    <s v="001-00010364"/>
    <n v="459.92618960293021"/>
    <n v="0"/>
    <n v="0"/>
    <n v="41.313559322033896"/>
    <n v="0"/>
    <n v="14.625"/>
    <n v="61.977499999999999"/>
    <n v="0"/>
    <n v="117.9160593220339"/>
    <n v="342.01013028089631"/>
    <n v="0.74361960247613901"/>
    <x v="1"/>
    <s v="LEVE"/>
    <x v="5"/>
    <x v="0"/>
    <n v="7"/>
    <n v="1"/>
    <d v="2017-09-12T00:00:00"/>
    <s v="KIA"/>
    <s v="RIO"/>
    <n v="0"/>
    <d v="2017-09-13T00:00:00"/>
    <n v="1"/>
    <x v="1"/>
  </r>
  <r>
    <d v="2017-09-19T00:00:00"/>
    <s v="001-00010270"/>
    <n v="3228.7075276654209"/>
    <n v="0"/>
    <n v="0"/>
    <n v="12.71"/>
    <n v="48.262499999999996"/>
    <n v="468"/>
    <n v="371.86500000000001"/>
    <n v="0"/>
    <n v="900.83749999999998"/>
    <n v="2327.8700276654208"/>
    <n v="0.72099129689477692"/>
    <x v="1"/>
    <s v="GRAVE"/>
    <x v="5"/>
    <x v="0"/>
    <n v="19"/>
    <n v="1"/>
    <d v="2017-08-31T00:00:00"/>
    <s v="TOYOTA"/>
    <s v="YARIS"/>
    <n v="5721.0725000000002"/>
    <d v="2017-09-04T00:00:00"/>
    <n v="32"/>
    <x v="1"/>
  </r>
  <r>
    <d v="2017-09-19T00:00:00"/>
    <s v="001-00010354"/>
    <n v="550.65057635830908"/>
    <n v="0"/>
    <n v="0"/>
    <n v="0"/>
    <n v="0"/>
    <n v="29.25"/>
    <n v="123.955"/>
    <n v="0"/>
    <n v="153.20499999999998"/>
    <n v="397.4455763583091"/>
    <n v="0.72177455799063894"/>
    <x v="1"/>
    <s v="LEVE"/>
    <x v="5"/>
    <x v="0"/>
    <n v="7"/>
    <n v="1"/>
    <d v="2017-09-12T00:00:00"/>
    <s v="HYUNDAI"/>
    <s v="ELANTRA"/>
    <n v="553.21500000000003"/>
    <d v="2017-09-11T00:00:00"/>
    <n v="2"/>
    <x v="1"/>
  </r>
  <r>
    <d v="2017-09-19T00:00:00"/>
    <s v="001-00010427"/>
    <n v="315"/>
    <n v="156.34639889999997"/>
    <n v="0"/>
    <n v="0"/>
    <n v="39.048749999999998"/>
    <n v="0"/>
    <n v="0"/>
    <n v="0"/>
    <n v="195.39514889999998"/>
    <n v="119.60485110000002"/>
    <n v="0.37969794000000007"/>
    <x v="0"/>
    <s v="-"/>
    <x v="5"/>
    <x v="0"/>
    <n v="0"/>
    <n v="1"/>
    <d v="2017-09-19T00:00:00"/>
    <s v="NISSAN"/>
    <s v="TIIDA"/>
    <n v="0"/>
    <d v="2017-09-19T00:00:00"/>
    <n v="0"/>
    <x v="157"/>
  </r>
  <r>
    <d v="2017-09-19T00:00:00"/>
    <s v="001-00010423"/>
    <n v="296.61020000000002"/>
    <n v="97.979346499999991"/>
    <n v="0"/>
    <n v="0"/>
    <n v="39.048749999999998"/>
    <n v="0"/>
    <n v="0"/>
    <n v="0"/>
    <n v="137.0280965"/>
    <n v="159.58210350000002"/>
    <n v="0.53801960788941183"/>
    <x v="0"/>
    <s v="-"/>
    <x v="5"/>
    <x v="0"/>
    <n v="0"/>
    <n v="1"/>
    <d v="2017-09-19T00:00:00"/>
    <s v="HYUNDAI"/>
    <s v="H1"/>
    <n v="0"/>
    <d v="2017-09-19T00:00:00"/>
    <n v="0"/>
    <x v="121"/>
  </r>
  <r>
    <d v="2017-09-20T00:00:00"/>
    <s v="001-00010266"/>
    <n v="3188.21240175"/>
    <n v="0"/>
    <n v="0"/>
    <n v="15.25"/>
    <n v="14.625"/>
    <n v="409.5"/>
    <n v="263.40437500000002"/>
    <n v="0"/>
    <n v="702.77937500000007"/>
    <n v="2485.43302675"/>
    <n v="0.77956946199248001"/>
    <x v="1"/>
    <s v="GRAVE"/>
    <x v="5"/>
    <x v="0"/>
    <n v="20"/>
    <n v="1"/>
    <d v="2017-08-31T00:00:00"/>
    <s v="NISSAN"/>
    <s v="FRONTIER"/>
    <n v="2884.8624999999997"/>
    <d v="2017-09-01T00:00:00"/>
    <n v="28"/>
    <x v="384"/>
  </r>
  <r>
    <d v="2017-09-20T00:00:00"/>
    <s v="001-00010297"/>
    <n v="2015.9698493245787"/>
    <n v="10.17"/>
    <n v="0"/>
    <n v="0"/>
    <n v="43.875"/>
    <n v="234"/>
    <n v="278.89875000000001"/>
    <n v="0"/>
    <n v="566.94375000000002"/>
    <n v="1449.0260993245788"/>
    <n v="0.7187736958516785"/>
    <x v="1"/>
    <s v="MEDIANO"/>
    <x v="5"/>
    <x v="0"/>
    <n v="16"/>
    <n v="1"/>
    <d v="2017-09-04T00:00:00"/>
    <s v="SUZUKI"/>
    <s v="SWIFT"/>
    <n v="4119.5700000000006"/>
    <d v="2017-09-05T00:00:00"/>
    <n v="16"/>
    <x v="1"/>
  </r>
  <r>
    <d v="2017-09-20T00:00:00"/>
    <s v="001-00010362"/>
    <n v="724.5149892228809"/>
    <n v="0"/>
    <n v="0"/>
    <n v="34.427966101694921"/>
    <n v="0"/>
    <n v="43.875"/>
    <n v="123.955"/>
    <n v="0"/>
    <n v="202.25796610169493"/>
    <n v="522.25702312118597"/>
    <n v="0.7208367402879573"/>
    <x v="1"/>
    <s v="LEVE"/>
    <x v="5"/>
    <x v="0"/>
    <n v="8"/>
    <n v="1"/>
    <d v="2017-09-12T00:00:00"/>
    <s v="CHEVROLET"/>
    <s v="SAIL"/>
    <n v="246.22000000000003"/>
    <d v="2017-09-12T00:00:00"/>
    <n v="3"/>
    <x v="1"/>
  </r>
  <r>
    <d v="2017-09-20T00:00:00"/>
    <s v="001-00010309"/>
    <n v="644.95735912457997"/>
    <n v="0"/>
    <n v="0"/>
    <n v="0"/>
    <n v="0"/>
    <n v="58.5"/>
    <n v="139.449375"/>
    <n v="0"/>
    <n v="197.949375"/>
    <n v="447.00798412457993"/>
    <n v="0.69308145383644792"/>
    <x v="1"/>
    <s v="LEVE"/>
    <x v="5"/>
    <x v="0"/>
    <n v="15"/>
    <n v="1"/>
    <d v="2017-09-05T00:00:00"/>
    <s v="HYUNDAI"/>
    <s v="ELANTRA"/>
    <n v="384.57249999999999"/>
    <d v="2017-09-07T00:00:00"/>
    <n v="4"/>
    <x v="1"/>
  </r>
  <r>
    <d v="2017-09-20T00:00:00"/>
    <s v="001-00010261"/>
    <n v="1899.6450074593192"/>
    <n v="10.17"/>
    <n v="0"/>
    <n v="84.75"/>
    <n v="14.625"/>
    <n v="131.625"/>
    <n v="348.93332499999997"/>
    <n v="0"/>
    <n v="590.10332500000004"/>
    <n v="1309.5416824593192"/>
    <n v="0.68936126345562121"/>
    <x v="1"/>
    <s v="LEVE"/>
    <x v="5"/>
    <x v="0"/>
    <n v="22"/>
    <n v="1"/>
    <d v="2017-08-29T00:00:00"/>
    <s v="HYUNDAI"/>
    <s v="ELANTRA"/>
    <n v="3576.4949999999999"/>
    <d v="2017-09-01T00:00:00"/>
    <n v="9"/>
    <x v="1"/>
  </r>
  <r>
    <d v="2017-09-20T00:00:00"/>
    <s v="001-00010348"/>
    <n v="1610.7628740783089"/>
    <n v="0"/>
    <n v="0"/>
    <n v="20.656779661016948"/>
    <n v="0"/>
    <n v="175.5"/>
    <n v="154.94374999999999"/>
    <n v="0"/>
    <n v="351.10052966101694"/>
    <n v="1259.6623444172919"/>
    <n v="0.78202841938362944"/>
    <x v="1"/>
    <s v="MEDIANO"/>
    <x v="5"/>
    <x v="0"/>
    <n v="10"/>
    <n v="1"/>
    <d v="2017-09-10T00:00:00"/>
    <s v="TOYOTA"/>
    <s v="RAV4"/>
    <n v="1344.98"/>
    <d v="2017-09-12T00:00:00"/>
    <n v="12"/>
    <x v="385"/>
  </r>
  <r>
    <d v="2017-09-20T00:00:00"/>
    <s v="001-00010361"/>
    <n v="2601.2523092881388"/>
    <n v="0"/>
    <n v="0"/>
    <n v="96.398305084745772"/>
    <n v="0"/>
    <n v="117"/>
    <n v="285.716275"/>
    <n v="0"/>
    <n v="499.11458008474574"/>
    <n v="2102.1377292033931"/>
    <n v="0.80812527169987058"/>
    <x v="1"/>
    <s v="LEVE"/>
    <x v="5"/>
    <x v="0"/>
    <n v="8"/>
    <n v="1"/>
    <d v="2017-09-12T00:00:00"/>
    <s v="TOYOTA"/>
    <s v="RAV4"/>
    <n v="2454.9524999999999"/>
    <d v="2017-09-12T00:00:00"/>
    <n v="8"/>
    <x v="385"/>
  </r>
  <r>
    <d v="2017-09-20T00:00:00"/>
    <s v="001-00010391"/>
    <n v="454.29998599999999"/>
    <n v="0"/>
    <n v="0"/>
    <n v="75.508474576271198"/>
    <n v="0"/>
    <n v="29.25"/>
    <n v="61.977499999999999"/>
    <n v="0"/>
    <n v="166.73597457627119"/>
    <n v="287.5640114237288"/>
    <n v="0.63298265526191055"/>
    <x v="1"/>
    <s v="LEVE"/>
    <x v="5"/>
    <x v="0"/>
    <n v="6"/>
    <n v="1"/>
    <d v="2017-09-14T00:00:00"/>
    <s v="HYUNDAI"/>
    <s v="CRETA"/>
    <n v="0"/>
    <d v="2017-09-14T00:00:00"/>
    <n v="2"/>
    <x v="1"/>
  </r>
  <r>
    <d v="2017-09-20T00:00:00"/>
    <s v="001-00010308"/>
    <n v="1677.2524763627107"/>
    <n v="0"/>
    <n v="0"/>
    <n v="85.801186440677967"/>
    <n v="0"/>
    <n v="175.5"/>
    <n v="154.94374999999999"/>
    <n v="113.75"/>
    <n v="529.99493644067798"/>
    <n v="1147.2575399220327"/>
    <n v="0.68401004386052544"/>
    <x v="1"/>
    <s v="MEDIANO"/>
    <x v="5"/>
    <x v="0"/>
    <n v="15"/>
    <n v="1"/>
    <d v="2017-09-05T00:00:00"/>
    <s v="HYUNDAI"/>
    <s v="ELANTRA"/>
    <n v="1114.9125000000001"/>
    <d v="2017-09-01T00:00:00"/>
    <n v="12"/>
    <x v="1"/>
  </r>
  <r>
    <d v="2017-09-20T00:00:00"/>
    <s v="001-00010349"/>
    <n v="1126.0149653000001"/>
    <n v="1.4399998999999999"/>
    <n v="0"/>
    <n v="165.25423728813558"/>
    <n v="0"/>
    <n v="73.125"/>
    <n v="185.9325"/>
    <n v="0"/>
    <n v="425.75173718813562"/>
    <n v="700.26322811186446"/>
    <n v="0.62189513433802002"/>
    <x v="1"/>
    <s v="LEVE"/>
    <x v="5"/>
    <x v="0"/>
    <n v="10"/>
    <n v="1"/>
    <d v="2017-09-10T00:00:00"/>
    <s v="NISSAN"/>
    <s v="TIIDA"/>
    <n v="939.5424999999999"/>
    <d v="2017-09-12T00:00:00"/>
    <n v="5"/>
    <x v="1"/>
  </r>
  <r>
    <d v="2017-09-20T00:00:00"/>
    <s v="001-00010417"/>
    <n v="694"/>
    <n v="0"/>
    <n v="126.75"/>
    <n v="0"/>
    <n v="0"/>
    <n v="0"/>
    <n v="0"/>
    <n v="0"/>
    <n v="126.75"/>
    <n v="567.25"/>
    <n v="0.81736311239193082"/>
    <x v="0"/>
    <s v="-"/>
    <x v="5"/>
    <x v="0"/>
    <n v="3"/>
    <n v="1"/>
    <d v="2017-09-17T00:00:00"/>
    <s v="NISSAN"/>
    <s v="TIIDA"/>
    <n v="415.2525"/>
    <d v="2017-09-18T00:00:00"/>
    <n v="0"/>
    <x v="157"/>
  </r>
  <r>
    <d v="2017-09-20T00:00:00"/>
    <s v="001-00010372"/>
    <n v="1615"/>
    <n v="479.25791265000004"/>
    <n v="0"/>
    <n v="0"/>
    <n v="78.097499999999997"/>
    <n v="0"/>
    <n v="0"/>
    <n v="0"/>
    <n v="557.35541265000006"/>
    <n v="1057.6445873499999"/>
    <n v="0.6548882893808049"/>
    <x v="0"/>
    <s v="-"/>
    <x v="5"/>
    <x v="0"/>
    <n v="7"/>
    <n v="1"/>
    <d v="2017-09-13T00:00:00"/>
    <s v="FIAT"/>
    <s v="FIORINO"/>
    <n v="852.6049999999999"/>
    <d v="2017-09-13T00:00:00"/>
    <n v="0"/>
    <x v="157"/>
  </r>
  <r>
    <d v="2017-09-21T00:00:00"/>
    <s v="001-00010397"/>
    <n v="1763.2998466610197"/>
    <n v="0"/>
    <n v="0"/>
    <n v="75.741525423728817"/>
    <n v="0"/>
    <n v="175.5"/>
    <n v="216.92125000000001"/>
    <n v="81.25"/>
    <n v="549.41277542372882"/>
    <n v="1213.8870712372909"/>
    <n v="0.68841783973151505"/>
    <x v="1"/>
    <s v="MEDIANO"/>
    <x v="5"/>
    <x v="0"/>
    <n v="7"/>
    <n v="1"/>
    <d v="2017-09-14T00:00:00"/>
    <s v="RENAULT"/>
    <s v="DUSTER"/>
    <n v="3191.2725"/>
    <d v="2017-09-15T00:00:00"/>
    <n v="12"/>
    <x v="1"/>
  </r>
  <r>
    <d v="2017-09-21T00:00:00"/>
    <s v="001-00010329"/>
    <n v="258.30750853983"/>
    <n v="0"/>
    <n v="0"/>
    <n v="0"/>
    <n v="0"/>
    <n v="14.625"/>
    <n v="30.98875"/>
    <n v="0"/>
    <n v="45.613749999999996"/>
    <n v="212.69375853983001"/>
    <n v="0.82341299229802867"/>
    <x v="1"/>
    <s v="LEVE"/>
    <x v="5"/>
    <x v="0"/>
    <n v="15"/>
    <n v="1"/>
    <d v="2017-09-06T00:00:00"/>
    <s v="HYUNDAI"/>
    <s v="TUCSON"/>
    <n v="1393.3400000000001"/>
    <d v="2017-09-07T00:00:00"/>
    <n v="1"/>
    <x v="1"/>
  </r>
  <r>
    <d v="2017-09-21T00:00:00"/>
    <s v="001-00010356"/>
    <n v="1749.5773910839002"/>
    <n v="0"/>
    <n v="0"/>
    <n v="34.427966101694921"/>
    <n v="0"/>
    <n v="175.5"/>
    <n v="247.91"/>
    <n v="0"/>
    <n v="457.83796610169492"/>
    <n v="1291.7394249822053"/>
    <n v="0.73831511058904653"/>
    <x v="1"/>
    <s v="MEDIANO"/>
    <x v="5"/>
    <x v="0"/>
    <n v="10"/>
    <n v="1"/>
    <d v="2017-09-11T00:00:00"/>
    <s v="HYUNDAI"/>
    <s v="I10"/>
    <n v="1177.0525"/>
    <d v="2017-09-12T00:00:00"/>
    <n v="12"/>
    <x v="1"/>
  </r>
  <r>
    <d v="2017-09-21T00:00:00"/>
    <s v="001-00010369"/>
    <n v="623.42483778813994"/>
    <n v="0"/>
    <n v="0"/>
    <n v="34.427966101694921"/>
    <n v="0"/>
    <n v="43.875"/>
    <n v="92.966250000000002"/>
    <n v="0"/>
    <n v="171.26921610169492"/>
    <n v="452.15562168644499"/>
    <n v="0.72527688067523255"/>
    <x v="1"/>
    <s v="LEVE"/>
    <x v="5"/>
    <x v="0"/>
    <n v="9"/>
    <n v="1"/>
    <d v="2017-09-12T00:00:00"/>
    <s v="HYUNDAI"/>
    <s v="I10"/>
    <n v="982.96249999999998"/>
    <d v="2017-09-13T00:00:00"/>
    <n v="3"/>
    <x v="1"/>
  </r>
  <r>
    <d v="2017-09-21T00:00:00"/>
    <s v="001-00010316"/>
    <n v="997.83746924999991"/>
    <n v="0"/>
    <n v="0"/>
    <n v="72.03"/>
    <n v="0"/>
    <n v="87.75"/>
    <n v="154.94374999999999"/>
    <n v="113.75"/>
    <n v="428.47375"/>
    <n v="569.36371924999992"/>
    <n v="0.57059765422313535"/>
    <x v="1"/>
    <s v="LEVE"/>
    <x v="5"/>
    <x v="0"/>
    <n v="16"/>
    <n v="1"/>
    <d v="2017-09-05T00:00:00"/>
    <s v="CHEVROLET"/>
    <s v="CRUZE"/>
    <n v="1271.6599999999999"/>
    <d v="2017-09-07T00:00:00"/>
    <n v="6"/>
    <x v="1"/>
  </r>
  <r>
    <d v="2017-09-21T00:00:00"/>
    <s v="001-00010449"/>
    <n v="296.61020000000002"/>
    <n v="97.979346499999991"/>
    <n v="0"/>
    <n v="0"/>
    <n v="0"/>
    <n v="0"/>
    <n v="0"/>
    <n v="0"/>
    <n v="97.979346499999991"/>
    <n v="198.63085350000003"/>
    <n v="0.6696696657768344"/>
    <x v="0"/>
    <s v="-"/>
    <x v="5"/>
    <x v="0"/>
    <n v="1"/>
    <n v="1"/>
    <d v="2017-09-20T00:00:00"/>
    <s v="HYUNDAI"/>
    <s v="H1"/>
    <n v="0"/>
    <d v="2017-09-21T00:00:00"/>
    <n v="0"/>
    <x v="121"/>
  </r>
  <r>
    <d v="2017-09-22T00:00:00"/>
    <s v="001-00010315"/>
    <n v="2193.75"/>
    <n v="10.17"/>
    <n v="0"/>
    <n v="94.92"/>
    <n v="29.25"/>
    <n v="204.75"/>
    <n v="371.86500000000001"/>
    <n v="0"/>
    <n v="710.95500000000004"/>
    <n v="1482.7950000000001"/>
    <n v="0.67591794871794875"/>
    <x v="1"/>
    <s v="MEDIANO"/>
    <x v="5"/>
    <x v="0"/>
    <n v="17"/>
    <n v="1"/>
    <d v="2017-09-05T00:00:00"/>
    <s v="VOLKSWAGEN"/>
    <s v="GOL"/>
    <n v="4346.0625"/>
    <d v="2017-09-07T00:00:00"/>
    <n v="14"/>
    <x v="386"/>
  </r>
  <r>
    <d v="2017-09-22T00:00:00"/>
    <s v="001-00010352"/>
    <n v="2522.2203175"/>
    <n v="0"/>
    <n v="0"/>
    <n v="0"/>
    <n v="0"/>
    <n v="292.5"/>
    <n v="216.92125000000001"/>
    <n v="113.75"/>
    <n v="623.17124999999999"/>
    <n v="1899.0490675000001"/>
    <n v="0.7529275116546198"/>
    <x v="1"/>
    <s v="LEVE"/>
    <x v="5"/>
    <x v="0"/>
    <n v="12"/>
    <n v="1"/>
    <d v="2017-09-10T00:00:00"/>
    <s v="KIA"/>
    <s v="RIO"/>
    <n v="60.125"/>
    <d v="2017-09-12T00:00:00"/>
    <n v="20"/>
    <x v="1"/>
  </r>
  <r>
    <d v="2017-09-22T00:00:00"/>
    <s v="001-00010242"/>
    <n v="4525.625"/>
    <n v="0"/>
    <n v="55.084745762711869"/>
    <n v="127.12"/>
    <n v="14.625"/>
    <n v="614.25"/>
    <n v="387.359375"/>
    <n v="81.25"/>
    <n v="1279.6891207627118"/>
    <n v="3245.9358792372882"/>
    <n v="0.71723483037973501"/>
    <x v="1"/>
    <s v="GRAVE"/>
    <x v="5"/>
    <x v="0"/>
    <n v="25"/>
    <n v="1"/>
    <d v="2017-08-28T00:00:00"/>
    <s v="VOLKSWAGEN"/>
    <s v="VOYAGE"/>
    <n v="2127.1574999999998"/>
    <d v="2017-08-31T00:00:00"/>
    <n v="42"/>
    <x v="1"/>
  </r>
  <r>
    <d v="2017-09-22T00:00:00"/>
    <s v="001-00010396"/>
    <n v="1880.5381075"/>
    <n v="0"/>
    <n v="0"/>
    <n v="34.427966101694921"/>
    <n v="0"/>
    <n v="263.25"/>
    <n v="207.62462500000001"/>
    <n v="0"/>
    <n v="505.30259110169493"/>
    <n v="1375.2355163983052"/>
    <n v="0.73129893561505788"/>
    <x v="1"/>
    <s v="MEDIANO"/>
    <x v="5"/>
    <x v="0"/>
    <n v="8"/>
    <n v="1"/>
    <d v="2017-09-14T00:00:00"/>
    <s v="KIA"/>
    <s v="RIO"/>
    <n v="60.092499999999994"/>
    <d v="2017-09-15T00:00:00"/>
    <n v="18"/>
    <x v="101"/>
  </r>
  <r>
    <d v="2017-09-22T00:00:00"/>
    <s v="001-00010454"/>
    <n v="598"/>
    <n v="186.75852824999998"/>
    <n v="0"/>
    <n v="0"/>
    <n v="39.048749999999998"/>
    <n v="0"/>
    <n v="0"/>
    <n v="0"/>
    <n v="225.80727824999997"/>
    <n v="372.19272175000003"/>
    <n v="0.62239585576923084"/>
    <x v="0"/>
    <s v="-"/>
    <x v="5"/>
    <x v="0"/>
    <n v="1"/>
    <n v="1"/>
    <d v="2017-09-21T00:00:00"/>
    <s v="HYUNDAI"/>
    <s v="TUCSON"/>
    <n v="0"/>
    <d v="2017-09-22T00:00:00"/>
    <n v="0"/>
    <x v="4"/>
  </r>
  <r>
    <d v="2017-09-22T00:00:00"/>
    <s v="001-00010331"/>
    <n v="1117.2011499999999"/>
    <n v="0"/>
    <n v="0"/>
    <n v="20.656779661016948"/>
    <n v="0"/>
    <n v="117"/>
    <n v="185.9325"/>
    <n v="0"/>
    <n v="323.58927966101692"/>
    <n v="793.61187033898295"/>
    <n v="0.71035719068046344"/>
    <x v="1"/>
    <s v="LEVE"/>
    <x v="5"/>
    <x v="0"/>
    <n v="15"/>
    <n v="1"/>
    <d v="2017-09-07T00:00:00"/>
    <s v="KIA"/>
    <s v="CERATO"/>
    <n v="2078.5050000000001"/>
    <d v="2017-09-08T00:00:00"/>
    <n v="8"/>
    <x v="1"/>
  </r>
  <r>
    <d v="2017-09-22T00:00:00"/>
    <s v="001-00010339"/>
    <n v="1334.3729424999999"/>
    <n v="0"/>
    <n v="0"/>
    <n v="34.427966101694921"/>
    <n v="0"/>
    <n v="87.75"/>
    <n v="309.88749999999999"/>
    <n v="0"/>
    <n v="432.06546610169494"/>
    <n v="902.30747639830497"/>
    <n v="0.67620336688467064"/>
    <x v="1"/>
    <s v="LEVE"/>
    <x v="5"/>
    <x v="0"/>
    <n v="14"/>
    <n v="1"/>
    <d v="2017-09-08T00:00:00"/>
    <s v="HYUNDAI"/>
    <s v="ELANTRA"/>
    <n v="0"/>
    <d v="2017-09-11T00:00:00"/>
    <n v="6"/>
    <x v="1"/>
  </r>
  <r>
    <d v="2017-09-23T00:00:00"/>
    <s v="001-00010446"/>
    <n v="132.12214318019991"/>
    <n v="0"/>
    <n v="82.615000000000009"/>
    <n v="0"/>
    <n v="0"/>
    <n v="0"/>
    <n v="0"/>
    <n v="0"/>
    <n v="82.615000000000009"/>
    <n v="49.507143180199904"/>
    <n v="0.37470738809222665"/>
    <x v="0"/>
    <s v="-"/>
    <x v="5"/>
    <x v="0"/>
    <n v="3"/>
    <n v="1"/>
    <d v="2017-09-20T00:00:00"/>
    <s v="SUZUKI"/>
    <s v="CIAZ"/>
    <n v="0"/>
    <d v="2017-09-21T00:00:00"/>
    <n v="0"/>
    <x v="97"/>
  </r>
  <r>
    <d v="2017-09-23T00:00:00"/>
    <s v="001-00010468"/>
    <n v="132.12214318019991"/>
    <n v="0"/>
    <n v="82.615000000000009"/>
    <n v="0"/>
    <n v="0"/>
    <n v="0"/>
    <n v="0"/>
    <n v="0"/>
    <n v="82.615000000000009"/>
    <n v="49.507143180199904"/>
    <n v="0.37470738809222665"/>
    <x v="0"/>
    <s v="-"/>
    <x v="5"/>
    <x v="0"/>
    <n v="0"/>
    <n v="1"/>
    <d v="2017-09-23T00:00:00"/>
    <s v="KIA"/>
    <s v="RIO"/>
    <n v="132.21"/>
    <d v="2017-09-23T00:00:00"/>
    <n v="0"/>
    <x v="387"/>
  </r>
  <r>
    <d v="2017-09-23T00:00:00"/>
    <s v="001-00010271"/>
    <n v="2168.0399332500001"/>
    <n v="0"/>
    <n v="0"/>
    <n v="91.102372881355933"/>
    <n v="14.625"/>
    <n v="175.5"/>
    <n v="325.38187500000004"/>
    <n v="81.25"/>
    <n v="687.85924788135594"/>
    <n v="1480.1806853686442"/>
    <n v="0.68272759309824127"/>
    <x v="1"/>
    <s v="MEDIANO"/>
    <x v="5"/>
    <x v="0"/>
    <n v="23"/>
    <n v="1"/>
    <d v="2017-08-31T00:00:00"/>
    <s v="KIA"/>
    <s v="RIO"/>
    <n v="4573.53"/>
    <d v="2017-09-01T00:00:00"/>
    <n v="12"/>
    <x v="387"/>
  </r>
  <r>
    <d v="2017-09-23T00:00:00"/>
    <s v="001-00010465"/>
    <n v="450"/>
    <n v="131.3500027"/>
    <n v="0"/>
    <n v="0"/>
    <n v="39.048749999999998"/>
    <n v="0"/>
    <n v="0"/>
    <n v="0"/>
    <n v="170.39875269999999"/>
    <n v="279.60124730000001"/>
    <n v="0.62133610511111115"/>
    <x v="0"/>
    <s v="-"/>
    <x v="5"/>
    <x v="0"/>
    <n v="0"/>
    <n v="1"/>
    <d v="2017-09-23T00:00:00"/>
    <s v="SUZUKI"/>
    <s v="CIAZ"/>
    <n v="0"/>
    <d v="2017-09-23T00:00:00"/>
    <n v="0"/>
    <x v="388"/>
  </r>
  <r>
    <d v="2017-09-23T00:00:00"/>
    <s v="001-00010245"/>
    <n v="2927.2735839545785"/>
    <n v="0"/>
    <n v="0"/>
    <n v="41.313559322033903"/>
    <n v="48.262499999999996"/>
    <n v="263.25"/>
    <n v="278.89875000000001"/>
    <n v="113.75"/>
    <n v="745.47480932203393"/>
    <n v="2181.7987746325443"/>
    <n v="0.74533476699675594"/>
    <x v="1"/>
    <s v="MEDIANO"/>
    <x v="5"/>
    <x v="0"/>
    <n v="26"/>
    <n v="1"/>
    <d v="2017-08-28T00:00:00"/>
    <s v="KIA"/>
    <s v="CERATO"/>
    <n v="8434.3024999999998"/>
    <d v="2017-08-31T00:00:00"/>
    <n v="18"/>
    <x v="389"/>
  </r>
  <r>
    <d v="2017-09-23T00:00:00"/>
    <s v="001-00010265"/>
    <n v="3897.5998800000002"/>
    <n v="0"/>
    <n v="0"/>
    <n v="137.71186440677968"/>
    <n v="0"/>
    <n v="409.5"/>
    <n v="650.76375000000007"/>
    <n v="0"/>
    <n v="1197.9756144067796"/>
    <n v="2699.6242655932206"/>
    <n v="0.69263760999326085"/>
    <x v="1"/>
    <s v="GRAVE"/>
    <x v="5"/>
    <x v="0"/>
    <n v="23"/>
    <n v="1"/>
    <d v="2017-08-31T00:00:00"/>
    <s v="TOYOTA"/>
    <s v="URBAN"/>
    <n v="2054.65"/>
    <d v="2017-09-01T00:00:00"/>
    <n v="28"/>
    <x v="1"/>
  </r>
  <r>
    <d v="2017-09-23T00:00:00"/>
    <s v="001-00010386"/>
    <n v="510.12860043806972"/>
    <n v="0"/>
    <n v="0"/>
    <n v="68.855932203389841"/>
    <n v="0"/>
    <n v="14.625"/>
    <n v="61.977499999999999"/>
    <n v="0"/>
    <n v="145.45843220338983"/>
    <n v="364.67016823467986"/>
    <n v="0.71485928826872602"/>
    <x v="1"/>
    <s v="LEVE"/>
    <x v="5"/>
    <x v="0"/>
    <n v="9"/>
    <n v="1"/>
    <d v="2017-09-14T00:00:00"/>
    <s v="KIA"/>
    <s v="CERATO"/>
    <n v="0"/>
    <d v="2017-09-15T00:00:00"/>
    <n v="1"/>
    <x v="1"/>
  </r>
  <r>
    <d v="2017-09-23T00:00:00"/>
    <s v="001-00010320"/>
    <n v="3101.8399045000001"/>
    <n v="0"/>
    <n v="0"/>
    <n v="0"/>
    <n v="0"/>
    <n v="409.5"/>
    <n v="371.86500000000001"/>
    <n v="0"/>
    <n v="781.36500000000001"/>
    <n v="2320.4749044999999"/>
    <n v="0.748096283477934"/>
    <x v="1"/>
    <s v="LEVE"/>
    <x v="5"/>
    <x v="0"/>
    <n v="17"/>
    <n v="1"/>
    <d v="2017-09-06T00:00:00"/>
    <s v="BMW"/>
    <s v="325-I"/>
    <n v="5325.7425000000003"/>
    <d v="2017-09-07T00:00:00"/>
    <n v="28"/>
    <x v="1"/>
  </r>
  <r>
    <d v="2017-09-23T00:00:00"/>
    <s v="001-00010385"/>
    <n v="1222.5416407601699"/>
    <n v="0"/>
    <n v="0"/>
    <n v="41.313559322033903"/>
    <n v="0"/>
    <n v="117"/>
    <n v="185.9325"/>
    <n v="0"/>
    <n v="344.24605932203394"/>
    <n v="878.29558143813597"/>
    <n v="0.71841772268142656"/>
    <x v="1"/>
    <s v="LEVE"/>
    <x v="5"/>
    <x v="0"/>
    <n v="9"/>
    <n v="1"/>
    <d v="2017-09-14T00:00:00"/>
    <s v="BMW"/>
    <s v="320I"/>
    <n v="1105"/>
    <d v="2017-09-15T00:00:00"/>
    <n v="8"/>
    <x v="1"/>
  </r>
  <r>
    <d v="2017-09-23T00:00:00"/>
    <s v="001-00010413"/>
    <n v="709.44018823762906"/>
    <n v="0"/>
    <n v="0"/>
    <n v="0"/>
    <n v="0"/>
    <n v="43.875"/>
    <n v="92.966250000000002"/>
    <n v="0"/>
    <n v="136.84125"/>
    <n v="572.598938237629"/>
    <n v="0.80711376058362694"/>
    <x v="1"/>
    <s v="LEVE"/>
    <x v="5"/>
    <x v="0"/>
    <n v="8"/>
    <n v="1"/>
    <d v="2017-09-15T00:00:00"/>
    <s v="BMW"/>
    <s v="320I"/>
    <n v="0"/>
    <d v="2017-09-18T00:00:00"/>
    <n v="3"/>
    <x v="1"/>
  </r>
  <r>
    <d v="2017-09-23T00:00:00"/>
    <s v="001-00010298"/>
    <n v="422.23998699999999"/>
    <n v="0"/>
    <n v="0"/>
    <n v="0"/>
    <n v="0"/>
    <n v="58.5"/>
    <n v="61.977499999999999"/>
    <n v="0"/>
    <n v="120.47749999999999"/>
    <n v="301.76248699999996"/>
    <n v="0.7146705577176895"/>
    <x v="1"/>
    <s v="LEVE"/>
    <x v="5"/>
    <x v="0"/>
    <n v="19"/>
    <n v="1"/>
    <d v="2017-09-04T00:00:00"/>
    <s v="NISSAN"/>
    <s v="VERSA"/>
    <n v="2088.19"/>
    <d v="2017-09-08T00:00:00"/>
    <n v="4"/>
    <x v="1"/>
  </r>
  <r>
    <d v="2017-09-25T00:00:00"/>
    <s v="001-00010433"/>
    <n v="259.839992"/>
    <n v="0"/>
    <n v="0"/>
    <n v="0"/>
    <n v="0"/>
    <n v="0"/>
    <n v="0"/>
    <n v="0"/>
    <n v="0"/>
    <n v="259.839992"/>
    <n v="1"/>
    <x v="1"/>
    <s v="-"/>
    <x v="5"/>
    <x v="0"/>
    <n v="6"/>
    <n v="1"/>
    <d v="2017-09-19T00:00:00"/>
    <s v="KIA"/>
    <s v="RIO"/>
    <n v="366.59999999999997"/>
    <d v="2017-09-11T00:00:00"/>
    <n v="0"/>
    <x v="1"/>
  </r>
  <r>
    <d v="2017-09-25T00:00:00"/>
    <s v="001-00010394"/>
    <n v="129.919996"/>
    <n v="0"/>
    <n v="0"/>
    <n v="55.084745762711869"/>
    <n v="0"/>
    <n v="0"/>
    <n v="0"/>
    <n v="0"/>
    <n v="55.084745762711869"/>
    <n v="74.835250237288136"/>
    <n v="0.57601025662968874"/>
    <x v="4"/>
    <s v="S/TIPO"/>
    <x v="5"/>
    <x v="0"/>
    <n v="10"/>
    <n v="1"/>
    <d v="2017-09-15T00:00:00"/>
    <s v="S/MARCA"/>
    <s v="S/MODELO"/>
    <n v="0"/>
    <s v="F/Fecha"/>
    <n v="0"/>
    <x v="1"/>
  </r>
  <r>
    <d v="2017-09-25T00:00:00"/>
    <s v="001-00010346"/>
    <n v="1722.265621054579"/>
    <n v="0"/>
    <n v="0"/>
    <n v="55.084745762711869"/>
    <n v="0"/>
    <n v="117"/>
    <n v="263.40437500000002"/>
    <n v="0"/>
    <n v="435.48912076271188"/>
    <n v="1286.7765002918673"/>
    <n v="0.74714172109174848"/>
    <x v="1"/>
    <s v="LEVE"/>
    <x v="5"/>
    <x v="0"/>
    <n v="14"/>
    <n v="1"/>
    <d v="2017-09-11T00:00:00"/>
    <s v="RENAULT"/>
    <s v="KOLEOS"/>
    <n v="18001.75"/>
    <d v="2017-09-15T00:00:00"/>
    <n v="8"/>
    <x v="1"/>
  </r>
  <r>
    <d v="2017-09-25T00:00:00"/>
    <s v="001-00010410"/>
    <n v="1138.9192849347501"/>
    <n v="0"/>
    <n v="0"/>
    <n v="27.542372881355934"/>
    <n v="0"/>
    <n v="117"/>
    <n v="161.14150000000001"/>
    <n v="0"/>
    <n v="305.68387288135591"/>
    <n v="833.23541205339416"/>
    <n v="0.73160181153762016"/>
    <x v="1"/>
    <s v="LEVE"/>
    <x v="5"/>
    <x v="0"/>
    <n v="8"/>
    <n v="1"/>
    <d v="2017-09-17T00:00:00"/>
    <s v="KIA"/>
    <s v="RIO"/>
    <n v="564.26499999999999"/>
    <d v="2017-09-18T00:00:00"/>
    <n v="8"/>
    <x v="1"/>
  </r>
  <r>
    <d v="2017-09-25T00:00:00"/>
    <s v="001-00010478"/>
    <n v="275.22673218227033"/>
    <n v="0"/>
    <n v="165.26250000000002"/>
    <n v="0"/>
    <n v="0"/>
    <n v="0"/>
    <n v="0"/>
    <n v="0"/>
    <n v="165.26250000000002"/>
    <n v="109.96423218227031"/>
    <n v="0.39954052177404747"/>
    <x v="0"/>
    <s v="LEVE"/>
    <x v="5"/>
    <x v="0"/>
    <n v="2"/>
    <n v="1"/>
    <d v="2017-09-23T00:00:00"/>
    <s v="KIA"/>
    <s v="SPORTAGE"/>
    <n v="275.40499999999997"/>
    <d v="2017-09-25T00:00:00"/>
    <n v="0"/>
    <x v="54"/>
  </r>
  <r>
    <d v="2017-09-25T00:00:00"/>
    <s v="001-00010376"/>
    <n v="2924.8239099499997"/>
    <n v="0"/>
    <n v="0"/>
    <n v="72.03"/>
    <n v="87.75"/>
    <n v="351"/>
    <n v="278.89875000000001"/>
    <n v="0"/>
    <n v="789.67875000000004"/>
    <n v="2135.1451599499997"/>
    <n v="0.73000810499613988"/>
    <x v="1"/>
    <s v="MEDIANO"/>
    <x v="5"/>
    <x v="0"/>
    <n v="13"/>
    <n v="1"/>
    <d v="2017-09-12T00:00:00"/>
    <s v="KIA"/>
    <s v="RIO"/>
    <n v="4624.62"/>
    <d v="2017-09-14T00:00:00"/>
    <n v="24"/>
    <x v="1"/>
  </r>
  <r>
    <d v="2017-09-25T00:00:00"/>
    <s v="001-00010471"/>
    <n v="296.61020000000002"/>
    <n v="99.549048499999998"/>
    <n v="0"/>
    <n v="0"/>
    <n v="39.048749999999998"/>
    <n v="0"/>
    <n v="0"/>
    <n v="0"/>
    <n v="138.59779850000001"/>
    <n v="158.01240150000001"/>
    <n v="0.53272747026231737"/>
    <x v="0"/>
    <s v="-"/>
    <x v="5"/>
    <x v="0"/>
    <n v="2"/>
    <n v="1"/>
    <d v="2017-09-23T00:00:00"/>
    <s v="HYUNDAI"/>
    <s v="H1"/>
    <n v="0"/>
    <d v="2017-09-25T00:00:00"/>
    <n v="0"/>
    <x v="121"/>
  </r>
  <r>
    <d v="2017-09-26T00:00:00"/>
    <s v="001-00010480"/>
    <n v="400"/>
    <n v="79.390226249999998"/>
    <n v="0"/>
    <n v="0"/>
    <n v="39.048749999999998"/>
    <n v="0"/>
    <n v="0"/>
    <n v="0"/>
    <n v="118.43897625"/>
    <n v="281.56102375"/>
    <n v="0.70390255937500001"/>
    <x v="1"/>
    <s v="-"/>
    <x v="5"/>
    <x v="0"/>
    <n v="3"/>
    <n v="1"/>
    <d v="2017-09-23T00:00:00"/>
    <s v="HYUNDAI"/>
    <s v="SANTA FE"/>
    <n v="0"/>
    <d v="2017-09-25T00:00:00"/>
    <n v="0"/>
    <x v="4"/>
  </r>
  <r>
    <d v="2017-09-26T00:00:00"/>
    <s v="001-00010359"/>
    <n v="893.66288145507997"/>
    <n v="0.71999994999999994"/>
    <n v="0"/>
    <n v="34.427966101694921"/>
    <n v="0"/>
    <n v="73.125"/>
    <n v="123.955"/>
    <n v="0"/>
    <n v="232.22796605169492"/>
    <n v="661.43491540338505"/>
    <n v="0.74013918349884167"/>
    <x v="1"/>
    <s v="LEVE"/>
    <x v="5"/>
    <x v="0"/>
    <n v="14"/>
    <n v="1"/>
    <d v="2017-09-12T00:00:00"/>
    <s v="RENAULT"/>
    <s v="SANDERO"/>
    <n v="0"/>
    <d v="2017-09-12T00:00:00"/>
    <n v="5"/>
    <x v="1"/>
  </r>
  <r>
    <d v="2017-09-26T00:00:00"/>
    <s v="001-00010358"/>
    <n v="1788.3742309923712"/>
    <n v="0"/>
    <n v="0"/>
    <n v="55.084745762711869"/>
    <n v="0"/>
    <n v="204.75"/>
    <n v="201.426875"/>
    <n v="0"/>
    <n v="461.26162076271186"/>
    <n v="1327.1126102296594"/>
    <n v="0.7420776855486465"/>
    <x v="1"/>
    <s v="MEDIANO"/>
    <x v="5"/>
    <x v="0"/>
    <n v="14"/>
    <n v="1"/>
    <d v="2017-09-12T00:00:00"/>
    <s v="RENAULT"/>
    <s v="SANDERO"/>
    <n v="184.17750000000001"/>
    <d v="2017-09-12T00:00:00"/>
    <n v="14"/>
    <x v="1"/>
  </r>
  <r>
    <d v="2017-09-27T00:00:00"/>
    <s v="001-00010319"/>
    <n v="845"/>
    <n v="72.85349690000001"/>
    <n v="0"/>
    <n v="0"/>
    <n v="43.875"/>
    <n v="0"/>
    <n v="0"/>
    <n v="0"/>
    <n v="116.72849690000001"/>
    <n v="728.27150310000002"/>
    <n v="0.86185976698224853"/>
    <x v="0"/>
    <s v="-"/>
    <x v="5"/>
    <x v="0"/>
    <n v="21"/>
    <n v="1"/>
    <d v="2017-09-06T00:00:00"/>
    <s v="NISSAN"/>
    <s v="VERSA"/>
    <n v="586.78750000000002"/>
    <d v="2017-09-06T00:00:00"/>
    <n v="0"/>
    <x v="390"/>
  </r>
  <r>
    <d v="2017-09-27T00:00:00"/>
    <s v="001-00010494"/>
    <n v="296.61020000000002"/>
    <n v="99.549048499999998"/>
    <n v="0"/>
    <n v="0"/>
    <n v="39.048749999999998"/>
    <n v="0"/>
    <n v="0"/>
    <n v="0"/>
    <n v="138.59779850000001"/>
    <n v="158.01240150000001"/>
    <n v="0.53272747026231737"/>
    <x v="0"/>
    <s v="-"/>
    <x v="5"/>
    <x v="0"/>
    <n v="2"/>
    <n v="1"/>
    <d v="2017-09-25T00:00:00"/>
    <s v="HYUNDAI"/>
    <s v="H1"/>
    <n v="0"/>
    <d v="2017-09-27T00:00:00"/>
    <n v="0"/>
    <x v="121"/>
  </r>
  <r>
    <d v="2017-09-27T00:00:00"/>
    <s v="001-00009617"/>
    <n v="3626.7349100345796"/>
    <n v="0"/>
    <n v="120.35000000000001"/>
    <n v="16.95"/>
    <n v="160.875"/>
    <n v="263.25"/>
    <n v="495.82"/>
    <n v="0"/>
    <n v="1057.2449999999999"/>
    <n v="2569.4899100345797"/>
    <n v="0.70848572442535662"/>
    <x v="1"/>
    <s v="MEDIANO"/>
    <x v="5"/>
    <x v="0"/>
    <n v="120"/>
    <n v="1"/>
    <d v="2017-05-30T00:00:00"/>
    <s v="KIA"/>
    <s v="CERATO"/>
    <n v="24352.802500000002"/>
    <d v="2017-07-10T00:00:00"/>
    <n v="18"/>
    <x v="1"/>
  </r>
  <r>
    <d v="2017-09-27T00:00:00"/>
    <s v="001-00010183"/>
    <n v="4812.4723737845798"/>
    <n v="0"/>
    <n v="55.084745762711869"/>
    <n v="145.04237288135593"/>
    <n v="131.625"/>
    <n v="643.5"/>
    <n v="402.85374999999999"/>
    <n v="113.75"/>
    <n v="1491.8558686440679"/>
    <n v="3320.6165051405119"/>
    <n v="0.69000219580048072"/>
    <x v="1"/>
    <s v="GRAVE"/>
    <x v="5"/>
    <x v="0"/>
    <n v="40"/>
    <n v="1"/>
    <d v="2017-08-18T00:00:00"/>
    <s v="NISSAN"/>
    <s v="VERSA"/>
    <n v="13334.88"/>
    <d v="2017-08-23T00:00:00"/>
    <n v="44"/>
    <x v="1"/>
  </r>
  <r>
    <d v="2017-09-27T00:00:00"/>
    <s v="001-00010435"/>
    <n v="1177.559964"/>
    <n v="0"/>
    <n v="0"/>
    <n v="34.427966101694921"/>
    <n v="0"/>
    <n v="117"/>
    <n v="139.449375"/>
    <n v="0"/>
    <n v="290.87734110169492"/>
    <n v="886.68262289830511"/>
    <n v="0.75298299025586191"/>
    <x v="1"/>
    <s v="LEVE"/>
    <x v="5"/>
    <x v="0"/>
    <n v="11"/>
    <n v="1"/>
    <d v="2017-09-16T00:00:00"/>
    <s v="KIA"/>
    <s v="CERATO"/>
    <n v="227.5"/>
    <d v="2017-09-20T00:00:00"/>
    <n v="8"/>
    <x v="1"/>
  </r>
  <r>
    <d v="2017-09-28T00:00:00"/>
    <s v="001-00010398"/>
    <n v="1478.1423384"/>
    <n v="0"/>
    <n v="0"/>
    <n v="0"/>
    <n v="0"/>
    <n v="146.25"/>
    <n v="309.88749999999999"/>
    <n v="0"/>
    <n v="456.13749999999999"/>
    <n v="1022.0048383999999"/>
    <n v="0.69141165356663725"/>
    <x v="0"/>
    <s v="LEVE"/>
    <x v="5"/>
    <x v="0"/>
    <n v="14"/>
    <n v="1"/>
    <d v="2017-09-14T00:00:00"/>
    <s v="NISSAN"/>
    <s v="X-TRAIL"/>
    <n v="0"/>
    <d v="2017-09-15T00:00:00"/>
    <n v="10"/>
    <x v="391"/>
  </r>
  <r>
    <d v="2017-09-28T00:00:00"/>
    <s v="001-00010412"/>
    <n v="1252.9310975999999"/>
    <n v="0"/>
    <n v="0"/>
    <n v="106.45796610169492"/>
    <n v="0"/>
    <n v="117"/>
    <n v="169.81835000000001"/>
    <n v="113.75"/>
    <n v="507.02631610169493"/>
    <n v="745.90478149830506"/>
    <n v="0.59532785396347165"/>
    <x v="1"/>
    <s v="LEVE"/>
    <x v="5"/>
    <x v="0"/>
    <n v="13"/>
    <n v="1"/>
    <d v="2017-09-15T00:00:00"/>
    <s v="RENAULT"/>
    <s v="LOGAN"/>
    <n v="0"/>
    <d v="2017-09-18T00:00:00"/>
    <n v="8"/>
    <x v="1"/>
  </r>
  <r>
    <d v="2017-09-28T00:00:00"/>
    <s v="001-00010404"/>
    <n v="668.3318427239999"/>
    <n v="0"/>
    <n v="0"/>
    <n v="34.533898305084747"/>
    <n v="0"/>
    <n v="80.4375"/>
    <n v="92.966250000000002"/>
    <n v="0"/>
    <n v="207.93764830508474"/>
    <n v="460.39419441891516"/>
    <n v="0.6888706552458006"/>
    <x v="1"/>
    <s v="LEVE"/>
    <x v="5"/>
    <x v="0"/>
    <n v="13"/>
    <n v="1"/>
    <d v="2017-09-15T00:00:00"/>
    <s v="HYUNDAI"/>
    <s v="I10"/>
    <n v="2261.415"/>
    <d v="2017-09-19T00:00:00"/>
    <n v="5.5"/>
    <x v="1"/>
  </r>
  <r>
    <d v="2017-09-28T00:00:00"/>
    <s v="001-00010377"/>
    <n v="965.36509523999985"/>
    <n v="0"/>
    <n v="0"/>
    <n v="0"/>
    <n v="0"/>
    <n v="73.125"/>
    <n v="185.9325"/>
    <n v="0"/>
    <n v="259.0575"/>
    <n v="706.30759523999984"/>
    <n v="0.73164815956434015"/>
    <x v="1"/>
    <s v="LEVE"/>
    <x v="5"/>
    <x v="0"/>
    <n v="16"/>
    <n v="1"/>
    <d v="2017-09-12T00:00:00"/>
    <s v="NISSAN"/>
    <s v="X-TRAIL"/>
    <n v="2617.9724999999999"/>
    <d v="2017-09-14T00:00:00"/>
    <n v="5"/>
    <x v="1"/>
  </r>
  <r>
    <d v="2017-09-29T00:00:00"/>
    <s v="001-00010370"/>
    <n v="875.5562339999999"/>
    <n v="0"/>
    <n v="0"/>
    <n v="20.656779661016952"/>
    <n v="0"/>
    <n v="87.75"/>
    <n v="139.449375"/>
    <n v="0"/>
    <n v="247.85615466101694"/>
    <n v="627.70007933898296"/>
    <n v="0.71691577875166268"/>
    <x v="1"/>
    <s v="LEVE"/>
    <x v="5"/>
    <x v="0"/>
    <n v="16"/>
    <n v="1"/>
    <d v="2017-09-13T00:00:00"/>
    <s v="SUZUKI"/>
    <s v="CELERIO"/>
    <n v="858.87749999999994"/>
    <d v="2017-09-13T00:00:00"/>
    <n v="6"/>
    <x v="1"/>
  </r>
  <r>
    <d v="2017-09-29T00:00:00"/>
    <s v="001-00010415"/>
    <n v="2567.7812666999998"/>
    <n v="0"/>
    <n v="0"/>
    <n v="34.427966101694921"/>
    <n v="0"/>
    <n v="292.5"/>
    <n v="294.393125"/>
    <n v="0"/>
    <n v="621.32109110169495"/>
    <n v="1946.4601755983049"/>
    <n v="0.75803192461942459"/>
    <x v="1"/>
    <s v="MEDIANO"/>
    <x v="5"/>
    <x v="0"/>
    <n v="14"/>
    <n v="1"/>
    <d v="2017-09-15T00:00:00"/>
    <s v="SUZUKI"/>
    <s v="CELERIO"/>
    <n v="115.53749999999999"/>
    <d v="2017-09-18T00:00:00"/>
    <n v="20"/>
    <x v="1"/>
  </r>
  <r>
    <d v="2017-09-29T00:00:00"/>
    <s v="001-00010516"/>
    <n v="450"/>
    <n v="200.28290100999999"/>
    <n v="0"/>
    <n v="0"/>
    <n v="39.048749999999998"/>
    <n v="0"/>
    <n v="0"/>
    <n v="0"/>
    <n v="239.33165100999997"/>
    <n v="210.66834899000003"/>
    <n v="0.46815188664444451"/>
    <x v="0"/>
    <s v="-"/>
    <x v="5"/>
    <x v="0"/>
    <n v="2"/>
    <n v="1"/>
    <d v="2017-09-27T00:00:00"/>
    <s v="NISSAN"/>
    <s v="NAVARA"/>
    <n v="0"/>
    <d v="2017-09-29T00:00:00"/>
    <n v="0"/>
    <x v="157"/>
  </r>
  <r>
    <d v="2017-09-30T00:00:00"/>
    <s v="001-00010442"/>
    <n v="3096.3130040699998"/>
    <n v="10.17"/>
    <n v="0"/>
    <n v="105.40677966101694"/>
    <n v="14.625"/>
    <n v="336.375"/>
    <n v="433.84250000000003"/>
    <n v="0"/>
    <n v="900.41927966101696"/>
    <n v="2195.893724408983"/>
    <n v="0.70919629944471185"/>
    <x v="1"/>
    <s v="MEDIANO"/>
    <x v="5"/>
    <x v="0"/>
    <n v="10"/>
    <n v="1"/>
    <d v="2017-09-20T00:00:00"/>
    <s v="SUZUKI"/>
    <s v="SWIFT"/>
    <n v="4004"/>
    <d v="2017-09-21T00:00:00"/>
    <n v="23"/>
    <x v="392"/>
  </r>
  <r>
    <d v="2017-09-30T00:00:00"/>
    <s v="001-00010070"/>
    <n v="4186.0270875000006"/>
    <n v="0"/>
    <n v="145.76474576271187"/>
    <n v="0"/>
    <n v="146.25"/>
    <n v="409.5"/>
    <n v="542.30312500000002"/>
    <n v="0"/>
    <n v="1243.8178707627119"/>
    <n v="2942.2092167372884"/>
    <n v="0.70286435210204268"/>
    <x v="1"/>
    <s v="GRAVE"/>
    <x v="5"/>
    <x v="0"/>
    <n v="56"/>
    <n v="1"/>
    <d v="2017-08-05T00:00:00"/>
    <s v="HYUNDAI"/>
    <s v="ELANTRA"/>
    <n v="11272.0725"/>
    <d v="2017-08-16T00:00:00"/>
    <n v="28"/>
    <x v="1"/>
  </r>
  <r>
    <d v="2017-09-30T00:00:00"/>
    <s v="001-00010462"/>
    <n v="612.61771229999999"/>
    <n v="0"/>
    <n v="0"/>
    <n v="0"/>
    <n v="0"/>
    <n v="58.5"/>
    <n v="77.471874999999997"/>
    <n v="0"/>
    <n v="135.97187500000001"/>
    <n v="476.64583729999998"/>
    <n v="0.77804775756562794"/>
    <x v="1"/>
    <s v="LEVE"/>
    <x v="5"/>
    <x v="0"/>
    <n v="8"/>
    <n v="1"/>
    <d v="2017-09-22T00:00:00"/>
    <s v="KIA"/>
    <s v="SPORTAGE"/>
    <n v="870.28499999999985"/>
    <d v="2017-09-21T00:00:00"/>
    <n v="4"/>
    <x v="1"/>
  </r>
  <r>
    <d v="2017-09-30T00:00:00"/>
    <s v="001-00010463"/>
    <n v="1674.6698192399997"/>
    <n v="0"/>
    <n v="0"/>
    <n v="0"/>
    <n v="0"/>
    <n v="117"/>
    <n v="371.86500000000001"/>
    <n v="0"/>
    <n v="488.86500000000001"/>
    <n v="1185.8048192399997"/>
    <n v="0.70808275495055062"/>
    <x v="1"/>
    <s v="LEVE"/>
    <x v="5"/>
    <x v="0"/>
    <n v="8"/>
    <n v="1"/>
    <d v="2017-09-22T00:00:00"/>
    <s v="KIA"/>
    <s v="SPORTAGE"/>
    <n v="44.59"/>
    <d v="2017-09-21T00:00:00"/>
    <n v="8"/>
    <x v="1"/>
  </r>
  <r>
    <d v="2017-09-30T00:00:00"/>
    <s v="001-00010461"/>
    <n v="1293.8979635999999"/>
    <n v="0"/>
    <n v="0"/>
    <n v="0"/>
    <n v="0"/>
    <n v="117"/>
    <n v="185.9325"/>
    <n v="0"/>
    <n v="302.9325"/>
    <n v="990.96546359999991"/>
    <n v="0.76587605165004369"/>
    <x v="1"/>
    <s v="LEVE"/>
    <x v="5"/>
    <x v="0"/>
    <n v="8"/>
    <n v="1"/>
    <d v="2017-09-22T00:00:00"/>
    <s v="TOYOTA"/>
    <s v="AVANZA"/>
    <n v="1776.8400000000001"/>
    <d v="2017-09-22T00:00:00"/>
    <n v="8"/>
    <x v="1"/>
  </r>
  <r>
    <d v="2017-09-30T00:00:00"/>
    <s v="001-00010489"/>
    <n v="2299.9679999999998"/>
    <n v="411.88"/>
    <n v="0"/>
    <n v="137.71186440677968"/>
    <n v="0"/>
    <n v="175.5"/>
    <n v="247.91"/>
    <n v="0"/>
    <n v="973.00186440677965"/>
    <n v="1326.9661355932203"/>
    <n v="0.57694982521201177"/>
    <x v="0"/>
    <s v="MEDIANO"/>
    <x v="5"/>
    <x v="0"/>
    <n v="6"/>
    <n v="1"/>
    <d v="2017-09-24T00:00:00"/>
    <s v="HYUNDAI"/>
    <s v="SANTA FE"/>
    <n v="0"/>
    <d v="2017-09-26T00:00:00"/>
    <n v="12"/>
    <x v="393"/>
  </r>
  <r>
    <d v="2017-09-30T00:00:00"/>
    <s v="001-00010490"/>
    <n v="500"/>
    <n v="106.82622610999999"/>
    <n v="0"/>
    <n v="0"/>
    <n v="39.048749999999998"/>
    <n v="0"/>
    <n v="0"/>
    <n v="0"/>
    <n v="145.87497610999998"/>
    <n v="354.12502389000002"/>
    <n v="0.70825004778"/>
    <x v="0"/>
    <s v="-"/>
    <x v="5"/>
    <x v="0"/>
    <n v="6"/>
    <n v="1"/>
    <d v="2017-09-24T00:00:00"/>
    <s v="HYUNDAI"/>
    <s v="SANTA FE"/>
    <n v="565.5"/>
    <d v="2017-09-26T00:00:00"/>
    <n v="0"/>
    <x v="393"/>
  </r>
  <r>
    <d v="2017-09-30T00:00:00"/>
    <s v="001-00010457"/>
    <n v="988.26750000000004"/>
    <n v="0"/>
    <n v="0"/>
    <n v="68.644067796610173"/>
    <n v="0"/>
    <n v="58.5"/>
    <n v="154.94374999999999"/>
    <n v="0"/>
    <n v="282.08781779661018"/>
    <n v="706.1796822033898"/>
    <n v="0.7145632960745848"/>
    <x v="1"/>
    <s v="LEVE"/>
    <x v="5"/>
    <x v="0"/>
    <n v="8"/>
    <n v="1"/>
    <d v="2017-09-22T00:00:00"/>
    <s v="KIA"/>
    <s v="RIO"/>
    <n v="60.092499999999994"/>
    <d v="2017-09-21T00:00:00"/>
    <n v="4"/>
    <x v="1"/>
  </r>
  <r>
    <d v="2017-09-30T00:00:00"/>
    <s v="001-00010441"/>
    <n v="1636.4625156"/>
    <n v="0"/>
    <n v="0"/>
    <n v="34.427966101694921"/>
    <n v="0"/>
    <n v="146.25"/>
    <n v="247.91"/>
    <n v="0"/>
    <n v="428.58796610169492"/>
    <n v="1207.874549498305"/>
    <n v="0.7381009573906705"/>
    <x v="1"/>
    <s v="MEDIANO"/>
    <x v="5"/>
    <x v="0"/>
    <n v="10"/>
    <n v="1"/>
    <d v="2017-09-20T00:00:00"/>
    <s v="KIA"/>
    <s v="RIO"/>
    <n v="470.5675"/>
    <d v="2017-09-21T00:00:00"/>
    <n v="10"/>
    <x v="1"/>
  </r>
  <r>
    <d v="2017-09-30T00:00:00"/>
    <s v="001-00010387"/>
    <n v="3250.6649999999995"/>
    <n v="0"/>
    <n v="0"/>
    <n v="167.37711864406779"/>
    <n v="102.375"/>
    <n v="351"/>
    <n v="309.88749999999999"/>
    <n v="0"/>
    <n v="930.6396186440677"/>
    <n v="2320.025381355932"/>
    <n v="0.71370792787196846"/>
    <x v="1"/>
    <s v="MEDIANO"/>
    <x v="5"/>
    <x v="0"/>
    <n v="17"/>
    <n v="1"/>
    <d v="2017-09-13T00:00:00"/>
    <s v="KIA"/>
    <s v="RIO"/>
    <n v="6133.9524999999994"/>
    <d v="2017-09-15T00:00:00"/>
    <n v="24"/>
    <x v="1"/>
  </r>
  <r>
    <d v="2017-09-30T00:00:00"/>
    <s v="001-00010402"/>
    <n v="1315.8534777300001"/>
    <n v="2.0339001300000001"/>
    <n v="0"/>
    <n v="72.03"/>
    <n v="0"/>
    <n v="117"/>
    <n v="226.83765"/>
    <n v="113.75"/>
    <n v="531.65155013000003"/>
    <n v="784.20192760000009"/>
    <n v="0.59596447543144349"/>
    <x v="0"/>
    <s v="LEVE"/>
    <x v="5"/>
    <x v="0"/>
    <n v="14"/>
    <n v="1"/>
    <d v="2017-09-16T00:00:00"/>
    <s v="KIA"/>
    <s v="CERATO"/>
    <n v="1673.5875000000001"/>
    <d v="2017-09-16T00:00:00"/>
    <n v="8"/>
    <x v="1"/>
  </r>
  <r>
    <d v="2017-09-30T00:00:00"/>
    <s v="001-00010527"/>
    <n v="296.61020000000002"/>
    <n v="99.549048499999998"/>
    <n v="0"/>
    <n v="0"/>
    <n v="39.048749999999998"/>
    <n v="0"/>
    <n v="0"/>
    <n v="0"/>
    <n v="138.59779850000001"/>
    <n v="158.01240150000001"/>
    <n v="0.53272747026231737"/>
    <x v="0"/>
    <s v="-"/>
    <x v="5"/>
    <x v="0"/>
    <n v="0"/>
    <n v="1"/>
    <d v="2017-09-30T00:00:00"/>
    <s v="HYUNDAI"/>
    <s v="H1"/>
    <n v="0"/>
    <d v="2017-09-30T00:00:00"/>
    <n v="0"/>
    <x v="121"/>
  </r>
  <r>
    <d v="2017-09-30T00:00:00"/>
    <s v="001-00010512"/>
    <n v="770"/>
    <n v="281.00659905999999"/>
    <n v="0"/>
    <n v="0"/>
    <n v="39.048749999999998"/>
    <n v="0"/>
    <n v="0"/>
    <n v="0"/>
    <n v="320.05534905999997"/>
    <n v="449.94465094000003"/>
    <n v="0.58434370251948053"/>
    <x v="0"/>
    <s v="-"/>
    <x v="5"/>
    <x v="0"/>
    <n v="2"/>
    <n v="1"/>
    <d v="2017-09-28T00:00:00"/>
    <s v="KIA"/>
    <s v="RIO"/>
    <n v="361.10750000000002"/>
    <d v="2017-09-28T00:00:00"/>
    <n v="0"/>
    <x v="25"/>
  </r>
  <r>
    <d v="2017-09-30T00:00:00"/>
    <s v="001-00010310"/>
    <n v="2919.8950040700001"/>
    <n v="0"/>
    <n v="0"/>
    <n v="209.74186440677968"/>
    <n v="43.875"/>
    <n v="234"/>
    <n v="340.87625000000003"/>
    <n v="113.75"/>
    <n v="942.24311440677968"/>
    <n v="1977.6518896632206"/>
    <n v="0.67730239851316565"/>
    <x v="1"/>
    <s v="MEDIANO"/>
    <x v="5"/>
    <x v="0"/>
    <n v="25"/>
    <n v="1"/>
    <d v="2017-09-05T00:00:00"/>
    <s v="KIA"/>
    <s v="SPORTAGE"/>
    <n v="3208.27"/>
    <d v="2017-09-08T00:00:00"/>
    <n v="16"/>
    <x v="394"/>
  </r>
  <r>
    <d v="2017-09-02T00:00:00"/>
    <s v="001-00010268"/>
    <n v="679"/>
    <n v="188.73779920000001"/>
    <n v="0"/>
    <n v="38.14"/>
    <n v="39.048749999999998"/>
    <n v="0"/>
    <n v="0"/>
    <n v="0"/>
    <n v="265.92654920000001"/>
    <n v="413.07345079999999"/>
    <n v="0.60835559764359348"/>
    <x v="0"/>
    <s v="-"/>
    <x v="5"/>
    <x v="0"/>
    <n v="2"/>
    <n v="1"/>
    <d v="2017-08-31T00:00:00"/>
    <s v="CHANGAN"/>
    <s v="CS-35"/>
    <n v="170.495"/>
    <d v="2017-08-31T00:00:00"/>
    <n v="0"/>
    <x v="201"/>
  </r>
  <r>
    <d v="2017-09-02T00:00:00"/>
    <s v="001-00010257"/>
    <n v="291.60000000000002"/>
    <n v="0"/>
    <n v="0"/>
    <n v="0"/>
    <n v="0"/>
    <n v="14.625"/>
    <n v="77.471874999999997"/>
    <n v="0"/>
    <n v="92.096874999999997"/>
    <n v="199.50312500000001"/>
    <n v="0.68416709533607678"/>
    <x v="0"/>
    <s v="LEVE"/>
    <x v="5"/>
    <x v="0"/>
    <n v="4"/>
    <n v="1"/>
    <d v="2017-08-29T00:00:00"/>
    <s v="CHERY"/>
    <s v="FULWIN"/>
    <n v="0"/>
    <d v="2017-08-29T00:00:00"/>
    <n v="1"/>
    <x v="194"/>
  </r>
  <r>
    <d v="2017-09-02T00:00:00"/>
    <s v="001-00010280"/>
    <n v="271.177999"/>
    <n v="65.187798000000001"/>
    <n v="0"/>
    <n v="0"/>
    <n v="39.048749999999998"/>
    <n v="0"/>
    <n v="0"/>
    <n v="0"/>
    <n v="104.236548"/>
    <n v="166.941451"/>
    <n v="0.61561576387323369"/>
    <x v="0"/>
    <s v="-"/>
    <x v="5"/>
    <x v="0"/>
    <n v="0"/>
    <n v="1"/>
    <d v="2017-09-02T00:00:00"/>
    <s v="HYUNDAI"/>
    <s v="I10"/>
    <n v="21.2225"/>
    <d v="2017-09-02T00:00:00"/>
    <n v="0"/>
    <x v="395"/>
  </r>
  <r>
    <d v="2017-09-02T00:00:00"/>
    <s v="001-00010208"/>
    <n v="4118.6439360000004"/>
    <n v="0"/>
    <n v="0"/>
    <n v="192.79661016949154"/>
    <n v="0"/>
    <n v="234"/>
    <n v="1239.55"/>
    <n v="0"/>
    <n v="1666.3466101694914"/>
    <n v="2452.2973258305092"/>
    <n v="0.59541377306147125"/>
    <x v="0"/>
    <s v="MEDIANO"/>
    <x v="5"/>
    <x v="0"/>
    <n v="10"/>
    <n v="1"/>
    <d v="2017-08-23T00:00:00"/>
    <s v="BRILLANCE"/>
    <s v="FR CROSS"/>
    <n v="0"/>
    <d v="2017-08-23T00:00:00"/>
    <n v="16"/>
    <x v="396"/>
  </r>
  <r>
    <d v="2017-09-04T00:00:00"/>
    <s v="001-00010033"/>
    <n v="2187.0274752"/>
    <n v="0"/>
    <n v="10.17"/>
    <n v="56.563559322033903"/>
    <n v="29.25"/>
    <n v="146.25"/>
    <n v="371.86500000000001"/>
    <n v="0"/>
    <n v="614.09855932203391"/>
    <n v="1572.9289158779661"/>
    <n v="0.7192085758932335"/>
    <x v="1"/>
    <s v="MEDIANO"/>
    <x v="5"/>
    <x v="0"/>
    <n v="34"/>
    <n v="1"/>
    <d v="2017-08-01T00:00:00"/>
    <s v="KIA"/>
    <s v="RIO"/>
    <n v="10108.995000000001"/>
    <d v="2017-08-10T00:00:00"/>
    <n v="10"/>
    <x v="397"/>
  </r>
  <r>
    <d v="2017-09-05T00:00:00"/>
    <s v="001-00010306"/>
    <n v="250"/>
    <n v="49.684497700000001"/>
    <n v="0"/>
    <n v="0"/>
    <n v="39.048749999999998"/>
    <n v="0"/>
    <n v="0"/>
    <n v="0"/>
    <n v="88.733247699999993"/>
    <n v="161.26675230000001"/>
    <n v="0.64506700920000004"/>
    <x v="0"/>
    <s v="-"/>
    <x v="5"/>
    <x v="0"/>
    <n v="0"/>
    <n v="1"/>
    <d v="2017-09-05T00:00:00"/>
    <s v="SUZUKI"/>
    <s v="SWIFT"/>
    <n v="0"/>
    <d v="2017-09-05T00:00:00"/>
    <n v="0"/>
    <x v="357"/>
  </r>
  <r>
    <d v="2017-09-05T00:00:00"/>
    <s v="001-00010251"/>
    <n v="84.754204000000016"/>
    <n v="0"/>
    <n v="0"/>
    <n v="35.593220338983052"/>
    <n v="0"/>
    <n v="0"/>
    <n v="0"/>
    <n v="0"/>
    <n v="35.593220338983052"/>
    <n v="49.160983661016964"/>
    <n v="0.58004183085734551"/>
    <x v="0"/>
    <s v="-"/>
    <x v="5"/>
    <x v="0"/>
    <n v="8"/>
    <n v="1"/>
    <d v="2017-08-28T00:00:00"/>
    <s v="SUZUKI"/>
    <s v="BALENO"/>
    <n v="0"/>
    <d v="2017-08-28T00:00:00"/>
    <n v="0"/>
    <x v="398"/>
  </r>
  <r>
    <d v="2017-09-05T00:00:00"/>
    <s v="001-00010289"/>
    <n v="129.639996"/>
    <n v="0"/>
    <n v="0"/>
    <n v="0"/>
    <n v="29.25"/>
    <n v="0"/>
    <n v="0"/>
    <n v="0"/>
    <n v="29.25"/>
    <n v="100.389996"/>
    <n v="0.77437518588013532"/>
    <x v="0"/>
    <s v="-"/>
    <x v="5"/>
    <x v="0"/>
    <n v="1"/>
    <n v="1"/>
    <d v="2017-09-04T00:00:00"/>
    <s v="HYUNDAI"/>
    <s v="ELANTRA"/>
    <n v="0"/>
    <d v="2017-09-04T00:00:00"/>
    <n v="0"/>
    <x v="399"/>
  </r>
  <r>
    <d v="2017-09-05T00:00:00"/>
    <s v="001-00010312"/>
    <n v="400"/>
    <n v="0"/>
    <n v="247.8775"/>
    <n v="0"/>
    <n v="0"/>
    <n v="0"/>
    <n v="0"/>
    <n v="0"/>
    <n v="247.8775"/>
    <n v="152.1225"/>
    <n v="0.38030625000000001"/>
    <x v="0"/>
    <s v="-"/>
    <x v="5"/>
    <x v="0"/>
    <n v="1"/>
    <n v="1"/>
    <d v="2017-09-04T00:00:00"/>
    <s v="HYUNDAI"/>
    <s v="ELANTRA"/>
    <n v="401.21250000000003"/>
    <d v="2017-09-04T00:00:00"/>
    <n v="0"/>
    <x v="399"/>
  </r>
  <r>
    <d v="2017-09-06T00:00:00"/>
    <s v="001-00010318"/>
    <n v="729.49150000000009"/>
    <n v="332.12842654999997"/>
    <n v="0"/>
    <n v="0"/>
    <n v="39.048749999999998"/>
    <n v="0"/>
    <n v="0"/>
    <n v="0"/>
    <n v="371.17717654999996"/>
    <n v="358.31432345000013"/>
    <n v="0.49118368541648544"/>
    <x v="0"/>
    <s v="-"/>
    <x v="5"/>
    <x v="0"/>
    <n v="0"/>
    <n v="1"/>
    <d v="2017-09-06T00:00:00"/>
    <s v="HONDA"/>
    <s v="CRV"/>
    <n v="170.00749999999999"/>
    <d v="2017-09-06T00:00:00"/>
    <n v="0"/>
    <x v="400"/>
  </r>
  <r>
    <d v="2017-09-06T00:00:00"/>
    <s v="001-00010282"/>
    <n v="1194"/>
    <n v="341.60019799999998"/>
    <n v="0"/>
    <n v="76.28"/>
    <n v="53.673749999999998"/>
    <n v="0"/>
    <n v="0"/>
    <n v="0"/>
    <n v="471.55394799999993"/>
    <n v="722.44605200000001"/>
    <n v="0.60506369514237857"/>
    <x v="0"/>
    <s v="-"/>
    <x v="5"/>
    <x v="0"/>
    <n v="2"/>
    <n v="1"/>
    <d v="2017-09-04T00:00:00"/>
    <s v="KIA"/>
    <s v="RIO"/>
    <n v="486.49250000000001"/>
    <d v="2017-09-04T00:00:00"/>
    <n v="0"/>
    <x v="401"/>
  </r>
  <r>
    <d v="2017-09-07T00:00:00"/>
    <s v="001-00010279"/>
    <n v="686.47460599999999"/>
    <n v="253.31"/>
    <n v="0"/>
    <n v="33.9"/>
    <n v="14.625"/>
    <n v="29.25"/>
    <n v="61.977499999999999"/>
    <n v="0"/>
    <n v="393.0625"/>
    <n v="293.41210599999999"/>
    <n v="0.42741873251462997"/>
    <x v="0"/>
    <s v="LEVE"/>
    <x v="5"/>
    <x v="0"/>
    <n v="5"/>
    <n v="1"/>
    <d v="2017-09-02T00:00:00"/>
    <s v="SUZUKI"/>
    <s v="GRAND NOMADE"/>
    <n v="333.02749999999997"/>
    <d v="2017-09-02T00:00:00"/>
    <n v="2"/>
    <x v="402"/>
  </r>
  <r>
    <d v="2017-09-09T00:00:00"/>
    <s v="001-00010334"/>
    <n v="380"/>
    <n v="64.284101299999989"/>
    <n v="0"/>
    <n v="0"/>
    <n v="39.048749999999998"/>
    <n v="0"/>
    <n v="0"/>
    <n v="0"/>
    <n v="103.33285129999999"/>
    <n v="276.66714869999998"/>
    <n v="0.72807144394736834"/>
    <x v="0"/>
    <s v="-"/>
    <x v="5"/>
    <x v="0"/>
    <n v="1"/>
    <n v="1"/>
    <d v="2017-09-08T00:00:00"/>
    <s v="NISSAN"/>
    <s v="VERSA"/>
    <n v="30.0625"/>
    <d v="2017-09-08T00:00:00"/>
    <n v="0"/>
    <x v="403"/>
  </r>
  <r>
    <d v="2017-09-09T00:00:00"/>
    <s v="001-00010314"/>
    <n v="896.49996999999996"/>
    <n v="0"/>
    <n v="0"/>
    <n v="34.533898305084747"/>
    <n v="0"/>
    <n v="73.125"/>
    <n v="185.9325"/>
    <n v="0"/>
    <n v="293.59139830508474"/>
    <n v="602.90857169491528"/>
    <n v="0.67251376672652352"/>
    <x v="0"/>
    <s v="LEVE"/>
    <x v="5"/>
    <x v="0"/>
    <n v="4"/>
    <n v="1"/>
    <d v="2017-09-05T00:00:00"/>
    <s v="NISSAN"/>
    <s v="VERSA"/>
    <n v="0"/>
    <d v="2017-09-05T00:00:00"/>
    <n v="5"/>
    <x v="404"/>
  </r>
  <r>
    <d v="2017-09-09T00:00:00"/>
    <s v="001-00010332"/>
    <n v="1038"/>
    <n v="108.75217445"/>
    <n v="153.01"/>
    <n v="76.28"/>
    <n v="53.673749999999998"/>
    <n v="0"/>
    <n v="0"/>
    <n v="0"/>
    <n v="391.71592444999993"/>
    <n v="646.28407555000013"/>
    <n v="0.62262435024084795"/>
    <x v="0"/>
    <s v="-"/>
    <x v="5"/>
    <x v="0"/>
    <n v="1"/>
    <n v="1"/>
    <d v="2017-09-08T00:00:00"/>
    <s v="TOYOTA"/>
    <s v="YARIS"/>
    <n v="195.58500000000001"/>
    <d v="2017-09-08T00:00:00"/>
    <n v="0"/>
    <x v="163"/>
  </r>
  <r>
    <d v="2017-09-11T00:00:00"/>
    <s v="001-00010351"/>
    <n v="150"/>
    <n v="59.821447200000001"/>
    <n v="0"/>
    <n v="0"/>
    <n v="14.625"/>
    <n v="0"/>
    <n v="0"/>
    <n v="0"/>
    <n v="74.446447199999994"/>
    <n v="75.553552800000006"/>
    <n v="0.50369035200000001"/>
    <x v="0"/>
    <s v="-"/>
    <x v="5"/>
    <x v="0"/>
    <n v="0"/>
    <n v="1"/>
    <d v="2017-09-11T00:00:00"/>
    <s v="SUZUKI"/>
    <s v="GRAND NOMADE"/>
    <n v="0"/>
    <d v="2017-09-11T00:00:00"/>
    <n v="0"/>
    <x v="402"/>
  </r>
  <r>
    <d v="2017-09-12T00:00:00"/>
    <s v="001-00010287"/>
    <n v="224.62400695000002"/>
    <n v="0"/>
    <n v="0"/>
    <n v="0"/>
    <n v="0"/>
    <n v="43.875"/>
    <n v="30.98875"/>
    <n v="0"/>
    <n v="74.863749999999996"/>
    <n v="149.76025695000004"/>
    <n v="0.6667152767127682"/>
    <x v="0"/>
    <s v="LEVE"/>
    <x v="5"/>
    <x v="0"/>
    <n v="8"/>
    <n v="1"/>
    <d v="2017-09-04T00:00:00"/>
    <s v="HYUNDAI"/>
    <s v="ELANTRA"/>
    <n v="0"/>
    <d v="2017-09-04T00:00:00"/>
    <n v="3"/>
    <x v="405"/>
  </r>
  <r>
    <d v="2017-09-12T00:00:00"/>
    <s v="001-00010342"/>
    <n v="819"/>
    <n v="54.167797999999998"/>
    <n v="398.8075"/>
    <n v="0"/>
    <n v="39.048749999999998"/>
    <n v="0"/>
    <n v="0"/>
    <n v="0"/>
    <n v="492.02404799999999"/>
    <n v="326.97595200000001"/>
    <n v="0.39923803663003665"/>
    <x v="0"/>
    <s v="-"/>
    <x v="5"/>
    <x v="0"/>
    <n v="3"/>
    <n v="1"/>
    <d v="2017-09-09T00:00:00"/>
    <s v="HYUNDAI"/>
    <s v="I10"/>
    <n v="0"/>
    <d v="2017-09-11T00:00:00"/>
    <n v="0"/>
    <x v="406"/>
  </r>
  <r>
    <d v="2017-09-13T00:00:00"/>
    <s v="001-00010321"/>
    <n v="520.88968774830903"/>
    <n v="0"/>
    <n v="357.5"/>
    <n v="0"/>
    <n v="0"/>
    <n v="0"/>
    <n v="0"/>
    <n v="0"/>
    <n v="357.5"/>
    <n v="163.38968774830903"/>
    <n v="0.31367426077219251"/>
    <x v="0"/>
    <s v="-"/>
    <x v="5"/>
    <x v="0"/>
    <n v="7"/>
    <n v="1"/>
    <d v="2017-09-06T00:00:00"/>
    <s v="NISSAN"/>
    <s v="VERSA"/>
    <n v="0"/>
    <d v="2017-09-06T00:00:00"/>
    <n v="0"/>
    <x v="407"/>
  </r>
  <r>
    <d v="2017-09-13T00:00:00"/>
    <s v="001-00010328"/>
    <n v="1299.4554670663599"/>
    <n v="0"/>
    <n v="126.75"/>
    <n v="19.279661016949152"/>
    <n v="0"/>
    <n v="175.5"/>
    <n v="154.94374999999999"/>
    <n v="0"/>
    <n v="476.47341101694917"/>
    <n v="822.98205604941074"/>
    <n v="0.63332840324829931"/>
    <x v="0"/>
    <s v="MEDIANO"/>
    <x v="5"/>
    <x v="0"/>
    <n v="7"/>
    <n v="1"/>
    <d v="2017-09-06T00:00:00"/>
    <s v="SUZUKI"/>
    <s v="CELERIO"/>
    <n v="0"/>
    <d v="2017-09-06T00:00:00"/>
    <n v="12"/>
    <x v="209"/>
  </r>
  <r>
    <d v="2017-09-13T00:00:00"/>
    <s v="001-00010368"/>
    <n v="135.5847"/>
    <n v="0"/>
    <n v="0"/>
    <n v="0"/>
    <n v="0"/>
    <n v="0"/>
    <n v="46.483125000000001"/>
    <n v="0"/>
    <n v="46.483125000000001"/>
    <n v="89.101574999999997"/>
    <n v="0.65716541025646702"/>
    <x v="0"/>
    <s v="-"/>
    <x v="5"/>
    <x v="0"/>
    <n v="0"/>
    <n v="1"/>
    <d v="2017-09-13T00:00:00"/>
    <s v="SUZUKI"/>
    <s v="APV"/>
    <n v="0"/>
    <d v="2017-09-13T00:00:00"/>
    <n v="0"/>
    <x v="408"/>
  </r>
  <r>
    <d v="2017-09-14T00:00:00"/>
    <s v="001-00010299"/>
    <n v="2745.4058028000004"/>
    <n v="0"/>
    <n v="0"/>
    <n v="41.313559322033903"/>
    <n v="0"/>
    <n v="438.75"/>
    <n v="309.88749999999999"/>
    <n v="0"/>
    <n v="789.95105932203387"/>
    <n v="1955.4547434779665"/>
    <n v="0.71226437326082215"/>
    <x v="0"/>
    <s v="GRAVE"/>
    <x v="5"/>
    <x v="0"/>
    <n v="10"/>
    <n v="1"/>
    <d v="2017-09-04T00:00:00"/>
    <s v="MAZDA"/>
    <s v="MAZDA 3"/>
    <n v="421.26499999999999"/>
    <d v="2017-09-05T00:00:00"/>
    <n v="30"/>
    <x v="409"/>
  </r>
  <r>
    <d v="2017-09-14T00:00:00"/>
    <s v="001-00010335"/>
    <n v="2840"/>
    <n v="901.03392755000016"/>
    <n v="0"/>
    <n v="0"/>
    <n v="117.14625000000001"/>
    <n v="0"/>
    <n v="0"/>
    <n v="0"/>
    <n v="1018.1801775500002"/>
    <n v="1821.8198224499997"/>
    <n v="0.64148585297535199"/>
    <x v="0"/>
    <s v="LEVE"/>
    <x v="5"/>
    <x v="0"/>
    <n v="6"/>
    <n v="1"/>
    <d v="2017-09-08T00:00:00"/>
    <s v="MAZDA"/>
    <s v="MAZDA 3"/>
    <n v="1103.375"/>
    <d v="2017-09-08T00:00:00"/>
    <n v="0"/>
    <x v="409"/>
  </r>
  <r>
    <d v="2017-09-14T00:00:00"/>
    <s v="001-00010360"/>
    <n v="861.89478840000015"/>
    <n v="0"/>
    <n v="357.5"/>
    <n v="34.427966101694921"/>
    <n v="0"/>
    <n v="14.625"/>
    <n v="61.977499999999999"/>
    <n v="0"/>
    <n v="468.53046610169491"/>
    <n v="393.36432229830524"/>
    <n v="0.45639482636684331"/>
    <x v="0"/>
    <s v="LEVE"/>
    <x v="5"/>
    <x v="0"/>
    <n v="3"/>
    <n v="1"/>
    <d v="2017-09-11T00:00:00"/>
    <s v="NISSAN"/>
    <s v="SENTRA"/>
    <n v="549.31500000000005"/>
    <d v="2017-09-12T00:00:00"/>
    <n v="1"/>
    <x v="410"/>
  </r>
  <r>
    <d v="2017-09-15T00:00:00"/>
    <s v="001-00010341"/>
    <n v="1296"/>
    <n v="0"/>
    <n v="0"/>
    <n v="35.805084745762713"/>
    <n v="0"/>
    <n v="146.25"/>
    <n v="247.91"/>
    <n v="0"/>
    <n v="429.96508474576274"/>
    <n v="866.03491525423726"/>
    <n v="0.66823681732580031"/>
    <x v="0"/>
    <s v="MEDIANO"/>
    <x v="5"/>
    <x v="0"/>
    <n v="4"/>
    <n v="1"/>
    <d v="2017-09-11T00:00:00"/>
    <s v="NISSAN"/>
    <s v="VERSA"/>
    <n v="0"/>
    <d v="2017-09-11T00:00:00"/>
    <n v="10"/>
    <x v="411"/>
  </r>
  <r>
    <d v="2017-09-16T00:00:00"/>
    <s v="001-00010374"/>
    <n v="16.949200000000001"/>
    <n v="0"/>
    <n v="0"/>
    <n v="0"/>
    <n v="0"/>
    <n v="0"/>
    <n v="0"/>
    <n v="0"/>
    <n v="0"/>
    <n v="16.949200000000001"/>
    <n v="1"/>
    <x v="1"/>
    <s v="-"/>
    <x v="5"/>
    <x v="0"/>
    <n v="3"/>
    <n v="1"/>
    <d v="2017-09-13T00:00:00"/>
    <s v="HYUNDAI"/>
    <s v="ELANTRA"/>
    <n v="180.73249999999999"/>
    <d v="2017-09-11T00:00:00"/>
    <n v="0"/>
    <x v="412"/>
  </r>
  <r>
    <d v="2017-09-16T00:00:00"/>
    <s v="001-00010400"/>
    <n v="250"/>
    <n v="49.684497700000001"/>
    <n v="0"/>
    <n v="0"/>
    <n v="39.048749999999998"/>
    <n v="0"/>
    <n v="0"/>
    <n v="0"/>
    <n v="88.733247699999993"/>
    <n v="161.26675230000001"/>
    <n v="0.64506700920000004"/>
    <x v="0"/>
    <s v="-"/>
    <x v="5"/>
    <x v="0"/>
    <n v="1"/>
    <n v="1"/>
    <d v="2017-09-15T00:00:00"/>
    <s v="SUZUKI"/>
    <s v="SWIFT"/>
    <n v="0"/>
    <d v="2017-09-16T00:00:00"/>
    <n v="0"/>
    <x v="413"/>
  </r>
  <r>
    <d v="2017-09-16T00:00:00"/>
    <s v="001-00010401"/>
    <n v="450"/>
    <n v="153.90020200000001"/>
    <n v="0"/>
    <n v="0"/>
    <n v="39.048749999999998"/>
    <n v="0"/>
    <n v="0"/>
    <n v="0"/>
    <n v="192.94895200000002"/>
    <n v="257.05104799999998"/>
    <n v="0.57122455111111103"/>
    <x v="0"/>
    <s v="-"/>
    <x v="5"/>
    <x v="0"/>
    <n v="0"/>
    <n v="1"/>
    <d v="2017-09-16T00:00:00"/>
    <s v="KIA"/>
    <s v="CERATO"/>
    <n v="0"/>
    <d v="2017-09-16T00:00:00"/>
    <n v="0"/>
    <x v="414"/>
  </r>
  <r>
    <d v="2017-09-18T00:00:00"/>
    <s v="001-00010068"/>
    <n v="2772.5259416789768"/>
    <n v="0"/>
    <n v="6.78"/>
    <n v="0"/>
    <n v="96.524999999999991"/>
    <n v="234"/>
    <n v="418.34812499999998"/>
    <n v="0"/>
    <n v="755.65312500000005"/>
    <n v="2016.8728166789767"/>
    <n v="0.72744957454125958"/>
    <x v="1"/>
    <s v="MEDIANO"/>
    <x v="5"/>
    <x v="0"/>
    <n v="45"/>
    <n v="1"/>
    <d v="2017-08-04T00:00:00"/>
    <s v="KIA"/>
    <s v="RIO"/>
    <n v="11206.0975"/>
    <d v="2017-09-01T00:00:00"/>
    <n v="16"/>
    <x v="415"/>
  </r>
  <r>
    <d v="2017-09-18T00:00:00"/>
    <s v="001-00010326"/>
    <n v="422.23998699999999"/>
    <n v="0"/>
    <n v="0"/>
    <n v="56.563559322033903"/>
    <n v="0"/>
    <n v="14.625"/>
    <n v="77.471874999999997"/>
    <n v="0"/>
    <n v="148.66043432203389"/>
    <n v="273.57955267796609"/>
    <n v="0.64792431105765003"/>
    <x v="0"/>
    <s v="LEVE"/>
    <x v="5"/>
    <x v="0"/>
    <n v="11"/>
    <n v="1"/>
    <d v="2017-09-07T00:00:00"/>
    <s v="TOYOTA"/>
    <s v="RAV4"/>
    <n v="0"/>
    <d v="2017-09-07T00:00:00"/>
    <n v="1"/>
    <x v="416"/>
  </r>
  <r>
    <d v="2017-09-18T00:00:00"/>
    <s v="001-00010419"/>
    <n v="169.49150000000006"/>
    <n v="127.65"/>
    <n v="0"/>
    <n v="0"/>
    <n v="0"/>
    <n v="0"/>
    <n v="0"/>
    <n v="0"/>
    <n v="127.65"/>
    <n v="41.841500000000053"/>
    <n v="0.24686488702973328"/>
    <x v="0"/>
    <s v="-"/>
    <x v="5"/>
    <x v="0"/>
    <n v="0"/>
    <n v="1"/>
    <d v="2017-09-18T00:00:00"/>
    <s v="CHEVROLET"/>
    <s v="SONIC"/>
    <n v="170.00749999999999"/>
    <d v="2017-09-18T00:00:00"/>
    <n v="0"/>
    <x v="417"/>
  </r>
  <r>
    <d v="2017-09-19T00:00:00"/>
    <s v="001-00010420"/>
    <n v="550"/>
    <n v="107.80730299999999"/>
    <n v="0"/>
    <n v="0"/>
    <n v="39.048749999999998"/>
    <n v="0"/>
    <n v="0"/>
    <n v="0"/>
    <n v="146.85605299999997"/>
    <n v="403.14394700000003"/>
    <n v="0.73298899454545463"/>
    <x v="0"/>
    <s v="-"/>
    <x v="5"/>
    <x v="0"/>
    <n v="1"/>
    <n v="1"/>
    <d v="2017-09-18T00:00:00"/>
    <s v="PEUGEOT"/>
    <n v="301"/>
    <n v="0"/>
    <d v="2017-09-19T00:00:00"/>
    <n v="0"/>
    <x v="418"/>
  </r>
  <r>
    <d v="2017-09-20T00:00:00"/>
    <s v="001-00010430"/>
    <n v="350"/>
    <n v="121.74309700000001"/>
    <n v="0"/>
    <n v="0"/>
    <n v="39.048749999999998"/>
    <n v="0"/>
    <n v="0"/>
    <n v="0"/>
    <n v="160.79184700000002"/>
    <n v="189.20815299999998"/>
    <n v="0.54059472285714283"/>
    <x v="0"/>
    <s v="-"/>
    <x v="5"/>
    <x v="0"/>
    <n v="4"/>
    <n v="1"/>
    <d v="2017-09-16T00:00:00"/>
    <s v="KIA"/>
    <s v="RIO"/>
    <n v="0"/>
    <d v="2017-09-19T00:00:00"/>
    <n v="0"/>
    <x v="167"/>
  </r>
  <r>
    <d v="2017-09-20T00:00:00"/>
    <s v="001-00010405"/>
    <n v="356.94998899999996"/>
    <n v="0"/>
    <n v="0"/>
    <n v="0"/>
    <n v="0"/>
    <n v="36.5625"/>
    <n v="61.977499999999999"/>
    <n v="0"/>
    <n v="98.539999999999992"/>
    <n v="258.409989"/>
    <n v="0.72393891851331593"/>
    <x v="0"/>
    <s v="LEVE"/>
    <x v="5"/>
    <x v="0"/>
    <n v="5"/>
    <n v="1"/>
    <d v="2017-09-15T00:00:00"/>
    <s v="HYUNDAI"/>
    <s v="VELOSTER"/>
    <n v="0"/>
    <d v="2017-09-16T00:00:00"/>
    <n v="2.5"/>
    <x v="419"/>
  </r>
  <r>
    <d v="2017-09-21T00:00:00"/>
    <s v="001-00010438"/>
    <n v="16.949200000000001"/>
    <n v="0"/>
    <n v="0"/>
    <n v="0"/>
    <n v="0"/>
    <n v="0"/>
    <n v="0"/>
    <n v="0"/>
    <n v="0"/>
    <n v="16.949200000000001"/>
    <n v="1"/>
    <x v="0"/>
    <s v="-"/>
    <x v="5"/>
    <x v="0"/>
    <n v="1"/>
    <n v="1"/>
    <d v="2017-09-20T00:00:00"/>
    <s v="HYUNDAI"/>
    <s v="I10"/>
    <n v="0"/>
    <d v="2017-09-20T00:00:00"/>
    <n v="0"/>
    <x v="420"/>
  </r>
  <r>
    <d v="2017-09-22T00:00:00"/>
    <s v="001-00010395"/>
    <n v="1787.5"/>
    <n v="0"/>
    <n v="0"/>
    <n v="0"/>
    <n v="0"/>
    <n v="263.25"/>
    <n v="154.94374999999999"/>
    <n v="0"/>
    <n v="418.19375000000002"/>
    <n v="1369.3062500000001"/>
    <n v="0.76604545454545458"/>
    <x v="0"/>
    <s v="MEDIANO"/>
    <x v="5"/>
    <x v="0"/>
    <n v="7"/>
    <n v="1"/>
    <d v="2017-09-15T00:00:00"/>
    <s v="TOYOTA"/>
    <s v="RAV4"/>
    <n v="0"/>
    <d v="2017-09-15T00:00:00"/>
    <n v="18"/>
    <x v="421"/>
  </r>
  <r>
    <d v="2017-09-22T00:00:00"/>
    <s v="001-00010424"/>
    <n v="227.5"/>
    <n v="0.86399993999999991"/>
    <n v="0"/>
    <n v="34.427966101694921"/>
    <n v="0"/>
    <n v="14.625"/>
    <n v="30.98875"/>
    <n v="0"/>
    <n v="80.905716041694916"/>
    <n v="146.59428395830508"/>
    <n v="0.6443704789376048"/>
    <x v="0"/>
    <s v="LEVE"/>
    <x v="5"/>
    <x v="0"/>
    <n v="3"/>
    <n v="1"/>
    <d v="2017-09-19T00:00:00"/>
    <s v="NISSAN"/>
    <s v="TIIDA"/>
    <n v="0"/>
    <d v="2017-09-19T00:00:00"/>
    <n v="1"/>
    <x v="422"/>
  </r>
  <r>
    <d v="2017-09-22T00:00:00"/>
    <s v="001-00010436"/>
    <n v="178.75"/>
    <n v="0"/>
    <n v="0"/>
    <n v="0"/>
    <n v="0"/>
    <n v="0"/>
    <n v="61.977499999999999"/>
    <n v="0"/>
    <n v="61.977499999999999"/>
    <n v="116.77250000000001"/>
    <n v="0.65327272727272734"/>
    <x v="0"/>
    <s v="-"/>
    <x v="5"/>
    <x v="0"/>
    <n v="2"/>
    <n v="1"/>
    <d v="2017-09-20T00:00:00"/>
    <s v="MAZDA"/>
    <s v="MAZDA 3"/>
    <n v="0"/>
    <d v="2017-09-20T00:00:00"/>
    <n v="0"/>
    <x v="254"/>
  </r>
  <r>
    <d v="2017-09-23T00:00:00"/>
    <s v="001-00010459"/>
    <n v="429"/>
    <n v="54.169498000000004"/>
    <n v="0"/>
    <n v="0"/>
    <n v="39.048749999999998"/>
    <n v="0"/>
    <n v="0"/>
    <n v="0"/>
    <n v="93.218248000000003"/>
    <n v="335.78175199999998"/>
    <n v="0.78270804662004656"/>
    <x v="0"/>
    <s v="-"/>
    <x v="5"/>
    <x v="0"/>
    <n v="2"/>
    <n v="1"/>
    <d v="2017-09-21T00:00:00"/>
    <s v="HYUNDAI"/>
    <s v="I10"/>
    <n v="0"/>
    <d v="2017-09-22T00:00:00"/>
    <n v="0"/>
    <x v="423"/>
  </r>
  <r>
    <d v="2017-09-23T00:00:00"/>
    <s v="001-00010434"/>
    <n v="760.03197660000001"/>
    <n v="81.235901900000002"/>
    <n v="0"/>
    <n v="34.427966101694921"/>
    <n v="0"/>
    <n v="14.625"/>
    <n v="61.977499999999999"/>
    <n v="0"/>
    <n v="192.26636800169493"/>
    <n v="567.76560859830511"/>
    <n v="0.74702858047920861"/>
    <x v="0"/>
    <s v="LEVE"/>
    <x v="5"/>
    <x v="0"/>
    <n v="4"/>
    <n v="1"/>
    <d v="2017-09-19T00:00:00"/>
    <s v="MITSUBISHI"/>
    <s v="MIRAGE"/>
    <n v="0"/>
    <d v="2017-09-20T00:00:00"/>
    <n v="1"/>
    <x v="424"/>
  </r>
  <r>
    <d v="2017-09-25T00:00:00"/>
    <s v="001-00010469"/>
    <n v="349"/>
    <n v="91.395196700000014"/>
    <n v="0"/>
    <n v="0"/>
    <n v="39.048749999999998"/>
    <n v="0"/>
    <n v="0"/>
    <n v="0"/>
    <n v="130.44394670000003"/>
    <n v="218.55605329999997"/>
    <n v="0.62623510974212027"/>
    <x v="0"/>
    <s v="-"/>
    <x v="5"/>
    <x v="0"/>
    <n v="0"/>
    <n v="1"/>
    <d v="2017-09-25T00:00:00"/>
    <s v="CHEVROLET"/>
    <s v="SAIL"/>
    <n v="0"/>
    <d v="2017-09-25T00:00:00"/>
    <n v="0"/>
    <x v="373"/>
  </r>
  <r>
    <d v="2017-09-25T00:00:00"/>
    <s v="001-00010411"/>
    <n v="649.59997999999996"/>
    <n v="0"/>
    <n v="0"/>
    <n v="0"/>
    <n v="0"/>
    <n v="58.5"/>
    <n v="123.955"/>
    <n v="0"/>
    <n v="182.45499999999998"/>
    <n v="467.14497999999998"/>
    <n v="0.71912714652485055"/>
    <x v="0"/>
    <s v="LEVE"/>
    <x v="5"/>
    <x v="0"/>
    <n v="8"/>
    <n v="1"/>
    <d v="2017-09-17T00:00:00"/>
    <s v="KIA"/>
    <s v="RIO"/>
    <n v="0"/>
    <d v="2017-09-18T00:00:00"/>
    <n v="4"/>
    <x v="425"/>
  </r>
  <r>
    <d v="2017-09-25T00:00:00"/>
    <s v="001-00010418"/>
    <n v="132.12214318019991"/>
    <n v="0"/>
    <n v="82.615000000000009"/>
    <n v="0"/>
    <n v="0"/>
    <n v="0"/>
    <n v="0"/>
    <n v="0"/>
    <n v="82.615000000000009"/>
    <n v="49.507143180199904"/>
    <n v="0.37470738809222665"/>
    <x v="0"/>
    <s v="-"/>
    <x v="5"/>
    <x v="0"/>
    <n v="10"/>
    <n v="1"/>
    <d v="2017-09-15T00:00:00"/>
    <s v="KIA"/>
    <s v="RIO"/>
    <n v="156"/>
    <d v="2017-09-18T00:00:00"/>
    <n v="0"/>
    <x v="426"/>
  </r>
  <r>
    <d v="2017-09-27T00:00:00"/>
    <s v="001-00010495"/>
    <n v="349"/>
    <n v="129.69019900000001"/>
    <n v="0"/>
    <n v="0"/>
    <n v="39.048749999999998"/>
    <n v="0"/>
    <n v="0"/>
    <n v="0"/>
    <n v="168.73894899999999"/>
    <n v="180.26105100000001"/>
    <n v="0.51650730945558743"/>
    <x v="0"/>
    <s v="-"/>
    <x v="5"/>
    <x v="0"/>
    <n v="2"/>
    <n v="1"/>
    <d v="2017-09-25T00:00:00"/>
    <s v="HYUNDAI"/>
    <s v="ACCENT"/>
    <n v="0"/>
    <d v="2017-09-27T00:00:00"/>
    <n v="0"/>
    <x v="195"/>
  </r>
  <r>
    <d v="2017-09-28T00:00:00"/>
    <s v="001-00010432"/>
    <n v="425.88"/>
    <n v="0"/>
    <n v="0"/>
    <n v="0"/>
    <n v="0"/>
    <n v="73.125"/>
    <n v="61.977499999999999"/>
    <n v="0"/>
    <n v="135.10249999999999"/>
    <n v="290.77750000000003"/>
    <n v="0.6827686202686204"/>
    <x v="0"/>
    <s v="LEVE"/>
    <x v="5"/>
    <x v="0"/>
    <n v="9"/>
    <n v="1"/>
    <d v="2017-09-19T00:00:00"/>
    <s v="RENAULT"/>
    <s v="LOGAN"/>
    <n v="0"/>
    <d v="2017-09-19T00:00:00"/>
    <n v="5"/>
    <x v="427"/>
  </r>
  <r>
    <d v="2017-09-29T00:00:00"/>
    <s v="001-00010504"/>
    <n v="450"/>
    <n v="116.39199969999999"/>
    <n v="0"/>
    <n v="0"/>
    <n v="39.048749999999998"/>
    <n v="0"/>
    <n v="0"/>
    <n v="0"/>
    <n v="155.44074969999997"/>
    <n v="294.55925030000003"/>
    <n v="0.65457611177777786"/>
    <x v="0"/>
    <s v="-"/>
    <x v="5"/>
    <x v="0"/>
    <n v="1"/>
    <n v="1"/>
    <d v="2017-09-28T00:00:00"/>
    <s v="SUZUKI"/>
    <s v="SWIFT"/>
    <n v="0"/>
    <d v="2017-09-28T00:00:00"/>
    <n v="0"/>
    <x v="224"/>
  </r>
  <r>
    <d v="2017-09-29T00:00:00"/>
    <s v="001-00010416"/>
    <n v="336.44964600000003"/>
    <n v="0"/>
    <n v="208"/>
    <n v="0"/>
    <n v="0"/>
    <n v="0"/>
    <n v="0"/>
    <n v="0"/>
    <n v="208"/>
    <n v="128.44964600000003"/>
    <n v="0.38177970322489213"/>
    <x v="0"/>
    <s v="-"/>
    <x v="5"/>
    <x v="0"/>
    <n v="11"/>
    <n v="1"/>
    <d v="2017-09-18T00:00:00"/>
    <s v="SUZUKI"/>
    <s v="CELERIO"/>
    <n v="376.54500000000002"/>
    <d v="2017-09-18T00:00:00"/>
    <n v="0"/>
    <x v="428"/>
  </r>
  <r>
    <d v="2017-09-29T00:00:00"/>
    <s v="001-00010373"/>
    <n v="1553.25"/>
    <n v="375.19067377999994"/>
    <n v="0"/>
    <n v="68.855932203389841"/>
    <n v="29.25"/>
    <n v="58.5"/>
    <n v="123.955"/>
    <n v="0"/>
    <n v="655.75160598338982"/>
    <n v="897.49839401661018"/>
    <n v="0.57781966458497358"/>
    <x v="0"/>
    <s v="LEVE"/>
    <x v="5"/>
    <x v="0"/>
    <n v="17"/>
    <n v="1"/>
    <d v="2017-09-12T00:00:00"/>
    <s v="SUZUKI"/>
    <s v="CELERIO"/>
    <n v="496.3075"/>
    <d v="2017-09-21T00:00:00"/>
    <n v="4"/>
    <x v="204"/>
  </r>
  <r>
    <d v="2017-09-29T00:00:00"/>
    <s v="001-00010484"/>
    <n v="16.949200000000001"/>
    <n v="0"/>
    <n v="0"/>
    <n v="0"/>
    <n v="0"/>
    <n v="0"/>
    <n v="0"/>
    <n v="0"/>
    <n v="0"/>
    <n v="16.949200000000001"/>
    <n v="1"/>
    <x v="0"/>
    <s v="-"/>
    <x v="5"/>
    <x v="0"/>
    <n v="3"/>
    <n v="1"/>
    <d v="2017-09-26T00:00:00"/>
    <s v="HYUNDAI"/>
    <s v="ELANTRA"/>
    <n v="16.997500000000002"/>
    <d v="2017-09-26T00:00:00"/>
    <n v="0"/>
    <x v="429"/>
  </r>
  <r>
    <d v="2017-09-30T00:00:00"/>
    <s v="001-00010501"/>
    <n v="326.7"/>
    <n v="0"/>
    <n v="0"/>
    <n v="0"/>
    <n v="0"/>
    <n v="43.875"/>
    <n v="61.977499999999999"/>
    <n v="0"/>
    <n v="105.85249999999999"/>
    <n v="220.8475"/>
    <n v="0.67599479644934191"/>
    <x v="0"/>
    <s v="LEVE"/>
    <x v="5"/>
    <x v="0"/>
    <n v="5"/>
    <n v="1"/>
    <d v="2017-09-25T00:00:00"/>
    <s v="MAZDA"/>
    <s v="CX-3"/>
    <n v="0"/>
    <d v="2017-09-27T00:00:00"/>
    <n v="3"/>
    <x v="430"/>
  </r>
  <r>
    <d v="2017-10-02T00:00:00"/>
    <s v="001-00010485"/>
    <n v="664.77925503000006"/>
    <n v="0"/>
    <n v="0"/>
    <n v="0"/>
    <n v="0"/>
    <n v="43.875"/>
    <n v="123.955"/>
    <n v="0"/>
    <n v="167.82999999999998"/>
    <n v="496.94925503000007"/>
    <n v="0.74754025681438241"/>
    <x v="1"/>
    <s v="LEVE"/>
    <x v="6"/>
    <x v="0"/>
    <n v="6"/>
    <n v="1"/>
    <d v="2017-09-26T00:00:00"/>
    <s v="HYUNDAI"/>
    <s v="I30"/>
    <n v="629.62249999999995"/>
    <d v="2017-09-26T00:00:00"/>
    <n v="3"/>
    <x v="431"/>
  </r>
  <r>
    <d v="2017-10-02T00:00:00"/>
    <s v="001-00010530"/>
    <n v="100"/>
    <n v="0"/>
    <n v="0"/>
    <n v="0"/>
    <n v="14.625"/>
    <n v="0"/>
    <n v="0"/>
    <n v="0"/>
    <n v="14.625"/>
    <n v="85.375"/>
    <n v="0.85375000000000001"/>
    <x v="0"/>
    <s v="-"/>
    <x v="6"/>
    <x v="0"/>
    <n v="0"/>
    <n v="1"/>
    <d v="2017-10-02T00:00:00"/>
    <s v="SUZUKI"/>
    <s v="APV"/>
    <n v="0"/>
    <d v="2017-10-02T00:00:00"/>
    <n v="0"/>
    <x v="432"/>
  </r>
  <r>
    <d v="2017-10-02T00:00:00"/>
    <s v="001-00010529"/>
    <n v="530"/>
    <n v="170.1978"/>
    <n v="0"/>
    <n v="0"/>
    <n v="39.048749999999998"/>
    <n v="0"/>
    <n v="0"/>
    <n v="0"/>
    <n v="209.24655000000001"/>
    <n v="320.75344999999999"/>
    <n v="0.60519518867924527"/>
    <x v="0"/>
    <s v="-"/>
    <x v="6"/>
    <x v="0"/>
    <n v="0"/>
    <n v="1"/>
    <d v="2017-10-02T00:00:00"/>
    <s v="CITROEN"/>
    <s v="BERLINGO"/>
    <n v="30.0625"/>
    <d v="2017-10-02T00:00:00"/>
    <n v="0"/>
    <x v="433"/>
  </r>
  <r>
    <d v="2017-10-02T00:00:00"/>
    <s v="001-00010451"/>
    <n v="1667.0004713999997"/>
    <n v="0"/>
    <n v="0"/>
    <n v="0"/>
    <n v="0"/>
    <n v="263.25"/>
    <n v="138.82960000000003"/>
    <n v="0"/>
    <n v="402.07960000000003"/>
    <n v="1264.9208713999997"/>
    <n v="0.75880054811123065"/>
    <x v="1"/>
    <s v="MEDIANO"/>
    <x v="6"/>
    <x v="0"/>
    <n v="11"/>
    <n v="1"/>
    <d v="2017-09-21T00:00:00"/>
    <s v="NISSAN"/>
    <s v="VERSA"/>
    <n v="269.32749999999999"/>
    <d v="2017-09-22T00:00:00"/>
    <n v="18"/>
    <x v="1"/>
  </r>
  <r>
    <d v="2017-10-02T00:00:00"/>
    <s v="001-00010294"/>
    <n v="285.86249999999995"/>
    <n v="0"/>
    <n v="0"/>
    <n v="0"/>
    <n v="0"/>
    <n v="0"/>
    <n v="30.98875"/>
    <n v="0"/>
    <n v="30.98875"/>
    <n v="254.87374999999994"/>
    <n v="0.89159560977742791"/>
    <x v="1"/>
    <s v="LEVE"/>
    <x v="6"/>
    <x v="0"/>
    <n v="28"/>
    <n v="1"/>
    <d v="2017-09-04T00:00:00"/>
    <s v="NISSAN"/>
    <s v="VERSA"/>
    <n v="2115.5225"/>
    <d v="2017-09-06T00:00:00"/>
    <n v="0"/>
    <x v="1"/>
  </r>
  <r>
    <d v="2017-10-02T00:00:00"/>
    <s v="001-00009762"/>
    <n v="2640.5665040699996"/>
    <n v="0"/>
    <n v="0"/>
    <n v="16.95"/>
    <n v="87.75"/>
    <n v="204.75"/>
    <n v="402.85374999999999"/>
    <n v="0"/>
    <n v="712.30375000000004"/>
    <n v="1928.2627540699996"/>
    <n v="0.73024585864355218"/>
    <x v="1"/>
    <s v="MEDIANO"/>
    <x v="6"/>
    <x v="0"/>
    <n v="101"/>
    <n v="1"/>
    <d v="2017-06-23T00:00:00"/>
    <s v="KIA"/>
    <s v="RIO"/>
    <n v="12428.91"/>
    <d v="2017-08-16T00:00:00"/>
    <n v="14"/>
    <x v="1"/>
  </r>
  <r>
    <d v="2017-10-03T00:00:00"/>
    <s v="001-00010491"/>
    <n v="350"/>
    <n v="15.25"/>
    <n v="0"/>
    <n v="0"/>
    <n v="29.25"/>
    <n v="0"/>
    <n v="0"/>
    <n v="0"/>
    <n v="44.5"/>
    <n v="305.5"/>
    <n v="0.87285714285714289"/>
    <x v="0"/>
    <s v="-"/>
    <x v="6"/>
    <x v="0"/>
    <n v="9"/>
    <n v="1"/>
    <d v="2017-09-24T00:00:00"/>
    <s v="NISSAN"/>
    <s v="SENTRA"/>
    <n v="30.0625"/>
    <d v="2017-09-26T00:00:00"/>
    <n v="0"/>
    <x v="128"/>
  </r>
  <r>
    <d v="2017-10-03T00:00:00"/>
    <s v="001-00010515"/>
    <n v="1209.050239847289"/>
    <n v="0"/>
    <n v="0"/>
    <n v="48.050847457627121"/>
    <n v="0"/>
    <n v="73.125"/>
    <n v="139.449375"/>
    <n v="0"/>
    <n v="260.62522245762716"/>
    <n v="948.42501738966189"/>
    <n v="0.78443805404600409"/>
    <x v="1"/>
    <s v="LEVE"/>
    <x v="6"/>
    <x v="0"/>
    <n v="5"/>
    <n v="1"/>
    <d v="2017-09-28T00:00:00"/>
    <s v="MAZDA"/>
    <s v="MAZDA 3"/>
    <n v="111.60500000000002"/>
    <d v="2017-09-29T00:00:00"/>
    <n v="5"/>
    <x v="1"/>
  </r>
  <r>
    <d v="2017-10-03T00:00:00"/>
    <s v="001-00010499"/>
    <n v="1332.9324592500002"/>
    <n v="1.6950000599999999"/>
    <n v="0"/>
    <n v="61.779661016949163"/>
    <n v="0"/>
    <n v="146.25"/>
    <n v="154.94374999999999"/>
    <n v="0"/>
    <n v="364.66841107694916"/>
    <n v="968.26404817305104"/>
    <n v="0.72641643727234551"/>
    <x v="1"/>
    <s v="MEDIANO"/>
    <x v="6"/>
    <x v="0"/>
    <n v="6"/>
    <n v="1"/>
    <d v="2017-09-27T00:00:00"/>
    <s v="RENAULT"/>
    <s v="LOGAN"/>
    <n v="1128.2049999999999"/>
    <d v="2017-09-26T00:00:00"/>
    <n v="10"/>
    <x v="1"/>
  </r>
  <r>
    <d v="2017-10-04T00:00:00"/>
    <s v="001-00010456"/>
    <n v="2562.9426798545792"/>
    <n v="0"/>
    <n v="0"/>
    <n v="41.313559322033896"/>
    <n v="14.625"/>
    <n v="234"/>
    <n v="356.37062500000002"/>
    <n v="0"/>
    <n v="646.30918432203384"/>
    <n v="1916.6334955325453"/>
    <n v="0.74782534568478709"/>
    <x v="1"/>
    <s v="MEDIANO"/>
    <x v="6"/>
    <x v="0"/>
    <n v="12"/>
    <n v="1"/>
    <d v="2017-09-22T00:00:00"/>
    <s v="SUZUKI"/>
    <s v="GRAND N."/>
    <n v="6318.8774999999996"/>
    <d v="2017-09-23T00:00:00"/>
    <n v="16"/>
    <x v="434"/>
  </r>
  <r>
    <d v="2017-10-04T00:00:00"/>
    <s v="001-00010553"/>
    <n v="132.9357032001999"/>
    <n v="0"/>
    <n v="82.615000000000009"/>
    <n v="0"/>
    <n v="0"/>
    <n v="0"/>
    <n v="0"/>
    <n v="0"/>
    <n v="82.615000000000009"/>
    <n v="50.320703200199887"/>
    <n v="0.37853414838011867"/>
    <x v="0"/>
    <s v="-"/>
    <x v="6"/>
    <x v="0"/>
    <n v="1"/>
    <n v="1"/>
    <d v="2017-10-03T00:00:00"/>
    <s v="SUZUKI"/>
    <s v="GRAND N."/>
    <n v="132.21"/>
    <d v="2017-10-03T00:00:00"/>
    <n v="0"/>
    <x v="434"/>
  </r>
  <r>
    <d v="2017-10-04T00:00:00"/>
    <s v="001-00010474"/>
    <n v="2432.5550067644099"/>
    <n v="0"/>
    <n v="0"/>
    <n v="72.03"/>
    <n v="0"/>
    <n v="307.125"/>
    <n v="263.40437500000002"/>
    <n v="113.75"/>
    <n v="756.30937500000005"/>
    <n v="1676.2456317644098"/>
    <n v="0.68908847985066435"/>
    <x v="1"/>
    <s v="MEDIANO"/>
    <x v="6"/>
    <x v="0"/>
    <n v="9"/>
    <n v="1"/>
    <d v="2017-09-25T00:00:00"/>
    <s v="HYUNDAI"/>
    <s v="ACCENT"/>
    <n v="1086.7349999999999"/>
    <d v="2017-09-25T00:00:00"/>
    <n v="21"/>
    <x v="1"/>
  </r>
  <r>
    <d v="2017-10-04T00:00:00"/>
    <s v="001-00010144"/>
    <n v="4657.5090126813602"/>
    <n v="4.6612000199999999"/>
    <n v="0"/>
    <n v="96.398305084745772"/>
    <n v="29.25"/>
    <n v="585"/>
    <n v="604.28062499999999"/>
    <n v="0"/>
    <n v="1319.5901301047456"/>
    <n v="3337.9188825766146"/>
    <n v="0.71667470175327719"/>
    <x v="1"/>
    <s v="GRAVE"/>
    <x v="6"/>
    <x v="0"/>
    <n v="51"/>
    <n v="1"/>
    <d v="2017-08-14T00:00:00"/>
    <s v="HYUNDAI"/>
    <s v="ACCENT"/>
    <n v="5220.085"/>
    <d v="2017-08-24T00:00:00"/>
    <n v="40"/>
    <x v="1"/>
  </r>
  <r>
    <d v="2017-10-04T00:00:00"/>
    <s v="001-00010311"/>
    <n v="3253.0445847376286"/>
    <n v="0"/>
    <n v="0"/>
    <n v="42.707627118644069"/>
    <n v="0"/>
    <n v="438.75"/>
    <n v="337.77737500000001"/>
    <n v="0"/>
    <n v="819.23500211864405"/>
    <n v="2433.8095826189847"/>
    <n v="0.74816361080254956"/>
    <x v="1"/>
    <s v="GRAVE"/>
    <x v="6"/>
    <x v="0"/>
    <n v="29"/>
    <n v="1"/>
    <d v="2017-09-05T00:00:00"/>
    <s v="HYUNDAI"/>
    <s v="ACCENT"/>
    <n v="1452.0349999999999"/>
    <d v="2017-09-07T00:00:00"/>
    <n v="30"/>
    <x v="435"/>
  </r>
  <r>
    <d v="2017-10-04T00:00:00"/>
    <s v="001-00010552"/>
    <n v="132.9357032001999"/>
    <n v="0"/>
    <n v="82.615000000000009"/>
    <n v="0"/>
    <n v="0"/>
    <n v="0"/>
    <n v="0"/>
    <n v="0"/>
    <n v="82.615000000000009"/>
    <n v="50.320703200199887"/>
    <n v="0.37853414838011867"/>
    <x v="0"/>
    <s v="-"/>
    <x v="6"/>
    <x v="0"/>
    <n v="1"/>
    <n v="1"/>
    <d v="2017-10-03T00:00:00"/>
    <s v="HYUNDAI"/>
    <s v="ACCENT"/>
    <n v="132.21"/>
    <d v="2017-10-03T00:00:00"/>
    <n v="0"/>
    <x v="435"/>
  </r>
  <r>
    <d v="2017-10-04T00:00:00"/>
    <s v="001-00010450"/>
    <n v="3370.7758824550792"/>
    <n v="0"/>
    <n v="0"/>
    <n v="55.084745762711869"/>
    <n v="0"/>
    <n v="453.375"/>
    <n v="278.89875000000001"/>
    <n v="0"/>
    <n v="787.35849576271187"/>
    <n v="2583.4173866923675"/>
    <n v="0.7664162426636193"/>
    <x v="1"/>
    <s v="GRAVE"/>
    <x v="6"/>
    <x v="0"/>
    <n v="13"/>
    <n v="1"/>
    <d v="2017-09-21T00:00:00"/>
    <s v="TOYOTA"/>
    <s v="COROLLA"/>
    <n v="1541.8325"/>
    <d v="2017-09-21T00:00:00"/>
    <n v="31"/>
    <x v="1"/>
  </r>
  <r>
    <d v="2017-10-05T00:00:00"/>
    <s v="001-00009715"/>
    <n v="2669.3874625999993"/>
    <n v="0.84750002999999996"/>
    <n v="0"/>
    <n v="50.344322033898308"/>
    <n v="0"/>
    <n v="351"/>
    <n v="387.359375"/>
    <n v="0"/>
    <n v="789.55119706389837"/>
    <n v="1879.8362655361009"/>
    <n v="0.70422008489735288"/>
    <x v="1"/>
    <s v="MEDIANO"/>
    <x v="6"/>
    <x v="0"/>
    <n v="113"/>
    <n v="1"/>
    <d v="2017-06-14T00:00:00"/>
    <s v="MAZDA"/>
    <s v="CX-5"/>
    <n v="12436.7425"/>
    <d v="2017-06-15T00:00:00"/>
    <n v="24"/>
    <x v="436"/>
  </r>
  <r>
    <d v="2017-10-05T00:00:00"/>
    <s v="001-00010496"/>
    <n v="484.93870503999995"/>
    <n v="0"/>
    <n v="0"/>
    <n v="61.970338983050844"/>
    <n v="0"/>
    <n v="14.625"/>
    <n v="61.977499999999999"/>
    <n v="0"/>
    <n v="138.57283898305084"/>
    <n v="346.36586605694913"/>
    <n v="0.71424669232863003"/>
    <x v="0"/>
    <s v="LEVE"/>
    <x v="6"/>
    <x v="0"/>
    <n v="8"/>
    <n v="1"/>
    <d v="2017-09-27T00:00:00"/>
    <s v="KIA"/>
    <s v="RIO"/>
    <n v="0"/>
    <d v="2017-09-27T00:00:00"/>
    <n v="1"/>
    <x v="1"/>
  </r>
  <r>
    <d v="2017-10-05T00:00:00"/>
    <s v="001-00010381"/>
    <n v="2801.1687246000001"/>
    <n v="0.84750002999999996"/>
    <n v="0"/>
    <n v="75.677966101694921"/>
    <n v="29.25"/>
    <n v="351"/>
    <n v="356.37062500000002"/>
    <n v="0"/>
    <n v="813.1460911316949"/>
    <n v="1988.0226334683052"/>
    <n v="0.70971184849002267"/>
    <x v="1"/>
    <s v="MEDIANO"/>
    <x v="6"/>
    <x v="0"/>
    <n v="21"/>
    <n v="1"/>
    <d v="2017-09-14T00:00:00"/>
    <s v="CHEVROLET"/>
    <s v="SAIL"/>
    <n v="2341.4625000000001"/>
    <d v="2017-09-15T00:00:00"/>
    <n v="24"/>
    <x v="1"/>
  </r>
  <r>
    <d v="2017-10-05T00:00:00"/>
    <s v="001-00010443"/>
    <n v="1669.1200000000001"/>
    <n v="1.2711999"/>
    <n v="0"/>
    <n v="154.65711864406779"/>
    <n v="0"/>
    <n v="175.5"/>
    <n v="185.9325"/>
    <n v="113.75"/>
    <n v="631.1108185440678"/>
    <n v="1038.0091814559323"/>
    <n v="0.621890086665987"/>
    <x v="1"/>
    <s v="MEDIANO"/>
    <x v="6"/>
    <x v="0"/>
    <n v="15"/>
    <n v="1"/>
    <d v="2017-09-20T00:00:00"/>
    <s v="FORD "/>
    <s v="ECOSPORT"/>
    <n v="5379.2375000000002"/>
    <d v="2017-09-21T00:00:00"/>
    <n v="12"/>
    <x v="1"/>
  </r>
  <r>
    <d v="2017-10-05T00:00:00"/>
    <s v="001-00010473"/>
    <n v="786.04666859999975"/>
    <n v="0"/>
    <n v="0"/>
    <n v="103.28389830508475"/>
    <n v="0"/>
    <n v="58.5"/>
    <n v="136.97027500000002"/>
    <n v="0"/>
    <n v="298.75417330508475"/>
    <n v="487.292495294915"/>
    <n v="0.61992819861804727"/>
    <x v="1"/>
    <s v="LEVE"/>
    <x v="6"/>
    <x v="0"/>
    <n v="10"/>
    <n v="1"/>
    <d v="2017-09-25T00:00:00"/>
    <s v="KIA"/>
    <s v="RIO"/>
    <n v="219.66750000000002"/>
    <d v="2017-09-25T00:00:00"/>
    <n v="4"/>
    <x v="1"/>
  </r>
  <r>
    <d v="2017-10-05T00:00:00"/>
    <s v="001-00010562"/>
    <n v="296.61020000000002"/>
    <n v="99.549048499999998"/>
    <n v="0"/>
    <n v="0"/>
    <n v="39.048749999999998"/>
    <n v="0"/>
    <n v="0"/>
    <n v="0"/>
    <n v="138.59779850000001"/>
    <n v="158.01240150000001"/>
    <n v="0.53272747026231737"/>
    <x v="0"/>
    <s v="-"/>
    <x v="6"/>
    <x v="0"/>
    <n v="0"/>
    <n v="1"/>
    <d v="2017-10-05T00:00:00"/>
    <s v="HYUNDAI"/>
    <s v="H1"/>
    <n v="0"/>
    <d v="2017-10-05T00:00:00"/>
    <n v="0"/>
    <x v="121"/>
  </r>
  <r>
    <d v="2017-10-06T00:00:00"/>
    <s v="001-00010502"/>
    <n v="316.74270645600006"/>
    <n v="0"/>
    <n v="0"/>
    <n v="0"/>
    <n v="0"/>
    <n v="0"/>
    <n v="30.98875"/>
    <n v="0"/>
    <n v="30.98875"/>
    <n v="285.75395645600008"/>
    <n v="0.90216428233903234"/>
    <x v="1"/>
    <s v="LEVE"/>
    <x v="6"/>
    <x v="0"/>
    <n v="9"/>
    <n v="1"/>
    <d v="2017-09-27T00:00:00"/>
    <s v="FORD"/>
    <s v="ECOSPORT"/>
    <n v="2581.1175000000003"/>
    <d v="2017-09-20T00:00:00"/>
    <n v="0"/>
    <x v="1"/>
  </r>
  <r>
    <d v="2017-10-06T00:00:00"/>
    <s v="001-00010466"/>
    <n v="1207.9759999999999"/>
    <n v="0.71999994999999994"/>
    <n v="0"/>
    <n v="0"/>
    <n v="0"/>
    <n v="102.375"/>
    <n v="216.92125000000001"/>
    <n v="0"/>
    <n v="320.01624995000003"/>
    <n v="887.95975004999991"/>
    <n v="0.73508062250408945"/>
    <x v="1"/>
    <s v="LEVE"/>
    <x v="6"/>
    <x v="0"/>
    <n v="13"/>
    <n v="1"/>
    <d v="2017-09-23T00:00:00"/>
    <s v="CHANGAN"/>
    <s v="SC7133"/>
    <n v="949"/>
    <d v="2017-09-25T00:00:00"/>
    <n v="7"/>
    <x v="1"/>
  </r>
  <r>
    <d v="2017-10-06T00:00:00"/>
    <s v="001-00010445"/>
    <n v="1017.6380543999996"/>
    <n v="0"/>
    <n v="0"/>
    <n v="106.35203389830509"/>
    <n v="0"/>
    <n v="73.125"/>
    <n v="136.35050000000001"/>
    <n v="113.75"/>
    <n v="429.57753389830509"/>
    <n v="588.06052050169455"/>
    <n v="0.57786805235817917"/>
    <x v="1"/>
    <s v="LEVE"/>
    <x v="6"/>
    <x v="0"/>
    <n v="16"/>
    <n v="1"/>
    <d v="2017-09-20T00:00:00"/>
    <s v="HYUNDAI"/>
    <s v="ELANTRA"/>
    <n v="247"/>
    <d v="2017-09-20T00:00:00"/>
    <n v="5"/>
    <x v="1"/>
  </r>
  <r>
    <d v="2017-10-06T00:00:00"/>
    <s v="001-00010458"/>
    <n v="890.51599999999985"/>
    <n v="0"/>
    <n v="0"/>
    <n v="133.80966101694918"/>
    <n v="43.875"/>
    <n v="29.25"/>
    <n v="61.977499999999999"/>
    <n v="113.75"/>
    <n v="382.6621610169492"/>
    <n v="507.85383898305065"/>
    <n v="0.57029164999062421"/>
    <x v="0"/>
    <s v="LEVE"/>
    <x v="6"/>
    <x v="0"/>
    <n v="14"/>
    <n v="1"/>
    <d v="2017-09-22T00:00:00"/>
    <s v="SUZUKI"/>
    <s v="GRAND N."/>
    <n v="1181.115"/>
    <d v="2017-09-23T00:00:00"/>
    <n v="2"/>
    <x v="1"/>
  </r>
  <r>
    <d v="2017-10-06T00:00:00"/>
    <s v="001-00010455"/>
    <n v="132.447571256"/>
    <n v="0"/>
    <n v="82.615000000000009"/>
    <n v="0"/>
    <n v="0"/>
    <n v="0"/>
    <n v="0"/>
    <n v="0"/>
    <n v="82.615000000000009"/>
    <n v="49.832571255999994"/>
    <n v="0.37624375278034805"/>
    <x v="0"/>
    <s v="-"/>
    <x v="6"/>
    <x v="0"/>
    <n v="15"/>
    <n v="1"/>
    <d v="2017-09-21T00:00:00"/>
    <s v="SUZUKI"/>
    <s v="SX4"/>
    <n v="132.21"/>
    <d v="2017-09-22T00:00:00"/>
    <n v="0"/>
    <x v="437"/>
  </r>
  <r>
    <d v="2017-10-06T00:00:00"/>
    <s v="001-00010492"/>
    <n v="1393.3195997599996"/>
    <n v="0"/>
    <n v="0"/>
    <n v="54.915254237288146"/>
    <n v="0"/>
    <n v="87.75"/>
    <n v="268.36257499999999"/>
    <n v="0"/>
    <n v="411.02782923728813"/>
    <n v="982.29177052271143"/>
    <n v="0.70500104261212715"/>
    <x v="1"/>
    <s v="LEVE"/>
    <x v="6"/>
    <x v="0"/>
    <n v="9"/>
    <n v="1"/>
    <d v="2017-09-27T00:00:00"/>
    <s v="HYUNDAI"/>
    <s v="I10"/>
    <n v="1051.4724999999999"/>
    <d v="2017-09-28T00:00:00"/>
    <n v="6"/>
    <x v="438"/>
  </r>
  <r>
    <d v="2017-10-06T00:00:00"/>
    <s v="001-00010393"/>
    <n v="2337.4491888000002"/>
    <n v="4.3159000299999999"/>
    <n v="0"/>
    <n v="84.75"/>
    <n v="14.625"/>
    <n v="263.25"/>
    <n v="291.91402499999998"/>
    <n v="0"/>
    <n v="658.85492503"/>
    <n v="1678.5942637700002"/>
    <n v="0.71813080336165813"/>
    <x v="1"/>
    <s v="MEDIANO"/>
    <x v="6"/>
    <x v="0"/>
    <n v="22"/>
    <n v="1"/>
    <d v="2017-09-14T00:00:00"/>
    <s v="HYUNDAI"/>
    <s v="ACCENT"/>
    <n v="1503.4175"/>
    <d v="2017-09-18T00:00:00"/>
    <n v="18"/>
    <x v="439"/>
  </r>
  <r>
    <d v="2017-10-06T00:00:00"/>
    <s v="001-00010503"/>
    <n v="1307.2839999999999"/>
    <n v="2.41500001"/>
    <n v="0"/>
    <n v="20.593220338983052"/>
    <n v="0"/>
    <n v="146.25"/>
    <n v="216.92125000000001"/>
    <n v="0"/>
    <n v="386.17947034898305"/>
    <n v="921.10452965101683"/>
    <n v="0.70459405121688701"/>
    <x v="1"/>
    <s v="MEDIANO"/>
    <x v="6"/>
    <x v="0"/>
    <n v="9"/>
    <n v="1"/>
    <d v="2017-09-27T00:00:00"/>
    <s v="TOYOTA"/>
    <s v="YARIS"/>
    <n v="1900.6650000000002"/>
    <d v="2017-09-28T00:00:00"/>
    <n v="10"/>
    <x v="1"/>
  </r>
  <r>
    <d v="2017-10-06T00:00:00"/>
    <s v="001-00010426"/>
    <n v="830.11459520000005"/>
    <n v="0"/>
    <n v="0"/>
    <n v="20.593220338983052"/>
    <n v="0"/>
    <n v="73.125"/>
    <n v="123.955"/>
    <n v="0"/>
    <n v="217.67322033898307"/>
    <n v="612.44137486101704"/>
    <n v="0.73777931191953217"/>
    <x v="1"/>
    <s v="LEVE"/>
    <x v="6"/>
    <x v="0"/>
    <n v="17"/>
    <n v="1"/>
    <d v="2017-09-19T00:00:00"/>
    <s v="SUZUKI"/>
    <s v="SX4"/>
    <n v="1811.2249999999999"/>
    <d v="2017-09-19T00:00:00"/>
    <n v="5"/>
    <x v="1"/>
  </r>
  <r>
    <d v="2017-10-07T00:00:00"/>
    <s v="001-00010493"/>
    <n v="2657.8532074703398"/>
    <n v="0"/>
    <n v="0"/>
    <n v="130.82627118644069"/>
    <n v="0"/>
    <n v="263.25"/>
    <n v="370.005675"/>
    <n v="0"/>
    <n v="764.08194618644075"/>
    <n v="1893.7712612838991"/>
    <n v="0.71251913234377995"/>
    <x v="1"/>
    <s v="MEDIANO"/>
    <x v="6"/>
    <x v="0"/>
    <n v="10"/>
    <n v="1"/>
    <d v="2017-09-27T00:00:00"/>
    <s v="KIA"/>
    <s v="CERATO"/>
    <n v="286.065"/>
    <d v="2017-09-28T00:00:00"/>
    <n v="18"/>
    <x v="440"/>
  </r>
  <r>
    <d v="2017-10-07T00:00:00"/>
    <s v="001-00010523"/>
    <n v="1019.6159687999999"/>
    <n v="0"/>
    <n v="0"/>
    <n v="41.186440677966104"/>
    <n v="0"/>
    <n v="73.125"/>
    <n v="185.9325"/>
    <n v="0"/>
    <n v="300.24394067796612"/>
    <n v="719.37202812203373"/>
    <n v="0.70553232798881382"/>
    <x v="1"/>
    <s v="LEVE"/>
    <x v="6"/>
    <x v="0"/>
    <n v="8"/>
    <n v="1"/>
    <d v="2017-09-29T00:00:00"/>
    <s v="SUZUKI"/>
    <s v="CIAZ"/>
    <n v="18.72"/>
    <d v="2017-10-02T00:00:00"/>
    <n v="5"/>
    <x v="1"/>
  </r>
  <r>
    <d v="2017-10-07T00:00:00"/>
    <s v="001-00010475"/>
    <n v="1257.04433153475"/>
    <n v="0"/>
    <n v="0"/>
    <n v="127.03"/>
    <n v="0"/>
    <n v="58.5"/>
    <n v="247.91"/>
    <n v="0"/>
    <n v="433.44"/>
    <n v="823.60433153474992"/>
    <n v="0.65519115823798779"/>
    <x v="1"/>
    <s v="LEVE"/>
    <x v="6"/>
    <x v="0"/>
    <n v="12"/>
    <n v="1"/>
    <d v="2017-09-25T00:00:00"/>
    <s v="KIA"/>
    <s v="OPTIMA"/>
    <n v="1437.7025000000001"/>
    <d v="2017-09-26T00:00:00"/>
    <n v="4"/>
    <x v="1"/>
  </r>
  <r>
    <d v="2017-10-07T00:00:00"/>
    <s v="001-00010154"/>
    <n v="2712.4399169999997"/>
    <n v="1.2711999"/>
    <n v="0"/>
    <n v="29.66"/>
    <n v="43.875"/>
    <n v="175.5"/>
    <n v="480.32562499999995"/>
    <n v="0"/>
    <n v="730.63182489999997"/>
    <n v="1981.8080920999996"/>
    <n v="0.73063667868887205"/>
    <x v="1"/>
    <s v="MEDIANO"/>
    <x v="6"/>
    <x v="0"/>
    <n v="53"/>
    <n v="1"/>
    <d v="2017-08-15T00:00:00"/>
    <s v="KIA"/>
    <s v="CERATO"/>
    <n v="8823.1"/>
    <d v="2017-09-19T00:00:00"/>
    <n v="12"/>
    <x v="1"/>
  </r>
  <r>
    <d v="2017-10-07T00:00:00"/>
    <s v="001-00009305"/>
    <n v="4093.16987475"/>
    <n v="0"/>
    <n v="10.17"/>
    <n v="84.75"/>
    <n v="39.048749999999998"/>
    <n v="351"/>
    <n v="619.77499999999998"/>
    <n v="0"/>
    <n v="1104.7437500000001"/>
    <n v="2988.4261247499999"/>
    <n v="0.7301006838697417"/>
    <x v="0"/>
    <s v="-"/>
    <x v="6"/>
    <x v="0"/>
    <n v="180"/>
    <n v="1"/>
    <d v="2017-04-10T00:00:00"/>
    <s v="MAZDA"/>
    <s v="BT-50"/>
    <n v="15010.0275"/>
    <d v="2017-04-07T00:00:00"/>
    <n v="24"/>
    <x v="1"/>
  </r>
  <r>
    <d v="2017-10-07T00:00:00"/>
    <s v="001-00010533"/>
    <n v="647.47934952328978"/>
    <n v="0"/>
    <n v="0"/>
    <n v="0"/>
    <n v="0"/>
    <n v="87.75"/>
    <n v="30.98875"/>
    <n v="0"/>
    <n v="118.73875"/>
    <n v="528.7405995232898"/>
    <n v="0.81661384245316548"/>
    <x v="0"/>
    <s v="-"/>
    <x v="6"/>
    <x v="0"/>
    <n v="5"/>
    <n v="1"/>
    <d v="2017-10-02T00:00:00"/>
    <s v="MAZDA"/>
    <s v="BT-50"/>
    <n v="0"/>
    <d v="2017-10-02T00:00:00"/>
    <n v="6"/>
    <x v="1"/>
  </r>
  <r>
    <d v="2017-10-09T00:00:00"/>
    <s v="001-00010440"/>
    <n v="2448.2858184030511"/>
    <n v="0"/>
    <n v="0"/>
    <n v="72.03"/>
    <n v="0"/>
    <n v="321.75"/>
    <n v="291.29425000000003"/>
    <n v="113.75"/>
    <n v="798.82425000000001"/>
    <n v="1649.4615684030509"/>
    <n v="0.67372099940477903"/>
    <x v="1"/>
    <s v="MEDIANO"/>
    <x v="6"/>
    <x v="0"/>
    <n v="19"/>
    <n v="1"/>
    <d v="2017-09-20T00:00:00"/>
    <s v="JEEP"/>
    <s v="COMPASS"/>
    <n v="0"/>
    <d v="2017-09-20T00:00:00"/>
    <n v="22"/>
    <x v="441"/>
  </r>
  <r>
    <d v="2017-10-09T00:00:00"/>
    <s v="001-00010544"/>
    <n v="1273.7247524191191"/>
    <n v="0.84729999000000011"/>
    <n v="0"/>
    <n v="41.313559322033896"/>
    <n v="0"/>
    <n v="102.375"/>
    <n v="247.91"/>
    <n v="0"/>
    <n v="392.44585931203392"/>
    <n v="881.2788931070852"/>
    <n v="0.69189115735822682"/>
    <x v="0"/>
    <s v="LEVE"/>
    <x v="6"/>
    <x v="0"/>
    <n v="6"/>
    <n v="1"/>
    <d v="2017-10-03T00:00:00"/>
    <s v="JEEP"/>
    <s v="COMPASS"/>
    <n v="0"/>
    <d v="2017-10-03T00:00:00"/>
    <n v="7"/>
    <x v="441"/>
  </r>
  <r>
    <d v="2017-10-09T00:00:00"/>
    <s v="001-00010588"/>
    <n v="127.1186"/>
    <n v="0"/>
    <n v="0"/>
    <n v="0"/>
    <n v="0"/>
    <n v="0"/>
    <n v="0"/>
    <n v="0"/>
    <n v="0"/>
    <n v="127.1186"/>
    <n v="1"/>
    <x v="4"/>
    <s v="S/TIPO"/>
    <x v="6"/>
    <x v="0"/>
    <n v="0"/>
    <n v="1"/>
    <d v="2017-10-09T00:00:00"/>
    <s v="S/MARCA"/>
    <s v="S/MODELO"/>
    <n v="0"/>
    <s v="F/Fecha"/>
    <n v="0"/>
    <x v="442"/>
  </r>
  <r>
    <d v="2017-10-10T00:00:00"/>
    <s v="001-00010467"/>
    <n v="1171.7340000000002"/>
    <n v="0"/>
    <n v="0"/>
    <n v="82.627118644067806"/>
    <n v="0"/>
    <n v="117"/>
    <n v="123.955"/>
    <n v="0"/>
    <n v="323.5821186440678"/>
    <n v="848.15188135593235"/>
    <n v="0.7238433649240632"/>
    <x v="1"/>
    <s v="MEDIANO"/>
    <x v="6"/>
    <x v="0"/>
    <n v="17"/>
    <n v="1"/>
    <d v="2017-09-23T00:00:00"/>
    <s v="HONDA"/>
    <s v="HR-V"/>
    <n v="1977.4950000000001"/>
    <d v="2017-09-25T00:00:00"/>
    <n v="8"/>
    <x v="443"/>
  </r>
  <r>
    <d v="2017-10-10T00:00:00"/>
    <s v="001-00010596"/>
    <n v="296.61020000000002"/>
    <n v="99.549048499999998"/>
    <n v="0"/>
    <n v="0"/>
    <n v="39.048749999999998"/>
    <n v="0"/>
    <n v="0"/>
    <n v="0"/>
    <n v="138.59779850000001"/>
    <n v="158.01240150000001"/>
    <n v="0.53272747026231737"/>
    <x v="0"/>
    <s v="-"/>
    <x v="6"/>
    <x v="0"/>
    <n v="1"/>
    <n v="1"/>
    <d v="2017-10-09T00:00:00"/>
    <s v="HYUNDAI"/>
    <s v="H1"/>
    <n v="0"/>
    <d v="2017-10-10T00:00:00"/>
    <n v="0"/>
    <x v="121"/>
  </r>
  <r>
    <d v="2017-10-10T00:00:00"/>
    <s v="001-00010476"/>
    <n v="1391.7460746300003"/>
    <n v="10.952299999999999"/>
    <n v="0"/>
    <n v="27.457627118644073"/>
    <n v="14.625"/>
    <n v="102.375"/>
    <n v="238.61337499999999"/>
    <n v="0"/>
    <n v="394.0233021186441"/>
    <n v="997.7227725113562"/>
    <n v="0.71688563790388538"/>
    <x v="1"/>
    <s v="LEVE"/>
    <x v="6"/>
    <x v="0"/>
    <n v="15"/>
    <n v="1"/>
    <d v="2017-09-25T00:00:00"/>
    <s v="HYUNDAI"/>
    <s v="ELANTRA"/>
    <n v="1169.3500000000001"/>
    <d v="2017-09-26T00:00:00"/>
    <n v="7"/>
    <x v="1"/>
  </r>
  <r>
    <d v="2017-10-11T00:00:00"/>
    <s v="001-00010590"/>
    <n v="400"/>
    <n v="62.053347500000001"/>
    <n v="0"/>
    <n v="0"/>
    <n v="39.048749999999998"/>
    <n v="0"/>
    <n v="0"/>
    <n v="0"/>
    <n v="101.1020975"/>
    <n v="298.89790249999999"/>
    <n v="0.74724475624999998"/>
    <x v="0"/>
    <s v="-"/>
    <x v="6"/>
    <x v="0"/>
    <n v="2"/>
    <n v="1"/>
    <d v="2017-10-09T00:00:00"/>
    <s v="HYUNDAI"/>
    <s v="TUCSON"/>
    <n v="0"/>
    <d v="2017-10-09T00:00:00"/>
    <n v="0"/>
    <x v="28"/>
  </r>
  <r>
    <d v="2017-10-11T00:00:00"/>
    <s v="001-00010483"/>
    <n v="280.07599613399998"/>
    <n v="0"/>
    <n v="0"/>
    <n v="0"/>
    <n v="0"/>
    <n v="0"/>
    <n v="30.98875"/>
    <n v="0"/>
    <n v="30.98875"/>
    <n v="249.08724613399997"/>
    <n v="0.88935592329314184"/>
    <x v="1"/>
    <s v="LEVE"/>
    <x v="6"/>
    <x v="0"/>
    <n v="15"/>
    <n v="1"/>
    <d v="2017-09-26T00:00:00"/>
    <s v="SUZUKI"/>
    <s v="ERTIGA"/>
    <n v="2101.3199999999997"/>
    <d v="2017-09-26T00:00:00"/>
    <n v="0"/>
    <x v="1"/>
  </r>
  <r>
    <d v="2017-10-11T00:00:00"/>
    <s v="001-00010486"/>
    <n v="775.91250000000002"/>
    <n v="0"/>
    <n v="0"/>
    <n v="27.457627118644073"/>
    <n v="0"/>
    <n v="58.5"/>
    <n v="123.955"/>
    <n v="0"/>
    <n v="209.91262711864408"/>
    <n v="565.99987288135594"/>
    <n v="0.72946353213971415"/>
    <x v="1"/>
    <s v="LEVE"/>
    <x v="6"/>
    <x v="0"/>
    <n v="15"/>
    <n v="1"/>
    <d v="2017-09-26T00:00:00"/>
    <s v="MAZDA"/>
    <s v="CX-3"/>
    <n v="2491.2224999999999"/>
    <d v="2017-09-27T00:00:00"/>
    <n v="4"/>
    <x v="1"/>
  </r>
  <r>
    <d v="2017-10-11T00:00:00"/>
    <s v="001-00010520"/>
    <n v="1248.4922175000002"/>
    <n v="0"/>
    <n v="0"/>
    <n v="102.96610169491527"/>
    <n v="0"/>
    <n v="102.375"/>
    <n v="154.94374999999999"/>
    <n v="0"/>
    <n v="360.28485169491523"/>
    <n v="888.20736580508492"/>
    <n v="0.71142403080705208"/>
    <x v="1"/>
    <s v="LEVE"/>
    <x v="6"/>
    <x v="0"/>
    <n v="12"/>
    <n v="1"/>
    <d v="2017-09-29T00:00:00"/>
    <s v="MAZDA"/>
    <s v="CX-3"/>
    <n v="312.39"/>
    <d v="2017-09-27T00:00:00"/>
    <n v="7"/>
    <x v="1"/>
  </r>
  <r>
    <d v="2017-10-11T00:00:00"/>
    <s v="001-00010239"/>
    <n v="3271.09750407"/>
    <n v="0"/>
    <n v="0"/>
    <n v="55.084745762711869"/>
    <n v="0"/>
    <n v="468"/>
    <n v="387.359375"/>
    <n v="0"/>
    <n v="910.44412076271192"/>
    <n v="2360.6533833072881"/>
    <n v="0.72167013681802228"/>
    <x v="1"/>
    <s v="GRAVE"/>
    <x v="6"/>
    <x v="0"/>
    <n v="44"/>
    <n v="1"/>
    <d v="2017-08-28T00:00:00"/>
    <s v="MAZDA"/>
    <s v="MAZDA 3"/>
    <n v="5271.5"/>
    <d v="2017-09-05T00:00:00"/>
    <n v="32"/>
    <x v="1"/>
  </r>
  <r>
    <d v="2017-10-12T00:00:00"/>
    <s v="001-00010075"/>
    <n v="4044.8801239999993"/>
    <n v="1.4399998999999999"/>
    <n v="0"/>
    <n v="118.64474576271186"/>
    <n v="204.75"/>
    <n v="321.75"/>
    <n v="557.79750000000001"/>
    <n v="113.75"/>
    <n v="1318.1322456627117"/>
    <n v="2726.7478783372876"/>
    <n v="0.67412328542404243"/>
    <x v="1"/>
    <s v="MEDIANO"/>
    <x v="6"/>
    <x v="0"/>
    <n v="68"/>
    <n v="1"/>
    <d v="2017-08-05T00:00:00"/>
    <s v="GREAT WALL"/>
    <s v="WINGLE"/>
    <n v="6016.0749999999998"/>
    <d v="2017-08-10T00:00:00"/>
    <n v="22"/>
    <x v="444"/>
  </r>
  <r>
    <d v="2017-10-12T00:00:00"/>
    <s v="001-00010531"/>
    <n v="2485.1466211847496"/>
    <n v="0"/>
    <n v="0"/>
    <n v="61.779661016949163"/>
    <n v="0"/>
    <n v="351"/>
    <n v="277.03942499999999"/>
    <n v="81.25"/>
    <n v="771.06908601694909"/>
    <n v="1714.0775351678005"/>
    <n v="0.68972893613441788"/>
    <x v="1"/>
    <s v="MEDIANO"/>
    <x v="6"/>
    <x v="0"/>
    <n v="10"/>
    <n v="1"/>
    <d v="2017-10-02T00:00:00"/>
    <s v="KIA"/>
    <s v="RIO"/>
    <n v="1531.4650000000001"/>
    <d v="2017-10-02T00:00:00"/>
    <n v="24"/>
    <x v="445"/>
  </r>
  <r>
    <d v="2017-10-12T00:00:00"/>
    <s v="001-00010163"/>
    <n v="1845.1585115652501"/>
    <n v="0"/>
    <n v="0"/>
    <n v="41.313559322033896"/>
    <n v="29.25"/>
    <n v="234"/>
    <n v="216.92125000000001"/>
    <n v="0"/>
    <n v="521.48480932203393"/>
    <n v="1323.6737022432162"/>
    <n v="0.71737668820677214"/>
    <x v="1"/>
    <s v="MEDIANO"/>
    <x v="6"/>
    <x v="0"/>
    <n v="57"/>
    <n v="1"/>
    <d v="2017-08-16T00:00:00"/>
    <s v="HYUNDAI"/>
    <s v="ACCENT"/>
    <n v="2087.3125"/>
    <d v="2017-08-18T00:00:00"/>
    <n v="16"/>
    <x v="1"/>
  </r>
  <r>
    <d v="2017-10-13T00:00:00"/>
    <s v="001-00010027"/>
    <n v="6494.3377026401686"/>
    <n v="11.6099999"/>
    <n v="0"/>
    <n v="103.28389830508475"/>
    <n v="117"/>
    <n v="936"/>
    <n v="681.75250000000005"/>
    <n v="0"/>
    <n v="1849.6463982050848"/>
    <n v="4644.691304435084"/>
    <n v="0.71519091200737217"/>
    <x v="1"/>
    <s v="GRAVE"/>
    <x v="6"/>
    <x v="0"/>
    <n v="92"/>
    <n v="1"/>
    <d v="2017-07-13T00:00:00"/>
    <s v="LIFAN"/>
    <s v="FOISON"/>
    <n v="5499"/>
    <d v="2017-07-21T00:00:00"/>
    <n v="64"/>
    <x v="76"/>
  </r>
  <r>
    <d v="2017-10-13T00:00:00"/>
    <s v="001-00010365"/>
    <n v="3767.1920000000005"/>
    <n v="10.17"/>
    <n v="0"/>
    <n v="0"/>
    <n v="117"/>
    <n v="351"/>
    <n v="495.82"/>
    <n v="0"/>
    <n v="973.99"/>
    <n v="2793.2020000000002"/>
    <n v="0.7414546431400364"/>
    <x v="1"/>
    <s v="LEVE"/>
    <x v="6"/>
    <x v="0"/>
    <n v="31"/>
    <n v="1"/>
    <d v="2017-09-12T00:00:00"/>
    <s v="TOYOTA"/>
    <s v="ETIOS"/>
    <n v="1020.11"/>
    <d v="2017-09-13T00:00:00"/>
    <n v="24"/>
    <x v="446"/>
  </r>
  <r>
    <d v="2017-10-13T00:00:00"/>
    <s v="001-00010619"/>
    <n v="273.17286480000001"/>
    <n v="0"/>
    <n v="165.26250000000002"/>
    <n v="0"/>
    <n v="0"/>
    <n v="0"/>
    <n v="0"/>
    <n v="0"/>
    <n v="165.26250000000002"/>
    <n v="107.9103648"/>
    <n v="0.3950259293835981"/>
    <x v="0"/>
    <s v="-"/>
    <x v="6"/>
    <x v="0"/>
    <n v="0"/>
    <n v="1"/>
    <d v="2017-10-13T00:00:00"/>
    <s v="JEEP"/>
    <s v="COMPASS"/>
    <n v="272.67500000000001"/>
    <d v="2017-10-13T00:00:00"/>
    <n v="0"/>
    <x v="441"/>
  </r>
  <r>
    <d v="2017-10-13T00:00:00"/>
    <s v="001-00010547"/>
    <n v="1486.3639999999998"/>
    <n v="0"/>
    <n v="0"/>
    <n v="75.508474576271198"/>
    <n v="0"/>
    <n v="117"/>
    <n v="216.92125000000001"/>
    <n v="0"/>
    <n v="409.42972457627121"/>
    <n v="1076.9342754237286"/>
    <n v="0.72454276033577836"/>
    <x v="1"/>
    <s v="LEVE"/>
    <x v="6"/>
    <x v="0"/>
    <n v="10"/>
    <n v="1"/>
    <d v="2017-10-03T00:00:00"/>
    <s v="MITSUBISHI"/>
    <s v="GALANT"/>
    <n v="1058.1675"/>
    <d v="2017-10-04T00:00:00"/>
    <n v="8"/>
    <x v="1"/>
  </r>
  <r>
    <d v="2017-10-13T00:00:00"/>
    <s v="001-00010543"/>
    <n v="2736.9164002399993"/>
    <n v="1.1864001"/>
    <n v="0"/>
    <n v="126.94525423728814"/>
    <n v="0"/>
    <n v="292.5"/>
    <n v="263.40437500000002"/>
    <n v="113.75"/>
    <n v="797.78602933728814"/>
    <n v="1939.1303709027111"/>
    <n v="0.70850917139181502"/>
    <x v="1"/>
    <s v="LEVE"/>
    <x v="6"/>
    <x v="0"/>
    <n v="10"/>
    <n v="1"/>
    <d v="2017-10-03T00:00:00"/>
    <s v="HYUNDAI"/>
    <s v="ELANTRA"/>
    <n v="253.76"/>
    <d v="2017-09-27T00:00:00"/>
    <n v="20"/>
    <x v="1"/>
  </r>
  <r>
    <d v="2017-10-13T00:00:00"/>
    <s v="001-00010498"/>
    <n v="1668.7"/>
    <n v="0"/>
    <n v="0"/>
    <n v="72.03"/>
    <n v="58.5"/>
    <n v="175.5"/>
    <n v="139.449375"/>
    <n v="113.75"/>
    <n v="559.229375"/>
    <n v="1109.4706249999999"/>
    <n v="0.66487123209684185"/>
    <x v="1"/>
    <s v="MEDIANO"/>
    <x v="6"/>
    <x v="0"/>
    <n v="16"/>
    <n v="1"/>
    <d v="2017-09-27T00:00:00"/>
    <s v="KIA"/>
    <s v="RIO"/>
    <n v="2120.56"/>
    <d v="2017-09-28T00:00:00"/>
    <n v="12"/>
    <x v="1"/>
  </r>
  <r>
    <d v="2017-10-13T00:00:00"/>
    <s v="001-00010519"/>
    <n v="1413.5178701600003"/>
    <n v="0.7823"/>
    <n v="0"/>
    <n v="20.593220338983052"/>
    <n v="0"/>
    <n v="87.75"/>
    <n v="288.81515000000002"/>
    <n v="0"/>
    <n v="397.94067033898307"/>
    <n v="1015.5771998210172"/>
    <n v="0.71847496325324911"/>
    <x v="1"/>
    <s v="LEVE"/>
    <x v="6"/>
    <x v="0"/>
    <n v="14"/>
    <n v="1"/>
    <d v="2017-09-29T00:00:00"/>
    <s v="CHEVROLET"/>
    <s v="CRUZE"/>
    <n v="1704.69"/>
    <d v="2017-09-30T00:00:00"/>
    <n v="6"/>
    <x v="1"/>
  </r>
  <r>
    <d v="2017-10-14T00:00:00"/>
    <s v="001-00010625"/>
    <n v="529.91298370000004"/>
    <n v="0"/>
    <n v="333.28749999999997"/>
    <n v="0"/>
    <n v="0"/>
    <n v="0"/>
    <n v="0"/>
    <n v="0"/>
    <n v="333.28749999999997"/>
    <n v="196.62548370000007"/>
    <n v="0.37105239869215167"/>
    <x v="0"/>
    <s v="-"/>
    <x v="6"/>
    <x v="0"/>
    <n v="0"/>
    <n v="1"/>
    <d v="2017-10-14T00:00:00"/>
    <s v="HYUNDAI"/>
    <s v="I20"/>
    <n v="529.75"/>
    <d v="2017-10-14T00:00:00"/>
    <n v="0"/>
    <x v="447"/>
  </r>
  <r>
    <d v="2017-10-14T00:00:00"/>
    <s v="001-00010460"/>
    <n v="1646.6314493499999"/>
    <n v="0"/>
    <n v="0"/>
    <n v="75.741525423728817"/>
    <n v="0"/>
    <n v="146.25"/>
    <n v="216.92125000000001"/>
    <n v="0"/>
    <n v="438.91277542372882"/>
    <n v="1207.7186739262711"/>
    <n v="0.73344807935194756"/>
    <x v="1"/>
    <s v="MEDIANO"/>
    <x v="6"/>
    <x v="0"/>
    <n v="22"/>
    <n v="1"/>
    <d v="2017-09-22T00:00:00"/>
    <s v="PEUGEOT"/>
    <n v="308"/>
    <n v="2688.7574999999997"/>
    <d v="2017-09-28T00:00:00"/>
    <n v="10"/>
    <x v="1"/>
  </r>
  <r>
    <d v="2017-10-14T00:00:00"/>
    <s v="001-00010421"/>
    <n v="3893.0723802500002"/>
    <n v="1.70859999"/>
    <n v="0"/>
    <n v="145.93288135593221"/>
    <n v="117"/>
    <n v="351"/>
    <n v="449.33687499999996"/>
    <n v="81.25"/>
    <n v="1146.2283563459323"/>
    <n v="2746.8440239040679"/>
    <n v="0.70557229756094975"/>
    <x v="1"/>
    <s v="MEDIANO"/>
    <x v="6"/>
    <x v="0"/>
    <n v="28"/>
    <n v="1"/>
    <d v="2017-09-16T00:00:00"/>
    <s v="RENAULT"/>
    <s v="DUSTER"/>
    <n v="15652.357500000002"/>
    <d v="2017-09-20T00:00:00"/>
    <n v="24"/>
    <x v="1"/>
  </r>
  <r>
    <d v="2017-10-14T00:00:00"/>
    <s v="001-00010488"/>
    <n v="1068.5321126222011"/>
    <n v="0"/>
    <n v="0"/>
    <n v="89.237288135593232"/>
    <n v="0"/>
    <n v="73.125"/>
    <n v="123.955"/>
    <n v="0"/>
    <n v="286.31728813559323"/>
    <n v="782.21482448660788"/>
    <n v="0.73204615495086589"/>
    <x v="1"/>
    <s v="LEVE"/>
    <x v="6"/>
    <x v="0"/>
    <n v="18"/>
    <n v="1"/>
    <d v="2017-09-26T00:00:00"/>
    <s v="CHEVROLET"/>
    <s v="TRACKER"/>
    <n v="652.01499999999999"/>
    <d v="2017-09-27T00:00:00"/>
    <n v="5"/>
    <x v="1"/>
  </r>
  <r>
    <d v="2017-10-14T00:00:00"/>
    <s v="001-00010528"/>
    <n v="810.40827977203003"/>
    <n v="0"/>
    <n v="0"/>
    <n v="55.254237288135592"/>
    <n v="0"/>
    <n v="58.5"/>
    <n v="92.966250000000002"/>
    <n v="0"/>
    <n v="206.72048728813559"/>
    <n v="603.68779248389444"/>
    <n v="0.74491809567112688"/>
    <x v="1"/>
    <s v="LEVE"/>
    <x v="6"/>
    <x v="0"/>
    <n v="14"/>
    <n v="1"/>
    <d v="2017-09-30T00:00:00"/>
    <s v="CHEVROLET"/>
    <s v="TRACKER"/>
    <n v="0"/>
    <d v="2017-09-27T00:00:00"/>
    <n v="4"/>
    <x v="1"/>
  </r>
  <r>
    <d v="2017-10-14T00:00:00"/>
    <s v="001-00010380"/>
    <n v="2454.5049245"/>
    <n v="0"/>
    <n v="0"/>
    <n v="125.60593220338984"/>
    <n v="29.25"/>
    <n v="263.25"/>
    <n v="309.88749999999999"/>
    <n v="0"/>
    <n v="727.99343220338983"/>
    <n v="1726.5114922966102"/>
    <n v="0.70340518573142108"/>
    <x v="1"/>
    <s v="MEDIANO"/>
    <x v="6"/>
    <x v="0"/>
    <n v="30"/>
    <n v="1"/>
    <d v="2017-09-14T00:00:00"/>
    <s v="VOLKSWAGEN"/>
    <s v="GOL"/>
    <n v="2996.0774999999999"/>
    <d v="2017-09-15T00:00:00"/>
    <n v="18"/>
    <x v="1"/>
  </r>
  <r>
    <d v="2017-10-14T00:00:00"/>
    <s v="001-00010563"/>
    <n v="1097.21246625"/>
    <n v="0"/>
    <n v="0"/>
    <n v="127.28423728813559"/>
    <n v="0"/>
    <n v="58.5"/>
    <n v="123.955"/>
    <n v="113.75"/>
    <n v="423.4892372881356"/>
    <n v="673.72322896186438"/>
    <n v="0.61403169366502297"/>
    <x v="1"/>
    <s v="LEVE"/>
    <x v="6"/>
    <x v="0"/>
    <n v="9"/>
    <n v="1"/>
    <d v="2017-10-05T00:00:00"/>
    <s v="MAZDA"/>
    <s v="MAZDA 3"/>
    <n v="1327.82"/>
    <d v="2017-10-05T00:00:00"/>
    <n v="4"/>
    <x v="1"/>
  </r>
  <r>
    <d v="2017-10-14T00:00:00"/>
    <s v="001-00010517"/>
    <n v="2270.8234301500001"/>
    <n v="0"/>
    <n v="0"/>
    <n v="20.593220338983052"/>
    <n v="0"/>
    <n v="409.5"/>
    <n v="263.40437500000002"/>
    <n v="0"/>
    <n v="693.49759533898305"/>
    <n v="1577.3258348110171"/>
    <n v="0.69460523168321642"/>
    <x v="2"/>
    <s v="GRAVE"/>
    <x v="6"/>
    <x v="0"/>
    <n v="15"/>
    <n v="1"/>
    <d v="2017-09-29T00:00:00"/>
    <s v="MAZDA"/>
    <s v="MAZDA 2"/>
    <n v="170.495"/>
    <d v="2017-09-29T00:00:00"/>
    <n v="28"/>
    <x v="2"/>
  </r>
  <r>
    <d v="2017-10-14T00:00:00"/>
    <s v="001-00010613"/>
    <n v="296.61020000000002"/>
    <n v="101.0102495"/>
    <n v="0"/>
    <n v="0"/>
    <n v="39.048749999999998"/>
    <n v="0"/>
    <n v="0"/>
    <n v="0"/>
    <n v="140.0589995"/>
    <n v="156.55120050000002"/>
    <n v="0.527801135969026"/>
    <x v="0"/>
    <s v="-"/>
    <x v="6"/>
    <x v="0"/>
    <n v="2"/>
    <n v="1"/>
    <d v="2017-10-12T00:00:00"/>
    <s v="HYUNDAI"/>
    <s v="H1"/>
    <n v="0"/>
    <d v="2017-10-13T00:00:00"/>
    <n v="0"/>
    <x v="121"/>
  </r>
  <r>
    <d v="2017-10-14T00:00:00"/>
    <s v="001-00010630"/>
    <n v="296.61020000000002"/>
    <n v="123.81450075000001"/>
    <n v="0"/>
    <n v="0"/>
    <n v="39.048749999999998"/>
    <n v="0"/>
    <n v="0"/>
    <n v="0"/>
    <n v="162.86325075000002"/>
    <n v="133.74694925"/>
    <n v="0.45091823966269534"/>
    <x v="0"/>
    <s v="-"/>
    <x v="6"/>
    <x v="0"/>
    <n v="0"/>
    <n v="1"/>
    <d v="2017-10-14T00:00:00"/>
    <s v="HYUNDAI"/>
    <s v="H1"/>
    <n v="0"/>
    <d v="2017-10-14T00:00:00"/>
    <n v="0"/>
    <x v="121"/>
  </r>
  <r>
    <d v="2017-10-14T00:00:00"/>
    <s v="001-00010629"/>
    <n v="296.61020000000002"/>
    <n v="101.01024950000001"/>
    <n v="0"/>
    <n v="0"/>
    <n v="39.048749999999998"/>
    <n v="0"/>
    <n v="0"/>
    <n v="0"/>
    <n v="140.05899950000003"/>
    <n v="156.55120049999999"/>
    <n v="0.527801135969026"/>
    <x v="0"/>
    <s v="-"/>
    <x v="6"/>
    <x v="0"/>
    <n v="0"/>
    <n v="1"/>
    <d v="2017-10-14T00:00:00"/>
    <s v="HYUNDAI"/>
    <s v="H1"/>
    <n v="0"/>
    <d v="2017-10-14T00:00:00"/>
    <n v="0"/>
    <x v="121"/>
  </r>
  <r>
    <d v="2017-10-16T00:00:00"/>
    <s v="001-00010540"/>
    <n v="2699.1563536845792"/>
    <n v="4.1069998000000005"/>
    <n v="0"/>
    <n v="41.186440677966104"/>
    <n v="7.3125"/>
    <n v="234"/>
    <n v="433.84250000000003"/>
    <n v="0"/>
    <n v="720.44844047796619"/>
    <n v="1978.7079132066131"/>
    <n v="0.73308384321845876"/>
    <x v="1"/>
    <s v="MEDIANO"/>
    <x v="6"/>
    <x v="0"/>
    <n v="14"/>
    <n v="1"/>
    <d v="2017-10-02T00:00:00"/>
    <s v="CHEVROLET"/>
    <s v="SAIL"/>
    <n v="2046.5900000000001"/>
    <d v="2017-10-03T00:00:00"/>
    <n v="16"/>
    <x v="1"/>
  </r>
  <r>
    <d v="2017-10-17T00:00:00"/>
    <s v="001-00010558"/>
    <n v="923.63383694100014"/>
    <n v="0"/>
    <n v="0"/>
    <n v="0"/>
    <n v="0"/>
    <n v="117"/>
    <n v="61.977499999999999"/>
    <n v="0"/>
    <n v="178.97749999999999"/>
    <n v="744.65633694100018"/>
    <n v="0.80622461754675556"/>
    <x v="1"/>
    <s v="LEVE"/>
    <x v="6"/>
    <x v="0"/>
    <n v="13"/>
    <n v="1"/>
    <d v="2017-10-04T00:00:00"/>
    <s v="HYUNDAI"/>
    <s v="ELANTRA"/>
    <n v="0"/>
    <d v="2017-10-04T00:00:00"/>
    <n v="8"/>
    <x v="448"/>
  </r>
  <r>
    <d v="2017-10-17T00:00:00"/>
    <s v="001-00010641"/>
    <n v="16.949200000000001"/>
    <n v="0"/>
    <n v="0"/>
    <n v="68.855932203389841"/>
    <n v="0"/>
    <n v="0"/>
    <n v="0"/>
    <n v="0"/>
    <n v="68.855932203389841"/>
    <n v="-51.906732203389836"/>
    <n v="-3.0624886250318499"/>
    <x v="0"/>
    <s v="-"/>
    <x v="6"/>
    <x v="0"/>
    <n v="1"/>
    <n v="1"/>
    <d v="2017-10-16T00:00:00"/>
    <s v="NISSAN"/>
    <s v="TIIDA"/>
    <n v="16.997500000000002"/>
    <d v="2017-10-16T00:00:00"/>
    <n v="0"/>
    <x v="449"/>
  </r>
  <r>
    <d v="2017-10-17T00:00:00"/>
    <s v="001-00010546"/>
    <n v="2611.4134198699999"/>
    <n v="2.1184998900000003"/>
    <n v="0"/>
    <n v="82.372881355932208"/>
    <n v="0"/>
    <n v="292.5"/>
    <n v="340.87625000000003"/>
    <n v="0"/>
    <n v="717.86763124593222"/>
    <n v="1893.5457886240677"/>
    <n v="0.72510379789590396"/>
    <x v="1"/>
    <s v="MEDIANO"/>
    <x v="6"/>
    <x v="0"/>
    <n v="14"/>
    <n v="1"/>
    <d v="2017-10-03T00:00:00"/>
    <s v="NISSAN"/>
    <s v="TIIDA"/>
    <n v="6822.5950000000012"/>
    <d v="2017-10-03T00:00:00"/>
    <n v="20"/>
    <x v="449"/>
  </r>
  <r>
    <d v="2017-10-17T00:00:00"/>
    <s v="001-00010526"/>
    <n v="1401.9058873999998"/>
    <n v="0"/>
    <n v="0"/>
    <n v="82.372881355932208"/>
    <n v="0"/>
    <n v="117"/>
    <n v="201.426875"/>
    <n v="0"/>
    <n v="400.79975635593223"/>
    <n v="1001.1061310440675"/>
    <n v="0.71410366419156512"/>
    <x v="1"/>
    <s v="LEVE"/>
    <x v="6"/>
    <x v="0"/>
    <n v="18"/>
    <n v="1"/>
    <d v="2017-09-29T00:00:00"/>
    <s v="MAZDA"/>
    <s v="CX-9"/>
    <n v="3850.1775000000002"/>
    <d v="2017-10-03T00:00:00"/>
    <n v="8"/>
    <x v="450"/>
  </r>
  <r>
    <d v="2017-10-17T00:00:00"/>
    <s v="001-00010571"/>
    <n v="673.75249999999983"/>
    <n v="0"/>
    <n v="0"/>
    <n v="0"/>
    <n v="0"/>
    <n v="58.5"/>
    <n v="139.449375"/>
    <n v="0"/>
    <n v="197.949375"/>
    <n v="475.8031249999998"/>
    <n v="0.70619867829803962"/>
    <x v="1"/>
    <s v="LEVE"/>
    <x v="6"/>
    <x v="0"/>
    <n v="11"/>
    <n v="1"/>
    <d v="2017-10-06T00:00:00"/>
    <s v="HYUNDAI"/>
    <s v="ACCENT"/>
    <n v="3801.7849999999999"/>
    <d v="2017-10-04T00:00:00"/>
    <n v="4"/>
    <x v="450"/>
  </r>
  <r>
    <d v="2017-10-17T00:00:00"/>
    <s v="001-00010511"/>
    <n v="5110.7780000000002"/>
    <n v="0.86399993999999991"/>
    <n v="0"/>
    <n v="199.23728813559325"/>
    <n v="29.25"/>
    <n v="585"/>
    <n v="681.75250000000005"/>
    <n v="0"/>
    <n v="1496.1037880755935"/>
    <n v="3614.6742119244068"/>
    <n v="0.70726496277561002"/>
    <x v="1"/>
    <s v="MEDIANO"/>
    <x v="6"/>
    <x v="0"/>
    <n v="19"/>
    <n v="1"/>
    <d v="2017-09-28T00:00:00"/>
    <s v="HYUNDAI"/>
    <s v="ACCENT"/>
    <n v="4236.05"/>
    <d v="2017-09-29T00:00:00"/>
    <n v="40"/>
    <x v="1"/>
  </r>
  <r>
    <d v="2017-10-17T00:00:00"/>
    <s v="001-00010333"/>
    <n v="2053.1495664700001"/>
    <n v="29.66"/>
    <n v="0"/>
    <n v="92.686779661016956"/>
    <n v="14.625"/>
    <n v="219.375"/>
    <n v="280.75807500000002"/>
    <n v="0"/>
    <n v="637.10485466101704"/>
    <n v="1416.044711808983"/>
    <n v="0.689693890272009"/>
    <x v="1"/>
    <s v="MEDIANO"/>
    <x v="6"/>
    <x v="0"/>
    <n v="40"/>
    <n v="1"/>
    <d v="2017-09-07T00:00:00"/>
    <s v="HYUNDAI"/>
    <s v="ELANTRA"/>
    <n v="3566.3549999999996"/>
    <d v="2017-09-07T00:00:00"/>
    <n v="15"/>
    <x v="1"/>
  </r>
  <r>
    <d v="2017-10-17T00:00:00"/>
    <s v="001-00010535"/>
    <n v="1321.63910577"/>
    <n v="0"/>
    <n v="0"/>
    <n v="113.3435593220339"/>
    <n v="0"/>
    <n v="43.875"/>
    <n v="247.91"/>
    <n v="113.75"/>
    <n v="518.87855932203388"/>
    <n v="802.76054644796614"/>
    <n v="0.60739769498593177"/>
    <x v="1"/>
    <s v="LEVE"/>
    <x v="6"/>
    <x v="0"/>
    <n v="15"/>
    <n v="1"/>
    <d v="2017-10-02T00:00:00"/>
    <s v="HYUNDAI"/>
    <s v="ELANTRA"/>
    <n v="3183.0825"/>
    <d v="2017-10-03T00:00:00"/>
    <n v="3"/>
    <x v="1"/>
  </r>
  <r>
    <d v="2017-10-17T00:00:00"/>
    <s v="001-00010551"/>
    <n v="273.5733874"/>
    <n v="0"/>
    <n v="0"/>
    <n v="41.186440677966104"/>
    <n v="0"/>
    <n v="0"/>
    <n v="0"/>
    <n v="0"/>
    <n v="41.186440677966104"/>
    <n v="232.38694672203388"/>
    <n v="0.84945011987680596"/>
    <x v="4"/>
    <s v="S/TIPO"/>
    <x v="6"/>
    <x v="0"/>
    <n v="14"/>
    <n v="1"/>
    <d v="2017-10-03T00:00:00"/>
    <s v="S/MARCA"/>
    <s v="S/MODELO"/>
    <n v="0"/>
    <s v="F/Fecha"/>
    <n v="0"/>
    <x v="1"/>
  </r>
  <r>
    <d v="2017-10-18T00:00:00"/>
    <s v="001-00010647"/>
    <n v="809"/>
    <n v="210.87830130000003"/>
    <n v="0"/>
    <n v="0"/>
    <n v="53.673749999999998"/>
    <n v="0"/>
    <n v="0"/>
    <n v="0"/>
    <n v="264.55205130000002"/>
    <n v="544.44794869999998"/>
    <n v="0.67298881174289249"/>
    <x v="0"/>
    <s v="-"/>
    <x v="6"/>
    <x v="0"/>
    <n v="1"/>
    <n v="1"/>
    <d v="2017-10-17T00:00:00"/>
    <s v="TOYOTA"/>
    <s v="YARIS"/>
    <n v="361.10750000000002"/>
    <d v="2017-10-17T00:00:00"/>
    <n v="0"/>
    <x v="451"/>
  </r>
  <r>
    <d v="2017-10-18T00:00:00"/>
    <s v="001-00010661"/>
    <n v="296.61020000000002"/>
    <n v="141.00713075000002"/>
    <n v="0"/>
    <n v="0"/>
    <n v="39.048749999999998"/>
    <n v="0"/>
    <n v="0"/>
    <n v="0"/>
    <n v="180.05588075000003"/>
    <n v="116.55431924999999"/>
    <n v="0.3929545216246777"/>
    <x v="0"/>
    <s v="-"/>
    <x v="6"/>
    <x v="0"/>
    <n v="0"/>
    <n v="1"/>
    <d v="2017-10-18T00:00:00"/>
    <s v="HYUNDAI"/>
    <s v="H1"/>
    <n v="0"/>
    <d v="2017-10-18T00:00:00"/>
    <n v="0"/>
    <x v="121"/>
  </r>
  <r>
    <d v="2017-10-18T00:00:00"/>
    <s v="001-00010649"/>
    <n v="296.61020000000002"/>
    <n v="123.81450075000001"/>
    <n v="0"/>
    <n v="0"/>
    <n v="39.048749999999998"/>
    <n v="0"/>
    <n v="0"/>
    <n v="0"/>
    <n v="162.86325075000002"/>
    <n v="133.74694925"/>
    <n v="0.45091823966269534"/>
    <x v="0"/>
    <s v="-"/>
    <x v="6"/>
    <x v="0"/>
    <n v="1"/>
    <n v="1"/>
    <d v="2017-10-17T00:00:00"/>
    <s v="HYUNDAI"/>
    <s v="H1"/>
    <n v="0"/>
    <d v="2017-10-17T00:00:00"/>
    <n v="0"/>
    <x v="121"/>
  </r>
  <r>
    <d v="2017-10-18T00:00:00"/>
    <s v="001-00010505"/>
    <n v="3859.4941188999996"/>
    <n v="10.17"/>
    <n v="0"/>
    <n v="215.34322033898306"/>
    <n v="36.5625"/>
    <n v="409.5"/>
    <n v="526.80875000000003"/>
    <n v="0"/>
    <n v="1198.3844703389832"/>
    <n v="2661.1096485610165"/>
    <n v="0.68949700830726057"/>
    <x v="1"/>
    <s v="MEDIANO"/>
    <x v="6"/>
    <x v="0"/>
    <n v="22"/>
    <n v="1"/>
    <d v="2017-09-26T00:00:00"/>
    <s v="TOYOTA"/>
    <s v="YARIS"/>
    <n v="8188.6350000000002"/>
    <d v="2017-09-29T00:00:00"/>
    <n v="28"/>
    <x v="1"/>
  </r>
  <r>
    <d v="2017-10-18T00:00:00"/>
    <s v="001-00010565"/>
    <n v="1002.4089764813599"/>
    <n v="0"/>
    <n v="0"/>
    <n v="41.440677966101688"/>
    <n v="0"/>
    <n v="117"/>
    <n v="123.955"/>
    <n v="0"/>
    <n v="282.39567796610169"/>
    <n v="720.01329851525816"/>
    <n v="0.7182829717294007"/>
    <x v="1"/>
    <s v="MEDIANO"/>
    <x v="6"/>
    <x v="0"/>
    <n v="13"/>
    <n v="1"/>
    <d v="2017-10-05T00:00:00"/>
    <s v="NISSAN"/>
    <s v="TIIDA"/>
    <n v="162.5"/>
    <d v="2017-10-06T00:00:00"/>
    <n v="8"/>
    <x v="452"/>
  </r>
  <r>
    <d v="2017-10-18T00:00:00"/>
    <s v="001-00010524"/>
    <n v="1501.329936111691"/>
    <n v="1.62959999"/>
    <n v="0"/>
    <n v="41.186440677966104"/>
    <n v="0"/>
    <n v="175.5"/>
    <n v="154.94374999999999"/>
    <n v="0"/>
    <n v="373.25979066796606"/>
    <n v="1128.0701454437249"/>
    <n v="0.75138057152535354"/>
    <x v="1"/>
    <s v="MEDIANO"/>
    <x v="6"/>
    <x v="0"/>
    <n v="19"/>
    <n v="1"/>
    <d v="2017-09-29T00:00:00"/>
    <s v="KIA"/>
    <s v="RIO"/>
    <n v="923.42250000000001"/>
    <d v="2017-10-02T00:00:00"/>
    <n v="12"/>
    <x v="33"/>
  </r>
  <r>
    <d v="2017-10-18T00:00:00"/>
    <s v="001-00010555"/>
    <n v="983.53803029999995"/>
    <n v="0"/>
    <n v="0"/>
    <n v="48.050847457627121"/>
    <n v="0"/>
    <n v="87.75"/>
    <n v="123.955"/>
    <n v="0"/>
    <n v="259.75584745762711"/>
    <n v="723.78218284237278"/>
    <n v="0.73589648853903888"/>
    <x v="1"/>
    <s v="LEVE"/>
    <x v="6"/>
    <x v="0"/>
    <n v="14"/>
    <n v="1"/>
    <d v="2017-10-04T00:00:00"/>
    <s v="SUZUKI"/>
    <s v="SWIFT"/>
    <n v="1446.4125000000001"/>
    <d v="2017-10-05T00:00:00"/>
    <n v="6"/>
    <x v="1"/>
  </r>
  <r>
    <d v="2017-10-19T00:00:00"/>
    <s v="001-00010594"/>
    <n v="1093.2279999999998"/>
    <n v="0.84750002999999996"/>
    <n v="0"/>
    <n v="34.322033898305094"/>
    <n v="0"/>
    <n v="102.375"/>
    <n v="154.94374999999999"/>
    <n v="0"/>
    <n v="292.48828392830512"/>
    <n v="800.73971607169472"/>
    <n v="0.7324544523847677"/>
    <x v="1"/>
    <s v="LEVE"/>
    <x v="6"/>
    <x v="0"/>
    <n v="9"/>
    <n v="1"/>
    <d v="2017-10-10T00:00:00"/>
    <s v="KIA"/>
    <s v="CERATO"/>
    <n v="531.44000000000005"/>
    <d v="2017-10-10T00:00:00"/>
    <n v="7"/>
    <x v="453"/>
  </r>
  <r>
    <d v="2017-10-19T00:00:00"/>
    <s v="001-00010614"/>
    <n v="852.37462479999999"/>
    <n v="0"/>
    <n v="0"/>
    <n v="54.915254237288146"/>
    <n v="0"/>
    <n v="73.125"/>
    <n v="108.46062500000001"/>
    <n v="0"/>
    <n v="236.50087923728813"/>
    <n v="615.87374556271186"/>
    <n v="0.72253880822322658"/>
    <x v="1"/>
    <s v="LEVE"/>
    <x v="6"/>
    <x v="0"/>
    <n v="6"/>
    <n v="1"/>
    <d v="2017-10-13T00:00:00"/>
    <s v="KIA"/>
    <s v="SPORTAGE"/>
    <n v="619.38499999999999"/>
    <d v="2017-10-13T00:00:00"/>
    <n v="5"/>
    <x v="1"/>
  </r>
  <r>
    <d v="2017-10-19T00:00:00"/>
    <s v="001-00010537"/>
    <n v="869.39200000000005"/>
    <n v="2.1184998900000003"/>
    <n v="0"/>
    <n v="20.593220338983052"/>
    <n v="0"/>
    <n v="102.375"/>
    <n v="123.955"/>
    <n v="0"/>
    <n v="249.04172022898305"/>
    <n v="620.35027977101697"/>
    <n v="0.71354495989268008"/>
    <x v="1"/>
    <s v="LEVE"/>
    <x v="6"/>
    <x v="0"/>
    <n v="17"/>
    <n v="1"/>
    <d v="2017-10-02T00:00:00"/>
    <s v="KIA"/>
    <s v="RIO"/>
    <n v="3815.5324999999998"/>
    <d v="2017-10-06T00:00:00"/>
    <n v="7"/>
    <x v="1"/>
  </r>
  <r>
    <d v="2017-10-19T00:00:00"/>
    <s v="001-00010582"/>
    <n v="1865.1351723599998"/>
    <n v="1.6950000599999999"/>
    <n v="0"/>
    <n v="61.779661016949156"/>
    <n v="0"/>
    <n v="146.25"/>
    <n v="288.81515000000002"/>
    <n v="0"/>
    <n v="498.53981107694915"/>
    <n v="1366.5953612830508"/>
    <n v="0.73270580145344921"/>
    <x v="1"/>
    <s v="MEDIANO"/>
    <x v="6"/>
    <x v="0"/>
    <n v="10"/>
    <n v="1"/>
    <d v="2017-10-09T00:00:00"/>
    <s v="KIA"/>
    <s v="CERATO"/>
    <n v="822.73750000000007"/>
    <d v="2017-10-10T00:00:00"/>
    <n v="10"/>
    <x v="1"/>
  </r>
  <r>
    <d v="2017-10-19T00:00:00"/>
    <s v="001-00010577"/>
    <n v="946.36825964000013"/>
    <n v="2.1184998900000003"/>
    <n v="0"/>
    <n v="13.728813559322036"/>
    <n v="0"/>
    <n v="102.375"/>
    <n v="138.209825"/>
    <n v="0"/>
    <n v="256.432138449322"/>
    <n v="689.93612119067814"/>
    <n v="0.72903556745777887"/>
    <x v="1"/>
    <s v="LEVE"/>
    <x v="6"/>
    <x v="0"/>
    <n v="12"/>
    <n v="1"/>
    <d v="2017-10-07T00:00:00"/>
    <s v="KIA"/>
    <s v="RIO"/>
    <n v="351"/>
    <d v="2017-10-09T00:00:00"/>
    <n v="7"/>
    <x v="1"/>
  </r>
  <r>
    <d v="2017-10-19T00:00:00"/>
    <s v="001-00010487"/>
    <n v="4532.61019476"/>
    <n v="0"/>
    <n v="0"/>
    <n v="0"/>
    <n v="14.625"/>
    <n v="585"/>
    <n v="509.45505000000003"/>
    <n v="0"/>
    <n v="1109.08005"/>
    <n v="3423.53014476"/>
    <n v="0.75531095718705954"/>
    <x v="1"/>
    <s v="GRAVE"/>
    <x v="6"/>
    <x v="0"/>
    <n v="23"/>
    <n v="1"/>
    <d v="2017-09-26T00:00:00"/>
    <s v="HYUNDAI"/>
    <s v="ELANTRA"/>
    <n v="3446.2024999999994"/>
    <d v="2017-09-28T00:00:00"/>
    <n v="40"/>
    <x v="1"/>
  </r>
  <r>
    <d v="2017-10-19T00:00:00"/>
    <s v="001-00010586"/>
    <n v="1690.2888276399999"/>
    <n v="3.7287999000000003"/>
    <n v="0"/>
    <n v="34.322033898305094"/>
    <n v="0"/>
    <n v="146.25"/>
    <n v="306.16885000000002"/>
    <n v="0"/>
    <n v="490.46968379830514"/>
    <n v="1199.8191438416948"/>
    <n v="0.70983084323931522"/>
    <x v="1"/>
    <s v="MEDIANO"/>
    <x v="6"/>
    <x v="0"/>
    <n v="10"/>
    <n v="1"/>
    <d v="2017-10-09T00:00:00"/>
    <s v="HYUNDAI"/>
    <s v="ELANTRA"/>
    <n v="158.01499999999999"/>
    <d v="2017-10-10T00:00:00"/>
    <n v="10"/>
    <x v="1"/>
  </r>
  <r>
    <d v="2017-10-19T00:00:00"/>
    <s v="001-00010545"/>
    <n v="1739.6086247999999"/>
    <n v="1.64629994"/>
    <n v="0"/>
    <n v="0"/>
    <n v="0"/>
    <n v="234"/>
    <n v="216.92125000000001"/>
    <n v="0"/>
    <n v="452.56754994000005"/>
    <n v="1287.0410748599998"/>
    <n v="0.73984519075833444"/>
    <x v="1"/>
    <s v="MEDIANO"/>
    <x v="6"/>
    <x v="0"/>
    <n v="16"/>
    <n v="1"/>
    <d v="2017-10-03T00:00:00"/>
    <s v="CHEVROLET"/>
    <s v="CRUZE"/>
    <n v="1350.83"/>
    <d v="2017-10-03T00:00:00"/>
    <n v="16"/>
    <x v="1"/>
  </r>
  <r>
    <d v="2017-10-19T00:00:00"/>
    <s v="001-00010599"/>
    <n v="1411.7998296000001"/>
    <n v="21.947599999999998"/>
    <n v="0"/>
    <n v="0"/>
    <n v="0"/>
    <n v="146.25"/>
    <n v="201.426875"/>
    <n v="0"/>
    <n v="369.62447499999996"/>
    <n v="1042.1753546"/>
    <n v="0.73818917721166999"/>
    <x v="1"/>
    <s v="MEDIANO"/>
    <x v="6"/>
    <x v="0"/>
    <n v="9"/>
    <n v="1"/>
    <d v="2017-10-10T00:00:00"/>
    <s v="HYUNDAI"/>
    <s v="ELANTRA"/>
    <n v="994.2075000000001"/>
    <d v="2017-10-12T00:00:00"/>
    <n v="10"/>
    <x v="1"/>
  </r>
  <r>
    <d v="2017-10-19T00:00:00"/>
    <s v="001-00010618"/>
    <n v="1350.1086816"/>
    <n v="2.11869993"/>
    <n v="0"/>
    <n v="41.186440677966104"/>
    <n v="0"/>
    <n v="146.25"/>
    <n v="139.449375"/>
    <n v="0"/>
    <n v="329.00451560796614"/>
    <n v="1021.1041659920338"/>
    <n v="0.75631256943102809"/>
    <x v="1"/>
    <s v="MEDIANO"/>
    <x v="6"/>
    <x v="0"/>
    <n v="6"/>
    <n v="1"/>
    <d v="2017-10-13T00:00:00"/>
    <s v="HYUNDAI"/>
    <s v="CRETA"/>
    <n v="0"/>
    <d v="2017-10-06T00:00:00"/>
    <n v="10"/>
    <x v="1"/>
  </r>
  <r>
    <d v="2017-10-20T00:00:00"/>
    <s v="001-00010615"/>
    <n v="695.95500000000004"/>
    <n v="0"/>
    <n v="0"/>
    <n v="89.237288135593232"/>
    <n v="0"/>
    <n v="14.625"/>
    <n v="61.977499999999999"/>
    <n v="0"/>
    <n v="165.83978813559324"/>
    <n v="530.11521186440677"/>
    <n v="0.76170903559052916"/>
    <x v="0"/>
    <s v="LEVE"/>
    <x v="6"/>
    <x v="0"/>
    <n v="7"/>
    <n v="1"/>
    <d v="2017-10-13T00:00:00"/>
    <s v="KIA"/>
    <s v="SPORTAGE"/>
    <n v="0"/>
    <d v="2017-10-13T00:00:00"/>
    <n v="1"/>
    <x v="454"/>
  </r>
  <r>
    <d v="2017-10-20T00:00:00"/>
    <s v="001-00010605"/>
    <n v="1208.4433139999999"/>
    <n v="2.8812000000000006"/>
    <n v="0"/>
    <n v="68.644067796610173"/>
    <n v="0"/>
    <n v="117"/>
    <n v="92.966250000000002"/>
    <n v="0"/>
    <n v="281.4915177966102"/>
    <n v="926.95179620338968"/>
    <n v="0.76706270411239974"/>
    <x v="1"/>
    <s v="LEVE"/>
    <x v="6"/>
    <x v="0"/>
    <n v="9"/>
    <n v="1"/>
    <d v="2017-10-11T00:00:00"/>
    <s v="KIA"/>
    <s v="SPORTAGE"/>
    <n v="619.38499999999999"/>
    <d v="2017-10-12T00:00:00"/>
    <n v="8"/>
    <x v="454"/>
  </r>
  <r>
    <d v="2017-10-20T00:00:00"/>
    <s v="001-00010684"/>
    <n v="450"/>
    <n v="60.719548950000004"/>
    <n v="0"/>
    <n v="0"/>
    <n v="39.048749999999998"/>
    <n v="0"/>
    <n v="0"/>
    <n v="0"/>
    <n v="99.768298950000002"/>
    <n v="350.23170104999997"/>
    <n v="0.77829266899999994"/>
    <x v="0"/>
    <s v="-"/>
    <x v="6"/>
    <x v="0"/>
    <n v="2"/>
    <n v="1"/>
    <d v="2017-10-18T00:00:00"/>
    <s v="HONDA"/>
    <s v="CR-V"/>
    <n v="0"/>
    <d v="2017-10-19T00:00:00"/>
    <n v="0"/>
    <x v="113"/>
  </r>
  <r>
    <d v="2017-10-20T00:00:00"/>
    <s v="001-00010578"/>
    <n v="1157.2275"/>
    <n v="1.4399998999999999"/>
    <n v="0"/>
    <n v="41.186440677966104"/>
    <n v="0"/>
    <n v="117"/>
    <n v="139.449375"/>
    <n v="0"/>
    <n v="299.07581557796607"/>
    <n v="858.1516844220339"/>
    <n v="0.74155832316639025"/>
    <x v="1"/>
    <s v="LEVE"/>
    <x v="6"/>
    <x v="0"/>
    <n v="13"/>
    <n v="1"/>
    <d v="2017-10-07T00:00:00"/>
    <s v="RENAULT"/>
    <s v="DUSTER"/>
    <n v="1542.645"/>
    <d v="2017-10-09T00:00:00"/>
    <n v="8"/>
    <x v="1"/>
  </r>
  <r>
    <d v="2017-10-20T00:00:00"/>
    <s v="001-00010576"/>
    <n v="1582.7010459000001"/>
    <n v="0"/>
    <n v="0"/>
    <n v="34.533898305084747"/>
    <n v="0"/>
    <n v="160.875"/>
    <n v="185.9325"/>
    <n v="0"/>
    <n v="381.34139830508474"/>
    <n v="1201.3596475949153"/>
    <n v="0.75905658286323063"/>
    <x v="1"/>
    <s v="MEDIANO"/>
    <x v="6"/>
    <x v="0"/>
    <n v="13"/>
    <n v="1"/>
    <d v="2017-10-07T00:00:00"/>
    <s v="HYUNDAI"/>
    <s v="ACCENT"/>
    <n v="1730.0725000000002"/>
    <d v="2017-10-09T00:00:00"/>
    <n v="11"/>
    <x v="1"/>
  </r>
  <r>
    <d v="2017-10-21T00:00:00"/>
    <s v="001-00010606"/>
    <n v="2076.8400000000006"/>
    <n v="0"/>
    <n v="0"/>
    <n v="0"/>
    <n v="0"/>
    <n v="234"/>
    <n v="247.91"/>
    <n v="0"/>
    <n v="481.90999999999997"/>
    <n v="1594.9300000000007"/>
    <n v="0.76795997765836577"/>
    <x v="1"/>
    <s v="MEDIANO"/>
    <x v="6"/>
    <x v="0"/>
    <n v="10"/>
    <n v="1"/>
    <d v="2017-10-11T00:00:00"/>
    <s v="SUZUKI"/>
    <s v="VITARA"/>
    <n v="0"/>
    <d v="2017-10-12T00:00:00"/>
    <n v="16"/>
    <x v="455"/>
  </r>
  <r>
    <d v="2017-10-21T00:00:00"/>
    <s v="001-00010623"/>
    <n v="940.42360800000006"/>
    <n v="0.57599996000000009"/>
    <n v="0"/>
    <n v="164.74576271186442"/>
    <n v="0"/>
    <n v="73.125"/>
    <n v="139.449375"/>
    <n v="0"/>
    <n v="377.89613767186438"/>
    <n v="562.52747032813568"/>
    <n v="0.59816391841168626"/>
    <x v="1"/>
    <s v="LEVE"/>
    <x v="6"/>
    <x v="0"/>
    <n v="8"/>
    <n v="1"/>
    <d v="2017-10-13T00:00:00"/>
    <s v="SUZUKI"/>
    <s v="VITARA"/>
    <n v="508.07250000000005"/>
    <d v="2017-10-12T00:00:00"/>
    <n v="5"/>
    <x v="455"/>
  </r>
  <r>
    <d v="2017-10-21T00:00:00"/>
    <s v="001-00010658"/>
    <n v="1204.3738044000002"/>
    <n v="0"/>
    <n v="0"/>
    <n v="61.779661016949163"/>
    <n v="0"/>
    <n v="87.75"/>
    <n v="185.9325"/>
    <n v="0"/>
    <n v="335.46216101694915"/>
    <n v="868.911643383051"/>
    <n v="0.72146341958668636"/>
    <x v="1"/>
    <s v="LEVE"/>
    <x v="6"/>
    <x v="0"/>
    <n v="4"/>
    <n v="1"/>
    <d v="2017-10-17T00:00:00"/>
    <s v="FORD"/>
    <s v="ECOSPORT"/>
    <n v="0"/>
    <d v="2017-10-17T00:00:00"/>
    <n v="6"/>
    <x v="1"/>
  </r>
  <r>
    <d v="2017-10-21T00:00:00"/>
    <s v="001-00010634"/>
    <n v="465.13214171999999"/>
    <n v="0"/>
    <n v="0"/>
    <n v="27.457627118644073"/>
    <n v="0"/>
    <n v="29.25"/>
    <n v="61.977499999999999"/>
    <n v="0"/>
    <n v="118.68512711864406"/>
    <n v="346.44701460135593"/>
    <n v="0.74483567899702341"/>
    <x v="1"/>
    <s v="LEVE"/>
    <x v="6"/>
    <x v="0"/>
    <n v="5"/>
    <n v="1"/>
    <d v="2017-10-16T00:00:00"/>
    <s v="CHEVROLET"/>
    <s v="TRACKER"/>
    <n v="1302.5349999999999"/>
    <d v="2017-10-17T00:00:00"/>
    <n v="2"/>
    <x v="1"/>
  </r>
  <r>
    <d v="2017-10-21T00:00:00"/>
    <s v="001-00010628"/>
    <n v="833.80590000000018"/>
    <n v="0"/>
    <n v="0"/>
    <n v="0"/>
    <n v="0"/>
    <n v="58.5"/>
    <n v="139.449375"/>
    <n v="0"/>
    <n v="197.949375"/>
    <n v="635.85652500000015"/>
    <n v="0.76259537741337646"/>
    <x v="1"/>
    <s v="LEVE"/>
    <x v="6"/>
    <x v="0"/>
    <n v="7"/>
    <n v="1"/>
    <d v="2017-10-14T00:00:00"/>
    <s v="HYUNDAI"/>
    <s v="I20"/>
    <n v="1646.3525"/>
    <d v="2017-10-16T00:00:00"/>
    <n v="4"/>
    <x v="1"/>
  </r>
  <r>
    <d v="2017-10-21T00:00:00"/>
    <s v="001-00010564"/>
    <n v="923.04295200000001"/>
    <n v="0"/>
    <n v="0"/>
    <n v="34.533898305084747"/>
    <n v="0"/>
    <n v="73.125"/>
    <n v="154.94374999999999"/>
    <n v="0"/>
    <n v="262.60264830508476"/>
    <n v="660.4403036949152"/>
    <n v="0.71550332762295465"/>
    <x v="1"/>
    <s v="LEVE"/>
    <x v="6"/>
    <x v="0"/>
    <n v="16"/>
    <n v="1"/>
    <d v="2017-10-05T00:00:00"/>
    <s v="CHEVROLET"/>
    <s v="CRUZE"/>
    <n v="1161.81"/>
    <d v="2017-10-06T00:00:00"/>
    <n v="5"/>
    <x v="1"/>
  </r>
  <r>
    <d v="2017-10-21T00:00:00"/>
    <s v="001-00010598"/>
    <n v="1491.2236404"/>
    <n v="0"/>
    <n v="0"/>
    <n v="20.593220338983052"/>
    <n v="0"/>
    <n v="117"/>
    <n v="294.393125"/>
    <n v="0"/>
    <n v="431.98634533898303"/>
    <n v="1059.237295061017"/>
    <n v="0.71031417848022538"/>
    <x v="1"/>
    <s v="LEVE"/>
    <x v="6"/>
    <x v="0"/>
    <n v="1465"/>
    <n v="1"/>
    <d v="2013-10-17T00:00:00"/>
    <s v="MAZDA"/>
    <s v="MAZDA 3"/>
    <n v="4047.8425000000002"/>
    <d v="2017-10-11T00:00:00"/>
    <n v="8"/>
    <x v="1"/>
  </r>
  <r>
    <d v="2017-10-23T00:00:00"/>
    <s v="001-00010703"/>
    <n v="296.61020000000002"/>
    <n v="123.81450075000001"/>
    <n v="0"/>
    <n v="0"/>
    <n v="39.048749999999998"/>
    <n v="0"/>
    <n v="0"/>
    <n v="0"/>
    <n v="162.86325075000002"/>
    <n v="133.74694925"/>
    <n v="0.45091823966269534"/>
    <x v="0"/>
    <s v="-"/>
    <x v="6"/>
    <x v="0"/>
    <n v="3"/>
    <n v="1"/>
    <d v="2017-10-20T00:00:00"/>
    <s v="HYUNDAI"/>
    <s v="H1"/>
    <n v="0"/>
    <d v="2017-10-23T00:00:00"/>
    <n v="0"/>
    <x v="121"/>
  </r>
  <r>
    <d v="2017-10-23T00:00:00"/>
    <s v="001-00009905"/>
    <n v="5908.4419680000001"/>
    <n v="0"/>
    <n v="0"/>
    <n v="301.09677966101697"/>
    <n v="29.25"/>
    <n v="819"/>
    <n v="604.28062499999999"/>
    <n v="0"/>
    <n v="1753.627404661017"/>
    <n v="4154.8145633389831"/>
    <n v="0.70319969051763109"/>
    <x v="1"/>
    <s v="GRAVE"/>
    <x v="6"/>
    <x v="0"/>
    <n v="103"/>
    <n v="1"/>
    <d v="2017-07-12T00:00:00"/>
    <s v="MAZDA"/>
    <s v="MAZDA 3"/>
    <n v="5138.3474999999999"/>
    <d v="2017-07-14T00:00:00"/>
    <n v="56"/>
    <x v="1"/>
  </r>
  <r>
    <d v="2017-10-24T00:00:00"/>
    <s v="001-00010617"/>
    <n v="2220.6067648938988"/>
    <n v="0"/>
    <n v="0"/>
    <n v="41.186440677966104"/>
    <n v="0"/>
    <n v="234"/>
    <n v="247.91"/>
    <n v="0"/>
    <n v="523.09644067796614"/>
    <n v="1697.5103242159325"/>
    <n v="0.76443535661166018"/>
    <x v="1"/>
    <s v="MEDIANO"/>
    <x v="6"/>
    <x v="0"/>
    <n v="11"/>
    <n v="1"/>
    <d v="2017-10-13T00:00:00"/>
    <s v="NISSAN"/>
    <s v="VERSA"/>
    <n v="170.20249999999999"/>
    <d v="2017-10-14T00:00:00"/>
    <n v="16"/>
    <x v="1"/>
  </r>
  <r>
    <d v="2017-10-24T00:00:00"/>
    <s v="001-00010585"/>
    <n v="2934.7254094500004"/>
    <n v="0"/>
    <n v="0"/>
    <n v="96.27118644067798"/>
    <n v="14.625"/>
    <n v="380.25"/>
    <n v="278.89875000000001"/>
    <n v="0"/>
    <n v="770.04493644067793"/>
    <n v="2164.6804730093227"/>
    <n v="0.73760920392719376"/>
    <x v="1"/>
    <s v="GRAVE"/>
    <x v="6"/>
    <x v="0"/>
    <n v="15"/>
    <n v="1"/>
    <d v="2017-10-09T00:00:00"/>
    <s v="CHEVROLET"/>
    <s v="SAIL"/>
    <n v="349.73250000000002"/>
    <d v="2017-10-10T00:00:00"/>
    <n v="26"/>
    <x v="1"/>
  </r>
  <r>
    <d v="2017-10-24T00:00:00"/>
    <s v="001-00010643"/>
    <n v="1325.8162149823709"/>
    <n v="1.6950000599999999"/>
    <n v="0"/>
    <n v="34.322033898305087"/>
    <n v="0"/>
    <n v="175.5"/>
    <n v="139.449375"/>
    <n v="0"/>
    <n v="350.96640895830512"/>
    <n v="974.84980602406574"/>
    <n v="0.73528276016523764"/>
    <x v="1"/>
    <s v="MEDIANO"/>
    <x v="6"/>
    <x v="0"/>
    <n v="8"/>
    <n v="1"/>
    <d v="2017-10-16T00:00:00"/>
    <s v="SUZUKI"/>
    <s v="VITARA"/>
    <n v="0"/>
    <d v="2017-10-17T00:00:00"/>
    <n v="12"/>
    <x v="1"/>
  </r>
  <r>
    <d v="2017-10-24T00:00:00"/>
    <s v="001-00010518"/>
    <n v="1913.8104409499997"/>
    <n v="0.84729999000000011"/>
    <n v="0"/>
    <n v="55.084745762711869"/>
    <n v="0"/>
    <n v="175.5"/>
    <n v="278.89875000000001"/>
    <n v="0"/>
    <n v="510.33079575271188"/>
    <n v="1403.4796451972879"/>
    <n v="0.73334308099009649"/>
    <x v="1"/>
    <s v="MEDIANO"/>
    <x v="6"/>
    <x v="0"/>
    <n v="25"/>
    <n v="1"/>
    <d v="2017-09-29T00:00:00"/>
    <s v="KIA"/>
    <s v="RIO"/>
    <n v="3053.44"/>
    <d v="2017-10-05T00:00:00"/>
    <n v="12"/>
    <x v="1"/>
  </r>
  <r>
    <d v="2017-10-24T00:00:00"/>
    <s v="001-00010581"/>
    <n v="772.97847615000001"/>
    <n v="0"/>
    <n v="0"/>
    <n v="102.96610169491527"/>
    <n v="0"/>
    <n v="58.5"/>
    <n v="92.966250000000002"/>
    <n v="0"/>
    <n v="254.43235169491527"/>
    <n v="518.54612445508474"/>
    <n v="0.67084160873123522"/>
    <x v="1"/>
    <s v="LEVE"/>
    <x v="6"/>
    <x v="0"/>
    <n v="15"/>
    <n v="1"/>
    <d v="2017-10-09T00:00:00"/>
    <s v="SSANYONG"/>
    <s v="RODIOS"/>
    <n v="70.004999999999995"/>
    <d v="2017-10-11T00:00:00"/>
    <n v="4"/>
    <x v="1"/>
  </r>
  <r>
    <d v="2017-10-24T00:00:00"/>
    <s v="001-00010603"/>
    <n v="878.53071269321981"/>
    <n v="0"/>
    <n v="0"/>
    <n v="0"/>
    <n v="14.625"/>
    <n v="73.125"/>
    <n v="123.955"/>
    <n v="0"/>
    <n v="211.70499999999998"/>
    <n v="666.82571269321988"/>
    <n v="0.75902379172266154"/>
    <x v="1"/>
    <s v="LEVE"/>
    <x v="6"/>
    <x v="0"/>
    <n v="13"/>
    <n v="1"/>
    <d v="2017-10-11T00:00:00"/>
    <s v="KIA"/>
    <s v="CERATO"/>
    <n v="1525.68"/>
    <d v="2017-10-12T00:00:00"/>
    <n v="5"/>
    <x v="1"/>
  </r>
  <r>
    <d v="2017-10-24T00:00:00"/>
    <s v="001-00010701"/>
    <n v="1530"/>
    <n v="844.95729893999987"/>
    <n v="0"/>
    <n v="0"/>
    <n v="39.048749999999998"/>
    <n v="0"/>
    <n v="0"/>
    <n v="0"/>
    <n v="884.00604893999991"/>
    <n v="645.99395106000009"/>
    <n v="0.42221826866666673"/>
    <x v="0"/>
    <s v="-"/>
    <x v="6"/>
    <x v="0"/>
    <n v="2"/>
    <n v="1"/>
    <d v="2017-10-22T00:00:00"/>
    <s v="KIA"/>
    <s v="RIO"/>
    <n v="1218.75"/>
    <d v="2017-10-23T00:00:00"/>
    <n v="0"/>
    <x v="157"/>
  </r>
  <r>
    <d v="2017-10-25T00:00:00"/>
    <s v="001-00010693"/>
    <n v="300"/>
    <n v="67.799003999999982"/>
    <n v="0"/>
    <n v="0"/>
    <n v="17.98875"/>
    <n v="0"/>
    <n v="0"/>
    <n v="0"/>
    <n v="85.787753999999978"/>
    <n v="214.21224600000002"/>
    <n v="0.71404082000000002"/>
    <x v="0"/>
    <s v="-"/>
    <x v="6"/>
    <x v="0"/>
    <n v="6"/>
    <n v="1"/>
    <d v="2017-10-19T00:00:00"/>
    <s v="HYUNDAI"/>
    <s v="ELANTRA"/>
    <n v="180.375"/>
    <d v="2017-10-20T00:00:00"/>
    <n v="0"/>
    <x v="456"/>
  </r>
  <r>
    <d v="2017-10-25T00:00:00"/>
    <s v="001-00010580"/>
    <n v="1179.89578579407"/>
    <n v="0"/>
    <n v="0"/>
    <n v="105.34322033898306"/>
    <n v="14.625"/>
    <n v="102.375"/>
    <n v="139.449375"/>
    <n v="0"/>
    <n v="361.79259533898306"/>
    <n v="818.10319045508686"/>
    <n v="0.69336902487917895"/>
    <x v="1"/>
    <s v="LEVE"/>
    <x v="6"/>
    <x v="0"/>
    <n v="16"/>
    <n v="1"/>
    <d v="2017-10-09T00:00:00"/>
    <s v="TOYOTA"/>
    <s v="RAV4"/>
    <n v="5296.5250000000005"/>
    <d v="2017-10-13T00:00:00"/>
    <n v="7"/>
    <x v="96"/>
  </r>
  <r>
    <d v="2017-10-25T00:00:00"/>
    <s v="001-00010621"/>
    <n v="1997.0720615999999"/>
    <n v="0"/>
    <n v="0"/>
    <n v="89.237288135593232"/>
    <n v="0"/>
    <n v="234"/>
    <n v="247.91"/>
    <n v="0"/>
    <n v="571.14728813559327"/>
    <n v="1425.9247734644066"/>
    <n v="0.71400767197253479"/>
    <x v="1"/>
    <s v="MEDIANO"/>
    <x v="6"/>
    <x v="0"/>
    <n v="12"/>
    <n v="1"/>
    <d v="2017-10-13T00:00:00"/>
    <s v="KIA"/>
    <s v="CERATO"/>
    <n v="1761.9549999999999"/>
    <d v="2017-10-14T00:00:00"/>
    <n v="16"/>
    <x v="1"/>
  </r>
  <r>
    <d v="2017-10-25T00:00:00"/>
    <s v="001-00010654"/>
    <n v="1135.3043438186401"/>
    <n v="19.5"/>
    <n v="0"/>
    <n v="34.322033898305094"/>
    <n v="0"/>
    <n v="58.5"/>
    <n v="237.37382500000001"/>
    <n v="0"/>
    <n v="349.69585889830512"/>
    <n v="785.60848492033494"/>
    <n v="0.6919805153549492"/>
    <x v="1"/>
    <s v="LEVE"/>
    <x v="6"/>
    <x v="0"/>
    <n v="8"/>
    <n v="1"/>
    <d v="2017-10-17T00:00:00"/>
    <s v="CHEVROLET"/>
    <s v="SPARK"/>
    <n v="514.96249999999998"/>
    <d v="2017-10-18T00:00:00"/>
    <n v="4"/>
    <x v="1"/>
  </r>
  <r>
    <d v="2017-10-25T00:00:00"/>
    <s v="001-00010734"/>
    <n v="296.61020000000002"/>
    <n v="124.02179875000002"/>
    <n v="0"/>
    <n v="0"/>
    <n v="39.048749999999998"/>
    <n v="0"/>
    <n v="0"/>
    <n v="0"/>
    <n v="163.07054875"/>
    <n v="133.53965125000002"/>
    <n v="0.45021934933458124"/>
    <x v="0"/>
    <s v="-"/>
    <x v="6"/>
    <x v="0"/>
    <n v="0"/>
    <n v="1"/>
    <d v="2017-10-25T00:00:00"/>
    <s v="HYUNDAI"/>
    <s v="H1"/>
    <n v="0"/>
    <d v="2017-10-25T00:00:00"/>
    <n v="0"/>
    <x v="121"/>
  </r>
  <r>
    <d v="2017-10-25T00:00:00"/>
    <s v="001-00010733"/>
    <n v="296.61020000000002"/>
    <n v="124.02179875000002"/>
    <n v="0"/>
    <n v="0"/>
    <n v="39.048749999999998"/>
    <n v="0"/>
    <n v="0"/>
    <n v="0"/>
    <n v="163.07054875"/>
    <n v="133.53965125000002"/>
    <n v="0.45021934933458124"/>
    <x v="0"/>
    <s v="-"/>
    <x v="6"/>
    <x v="0"/>
    <n v="0"/>
    <n v="1"/>
    <d v="2017-10-25T00:00:00"/>
    <s v="HYUNDAI"/>
    <s v="H1"/>
    <n v="0"/>
    <d v="2017-10-25T00:00:00"/>
    <n v="0"/>
    <x v="121"/>
  </r>
  <r>
    <d v="2017-10-26T00:00:00"/>
    <s v="001-00010729"/>
    <n v="624"/>
    <n v="292.11239899999998"/>
    <n v="0"/>
    <n v="0"/>
    <n v="39.048749999999998"/>
    <n v="0"/>
    <n v="0"/>
    <n v="0"/>
    <n v="331.16114899999997"/>
    <n v="292.83885100000003"/>
    <n v="0.46929303044871801"/>
    <x v="0"/>
    <s v="-"/>
    <x v="6"/>
    <x v="0"/>
    <n v="1"/>
    <n v="1"/>
    <d v="2017-10-25T00:00:00"/>
    <s v="HYUNDAI"/>
    <s v="ELANTRA"/>
    <n v="275.82749999999999"/>
    <d v="2017-10-25T00:00:00"/>
    <n v="0"/>
    <x v="0"/>
  </r>
  <r>
    <d v="2017-10-26T00:00:00"/>
    <s v="001-00010711"/>
    <n v="329.01048882966001"/>
    <n v="0"/>
    <n v="0"/>
    <n v="35.694915254237294"/>
    <n v="0"/>
    <n v="14.625"/>
    <n v="61.977499999999999"/>
    <n v="0"/>
    <n v="112.29741525423729"/>
    <n v="216.7130735754227"/>
    <n v="0.65868135191161781"/>
    <x v="0"/>
    <s v="LEVE"/>
    <x v="6"/>
    <x v="0"/>
    <n v="6"/>
    <n v="1"/>
    <d v="2017-10-20T00:00:00"/>
    <s v="TOYOTA"/>
    <s v="COROLLA"/>
    <n v="0"/>
    <d v="2017-10-23T00:00:00"/>
    <n v="1"/>
    <x v="133"/>
  </r>
  <r>
    <d v="2017-10-26T00:00:00"/>
    <s v="001-00010700"/>
    <n v="753.75497670000004"/>
    <n v="0"/>
    <n v="0"/>
    <n v="41.186440677966104"/>
    <n v="0"/>
    <n v="73.125"/>
    <n v="123.955"/>
    <n v="0"/>
    <n v="238.2664406779661"/>
    <n v="515.48853602203394"/>
    <n v="0.68389403978317231"/>
    <x v="2"/>
    <s v="LEVE"/>
    <x v="6"/>
    <x v="0"/>
    <n v="4"/>
    <n v="1"/>
    <d v="2017-10-22T00:00:00"/>
    <s v="TOYOTA"/>
    <s v="COROLLA"/>
    <n v="0"/>
    <d v="2017-10-23T00:00:00"/>
    <n v="5"/>
    <x v="133"/>
  </r>
  <r>
    <d v="2017-10-26T00:00:00"/>
    <s v="001-00010608"/>
    <n v="1947.058738962711"/>
    <n v="0.84750002999999996"/>
    <n v="0"/>
    <n v="102.96610169491527"/>
    <n v="0"/>
    <n v="146.25"/>
    <n v="328.48075"/>
    <n v="0"/>
    <n v="578.54435172491526"/>
    <n v="1368.5143872377957"/>
    <n v="0.70286240463750327"/>
    <x v="1"/>
    <s v="MEDIANO"/>
    <x v="6"/>
    <x v="0"/>
    <n v="15"/>
    <n v="1"/>
    <d v="2017-10-11T00:00:00"/>
    <s v="KIA"/>
    <s v="PICANTO"/>
    <n v="0"/>
    <d v="2017-10-13T00:00:00"/>
    <n v="10"/>
    <x v="1"/>
  </r>
  <r>
    <d v="2017-10-26T00:00:00"/>
    <s v="001-00010622"/>
    <n v="3431.5397632745789"/>
    <n v="0"/>
    <n v="0"/>
    <n v="20.593220338983052"/>
    <n v="43.875"/>
    <n v="497.25"/>
    <n v="356.37062500000002"/>
    <n v="0"/>
    <n v="918.08884533898311"/>
    <n v="2513.450917935596"/>
    <n v="0.73245571706186841"/>
    <x v="1"/>
    <s v="GRAVE"/>
    <x v="6"/>
    <x v="0"/>
    <n v="13"/>
    <n v="1"/>
    <d v="2017-10-13T00:00:00"/>
    <s v="NISSAN"/>
    <s v="TIIDA"/>
    <n v="2598.2775000000001"/>
    <d v="2017-10-14T00:00:00"/>
    <n v="34"/>
    <x v="1"/>
  </r>
  <r>
    <d v="2017-10-26T00:00:00"/>
    <s v="001-00010559"/>
    <n v="1506.6601189262701"/>
    <n v="0"/>
    <n v="0"/>
    <n v="55.084745762711869"/>
    <n v="0"/>
    <n v="146.25"/>
    <n v="185.9325"/>
    <n v="0"/>
    <n v="387.26724576271187"/>
    <n v="1119.3928731635583"/>
    <n v="0.74296310037150248"/>
    <x v="1"/>
    <s v="MEDIANO"/>
    <x v="6"/>
    <x v="0"/>
    <n v="22"/>
    <n v="1"/>
    <d v="2017-10-04T00:00:00"/>
    <s v="SUZUKI"/>
    <s v="ERTIGA"/>
    <n v="1546.4475"/>
    <d v="2017-10-10T00:00:00"/>
    <n v="10"/>
    <x v="1"/>
  </r>
  <r>
    <d v="2017-10-26T00:00:00"/>
    <s v="001-00010655"/>
    <n v="433.48998660000001"/>
    <n v="0"/>
    <n v="0"/>
    <n v="62.16101694915254"/>
    <n v="0"/>
    <n v="29.25"/>
    <n v="61.977499999999999"/>
    <n v="0"/>
    <n v="153.38851694915255"/>
    <n v="280.10146965084743"/>
    <n v="0.64615441719374522"/>
    <x v="1"/>
    <s v="LEVE"/>
    <x v="6"/>
    <x v="0"/>
    <n v="9"/>
    <n v="1"/>
    <d v="2017-10-17T00:00:00"/>
    <s v="HYUNDAI"/>
    <s v="TUCSON"/>
    <n v="90.22"/>
    <d v="2017-10-18T00:00:00"/>
    <n v="2"/>
    <x v="1"/>
  </r>
  <r>
    <d v="2017-10-27T00:00:00"/>
    <s v="001-00010706"/>
    <n v="1465"/>
    <n v="330.35289699999998"/>
    <n v="0"/>
    <n v="0"/>
    <n v="39.048749999999998"/>
    <n v="29.25"/>
    <n v="0"/>
    <n v="0"/>
    <n v="398.65164699999997"/>
    <n v="1066.3483530000001"/>
    <n v="0.72788283481228677"/>
    <x v="0"/>
    <s v="-"/>
    <x v="6"/>
    <x v="0"/>
    <n v="7"/>
    <n v="1"/>
    <d v="2017-10-20T00:00:00"/>
    <s v="KIA"/>
    <s v="RIO"/>
    <n v="421.26499999999999"/>
    <d v="2017-10-23T00:00:00"/>
    <n v="2"/>
    <x v="142"/>
  </r>
  <r>
    <d v="2017-10-27T00:00:00"/>
    <s v="001-00010448"/>
    <n v="2427.6853464416909"/>
    <n v="29.67"/>
    <n v="0"/>
    <n v="125.9364406779661"/>
    <n v="14.625"/>
    <n v="234"/>
    <n v="366.90680000000003"/>
    <n v="0"/>
    <n v="771.13824067796622"/>
    <n v="1656.5471057637246"/>
    <n v="0.6823565946022454"/>
    <x v="1"/>
    <s v="MEDIANO"/>
    <x v="6"/>
    <x v="0"/>
    <n v="36"/>
    <n v="1"/>
    <d v="2017-09-21T00:00:00"/>
    <s v="HYUNDAI"/>
    <s v="ELANTRA"/>
    <n v="5321.3225000000002"/>
    <d v="2017-09-21T00:00:00"/>
    <n v="16"/>
    <x v="1"/>
  </r>
  <r>
    <d v="2017-10-27T00:00:00"/>
    <s v="001-00010616"/>
    <n v="1449.45254475"/>
    <n v="0.84750002999999996"/>
    <n v="0"/>
    <n v="27.627118644067796"/>
    <n v="0"/>
    <n v="175.5"/>
    <n v="154.94374999999999"/>
    <n v="0"/>
    <n v="358.91836867406778"/>
    <n v="1090.5341760759322"/>
    <n v="0.75237659903106824"/>
    <x v="1"/>
    <s v="MEDIANO"/>
    <x v="6"/>
    <x v="0"/>
    <n v="14"/>
    <n v="1"/>
    <d v="2017-10-13T00:00:00"/>
    <s v="SEAT"/>
    <s v="IBIZA"/>
    <n v="2126.15"/>
    <d v="2017-10-13T00:00:00"/>
    <n v="12"/>
    <x v="1"/>
  </r>
  <r>
    <d v="2017-10-27T00:00:00"/>
    <s v="001-00010671"/>
    <n v="336.05987713142036"/>
    <n v="0"/>
    <n v="0"/>
    <n v="0"/>
    <n v="0"/>
    <n v="29.25"/>
    <n v="61.977499999999999"/>
    <n v="0"/>
    <n v="91.227499999999992"/>
    <n v="244.83237713142037"/>
    <n v="0.72853795942940147"/>
    <x v="1"/>
    <s v="LEVE"/>
    <x v="6"/>
    <x v="0"/>
    <n v="9"/>
    <n v="1"/>
    <d v="2017-10-18T00:00:00"/>
    <s v="MAZDA"/>
    <s v="CX-5"/>
    <n v="2730.1949999999997"/>
    <d v="2017-10-18T00:00:00"/>
    <n v="2"/>
    <x v="1"/>
  </r>
  <r>
    <d v="2017-10-27T00:00:00"/>
    <s v="001-00010674"/>
    <n v="336.05987713142036"/>
    <n v="0"/>
    <n v="0"/>
    <n v="0"/>
    <n v="0"/>
    <n v="29.25"/>
    <n v="61.977499999999999"/>
    <n v="0"/>
    <n v="91.227499999999992"/>
    <n v="244.83237713142037"/>
    <n v="0.72853795942940147"/>
    <x v="1"/>
    <s v="LEVE"/>
    <x v="6"/>
    <x v="0"/>
    <n v="9"/>
    <n v="1"/>
    <d v="2017-10-18T00:00:00"/>
    <s v="MAZDA"/>
    <s v="CX-5"/>
    <n v="2840.1749999999997"/>
    <d v="2017-10-18T00:00:00"/>
    <n v="2"/>
    <x v="1"/>
  </r>
  <r>
    <d v="2017-10-27T00:00:00"/>
    <s v="001-00010673"/>
    <n v="877.54945528322105"/>
    <n v="0"/>
    <n v="0"/>
    <n v="0"/>
    <n v="0"/>
    <n v="87.75"/>
    <n v="139.449375"/>
    <n v="0"/>
    <n v="227.199375"/>
    <n v="650.35008028322102"/>
    <n v="0.74109792487230985"/>
    <x v="1"/>
    <s v="LEVE"/>
    <x v="6"/>
    <x v="0"/>
    <n v="9"/>
    <n v="1"/>
    <d v="2017-10-18T00:00:00"/>
    <s v="MAZDA"/>
    <s v="CX-5"/>
    <n v="893.32749999999999"/>
    <d v="2017-10-18T00:00:00"/>
    <n v="6"/>
    <x v="1"/>
  </r>
  <r>
    <d v="2017-10-27T00:00:00"/>
    <s v="001-00010637"/>
    <n v="1463.5613052855902"/>
    <n v="0"/>
    <n v="0"/>
    <n v="0"/>
    <n v="0"/>
    <n v="117"/>
    <n v="248.52977499999997"/>
    <n v="0"/>
    <n v="365.52977499999997"/>
    <n v="1098.0315302855902"/>
    <n v="0.75024635204558598"/>
    <x v="1"/>
    <s v="LEVE"/>
    <x v="6"/>
    <x v="0"/>
    <n v="11"/>
    <n v="1"/>
    <d v="2017-10-16T00:00:00"/>
    <s v="KIA"/>
    <s v="RIO"/>
    <n v="337.15499999999997"/>
    <d v="2017-10-17T00:00:00"/>
    <n v="8"/>
    <x v="1"/>
  </r>
  <r>
    <d v="2017-10-28T00:00:00"/>
    <s v="001-00010610"/>
    <n v="165.15235336325992"/>
    <n v="0"/>
    <n v="0"/>
    <n v="0"/>
    <n v="0"/>
    <n v="10.96875"/>
    <n v="46.483125000000001"/>
    <n v="0"/>
    <n v="57.451875000000001"/>
    <n v="107.70047836325992"/>
    <n v="0.6521280270609765"/>
    <x v="0"/>
    <s v="LEVE"/>
    <x v="6"/>
    <x v="0"/>
    <n v="17"/>
    <n v="1"/>
    <d v="2017-10-11T00:00:00"/>
    <s v="JEEP"/>
    <s v="COMPASS"/>
    <n v="0"/>
    <d v="2017-10-12T00:00:00"/>
    <n v="0.75"/>
    <x v="457"/>
  </r>
  <r>
    <d v="2017-10-28T00:00:00"/>
    <s v="001-00010046"/>
    <n v="608.99998125000002"/>
    <n v="0"/>
    <n v="0"/>
    <n v="8.48"/>
    <n v="0"/>
    <n v="43.875"/>
    <n v="92.966250000000002"/>
    <n v="0"/>
    <n v="145.32125000000002"/>
    <n v="463.67873125"/>
    <n v="0.76137725045291205"/>
    <x v="1"/>
    <s v="LEVE"/>
    <x v="6"/>
    <x v="0"/>
    <n v="87"/>
    <n v="1"/>
    <d v="2017-08-02T00:00:00"/>
    <s v="JEEP"/>
    <s v="COMPASS"/>
    <n v="196.625"/>
    <d v="2017-08-03T00:00:00"/>
    <n v="3"/>
    <x v="457"/>
  </r>
  <r>
    <d v="2017-10-28T00:00:00"/>
    <s v="001-00010541"/>
    <n v="677.20797915000003"/>
    <n v="0"/>
    <n v="0"/>
    <n v="144.15254237288138"/>
    <n v="0"/>
    <n v="58.5"/>
    <n v="61.977499999999999"/>
    <n v="0"/>
    <n v="264.63004237288141"/>
    <n v="412.57793677711862"/>
    <n v="0.60923372062887871"/>
    <x v="1"/>
    <s v="LEVE"/>
    <x v="6"/>
    <x v="0"/>
    <n v="26"/>
    <n v="1"/>
    <d v="2017-10-02T00:00:00"/>
    <s v="JEEP"/>
    <s v="COMPASS"/>
    <n v="211.57499999999999"/>
    <d v="2017-10-04T00:00:00"/>
    <n v="4"/>
    <x v="457"/>
  </r>
  <r>
    <d v="2017-10-28T00:00:00"/>
    <s v="001-00010470"/>
    <n v="872.08797315000015"/>
    <n v="1.2794999999999999"/>
    <n v="0"/>
    <n v="84.75"/>
    <n v="29.25"/>
    <n v="73.125"/>
    <n v="92.966250000000002"/>
    <n v="0"/>
    <n v="281.37074999999999"/>
    <n v="590.71722315000011"/>
    <n v="0.67735967165825828"/>
    <x v="1"/>
    <s v="LEVE"/>
    <x v="6"/>
    <x v="0"/>
    <n v="33"/>
    <n v="1"/>
    <d v="2017-09-25T00:00:00"/>
    <s v="GREAT W."/>
    <s v="VOLEEX"/>
    <n v="3930.2249999999999"/>
    <d v="2017-09-27T00:00:00"/>
    <n v="5"/>
    <x v="1"/>
  </r>
  <r>
    <d v="2017-10-28T00:00:00"/>
    <s v="001-00010662"/>
    <n v="1554.5810652572807"/>
    <n v="2.3141998800000003"/>
    <n v="0"/>
    <n v="34.533898305084747"/>
    <n v="0"/>
    <n v="175.5"/>
    <n v="198.328"/>
    <n v="0"/>
    <n v="410.67609818508475"/>
    <n v="1143.9049670721959"/>
    <n v="0.73582844448377571"/>
    <x v="1"/>
    <s v="MEDIANO"/>
    <x v="6"/>
    <x v="0"/>
    <n v="10"/>
    <n v="1"/>
    <d v="2017-10-18T00:00:00"/>
    <s v="NISSAN"/>
    <s v="TIIDA"/>
    <n v="75.725000000000009"/>
    <d v="2017-10-18T00:00:00"/>
    <n v="12"/>
    <x v="1"/>
  </r>
  <r>
    <d v="2017-10-28T00:00:00"/>
    <s v="001-00010277"/>
    <n v="6325.4798052499991"/>
    <n v="0"/>
    <n v="0"/>
    <n v="309.06779661016958"/>
    <n v="0"/>
    <n v="848.25"/>
    <n v="836.69624999999996"/>
    <n v="0"/>
    <n v="1994.0140466101695"/>
    <n v="4331.4657586398298"/>
    <n v="0.68476477547913683"/>
    <x v="1"/>
    <s v="GRAVE"/>
    <x v="6"/>
    <x v="0"/>
    <n v="57"/>
    <n v="1"/>
    <d v="2017-09-01T00:00:00"/>
    <s v="RENAULT"/>
    <s v="STEPWAY"/>
    <n v="11617.125"/>
    <d v="2017-09-05T00:00:00"/>
    <n v="58"/>
    <x v="1"/>
  </r>
  <r>
    <d v="2017-10-28T00:00:00"/>
    <s v="001-00010182"/>
    <n v="2310.1536029545791"/>
    <n v="1.5646"/>
    <n v="0"/>
    <n v="20.656779661016952"/>
    <n v="14.625"/>
    <n v="175.5"/>
    <n v="402.85374999999999"/>
    <n v="0"/>
    <n v="615.20012966101694"/>
    <n v="1694.9534732935622"/>
    <n v="0.73369730528991473"/>
    <x v="1"/>
    <s v="MEDIANO"/>
    <x v="6"/>
    <x v="0"/>
    <n v="71"/>
    <n v="1"/>
    <d v="2017-08-18T00:00:00"/>
    <s v="KIA"/>
    <s v="RIO"/>
    <n v="6403.41"/>
    <d v="2017-08-21T00:00:00"/>
    <n v="12"/>
    <x v="1"/>
  </r>
  <r>
    <d v="2017-10-28T00:00:00"/>
    <s v="001-00010640"/>
    <n v="2525.1548913750812"/>
    <n v="0"/>
    <n v="0"/>
    <n v="139.83474576271186"/>
    <n v="14.625"/>
    <n v="292.5"/>
    <n v="313.60614999999996"/>
    <n v="0"/>
    <n v="760.56589576271176"/>
    <n v="1764.5889956123694"/>
    <n v="0.69880426014241714"/>
    <x v="1"/>
    <s v="MEDIANO"/>
    <x v="6"/>
    <x v="0"/>
    <n v="12"/>
    <n v="1"/>
    <d v="2017-10-16T00:00:00"/>
    <s v="TOYOTA"/>
    <s v="YARIS"/>
    <n v="3718.8775000000001"/>
    <d v="2017-10-17T00:00:00"/>
    <n v="20"/>
    <x v="1"/>
  </r>
  <r>
    <d v="2017-10-30T00:00:00"/>
    <s v="001-00010669"/>
    <n v="1868.7559056644097"/>
    <n v="0"/>
    <n v="0"/>
    <n v="34.322033898305094"/>
    <n v="0"/>
    <n v="204.75"/>
    <n v="263.40437500000002"/>
    <n v="0"/>
    <n v="502.47640889830512"/>
    <n v="1366.2794967661046"/>
    <n v="0.73111715266009725"/>
    <x v="1"/>
    <s v="MEDIANO"/>
    <x v="6"/>
    <x v="0"/>
    <n v="12"/>
    <n v="1"/>
    <d v="2017-10-18T00:00:00"/>
    <s v="NISSAN"/>
    <s v="VERSA"/>
    <n v="32.11"/>
    <d v="2017-10-19T00:00:00"/>
    <n v="14"/>
    <x v="458"/>
  </r>
  <r>
    <d v="2017-10-30T00:00:00"/>
    <s v="001-00010638"/>
    <n v="2018.6319378499998"/>
    <n v="0"/>
    <n v="0"/>
    <n v="96.101694915254257"/>
    <n v="0"/>
    <n v="248.625"/>
    <n v="216.92125000000001"/>
    <n v="0"/>
    <n v="561.64794491525424"/>
    <n v="1456.9839929347454"/>
    <n v="0.72176802794795114"/>
    <x v="1"/>
    <s v="MEDIANO"/>
    <x v="6"/>
    <x v="0"/>
    <n v="14"/>
    <n v="1"/>
    <d v="2017-10-16T00:00:00"/>
    <s v="HYUNDAI"/>
    <s v="SANTA FE"/>
    <n v="0"/>
    <d v="2017-10-18T00:00:00"/>
    <n v="17"/>
    <x v="459"/>
  </r>
  <r>
    <d v="2017-10-30T00:00:00"/>
    <s v="001-00010728"/>
    <n v="450"/>
    <n v="199.10252524999999"/>
    <n v="0"/>
    <n v="0"/>
    <n v="39.048749999999998"/>
    <n v="0"/>
    <n v="0"/>
    <n v="0"/>
    <n v="238.15127524999997"/>
    <n v="211.84872475000003"/>
    <n v="0.47077494388888896"/>
    <x v="0"/>
    <s v="-"/>
    <x v="6"/>
    <x v="0"/>
    <n v="5"/>
    <n v="1"/>
    <d v="2017-10-25T00:00:00"/>
    <s v="NISSAN"/>
    <s v="FRONTIER"/>
    <n v="0"/>
    <d v="2017-10-25T00:00:00"/>
    <n v="0"/>
    <x v="157"/>
  </r>
  <r>
    <d v="2017-10-30T00:00:00"/>
    <s v="001-00010757"/>
    <n v="296.61020000000002"/>
    <n v="124.02179875000002"/>
    <n v="0"/>
    <n v="0"/>
    <n v="39.048749999999998"/>
    <n v="0"/>
    <n v="0"/>
    <n v="0"/>
    <n v="163.07054875"/>
    <n v="133.53965125000002"/>
    <n v="0.45021934933458124"/>
    <x v="0"/>
    <s v="-"/>
    <x v="6"/>
    <x v="0"/>
    <n v="0"/>
    <n v="1"/>
    <d v="2017-10-30T00:00:00"/>
    <s v="HYUNDAI"/>
    <s v="H1"/>
    <n v="0"/>
    <d v="2017-10-30T00:00:00"/>
    <n v="0"/>
    <x v="121"/>
  </r>
  <r>
    <d v="2017-10-30T00:00:00"/>
    <s v="001-00010600"/>
    <n v="2548.8815956045792"/>
    <n v="0"/>
    <n v="0"/>
    <n v="105.34322033898306"/>
    <n v="14.625"/>
    <n v="292.5"/>
    <n v="309.88749999999999"/>
    <n v="0"/>
    <n v="722.35572033898302"/>
    <n v="1826.5258752655961"/>
    <n v="0.71659895007102337"/>
    <x v="1"/>
    <s v="MEDIANO"/>
    <x v="6"/>
    <x v="0"/>
    <n v="20"/>
    <n v="1"/>
    <d v="2017-10-10T00:00:00"/>
    <s v="KIA"/>
    <s v="RIO"/>
    <n v="8071.375"/>
    <d v="2017-10-11T00:00:00"/>
    <n v="20"/>
    <x v="1"/>
  </r>
  <r>
    <d v="2017-10-30T00:00:00"/>
    <s v="001-00010513"/>
    <n v="2808.7215876045793"/>
    <n v="0"/>
    <n v="0"/>
    <n v="194.74576271186442"/>
    <n v="43.875"/>
    <n v="307.125"/>
    <n v="309.88749999999999"/>
    <n v="0"/>
    <n v="855.63326271186452"/>
    <n v="1953.0883248927148"/>
    <n v="0.69536558322906183"/>
    <x v="1"/>
    <s v="MEDIANO"/>
    <x v="6"/>
    <x v="0"/>
    <n v="32"/>
    <n v="1"/>
    <d v="2017-09-28T00:00:00"/>
    <s v="CHEVROLET"/>
    <s v="SAIL"/>
    <n v="1977.2349999999999"/>
    <d v="2017-10-02T00:00:00"/>
    <n v="21"/>
    <x v="1"/>
  </r>
  <r>
    <d v="2017-10-30T00:00:00"/>
    <s v="001-00010431"/>
    <n v="2877.7279113999998"/>
    <n v="1.2711999"/>
    <n v="0"/>
    <n v="106.35203389830508"/>
    <n v="58.5"/>
    <n v="380.25"/>
    <n v="247.91"/>
    <n v="113.75"/>
    <n v="908.0332337983051"/>
    <n v="1969.6946776016948"/>
    <n v="0.68446174838101648"/>
    <x v="1"/>
    <s v="GRAVE"/>
    <x v="6"/>
    <x v="0"/>
    <n v="44"/>
    <n v="1"/>
    <d v="2017-09-16T00:00:00"/>
    <s v="KIA"/>
    <s v="CERATO"/>
    <n v="4120.5774999999994"/>
    <d v="2017-09-20T00:00:00"/>
    <n v="26"/>
    <x v="1"/>
  </r>
  <r>
    <d v="2017-10-31T00:00:00"/>
    <s v="001-00010742"/>
    <n v="277"/>
    <n v="0"/>
    <n v="0"/>
    <n v="25.423728813559322"/>
    <n v="0"/>
    <n v="14.625"/>
    <n v="61.977499999999999"/>
    <n v="0"/>
    <n v="102.02622881355933"/>
    <n v="174.97377118644067"/>
    <n v="0.63167426421097717"/>
    <x v="0"/>
    <s v="LEVE"/>
    <x v="6"/>
    <x v="0"/>
    <n v="5"/>
    <n v="1"/>
    <d v="2017-10-26T00:00:00"/>
    <s v="KIA"/>
    <s v="PICANTO"/>
    <n v="0"/>
    <d v="2017-10-26T00:00:00"/>
    <n v="1"/>
    <x v="460"/>
  </r>
  <r>
    <d v="2017-10-31T00:00:00"/>
    <s v="001-00010685"/>
    <n v="2014.43394513"/>
    <n v="0"/>
    <n v="0"/>
    <n v="34.322033898305094"/>
    <n v="14.625"/>
    <n v="131.625"/>
    <n v="340.87625000000003"/>
    <n v="0"/>
    <n v="521.44828389830514"/>
    <n v="1492.9856612316948"/>
    <n v="0.7411440145957956"/>
    <x v="0"/>
    <s v="-"/>
    <x v="6"/>
    <x v="0"/>
    <n v="12"/>
    <n v="1"/>
    <d v="2017-10-19T00:00:00"/>
    <s v="KIA"/>
    <s v="CERATO"/>
    <n v="3225.2674999999999"/>
    <d v="2017-10-21T00:00:00"/>
    <n v="9"/>
    <x v="460"/>
  </r>
  <r>
    <d v="2017-10-31T00:00:00"/>
    <s v="001-00010561"/>
    <n v="1441.079"/>
    <n v="0.28799998000000004"/>
    <n v="0"/>
    <n v="89.237288135593232"/>
    <n v="0"/>
    <n v="73.125"/>
    <n v="247.91"/>
    <n v="0"/>
    <n v="410.56028811559327"/>
    <n v="1030.5187118844067"/>
    <n v="0.7151021643396418"/>
    <x v="0"/>
    <s v="-"/>
    <x v="6"/>
    <x v="0"/>
    <n v="27"/>
    <n v="1"/>
    <d v="2017-10-04T00:00:00"/>
    <s v="KIA"/>
    <s v="CERATO"/>
    <n v="1064.7974999999999"/>
    <d v="2017-10-05T00:00:00"/>
    <n v="5"/>
    <x v="1"/>
  </r>
  <r>
    <d v="2017-10-02T00:00:00"/>
    <s v="001-00010437"/>
    <n v="25.423700000000004"/>
    <n v="0"/>
    <n v="0"/>
    <n v="0"/>
    <n v="0"/>
    <n v="0"/>
    <n v="0"/>
    <n v="0"/>
    <n v="0"/>
    <n v="25.423700000000004"/>
    <n v="1"/>
    <x v="0"/>
    <s v="-"/>
    <x v="6"/>
    <x v="0"/>
    <n v="12"/>
    <n v="1"/>
    <d v="2017-09-20T00:00:00"/>
    <s v="KIA"/>
    <s v="RIO"/>
    <n v="0"/>
    <d v="2017-09-20T00:00:00"/>
    <n v="0"/>
    <x v="461"/>
  </r>
  <r>
    <d v="2017-10-02T00:00:00"/>
    <s v="001-00010534"/>
    <n v="30"/>
    <n v="12.71"/>
    <n v="0"/>
    <n v="0"/>
    <n v="0"/>
    <n v="0"/>
    <n v="0"/>
    <n v="0"/>
    <n v="12.71"/>
    <n v="17.29"/>
    <n v="0.57633333333333325"/>
    <x v="0"/>
    <s v="-"/>
    <x v="6"/>
    <x v="0"/>
    <n v="0"/>
    <n v="1"/>
    <d v="2017-10-02T00:00:00"/>
    <s v="CHEVROLET"/>
    <s v="SAIL"/>
    <n v="30.0625"/>
    <d v="2017-10-02T00:00:00"/>
    <n v="0"/>
    <x v="373"/>
  </r>
  <r>
    <d v="2017-10-03T00:00:00"/>
    <s v="001-00010508"/>
    <n v="84.754204000000016"/>
    <n v="0"/>
    <n v="0"/>
    <n v="0"/>
    <n v="0"/>
    <n v="0"/>
    <n v="0"/>
    <n v="0"/>
    <n v="0"/>
    <n v="84.754204000000016"/>
    <n v="1"/>
    <x v="4"/>
    <s v="S/TIPO"/>
    <x v="6"/>
    <x v="0"/>
    <n v="5"/>
    <n v="1"/>
    <d v="2017-09-28T00:00:00"/>
    <s v="S/MARCA"/>
    <s v="S/MODELO"/>
    <n v="0"/>
    <s v="F/Fecha"/>
    <n v="0"/>
    <x v="462"/>
  </r>
  <r>
    <d v="2017-10-05T00:00:00"/>
    <s v="001-00010554"/>
    <n v="350"/>
    <n v="93.441626249999999"/>
    <n v="0"/>
    <n v="0"/>
    <n v="39.048749999999998"/>
    <n v="0"/>
    <n v="0"/>
    <n v="0"/>
    <n v="132.49037625"/>
    <n v="217.50962375"/>
    <n v="0.62145606785714291"/>
    <x v="0"/>
    <s v="-"/>
    <x v="6"/>
    <x v="0"/>
    <n v="1"/>
    <n v="1"/>
    <d v="2017-10-04T00:00:00"/>
    <s v="FORD"/>
    <s v="ECOSPORT"/>
    <n v="0"/>
    <d v="2017-10-04T00:00:00"/>
    <n v="0"/>
    <x v="330"/>
  </r>
  <r>
    <d v="2017-10-05T00:00:00"/>
    <s v="001-00010567"/>
    <n v="273.50845800000002"/>
    <n v="0"/>
    <n v="165.26250000000002"/>
    <n v="0"/>
    <n v="0"/>
    <n v="0"/>
    <n v="0"/>
    <n v="0"/>
    <n v="165.26250000000002"/>
    <n v="108.245958"/>
    <n v="0.39576822885674706"/>
    <x v="0"/>
    <s v="-"/>
    <x v="6"/>
    <x v="0"/>
    <n v="0"/>
    <n v="1"/>
    <d v="2017-10-05T00:00:00"/>
    <s v="SUZUKI"/>
    <s v="GRAND N."/>
    <n v="272.67500000000001"/>
    <d v="2017-10-05T00:00:00"/>
    <n v="0"/>
    <x v="463"/>
  </r>
  <r>
    <d v="2017-10-07T00:00:00"/>
    <s v="001-00010566"/>
    <n v="132.9357032001999"/>
    <n v="0"/>
    <n v="82.615000000000009"/>
    <n v="0"/>
    <n v="0"/>
    <n v="0"/>
    <n v="0"/>
    <n v="0"/>
    <n v="82.615000000000009"/>
    <n v="50.320703200199887"/>
    <n v="0.37853414838011867"/>
    <x v="0"/>
    <s v="-"/>
    <x v="6"/>
    <x v="0"/>
    <n v="2"/>
    <n v="1"/>
    <d v="2017-10-05T00:00:00"/>
    <s v="KIA"/>
    <s v="CERATO"/>
    <n v="132.21"/>
    <d v="2017-10-05T00:00:00"/>
    <n v="0"/>
    <x v="464"/>
  </r>
  <r>
    <d v="2017-10-09T00:00:00"/>
    <s v="001-00010568"/>
    <n v="1060"/>
    <n v="220.20560000000003"/>
    <n v="0"/>
    <n v="0"/>
    <n v="68.298749999999998"/>
    <n v="0"/>
    <n v="0"/>
    <n v="0"/>
    <n v="288.50435000000004"/>
    <n v="771.49564999999996"/>
    <n v="0.72782608490566036"/>
    <x v="0"/>
    <s v="-"/>
    <x v="6"/>
    <x v="0"/>
    <n v="4"/>
    <n v="1"/>
    <d v="2017-10-05T00:00:00"/>
    <s v="CHEVROLET"/>
    <s v="AVEO"/>
    <n v="466.40749999999997"/>
    <d v="2017-10-05T00:00:00"/>
    <n v="0"/>
    <x v="465"/>
  </r>
  <r>
    <d v="2017-10-11T00:00:00"/>
    <s v="001-00010597"/>
    <n v="600"/>
    <n v="103.31042644999999"/>
    <n v="0"/>
    <n v="0"/>
    <n v="39.048749999999998"/>
    <n v="0"/>
    <n v="0"/>
    <n v="0"/>
    <n v="142.35917645000001"/>
    <n v="457.64082354999999"/>
    <n v="0.7627347059166667"/>
    <x v="0"/>
    <s v="-"/>
    <x v="6"/>
    <x v="0"/>
    <n v="1"/>
    <n v="1"/>
    <d v="2017-10-10T00:00:00"/>
    <s v="MAZDA"/>
    <s v="CX-5"/>
    <n v="0"/>
    <d v="2017-10-10T00:00:00"/>
    <n v="0"/>
    <x v="257"/>
  </r>
  <r>
    <d v="2017-10-11T00:00:00"/>
    <s v="001-00010250"/>
    <n v="1070"/>
    <n v="223.98542655000003"/>
    <n v="0"/>
    <n v="0"/>
    <n v="39.048749999999998"/>
    <n v="0"/>
    <n v="0"/>
    <n v="0"/>
    <n v="263.03417655000004"/>
    <n v="806.96582345000002"/>
    <n v="0.75417366677570097"/>
    <x v="0"/>
    <s v="-"/>
    <x v="6"/>
    <x v="0"/>
    <n v="44"/>
    <n v="1"/>
    <d v="2017-08-28T00:00:00"/>
    <s v="MAZDA"/>
    <s v="MAZDA 3"/>
    <n v="0"/>
    <d v="2017-08-28T00:00:00"/>
    <n v="0"/>
    <x v="466"/>
  </r>
  <r>
    <d v="2017-10-11T00:00:00"/>
    <s v="001-00010595"/>
    <n v="610"/>
    <n v="244.06"/>
    <n v="0"/>
    <n v="0"/>
    <n v="14.625"/>
    <n v="0"/>
    <n v="0"/>
    <n v="0"/>
    <n v="258.685"/>
    <n v="351.315"/>
    <n v="0.57592622950819672"/>
    <x v="0"/>
    <s v="-"/>
    <x v="6"/>
    <x v="0"/>
    <n v="1"/>
    <n v="1"/>
    <d v="2017-10-10T00:00:00"/>
    <s v="SUZUKI"/>
    <s v="SWIFT"/>
    <n v="180.53749999999999"/>
    <d v="2017-10-10T00:00:00"/>
    <n v="0"/>
    <x v="357"/>
  </r>
  <r>
    <d v="2017-10-11T00:00:00"/>
    <s v="001-00010569"/>
    <n v="609.101757099"/>
    <n v="0"/>
    <n v="81.25"/>
    <n v="41.186440677966104"/>
    <n v="0"/>
    <n v="21.9375"/>
    <n v="92.966250000000002"/>
    <n v="0"/>
    <n v="237.34019067796612"/>
    <n v="371.76156642103388"/>
    <n v="0.61034394021721694"/>
    <x v="0"/>
    <s v="LEVE"/>
    <x v="6"/>
    <x v="0"/>
    <n v="5"/>
    <n v="1"/>
    <d v="2017-10-06T00:00:00"/>
    <s v="TOYOTA"/>
    <s v="YARIS"/>
    <n v="0"/>
    <d v="2017-10-06T00:00:00"/>
    <n v="1.5"/>
    <x v="365"/>
  </r>
  <r>
    <d v="2017-10-12T00:00:00"/>
    <s v="001-00010207"/>
    <n v="276.46822192342046"/>
    <n v="0"/>
    <n v="0"/>
    <n v="0"/>
    <n v="0"/>
    <n v="0"/>
    <n v="0"/>
    <n v="0"/>
    <n v="0"/>
    <n v="276.46822192342046"/>
    <n v="1"/>
    <x v="0"/>
    <s v="-"/>
    <x v="6"/>
    <x v="0"/>
    <n v="51"/>
    <n v="1"/>
    <d v="2017-08-22T00:00:00"/>
    <s v="HYUNDAI"/>
    <s v="ACCENT"/>
    <n v="324.1875"/>
    <d v="2017-08-22T00:00:00"/>
    <n v="0"/>
    <x v="467"/>
  </r>
  <r>
    <d v="2017-10-12T00:00:00"/>
    <s v="001-00010604"/>
    <n v="550"/>
    <n v="145.85500025000002"/>
    <n v="0"/>
    <n v="0"/>
    <n v="39.048749999999998"/>
    <n v="0"/>
    <n v="0"/>
    <n v="0"/>
    <n v="184.90375025000003"/>
    <n v="365.09624974999997"/>
    <n v="0.6638113631818181"/>
    <x v="0"/>
    <s v="-"/>
    <x v="6"/>
    <x v="0"/>
    <n v="1"/>
    <n v="1"/>
    <d v="2017-10-11T00:00:00"/>
    <s v="FORD"/>
    <s v="ECOSPORT"/>
    <n v="0"/>
    <d v="2017-10-11T00:00:00"/>
    <n v="0"/>
    <x v="468"/>
  </r>
  <r>
    <d v="2017-10-13T00:00:00"/>
    <s v="001-00008992"/>
    <n v="1200"/>
    <n v="0"/>
    <n v="0"/>
    <n v="0"/>
    <n v="0"/>
    <n v="1016.4375"/>
    <n v="0"/>
    <n v="0"/>
    <n v="1016.4375"/>
    <n v="183.5625"/>
    <n v="0.15296874999999999"/>
    <x v="0"/>
    <s v="LEVE"/>
    <x v="6"/>
    <x v="0"/>
    <n v="239"/>
    <n v="1"/>
    <d v="2017-02-16T00:00:00"/>
    <s v="AUDI"/>
    <s v="A3"/>
    <n v="0"/>
    <d v="2017-04-08T00:00:00"/>
    <n v="69.5"/>
    <x v="469"/>
  </r>
  <r>
    <d v="2017-10-13T00:00:00"/>
    <s v="001-00010620"/>
    <n v="16.949200000000001"/>
    <n v="0"/>
    <n v="0"/>
    <n v="0"/>
    <n v="0"/>
    <n v="0"/>
    <n v="0"/>
    <n v="0"/>
    <n v="0"/>
    <n v="16.949200000000001"/>
    <n v="1"/>
    <x v="0"/>
    <s v="-"/>
    <x v="6"/>
    <x v="0"/>
    <n v="0"/>
    <n v="1"/>
    <d v="2017-10-13T00:00:00"/>
    <s v="AUDI"/>
    <s v="A3"/>
    <n v="16.997500000000002"/>
    <d v="2017-10-13T00:00:00"/>
    <n v="0"/>
    <x v="470"/>
  </r>
  <r>
    <d v="2017-10-13T00:00:00"/>
    <s v="001-00010612"/>
    <n v="349"/>
    <n v="133.44239899999999"/>
    <n v="0"/>
    <n v="0"/>
    <n v="39.048749999999998"/>
    <n v="0"/>
    <n v="0"/>
    <n v="0"/>
    <n v="172.49114900000001"/>
    <n v="176.50885099999999"/>
    <n v="0.50575602005730658"/>
    <x v="0"/>
    <s v="-"/>
    <x v="6"/>
    <x v="0"/>
    <n v="1"/>
    <n v="1"/>
    <d v="2017-10-12T00:00:00"/>
    <s v="HYUNDAI"/>
    <s v="ELANTRA"/>
    <n v="0"/>
    <d v="2017-10-13T00:00:00"/>
    <n v="0"/>
    <x v="233"/>
  </r>
  <r>
    <d v="2017-10-14T00:00:00"/>
    <s v="001-00010539"/>
    <n v="350"/>
    <n v="76.351626150000001"/>
    <n v="0"/>
    <n v="0"/>
    <n v="0"/>
    <n v="0"/>
    <n v="0"/>
    <n v="0"/>
    <n v="76.351626150000001"/>
    <n v="273.64837384999998"/>
    <n v="0.78185249671428569"/>
    <x v="0"/>
    <s v="-"/>
    <x v="6"/>
    <x v="0"/>
    <n v="12"/>
    <n v="1"/>
    <d v="2017-10-02T00:00:00"/>
    <s v="RENAULT"/>
    <s v="DUSTER"/>
    <n v="0"/>
    <d v="2017-10-02T00:00:00"/>
    <n v="0"/>
    <x v="471"/>
  </r>
  <r>
    <d v="2017-10-14T00:00:00"/>
    <s v="001-00010631"/>
    <n v="585.31782439576"/>
    <n v="0"/>
    <n v="359.32"/>
    <n v="0"/>
    <n v="0"/>
    <n v="0"/>
    <n v="0"/>
    <n v="0"/>
    <n v="359.32"/>
    <n v="225.99782439576001"/>
    <n v="0.38611129710437897"/>
    <x v="0"/>
    <s v="-"/>
    <x v="6"/>
    <x v="0"/>
    <n v="0"/>
    <n v="1"/>
    <d v="2017-10-14T00:00:00"/>
    <s v="RENAULT"/>
    <s v="DUSTER"/>
    <n v="0"/>
    <s v="F/Fecha"/>
    <n v="0"/>
    <x v="295"/>
  </r>
  <r>
    <d v="2017-10-16T00:00:00"/>
    <s v="001-00010636"/>
    <n v="50"/>
    <n v="0"/>
    <n v="0"/>
    <n v="0"/>
    <n v="0"/>
    <n v="14.625"/>
    <n v="0"/>
    <n v="0"/>
    <n v="14.625"/>
    <n v="35.375"/>
    <n v="0.70750000000000002"/>
    <x v="0"/>
    <s v="LEVE"/>
    <x v="6"/>
    <x v="0"/>
    <n v="0"/>
    <n v="1"/>
    <d v="2017-10-16T00:00:00"/>
    <s v="KIA"/>
    <s v="RIO"/>
    <n v="0"/>
    <d v="2017-10-16T00:00:00"/>
    <n v="1"/>
    <x v="472"/>
  </r>
  <r>
    <d v="2017-10-16T00:00:00"/>
    <s v="001-00010384"/>
    <n v="5998.0948155000005"/>
    <n v="2241.3975200300001"/>
    <n v="0"/>
    <n v="164.74576271186442"/>
    <n v="58.5"/>
    <n v="409.5"/>
    <n v="371.86500000000001"/>
    <n v="0"/>
    <n v="3246.0082827418646"/>
    <n v="2752.0865327581359"/>
    <n v="0.45882678040472463"/>
    <x v="0"/>
    <s v="GRAVE"/>
    <x v="6"/>
    <x v="0"/>
    <n v="32"/>
    <n v="1"/>
    <d v="2017-09-14T00:00:00"/>
    <s v="MAZDA"/>
    <s v="MAZDA 3"/>
    <n v="3055"/>
    <d v="2017-09-20T00:00:00"/>
    <n v="28"/>
    <x v="473"/>
  </r>
  <r>
    <d v="2017-10-16T00:00:00"/>
    <s v="001-00010645"/>
    <n v="100"/>
    <n v="36.950901000000009"/>
    <n v="0"/>
    <n v="0"/>
    <n v="0"/>
    <n v="0"/>
    <n v="0"/>
    <n v="0"/>
    <n v="36.950901000000009"/>
    <n v="63.049098999999991"/>
    <n v="0.63049098999999986"/>
    <x v="4"/>
    <s v="S/TIPO"/>
    <x v="6"/>
    <x v="0"/>
    <n v="0"/>
    <n v="1"/>
    <d v="2017-10-16T00:00:00"/>
    <s v="S/MARCA"/>
    <s v="S/MODELO"/>
    <n v="0"/>
    <s v="F/Fecha"/>
    <n v="0"/>
    <x v="474"/>
  </r>
  <r>
    <d v="2017-10-17T00:00:00"/>
    <s v="001-00010609"/>
    <n v="25.423700000000004"/>
    <n v="0"/>
    <n v="0"/>
    <n v="0"/>
    <n v="0"/>
    <n v="0"/>
    <n v="0"/>
    <n v="0"/>
    <n v="0"/>
    <n v="25.423700000000004"/>
    <n v="1"/>
    <x v="0"/>
    <s v="-"/>
    <x v="6"/>
    <x v="0"/>
    <n v="5"/>
    <n v="1"/>
    <d v="2017-10-12T00:00:00"/>
    <s v="HYUNDAI"/>
    <s v="ELANTRA"/>
    <n v="25.48"/>
    <d v="2017-10-12T00:00:00"/>
    <n v="0"/>
    <x v="475"/>
  </r>
  <r>
    <d v="2017-10-17T00:00:00"/>
    <s v="001-00010648"/>
    <n v="299"/>
    <n v="72.41289900000001"/>
    <n v="0"/>
    <n v="0"/>
    <n v="39.048749999999998"/>
    <n v="0"/>
    <n v="0"/>
    <n v="0"/>
    <n v="111.46164900000001"/>
    <n v="187.53835099999998"/>
    <n v="0.62721856521739128"/>
    <x v="0"/>
    <s v="-"/>
    <x v="6"/>
    <x v="0"/>
    <n v="0"/>
    <n v="1"/>
    <d v="2017-10-17T00:00:00"/>
    <s v="HYUNDAI"/>
    <s v="ACCENT"/>
    <n v="0"/>
    <d v="2017-10-17T00:00:00"/>
    <n v="0"/>
    <x v="185"/>
  </r>
  <r>
    <d v="2017-10-18T00:00:00"/>
    <s v="001-00010652"/>
    <n v="840"/>
    <n v="224.57000010000002"/>
    <n v="0"/>
    <n v="20.593220338983052"/>
    <n v="0"/>
    <n v="0"/>
    <n v="0"/>
    <n v="0"/>
    <n v="245.16322043898307"/>
    <n v="594.8367795610169"/>
    <n v="0.70813902328692491"/>
    <x v="0"/>
    <s v="-"/>
    <x v="6"/>
    <x v="0"/>
    <n v="1"/>
    <n v="1"/>
    <d v="2017-10-17T00:00:00"/>
    <s v="TOYOTA"/>
    <s v="RAV4"/>
    <n v="792.41499999999996"/>
    <d v="2017-10-17T00:00:00"/>
    <n v="0"/>
    <x v="340"/>
  </r>
  <r>
    <d v="2017-10-19T00:00:00"/>
    <s v="001-00010657"/>
    <n v="186"/>
    <n v="0"/>
    <n v="0"/>
    <n v="0"/>
    <n v="0"/>
    <n v="0"/>
    <n v="61.977499999999999"/>
    <n v="0"/>
    <n v="61.977499999999999"/>
    <n v="124.02250000000001"/>
    <n v="0.66678763440860223"/>
    <x v="0"/>
    <s v="-"/>
    <x v="6"/>
    <x v="0"/>
    <n v="2"/>
    <n v="1"/>
    <d v="2017-10-17T00:00:00"/>
    <s v="HYUNDAI"/>
    <s v="TUCSON"/>
    <n v="0"/>
    <d v="2017-10-17T00:00:00"/>
    <n v="0"/>
    <x v="215"/>
  </r>
  <r>
    <d v="2017-10-19T00:00:00"/>
    <s v="001-00010679"/>
    <n v="300"/>
    <n v="83.909999200000016"/>
    <n v="0"/>
    <n v="0"/>
    <n v="39.048749999999998"/>
    <n v="0"/>
    <n v="0"/>
    <n v="0"/>
    <n v="122.95874920000001"/>
    <n v="177.0412508"/>
    <n v="0.59013750266666665"/>
    <x v="0"/>
    <s v="-"/>
    <x v="6"/>
    <x v="0"/>
    <n v="1"/>
    <n v="1"/>
    <d v="2017-10-18T00:00:00"/>
    <s v="NISSAN"/>
    <s v="VERSA"/>
    <n v="0"/>
    <d v="2017-10-19T00:00:00"/>
    <n v="0"/>
    <x v="146"/>
  </r>
  <r>
    <d v="2017-10-19T00:00:00"/>
    <s v="001-00010677"/>
    <n v="600"/>
    <n v="205.39494674999997"/>
    <n v="0"/>
    <n v="0"/>
    <n v="39.048749999999998"/>
    <n v="0"/>
    <n v="0"/>
    <n v="0"/>
    <n v="244.44369674999996"/>
    <n v="355.55630325000004"/>
    <n v="0.59259383875000005"/>
    <x v="0"/>
    <s v="-"/>
    <x v="6"/>
    <x v="0"/>
    <n v="1"/>
    <n v="1"/>
    <d v="2017-10-18T00:00:00"/>
    <s v="SUBARU"/>
    <s v="NEW XV"/>
    <n v="0"/>
    <d v="2017-10-19T00:00:00"/>
    <n v="0"/>
    <x v="476"/>
  </r>
  <r>
    <d v="2017-10-19T00:00:00"/>
    <s v="001-00010650"/>
    <n v="681.24"/>
    <n v="0"/>
    <n v="0"/>
    <n v="0"/>
    <n v="0"/>
    <n v="43.875"/>
    <n v="185.9325"/>
    <n v="0"/>
    <n v="229.8075"/>
    <n v="451.4325"/>
    <n v="0.66266293817156952"/>
    <x v="0"/>
    <s v="LEVE"/>
    <x v="6"/>
    <x v="0"/>
    <n v="2"/>
    <n v="1"/>
    <d v="2017-10-17T00:00:00"/>
    <s v="MAZDA"/>
    <s v="CX-5"/>
    <n v="0"/>
    <d v="2017-10-17T00:00:00"/>
    <n v="3"/>
    <x v="477"/>
  </r>
  <r>
    <d v="2017-10-19T00:00:00"/>
    <s v="001-00010678"/>
    <n v="450"/>
    <n v="133.5752"/>
    <n v="0"/>
    <n v="0"/>
    <n v="39.048749999999998"/>
    <n v="0"/>
    <n v="0"/>
    <n v="0"/>
    <n v="172.62394999999998"/>
    <n v="277.37605000000002"/>
    <n v="0.61639122222222231"/>
    <x v="0"/>
    <s v="-"/>
    <x v="6"/>
    <x v="0"/>
    <n v="1"/>
    <n v="1"/>
    <d v="2017-10-18T00:00:00"/>
    <s v="KIA"/>
    <s v="CERATO"/>
    <n v="0"/>
    <d v="2017-10-19T00:00:00"/>
    <n v="0"/>
    <x v="266"/>
  </r>
  <r>
    <d v="2017-10-19T00:00:00"/>
    <s v="001-00010653"/>
    <n v="1062"/>
    <n v="396.96539606000005"/>
    <n v="0"/>
    <n v="0"/>
    <n v="185.29875000000001"/>
    <n v="0"/>
    <n v="0"/>
    <n v="0"/>
    <n v="582.26414606000003"/>
    <n v="479.73585393999997"/>
    <n v="0.45172867602636529"/>
    <x v="0"/>
    <s v="-"/>
    <x v="6"/>
    <x v="0"/>
    <n v="2"/>
    <n v="1"/>
    <d v="2017-10-17T00:00:00"/>
    <s v="KIA"/>
    <s v="RIO"/>
    <n v="320.97000000000003"/>
    <d v="2017-10-17T00:00:00"/>
    <n v="0"/>
    <x v="478"/>
  </r>
  <r>
    <d v="2017-10-20T00:00:00"/>
    <s v="001-00010690"/>
    <n v="375.4237"/>
    <n v="146.36120099999999"/>
    <n v="0"/>
    <n v="0"/>
    <n v="39.048749999999998"/>
    <n v="0"/>
    <n v="0"/>
    <n v="0"/>
    <n v="185.40995099999998"/>
    <n v="190.01374900000002"/>
    <n v="0.5061314695902257"/>
    <x v="0"/>
    <s v="-"/>
    <x v="6"/>
    <x v="0"/>
    <n v="1"/>
    <n v="1"/>
    <d v="2017-10-19T00:00:00"/>
    <s v="RENAULT"/>
    <s v="LOGAN"/>
    <n v="25.48"/>
    <d v="2017-10-20T00:00:00"/>
    <n v="0"/>
    <x v="479"/>
  </r>
  <r>
    <d v="2017-10-20T00:00:00"/>
    <s v="001-00010689"/>
    <n v="350"/>
    <n v="146.36120099999999"/>
    <n v="0"/>
    <n v="0"/>
    <n v="39.048749999999998"/>
    <n v="0"/>
    <n v="0"/>
    <n v="0"/>
    <n v="185.40995099999998"/>
    <n v="164.59004900000002"/>
    <n v="0.47025728285714291"/>
    <x v="0"/>
    <s v="-"/>
    <x v="6"/>
    <x v="0"/>
    <n v="1"/>
    <n v="1"/>
    <d v="2017-10-19T00:00:00"/>
    <s v="RENAULT"/>
    <s v="LOGAN"/>
    <n v="0"/>
    <d v="2017-10-20T00:00:00"/>
    <n v="0"/>
    <x v="480"/>
  </r>
  <r>
    <d v="2017-10-20T00:00:00"/>
    <s v="001-00010670"/>
    <n v="295"/>
    <n v="0"/>
    <n v="0"/>
    <n v="29.661016949152543"/>
    <n v="0"/>
    <n v="14.625"/>
    <n v="61.977499999999999"/>
    <n v="0"/>
    <n v="106.26351694915255"/>
    <n v="188.73648305084745"/>
    <n v="0.63978468830795743"/>
    <x v="0"/>
    <s v="LEVE"/>
    <x v="6"/>
    <x v="0"/>
    <n v="2"/>
    <n v="1"/>
    <d v="2017-10-18T00:00:00"/>
    <s v="GREAT W."/>
    <s v="M4"/>
    <n v="0"/>
    <d v="2017-10-18T00:00:00"/>
    <n v="1"/>
    <x v="481"/>
  </r>
  <r>
    <d v="2017-10-21T00:00:00"/>
    <s v="001-00010507"/>
    <n v="3380"/>
    <n v="949.69807785"/>
    <n v="0"/>
    <n v="0"/>
    <n v="166.28625000000002"/>
    <n v="0"/>
    <n v="0"/>
    <n v="0"/>
    <n v="1115.98432785"/>
    <n v="2264.0156721499998"/>
    <n v="0.66982712193786975"/>
    <x v="0"/>
    <s v="-"/>
    <x v="6"/>
    <x v="0"/>
    <n v="25"/>
    <n v="1"/>
    <d v="2017-09-26T00:00:00"/>
    <s v="CHEVROLET"/>
    <s v="CORSA"/>
    <n v="2302.04"/>
    <d v="2017-09-28T00:00:00"/>
    <n v="0"/>
    <x v="482"/>
  </r>
  <r>
    <d v="2017-10-21T00:00:00"/>
    <s v="001-00010696"/>
    <n v="271.83049200000005"/>
    <n v="0"/>
    <n v="0"/>
    <n v="0"/>
    <n v="0"/>
    <n v="0"/>
    <n v="0"/>
    <n v="0"/>
    <n v="0"/>
    <n v="271.83049200000005"/>
    <n v="1"/>
    <x v="0"/>
    <s v="-"/>
    <x v="6"/>
    <x v="0"/>
    <n v="1"/>
    <n v="1"/>
    <d v="2017-10-20T00:00:00"/>
    <s v="KIA"/>
    <s v="RIO"/>
    <n v="272.67500000000001"/>
    <d v="2017-10-21T00:00:00"/>
    <n v="0"/>
    <x v="483"/>
  </r>
  <r>
    <d v="2017-10-23T00:00:00"/>
    <s v="001-00010691"/>
    <n v="336.96000000000004"/>
    <n v="0"/>
    <n v="0"/>
    <n v="31.576271186440678"/>
    <n v="0"/>
    <n v="29.25"/>
    <n v="61.977499999999999"/>
    <n v="0"/>
    <n v="122.80377118644068"/>
    <n v="214.15622881355935"/>
    <n v="0.63555386043910056"/>
    <x v="0"/>
    <s v="LEVE"/>
    <x v="6"/>
    <x v="0"/>
    <n v="4"/>
    <n v="1"/>
    <d v="2017-10-19T00:00:00"/>
    <s v="MAZDA"/>
    <s v="MAZDA 3"/>
    <n v="0"/>
    <d v="2017-10-20T00:00:00"/>
    <n v="2"/>
    <x v="254"/>
  </r>
  <r>
    <d v="2017-10-24T00:00:00"/>
    <s v="001-00010715"/>
    <n v="250"/>
    <n v="68.659999200000016"/>
    <n v="0"/>
    <n v="0"/>
    <n v="39.048749999999998"/>
    <n v="0"/>
    <n v="0"/>
    <n v="0"/>
    <n v="107.70874920000001"/>
    <n v="142.2912508"/>
    <n v="0.56916500319999996"/>
    <x v="0"/>
    <s v="-"/>
    <x v="6"/>
    <x v="0"/>
    <n v="0"/>
    <n v="1"/>
    <d v="2017-10-24T00:00:00"/>
    <s v="NISSAN"/>
    <s v="SENTRA"/>
    <n v="0"/>
    <d v="2017-10-24T00:00:00"/>
    <n v="0"/>
    <x v="484"/>
  </r>
  <r>
    <d v="2017-10-24T00:00:00"/>
    <s v="001-00010713"/>
    <n v="249"/>
    <n v="67.927898700000014"/>
    <n v="0"/>
    <n v="0"/>
    <n v="39.048749999999998"/>
    <n v="0"/>
    <n v="0"/>
    <n v="0"/>
    <n v="106.97664870000001"/>
    <n v="142.0233513"/>
    <n v="0.57037490481927711"/>
    <x v="0"/>
    <s v="-"/>
    <x v="6"/>
    <x v="0"/>
    <n v="3"/>
    <n v="1"/>
    <d v="2017-10-21T00:00:00"/>
    <s v="SUZUKI"/>
    <s v="CELERIO"/>
    <n v="0"/>
    <d v="2017-10-24T00:00:00"/>
    <n v="0"/>
    <x v="204"/>
  </r>
  <r>
    <d v="2017-10-24T00:00:00"/>
    <s v="001-00010718"/>
    <n v="416.10169999999999"/>
    <n v="67.927898700000014"/>
    <n v="146.25"/>
    <n v="0"/>
    <n v="39.048749999999998"/>
    <n v="0"/>
    <n v="0"/>
    <n v="0"/>
    <n v="253.2266487"/>
    <n v="162.8750513"/>
    <n v="0.39143087206805449"/>
    <x v="0"/>
    <s v="-"/>
    <x v="6"/>
    <x v="0"/>
    <n v="0"/>
    <n v="1"/>
    <d v="2017-10-24T00:00:00"/>
    <s v="SUZUKI"/>
    <s v="ALTO"/>
    <n v="166.595"/>
    <d v="2017-10-24T00:00:00"/>
    <n v="0"/>
    <x v="245"/>
  </r>
  <r>
    <d v="2017-10-24T00:00:00"/>
    <s v="001-00010656"/>
    <n v="486.14998500000002"/>
    <n v="0"/>
    <n v="0"/>
    <n v="0"/>
    <n v="0"/>
    <n v="29.25"/>
    <n v="123.955"/>
    <n v="0"/>
    <n v="153.20499999999998"/>
    <n v="332.94498500000003"/>
    <n v="0.68486062999672837"/>
    <x v="0"/>
    <s v="LEVE"/>
    <x v="6"/>
    <x v="0"/>
    <n v="7"/>
    <n v="1"/>
    <d v="2017-10-17T00:00:00"/>
    <s v="SSANYONG"/>
    <s v="RODIOS"/>
    <n v="0"/>
    <d v="2017-10-17T00:00:00"/>
    <n v="2"/>
    <x v="485"/>
  </r>
  <r>
    <d v="2017-10-25T00:00:00"/>
    <s v="001-00010721"/>
    <n v="249"/>
    <n v="65.690899200000018"/>
    <n v="0"/>
    <n v="0"/>
    <n v="39.048749999999998"/>
    <n v="0"/>
    <n v="0"/>
    <n v="0"/>
    <n v="104.73964920000002"/>
    <n v="144.26035079999997"/>
    <n v="0.57935883855421677"/>
    <x v="0"/>
    <s v="-"/>
    <x v="6"/>
    <x v="0"/>
    <n v="1"/>
    <n v="1"/>
    <d v="2017-10-24T00:00:00"/>
    <s v="SUZUKI"/>
    <s v="CELERIO"/>
    <n v="0"/>
    <d v="2017-10-24T00:00:00"/>
    <n v="0"/>
    <x v="486"/>
  </r>
  <r>
    <d v="2017-10-25T00:00:00"/>
    <s v="001-00010699"/>
    <n v="179.8475"/>
    <n v="0"/>
    <n v="0"/>
    <n v="0"/>
    <n v="0"/>
    <n v="0"/>
    <n v="61.977499999999999"/>
    <n v="0"/>
    <n v="61.977499999999999"/>
    <n v="117.87"/>
    <n v="0.6553885931136102"/>
    <x v="0"/>
    <s v="-"/>
    <x v="6"/>
    <x v="0"/>
    <n v="4"/>
    <n v="1"/>
    <d v="2017-10-21T00:00:00"/>
    <s v="TOYOTA"/>
    <s v="COROLLA"/>
    <n v="0"/>
    <d v="2017-10-23T00:00:00"/>
    <n v="0"/>
    <x v="487"/>
  </r>
  <r>
    <d v="2017-10-26T00:00:00"/>
    <s v="001-00010745"/>
    <n v="191.9066608328001"/>
    <n v="0"/>
    <n v="165.75"/>
    <n v="0"/>
    <n v="0"/>
    <n v="0"/>
    <n v="0"/>
    <n v="0"/>
    <n v="165.75"/>
    <n v="26.1566608328001"/>
    <n v="0.13629886904024274"/>
    <x v="0"/>
    <s v="-"/>
    <x v="6"/>
    <x v="0"/>
    <n v="0"/>
    <n v="1"/>
    <d v="2017-10-26T00:00:00"/>
    <s v="KIA"/>
    <s v="PICANTO"/>
    <n v="192.79"/>
    <d v="2017-10-26T00:00:00"/>
    <n v="0"/>
    <x v="488"/>
  </r>
  <r>
    <d v="2017-10-27T00:00:00"/>
    <s v="001-00010704"/>
    <n v="1035"/>
    <n v="0"/>
    <n v="0"/>
    <n v="38.135593220338983"/>
    <n v="0"/>
    <n v="131.625"/>
    <n v="185.9325"/>
    <n v="0"/>
    <n v="355.69309322033899"/>
    <n v="679.30690677966095"/>
    <n v="0.65633517563252264"/>
    <x v="0"/>
    <s v="LEVE"/>
    <x v="6"/>
    <x v="0"/>
    <n v="4"/>
    <n v="1"/>
    <d v="2017-10-23T00:00:00"/>
    <s v="KIA"/>
    <s v="CERATO"/>
    <n v="0"/>
    <d v="2017-10-23T00:00:00"/>
    <n v="9"/>
    <x v="489"/>
  </r>
  <r>
    <d v="2017-10-27T00:00:00"/>
    <s v="001-00010681"/>
    <n v="2445"/>
    <n v="1279.9608502999999"/>
    <n v="0"/>
    <n v="0"/>
    <n v="97.548749999999998"/>
    <n v="0"/>
    <n v="0"/>
    <n v="0"/>
    <n v="1377.5096002999999"/>
    <n v="1067.4903997000001"/>
    <n v="0.43660139047034768"/>
    <x v="0"/>
    <s v="-"/>
    <x v="6"/>
    <x v="0"/>
    <n v="9"/>
    <n v="1"/>
    <d v="2017-10-18T00:00:00"/>
    <s v="KIA"/>
    <s v="CERATO"/>
    <n v="1900.8275000000001"/>
    <d v="2017-10-19T00:00:00"/>
    <n v="0"/>
    <x v="489"/>
  </r>
  <r>
    <d v="2017-10-27T00:00:00"/>
    <s v="001-00010749"/>
    <n v="254.23729999999995"/>
    <n v="0"/>
    <n v="0"/>
    <n v="0"/>
    <n v="0"/>
    <n v="0"/>
    <n v="0"/>
    <n v="0"/>
    <n v="0"/>
    <n v="254.23729999999995"/>
    <n v="1"/>
    <x v="0"/>
    <s v="-"/>
    <x v="6"/>
    <x v="0"/>
    <n v="0"/>
    <n v="1"/>
    <d v="2017-10-27T00:00:00"/>
    <s v="MAZDA"/>
    <s v="MAZDA 3"/>
    <n v="254.99499999999998"/>
    <d v="2017-10-27T00:00:00"/>
    <n v="0"/>
    <x v="490"/>
  </r>
  <r>
    <d v="2017-10-27T00:00:00"/>
    <s v="001-00010525"/>
    <n v="2759.9058658940698"/>
    <n v="0"/>
    <n v="0"/>
    <n v="20.593220338983052"/>
    <n v="106.7625"/>
    <n v="263.25"/>
    <n v="294.393125"/>
    <n v="0"/>
    <n v="684.99884533898307"/>
    <n v="2074.907020555087"/>
    <n v="0.75180354743110855"/>
    <x v="1"/>
    <s v="MEDIANO"/>
    <x v="6"/>
    <x v="0"/>
    <n v="28"/>
    <n v="1"/>
    <d v="2017-09-29T00:00:00"/>
    <s v="NISSAN"/>
    <s v="VERSA"/>
    <n v="9406.1175000000003"/>
    <d v="2017-10-03T00:00:00"/>
    <n v="18"/>
    <x v="491"/>
  </r>
  <r>
    <d v="2017-10-27T00:00:00"/>
    <s v="001-00010719"/>
    <n v="599.21501850000004"/>
    <n v="0"/>
    <n v="0"/>
    <n v="0"/>
    <n v="0"/>
    <n v="73.125"/>
    <n v="123.955"/>
    <n v="0"/>
    <n v="197.07999999999998"/>
    <n v="402.13501850000006"/>
    <n v="0.67110303661389292"/>
    <x v="0"/>
    <s v="LEVE"/>
    <x v="6"/>
    <x v="0"/>
    <n v="3"/>
    <n v="1"/>
    <d v="2017-10-24T00:00:00"/>
    <s v="HYUNDAI"/>
    <s v="TUCSON"/>
    <n v="0"/>
    <d v="2017-10-24T00:00:00"/>
    <n v="5"/>
    <x v="492"/>
  </r>
  <r>
    <d v="2017-10-28T00:00:00"/>
    <s v="001-00010738"/>
    <n v="16.949200000000001"/>
    <n v="0"/>
    <n v="0"/>
    <n v="0"/>
    <n v="0"/>
    <n v="0"/>
    <n v="0"/>
    <n v="0"/>
    <n v="0"/>
    <n v="16.949200000000001"/>
    <n v="1"/>
    <x v="0"/>
    <s v="-"/>
    <x v="6"/>
    <x v="0"/>
    <n v="3"/>
    <n v="1"/>
    <d v="2017-10-25T00:00:00"/>
    <s v="KIA"/>
    <s v="RIO"/>
    <n v="16.997500000000002"/>
    <d v="2017-10-25T00:00:00"/>
    <n v="0"/>
    <x v="493"/>
  </r>
  <r>
    <d v="2017-10-28T00:00:00"/>
    <s v="001-00010753"/>
    <n v="349"/>
    <n v="81.596399000000019"/>
    <n v="0"/>
    <n v="0"/>
    <n v="39.048749999999998"/>
    <n v="0"/>
    <n v="0"/>
    <n v="0"/>
    <n v="120.64514900000002"/>
    <n v="228.354851"/>
    <n v="0.65431189398280798"/>
    <x v="0"/>
    <s v="-"/>
    <x v="6"/>
    <x v="0"/>
    <n v="0"/>
    <n v="1"/>
    <d v="2017-10-28T00:00:00"/>
    <s v="KIA"/>
    <s v="CERATO"/>
    <n v="0"/>
    <d v="2017-10-28T00:00:00"/>
    <n v="0"/>
    <x v="494"/>
  </r>
  <r>
    <d v="2017-10-28T00:00:00"/>
    <s v="001-00010694"/>
    <n v="100"/>
    <n v="18.640000100000002"/>
    <n v="0"/>
    <n v="0"/>
    <n v="0"/>
    <n v="0"/>
    <n v="0"/>
    <n v="0"/>
    <n v="18.640000100000002"/>
    <n v="81.359999899999991"/>
    <n v="0.81359999899999991"/>
    <x v="0"/>
    <s v="-"/>
    <x v="6"/>
    <x v="0"/>
    <n v="8"/>
    <n v="1"/>
    <d v="2017-10-20T00:00:00"/>
    <s v="GREAT W."/>
    <s v="VOLEEX"/>
    <n v="100.295"/>
    <d v="2017-10-20T00:00:00"/>
    <n v="0"/>
    <x v="495"/>
  </r>
  <r>
    <d v="2017-10-30T00:00:00"/>
    <s v="001-00010754"/>
    <n v="350"/>
    <n v="79.981200000000001"/>
    <n v="0"/>
    <n v="0"/>
    <n v="39.048749999999998"/>
    <n v="0"/>
    <n v="0"/>
    <n v="0"/>
    <n v="119.02995"/>
    <n v="230.97005000000001"/>
    <n v="0.65991442857142857"/>
    <x v="0"/>
    <s v="-"/>
    <x v="6"/>
    <x v="0"/>
    <n v="2"/>
    <n v="1"/>
    <d v="2017-10-28T00:00:00"/>
    <s v="CHEVROLET"/>
    <s v="CAPTIVA"/>
    <n v="0"/>
    <d v="2017-10-28T00:00:00"/>
    <n v="0"/>
    <x v="236"/>
  </r>
  <r>
    <d v="2017-10-30T00:00:00"/>
    <s v="001-00010642"/>
    <n v="25.423700000000004"/>
    <n v="0"/>
    <n v="0"/>
    <n v="0"/>
    <n v="0"/>
    <n v="0"/>
    <n v="0"/>
    <n v="0"/>
    <n v="0"/>
    <n v="25.423700000000004"/>
    <n v="1"/>
    <x v="0"/>
    <s v="-"/>
    <x v="6"/>
    <x v="0"/>
    <n v="14"/>
    <n v="1"/>
    <d v="2017-10-16T00:00:00"/>
    <s v="KIA"/>
    <s v="CERATO"/>
    <n v="25.48"/>
    <d v="2017-10-16T00:00:00"/>
    <n v="0"/>
    <x v="496"/>
  </r>
  <r>
    <d v="2017-10-30T00:00:00"/>
    <s v="001-00010765"/>
    <n v="224.5"/>
    <n v="88.127998200000008"/>
    <n v="0"/>
    <n v="0"/>
    <n v="39.048749999999998"/>
    <n v="0"/>
    <n v="0"/>
    <n v="0"/>
    <n v="127.17674820000001"/>
    <n v="97.323251799999994"/>
    <n v="0.43351114387527839"/>
    <x v="0"/>
    <s v="-"/>
    <x v="6"/>
    <x v="0"/>
    <n v="0"/>
    <n v="1"/>
    <d v="2017-10-30T00:00:00"/>
    <s v="SUZUKI"/>
    <s v="SX4"/>
    <n v="100.295"/>
    <d v="2017-10-30T00:00:00"/>
    <n v="0"/>
    <x v="350"/>
  </r>
  <r>
    <d v="2017-10-31T00:00:00"/>
    <s v="001-00010763"/>
    <n v="249"/>
    <n v="65.690899200000004"/>
    <n v="0"/>
    <n v="0"/>
    <n v="39.048749999999998"/>
    <n v="0"/>
    <n v="0"/>
    <n v="0"/>
    <n v="104.7396492"/>
    <n v="144.2603508"/>
    <n v="0.57935883855421688"/>
    <x v="0"/>
    <s v="-"/>
    <x v="6"/>
    <x v="0"/>
    <n v="1"/>
    <n v="1"/>
    <d v="2017-10-30T00:00:00"/>
    <s v="SUZUKI"/>
    <s v="SWIFT"/>
    <n v="0"/>
    <d v="2017-10-30T00:00:00"/>
    <n v="0"/>
    <x v="497"/>
  </r>
  <r>
    <d v="2017-10-31T00:00:00"/>
    <s v="001-00010665"/>
    <n v="1451.425"/>
    <n v="0"/>
    <n v="0"/>
    <n v="0"/>
    <n v="0"/>
    <n v="175.5"/>
    <n v="201.426875"/>
    <n v="0"/>
    <n v="376.926875"/>
    <n v="1074.4981250000001"/>
    <n v="0.74030564789775577"/>
    <x v="1"/>
    <s v="MEDIANO"/>
    <x v="6"/>
    <x v="0"/>
    <n v="13"/>
    <n v="1"/>
    <d v="2017-10-18T00:00:00"/>
    <s v="DFSK"/>
    <s v="GLORY"/>
    <n v="500.5"/>
    <d v="2017-10-20T00:00:00"/>
    <n v="12"/>
    <x v="498"/>
  </r>
  <r>
    <d v="2017-10-31T00:00:00"/>
    <s v="001-00010712"/>
    <n v="913.85289999999986"/>
    <n v="3.3896997900000003"/>
    <n v="0"/>
    <n v="0"/>
    <n v="0"/>
    <n v="87.75"/>
    <n v="133.25162500000002"/>
    <n v="0"/>
    <n v="224.39132479"/>
    <n v="689.46157520999986"/>
    <n v="0.75445575016504296"/>
    <x v="1"/>
    <s v="LEVE"/>
    <x v="6"/>
    <x v="0"/>
    <n v="8"/>
    <n v="1"/>
    <d v="2017-10-23T00:00:00"/>
    <s v="CHEVROLET"/>
    <s v="SAIL"/>
    <n v="229.8725"/>
    <d v="2017-10-24T00:00:00"/>
    <n v="6"/>
    <x v="499"/>
  </r>
  <r>
    <d v="2017-10-31T00:00:00"/>
    <s v="001-00010663"/>
    <n v="487.95000000000005"/>
    <n v="0"/>
    <n v="0"/>
    <n v="0"/>
    <n v="0"/>
    <n v="43.875"/>
    <n v="61.977499999999999"/>
    <n v="0"/>
    <n v="105.85249999999999"/>
    <n v="382.09750000000008"/>
    <n v="0.78306691259350347"/>
    <x v="1"/>
    <s v="LEVE"/>
    <x v="6"/>
    <x v="0"/>
    <n v="13"/>
    <n v="1"/>
    <d v="2017-10-18T00:00:00"/>
    <s v="VOLKSWAGUEN"/>
    <s v="CROSSFOX"/>
    <n v="1655.94"/>
    <d v="2017-10-20T00:00:00"/>
    <n v="3"/>
    <x v="500"/>
  </r>
  <r>
    <d v="2017-10-31T00:00:00"/>
    <s v="001-00010770"/>
    <n v="84.754203999999987"/>
    <n v="27.969999000000008"/>
    <n v="0"/>
    <n v="0"/>
    <n v="5.8500000000000005"/>
    <n v="0"/>
    <n v="0"/>
    <n v="0"/>
    <n v="33.81999900000001"/>
    <n v="50.934204999999977"/>
    <n v="0.60096375868269591"/>
    <x v="0"/>
    <s v="-"/>
    <x v="6"/>
    <x v="0"/>
    <n v="1"/>
    <n v="1"/>
    <d v="2017-10-30T00:00:00"/>
    <s v="MITSUBISHI"/>
    <s v="XUV500"/>
    <n v="64.935000000000002"/>
    <d v="2017-10-31T00:00:00"/>
    <n v="0"/>
    <x v="501"/>
  </r>
  <r>
    <d v="2017-10-31T00:00:00"/>
    <s v="001-00010767"/>
    <n v="338.98309000000006"/>
    <n v="110.17"/>
    <n v="0"/>
    <n v="0"/>
    <n v="14.625"/>
    <n v="0"/>
    <n v="0"/>
    <n v="0"/>
    <n v="124.795"/>
    <n v="214.18809000000005"/>
    <n v="0.63185479252077148"/>
    <x v="0"/>
    <s v="-"/>
    <x v="6"/>
    <x v="0"/>
    <n v="0"/>
    <n v="1"/>
    <d v="2017-10-31T00:00:00"/>
    <s v="KIA"/>
    <s v="CERATO"/>
    <n v="219.63499999999999"/>
    <d v="2017-10-31T00:00:00"/>
    <n v="0"/>
    <x v="502"/>
  </r>
  <r>
    <d v="2017-03-01T00:00:00"/>
    <s v="001-00008996"/>
    <n v="987.0575"/>
    <n v="0"/>
    <n v="0"/>
    <n v="0"/>
    <n v="0"/>
    <n v="0"/>
    <n v="0"/>
    <n v="0"/>
    <n v="0"/>
    <n v="987.0575"/>
    <n v="1"/>
    <x v="4"/>
    <s v="S/TIPO"/>
    <x v="7"/>
    <x v="0"/>
    <n v="9"/>
    <n v="1"/>
    <d v="2017-02-20T00:00:00"/>
    <s v="S/MARCA"/>
    <s v="S/MODELO"/>
    <n v="0"/>
    <s v="F/Fecha"/>
    <n v="0"/>
    <x v="1"/>
  </r>
  <r>
    <d v="2017-03-02T00:00:00"/>
    <s v="001-00009052"/>
    <n v="100"/>
    <n v="0"/>
    <n v="0"/>
    <n v="0"/>
    <n v="0"/>
    <n v="0"/>
    <n v="0"/>
    <n v="0"/>
    <n v="0"/>
    <n v="100"/>
    <n v="1"/>
    <x v="4"/>
    <s v="S/TIPO"/>
    <x v="7"/>
    <x v="0"/>
    <n v="2"/>
    <n v="1"/>
    <d v="2017-02-28T00:00:00"/>
    <s v="S/MARCA"/>
    <s v="S/MODELO"/>
    <n v="0"/>
    <s v="F/Fecha"/>
    <n v="0"/>
    <x v="503"/>
  </r>
  <r>
    <d v="2017-03-03T00:00:00"/>
    <s v="001-00008948"/>
    <n v="2261.8346459152499"/>
    <n v="0"/>
    <n v="0"/>
    <n v="0"/>
    <n v="0"/>
    <n v="43.875"/>
    <n v="30.98875"/>
    <n v="0"/>
    <n v="74.863749999999996"/>
    <n v="2186.9708959152499"/>
    <n v="0.96690131609081154"/>
    <x v="1"/>
    <s v="LEVE"/>
    <x v="7"/>
    <x v="0"/>
    <n v="22"/>
    <n v="1"/>
    <d v="2017-02-09T00:00:00"/>
    <s v="HYUNDAI"/>
    <s v="ELANTRA"/>
    <n v="41.08"/>
    <d v="2017-02-28T00:00:00"/>
    <n v="3"/>
    <x v="58"/>
  </r>
  <r>
    <d v="2017-03-03T00:00:00"/>
    <s v="001-00009033"/>
    <n v="761.20497675000001"/>
    <n v="0"/>
    <n v="0"/>
    <n v="0"/>
    <n v="0"/>
    <n v="0"/>
    <n v="0"/>
    <n v="0"/>
    <n v="0"/>
    <n v="761.20497675000001"/>
    <n v="1"/>
    <x v="4"/>
    <s v="S/TIPO"/>
    <x v="7"/>
    <x v="0"/>
    <n v="8"/>
    <n v="1"/>
    <d v="2017-02-23T00:00:00"/>
    <s v="S/MARCA"/>
    <s v="S/MODELO"/>
    <n v="0"/>
    <s v="F/Fecha"/>
    <n v="0"/>
    <x v="1"/>
  </r>
  <r>
    <d v="2017-03-04T00:00:00"/>
    <s v="001-00008988"/>
    <n v="2365.418885"/>
    <n v="0"/>
    <n v="0"/>
    <n v="0"/>
    <n v="0"/>
    <n v="0"/>
    <n v="0"/>
    <n v="0"/>
    <n v="0"/>
    <n v="2365.418885"/>
    <n v="1"/>
    <x v="4"/>
    <s v="S/TIPO"/>
    <x v="7"/>
    <x v="0"/>
    <n v="16"/>
    <n v="1"/>
    <d v="2017-02-16T00:00:00"/>
    <s v="S/MARCA"/>
    <s v="S/MODELO"/>
    <n v="0"/>
    <s v="F/Fecha"/>
    <n v="0"/>
    <x v="504"/>
  </r>
  <r>
    <d v="2017-03-04T00:00:00"/>
    <s v="001-00008990"/>
    <n v="1977.6387294399997"/>
    <n v="0"/>
    <n v="0"/>
    <n v="0"/>
    <n v="0"/>
    <n v="0"/>
    <n v="0"/>
    <n v="0"/>
    <n v="0"/>
    <n v="1977.6387294399997"/>
    <n v="1"/>
    <x v="4"/>
    <s v="S/TIPO"/>
    <x v="7"/>
    <x v="0"/>
    <n v="15"/>
    <n v="1"/>
    <d v="2017-02-17T00:00:00"/>
    <s v="S/MARCA"/>
    <s v="S/MODELO"/>
    <n v="0"/>
    <s v="F/Fecha"/>
    <n v="0"/>
    <x v="19"/>
  </r>
  <r>
    <d v="2017-03-04T00:00:00"/>
    <s v="001-00009029"/>
    <n v="891.06297700000005"/>
    <n v="0"/>
    <n v="0"/>
    <n v="0"/>
    <n v="0"/>
    <n v="0"/>
    <n v="0"/>
    <n v="0"/>
    <n v="0"/>
    <n v="891.06297700000005"/>
    <n v="1"/>
    <x v="4"/>
    <s v="S/TIPO"/>
    <x v="7"/>
    <x v="0"/>
    <n v="10"/>
    <n v="1"/>
    <d v="2017-02-22T00:00:00"/>
    <s v="S/MARCA"/>
    <s v="S/MODELO"/>
    <n v="0"/>
    <s v="F/Fecha"/>
    <n v="0"/>
    <x v="1"/>
  </r>
  <r>
    <d v="2017-03-04T00:00:00"/>
    <s v="001-00005329"/>
    <n v="893.55287003922103"/>
    <n v="0"/>
    <n v="0"/>
    <n v="0"/>
    <n v="0"/>
    <n v="0"/>
    <n v="0"/>
    <n v="0"/>
    <n v="0"/>
    <n v="893.55287003922103"/>
    <n v="1"/>
    <x v="4"/>
    <s v="S/TIPO"/>
    <x v="7"/>
    <x v="0"/>
    <n v="621"/>
    <n v="1"/>
    <d v="2015-06-22T00:00:00"/>
    <s v="S/MARCA"/>
    <s v="S/MODELO"/>
    <n v="0"/>
    <s v="F/Fecha"/>
    <n v="0"/>
    <x v="1"/>
  </r>
  <r>
    <d v="2017-03-04T00:00:00"/>
    <s v="001-00008995"/>
    <n v="2094.1287623200005"/>
    <n v="0"/>
    <n v="0"/>
    <n v="0"/>
    <n v="0"/>
    <n v="0"/>
    <n v="0"/>
    <n v="0"/>
    <n v="0"/>
    <n v="2094.1287623200005"/>
    <n v="1"/>
    <x v="4"/>
    <s v="S/TIPO"/>
    <x v="7"/>
    <x v="0"/>
    <n v="12"/>
    <n v="1"/>
    <d v="2017-02-20T00:00:00"/>
    <s v="S/MARCA"/>
    <s v="S/MODELO"/>
    <n v="0"/>
    <s v="F/Fecha"/>
    <n v="0"/>
    <x v="1"/>
  </r>
  <r>
    <d v="2017-03-04T00:00:00"/>
    <s v="001-00009016"/>
    <n v="1314.3999999999999"/>
    <n v="0"/>
    <n v="0"/>
    <n v="0"/>
    <n v="0"/>
    <n v="0"/>
    <n v="0"/>
    <n v="0"/>
    <n v="0"/>
    <n v="1314.3999999999999"/>
    <n v="1"/>
    <x v="4"/>
    <s v="S/TIPO"/>
    <x v="7"/>
    <x v="0"/>
    <n v="11"/>
    <n v="1"/>
    <d v="2017-02-21T00:00:00"/>
    <s v="S/MARCA"/>
    <s v="S/MODELO"/>
    <n v="0"/>
    <s v="F/Fecha"/>
    <n v="0"/>
    <x v="1"/>
  </r>
  <r>
    <d v="2017-03-04T00:00:00"/>
    <s v="001-00008945"/>
    <n v="2341.2750000000001"/>
    <n v="0"/>
    <n v="0"/>
    <n v="0"/>
    <n v="0"/>
    <n v="0"/>
    <n v="0"/>
    <n v="0"/>
    <n v="0"/>
    <n v="2341.2750000000001"/>
    <n v="1"/>
    <x v="4"/>
    <s v="S/TIPO"/>
    <x v="7"/>
    <x v="0"/>
    <n v="23"/>
    <n v="1"/>
    <d v="2017-02-09T00:00:00"/>
    <s v="S/MARCA"/>
    <s v="S/MODELO"/>
    <n v="0"/>
    <s v="F/Fecha"/>
    <n v="0"/>
    <x v="1"/>
  </r>
  <r>
    <d v="2017-03-04T00:00:00"/>
    <s v="001-00008994"/>
    <n v="1268.4515662600002"/>
    <n v="0"/>
    <n v="0"/>
    <n v="0"/>
    <n v="0"/>
    <n v="0"/>
    <n v="0"/>
    <n v="0"/>
    <n v="0"/>
    <n v="1268.4515662600002"/>
    <n v="1"/>
    <x v="4"/>
    <s v="S/TIPO"/>
    <x v="7"/>
    <x v="0"/>
    <n v="12"/>
    <n v="1"/>
    <d v="2017-02-20T00:00:00"/>
    <s v="S/MARCA"/>
    <s v="S/MODELO"/>
    <n v="0"/>
    <s v="F/Fecha"/>
    <n v="0"/>
    <x v="1"/>
  </r>
  <r>
    <d v="2017-03-06T00:00:00"/>
    <s v="001-00009011"/>
    <n v="150"/>
    <n v="0"/>
    <n v="0"/>
    <n v="0"/>
    <n v="0"/>
    <n v="0"/>
    <n v="0"/>
    <n v="0"/>
    <n v="0"/>
    <n v="150"/>
    <n v="1"/>
    <x v="4"/>
    <s v="S/TIPO"/>
    <x v="7"/>
    <x v="0"/>
    <n v="13"/>
    <n v="1"/>
    <d v="2017-02-21T00:00:00"/>
    <s v="S/MARCA"/>
    <s v="S/MODELO"/>
    <n v="0"/>
    <s v="F/Fecha"/>
    <n v="0"/>
    <x v="505"/>
  </r>
  <r>
    <d v="2017-03-06T00:00:00"/>
    <s v="001-00008888"/>
    <n v="141.298"/>
    <n v="0"/>
    <n v="0"/>
    <n v="0"/>
    <n v="0"/>
    <n v="0"/>
    <n v="0"/>
    <n v="0"/>
    <n v="0"/>
    <n v="141.298"/>
    <n v="1"/>
    <x v="4"/>
    <s v="S/TIPO"/>
    <x v="7"/>
    <x v="0"/>
    <n v="34"/>
    <n v="1"/>
    <d v="2017-01-31T00:00:00"/>
    <s v="S/MARCA"/>
    <s v="S/MODELO"/>
    <n v="0"/>
    <s v="F/Fecha"/>
    <n v="0"/>
    <x v="1"/>
  </r>
  <r>
    <d v="2017-03-06T00:00:00"/>
    <s v="001-00009002"/>
    <n v="1688.8646735999998"/>
    <n v="0"/>
    <n v="0"/>
    <n v="0"/>
    <n v="0"/>
    <n v="0"/>
    <n v="0"/>
    <n v="0"/>
    <n v="0"/>
    <n v="1688.8646735999998"/>
    <n v="1"/>
    <x v="4"/>
    <s v="S/TIPO"/>
    <x v="7"/>
    <x v="0"/>
    <n v="14"/>
    <n v="1"/>
    <d v="2017-02-20T00:00:00"/>
    <s v="S/MARCA"/>
    <s v="S/MODELO"/>
    <n v="0"/>
    <s v="F/Fecha"/>
    <n v="0"/>
    <x v="1"/>
  </r>
  <r>
    <d v="2017-03-06T00:00:00"/>
    <s v="001-00009079"/>
    <n v="230.01999999999998"/>
    <n v="0"/>
    <n v="0"/>
    <n v="0"/>
    <n v="0"/>
    <n v="7.3125"/>
    <n v="61.977499999999999"/>
    <n v="0"/>
    <n v="69.289999999999992"/>
    <n v="160.72999999999999"/>
    <n v="0.69876532475436914"/>
    <x v="0"/>
    <s v="LEVE"/>
    <x v="7"/>
    <x v="0"/>
    <n v="0"/>
    <n v="1"/>
    <d v="2017-03-06T00:00:00"/>
    <s v="GREAT WALL"/>
    <s v="WINGLE"/>
    <n v="0"/>
    <d v="2017-03-06T00:00:00"/>
    <n v="0.5"/>
    <x v="442"/>
  </r>
  <r>
    <d v="2017-03-07T00:00:00"/>
    <s v="001-00008985"/>
    <n v="2222.1000674999996"/>
    <n v="0"/>
    <n v="0"/>
    <n v="0"/>
    <n v="0"/>
    <n v="0"/>
    <n v="0"/>
    <n v="0"/>
    <n v="0"/>
    <n v="2222.1000674999996"/>
    <n v="1"/>
    <x v="4"/>
    <s v="S/TIPO"/>
    <x v="7"/>
    <x v="0"/>
    <n v="19"/>
    <n v="1"/>
    <d v="2017-02-16T00:00:00"/>
    <s v="S/MARCA"/>
    <s v="S/MODELO"/>
    <n v="0"/>
    <s v="F/Fecha"/>
    <n v="0"/>
    <x v="506"/>
  </r>
  <r>
    <d v="2017-03-07T00:00:00"/>
    <s v="001-00008942"/>
    <n v="1618.8548755754198"/>
    <n v="0"/>
    <n v="0"/>
    <n v="0"/>
    <n v="0"/>
    <n v="0"/>
    <n v="0"/>
    <n v="0"/>
    <n v="0"/>
    <n v="1618.8548755754198"/>
    <n v="1"/>
    <x v="4"/>
    <s v="S/TIPO"/>
    <x v="7"/>
    <x v="0"/>
    <n v="27"/>
    <n v="1"/>
    <d v="2017-02-08T00:00:00"/>
    <s v="S/MARCA"/>
    <s v="S/MODELO"/>
    <n v="0"/>
    <s v="F/Fecha"/>
    <n v="0"/>
    <x v="506"/>
  </r>
  <r>
    <d v="2017-03-07T00:00:00"/>
    <s v="001-00008986"/>
    <n v="493.80001500000003"/>
    <n v="0"/>
    <n v="0"/>
    <n v="0"/>
    <n v="0"/>
    <n v="0"/>
    <n v="0"/>
    <n v="0"/>
    <n v="0"/>
    <n v="493.80001500000003"/>
    <n v="1"/>
    <x v="4"/>
    <s v="S/TIPO"/>
    <x v="7"/>
    <x v="0"/>
    <n v="19"/>
    <n v="1"/>
    <d v="2017-02-16T00:00:00"/>
    <s v="S/MARCA"/>
    <s v="S/MODELO"/>
    <n v="0"/>
    <s v="F/Fecha"/>
    <n v="0"/>
    <x v="506"/>
  </r>
  <r>
    <d v="2017-03-07T00:00:00"/>
    <s v="001-00008953"/>
    <n v="1604.8500487500003"/>
    <n v="0"/>
    <n v="0"/>
    <n v="0"/>
    <n v="0"/>
    <n v="0"/>
    <n v="0"/>
    <n v="0"/>
    <n v="0"/>
    <n v="1604.8500487500003"/>
    <n v="1"/>
    <x v="4"/>
    <s v="S/TIPO"/>
    <x v="7"/>
    <x v="0"/>
    <n v="26"/>
    <n v="1"/>
    <d v="2017-02-09T00:00:00"/>
    <s v="S/MARCA"/>
    <s v="S/MODELO"/>
    <n v="0"/>
    <s v="F/Fecha"/>
    <n v="0"/>
    <x v="1"/>
  </r>
  <r>
    <d v="2017-03-07T00:00:00"/>
    <s v="001-00008910"/>
    <n v="2746.1200385000002"/>
    <n v="0"/>
    <n v="0"/>
    <n v="0"/>
    <n v="0"/>
    <n v="0"/>
    <n v="0"/>
    <n v="0"/>
    <n v="0"/>
    <n v="2746.1200385000002"/>
    <n v="1"/>
    <x v="4"/>
    <s v="S/TIPO"/>
    <x v="7"/>
    <x v="0"/>
    <n v="32"/>
    <n v="1"/>
    <d v="2017-02-03T00:00:00"/>
    <s v="S/MARCA"/>
    <s v="S/MODELO"/>
    <n v="0"/>
    <s v="F/Fecha"/>
    <n v="0"/>
    <x v="1"/>
  </r>
  <r>
    <d v="2017-03-07T00:00:00"/>
    <s v="001-00009043"/>
    <n v="144.03883077542"/>
    <n v="0"/>
    <n v="0"/>
    <n v="0"/>
    <n v="0"/>
    <n v="14.625"/>
    <n v="15.494375"/>
    <n v="0"/>
    <n v="30.119374999999998"/>
    <n v="113.91945577542"/>
    <n v="0.79089406073449042"/>
    <x v="1"/>
    <s v="LEVE"/>
    <x v="7"/>
    <x v="0"/>
    <n v="8"/>
    <n v="1"/>
    <d v="2017-02-27T00:00:00"/>
    <s v="HYUNDAI"/>
    <s v="ACCENT"/>
    <n v="331.11"/>
    <d v="2017-02-28T00:00:00"/>
    <n v="1"/>
    <x v="1"/>
  </r>
  <r>
    <d v="2017-03-07T00:00:00"/>
    <s v="001-00009020"/>
    <n v="413.70399998294977"/>
    <n v="0"/>
    <n v="0"/>
    <n v="0"/>
    <n v="0"/>
    <n v="0"/>
    <n v="0"/>
    <n v="0"/>
    <n v="0"/>
    <n v="413.70399998294977"/>
    <n v="1"/>
    <x v="4"/>
    <s v="S/TIPO"/>
    <x v="7"/>
    <x v="0"/>
    <n v="13"/>
    <n v="1"/>
    <d v="2017-02-22T00:00:00"/>
    <s v="S/MARCA"/>
    <s v="S/MODELO"/>
    <n v="0"/>
    <s v="F/Fecha"/>
    <n v="0"/>
    <x v="1"/>
  </r>
  <r>
    <d v="2017-03-07T00:00:00"/>
    <s v="001-00009070"/>
    <n v="609.04767130083997"/>
    <n v="0"/>
    <n v="0"/>
    <n v="0"/>
    <n v="0"/>
    <n v="29.25"/>
    <n v="123.955"/>
    <n v="0"/>
    <n v="153.20499999999998"/>
    <n v="455.84267130083998"/>
    <n v="0.7484515462102076"/>
    <x v="0"/>
    <s v="LEVE"/>
    <x v="7"/>
    <x v="0"/>
    <n v="4"/>
    <n v="1"/>
    <d v="2017-03-03T00:00:00"/>
    <s v="SUBARU"/>
    <s v="FORESTER"/>
    <n v="0"/>
    <d v="2017-03-03T00:00:00"/>
    <n v="2"/>
    <x v="507"/>
  </r>
  <r>
    <d v="2017-03-07T00:00:00"/>
    <s v="001-00009013"/>
    <n v="979.37002974999996"/>
    <n v="0"/>
    <n v="0"/>
    <n v="0"/>
    <n v="0"/>
    <n v="0"/>
    <n v="0"/>
    <n v="0"/>
    <n v="0"/>
    <n v="979.37002974999996"/>
    <n v="1"/>
    <x v="4"/>
    <s v="S/TIPO"/>
    <x v="7"/>
    <x v="0"/>
    <n v="14"/>
    <n v="1"/>
    <d v="2017-02-21T00:00:00"/>
    <s v="S/MARCA"/>
    <s v="S/MODELO"/>
    <n v="0"/>
    <s v="F/Fecha"/>
    <n v="0"/>
    <x v="1"/>
  </r>
  <r>
    <d v="2017-03-08T00:00:00"/>
    <s v="001-00009086"/>
    <n v="250"/>
    <n v="0"/>
    <n v="0"/>
    <n v="0"/>
    <n v="39.048749999999998"/>
    <n v="0"/>
    <n v="0"/>
    <n v="0"/>
    <n v="39.048749999999998"/>
    <n v="210.95125000000002"/>
    <n v="0.84380500000000003"/>
    <x v="0"/>
    <s v="-"/>
    <x v="7"/>
    <x v="0"/>
    <n v="1"/>
    <n v="1"/>
    <d v="2017-03-07T00:00:00"/>
    <s v="CHEVROLET"/>
    <s v="AVEO"/>
    <n v="247.26"/>
    <d v="2017-03-07T00:00:00"/>
    <n v="0"/>
    <x v="129"/>
  </r>
  <r>
    <d v="2017-03-08T00:00:00"/>
    <s v="001-00009091"/>
    <n v="450"/>
    <n v="0"/>
    <n v="0"/>
    <n v="0"/>
    <n v="39.048749999999998"/>
    <n v="0"/>
    <n v="0"/>
    <n v="0"/>
    <n v="39.048749999999998"/>
    <n v="410.95125000000002"/>
    <n v="0.91322500000000006"/>
    <x v="0"/>
    <s v="-"/>
    <x v="7"/>
    <x v="0"/>
    <n v="0"/>
    <n v="1"/>
    <d v="2017-03-08T00:00:00"/>
    <s v="SUZUKI"/>
    <s v="GRAND NOMADE"/>
    <n v="443.98250000000007"/>
    <d v="2017-03-08T00:00:00"/>
    <n v="0"/>
    <x v="44"/>
  </r>
  <r>
    <d v="2017-03-08T00:00:00"/>
    <s v="001-00009035"/>
    <n v="2083.4549367499999"/>
    <n v="0"/>
    <n v="0"/>
    <n v="0"/>
    <n v="29.25"/>
    <n v="117"/>
    <n v="340.87625000000003"/>
    <n v="0"/>
    <n v="487.12625000000003"/>
    <n v="1596.3286867499999"/>
    <n v="0.76619304722766279"/>
    <x v="1"/>
    <s v="MEDIANO"/>
    <x v="7"/>
    <x v="0"/>
    <n v="13"/>
    <n v="1"/>
    <d v="2017-02-23T00:00:00"/>
    <s v="NISSAN"/>
    <s v="TIIDA"/>
    <n v="9244.1374999999989"/>
    <d v="2017-02-28T00:00:00"/>
    <n v="8"/>
    <x v="1"/>
  </r>
  <r>
    <d v="2017-03-09T00:00:00"/>
    <s v="001-00009096"/>
    <n v="150"/>
    <n v="0"/>
    <n v="0"/>
    <n v="0"/>
    <n v="0"/>
    <n v="0"/>
    <n v="61.977499999999999"/>
    <n v="0"/>
    <n v="61.977499999999999"/>
    <n v="88.022500000000008"/>
    <n v="0.58681666666666676"/>
    <x v="0"/>
    <s v="LEVE"/>
    <x v="7"/>
    <x v="0"/>
    <n v="1"/>
    <n v="1"/>
    <d v="2017-03-08T00:00:00"/>
    <s v="TOYOTA"/>
    <s v="COROLLA"/>
    <n v="0"/>
    <d v="2017-03-08T00:00:00"/>
    <n v="0"/>
    <x v="133"/>
  </r>
  <r>
    <d v="2017-03-09T00:00:00"/>
    <s v="001-00009026"/>
    <n v="1291.8619623813599"/>
    <n v="0"/>
    <n v="0"/>
    <n v="0"/>
    <n v="0"/>
    <n v="173.59875"/>
    <n v="210.72349999999997"/>
    <n v="0"/>
    <n v="384.32224999999994"/>
    <n v="907.53971238136"/>
    <n v="0.70250517377912602"/>
    <x v="1"/>
    <s v="MEDIANO"/>
    <x v="7"/>
    <x v="0"/>
    <n v="15"/>
    <n v="1"/>
    <d v="2017-02-22T00:00:00"/>
    <s v="TOYOTA"/>
    <s v="COROLLA"/>
    <n v="280.70249999999999"/>
    <d v="2017-02-23T00:00:00"/>
    <n v="11.87"/>
    <x v="133"/>
  </r>
  <r>
    <d v="2017-03-09T00:00:00"/>
    <s v="001-00008315"/>
    <n v="3722.2198870000002"/>
    <n v="0"/>
    <n v="0"/>
    <n v="0"/>
    <n v="0"/>
    <n v="0"/>
    <n v="0"/>
    <n v="0"/>
    <n v="0"/>
    <n v="3722.2198870000002"/>
    <n v="1"/>
    <x v="4"/>
    <s v="S/TIPO"/>
    <x v="7"/>
    <x v="0"/>
    <n v="136"/>
    <n v="1"/>
    <d v="2016-10-24T00:00:00"/>
    <s v="S/MARCA"/>
    <s v="S/MODELO"/>
    <n v="0"/>
    <s v="F/Fecha"/>
    <n v="0"/>
    <x v="1"/>
  </r>
  <r>
    <d v="2017-03-09T00:00:00"/>
    <s v="001-00008879"/>
    <n v="3804.5698845000006"/>
    <n v="0"/>
    <n v="0"/>
    <n v="0"/>
    <n v="0"/>
    <n v="0"/>
    <n v="0"/>
    <n v="0"/>
    <n v="0"/>
    <n v="3804.5698845000006"/>
    <n v="1"/>
    <x v="4"/>
    <s v="S/TIPO"/>
    <x v="7"/>
    <x v="0"/>
    <n v="38"/>
    <n v="1"/>
    <d v="2017-01-30T00:00:00"/>
    <s v="S/MARCA"/>
    <s v="S/MODELO"/>
    <n v="0"/>
    <s v="F/Fecha"/>
    <n v="0"/>
    <x v="1"/>
  </r>
  <r>
    <d v="2017-03-09T00:00:00"/>
    <s v="001-00009077"/>
    <n v="890"/>
    <n v="0"/>
    <n v="0"/>
    <n v="0"/>
    <n v="39.048749999999998"/>
    <n v="0"/>
    <n v="0"/>
    <n v="0"/>
    <n v="39.048749999999998"/>
    <n v="850.95124999999996"/>
    <n v="0.956125"/>
    <x v="0"/>
    <s v="-"/>
    <x v="7"/>
    <x v="0"/>
    <n v="3"/>
    <n v="1"/>
    <d v="2017-03-06T00:00:00"/>
    <s v="KIA"/>
    <s v="CERATO"/>
    <n v="257.14"/>
    <d v="2017-03-06T00:00:00"/>
    <n v="0"/>
    <x v="508"/>
  </r>
  <r>
    <d v="2017-03-09T00:00:00"/>
    <s v="001-00009040"/>
    <n v="2721.6812851145787"/>
    <n v="0"/>
    <n v="0"/>
    <n v="0"/>
    <n v="39.048749999999998"/>
    <n v="263.25"/>
    <n v="418.34812499999998"/>
    <n v="0"/>
    <n v="720.64687499999991"/>
    <n v="2001.0344101145788"/>
    <n v="0.73521996166804604"/>
    <x v="1"/>
    <s v="MEDIANO"/>
    <x v="7"/>
    <x v="0"/>
    <n v="13"/>
    <n v="1"/>
    <d v="2017-02-24T00:00:00"/>
    <s v="NISSAN"/>
    <s v="SENTRA"/>
    <n v="3361.28"/>
    <d v="2017-02-24T00:00:00"/>
    <n v="18"/>
    <x v="1"/>
  </r>
  <r>
    <d v="2017-03-10T00:00:00"/>
    <s v="001-00009099"/>
    <n v="100"/>
    <n v="0"/>
    <n v="0"/>
    <n v="0"/>
    <n v="0"/>
    <n v="0"/>
    <n v="0"/>
    <n v="0"/>
    <n v="0"/>
    <n v="100"/>
    <n v="1"/>
    <x v="4"/>
    <s v="S/TIPO"/>
    <x v="7"/>
    <x v="0"/>
    <n v="1"/>
    <n v="1"/>
    <d v="2017-03-09T00:00:00"/>
    <s v="S/MARCA"/>
    <s v="S/MODELO"/>
    <n v="0"/>
    <s v="F/Fecha"/>
    <n v="0"/>
    <x v="509"/>
  </r>
  <r>
    <d v="2017-03-11T00:00:00"/>
    <s v="001-00009088"/>
    <n v="1639.7160124152499"/>
    <n v="0"/>
    <n v="0"/>
    <n v="0"/>
    <n v="0"/>
    <n v="219.375"/>
    <n v="247.91"/>
    <n v="0"/>
    <n v="467.28499999999997"/>
    <n v="1172.4310124152498"/>
    <n v="0.71502077404751085"/>
    <x v="0"/>
    <s v="MEDIANO"/>
    <x v="7"/>
    <x v="0"/>
    <n v="4"/>
    <n v="1"/>
    <d v="2017-03-07T00:00:00"/>
    <s v="HYUNDAI"/>
    <s v="ELANTRA"/>
    <n v="0"/>
    <d v="2017-03-07T00:00:00"/>
    <n v="15"/>
    <x v="510"/>
  </r>
  <r>
    <d v="2017-03-11T00:00:00"/>
    <s v="001-00009100"/>
    <n v="1689.9914999999999"/>
    <n v="0"/>
    <n v="0"/>
    <n v="0"/>
    <n v="39.048749999999998"/>
    <n v="0"/>
    <n v="0"/>
    <n v="0"/>
    <n v="39.048749999999998"/>
    <n v="1650.9427499999999"/>
    <n v="0.97689411455619757"/>
    <x v="0"/>
    <s v="-"/>
    <x v="7"/>
    <x v="0"/>
    <n v="2"/>
    <n v="1"/>
    <d v="2017-03-09T00:00:00"/>
    <s v="HYUNDAI"/>
    <s v="H100"/>
    <n v="532.77250000000004"/>
    <d v="2017-03-09T00:00:00"/>
    <n v="0"/>
    <x v="59"/>
  </r>
  <r>
    <d v="2017-03-11T00:00:00"/>
    <s v="001-00009059"/>
    <n v="1929.9375587499999"/>
    <n v="0"/>
    <n v="0"/>
    <n v="0"/>
    <n v="29.25"/>
    <n v="146.25"/>
    <n v="154.94374999999999"/>
    <n v="0"/>
    <n v="330.44375000000002"/>
    <n v="1599.49380875"/>
    <n v="0.8287800822872089"/>
    <x v="1"/>
    <s v="MEDIANO"/>
    <x v="7"/>
    <x v="0"/>
    <n v="10"/>
    <n v="1"/>
    <d v="2017-03-01T00:00:00"/>
    <s v="KIA"/>
    <s v="RIO"/>
    <n v="3332.0625"/>
    <d v="2017-03-02T00:00:00"/>
    <n v="10"/>
    <x v="1"/>
  </r>
  <r>
    <d v="2017-03-11T00:00:00"/>
    <s v="001-00009065"/>
    <n v="739.12502249999989"/>
    <n v="0"/>
    <n v="0"/>
    <n v="0"/>
    <n v="29.25"/>
    <n v="73.125"/>
    <n v="61.977499999999999"/>
    <n v="0"/>
    <n v="164.35249999999999"/>
    <n v="574.77252249999992"/>
    <n v="0.7776391070564791"/>
    <x v="1"/>
    <s v="LEVE"/>
    <x v="7"/>
    <x v="0"/>
    <n v="9"/>
    <n v="1"/>
    <d v="2017-03-02T00:00:00"/>
    <s v="HYUNDAI"/>
    <s v="ACCENT"/>
    <n v="1507.87"/>
    <d v="2017-03-04T00:00:00"/>
    <n v="5"/>
    <x v="1"/>
  </r>
  <r>
    <d v="2017-03-11T00:00:00"/>
    <s v="001-00009015"/>
    <n v="3473.8876057499992"/>
    <n v="0"/>
    <n v="0"/>
    <n v="0"/>
    <n v="0"/>
    <n v="0"/>
    <n v="0"/>
    <n v="0"/>
    <n v="0"/>
    <n v="3473.8876057499992"/>
    <n v="1"/>
    <x v="4"/>
    <s v="S/TIPO"/>
    <x v="7"/>
    <x v="0"/>
    <n v="18"/>
    <n v="1"/>
    <d v="2017-02-21T00:00:00"/>
    <s v="S/MARCA"/>
    <s v="S/MODELO"/>
    <n v="0"/>
    <s v="F/Fecha"/>
    <n v="0"/>
    <x v="1"/>
  </r>
  <r>
    <d v="2017-03-13T00:00:00"/>
    <s v="001-00008969"/>
    <n v="4549.725138499999"/>
    <n v="0"/>
    <n v="0"/>
    <n v="0"/>
    <n v="0"/>
    <n v="0"/>
    <n v="0"/>
    <n v="0"/>
    <n v="0"/>
    <n v="4549.725138499999"/>
    <n v="1"/>
    <x v="4"/>
    <s v="S/TIPO"/>
    <x v="7"/>
    <x v="0"/>
    <n v="28"/>
    <n v="1"/>
    <d v="2017-02-13T00:00:00"/>
    <s v="S/MARCA"/>
    <s v="S/MODELO"/>
    <n v="0"/>
    <s v="F/Fecha"/>
    <n v="0"/>
    <x v="1"/>
  </r>
  <r>
    <d v="2017-03-13T00:00:00"/>
    <s v="001-00009058"/>
    <n v="1264.7250384999998"/>
    <n v="0"/>
    <n v="0"/>
    <n v="0"/>
    <n v="0"/>
    <n v="87.75"/>
    <n v="185.9325"/>
    <n v="0"/>
    <n v="273.6825"/>
    <n v="991.04253849999975"/>
    <n v="0.78360316142345432"/>
    <x v="1"/>
    <s v="LEVE"/>
    <x v="7"/>
    <x v="0"/>
    <n v="12"/>
    <n v="1"/>
    <d v="2017-03-01T00:00:00"/>
    <s v="MAZDA"/>
    <s v="CX-5"/>
    <n v="1181.7"/>
    <d v="2017-02-28T00:00:00"/>
    <n v="6"/>
    <x v="1"/>
  </r>
  <r>
    <d v="2017-03-14T00:00:00"/>
    <s v="001-00009038"/>
    <n v="2441.3400742499998"/>
    <n v="0"/>
    <n v="0"/>
    <n v="0"/>
    <n v="39.048749999999998"/>
    <n v="234"/>
    <n v="340.87625000000003"/>
    <n v="0"/>
    <n v="613.92499999999995"/>
    <n v="1827.4150742499999"/>
    <n v="0.74852950374453553"/>
    <x v="1"/>
    <s v="MEDIANO"/>
    <x v="7"/>
    <x v="0"/>
    <n v="18"/>
    <n v="1"/>
    <d v="2017-02-24T00:00:00"/>
    <s v="HYUNDAI"/>
    <s v="ELANTRA"/>
    <n v="1017.575"/>
    <d v="2017-03-02T00:00:00"/>
    <n v="16"/>
    <x v="1"/>
  </r>
  <r>
    <d v="2017-03-14T00:00:00"/>
    <s v="001-00009024"/>
    <n v="1833.3108972776288"/>
    <n v="0"/>
    <n v="0"/>
    <n v="0"/>
    <n v="0"/>
    <n v="0"/>
    <n v="0"/>
    <n v="0"/>
    <n v="0"/>
    <n v="1833.3108972776288"/>
    <n v="1"/>
    <x v="4"/>
    <s v="S/TIPO"/>
    <x v="7"/>
    <x v="0"/>
    <n v="20"/>
    <n v="1"/>
    <d v="2017-02-22T00:00:00"/>
    <s v="S/MARCA"/>
    <s v="S/MODELO"/>
    <n v="0"/>
    <s v="F/Fecha"/>
    <n v="0"/>
    <x v="1"/>
  </r>
  <r>
    <d v="2017-03-15T00:00:00"/>
    <s v="001-00009072"/>
    <n v="2241.3263508999999"/>
    <n v="0"/>
    <n v="0"/>
    <n v="0"/>
    <n v="29.25"/>
    <n v="117"/>
    <n v="418.34812499999998"/>
    <n v="0"/>
    <n v="564.59812499999998"/>
    <n v="1676.7282258999999"/>
    <n v="0.74809642300716861"/>
    <x v="1"/>
    <s v="MEDIANO"/>
    <x v="7"/>
    <x v="0"/>
    <n v="12"/>
    <n v="1"/>
    <d v="2017-03-03T00:00:00"/>
    <s v="HYUNDAI"/>
    <s v="ACCENT"/>
    <n v="4353.57"/>
    <d v="2017-03-07T00:00:00"/>
    <n v="8"/>
    <x v="511"/>
  </r>
  <r>
    <d v="2017-03-15T00:00:00"/>
    <s v="001-00009069"/>
    <n v="4935"/>
    <n v="0"/>
    <n v="0"/>
    <n v="0"/>
    <n v="0"/>
    <n v="182.8125"/>
    <n v="1239.55"/>
    <n v="0"/>
    <n v="1422.3625"/>
    <n v="3512.6374999999998"/>
    <n v="0.71178064842958455"/>
    <x v="0"/>
    <s v="MEDIANO"/>
    <x v="7"/>
    <x v="0"/>
    <n v="13"/>
    <n v="1"/>
    <d v="2017-03-02T00:00:00"/>
    <s v="SUZUKI"/>
    <s v="GRAND NOMADE"/>
    <n v="0"/>
    <d v="2017-03-02T00:00:00"/>
    <n v="12.5"/>
    <x v="512"/>
  </r>
  <r>
    <d v="2017-03-15T00:00:00"/>
    <s v="001-00009050"/>
    <n v="1801.2750000000001"/>
    <n v="0"/>
    <n v="0"/>
    <n v="0"/>
    <n v="39.048749999999998"/>
    <n v="175.5"/>
    <n v="216.92125000000001"/>
    <n v="0"/>
    <n v="431.47"/>
    <n v="1369.8050000000001"/>
    <n v="0.76046411569582661"/>
    <x v="1"/>
    <s v="LEVE"/>
    <x v="7"/>
    <x v="0"/>
    <n v="16"/>
    <n v="1"/>
    <d v="2017-02-27T00:00:00"/>
    <s v="HYUNDAI"/>
    <s v="ACCENT"/>
    <n v="2482.0574999999999"/>
    <d v="2017-02-28T00:00:00"/>
    <n v="12"/>
    <x v="513"/>
  </r>
  <r>
    <d v="2017-03-15T00:00:00"/>
    <s v="001-00009076"/>
    <n v="1085.7"/>
    <n v="0"/>
    <n v="0"/>
    <n v="0"/>
    <n v="0"/>
    <n v="102.375"/>
    <n v="185.9325"/>
    <n v="0"/>
    <n v="288.3075"/>
    <n v="797.39250000000004"/>
    <n v="0.73445012434374135"/>
    <x v="1"/>
    <s v="MEDIANO"/>
    <x v="7"/>
    <x v="0"/>
    <n v="9"/>
    <n v="1"/>
    <d v="2017-03-06T00:00:00"/>
    <s v="KIA"/>
    <s v="CERATO"/>
    <n v="1650.0900000000001"/>
    <d v="2017-03-07T00:00:00"/>
    <n v="7"/>
    <x v="1"/>
  </r>
  <r>
    <d v="2017-03-15T00:00:00"/>
    <s v="001-00009023"/>
    <n v="3298.2249999999999"/>
    <n v="0"/>
    <n v="0"/>
    <n v="0"/>
    <n v="0"/>
    <n v="0"/>
    <n v="0"/>
    <n v="0"/>
    <n v="0"/>
    <n v="3298.2249999999999"/>
    <n v="1"/>
    <x v="4"/>
    <s v="S/TIPO"/>
    <x v="7"/>
    <x v="0"/>
    <n v="21"/>
    <n v="1"/>
    <d v="2017-02-22T00:00:00"/>
    <s v="S/MARCA"/>
    <s v="S/MODELO"/>
    <n v="0"/>
    <s v="F/Fecha"/>
    <n v="0"/>
    <x v="1"/>
  </r>
  <r>
    <d v="2017-03-15T00:00:00"/>
    <s v="001-00009098"/>
    <n v="1225.5250000000001"/>
    <n v="0"/>
    <n v="0"/>
    <n v="0"/>
    <n v="0"/>
    <n v="131.625"/>
    <n v="216.92125000000001"/>
    <n v="0"/>
    <n v="348.54624999999999"/>
    <n v="876.9787500000001"/>
    <n v="0.71559433712082576"/>
    <x v="1"/>
    <s v="MEDIANO"/>
    <x v="7"/>
    <x v="0"/>
    <n v="6"/>
    <n v="1"/>
    <d v="2017-03-09T00:00:00"/>
    <s v="NISSAN"/>
    <s v="URBAN"/>
    <n v="0"/>
    <d v="2017-03-09T00:00:00"/>
    <n v="9"/>
    <x v="1"/>
  </r>
  <r>
    <d v="2017-03-15T00:00:00"/>
    <s v="001-00009056"/>
    <n v="1895.8763179999999"/>
    <n v="0"/>
    <n v="0"/>
    <n v="0"/>
    <n v="29.25"/>
    <n v="175.5"/>
    <n v="232.41562500000001"/>
    <n v="0"/>
    <n v="437.16562499999998"/>
    <n v="1458.710693"/>
    <n v="0.76941237102366722"/>
    <x v="1"/>
    <s v="MEDIANO"/>
    <x v="7"/>
    <x v="0"/>
    <n v="14"/>
    <n v="1"/>
    <d v="2017-03-01T00:00:00"/>
    <s v="KIA"/>
    <s v="RIO"/>
    <n v="1576.51"/>
    <d v="2017-03-02T00:00:00"/>
    <n v="12"/>
    <x v="1"/>
  </r>
  <r>
    <d v="2017-03-16T00:00:00"/>
    <s v="001-00009084"/>
    <n v="997.04503049999994"/>
    <n v="0"/>
    <n v="0"/>
    <n v="0"/>
    <n v="0"/>
    <n v="58.5"/>
    <n v="123.955"/>
    <n v="0"/>
    <n v="182.45499999999998"/>
    <n v="814.59003050000001"/>
    <n v="0.81700425314942693"/>
    <x v="1"/>
    <s v="LEVE"/>
    <x v="7"/>
    <x v="0"/>
    <n v="10"/>
    <n v="1"/>
    <d v="2017-03-06T00:00:00"/>
    <s v="RENAULT"/>
    <s v="STEPWAY"/>
    <n v="2642.77"/>
    <d v="2017-03-07T00:00:00"/>
    <n v="4"/>
    <x v="1"/>
  </r>
  <r>
    <d v="2017-03-17T00:00:00"/>
    <s v="001-00009114"/>
    <n v="739.60247724999999"/>
    <n v="0"/>
    <n v="0"/>
    <n v="0"/>
    <n v="0"/>
    <n v="36.5625"/>
    <n v="154.94374999999999"/>
    <n v="0"/>
    <n v="191.50624999999999"/>
    <n v="548.09622724999997"/>
    <n v="0.74106867419906275"/>
    <x v="1"/>
    <s v="LEVE"/>
    <x v="7"/>
    <x v="0"/>
    <n v="7"/>
    <n v="1"/>
    <d v="2017-03-10T00:00:00"/>
    <s v="KIA"/>
    <s v="RIO"/>
    <n v="498.84250000000003"/>
    <d v="2017-03-13T00:00:00"/>
    <n v="2.5"/>
    <x v="514"/>
  </r>
  <r>
    <d v="2017-03-17T00:00:00"/>
    <s v="001-00009082"/>
    <n v="2629.259855834579"/>
    <n v="0"/>
    <n v="0"/>
    <n v="0"/>
    <n v="0"/>
    <n v="234"/>
    <n v="387.359375"/>
    <n v="0"/>
    <n v="621.359375"/>
    <n v="2007.900480834579"/>
    <n v="0.76367517511776395"/>
    <x v="1"/>
    <s v="LEVE"/>
    <x v="7"/>
    <x v="0"/>
    <n v="11"/>
    <n v="1"/>
    <d v="2017-03-06T00:00:00"/>
    <s v="KIA"/>
    <s v="RIO"/>
    <n v="5453.4674999999997"/>
    <d v="2017-03-07T00:00:00"/>
    <n v="16"/>
    <x v="96"/>
  </r>
  <r>
    <d v="2017-03-17T00:00:00"/>
    <s v="001-00009064"/>
    <n v="1324.7824592500001"/>
    <n v="0"/>
    <n v="0"/>
    <n v="0"/>
    <n v="39.048749999999998"/>
    <n v="87.75"/>
    <n v="154.94374999999999"/>
    <n v="0"/>
    <n v="281.74250000000001"/>
    <n v="1043.03995925"/>
    <n v="0.78732923429594381"/>
    <x v="1"/>
    <s v="LEVE"/>
    <x v="7"/>
    <x v="0"/>
    <n v="15"/>
    <n v="1"/>
    <d v="2017-03-02T00:00:00"/>
    <s v="SUZUKI"/>
    <s v="SWIFT"/>
    <n v="1311.7"/>
    <d v="2017-03-06T00:00:00"/>
    <n v="6"/>
    <x v="1"/>
  </r>
  <r>
    <d v="2017-03-17T00:00:00"/>
    <s v="001-00009049"/>
    <n v="1788.0499449999998"/>
    <n v="0"/>
    <n v="0"/>
    <n v="0"/>
    <n v="39.048749999999998"/>
    <n v="58.5"/>
    <n v="309.88749999999999"/>
    <n v="0"/>
    <n v="407.43624999999997"/>
    <n v="1380.6136949999998"/>
    <n v="0.7721337420471216"/>
    <x v="1"/>
    <s v="LEVE"/>
    <x v="7"/>
    <x v="0"/>
    <n v="18"/>
    <n v="1"/>
    <d v="2017-02-27T00:00:00"/>
    <s v="CHEVROLET"/>
    <s v="SPARK GT"/>
    <n v="1558.31"/>
    <d v="2017-03-02T00:00:00"/>
    <n v="4"/>
    <x v="1"/>
  </r>
  <r>
    <d v="2017-03-17T00:00:00"/>
    <s v="001-00009054"/>
    <n v="1235.379962"/>
    <n v="0"/>
    <n v="0"/>
    <n v="0"/>
    <n v="0"/>
    <n v="146.25"/>
    <n v="185.9325"/>
    <n v="0"/>
    <n v="332.1825"/>
    <n v="903.19746199999997"/>
    <n v="0.73110904319492276"/>
    <x v="1"/>
    <s v="MEDIANO"/>
    <x v="7"/>
    <x v="0"/>
    <n v="17"/>
    <n v="1"/>
    <d v="2017-02-28T00:00:00"/>
    <s v="HYUNDAI"/>
    <s v="ELANTRA"/>
    <n v="3645.0374999999999"/>
    <d v="2017-03-02T00:00:00"/>
    <n v="10"/>
    <x v="1"/>
  </r>
  <r>
    <d v="2017-03-18T00:00:00"/>
    <s v="001-00009156"/>
    <n v="97.529997000000009"/>
    <n v="0"/>
    <n v="0"/>
    <n v="0"/>
    <n v="0"/>
    <n v="29.25"/>
    <n v="0"/>
    <n v="0"/>
    <n v="29.25"/>
    <n v="68.279997000000009"/>
    <n v="0.70009227007358565"/>
    <x v="0"/>
    <s v="LEVE"/>
    <x v="7"/>
    <x v="0"/>
    <n v="0"/>
    <n v="1"/>
    <d v="2017-03-18T00:00:00"/>
    <s v="CHANGAN"/>
    <s v="CS-35"/>
    <n v="0"/>
    <d v="2017-03-18T00:00:00"/>
    <n v="2"/>
    <x v="515"/>
  </r>
  <r>
    <d v="2017-03-18T00:00:00"/>
    <s v="001-00009039"/>
    <n v="2096.8949355"/>
    <n v="0"/>
    <n v="0"/>
    <n v="0"/>
    <n v="14.625"/>
    <n v="175.5"/>
    <n v="371.86500000000001"/>
    <n v="0"/>
    <n v="561.99"/>
    <n v="1534.9049355"/>
    <n v="0.7319894332874648"/>
    <x v="1"/>
    <s v="LEVE"/>
    <x v="7"/>
    <x v="0"/>
    <n v="22"/>
    <n v="1"/>
    <d v="2017-02-24T00:00:00"/>
    <s v="CHEVROLET"/>
    <s v="OPTRA"/>
    <n v="1685.7099999999998"/>
    <d v="2017-02-28T00:00:00"/>
    <n v="12"/>
    <x v="1"/>
  </r>
  <r>
    <d v="2017-03-18T00:00:00"/>
    <s v="001-00009112"/>
    <n v="2096.8949355"/>
    <n v="0"/>
    <n v="0"/>
    <n v="0"/>
    <n v="0"/>
    <n v="277.875"/>
    <n v="309.88749999999999"/>
    <n v="0"/>
    <n v="587.76250000000005"/>
    <n v="1509.1324354999999"/>
    <n v="0.71969864104810322"/>
    <x v="1"/>
    <s v="MEDIANO"/>
    <x v="7"/>
    <x v="0"/>
    <n v="8"/>
    <n v="1"/>
    <d v="2017-03-10T00:00:00"/>
    <s v="NISSAN"/>
    <s v="VERSA"/>
    <n v="989.85249999999996"/>
    <d v="2017-03-11T00:00:00"/>
    <n v="19"/>
    <x v="1"/>
  </r>
  <r>
    <d v="2017-03-18T00:00:00"/>
    <s v="001-00009053"/>
    <n v="1206.9473670745801"/>
    <n v="0"/>
    <n v="0"/>
    <n v="0"/>
    <n v="0"/>
    <n v="160.875"/>
    <n v="154.94374999999999"/>
    <n v="0"/>
    <n v="315.81875000000002"/>
    <n v="891.12861707458012"/>
    <n v="0.73833262442463676"/>
    <x v="1"/>
    <s v="MEDIANO"/>
    <x v="7"/>
    <x v="0"/>
    <n v="18"/>
    <n v="1"/>
    <d v="2017-02-28T00:00:00"/>
    <s v="HYUNDAI"/>
    <s v="ACCENT"/>
    <n v="192.4975"/>
    <d v="2017-03-02T00:00:00"/>
    <n v="11"/>
    <x v="1"/>
  </r>
  <r>
    <d v="2017-03-18T00:00:00"/>
    <s v="001-00009028"/>
    <n v="3185.979902"/>
    <n v="0"/>
    <n v="0"/>
    <n v="0"/>
    <n v="0"/>
    <n v="292.5"/>
    <n v="464.83125000000001"/>
    <n v="0"/>
    <n v="757.33124999999995"/>
    <n v="2428.6486519999999"/>
    <n v="0.76229252120373225"/>
    <x v="1"/>
    <s v="MEDIANO"/>
    <x v="7"/>
    <x v="0"/>
    <n v="24"/>
    <n v="1"/>
    <d v="2017-02-22T00:00:00"/>
    <s v="VOLKSWAGEN"/>
    <s v="CROSSFOX"/>
    <n v="2547.87"/>
    <d v="2017-02-28T00:00:00"/>
    <n v="20"/>
    <x v="1"/>
  </r>
  <r>
    <d v="2017-03-20T00:00:00"/>
    <s v="001-00009093"/>
    <n v="1649.8824492499998"/>
    <n v="0"/>
    <n v="0"/>
    <n v="0"/>
    <n v="0"/>
    <n v="190.125"/>
    <n v="278.89875000000001"/>
    <n v="0"/>
    <n v="469.02375000000001"/>
    <n v="1180.8586992499997"/>
    <n v="0.71572292910127755"/>
    <x v="1"/>
    <s v="MEDIANO"/>
    <x v="7"/>
    <x v="0"/>
    <n v="12"/>
    <n v="1"/>
    <d v="2017-03-08T00:00:00"/>
    <s v="TOYOTA"/>
    <s v="HILUX"/>
    <n v="0"/>
    <d v="2017-03-11T00:00:00"/>
    <n v="13"/>
    <x v="48"/>
  </r>
  <r>
    <d v="2017-03-20T00:00:00"/>
    <s v="001-00009094"/>
    <n v="2202.55243225"/>
    <n v="0"/>
    <n v="0"/>
    <n v="0"/>
    <n v="39.048749999999998"/>
    <n v="146.25"/>
    <n v="247.91"/>
    <n v="0"/>
    <n v="433.20875000000001"/>
    <n v="1769.34368225"/>
    <n v="0.80331512491738555"/>
    <x v="1"/>
    <s v="MEDIANO"/>
    <x v="7"/>
    <x v="0"/>
    <n v="12"/>
    <n v="1"/>
    <d v="2017-03-08T00:00:00"/>
    <s v="HYUNDAI"/>
    <s v="ACCENT"/>
    <n v="4743.7"/>
    <d v="2017-03-09T00:00:00"/>
    <n v="10"/>
    <x v="1"/>
  </r>
  <r>
    <d v="2017-03-20T00:00:00"/>
    <s v="001-00009044"/>
    <n v="2336.6698648345791"/>
    <n v="0"/>
    <n v="0"/>
    <n v="0"/>
    <n v="29.25"/>
    <n v="175.5"/>
    <n v="449.33687499999996"/>
    <n v="0"/>
    <n v="654.08687499999996"/>
    <n v="1682.5829898345792"/>
    <n v="0.72007732677876379"/>
    <x v="1"/>
    <s v="MEDIANO"/>
    <x v="7"/>
    <x v="0"/>
    <n v="21"/>
    <n v="1"/>
    <d v="2017-02-27T00:00:00"/>
    <s v="CHEVROLET"/>
    <s v="SAIL"/>
    <n v="4848.6424999999999"/>
    <d v="2017-02-02T00:00:00"/>
    <n v="12"/>
    <x v="1"/>
  </r>
  <r>
    <d v="2017-03-21T00:00:00"/>
    <s v="001-00009151"/>
    <n v="1539.8998417390394"/>
    <n v="0"/>
    <n v="0"/>
    <n v="0"/>
    <n v="39.048749999999998"/>
    <n v="0"/>
    <n v="0"/>
    <n v="0"/>
    <n v="39.048749999999998"/>
    <n v="1500.8510917390395"/>
    <n v="0.97464201960310526"/>
    <x v="0"/>
    <s v="-"/>
    <x v="7"/>
    <x v="0"/>
    <n v="5"/>
    <n v="1"/>
    <d v="2017-03-16T00:00:00"/>
    <s v="JEEP"/>
    <s v="COMPASS"/>
    <n v="853.80749999999989"/>
    <d v="2017-03-21T00:00:00"/>
    <n v="0"/>
    <x v="26"/>
  </r>
  <r>
    <d v="2017-03-21T00:00:00"/>
    <s v="001-00009125"/>
    <n v="650.19997999999998"/>
    <n v="0"/>
    <n v="0"/>
    <n v="0"/>
    <n v="0"/>
    <n v="87.75"/>
    <n v="123.955"/>
    <n v="0"/>
    <n v="211.70499999999998"/>
    <n v="438.49498"/>
    <n v="0.67440017454322287"/>
    <x v="0"/>
    <s v="MEDIANO"/>
    <x v="7"/>
    <x v="0"/>
    <n v="8"/>
    <n v="1"/>
    <d v="2017-03-13T00:00:00"/>
    <s v="HYUNDAI"/>
    <s v="SANTA FE"/>
    <n v="0"/>
    <d v="2017-03-16T00:00:00"/>
    <n v="6"/>
    <x v="516"/>
  </r>
  <r>
    <d v="2017-03-21T00:00:00"/>
    <s v="001-00009124"/>
    <n v="877.76997300000005"/>
    <n v="0"/>
    <n v="0"/>
    <n v="0"/>
    <n v="0"/>
    <n v="58.5"/>
    <n v="123.955"/>
    <n v="0"/>
    <n v="182.45499999999998"/>
    <n v="695.31497300000001"/>
    <n v="0.79213802520902588"/>
    <x v="0"/>
    <s v="LEVE"/>
    <x v="7"/>
    <x v="0"/>
    <n v="8"/>
    <n v="1"/>
    <d v="2017-03-13T00:00:00"/>
    <s v="HYUNDAI"/>
    <s v="SANTA FE"/>
    <n v="0"/>
    <d v="2017-03-13T00:00:00"/>
    <n v="4"/>
    <x v="516"/>
  </r>
  <r>
    <d v="2017-03-21T00:00:00"/>
    <s v="001-00009133"/>
    <n v="881.26873160237915"/>
    <n v="0"/>
    <n v="0"/>
    <n v="0"/>
    <n v="0"/>
    <n v="73.125"/>
    <n v="154.94374999999999"/>
    <n v="0"/>
    <n v="228.06874999999999"/>
    <n v="653.19998160237913"/>
    <n v="0.74120408245358838"/>
    <x v="1"/>
    <s v="LEVE"/>
    <x v="7"/>
    <x v="0"/>
    <n v="7"/>
    <n v="1"/>
    <d v="2017-03-14T00:00:00"/>
    <s v="FIAT"/>
    <s v="PALIO"/>
    <n v="933.2700000000001"/>
    <d v="2017-03-15T00:00:00"/>
    <n v="5"/>
    <x v="517"/>
  </r>
  <r>
    <d v="2017-03-21T00:00:00"/>
    <s v="001-00009134"/>
    <n v="716.15659107119018"/>
    <n v="0"/>
    <n v="0"/>
    <n v="0"/>
    <n v="0"/>
    <n v="58.5"/>
    <n v="121.47590000000001"/>
    <n v="0"/>
    <n v="179.97590000000002"/>
    <n v="536.18069107119015"/>
    <n v="0.74869197289547895"/>
    <x v="1"/>
    <s v="LEVE"/>
    <x v="7"/>
    <x v="0"/>
    <n v="7"/>
    <n v="1"/>
    <d v="2017-03-14T00:00:00"/>
    <s v="HYUNDAI"/>
    <s v="TUCSON"/>
    <n v="165.7825"/>
    <d v="2017-03-15T00:00:00"/>
    <n v="4"/>
    <x v="518"/>
  </r>
  <r>
    <d v="2017-03-21T00:00:00"/>
    <s v="001-00009062"/>
    <n v="2040.0024372500002"/>
    <n v="0"/>
    <n v="0"/>
    <n v="0"/>
    <n v="29.25"/>
    <n v="146.25"/>
    <n v="278.89875000000001"/>
    <n v="0"/>
    <n v="454.39875000000001"/>
    <n v="1585.6036872500001"/>
    <n v="0.77725578082517066"/>
    <x v="2"/>
    <s v="MEDIANO"/>
    <x v="7"/>
    <x v="0"/>
    <n v="20"/>
    <n v="1"/>
    <d v="2017-03-01T00:00:00"/>
    <s v="DFSK"/>
    <s v="C37 MINIBUS"/>
    <n v="5044"/>
    <d v="2017-03-10T00:00:00"/>
    <n v="10"/>
    <x v="2"/>
  </r>
  <r>
    <d v="2017-03-22T00:00:00"/>
    <s v="001-00009090"/>
    <n v="1948.1999999999998"/>
    <n v="0"/>
    <n v="0"/>
    <n v="0"/>
    <n v="0"/>
    <n v="175.5"/>
    <n v="371.86500000000001"/>
    <n v="0"/>
    <n v="547.36500000000001"/>
    <n v="1400.8349999999998"/>
    <n v="0.71904065291037877"/>
    <x v="1"/>
    <s v="MEDIANO"/>
    <x v="7"/>
    <x v="0"/>
    <n v="14"/>
    <n v="1"/>
    <d v="2017-03-08T00:00:00"/>
    <s v="CHEVROLET"/>
    <s v="SAIL"/>
    <n v="2221.7975000000001"/>
    <d v="2017-03-09T00:00:00"/>
    <n v="12"/>
    <x v="519"/>
  </r>
  <r>
    <d v="2017-03-22T00:00:00"/>
    <s v="001-00009128"/>
    <n v="803.79744759999994"/>
    <n v="0"/>
    <n v="0"/>
    <n v="0"/>
    <n v="0"/>
    <n v="43.875"/>
    <n v="154.94374999999999"/>
    <n v="0"/>
    <n v="198.81874999999999"/>
    <n v="604.97869759999992"/>
    <n v="0.75265068258970169"/>
    <x v="1"/>
    <s v="LEVE"/>
    <x v="7"/>
    <x v="0"/>
    <n v="9"/>
    <n v="1"/>
    <d v="2017-03-13T00:00:00"/>
    <s v="CHEVROLET"/>
    <s v="AVEO"/>
    <n v="219.11500000000001"/>
    <d v="2017-03-14T00:00:00"/>
    <n v="3"/>
    <x v="1"/>
  </r>
  <r>
    <d v="2017-03-22T00:00:00"/>
    <s v="001-00009144"/>
    <n v="742.76488739999979"/>
    <n v="0"/>
    <n v="0"/>
    <n v="0"/>
    <n v="0"/>
    <n v="58.5"/>
    <n v="139.449375"/>
    <n v="0"/>
    <n v="197.949375"/>
    <n v="544.81551239999976"/>
    <n v="0.73349659043131543"/>
    <x v="1"/>
    <s v="LEVE"/>
    <x v="7"/>
    <x v="0"/>
    <n v="7"/>
    <n v="1"/>
    <d v="2017-03-15T00:00:00"/>
    <s v="NISSAN"/>
    <s v="SENTRA"/>
    <n v="153.23749999999998"/>
    <d v="2017-03-16T00:00:00"/>
    <n v="4"/>
    <x v="1"/>
  </r>
  <r>
    <d v="2017-03-22T00:00:00"/>
    <s v="001-00009115"/>
    <n v="1867.0250000000001"/>
    <n v="0"/>
    <n v="0"/>
    <n v="0"/>
    <n v="29.25"/>
    <n v="117"/>
    <n v="185.9325"/>
    <n v="0"/>
    <n v="332.1825"/>
    <n v="1534.8425000000002"/>
    <n v="0.82207924371660801"/>
    <x v="1"/>
    <s v="MEDIANO"/>
    <x v="7"/>
    <x v="0"/>
    <n v="12"/>
    <n v="1"/>
    <d v="2017-03-10T00:00:00"/>
    <s v="CHEVROLET"/>
    <s v="CRUZE"/>
    <n v="1795.3325"/>
    <d v="2017-03-13T00:00:00"/>
    <n v="8"/>
    <x v="1"/>
  </r>
  <r>
    <d v="2017-03-22T00:00:00"/>
    <s v="001-00009103"/>
    <n v="4038.46991987"/>
    <n v="0"/>
    <n v="0"/>
    <n v="0"/>
    <n v="14.625"/>
    <n v="468"/>
    <n v="573.291875"/>
    <n v="0"/>
    <n v="1055.9168749999999"/>
    <n v="2982.5530448700001"/>
    <n v="0.73853541169027936"/>
    <x v="1"/>
    <s v="GRAVE"/>
    <x v="7"/>
    <x v="0"/>
    <n v="13"/>
    <n v="1"/>
    <d v="2017-03-09T00:00:00"/>
    <s v="SUZUKI"/>
    <s v="CELERIO"/>
    <n v="3011.8724999999999"/>
    <d v="2017-03-13T00:00:00"/>
    <n v="32"/>
    <x v="1"/>
  </r>
  <r>
    <d v="2017-03-23T00:00:00"/>
    <s v="001-00009047"/>
    <n v="1414.6200435000003"/>
    <n v="0"/>
    <n v="0"/>
    <n v="0"/>
    <n v="29.25"/>
    <n v="146.25"/>
    <n v="185.9325"/>
    <n v="0"/>
    <n v="361.4325"/>
    <n v="1053.1875435000002"/>
    <n v="0.74450206494617643"/>
    <x v="1"/>
    <s v="MEDIANO"/>
    <x v="7"/>
    <x v="0"/>
    <n v="24"/>
    <n v="1"/>
    <d v="2017-02-27T00:00:00"/>
    <s v="TOYOTA"/>
    <s v="HILUX"/>
    <n v="1999.4"/>
    <d v="2017-02-28T00:00:00"/>
    <n v="10"/>
    <x v="520"/>
  </r>
  <r>
    <d v="2017-03-23T00:00:00"/>
    <s v="001-00009017"/>
    <n v="3447.1201060000003"/>
    <n v="0"/>
    <n v="0"/>
    <n v="0"/>
    <n v="39.048749999999998"/>
    <n v="321.75"/>
    <n v="495.82"/>
    <n v="0"/>
    <n v="856.61874999999998"/>
    <n v="2590.5013560000002"/>
    <n v="0.75149727202455652"/>
    <x v="1"/>
    <s v="MEDIANO"/>
    <x v="7"/>
    <x v="0"/>
    <n v="30"/>
    <n v="1"/>
    <d v="2017-02-21T00:00:00"/>
    <s v="HYUNDAI"/>
    <s v="ACCENT"/>
    <n v="22892.544999999998"/>
    <d v="2017-03-02T00:00:00"/>
    <n v="22"/>
    <x v="521"/>
  </r>
  <r>
    <d v="2017-03-23T00:00:00"/>
    <s v="001-00009195"/>
    <n v="137.79666853328976"/>
    <n v="0"/>
    <n v="0"/>
    <n v="0"/>
    <n v="39.048749999999998"/>
    <n v="0"/>
    <n v="0"/>
    <n v="0"/>
    <n v="39.048749999999998"/>
    <n v="98.747918533289763"/>
    <n v="0.71662050747934913"/>
    <x v="0"/>
    <s v="-"/>
    <x v="7"/>
    <x v="0"/>
    <n v="0"/>
    <n v="1"/>
    <d v="2017-03-23T00:00:00"/>
    <s v="HYUNDAI"/>
    <s v="ACCENT"/>
    <n v="0"/>
    <d v="2017-03-23T00:00:00"/>
    <n v="0"/>
    <x v="110"/>
  </r>
  <r>
    <d v="2017-03-23T00:00:00"/>
    <s v="001-00009140"/>
    <n v="1069.1086912754199"/>
    <n v="0"/>
    <n v="0"/>
    <n v="0"/>
    <n v="0"/>
    <n v="102.375"/>
    <n v="201.426875"/>
    <n v="0"/>
    <n v="303.801875"/>
    <n v="765.30681627541992"/>
    <n v="0.71583630600030768"/>
    <x v="1"/>
    <s v="MEDIANO"/>
    <x v="7"/>
    <x v="0"/>
    <n v="8"/>
    <n v="1"/>
    <d v="2017-03-15T00:00:00"/>
    <s v="TOYOTA"/>
    <s v="YARIS"/>
    <n v="1967.2249999999999"/>
    <d v="2017-03-16T00:00:00"/>
    <n v="7"/>
    <x v="1"/>
  </r>
  <r>
    <d v="2017-03-23T00:00:00"/>
    <s v="001-00009080"/>
    <n v="211.38000650000001"/>
    <n v="0"/>
    <n v="0"/>
    <n v="0"/>
    <n v="0"/>
    <n v="14.625"/>
    <n v="15.494375"/>
    <n v="0"/>
    <n v="30.119374999999998"/>
    <n v="181.26063150000002"/>
    <n v="0.8575107669892138"/>
    <x v="1"/>
    <s v="LEVE"/>
    <x v="7"/>
    <x v="0"/>
    <n v="17"/>
    <n v="1"/>
    <d v="2017-03-06T00:00:00"/>
    <s v="SUZUKI"/>
    <s v="SWIFT"/>
    <n v="572.13"/>
    <d v="2017-03-17T00:00:00"/>
    <n v="1"/>
    <x v="1"/>
  </r>
  <r>
    <d v="2017-03-23T00:00:00"/>
    <s v="001-00009113"/>
    <n v="2540.6387365254195"/>
    <n v="0"/>
    <n v="0"/>
    <n v="0"/>
    <n v="21.645"/>
    <n v="336.375"/>
    <n v="325.38187500000004"/>
    <n v="0"/>
    <n v="683.40187500000002"/>
    <n v="1857.2368615254195"/>
    <n v="0.73101178645547171"/>
    <x v="1"/>
    <s v="MEDIANO"/>
    <x v="7"/>
    <x v="0"/>
    <n v="13"/>
    <n v="1"/>
    <d v="2017-03-10T00:00:00"/>
    <s v="CHEVROLET"/>
    <s v="SAIL"/>
    <n v="1345.5974999999999"/>
    <d v="2017-03-13T00:00:00"/>
    <n v="23"/>
    <x v="1"/>
  </r>
  <r>
    <d v="2017-03-24T00:00:00"/>
    <s v="001-00009101"/>
    <n v="1027.0051758321999"/>
    <n v="0"/>
    <n v="0"/>
    <n v="0"/>
    <n v="0"/>
    <n v="117"/>
    <n v="123.955"/>
    <n v="0"/>
    <n v="240.95499999999998"/>
    <n v="786.05017583220001"/>
    <n v="0.76538092925894952"/>
    <x v="2"/>
    <s v="MEDIANO"/>
    <x v="7"/>
    <x v="0"/>
    <n v="15"/>
    <n v="1"/>
    <d v="2017-03-09T00:00:00"/>
    <s v="KIA"/>
    <s v="RIO"/>
    <n v="531.76499999999999"/>
    <d v="2017-03-10T00:00:00"/>
    <n v="8"/>
    <x v="2"/>
  </r>
  <r>
    <d v="2017-03-24T00:00:00"/>
    <s v="001-00009129"/>
    <n v="2077.4400639999994"/>
    <n v="0"/>
    <n v="0"/>
    <n v="0"/>
    <n v="0"/>
    <n v="175.5"/>
    <n v="433.84250000000003"/>
    <n v="0"/>
    <n v="609.34249999999997"/>
    <n v="1468.0975639999995"/>
    <n v="0.70668588203370664"/>
    <x v="1"/>
    <s v="MEDIANO"/>
    <x v="7"/>
    <x v="0"/>
    <n v="11"/>
    <n v="1"/>
    <d v="2017-03-13T00:00:00"/>
    <s v="NISSAN"/>
    <s v="SENTRA"/>
    <n v="1813.9875"/>
    <d v="2017-03-14T00:00:00"/>
    <n v="12"/>
    <x v="1"/>
  </r>
  <r>
    <d v="2017-03-24T00:00:00"/>
    <s v="001-00009139"/>
    <n v="1095.5250337500001"/>
    <n v="0"/>
    <n v="0"/>
    <n v="0"/>
    <n v="0"/>
    <n v="102.375"/>
    <n v="216.92125000000001"/>
    <n v="0"/>
    <n v="319.29624999999999"/>
    <n v="776.22878375000016"/>
    <n v="0.70854499882394861"/>
    <x v="1"/>
    <s v="MEDIANO"/>
    <x v="7"/>
    <x v="0"/>
    <n v="9"/>
    <n v="1"/>
    <d v="2017-03-15T00:00:00"/>
    <s v="TOYOTA"/>
    <s v="YARIS"/>
    <n v="1545.6675"/>
    <d v="2017-03-16T00:00:00"/>
    <n v="7"/>
    <x v="1"/>
  </r>
  <r>
    <d v="2017-03-24T00:00:00"/>
    <s v="001-00009122"/>
    <n v="1946.719712312879"/>
    <n v="0"/>
    <n v="0"/>
    <n v="0"/>
    <n v="39.048749999999998"/>
    <n v="175.5"/>
    <n v="278.89875000000001"/>
    <n v="0"/>
    <n v="493.44749999999999"/>
    <n v="1453.272212312879"/>
    <n v="0.74652360230444281"/>
    <x v="1"/>
    <s v="MEDIANO"/>
    <x v="7"/>
    <x v="0"/>
    <n v="11"/>
    <n v="1"/>
    <d v="2017-03-13T00:00:00"/>
    <s v="KIA"/>
    <s v="CERATO"/>
    <n v="4616.17"/>
    <d v="2017-03-15T00:00:00"/>
    <n v="12"/>
    <x v="1"/>
  </r>
  <r>
    <d v="2017-03-25T00:00:00"/>
    <s v="001-00009200"/>
    <n v="320"/>
    <n v="0"/>
    <n v="0"/>
    <n v="0"/>
    <n v="39.048749999999998"/>
    <n v="0"/>
    <n v="0"/>
    <n v="0"/>
    <n v="39.048749999999998"/>
    <n v="280.95125000000002"/>
    <n v="0.87797265625000009"/>
    <x v="0"/>
    <s v="-"/>
    <x v="7"/>
    <x v="0"/>
    <n v="1"/>
    <n v="1"/>
    <d v="2017-03-24T00:00:00"/>
    <s v="RENAULT"/>
    <s v="DUSTER"/>
    <n v="320.38499999999999"/>
    <d v="2017-03-25T00:00:00"/>
    <n v="0"/>
    <x v="522"/>
  </r>
  <r>
    <d v="2017-03-25T00:00:00"/>
    <s v="001-00009141"/>
    <n v="2019.3900000000006"/>
    <n v="0"/>
    <n v="0"/>
    <n v="0"/>
    <n v="29.25"/>
    <n v="131.625"/>
    <n v="340.87625000000003"/>
    <n v="0"/>
    <n v="501.75125000000003"/>
    <n v="1517.6387500000005"/>
    <n v="0.75153326004387466"/>
    <x v="1"/>
    <s v="MEDIANO"/>
    <x v="7"/>
    <x v="0"/>
    <n v="10"/>
    <n v="1"/>
    <d v="2017-03-15T00:00:00"/>
    <s v="MAZDA"/>
    <s v="MAZDA 2"/>
    <n v="1042.145"/>
    <d v="2017-03-16T00:00:00"/>
    <n v="9"/>
    <x v="111"/>
  </r>
  <r>
    <d v="2017-03-25T00:00:00"/>
    <s v="001-00009189"/>
    <n v="551"/>
    <n v="0"/>
    <n v="0"/>
    <n v="0"/>
    <n v="0"/>
    <n v="0"/>
    <n v="0"/>
    <n v="0"/>
    <n v="0"/>
    <n v="551"/>
    <n v="1"/>
    <x v="4"/>
    <s v="S/TIPO"/>
    <x v="7"/>
    <x v="0"/>
    <n v="2"/>
    <n v="1"/>
    <d v="2017-03-23T00:00:00"/>
    <s v="S/MARCA"/>
    <s v="S/MODELO"/>
    <n v="0"/>
    <s v="F/Fecha"/>
    <n v="0"/>
    <x v="17"/>
  </r>
  <r>
    <d v="2017-03-25T00:00:00"/>
    <s v="001-00009202"/>
    <n v="964"/>
    <n v="0"/>
    <n v="0"/>
    <n v="0"/>
    <n v="39.048749999999998"/>
    <n v="51.1875"/>
    <n v="247.91"/>
    <n v="0"/>
    <n v="338.14625000000001"/>
    <n v="625.85374999999999"/>
    <n v="0.64922588174273854"/>
    <x v="0"/>
    <s v="LEVE"/>
    <x v="7"/>
    <x v="0"/>
    <n v="1"/>
    <n v="1"/>
    <d v="2017-03-24T00:00:00"/>
    <s v="TOYOTA"/>
    <s v="YARIS"/>
    <n v="109.94749999999999"/>
    <d v="2017-03-23T00:00:00"/>
    <n v="3.5"/>
    <x v="17"/>
  </r>
  <r>
    <d v="2017-03-25T00:00:00"/>
    <s v="001-00009025"/>
    <n v="3451.8690317761011"/>
    <n v="0"/>
    <n v="0"/>
    <n v="0"/>
    <n v="39.048749999999998"/>
    <n v="292.5"/>
    <n v="511.31437500000004"/>
    <n v="0"/>
    <n v="842.86312500000008"/>
    <n v="2609.0059067761013"/>
    <n v="0.75582412969871027"/>
    <x v="1"/>
    <s v="MEDIANO"/>
    <x v="7"/>
    <x v="0"/>
    <n v="31"/>
    <n v="1"/>
    <d v="2017-02-22T00:00:00"/>
    <s v="CHEVROLET"/>
    <s v="SAIL"/>
    <n v="5076.6624999999995"/>
    <d v="2017-03-02T00:00:00"/>
    <n v="20"/>
    <x v="1"/>
  </r>
  <r>
    <d v="2017-03-25T00:00:00"/>
    <s v="001-00009121"/>
    <n v="3179.1200000000008"/>
    <n v="0"/>
    <n v="0"/>
    <n v="0"/>
    <n v="39.048749999999998"/>
    <n v="321.75"/>
    <n v="495.82"/>
    <n v="0"/>
    <n v="856.61874999999998"/>
    <n v="2322.5012500000007"/>
    <n v="0.73054846938775519"/>
    <x v="1"/>
    <s v="MEDIANO"/>
    <x v="7"/>
    <x v="0"/>
    <n v="12"/>
    <n v="1"/>
    <d v="2017-03-13T00:00:00"/>
    <s v="NISSAN"/>
    <s v="VERSA"/>
    <n v="5206.6625000000004"/>
    <d v="2017-03-14T00:00:00"/>
    <n v="22"/>
    <x v="1"/>
  </r>
  <r>
    <d v="2017-03-25T00:00:00"/>
    <s v="001-00009138"/>
    <n v="1411.14"/>
    <n v="0"/>
    <n v="0"/>
    <n v="0"/>
    <n v="0"/>
    <n v="117"/>
    <n v="185.9325"/>
    <n v="0"/>
    <n v="302.9325"/>
    <n v="1108.2075"/>
    <n v="0.7853278200603766"/>
    <x v="1"/>
    <s v="MEDIANO"/>
    <x v="7"/>
    <x v="0"/>
    <n v="10"/>
    <n v="1"/>
    <d v="2017-03-15T00:00:00"/>
    <s v="SUZUKI"/>
    <s v="S CROSS"/>
    <n v="5743.8549999999996"/>
    <d v="2017-03-16T00:00:00"/>
    <n v="8"/>
    <x v="1"/>
  </r>
  <r>
    <d v="2017-03-25T00:00:00"/>
    <s v="001-00009148"/>
    <n v="1453.834284"/>
    <n v="0"/>
    <n v="0"/>
    <n v="0"/>
    <n v="29.25"/>
    <n v="117"/>
    <n v="179.73474999999999"/>
    <n v="0"/>
    <n v="325.98474999999996"/>
    <n v="1127.8495339999999"/>
    <n v="0.77577585451960629"/>
    <x v="1"/>
    <s v="MEDIANO"/>
    <x v="7"/>
    <x v="0"/>
    <n v="9"/>
    <n v="1"/>
    <d v="2017-03-16T00:00:00"/>
    <s v="KIA"/>
    <s v="CERATO"/>
    <n v="5702.3850000000002"/>
    <d v="2017-03-17T00:00:00"/>
    <n v="8"/>
    <x v="1"/>
  </r>
  <r>
    <d v="2017-03-27T00:00:00"/>
    <s v="001-00009153"/>
    <n v="1045.1726816"/>
    <n v="0"/>
    <n v="0"/>
    <n v="0"/>
    <n v="0"/>
    <n v="73.125"/>
    <n v="201.426875"/>
    <n v="0"/>
    <n v="274.551875"/>
    <n v="770.62080660000004"/>
    <n v="0.73731434065067325"/>
    <x v="1"/>
    <s v="LEVE"/>
    <x v="7"/>
    <x v="0"/>
    <n v="10"/>
    <n v="1"/>
    <d v="2017-03-17T00:00:00"/>
    <s v="HYUNDAI"/>
    <s v="TUCSON"/>
    <n v="758.48500000000001"/>
    <d v="2017-03-20T00:00:00"/>
    <n v="5"/>
    <x v="1"/>
  </r>
  <r>
    <d v="2017-03-28T00:00:00"/>
    <s v="001-00009165"/>
    <n v="1900.0799415000004"/>
    <n v="0"/>
    <n v="0"/>
    <n v="0"/>
    <n v="0"/>
    <n v="160.875"/>
    <n v="340.87625000000003"/>
    <n v="0"/>
    <n v="501.75125000000003"/>
    <n v="1398.3286915000003"/>
    <n v="0.73593150527977402"/>
    <x v="1"/>
    <s v="MEDIANO"/>
    <x v="7"/>
    <x v="0"/>
    <n v="8"/>
    <n v="1"/>
    <d v="2017-03-20T00:00:00"/>
    <s v="NISSAN"/>
    <s v="FRONTIER"/>
    <n v="5358.08"/>
    <d v="2017-03-22T00:00:00"/>
    <n v="11"/>
    <x v="523"/>
  </r>
  <r>
    <d v="2017-03-28T00:00:00"/>
    <s v="001-00009126"/>
    <n v="642.30562182457993"/>
    <n v="0"/>
    <n v="0"/>
    <n v="0"/>
    <n v="0"/>
    <n v="29.25"/>
    <n v="123.955"/>
    <n v="0"/>
    <n v="153.20499999999998"/>
    <n v="489.10062182457995"/>
    <n v="0.76147647662682016"/>
    <x v="1"/>
    <s v="LEVE"/>
    <x v="7"/>
    <x v="0"/>
    <n v="15"/>
    <n v="1"/>
    <d v="2017-03-13T00:00:00"/>
    <s v="CHEVROLET"/>
    <s v="TRALL BLACKER"/>
    <n v="2653.3325"/>
    <d v="2017-03-14T00:00:00"/>
    <n v="2"/>
    <x v="524"/>
  </r>
  <r>
    <d v="2017-03-28T00:00:00"/>
    <s v="001-00009136"/>
    <n v="462.83998574999998"/>
    <n v="0"/>
    <n v="0"/>
    <n v="0"/>
    <n v="0"/>
    <n v="0"/>
    <n v="0"/>
    <n v="0"/>
    <n v="0"/>
    <n v="462.83998574999998"/>
    <n v="1"/>
    <x v="4"/>
    <s v="S/TIPO"/>
    <x v="7"/>
    <x v="0"/>
    <n v="14"/>
    <n v="1"/>
    <d v="2017-03-14T00:00:00"/>
    <s v="S/MARCA"/>
    <s v="S/MODELO"/>
    <n v="0"/>
    <s v="F/Fecha"/>
    <n v="0"/>
    <x v="1"/>
  </r>
  <r>
    <d v="2017-03-29T00:00:00"/>
    <s v="001-00008922"/>
    <n v="4813.076895696101"/>
    <n v="0"/>
    <n v="0"/>
    <n v="0"/>
    <n v="0"/>
    <n v="0"/>
    <n v="0"/>
    <n v="0"/>
    <n v="0"/>
    <n v="4813.076895696101"/>
    <n v="1"/>
    <x v="4"/>
    <s v="S/TIPO"/>
    <x v="7"/>
    <x v="0"/>
    <n v="51"/>
    <n v="1"/>
    <d v="2017-02-06T00:00:00"/>
    <s v="S/MARCA"/>
    <s v="S/MODELO"/>
    <n v="0"/>
    <s v="F/Fecha"/>
    <n v="0"/>
    <x v="525"/>
  </r>
  <r>
    <d v="2017-03-30T00:00:00"/>
    <s v="001-00009219"/>
    <n v="956.68500000000006"/>
    <n v="0"/>
    <n v="0"/>
    <n v="0"/>
    <n v="0"/>
    <n v="73.125"/>
    <n v="247.91"/>
    <n v="0"/>
    <n v="321.03499999999997"/>
    <n v="635.65000000000009"/>
    <n v="0.66442977573600515"/>
    <x v="0"/>
    <s v="LEVE"/>
    <x v="7"/>
    <x v="0"/>
    <n v="2"/>
    <n v="1"/>
    <d v="2017-03-28T00:00:00"/>
    <s v="TOYOTA"/>
    <s v="YARIS"/>
    <n v="0"/>
    <d v="2017-03-28T00:00:00"/>
    <n v="5"/>
    <x v="27"/>
  </r>
  <r>
    <d v="2017-03-30T00:00:00"/>
    <s v="001-00009228"/>
    <n v="550"/>
    <n v="0"/>
    <n v="0"/>
    <n v="0"/>
    <n v="39.048749999999998"/>
    <n v="0"/>
    <n v="0"/>
    <n v="0"/>
    <n v="39.048749999999998"/>
    <n v="510.95125000000002"/>
    <n v="0.92900227272727276"/>
    <x v="0"/>
    <s v="-"/>
    <x v="7"/>
    <x v="0"/>
    <n v="1"/>
    <n v="1"/>
    <d v="2017-03-29T00:00:00"/>
    <s v="KIA"/>
    <s v="SORENTO"/>
    <n v="580.22249999999997"/>
    <d v="2017-03-29T00:00:00"/>
    <n v="0"/>
    <x v="6"/>
  </r>
  <r>
    <d v="2017-03-30T00:00:00"/>
    <s v="001-00009178"/>
    <n v="577.94119169999999"/>
    <n v="0"/>
    <n v="0"/>
    <n v="0"/>
    <n v="0"/>
    <n v="58.5"/>
    <n v="185.9325"/>
    <n v="0"/>
    <n v="244.4325"/>
    <n v="333.50869169999999"/>
    <n v="0.57706336992349039"/>
    <x v="1"/>
    <s v="LEVE"/>
    <x v="7"/>
    <x v="0"/>
    <n v="9"/>
    <n v="1"/>
    <d v="2017-03-21T00:00:00"/>
    <s v="SUZUKI"/>
    <s v="SWIFT"/>
    <n v="2046.72"/>
    <d v="2017-03-17T00:00:00"/>
    <n v="4"/>
    <x v="1"/>
  </r>
  <r>
    <d v="2017-03-30T00:00:00"/>
    <s v="001-00009191"/>
    <n v="922.89120834300002"/>
    <n v="0"/>
    <n v="0"/>
    <n v="0"/>
    <n v="0"/>
    <n v="43.875"/>
    <n v="61.977499999999999"/>
    <n v="0"/>
    <n v="105.85249999999999"/>
    <n v="817.03870834300005"/>
    <n v="0.88530338241053108"/>
    <x v="1"/>
    <s v="LEVE"/>
    <x v="7"/>
    <x v="0"/>
    <n v="7"/>
    <n v="1"/>
    <d v="2017-03-23T00:00:00"/>
    <s v="SUZUKI"/>
    <s v="SWIFT"/>
    <n v="403.42250000000001"/>
    <d v="2017-03-22T00:00:00"/>
    <n v="3"/>
    <x v="1"/>
  </r>
  <r>
    <d v="2017-03-30T00:00:00"/>
    <s v="001-00008978"/>
    <n v="3318.6220800130504"/>
    <n v="0"/>
    <n v="0"/>
    <n v="0"/>
    <n v="0"/>
    <n v="0"/>
    <n v="0"/>
    <n v="0"/>
    <n v="0"/>
    <n v="3318.6220800130504"/>
    <n v="1"/>
    <x v="4"/>
    <s v="S/TIPO"/>
    <x v="7"/>
    <x v="0"/>
    <n v="43"/>
    <n v="1"/>
    <d v="2017-02-15T00:00:00"/>
    <s v="S/MARCA"/>
    <s v="S/MODELO"/>
    <n v="0"/>
    <s v="F/Fecha"/>
    <n v="0"/>
    <x v="1"/>
  </r>
  <r>
    <d v="2017-03-30T00:00:00"/>
    <s v="001-00009154"/>
    <n v="1868.7924030300001"/>
    <n v="0"/>
    <n v="0"/>
    <n v="0"/>
    <n v="0"/>
    <n v="146.25"/>
    <n v="213.82237499999999"/>
    <n v="0"/>
    <n v="360.07237499999997"/>
    <n v="1508.7200280300001"/>
    <n v="0.80732350237715533"/>
    <x v="1"/>
    <s v="MEDIANO"/>
    <x v="7"/>
    <x v="0"/>
    <n v="13"/>
    <n v="1"/>
    <d v="2017-03-17T00:00:00"/>
    <s v="HONDA"/>
    <s v="CRV"/>
    <n v="1158.0725"/>
    <d v="2017-03-20T00:00:00"/>
    <n v="10"/>
    <x v="1"/>
  </r>
  <r>
    <d v="2017-03-30T00:00:00"/>
    <s v="001-00009022"/>
    <n v="2077.0200499999996"/>
    <n v="0"/>
    <n v="0"/>
    <n v="0"/>
    <n v="39.048749999999998"/>
    <n v="234"/>
    <n v="247.91"/>
    <n v="0"/>
    <n v="520.95875000000001"/>
    <n v="1556.0612999999996"/>
    <n v="0.74917972024391377"/>
    <x v="1"/>
    <s v="MEDIANO"/>
    <x v="7"/>
    <x v="0"/>
    <n v="36"/>
    <n v="1"/>
    <d v="2017-02-22T00:00:00"/>
    <s v="CHEVROLET"/>
    <s v="SONIC"/>
    <n v="3182.6275000000001"/>
    <d v="2017-02-23T00:00:00"/>
    <n v="16"/>
    <x v="1"/>
  </r>
  <r>
    <d v="2017-03-30T00:00:00"/>
    <s v="001-00009055"/>
    <n v="1989.5805"/>
    <n v="0"/>
    <n v="0"/>
    <n v="0"/>
    <n v="29.25"/>
    <n v="175.5"/>
    <n v="278.89875000000001"/>
    <n v="0"/>
    <n v="483.64875000000001"/>
    <n v="1505.93175"/>
    <n v="0.75690918261412388"/>
    <x v="1"/>
    <s v="MEDIANO"/>
    <x v="7"/>
    <x v="0"/>
    <n v="29"/>
    <n v="1"/>
    <d v="2017-03-01T00:00:00"/>
    <s v="HYUNDAI"/>
    <s v="ELANTRA"/>
    <n v="966.3549999999999"/>
    <d v="2017-03-22T00:00:00"/>
    <n v="12"/>
    <x v="1"/>
  </r>
  <r>
    <d v="2017-03-30T00:00:00"/>
    <s v="001-00009142"/>
    <n v="2075.52"/>
    <n v="0"/>
    <n v="0"/>
    <n v="0"/>
    <n v="39.048749999999998"/>
    <n v="102.375"/>
    <n v="371.86500000000001"/>
    <n v="0"/>
    <n v="513.28874999999994"/>
    <n v="1562.23125"/>
    <n v="0.75269390321461616"/>
    <x v="1"/>
    <s v="MEDIANO"/>
    <x v="7"/>
    <x v="0"/>
    <n v="15"/>
    <n v="1"/>
    <d v="2017-03-15T00:00:00"/>
    <s v="HYUNDAI"/>
    <s v="ACCENT"/>
    <n v="4157.92"/>
    <d v="2017-03-16T00:00:00"/>
    <n v="7"/>
    <x v="1"/>
  </r>
  <r>
    <d v="2017-03-30T00:00:00"/>
    <s v="001-00009170"/>
    <n v="875.28018689999999"/>
    <n v="0"/>
    <n v="0"/>
    <n v="0"/>
    <n v="0"/>
    <n v="87.75"/>
    <n v="151.84487500000003"/>
    <n v="0"/>
    <n v="239.59487500000003"/>
    <n v="635.68531189999999"/>
    <n v="0.72626493940348558"/>
    <x v="1"/>
    <s v="LEVE"/>
    <x v="7"/>
    <x v="0"/>
    <n v="9"/>
    <n v="1"/>
    <d v="2017-03-21T00:00:00"/>
    <s v="MAZDA"/>
    <s v="CX-5"/>
    <n v="5173.5450000000001"/>
    <d v="2017-03-22T00:00:00"/>
    <n v="6"/>
    <x v="1"/>
  </r>
  <r>
    <d v="2017-03-30T00:00:00"/>
    <s v="001-00009127"/>
    <n v="1867.0336917"/>
    <n v="0"/>
    <n v="0"/>
    <n v="0"/>
    <n v="29.25"/>
    <n v="160.875"/>
    <n v="277.03942499999999"/>
    <n v="0"/>
    <n v="467.16442499999999"/>
    <n v="1399.8692667"/>
    <n v="0.74978254164517499"/>
    <x v="1"/>
    <s v="MEDIANO"/>
    <x v="7"/>
    <x v="0"/>
    <n v="17"/>
    <n v="1"/>
    <d v="2017-03-13T00:00:00"/>
    <s v="HYUNDAI"/>
    <s v="ELANTRA"/>
    <n v="4897.3924999999999"/>
    <d v="2017-03-15T00:00:00"/>
    <n v="11"/>
    <x v="1"/>
  </r>
  <r>
    <d v="2017-03-30T00:00:00"/>
    <s v="001-00009162"/>
    <n v="1214.75090847"/>
    <n v="0"/>
    <n v="0"/>
    <n v="0"/>
    <n v="0"/>
    <n v="102.375"/>
    <n v="228.0772"/>
    <n v="0"/>
    <n v="330.4522"/>
    <n v="884.29870847000007"/>
    <n v="0.72796711021503968"/>
    <x v="1"/>
    <s v="MEDIANO"/>
    <x v="7"/>
    <x v="0"/>
    <n v="10"/>
    <n v="1"/>
    <d v="2017-03-20T00:00:00"/>
    <s v="KIA"/>
    <s v="RIO"/>
    <n v="883.90250000000015"/>
    <d v="2017-03-22T00:00:00"/>
    <n v="7"/>
    <x v="1"/>
  </r>
  <r>
    <d v="2017-03-30T00:00:00"/>
    <s v="001-00009120"/>
    <n v="1261.2247524000002"/>
    <n v="0"/>
    <n v="0"/>
    <n v="0"/>
    <n v="0"/>
    <n v="117"/>
    <n v="0"/>
    <n v="0"/>
    <n v="117"/>
    <n v="1144.2247524000002"/>
    <n v="0.90723302902408209"/>
    <x v="1"/>
    <s v="MEDIANO"/>
    <x v="7"/>
    <x v="0"/>
    <n v="17"/>
    <n v="1"/>
    <d v="2017-03-13T00:00:00"/>
    <s v="CHEVROLET"/>
    <s v="SAIL"/>
    <n v="1570.855"/>
    <d v="2017-03-15T00:00:00"/>
    <n v="8"/>
    <x v="1"/>
  </r>
  <r>
    <d v="2017-03-31T00:00:00"/>
    <s v="001-00009223"/>
    <n v="1440.9999990432188"/>
    <n v="0"/>
    <n v="0"/>
    <n v="0"/>
    <n v="0"/>
    <n v="58.5"/>
    <n v="92.966250000000002"/>
    <n v="0"/>
    <n v="151.46625"/>
    <n v="1289.5337490432189"/>
    <n v="0.89488809847288753"/>
    <x v="0"/>
    <s v="LEVE"/>
    <x v="7"/>
    <x v="0"/>
    <n v="3"/>
    <n v="1"/>
    <d v="2017-03-28T00:00:00"/>
    <s v="TOYOTA"/>
    <s v="YARIS"/>
    <n v="941.10249999999996"/>
    <d v="2017-03-28T00:00:00"/>
    <n v="4"/>
    <x v="526"/>
  </r>
  <r>
    <d v="2017-03-31T00:00:00"/>
    <s v="001-00009185"/>
    <n v="2595.9999200000002"/>
    <n v="0"/>
    <n v="0"/>
    <n v="0"/>
    <n v="39.048749999999998"/>
    <n v="146.25"/>
    <n v="433.84250000000003"/>
    <n v="0"/>
    <n v="619.14125000000001"/>
    <n v="1976.8586700000001"/>
    <n v="0.76150182238834585"/>
    <x v="1"/>
    <s v="MEDIANO"/>
    <x v="7"/>
    <x v="0"/>
    <n v="8"/>
    <n v="1"/>
    <d v="2017-03-23T00:00:00"/>
    <s v="HYUNDAI"/>
    <s v="ELANTRA"/>
    <n v="9631.7325000000001"/>
    <d v="2017-03-24T00:00:00"/>
    <n v="10"/>
    <x v="58"/>
  </r>
  <r>
    <d v="2017-03-31T00:00:00"/>
    <s v="001-00009060"/>
    <n v="2133.5874342499997"/>
    <n v="0"/>
    <n v="0"/>
    <n v="0"/>
    <n v="29.25"/>
    <n v="234"/>
    <n v="340.87625000000003"/>
    <n v="0"/>
    <n v="604.12625000000003"/>
    <n v="1529.4611842499996"/>
    <n v="0.71684954630773645"/>
    <x v="1"/>
    <s v="LEVE"/>
    <x v="7"/>
    <x v="0"/>
    <n v="30"/>
    <n v="1"/>
    <d v="2017-03-01T00:00:00"/>
    <s v="HYUNDAI"/>
    <s v="ACCENT"/>
    <n v="3759.21"/>
    <d v="2017-03-07T00:00:00"/>
    <n v="16"/>
    <x v="1"/>
  </r>
  <r>
    <d v="2017-03-31T00:00:00"/>
    <s v="001-00008944"/>
    <n v="3131.4249034999998"/>
    <n v="0"/>
    <n v="0"/>
    <n v="0"/>
    <n v="0"/>
    <n v="380.25"/>
    <n v="371.86500000000001"/>
    <n v="0"/>
    <n v="752.11500000000001"/>
    <n v="2379.3099034999996"/>
    <n v="0.7598170088130296"/>
    <x v="1"/>
    <s v="GRAVE"/>
    <x v="7"/>
    <x v="0"/>
    <n v="51"/>
    <n v="1"/>
    <d v="2017-02-08T00:00:00"/>
    <s v="MITSUBISHI"/>
    <s v="LANCER"/>
    <n v="319.93"/>
    <d v="2017-03-07T00:00:00"/>
    <n v="26"/>
    <x v="1"/>
  </r>
  <r>
    <d v="2017-03-31T00:00:00"/>
    <s v="001-00009087"/>
    <n v="4624.1248575"/>
    <n v="0"/>
    <n v="0"/>
    <n v="0"/>
    <n v="29.25"/>
    <n v="599.625"/>
    <n v="557.79750000000001"/>
    <n v="0"/>
    <n v="1186.6725000000001"/>
    <n v="3437.4523574999998"/>
    <n v="0.74337360331538149"/>
    <x v="1"/>
    <s v="GRAVE"/>
    <x v="7"/>
    <x v="0"/>
    <n v="24"/>
    <n v="1"/>
    <d v="2017-03-07T00:00:00"/>
    <s v="KIA"/>
    <s v="RIO"/>
    <n v="3677.05"/>
    <d v="2017-03-09T00:00:00"/>
    <n v="41"/>
    <x v="1"/>
  </r>
  <r>
    <d v="2017-03-31T00:00:00"/>
    <s v="001-00009169"/>
    <n v="2900.2323220745789"/>
    <n v="0"/>
    <n v="0"/>
    <n v="0"/>
    <n v="0"/>
    <n v="380.25"/>
    <n v="371.86500000000001"/>
    <n v="0"/>
    <n v="752.11500000000001"/>
    <n v="2148.1173220745786"/>
    <n v="0.74067077513914426"/>
    <x v="1"/>
    <s v="GRAVE"/>
    <x v="7"/>
    <x v="0"/>
    <n v="11"/>
    <n v="1"/>
    <d v="2017-03-20T00:00:00"/>
    <s v="ISUZU"/>
    <s v="NPR75L-KL5"/>
    <n v="3695.4775"/>
    <d v="2017-03-22T00:00:00"/>
    <n v="26"/>
    <x v="1"/>
  </r>
  <r>
    <d v="2017-03-31T00:00:00"/>
    <s v="001-00009166"/>
    <n v="841.1698475779699"/>
    <n v="0"/>
    <n v="0"/>
    <n v="0"/>
    <n v="0"/>
    <n v="43.875"/>
    <n v="113.418825"/>
    <n v="0"/>
    <n v="157.293825"/>
    <n v="683.87602257796993"/>
    <n v="0.81300586860916924"/>
    <x v="1"/>
    <s v="LEVE"/>
    <x v="7"/>
    <x v="0"/>
    <n v="11"/>
    <n v="1"/>
    <d v="2017-03-20T00:00:00"/>
    <s v="MAZDA"/>
    <s v="MAZDA 3"/>
    <n v="2303.0149999999999"/>
    <d v="2017-03-22T00:00:00"/>
    <n v="3"/>
    <x v="1"/>
  </r>
  <r>
    <d v="2017-03-31T00:00:00"/>
    <s v="001-00009104"/>
    <n v="2263.3874302499999"/>
    <n v="0"/>
    <n v="0"/>
    <n v="0"/>
    <n v="0"/>
    <n v="219.375"/>
    <n v="340.87625000000003"/>
    <n v="0"/>
    <n v="560.25125000000003"/>
    <n v="1703.1361802499998"/>
    <n v="0.75247222702031258"/>
    <x v="1"/>
    <s v="MEDIANO"/>
    <x v="7"/>
    <x v="0"/>
    <n v="22"/>
    <n v="1"/>
    <d v="2017-03-09T00:00:00"/>
    <s v="VOLKSWAGEN"/>
    <s v="GOL"/>
    <n v="3845.7574999999997"/>
    <d v="2017-03-11T00:00:00"/>
    <n v="15"/>
    <x v="527"/>
  </r>
  <r>
    <d v="2017-03-31T00:00:00"/>
    <s v="001-00008967"/>
    <n v="3404.1918053645772"/>
    <n v="0"/>
    <n v="0"/>
    <n v="0"/>
    <n v="0"/>
    <n v="0"/>
    <n v="0"/>
    <n v="0"/>
    <n v="0"/>
    <n v="3404.1918053645772"/>
    <n v="1"/>
    <x v="4"/>
    <s v="S/TIPO"/>
    <x v="7"/>
    <x v="0"/>
    <n v="46"/>
    <n v="1"/>
    <d v="2017-02-13T00:00:00"/>
    <s v="S/MARCA"/>
    <s v="S/MODELO"/>
    <n v="0"/>
    <s v="F/Fecha"/>
    <n v="0"/>
    <x v="2"/>
  </r>
  <r>
    <d v="2017-03-04T00:00:00"/>
    <s v="001-00009061"/>
    <n v="841"/>
    <n v="0"/>
    <n v="0"/>
    <n v="0"/>
    <n v="39.048749999999998"/>
    <n v="0"/>
    <n v="61.977499999999999"/>
    <n v="0"/>
    <n v="101.02625"/>
    <n v="739.97375"/>
    <n v="0.87987366230677766"/>
    <x v="0"/>
    <s v="LEVE"/>
    <x v="7"/>
    <x v="0"/>
    <n v="3"/>
    <n v="1"/>
    <d v="2017-03-01T00:00:00"/>
    <s v="SUZUKI"/>
    <s v="ALTO"/>
    <n v="249.01500000000001"/>
    <d v="2017-03-01T00:00:00"/>
    <n v="0"/>
    <x v="245"/>
  </r>
  <r>
    <d v="2017-03-04T00:00:00"/>
    <s v="001-00009071"/>
    <n v="349"/>
    <n v="0"/>
    <n v="0"/>
    <n v="0"/>
    <n v="39.048749999999998"/>
    <n v="0"/>
    <n v="0"/>
    <n v="0"/>
    <n v="39.048749999999998"/>
    <n v="309.95125000000002"/>
    <n v="0.88811246418338119"/>
    <x v="0"/>
    <s v="-"/>
    <x v="7"/>
    <x v="0"/>
    <n v="1"/>
    <n v="1"/>
    <d v="2017-03-03T00:00:00"/>
    <s v="VOLKSWAGEN"/>
    <s v="GOL"/>
    <n v="346.45"/>
    <d v="2017-03-03T00:00:00"/>
    <n v="0"/>
    <x v="528"/>
  </r>
  <r>
    <d v="2017-03-04T00:00:00"/>
    <s v="001-00009073"/>
    <n v="100"/>
    <n v="0"/>
    <n v="0"/>
    <n v="0"/>
    <n v="0"/>
    <n v="0"/>
    <n v="0"/>
    <n v="0"/>
    <n v="0"/>
    <n v="100"/>
    <n v="1"/>
    <x v="4"/>
    <s v="S/TIPO"/>
    <x v="7"/>
    <x v="0"/>
    <n v="0"/>
    <n v="1"/>
    <d v="2017-03-04T00:00:00"/>
    <s v="S/MARCA"/>
    <s v="S/MODELO"/>
    <n v="0"/>
    <s v="F/Fecha"/>
    <n v="0"/>
    <x v="528"/>
  </r>
  <r>
    <d v="2017-03-04T00:00:00"/>
    <s v="001-00009068"/>
    <n v="605.11020000000008"/>
    <n v="0"/>
    <n v="0"/>
    <n v="0"/>
    <n v="14.625"/>
    <n v="0"/>
    <n v="0"/>
    <n v="0"/>
    <n v="14.625"/>
    <n v="590.48520000000008"/>
    <n v="0.97583084866194625"/>
    <x v="0"/>
    <s v="-"/>
    <x v="7"/>
    <x v="0"/>
    <n v="2"/>
    <n v="1"/>
    <d v="2017-03-02T00:00:00"/>
    <s v="MITSUBISHI"/>
    <s v="LANCER"/>
    <n v="475.3125"/>
    <d v="2017-03-04T00:00:00"/>
    <n v="0"/>
    <x v="329"/>
  </r>
  <r>
    <d v="2017-03-06T00:00:00"/>
    <s v="001-00009081"/>
    <n v="111.3898138"/>
    <n v="0"/>
    <n v="0"/>
    <n v="0"/>
    <n v="33.052499999999995"/>
    <n v="0"/>
    <n v="0"/>
    <n v="0"/>
    <n v="33.052499999999995"/>
    <n v="78.337313800000004"/>
    <n v="0.70327179054858968"/>
    <x v="0"/>
    <s v="-"/>
    <x v="7"/>
    <x v="0"/>
    <n v="0"/>
    <n v="1"/>
    <d v="2017-03-06T00:00:00"/>
    <s v="C4P-146"/>
    <s v="PICANTO"/>
    <n v="0"/>
    <d v="2017-03-06T00:00:00"/>
    <n v="0"/>
    <x v="529"/>
  </r>
  <r>
    <d v="2017-03-08T00:00:00"/>
    <s v="001-00009057"/>
    <n v="1954.1793084145788"/>
    <n v="0"/>
    <n v="0"/>
    <n v="0"/>
    <n v="0"/>
    <n v="160.875"/>
    <n v="294.393125"/>
    <n v="0"/>
    <n v="455.268125"/>
    <n v="1498.9111834145788"/>
    <n v="0.76702847940327545"/>
    <x v="0"/>
    <s v="MEDIANO"/>
    <x v="7"/>
    <x v="0"/>
    <n v="7"/>
    <n v="1"/>
    <d v="2017-03-01T00:00:00"/>
    <s v="FORD"/>
    <s v="ECOSPORT"/>
    <n v="0"/>
    <d v="2017-03-01T00:00:00"/>
    <n v="11"/>
    <x v="530"/>
  </r>
  <r>
    <d v="2017-03-10T00:00:00"/>
    <s v="001-00009110"/>
    <n v="200"/>
    <n v="0"/>
    <n v="0"/>
    <n v="0"/>
    <n v="0"/>
    <n v="0"/>
    <n v="0"/>
    <n v="0"/>
    <n v="0"/>
    <n v="200"/>
    <n v="1"/>
    <x v="4"/>
    <s v="S/TIPO"/>
    <x v="7"/>
    <x v="0"/>
    <n v="0"/>
    <n v="1"/>
    <d v="2017-03-10T00:00:00"/>
    <s v="S/MARCA"/>
    <s v="S/MODELO"/>
    <n v="0"/>
    <s v="F/Fecha"/>
    <n v="0"/>
    <x v="531"/>
  </r>
  <r>
    <d v="2017-03-10T00:00:00"/>
    <s v="001-00009095"/>
    <n v="395.52"/>
    <n v="0"/>
    <n v="0"/>
    <n v="0"/>
    <n v="0"/>
    <n v="58.5"/>
    <n v="61.977499999999999"/>
    <n v="0"/>
    <n v="120.47749999999999"/>
    <n v="275.04250000000002"/>
    <n v="0.6953946703074434"/>
    <x v="0"/>
    <s v="LEVE"/>
    <x v="7"/>
    <x v="0"/>
    <n v="2"/>
    <n v="1"/>
    <d v="2017-03-08T00:00:00"/>
    <s v="RENAULT"/>
    <s v="LOGAN"/>
    <n v="0"/>
    <d v="2017-03-08T00:00:00"/>
    <n v="4"/>
    <x v="532"/>
  </r>
  <r>
    <d v="2017-03-11T00:00:00"/>
    <s v="001-00009078"/>
    <n v="127.1186"/>
    <n v="0"/>
    <n v="0"/>
    <n v="0"/>
    <n v="0"/>
    <n v="0"/>
    <n v="0"/>
    <n v="0"/>
    <n v="0"/>
    <n v="127.1186"/>
    <n v="1"/>
    <x v="4"/>
    <s v="S/TIPO"/>
    <x v="7"/>
    <x v="0"/>
    <n v="5"/>
    <n v="1"/>
    <d v="2017-03-06T00:00:00"/>
    <s v="S/MARCA"/>
    <s v="S/MODELO"/>
    <n v="0"/>
    <s v="F/Fecha"/>
    <n v="0"/>
    <x v="533"/>
  </r>
  <r>
    <d v="2017-03-11T00:00:00"/>
    <s v="001-00009107"/>
    <n v="584.73001779999993"/>
    <n v="0"/>
    <n v="0"/>
    <n v="0"/>
    <n v="39.048749999999998"/>
    <n v="43.875"/>
    <n v="123.955"/>
    <n v="0"/>
    <n v="206.87875"/>
    <n v="377.85126779999996"/>
    <n v="0.64619782856648134"/>
    <x v="0"/>
    <s v="LEVE"/>
    <x v="7"/>
    <x v="0"/>
    <n v="1"/>
    <n v="1"/>
    <d v="2017-03-10T00:00:00"/>
    <s v="MAZDA"/>
    <s v="MAZDA 3"/>
    <n v="135.20000000000002"/>
    <d v="2017-03-10T00:00:00"/>
    <n v="3"/>
    <x v="254"/>
  </r>
  <r>
    <d v="2017-03-13T00:00:00"/>
    <s v="001-00009119"/>
    <n v="450"/>
    <n v="0"/>
    <n v="0"/>
    <n v="0"/>
    <n v="39.048749999999998"/>
    <n v="0"/>
    <n v="0"/>
    <n v="0"/>
    <n v="39.048749999999998"/>
    <n v="410.95125000000002"/>
    <n v="0.91322500000000006"/>
    <x v="0"/>
    <s v="-"/>
    <x v="7"/>
    <x v="0"/>
    <n v="0"/>
    <n v="1"/>
    <d v="2017-03-13T00:00:00"/>
    <s v="MAZDA"/>
    <s v="MAZDA 3"/>
    <n v="445.21750000000003"/>
    <d v="2017-03-13T00:00:00"/>
    <n v="0"/>
    <x v="254"/>
  </r>
  <r>
    <d v="2017-03-13T00:00:00"/>
    <s v="001-00009085"/>
    <n v="1543.9500469999998"/>
    <n v="0"/>
    <n v="0"/>
    <n v="0"/>
    <n v="0"/>
    <n v="131.625"/>
    <n v="247.91"/>
    <n v="0"/>
    <n v="379.53499999999997"/>
    <n v="1164.415047"/>
    <n v="0.75417922313130392"/>
    <x v="0"/>
    <s v="MEDIANO"/>
    <x v="7"/>
    <x v="0"/>
    <n v="7"/>
    <n v="1"/>
    <d v="2017-03-06T00:00:00"/>
    <s v="MAZDA"/>
    <s v="CX-5"/>
    <n v="0"/>
    <d v="2017-03-06T00:00:00"/>
    <n v="9"/>
    <x v="160"/>
  </r>
  <r>
    <d v="2017-03-14T00:00:00"/>
    <s v="001-00009109"/>
    <n v="830.22002524999994"/>
    <n v="0"/>
    <n v="0"/>
    <n v="0"/>
    <n v="0"/>
    <n v="65.8125"/>
    <n v="185.9325"/>
    <n v="0"/>
    <n v="251.745"/>
    <n v="578.47502524999993"/>
    <n v="0.69677315368995907"/>
    <x v="0"/>
    <s v="LEVE"/>
    <x v="7"/>
    <x v="0"/>
    <n v="4"/>
    <n v="1"/>
    <d v="2017-03-10T00:00:00"/>
    <s v="HYUNDAI"/>
    <s v="ELANTRA"/>
    <n v="0"/>
    <d v="2017-03-10T00:00:00"/>
    <n v="4.5"/>
    <x v="534"/>
  </r>
  <r>
    <d v="2017-03-14T00:00:00"/>
    <s v="001-00009074"/>
    <n v="278.61625416173007"/>
    <n v="0"/>
    <n v="0"/>
    <n v="0"/>
    <n v="0"/>
    <n v="51.1875"/>
    <n v="30.98875"/>
    <n v="0"/>
    <n v="82.176249999999996"/>
    <n v="196.44000416173009"/>
    <n v="0.70505579350622294"/>
    <x v="0"/>
    <s v="LEVE"/>
    <x v="7"/>
    <x v="0"/>
    <n v="8"/>
    <n v="1"/>
    <d v="2017-03-06T00:00:00"/>
    <s v="KIA"/>
    <s v="CERATO"/>
    <n v="0"/>
    <d v="2017-03-06T00:00:00"/>
    <n v="3.5"/>
    <x v="535"/>
  </r>
  <r>
    <d v="2017-03-15T00:00:00"/>
    <s v="001-00009131"/>
    <n v="84.754204000000016"/>
    <n v="0"/>
    <n v="0"/>
    <n v="0"/>
    <n v="0"/>
    <n v="0"/>
    <n v="0"/>
    <n v="0"/>
    <n v="0"/>
    <n v="84.754204000000016"/>
    <n v="1"/>
    <x v="0"/>
    <s v="-"/>
    <x v="7"/>
    <x v="0"/>
    <n v="1"/>
    <n v="1"/>
    <d v="2017-03-14T00:00:00"/>
    <s v="HYUNDAI"/>
    <s v="ACCENT"/>
    <n v="83.784999999999997"/>
    <d v="2017-03-14T00:00:00"/>
    <n v="0"/>
    <x v="289"/>
  </r>
  <r>
    <d v="2017-03-16T00:00:00"/>
    <s v="001-00009118"/>
    <n v="1356.6350414999999"/>
    <n v="0"/>
    <n v="0"/>
    <n v="0"/>
    <n v="39.048749999999998"/>
    <n v="146.25"/>
    <n v="247.91"/>
    <n v="0"/>
    <n v="433.20875000000001"/>
    <n v="923.42629149999993"/>
    <n v="0.68067406727087698"/>
    <x v="0"/>
    <s v="MEDIANO"/>
    <x v="7"/>
    <x v="0"/>
    <n v="3"/>
    <n v="1"/>
    <d v="2017-03-13T00:00:00"/>
    <s v="SUZUKI"/>
    <s v="CIAZ"/>
    <n v="449.28000000000003"/>
    <d v="2017-03-13T00:00:00"/>
    <n v="10"/>
    <x v="287"/>
  </r>
  <r>
    <d v="2017-03-16T00:00:00"/>
    <s v="001-00009147"/>
    <n v="300"/>
    <n v="0"/>
    <n v="0"/>
    <n v="0"/>
    <n v="39.048749999999998"/>
    <n v="0"/>
    <n v="0"/>
    <n v="0"/>
    <n v="39.048749999999998"/>
    <n v="260.95125000000002"/>
    <n v="0.86983750000000004"/>
    <x v="0"/>
    <s v="-"/>
    <x v="7"/>
    <x v="0"/>
    <n v="0"/>
    <n v="1"/>
    <d v="2017-03-16T00:00:00"/>
    <s v="JAC"/>
    <s v="A138"/>
    <n v="298.2525"/>
    <d v="2017-03-16T00:00:00"/>
    <n v="0"/>
    <x v="536"/>
  </r>
  <r>
    <d v="2017-03-17T00:00:00"/>
    <s v="001-00009146"/>
    <n v="502.55080400000003"/>
    <n v="0"/>
    <n v="0"/>
    <n v="0"/>
    <n v="39.048749999999998"/>
    <n v="0"/>
    <n v="0"/>
    <n v="0"/>
    <n v="39.048749999999998"/>
    <n v="463.50205400000004"/>
    <n v="0.92229890055056007"/>
    <x v="0"/>
    <s v="-"/>
    <x v="7"/>
    <x v="0"/>
    <n v="2"/>
    <n v="1"/>
    <d v="2017-03-15T00:00:00"/>
    <s v="HYUNDAI"/>
    <s v="I10"/>
    <n v="347.97749999999996"/>
    <d v="2017-03-16T00:00:00"/>
    <n v="0"/>
    <x v="406"/>
  </r>
  <r>
    <d v="2017-03-18T00:00:00"/>
    <s v="001-00009152"/>
    <n v="292.58999100000005"/>
    <n v="0"/>
    <n v="0"/>
    <n v="0"/>
    <n v="0"/>
    <n v="29.25"/>
    <n v="61.977499999999999"/>
    <n v="0"/>
    <n v="91.227499999999992"/>
    <n v="201.36249100000006"/>
    <n v="0.68820703781353898"/>
    <x v="0"/>
    <s v="LEVE"/>
    <x v="7"/>
    <x v="0"/>
    <n v="2"/>
    <n v="1"/>
    <d v="2017-03-16T00:00:00"/>
    <s v="RENAULT"/>
    <s v="DUSTER"/>
    <n v="0"/>
    <d v="2017-03-16T00:00:00"/>
    <n v="2"/>
    <x v="537"/>
  </r>
  <r>
    <d v="2017-03-18T00:00:00"/>
    <s v="001-00009135"/>
    <n v="2067.6359364"/>
    <n v="0"/>
    <n v="0"/>
    <n v="0"/>
    <n v="39.048749999999998"/>
    <n v="0"/>
    <n v="0"/>
    <n v="0"/>
    <n v="39.048749999999998"/>
    <n v="2028.5871864000001"/>
    <n v="0.98111430096925645"/>
    <x v="0"/>
    <s v="-"/>
    <x v="7"/>
    <x v="0"/>
    <n v="4"/>
    <n v="1"/>
    <d v="2017-03-14T00:00:00"/>
    <s v="CHEVROLET"/>
    <s v="CHEVROLET"/>
    <n v="345.11750000000001"/>
    <d v="2017-03-11T00:00:00"/>
    <n v="0"/>
    <x v="465"/>
  </r>
  <r>
    <d v="2017-03-18T00:00:00"/>
    <s v="001-00009158"/>
    <n v="50"/>
    <n v="0"/>
    <n v="0"/>
    <n v="0"/>
    <n v="14.625"/>
    <n v="0"/>
    <n v="0"/>
    <n v="0"/>
    <n v="14.625"/>
    <n v="35.375"/>
    <n v="0.70750000000000002"/>
    <x v="0"/>
    <s v="-"/>
    <x v="7"/>
    <x v="0"/>
    <n v="0"/>
    <n v="1"/>
    <d v="2017-03-18T00:00:00"/>
    <s v="CHEVROLET"/>
    <s v="OPTRA"/>
    <n v="0"/>
    <d v="2017-03-18T00:00:00"/>
    <n v="0"/>
    <x v="538"/>
  </r>
  <r>
    <d v="2017-03-18T00:00:00"/>
    <s v="001-00009150"/>
    <n v="1200"/>
    <n v="0"/>
    <n v="0"/>
    <n v="0"/>
    <n v="39.048749999999998"/>
    <n v="0"/>
    <n v="0"/>
    <n v="0"/>
    <n v="39.048749999999998"/>
    <n v="1160.9512500000001"/>
    <n v="0.96745937500000001"/>
    <x v="0"/>
    <s v="-"/>
    <x v="7"/>
    <x v="0"/>
    <n v="2"/>
    <n v="1"/>
    <d v="2017-03-16T00:00:00"/>
    <s v="KIA"/>
    <s v="SPORTAGE"/>
    <n v="347.97749999999996"/>
    <d v="2017-03-16T00:00:00"/>
    <n v="0"/>
    <x v="539"/>
  </r>
  <r>
    <d v="2017-03-18T00:00:00"/>
    <s v="001-00009137"/>
    <n v="826.52544012726992"/>
    <n v="0"/>
    <n v="0"/>
    <n v="0"/>
    <n v="0"/>
    <n v="131.625"/>
    <n v="123.955"/>
    <n v="0"/>
    <n v="255.57999999999998"/>
    <n v="570.94544012726988"/>
    <n v="0.69077781809033567"/>
    <x v="0"/>
    <s v="MEDIANO"/>
    <x v="7"/>
    <x v="0"/>
    <n v="3"/>
    <n v="1"/>
    <d v="2017-03-15T00:00:00"/>
    <s v="CHEVROLET"/>
    <s v="TRACKER"/>
    <n v="0"/>
    <d v="2017-03-15T00:00:00"/>
    <n v="9"/>
    <x v="540"/>
  </r>
  <r>
    <d v="2017-03-20T00:00:00"/>
    <s v="001-00009102"/>
    <n v="100"/>
    <n v="0"/>
    <n v="0"/>
    <n v="0"/>
    <n v="0"/>
    <n v="0"/>
    <n v="0"/>
    <n v="0"/>
    <n v="0"/>
    <n v="100"/>
    <n v="1"/>
    <x v="4"/>
    <s v="S/TIPO"/>
    <x v="7"/>
    <x v="0"/>
    <n v="11"/>
    <n v="1"/>
    <d v="2017-03-09T00:00:00"/>
    <s v="S/MARCA"/>
    <s v="S/MODELO"/>
    <n v="0"/>
    <s v="F/Fecha"/>
    <n v="0"/>
    <x v="541"/>
  </r>
  <r>
    <d v="2017-03-22T00:00:00"/>
    <s v="001-00009173"/>
    <n v="249"/>
    <n v="0"/>
    <n v="0"/>
    <n v="0"/>
    <n v="39.048749999999998"/>
    <n v="0"/>
    <n v="0"/>
    <n v="0"/>
    <n v="39.048749999999998"/>
    <n v="209.95125000000002"/>
    <n v="0.84317771084337356"/>
    <x v="0"/>
    <s v="-"/>
    <x v="7"/>
    <x v="0"/>
    <n v="1"/>
    <n v="1"/>
    <d v="2017-03-21T00:00:00"/>
    <s v="NISSAN"/>
    <s v="SENTRA"/>
    <n v="248.91750000000002"/>
    <d v="2017-03-21T00:00:00"/>
    <n v="0"/>
    <x v="542"/>
  </r>
  <r>
    <d v="2017-03-22T00:00:00"/>
    <s v="001-00009181"/>
    <n v="349"/>
    <n v="0"/>
    <n v="0"/>
    <n v="0"/>
    <n v="39.048749999999998"/>
    <n v="0"/>
    <n v="0"/>
    <n v="0"/>
    <n v="39.048749999999998"/>
    <n v="309.95125000000002"/>
    <n v="0.88811246418338119"/>
    <x v="0"/>
    <s v="-"/>
    <x v="7"/>
    <x v="0"/>
    <n v="0"/>
    <n v="1"/>
    <d v="2017-03-22T00:00:00"/>
    <s v="TOYOTA"/>
    <s v="YARIS"/>
    <n v="349.31"/>
    <d v="2017-03-22T00:00:00"/>
    <n v="0"/>
    <x v="543"/>
  </r>
  <r>
    <d v="2017-03-23T00:00:00"/>
    <s v="001-00009197"/>
    <n v="195.12000599999999"/>
    <n v="0"/>
    <n v="0"/>
    <n v="0"/>
    <n v="0"/>
    <n v="0"/>
    <n v="0"/>
    <n v="0"/>
    <n v="0"/>
    <n v="195.12000599999999"/>
    <n v="1"/>
    <x v="4"/>
    <s v="S/TIPO"/>
    <x v="7"/>
    <x v="0"/>
    <n v="0"/>
    <n v="1"/>
    <d v="2017-03-23T00:00:00"/>
    <s v="S/MARCA"/>
    <s v="S/MODELO"/>
    <n v="0"/>
    <s v="F/Fecha"/>
    <n v="0"/>
    <x v="544"/>
  </r>
  <r>
    <d v="2017-03-23T00:00:00"/>
    <s v="001-00009179"/>
    <n v="356.06636894914999"/>
    <n v="0"/>
    <n v="0"/>
    <n v="0"/>
    <n v="0"/>
    <n v="0"/>
    <n v="185.9325"/>
    <n v="0"/>
    <n v="185.9325"/>
    <n v="170.13386894914998"/>
    <n v="0.47781504737799846"/>
    <x v="0"/>
    <s v="LEVE"/>
    <x v="7"/>
    <x v="0"/>
    <n v="1"/>
    <n v="1"/>
    <d v="2017-03-22T00:00:00"/>
    <s v="HYUNDAI"/>
    <s v="ACCENT"/>
    <n v="0"/>
    <d v="2017-03-22T00:00:00"/>
    <n v="0"/>
    <x v="544"/>
  </r>
  <r>
    <d v="2017-03-23T00:00:00"/>
    <s v="001-00009190"/>
    <n v="349"/>
    <n v="0"/>
    <n v="0"/>
    <n v="0"/>
    <n v="39.048749999999998"/>
    <n v="0"/>
    <n v="0"/>
    <n v="0"/>
    <n v="39.048749999999998"/>
    <n v="309.95125000000002"/>
    <n v="0.88811246418338119"/>
    <x v="0"/>
    <s v="-"/>
    <x v="7"/>
    <x v="0"/>
    <n v="0"/>
    <n v="1"/>
    <d v="2017-03-23T00:00:00"/>
    <s v="SUZUKI"/>
    <s v="SWIFT"/>
    <n v="348.78999999999996"/>
    <d v="2017-03-23T00:00:00"/>
    <n v="0"/>
    <x v="225"/>
  </r>
  <r>
    <d v="2017-03-24T00:00:00"/>
    <s v="001-00009163"/>
    <n v="908.88002799999992"/>
    <n v="0"/>
    <n v="0"/>
    <n v="0"/>
    <n v="0"/>
    <n v="73.125"/>
    <n v="185.9325"/>
    <n v="0"/>
    <n v="259.0575"/>
    <n v="649.82252799999992"/>
    <n v="0.71497063196552046"/>
    <x v="0"/>
    <s v="LEVE"/>
    <x v="7"/>
    <x v="0"/>
    <n v="4"/>
    <n v="1"/>
    <d v="2017-03-20T00:00:00"/>
    <s v="HYUNDAI"/>
    <s v="I10"/>
    <n v="0"/>
    <d v="2017-03-20T00:00:00"/>
    <n v="5"/>
    <x v="545"/>
  </r>
  <r>
    <d v="2017-03-25T00:00:00"/>
    <s v="001-00009201"/>
    <n v="85"/>
    <n v="0"/>
    <n v="0"/>
    <n v="0"/>
    <n v="25.59375"/>
    <n v="0"/>
    <n v="0"/>
    <n v="0"/>
    <n v="25.59375"/>
    <n v="59.40625"/>
    <n v="0.69889705882352937"/>
    <x v="0"/>
    <s v="-"/>
    <x v="7"/>
    <x v="0"/>
    <n v="0"/>
    <n v="1"/>
    <d v="2017-03-25T00:00:00"/>
    <s v="KIA"/>
    <s v="RIO"/>
    <n v="85.117500000000007"/>
    <d v="2017-03-25T00:00:00"/>
    <n v="0"/>
    <x v="546"/>
  </r>
  <r>
    <d v="2017-03-25T00:00:00"/>
    <s v="001-00009192"/>
    <n v="291.96000000000004"/>
    <n v="0"/>
    <n v="0"/>
    <n v="0"/>
    <n v="0"/>
    <n v="29.25"/>
    <n v="61.977499999999999"/>
    <n v="0"/>
    <n v="91.227499999999992"/>
    <n v="200.73250000000004"/>
    <n v="0.68753425126729695"/>
    <x v="0"/>
    <s v="MEDIANO"/>
    <x v="7"/>
    <x v="0"/>
    <n v="2"/>
    <n v="1"/>
    <d v="2017-03-23T00:00:00"/>
    <s v="NISSAN"/>
    <s v="VERSA"/>
    <n v="0"/>
    <d v="2017-03-23T00:00:00"/>
    <n v="2"/>
    <x v="547"/>
  </r>
  <r>
    <d v="2017-03-27T00:00:00"/>
    <s v="001-00009186"/>
    <n v="324.40000000000003"/>
    <n v="0"/>
    <n v="0"/>
    <n v="0"/>
    <n v="0"/>
    <n v="14.625"/>
    <n v="30.98875"/>
    <n v="0"/>
    <n v="45.613749999999996"/>
    <n v="278.78625000000005"/>
    <n v="0.85939041307028363"/>
    <x v="0"/>
    <s v="LEVE"/>
    <x v="7"/>
    <x v="0"/>
    <n v="4"/>
    <n v="1"/>
    <d v="2017-03-23T00:00:00"/>
    <s v="MAZDA"/>
    <s v="CX-5"/>
    <n v="48.75"/>
    <d v="2017-03-23T00:00:00"/>
    <n v="1"/>
    <x v="160"/>
  </r>
  <r>
    <d v="2017-03-28T00:00:00"/>
    <s v="001-00009218"/>
    <n v="449"/>
    <n v="0"/>
    <n v="0"/>
    <n v="0"/>
    <n v="0"/>
    <n v="0"/>
    <n v="0"/>
    <n v="0"/>
    <n v="0"/>
    <n v="449"/>
    <n v="1"/>
    <x v="4"/>
    <s v="S/TIPO"/>
    <x v="7"/>
    <x v="0"/>
    <n v="0"/>
    <n v="1"/>
    <d v="2017-03-28T00:00:00"/>
    <s v="S/MARCA"/>
    <s v="S/MODELO"/>
    <n v="0"/>
    <s v="F/Fecha"/>
    <n v="0"/>
    <x v="423"/>
  </r>
  <r>
    <d v="2017-03-29T00:00:00"/>
    <s v="001-00009149"/>
    <n v="186.44070000000002"/>
    <n v="0"/>
    <n v="0"/>
    <n v="0"/>
    <n v="14.625"/>
    <n v="0"/>
    <n v="0"/>
    <n v="0"/>
    <n v="14.625"/>
    <n v="171.81570000000002"/>
    <n v="0.92155682745237499"/>
    <x v="2"/>
    <s v="-"/>
    <x v="7"/>
    <x v="0"/>
    <n v="13"/>
    <n v="1"/>
    <d v="2017-03-16T00:00:00"/>
    <s v="SUZUKI"/>
    <s v="CELERIO"/>
    <n v="0"/>
    <d v="2017-03-25T00:00:00"/>
    <n v="0"/>
    <x v="548"/>
  </r>
  <r>
    <d v="2017-03-29T00:00:00"/>
    <s v="001-00009208"/>
    <n v="292.14000899999996"/>
    <n v="0"/>
    <n v="0"/>
    <n v="0"/>
    <n v="0"/>
    <n v="29.25"/>
    <n v="61.977499999999999"/>
    <n v="0"/>
    <n v="91.227499999999992"/>
    <n v="200.91250899999997"/>
    <n v="0.68772678445423063"/>
    <x v="0"/>
    <s v="LEVE"/>
    <x v="7"/>
    <x v="0"/>
    <n v="2"/>
    <n v="1"/>
    <d v="2017-03-27T00:00:00"/>
    <s v="MAZDA"/>
    <s v="MAZDA 3"/>
    <n v="0"/>
    <d v="2017-03-27T00:00:00"/>
    <n v="2"/>
    <x v="219"/>
  </r>
  <r>
    <d v="2017-03-29T00:00:00"/>
    <s v="001-00009220"/>
    <n v="292.14000899999996"/>
    <n v="0"/>
    <n v="0"/>
    <n v="0"/>
    <n v="0"/>
    <n v="14.625"/>
    <n v="61.977499999999999"/>
    <n v="0"/>
    <n v="76.602499999999992"/>
    <n v="215.53750899999997"/>
    <n v="0.73778839720649148"/>
    <x v="0"/>
    <s v="LEVE"/>
    <x v="7"/>
    <x v="0"/>
    <n v="1"/>
    <n v="1"/>
    <d v="2017-03-28T00:00:00"/>
    <s v="HYUNDAI"/>
    <s v="ACCENT"/>
    <n v="0"/>
    <d v="2017-03-28T00:00:00"/>
    <n v="1"/>
    <x v="549"/>
  </r>
  <r>
    <d v="2017-03-30T00:00:00"/>
    <s v="001-00009227"/>
    <n v="278.660999"/>
    <n v="0"/>
    <n v="0"/>
    <n v="0"/>
    <n v="39.048749999999998"/>
    <n v="0"/>
    <n v="0"/>
    <n v="0"/>
    <n v="39.048749999999998"/>
    <n v="239.61224900000002"/>
    <n v="0.85987005666336547"/>
    <x v="0"/>
    <s v="-"/>
    <x v="7"/>
    <x v="0"/>
    <n v="1"/>
    <n v="1"/>
    <d v="2017-03-29T00:00:00"/>
    <s v="NISSAN"/>
    <s v="SENTRA"/>
    <n v="249.30749999999998"/>
    <d v="2017-03-29T00:00:00"/>
    <n v="0"/>
    <x v="542"/>
  </r>
  <r>
    <d v="2017-03-30T00:00:00"/>
    <s v="001-00009215"/>
    <n v="291.87"/>
    <n v="0"/>
    <n v="0"/>
    <n v="0"/>
    <n v="0"/>
    <n v="14.625"/>
    <n v="61.977499999999999"/>
    <n v="0"/>
    <n v="76.602499999999992"/>
    <n v="215.26750000000001"/>
    <n v="0.73754582519614897"/>
    <x v="0"/>
    <s v="LEVE"/>
    <x v="7"/>
    <x v="0"/>
    <n v="2"/>
    <n v="1"/>
    <d v="2017-03-28T00:00:00"/>
    <s v="CHERY"/>
    <s v="FULWIN"/>
    <n v="0"/>
    <d v="2017-03-28T00:00:00"/>
    <n v="1"/>
    <x v="194"/>
  </r>
  <r>
    <d v="2017-03-30T00:00:00"/>
    <s v="001-00009168"/>
    <n v="211.6525"/>
    <n v="0"/>
    <n v="0"/>
    <n v="0"/>
    <n v="39.048749999999998"/>
    <n v="0"/>
    <n v="0"/>
    <n v="0"/>
    <n v="39.048749999999998"/>
    <n v="172.60374999999999"/>
    <n v="0.81550536846954313"/>
    <x v="0"/>
    <s v="-"/>
    <x v="7"/>
    <x v="0"/>
    <n v="10"/>
    <n v="1"/>
    <d v="2017-03-20T00:00:00"/>
    <s v="HYUNDAI"/>
    <s v="I30"/>
    <n v="248.91750000000002"/>
    <d v="2017-03-21T00:00:00"/>
    <n v="0"/>
    <x v="361"/>
  </r>
  <r>
    <d v="2017-03-30T00:00:00"/>
    <s v="001-00009198"/>
    <n v="100"/>
    <n v="0"/>
    <n v="0"/>
    <n v="0"/>
    <n v="0"/>
    <n v="0"/>
    <n v="0"/>
    <n v="0"/>
    <n v="0"/>
    <n v="100"/>
    <n v="1"/>
    <x v="4"/>
    <s v="S/TIPO"/>
    <x v="7"/>
    <x v="0"/>
    <n v="6"/>
    <n v="1"/>
    <d v="2017-03-24T00:00:00"/>
    <s v="S/MARCA"/>
    <s v="S/MODELO"/>
    <n v="0"/>
    <s v="F/Fecha"/>
    <n v="0"/>
    <x v="550"/>
  </r>
  <r>
    <d v="2017-03-30T00:00:00"/>
    <s v="001-00009239"/>
    <n v="97.29"/>
    <n v="0"/>
    <n v="0"/>
    <n v="0"/>
    <n v="0"/>
    <n v="0"/>
    <n v="30.98875"/>
    <n v="0"/>
    <n v="30.98875"/>
    <n v="66.30125000000001"/>
    <n v="0.68148062493575912"/>
    <x v="0"/>
    <s v="LEVE"/>
    <x v="7"/>
    <x v="0"/>
    <n v="0"/>
    <n v="1"/>
    <d v="2017-03-30T00:00:00"/>
    <s v="MAZDA"/>
    <s v="MAZDA 3"/>
    <n v="0"/>
    <d v="2017-03-30T00:00:00"/>
    <n v="0"/>
    <x v="254"/>
  </r>
  <r>
    <d v="2017-11-02T00:00:00"/>
    <s v="001-00010572"/>
    <n v="5411.25"/>
    <n v="3.3898998300000001"/>
    <n v="0"/>
    <n v="204.66101694915255"/>
    <n v="0"/>
    <n v="702"/>
    <n v="619.77499999999998"/>
    <n v="0"/>
    <n v="1529.8259167791525"/>
    <n v="3881.4240832208475"/>
    <n v="0.71728788786710052"/>
    <x v="1"/>
    <s v="GRAVE"/>
    <x v="8"/>
    <x v="0"/>
    <n v="27"/>
    <n v="1"/>
    <d v="2017-10-06T00:00:00"/>
    <s v="SUZUKI"/>
    <s v="APV"/>
    <n v="6438.4775"/>
    <d v="2017-10-04T00:00:00"/>
    <n v="48"/>
    <x v="94"/>
  </r>
  <r>
    <d v="2017-11-02T00:00:00"/>
    <s v="001-00010338"/>
    <n v="3120.3854174999997"/>
    <n v="44.071202"/>
    <n v="0"/>
    <n v="92.4584745762712"/>
    <n v="43.875"/>
    <n v="351"/>
    <n v="418.34812499999998"/>
    <n v="0"/>
    <n v="949.75280157627117"/>
    <n v="2170.6326159237287"/>
    <n v="0.69562965002663135"/>
    <x v="1"/>
    <s v="MEDIANO"/>
    <x v="8"/>
    <x v="0"/>
    <n v="55"/>
    <n v="1"/>
    <d v="2017-09-08T00:00:00"/>
    <s v="HYUNDAI"/>
    <s v="I10"/>
    <n v="3566.7125000000001"/>
    <d v="2017-09-11T00:00:00"/>
    <n v="24"/>
    <x v="1"/>
  </r>
  <r>
    <d v="2017-11-02T00:00:00"/>
    <s v="001-00010774"/>
    <n v="296.61020000000002"/>
    <n v="124.02179875000002"/>
    <n v="0"/>
    <n v="0"/>
    <n v="39.048749999999998"/>
    <n v="0"/>
    <n v="0"/>
    <n v="0"/>
    <n v="163.07054875"/>
    <n v="133.53965125000002"/>
    <n v="0.45021934933458124"/>
    <x v="0"/>
    <s v="-"/>
    <x v="8"/>
    <x v="0"/>
    <n v="1"/>
    <n v="1"/>
    <d v="2017-11-01T00:00:00"/>
    <s v="HYUNDAI"/>
    <s v="H1"/>
    <n v="0"/>
    <d v="2017-11-02T00:00:00"/>
    <n v="0"/>
    <x v="121"/>
  </r>
  <r>
    <d v="2017-11-02T00:00:00"/>
    <s v="001-00010644"/>
    <n v="1890.7011499999999"/>
    <n v="0.52149999000000002"/>
    <n v="0"/>
    <n v="0"/>
    <n v="0"/>
    <n v="146.25"/>
    <n v="185.9325"/>
    <n v="0"/>
    <n v="332.70399999"/>
    <n v="1557.9971500099998"/>
    <n v="0.82403141819107684"/>
    <x v="2"/>
    <s v="MEDIANO"/>
    <x v="8"/>
    <x v="0"/>
    <n v="17"/>
    <n v="1"/>
    <d v="2017-10-16T00:00:00"/>
    <s v="HYUNDAI"/>
    <s v="ACCENT"/>
    <n v="2456.5450000000001"/>
    <d v="2017-10-18T00:00:00"/>
    <n v="10"/>
    <x v="2"/>
  </r>
  <r>
    <d v="2017-11-03T00:00:00"/>
    <s v="001-00010686"/>
    <n v="3169.1405152400002"/>
    <n v="0"/>
    <n v="0"/>
    <n v="48.050847457627121"/>
    <n v="0"/>
    <n v="263.25"/>
    <n v="316.70502500000003"/>
    <n v="0"/>
    <n v="628.00587245762722"/>
    <n v="2541.1346427823728"/>
    <n v="0.80183716391317272"/>
    <x v="1"/>
    <s v="MEDIANO"/>
    <x v="8"/>
    <x v="0"/>
    <n v="15"/>
    <n v="1"/>
    <d v="2017-10-19T00:00:00"/>
    <s v="NISSAN"/>
    <s v="SENTRA"/>
    <n v="1497.0474999999999"/>
    <d v="2017-10-20T00:00:00"/>
    <n v="18"/>
    <x v="1"/>
  </r>
  <r>
    <d v="2017-11-03T00:00:00"/>
    <s v="001-00010688"/>
    <n v="1626.8660000000002"/>
    <n v="0"/>
    <n v="0"/>
    <n v="104.74644067796611"/>
    <n v="146.25"/>
    <n v="73.125"/>
    <n v="201.426875"/>
    <n v="0"/>
    <n v="525.54831567796612"/>
    <n v="1101.317684322034"/>
    <n v="0.67695660510578859"/>
    <x v="1"/>
    <s v="LEVE"/>
    <x v="8"/>
    <x v="0"/>
    <n v="15"/>
    <n v="1"/>
    <d v="2017-10-19T00:00:00"/>
    <s v="CHEVROLET"/>
    <s v="SAIL"/>
    <n v="6512.0574999999999"/>
    <d v="2017-10-24T00:00:00"/>
    <n v="5"/>
    <x v="1"/>
  </r>
  <r>
    <d v="2017-11-03T00:00:00"/>
    <s v="001-00010727"/>
    <n v="1198.4380892400002"/>
    <n v="0"/>
    <n v="0"/>
    <n v="123.55932203389831"/>
    <n v="0"/>
    <n v="87.75"/>
    <n v="154.94374999999999"/>
    <n v="0"/>
    <n v="366.25307203389832"/>
    <n v="832.18501720610186"/>
    <n v="0.69439132874509946"/>
    <x v="1"/>
    <s v="LEVE"/>
    <x v="8"/>
    <x v="0"/>
    <n v="10"/>
    <n v="1"/>
    <d v="2017-10-24T00:00:00"/>
    <s v="KIA"/>
    <s v="RIO"/>
    <n v="136.5325"/>
    <d v="2017-10-25T00:00:00"/>
    <n v="6"/>
    <x v="1"/>
  </r>
  <r>
    <d v="2017-11-03T00:00:00"/>
    <s v="001-00010682"/>
    <n v="2771.998"/>
    <n v="0"/>
    <n v="0"/>
    <n v="89.406779661016969"/>
    <n v="29.25"/>
    <n v="307.125"/>
    <n v="340.87625000000003"/>
    <n v="0"/>
    <n v="766.65802966101705"/>
    <n v="2005.339970338983"/>
    <n v="0.72342763968046986"/>
    <x v="1"/>
    <s v="MEDIANO"/>
    <x v="8"/>
    <x v="0"/>
    <n v="15"/>
    <n v="1"/>
    <d v="2017-10-19T00:00:00"/>
    <s v="NISSAN"/>
    <s v="TIIDA"/>
    <n v="5220.7350000000006"/>
    <d v="2017-10-23T00:00:00"/>
    <n v="21"/>
    <x v="1"/>
  </r>
  <r>
    <d v="2017-11-03T00:00:00"/>
    <s v="001-00010716"/>
    <n v="2606.5540000000005"/>
    <n v="0"/>
    <n v="0"/>
    <n v="41.186440677966104"/>
    <n v="0"/>
    <n v="292.5"/>
    <n v="387.359375"/>
    <n v="0"/>
    <n v="721.04581567796617"/>
    <n v="1885.5081843220344"/>
    <n v="0.72337200162437987"/>
    <x v="1"/>
    <s v="MEDIANO"/>
    <x v="8"/>
    <x v="0"/>
    <n v="10"/>
    <n v="1"/>
    <d v="2017-10-24T00:00:00"/>
    <s v="TOYOTA"/>
    <s v="YARIS"/>
    <n v="2486.2824999999998"/>
    <d v="2017-10-25T00:00:00"/>
    <n v="20"/>
    <x v="1"/>
  </r>
  <r>
    <d v="2017-11-03T00:00:00"/>
    <s v="001-00010428"/>
    <n v="5792.1620000000003"/>
    <n v="0.28799997999999999"/>
    <n v="0"/>
    <n v="27.457627118644073"/>
    <n v="102.375"/>
    <n v="848.25"/>
    <n v="588.78625"/>
    <n v="0"/>
    <n v="1567.1568770986441"/>
    <n v="4225.0051229013561"/>
    <n v="0.729434902356211"/>
    <x v="1"/>
    <s v="GRAVE"/>
    <x v="8"/>
    <x v="0"/>
    <n v="48"/>
    <n v="1"/>
    <d v="2017-09-16T00:00:00"/>
    <s v="MAZDA"/>
    <s v="MAZDA 3"/>
    <n v="10043.995000000001"/>
    <d v="2017-09-21T00:00:00"/>
    <n v="58"/>
    <x v="1"/>
  </r>
  <r>
    <d v="2017-11-03T00:00:00"/>
    <s v="001-00010591"/>
    <n v="3513.2520000000004"/>
    <n v="0"/>
    <n v="0"/>
    <n v="55.084745762711869"/>
    <n v="0"/>
    <n v="497.25"/>
    <n v="433.84250000000003"/>
    <n v="0"/>
    <n v="986.17724576271189"/>
    <n v="2527.0747542372883"/>
    <n v="0.71929789102440933"/>
    <x v="1"/>
    <s v="GRAVE"/>
    <x v="8"/>
    <x v="0"/>
    <n v="25"/>
    <n v="1"/>
    <d v="2017-10-09T00:00:00"/>
    <s v="NISSAN"/>
    <s v="TIIDA"/>
    <n v="8953.5550000000003"/>
    <d v="2017-10-11T00:00:00"/>
    <n v="34"/>
    <x v="1"/>
  </r>
  <r>
    <d v="2017-11-03T00:00:00"/>
    <s v="001-00010797"/>
    <n v="296.61020000000002"/>
    <n v="124.02179875000002"/>
    <n v="0"/>
    <n v="0"/>
    <n v="39.048749999999998"/>
    <n v="0"/>
    <n v="0"/>
    <n v="0"/>
    <n v="163.07054875"/>
    <n v="133.53965125000002"/>
    <n v="0.45021934933458124"/>
    <x v="0"/>
    <s v="-"/>
    <x v="8"/>
    <x v="0"/>
    <n v="0"/>
    <n v="1"/>
    <d v="2017-11-03T00:00:00"/>
    <s v="HYUNDAI"/>
    <s v="H1"/>
    <n v="0"/>
    <d v="2017-11-03T00:00:00"/>
    <n v="0"/>
    <x v="121"/>
  </r>
  <r>
    <d v="2017-11-03T00:00:00"/>
    <s v="001-00010736"/>
    <n v="1386.9200040400001"/>
    <n v="0.71999994999999994"/>
    <n v="0"/>
    <n v="34.322033898305094"/>
    <n v="0"/>
    <n v="175.5"/>
    <n v="185.9325"/>
    <n v="0"/>
    <n v="396.4745338483051"/>
    <n v="990.44547019169499"/>
    <n v="0.71413309153130478"/>
    <x v="1"/>
    <s v="MEDIANO"/>
    <x v="8"/>
    <x v="0"/>
    <n v="9"/>
    <n v="1"/>
    <d v="2017-10-25T00:00:00"/>
    <s v="HYUNDAI"/>
    <s v="I10"/>
    <n v="0"/>
    <d v="2017-10-25T00:00:00"/>
    <n v="12"/>
    <x v="1"/>
  </r>
  <r>
    <d v="2017-11-04T00:00:00"/>
    <s v="001-00010680"/>
    <n v="1099.6884260000002"/>
    <n v="0.84750002999999996"/>
    <n v="0"/>
    <n v="34.533898305084747"/>
    <n v="0"/>
    <n v="87.75"/>
    <n v="201.426875"/>
    <n v="0"/>
    <n v="324.55827333508478"/>
    <n v="775.13015266491539"/>
    <n v="0.70486342707485694"/>
    <x v="1"/>
    <s v="LEVE"/>
    <x v="8"/>
    <x v="0"/>
    <n v="17"/>
    <n v="1"/>
    <d v="2017-10-18T00:00:00"/>
    <s v="SUZUKI"/>
    <s v="APV"/>
    <n v="1746.2249999999999"/>
    <d v="2017-10-17T00:00:00"/>
    <n v="6"/>
    <x v="1"/>
  </r>
  <r>
    <d v="2017-11-04T00:00:00"/>
    <s v="001-00010651"/>
    <n v="1559.4294036000001"/>
    <n v="0.43199996999999996"/>
    <n v="0"/>
    <n v="137.88135593220341"/>
    <n v="0"/>
    <n v="146.25"/>
    <n v="123.955"/>
    <n v="227.5"/>
    <n v="636.01835590220344"/>
    <n v="923.41104769779668"/>
    <n v="0.5921467464741067"/>
    <x v="1"/>
    <s v="MEDIANO"/>
    <x v="8"/>
    <x v="0"/>
    <n v="18"/>
    <n v="1"/>
    <d v="2017-10-17T00:00:00"/>
    <s v="HYUNDAI"/>
    <s v="CRETA"/>
    <n v="2358.4275000000002"/>
    <d v="2017-10-17T00:00:00"/>
    <n v="10"/>
    <x v="1"/>
  </r>
  <r>
    <d v="2017-11-04T00:00:00"/>
    <s v="001-00010782"/>
    <n v="30"/>
    <n v="0"/>
    <n v="0"/>
    <n v="0"/>
    <n v="0"/>
    <n v="0"/>
    <n v="0"/>
    <n v="0"/>
    <n v="0"/>
    <n v="30"/>
    <n v="1"/>
    <x v="0"/>
    <s v="-"/>
    <x v="8"/>
    <x v="0"/>
    <n v="2"/>
    <n v="1"/>
    <d v="2017-11-02T00:00:00"/>
    <s v="SSANYONG"/>
    <s v="TIROLI"/>
    <n v="30.0625"/>
    <d v="2017-11-02T00:00:00"/>
    <n v="0"/>
    <x v="551"/>
  </r>
  <r>
    <d v="2017-11-04T00:00:00"/>
    <s v="001-00010724"/>
    <n v="1676.9832047999998"/>
    <n v="0"/>
    <n v="0"/>
    <n v="43.877288135593226"/>
    <n v="0"/>
    <n v="146.25"/>
    <n v="92.966250000000002"/>
    <n v="0"/>
    <n v="283.09353813559323"/>
    <n v="1393.8896666644066"/>
    <n v="0.83118880539453255"/>
    <x v="0"/>
    <s v="MEDIANO"/>
    <x v="8"/>
    <x v="0"/>
    <n v="11"/>
    <n v="1"/>
    <d v="2017-10-24T00:00:00"/>
    <s v="SSANYONG"/>
    <s v="TIROLI"/>
    <n v="0"/>
    <d v="2017-10-24T00:00:00"/>
    <n v="10"/>
    <x v="551"/>
  </r>
  <r>
    <d v="2017-11-06T00:00:00"/>
    <s v="001-00010737"/>
    <n v="97.380002999999988"/>
    <n v="0"/>
    <n v="0"/>
    <n v="93.220338983050851"/>
    <n v="0"/>
    <n v="0"/>
    <n v="30.98875"/>
    <n v="0"/>
    <n v="124.20908898305085"/>
    <n v="-26.829085983050859"/>
    <n v="-0.2755091924062773"/>
    <x v="0"/>
    <s v="-"/>
    <x v="8"/>
    <x v="0"/>
    <n v="12"/>
    <n v="1"/>
    <d v="2017-10-25T00:00:00"/>
    <s v="HYUNDAI"/>
    <s v="ACCENT"/>
    <n v="0"/>
    <d v="2017-10-25T00:00:00"/>
    <n v="0"/>
    <x v="552"/>
  </r>
  <r>
    <d v="2017-11-06T00:00:00"/>
    <s v="001-00010667"/>
    <n v="1434.7320442000002"/>
    <n v="0.52149999000000002"/>
    <n v="0"/>
    <n v="110.00000000000001"/>
    <n v="0"/>
    <n v="73.125"/>
    <n v="185.9325"/>
    <n v="0"/>
    <n v="369.57899999"/>
    <n v="1065.1530442100002"/>
    <n v="0.74240555824758514"/>
    <x v="1"/>
    <s v="LEVE"/>
    <x v="8"/>
    <x v="0"/>
    <n v="19"/>
    <n v="1"/>
    <d v="2017-10-18T00:00:00"/>
    <s v="HYUNDAI"/>
    <s v="ACCENT"/>
    <n v="1866.9300000000003"/>
    <d v="2017-10-18T00:00:00"/>
    <n v="5"/>
    <x v="552"/>
  </r>
  <r>
    <d v="2017-11-06T00:00:00"/>
    <s v="001-00010707"/>
    <n v="2372.8260731"/>
    <n v="0"/>
    <n v="0"/>
    <n v="20.656779661016948"/>
    <n v="0"/>
    <n v="380.25"/>
    <n v="247.91"/>
    <n v="0"/>
    <n v="648.81677966101699"/>
    <n v="1724.0092934389831"/>
    <n v="0.7265637009739343"/>
    <x v="1"/>
    <s v="GRAVE"/>
    <x v="8"/>
    <x v="0"/>
    <n v="14"/>
    <n v="1"/>
    <d v="2017-10-23T00:00:00"/>
    <s v="SUZUKI"/>
    <s v="VITARA"/>
    <n v="2698.3125"/>
    <d v="2017-10-24T00:00:00"/>
    <n v="26"/>
    <x v="1"/>
  </r>
  <r>
    <d v="2017-11-07T00:00:00"/>
    <s v="001-00010819"/>
    <n v="322.03390999999999"/>
    <n v="55.080002000000015"/>
    <n v="0"/>
    <n v="0"/>
    <n v="0"/>
    <n v="0"/>
    <n v="0"/>
    <n v="0"/>
    <n v="55.080002000000015"/>
    <n v="266.95390799999996"/>
    <n v="0.8289621052640076"/>
    <x v="0"/>
    <s v="-"/>
    <x v="8"/>
    <x v="0"/>
    <n v="1"/>
    <n v="1"/>
    <d v="2017-11-06T00:00:00"/>
    <s v="KIA"/>
    <s v="RIO"/>
    <n v="323.01749999999998"/>
    <d v="2017-11-06T00:00:00"/>
    <n v="0"/>
    <x v="142"/>
  </r>
  <r>
    <d v="2017-11-07T00:00:00"/>
    <s v="001-00010816"/>
    <n v="629"/>
    <n v="244.03290159999997"/>
    <n v="0"/>
    <n v="0"/>
    <n v="47.823749999999997"/>
    <n v="0"/>
    <n v="0"/>
    <n v="0"/>
    <n v="291.85665159999996"/>
    <n v="337.14334840000004"/>
    <n v="0.5359989640699524"/>
    <x v="0"/>
    <s v="-"/>
    <x v="8"/>
    <x v="0"/>
    <n v="1"/>
    <n v="1"/>
    <d v="2017-11-06T00:00:00"/>
    <s v="KIA"/>
    <s v="RIO"/>
    <n v="250.76999999999998"/>
    <d v="2017-11-06T00:00:00"/>
    <n v="0"/>
    <x v="553"/>
  </r>
  <r>
    <d v="2017-11-07T00:00:00"/>
    <s v="001-00010692"/>
    <n v="1352.7381581254199"/>
    <n v="0"/>
    <n v="0"/>
    <n v="41.186440677966104"/>
    <n v="0"/>
    <n v="146.25"/>
    <n v="170.43812500000001"/>
    <n v="0"/>
    <n v="357.87456567796613"/>
    <n v="994.86359244745381"/>
    <n v="0.73544431823088596"/>
    <x v="1"/>
    <s v="MEDIANO"/>
    <x v="8"/>
    <x v="0"/>
    <n v="18"/>
    <n v="1"/>
    <d v="2017-10-20T00:00:00"/>
    <s v="RENAULT"/>
    <s v="LOGAN"/>
    <n v="750.1"/>
    <d v="2017-10-23T00:00:00"/>
    <n v="10"/>
    <x v="1"/>
  </r>
  <r>
    <d v="2017-11-07T00:00:00"/>
    <s v="001-00010732"/>
    <n v="768.02431228982994"/>
    <n v="0.71999994999999994"/>
    <n v="0"/>
    <n v="0"/>
    <n v="0"/>
    <n v="36.5625"/>
    <n v="123.955"/>
    <n v="0"/>
    <n v="161.23749995"/>
    <n v="606.78681233982991"/>
    <n v="0.79006198453629983"/>
    <x v="1"/>
    <s v="LEVE"/>
    <x v="8"/>
    <x v="0"/>
    <n v="13"/>
    <n v="1"/>
    <d v="2017-10-25T00:00:00"/>
    <s v="NISSAN"/>
    <s v="VERSA"/>
    <n v="1385.5074999999999"/>
    <d v="2017-10-26T00:00:00"/>
    <n v="2.5"/>
    <x v="1"/>
  </r>
  <r>
    <d v="2017-11-07T00:00:00"/>
    <s v="001-00010771"/>
    <n v="1090.6857014623711"/>
    <n v="0"/>
    <n v="0"/>
    <n v="0"/>
    <n v="0"/>
    <n v="117"/>
    <n v="123.955"/>
    <n v="113.75"/>
    <n v="354.70499999999998"/>
    <n v="735.98070146237114"/>
    <n v="0.67478715497561026"/>
    <x v="1"/>
    <s v="LEVE"/>
    <x v="8"/>
    <x v="0"/>
    <n v="7"/>
    <n v="1"/>
    <d v="2017-10-31T00:00:00"/>
    <s v="KIA"/>
    <s v="RIO"/>
    <n v="533.52"/>
    <d v="2017-10-24T00:00:00"/>
    <n v="8"/>
    <x v="1"/>
  </r>
  <r>
    <d v="2017-11-07T00:00:00"/>
    <s v="001-00010560"/>
    <n v="4399.3941357000003"/>
    <n v="73.464998520000009"/>
    <n v="0"/>
    <n v="75.677966101694921"/>
    <n v="73.125"/>
    <n v="409.5"/>
    <n v="495.82"/>
    <n v="113.75"/>
    <n v="1241.3379646216949"/>
    <n v="3158.0561710783054"/>
    <n v="0.71783888273420582"/>
    <x v="1"/>
    <s v="GRAVE"/>
    <x v="8"/>
    <x v="0"/>
    <n v="34"/>
    <n v="1"/>
    <d v="2017-10-04T00:00:00"/>
    <s v="CHEVROLET"/>
    <s v="AVEO"/>
    <n v="6285.5"/>
    <d v="2017-10-05T00:00:00"/>
    <n v="28"/>
    <x v="1"/>
  </r>
  <r>
    <d v="2017-11-07T00:00:00"/>
    <s v="001-00010668"/>
    <n v="1955.3381509327107"/>
    <n v="36.904999000000004"/>
    <n v="0"/>
    <n v="13.728813559322036"/>
    <n v="14.625"/>
    <n v="175.5"/>
    <n v="232.41562500000001"/>
    <n v="113.75"/>
    <n v="586.92443755932209"/>
    <n v="1368.4137133733886"/>
    <n v="0.6998348151293653"/>
    <x v="1"/>
    <s v="MEDIANO"/>
    <x v="8"/>
    <x v="0"/>
    <n v="20"/>
    <n v="1"/>
    <d v="2017-10-18T00:00:00"/>
    <s v="VOLKSWAGUEN"/>
    <s v="CROSSFOX"/>
    <n v="3003.8775000000001"/>
    <d v="2017-10-19T00:00:00"/>
    <n v="12"/>
    <x v="1"/>
  </r>
  <r>
    <d v="2017-11-07T00:00:00"/>
    <s v="001-00010747"/>
    <n v="1008.2620310999999"/>
    <n v="0"/>
    <n v="0"/>
    <n v="0"/>
    <n v="0"/>
    <n v="73.125"/>
    <n v="247.91"/>
    <n v="0"/>
    <n v="321.03499999999997"/>
    <n v="687.22703109999998"/>
    <n v="0.68159566650570469"/>
    <x v="2"/>
    <s v="LEVE"/>
    <x v="8"/>
    <x v="0"/>
    <n v="11"/>
    <n v="1"/>
    <d v="2017-10-27T00:00:00"/>
    <s v="KIA"/>
    <s v="CERATO"/>
    <n v="58.857500000000002"/>
    <d v="2017-10-26T00:00:00"/>
    <n v="5"/>
    <x v="2"/>
  </r>
  <r>
    <d v="2017-11-07T00:00:00"/>
    <s v="001-00010789"/>
    <n v="478.11401480000001"/>
    <n v="0"/>
    <n v="0"/>
    <n v="0"/>
    <n v="0"/>
    <n v="14.625"/>
    <n v="61.977499999999999"/>
    <n v="0"/>
    <n v="76.602499999999992"/>
    <n v="401.51151479999999"/>
    <n v="0.83978193981190108"/>
    <x v="1"/>
    <s v="LEVE"/>
    <x v="8"/>
    <x v="0"/>
    <n v="5"/>
    <n v="1"/>
    <d v="2017-11-02T00:00:00"/>
    <s v="CHEVROLET"/>
    <s v="SAIL"/>
    <n v="676.35750000000007"/>
    <d v="2017-11-03T00:00:00"/>
    <n v="1"/>
    <x v="1"/>
  </r>
  <r>
    <d v="2017-11-07T00:00:00"/>
    <s v="001-00010722"/>
    <n v="359.86201109999996"/>
    <n v="0"/>
    <n v="0"/>
    <n v="41.186440677966104"/>
    <n v="0"/>
    <n v="29.25"/>
    <n v="61.977499999999999"/>
    <n v="0"/>
    <n v="132.41394067796611"/>
    <n v="227.44807042203385"/>
    <n v="0.63204245907142897"/>
    <x v="2"/>
    <s v="LEVE"/>
    <x v="8"/>
    <x v="0"/>
    <n v="14"/>
    <n v="1"/>
    <d v="2017-10-24T00:00:00"/>
    <s v="KIA"/>
    <s v="CERATO"/>
    <n v="636.61"/>
    <d v="2017-10-26T00:00:00"/>
    <n v="2"/>
    <x v="2"/>
  </r>
  <r>
    <d v="2017-11-07T00:00:00"/>
    <s v="001-00010748"/>
    <n v="450.63801389999998"/>
    <n v="0"/>
    <n v="0"/>
    <n v="61.779661016949156"/>
    <n v="0"/>
    <n v="29.25"/>
    <n v="61.977499999999999"/>
    <n v="0"/>
    <n v="153.00716101694914"/>
    <n v="297.63085288305081"/>
    <n v="0.66046548161180507"/>
    <x v="2"/>
    <s v="LEVE"/>
    <x v="8"/>
    <x v="0"/>
    <n v="11"/>
    <n v="1"/>
    <d v="2017-10-27T00:00:00"/>
    <s v="KIA"/>
    <s v="CERATO"/>
    <n v="1303.8025"/>
    <d v="2017-10-26T00:00:00"/>
    <n v="2"/>
    <x v="2"/>
  </r>
  <r>
    <d v="2017-11-08T00:00:00"/>
    <s v="001-00010834"/>
    <n v="400"/>
    <n v="128.57900175"/>
    <n v="0"/>
    <n v="0"/>
    <n v="39.048749999999998"/>
    <n v="0"/>
    <n v="0"/>
    <n v="0"/>
    <n v="167.62775175000002"/>
    <n v="232.37224824999998"/>
    <n v="0.580930620625"/>
    <x v="0"/>
    <s v="-"/>
    <x v="8"/>
    <x v="0"/>
    <n v="0"/>
    <n v="1"/>
    <d v="2017-11-08T00:00:00"/>
    <s v="SUZUKI"/>
    <s v="GRAND V."/>
    <n v="0"/>
    <d v="2017-11-08T00:00:00"/>
    <n v="0"/>
    <x v="554"/>
  </r>
  <r>
    <d v="2017-11-08T00:00:00"/>
    <s v="001-00010741"/>
    <n v="1199.0305308300001"/>
    <n v="0.71999994999999994"/>
    <n v="0"/>
    <n v="82.372881355932208"/>
    <n v="0"/>
    <n v="102.375"/>
    <n v="154.94374999999999"/>
    <n v="0"/>
    <n v="340.41163130593225"/>
    <n v="858.61889952406784"/>
    <n v="0.71609427570598183"/>
    <x v="1"/>
    <s v="LEVE"/>
    <x v="8"/>
    <x v="0"/>
    <n v="13"/>
    <n v="1"/>
    <d v="2017-10-26T00:00:00"/>
    <s v="HYUNDAI"/>
    <s v="ACCENT"/>
    <n v="718.80250000000001"/>
    <d v="2017-10-27T00:00:00"/>
    <n v="7"/>
    <x v="1"/>
  </r>
  <r>
    <d v="2017-11-08T00:00:00"/>
    <s v="001-00010784"/>
    <n v="691.69330830000001"/>
    <n v="0"/>
    <n v="0"/>
    <n v="34.322033898305094"/>
    <n v="0"/>
    <n v="58.5"/>
    <n v="123.33522500000001"/>
    <n v="0"/>
    <n v="216.15725889830509"/>
    <n v="475.53604940169492"/>
    <n v="0.6874955181660457"/>
    <x v="1"/>
    <s v="LEVE"/>
    <x v="8"/>
    <x v="0"/>
    <n v="6"/>
    <n v="1"/>
    <d v="2017-11-02T00:00:00"/>
    <s v="CHEVROLET"/>
    <s v="SAIL"/>
    <n v="0"/>
    <d v="2017-11-02T00:00:00"/>
    <n v="4"/>
    <x v="1"/>
  </r>
  <r>
    <d v="2017-11-08T00:00:00"/>
    <s v="001-00010778"/>
    <n v="877.64371773000016"/>
    <n v="0"/>
    <n v="0"/>
    <n v="61.779661016949156"/>
    <n v="0"/>
    <n v="73.125"/>
    <n v="123.955"/>
    <n v="0"/>
    <n v="258.85966101694913"/>
    <n v="618.78405671305109"/>
    <n v="0.70505154222891031"/>
    <x v="1"/>
    <s v="LEVE"/>
    <x v="8"/>
    <x v="0"/>
    <n v="6"/>
    <n v="1"/>
    <d v="2017-11-02T00:00:00"/>
    <s v="MAZDA"/>
    <s v="MAZDA 3"/>
    <n v="214.5975"/>
    <d v="2017-11-02T00:00:00"/>
    <n v="5"/>
    <x v="1"/>
  </r>
  <r>
    <d v="2017-11-08T00:00:00"/>
    <s v="001-00010743"/>
    <n v="1405.0984691700003"/>
    <n v="0.43199996999999996"/>
    <n v="0"/>
    <n v="41.186440677966104"/>
    <n v="0"/>
    <n v="131.625"/>
    <n v="154.94374999999999"/>
    <n v="0"/>
    <n v="328.18719064796608"/>
    <n v="1076.9112785220341"/>
    <n v="0.76643118055503379"/>
    <x v="1"/>
    <s v="MEDIANO"/>
    <x v="8"/>
    <x v="0"/>
    <n v="13"/>
    <n v="1"/>
    <d v="2017-10-26T00:00:00"/>
    <s v="RENAULT"/>
    <s v="CAPTURE"/>
    <n v="1612.52"/>
    <d v="2017-10-17T00:00:00"/>
    <n v="9"/>
    <x v="1"/>
  </r>
  <r>
    <d v="2017-11-09T00:00:00"/>
    <s v="001-00010444"/>
    <n v="2236.7380000000003"/>
    <n v="0"/>
    <n v="0"/>
    <n v="63.56"/>
    <n v="43.875"/>
    <n v="175.5"/>
    <n v="325.38187500000004"/>
    <n v="81.25"/>
    <n v="689.56687499999998"/>
    <n v="1547.1711250000003"/>
    <n v="0.6917086958776576"/>
    <x v="1"/>
    <s v="MEDIANO"/>
    <x v="8"/>
    <x v="0"/>
    <n v="50"/>
    <n v="1"/>
    <d v="2017-09-20T00:00:00"/>
    <s v="CHEVROLET"/>
    <s v="SAIL"/>
    <n v="1725.8799999999999"/>
    <d v="2017-09-23T00:00:00"/>
    <n v="12"/>
    <x v="555"/>
  </r>
  <r>
    <d v="2017-11-09T00:00:00"/>
    <s v="001-00010844"/>
    <n v="350"/>
    <n v="58.850848849999998"/>
    <n v="0"/>
    <n v="0"/>
    <n v="39.048749999999998"/>
    <n v="0"/>
    <n v="0"/>
    <n v="0"/>
    <n v="97.89959884999999"/>
    <n v="252.10040115000001"/>
    <n v="0.72028686042857148"/>
    <x v="0"/>
    <s v="-"/>
    <x v="8"/>
    <x v="0"/>
    <n v="0"/>
    <n v="1"/>
    <d v="2017-11-09T00:00:00"/>
    <s v="NISSAN"/>
    <s v="QASHQAI"/>
    <n v="0"/>
    <d v="2017-11-09T00:00:00"/>
    <n v="0"/>
    <x v="50"/>
  </r>
  <r>
    <d v="2017-11-09T00:00:00"/>
    <s v="001-00010761"/>
    <n v="416.16659964400009"/>
    <n v="0.79079999999999995"/>
    <n v="0"/>
    <n v="13.728813559322036"/>
    <n v="0"/>
    <n v="29.25"/>
    <n v="61.977499999999999"/>
    <n v="0"/>
    <n v="105.74711355932203"/>
    <n v="310.41948608467806"/>
    <n v="0.74590196894757799"/>
    <x v="1"/>
    <s v="LEVE"/>
    <x v="8"/>
    <x v="0"/>
    <n v="10"/>
    <n v="1"/>
    <d v="2017-10-30T00:00:00"/>
    <s v="NISSAN"/>
    <s v="TIIDA"/>
    <n v="1408.875"/>
    <d v="2017-10-31T00:00:00"/>
    <n v="2"/>
    <x v="1"/>
  </r>
  <r>
    <d v="2017-11-09T00:00:00"/>
    <s v="001-00010730"/>
    <n v="2882.2940000000003"/>
    <n v="1.07199998"/>
    <n v="0"/>
    <n v="137.28813559322037"/>
    <n v="0"/>
    <n v="292.5"/>
    <n v="387.359375"/>
    <n v="0"/>
    <n v="818.2195105732203"/>
    <n v="2064.07448942678"/>
    <n v="0.71612211989019159"/>
    <x v="1"/>
    <s v="MEDIANO"/>
    <x v="8"/>
    <x v="0"/>
    <n v="15"/>
    <n v="1"/>
    <d v="2017-10-25T00:00:00"/>
    <s v="NISSAN"/>
    <s v="VERSA"/>
    <n v="3837.6"/>
    <d v="2017-10-26T00:00:00"/>
    <n v="20"/>
    <x v="1"/>
  </r>
  <r>
    <d v="2017-11-09T00:00:00"/>
    <s v="001-00010717"/>
    <n v="2484.18931436"/>
    <n v="0"/>
    <n v="0"/>
    <n v="27.457627118644073"/>
    <n v="14.625"/>
    <n v="292.5"/>
    <n v="308.02817500000003"/>
    <n v="0"/>
    <n v="642.61080211864407"/>
    <n v="1841.5785122413558"/>
    <n v="0.74131971407976227"/>
    <x v="1"/>
    <s v="MEDIANO"/>
    <x v="8"/>
    <x v="0"/>
    <n v="16"/>
    <n v="1"/>
    <d v="2017-10-24T00:00:00"/>
    <s v="CHEVROLET"/>
    <s v="SPARK"/>
    <n v="2318.0625"/>
    <d v="2017-10-24T00:00:00"/>
    <n v="20"/>
    <x v="1"/>
  </r>
  <r>
    <d v="2017-11-10T00:00:00"/>
    <s v="001-00010659"/>
    <n v="577.67794593660892"/>
    <n v="0"/>
    <n v="0"/>
    <n v="0"/>
    <n v="0"/>
    <n v="0"/>
    <n v="216.92125000000001"/>
    <n v="0"/>
    <n v="216.92125000000001"/>
    <n v="360.75669593660893"/>
    <n v="0.62449449295091541"/>
    <x v="0"/>
    <s v="-"/>
    <x v="8"/>
    <x v="0"/>
    <n v="24"/>
    <n v="1"/>
    <d v="2017-10-17T00:00:00"/>
    <s v="HYUNDAI"/>
    <s v="ACCENT"/>
    <n v="115.21250000000001"/>
    <d v="2017-10-17T00:00:00"/>
    <n v="0"/>
    <x v="556"/>
  </r>
  <r>
    <d v="2017-11-10T00:00:00"/>
    <s v="001-00010184"/>
    <n v="8886.1156949798333"/>
    <n v="75.234700000000004"/>
    <n v="0"/>
    <n v="264.57237288135593"/>
    <n v="13.601250000000002"/>
    <n v="1462.5"/>
    <n v="991.64"/>
    <n v="0"/>
    <n v="2807.5483228813559"/>
    <n v="6078.5673720984778"/>
    <n v="0.68405224293135569"/>
    <x v="1"/>
    <s v="GRAVE"/>
    <x v="8"/>
    <x v="0"/>
    <n v="84"/>
    <n v="1"/>
    <d v="2017-08-18T00:00:00"/>
    <s v="HYUNDAI"/>
    <s v="ACCENT"/>
    <n v="6459.8950000000004"/>
    <d v="2017-08-31T00:00:00"/>
    <n v="100"/>
    <x v="556"/>
  </r>
  <r>
    <d v="2017-11-10T00:00:00"/>
    <s v="001-00010740"/>
    <n v="2641.446247035421"/>
    <n v="8.4700003000000006"/>
    <n v="0"/>
    <n v="48.050847457627121"/>
    <n v="14.625"/>
    <n v="351"/>
    <n v="371.86500000000001"/>
    <n v="0"/>
    <n v="794.01084775762706"/>
    <n v="1847.435399277794"/>
    <n v="0.69940298855266481"/>
    <x v="1"/>
    <s v="MEDIANO"/>
    <x v="8"/>
    <x v="0"/>
    <n v="15"/>
    <n v="1"/>
    <d v="2017-10-26T00:00:00"/>
    <s v="NISSAN"/>
    <s v="TIIDA"/>
    <n v="2939.105"/>
    <d v="2017-10-27T00:00:00"/>
    <n v="24"/>
    <x v="1"/>
  </r>
  <r>
    <d v="2017-11-11T00:00:00"/>
    <s v="001-00010756"/>
    <n v="1320.32417387542"/>
    <n v="0"/>
    <n v="0"/>
    <n v="0"/>
    <n v="0"/>
    <n v="146.25"/>
    <n v="201.426875"/>
    <n v="0"/>
    <n v="347.676875"/>
    <n v="972.64729887542001"/>
    <n v="0.7366730975018827"/>
    <x v="1"/>
    <s v="MEDIANO"/>
    <x v="8"/>
    <x v="0"/>
    <n v="14"/>
    <n v="1"/>
    <d v="2017-10-28T00:00:00"/>
    <s v="RENAULT"/>
    <s v="LOGAN"/>
    <n v="2611.9925000000003"/>
    <d v="2017-10-30T00:00:00"/>
    <n v="10"/>
    <x v="557"/>
  </r>
  <r>
    <d v="2017-11-11T00:00:00"/>
    <s v="001-00010702"/>
    <n v="1970.3220606999998"/>
    <n v="0.98459996999999988"/>
    <n v="0"/>
    <n v="55.084745762711869"/>
    <n v="0"/>
    <n v="292.5"/>
    <n v="185.9325"/>
    <n v="0"/>
    <n v="534.5018457327119"/>
    <n v="1435.8202149672879"/>
    <n v="0.72872361509122097"/>
    <x v="1"/>
    <s v="MEDIANO"/>
    <x v="8"/>
    <x v="0"/>
    <n v="19"/>
    <n v="1"/>
    <d v="2017-10-23T00:00:00"/>
    <s v="MITSUBISHI"/>
    <s v="ASX"/>
    <n v="3719.5275000000001"/>
    <d v="2017-10-24T00:00:00"/>
    <n v="20"/>
    <x v="558"/>
  </r>
  <r>
    <d v="2017-11-11T00:00:00"/>
    <s v="001-00010769"/>
    <n v="1950.8460600999997"/>
    <n v="0"/>
    <n v="0"/>
    <n v="48.050847457627121"/>
    <n v="87.75"/>
    <n v="175.5"/>
    <n v="247.91"/>
    <n v="0"/>
    <n v="559.2108474576271"/>
    <n v="1391.6352126423726"/>
    <n v="0.71334957745002081"/>
    <x v="1"/>
    <s v="MEDIANO"/>
    <x v="8"/>
    <x v="0"/>
    <n v="11"/>
    <n v="1"/>
    <d v="2017-10-31T00:00:00"/>
    <s v="VOLKSWAGUEN"/>
    <s v="GOL"/>
    <n v="3018.4375"/>
    <d v="2017-11-03T00:00:00"/>
    <n v="12"/>
    <x v="559"/>
  </r>
  <r>
    <d v="2017-11-11T00:00:00"/>
    <s v="001-00010646"/>
    <n v="4014.5042893354212"/>
    <n v="0"/>
    <n v="0"/>
    <n v="144.07"/>
    <n v="87.75"/>
    <n v="351"/>
    <n v="511.31437500000004"/>
    <n v="227.5"/>
    <n v="1321.6343750000001"/>
    <n v="2692.8699143354211"/>
    <n v="0.67078516306211511"/>
    <x v="1"/>
    <s v="GRAVE"/>
    <x v="8"/>
    <x v="0"/>
    <n v="25"/>
    <n v="1"/>
    <d v="2017-10-17T00:00:00"/>
    <s v="TOYOTA"/>
    <s v="YARIS"/>
    <n v="8616.3675000000003"/>
    <d v="2017-10-24T00:00:00"/>
    <n v="24"/>
    <x v="1"/>
  </r>
  <r>
    <d v="2017-11-11T00:00:00"/>
    <s v="001-00010752"/>
    <n v="1160.8576348227109"/>
    <n v="0"/>
    <n v="0"/>
    <n v="0"/>
    <n v="0"/>
    <n v="87.75"/>
    <n v="185.9325"/>
    <n v="0"/>
    <n v="273.6825"/>
    <n v="887.1751348227109"/>
    <n v="0.7642411164037376"/>
    <x v="1"/>
    <s v="LEVE"/>
    <x v="8"/>
    <x v="0"/>
    <n v="15"/>
    <n v="1"/>
    <d v="2017-10-27T00:00:00"/>
    <s v="KIA"/>
    <s v="RIO"/>
    <n v="427.99250000000001"/>
    <d v="2017-10-28T00:00:00"/>
    <n v="6"/>
    <x v="1"/>
  </r>
  <r>
    <d v="2017-11-11T00:00:00"/>
    <s v="001-00010762"/>
    <n v="1901.6334201238992"/>
    <n v="1.9691999399999998"/>
    <n v="0"/>
    <n v="34.322033898305094"/>
    <n v="0"/>
    <n v="102.375"/>
    <n v="371.86500000000001"/>
    <n v="0"/>
    <n v="510.53123383830507"/>
    <n v="1391.1021862855941"/>
    <n v="0.73153015274361244"/>
    <x v="1"/>
    <s v="LEVE"/>
    <x v="8"/>
    <x v="0"/>
    <n v="12"/>
    <n v="1"/>
    <d v="2017-10-30T00:00:00"/>
    <s v="CHEVROLET"/>
    <s v="SAIL"/>
    <n v="0"/>
    <d v="2017-10-31T00:00:00"/>
    <n v="7"/>
    <x v="1"/>
  </r>
  <r>
    <d v="2017-11-11T00:00:00"/>
    <s v="001-00010826"/>
    <n v="621.80151669393035"/>
    <n v="0"/>
    <n v="0"/>
    <n v="89.237288135593232"/>
    <n v="0"/>
    <n v="29.25"/>
    <n v="61.977499999999999"/>
    <n v="0"/>
    <n v="180.46478813559324"/>
    <n v="441.33672855833709"/>
    <n v="0.70977107116896354"/>
    <x v="1"/>
    <s v="LEVE"/>
    <x v="8"/>
    <x v="0"/>
    <n v="4"/>
    <n v="1"/>
    <d v="2017-11-07T00:00:00"/>
    <s v="SUZUKI"/>
    <s v="GRAND N."/>
    <n v="288.99"/>
    <d v="2017-09-28T00:00:00"/>
    <n v="2"/>
    <x v="1"/>
  </r>
  <r>
    <d v="2017-11-11T00:00:00"/>
    <s v="001-00010773"/>
    <n v="1700.5463431889798"/>
    <n v="0.54479997999999996"/>
    <n v="0"/>
    <n v="34.322033898305094"/>
    <n v="0"/>
    <n v="204.75"/>
    <n v="255.96707500000002"/>
    <n v="0"/>
    <n v="495.58390887830512"/>
    <n v="1204.9624343106748"/>
    <n v="0.70857371169964567"/>
    <x v="1"/>
    <s v="MEDIANO"/>
    <x v="8"/>
    <x v="0"/>
    <n v="9"/>
    <n v="1"/>
    <d v="2017-11-02T00:00:00"/>
    <s v="NISSAN"/>
    <s v="VERSA"/>
    <n v="3451.8900000000003"/>
    <d v="2017-11-02T00:00:00"/>
    <n v="14"/>
    <x v="1"/>
  </r>
  <r>
    <d v="2017-11-11T00:00:00"/>
    <s v="001-00010708"/>
    <n v="4744.0291461500001"/>
    <n v="10.17"/>
    <n v="0"/>
    <n v="54.915254237288146"/>
    <n v="14.625"/>
    <n v="585"/>
    <n v="526.80875000000003"/>
    <n v="0"/>
    <n v="1191.5190042372883"/>
    <n v="3552.5101419127118"/>
    <n v="0.74883817794326557"/>
    <x v="1"/>
    <s v="GRAVE"/>
    <x v="8"/>
    <x v="0"/>
    <n v="19"/>
    <n v="1"/>
    <d v="2017-10-23T00:00:00"/>
    <s v="NISSAN"/>
    <s v="SENTRA"/>
    <n v="6167.8824999999997"/>
    <d v="2017-10-24T00:00:00"/>
    <n v="40"/>
    <x v="1"/>
  </r>
  <r>
    <d v="2017-11-11T00:00:00"/>
    <s v="001-00010755"/>
    <n v="1018.77628278559"/>
    <n v="0"/>
    <n v="0"/>
    <n v="48.050847457627121"/>
    <n v="0"/>
    <n v="102.375"/>
    <n v="123.955"/>
    <n v="0"/>
    <n v="274.38084745762711"/>
    <n v="744.39543532796279"/>
    <n v="0.73067605509287958"/>
    <x v="1"/>
    <s v="LEVE"/>
    <x v="8"/>
    <x v="0"/>
    <n v="14"/>
    <n v="1"/>
    <d v="2017-10-28T00:00:00"/>
    <s v="SUZUKI"/>
    <s v="SX4"/>
    <n v="2518.36"/>
    <d v="2017-10-30T00:00:00"/>
    <n v="7"/>
    <x v="1"/>
  </r>
  <r>
    <d v="2017-11-11T00:00:00"/>
    <s v="001-00010793"/>
    <n v="1448.9813354389798"/>
    <n v="0"/>
    <n v="0"/>
    <n v="34.322033898305094"/>
    <n v="0"/>
    <n v="146.25"/>
    <n v="201.426875"/>
    <n v="0"/>
    <n v="381.9989088983051"/>
    <n v="1066.9824265406746"/>
    <n v="0.73636726743441749"/>
    <x v="1"/>
    <s v="MEDIANO"/>
    <x v="8"/>
    <x v="0"/>
    <n v="9"/>
    <n v="1"/>
    <d v="2017-11-02T00:00:00"/>
    <s v="HYUNDAI"/>
    <s v="ACCENT"/>
    <n v="0"/>
    <d v="2017-11-02T00:00:00"/>
    <n v="10"/>
    <x v="1"/>
  </r>
  <r>
    <d v="2017-11-11T00:00:00"/>
    <s v="001-00010764"/>
    <n v="2213.7720681999999"/>
    <n v="0"/>
    <n v="0"/>
    <n v="0"/>
    <n v="14.625"/>
    <n v="263.25"/>
    <n v="185.9325"/>
    <n v="0"/>
    <n v="463.8075"/>
    <n v="1749.9645682"/>
    <n v="0.79048994850806031"/>
    <x v="1"/>
    <s v="MEDIANO"/>
    <x v="8"/>
    <x v="0"/>
    <n v="12"/>
    <n v="1"/>
    <d v="2017-10-30T00:00:00"/>
    <s v="KIA"/>
    <s v="RIO"/>
    <n v="1455.48"/>
    <d v="2017-10-31T00:00:00"/>
    <n v="18"/>
    <x v="1"/>
  </r>
  <r>
    <d v="2017-11-11T00:00:00"/>
    <s v="001-00010835"/>
    <n v="1283.79303955"/>
    <n v="0"/>
    <n v="0"/>
    <n v="0"/>
    <n v="0"/>
    <n v="87.75"/>
    <n v="526.80875000000003"/>
    <n v="0"/>
    <n v="614.55875000000003"/>
    <n v="669.23428954999997"/>
    <n v="0.52129453029639616"/>
    <x v="2"/>
    <s v="LEVE"/>
    <x v="8"/>
    <x v="0"/>
    <n v="3"/>
    <n v="1"/>
    <d v="2017-11-08T00:00:00"/>
    <s v="MAZDA"/>
    <s v="MAZDA 3"/>
    <n v="0"/>
    <d v="2017-11-08T00:00:00"/>
    <n v="6"/>
    <x v="2"/>
  </r>
  <r>
    <d v="2017-11-13T00:00:00"/>
    <s v="001-00010783"/>
    <n v="972.90000000000009"/>
    <n v="0"/>
    <n v="0"/>
    <n v="61.779661016949156"/>
    <n v="0"/>
    <n v="58.5"/>
    <n v="140.68892499999998"/>
    <n v="0"/>
    <n v="260.96858601694913"/>
    <n v="711.93141398305102"/>
    <n v="0.73176216875634803"/>
    <x v="0"/>
    <s v="LEVE"/>
    <x v="8"/>
    <x v="0"/>
    <n v="11"/>
    <n v="1"/>
    <d v="2017-11-02T00:00:00"/>
    <s v="TOYOTA"/>
    <s v="COROLLA"/>
    <n v="0"/>
    <d v="2017-11-02T00:00:00"/>
    <n v="4"/>
    <x v="560"/>
  </r>
  <r>
    <d v="2017-11-13T00:00:00"/>
    <s v="001-00010760"/>
    <n v="1573.3771230000002"/>
    <n v="0"/>
    <n v="0"/>
    <n v="0"/>
    <n v="0"/>
    <n v="204.75"/>
    <n v="201.426875"/>
    <n v="0"/>
    <n v="406.176875"/>
    <n v="1167.2002480000001"/>
    <n v="0.74184391709882513"/>
    <x v="1"/>
    <s v="MEDIANO"/>
    <x v="8"/>
    <x v="0"/>
    <n v="14"/>
    <n v="1"/>
    <d v="2017-10-30T00:00:00"/>
    <s v="MAZDA"/>
    <s v="CX-5"/>
    <n v="1242.28"/>
    <d v="2017-10-31T00:00:00"/>
    <n v="14"/>
    <x v="1"/>
  </r>
  <r>
    <d v="2017-11-13T00:00:00"/>
    <s v="001-00010758"/>
    <n v="2284.5835298699999"/>
    <n v="0"/>
    <n v="0"/>
    <n v="61.779661016949156"/>
    <n v="0"/>
    <n v="263.25"/>
    <n v="323.52255000000002"/>
    <n v="0"/>
    <n v="648.55221101694917"/>
    <n v="1636.0313188530508"/>
    <n v="0.71611796962667684"/>
    <x v="1"/>
    <s v="MEDIANO"/>
    <x v="8"/>
    <x v="0"/>
    <n v="14"/>
    <n v="1"/>
    <d v="2017-10-30T00:00:00"/>
    <s v="NISSAN"/>
    <s v="VERSA"/>
    <n v="2469.2849999999999"/>
    <d v="2017-10-30T00:00:00"/>
    <n v="18"/>
    <x v="1"/>
  </r>
  <r>
    <d v="2017-11-13T00:00:00"/>
    <s v="001-00010683"/>
    <n v="1514.5085655000005"/>
    <n v="0"/>
    <n v="0"/>
    <n v="0"/>
    <n v="58.5"/>
    <n v="117"/>
    <n v="216.92125000000001"/>
    <n v="0"/>
    <n v="392.42124999999999"/>
    <n v="1122.0873155000004"/>
    <n v="0.74089202336703464"/>
    <x v="1"/>
    <s v="MEDIANO"/>
    <x v="8"/>
    <x v="0"/>
    <n v="25"/>
    <n v="1"/>
    <d v="2017-10-19T00:00:00"/>
    <s v="NISSAN"/>
    <s v="SENTRA"/>
    <n v="6516.1525000000001"/>
    <d v="2017-10-21T00:00:00"/>
    <n v="8"/>
    <x v="1"/>
  </r>
  <r>
    <d v="2017-11-13T00:00:00"/>
    <s v="001-00010824"/>
    <n v="1223.1331230000001"/>
    <n v="0"/>
    <n v="0"/>
    <n v="61.779661016949156"/>
    <n v="0"/>
    <n v="117"/>
    <n v="185.9325"/>
    <n v="0"/>
    <n v="364.71216101694915"/>
    <n v="858.42096198305092"/>
    <n v="0.70182136828866737"/>
    <x v="1"/>
    <s v="LEVE"/>
    <x v="8"/>
    <x v="0"/>
    <n v="8"/>
    <n v="1"/>
    <d v="2017-11-05T00:00:00"/>
    <s v="KIA"/>
    <s v="PICANTO"/>
    <n v="64.057500000000005"/>
    <d v="2017-11-03T00:00:00"/>
    <n v="8"/>
    <x v="1"/>
  </r>
  <r>
    <d v="2017-11-13T00:00:00"/>
    <s v="001-00010710"/>
    <n v="1833.9165"/>
    <n v="0"/>
    <n v="0"/>
    <n v="41.186440677966104"/>
    <n v="0"/>
    <n v="190.125"/>
    <n v="309.88749999999999"/>
    <n v="0"/>
    <n v="541.19894067796611"/>
    <n v="1292.717559322034"/>
    <n v="0.7048944482052667"/>
    <x v="1"/>
    <s v="MEDIANO"/>
    <x v="8"/>
    <x v="0"/>
    <n v="21"/>
    <n v="1"/>
    <d v="2017-10-23T00:00:00"/>
    <s v="CHEVROLET"/>
    <s v="SAIL"/>
    <n v="1378.7150000000001"/>
    <d v="2017-10-24T00:00:00"/>
    <n v="13"/>
    <x v="1"/>
  </r>
  <r>
    <d v="2017-11-14T00:00:00"/>
    <s v="001-00010880"/>
    <n v="450"/>
    <n v="225.86320175"/>
    <n v="0"/>
    <n v="0"/>
    <n v="39.048749999999998"/>
    <n v="0"/>
    <n v="0"/>
    <n v="0"/>
    <n v="264.91195175000001"/>
    <n v="185.08804824999999"/>
    <n v="0.41130677388888887"/>
    <x v="0"/>
    <s v="-"/>
    <x v="8"/>
    <x v="0"/>
    <n v="3"/>
    <n v="1"/>
    <d v="2017-11-11T00:00:00"/>
    <s v="FORD"/>
    <s v="ECOSPORT"/>
    <n v="0"/>
    <d v="2017-11-13T00:00:00"/>
    <n v="0"/>
    <x v="561"/>
  </r>
  <r>
    <d v="2017-11-14T00:00:00"/>
    <s v="001-00010188"/>
    <n v="4589.2154644400007"/>
    <n v="0.57599996000000009"/>
    <n v="0"/>
    <n v="68.81355932203391"/>
    <n v="87.75"/>
    <n v="643.5"/>
    <n v="464.83125000000001"/>
    <n v="0"/>
    <n v="1265.470809282034"/>
    <n v="3323.7446551579669"/>
    <n v="0.72425116687423763"/>
    <x v="1"/>
    <s v="GRAVE"/>
    <x v="8"/>
    <x v="0"/>
    <n v="85"/>
    <n v="1"/>
    <d v="2017-08-21T00:00:00"/>
    <s v="HYUNDAI"/>
    <s v="ELANTRA"/>
    <n v="7618.8450000000012"/>
    <d v="2017-08-23T00:00:00"/>
    <n v="44"/>
    <x v="1"/>
  </r>
  <r>
    <d v="2017-11-14T00:00:00"/>
    <s v="001-00010836"/>
    <n v="871.89374036000004"/>
    <n v="0.65900000000000003"/>
    <n v="0"/>
    <n v="0"/>
    <n v="0"/>
    <n v="43.875"/>
    <n v="206.385075"/>
    <n v="0"/>
    <n v="250.91907499999999"/>
    <n v="620.97466536000002"/>
    <n v="0.71221369831558035"/>
    <x v="1"/>
    <s v="LEVE"/>
    <x v="8"/>
    <x v="0"/>
    <n v="6"/>
    <n v="1"/>
    <d v="2017-11-08T00:00:00"/>
    <s v="KIA"/>
    <s v="RIO"/>
    <n v="2183.61"/>
    <d v="2017-11-08T00:00:00"/>
    <n v="3"/>
    <x v="1"/>
  </r>
  <r>
    <d v="2017-11-14T00:00:00"/>
    <s v="001-00010675"/>
    <n v="2238.4148560400004"/>
    <n v="0"/>
    <n v="0"/>
    <n v="0"/>
    <n v="0"/>
    <n v="234"/>
    <n v="294.393125"/>
    <n v="0"/>
    <n v="528.39312500000005"/>
    <n v="1710.0217310400003"/>
    <n v="0.76394316559586051"/>
    <x v="1"/>
    <s v="MEDIANO"/>
    <x v="8"/>
    <x v="0"/>
    <n v="27"/>
    <n v="1"/>
    <d v="2017-10-18T00:00:00"/>
    <s v="SUZUKI"/>
    <s v="SX4"/>
    <n v="4734.6975000000002"/>
    <d v="2017-10-19T00:00:00"/>
    <n v="16"/>
    <x v="1"/>
  </r>
  <r>
    <d v="2017-11-14T00:00:00"/>
    <s v="001-00010800"/>
    <n v="663.72791479999989"/>
    <n v="0"/>
    <n v="55.087499999999999"/>
    <n v="0"/>
    <n v="0"/>
    <n v="73.125"/>
    <n v="92.966250000000002"/>
    <n v="0"/>
    <n v="221.17875000000001"/>
    <n v="442.54916479999986"/>
    <n v="0.66676292337855414"/>
    <x v="1"/>
    <s v="LEVE"/>
    <x v="8"/>
    <x v="0"/>
    <n v="11"/>
    <n v="1"/>
    <d v="2017-11-03T00:00:00"/>
    <s v="HYUNDAI"/>
    <s v="ELANTRA"/>
    <n v="440.505"/>
    <d v="2017-11-06T00:00:00"/>
    <n v="5"/>
    <x v="1"/>
  </r>
  <r>
    <d v="2017-11-14T00:00:00"/>
    <s v="001-00010889"/>
    <n v="405"/>
    <n v="106.41759775000001"/>
    <n v="0"/>
    <n v="0"/>
    <n v="39.048749999999998"/>
    <n v="0"/>
    <n v="0"/>
    <n v="0"/>
    <n v="145.46634775000001"/>
    <n v="259.53365224999999"/>
    <n v="0.64082383271604937"/>
    <x v="0"/>
    <s v="-"/>
    <x v="8"/>
    <x v="0"/>
    <n v="3"/>
    <n v="1"/>
    <d v="2017-11-11T00:00:00"/>
    <s v="KIA"/>
    <s v="SORENTO"/>
    <n v="0"/>
    <d v="2017-11-14T00:00:00"/>
    <n v="0"/>
    <x v="157"/>
  </r>
  <r>
    <d v="2017-11-15T00:00:00"/>
    <s v="001-00010818"/>
    <n v="742.64699999999993"/>
    <n v="0"/>
    <n v="0"/>
    <n v="106.35203389830509"/>
    <n v="0"/>
    <n v="43.875"/>
    <n v="123.955"/>
    <n v="113.75"/>
    <n v="387.93203389830506"/>
    <n v="354.71496610169487"/>
    <n v="0.47763603179127484"/>
    <x v="1"/>
    <s v="LEVE"/>
    <x v="8"/>
    <x v="0"/>
    <n v="9"/>
    <n v="1"/>
    <d v="2017-11-06T00:00:00"/>
    <s v="SUZUKI"/>
    <s v="VITARA"/>
    <n v="2341.7550000000001"/>
    <d v="2017-11-07T00:00:00"/>
    <n v="3"/>
    <x v="562"/>
  </r>
  <r>
    <d v="2017-11-15T00:00:00"/>
    <s v="001-00010803"/>
    <n v="1469.7386262000002"/>
    <n v="0"/>
    <n v="0"/>
    <n v="72.03"/>
    <n v="0"/>
    <n v="87.75"/>
    <n v="216.92125000000001"/>
    <n v="113.75"/>
    <n v="490.45125000000002"/>
    <n v="979.28737620000015"/>
    <n v="0.66630036031096318"/>
    <x v="1"/>
    <s v="LEVE"/>
    <x v="8"/>
    <x v="0"/>
    <n v="11"/>
    <n v="1"/>
    <d v="2017-11-04T00:00:00"/>
    <s v="MAZDA"/>
    <s v="CX-5"/>
    <n v="4391.92"/>
    <d v="2017-11-06T00:00:00"/>
    <n v="6"/>
    <x v="1"/>
  </r>
  <r>
    <d v="2017-11-15T00:00:00"/>
    <s v="001-00010786"/>
    <n v="2975.4525000000003"/>
    <n v="0"/>
    <n v="0"/>
    <n v="13.728813559322036"/>
    <n v="0"/>
    <n v="292.5"/>
    <n v="449.33687499999996"/>
    <n v="0"/>
    <n v="755.56568855932198"/>
    <n v="2219.8868114406782"/>
    <n v="0.74606696340831458"/>
    <x v="1"/>
    <s v="MEDIANO"/>
    <x v="8"/>
    <x v="0"/>
    <n v="13"/>
    <n v="1"/>
    <d v="2017-11-02T00:00:00"/>
    <s v="TOYOTA"/>
    <s v="YARIS"/>
    <n v="2894.3199999999997"/>
    <d v="2017-11-03T00:00:00"/>
    <n v="20"/>
    <x v="1"/>
  </r>
  <r>
    <d v="2017-11-15T00:00:00"/>
    <s v="001-00010832"/>
    <n v="820.47900000000004"/>
    <n v="0"/>
    <n v="0"/>
    <n v="75.508474576271198"/>
    <n v="0"/>
    <n v="58.5"/>
    <n v="123.955"/>
    <n v="0"/>
    <n v="257.96347457627121"/>
    <n v="562.51552542372883"/>
    <n v="0.68559405594016276"/>
    <x v="1"/>
    <s v="LEVE"/>
    <x v="8"/>
    <x v="0"/>
    <n v="7"/>
    <n v="1"/>
    <d v="2017-11-08T00:00:00"/>
    <s v="GREAT W."/>
    <s v="GREAT W."/>
    <n v="0"/>
    <d v="2017-11-08T00:00:00"/>
    <n v="4"/>
    <x v="1"/>
  </r>
  <r>
    <d v="2017-11-15T00:00:00"/>
    <s v="001-00010521"/>
    <n v="1480.7868786000001"/>
    <n v="0"/>
    <n v="0"/>
    <n v="169.5"/>
    <n v="14.625"/>
    <n v="102.375"/>
    <n v="203.90597500000001"/>
    <n v="0"/>
    <n v="490.40597500000001"/>
    <n v="990.38090360000012"/>
    <n v="0.66882069115600817"/>
    <x v="1"/>
    <s v="MEDIANO"/>
    <x v="8"/>
    <x v="0"/>
    <n v="47"/>
    <n v="1"/>
    <d v="2017-09-29T00:00:00"/>
    <s v="HYUNDAI"/>
    <s v="I10"/>
    <n v="5708.69"/>
    <d v="2017-10-13T00:00:00"/>
    <n v="7"/>
    <x v="1"/>
  </r>
  <r>
    <d v="2017-11-16T00:00:00"/>
    <s v="001-00010781"/>
    <n v="1702.3550921700003"/>
    <n v="0"/>
    <n v="0"/>
    <n v="89.406779661016969"/>
    <n v="0"/>
    <n v="117"/>
    <n v="309.88749999999999"/>
    <n v="0"/>
    <n v="516.29427966101696"/>
    <n v="1186.0608125089834"/>
    <n v="0.69671763427282729"/>
    <x v="1"/>
    <s v="LEVE"/>
    <x v="8"/>
    <x v="0"/>
    <n v="14"/>
    <n v="1"/>
    <d v="2017-11-02T00:00:00"/>
    <s v="KIA"/>
    <s v="CERATO"/>
    <n v="1538.355"/>
    <d v="2017-11-03T00:00:00"/>
    <n v="8"/>
    <x v="1"/>
  </r>
  <r>
    <d v="2017-11-17T00:00:00"/>
    <s v="001-00010874"/>
    <n v="434.96868478342037"/>
    <n v="0"/>
    <n v="0"/>
    <n v="55.084745762711869"/>
    <n v="0"/>
    <n v="21.9375"/>
    <n v="77.471874999999997"/>
    <n v="0"/>
    <n v="154.49412076271187"/>
    <n v="280.4745640207085"/>
    <n v="0.64481553231898159"/>
    <x v="0"/>
    <s v="LEVE"/>
    <x v="8"/>
    <x v="0"/>
    <n v="6"/>
    <n v="1"/>
    <d v="2017-11-11T00:00:00"/>
    <s v="SUZUKI"/>
    <s v="CIAZ"/>
    <n v="0"/>
    <d v="2017-11-13T00:00:00"/>
    <n v="1.5"/>
    <x v="563"/>
  </r>
  <r>
    <d v="2017-11-17T00:00:00"/>
    <s v="001-00010601"/>
    <n v="3195.9167891954207"/>
    <n v="0"/>
    <n v="0"/>
    <n v="84.75"/>
    <n v="14.625"/>
    <n v="351"/>
    <n v="433.84250000000003"/>
    <n v="0"/>
    <n v="884.21749999999997"/>
    <n v="2311.6992891954205"/>
    <n v="0.72332899811743723"/>
    <x v="1"/>
    <s v="MEDIANO"/>
    <x v="8"/>
    <x v="0"/>
    <n v="37"/>
    <n v="1"/>
    <d v="2017-10-11T00:00:00"/>
    <s v="VOLKSWAGUEN"/>
    <s v="GOL"/>
    <n v="2152.3125"/>
    <d v="2017-10-13T00:00:00"/>
    <n v="24"/>
    <x v="564"/>
  </r>
  <r>
    <d v="2017-11-17T00:00:00"/>
    <s v="001-00010845"/>
    <n v="442.27201360000004"/>
    <n v="0.43979998999999992"/>
    <n v="0"/>
    <n v="0"/>
    <n v="0"/>
    <n v="29.25"/>
    <n v="123.955"/>
    <n v="0"/>
    <n v="153.64479999"/>
    <n v="288.62721361000001"/>
    <n v="0.65260112495166933"/>
    <x v="2"/>
    <s v="LEVE"/>
    <x v="8"/>
    <x v="0"/>
    <n v="8"/>
    <n v="1"/>
    <d v="2017-11-09T00:00:00"/>
    <s v="NISSAN"/>
    <s v="QASHQAI"/>
    <n v="1951.0725000000002"/>
    <d v="2017-11-08T00:00:00"/>
    <n v="2"/>
    <x v="2"/>
  </r>
  <r>
    <d v="2017-11-17T00:00:00"/>
    <s v="001-00010825"/>
    <n v="673.16402070000004"/>
    <n v="0"/>
    <n v="0"/>
    <n v="72.03"/>
    <n v="0"/>
    <n v="87.75"/>
    <n v="61.977499999999999"/>
    <n v="113.75"/>
    <n v="335.50749999999999"/>
    <n v="337.65652070000004"/>
    <n v="0.50159620882423672"/>
    <x v="2"/>
    <s v="LEVE"/>
    <x v="8"/>
    <x v="0"/>
    <n v="12"/>
    <n v="1"/>
    <d v="2017-11-05T00:00:00"/>
    <s v="NISSAN"/>
    <s v="QASHQAI"/>
    <n v="1293.5325"/>
    <d v="2017-11-08T00:00:00"/>
    <n v="6"/>
    <x v="2"/>
  </r>
  <r>
    <d v="2017-11-17T00:00:00"/>
    <s v="001-00010766"/>
    <n v="2276.014350268139"/>
    <n v="10.17"/>
    <n v="0"/>
    <n v="68.644067796610187"/>
    <n v="14.625"/>
    <n v="234"/>
    <n v="294.393125"/>
    <n v="0"/>
    <n v="621.83219279661012"/>
    <n v="1654.1821574715289"/>
    <n v="0.72678898411894832"/>
    <x v="1"/>
    <s v="MEDIANO"/>
    <x v="8"/>
    <x v="0"/>
    <n v="17"/>
    <n v="1"/>
    <d v="2017-10-31T00:00:00"/>
    <s v="HYUNDAI"/>
    <s v="SANTA FE"/>
    <n v="7030.7574999999997"/>
    <d v="2017-11-02T00:00:00"/>
    <n v="16"/>
    <x v="1"/>
  </r>
  <r>
    <d v="2017-11-17T00:00:00"/>
    <s v="001-00010815"/>
    <n v="1393.64724445508"/>
    <n v="0"/>
    <n v="0"/>
    <n v="0"/>
    <n v="61.425000000000004"/>
    <n v="117"/>
    <n v="150.60532500000002"/>
    <n v="0"/>
    <n v="329.03032500000006"/>
    <n v="1064.6169194550798"/>
    <n v="0.7639070243139956"/>
    <x v="1"/>
    <s v="LEVE"/>
    <x v="8"/>
    <x v="0"/>
    <n v="13"/>
    <n v="1"/>
    <d v="2017-11-04T00:00:00"/>
    <s v="HYUNDAI"/>
    <s v="ACCENT"/>
    <n v="3324.9775"/>
    <d v="2017-11-07T00:00:00"/>
    <n v="8"/>
    <x v="1"/>
  </r>
  <r>
    <d v="2017-11-17T00:00:00"/>
    <s v="001-00010383"/>
    <n v="2989.304540042031"/>
    <n v="1.5293999499999997"/>
    <n v="0"/>
    <n v="55.084745762711869"/>
    <n v="73.125"/>
    <n v="351"/>
    <n v="317.94457499999999"/>
    <n v="113.75"/>
    <n v="912.43372071271187"/>
    <n v="2076.8708193293191"/>
    <n v="0.69476722478738062"/>
    <x v="1"/>
    <s v="MEDIANO"/>
    <x v="8"/>
    <x v="0"/>
    <n v="65"/>
    <n v="1"/>
    <d v="2017-09-13T00:00:00"/>
    <s v="HYUNDAI"/>
    <s v="ACCENT"/>
    <n v="2944.5"/>
    <d v="2017-09-15T00:00:00"/>
    <n v="24"/>
    <x v="1"/>
  </r>
  <r>
    <d v="2017-11-17T00:00:00"/>
    <s v="001-00010735"/>
    <n v="1939.8180596499999"/>
    <n v="0"/>
    <n v="0"/>
    <n v="20.593220338983052"/>
    <n v="87.75"/>
    <n v="146.25"/>
    <n v="201.426875"/>
    <n v="0"/>
    <n v="456.02009533898308"/>
    <n v="1483.7979643110168"/>
    <n v="0.76491604814666869"/>
    <x v="1"/>
    <s v="MEDIANO"/>
    <x v="8"/>
    <x v="0"/>
    <n v="23"/>
    <n v="1"/>
    <d v="2017-10-25T00:00:00"/>
    <s v="NISSAN"/>
    <s v="VERSA"/>
    <n v="12314.705"/>
    <d v="2017-10-27T00:00:00"/>
    <n v="10"/>
    <x v="1"/>
  </r>
  <r>
    <d v="2017-11-18T00:00:00"/>
    <s v="001-00010817"/>
    <n v="2127.0561604876289"/>
    <n v="0"/>
    <n v="0"/>
    <n v="0"/>
    <n v="14.625"/>
    <n v="234"/>
    <n v="284.47672499999999"/>
    <n v="0"/>
    <n v="533.10172499999999"/>
    <n v="1593.9544354876289"/>
    <n v="0.74937110975114729"/>
    <x v="1"/>
    <s v="MEDIANO"/>
    <x v="8"/>
    <x v="0"/>
    <n v="12"/>
    <n v="1"/>
    <d v="2017-11-06T00:00:00"/>
    <s v="KIA"/>
    <s v="CERATO"/>
    <n v="4329.5524999999998"/>
    <d v="2017-11-07T00:00:00"/>
    <n v="16"/>
    <x v="1"/>
  </r>
  <r>
    <d v="2017-11-18T00:00:00"/>
    <s v="001-00010856"/>
    <n v="775.82250945678004"/>
    <n v="0"/>
    <n v="0"/>
    <n v="82.627118644067792"/>
    <n v="0"/>
    <n v="43.875"/>
    <n v="123.955"/>
    <n v="0"/>
    <n v="250.4571186440678"/>
    <n v="525.36539081271223"/>
    <n v="0.67717214235065915"/>
    <x v="1"/>
    <s v="LEVE"/>
    <x v="8"/>
    <x v="0"/>
    <n v="8"/>
    <n v="1"/>
    <d v="2017-11-10T00:00:00"/>
    <s v="HYUNDAI"/>
    <s v="I20"/>
    <n v="1023.8800000000001"/>
    <d v="2017-11-11T00:00:00"/>
    <n v="3"/>
    <x v="1"/>
  </r>
  <r>
    <d v="2017-11-18T00:00:00"/>
    <s v="001-00010822"/>
    <n v="1477.1244935420311"/>
    <n v="1.0895999599999999"/>
    <n v="0"/>
    <n v="20.593220338983052"/>
    <n v="0"/>
    <n v="131.625"/>
    <n v="247.91"/>
    <n v="0"/>
    <n v="401.21782029898304"/>
    <n v="1075.9066732430481"/>
    <n v="0.72837914336056164"/>
    <x v="1"/>
    <s v="LEVE"/>
    <x v="8"/>
    <x v="0"/>
    <n v="14"/>
    <n v="1"/>
    <d v="2017-11-04T00:00:00"/>
    <s v="KIA"/>
    <s v="SPORTAGE"/>
    <n v="2617.9724999999999"/>
    <d v="2017-11-07T00:00:00"/>
    <n v="9"/>
    <x v="1"/>
  </r>
  <r>
    <d v="2017-11-18T00:00:00"/>
    <s v="001-00010914"/>
    <n v="296.61020000000002"/>
    <n v="124.02179875000002"/>
    <n v="0"/>
    <n v="0"/>
    <n v="39.048749999999998"/>
    <n v="0"/>
    <n v="0"/>
    <n v="0"/>
    <n v="163.07054875"/>
    <n v="133.53965125000002"/>
    <n v="0.45021934933458124"/>
    <x v="0"/>
    <s v="-"/>
    <x v="8"/>
    <x v="0"/>
    <n v="1"/>
    <n v="1"/>
    <d v="2017-11-17T00:00:00"/>
    <s v="HYUNDAI"/>
    <s v="H1"/>
    <n v="0"/>
    <d v="2017-11-17T00:00:00"/>
    <n v="0"/>
    <x v="121"/>
  </r>
  <r>
    <d v="2017-11-18T00:00:00"/>
    <s v="001-00010814"/>
    <n v="370.72801140000001"/>
    <n v="0"/>
    <n v="0"/>
    <n v="0"/>
    <n v="0"/>
    <n v="29.25"/>
    <n v="61.977499999999999"/>
    <n v="0"/>
    <n v="91.227499999999992"/>
    <n v="279.50051140000005"/>
    <n v="0.75392336916896929"/>
    <x v="1"/>
    <s v="LEVE"/>
    <x v="8"/>
    <x v="0"/>
    <n v="14"/>
    <n v="1"/>
    <d v="2017-11-04T00:00:00"/>
    <s v="KIA"/>
    <s v="RIO"/>
    <n v="1099.7025000000001"/>
    <d v="2017-11-07T00:00:00"/>
    <n v="2"/>
    <x v="1"/>
  </r>
  <r>
    <d v="2017-11-18T00:00:00"/>
    <s v="001-00010863"/>
    <n v="663.57322200507997"/>
    <n v="0"/>
    <n v="0"/>
    <n v="0"/>
    <n v="0"/>
    <n v="43.875"/>
    <n v="122.71545"/>
    <n v="0"/>
    <n v="166.59045"/>
    <n v="496.98277200507994"/>
    <n v="0.74894940833112056"/>
    <x v="1"/>
    <s v="LEVE"/>
    <x v="8"/>
    <x v="0"/>
    <n v="5"/>
    <n v="1"/>
    <d v="2017-11-13T00:00:00"/>
    <s v="HYUNDAI"/>
    <s v="ACCENT"/>
    <n v="0"/>
    <d v="2017-11-13T00:00:00"/>
    <n v="3"/>
    <x v="1"/>
  </r>
  <r>
    <d v="2017-11-18T00:00:00"/>
    <s v="001-00010820"/>
    <n v="1080.7388517530512"/>
    <n v="0"/>
    <n v="0"/>
    <n v="55.084745762711869"/>
    <n v="0"/>
    <n v="73.125"/>
    <n v="173.53700000000001"/>
    <n v="0"/>
    <n v="301.74674576271184"/>
    <n v="778.99210599033938"/>
    <n v="0.72079587471732631"/>
    <x v="1"/>
    <s v="LEVE"/>
    <x v="8"/>
    <x v="0"/>
    <n v="14"/>
    <n v="1"/>
    <d v="2017-11-04T00:00:00"/>
    <s v="KIA"/>
    <s v="CERATO"/>
    <n v="2882.49"/>
    <d v="2017-11-07T00:00:00"/>
    <n v="5"/>
    <x v="1"/>
  </r>
  <r>
    <d v="2017-11-18T00:00:00"/>
    <s v="001-00010837"/>
    <n v="982.10403020000001"/>
    <n v="0"/>
    <n v="0"/>
    <n v="113.2164406779661"/>
    <n v="0"/>
    <n v="73.125"/>
    <n v="139.449375"/>
    <n v="113.75"/>
    <n v="439.54081567796607"/>
    <n v="542.56321452203395"/>
    <n v="0.55244984017787191"/>
    <x v="1"/>
    <s v="LEVE"/>
    <x v="8"/>
    <x v="0"/>
    <n v="10"/>
    <n v="1"/>
    <d v="2017-11-08T00:00:00"/>
    <s v="KIA"/>
    <s v="RIO"/>
    <n v="782.37249999999995"/>
    <d v="2017-11-09T00:00:00"/>
    <n v="5"/>
    <x v="1"/>
  </r>
  <r>
    <d v="2017-11-20T00:00:00"/>
    <s v="001-00010849"/>
    <n v="2918.53220494576"/>
    <n v="211.38720000000001"/>
    <n v="0"/>
    <n v="84.75"/>
    <n v="14.625"/>
    <n v="329.0625"/>
    <n v="402.85374999999999"/>
    <n v="0"/>
    <n v="1042.6784499999999"/>
    <n v="1875.8537549457601"/>
    <n v="0.64273875469557218"/>
    <x v="0"/>
    <s v="MEDIANO"/>
    <x v="8"/>
    <x v="0"/>
    <n v="11"/>
    <n v="1"/>
    <d v="2017-11-09T00:00:00"/>
    <s v="TOYOTA"/>
    <s v="COROLLA"/>
    <n v="292.5"/>
    <d v="2017-11-09T00:00:00"/>
    <n v="22.5"/>
    <x v="565"/>
  </r>
  <r>
    <d v="2017-11-20T00:00:00"/>
    <s v="001-00010823"/>
    <n v="1421.234319023391"/>
    <n v="0"/>
    <n v="0"/>
    <n v="72.03"/>
    <n v="0"/>
    <n v="117"/>
    <n v="185.9325"/>
    <n v="113.75"/>
    <n v="488.71249999999998"/>
    <n v="932.521819023391"/>
    <n v="0.65613516824177065"/>
    <x v="1"/>
    <s v="MEDIANO"/>
    <x v="8"/>
    <x v="0"/>
    <n v="16"/>
    <n v="1"/>
    <d v="2017-11-04T00:00:00"/>
    <s v="MAZDA"/>
    <s v="CX-5"/>
    <n v="854.42499999999995"/>
    <d v="2017-11-07T00:00:00"/>
    <n v="8"/>
    <x v="566"/>
  </r>
  <r>
    <d v="2017-11-20T00:00:00"/>
    <s v="001-00010869"/>
    <n v="3813.55933"/>
    <n v="0"/>
    <n v="0"/>
    <n v="0"/>
    <n v="0"/>
    <n v="555.75"/>
    <n v="340.87625000000003"/>
    <n v="0"/>
    <n v="896.62625000000003"/>
    <n v="2916.9330799999998"/>
    <n v="0.76488467271335192"/>
    <x v="0"/>
    <s v="GRAVE"/>
    <x v="8"/>
    <x v="0"/>
    <n v="9"/>
    <n v="1"/>
    <d v="2017-11-11T00:00:00"/>
    <s v="HYUNDAI"/>
    <s v="CRETA"/>
    <n v="0"/>
    <d v="2017-11-13T00:00:00"/>
    <n v="38"/>
    <x v="567"/>
  </r>
  <r>
    <d v="2017-11-20T00:00:00"/>
    <s v="001-00010932"/>
    <n v="150"/>
    <n v="0"/>
    <n v="0"/>
    <n v="0"/>
    <n v="0"/>
    <n v="0"/>
    <n v="0"/>
    <n v="0"/>
    <n v="0"/>
    <n v="150"/>
    <n v="1"/>
    <x v="0"/>
    <s v="-"/>
    <x v="8"/>
    <x v="0"/>
    <n v="0"/>
    <n v="1"/>
    <d v="2017-11-20T00:00:00"/>
    <s v="HYUNDAI"/>
    <s v="SANTA FE"/>
    <n v="0"/>
    <d v="2017-11-20T00:00:00"/>
    <n v="0"/>
    <x v="393"/>
  </r>
  <r>
    <d v="2017-11-20T00:00:00"/>
    <s v="001-00010805"/>
    <n v="1601.61004925"/>
    <n v="0"/>
    <n v="0"/>
    <n v="72.03"/>
    <n v="58.5"/>
    <n v="146.25"/>
    <n v="154.94374999999999"/>
    <n v="113.75"/>
    <n v="545.47375"/>
    <n v="1056.1362992499999"/>
    <n v="0.65942162372455526"/>
    <x v="1"/>
    <s v="LEVE"/>
    <x v="8"/>
    <x v="0"/>
    <n v="16"/>
    <n v="1"/>
    <d v="2017-11-04T00:00:00"/>
    <s v="CHANGAN"/>
    <s v="CS35"/>
    <n v="2552.94"/>
    <d v="2017-11-07T00:00:00"/>
    <n v="10"/>
    <x v="1"/>
  </r>
  <r>
    <d v="2017-11-20T00:00:00"/>
    <s v="001-00010801"/>
    <n v="1562.58604805"/>
    <n v="0"/>
    <n v="0"/>
    <n v="48.050847457627121"/>
    <n v="0"/>
    <n v="146.25"/>
    <n v="278.89875000000001"/>
    <n v="0"/>
    <n v="473.19959745762714"/>
    <n v="1089.386450592373"/>
    <n v="0.69716893476161035"/>
    <x v="1"/>
    <s v="MEDIANO"/>
    <x v="8"/>
    <x v="0"/>
    <n v="17"/>
    <n v="1"/>
    <d v="2017-11-03T00:00:00"/>
    <s v="NISSAN"/>
    <s v="VERSA"/>
    <n v="3015.9675000000002"/>
    <d v="2017-11-06T00:00:00"/>
    <n v="10"/>
    <x v="1"/>
  </r>
  <r>
    <d v="2017-11-20T00:00:00"/>
    <s v="001-00010929"/>
    <n v="315"/>
    <n v="141.43989799999997"/>
    <n v="0"/>
    <n v="0"/>
    <n v="39.048749999999998"/>
    <n v="0"/>
    <n v="0"/>
    <n v="0"/>
    <n v="180.48864799999996"/>
    <n v="134.51135200000004"/>
    <n v="0.42702016507936524"/>
    <x v="0"/>
    <s v="-"/>
    <x v="8"/>
    <x v="0"/>
    <n v="0"/>
    <n v="1"/>
    <d v="2017-11-20T00:00:00"/>
    <s v="KIA"/>
    <s v="RIO"/>
    <n v="0"/>
    <d v="2017-11-20T00:00:00"/>
    <n v="0"/>
    <x v="157"/>
  </r>
  <r>
    <d v="2017-11-21T00:00:00"/>
    <s v="001-00010549"/>
    <n v="6143.5861744400008"/>
    <n v="0.57599995999999998"/>
    <n v="0"/>
    <n v="124.32203389830508"/>
    <n v="43.875"/>
    <n v="526.5"/>
    <n v="604.28062499999999"/>
    <n v="0"/>
    <n v="1299.553658858305"/>
    <n v="4844.0325155816954"/>
    <n v="0.78846985751335019"/>
    <x v="1"/>
    <s v="GRAVE"/>
    <x v="8"/>
    <x v="0"/>
    <n v="49"/>
    <n v="1"/>
    <d v="2017-10-03T00:00:00"/>
    <s v="CHEVROLET"/>
    <s v="SAIL"/>
    <n v="4591.3725000000004"/>
    <d v="2017-10-04T00:00:00"/>
    <n v="36"/>
    <x v="1"/>
  </r>
  <r>
    <d v="2017-11-22T00:00:00"/>
    <s v="001-00010928"/>
    <n v="1339"/>
    <n v="444.41328799000001"/>
    <n v="0"/>
    <n v="0"/>
    <n v="97.548749999999998"/>
    <n v="0"/>
    <n v="0"/>
    <n v="0"/>
    <n v="541.96203799"/>
    <n v="797.03796201"/>
    <n v="0.59524866468259896"/>
    <x v="0"/>
    <s v="-"/>
    <x v="8"/>
    <x v="0"/>
    <n v="2"/>
    <n v="1"/>
    <d v="2017-11-20T00:00:00"/>
    <s v="HYUNDAI"/>
    <s v="ACCENT"/>
    <n v="732.22500000000002"/>
    <d v="2017-11-20T00:00:00"/>
    <n v="0"/>
    <x v="110"/>
  </r>
  <r>
    <d v="2017-11-22T00:00:00"/>
    <s v="001-00010829"/>
    <n v="2885.6828432572925"/>
    <n v="0"/>
    <n v="0"/>
    <n v="55.084745762711869"/>
    <n v="0"/>
    <n v="263.25"/>
    <n v="538.584475"/>
    <n v="0"/>
    <n v="856.9192207627118"/>
    <n v="2028.7636224945807"/>
    <n v="0.70304455918813269"/>
    <x v="1"/>
    <s v="MEDIANO"/>
    <x v="8"/>
    <x v="0"/>
    <n v="17"/>
    <n v="1"/>
    <d v="2017-11-05T00:00:00"/>
    <s v="HYUNDAI"/>
    <s v="ACCENT"/>
    <n v="1255.1499999999999"/>
    <d v="2017-11-08T00:00:00"/>
    <n v="18"/>
    <x v="1"/>
  </r>
  <r>
    <d v="2017-11-22T00:00:00"/>
    <s v="001-00010904"/>
    <n v="1165.5357139457897"/>
    <n v="0"/>
    <n v="0"/>
    <n v="66.101694915254242"/>
    <n v="0"/>
    <n v="117"/>
    <n v="201.426875"/>
    <n v="0"/>
    <n v="384.52856991525425"/>
    <n v="781.00714403053541"/>
    <n v="0.67008426656144571"/>
    <x v="0"/>
    <s v="LEVE"/>
    <x v="8"/>
    <x v="0"/>
    <n v="7"/>
    <n v="1"/>
    <d v="2017-11-15T00:00:00"/>
    <s v="MAZDA"/>
    <s v="BT-50"/>
    <n v="0"/>
    <d v="2017-11-17T00:00:00"/>
    <n v="8"/>
    <x v="568"/>
  </r>
  <r>
    <d v="2017-11-22T00:00:00"/>
    <s v="001-00010790"/>
    <n v="1959.1786921032212"/>
    <n v="0"/>
    <n v="0"/>
    <n v="84.153220338983061"/>
    <n v="0"/>
    <n v="234"/>
    <n v="216.92125000000001"/>
    <n v="65"/>
    <n v="600.07447033898302"/>
    <n v="1359.1042217642382"/>
    <n v="0.69371121033641403"/>
    <x v="1"/>
    <s v="MEDIANO"/>
    <x v="8"/>
    <x v="0"/>
    <n v="19"/>
    <n v="1"/>
    <d v="2017-11-03T00:00:00"/>
    <s v="HYUNDAI"/>
    <s v="I10"/>
    <n v="1535.885"/>
    <d v="2017-11-03T00:00:00"/>
    <n v="16"/>
    <x v="1"/>
  </r>
  <r>
    <d v="2017-11-22T00:00:00"/>
    <s v="001-00010842"/>
    <n v="1201.5980614922012"/>
    <n v="0.2636"/>
    <n v="0"/>
    <n v="48.199152542372886"/>
    <n v="14.625"/>
    <n v="117"/>
    <n v="153.70419999999999"/>
    <n v="0"/>
    <n v="333.79195254237288"/>
    <n v="867.80610894982829"/>
    <n v="0.72220997749625671"/>
    <x v="1"/>
    <s v="LEVE"/>
    <x v="8"/>
    <x v="0"/>
    <n v="14"/>
    <n v="1"/>
    <d v="2017-11-08T00:00:00"/>
    <s v="HYUNDAI"/>
    <s v="ACCENT"/>
    <n v="1840.0524999999998"/>
    <d v="2017-11-10T00:00:00"/>
    <n v="8"/>
    <x v="1"/>
  </r>
  <r>
    <d v="2017-11-22T00:00:00"/>
    <s v="001-00010846"/>
    <n v="470.26200329619991"/>
    <n v="0"/>
    <n v="0"/>
    <n v="55.084745762711869"/>
    <n v="0"/>
    <n v="43.875"/>
    <n v="55.77975"/>
    <n v="0"/>
    <n v="154.73949576271187"/>
    <n v="315.52250753348801"/>
    <n v="0.67095046021558447"/>
    <x v="1"/>
    <s v="LEVE"/>
    <x v="8"/>
    <x v="0"/>
    <n v="13"/>
    <n v="1"/>
    <d v="2017-11-09T00:00:00"/>
    <s v="NISSAN"/>
    <s v="VERSA"/>
    <n v="2434.3150000000001"/>
    <d v="2017-11-09T00:00:00"/>
    <n v="3"/>
    <x v="1"/>
  </r>
  <r>
    <d v="2017-11-22T00:00:00"/>
    <s v="001-00010954"/>
    <n v="296.61020000000002"/>
    <n v="124.04429875"/>
    <n v="0"/>
    <n v="0"/>
    <n v="39.048749999999998"/>
    <n v="0"/>
    <n v="0"/>
    <n v="0"/>
    <n v="163.09304874999998"/>
    <n v="133.51715125000004"/>
    <n v="0.4501434921995266"/>
    <x v="0"/>
    <s v="-"/>
    <x v="8"/>
    <x v="0"/>
    <n v="0"/>
    <n v="1"/>
    <d v="2017-11-22T00:00:00"/>
    <s v="HYUNDAI"/>
    <s v="H1"/>
    <n v="0"/>
    <d v="2017-11-22T00:00:00"/>
    <n v="0"/>
    <x v="121"/>
  </r>
  <r>
    <d v="2017-11-23T00:00:00"/>
    <s v="001-00010924"/>
    <n v="878.94264378050991"/>
    <n v="0"/>
    <n v="0"/>
    <n v="0"/>
    <n v="0"/>
    <n v="43.875"/>
    <n v="123.955"/>
    <n v="0"/>
    <n v="167.82999999999998"/>
    <n v="711.11264378050987"/>
    <n v="0.80905466222673039"/>
    <x v="0"/>
    <s v="LEVE"/>
    <x v="8"/>
    <x v="0"/>
    <n v="5"/>
    <n v="1"/>
    <d v="2017-11-18T00:00:00"/>
    <s v="MG"/>
    <s v="MG3"/>
    <n v="0"/>
    <d v="2017-11-18T00:00:00"/>
    <n v="3"/>
    <x v="569"/>
  </r>
  <r>
    <d v="2017-11-23T00:00:00"/>
    <s v="001-00010887"/>
    <n v="1567.98473222034"/>
    <n v="0"/>
    <n v="0"/>
    <n v="0"/>
    <n v="0"/>
    <n v="175.5"/>
    <n v="201.426875"/>
    <n v="113.75"/>
    <n v="490.676875"/>
    <n v="1077.3078572203399"/>
    <n v="0.68706527243720117"/>
    <x v="1"/>
    <s v="MEDIANO"/>
    <x v="8"/>
    <x v="0"/>
    <n v="9"/>
    <n v="1"/>
    <d v="2017-11-14T00:00:00"/>
    <s v="HYUNDAI"/>
    <s v="I30"/>
    <n v="0"/>
    <d v="2017-11-14T00:00:00"/>
    <n v="12"/>
    <x v="431"/>
  </r>
  <r>
    <d v="2017-11-23T00:00:00"/>
    <s v="001-00010893"/>
    <n v="767.59484149311027"/>
    <n v="0"/>
    <n v="0"/>
    <n v="55.084745762711869"/>
    <n v="0"/>
    <n v="58.5"/>
    <n v="123.955"/>
    <n v="0"/>
    <n v="237.53974576271185"/>
    <n v="530.05509573039842"/>
    <n v="0.69054020047782727"/>
    <x v="1"/>
    <s v="LEVE"/>
    <x v="8"/>
    <x v="0"/>
    <n v="9"/>
    <n v="1"/>
    <d v="2017-11-14T00:00:00"/>
    <s v="CHEVROLET"/>
    <s v="SPARK"/>
    <n v="475.70249999999999"/>
    <d v="2017-11-14T00:00:00"/>
    <n v="4"/>
    <x v="1"/>
  </r>
  <r>
    <d v="2017-11-23T00:00:00"/>
    <s v="001-00010840"/>
    <n v="1272.5867132347498"/>
    <n v="0"/>
    <n v="0"/>
    <n v="34.427966101694921"/>
    <n v="0"/>
    <n v="146.25"/>
    <n v="201.426875"/>
    <n v="0"/>
    <n v="382.10484110169489"/>
    <n v="890.48187213305494"/>
    <n v="0.69974160728864276"/>
    <x v="1"/>
    <s v="MEDIANO"/>
    <x v="8"/>
    <x v="0"/>
    <n v="15"/>
    <n v="1"/>
    <d v="2017-11-08T00:00:00"/>
    <s v="FORD"/>
    <s v="ECOSPORT"/>
    <n v="0"/>
    <d v="2017-11-09T00:00:00"/>
    <n v="10"/>
    <x v="1"/>
  </r>
  <r>
    <d v="2017-11-23T00:00:00"/>
    <s v="001-00010918"/>
    <n v="635.70300848559009"/>
    <n v="0"/>
    <n v="0"/>
    <n v="0"/>
    <n v="0"/>
    <n v="58.5"/>
    <n v="123.955"/>
    <n v="0"/>
    <n v="182.45499999999998"/>
    <n v="453.24800848559011"/>
    <n v="0.71298704337634766"/>
    <x v="1"/>
    <s v="LEVE"/>
    <x v="8"/>
    <x v="0"/>
    <n v="6"/>
    <n v="1"/>
    <d v="2017-11-17T00:00:00"/>
    <s v="MAZDA"/>
    <s v="MAZDA 5"/>
    <n v="0"/>
    <d v="2017-11-17T00:00:00"/>
    <n v="4"/>
    <x v="1"/>
  </r>
  <r>
    <d v="2017-11-24T00:00:00"/>
    <s v="001-00010891"/>
    <n v="131.83739717319989"/>
    <n v="0"/>
    <n v="82.360800000000012"/>
    <n v="0"/>
    <n v="0"/>
    <n v="0"/>
    <n v="0"/>
    <n v="0"/>
    <n v="82.360800000000012"/>
    <n v="49.476597173199877"/>
    <n v="0.37528499677675342"/>
    <x v="0"/>
    <s v="-"/>
    <x v="8"/>
    <x v="0"/>
    <n v="10"/>
    <n v="1"/>
    <d v="2017-11-14T00:00:00"/>
    <s v="SUZUKI"/>
    <s v="ERTIGA"/>
    <n v="132.21"/>
    <d v="2017-11-14T00:00:00"/>
    <n v="0"/>
    <x v="570"/>
  </r>
  <r>
    <d v="2017-11-24T00:00:00"/>
    <s v="001-00010890"/>
    <n v="1686.1438101745798"/>
    <n v="0"/>
    <n v="0"/>
    <n v="0"/>
    <n v="0"/>
    <n v="146.25"/>
    <n v="170.43812500000001"/>
    <n v="0"/>
    <n v="316.68812500000001"/>
    <n v="1369.4556851745797"/>
    <n v="0.81218201965393988"/>
    <x v="2"/>
    <s v="MEDIANO"/>
    <x v="8"/>
    <x v="0"/>
    <n v="10"/>
    <n v="1"/>
    <d v="2017-11-14T00:00:00"/>
    <s v="SUZUKI"/>
    <s v="ERTIGA"/>
    <n v="715.8125"/>
    <d v="2017-11-17T00:00:00"/>
    <n v="10"/>
    <x v="570"/>
  </r>
  <r>
    <d v="2017-11-24T00:00:00"/>
    <s v="001-00010903"/>
    <n v="243.07499250000001"/>
    <n v="0"/>
    <n v="0"/>
    <n v="0"/>
    <n v="0"/>
    <n v="19.012500000000003"/>
    <n v="185.9325"/>
    <n v="0"/>
    <n v="204.94499999999999"/>
    <n v="38.129992500000014"/>
    <n v="0.15686513905785687"/>
    <x v="0"/>
    <s v="LEVE"/>
    <x v="8"/>
    <x v="0"/>
    <n v="9"/>
    <n v="1"/>
    <d v="2017-11-15T00:00:00"/>
    <s v="HYUNDAI"/>
    <s v="I10"/>
    <n v="0"/>
    <d v="2017-11-15T00:00:00"/>
    <n v="1.3"/>
    <x v="571"/>
  </r>
  <r>
    <d v="2017-11-24T00:00:00"/>
    <s v="001-00010709"/>
    <n v="3454.1368041237297"/>
    <n v="0"/>
    <n v="0"/>
    <n v="41.186440677966104"/>
    <n v="0"/>
    <n v="380.25"/>
    <n v="418.34812499999998"/>
    <n v="113.75"/>
    <n v="953.53456567796616"/>
    <n v="2500.6022384457638"/>
    <n v="0.72394418063013999"/>
    <x v="1"/>
    <s v="GRAVE"/>
    <x v="8"/>
    <x v="0"/>
    <n v="32"/>
    <n v="1"/>
    <d v="2017-10-23T00:00:00"/>
    <s v="HYUNDAI"/>
    <s v="ELANTRA"/>
    <n v="3775.2325000000005"/>
    <d v="2017-10-24T00:00:00"/>
    <n v="26"/>
    <x v="572"/>
  </r>
  <r>
    <d v="2017-11-24T00:00:00"/>
    <s v="001-00010751"/>
    <n v="3137.2879031999996"/>
    <n v="12.001899959999999"/>
    <n v="0"/>
    <n v="139.83474576271186"/>
    <n v="29.25"/>
    <n v="263.25"/>
    <n v="433.84250000000003"/>
    <n v="0"/>
    <n v="878.17914572271184"/>
    <n v="2259.1087574772878"/>
    <n v="0.72008334178480127"/>
    <x v="1"/>
    <s v="MEDIANO"/>
    <x v="8"/>
    <x v="0"/>
    <n v="28"/>
    <n v="1"/>
    <d v="2017-10-27T00:00:00"/>
    <s v="TOYOTA"/>
    <s v="YARIS"/>
    <n v="8860.8974999999991"/>
    <d v="2017-10-31T00:00:00"/>
    <n v="18"/>
    <x v="1"/>
  </r>
  <r>
    <d v="2017-11-24T00:00:00"/>
    <s v="001-00010937"/>
    <n v="1525.2476111389797"/>
    <n v="0"/>
    <n v="0"/>
    <n v="41.313559322033896"/>
    <n v="0"/>
    <n v="175.5"/>
    <n v="240.47270000000003"/>
    <n v="0"/>
    <n v="457.28625932203391"/>
    <n v="1067.9613518169458"/>
    <n v="0.70018883754844563"/>
    <x v="1"/>
    <s v="MEDIANO"/>
    <x v="8"/>
    <x v="0"/>
    <n v="4"/>
    <n v="1"/>
    <d v="2017-11-20T00:00:00"/>
    <s v="FORD"/>
    <s v="ECOSPORT"/>
    <n v="95.875"/>
    <d v="2017-11-20T00:00:00"/>
    <n v="12"/>
    <x v="1"/>
  </r>
  <r>
    <d v="2017-11-24T00:00:00"/>
    <s v="001-00010913"/>
    <n v="1561.4064747233099"/>
    <n v="0"/>
    <n v="0"/>
    <n v="55.084745762711869"/>
    <n v="0"/>
    <n v="87.75"/>
    <n v="263.40437500000002"/>
    <n v="0"/>
    <n v="406.23912076271188"/>
    <n v="1155.1673539605981"/>
    <n v="0.73982487754529158"/>
    <x v="1"/>
    <s v="LEVE"/>
    <x v="8"/>
    <x v="0"/>
    <n v="8"/>
    <n v="1"/>
    <d v="2017-11-16T00:00:00"/>
    <s v="HYUNDAI"/>
    <s v="ELANTRA"/>
    <n v="953.81000000000006"/>
    <d v="2017-11-17T00:00:00"/>
    <n v="6"/>
    <x v="1"/>
  </r>
  <r>
    <d v="2017-11-24T00:00:00"/>
    <s v="001-00010917"/>
    <n v="440.22663043495021"/>
    <n v="0"/>
    <n v="0"/>
    <n v="61.970338983050844"/>
    <n v="0"/>
    <n v="14.625"/>
    <n v="77.471874999999997"/>
    <n v="0"/>
    <n v="154.06721398305086"/>
    <n v="286.15941645189935"/>
    <n v="0.65002750099231787"/>
    <x v="1"/>
    <s v="LEVE"/>
    <x v="8"/>
    <x v="0"/>
    <n v="7"/>
    <n v="1"/>
    <d v="2017-11-17T00:00:00"/>
    <s v="RENAULT"/>
    <s v="KOLEOS"/>
    <n v="0"/>
    <d v="2017-11-17T00:00:00"/>
    <n v="1"/>
    <x v="1"/>
  </r>
  <r>
    <d v="2017-11-25T00:00:00"/>
    <s v="001-00010883"/>
    <n v="1505.47200204915"/>
    <n v="0"/>
    <n v="0"/>
    <n v="0"/>
    <n v="14.625"/>
    <n v="146.25"/>
    <n v="216.92125000000001"/>
    <n v="0"/>
    <n v="377.79624999999999"/>
    <n v="1127.6757520491501"/>
    <n v="0.74905129455362285"/>
    <x v="1"/>
    <s v="MEDIANO"/>
    <x v="8"/>
    <x v="0"/>
    <n v="12"/>
    <n v="1"/>
    <d v="2017-11-13T00:00:00"/>
    <s v="HYUNDAI"/>
    <s v="TUCSON"/>
    <n v="1431.885"/>
    <d v="2017-11-14T00:00:00"/>
    <n v="10"/>
    <x v="573"/>
  </r>
  <r>
    <d v="2017-11-25T00:00:00"/>
    <s v="001-00010940"/>
    <n v="421.32998700000002"/>
    <n v="0"/>
    <n v="0"/>
    <n v="41.313559322033896"/>
    <n v="14.625"/>
    <n v="21.9375"/>
    <n v="61.977499999999999"/>
    <n v="0"/>
    <n v="139.8535593220339"/>
    <n v="281.47642767796611"/>
    <n v="0.66806644758937161"/>
    <x v="0"/>
    <s v="LEVE"/>
    <x v="8"/>
    <x v="0"/>
    <n v="4"/>
    <n v="1"/>
    <d v="2017-11-21T00:00:00"/>
    <s v="HYUNDAI"/>
    <s v="TUCSON"/>
    <n v="0"/>
    <d v="2017-11-21T00:00:00"/>
    <n v="1.5"/>
    <x v="573"/>
  </r>
  <r>
    <d v="2017-11-25T00:00:00"/>
    <s v="001-00010902"/>
    <n v="672.91944274728883"/>
    <n v="550.84997999999996"/>
    <n v="0"/>
    <n v="0"/>
    <n v="0"/>
    <n v="0"/>
    <n v="0"/>
    <n v="0"/>
    <n v="550.84997999999996"/>
    <n v="122.06946274728887"/>
    <n v="0.18140278760400058"/>
    <x v="0"/>
    <s v="-"/>
    <x v="8"/>
    <x v="0"/>
    <n v="10"/>
    <n v="1"/>
    <d v="2017-11-15T00:00:00"/>
    <s v="TOYOTA"/>
    <s v="LAND C."/>
    <n v="1198.1125"/>
    <d v="2017-11-15T00:00:00"/>
    <n v="0"/>
    <x v="574"/>
  </r>
  <r>
    <d v="2017-11-25T00:00:00"/>
    <s v="001-00010901"/>
    <n v="774.24181791102001"/>
    <n v="0.51849997000000003"/>
    <n v="0"/>
    <n v="0"/>
    <n v="0"/>
    <n v="58.5"/>
    <n v="154.94374999999999"/>
    <n v="0"/>
    <n v="213.96224996999999"/>
    <n v="560.27956794101999"/>
    <n v="0.72364932373803958"/>
    <x v="1"/>
    <s v="LEVE"/>
    <x v="8"/>
    <x v="0"/>
    <n v="11"/>
    <n v="1"/>
    <d v="2017-11-14T00:00:00"/>
    <s v="SUZUKI"/>
    <s v="VITARA"/>
    <n v="3750.7275"/>
    <d v="2017-11-15T00:00:00"/>
    <n v="4"/>
    <x v="1"/>
  </r>
  <r>
    <d v="2017-11-25T00:00:00"/>
    <s v="001-00010958"/>
    <n v="1310"/>
    <n v="432.13244619"/>
    <n v="0"/>
    <n v="0"/>
    <n v="29.25"/>
    <n v="0"/>
    <n v="0"/>
    <n v="0"/>
    <n v="461.38244619"/>
    <n v="848.61755381"/>
    <n v="0.64779965939694661"/>
    <x v="0"/>
    <s v="-"/>
    <x v="8"/>
    <x v="0"/>
    <n v="2"/>
    <n v="1"/>
    <d v="2017-11-23T00:00:00"/>
    <s v="KIA"/>
    <s v="RIO"/>
    <n v="952.9"/>
    <d v="2017-11-22T00:00:00"/>
    <n v="0"/>
    <x v="157"/>
  </r>
  <r>
    <d v="2017-11-25T00:00:00"/>
    <s v="001-00010923"/>
    <n v="896.96033452457982"/>
    <n v="0"/>
    <n v="0"/>
    <n v="0"/>
    <n v="0"/>
    <n v="43.875"/>
    <n v="123.955"/>
    <n v="113.75"/>
    <n v="281.58"/>
    <n v="615.38033452457989"/>
    <n v="0.68607307462570555"/>
    <x v="1"/>
    <s v="LEVE"/>
    <x v="8"/>
    <x v="0"/>
    <n v="7"/>
    <n v="1"/>
    <d v="2017-11-18T00:00:00"/>
    <s v="KIA"/>
    <s v="PICANTO"/>
    <n v="250.25"/>
    <d v="2017-11-20T00:00:00"/>
    <n v="3"/>
    <x v="1"/>
  </r>
  <r>
    <d v="2017-11-25T00:00:00"/>
    <s v="001-00010897"/>
    <n v="1269.2358758481391"/>
    <n v="0"/>
    <n v="0"/>
    <n v="61.779661016949156"/>
    <n v="0"/>
    <n v="73.125"/>
    <n v="244.19135"/>
    <n v="113.75"/>
    <n v="492.84601101694915"/>
    <n v="776.38986483118993"/>
    <n v="0.61169864451899802"/>
    <x v="1"/>
    <s v="LEVE"/>
    <x v="8"/>
    <x v="0"/>
    <n v="11"/>
    <n v="1"/>
    <d v="2017-11-14T00:00:00"/>
    <s v="FORD"/>
    <s v="ECOSPORT"/>
    <n v="0"/>
    <d v="2017-11-14T00:00:00"/>
    <n v="5"/>
    <x v="1"/>
  </r>
  <r>
    <d v="2017-11-25T00:00:00"/>
    <s v="001-00010881"/>
    <n v="900.33875282034001"/>
    <n v="0"/>
    <n v="0"/>
    <n v="68.644067796610187"/>
    <n v="0"/>
    <n v="58.5"/>
    <n v="123.33522500000001"/>
    <n v="0"/>
    <n v="250.4792927966102"/>
    <n v="649.85946002372975"/>
    <n v="0.72179438904303983"/>
    <x v="1"/>
    <s v="LEVE"/>
    <x v="8"/>
    <x v="0"/>
    <n v="12"/>
    <n v="1"/>
    <d v="2017-11-13T00:00:00"/>
    <s v="FORD"/>
    <s v="ECOSPORT"/>
    <n v="95.875"/>
    <d v="2017-11-14T00:00:00"/>
    <n v="4"/>
    <x v="1"/>
  </r>
  <r>
    <d v="2017-11-25T00:00:00"/>
    <s v="001-00010888"/>
    <n v="767.78736661017001"/>
    <n v="0"/>
    <n v="0"/>
    <n v="68.855932203389841"/>
    <n v="0"/>
    <n v="58.5"/>
    <n v="123.955"/>
    <n v="0"/>
    <n v="251.31093220338983"/>
    <n v="516.47643440678019"/>
    <n v="0.67268160022879309"/>
    <x v="1"/>
    <s v="LEVE"/>
    <x v="8"/>
    <x v="0"/>
    <n v="11"/>
    <n v="1"/>
    <d v="2017-11-14T00:00:00"/>
    <s v="HYUNDAI"/>
    <s v="I10"/>
    <n v="225.55"/>
    <d v="2017-11-14T00:00:00"/>
    <n v="4"/>
    <x v="1"/>
  </r>
  <r>
    <d v="2017-11-25T00:00:00"/>
    <s v="001-00010390"/>
    <n v="2222.5292936245796"/>
    <n v="0"/>
    <n v="0"/>
    <n v="61.779661016949156"/>
    <n v="58.5"/>
    <n v="204.75"/>
    <n v="247.91"/>
    <n v="0"/>
    <n v="572.93966101694912"/>
    <n v="1649.5896326076304"/>
    <n v="0.74221277413060371"/>
    <x v="1"/>
    <s v="MEDIANO"/>
    <x v="8"/>
    <x v="0"/>
    <n v="72"/>
    <n v="1"/>
    <d v="2017-09-14T00:00:00"/>
    <s v="TOYOTA"/>
    <s v="LAND C."/>
    <n v="9779.8675000000003"/>
    <d v="2017-09-19T00:00:00"/>
    <n v="14"/>
    <x v="1"/>
  </r>
  <r>
    <d v="2017-11-25T00:00:00"/>
    <s v="001-00010922"/>
    <n v="228.2431981756302"/>
    <n v="0"/>
    <n v="0"/>
    <n v="0"/>
    <n v="0"/>
    <n v="0"/>
    <n v="30.98875"/>
    <n v="0"/>
    <n v="30.98875"/>
    <n v="197.25444817563019"/>
    <n v="0.86422925087057989"/>
    <x v="1"/>
    <s v="LEVE"/>
    <x v="8"/>
    <x v="0"/>
    <n v="7"/>
    <n v="1"/>
    <d v="2017-11-18T00:00:00"/>
    <s v="CHEVROLET"/>
    <s v="CRUZE"/>
    <n v="1151.085"/>
    <d v="2017-11-20T00:00:00"/>
    <n v="0"/>
    <x v="1"/>
  </r>
  <r>
    <d v="2017-11-25T00:00:00"/>
    <s v="001-00010927"/>
    <n v="1331.1444836379692"/>
    <n v="0"/>
    <n v="0"/>
    <n v="0"/>
    <n v="0"/>
    <n v="58.5"/>
    <n v="298.73155000000003"/>
    <n v="0"/>
    <n v="357.23155000000003"/>
    <n v="973.91293363796922"/>
    <n v="0.73163578079541058"/>
    <x v="1"/>
    <s v="LEVE"/>
    <x v="8"/>
    <x v="0"/>
    <n v="5"/>
    <n v="1"/>
    <d v="2017-11-20T00:00:00"/>
    <s v="KIA"/>
    <s v="CERATO"/>
    <n v="973.24499999999989"/>
    <d v="2017-11-20T00:00:00"/>
    <n v="4"/>
    <x v="1"/>
  </r>
  <r>
    <d v="2017-11-25T00:00:00"/>
    <s v="001-00010920"/>
    <n v="846.83470597118981"/>
    <n v="0"/>
    <n v="0"/>
    <n v="0"/>
    <n v="0"/>
    <n v="73.125"/>
    <n v="184.07317499999999"/>
    <n v="0"/>
    <n v="257.19817499999999"/>
    <n v="589.63653097118981"/>
    <n v="0.69628290717604324"/>
    <x v="1"/>
    <s v="LEVE"/>
    <x v="8"/>
    <x v="0"/>
    <n v="8"/>
    <n v="1"/>
    <d v="2017-11-17T00:00:00"/>
    <s v="TOYOTA"/>
    <s v="COROLLA"/>
    <n v="202.70249999999999"/>
    <d v="2017-11-18T00:00:00"/>
    <n v="5"/>
    <x v="1"/>
  </r>
  <r>
    <d v="2017-11-25T00:00:00"/>
    <s v="001-00010839"/>
    <n v="1585.70036177373"/>
    <n v="11.15459997"/>
    <n v="0"/>
    <n v="105.34322033898306"/>
    <n v="29.25"/>
    <n v="146.25"/>
    <n v="185.9325"/>
    <n v="0"/>
    <n v="477.93032030898303"/>
    <n v="1107.770041464747"/>
    <n v="0.69859985415253323"/>
    <x v="1"/>
    <s v="MEDIANO"/>
    <x v="8"/>
    <x v="0"/>
    <n v="17"/>
    <n v="1"/>
    <d v="2017-11-08T00:00:00"/>
    <s v="KIA"/>
    <s v="CERATO"/>
    <n v="9619.7724999999991"/>
    <d v="2017-11-09T00:00:00"/>
    <n v="10"/>
    <x v="1"/>
  </r>
  <r>
    <d v="2017-11-27T00:00:00"/>
    <s v="001-00010785"/>
    <n v="3482.1488520000003"/>
    <n v="86.469948250000002"/>
    <n v="0"/>
    <n v="216.1"/>
    <n v="61.425000000000004"/>
    <n v="263.25"/>
    <n v="430.74362500000007"/>
    <n v="341.25"/>
    <n v="1399.2385732500002"/>
    <n v="2082.9102787500001"/>
    <n v="0.59816807588614818"/>
    <x v="1"/>
    <s v="MEDIANO"/>
    <x v="8"/>
    <x v="0"/>
    <n v="25"/>
    <n v="1"/>
    <d v="2017-11-02T00:00:00"/>
    <s v="HYUNDAI"/>
    <s v="ACCENT"/>
    <n v="3511.5275000000001"/>
    <d v="2017-11-06T00:00:00"/>
    <n v="18"/>
    <x v="575"/>
  </r>
  <r>
    <d v="2017-11-27T00:00:00"/>
    <s v="001-00010909"/>
    <n v="647.14884228000005"/>
    <n v="0"/>
    <n v="0"/>
    <n v="0"/>
    <n v="0"/>
    <n v="43.875"/>
    <n v="92.966250000000002"/>
    <n v="0"/>
    <n v="136.84125"/>
    <n v="510.30759228000005"/>
    <n v="0.78854748543180841"/>
    <x v="1"/>
    <s v="LEVE"/>
    <x v="8"/>
    <x v="0"/>
    <n v="12"/>
    <n v="1"/>
    <d v="2017-11-15T00:00:00"/>
    <s v="HYUNDAI"/>
    <s v="I10"/>
    <n v="196.755"/>
    <d v="2017-11-16T00:00:00"/>
    <n v="3"/>
    <x v="1"/>
  </r>
  <r>
    <d v="2017-11-27T00:00:00"/>
    <s v="001-00010812"/>
    <n v="1385.5000000000002"/>
    <n v="0"/>
    <n v="0"/>
    <n v="96.398305084745772"/>
    <n v="0"/>
    <n v="146.25"/>
    <n v="154.94374999999999"/>
    <n v="0"/>
    <n v="397.59205508474577"/>
    <n v="987.90794491525446"/>
    <n v="0.71303352213298754"/>
    <x v="1"/>
    <s v="MEDIANO"/>
    <x v="8"/>
    <x v="0"/>
    <n v="23"/>
    <n v="1"/>
    <d v="2017-11-04T00:00:00"/>
    <s v="FIAT"/>
    <s v="ADVENTURE"/>
    <n v="2396.3225000000002"/>
    <d v="2017-11-07T00:00:00"/>
    <n v="10"/>
    <x v="1"/>
  </r>
  <r>
    <d v="2017-11-28T00:00:00"/>
    <s v="001-00010935"/>
    <n v="1308.3439729940703"/>
    <n v="0"/>
    <n v="0"/>
    <n v="0"/>
    <n v="0"/>
    <n v="146.25"/>
    <n v="185.9325"/>
    <n v="0"/>
    <n v="332.1825"/>
    <n v="976.16147299407032"/>
    <n v="0.74610461250505911"/>
    <x v="1"/>
    <s v="MEDIANO"/>
    <x v="8"/>
    <x v="0"/>
    <n v="8"/>
    <n v="1"/>
    <d v="2017-11-20T00:00:00"/>
    <s v="NISSAN"/>
    <s v="VERSA"/>
    <n v="32.11"/>
    <d v="2017-11-21T00:00:00"/>
    <n v="10"/>
    <x v="1"/>
  </r>
  <r>
    <d v="2017-11-28T00:00:00"/>
    <s v="001-00010934"/>
    <n v="1058.79844430085"/>
    <n v="0"/>
    <n v="0"/>
    <n v="0"/>
    <n v="0"/>
    <n v="117"/>
    <n v="160.521725"/>
    <n v="0"/>
    <n v="277.521725"/>
    <n v="781.27671930084989"/>
    <n v="0.7378899388322635"/>
    <x v="1"/>
    <s v="MEDIANO"/>
    <x v="8"/>
    <x v="0"/>
    <n v="8"/>
    <n v="1"/>
    <d v="2017-11-20T00:00:00"/>
    <s v="KIA"/>
    <s v="SPORTAGE"/>
    <n v="43.387499999999996"/>
    <d v="2017-11-20T00:00:00"/>
    <n v="8"/>
    <x v="1"/>
  </r>
  <r>
    <d v="2017-11-29T00:00:00"/>
    <s v="001-00010853"/>
    <n v="2045.4272825999994"/>
    <n v="0.5272"/>
    <n v="0"/>
    <n v="0"/>
    <n v="0"/>
    <n v="175.5"/>
    <n v="342.11579999999998"/>
    <n v="0"/>
    <n v="518.14300000000003"/>
    <n v="1527.2842825999994"/>
    <n v="0.74668226809736593"/>
    <x v="1"/>
    <s v="MEDIANO"/>
    <x v="8"/>
    <x v="0"/>
    <n v="19"/>
    <n v="1"/>
    <d v="2017-11-10T00:00:00"/>
    <s v="MAZDA"/>
    <s v="MAZDA 3"/>
    <n v="4091.6849999999999"/>
    <d v="2017-11-10T00:00:00"/>
    <n v="12"/>
    <x v="576"/>
  </r>
  <r>
    <d v="2017-11-29T00:00:00"/>
    <s v="001-00010875"/>
    <n v="2504.88936087"/>
    <n v="0"/>
    <n v="0"/>
    <n v="0"/>
    <n v="0"/>
    <n v="409.5"/>
    <n v="263.40437500000002"/>
    <n v="0"/>
    <n v="672.90437500000007"/>
    <n v="1831.9849858699999"/>
    <n v="0.73136363405436544"/>
    <x v="1"/>
    <s v="MEDIANO"/>
    <x v="8"/>
    <x v="0"/>
    <n v="16"/>
    <n v="1"/>
    <d v="2017-11-13T00:00:00"/>
    <s v="NISSAN"/>
    <s v="VERSA"/>
    <n v="2686.4825000000001"/>
    <d v="2017-11-14T00:00:00"/>
    <n v="28"/>
    <x v="577"/>
  </r>
  <r>
    <d v="2017-11-29T00:00:00"/>
    <s v="001-00010243"/>
    <n v="8997.2415000000019"/>
    <n v="1.3660000000000001"/>
    <n v="0"/>
    <n v="3264.8305084745766"/>
    <n v="102.375"/>
    <n v="731.25"/>
    <n v="356.37062500000002"/>
    <n v="0"/>
    <n v="4456.1921334745766"/>
    <n v="4541.0493665254253"/>
    <n v="0.50471573609816123"/>
    <x v="1"/>
    <s v="GRAVE"/>
    <x v="8"/>
    <x v="0"/>
    <n v="93"/>
    <n v="1"/>
    <d v="2017-08-28T00:00:00"/>
    <s v="KIA"/>
    <s v="K2700"/>
    <n v="5118.8475000000008"/>
    <d v="2017-09-11T00:00:00"/>
    <n v="50"/>
    <x v="578"/>
  </r>
  <r>
    <d v="2017-11-29T00:00:00"/>
    <s v="001-00010946"/>
    <n v="582.66"/>
    <n v="0"/>
    <n v="0"/>
    <n v="34.322033898305094"/>
    <n v="0"/>
    <n v="43.875"/>
    <n v="123.955"/>
    <n v="0"/>
    <n v="202.15203389830509"/>
    <n v="380.50796610169488"/>
    <n v="0.65305318041687244"/>
    <x v="0"/>
    <s v="LEVE"/>
    <x v="8"/>
    <x v="0"/>
    <n v="8"/>
    <n v="1"/>
    <d v="2017-11-21T00:00:00"/>
    <s v="TOYOTA"/>
    <s v="RAV 4"/>
    <n v="0"/>
    <d v="2017-11-21T00:00:00"/>
    <n v="3"/>
    <x v="96"/>
  </r>
  <r>
    <d v="2017-11-29T00:00:00"/>
    <s v="001-00010933"/>
    <n v="1434.0185145000003"/>
    <n v="0.85519999999999985"/>
    <n v="0"/>
    <n v="110.16949152542374"/>
    <n v="0"/>
    <n v="117"/>
    <n v="215.68170000000001"/>
    <n v="0"/>
    <n v="443.70639152542378"/>
    <n v="990.31212297457648"/>
    <n v="0.69058531180810379"/>
    <x v="1"/>
    <s v="MEDIANO"/>
    <x v="8"/>
    <x v="0"/>
    <n v="9"/>
    <n v="1"/>
    <d v="2017-11-20T00:00:00"/>
    <s v="TOYOTA"/>
    <s v="RAV 4"/>
    <n v="0"/>
    <d v="2017-11-21T00:00:00"/>
    <n v="8"/>
    <x v="96"/>
  </r>
  <r>
    <d v="2017-11-29T00:00:00"/>
    <s v="001-00010865"/>
    <n v="1739.0918454000002"/>
    <n v="1.0369999400000001"/>
    <n v="0"/>
    <n v="126.94525423728814"/>
    <n v="0"/>
    <n v="234"/>
    <n v="243.57157500000002"/>
    <n v="113.75"/>
    <n v="719.30382917728821"/>
    <n v="1019.788016222712"/>
    <n v="0.58639112069906552"/>
    <x v="1"/>
    <s v="MEDIANO"/>
    <x v="8"/>
    <x v="0"/>
    <n v="16"/>
    <n v="1"/>
    <d v="2017-11-13T00:00:00"/>
    <s v="CHEVROLET"/>
    <s v="AVEO"/>
    <n v="0"/>
    <d v="2017-11-13T00:00:00"/>
    <n v="16"/>
    <x v="1"/>
  </r>
  <r>
    <d v="2017-11-29T00:00:00"/>
    <s v="001-00010392"/>
    <n v="3937.8104999999996"/>
    <n v="1.4243999599999997"/>
    <n v="0"/>
    <n v="132.20406779661019"/>
    <n v="58.5"/>
    <n v="380.25"/>
    <n v="511.31437500000004"/>
    <n v="81.25"/>
    <n v="1164.9428427566104"/>
    <n v="2772.8676572433892"/>
    <n v="0.70416482896863353"/>
    <x v="1"/>
    <s v="GRAVE"/>
    <x v="8"/>
    <x v="0"/>
    <n v="75"/>
    <n v="1"/>
    <d v="2017-09-15T00:00:00"/>
    <s v="CHEVROLET"/>
    <s v="SAIL"/>
    <n v="4009.2649999999994"/>
    <d v="2017-09-23T00:00:00"/>
    <n v="26"/>
    <x v="1"/>
  </r>
  <r>
    <d v="2017-11-29T00:00:00"/>
    <s v="001-00010557"/>
    <n v="1011.5625"/>
    <n v="0"/>
    <n v="0"/>
    <n v="0"/>
    <n v="0"/>
    <n v="117"/>
    <n v="139.449375"/>
    <n v="0"/>
    <n v="256.44937500000003"/>
    <n v="755.11312499999997"/>
    <n v="0.74648192771084332"/>
    <x v="1"/>
    <s v="LEVE"/>
    <x v="8"/>
    <x v="0"/>
    <n v="56"/>
    <n v="1"/>
    <d v="2017-10-04T00:00:00"/>
    <s v="MITSUBISHI"/>
    <s v="ASX"/>
    <n v="1822.8924999999999"/>
    <d v="2017-10-04T00:00:00"/>
    <n v="8"/>
    <x v="1"/>
  </r>
  <r>
    <d v="2017-11-29T00:00:00"/>
    <s v="001-00010872"/>
    <n v="1112.1014541"/>
    <n v="0"/>
    <n v="0"/>
    <n v="0"/>
    <n v="0"/>
    <n v="87.75"/>
    <n v="123.33522500000001"/>
    <n v="113.75"/>
    <n v="324.83522500000004"/>
    <n v="787.26622909999992"/>
    <n v="0.70790864106649132"/>
    <x v="0"/>
    <s v="LEVE"/>
    <x v="8"/>
    <x v="0"/>
    <n v="16"/>
    <n v="1"/>
    <d v="2017-11-13T00:00:00"/>
    <s v="CHEVROLET"/>
    <s v="CRUZE"/>
    <n v="203.28749999999999"/>
    <d v="2017-11-13T00:00:00"/>
    <n v="6"/>
    <x v="1"/>
  </r>
  <r>
    <d v="2017-11-29T00:00:00"/>
    <s v="001-00010905"/>
    <n v="1505.3422488000001"/>
    <n v="0"/>
    <n v="0"/>
    <n v="0"/>
    <n v="29.25"/>
    <n v="87.75"/>
    <n v="295.0129"/>
    <n v="0"/>
    <n v="412.0129"/>
    <n v="1093.3293488000002"/>
    <n v="0.72629951738321274"/>
    <x v="1"/>
    <s v="LEVE"/>
    <x v="8"/>
    <x v="0"/>
    <n v="14"/>
    <n v="1"/>
    <d v="2017-11-15T00:00:00"/>
    <s v="NISSAN"/>
    <s v="TIIDA"/>
    <n v="1920.5550000000003"/>
    <d v="2017-11-17T00:00:00"/>
    <n v="6"/>
    <x v="1"/>
  </r>
  <r>
    <d v="2017-11-30T00:00:00"/>
    <s v="001-00010916"/>
    <n v="1734.4928693400002"/>
    <n v="0"/>
    <n v="0"/>
    <n v="41.313559322033896"/>
    <n v="29.25"/>
    <n v="175.5"/>
    <n v="201.426875"/>
    <n v="0"/>
    <n v="447.49043432203388"/>
    <n v="1287.0024350179663"/>
    <n v="0.74200503084667591"/>
    <x v="1"/>
    <s v="MEDIANO"/>
    <x v="8"/>
    <x v="0"/>
    <n v="13"/>
    <n v="1"/>
    <d v="2017-11-17T00:00:00"/>
    <s v="CHERY"/>
    <s v="FULWIN"/>
    <n v="204.62"/>
    <d v="2017-11-20T00:00:00"/>
    <n v="12"/>
    <x v="579"/>
  </r>
  <r>
    <d v="2017-11-03T00:00:00"/>
    <s v="001-00010746"/>
    <n v="131.95943524400002"/>
    <n v="0"/>
    <n v="82.615000000000009"/>
    <n v="0"/>
    <n v="0"/>
    <n v="0"/>
    <n v="0"/>
    <n v="0"/>
    <n v="82.615000000000009"/>
    <n v="49.34443524400001"/>
    <n v="0.37393639304957255"/>
    <x v="1"/>
    <s v="-"/>
    <x v="8"/>
    <x v="0"/>
    <n v="8"/>
    <n v="1"/>
    <d v="2017-10-26T00:00:00"/>
    <s v="KIA"/>
    <s v="RIO"/>
    <n v="132.21"/>
    <d v="2017-10-27T00:00:00"/>
    <n v="0"/>
    <x v="580"/>
  </r>
  <r>
    <d v="2017-11-03T00:00:00"/>
    <s v="001-00010787"/>
    <n v="225.45800000000003"/>
    <n v="0"/>
    <n v="0"/>
    <n v="48.050847457627121"/>
    <n v="0"/>
    <n v="29.25"/>
    <n v="0"/>
    <n v="0"/>
    <n v="77.300847457627128"/>
    <n v="148.1571525423729"/>
    <n v="0.65713859141114039"/>
    <x v="0"/>
    <s v="LEVE"/>
    <x v="8"/>
    <x v="0"/>
    <n v="1"/>
    <n v="1"/>
    <d v="2017-11-02T00:00:00"/>
    <s v="HYUNDAI"/>
    <s v="ACCENT"/>
    <n v="0"/>
    <d v="2017-11-02T00:00:00"/>
    <n v="2"/>
    <x v="549"/>
  </r>
  <r>
    <d v="2017-11-03T00:00:00"/>
    <s v="001-00010796"/>
    <n v="186.44070200000002"/>
    <n v="21.183999999999997"/>
    <n v="0"/>
    <n v="0"/>
    <n v="38.025000000000006"/>
    <n v="0"/>
    <n v="0"/>
    <n v="0"/>
    <n v="59.209000000000003"/>
    <n v="127.23170200000001"/>
    <n v="0.68242449548382411"/>
    <x v="0"/>
    <s v="-"/>
    <x v="8"/>
    <x v="0"/>
    <n v="0"/>
    <n v="1"/>
    <d v="2017-11-03T00:00:00"/>
    <s v="CHEVROLET"/>
    <s v="CRUZE"/>
    <n v="59.507499999999993"/>
    <d v="2017-11-03T00:00:00"/>
    <n v="0"/>
    <x v="581"/>
  </r>
  <r>
    <d v="2017-11-03T00:00:00"/>
    <s v="001-00010779"/>
    <n v="132"/>
    <n v="0"/>
    <n v="82.615000000000009"/>
    <n v="0"/>
    <n v="0"/>
    <n v="0"/>
    <n v="0"/>
    <n v="0"/>
    <n v="82.615000000000009"/>
    <n v="49.384999999999991"/>
    <n v="0.37412878787878778"/>
    <x v="0"/>
    <s v="-"/>
    <x v="8"/>
    <x v="0"/>
    <n v="2"/>
    <n v="1"/>
    <d v="2017-11-01T00:00:00"/>
    <s v="TOYOTA"/>
    <s v="YARIS"/>
    <n v="132.21"/>
    <d v="2017-11-02T00:00:00"/>
    <n v="0"/>
    <x v="582"/>
  </r>
  <r>
    <d v="2017-11-03T00:00:00"/>
    <s v="001-00010792"/>
    <n v="220"/>
    <n v="0"/>
    <n v="0"/>
    <n v="0"/>
    <n v="0"/>
    <n v="0"/>
    <n v="61.977499999999999"/>
    <n v="0"/>
    <n v="61.977499999999999"/>
    <n v="158.02250000000001"/>
    <n v="0.71828409090909096"/>
    <x v="0"/>
    <s v="-"/>
    <x v="8"/>
    <x v="0"/>
    <n v="0"/>
    <n v="1"/>
    <d v="2017-11-03T00:00:00"/>
    <s v="MAZDA"/>
    <s v="MAZDA 2"/>
    <n v="0"/>
    <d v="2017-11-03T00:00:00"/>
    <n v="0"/>
    <x v="583"/>
  </r>
  <r>
    <d v="2017-11-04T00:00:00"/>
    <s v="001-00010806"/>
    <n v="82.474482800000018"/>
    <n v="0"/>
    <n v="0"/>
    <n v="0"/>
    <n v="0"/>
    <n v="0"/>
    <n v="0"/>
    <n v="0"/>
    <n v="0"/>
    <n v="82.474482800000018"/>
    <n v="1"/>
    <x v="0"/>
    <s v="-"/>
    <x v="8"/>
    <x v="0"/>
    <n v="1"/>
    <n v="1"/>
    <d v="2017-11-03T00:00:00"/>
    <s v="MAZDA"/>
    <s v="MAZDA 2"/>
    <n v="82.615000000000009"/>
    <d v="2017-11-04T00:00:00"/>
    <n v="0"/>
    <x v="583"/>
  </r>
  <r>
    <d v="2017-11-04T00:00:00"/>
    <s v="001-00010726"/>
    <n v="67.796599999999998"/>
    <n v="0"/>
    <n v="0"/>
    <n v="28.73"/>
    <n v="0"/>
    <n v="0"/>
    <n v="0"/>
    <n v="0"/>
    <n v="28.73"/>
    <n v="39.066599999999994"/>
    <n v="0.57623243643486544"/>
    <x v="0"/>
    <s v="-"/>
    <x v="8"/>
    <x v="0"/>
    <n v="11"/>
    <n v="1"/>
    <d v="2017-10-24T00:00:00"/>
    <s v="HYUNDAI"/>
    <s v="CRETA"/>
    <n v="0"/>
    <d v="2017-10-24T00:00:00"/>
    <n v="0"/>
    <x v="584"/>
  </r>
  <r>
    <d v="2017-11-04T00:00:00"/>
    <s v="001-00010802"/>
    <n v="522.33885604"/>
    <n v="0"/>
    <n v="357.5"/>
    <n v="0"/>
    <n v="0"/>
    <n v="0"/>
    <n v="0"/>
    <n v="0"/>
    <n v="357.5"/>
    <n v="164.83885604"/>
    <n v="0.31557839156307543"/>
    <x v="0"/>
    <s v="-"/>
    <x v="8"/>
    <x v="0"/>
    <n v="1"/>
    <n v="1"/>
    <d v="2017-11-03T00:00:00"/>
    <s v="SUZUKI"/>
    <s v="APV"/>
    <n v="523.31500000000005"/>
    <d v="2017-11-04T00:00:00"/>
    <n v="0"/>
    <x v="585"/>
  </r>
  <r>
    <d v="2017-11-04T00:00:00"/>
    <s v="001-00010777"/>
    <n v="600"/>
    <n v="0"/>
    <n v="0"/>
    <n v="0"/>
    <n v="43.875"/>
    <n v="0"/>
    <n v="0"/>
    <n v="0"/>
    <n v="43.875"/>
    <n v="556.125"/>
    <n v="0.926875"/>
    <x v="0"/>
    <s v="-"/>
    <x v="8"/>
    <x v="0"/>
    <n v="3"/>
    <n v="1"/>
    <d v="2017-11-01T00:00:00"/>
    <s v="HYUNDAI"/>
    <s v="I10"/>
    <n v="40.104999999999997"/>
    <d v="2017-11-02T00:00:00"/>
    <n v="0"/>
    <x v="586"/>
  </r>
  <r>
    <d v="2017-11-04T00:00:00"/>
    <s v="001-00010794"/>
    <n v="649"/>
    <n v="147.30130210000002"/>
    <n v="0"/>
    <n v="0"/>
    <n v="39.048749999999998"/>
    <n v="0"/>
    <n v="0"/>
    <n v="0"/>
    <n v="186.35005210000003"/>
    <n v="462.64994789999997"/>
    <n v="0.71286586733436053"/>
    <x v="0"/>
    <s v="-"/>
    <x v="8"/>
    <x v="0"/>
    <n v="1"/>
    <n v="1"/>
    <d v="2017-11-03T00:00:00"/>
    <s v="NISSAN"/>
    <s v="VERSA"/>
    <n v="140.4"/>
    <d v="2017-11-03T00:00:00"/>
    <n v="0"/>
    <x v="587"/>
  </r>
  <r>
    <d v="2017-11-06T00:00:00"/>
    <s v="001-00010791"/>
    <n v="450"/>
    <n v="128.74880099999999"/>
    <n v="0"/>
    <n v="0"/>
    <n v="39.048749999999998"/>
    <n v="0"/>
    <n v="0"/>
    <n v="0"/>
    <n v="167.797551"/>
    <n v="282.202449"/>
    <n v="0.62711655333333338"/>
    <x v="0"/>
    <s v="-"/>
    <x v="8"/>
    <x v="0"/>
    <n v="3"/>
    <n v="1"/>
    <d v="2017-11-03T00:00:00"/>
    <s v="CHEVROLET"/>
    <s v="CRUZE"/>
    <n v="0"/>
    <d v="2017-11-03T00:00:00"/>
    <n v="0"/>
    <x v="236"/>
  </r>
  <r>
    <d v="2017-11-06T00:00:00"/>
    <s v="001-00010811"/>
    <n v="466.10169999999999"/>
    <n v="118.65000199999997"/>
    <n v="0"/>
    <n v="0"/>
    <n v="14.625"/>
    <n v="0"/>
    <n v="0"/>
    <n v="0"/>
    <n v="133.27500199999997"/>
    <n v="332.82669800000002"/>
    <n v="0.71406454428293231"/>
    <x v="0"/>
    <s v="-"/>
    <x v="8"/>
    <x v="0"/>
    <n v="0"/>
    <n v="1"/>
    <d v="2017-11-06T00:00:00"/>
    <s v="CHEVROLET"/>
    <s v="CRUZE"/>
    <n v="310.66750000000002"/>
    <d v="2017-11-06T00:00:00"/>
    <n v="0"/>
    <x v="581"/>
  </r>
  <r>
    <d v="2017-11-07T00:00:00"/>
    <s v="001-00010775"/>
    <n v="795.91102454999998"/>
    <n v="0"/>
    <n v="0"/>
    <n v="0"/>
    <n v="0"/>
    <n v="73.125"/>
    <n v="185.9325"/>
    <n v="0"/>
    <n v="259.0575"/>
    <n v="536.85352454999997"/>
    <n v="0.67451449721221224"/>
    <x v="0"/>
    <s v="LEVE"/>
    <x v="8"/>
    <x v="0"/>
    <n v="6"/>
    <n v="1"/>
    <d v="2017-11-01T00:00:00"/>
    <s v="HYUNDAI"/>
    <s v="ELANTRA"/>
    <n v="0"/>
    <d v="2017-11-02T00:00:00"/>
    <n v="5"/>
    <x v="588"/>
  </r>
  <r>
    <d v="2017-11-08T00:00:00"/>
    <s v="001-00010833"/>
    <n v="249"/>
    <n v="67.6117986"/>
    <n v="0"/>
    <n v="34.322033898305094"/>
    <n v="39.048749999999998"/>
    <n v="0"/>
    <n v="0"/>
    <n v="0"/>
    <n v="140.98258249830508"/>
    <n v="108.01741750169492"/>
    <n v="0.43380488956503988"/>
    <x v="0"/>
    <s v="-"/>
    <x v="8"/>
    <x v="0"/>
    <n v="0"/>
    <n v="1"/>
    <d v="2017-11-08T00:00:00"/>
    <s v="HYUNDAI"/>
    <s v="ACCENT"/>
    <n v="0"/>
    <d v="2017-11-08T00:00:00"/>
    <n v="0"/>
    <x v="195"/>
  </r>
  <r>
    <d v="2017-11-10T00:00:00"/>
    <s v="001-00010828"/>
    <n v="522.66087025568982"/>
    <n v="0.87959997999999984"/>
    <n v="0"/>
    <n v="102.96610169491527"/>
    <n v="0"/>
    <n v="29.25"/>
    <n v="61.977499999999999"/>
    <n v="0"/>
    <n v="195.07320167491525"/>
    <n v="327.58766858077456"/>
    <n v="0.62676907192328379"/>
    <x v="0"/>
    <s v="LEVE"/>
    <x v="8"/>
    <x v="0"/>
    <n v="3"/>
    <n v="1"/>
    <d v="2017-11-07T00:00:00"/>
    <s v="HYUNDAI"/>
    <s v="VELOSTER"/>
    <n v="0"/>
    <d v="2017-11-07T00:00:00"/>
    <n v="2"/>
    <x v="589"/>
  </r>
  <r>
    <d v="2017-11-11T00:00:00"/>
    <s v="001-00010798"/>
    <n v="132"/>
    <n v="0"/>
    <n v="82.615000000000009"/>
    <n v="0"/>
    <n v="0"/>
    <n v="0"/>
    <n v="0"/>
    <n v="0"/>
    <n v="82.615000000000009"/>
    <n v="49.384999999999991"/>
    <n v="0.37412878787878778"/>
    <x v="0"/>
    <s v="-"/>
    <x v="8"/>
    <x v="0"/>
    <n v="8"/>
    <n v="1"/>
    <d v="2017-11-03T00:00:00"/>
    <s v="KIA"/>
    <s v="RIO"/>
    <n v="132.21"/>
    <d v="2017-11-03T00:00:00"/>
    <n v="0"/>
    <x v="590"/>
  </r>
  <r>
    <d v="2017-11-11T00:00:00"/>
    <s v="001-00010810"/>
    <n v="6783.9753121949188"/>
    <n v="4424.7976499999995"/>
    <n v="593.22"/>
    <n v="40"/>
    <n v="380.25"/>
    <n v="0"/>
    <n v="0"/>
    <n v="0"/>
    <n v="5438.2676499999998"/>
    <n v="1345.7076621949191"/>
    <n v="0.1983656484975507"/>
    <x v="0"/>
    <s v="-"/>
    <x v="8"/>
    <x v="0"/>
    <n v="5"/>
    <n v="1"/>
    <d v="2017-11-06T00:00:00"/>
    <s v="HONDA"/>
    <s v="PILOT"/>
    <n v="5014.75"/>
    <d v="2017-11-06T00:00:00"/>
    <n v="0"/>
    <x v="591"/>
  </r>
  <r>
    <d v="2017-11-11T00:00:00"/>
    <s v="001-00010854"/>
    <n v="688.12443019914997"/>
    <n v="324.65954884999996"/>
    <n v="0"/>
    <n v="0"/>
    <n v="0"/>
    <n v="0"/>
    <n v="0"/>
    <n v="0"/>
    <n v="324.65954884999996"/>
    <n v="363.46488134915001"/>
    <n v="0.52819645023206008"/>
    <x v="0"/>
    <s v="-"/>
    <x v="8"/>
    <x v="0"/>
    <n v="1"/>
    <n v="1"/>
    <d v="2017-11-10T00:00:00"/>
    <s v="HONDA"/>
    <s v="PILOT"/>
    <n v="55.087499999999999"/>
    <d v="2017-11-09T00:00:00"/>
    <n v="0"/>
    <x v="591"/>
  </r>
  <r>
    <d v="2017-11-11T00:00:00"/>
    <s v="001-00010827"/>
    <n v="1898.1122241354208"/>
    <n v="0"/>
    <n v="0"/>
    <n v="54.915254237288146"/>
    <n v="0"/>
    <n v="175.5"/>
    <n v="356.37062500000002"/>
    <n v="0"/>
    <n v="586.7858792372881"/>
    <n v="1311.3263448981327"/>
    <n v="0.69085817383397041"/>
    <x v="0"/>
    <s v="MEDIANO"/>
    <x v="8"/>
    <x v="0"/>
    <n v="4"/>
    <n v="1"/>
    <d v="2017-11-07T00:00:00"/>
    <s v="HYUNDAI"/>
    <s v="I10"/>
    <n v="132.21"/>
    <d v="2017-11-07T00:00:00"/>
    <n v="12"/>
    <x v="592"/>
  </r>
  <r>
    <d v="2017-11-11T00:00:00"/>
    <s v="001-00010850"/>
    <n v="249"/>
    <n v="67.261199300000001"/>
    <n v="0"/>
    <n v="0"/>
    <n v="39.048749999999998"/>
    <n v="0"/>
    <n v="0"/>
    <n v="0"/>
    <n v="106.3099493"/>
    <n v="142.6900507"/>
    <n v="0.57305241244979921"/>
    <x v="0"/>
    <s v="-"/>
    <x v="8"/>
    <x v="0"/>
    <n v="1"/>
    <n v="1"/>
    <d v="2017-11-10T00:00:00"/>
    <s v="CHEVROLET"/>
    <s v="SAIL"/>
    <n v="0"/>
    <d v="2017-11-10T00:00:00"/>
    <n v="0"/>
    <x v="315"/>
  </r>
  <r>
    <d v="2017-11-11T00:00:00"/>
    <s v="001-00010831"/>
    <n v="660.20331113897976"/>
    <n v="0"/>
    <n v="0"/>
    <n v="0"/>
    <n v="0"/>
    <n v="0"/>
    <n v="0"/>
    <n v="0"/>
    <n v="0"/>
    <n v="660.20331113897976"/>
    <n v="1"/>
    <x v="0"/>
    <s v="-"/>
    <x v="8"/>
    <x v="0"/>
    <n v="4"/>
    <n v="1"/>
    <d v="2017-11-07T00:00:00"/>
    <s v="SUZUKI"/>
    <s v="GRAND N."/>
    <n v="661.01749999999993"/>
    <d v="2017-11-07T00:00:00"/>
    <n v="0"/>
    <x v="593"/>
  </r>
  <r>
    <d v="2017-11-11T00:00:00"/>
    <s v="001-00010859"/>
    <n v="649.20001999999999"/>
    <n v="254.24"/>
    <n v="0"/>
    <n v="0"/>
    <n v="0"/>
    <n v="0"/>
    <n v="0"/>
    <n v="0"/>
    <n v="254.24"/>
    <n v="394.96001999999999"/>
    <n v="0.60837955611892924"/>
    <x v="0"/>
    <s v="-"/>
    <x v="8"/>
    <x v="0"/>
    <n v="0"/>
    <n v="1"/>
    <d v="2017-11-11T00:00:00"/>
    <s v="SUZUKI"/>
    <s v="GRAND N."/>
    <n v="487.5"/>
    <d v="2017-11-11T00:00:00"/>
    <n v="0"/>
    <x v="593"/>
  </r>
  <r>
    <d v="2017-11-11T00:00:00"/>
    <s v="001-00010808"/>
    <n v="1237.88128953559"/>
    <n v="0"/>
    <n v="0"/>
    <n v="31.384067796610172"/>
    <n v="0"/>
    <n v="138.9375"/>
    <n v="247.91"/>
    <n v="0"/>
    <n v="418.23156779661019"/>
    <n v="819.64972173897979"/>
    <n v="0.66213919595350201"/>
    <x v="0"/>
    <s v="LEVE"/>
    <x v="8"/>
    <x v="0"/>
    <n v="6"/>
    <n v="1"/>
    <d v="2017-11-05T00:00:00"/>
    <s v="HYUNDAI"/>
    <s v="ELANTRA"/>
    <n v="0"/>
    <d v="2017-11-04T00:00:00"/>
    <n v="9.5"/>
    <x v="594"/>
  </r>
  <r>
    <d v="2017-11-13T00:00:00"/>
    <s v="001-00010864"/>
    <n v="466.10171999999989"/>
    <n v="146.53824474999999"/>
    <n v="0"/>
    <n v="0"/>
    <n v="39.048749999999998"/>
    <n v="0"/>
    <n v="0"/>
    <n v="0"/>
    <n v="185.58699474999997"/>
    <n v="280.51472524999991"/>
    <n v="0.6018315599650651"/>
    <x v="0"/>
    <s v="-"/>
    <x v="8"/>
    <x v="0"/>
    <n v="0"/>
    <n v="1"/>
    <d v="2017-11-13T00:00:00"/>
    <s v="FORD"/>
    <s v="ECOSPORT"/>
    <n v="0"/>
    <d v="2017-11-13T00:00:00"/>
    <n v="0"/>
    <x v="182"/>
  </r>
  <r>
    <d v="2017-11-13T00:00:00"/>
    <s v="001-00010867"/>
    <n v="250"/>
    <n v="70.159799000000007"/>
    <n v="0"/>
    <n v="0"/>
    <n v="39.048749999999998"/>
    <n v="0"/>
    <n v="0"/>
    <n v="0"/>
    <n v="109.208549"/>
    <n v="140.791451"/>
    <n v="0.56316580399999994"/>
    <x v="0"/>
    <s v="-"/>
    <x v="8"/>
    <x v="0"/>
    <n v="0"/>
    <n v="1"/>
    <d v="2017-11-13T00:00:00"/>
    <s v="KIA"/>
    <s v="RIO"/>
    <n v="0"/>
    <d v="2017-11-13T00:00:00"/>
    <n v="0"/>
    <x v="167"/>
  </r>
  <r>
    <d v="2017-11-13T00:00:00"/>
    <s v="001-00010809"/>
    <n v="389.16"/>
    <n v="0"/>
    <n v="0"/>
    <n v="41.186440677966104"/>
    <n v="0"/>
    <n v="14.625"/>
    <n v="77.471874999999997"/>
    <n v="0"/>
    <n v="133.2833156779661"/>
    <n v="255.87668432203392"/>
    <n v="0.65751023826198451"/>
    <x v="0"/>
    <s v="LEVE"/>
    <x v="8"/>
    <x v="0"/>
    <n v="7"/>
    <n v="1"/>
    <d v="2017-11-06T00:00:00"/>
    <s v="MAZDA"/>
    <s v="CX-5"/>
    <n v="0"/>
    <d v="2017-11-04T00:00:00"/>
    <n v="1"/>
    <x v="595"/>
  </r>
  <r>
    <d v="2017-11-13T00:00:00"/>
    <s v="001-00010866"/>
    <n v="734.7373"/>
    <n v="330.97875025000002"/>
    <n v="0"/>
    <n v="0"/>
    <n v="14.625"/>
    <n v="0"/>
    <n v="0"/>
    <n v="0"/>
    <n v="345.60375025000002"/>
    <n v="389.13354974999999"/>
    <n v="0.52962269609831969"/>
    <x v="0"/>
    <s v="-"/>
    <x v="8"/>
    <x v="0"/>
    <n v="0"/>
    <n v="1"/>
    <d v="2017-11-13T00:00:00"/>
    <s v="KIA"/>
    <s v="RIO"/>
    <n v="586.52750000000003"/>
    <d v="2017-11-13T00:00:00"/>
    <n v="0"/>
    <x v="596"/>
  </r>
  <r>
    <d v="2017-11-14T00:00:00"/>
    <s v="001-00010886"/>
    <n v="355.93219000000005"/>
    <n v="0"/>
    <n v="260.85240000000005"/>
    <n v="0"/>
    <n v="0"/>
    <n v="0"/>
    <n v="0"/>
    <n v="0"/>
    <n v="260.85240000000005"/>
    <n v="95.079790000000003"/>
    <n v="0.26712894385866026"/>
    <x v="0"/>
    <s v="-"/>
    <x v="8"/>
    <x v="0"/>
    <n v="3"/>
    <n v="1"/>
    <d v="2017-11-11T00:00:00"/>
    <s v="CHEVROLET"/>
    <s v="CAPTIVA"/>
    <n v="357.01249999999999"/>
    <d v="2017-11-14T00:00:00"/>
    <n v="0"/>
    <x v="236"/>
  </r>
  <r>
    <d v="2017-11-14T00:00:00"/>
    <s v="001-00010885"/>
    <n v="249"/>
    <n v="67.6117986"/>
    <n v="0"/>
    <n v="0"/>
    <n v="39.048749999999998"/>
    <n v="0"/>
    <n v="0"/>
    <n v="0"/>
    <n v="106.6605486"/>
    <n v="142.3394514"/>
    <n v="0.57164438313253008"/>
    <x v="0"/>
    <s v="-"/>
    <x v="8"/>
    <x v="0"/>
    <n v="3"/>
    <n v="1"/>
    <d v="2017-11-11T00:00:00"/>
    <s v="HYUNDAI"/>
    <s v="ACCENT"/>
    <n v="0"/>
    <d v="2017-11-14T00:00:00"/>
    <n v="0"/>
    <x v="597"/>
  </r>
  <r>
    <d v="2017-11-14T00:00:00"/>
    <s v="001-00010884"/>
    <n v="349"/>
    <n v="160.01130110000003"/>
    <n v="0"/>
    <n v="0"/>
    <n v="39.048749999999998"/>
    <n v="0"/>
    <n v="0"/>
    <n v="0"/>
    <n v="199.06005110000001"/>
    <n v="149.93994889999999"/>
    <n v="0.42962736074498564"/>
    <x v="0"/>
    <s v="-"/>
    <x v="8"/>
    <x v="0"/>
    <n v="2"/>
    <n v="1"/>
    <d v="2017-11-12T00:00:00"/>
    <s v="NISSAN"/>
    <s v="VERSA"/>
    <n v="0"/>
    <d v="2017-11-14T00:00:00"/>
    <n v="0"/>
    <x v="598"/>
  </r>
  <r>
    <d v="2017-11-14T00:00:00"/>
    <s v="001-00010847"/>
    <n v="350"/>
    <n v="142.18979999999999"/>
    <n v="0"/>
    <n v="0"/>
    <n v="39.048749999999998"/>
    <n v="0"/>
    <n v="0"/>
    <n v="0"/>
    <n v="181.23854999999998"/>
    <n v="168.76145000000002"/>
    <n v="0.48217557142857148"/>
    <x v="0"/>
    <s v="-"/>
    <x v="8"/>
    <x v="0"/>
    <n v="5"/>
    <n v="1"/>
    <d v="2017-11-09T00:00:00"/>
    <s v="HYUNDAI"/>
    <s v="ELANTRA"/>
    <n v="0"/>
    <d v="2017-11-09T00:00:00"/>
    <n v="0"/>
    <x v="323"/>
  </r>
  <r>
    <d v="2017-11-14T00:00:00"/>
    <s v="001-00010868"/>
    <n v="8.4660996999999991"/>
    <n v="0"/>
    <n v="0"/>
    <n v="0"/>
    <n v="0"/>
    <n v="0"/>
    <n v="0"/>
    <n v="0"/>
    <n v="0"/>
    <n v="8.4660996999999991"/>
    <n v="1"/>
    <x v="0"/>
    <s v="-"/>
    <x v="8"/>
    <x v="0"/>
    <n v="1"/>
    <n v="1"/>
    <d v="2017-11-13T00:00:00"/>
    <s v="HYUNDAI"/>
    <s v="ELANTRA"/>
    <n v="8.4824999999999999"/>
    <d v="2017-11-13T00:00:00"/>
    <n v="0"/>
    <x v="323"/>
  </r>
  <r>
    <d v="2017-11-15T00:00:00"/>
    <s v="001-00010862"/>
    <n v="516"/>
    <n v="163.01139875000001"/>
    <n v="0"/>
    <n v="0"/>
    <n v="39.048749999999998"/>
    <n v="0"/>
    <n v="0"/>
    <n v="0"/>
    <n v="202.06014875"/>
    <n v="313.93985125"/>
    <n v="0.60841056443798447"/>
    <x v="0"/>
    <s v="-"/>
    <x v="8"/>
    <x v="0"/>
    <n v="2"/>
    <n v="1"/>
    <d v="2017-11-13T00:00:00"/>
    <s v="HYUNDAI"/>
    <s v="TUCSON"/>
    <n v="66.202500000000001"/>
    <d v="2017-11-13T00:00:00"/>
    <n v="0"/>
    <x v="179"/>
  </r>
  <r>
    <d v="2017-11-15T00:00:00"/>
    <s v="001-00010871"/>
    <n v="274.80306714300002"/>
    <n v="0"/>
    <n v="0"/>
    <n v="0"/>
    <n v="0"/>
    <n v="29.25"/>
    <n v="61.977499999999999"/>
    <n v="0"/>
    <n v="91.227499999999992"/>
    <n v="183.57556714300003"/>
    <n v="0.66802590324609556"/>
    <x v="0"/>
    <s v="LEVE"/>
    <x v="8"/>
    <x v="0"/>
    <n v="4"/>
    <n v="1"/>
    <d v="2017-11-11T00:00:00"/>
    <s v="MAZDA"/>
    <s v="CX-5"/>
    <n v="0"/>
    <d v="2017-11-13T00:00:00"/>
    <n v="2"/>
    <x v="275"/>
  </r>
  <r>
    <d v="2017-11-15T00:00:00"/>
    <s v="001-00010858"/>
    <n v="296.81719974300006"/>
    <n v="0"/>
    <n v="0"/>
    <n v="0"/>
    <n v="0"/>
    <n v="0"/>
    <n v="0"/>
    <n v="0"/>
    <n v="0"/>
    <n v="296.81719974300006"/>
    <n v="1"/>
    <x v="0"/>
    <s v="-"/>
    <x v="8"/>
    <x v="0"/>
    <n v="5"/>
    <n v="1"/>
    <d v="2017-11-10T00:00:00"/>
    <s v="HYUNDAI"/>
    <s v="I10"/>
    <n v="297.47250000000003"/>
    <d v="2017-11-10T00:00:00"/>
    <n v="0"/>
    <x v="599"/>
  </r>
  <r>
    <d v="2017-11-16T00:00:00"/>
    <s v="001-00010870"/>
    <n v="1750"/>
    <n v="463.40499998000001"/>
    <n v="0"/>
    <n v="0"/>
    <n v="126.79875"/>
    <n v="0"/>
    <n v="0"/>
    <n v="0"/>
    <n v="590.20374998"/>
    <n v="1159.7962500200001"/>
    <n v="0.66274071429714287"/>
    <x v="0"/>
    <s v="-"/>
    <x v="8"/>
    <x v="0"/>
    <n v="5"/>
    <n v="1"/>
    <d v="2017-11-11T00:00:00"/>
    <s v="HYUNDAI"/>
    <s v="ELANTRA"/>
    <n v="1003.0799999999999"/>
    <d v="2017-11-13T00:00:00"/>
    <n v="0"/>
    <x v="399"/>
  </r>
  <r>
    <d v="2017-11-16T00:00:00"/>
    <s v="001-00010910"/>
    <n v="381.35589999999996"/>
    <n v="58.850848849999998"/>
    <n v="0"/>
    <n v="0"/>
    <n v="39.048749999999998"/>
    <n v="0"/>
    <n v="0"/>
    <n v="0"/>
    <n v="97.89959884999999"/>
    <n v="283.45630114999994"/>
    <n v="0.74328547467077333"/>
    <x v="0"/>
    <s v="-"/>
    <x v="8"/>
    <x v="0"/>
    <n v="1"/>
    <n v="1"/>
    <d v="2017-11-15T00:00:00"/>
    <s v="MAZDA"/>
    <s v="MAZDA 3"/>
    <n v="0"/>
    <d v="2017-11-16T00:00:00"/>
    <n v="0"/>
    <x v="600"/>
  </r>
  <r>
    <d v="2017-11-16T00:00:00"/>
    <s v="001-00010879"/>
    <n v="555"/>
    <n v="42.639999000000017"/>
    <n v="0"/>
    <n v="0"/>
    <n v="73.125"/>
    <n v="0"/>
    <n v="0"/>
    <n v="0"/>
    <n v="115.76499900000002"/>
    <n v="439.23500100000001"/>
    <n v="0.79141441621621622"/>
    <x v="0"/>
    <s v="-"/>
    <x v="8"/>
    <x v="0"/>
    <n v="5"/>
    <n v="1"/>
    <d v="2017-11-11T00:00:00"/>
    <s v="CHEVROLET"/>
    <s v="AVEO"/>
    <n v="45.11"/>
    <d v="2017-11-13T00:00:00"/>
    <n v="0"/>
    <x v="465"/>
  </r>
  <r>
    <d v="2017-11-17T00:00:00"/>
    <s v="001-00010873"/>
    <n v="229.8448663198001"/>
    <n v="0"/>
    <n v="0"/>
    <n v="0"/>
    <n v="0"/>
    <n v="0"/>
    <n v="30.98875"/>
    <n v="0"/>
    <n v="30.98875"/>
    <n v="198.85611631980009"/>
    <n v="0.86517536590578847"/>
    <x v="0"/>
    <s v="-"/>
    <x v="8"/>
    <x v="0"/>
    <n v="6"/>
    <n v="1"/>
    <d v="2017-11-11T00:00:00"/>
    <s v="SUZUKI"/>
    <s v="CIAZ"/>
    <n v="132.21"/>
    <d v="2017-11-13T00:00:00"/>
    <n v="0"/>
    <x v="601"/>
  </r>
  <r>
    <d v="2017-11-17T00:00:00"/>
    <s v="001-00010861"/>
    <n v="677.96608999999989"/>
    <n v="0.2636"/>
    <n v="0"/>
    <n v="0"/>
    <n v="0"/>
    <n v="87.75"/>
    <n v="61.977499999999999"/>
    <n v="0"/>
    <n v="149.99109999999999"/>
    <n v="527.97498999999993"/>
    <n v="0.77876312368366396"/>
    <x v="0"/>
    <s v="LEVE"/>
    <x v="8"/>
    <x v="0"/>
    <n v="6"/>
    <n v="1"/>
    <d v="2017-11-11T00:00:00"/>
    <s v="MAZDA"/>
    <s v="CX-5"/>
    <n v="0"/>
    <d v="2017-11-13T00:00:00"/>
    <n v="6"/>
    <x v="160"/>
  </r>
  <r>
    <d v="2017-11-17T00:00:00"/>
    <s v="001-00010857"/>
    <n v="132.28486331980011"/>
    <n v="0.67659997999999999"/>
    <n v="0"/>
    <n v="0"/>
    <n v="0"/>
    <n v="0"/>
    <n v="0"/>
    <n v="0"/>
    <n v="0.67659997999999999"/>
    <n v="131.60826333980012"/>
    <n v="0.99488528042422886"/>
    <x v="0"/>
    <s v="-"/>
    <x v="8"/>
    <x v="0"/>
    <n v="7"/>
    <n v="1"/>
    <d v="2017-11-10T00:00:00"/>
    <s v="KIA"/>
    <s v="CERATO"/>
    <n v="132.21"/>
    <d v="2017-11-10T00:00:00"/>
    <n v="0"/>
    <x v="602"/>
  </r>
  <r>
    <d v="2017-11-18T00:00:00"/>
    <s v="001-00010898"/>
    <n v="520.32001600000001"/>
    <n v="0"/>
    <n v="0"/>
    <n v="109.83050847457629"/>
    <n v="0"/>
    <n v="102.375"/>
    <n v="61.977499999999999"/>
    <n v="0"/>
    <n v="274.1830084745763"/>
    <n v="246.13700752542371"/>
    <n v="0.47304927728443125"/>
    <x v="0"/>
    <s v="LEVE"/>
    <x v="8"/>
    <x v="0"/>
    <n v="7"/>
    <n v="1"/>
    <d v="2017-11-11T00:00:00"/>
    <s v="KIA"/>
    <s v="RIO"/>
    <n v="0"/>
    <d v="2017-11-14T00:00:00"/>
    <n v="7"/>
    <x v="603"/>
  </r>
  <r>
    <d v="2017-11-20T00:00:00"/>
    <s v="001-00010925"/>
    <n v="1260"/>
    <n v="454.61980175000002"/>
    <n v="0"/>
    <n v="0"/>
    <n v="68.298749999999998"/>
    <n v="0"/>
    <n v="0"/>
    <n v="0"/>
    <n v="522.91855175000001"/>
    <n v="737.08144824999999"/>
    <n v="0.58498527638888886"/>
    <x v="0"/>
    <s v="-"/>
    <x v="8"/>
    <x v="0"/>
    <n v="0"/>
    <n v="1"/>
    <d v="2017-11-20T00:00:00"/>
    <s v="KIA"/>
    <s v="SPORTAGE"/>
    <n v="621.88749999999993"/>
    <d v="2017-11-20T00:00:00"/>
    <n v="0"/>
    <x v="223"/>
  </r>
  <r>
    <d v="2017-11-22T00:00:00"/>
    <s v="001-00010915"/>
    <n v="388.32001200000002"/>
    <n v="1.35319996"/>
    <n v="0"/>
    <n v="0"/>
    <n v="0"/>
    <n v="58.5"/>
    <n v="61.977499999999999"/>
    <n v="0"/>
    <n v="121.83069996"/>
    <n v="266.48931204000002"/>
    <n v="0.68626211321810526"/>
    <x v="0"/>
    <s v="LEVE"/>
    <x v="8"/>
    <x v="0"/>
    <n v="5"/>
    <n v="1"/>
    <d v="2017-11-17T00:00:00"/>
    <s v="NISSAN"/>
    <s v="VERSA"/>
    <n v="0"/>
    <d v="2017-11-17T00:00:00"/>
    <n v="4"/>
    <x v="604"/>
  </r>
  <r>
    <d v="2017-11-22T00:00:00"/>
    <s v="001-00010944"/>
    <n v="950"/>
    <n v="373.31320275000002"/>
    <n v="0"/>
    <n v="0"/>
    <n v="57.037500000000001"/>
    <n v="0"/>
    <n v="0"/>
    <n v="0"/>
    <n v="430.35070275000004"/>
    <n v="519.64929725000002"/>
    <n v="0.54699926026315793"/>
    <x v="0"/>
    <s v="-"/>
    <x v="8"/>
    <x v="0"/>
    <n v="2"/>
    <n v="1"/>
    <d v="2017-11-20T00:00:00"/>
    <s v="FORD"/>
    <s v="ECOSPORT"/>
    <n v="391.20249999999999"/>
    <d v="2017-11-21T00:00:00"/>
    <n v="0"/>
    <x v="180"/>
  </r>
  <r>
    <d v="2017-11-22T00:00:00"/>
    <s v="001-00010939"/>
    <n v="412.59001274999997"/>
    <n v="0"/>
    <n v="0"/>
    <n v="0"/>
    <n v="0"/>
    <n v="43.875"/>
    <n v="92.966250000000002"/>
    <n v="0"/>
    <n v="136.84125"/>
    <n v="275.74876274999997"/>
    <n v="0.66833600966750495"/>
    <x v="0"/>
    <s v="LEVE"/>
    <x v="8"/>
    <x v="0"/>
    <n v="1"/>
    <n v="1"/>
    <d v="2017-11-21T00:00:00"/>
    <s v="SUZUKI"/>
    <s v="SX4"/>
    <n v="0"/>
    <d v="2017-11-21T00:00:00"/>
    <n v="3"/>
    <x v="350"/>
  </r>
  <r>
    <d v="2017-11-22T00:00:00"/>
    <s v="001-00010851"/>
    <n v="131.63401530380011"/>
    <n v="0"/>
    <n v="82.360800000000012"/>
    <n v="0"/>
    <n v="0"/>
    <n v="0"/>
    <n v="0"/>
    <n v="0"/>
    <n v="82.360800000000012"/>
    <n v="49.2732153038001"/>
    <n v="0.3743197773773117"/>
    <x v="0"/>
    <s v="-"/>
    <x v="8"/>
    <x v="0"/>
    <n v="12"/>
    <n v="1"/>
    <d v="2017-11-10T00:00:00"/>
    <s v="HYUNDAI"/>
    <s v="ACCENT"/>
    <n v="132.21"/>
    <d v="2017-11-10T00:00:00"/>
    <n v="0"/>
    <x v="605"/>
  </r>
  <r>
    <d v="2017-11-22T00:00:00"/>
    <s v="001-00010952"/>
    <n v="989"/>
    <n v="338.01479497999998"/>
    <n v="0"/>
    <n v="84.75"/>
    <n v="53.673749999999998"/>
    <n v="0"/>
    <n v="0"/>
    <n v="0"/>
    <n v="476.43854497999996"/>
    <n v="512.56145502000004"/>
    <n v="0.51826234076845301"/>
    <x v="0"/>
    <s v="-"/>
    <x v="8"/>
    <x v="0"/>
    <n v="0"/>
    <n v="1"/>
    <d v="2017-11-22T00:00:00"/>
    <s v="KIA"/>
    <s v="PICANTO"/>
    <n v="441.35"/>
    <d v="2017-11-22T00:00:00"/>
    <n v="0"/>
    <x v="606"/>
  </r>
  <r>
    <d v="2017-11-23T00:00:00"/>
    <s v="001-00010960"/>
    <n v="349"/>
    <n v="140.95139799999998"/>
    <n v="0"/>
    <n v="0"/>
    <n v="39.048749999999998"/>
    <n v="0"/>
    <n v="0"/>
    <n v="0"/>
    <n v="180.00014799999997"/>
    <n v="168.99985200000003"/>
    <n v="0.4842402636103153"/>
    <x v="0"/>
    <s v="-"/>
    <x v="8"/>
    <x v="0"/>
    <n v="0"/>
    <n v="1"/>
    <d v="2017-11-23T00:00:00"/>
    <s v="HYUNDAI"/>
    <s v="ACCENT"/>
    <n v="0"/>
    <d v="2017-11-23T00:00:00"/>
    <n v="0"/>
    <x v="206"/>
  </r>
  <r>
    <d v="2017-11-23T00:00:00"/>
    <s v="001-00010841"/>
    <n v="600"/>
    <n v="146.53824474999999"/>
    <n v="0"/>
    <n v="0"/>
    <n v="39.048749999999998"/>
    <n v="0"/>
    <n v="0"/>
    <n v="0"/>
    <n v="185.58699474999997"/>
    <n v="414.41300525000003"/>
    <n v="0.69068834208333341"/>
    <x v="0"/>
    <s v="-"/>
    <x v="8"/>
    <x v="0"/>
    <n v="15"/>
    <n v="1"/>
    <d v="2017-11-08T00:00:00"/>
    <s v="FORD"/>
    <s v="ECOSPORT"/>
    <n v="0"/>
    <d v="2017-11-08T00:00:00"/>
    <n v="0"/>
    <x v="607"/>
  </r>
  <r>
    <d v="2017-11-24T00:00:00"/>
    <s v="001-00010936"/>
    <n v="357.05933848304994"/>
    <n v="0"/>
    <n v="0"/>
    <n v="0"/>
    <n v="0"/>
    <n v="14.625"/>
    <n v="61.977499999999999"/>
    <n v="0"/>
    <n v="76.602499999999992"/>
    <n v="280.45683848304998"/>
    <n v="0.785462830000632"/>
    <x v="0"/>
    <s v="-"/>
    <x v="8"/>
    <x v="0"/>
    <n v="4"/>
    <n v="1"/>
    <d v="2017-11-20T00:00:00"/>
    <s v="HYUNDAI"/>
    <s v="I10"/>
    <n v="0"/>
    <d v="2017-11-20T00:00:00"/>
    <n v="1"/>
    <x v="608"/>
  </r>
  <r>
    <d v="2017-11-25T00:00:00"/>
    <s v="001-00010750"/>
    <n v="9350.2847114999986"/>
    <n v="6648.0200907999997"/>
    <n v="0"/>
    <n v="92.686779661016942"/>
    <n v="29.25"/>
    <n v="117"/>
    <n v="123.955"/>
    <n v="113.75"/>
    <n v="7124.6618704610164"/>
    <n v="2225.6228410389822"/>
    <n v="0.23802728042084845"/>
    <x v="0"/>
    <s v="LEVE"/>
    <x v="8"/>
    <x v="0"/>
    <n v="29"/>
    <n v="1"/>
    <d v="2017-10-27T00:00:00"/>
    <s v="HYUNDAI"/>
    <s v="I10"/>
    <n v="8066.5"/>
    <d v="2017-11-25T00:00:00"/>
    <n v="8"/>
    <x v="609"/>
  </r>
  <r>
    <d v="2017-11-25T00:00:00"/>
    <s v="001-00010906"/>
    <n v="521.85578920830892"/>
    <n v="0"/>
    <n v="356.40000000000003"/>
    <n v="0"/>
    <n v="0"/>
    <n v="0"/>
    <n v="0"/>
    <n v="0"/>
    <n v="356.40000000000003"/>
    <n v="165.45578920830889"/>
    <n v="0.31705270427164695"/>
    <x v="0"/>
    <s v="LEVE"/>
    <x v="8"/>
    <x v="0"/>
    <n v="10"/>
    <n v="1"/>
    <d v="2017-11-15T00:00:00"/>
    <s v="HYUNDAI"/>
    <s v="I10"/>
    <n v="523.31500000000005"/>
    <d v="2017-11-16T00:00:00"/>
    <n v="0"/>
    <x v="610"/>
  </r>
  <r>
    <d v="2017-11-25T00:00:00"/>
    <s v="001-00010970"/>
    <n v="361.17929755592996"/>
    <n v="0"/>
    <n v="0"/>
    <n v="0"/>
    <n v="0"/>
    <n v="0"/>
    <n v="0"/>
    <n v="0"/>
    <n v="0"/>
    <n v="361.17929755592996"/>
    <n v="1"/>
    <x v="4"/>
    <s v="S/TIPO"/>
    <x v="8"/>
    <x v="0"/>
    <n v="1"/>
    <n v="1"/>
    <d v="2017-11-24T00:00:00"/>
    <s v="S/MARCA"/>
    <s v="S/MODELO"/>
    <n v="0"/>
    <s v="F/Fecha"/>
    <n v="0"/>
    <x v="611"/>
  </r>
  <r>
    <d v="2017-11-25T00:00:00"/>
    <s v="001-00010974"/>
    <n v="349"/>
    <n v="125.13610099999997"/>
    <n v="0"/>
    <n v="0"/>
    <n v="39.048749999999998"/>
    <n v="0"/>
    <n v="0"/>
    <n v="0"/>
    <n v="164.18485099999998"/>
    <n v="184.81514900000002"/>
    <n v="0.52955630085959893"/>
    <x v="0"/>
    <s v="-"/>
    <x v="8"/>
    <x v="0"/>
    <n v="0"/>
    <n v="1"/>
    <d v="2017-11-25T00:00:00"/>
    <s v="KIA"/>
    <s v="RIO"/>
    <n v="0"/>
    <d v="2017-11-25T00:00:00"/>
    <n v="0"/>
    <x v="425"/>
  </r>
  <r>
    <d v="2017-11-25T00:00:00"/>
    <s v="001-00010975"/>
    <n v="349"/>
    <n v="78.508000500000009"/>
    <n v="0"/>
    <n v="0"/>
    <n v="39.048749999999998"/>
    <n v="0"/>
    <n v="0"/>
    <n v="0"/>
    <n v="117.55675050000001"/>
    <n v="231.44324949999998"/>
    <n v="0.66316117335243552"/>
    <x v="0"/>
    <s v="-"/>
    <x v="8"/>
    <x v="0"/>
    <n v="0"/>
    <n v="1"/>
    <d v="2017-11-25T00:00:00"/>
    <s v="TOYOTA"/>
    <s v="YARIS"/>
    <n v="0"/>
    <d v="2017-11-25T00:00:00"/>
    <n v="0"/>
    <x v="612"/>
  </r>
  <r>
    <d v="2017-11-25T00:00:00"/>
    <s v="001-00010976"/>
    <n v="233.46185297361026"/>
    <n v="0"/>
    <n v="0"/>
    <n v="0"/>
    <n v="0"/>
    <n v="0"/>
    <n v="0"/>
    <n v="0"/>
    <n v="0"/>
    <n v="233.46185297361026"/>
    <n v="1"/>
    <x v="0"/>
    <s v="-"/>
    <x v="8"/>
    <x v="0"/>
    <n v="0"/>
    <n v="1"/>
    <d v="2017-11-25T00:00:00"/>
    <s v="TOYOTA"/>
    <s v="YARIS"/>
    <n v="234.0975"/>
    <d v="2017-11-25T00:00:00"/>
    <n v="0"/>
    <x v="612"/>
  </r>
  <r>
    <d v="2017-11-25T00:00:00"/>
    <s v="001-00010949"/>
    <n v="388.91998799999999"/>
    <n v="0"/>
    <n v="0"/>
    <n v="41.186440677966104"/>
    <n v="0"/>
    <n v="14.625"/>
    <n v="61.977499999999999"/>
    <n v="0"/>
    <n v="117.78894067796611"/>
    <n v="271.13104732203385"/>
    <n v="0.69713837212715812"/>
    <x v="0"/>
    <s v="LEVE"/>
    <x v="8"/>
    <x v="0"/>
    <n v="4"/>
    <n v="1"/>
    <d v="2017-11-21T00:00:00"/>
    <s v="TOYOTA"/>
    <s v="COROLLA"/>
    <n v="0"/>
    <d v="2017-11-22T00:00:00"/>
    <n v="1"/>
    <x v="613"/>
  </r>
  <r>
    <d v="2017-11-27T00:00:00"/>
    <s v="001-00010969"/>
    <n v="349"/>
    <n v="49.138000500000011"/>
    <n v="0"/>
    <n v="0"/>
    <n v="39.048749999999998"/>
    <n v="0"/>
    <n v="0"/>
    <n v="0"/>
    <n v="88.186750500000016"/>
    <n v="260.81324949999998"/>
    <n v="0.74731590114613178"/>
    <x v="0"/>
    <s v="-"/>
    <x v="8"/>
    <x v="0"/>
    <n v="3"/>
    <n v="1"/>
    <d v="2017-11-24T00:00:00"/>
    <s v="SUZUKI"/>
    <s v="GRAND N."/>
    <n v="0"/>
    <d v="2017-11-24T00:00:00"/>
    <n v="0"/>
    <x v="166"/>
  </r>
  <r>
    <d v="2017-11-27T00:00:00"/>
    <s v="001-00010980"/>
    <n v="314.10172"/>
    <n v="61.078100100000007"/>
    <n v="0"/>
    <n v="0"/>
    <n v="39.048749999999998"/>
    <n v="0"/>
    <n v="0"/>
    <n v="0"/>
    <n v="100.12685010000001"/>
    <n v="213.97486989999999"/>
    <n v="0.68122794711216472"/>
    <x v="0"/>
    <s v="-"/>
    <x v="8"/>
    <x v="0"/>
    <n v="2"/>
    <n v="1"/>
    <d v="2017-11-25T00:00:00"/>
    <s v="NISSAN"/>
    <s v="TIIDA"/>
    <n v="0"/>
    <d v="2017-11-27T00:00:00"/>
    <n v="0"/>
    <x v="614"/>
  </r>
  <r>
    <d v="2017-11-28T00:00:00"/>
    <s v="001-00010977"/>
    <n v="520"/>
    <n v="58.850848849999998"/>
    <n v="0"/>
    <n v="0"/>
    <n v="39.048749999999998"/>
    <n v="0"/>
    <n v="0"/>
    <n v="0"/>
    <n v="97.89959884999999"/>
    <n v="422.10040115000004"/>
    <n v="0.81173154067307696"/>
    <x v="0"/>
    <s v="-"/>
    <x v="8"/>
    <x v="0"/>
    <n v="1"/>
    <n v="1"/>
    <d v="2017-11-27T00:00:00"/>
    <s v="MAZDA"/>
    <s v="MAZDA 3"/>
    <n v="0"/>
    <d v="2017-11-27T00:00:00"/>
    <n v="0"/>
    <x v="221"/>
  </r>
  <r>
    <d v="2017-11-28T00:00:00"/>
    <s v="001-00010992"/>
    <n v="460"/>
    <n v="88.672900249999998"/>
    <n v="0"/>
    <n v="0"/>
    <n v="53.673749999999998"/>
    <n v="0"/>
    <n v="0"/>
    <n v="0"/>
    <n v="142.34665024999998"/>
    <n v="317.65334975000002"/>
    <n v="0.69055076032608698"/>
    <x v="0"/>
    <s v="-"/>
    <x v="8"/>
    <x v="0"/>
    <n v="0"/>
    <n v="1"/>
    <d v="2017-11-28T00:00:00"/>
    <s v="HYUNDAI"/>
    <s v="TUCSON"/>
    <n v="0"/>
    <d v="2017-11-28T00:00:00"/>
    <n v="0"/>
    <x v="615"/>
  </r>
  <r>
    <d v="2017-11-28T00:00:00"/>
    <s v="001-00010994"/>
    <n v="450"/>
    <n v="105.92399799999998"/>
    <n v="0"/>
    <n v="0"/>
    <n v="39.048749999999998"/>
    <n v="0"/>
    <n v="0"/>
    <n v="0"/>
    <n v="144.97274799999997"/>
    <n v="305.02725200000003"/>
    <n v="0.6778383377777778"/>
    <x v="0"/>
    <s v="-"/>
    <x v="8"/>
    <x v="0"/>
    <n v="0"/>
    <n v="1"/>
    <d v="2017-11-28T00:00:00"/>
    <s v="KIA"/>
    <s v="CERATO"/>
    <n v="0"/>
    <d v="2017-11-28T00:00:00"/>
    <n v="0"/>
    <x v="616"/>
  </r>
  <r>
    <d v="2017-11-29T00:00:00"/>
    <s v="001-00010993"/>
    <n v="493.89830000000001"/>
    <n v="168.42969880000001"/>
    <n v="0"/>
    <n v="0"/>
    <n v="0"/>
    <n v="0"/>
    <n v="0"/>
    <n v="0"/>
    <n v="168.42969880000001"/>
    <n v="325.46860119999997"/>
    <n v="0.65897898656464293"/>
    <x v="0"/>
    <s v="-"/>
    <x v="8"/>
    <x v="0"/>
    <n v="1"/>
    <n v="1"/>
    <d v="2017-11-28T00:00:00"/>
    <s v="KIA"/>
    <s v="RIO"/>
    <n v="461.40249999999997"/>
    <d v="2017-11-28T00:00:00"/>
    <n v="0"/>
    <x v="425"/>
  </r>
  <r>
    <d v="2017-11-29T00:00:00"/>
    <s v="001-00010894"/>
    <n v="1735.3612029000001"/>
    <n v="0"/>
    <n v="0"/>
    <n v="0"/>
    <n v="0"/>
    <n v="228.15"/>
    <n v="247.91"/>
    <n v="0"/>
    <n v="476.06"/>
    <n v="1259.3012029000001"/>
    <n v="0.72567094435184698"/>
    <x v="0"/>
    <s v="LEVE"/>
    <x v="8"/>
    <x v="0"/>
    <n v="15"/>
    <n v="1"/>
    <d v="2017-11-14T00:00:00"/>
    <s v="CHEVROLET"/>
    <s v="AVEO"/>
    <n v="0"/>
    <d v="2017-11-14T00:00:00"/>
    <n v="15.6"/>
    <x v="617"/>
  </r>
  <r>
    <d v="2017-11-29T00:00:00"/>
    <s v="001-00011009"/>
    <n v="399.75420000000003"/>
    <n v="80.646098999999992"/>
    <n v="0"/>
    <n v="0"/>
    <n v="39.048749999999998"/>
    <n v="0"/>
    <n v="15.494375"/>
    <n v="0"/>
    <n v="135.189224"/>
    <n v="264.564976"/>
    <n v="0.66181912785406627"/>
    <x v="0"/>
    <s v="-"/>
    <x v="8"/>
    <x v="0"/>
    <n v="0"/>
    <n v="1"/>
    <d v="2017-11-29T00:00:00"/>
    <s v="KIA"/>
    <s v="RIO"/>
    <n v="0"/>
    <d v="2017-11-29T00:00:00"/>
    <n v="0"/>
    <x v="618"/>
  </r>
  <r>
    <d v="2017-11-29T00:00:00"/>
    <s v="001-00011008"/>
    <n v="349"/>
    <n v="65.880248749999993"/>
    <n v="0"/>
    <n v="0"/>
    <n v="39.048749999999998"/>
    <n v="0"/>
    <n v="0"/>
    <n v="0"/>
    <n v="104.92899874999999"/>
    <n v="244.07100124999999"/>
    <n v="0.69934384312320919"/>
    <x v="0"/>
    <s v="-"/>
    <x v="8"/>
    <x v="0"/>
    <n v="0"/>
    <n v="1"/>
    <d v="2017-11-29T00:00:00"/>
    <s v="TOYOTA"/>
    <s v="COROLLA"/>
    <n v="0"/>
    <d v="2017-11-29T00:00:00"/>
    <n v="0"/>
    <x v="618"/>
  </r>
  <r>
    <d v="2017-11-30T00:00:00"/>
    <s v="001-00011019"/>
    <n v="679.14"/>
    <n v="0"/>
    <n v="0"/>
    <n v="0"/>
    <n v="0"/>
    <n v="58.5"/>
    <n v="123.955"/>
    <n v="0"/>
    <n v="182.45499999999998"/>
    <n v="496.685"/>
    <n v="0.73134405277262426"/>
    <x v="0"/>
    <s v="LEVE"/>
    <x v="8"/>
    <x v="0"/>
    <n v="0"/>
    <n v="1"/>
    <d v="2017-11-30T00:00:00"/>
    <s v="NISSAN"/>
    <s v="QASHQAI"/>
    <n v="0"/>
    <d v="2017-11-30T00:00:00"/>
    <n v="4"/>
    <x v="619"/>
  </r>
  <r>
    <d v="2017-12-01T00:00:00"/>
    <s v="001-00011025"/>
    <n v="424.93632336440982"/>
    <n v="0"/>
    <n v="96.098400000000012"/>
    <n v="0"/>
    <n v="0"/>
    <n v="0"/>
    <n v="0"/>
    <n v="0"/>
    <n v="96.098400000000012"/>
    <n v="328.83792336440979"/>
    <n v="0.77385223452034824"/>
    <x v="0"/>
    <s v="-"/>
    <x v="9"/>
    <x v="0"/>
    <n v="0"/>
    <n v="1"/>
    <d v="2017-12-01T00:00:00"/>
    <s v="TOYOTA"/>
    <s v="COROLLA"/>
    <n v="426.92000000000007"/>
    <d v="2017-12-01T00:00:00"/>
    <n v="0"/>
    <x v="560"/>
  </r>
  <r>
    <d v="2017-12-01T00:00:00"/>
    <s v="001-00010414"/>
    <n v="3259.2623992500003"/>
    <n v="10.17"/>
    <n v="0"/>
    <n v="0"/>
    <n v="29.25"/>
    <n v="351"/>
    <n v="449.33687499999996"/>
    <n v="0"/>
    <n v="839.75687500000004"/>
    <n v="2419.5055242500002"/>
    <n v="0.74234757066714252"/>
    <x v="1"/>
    <s v="MEDIANO"/>
    <x v="9"/>
    <x v="0"/>
    <n v="77"/>
    <n v="1"/>
    <d v="2017-09-15T00:00:00"/>
    <s v="VOLKSWAGEN"/>
    <s v="CROSSFOX"/>
    <n v="11185.1675"/>
    <d v="2017-09-19T00:00:00"/>
    <n v="24"/>
    <x v="1"/>
  </r>
  <r>
    <d v="2017-12-01T00:00:00"/>
    <s v="001-00010963"/>
    <n v="421.78381919685995"/>
    <n v="0"/>
    <n v="0"/>
    <n v="20.593220338983052"/>
    <n v="0"/>
    <n v="36.5625"/>
    <n v="77.471874999999997"/>
    <n v="0"/>
    <n v="134.62759533898304"/>
    <n v="287.15622385787691"/>
    <n v="0.68081375052429871"/>
    <x v="1"/>
    <s v="LEVE"/>
    <x v="9"/>
    <x v="0"/>
    <n v="8"/>
    <n v="1"/>
    <d v="2017-11-23T00:00:00"/>
    <s v="HYUNDAI"/>
    <s v="ELANTRA"/>
    <n v="1013.61"/>
    <d v="2017-11-24T00:00:00"/>
    <n v="2.5"/>
    <x v="1"/>
  </r>
  <r>
    <d v="2017-12-01T00:00:00"/>
    <s v="001-00010950"/>
    <n v="827.28264242712021"/>
    <n v="0.5272"/>
    <n v="0"/>
    <n v="0"/>
    <n v="0"/>
    <n v="87.75"/>
    <n v="123.955"/>
    <n v="0"/>
    <n v="212.23219999999998"/>
    <n v="615.05044242712029"/>
    <n v="0.74345865715574155"/>
    <x v="1"/>
    <s v="LEVE"/>
    <x v="9"/>
    <x v="0"/>
    <n v="9"/>
    <n v="1"/>
    <d v="2017-11-22T00:00:00"/>
    <s v="RENAULT"/>
    <s v="STEPWAY"/>
    <n v="1841.3850000000002"/>
    <d v="2017-11-22T00:00:00"/>
    <n v="6"/>
    <x v="1"/>
  </r>
  <r>
    <d v="2017-12-01T00:00:00"/>
    <s v="001-00010406"/>
    <n v="7307.8647741000004"/>
    <n v="0"/>
    <n v="0"/>
    <n v="55.084745762711869"/>
    <n v="117"/>
    <n v="1170"/>
    <n v="681.75250000000005"/>
    <n v="81.25"/>
    <n v="2105.087245762712"/>
    <n v="5202.7775283372885"/>
    <n v="0.71194222788256722"/>
    <x v="1"/>
    <s v="GRAVE"/>
    <x v="9"/>
    <x v="0"/>
    <n v="77"/>
    <n v="1"/>
    <d v="2017-09-15T00:00:00"/>
    <s v="KIA"/>
    <s v="CERATO"/>
    <n v="17773.145"/>
    <d v="2017-09-21T00:00:00"/>
    <n v="80"/>
    <x v="1"/>
  </r>
  <r>
    <d v="2017-12-01T00:00:00"/>
    <s v="001-00010967"/>
    <n v="409.11781761839006"/>
    <n v="0"/>
    <n v="0"/>
    <n v="0"/>
    <n v="0"/>
    <n v="43.875"/>
    <n v="61.977499999999999"/>
    <n v="0"/>
    <n v="105.85249999999999"/>
    <n v="303.2653176183901"/>
    <n v="0.74126646300519905"/>
    <x v="1"/>
    <s v="LEVE"/>
    <x v="9"/>
    <x v="0"/>
    <n v="7"/>
    <n v="1"/>
    <d v="2017-11-24T00:00:00"/>
    <s v="MITSUBISHI"/>
    <s v="MIRAGE"/>
    <n v="601.54250000000002"/>
    <d v="2017-11-25T00:00:00"/>
    <n v="3"/>
    <x v="1"/>
  </r>
  <r>
    <d v="2017-12-02T00:00:00"/>
    <s v="001-00010961"/>
    <n v="1117.19912796525"/>
    <n v="0"/>
    <n v="0"/>
    <n v="0"/>
    <n v="0"/>
    <n v="87.75"/>
    <n v="174.77654999999999"/>
    <n v="0"/>
    <n v="262.52654999999999"/>
    <n v="854.67257796524996"/>
    <n v="0.76501364579639575"/>
    <x v="1"/>
    <s v="LEVE"/>
    <x v="9"/>
    <x v="0"/>
    <n v="9"/>
    <n v="1"/>
    <d v="2017-11-23T00:00:00"/>
    <s v="FORD"/>
    <s v="ESCAPE"/>
    <n v="458.08749999999998"/>
    <d v="2017-11-23T00:00:00"/>
    <n v="6"/>
    <x v="1"/>
  </r>
  <r>
    <d v="2017-12-02T00:00:00"/>
    <s v="001-00010876"/>
    <n v="1360.1802939542401"/>
    <n v="0.42759999999999992"/>
    <n v="0"/>
    <n v="0"/>
    <n v="0"/>
    <n v="117"/>
    <n v="201.426875"/>
    <n v="113.75"/>
    <n v="432.60447499999998"/>
    <n v="927.57581895424016"/>
    <n v="0.68195063777732257"/>
    <x v="1"/>
    <s v="MEDIANO"/>
    <x v="9"/>
    <x v="0"/>
    <n v="19"/>
    <n v="1"/>
    <d v="2017-11-13T00:00:00"/>
    <s v="MAZDA"/>
    <s v="MAZDA 3"/>
    <n v="61.132499999999993"/>
    <d v="2017-11-14T00:00:00"/>
    <n v="8"/>
    <x v="1"/>
  </r>
  <r>
    <d v="2017-12-02T00:00:00"/>
    <s v="001-00010697"/>
    <n v="2009.7572748745799"/>
    <n v="1.55549991"/>
    <n v="0"/>
    <n v="41.313559322033896"/>
    <n v="0"/>
    <n v="468"/>
    <n v="433.84250000000003"/>
    <n v="0"/>
    <n v="944.71155923203401"/>
    <n v="1065.0457156425459"/>
    <n v="0.52993748496768633"/>
    <x v="1"/>
    <s v="MEDIANO"/>
    <x v="9"/>
    <x v="0"/>
    <n v="42"/>
    <n v="1"/>
    <d v="2017-10-21T00:00:00"/>
    <s v="CHEVROLET"/>
    <s v="CAPTIVA"/>
    <n v="3993.0149999999994"/>
    <d v="2017-10-23T00:00:00"/>
    <n v="32"/>
    <x v="620"/>
  </r>
  <r>
    <d v="2017-12-02T00:00:00"/>
    <s v="001-00010943"/>
    <n v="1040.24430334407"/>
    <n v="0"/>
    <n v="0"/>
    <n v="0"/>
    <n v="0"/>
    <n v="146.25"/>
    <n v="113.418825"/>
    <n v="113.75"/>
    <n v="373.41882499999997"/>
    <n v="666.82547834407001"/>
    <n v="0.64102776261348249"/>
    <x v="1"/>
    <s v="MEDIANO"/>
    <x v="9"/>
    <x v="0"/>
    <n v="11"/>
    <n v="1"/>
    <d v="2017-11-21T00:00:00"/>
    <s v="VOLKSWAGUEN"/>
    <s v="UP"/>
    <n v="9.5875000000000004"/>
    <d v="2017-11-21T00:00:00"/>
    <n v="10"/>
    <x v="1"/>
  </r>
  <r>
    <d v="2017-12-02T00:00:00"/>
    <s v="001-00010948"/>
    <n v="399.54998191415012"/>
    <n v="0"/>
    <n v="0"/>
    <n v="0"/>
    <n v="0"/>
    <n v="43.875"/>
    <n v="61.977499999999999"/>
    <n v="0"/>
    <n v="105.85249999999999"/>
    <n v="293.6974819141501"/>
    <n v="0.73507069255044"/>
    <x v="1"/>
    <s v="LEVE"/>
    <x v="9"/>
    <x v="0"/>
    <n v="11"/>
    <n v="1"/>
    <d v="2017-11-21T00:00:00"/>
    <s v="VOLKSWAGUEN"/>
    <s v="UP"/>
    <n v="1365"/>
    <d v="2017-11-21T00:00:00"/>
    <n v="3"/>
    <x v="1"/>
  </r>
  <r>
    <d v="2017-12-02T00:00:00"/>
    <s v="001-00010919"/>
    <n v="2076.2119368203403"/>
    <n v="0"/>
    <n v="0"/>
    <n v="0"/>
    <n v="0"/>
    <n v="234"/>
    <n v="308.02817500000003"/>
    <n v="0"/>
    <n v="542.02817500000003"/>
    <n v="1534.1837618203404"/>
    <n v="0.73893408211971812"/>
    <x v="1"/>
    <s v="MEDIANO"/>
    <x v="9"/>
    <x v="0"/>
    <n v="15"/>
    <n v="1"/>
    <d v="2017-11-17T00:00:00"/>
    <s v="MAZDA"/>
    <s v="MAZDA 3"/>
    <n v="6342.96"/>
    <d v="2017-11-18T00:00:00"/>
    <n v="16"/>
    <x v="1"/>
  </r>
  <r>
    <d v="2017-12-02T00:00:00"/>
    <s v="001-00010968"/>
    <n v="698.34880991270995"/>
    <n v="0"/>
    <n v="0"/>
    <n v="0"/>
    <n v="0"/>
    <n v="58.5"/>
    <n v="123.955"/>
    <n v="0"/>
    <n v="182.45499999999998"/>
    <n v="515.89380991270991"/>
    <n v="0.73873371385453357"/>
    <x v="1"/>
    <s v="LEVE"/>
    <x v="9"/>
    <x v="0"/>
    <n v="8"/>
    <n v="1"/>
    <d v="2017-11-24T00:00:00"/>
    <s v="KIA"/>
    <s v="RIO"/>
    <n v="0"/>
    <d v="2017-11-24T00:00:00"/>
    <n v="4"/>
    <x v="1"/>
  </r>
  <r>
    <d v="2017-12-04T00:00:00"/>
    <s v="001-00010632"/>
    <n v="1572.3680486500004"/>
    <n v="0"/>
    <n v="0"/>
    <n v="0"/>
    <n v="0"/>
    <n v="102.375"/>
    <n v="216.92125000000001"/>
    <n v="0"/>
    <n v="319.29624999999999"/>
    <n v="1253.0717986500003"/>
    <n v="0.79693288077550251"/>
    <x v="1"/>
    <s v="LEVE"/>
    <x v="9"/>
    <x v="0"/>
    <n v="51"/>
    <n v="1"/>
    <d v="2017-10-14T00:00:00"/>
    <s v="NISSAN"/>
    <s v="SENTRA"/>
    <n v="5304.6500000000005"/>
    <d v="2017-10-17T00:00:00"/>
    <n v="7"/>
    <x v="90"/>
  </r>
  <r>
    <d v="2017-12-04T00:00:00"/>
    <s v="001-00010821"/>
    <n v="5160.3398963039763"/>
    <n v="1.9095999999999997"/>
    <n v="0"/>
    <n v="55.084745762711869"/>
    <n v="58.5"/>
    <n v="702"/>
    <n v="573.291875"/>
    <n v="0"/>
    <n v="1390.7862207627118"/>
    <n v="3769.5536755412645"/>
    <n v="0.73048553996242693"/>
    <x v="1"/>
    <s v="GRAVE"/>
    <x v="9"/>
    <x v="0"/>
    <n v="30"/>
    <n v="1"/>
    <d v="2017-11-04T00:00:00"/>
    <s v="CHEVROLET"/>
    <s v="SAIL"/>
    <n v="3455.5625"/>
    <d v="2017-11-08T00:00:00"/>
    <n v="48"/>
    <x v="1"/>
  </r>
  <r>
    <d v="2017-12-04T00:00:00"/>
    <s v="001-00010848"/>
    <n v="1108.4118486949201"/>
    <n v="0"/>
    <n v="0"/>
    <n v="0"/>
    <n v="14.625"/>
    <n v="58.5"/>
    <n v="139.449375"/>
    <n v="0"/>
    <n v="212.574375"/>
    <n v="895.83747369492005"/>
    <n v="0.80821715750305989"/>
    <x v="1"/>
    <s v="MEDIANO"/>
    <x v="9"/>
    <x v="0"/>
    <n v="25"/>
    <n v="1"/>
    <d v="2017-11-09T00:00:00"/>
    <s v="CHEVROLET"/>
    <s v="N300"/>
    <n v="1167.27"/>
    <d v="2017-11-10T00:00:00"/>
    <n v="4"/>
    <x v="1"/>
  </r>
  <r>
    <d v="2017-12-04T00:00:00"/>
    <s v="001-00010931"/>
    <n v="1858.7833403918587"/>
    <n v="0"/>
    <n v="0"/>
    <n v="41.186440677966104"/>
    <n v="0"/>
    <n v="219.375"/>
    <n v="278.89875000000001"/>
    <n v="0"/>
    <n v="539.46019067796612"/>
    <n v="1319.3231497138927"/>
    <n v="0.70977779983532674"/>
    <x v="1"/>
    <s v="MEDIANO"/>
    <x v="9"/>
    <x v="0"/>
    <n v="14"/>
    <n v="1"/>
    <d v="2017-11-20T00:00:00"/>
    <s v="CHEVROLET"/>
    <s v="N300"/>
    <n v="858.19500000000005"/>
    <d v="2017-11-21T00:00:00"/>
    <n v="15"/>
    <x v="1"/>
  </r>
  <r>
    <d v="2017-12-05T00:00:00"/>
    <s v="001-00007453"/>
    <n v="538.18266977169105"/>
    <n v="0"/>
    <n v="0"/>
    <n v="0"/>
    <n v="0"/>
    <n v="0"/>
    <n v="0"/>
    <n v="0"/>
    <n v="0"/>
    <n v="538.18266977169105"/>
    <n v="1"/>
    <x v="0"/>
    <s v="-"/>
    <x v="9"/>
    <x v="0"/>
    <n v="557"/>
    <n v="1"/>
    <d v="2016-05-27T00:00:00"/>
    <s v="CHEVROLET"/>
    <s v="N300"/>
    <n v="0"/>
    <s v="F/Fecha"/>
    <n v="0"/>
    <x v="621"/>
  </r>
  <r>
    <d v="2017-12-05T00:00:00"/>
    <s v="001-00007756"/>
    <n v="1340.184425786101"/>
    <n v="0"/>
    <n v="0"/>
    <n v="0"/>
    <n v="0"/>
    <n v="0"/>
    <n v="0"/>
    <n v="0"/>
    <n v="0"/>
    <n v="1340.184425786101"/>
    <n v="1"/>
    <x v="0"/>
    <s v="-"/>
    <x v="9"/>
    <x v="0"/>
    <n v="505"/>
    <n v="1"/>
    <d v="2016-07-18T00:00:00"/>
    <s v="CHEVROLET"/>
    <s v="N300"/>
    <n v="0"/>
    <s v="F/Fecha"/>
    <n v="0"/>
    <x v="622"/>
  </r>
  <r>
    <d v="2017-12-05T00:00:00"/>
    <s v="001-00008501"/>
    <n v="6355.9321"/>
    <n v="0"/>
    <n v="0"/>
    <n v="0"/>
    <n v="0"/>
    <n v="0"/>
    <n v="0"/>
    <n v="0"/>
    <n v="0"/>
    <n v="6355.9321"/>
    <n v="1"/>
    <x v="4"/>
    <s v="S/TIPO"/>
    <x v="9"/>
    <x v="0"/>
    <n v="376"/>
    <n v="1"/>
    <d v="2016-11-24T00:00:00"/>
    <s v="S/MARCA"/>
    <s v="S/MODELO"/>
    <n v="0"/>
    <s v="F/Fecha"/>
    <n v="0"/>
    <x v="621"/>
  </r>
  <r>
    <d v="2017-12-05T00:00:00"/>
    <s v="001-00011049"/>
    <n v="249"/>
    <n v="51.735800000000005"/>
    <n v="0"/>
    <n v="0"/>
    <n v="39.048749999999998"/>
    <n v="0"/>
    <n v="0"/>
    <n v="0"/>
    <n v="90.784549999999996"/>
    <n v="158.21545"/>
    <n v="0.6354034136546185"/>
    <x v="0"/>
    <s v="-"/>
    <x v="9"/>
    <x v="0"/>
    <n v="0"/>
    <n v="1"/>
    <d v="2017-12-05T00:00:00"/>
    <s v="HYUNDAI"/>
    <s v="ELANTRA"/>
    <n v="0"/>
    <d v="2017-12-05T00:00:00"/>
    <n v="0"/>
    <x v="27"/>
  </r>
  <r>
    <d v="2017-12-05T00:00:00"/>
    <s v="001-00010843"/>
    <n v="2908.8000900000006"/>
    <n v="2.5511999400000001"/>
    <n v="0"/>
    <n v="55.084745762711869"/>
    <n v="29.25"/>
    <n v="468"/>
    <n v="309.88749999999999"/>
    <n v="0"/>
    <n v="864.7734457027118"/>
    <n v="2044.0266442972888"/>
    <n v="0.7027044076780431"/>
    <x v="1"/>
    <s v="GRAVE"/>
    <x v="9"/>
    <x v="0"/>
    <n v="26"/>
    <n v="1"/>
    <d v="2017-11-09T00:00:00"/>
    <s v="KIA"/>
    <s v="RIO"/>
    <n v="3667.7550000000001"/>
    <d v="2017-11-21T00:00:00"/>
    <n v="32"/>
    <x v="1"/>
  </r>
  <r>
    <d v="2017-12-05T00:00:00"/>
    <s v="001-00011002"/>
    <n v="649.63202010000009"/>
    <n v="0"/>
    <n v="0"/>
    <n v="0"/>
    <n v="0"/>
    <n v="73.125"/>
    <n v="123.955"/>
    <n v="0"/>
    <n v="197.07999999999998"/>
    <n v="452.55202010000011"/>
    <n v="0.69662825430054576"/>
    <x v="2"/>
    <s v="LEVE"/>
    <x v="9"/>
    <x v="0"/>
    <n v="7"/>
    <n v="1"/>
    <d v="2017-11-28T00:00:00"/>
    <s v="NISSAN"/>
    <s v="QASHQAI"/>
    <n v="0"/>
    <d v="2017-11-24T00:00:00"/>
    <n v="5"/>
    <x v="2"/>
  </r>
  <r>
    <d v="2017-12-05T00:00:00"/>
    <s v="001-00010996"/>
    <n v="817.69602529999997"/>
    <n v="0"/>
    <n v="0"/>
    <n v="0"/>
    <n v="0"/>
    <n v="102.375"/>
    <n v="123.955"/>
    <n v="0"/>
    <n v="226.32999999999998"/>
    <n v="591.36602530000005"/>
    <n v="0.72321010131244923"/>
    <x v="2"/>
    <s v="MEDIANO"/>
    <x v="9"/>
    <x v="0"/>
    <n v="7"/>
    <n v="1"/>
    <d v="2017-11-28T00:00:00"/>
    <s v="NISSAN"/>
    <s v="QASHQAI"/>
    <n v="0"/>
    <d v="2017-11-24T00:00:00"/>
    <n v="7"/>
    <x v="2"/>
  </r>
  <r>
    <d v="2017-12-06T00:00:00"/>
    <s v="001-00011048"/>
    <n v="429"/>
    <n v="81.888000000000005"/>
    <n v="0"/>
    <n v="0"/>
    <n v="53.673749999999998"/>
    <n v="0"/>
    <n v="0"/>
    <n v="0"/>
    <n v="135.56175000000002"/>
    <n v="293.43824999999998"/>
    <n v="0.68400524475524471"/>
    <x v="0"/>
    <s v="-"/>
    <x v="9"/>
    <x v="0"/>
    <n v="1"/>
    <n v="1"/>
    <d v="2017-12-05T00:00:00"/>
    <s v="CHEVROLET"/>
    <s v="AVEO"/>
    <n v="120.3475"/>
    <d v="2017-12-05T00:00:00"/>
    <n v="0"/>
    <x v="129"/>
  </r>
  <r>
    <d v="2017-12-06T00:00:00"/>
    <s v="001-00010982"/>
    <n v="2072.9596592593198"/>
    <n v="0"/>
    <n v="0"/>
    <n v="72.03"/>
    <n v="0"/>
    <n v="117"/>
    <n v="273.94055000000003"/>
    <n v="0"/>
    <n v="462.97055"/>
    <n v="1609.9891092593198"/>
    <n v="0.77666205517698206"/>
    <x v="1"/>
    <s v="MEDIANO"/>
    <x v="9"/>
    <x v="0"/>
    <n v="9"/>
    <n v="1"/>
    <d v="2017-11-27T00:00:00"/>
    <s v="HYUNDAI"/>
    <s v="CRETA"/>
    <n v="31.590000000000003"/>
    <d v="2017-11-27T00:00:00"/>
    <n v="8"/>
    <x v="1"/>
  </r>
  <r>
    <d v="2017-12-06T00:00:00"/>
    <s v="001-00011005"/>
    <n v="885.89612457627004"/>
    <n v="0"/>
    <n v="0"/>
    <n v="0"/>
    <n v="0"/>
    <n v="58.5"/>
    <n v="154.94374999999999"/>
    <n v="0"/>
    <n v="213.44374999999999"/>
    <n v="672.45237457627002"/>
    <n v="0.75906458547598732"/>
    <x v="1"/>
    <s v="LEVE"/>
    <x v="9"/>
    <x v="0"/>
    <n v="7"/>
    <n v="1"/>
    <d v="2017-11-29T00:00:00"/>
    <s v="KIA"/>
    <s v="CERATO"/>
    <n v="788.22249999999997"/>
    <d v="2017-11-29T00:00:00"/>
    <n v="4"/>
    <x v="1"/>
  </r>
  <r>
    <d v="2017-12-06T00:00:00"/>
    <s v="001-00011021"/>
    <n v="869.93555724305111"/>
    <n v="0"/>
    <n v="0"/>
    <n v="72.03"/>
    <n v="0"/>
    <n v="87.75"/>
    <n v="139.449375"/>
    <n v="0"/>
    <n v="299.229375"/>
    <n v="570.7061822430511"/>
    <n v="0.65603271126392371"/>
    <x v="1"/>
    <s v="LEVE"/>
    <x v="9"/>
    <x v="0"/>
    <n v="6"/>
    <n v="1"/>
    <d v="2017-11-30T00:00:00"/>
    <s v="MAZDA"/>
    <s v="MAZDA 3"/>
    <n v="0"/>
    <d v="2017-11-30T00:00:00"/>
    <n v="6"/>
    <x v="1"/>
  </r>
  <r>
    <d v="2017-12-07T00:00:00"/>
    <s v="001-00011012"/>
    <n v="1129.360397452371"/>
    <n v="0"/>
    <n v="0"/>
    <n v="0"/>
    <n v="29.25"/>
    <n v="117"/>
    <n v="167.959025"/>
    <n v="0"/>
    <n v="314.209025"/>
    <n v="815.15137245237099"/>
    <n v="0.72178143867201494"/>
    <x v="1"/>
    <s v="LEVE"/>
    <x v="9"/>
    <x v="0"/>
    <n v="8"/>
    <n v="1"/>
    <d v="2017-11-29T00:00:00"/>
    <s v="HYUNDAI"/>
    <s v="ACCENT"/>
    <n v="1487.1675"/>
    <d v="2017-11-30T00:00:00"/>
    <n v="8"/>
    <x v="1"/>
  </r>
  <r>
    <d v="2017-12-07T00:00:00"/>
    <s v="001-00010942"/>
    <n v="2270.2745427406799"/>
    <n v="2.2217999800000001"/>
    <n v="0"/>
    <n v="0"/>
    <n v="0"/>
    <n v="263.25"/>
    <n v="371.86500000000001"/>
    <n v="0"/>
    <n v="637.33679998000002"/>
    <n v="1632.9377427606798"/>
    <n v="0.71926884260852175"/>
    <x v="1"/>
    <s v="MEDIANO"/>
    <x v="9"/>
    <x v="0"/>
    <n v="16"/>
    <n v="1"/>
    <d v="2017-11-21T00:00:00"/>
    <s v="HYUNDAI"/>
    <s v="ACCENT"/>
    <n v="1920.6200000000001"/>
    <d v="2017-11-20T00:00:00"/>
    <n v="18"/>
    <x v="1"/>
  </r>
  <r>
    <d v="2017-12-07T00:00:00"/>
    <s v="001-00011001"/>
    <n v="729.46973973288107"/>
    <n v="0"/>
    <n v="0"/>
    <n v="0"/>
    <n v="0"/>
    <n v="58.5"/>
    <n v="138.209825"/>
    <n v="0"/>
    <n v="196.709825"/>
    <n v="532.75991473288104"/>
    <n v="0.73033860860077393"/>
    <x v="1"/>
    <s v="LEVE"/>
    <x v="9"/>
    <x v="0"/>
    <n v="9"/>
    <n v="1"/>
    <d v="2017-11-28T00:00:00"/>
    <s v="KIA"/>
    <s v="RIO"/>
    <n v="561.66499999999996"/>
    <d v="2017-11-29T00:00:00"/>
    <n v="4"/>
    <x v="1"/>
  </r>
  <r>
    <d v="2017-12-07T00:00:00"/>
    <s v="001-00010990"/>
    <n v="1059.57136284237"/>
    <n v="0"/>
    <n v="0"/>
    <n v="61.970338983050844"/>
    <n v="0"/>
    <n v="117"/>
    <n v="123.955"/>
    <n v="0"/>
    <n v="302.92533898305084"/>
    <n v="756.64602385931926"/>
    <n v="0.71410576993093355"/>
    <x v="1"/>
    <s v="LEVE"/>
    <x v="9"/>
    <x v="0"/>
    <n v="10"/>
    <n v="1"/>
    <d v="2017-11-27T00:00:00"/>
    <s v="CHERY"/>
    <s v="TIIGO"/>
    <n v="182.22749999999999"/>
    <d v="2017-11-28T00:00:00"/>
    <n v="8"/>
    <x v="1"/>
  </r>
  <r>
    <d v="2017-12-07T00:00:00"/>
    <s v="001-00010772"/>
    <n v="2337.1200719999997"/>
    <n v="0.42759999999999992"/>
    <n v="0"/>
    <n v="34.322033898305094"/>
    <n v="0"/>
    <n v="292.5"/>
    <n v="278.89875000000001"/>
    <n v="0"/>
    <n v="606.14838389830516"/>
    <n v="1730.9716881016946"/>
    <n v="0.74064302850319907"/>
    <x v="1"/>
    <s v="MEDIANO"/>
    <x v="9"/>
    <x v="0"/>
    <n v="35"/>
    <n v="1"/>
    <d v="2017-11-02T00:00:00"/>
    <s v="TOYOTA"/>
    <s v="YARIS"/>
    <n v="198.25"/>
    <d v="2017-11-14T00:00:00"/>
    <n v="20"/>
    <x v="1"/>
  </r>
  <r>
    <d v="2017-12-08T00:00:00"/>
    <s v="001-00010956"/>
    <n v="1677.5905980217785"/>
    <n v="0"/>
    <n v="0"/>
    <n v="0"/>
    <n v="29.25"/>
    <n v="160.875"/>
    <n v="269.602125"/>
    <n v="0"/>
    <n v="459.727125"/>
    <n v="1217.8634730217786"/>
    <n v="0.72595988226083774"/>
    <x v="1"/>
    <s v="GRAVE"/>
    <x v="9"/>
    <x v="0"/>
    <n v="16"/>
    <n v="1"/>
    <d v="2017-11-22T00:00:00"/>
    <s v="RENAULT"/>
    <s v="DUSTER"/>
    <n v="5415.9625000000005"/>
    <d v="2017-11-23T00:00:00"/>
    <n v="11"/>
    <x v="1"/>
  </r>
  <r>
    <d v="2017-12-09T00:00:00"/>
    <s v="001-00010962"/>
    <n v="1956.0537211906803"/>
    <n v="0"/>
    <n v="0"/>
    <n v="61.970338983050844"/>
    <n v="29.25"/>
    <n v="146.25"/>
    <n v="284.47672499999999"/>
    <n v="0"/>
    <n v="521.94706398305084"/>
    <n v="1434.1066572076295"/>
    <n v="0.73316322638350984"/>
    <x v="1"/>
    <s v="MEDIANO"/>
    <x v="9"/>
    <x v="0"/>
    <n v="16"/>
    <n v="1"/>
    <d v="2017-11-23T00:00:00"/>
    <s v="HYUNDAI"/>
    <s v="ACCENT"/>
    <n v="3899.9349999999999"/>
    <d v="2017-11-24T00:00:00"/>
    <n v="10"/>
    <x v="1"/>
  </r>
  <r>
    <d v="2017-12-09T00:00:00"/>
    <s v="001-00009589"/>
    <n v="5356.4749665545796"/>
    <n v="0"/>
    <n v="0"/>
    <n v="210.80508474576271"/>
    <n v="52.65"/>
    <n v="643.5"/>
    <n v="635.26937499999997"/>
    <n v="0"/>
    <n v="1542.2244597457625"/>
    <n v="3814.2505068088171"/>
    <n v="0.71208220529820565"/>
    <x v="1"/>
    <s v="GRAVE"/>
    <x v="9"/>
    <x v="0"/>
    <n v="198"/>
    <n v="1"/>
    <d v="2017-05-25T00:00:00"/>
    <s v="SUZUKI"/>
    <s v="ERTIGA"/>
    <n v="10520.445000000002"/>
    <d v="2017-05-31T00:00:00"/>
    <n v="44"/>
    <x v="1"/>
  </r>
  <r>
    <d v="2017-12-09T00:00:00"/>
    <s v="001-00010985"/>
    <n v="2105.0839294081411"/>
    <n v="0"/>
    <n v="0"/>
    <n v="41.313559322033896"/>
    <n v="29.25"/>
    <n v="204.75"/>
    <n v="317.32480000000004"/>
    <n v="0"/>
    <n v="592.63835932203392"/>
    <n v="1512.4455700861072"/>
    <n v="0.71847281191840251"/>
    <x v="1"/>
    <s v="MEDIANO"/>
    <x v="9"/>
    <x v="0"/>
    <n v="12"/>
    <n v="1"/>
    <d v="2017-11-27T00:00:00"/>
    <s v="TOYOTA"/>
    <s v="RAV 4"/>
    <n v="6324.5325000000003"/>
    <d v="2017-11-27T00:00:00"/>
    <n v="14"/>
    <x v="1"/>
  </r>
  <r>
    <d v="2017-12-09T00:00:00"/>
    <s v="001-00011015"/>
    <n v="1562.03317015932"/>
    <n v="0"/>
    <n v="0"/>
    <n v="0"/>
    <n v="0"/>
    <n v="87.75"/>
    <n v="308.02817500000003"/>
    <n v="0"/>
    <n v="395.77817500000003"/>
    <n v="1166.2549951593201"/>
    <n v="0.7466262672516536"/>
    <x v="1"/>
    <s v="LEVE"/>
    <x v="9"/>
    <x v="0"/>
    <n v="10"/>
    <n v="1"/>
    <d v="2017-11-29T00:00:00"/>
    <s v="SUZUKI"/>
    <s v="GRAND N."/>
    <n v="0"/>
    <d v="2017-11-30T00:00:00"/>
    <n v="6"/>
    <x v="1"/>
  </r>
  <r>
    <d v="2017-12-11T00:00:00"/>
    <s v="001-00011069"/>
    <n v="271.66268701017003"/>
    <n v="0"/>
    <n v="219.672"/>
    <n v="0"/>
    <n v="0"/>
    <n v="0"/>
    <n v="0"/>
    <n v="0"/>
    <n v="219.672"/>
    <n v="51.990687010170035"/>
    <n v="0.1913795655279803"/>
    <x v="0"/>
    <s v="-"/>
    <x v="9"/>
    <x v="0"/>
    <n v="4"/>
    <n v="1"/>
    <d v="2017-12-07T00:00:00"/>
    <s v="ASIA"/>
    <s v="KOMBI"/>
    <n v="272.67500000000001"/>
    <d v="2017-12-07T00:00:00"/>
    <n v="0"/>
    <x v="623"/>
  </r>
  <r>
    <d v="2017-12-12T00:00:00"/>
    <s v="001-00011105"/>
    <n v="1440.6780100000001"/>
    <n v="0"/>
    <n v="0"/>
    <n v="55.084745762711869"/>
    <n v="0"/>
    <n v="102.375"/>
    <n v="154.94374999999999"/>
    <n v="0"/>
    <n v="312.40349576271183"/>
    <n v="1128.2745142372883"/>
    <n v="0.78315522719562314"/>
    <x v="0"/>
    <s v="LEVE"/>
    <x v="9"/>
    <x v="0"/>
    <n v="1"/>
    <n v="1"/>
    <d v="2017-12-11T00:00:00"/>
    <s v="JEEP"/>
    <s v="GRAND C."/>
    <n v="0"/>
    <d v="2017-12-12T00:00:00"/>
    <n v="7"/>
    <x v="624"/>
  </r>
  <r>
    <d v="2017-12-12T00:00:00"/>
    <s v="001-00011029"/>
    <n v="912.0458160710499"/>
    <n v="0"/>
    <n v="0"/>
    <n v="0"/>
    <n v="0"/>
    <n v="58.5"/>
    <n v="154.94374999999999"/>
    <n v="0"/>
    <n v="213.44374999999999"/>
    <n v="698.60206607104988"/>
    <n v="0.76597255725651792"/>
    <x v="1"/>
    <s v="LEVE"/>
    <x v="9"/>
    <x v="0"/>
    <n v="11"/>
    <n v="1"/>
    <d v="2017-12-01T00:00:00"/>
    <s v="TOYOTA"/>
    <s v="COROLLA"/>
    <n v="1622.2049999999999"/>
    <d v="2017-12-04T00:00:00"/>
    <n v="4"/>
    <x v="1"/>
  </r>
  <r>
    <d v="2017-12-12T00:00:00"/>
    <s v="001-00010896"/>
    <n v="2945.6195182296601"/>
    <n v="0"/>
    <n v="0"/>
    <n v="0"/>
    <n v="0"/>
    <n v="263.25"/>
    <n v="360.08927499999999"/>
    <n v="0"/>
    <n v="623.33927500000004"/>
    <n v="2322.2802432296603"/>
    <n v="0.78838432080507415"/>
    <x v="1"/>
    <s v="MEDIANO"/>
    <x v="9"/>
    <x v="0"/>
    <n v="28"/>
    <n v="1"/>
    <d v="2017-11-14T00:00:00"/>
    <s v="KIA"/>
    <s v="CERATO"/>
    <n v="1834.5275000000001"/>
    <d v="2017-11-16T00:00:00"/>
    <n v="18"/>
    <x v="1"/>
  </r>
  <r>
    <d v="2017-12-12T00:00:00"/>
    <s v="001-00010997"/>
    <n v="1237.9314115206398"/>
    <n v="1.7631000699999999"/>
    <n v="0"/>
    <n v="41.313559322033896"/>
    <n v="0"/>
    <n v="117"/>
    <n v="149.36577500000001"/>
    <n v="0"/>
    <n v="309.44243439203387"/>
    <n v="928.48897712860594"/>
    <n v="0.75003265002224673"/>
    <x v="1"/>
    <s v="LEVE"/>
    <x v="9"/>
    <x v="0"/>
    <n v="14"/>
    <n v="1"/>
    <d v="2017-11-28T00:00:00"/>
    <s v="HYUNDAI"/>
    <s v="H1"/>
    <n v="399.75"/>
    <d v="2017-11-29T00:00:00"/>
    <n v="8"/>
    <x v="1"/>
  </r>
  <r>
    <d v="2017-12-13T00:00:00"/>
    <s v="001-00009913"/>
    <n v="1372.310916847629"/>
    <n v="0"/>
    <n v="0"/>
    <n v="72.03"/>
    <n v="0"/>
    <n v="117"/>
    <n v="201.426875"/>
    <n v="113.75"/>
    <n v="504.20687499999997"/>
    <n v="868.10404184762899"/>
    <n v="0.63258553961063968"/>
    <x v="1"/>
    <s v="MEDIANO"/>
    <x v="9"/>
    <x v="0"/>
    <n v="153"/>
    <n v="1"/>
    <d v="2017-07-13T00:00:00"/>
    <s v="MITSUBISHI"/>
    <s v="ASX"/>
    <n v="6329.6674999999996"/>
    <d v="2017-07-17T00:00:00"/>
    <n v="8"/>
    <x v="625"/>
  </r>
  <r>
    <d v="2017-12-13T00:00:00"/>
    <s v="001-00010979"/>
    <n v="2176.0181724440699"/>
    <n v="0"/>
    <n v="0"/>
    <n v="113.3435593220339"/>
    <n v="0"/>
    <n v="204.75"/>
    <n v="361.9486"/>
    <n v="0"/>
    <n v="680.04215932203397"/>
    <n v="1495.976013122036"/>
    <n v="0.68748323523501587"/>
    <x v="1"/>
    <s v="MEDIANO"/>
    <x v="9"/>
    <x v="0"/>
    <n v="16"/>
    <n v="1"/>
    <d v="2017-11-27T00:00:00"/>
    <s v="KIA"/>
    <s v="CERATO"/>
    <n v="2237.17"/>
    <d v="2017-11-27T00:00:00"/>
    <n v="14"/>
    <x v="1"/>
  </r>
  <r>
    <d v="2017-12-13T00:00:00"/>
    <s v="001-00011036"/>
    <n v="1484.4464750328812"/>
    <n v="0"/>
    <n v="0"/>
    <n v="144.07"/>
    <n v="0"/>
    <n v="117"/>
    <n v="226.21787500000002"/>
    <n v="0"/>
    <n v="487.28787499999999"/>
    <n v="997.15860003288117"/>
    <n v="0.67173765898887916"/>
    <x v="1"/>
    <s v="MEDIANO"/>
    <x v="9"/>
    <x v="0"/>
    <n v="9"/>
    <n v="1"/>
    <d v="2017-12-04T00:00:00"/>
    <s v="MITSUBISHI"/>
    <s v="ASX"/>
    <n v="0"/>
    <d v="2017-12-04T00:00:00"/>
    <n v="8"/>
    <x v="1"/>
  </r>
  <r>
    <d v="2017-12-13T00:00:00"/>
    <s v="001-00011004"/>
    <n v="3361.4087274354215"/>
    <n v="0"/>
    <n v="0"/>
    <n v="84.75"/>
    <n v="48.262499999999996"/>
    <n v="365.625"/>
    <n v="433.84250000000003"/>
    <n v="0"/>
    <n v="932.48"/>
    <n v="2428.9287274354215"/>
    <n v="0.72259249748797039"/>
    <x v="2"/>
    <s v="GRAVE"/>
    <x v="9"/>
    <x v="0"/>
    <n v="15"/>
    <n v="1"/>
    <d v="2017-11-28T00:00:00"/>
    <s v="KIA"/>
    <s v="RIO"/>
    <n v="1776.8075000000001"/>
    <d v="2017-11-27T00:00:00"/>
    <n v="25"/>
    <x v="2"/>
  </r>
  <r>
    <d v="2017-12-13T00:00:00"/>
    <s v="001-00011042"/>
    <n v="1355.4177342855901"/>
    <n v="0"/>
    <n v="0"/>
    <n v="27.542372881355934"/>
    <n v="0"/>
    <n v="146.25"/>
    <n v="185.9325"/>
    <n v="0"/>
    <n v="359.72487288135596"/>
    <n v="995.69286140423412"/>
    <n v="0.73460220876410565"/>
    <x v="1"/>
    <s v="MEDIANO"/>
    <x v="9"/>
    <x v="0"/>
    <n v="9"/>
    <n v="1"/>
    <d v="2017-12-04T00:00:00"/>
    <s v="HYUNDAI"/>
    <s v="ELANTRA"/>
    <n v="1421.3225"/>
    <d v="2017-12-05T00:00:00"/>
    <n v="10"/>
    <x v="1"/>
  </r>
  <r>
    <d v="2017-12-13T00:00:00"/>
    <s v="001-00011057"/>
    <n v="1523.55285668136"/>
    <n v="0"/>
    <n v="0"/>
    <n v="72.03"/>
    <n v="0"/>
    <n v="248.625"/>
    <n v="166.09970000000001"/>
    <n v="0"/>
    <n v="486.75469999999996"/>
    <n v="1036.7981566813601"/>
    <n v="0.68051341450649705"/>
    <x v="1"/>
    <s v="MEDIANO"/>
    <x v="9"/>
    <x v="0"/>
    <n v="7"/>
    <n v="1"/>
    <d v="2017-12-06T00:00:00"/>
    <s v="MG"/>
    <s v="MG3"/>
    <n v="0"/>
    <d v="2017-12-06T00:00:00"/>
    <n v="17"/>
    <x v="1"/>
  </r>
  <r>
    <d v="2017-12-13T00:00:00"/>
    <s v="001-00011083"/>
    <n v="1395"/>
    <n v="457.54799999999994"/>
    <n v="0"/>
    <n v="0"/>
    <n v="68.298749999999998"/>
    <n v="0"/>
    <n v="0"/>
    <n v="0"/>
    <n v="525.84674999999993"/>
    <n v="869.15325000000007"/>
    <n v="0.6230489247311829"/>
    <x v="0"/>
    <s v="-"/>
    <x v="9"/>
    <x v="0"/>
    <n v="2"/>
    <n v="1"/>
    <d v="2017-12-11T00:00:00"/>
    <s v="NISSAN"/>
    <s v="TIIDA"/>
    <n v="651.98250000000007"/>
    <d v="2017-12-11T00:00:00"/>
    <n v="0"/>
    <x v="157"/>
  </r>
  <r>
    <d v="2017-12-13T00:00:00"/>
    <s v="001-00010941"/>
    <n v="449.25550541104985"/>
    <n v="0"/>
    <n v="0"/>
    <n v="0"/>
    <n v="0"/>
    <n v="43.875"/>
    <n v="77.471874999999997"/>
    <n v="0"/>
    <n v="121.346875"/>
    <n v="327.90863041104984"/>
    <n v="0.72989340466963726"/>
    <x v="1"/>
    <s v="LEVE"/>
    <x v="9"/>
    <x v="0"/>
    <n v="22"/>
    <n v="1"/>
    <d v="2017-11-21T00:00:00"/>
    <s v="MITSUBISHI"/>
    <s v="ASX"/>
    <n v="1853.5400000000002"/>
    <d v="2017-11-22T00:00:00"/>
    <n v="3"/>
    <x v="1"/>
  </r>
  <r>
    <d v="2017-12-14T00:00:00"/>
    <s v="001-00010807"/>
    <n v="2501.4926909000005"/>
    <n v="0"/>
    <n v="0"/>
    <n v="68.855932203389841"/>
    <n v="0"/>
    <n v="307.125"/>
    <n v="340.87625000000003"/>
    <n v="0"/>
    <n v="716.85718220338981"/>
    <n v="1784.6355086966107"/>
    <n v="0.71342823234655339"/>
    <x v="1"/>
    <s v="MEDIANO"/>
    <x v="9"/>
    <x v="0"/>
    <n v="40"/>
    <n v="1"/>
    <d v="2017-11-04T00:00:00"/>
    <s v="KIA"/>
    <s v="CERATO"/>
    <n v="4005.2024999999994"/>
    <d v="2017-11-07T00:00:00"/>
    <n v="21"/>
    <x v="1"/>
  </r>
  <r>
    <d v="2017-12-15T00:00:00"/>
    <s v="001-00011013"/>
    <n v="953.37851120000028"/>
    <n v="0"/>
    <n v="0"/>
    <n v="72.03"/>
    <n v="0"/>
    <n v="102.375"/>
    <n v="139.449375"/>
    <n v="0"/>
    <n v="313.854375"/>
    <n v="639.52413620000027"/>
    <n v="0.67079772481450506"/>
    <x v="1"/>
    <s v="LEVE"/>
    <x v="9"/>
    <x v="0"/>
    <n v="16"/>
    <n v="1"/>
    <d v="2017-11-29T00:00:00"/>
    <s v="KIA"/>
    <s v="RIO"/>
    <n v="2258.1975000000002"/>
    <d v="2017-11-30T00:00:00"/>
    <n v="7"/>
    <x v="626"/>
  </r>
  <r>
    <d v="2017-12-15T00:00:00"/>
    <s v="001-00010984"/>
    <n v="3736.4833184000008"/>
    <n v="0"/>
    <n v="0"/>
    <n v="61.970338983050844"/>
    <n v="29.25"/>
    <n v="438.75"/>
    <n v="433.84250000000003"/>
    <n v="0"/>
    <n v="963.81283898305082"/>
    <n v="2772.67047941695"/>
    <n v="0.7420534880386499"/>
    <x v="1"/>
    <s v="GRAVE"/>
    <x v="9"/>
    <x v="0"/>
    <n v="18"/>
    <n v="1"/>
    <d v="2017-11-27T00:00:00"/>
    <s v="HYUNDAI"/>
    <s v="ACCENT"/>
    <n v="2769.2925"/>
    <d v="2017-11-28T00:00:00"/>
    <n v="30"/>
    <x v="1"/>
  </r>
  <r>
    <d v="2017-12-15T00:00:00"/>
    <s v="001-00011039"/>
    <n v="2769.5786572399998"/>
    <n v="0.63800000000000001"/>
    <n v="0"/>
    <n v="0"/>
    <n v="0"/>
    <n v="321.75"/>
    <n v="387.359375"/>
    <n v="0"/>
    <n v="709.74737499999992"/>
    <n v="2059.8312822399998"/>
    <n v="0.74373453046923288"/>
    <x v="1"/>
    <s v="MEDIANO"/>
    <x v="9"/>
    <x v="0"/>
    <n v="11"/>
    <n v="1"/>
    <d v="2017-12-04T00:00:00"/>
    <s v="KIA"/>
    <s v="RIO"/>
    <n v="1312.5125"/>
    <d v="2017-12-04T00:00:00"/>
    <n v="22"/>
    <x v="1"/>
  </r>
  <r>
    <d v="2017-12-16T00:00:00"/>
    <s v="001-00011052"/>
    <n v="1248.1426248"/>
    <n v="0"/>
    <n v="0"/>
    <n v="30.296610169491526"/>
    <n v="0"/>
    <n v="219.375"/>
    <n v="154.94374999999999"/>
    <n v="0"/>
    <n v="404.61536016949151"/>
    <n v="843.52726463050851"/>
    <n v="0.67582602169818029"/>
    <x v="0"/>
    <s v="MEDIANO"/>
    <x v="9"/>
    <x v="0"/>
    <n v="11"/>
    <n v="1"/>
    <d v="2017-12-05T00:00:00"/>
    <s v="SUZUKI"/>
    <s v="SWIFT"/>
    <n v="0"/>
    <d v="2017-12-05T00:00:00"/>
    <n v="15"/>
    <x v="627"/>
  </r>
  <r>
    <d v="2017-12-16T00:00:00"/>
    <s v="001-00011140"/>
    <n v="525.41528700000003"/>
    <n v="140.58874725000001"/>
    <n v="0"/>
    <n v="0"/>
    <n v="39.048749999999998"/>
    <n v="0"/>
    <n v="0"/>
    <n v="0"/>
    <n v="179.63749725000002"/>
    <n v="345.77778975000001"/>
    <n v="0.65810378629124278"/>
    <x v="0"/>
    <s v="-"/>
    <x v="9"/>
    <x v="0"/>
    <n v="1"/>
    <n v="1"/>
    <d v="2017-12-15T00:00:00"/>
    <s v="HYUNDAI"/>
    <s v="TUCSON"/>
    <n v="252.42750000000001"/>
    <d v="2017-12-15T00:00:00"/>
    <n v="0"/>
    <x v="4"/>
  </r>
  <r>
    <d v="2017-12-16T00:00:00"/>
    <s v="001-00011037"/>
    <n v="1908.214220712"/>
    <n v="0"/>
    <n v="0"/>
    <n v="20.656779661016948"/>
    <n v="0"/>
    <n v="292.5"/>
    <n v="163.00082499999999"/>
    <n v="0"/>
    <n v="476.15760466101699"/>
    <n v="1432.0566160509829"/>
    <n v="0.75046952302695269"/>
    <x v="1"/>
    <s v="MEDIANO"/>
    <x v="9"/>
    <x v="0"/>
    <n v="12"/>
    <n v="1"/>
    <d v="2017-12-04T00:00:00"/>
    <s v="SUZUKI"/>
    <s v="SWIFT"/>
    <n v="64.349999999999994"/>
    <d v="2017-12-04T00:00:00"/>
    <n v="20"/>
    <x v="1"/>
  </r>
  <r>
    <d v="2017-12-16T00:00:00"/>
    <s v="001-00011034"/>
    <n v="552.16740035600003"/>
    <n v="0"/>
    <n v="0"/>
    <n v="0"/>
    <n v="0"/>
    <n v="58.5"/>
    <n v="77.471874999999997"/>
    <n v="0"/>
    <n v="135.97187500000001"/>
    <n v="416.19552535600002"/>
    <n v="0.75374881799915283"/>
    <x v="1"/>
    <s v="LEVE"/>
    <x v="9"/>
    <x v="0"/>
    <n v="12"/>
    <n v="1"/>
    <d v="2017-12-04T00:00:00"/>
    <s v="MITSUBISHI"/>
    <s v="MIRAGE"/>
    <n v="1816.1"/>
    <d v="2017-12-04T00:00:00"/>
    <n v="4"/>
    <x v="1"/>
  </r>
  <r>
    <d v="2017-12-16T00:00:00"/>
    <s v="001-00010371"/>
    <n v="892.95219879999979"/>
    <n v="0"/>
    <n v="0"/>
    <n v="0"/>
    <n v="43.875"/>
    <n v="146.25"/>
    <n v="213.20260000000002"/>
    <n v="0"/>
    <n v="403.32760000000002"/>
    <n v="489.62459879999977"/>
    <n v="0.54832117492737609"/>
    <x v="1"/>
    <s v="MEDIANO"/>
    <x v="9"/>
    <x v="0"/>
    <n v="95"/>
    <n v="1"/>
    <d v="2017-09-12T00:00:00"/>
    <s v="KIA"/>
    <s v="RIO"/>
    <n v="1886.8850000000002"/>
    <d v="2017-09-14T00:00:00"/>
    <n v="10"/>
    <x v="1"/>
  </r>
  <r>
    <d v="2017-12-18T00:00:00"/>
    <s v="001-00011031"/>
    <n v="568.38740035599994"/>
    <n v="0"/>
    <n v="0"/>
    <n v="55.084745762711869"/>
    <n v="0"/>
    <n v="73.125"/>
    <n v="44.004024999999999"/>
    <n v="0"/>
    <n v="172.21377076271187"/>
    <n v="396.17362959328807"/>
    <n v="0.69701339147410968"/>
    <x v="1"/>
    <s v="LEVE"/>
    <x v="9"/>
    <x v="0"/>
    <n v="17"/>
    <n v="1"/>
    <d v="2017-12-01T00:00:00"/>
    <s v="CHEVROLET"/>
    <s v="AVEO"/>
    <n v="809.64"/>
    <d v="2017-12-04T00:00:00"/>
    <n v="5"/>
    <x v="628"/>
  </r>
  <r>
    <d v="2017-12-18T00:00:00"/>
    <s v="001-00011144"/>
    <n v="891"/>
    <n v="265.45"/>
    <n v="0"/>
    <n v="0"/>
    <n v="53.673749999999998"/>
    <n v="0"/>
    <n v="0"/>
    <n v="0"/>
    <n v="319.12374999999997"/>
    <n v="571.87625000000003"/>
    <n v="0.64183641975308647"/>
    <x v="0"/>
    <s v="-"/>
    <x v="9"/>
    <x v="0"/>
    <n v="0"/>
    <n v="1"/>
    <d v="2017-12-18T00:00:00"/>
    <s v="HYUNDAI"/>
    <s v="SANTA FE"/>
    <n v="341.02250000000004"/>
    <d v="2017-12-18T00:00:00"/>
    <n v="0"/>
    <x v="4"/>
  </r>
  <r>
    <d v="2017-12-19T00:00:00"/>
    <s v="001-00011059"/>
    <n v="1232.0962555711899"/>
    <n v="16.83269988"/>
    <n v="0"/>
    <n v="72.03"/>
    <n v="0"/>
    <n v="58.5"/>
    <n v="233.65517500000001"/>
    <n v="0"/>
    <n v="381.01787488000002"/>
    <n v="851.07838069118986"/>
    <n v="0.69075640546982819"/>
    <x v="1"/>
    <s v="LEVE"/>
    <x v="9"/>
    <x v="0"/>
    <n v="13"/>
    <n v="1"/>
    <d v="2017-12-06T00:00:00"/>
    <s v="KIA"/>
    <s v="CERATO"/>
    <n v="1020.6950000000001"/>
    <d v="2017-12-06T00:00:00"/>
    <n v="4"/>
    <x v="629"/>
  </r>
  <r>
    <d v="2017-12-19T00:00:00"/>
    <s v="001-00011056"/>
    <n v="1579.5544266428808"/>
    <n v="10.5976"/>
    <n v="0"/>
    <n v="20.656779661016948"/>
    <n v="14.625"/>
    <n v="146.25"/>
    <n v="216.92125000000001"/>
    <n v="0"/>
    <n v="409.05062966101696"/>
    <n v="1170.5037969818638"/>
    <n v="0.74103416586258686"/>
    <x v="1"/>
    <s v="MEDIANO"/>
    <x v="9"/>
    <x v="0"/>
    <n v="13"/>
    <n v="1"/>
    <d v="2017-12-06T00:00:00"/>
    <s v="SUZUKI"/>
    <s v="GRAND N."/>
    <n v="3617.7050000000004"/>
    <d v="2017-12-05T00:00:00"/>
    <n v="10"/>
    <x v="630"/>
  </r>
  <r>
    <d v="2017-12-19T00:00:00"/>
    <s v="001-00011070"/>
    <n v="1582.0700484999998"/>
    <n v="0"/>
    <n v="0"/>
    <n v="0"/>
    <n v="0"/>
    <n v="131.625"/>
    <n v="371.86500000000001"/>
    <n v="0"/>
    <n v="503.49"/>
    <n v="1078.5800484999997"/>
    <n v="0.68175239745081362"/>
    <x v="0"/>
    <s v="LEVE"/>
    <x v="9"/>
    <x v="0"/>
    <n v="11"/>
    <n v="1"/>
    <d v="2017-12-08T00:00:00"/>
    <s v="SUZUKI"/>
    <s v="GRAND N."/>
    <n v="0"/>
    <d v="2017-12-08T00:00:00"/>
    <n v="9"/>
    <x v="630"/>
  </r>
  <r>
    <d v="2017-12-19T00:00:00"/>
    <s v="001-00010340"/>
    <n v="5071.0226480000001"/>
    <n v="0.95479999999999987"/>
    <n v="0"/>
    <n v="144.07"/>
    <n v="153.5625"/>
    <n v="658.125"/>
    <n v="511.31437500000004"/>
    <n v="113.75"/>
    <n v="1581.7766750000001"/>
    <n v="3489.245973"/>
    <n v="0.68807540711263648"/>
    <x v="1"/>
    <s v="GRAVE"/>
    <x v="9"/>
    <x v="0"/>
    <n v="102"/>
    <n v="1"/>
    <d v="2017-09-08T00:00:00"/>
    <s v="MITSUBISHI"/>
    <s v="MIRAGE"/>
    <n v="7220.33"/>
    <d v="2017-10-11T00:00:00"/>
    <n v="45"/>
    <x v="1"/>
  </r>
  <r>
    <d v="2017-12-19T00:00:00"/>
    <s v="001-00011076"/>
    <n v="975.44864432339091"/>
    <n v="0"/>
    <n v="0"/>
    <n v="0"/>
    <n v="0"/>
    <n v="87.75"/>
    <n v="123.955"/>
    <n v="0"/>
    <n v="211.70499999999998"/>
    <n v="763.74364432339098"/>
    <n v="0.78296653418710038"/>
    <x v="1"/>
    <s v="LEVE"/>
    <x v="9"/>
    <x v="0"/>
    <n v="10"/>
    <n v="1"/>
    <d v="2017-12-09T00:00:00"/>
    <s v="HYUNDAI"/>
    <s v="I20"/>
    <n v="0"/>
    <d v="2017-12-11T00:00:00"/>
    <n v="6"/>
    <x v="1"/>
  </r>
  <r>
    <d v="2017-12-19T00:00:00"/>
    <s v="001-00011038"/>
    <n v="1844.605896128309"/>
    <n v="0.47150001000000002"/>
    <n v="0"/>
    <n v="72.03"/>
    <n v="73.125"/>
    <n v="117"/>
    <n v="226.83765"/>
    <n v="0"/>
    <n v="489.46415000999997"/>
    <n v="1355.1417461183091"/>
    <n v="0.73465109753939917"/>
    <x v="1"/>
    <s v="MEDIANO"/>
    <x v="9"/>
    <x v="0"/>
    <n v="15"/>
    <n v="1"/>
    <d v="2017-12-04T00:00:00"/>
    <s v="HYUNDAI"/>
    <s v="ACCENT"/>
    <n v="2826.5574999999999"/>
    <d v="2017-12-05T00:00:00"/>
    <n v="8"/>
    <x v="1"/>
  </r>
  <r>
    <d v="2017-12-19T00:00:00"/>
    <s v="001-00010200"/>
    <n v="12036.780369"/>
    <n v="89.423499210000003"/>
    <n v="0"/>
    <n v="398.83694915254239"/>
    <n v="175.5"/>
    <n v="2032.875"/>
    <n v="1115.595"/>
    <n v="227.5"/>
    <n v="4039.7304483625421"/>
    <n v="7997.0499206374579"/>
    <n v="0.66438446789586492"/>
    <x v="1"/>
    <s v="GRAVE"/>
    <x v="9"/>
    <x v="0"/>
    <n v="120"/>
    <n v="1"/>
    <d v="2017-08-21T00:00:00"/>
    <s v="TOYOTA"/>
    <s v="HILUX"/>
    <n v="24695.9375"/>
    <d v="2017-09-04T00:00:00"/>
    <n v="139"/>
    <x v="1"/>
  </r>
  <r>
    <d v="2017-12-19T00:00:00"/>
    <s v="001-00011032"/>
    <n v="2238.0915410110197"/>
    <n v="10.17"/>
    <n v="0"/>
    <n v="84.75"/>
    <n v="14.625"/>
    <n v="234"/>
    <n v="290.05469999999997"/>
    <n v="0"/>
    <n v="633.59969999999998"/>
    <n v="1604.4918410110197"/>
    <n v="0.71690179405540211"/>
    <x v="1"/>
    <s v="MEDIANO"/>
    <x v="9"/>
    <x v="0"/>
    <n v="18"/>
    <n v="1"/>
    <d v="2017-12-01T00:00:00"/>
    <s v="CHEVROLET"/>
    <s v="SAIL"/>
    <n v="1469.6175000000001"/>
    <d v="2017-12-04T00:00:00"/>
    <n v="16"/>
    <x v="1"/>
  </r>
  <r>
    <d v="2017-12-19T00:00:00"/>
    <s v="001-00011046"/>
    <n v="1210.5337825101699"/>
    <n v="0"/>
    <n v="0"/>
    <n v="0"/>
    <n v="0"/>
    <n v="117"/>
    <n v="177.25565"/>
    <n v="0"/>
    <n v="294.25565"/>
    <n v="916.27813251016983"/>
    <n v="0.75692074500405115"/>
    <x v="1"/>
    <s v="MEDIANO"/>
    <x v="9"/>
    <x v="0"/>
    <n v="15"/>
    <n v="1"/>
    <d v="2017-12-04T00:00:00"/>
    <s v="RENAULT"/>
    <s v="KOLEOS"/>
    <n v="3993.1125000000002"/>
    <d v="2017-12-06T00:00:00"/>
    <n v="8"/>
    <x v="1"/>
  </r>
  <r>
    <d v="2017-12-19T00:00:00"/>
    <s v="001-00011097"/>
    <n v="631.14185892830892"/>
    <n v="0"/>
    <n v="0"/>
    <n v="0"/>
    <n v="0"/>
    <n v="58.5"/>
    <n v="123.955"/>
    <n v="0"/>
    <n v="182.45499999999998"/>
    <n v="448.68685892830894"/>
    <n v="0.71091285196990084"/>
    <x v="1"/>
    <s v="LEVE"/>
    <x v="9"/>
    <x v="0"/>
    <n v="8"/>
    <n v="1"/>
    <d v="2017-12-11T00:00:00"/>
    <s v="HYUNDAI"/>
    <s v="ACCENT"/>
    <n v="1331.2"/>
    <d v="2017-12-12T00:00:00"/>
    <n v="4"/>
    <x v="1"/>
  </r>
  <r>
    <d v="2017-12-19T00:00:00"/>
    <s v="001-00011051"/>
    <n v="1952.6665322610199"/>
    <n v="0"/>
    <n v="0"/>
    <n v="0"/>
    <n v="0"/>
    <n v="234"/>
    <n v="278.89875000000001"/>
    <n v="0"/>
    <n v="512.89875000000006"/>
    <n v="1439.7677822610199"/>
    <n v="0.73733418301275055"/>
    <x v="1"/>
    <s v="MEDIANO"/>
    <x v="9"/>
    <x v="0"/>
    <n v="14"/>
    <n v="1"/>
    <d v="2017-12-05T00:00:00"/>
    <s v="KIA"/>
    <s v="RIO"/>
    <n v="948.28499999999985"/>
    <d v="2017-12-06T00:00:00"/>
    <n v="16"/>
    <x v="1"/>
  </r>
  <r>
    <d v="2017-12-20T00:00:00"/>
    <s v="001-00011176"/>
    <n v="250"/>
    <n v="51.968000000000011"/>
    <n v="0"/>
    <n v="0"/>
    <n v="39.048749999999998"/>
    <n v="0"/>
    <n v="0"/>
    <n v="0"/>
    <n v="91.016750000000002"/>
    <n v="158.98325"/>
    <n v="0.63593299999999997"/>
    <x v="0"/>
    <s v="-"/>
    <x v="9"/>
    <x v="0"/>
    <n v="1"/>
    <n v="1"/>
    <d v="2017-12-19T00:00:00"/>
    <s v="HYUNDAI"/>
    <s v="ELANTRA"/>
    <n v="0"/>
    <d v="2017-12-20T00:00:00"/>
    <n v="0"/>
    <x v="0"/>
  </r>
  <r>
    <d v="2017-12-20T00:00:00"/>
    <s v="001-00011024"/>
    <n v="1063.9486807566088"/>
    <n v="0.31900000000000001"/>
    <n v="0"/>
    <n v="0"/>
    <n v="0"/>
    <n v="117"/>
    <n v="123.955"/>
    <n v="0"/>
    <n v="241.274"/>
    <n v="822.67468075660884"/>
    <n v="0.77322778404272086"/>
    <x v="1"/>
    <s v="MEDIANO"/>
    <x v="9"/>
    <x v="0"/>
    <n v="20"/>
    <n v="1"/>
    <d v="2017-11-30T00:00:00"/>
    <s v="KIA"/>
    <s v="SPORTAGE"/>
    <n v="4005.2675000000004"/>
    <d v="2017-12-02T00:00:00"/>
    <n v="8"/>
    <x v="1"/>
  </r>
  <r>
    <d v="2017-12-20T00:00:00"/>
    <s v="001-00011043"/>
    <n v="1933.3088883406804"/>
    <n v="0"/>
    <n v="0"/>
    <n v="63.56"/>
    <n v="42.412499999999994"/>
    <n v="263.25"/>
    <n v="170.43812500000001"/>
    <n v="0"/>
    <n v="539.66062499999998"/>
    <n v="1393.6482633406804"/>
    <n v="0.72086166455109002"/>
    <x v="1"/>
    <s v="MEDIANO"/>
    <x v="9"/>
    <x v="0"/>
    <n v="16"/>
    <n v="1"/>
    <d v="2017-12-04T00:00:00"/>
    <s v="NISSAN"/>
    <s v="TIIDA"/>
    <n v="1272.7325000000001"/>
    <d v="2017-12-05T00:00:00"/>
    <n v="18"/>
    <x v="1"/>
  </r>
  <r>
    <d v="2017-12-21T00:00:00"/>
    <s v="001-00011047"/>
    <n v="2504.502"/>
    <n v="10.17"/>
    <n v="0"/>
    <n v="0"/>
    <n v="14.625"/>
    <n v="263.25"/>
    <n v="340.87625000000003"/>
    <n v="0"/>
    <n v="628.9212500000001"/>
    <n v="1875.5807499999999"/>
    <n v="0.74888371021464539"/>
    <x v="1"/>
    <s v="MEDIANO"/>
    <x v="9"/>
    <x v="0"/>
    <n v="17"/>
    <n v="1"/>
    <d v="2017-12-04T00:00:00"/>
    <s v="TOYOTA"/>
    <s v="YARIS"/>
    <n v="7316.4649999999992"/>
    <d v="2017-12-04T00:00:00"/>
    <n v="18"/>
    <x v="1"/>
  </r>
  <r>
    <d v="2017-12-21T00:00:00"/>
    <s v="001-00011028"/>
    <n v="1730.0612347199999"/>
    <n v="0"/>
    <n v="0"/>
    <n v="0"/>
    <n v="0"/>
    <n v="204.75"/>
    <n v="216.92125000000001"/>
    <n v="0"/>
    <n v="421.67124999999999"/>
    <n v="1308.38998472"/>
    <n v="0.75626802015002381"/>
    <x v="1"/>
    <s v="MEDIANO"/>
    <x v="9"/>
    <x v="0"/>
    <n v="20"/>
    <n v="1"/>
    <d v="2017-12-01T00:00:00"/>
    <s v="HYUNDAI"/>
    <s v="TUCSON"/>
    <n v="2024.75"/>
    <d v="2017-12-04T00:00:00"/>
    <n v="14"/>
    <x v="1"/>
  </r>
  <r>
    <d v="2017-12-21T00:00:00"/>
    <s v="001-00011103"/>
    <n v="534.93181887599997"/>
    <n v="0"/>
    <n v="0"/>
    <n v="0"/>
    <n v="0"/>
    <n v="43.875"/>
    <n v="61.977499999999999"/>
    <n v="0"/>
    <n v="105.85249999999999"/>
    <n v="429.079318876"/>
    <n v="0.8021196416724331"/>
    <x v="1"/>
    <s v="LEVE"/>
    <x v="9"/>
    <x v="0"/>
    <n v="9"/>
    <n v="1"/>
    <d v="2017-12-12T00:00:00"/>
    <s v="TOYOTA"/>
    <s v="URBAN C."/>
    <n v="0"/>
    <d v="2017-12-13T00:00:00"/>
    <n v="3"/>
    <x v="1"/>
  </r>
  <r>
    <d v="2017-12-21T00:00:00"/>
    <s v="001-00011068"/>
    <n v="1237.5227591999999"/>
    <n v="0"/>
    <n v="0"/>
    <n v="72.03"/>
    <n v="0"/>
    <n v="160.875"/>
    <n v="139.449375"/>
    <n v="0"/>
    <n v="372.354375"/>
    <n v="865.16838419999988"/>
    <n v="0.69911310945043992"/>
    <x v="1"/>
    <s v="MEDIANO"/>
    <x v="9"/>
    <x v="0"/>
    <n v="14"/>
    <n v="1"/>
    <d v="2017-12-07T00:00:00"/>
    <s v="KIA"/>
    <s v="RIO"/>
    <n v="1540.5"/>
    <d v="2017-12-09T00:00:00"/>
    <n v="11"/>
    <x v="1"/>
  </r>
  <r>
    <d v="2017-12-21T00:00:00"/>
    <s v="001-00011127"/>
    <n v="1587.0555791999998"/>
    <n v="0"/>
    <n v="0"/>
    <n v="0"/>
    <n v="0"/>
    <n v="146.25"/>
    <n v="201.426875"/>
    <n v="0"/>
    <n v="347.676875"/>
    <n v="1239.3787041999999"/>
    <n v="0.78092961610376854"/>
    <x v="1"/>
    <s v="MEDIANO"/>
    <x v="9"/>
    <x v="0"/>
    <n v="7"/>
    <n v="1"/>
    <d v="2017-12-14T00:00:00"/>
    <s v="KIA"/>
    <s v="RIO"/>
    <n v="534.46249999999998"/>
    <d v="2017-12-14T00:00:00"/>
    <n v="10"/>
    <x v="1"/>
  </r>
  <r>
    <d v="2017-12-22T00:00:00"/>
    <s v="001-00010964"/>
    <n v="1962.4339399499995"/>
    <n v="0"/>
    <n v="0"/>
    <n v="41.313559322033896"/>
    <n v="0"/>
    <n v="0"/>
    <n v="0"/>
    <n v="0"/>
    <n v="41.313559322033896"/>
    <n v="1921.1203806279657"/>
    <n v="0.9789477961622054"/>
    <x v="4"/>
    <s v="S/TIPO"/>
    <x v="9"/>
    <x v="0"/>
    <n v="28"/>
    <n v="1"/>
    <d v="2017-11-24T00:00:00"/>
    <s v="S/MARCA"/>
    <s v="S/MODELO"/>
    <n v="0"/>
    <s v="F/Fecha"/>
    <n v="0"/>
    <x v="142"/>
  </r>
  <r>
    <d v="2017-12-22T00:00:00"/>
    <s v="001-00011062"/>
    <n v="2318.6459290499997"/>
    <n v="10.808"/>
    <n v="0"/>
    <n v="169.5"/>
    <n v="14.625"/>
    <n v="175.5"/>
    <n v="340.87625000000003"/>
    <n v="0"/>
    <n v="711.30925000000002"/>
    <n v="1607.3366790499997"/>
    <n v="0.69322213405328381"/>
    <x v="1"/>
    <s v="MEDIANO"/>
    <x v="9"/>
    <x v="0"/>
    <n v="16"/>
    <n v="1"/>
    <d v="2017-12-06T00:00:00"/>
    <s v="HONDA"/>
    <s v="CR-V"/>
    <n v="6025.3375000000005"/>
    <d v="2017-12-09T00:00:00"/>
    <n v="12"/>
    <x v="1"/>
  </r>
  <r>
    <d v="2017-12-22T00:00:00"/>
    <s v="001-00010971"/>
    <n v="3746.0141996528791"/>
    <n v="0"/>
    <n v="0"/>
    <n v="0"/>
    <n v="0"/>
    <n v="468"/>
    <n v="495.82"/>
    <n v="0"/>
    <n v="963.81999999999994"/>
    <n v="2782.1941996528794"/>
    <n v="0.7427078626425625"/>
    <x v="1"/>
    <s v="GRAVE"/>
    <x v="9"/>
    <x v="0"/>
    <n v="28"/>
    <n v="1"/>
    <d v="2017-11-24T00:00:00"/>
    <s v="KIA"/>
    <s v="CERATO"/>
    <n v="5903.2349999999997"/>
    <d v="2017-11-27T00:00:00"/>
    <n v="32"/>
    <x v="1"/>
  </r>
  <r>
    <d v="2017-12-22T00:00:00"/>
    <s v="001-00010514"/>
    <n v="633.43804808095024"/>
    <n v="0"/>
    <n v="0"/>
    <n v="0"/>
    <n v="0"/>
    <n v="102.375"/>
    <n v="61.977499999999999"/>
    <n v="0"/>
    <n v="164.35249999999999"/>
    <n v="469.08554808095028"/>
    <n v="0.74053895168135442"/>
    <x v="1"/>
    <s v="LEVE"/>
    <x v="9"/>
    <x v="0"/>
    <n v="85"/>
    <n v="1"/>
    <d v="2017-09-28T00:00:00"/>
    <s v="TOYOTA"/>
    <s v="RAV4"/>
    <n v="681.6875"/>
    <d v="2017-09-29T00:00:00"/>
    <n v="7"/>
    <x v="1"/>
  </r>
  <r>
    <d v="2017-12-22T00:00:00"/>
    <s v="001-00011089"/>
    <n v="1062.3215052132209"/>
    <n v="0"/>
    <n v="0"/>
    <n v="0"/>
    <n v="0"/>
    <n v="131.625"/>
    <n v="123.955"/>
    <n v="0"/>
    <n v="255.57999999999998"/>
    <n v="806.74150521322099"/>
    <n v="0.75941370032916555"/>
    <x v="1"/>
    <s v="MEDIANO"/>
    <x v="9"/>
    <x v="0"/>
    <n v="11"/>
    <n v="1"/>
    <d v="2017-12-11T00:00:00"/>
    <s v="SUZUKI"/>
    <s v="VITARA"/>
    <n v="0"/>
    <d v="2017-12-11T00:00:00"/>
    <n v="9"/>
    <x v="1"/>
  </r>
  <r>
    <d v="2017-12-22T00:00:00"/>
    <s v="001-00011088"/>
    <n v="842.45148828918991"/>
    <n v="0"/>
    <n v="0"/>
    <n v="84.75"/>
    <n v="14.625"/>
    <n v="73.125"/>
    <n v="77.471874999999997"/>
    <n v="0"/>
    <n v="249.97187500000001"/>
    <n v="592.47961328918996"/>
    <n v="0.70328039243229201"/>
    <x v="1"/>
    <s v="LEVE"/>
    <x v="9"/>
    <x v="0"/>
    <n v="11"/>
    <n v="1"/>
    <d v="2017-12-11T00:00:00"/>
    <s v="HYUNDAI"/>
    <s v="H1"/>
    <n v="4976.2700000000004"/>
    <d v="2017-12-13T00:00:00"/>
    <n v="5"/>
    <x v="1"/>
  </r>
  <r>
    <d v="2017-12-22T00:00:00"/>
    <s v="001-00011109"/>
    <n v="1819.7497963161004"/>
    <n v="0"/>
    <n v="0"/>
    <n v="144.07"/>
    <n v="0"/>
    <n v="146.25"/>
    <n v="201.426875"/>
    <n v="0"/>
    <n v="491.74687499999999"/>
    <n v="1328.0029213161004"/>
    <n v="0.72977225990326144"/>
    <x v="1"/>
    <s v="MEDIANO"/>
    <x v="9"/>
    <x v="0"/>
    <n v="10"/>
    <n v="1"/>
    <d v="2017-12-12T00:00:00"/>
    <s v="CHEVROLET"/>
    <s v="TRACKER"/>
    <n v="1168.375"/>
    <d v="2017-12-12T00:00:00"/>
    <n v="10"/>
    <x v="1"/>
  </r>
  <r>
    <d v="2017-12-22T00:00:00"/>
    <s v="001-00010305"/>
    <n v="8026.0319904322023"/>
    <n v="50.850748750000001"/>
    <n v="0"/>
    <n v="122.88"/>
    <n v="73.125"/>
    <n v="409.5"/>
    <n v="576.39075000000014"/>
    <n v="113.75"/>
    <n v="1346.4964987500002"/>
    <n v="6679.5354916822016"/>
    <n v="0.832233848512546"/>
    <x v="1"/>
    <s v="MEDIANO"/>
    <x v="9"/>
    <x v="0"/>
    <n v="108"/>
    <n v="1"/>
    <d v="2017-09-05T00:00:00"/>
    <s v="MAZDA"/>
    <s v="MAZDA 3"/>
    <n v="8315.6774999999998"/>
    <d v="2017-09-07T00:00:00"/>
    <n v="28"/>
    <x v="1"/>
  </r>
  <r>
    <d v="2017-12-22T00:00:00"/>
    <s v="001-00011122"/>
    <n v="1066.66961176017"/>
    <n v="0"/>
    <n v="0"/>
    <n v="0"/>
    <n v="0"/>
    <n v="87.75"/>
    <n v="123.955"/>
    <n v="0"/>
    <n v="211.70499999999998"/>
    <n v="854.9646117601701"/>
    <n v="0.80152711048864145"/>
    <x v="1"/>
    <s v="LEVE"/>
    <x v="9"/>
    <x v="0"/>
    <n v="8"/>
    <n v="1"/>
    <d v="2017-12-14T00:00:00"/>
    <s v="TOYOTA"/>
    <s v="RAV4"/>
    <n v="2424.89"/>
    <d v="2017-12-14T00:00:00"/>
    <n v="6"/>
    <x v="1"/>
  </r>
  <r>
    <d v="2017-12-23T00:00:00"/>
    <s v="001-00011027"/>
    <n v="1064.23233743475"/>
    <n v="1.276"/>
    <n v="0"/>
    <n v="0"/>
    <n v="0"/>
    <n v="87.75"/>
    <n v="133.25162500000002"/>
    <n v="0"/>
    <n v="222.277625"/>
    <n v="841.95471243475004"/>
    <n v="0.79113806526892139"/>
    <x v="1"/>
    <s v="LEVE"/>
    <x v="9"/>
    <x v="0"/>
    <n v="22"/>
    <n v="1"/>
    <d v="2017-12-01T00:00:00"/>
    <s v="JEEP"/>
    <s v="GRAND C."/>
    <n v="0"/>
    <d v="2017-12-01T00:00:00"/>
    <n v="6"/>
    <x v="624"/>
  </r>
  <r>
    <d v="2017-12-23T00:00:00"/>
    <s v="001-00011178"/>
    <n v="2725.4237000000003"/>
    <n v="1652.5399099999997"/>
    <n v="0"/>
    <n v="0"/>
    <n v="87.75"/>
    <n v="0"/>
    <n v="0"/>
    <n v="0"/>
    <n v="1740.2899099999997"/>
    <n v="985.13379000000054"/>
    <n v="0.36146078497813033"/>
    <x v="0"/>
    <s v="-"/>
    <x v="9"/>
    <x v="0"/>
    <n v="4"/>
    <n v="1"/>
    <d v="2017-12-19T00:00:00"/>
    <s v="HYUNDAI"/>
    <s v="SANTA FE"/>
    <n v="2430.2525000000001"/>
    <d v="2017-12-20T00:00:00"/>
    <n v="0"/>
    <x v="393"/>
  </r>
  <r>
    <d v="2017-12-23T00:00:00"/>
    <s v="001-00011143"/>
    <n v="842.81161861017006"/>
    <n v="0"/>
    <n v="0"/>
    <n v="0"/>
    <n v="0"/>
    <n v="64.350000000000009"/>
    <n v="123.955"/>
    <n v="0"/>
    <n v="188.30500000000001"/>
    <n v="654.50661861017011"/>
    <n v="0.77657522055697048"/>
    <x v="1"/>
    <s v="LEVE"/>
    <x v="9"/>
    <x v="0"/>
    <n v="7"/>
    <n v="1"/>
    <d v="2017-12-16T00:00:00"/>
    <s v="TOYOTA"/>
    <s v="YARIS"/>
    <n v="0"/>
    <d v="2017-12-18T00:00:00"/>
    <n v="4.4000000000000004"/>
    <x v="1"/>
  </r>
  <r>
    <d v="2017-12-23T00:00:00"/>
    <s v="001-00011094"/>
    <n v="1116.4095833181391"/>
    <n v="0"/>
    <n v="0"/>
    <n v="0"/>
    <n v="0"/>
    <n v="43.875"/>
    <n v="185.9325"/>
    <n v="0"/>
    <n v="229.8075"/>
    <n v="886.60208331813908"/>
    <n v="0.79415484833355054"/>
    <x v="1"/>
    <s v="LEVE"/>
    <x v="9"/>
    <x v="0"/>
    <n v="12"/>
    <n v="1"/>
    <d v="2017-12-11T00:00:00"/>
    <s v="SUZUKI"/>
    <s v="SWIFT"/>
    <n v="204.75"/>
    <d v="2017-12-12T00:00:00"/>
    <n v="3"/>
    <x v="1"/>
  </r>
  <r>
    <d v="2017-12-23T00:00:00"/>
    <s v="001-00011114"/>
    <n v="1365.6364060918593"/>
    <n v="0"/>
    <n v="0"/>
    <n v="0"/>
    <n v="0"/>
    <n v="87.75"/>
    <n v="247.91"/>
    <n v="0"/>
    <n v="335.65999999999997"/>
    <n v="1029.9764060918592"/>
    <n v="0.75420983323036717"/>
    <x v="1"/>
    <s v="LEVE"/>
    <x v="9"/>
    <x v="0"/>
    <n v="10"/>
    <n v="1"/>
    <d v="2017-12-13T00:00:00"/>
    <s v="KIA"/>
    <s v="RIO"/>
    <n v="639.95749999999998"/>
    <d v="2017-12-13T00:00:00"/>
    <n v="6"/>
    <x v="1"/>
  </r>
  <r>
    <d v="2017-12-26T00:00:00"/>
    <s v="001-00011123"/>
    <n v="730.39797765000003"/>
    <n v="1.4355000000000002"/>
    <n v="0"/>
    <n v="0"/>
    <n v="0"/>
    <n v="87.75"/>
    <n v="92.966250000000002"/>
    <n v="0"/>
    <n v="182.15174999999999"/>
    <n v="548.24622765000004"/>
    <n v="0.75061301431028138"/>
    <x v="1"/>
    <s v="LEVE"/>
    <x v="9"/>
    <x v="0"/>
    <n v="12"/>
    <n v="1"/>
    <d v="2017-12-14T00:00:00"/>
    <s v="FIAT"/>
    <s v="FIORINO"/>
    <n v="1636.115"/>
    <d v="2017-12-14T00:00:00"/>
    <n v="6"/>
    <x v="631"/>
  </r>
  <r>
    <d v="2017-12-26T00:00:00"/>
    <s v="001-00011116"/>
    <n v="294.11999099999997"/>
    <n v="0"/>
    <n v="0"/>
    <n v="0"/>
    <n v="0"/>
    <n v="87.75"/>
    <n v="0"/>
    <n v="0"/>
    <n v="87.75"/>
    <n v="206.36999099999997"/>
    <n v="0.70165237765154154"/>
    <x v="0"/>
    <s v="-"/>
    <x v="9"/>
    <x v="0"/>
    <n v="13"/>
    <n v="1"/>
    <d v="2017-12-13T00:00:00"/>
    <s v="HYUNDAI"/>
    <s v="ACCENT"/>
    <n v="0"/>
    <d v="2017-12-13T00:00:00"/>
    <n v="6"/>
    <x v="632"/>
  </r>
  <r>
    <d v="2017-12-26T00:00:00"/>
    <s v="001-00011055"/>
    <n v="1980.3526775216912"/>
    <n v="0"/>
    <n v="0"/>
    <n v="207.63"/>
    <n v="102.375"/>
    <n v="117"/>
    <n v="201.426875"/>
    <n v="0"/>
    <n v="628.43187499999999"/>
    <n v="1351.9208025216913"/>
    <n v="0.68266668753847926"/>
    <x v="1"/>
    <s v="LEVE"/>
    <x v="9"/>
    <x v="0"/>
    <n v="21"/>
    <n v="1"/>
    <d v="2017-12-05T00:00:00"/>
    <s v="HYUNDAI"/>
    <s v="ELANTRA"/>
    <n v="3833.31"/>
    <d v="2017-12-07T00:00:00"/>
    <n v="8"/>
    <x v="632"/>
  </r>
  <r>
    <d v="2017-12-26T00:00:00"/>
    <s v="001-00011081"/>
    <n v="962.59198494491989"/>
    <n v="0"/>
    <n v="0"/>
    <n v="72.03"/>
    <n v="0"/>
    <n v="87.75"/>
    <n v="123.955"/>
    <n v="0"/>
    <n v="283.73500000000001"/>
    <n v="678.85698494491987"/>
    <n v="0.70523855959985426"/>
    <x v="1"/>
    <s v="LEVE"/>
    <x v="9"/>
    <x v="0"/>
    <n v="17"/>
    <n v="1"/>
    <d v="2017-12-09T00:00:00"/>
    <s v="HONDA"/>
    <s v="HR-V"/>
    <n v="1714.5374999999999"/>
    <d v="2017-12-12T00:00:00"/>
    <n v="6"/>
    <x v="1"/>
  </r>
  <r>
    <d v="2017-12-26T00:00:00"/>
    <s v="001-00011134"/>
    <n v="585.35956688814008"/>
    <n v="0"/>
    <n v="0"/>
    <n v="0"/>
    <n v="0"/>
    <n v="35.099999999999994"/>
    <n v="123.955"/>
    <n v="0"/>
    <n v="159.05500000000001"/>
    <n v="426.30456688814007"/>
    <n v="0.72827812340103981"/>
    <x v="1"/>
    <s v="LEVE"/>
    <x v="9"/>
    <x v="0"/>
    <n v="11"/>
    <n v="1"/>
    <d v="2017-12-15T00:00:00"/>
    <s v="HYUNDAI"/>
    <s v="I10"/>
    <n v="364.13"/>
    <d v="2017-12-15T00:00:00"/>
    <n v="2.4"/>
    <x v="1"/>
  </r>
  <r>
    <d v="2017-12-26T00:00:00"/>
    <s v="001-00010878"/>
    <n v="4001.3334566001718"/>
    <n v="4.2390000900000002"/>
    <n v="0"/>
    <n v="50.85"/>
    <n v="43.875"/>
    <n v="555.75"/>
    <n v="402.85374999999999"/>
    <n v="113.75"/>
    <n v="1171.3177500900001"/>
    <n v="2830.0157065101716"/>
    <n v="0.70726814878227162"/>
    <x v="1"/>
    <s v="GRAVE"/>
    <x v="9"/>
    <x v="0"/>
    <n v="43"/>
    <n v="1"/>
    <d v="2017-11-13T00:00:00"/>
    <s v="KIA"/>
    <s v="RIO"/>
    <n v="8376.4524999999994"/>
    <d v="2017-11-15T00:00:00"/>
    <n v="38"/>
    <x v="1"/>
  </r>
  <r>
    <d v="2017-12-27T00:00:00"/>
    <s v="001-00010830"/>
    <n v="2221.4549999999999"/>
    <n v="13.98400002"/>
    <n v="0"/>
    <n v="0"/>
    <n v="14.625"/>
    <n v="321.75"/>
    <n v="309.88749999999999"/>
    <n v="0"/>
    <n v="660.24650001999998"/>
    <n v="1561.2084999799999"/>
    <n v="0.70278646201701134"/>
    <x v="1"/>
    <s v="MEDIANO"/>
    <x v="9"/>
    <x v="0"/>
    <n v="52"/>
    <n v="1"/>
    <d v="2017-11-05T00:00:00"/>
    <s v="NISSAN"/>
    <s v="FRONTIER"/>
    <n v="4483.1149999999998"/>
    <d v="2017-11-24T00:00:00"/>
    <n v="22"/>
    <x v="633"/>
  </r>
  <r>
    <d v="2017-12-27T00:00:00"/>
    <s v="001-00011136"/>
    <n v="1305.3075000000001"/>
    <n v="0"/>
    <n v="0"/>
    <n v="72.03"/>
    <n v="0"/>
    <n v="146.25"/>
    <n v="154.94374999999999"/>
    <n v="0"/>
    <n v="373.22375"/>
    <n v="932.08375000000012"/>
    <n v="0.71407216307268595"/>
    <x v="1"/>
    <s v="MEDIANO"/>
    <x v="9"/>
    <x v="0"/>
    <n v="12"/>
    <n v="1"/>
    <d v="2017-12-15T00:00:00"/>
    <s v="KIA"/>
    <s v="SPORTAGE"/>
    <n v="924.07249999999999"/>
    <d v="2017-12-18T00:00:00"/>
    <n v="10"/>
    <x v="634"/>
  </r>
  <r>
    <d v="2017-12-27T00:00:00"/>
    <s v="001-00010989"/>
    <n v="3558.4229360999998"/>
    <n v="0"/>
    <n v="0"/>
    <n v="160.49152542372883"/>
    <n v="29.25"/>
    <n v="438.75"/>
    <n v="493.96067499999998"/>
    <n v="0"/>
    <n v="1122.4522004237288"/>
    <n v="2435.970735676271"/>
    <n v="0.68456470167261052"/>
    <x v="1"/>
    <s v="GRAVE"/>
    <x v="9"/>
    <x v="0"/>
    <n v="30"/>
    <n v="1"/>
    <d v="2017-11-27T00:00:00"/>
    <s v="HYUNDAI"/>
    <s v="ELANTRA"/>
    <n v="7831.9149999999991"/>
    <d v="2017-11-28T00:00:00"/>
    <n v="30"/>
    <x v="1"/>
  </r>
  <r>
    <d v="2017-12-27T00:00:00"/>
    <s v="001-00011102"/>
    <n v="702.52171773000009"/>
    <n v="0"/>
    <n v="0"/>
    <n v="0"/>
    <n v="0"/>
    <n v="29.25"/>
    <n v="139.449375"/>
    <n v="0"/>
    <n v="168.699375"/>
    <n v="533.82234273000006"/>
    <n v="0.75986596464931466"/>
    <x v="1"/>
    <s v="LEVE"/>
    <x v="9"/>
    <x v="0"/>
    <n v="15"/>
    <n v="1"/>
    <d v="2017-12-12T00:00:00"/>
    <s v="MAZDA"/>
    <s v="MAZDA 3"/>
    <n v="5527.9250000000002"/>
    <d v="2017-12-13T00:00:00"/>
    <n v="2"/>
    <x v="1"/>
  </r>
  <r>
    <d v="2017-12-27T00:00:00"/>
    <s v="001-00011093"/>
    <n v="2671.2977241299996"/>
    <n v="0.95700000000000007"/>
    <n v="0"/>
    <n v="0"/>
    <n v="38.025000000000006"/>
    <n v="292.5"/>
    <n v="402.85374999999999"/>
    <n v="0"/>
    <n v="734.33574999999996"/>
    <n v="1936.9619741299996"/>
    <n v="0.72510149528946211"/>
    <x v="1"/>
    <s v="MEDIANO"/>
    <x v="9"/>
    <x v="0"/>
    <n v="16"/>
    <n v="1"/>
    <d v="2017-12-11T00:00:00"/>
    <s v="NISSAN"/>
    <s v="TIIDA"/>
    <n v="4782.4399999999996"/>
    <d v="2017-12-12T00:00:00"/>
    <n v="20"/>
    <x v="1"/>
  </r>
  <r>
    <d v="2017-12-28T00:00:00"/>
    <s v="001-00011077"/>
    <n v="2337.5433738000011"/>
    <n v="2.8570000200000001"/>
    <n v="0"/>
    <n v="110.16949152542374"/>
    <n v="0"/>
    <n v="219.375"/>
    <n v="340.87625000000003"/>
    <n v="0"/>
    <n v="673.27774154542374"/>
    <n v="1664.2656322545772"/>
    <n v="0.71197208612607799"/>
    <x v="1"/>
    <s v="MEDIANO"/>
    <x v="9"/>
    <x v="0"/>
    <n v="19"/>
    <n v="1"/>
    <d v="2017-12-09T00:00:00"/>
    <s v="HYUNDAI"/>
    <s v="ACCENT"/>
    <n v="2556.84"/>
    <d v="2017-12-11T00:00:00"/>
    <n v="15"/>
    <x v="635"/>
  </r>
  <r>
    <d v="2017-12-28T00:00:00"/>
    <s v="001-00011199"/>
    <n v="131.91875724300002"/>
    <n v="0"/>
    <n v="82.360800000000012"/>
    <n v="0"/>
    <n v="0"/>
    <n v="0"/>
    <n v="0"/>
    <n v="0"/>
    <n v="82.360800000000012"/>
    <n v="49.557957243000004"/>
    <n v="0.37567028585413459"/>
    <x v="0"/>
    <s v="-"/>
    <x v="9"/>
    <x v="0"/>
    <n v="6"/>
    <n v="1"/>
    <d v="2017-12-22T00:00:00"/>
    <s v="HYUNDAI"/>
    <s v="ACCENT"/>
    <n v="132.21"/>
    <d v="2017-12-22T00:00:00"/>
    <n v="0"/>
    <x v="635"/>
  </r>
  <r>
    <d v="2017-12-28T00:00:00"/>
    <s v="001-00011133"/>
    <n v="1559.8830000000005"/>
    <n v="0"/>
    <n v="0"/>
    <n v="0"/>
    <n v="0"/>
    <n v="175.5"/>
    <n v="247.91"/>
    <n v="0"/>
    <n v="423.40999999999997"/>
    <n v="1136.4730000000004"/>
    <n v="0.72856297555650007"/>
    <x v="1"/>
    <s v="MEDIANO"/>
    <x v="9"/>
    <x v="0"/>
    <n v="13"/>
    <n v="1"/>
    <d v="2017-12-15T00:00:00"/>
    <s v="TOYOTA"/>
    <s v="YARIS"/>
    <n v="705.02250000000004"/>
    <d v="2017-12-18T00:00:00"/>
    <n v="12"/>
    <x v="636"/>
  </r>
  <r>
    <d v="2017-12-28T00:00:00"/>
    <s v="001-00011138"/>
    <n v="1050.0448083000001"/>
    <n v="0"/>
    <n v="0"/>
    <n v="84.75"/>
    <n v="14.625"/>
    <n v="87.75"/>
    <n v="77.471874999999997"/>
    <n v="0"/>
    <n v="264.59687500000001"/>
    <n v="785.44793330000016"/>
    <n v="0.74801372959657164"/>
    <x v="1"/>
    <s v="LEVE"/>
    <x v="9"/>
    <x v="0"/>
    <n v="13"/>
    <n v="1"/>
    <d v="2017-12-15T00:00:00"/>
    <s v="KIA"/>
    <s v="RIO"/>
    <n v="2330.7374999999997"/>
    <d v="2017-12-15T00:00:00"/>
    <n v="6"/>
    <x v="1"/>
  </r>
  <r>
    <d v="2017-12-28T00:00:00"/>
    <s v="001-00011096"/>
    <n v="1523.6327784300001"/>
    <n v="0.95700000000000007"/>
    <n v="0"/>
    <n v="0"/>
    <n v="0"/>
    <n v="131.625"/>
    <n v="263.40437500000002"/>
    <n v="0"/>
    <n v="395.98637500000001"/>
    <n v="1127.6464034300002"/>
    <n v="0.74010379626510991"/>
    <x v="1"/>
    <s v="MEDIANO"/>
    <x v="9"/>
    <x v="0"/>
    <n v="17"/>
    <n v="1"/>
    <d v="2017-12-11T00:00:00"/>
    <s v="CHEVROLET"/>
    <s v="CRUZE"/>
    <n v="639.69749999999999"/>
    <d v="2017-12-11T00:00:00"/>
    <n v="9"/>
    <x v="1"/>
  </r>
  <r>
    <d v="2017-12-28T00:00:00"/>
    <s v="001-00010957"/>
    <n v="2497.3299078300006"/>
    <n v="0.39539999999999997"/>
    <n v="0"/>
    <n v="68.855932203389841"/>
    <n v="29.25"/>
    <n v="263.25"/>
    <n v="363.18815000000001"/>
    <n v="0"/>
    <n v="724.93948220338984"/>
    <n v="1772.3904256266107"/>
    <n v="0.70971417115117563"/>
    <x v="1"/>
    <s v="MEDIANO"/>
    <x v="9"/>
    <x v="0"/>
    <n v="36"/>
    <n v="1"/>
    <d v="2017-11-22T00:00:00"/>
    <s v="VOLKSWAGUEN"/>
    <s v="GOL"/>
    <n v="1610.8625"/>
    <d v="2017-11-23T00:00:00"/>
    <n v="18"/>
    <x v="1"/>
  </r>
  <r>
    <d v="2017-12-28T00:00:00"/>
    <s v="001-00011163"/>
    <n v="398.20181154300008"/>
    <n v="0"/>
    <n v="0"/>
    <n v="0"/>
    <n v="0"/>
    <n v="29.25"/>
    <n v="61.977499999999999"/>
    <n v="0"/>
    <n v="91.227499999999992"/>
    <n v="306.97431154300011"/>
    <n v="0.77090134360137463"/>
    <x v="1"/>
    <s v="LEVE"/>
    <x v="9"/>
    <x v="0"/>
    <n v="9"/>
    <n v="1"/>
    <d v="2017-12-19T00:00:00"/>
    <s v="NISSAN"/>
    <s v="ALMERA"/>
    <n v="1467.9275"/>
    <d v="2017-12-20T00:00:00"/>
    <n v="2"/>
    <x v="1"/>
  </r>
  <r>
    <d v="2017-12-29T00:00:00"/>
    <s v="001-00011180"/>
    <n v="4006.34"/>
    <n v="124.694"/>
    <n v="0"/>
    <n v="78.14"/>
    <n v="87.75"/>
    <n v="190.125"/>
    <n v="433.84250000000003"/>
    <n v="0"/>
    <n v="914.55150000000003"/>
    <n v="3091.7885000000001"/>
    <n v="0.77172394255105659"/>
    <x v="0"/>
    <s v="MEDIANO"/>
    <x v="9"/>
    <x v="0"/>
    <n v="10"/>
    <n v="1"/>
    <d v="2017-12-19T00:00:00"/>
    <s v="KIA"/>
    <s v="CERATO"/>
    <n v="471.25"/>
    <d v="2017-12-20T00:00:00"/>
    <n v="13"/>
    <x v="637"/>
  </r>
  <r>
    <d v="2017-12-29T00:00:00"/>
    <s v="001-00011245"/>
    <n v="20"/>
    <n v="0"/>
    <n v="0"/>
    <n v="16.95"/>
    <n v="0"/>
    <n v="0"/>
    <n v="0"/>
    <n v="0"/>
    <n v="16.95"/>
    <n v="3.0500000000000007"/>
    <n v="0.15250000000000002"/>
    <x v="0"/>
    <s v="-"/>
    <x v="9"/>
    <x v="0"/>
    <n v="0"/>
    <n v="1"/>
    <d v="2017-12-29T00:00:00"/>
    <s v="FIAT"/>
    <s v="FIORINO"/>
    <n v="38.74"/>
    <d v="2017-12-29T00:00:00"/>
    <n v="0"/>
    <x v="631"/>
  </r>
  <r>
    <d v="2017-12-29T00:00:00"/>
    <s v="001-00011153"/>
    <n v="909.33731840000019"/>
    <n v="0"/>
    <n v="0"/>
    <n v="0"/>
    <n v="0"/>
    <n v="87.75"/>
    <n v="123.955"/>
    <n v="0"/>
    <n v="211.70499999999998"/>
    <n v="697.63231840000026"/>
    <n v="0.76718760385584994"/>
    <x v="1"/>
    <s v="LEVE"/>
    <x v="9"/>
    <x v="0"/>
    <n v="11"/>
    <n v="1"/>
    <d v="2017-12-18T00:00:00"/>
    <s v="HYUNDAI"/>
    <s v="TUCSON"/>
    <n v="27.787500000000001"/>
    <d v="2017-12-18T00:00:00"/>
    <n v="6"/>
    <x v="1"/>
  </r>
  <r>
    <d v="2017-12-29T00:00:00"/>
    <s v="001-00011146"/>
    <n v="1159.73"/>
    <n v="0"/>
    <n v="0"/>
    <n v="0"/>
    <n v="0"/>
    <n v="102.375"/>
    <n v="154.94374999999999"/>
    <n v="0"/>
    <n v="257.31875000000002"/>
    <n v="902.41125"/>
    <n v="0.77812184732653289"/>
    <x v="1"/>
    <s v="LEVE"/>
    <x v="9"/>
    <x v="0"/>
    <n v="11"/>
    <n v="1"/>
    <d v="2017-12-18T00:00:00"/>
    <s v="BAIC"/>
    <s v="X-25"/>
    <n v="1085.5"/>
    <d v="2017-12-19T00:00:00"/>
    <n v="7"/>
    <x v="1"/>
  </r>
  <r>
    <d v="2017-12-29T00:00:00"/>
    <s v="001-00011152"/>
    <n v="1364.2667952000002"/>
    <n v="0"/>
    <n v="0"/>
    <n v="0"/>
    <n v="5.8500000000000005"/>
    <n v="234"/>
    <n v="154.94374999999999"/>
    <n v="0"/>
    <n v="394.79374999999999"/>
    <n v="969.47304520000012"/>
    <n v="0.71061836923024746"/>
    <x v="1"/>
    <s v="MEDIANO"/>
    <x v="9"/>
    <x v="0"/>
    <n v="11"/>
    <n v="1"/>
    <d v="2017-12-18T00:00:00"/>
    <s v="TOYOTA"/>
    <s v="YARIS"/>
    <n v="682.5"/>
    <d v="2017-12-19T00:00:00"/>
    <n v="16"/>
    <x v="1"/>
  </r>
  <r>
    <d v="2017-12-29T00:00:00"/>
    <s v="001-00011091"/>
    <n v="2498.2371644000004"/>
    <n v="0"/>
    <n v="0"/>
    <n v="55.084745762711869"/>
    <n v="38.025000000000006"/>
    <n v="321.75"/>
    <n v="325.38187500000004"/>
    <n v="0"/>
    <n v="740.24162076271193"/>
    <n v="1757.9955436372884"/>
    <n v="0.70369441648247388"/>
    <x v="1"/>
    <s v="MEDIANO"/>
    <x v="9"/>
    <x v="0"/>
    <n v="18"/>
    <n v="1"/>
    <d v="2017-12-11T00:00:00"/>
    <s v="KIA"/>
    <s v="RIO"/>
    <n v="3965.1949999999997"/>
    <d v="2017-12-13T00:00:00"/>
    <n v="22"/>
    <x v="1"/>
  </r>
  <r>
    <d v="2017-12-29T00:00:00"/>
    <s v="001-00011145"/>
    <n v="1216.1152291600004"/>
    <n v="0"/>
    <n v="0"/>
    <n v="0"/>
    <n v="0"/>
    <n v="102.375"/>
    <n v="205.14552500000002"/>
    <n v="0"/>
    <n v="307.52052500000002"/>
    <n v="908.59470416000033"/>
    <n v="0.74712879369793617"/>
    <x v="1"/>
    <s v="LEVE"/>
    <x v="9"/>
    <x v="0"/>
    <n v="11"/>
    <n v="1"/>
    <d v="2017-12-18T00:00:00"/>
    <s v="TOYOTA"/>
    <s v="ETIOS"/>
    <n v="391.69"/>
    <d v="2017-12-18T00:00:00"/>
    <n v="7"/>
    <x v="1"/>
  </r>
  <r>
    <d v="2017-12-29T00:00:00"/>
    <s v="001-00011141"/>
    <n v="3173.67653556"/>
    <n v="1.8860000400000001"/>
    <n v="0"/>
    <n v="55.084745762711869"/>
    <n v="43.875"/>
    <n v="351"/>
    <n v="418.34812499999998"/>
    <n v="0"/>
    <n v="870.1938708027119"/>
    <n v="2303.4826647572881"/>
    <n v="0.72580889669993898"/>
    <x v="1"/>
    <s v="MEDIANO"/>
    <x v="9"/>
    <x v="0"/>
    <n v="14"/>
    <n v="1"/>
    <d v="2017-12-15T00:00:00"/>
    <s v="HYUNDAI"/>
    <s v="ACCENT"/>
    <n v="1386.905"/>
    <d v="2017-12-18T00:00:00"/>
    <n v="24"/>
    <x v="1"/>
  </r>
  <r>
    <d v="2017-12-29T00:00:00"/>
    <s v="001-00011250"/>
    <n v="295.27119000000005"/>
    <n v="78.558001200000007"/>
    <n v="0"/>
    <n v="0"/>
    <n v="39.048749999999998"/>
    <n v="0"/>
    <n v="0"/>
    <n v="0"/>
    <n v="117.60675120000001"/>
    <n v="177.66443880000003"/>
    <n v="0.60169919997951715"/>
    <x v="0"/>
    <s v="-"/>
    <x v="9"/>
    <x v="0"/>
    <n v="0"/>
    <n v="1"/>
    <d v="2017-12-29T00:00:00"/>
    <s v="NISSAN"/>
    <s v="SENTRA"/>
    <n v="217.75"/>
    <d v="2017-12-29T00:00:00"/>
    <n v="0"/>
    <x v="638"/>
  </r>
  <r>
    <d v="2017-12-29T00:00:00"/>
    <s v="001-00011237"/>
    <n v="488.27121"/>
    <n v="144.68150199999997"/>
    <n v="0"/>
    <n v="38.14"/>
    <n v="58.5"/>
    <n v="0"/>
    <n v="0"/>
    <n v="0"/>
    <n v="241.32150199999995"/>
    <n v="246.94970800000004"/>
    <n v="0.50576340145059961"/>
    <x v="0"/>
    <s v="-"/>
    <x v="9"/>
    <x v="0"/>
    <n v="1"/>
    <n v="1"/>
    <d v="2017-12-28T00:00:00"/>
    <s v="KIA"/>
    <s v="RIO"/>
    <n v="259.0575"/>
    <d v="2017-12-28T00:00:00"/>
    <n v="0"/>
    <x v="638"/>
  </r>
  <r>
    <d v="2017-12-29T00:00:00"/>
    <s v="001-00011251"/>
    <n v="250.27119000000002"/>
    <n v="84.913999600000011"/>
    <n v="0"/>
    <n v="0"/>
    <n v="39.048749999999998"/>
    <n v="0"/>
    <n v="0"/>
    <n v="0"/>
    <n v="123.96274960000001"/>
    <n v="126.30844040000001"/>
    <n v="0.50468629809128251"/>
    <x v="0"/>
    <s v="-"/>
    <x v="9"/>
    <x v="0"/>
    <n v="0"/>
    <n v="1"/>
    <d v="2017-12-29T00:00:00"/>
    <s v="CHEVROLET"/>
    <s v="SAIL"/>
    <n v="0"/>
    <d v="2017-12-29T00:00:00"/>
    <n v="0"/>
    <x v="638"/>
  </r>
  <r>
    <d v="2017-12-29T00:00:00"/>
    <s v="001-00011254"/>
    <n v="250.27119000000002"/>
    <n v="73.358000900000008"/>
    <n v="0"/>
    <n v="0"/>
    <n v="39.048749999999998"/>
    <n v="0"/>
    <n v="0"/>
    <n v="0"/>
    <n v="112.40675090000001"/>
    <n v="137.86443910000003"/>
    <n v="0.55086020528371649"/>
    <x v="0"/>
    <s v="-"/>
    <x v="9"/>
    <x v="0"/>
    <n v="0"/>
    <n v="1"/>
    <d v="2017-12-29T00:00:00"/>
    <s v="BYD"/>
    <s v="F3"/>
    <n v="0"/>
    <d v="2017-12-29T00:00:00"/>
    <n v="0"/>
    <x v="638"/>
  </r>
  <r>
    <d v="2017-12-30T00:00:00"/>
    <s v="001-00011149"/>
    <n v="888.11704799999984"/>
    <n v="0"/>
    <n v="0"/>
    <n v="0"/>
    <n v="7.3125"/>
    <n v="58.5"/>
    <n v="143.168025"/>
    <n v="0"/>
    <n v="208.980525"/>
    <n v="679.1365229999999"/>
    <n v="0.76469258700684239"/>
    <x v="1"/>
    <s v="LEVE"/>
    <x v="9"/>
    <x v="0"/>
    <n v="12"/>
    <n v="1"/>
    <d v="2017-12-18T00:00:00"/>
    <s v="KIA"/>
    <s v="SOUL"/>
    <n v="1094.665"/>
    <d v="2017-12-18T00:00:00"/>
    <n v="4"/>
    <x v="21"/>
  </r>
  <r>
    <d v="2017-12-30T00:00:00"/>
    <s v="001-00011248"/>
    <n v="380"/>
    <n v="54.580598999999999"/>
    <n v="0"/>
    <n v="0"/>
    <n v="39.048749999999998"/>
    <n v="0"/>
    <n v="0"/>
    <n v="0"/>
    <n v="93.629348999999991"/>
    <n v="286.37065100000001"/>
    <n v="0.75360697631578955"/>
    <x v="0"/>
    <s v="-"/>
    <x v="9"/>
    <x v="0"/>
    <n v="1"/>
    <n v="1"/>
    <d v="2017-12-29T00:00:00"/>
    <s v="KIA"/>
    <s v="RIO"/>
    <n v="0"/>
    <d v="2017-12-29T00:00:00"/>
    <n v="0"/>
    <x v="25"/>
  </r>
  <r>
    <d v="2017-12-30T00:00:00"/>
    <s v="001-00010908"/>
    <n v="2802.9295727999997"/>
    <n v="10.17"/>
    <n v="0"/>
    <n v="0"/>
    <n v="14.625"/>
    <n v="424.125"/>
    <n v="345.83445"/>
    <n v="0"/>
    <n v="794.75445000000002"/>
    <n v="2008.1751227999998"/>
    <n v="0.71645579050133745"/>
    <x v="1"/>
    <s v="MEDIANO"/>
    <x v="9"/>
    <x v="0"/>
    <n v="45"/>
    <n v="1"/>
    <d v="2017-11-15T00:00:00"/>
    <s v="KIA"/>
    <s v="RIO"/>
    <n v="7860.2550000000001"/>
    <d v="2017-11-28T00:00:00"/>
    <n v="29"/>
    <x v="639"/>
  </r>
  <r>
    <d v="2017-12-30T00:00:00"/>
    <s v="001-00011228"/>
    <n v="627.71189900000002"/>
    <n v="83.895001900000011"/>
    <n v="177.97"/>
    <n v="0"/>
    <n v="58.5"/>
    <n v="0"/>
    <n v="0"/>
    <n v="0"/>
    <n v="320.36500190000004"/>
    <n v="307.34689709999998"/>
    <n v="0.48963050977626915"/>
    <x v="0"/>
    <s v="-"/>
    <x v="9"/>
    <x v="0"/>
    <n v="3"/>
    <n v="1"/>
    <d v="2017-12-27T00:00:00"/>
    <s v="CHEVROLET"/>
    <s v="SAIL"/>
    <n v="152.75"/>
    <d v="2017-12-27T00:00:00"/>
    <n v="0"/>
    <x v="638"/>
  </r>
  <r>
    <d v="2017-12-30T00:00:00"/>
    <s v="001-00011258"/>
    <n v="253.27119000000002"/>
    <n v="73.748001000000002"/>
    <n v="0"/>
    <n v="0"/>
    <n v="39.048749999999998"/>
    <n v="0"/>
    <n v="0"/>
    <n v="0"/>
    <n v="112.796751"/>
    <n v="140.47443900000002"/>
    <n v="0.55464041922810092"/>
    <x v="0"/>
    <s v="-"/>
    <x v="9"/>
    <x v="0"/>
    <n v="0"/>
    <n v="1"/>
    <d v="2017-12-30T00:00:00"/>
    <s v="TOYOTA"/>
    <s v="YARIS"/>
    <n v="175.5"/>
    <d v="2017-12-30T00:00:00"/>
    <n v="0"/>
    <x v="638"/>
  </r>
  <r>
    <d v="2017-12-30T00:00:00"/>
    <s v="001-00011148"/>
    <n v="862.25179428000001"/>
    <n v="0"/>
    <n v="0"/>
    <n v="0"/>
    <n v="0"/>
    <n v="80.4375"/>
    <n v="185.9325"/>
    <n v="0"/>
    <n v="266.37"/>
    <n v="595.88179428000001"/>
    <n v="0.69107631695631899"/>
    <x v="1"/>
    <s v="LEVE"/>
    <x v="9"/>
    <x v="0"/>
    <n v="12"/>
    <n v="1"/>
    <d v="2017-12-18T00:00:00"/>
    <s v="CHEVROLET"/>
    <s v="SAIL"/>
    <n v="266.5"/>
    <d v="2017-12-18T00:00:00"/>
    <n v="5.5"/>
    <x v="1"/>
  </r>
  <r>
    <d v="2017-12-30T00:00:00"/>
    <s v="001-00011169"/>
    <n v="1226.9166875999999"/>
    <n v="1.8860000400000001"/>
    <n v="0"/>
    <n v="72.03"/>
    <n v="0"/>
    <n v="102.375"/>
    <n v="138.209825"/>
    <n v="0"/>
    <n v="314.50082504"/>
    <n v="912.41586255999994"/>
    <n v="0.74366570426619405"/>
    <x v="1"/>
    <s v="LEVE"/>
    <x v="9"/>
    <x v="0"/>
    <n v="10"/>
    <n v="1"/>
    <d v="2017-12-20T00:00:00"/>
    <s v="SUZUKI"/>
    <s v="SX4"/>
    <n v="1580.9624999999999"/>
    <d v="2017-12-20T00:00:00"/>
    <n v="7"/>
    <x v="1"/>
  </r>
  <r>
    <d v="2017-12-30T00:00:00"/>
    <s v="001-00011162"/>
    <n v="1264.0118364"/>
    <n v="0"/>
    <n v="0"/>
    <n v="0"/>
    <n v="0"/>
    <n v="146.25"/>
    <n v="92.966250000000002"/>
    <n v="0"/>
    <n v="239.21625"/>
    <n v="1024.7955864"/>
    <n v="0.81074840985563423"/>
    <x v="1"/>
    <s v="MEDIANO"/>
    <x v="9"/>
    <x v="0"/>
    <n v="11"/>
    <n v="1"/>
    <d v="2017-12-19T00:00:00"/>
    <s v="KIA"/>
    <s v="CERATO"/>
    <n v="0"/>
    <d v="2017-12-21T00:00:00"/>
    <n v="10"/>
    <x v="1"/>
  </r>
  <r>
    <d v="2017-12-30T00:00:00"/>
    <s v="001-00011185"/>
    <n v="594.48524399999997"/>
    <n v="0"/>
    <n v="0"/>
    <n v="0"/>
    <n v="0"/>
    <n v="33.637499999999996"/>
    <n v="77.471874999999997"/>
    <n v="0"/>
    <n v="111.109375"/>
    <n v="483.37586899999997"/>
    <n v="0.81309986055768269"/>
    <x v="1"/>
    <s v="LEVE"/>
    <x v="9"/>
    <x v="0"/>
    <n v="10"/>
    <n v="1"/>
    <d v="2017-12-20T00:00:00"/>
    <s v="NISSAN"/>
    <s v="VERSA"/>
    <n v="634.27"/>
    <d v="2017-12-21T00:00:00"/>
    <n v="2.2999999999999998"/>
    <x v="1"/>
  </r>
  <r>
    <d v="2017-12-30T00:00:00"/>
    <s v="001-00011151"/>
    <n v="1503.6895079999999"/>
    <n v="0"/>
    <n v="0"/>
    <n v="0"/>
    <n v="0"/>
    <n v="190.125"/>
    <n v="216.92125000000001"/>
    <n v="0"/>
    <n v="407.04624999999999"/>
    <n v="1096.6432580000001"/>
    <n v="0.72930166245464023"/>
    <x v="1"/>
    <s v="MEDIANO"/>
    <x v="9"/>
    <x v="0"/>
    <n v="12"/>
    <n v="1"/>
    <d v="2017-12-18T00:00:00"/>
    <s v="CHEVROLET"/>
    <s v="SAIL"/>
    <n v="842.14"/>
    <d v="2017-12-19T00:00:00"/>
    <n v="13"/>
    <x v="1"/>
  </r>
  <r>
    <d v="2017-12-30T00:00:00"/>
    <s v="001-00011130"/>
    <n v="836.13805920300013"/>
    <n v="0.50800001999999989"/>
    <n v="0"/>
    <n v="72.03"/>
    <n v="0"/>
    <n v="58.5"/>
    <n v="123.955"/>
    <n v="0"/>
    <n v="254.99300002000001"/>
    <n v="581.14505918300006"/>
    <n v="0.69503481247695231"/>
    <x v="1"/>
    <s v="LEVE"/>
    <x v="9"/>
    <x v="0"/>
    <n v="15"/>
    <n v="1"/>
    <d v="2017-12-15T00:00:00"/>
    <s v="CHEVROLET"/>
    <s v="CRUZE"/>
    <n v="48.945"/>
    <d v="2017-12-14T00:00:00"/>
    <n v="4"/>
    <x v="1"/>
  </r>
  <r>
    <d v="2017-12-01T00:00:00"/>
    <s v="001-00010998"/>
    <n v="194.09999400000001"/>
    <n v="0"/>
    <n v="0"/>
    <n v="0"/>
    <n v="0"/>
    <n v="0"/>
    <n v="61.977499999999999"/>
    <n v="0"/>
    <n v="61.977499999999999"/>
    <n v="132.12249400000002"/>
    <n v="0.68069293191219782"/>
    <x v="0"/>
    <s v="-"/>
    <x v="9"/>
    <x v="0"/>
    <n v="3"/>
    <n v="1"/>
    <d v="2017-11-28T00:00:00"/>
    <s v="MITSUBISHI"/>
    <s v="MIRAGE"/>
    <n v="0"/>
    <d v="2017-11-28T00:00:00"/>
    <n v="0"/>
    <x v="640"/>
  </r>
  <r>
    <d v="2017-12-01T00:00:00"/>
    <s v="001-00011030"/>
    <n v="338.98309"/>
    <n v="0"/>
    <n v="264.22499999999997"/>
    <n v="0"/>
    <n v="0"/>
    <n v="0"/>
    <n v="0"/>
    <n v="0"/>
    <n v="264.22499999999997"/>
    <n v="74.758090000000038"/>
    <n v="0.22053634002805284"/>
    <x v="0"/>
    <s v="-"/>
    <x v="9"/>
    <x v="0"/>
    <n v="0"/>
    <n v="1"/>
    <d v="2017-12-01T00:00:00"/>
    <s v="MITSUBISHI"/>
    <s v="MIRAGE"/>
    <n v="340.01499999999999"/>
    <d v="2017-12-01T00:00:00"/>
    <n v="0"/>
    <x v="640"/>
  </r>
  <r>
    <d v="2017-12-01T00:00:00"/>
    <s v="001-00010510"/>
    <n v="84.754204000000016"/>
    <n v="51.916398000000001"/>
    <n v="0"/>
    <n v="0"/>
    <n v="14.625"/>
    <n v="0"/>
    <n v="0"/>
    <n v="0"/>
    <n v="66.541398000000001"/>
    <n v="18.212806000000015"/>
    <n v="0.21488970623805295"/>
    <x v="0"/>
    <s v="-"/>
    <x v="9"/>
    <x v="0"/>
    <n v="66"/>
    <n v="1"/>
    <d v="2017-09-26T00:00:00"/>
    <s v="KIA"/>
    <s v="RIO"/>
    <n v="0"/>
    <d v="2017-09-28T00:00:00"/>
    <n v="0"/>
    <x v="641"/>
  </r>
  <r>
    <d v="2017-12-01T00:00:00"/>
    <s v="001-00011026"/>
    <n v="84.754204000000016"/>
    <n v="51.735800000000005"/>
    <n v="0"/>
    <n v="0"/>
    <n v="39.048749999999998"/>
    <n v="0"/>
    <n v="0"/>
    <n v="0"/>
    <n v="90.784549999999996"/>
    <n v="-6.0303459999999802"/>
    <n v="-7.1150995648545989E-2"/>
    <x v="0"/>
    <s v="-"/>
    <x v="9"/>
    <x v="0"/>
    <n v="0"/>
    <n v="1"/>
    <d v="2017-12-01T00:00:00"/>
    <s v="KIA"/>
    <s v="RIO"/>
    <n v="0"/>
    <d v="2017-12-01T00:00:00"/>
    <n v="0"/>
    <x v="641"/>
  </r>
  <r>
    <d v="2017-12-01T00:00:00"/>
    <s v="001-00011023"/>
    <n v="444"/>
    <n v="219.96384775000001"/>
    <n v="0"/>
    <n v="0"/>
    <n v="39.048749999999998"/>
    <n v="0"/>
    <n v="0"/>
    <n v="0"/>
    <n v="259.01259775"/>
    <n v="184.98740225"/>
    <n v="0.41663829335585584"/>
    <x v="0"/>
    <s v="-"/>
    <x v="9"/>
    <x v="0"/>
    <n v="1"/>
    <n v="1"/>
    <d v="2017-11-30T00:00:00"/>
    <s v="FORD"/>
    <s v="ECOSPORT"/>
    <n v="35.1"/>
    <d v="2017-11-30T00:00:00"/>
    <n v="0"/>
    <x v="642"/>
  </r>
  <r>
    <d v="2017-12-02T00:00:00"/>
    <s v="001-00011006"/>
    <n v="129.39999599999999"/>
    <n v="0"/>
    <n v="0"/>
    <n v="0"/>
    <n v="8.7749999999999986"/>
    <n v="0"/>
    <n v="30.98875"/>
    <n v="0"/>
    <n v="39.763750000000002"/>
    <n v="89.636245999999986"/>
    <n v="0.69270671383946558"/>
    <x v="0"/>
    <s v="-"/>
    <x v="9"/>
    <x v="0"/>
    <n v="3"/>
    <n v="1"/>
    <d v="2017-11-29T00:00:00"/>
    <s v="KIA"/>
    <s v="RIO"/>
    <n v="0"/>
    <d v="2017-11-29T00:00:00"/>
    <n v="0"/>
    <x v="247"/>
  </r>
  <r>
    <d v="2017-12-02T00:00:00"/>
    <s v="001-00011022"/>
    <n v="850"/>
    <n v="111.82780000000001"/>
    <n v="0"/>
    <n v="0"/>
    <n v="53.673749999999998"/>
    <n v="0"/>
    <n v="0"/>
    <n v="0"/>
    <n v="165.50155000000001"/>
    <n v="684.49845000000005"/>
    <n v="0.80529229411764713"/>
    <x v="0"/>
    <s v="-"/>
    <x v="9"/>
    <x v="0"/>
    <n v="2"/>
    <n v="1"/>
    <d v="2017-11-30T00:00:00"/>
    <s v="KIA"/>
    <s v="SORENTO"/>
    <n v="100.295"/>
    <d v="2017-11-30T00:00:00"/>
    <n v="0"/>
    <x v="210"/>
  </r>
  <r>
    <d v="2017-12-04T00:00:00"/>
    <s v="001-00011018"/>
    <n v="144.06779000000003"/>
    <n v="80.321999000000019"/>
    <n v="0"/>
    <n v="0"/>
    <n v="0"/>
    <n v="0"/>
    <n v="0"/>
    <n v="0"/>
    <n v="80.321999000000019"/>
    <n v="63.745791000000011"/>
    <n v="0.44247080488983692"/>
    <x v="0"/>
    <s v="-"/>
    <x v="9"/>
    <x v="0"/>
    <n v="5"/>
    <n v="1"/>
    <d v="2017-11-29T00:00:00"/>
    <s v="CHEVROLET"/>
    <s v="SAIL"/>
    <n v="0"/>
    <d v="2017-11-29T00:00:00"/>
    <n v="0"/>
    <x v="643"/>
  </r>
  <r>
    <d v="2017-12-04T00:00:00"/>
    <s v="001-00010945"/>
    <n v="2465.0846558871813"/>
    <n v="0"/>
    <n v="0"/>
    <n v="0"/>
    <n v="0"/>
    <n v="321.75"/>
    <n v="387.359375"/>
    <n v="0"/>
    <n v="709.109375"/>
    <n v="1755.9752808871813"/>
    <n v="0.71233873315202945"/>
    <x v="0"/>
    <s v="MEDIANO"/>
    <x v="9"/>
    <x v="0"/>
    <n v="13"/>
    <n v="1"/>
    <d v="2017-11-21T00:00:00"/>
    <s v="SUZUKI"/>
    <s v="CIAZ"/>
    <n v="0"/>
    <d v="2017-11-21T00:00:00"/>
    <n v="22"/>
    <x v="644"/>
  </r>
  <r>
    <d v="2017-12-05T00:00:00"/>
    <s v="001-00011033"/>
    <n v="226.24000699999999"/>
    <n v="0"/>
    <n v="0"/>
    <n v="0"/>
    <n v="0"/>
    <n v="14.625"/>
    <n v="61.977499999999999"/>
    <n v="0"/>
    <n v="76.602499999999992"/>
    <n v="149.637507"/>
    <n v="0.6614104595567839"/>
    <x v="0"/>
    <s v="LEVE"/>
    <x v="9"/>
    <x v="0"/>
    <n v="1"/>
    <n v="1"/>
    <d v="2017-12-04T00:00:00"/>
    <s v="MAZDA"/>
    <s v="MAZDA 3"/>
    <n v="0"/>
    <d v="2017-12-04T00:00:00"/>
    <n v="1"/>
    <x v="254"/>
  </r>
  <r>
    <d v="2017-12-06T00:00:00"/>
    <s v="001-00011007"/>
    <n v="2709"/>
    <n v="1002.62525539"/>
    <n v="0"/>
    <n v="0"/>
    <n v="107.3475"/>
    <n v="0"/>
    <n v="0"/>
    <n v="0"/>
    <n v="1109.97275539"/>
    <n v="1599.02724461"/>
    <n v="0.59026476360649682"/>
    <x v="0"/>
    <s v="-"/>
    <x v="9"/>
    <x v="0"/>
    <n v="7"/>
    <n v="1"/>
    <d v="2017-11-29T00:00:00"/>
    <s v="HYUNDAI"/>
    <s v="I10"/>
    <n v="1734.33"/>
    <d v="2017-11-29T00:00:00"/>
    <n v="0"/>
    <x v="645"/>
  </r>
  <r>
    <d v="2017-12-06T00:00:00"/>
    <s v="001-00011020"/>
    <n v="323.60001"/>
    <n v="0"/>
    <n v="0"/>
    <n v="0"/>
    <n v="0"/>
    <n v="43.875"/>
    <n v="61.977499999999999"/>
    <n v="0"/>
    <n v="105.85249999999999"/>
    <n v="217.74751000000001"/>
    <n v="0.67289092481795665"/>
    <x v="0"/>
    <s v="LEVE"/>
    <x v="9"/>
    <x v="0"/>
    <n v="6"/>
    <n v="1"/>
    <d v="2017-11-30T00:00:00"/>
    <s v="HYUNDAI"/>
    <s v="CRETA"/>
    <n v="0"/>
    <d v="2017-11-30T00:00:00"/>
    <n v="3"/>
    <x v="646"/>
  </r>
  <r>
    <d v="2017-12-06T00:00:00"/>
    <s v="001-00011061"/>
    <n v="164.54251508474999"/>
    <n v="0"/>
    <n v="0"/>
    <n v="0"/>
    <n v="0"/>
    <n v="0"/>
    <n v="0"/>
    <n v="0"/>
    <n v="0"/>
    <n v="164.54251508474999"/>
    <n v="1"/>
    <x v="0"/>
    <s v="-"/>
    <x v="9"/>
    <x v="0"/>
    <n v="0"/>
    <n v="1"/>
    <d v="2017-12-06T00:00:00"/>
    <s v="DAIHATSU"/>
    <s v="TERIOS"/>
    <n v="165.26250000000002"/>
    <d v="2017-12-06T00:00:00"/>
    <n v="0"/>
    <x v="647"/>
  </r>
  <r>
    <d v="2017-12-07T00:00:00"/>
    <s v="001-00010947"/>
    <n v="276.28809000000007"/>
    <n v="0.5272"/>
    <n v="0"/>
    <n v="0"/>
    <n v="0"/>
    <n v="80.4375"/>
    <n v="0"/>
    <n v="0"/>
    <n v="80.964699999999993"/>
    <n v="195.32339000000007"/>
    <n v="0.70695551878475837"/>
    <x v="0"/>
    <s v="LEVE"/>
    <x v="9"/>
    <x v="0"/>
    <n v="16"/>
    <n v="1"/>
    <d v="2017-11-21T00:00:00"/>
    <s v="TOYOTA"/>
    <s v="YARIS"/>
    <n v="0"/>
    <d v="2017-11-21T00:00:00"/>
    <n v="5.5"/>
    <x v="648"/>
  </r>
  <r>
    <d v="2017-12-07T00:00:00"/>
    <s v="001-00011065"/>
    <n v="654.06902015000003"/>
    <n v="0"/>
    <n v="0"/>
    <n v="0"/>
    <n v="0"/>
    <n v="73.125"/>
    <n v="142.54825"/>
    <n v="0"/>
    <n v="215.67325"/>
    <n v="438.39577015000003"/>
    <n v="0.67025918770691983"/>
    <x v="0"/>
    <s v="LEVE"/>
    <x v="9"/>
    <x v="0"/>
    <n v="0"/>
    <n v="1"/>
    <d v="2017-12-07T00:00:00"/>
    <s v="MAZDA"/>
    <s v="MAZDA 3"/>
    <n v="0"/>
    <d v="2017-12-07T00:00:00"/>
    <n v="5"/>
    <x v="254"/>
  </r>
  <r>
    <d v="2017-12-07T00:00:00"/>
    <s v="001-00011064"/>
    <n v="840"/>
    <n v="159.954397"/>
    <n v="0"/>
    <n v="0"/>
    <n v="53.673749999999998"/>
    <n v="0"/>
    <n v="0"/>
    <n v="0"/>
    <n v="213.62814700000001"/>
    <n v="626.37185299999999"/>
    <n v="0.7456807773809524"/>
    <x v="0"/>
    <s v="-"/>
    <x v="9"/>
    <x v="0"/>
    <n v="0"/>
    <n v="1"/>
    <d v="2017-12-07T00:00:00"/>
    <s v="KIA"/>
    <s v="RIO"/>
    <n v="200.59"/>
    <d v="2017-12-07T00:00:00"/>
    <n v="0"/>
    <x v="305"/>
  </r>
  <r>
    <d v="2017-12-09T00:00:00"/>
    <s v="001-00011045"/>
    <n v="323.77247023884991"/>
    <n v="0"/>
    <n v="0"/>
    <n v="103.28389830508476"/>
    <n v="0"/>
    <n v="0"/>
    <n v="61.977499999999999"/>
    <n v="0"/>
    <n v="165.26139830508475"/>
    <n v="158.51107193376515"/>
    <n v="0.4895755090506308"/>
    <x v="0"/>
    <s v="LEVE"/>
    <x v="9"/>
    <x v="0"/>
    <n v="5"/>
    <n v="1"/>
    <d v="2017-12-04T00:00:00"/>
    <s v="SUZUKI"/>
    <s v="GRAND N."/>
    <n v="0"/>
    <d v="2017-12-04T00:00:00"/>
    <n v="0"/>
    <x v="649"/>
  </r>
  <r>
    <d v="2017-12-11T00:00:00"/>
    <s v="001-00011072"/>
    <n v="118.64410000000002"/>
    <n v="42.369998999999986"/>
    <n v="0"/>
    <n v="0"/>
    <n v="0"/>
    <n v="0"/>
    <n v="0"/>
    <n v="0"/>
    <n v="42.369998999999986"/>
    <n v="76.27410100000003"/>
    <n v="0.64288153393215519"/>
    <x v="0"/>
    <s v="-"/>
    <x v="9"/>
    <x v="0"/>
    <n v="2"/>
    <n v="1"/>
    <d v="2017-12-09T00:00:00"/>
    <s v="MAZDA"/>
    <s v="MAZDA 3"/>
    <n v="118.9825"/>
    <d v="2017-12-09T00:00:00"/>
    <n v="0"/>
    <x v="600"/>
  </r>
  <r>
    <d v="2017-12-12T00:00:00"/>
    <s v="001-00011073"/>
    <n v="1254"/>
    <n v="434.03054734999989"/>
    <n v="0"/>
    <n v="0"/>
    <n v="68.298749999999998"/>
    <n v="0"/>
    <n v="0"/>
    <n v="0"/>
    <n v="502.32929734999988"/>
    <n v="751.67070265000007"/>
    <n v="0.59941842316586924"/>
    <x v="0"/>
    <s v="-"/>
    <x v="9"/>
    <x v="0"/>
    <n v="3"/>
    <n v="1"/>
    <d v="2017-12-09T00:00:00"/>
    <s v="MAZDA"/>
    <s v="MAZDA 3"/>
    <n v="625.91750000000002"/>
    <d v="2017-12-09T00:00:00"/>
    <n v="0"/>
    <x v="650"/>
  </r>
  <r>
    <d v="2017-12-12T00:00:00"/>
    <s v="001-00011100"/>
    <n v="249"/>
    <n v="65.788000000000011"/>
    <n v="0"/>
    <n v="0"/>
    <n v="39.048749999999998"/>
    <n v="0"/>
    <n v="0"/>
    <n v="0"/>
    <n v="104.83675000000001"/>
    <n v="144.16325000000001"/>
    <n v="0.57896887550200804"/>
    <x v="0"/>
    <s v="-"/>
    <x v="9"/>
    <x v="0"/>
    <n v="0"/>
    <n v="1"/>
    <d v="2017-12-12T00:00:00"/>
    <s v="RENAULT"/>
    <s v="LOGAN"/>
    <n v="0"/>
    <d v="2017-12-12T00:00:00"/>
    <n v="0"/>
    <x v="243"/>
  </r>
  <r>
    <d v="2017-12-12T00:00:00"/>
    <s v="001-00011066"/>
    <n v="25.423700000000004"/>
    <n v="0"/>
    <n v="0"/>
    <n v="0"/>
    <n v="0"/>
    <n v="0"/>
    <n v="0"/>
    <n v="0"/>
    <n v="0"/>
    <n v="25.423700000000004"/>
    <n v="1"/>
    <x v="0"/>
    <s v="-"/>
    <x v="9"/>
    <x v="0"/>
    <n v="5"/>
    <n v="1"/>
    <d v="2017-12-07T00:00:00"/>
    <s v="KIA"/>
    <s v="CERATO"/>
    <n v="0"/>
    <d v="2017-12-07T00:00:00"/>
    <n v="0"/>
    <x v="651"/>
  </r>
  <r>
    <d v="2017-12-13T00:00:00"/>
    <s v="001-00011041"/>
    <n v="3825.6103206203397"/>
    <n v="1702.9769899000003"/>
    <n v="0"/>
    <n v="0"/>
    <n v="0"/>
    <n v="131.625"/>
    <n v="309.88749999999999"/>
    <n v="0"/>
    <n v="2144.4894899000001"/>
    <n v="1681.1208307203397"/>
    <n v="0.43943859667540275"/>
    <x v="0"/>
    <s v="LEVE"/>
    <x v="9"/>
    <x v="0"/>
    <n v="9"/>
    <n v="1"/>
    <d v="2017-12-04T00:00:00"/>
    <s v="VOLKSWAGUEN"/>
    <s v="CROSSFOX"/>
    <n v="2301"/>
    <d v="2017-12-04T00:00:00"/>
    <n v="9"/>
    <x v="652"/>
  </r>
  <r>
    <d v="2017-12-13T00:00:00"/>
    <s v="001-00011111"/>
    <n v="253.38979999999995"/>
    <n v="0"/>
    <n v="0"/>
    <n v="0"/>
    <n v="0"/>
    <n v="0"/>
    <n v="0"/>
    <n v="0"/>
    <n v="0"/>
    <n v="253.38979999999995"/>
    <n v="1"/>
    <x v="0"/>
    <s v="-"/>
    <x v="9"/>
    <x v="0"/>
    <n v="0"/>
    <n v="1"/>
    <d v="2017-12-13T00:00:00"/>
    <s v="DIM"/>
    <s v="MOCHE"/>
    <n v="0"/>
    <d v="2017-12-13T00:00:00"/>
    <n v="0"/>
    <x v="653"/>
  </r>
  <r>
    <d v="2017-12-13T00:00:00"/>
    <s v="001-00011040"/>
    <n v="857.54002650000007"/>
    <n v="0"/>
    <n v="0"/>
    <n v="55.084745762711869"/>
    <n v="0"/>
    <n v="43.875"/>
    <n v="185.9325"/>
    <n v="0"/>
    <n v="284.89224576271187"/>
    <n v="572.64778073728826"/>
    <n v="0.66777965230907876"/>
    <x v="0"/>
    <s v="LEVE"/>
    <x v="9"/>
    <x v="0"/>
    <n v="9"/>
    <n v="1"/>
    <d v="2017-12-04T00:00:00"/>
    <s v="MITSUBISHI"/>
    <s v="ASX"/>
    <n v="0"/>
    <d v="2017-12-04T00:00:00"/>
    <n v="3"/>
    <x v="654"/>
  </r>
  <r>
    <d v="2017-12-13T00:00:00"/>
    <s v="001-00011113"/>
    <n v="600"/>
    <n v="107.86574874999999"/>
    <n v="0"/>
    <n v="0"/>
    <n v="39.048749999999998"/>
    <n v="0"/>
    <n v="0"/>
    <n v="0"/>
    <n v="146.91449875000001"/>
    <n v="453.08550124999999"/>
    <n v="0.75514250208333333"/>
    <x v="0"/>
    <s v="-"/>
    <x v="9"/>
    <x v="0"/>
    <n v="0"/>
    <n v="1"/>
    <d v="2017-12-13T00:00:00"/>
    <s v="MAZDA"/>
    <s v="MAZDA 3"/>
    <n v="0"/>
    <d v="2017-12-13T00:00:00"/>
    <n v="0"/>
    <x v="212"/>
  </r>
  <r>
    <d v="2017-12-14T00:00:00"/>
    <s v="001-00011120"/>
    <n v="249"/>
    <n v="54.268000000000008"/>
    <n v="0"/>
    <n v="0"/>
    <n v="39.048749999999998"/>
    <n v="0"/>
    <n v="0"/>
    <n v="0"/>
    <n v="93.316750000000013"/>
    <n v="155.68324999999999"/>
    <n v="0.62523393574297181"/>
    <x v="0"/>
    <s v="-"/>
    <x v="9"/>
    <x v="0"/>
    <n v="1"/>
    <n v="1"/>
    <d v="2017-12-13T00:00:00"/>
    <s v="HYUNDAI"/>
    <s v="I10"/>
    <n v="0"/>
    <d v="2017-12-14T00:00:00"/>
    <n v="0"/>
    <x v="586"/>
  </r>
  <r>
    <d v="2017-12-14T00:00:00"/>
    <s v="001-00011121"/>
    <n v="349"/>
    <n v="127.66830099999999"/>
    <n v="0"/>
    <n v="0"/>
    <n v="39.048749999999998"/>
    <n v="0"/>
    <n v="0"/>
    <n v="0"/>
    <n v="166.71705099999997"/>
    <n v="182.28294900000003"/>
    <n v="0.52230071346704876"/>
    <x v="0"/>
    <s v="-"/>
    <x v="9"/>
    <x v="0"/>
    <n v="1"/>
    <n v="1"/>
    <d v="2017-12-13T00:00:00"/>
    <s v="HYUNDAI"/>
    <s v="ACCENT"/>
    <n v="0"/>
    <d v="2017-12-14T00:00:00"/>
    <n v="0"/>
    <x v="195"/>
  </r>
  <r>
    <d v="2017-12-14T00:00:00"/>
    <s v="001-00011112"/>
    <n v="1030.2711099999999"/>
    <n v="615.66399799999999"/>
    <n v="0"/>
    <n v="0"/>
    <n v="43.875"/>
    <n v="0"/>
    <n v="0"/>
    <n v="0"/>
    <n v="659.53899799999999"/>
    <n v="370.73211199999992"/>
    <n v="0.35983937470594507"/>
    <x v="0"/>
    <s v="-"/>
    <x v="9"/>
    <x v="0"/>
    <n v="1"/>
    <n v="1"/>
    <d v="2017-12-13T00:00:00"/>
    <s v="KIA"/>
    <s v="CERATO"/>
    <n v="857.35"/>
    <d v="2017-12-13T00:00:00"/>
    <n v="0"/>
    <x v="356"/>
  </r>
  <r>
    <d v="2017-12-15T00:00:00"/>
    <s v="001-00011117"/>
    <n v="100"/>
    <n v="0"/>
    <n v="0"/>
    <n v="0"/>
    <n v="0"/>
    <n v="0"/>
    <n v="0"/>
    <n v="0"/>
    <n v="0"/>
    <n v="100"/>
    <n v="1"/>
    <x v="0"/>
    <s v="-"/>
    <x v="9"/>
    <x v="0"/>
    <n v="2"/>
    <n v="1"/>
    <d v="2017-12-13T00:00:00"/>
    <s v="NISSAN"/>
    <s v="SENTRA"/>
    <n v="0"/>
    <d v="2017-12-13T00:00:00"/>
    <n v="0"/>
    <x v="410"/>
  </r>
  <r>
    <d v="2017-12-15T00:00:00"/>
    <s v="001-00011119"/>
    <n v="733"/>
    <n v="232.80074475000004"/>
    <n v="82.360800000000012"/>
    <n v="0"/>
    <n v="39.048749999999998"/>
    <n v="0"/>
    <n v="0"/>
    <n v="0"/>
    <n v="354.21029475000006"/>
    <n v="378.78970524999994"/>
    <n v="0.51676631002728501"/>
    <x v="0"/>
    <s v="-"/>
    <x v="9"/>
    <x v="0"/>
    <n v="1"/>
    <n v="1"/>
    <d v="2017-12-14T00:00:00"/>
    <s v="JEEP"/>
    <s v="COMPASS"/>
    <n v="0"/>
    <d v="2017-12-14T00:00:00"/>
    <n v="0"/>
    <x v="655"/>
  </r>
  <r>
    <d v="2017-12-15T00:00:00"/>
    <s v="001-00011110"/>
    <n v="508"/>
    <n v="0"/>
    <n v="0"/>
    <n v="0"/>
    <n v="0"/>
    <n v="102.375"/>
    <n v="61.977499999999999"/>
    <n v="0"/>
    <n v="164.35249999999999"/>
    <n v="343.64750000000004"/>
    <n v="0.67647145669291342"/>
    <x v="0"/>
    <s v="LEVE"/>
    <x v="9"/>
    <x v="0"/>
    <n v="3"/>
    <n v="1"/>
    <d v="2017-12-12T00:00:00"/>
    <s v="TOYOTA"/>
    <s v="YARIS"/>
    <n v="0"/>
    <d v="2017-12-12T00:00:00"/>
    <n v="7"/>
    <x v="365"/>
  </r>
  <r>
    <d v="2017-12-15T00:00:00"/>
    <s v="001-00011095"/>
    <n v="424.90917607560004"/>
    <n v="0"/>
    <n v="0"/>
    <n v="0"/>
    <n v="0"/>
    <n v="14.625"/>
    <n v="92.966250000000002"/>
    <n v="0"/>
    <n v="107.59125"/>
    <n v="317.31792607560004"/>
    <n v="0.74679000582266242"/>
    <x v="0"/>
    <s v="LEVE"/>
    <x v="9"/>
    <x v="0"/>
    <n v="4"/>
    <n v="1"/>
    <d v="2017-12-11T00:00:00"/>
    <s v="SUZUKI"/>
    <s v="ERTIGA"/>
    <n v="0"/>
    <d v="2017-12-11T00:00:00"/>
    <n v="1"/>
    <x v="656"/>
  </r>
  <r>
    <d v="2017-12-15T00:00:00"/>
    <s v="001-00011099"/>
    <n v="1178.983101"/>
    <n v="233.665097"/>
    <n v="0"/>
    <n v="0"/>
    <n v="53.673749999999998"/>
    <n v="21.9375"/>
    <n v="61.977499999999999"/>
    <n v="0"/>
    <n v="371.25384700000001"/>
    <n v="807.72925400000008"/>
    <n v="0.68510672741186307"/>
    <x v="0"/>
    <s v="LEVE"/>
    <x v="9"/>
    <x v="0"/>
    <n v="4"/>
    <n v="1"/>
    <d v="2017-12-11T00:00:00"/>
    <s v="CHEVROLET"/>
    <s v="CRUZE"/>
    <n v="190.45000000000002"/>
    <d v="2017-12-11T00:00:00"/>
    <n v="1.5"/>
    <x v="657"/>
  </r>
  <r>
    <d v="2017-12-15T00:00:00"/>
    <s v="001-00011128"/>
    <n v="349"/>
    <n v="114.93800000000002"/>
    <n v="0"/>
    <n v="0"/>
    <n v="39.048749999999998"/>
    <n v="0"/>
    <n v="0"/>
    <n v="0"/>
    <n v="153.98675000000003"/>
    <n v="195.01324999999997"/>
    <n v="0.55877722063037238"/>
    <x v="0"/>
    <s v="-"/>
    <x v="9"/>
    <x v="0"/>
    <n v="1"/>
    <n v="1"/>
    <d v="2017-12-14T00:00:00"/>
    <s v="RENAULT"/>
    <s v="LOGAN"/>
    <n v="0"/>
    <d v="2017-12-15T00:00:00"/>
    <n v="0"/>
    <x v="658"/>
  </r>
  <r>
    <d v="2017-12-16T00:00:00"/>
    <s v="001-00011075"/>
    <n v="356.84000000000003"/>
    <n v="0"/>
    <n v="0"/>
    <n v="0"/>
    <n v="0"/>
    <n v="14.625"/>
    <n v="61.977499999999999"/>
    <n v="0"/>
    <n v="76.602499999999992"/>
    <n v="280.23750000000007"/>
    <n v="0.78533096065463526"/>
    <x v="0"/>
    <s v="LEVE"/>
    <x v="9"/>
    <x v="0"/>
    <n v="7"/>
    <n v="1"/>
    <d v="2017-12-09T00:00:00"/>
    <s v="MITSUBISHI"/>
    <s v="MIRAGE"/>
    <n v="0"/>
    <d v="2017-12-09T00:00:00"/>
    <n v="1"/>
    <x v="659"/>
  </r>
  <r>
    <d v="2017-12-16T00:00:00"/>
    <s v="001-00011131"/>
    <n v="118.64409600000002"/>
    <n v="0"/>
    <n v="0"/>
    <n v="0"/>
    <n v="0"/>
    <n v="14.625"/>
    <n v="0"/>
    <n v="0"/>
    <n v="14.625"/>
    <n v="104.01909600000002"/>
    <n v="0.87673217215966648"/>
    <x v="0"/>
    <s v="LEVE"/>
    <x v="9"/>
    <x v="0"/>
    <n v="2"/>
    <n v="1"/>
    <d v="2017-12-14T00:00:00"/>
    <s v="MITSUBISHI"/>
    <s v="OUTLANDER"/>
    <n v="0"/>
    <d v="2017-12-15T00:00:00"/>
    <n v="1"/>
    <x v="660"/>
  </r>
  <r>
    <d v="2017-12-16T00:00:00"/>
    <s v="001-00011142"/>
    <n v="450"/>
    <n v="97.450599999999994"/>
    <n v="0"/>
    <n v="0"/>
    <n v="39.048749999999998"/>
    <n v="0"/>
    <n v="0"/>
    <n v="0"/>
    <n v="136.49934999999999"/>
    <n v="313.50065000000001"/>
    <n v="0.69666811111111115"/>
    <x v="0"/>
    <s v="-"/>
    <x v="9"/>
    <x v="0"/>
    <n v="0"/>
    <n v="1"/>
    <d v="2017-12-16T00:00:00"/>
    <s v="SUZUKI"/>
    <s v="SWIFT"/>
    <n v="0"/>
    <d v="2017-12-16T00:00:00"/>
    <n v="0"/>
    <x v="263"/>
  </r>
  <r>
    <d v="2017-12-18T00:00:00"/>
    <s v="001-00011084"/>
    <n v="1484.5423448400002"/>
    <n v="0"/>
    <n v="1317.9348"/>
    <n v="0"/>
    <n v="0"/>
    <n v="0"/>
    <n v="0"/>
    <n v="0"/>
    <n v="1317.9348"/>
    <n v="166.60754484000017"/>
    <n v="0.11222821997573715"/>
    <x v="0"/>
    <s v="-"/>
    <x v="9"/>
    <x v="0"/>
    <n v="7"/>
    <n v="1"/>
    <d v="2017-12-11T00:00:00"/>
    <s v="KIA"/>
    <s v="SPORTAGE"/>
    <n v="1487.2974999999999"/>
    <d v="2017-12-11T00:00:00"/>
    <n v="0"/>
    <x v="661"/>
  </r>
  <r>
    <d v="2017-12-18T00:00:00"/>
    <s v="001-00011082"/>
    <n v="2528.6979999999999"/>
    <n v="0.57669996999999995"/>
    <n v="0"/>
    <n v="0"/>
    <n v="0"/>
    <n v="241.3125"/>
    <n v="526.80875000000003"/>
    <n v="0"/>
    <n v="768.69794997000008"/>
    <n v="1760.0000500299998"/>
    <n v="0.69601037768448426"/>
    <x v="0"/>
    <s v="MEDIANO"/>
    <x v="9"/>
    <x v="0"/>
    <n v="9"/>
    <n v="1"/>
    <d v="2017-12-09T00:00:00"/>
    <s v="CHEVROLET"/>
    <s v="AVEO"/>
    <n v="0"/>
    <d v="2017-12-09T00:00:00"/>
    <n v="16.5"/>
    <x v="662"/>
  </r>
  <r>
    <d v="2017-12-19T00:00:00"/>
    <s v="001-00011132"/>
    <n v="1416.6016999999999"/>
    <n v="635.86200210000004"/>
    <n v="0"/>
    <n v="0"/>
    <n v="78.097499999999997"/>
    <n v="0"/>
    <n v="0"/>
    <n v="0"/>
    <n v="713.95950210000001"/>
    <n v="702.64219789999993"/>
    <n v="0.4960054741569207"/>
    <x v="0"/>
    <s v="-"/>
    <x v="9"/>
    <x v="0"/>
    <n v="5"/>
    <n v="1"/>
    <d v="2017-12-14T00:00:00"/>
    <s v="VOLKSWAGUEN"/>
    <s v="GOL"/>
    <n v="897.74750000000006"/>
    <d v="2017-12-15T00:00:00"/>
    <n v="0"/>
    <x v="663"/>
  </r>
  <r>
    <d v="2017-12-19T00:00:00"/>
    <s v="001-00011158"/>
    <n v="499"/>
    <n v="71.718001000000001"/>
    <n v="0"/>
    <n v="0"/>
    <n v="53.673749999999998"/>
    <n v="0"/>
    <n v="0"/>
    <n v="0"/>
    <n v="125.391751"/>
    <n v="373.608249"/>
    <n v="0.74871392585170338"/>
    <x v="0"/>
    <s v="-"/>
    <x v="9"/>
    <x v="0"/>
    <n v="0"/>
    <n v="1"/>
    <d v="2017-12-19T00:00:00"/>
    <s v="KIA"/>
    <s v="SPORTAGE"/>
    <n v="90.252499999999998"/>
    <d v="2017-12-19T00:00:00"/>
    <n v="0"/>
    <x v="165"/>
  </r>
  <r>
    <d v="2017-12-21T00:00:00"/>
    <s v="001-00011172"/>
    <n v="500"/>
    <n v="154.42074675000003"/>
    <n v="0"/>
    <n v="0"/>
    <n v="39.048749999999998"/>
    <n v="0"/>
    <n v="0"/>
    <n v="0"/>
    <n v="193.46949675000002"/>
    <n v="306.53050324999998"/>
    <n v="0.61306100649999995"/>
    <x v="0"/>
    <s v="-"/>
    <x v="9"/>
    <x v="0"/>
    <n v="2"/>
    <n v="1"/>
    <d v="2017-12-19T00:00:00"/>
    <s v="KIA"/>
    <s v="SPORTAGE"/>
    <n v="0"/>
    <d v="2017-12-20T00:00:00"/>
    <n v="0"/>
    <x v="583"/>
  </r>
  <r>
    <d v="2017-12-21T00:00:00"/>
    <s v="001-00011190"/>
    <n v="400"/>
    <n v="62.060000000000009"/>
    <n v="0"/>
    <n v="0"/>
    <n v="39.048749999999998"/>
    <n v="0"/>
    <n v="0"/>
    <n v="0"/>
    <n v="101.10875000000001"/>
    <n v="298.89125000000001"/>
    <n v="0.74722812500000002"/>
    <x v="0"/>
    <s v="-"/>
    <x v="9"/>
    <x v="0"/>
    <n v="1"/>
    <n v="1"/>
    <d v="2017-12-20T00:00:00"/>
    <s v="KIA"/>
    <s v="SPORTAGE"/>
    <n v="0"/>
    <d v="2017-12-21T00:00:00"/>
    <n v="0"/>
    <x v="664"/>
  </r>
  <r>
    <d v="2017-12-22T00:00:00"/>
    <s v="001-00011135"/>
    <n v="326.79998999999998"/>
    <n v="0"/>
    <n v="0"/>
    <n v="0"/>
    <n v="0"/>
    <n v="43.875"/>
    <n v="61.977499999999999"/>
    <n v="0"/>
    <n v="105.85249999999999"/>
    <n v="220.94748999999999"/>
    <n v="0.67609393133702356"/>
    <x v="0"/>
    <s v="LEVE"/>
    <x v="9"/>
    <x v="0"/>
    <n v="7"/>
    <n v="1"/>
    <d v="2017-12-15T00:00:00"/>
    <s v="KIA"/>
    <s v="CERATO"/>
    <n v="0"/>
    <d v="2017-12-15T00:00:00"/>
    <n v="3"/>
    <x v="665"/>
  </r>
  <r>
    <d v="2017-12-23T00:00:00"/>
    <s v="001-00011201"/>
    <n v="338.98309"/>
    <n v="0"/>
    <n v="261.65750000000003"/>
    <n v="0"/>
    <n v="0"/>
    <n v="0"/>
    <n v="0"/>
    <n v="0"/>
    <n v="261.65750000000003"/>
    <n v="77.325589999999977"/>
    <n v="0.22811046415324132"/>
    <x v="0"/>
    <s v="-"/>
    <x v="9"/>
    <x v="0"/>
    <n v="0"/>
    <n v="1"/>
    <d v="2017-12-23T00:00:00"/>
    <s v="VOLKSWAGUEN"/>
    <s v="GOL"/>
    <n v="340.01499999999999"/>
    <d v="2017-12-23T00:00:00"/>
    <n v="0"/>
    <x v="666"/>
  </r>
  <r>
    <d v="2017-12-23T00:00:00"/>
    <s v="001-00011189"/>
    <n v="1529"/>
    <n v="312.80950521999995"/>
    <n v="25.42"/>
    <n v="93.23"/>
    <n v="68.298749999999998"/>
    <n v="0"/>
    <n v="0"/>
    <n v="0"/>
    <n v="499.75825521999997"/>
    <n v="1029.2417447800001"/>
    <n v="0.67314698808371487"/>
    <x v="0"/>
    <s v="-"/>
    <x v="9"/>
    <x v="0"/>
    <n v="3"/>
    <n v="1"/>
    <d v="2017-12-20T00:00:00"/>
    <s v="CHEVROLET"/>
    <s v="SAIL"/>
    <n v="799.5"/>
    <d v="2017-12-21T00:00:00"/>
    <n v="0"/>
    <x v="667"/>
  </r>
  <r>
    <d v="2017-12-23T00:00:00"/>
    <s v="001-00011177"/>
    <n v="300"/>
    <n v="0"/>
    <n v="0"/>
    <n v="84.75"/>
    <n v="43.875"/>
    <n v="0"/>
    <n v="0"/>
    <n v="0"/>
    <n v="128.625"/>
    <n v="171.375"/>
    <n v="0.57125000000000004"/>
    <x v="0"/>
    <s v="-"/>
    <x v="9"/>
    <x v="0"/>
    <n v="4"/>
    <n v="1"/>
    <d v="2017-12-19T00:00:00"/>
    <s v="TOYOTA"/>
    <s v="YARIS"/>
    <n v="0"/>
    <d v="2017-12-20T00:00:00"/>
    <n v="0"/>
    <x v="668"/>
  </r>
  <r>
    <d v="2017-12-23T00:00:00"/>
    <s v="001-00011124"/>
    <n v="132.9357032001999"/>
    <n v="0"/>
    <n v="82.360800000000012"/>
    <n v="0"/>
    <n v="0"/>
    <n v="0"/>
    <n v="0"/>
    <n v="0"/>
    <n v="82.360800000000012"/>
    <n v="50.574903200199884"/>
    <n v="0.38044635100048751"/>
    <x v="0"/>
    <s v="-"/>
    <x v="9"/>
    <x v="0"/>
    <n v="9"/>
    <n v="1"/>
    <d v="2017-12-14T00:00:00"/>
    <s v="KIA"/>
    <s v="RIO"/>
    <n v="0"/>
    <d v="2017-12-14T00:00:00"/>
    <n v="0"/>
    <x v="669"/>
  </r>
  <r>
    <d v="2017-12-26T00:00:00"/>
    <s v="001-00011215"/>
    <n v="20"/>
    <n v="0"/>
    <n v="0"/>
    <n v="16.95"/>
    <n v="0"/>
    <n v="0"/>
    <n v="0"/>
    <n v="0"/>
    <n v="16.95"/>
    <n v="3.0500000000000007"/>
    <n v="0.15250000000000002"/>
    <x v="0"/>
    <s v="-"/>
    <x v="9"/>
    <x v="0"/>
    <n v="0"/>
    <n v="1"/>
    <d v="2017-12-26T00:00:00"/>
    <s v="KIA"/>
    <s v="RIO"/>
    <n v="0"/>
    <d v="2017-12-26T00:00:00"/>
    <n v="0"/>
    <x v="670"/>
  </r>
  <r>
    <d v="2017-12-26T00:00:00"/>
    <s v="001-00011203"/>
    <n v="350"/>
    <n v="49.138000500000011"/>
    <n v="0"/>
    <n v="0"/>
    <n v="39.048749999999998"/>
    <n v="0"/>
    <n v="0"/>
    <n v="0"/>
    <n v="88.186750500000016"/>
    <n v="261.81324949999998"/>
    <n v="0.74803785571428572"/>
    <x v="0"/>
    <s v="-"/>
    <x v="9"/>
    <x v="0"/>
    <n v="0"/>
    <n v="1"/>
    <d v="2017-12-26T00:00:00"/>
    <s v="SUZUKI"/>
    <s v="SX4"/>
    <n v="0"/>
    <d v="2017-12-26T00:00:00"/>
    <n v="0"/>
    <x v="671"/>
  </r>
  <r>
    <d v="2017-12-26T00:00:00"/>
    <s v="001-00011204"/>
    <n v="312.95250382772974"/>
    <n v="0"/>
    <n v="178.45920000000001"/>
    <n v="0"/>
    <n v="0"/>
    <n v="0"/>
    <n v="0"/>
    <n v="0"/>
    <n v="178.45920000000001"/>
    <n v="134.49330382772973"/>
    <n v="0.42975627989148141"/>
    <x v="0"/>
    <s v="-"/>
    <x v="9"/>
    <x v="0"/>
    <n v="0"/>
    <n v="1"/>
    <d v="2017-12-26T00:00:00"/>
    <s v="SUZUKI"/>
    <s v="SX4"/>
    <n v="311.22000000000003"/>
    <d v="2017-12-26T00:00:00"/>
    <n v="0"/>
    <x v="671"/>
  </r>
  <r>
    <d v="2017-12-26T00:00:00"/>
    <s v="001-00011219"/>
    <n v="60"/>
    <n v="0"/>
    <n v="0"/>
    <n v="0"/>
    <n v="14.625"/>
    <n v="0"/>
    <n v="0"/>
    <n v="0"/>
    <n v="14.625"/>
    <n v="45.375"/>
    <n v="0.75624999999999998"/>
    <x v="0"/>
    <s v="-"/>
    <x v="9"/>
    <x v="0"/>
    <n v="0"/>
    <n v="1"/>
    <d v="2017-12-26T00:00:00"/>
    <s v="HYUNDAI"/>
    <s v="I10"/>
    <n v="0"/>
    <d v="2017-12-26T00:00:00"/>
    <n v="0"/>
    <x v="672"/>
  </r>
  <r>
    <d v="2017-12-27T00:00:00"/>
    <s v="001-00011205"/>
    <n v="249"/>
    <n v="54.268000000000008"/>
    <n v="0"/>
    <n v="0"/>
    <n v="39.048749999999998"/>
    <n v="0"/>
    <n v="0"/>
    <n v="0"/>
    <n v="93.316750000000013"/>
    <n v="155.68324999999999"/>
    <n v="0.62523393574297181"/>
    <x v="0"/>
    <s v="-"/>
    <x v="9"/>
    <x v="0"/>
    <n v="1"/>
    <n v="1"/>
    <d v="2017-12-26T00:00:00"/>
    <s v="HYUNDAI"/>
    <s v="ACCENT"/>
    <n v="0"/>
    <d v="2017-12-26T00:00:00"/>
    <n v="0"/>
    <x v="316"/>
  </r>
  <r>
    <d v="2017-12-28T00:00:00"/>
    <s v="001-00011238"/>
    <n v="350"/>
    <n v="121.26424874999998"/>
    <n v="0"/>
    <n v="0"/>
    <n v="39.048749999999998"/>
    <n v="0"/>
    <n v="0"/>
    <n v="0"/>
    <n v="160.31299874999996"/>
    <n v="189.68700125000004"/>
    <n v="0.54196286071428579"/>
    <x v="0"/>
    <s v="-"/>
    <x v="9"/>
    <x v="0"/>
    <n v="0"/>
    <n v="1"/>
    <d v="2017-12-28T00:00:00"/>
    <s v="KIA"/>
    <s v="SOUL"/>
    <n v="0"/>
    <d v="2017-12-28T00:00:00"/>
    <n v="0"/>
    <x v="673"/>
  </r>
  <r>
    <d v="2017-12-28T00:00:00"/>
    <s v="001-00011212"/>
    <n v="1186.4321929999999"/>
    <n v="459.00799699999999"/>
    <n v="0"/>
    <n v="67.8"/>
    <n v="68.298749999999998"/>
    <n v="0"/>
    <n v="0"/>
    <n v="0"/>
    <n v="595.10674700000004"/>
    <n v="591.32544599999983"/>
    <n v="0.49840644032490433"/>
    <x v="0"/>
    <s v="-"/>
    <x v="9"/>
    <x v="0"/>
    <n v="2"/>
    <n v="1"/>
    <d v="2017-12-26T00:00:00"/>
    <s v="NISSAN"/>
    <s v="TIIDA"/>
    <n v="589.875"/>
    <d v="2017-12-26T00:00:00"/>
    <n v="0"/>
    <x v="674"/>
  </r>
  <r>
    <d v="2017-12-29T00:00:00"/>
    <s v="001-00011209"/>
    <n v="192.44056475600001"/>
    <n v="0"/>
    <n v="0"/>
    <n v="0"/>
    <n v="0"/>
    <n v="0"/>
    <n v="61.977499999999999"/>
    <n v="0"/>
    <n v="61.977499999999999"/>
    <n v="130.46306475600002"/>
    <n v="0.67793952341294184"/>
    <x v="0"/>
    <s v="-"/>
    <x v="9"/>
    <x v="0"/>
    <n v="3"/>
    <n v="1"/>
    <d v="2017-12-26T00:00:00"/>
    <s v="HYUNDAI"/>
    <s v="I10"/>
    <n v="0"/>
    <d v="2017-12-26T00:00:00"/>
    <n v="0"/>
    <x v="376"/>
  </r>
  <r>
    <d v="2017-12-29T00:00:00"/>
    <s v="001-00011233"/>
    <n v="98.398300000000006"/>
    <n v="0"/>
    <n v="0"/>
    <n v="0"/>
    <n v="0"/>
    <n v="29.25"/>
    <n v="0"/>
    <n v="0"/>
    <n v="29.25"/>
    <n v="69.148300000000006"/>
    <n v="0.70273876682828873"/>
    <x v="0"/>
    <s v="LEVE"/>
    <x v="9"/>
    <x v="0"/>
    <n v="1"/>
    <n v="1"/>
    <d v="2017-12-28T00:00:00"/>
    <s v="HYUNDAI"/>
    <s v="ACCENT"/>
    <n v="0"/>
    <d v="2017-12-28T00:00:00"/>
    <n v="2"/>
    <x v="191"/>
  </r>
  <r>
    <d v="2017-12-29T00:00:00"/>
    <s v="001-00011236"/>
    <n v="550"/>
    <n v="125.43074974999999"/>
    <n v="0"/>
    <n v="0"/>
    <n v="39.048749999999998"/>
    <n v="0"/>
    <n v="0"/>
    <n v="0"/>
    <n v="164.47949975"/>
    <n v="385.52050025"/>
    <n v="0.70094636409090905"/>
    <x v="0"/>
    <s v="-"/>
    <x v="9"/>
    <x v="0"/>
    <n v="1"/>
    <n v="1"/>
    <d v="2017-12-28T00:00:00"/>
    <s v="CHERY"/>
    <s v="TIGGO"/>
    <n v="0"/>
    <d v="2017-12-28T00:00:00"/>
    <n v="0"/>
    <x v="675"/>
  </r>
  <r>
    <d v="2017-12-29T00:00:00"/>
    <s v="001-00011155"/>
    <n v="2011.28"/>
    <n v="0"/>
    <n v="0"/>
    <n v="0"/>
    <n v="0"/>
    <n v="146.25"/>
    <n v="495.82"/>
    <n v="0"/>
    <n v="642.06999999999994"/>
    <n v="1369.21"/>
    <n v="0.68076548267769776"/>
    <x v="0"/>
    <s v="MEDIANO"/>
    <x v="9"/>
    <x v="0"/>
    <n v="11"/>
    <n v="1"/>
    <d v="2017-12-18T00:00:00"/>
    <s v="TOYOTA"/>
    <s v="YARIS"/>
    <n v="0"/>
    <d v="2017-12-18T00:00:00"/>
    <n v="10"/>
    <x v="676"/>
  </r>
  <r>
    <d v="2017-12-29T00:00:00"/>
    <s v="001-00011246"/>
    <n v="350"/>
    <n v="113.08149999999999"/>
    <n v="0"/>
    <n v="0"/>
    <n v="39.048749999999998"/>
    <n v="0"/>
    <n v="0"/>
    <n v="0"/>
    <n v="152.13024999999999"/>
    <n v="197.86975000000001"/>
    <n v="0.5653421428571429"/>
    <x v="0"/>
    <s v="-"/>
    <x v="9"/>
    <x v="0"/>
    <n v="0"/>
    <n v="1"/>
    <d v="2017-12-29T00:00:00"/>
    <s v="HYUNDAI"/>
    <s v="ACCENT"/>
    <n v="0"/>
    <d v="2017-12-29T00:00:00"/>
    <n v="0"/>
    <x v="185"/>
  </r>
  <r>
    <d v="2017-12-30T00:00:00"/>
    <s v="001-00011244"/>
    <n v="450"/>
    <n v="58.480748850000005"/>
    <n v="0"/>
    <n v="0"/>
    <n v="39.048749999999998"/>
    <n v="0"/>
    <n v="0"/>
    <n v="0"/>
    <n v="97.52949885000001"/>
    <n v="352.47050115000002"/>
    <n v="0.78326778033333333"/>
    <x v="0"/>
    <s v="-"/>
    <x v="9"/>
    <x v="0"/>
    <n v="1"/>
    <n v="1"/>
    <d v="2017-12-29T00:00:00"/>
    <s v="CHEVROLET"/>
    <s v="CAPTIVA"/>
    <n v="0"/>
    <d v="2017-12-29T00:00:00"/>
    <n v="0"/>
    <x v="673"/>
  </r>
  <r>
    <d v="2017-12-30T00:00:00"/>
    <s v="001-00011232"/>
    <n v="330.50850000000003"/>
    <n v="118.06"/>
    <n v="0"/>
    <n v="50.85"/>
    <n v="14.625"/>
    <n v="0"/>
    <n v="0"/>
    <n v="0"/>
    <n v="183.535"/>
    <n v="146.97350000000003"/>
    <n v="0.44468901707520386"/>
    <x v="0"/>
    <s v="-"/>
    <x v="9"/>
    <x v="0"/>
    <n v="3"/>
    <n v="1"/>
    <d v="2017-12-27T00:00:00"/>
    <s v="HYUNDAI"/>
    <s v="SANTA FE"/>
    <n v="0"/>
    <d v="2017-12-27T00:00:00"/>
    <n v="0"/>
    <x v="677"/>
  </r>
  <r>
    <d v="2017-12-30T00:00:00"/>
    <s v="001-00011168"/>
    <n v="2471.1865560000001"/>
    <n v="0"/>
    <n v="0"/>
    <n v="0"/>
    <n v="0"/>
    <n v="182.8125"/>
    <n v="464.83125000000001"/>
    <n v="0"/>
    <n v="647.64374999999995"/>
    <n v="1823.5428060000002"/>
    <n v="0.73792195153072049"/>
    <x v="0"/>
    <s v="MEDIANO"/>
    <x v="9"/>
    <x v="0"/>
    <n v="12"/>
    <n v="1"/>
    <d v="2017-12-18T00:00:00"/>
    <s v="HYUNDAI"/>
    <s v="SANTA FE"/>
    <n v="0"/>
    <d v="2017-12-19T00:00:00"/>
    <n v="12.5"/>
    <x v="677"/>
  </r>
  <r>
    <d v="2017-12-30T00:00:00"/>
    <s v="001-00011196"/>
    <n v="777.60000000000014"/>
    <n v="0"/>
    <n v="0"/>
    <n v="0"/>
    <n v="0"/>
    <n v="102.375"/>
    <n v="123.955"/>
    <n v="0"/>
    <n v="226.32999999999998"/>
    <n v="551.27000000000021"/>
    <n v="0.7089377572016462"/>
    <x v="0"/>
    <s v="LEVE"/>
    <x v="9"/>
    <x v="0"/>
    <n v="8"/>
    <n v="1"/>
    <d v="2017-12-22T00:00:00"/>
    <s v="NISSAN"/>
    <s v="VERSA"/>
    <n v="0"/>
    <d v="2017-12-22T00:00:00"/>
    <n v="7"/>
    <x v="678"/>
  </r>
  <r>
    <d v="2017-12-30T00:00:00"/>
    <s v="001-00011257"/>
    <n v="278"/>
    <n v="181.490004"/>
    <n v="0"/>
    <n v="0"/>
    <n v="39.048749999999998"/>
    <n v="0"/>
    <n v="0"/>
    <n v="0"/>
    <n v="220.53875399999998"/>
    <n v="57.461246000000017"/>
    <n v="0.20669512949640295"/>
    <x v="0"/>
    <s v="-"/>
    <x v="9"/>
    <x v="0"/>
    <n v="1"/>
    <n v="1"/>
    <d v="2017-12-29T00:00:00"/>
    <s v="PEUGEOT"/>
    <s v="BOXER"/>
    <n v="276.25"/>
    <d v="2017-12-30T00:00:00"/>
    <n v="0"/>
    <x v="679"/>
  </r>
  <r>
    <d v="2017-12-30T00:00:00"/>
    <s v="001-00011247"/>
    <n v="680"/>
    <n v="161.048001"/>
    <n v="0"/>
    <n v="38.134999999999998"/>
    <n v="78.097499999999997"/>
    <n v="0"/>
    <n v="0"/>
    <n v="0"/>
    <n v="277.28050099999996"/>
    <n v="402.71949900000004"/>
    <n v="0.59223455735294128"/>
    <x v="0"/>
    <s v="-"/>
    <x v="9"/>
    <x v="0"/>
    <n v="1"/>
    <n v="1"/>
    <d v="2017-12-29T00:00:00"/>
    <s v="SUZUKI"/>
    <s v="SWIFT"/>
    <n v="178.75"/>
    <d v="2017-12-29T00:00:00"/>
    <n v="0"/>
    <x v="497"/>
  </r>
  <r>
    <d v="2017-12-30T00:00:00"/>
    <s v="001-00011227"/>
    <n v="823.72885524000003"/>
    <n v="0"/>
    <n v="0"/>
    <n v="0"/>
    <n v="0"/>
    <n v="80.4375"/>
    <n v="154.94374999999999"/>
    <n v="0"/>
    <n v="235.38124999999999"/>
    <n v="588.34760524000001"/>
    <n v="0.71424911425323345"/>
    <x v="0"/>
    <s v="LEVE"/>
    <x v="9"/>
    <x v="0"/>
    <n v="3"/>
    <n v="1"/>
    <d v="2017-12-27T00:00:00"/>
    <s v="CHEVROLET"/>
    <s v="CRUZE"/>
    <n v="0"/>
    <d v="2017-12-27T00:00:00"/>
    <n v="5.5"/>
    <x v="680"/>
  </r>
  <r>
    <d v="2017-12-30T00:00:00"/>
    <s v="001-00011226"/>
    <n v="2259"/>
    <n v="492.50470990000002"/>
    <n v="150"/>
    <n v="132.04000000000002"/>
    <n v="82.923749999999998"/>
    <n v="0"/>
    <n v="0"/>
    <n v="0"/>
    <n v="857.46845990000008"/>
    <n v="1401.5315400999998"/>
    <n v="0.62042122182381576"/>
    <x v="0"/>
    <s v="-"/>
    <x v="9"/>
    <x v="0"/>
    <n v="3"/>
    <n v="1"/>
    <d v="2017-12-27T00:00:00"/>
    <s v="TOYOTA"/>
    <s v="YARIS"/>
    <n v="1444.43"/>
    <d v="2017-12-27T00:00:00"/>
    <n v="0"/>
    <x v="681"/>
  </r>
  <r>
    <d v="2017-12-30T00:00:00"/>
    <s v="001-00011249"/>
    <n v="350"/>
    <n v="63.478000000000009"/>
    <n v="0"/>
    <n v="0"/>
    <n v="39.048749999999998"/>
    <n v="0"/>
    <n v="0"/>
    <n v="0"/>
    <n v="102.52675000000001"/>
    <n v="247.47325000000001"/>
    <n v="0.70706642857142854"/>
    <x v="0"/>
    <s v="-"/>
    <x v="9"/>
    <x v="0"/>
    <n v="1"/>
    <n v="1"/>
    <d v="2017-12-29T00:00:00"/>
    <s v="NISSAN"/>
    <s v="VERSA"/>
    <n v="0"/>
    <d v="2017-12-29T00:00:00"/>
    <n v="0"/>
    <x v="682"/>
  </r>
  <r>
    <d v="2017-12-30T00:00:00"/>
    <s v="001-00011186"/>
    <n v="1923"/>
    <n v="1224.15002"/>
    <n v="0"/>
    <n v="33.9"/>
    <n v="39.048749999999998"/>
    <n v="0"/>
    <n v="0"/>
    <n v="0"/>
    <n v="1297.0987700000001"/>
    <n v="625.90122999999994"/>
    <n v="0.32548165886635461"/>
    <x v="0"/>
    <s v="-"/>
    <x v="9"/>
    <x v="0"/>
    <n v="11"/>
    <n v="1"/>
    <d v="2017-12-19T00:00:00"/>
    <s v="TOYOTA"/>
    <s v="RAV4"/>
    <n v="1612.9425000000001"/>
    <d v="2017-12-19T00:00:00"/>
    <n v="0"/>
    <x v="372"/>
  </r>
  <r>
    <d v="2017-12-30T00:00:00"/>
    <s v="001-00011223"/>
    <n v="421.20000000000005"/>
    <n v="0"/>
    <n v="0"/>
    <n v="0"/>
    <n v="0"/>
    <n v="36.5625"/>
    <n v="61.977499999999999"/>
    <n v="0"/>
    <n v="98.539999999999992"/>
    <n v="322.66000000000008"/>
    <n v="0.7660493827160495"/>
    <x v="0"/>
    <s v="LEVE"/>
    <x v="9"/>
    <x v="0"/>
    <n v="3"/>
    <n v="1"/>
    <d v="2017-12-27T00:00:00"/>
    <s v="HONDA"/>
    <s v="WR-V"/>
    <n v="0"/>
    <d v="2017-12-27T00:00:00"/>
    <n v="2.5"/>
    <x v="367"/>
  </r>
  <r>
    <d v="2018-01-02T00:00:00"/>
    <s v="001-00010892"/>
    <n v="4296.7374665889793"/>
    <n v="1.1533999399999999"/>
    <n v="0"/>
    <n v="97.454745762711866"/>
    <n v="14.625"/>
    <n v="585"/>
    <n v="508.21549999999996"/>
    <n v="0"/>
    <n v="1206.4486457027119"/>
    <n v="3090.2888208862673"/>
    <n v="0.71921750977714105"/>
    <x v="1"/>
    <s v="GRAVE"/>
    <x v="10"/>
    <x v="1"/>
    <n v="49"/>
    <n v="1"/>
    <d v="2017-11-14T00:00:00"/>
    <s v="HYUNDAI"/>
    <s v="ELANTRA"/>
    <n v="7567.7550000000001"/>
    <d v="2017-11-15T00:00:00"/>
    <n v="40"/>
    <x v="683"/>
  </r>
  <r>
    <d v="2018-01-02T00:00:00"/>
    <s v="001-00011179"/>
    <n v="1519.5124146737298"/>
    <n v="0"/>
    <n v="0"/>
    <n v="0"/>
    <n v="29.25"/>
    <n v="146.25"/>
    <n v="185.9325"/>
    <n v="0"/>
    <n v="361.4325"/>
    <n v="1158.0799146737299"/>
    <n v="0.76213915956875755"/>
    <x v="1"/>
    <s v="MEDIANO"/>
    <x v="10"/>
    <x v="1"/>
    <n v="13"/>
    <n v="1"/>
    <d v="2017-12-20T00:00:00"/>
    <s v="HYUNDAI"/>
    <s v="TUCSON"/>
    <n v="1795.4950000000001"/>
    <d v="2017-12-21T00:00:00"/>
    <n v="10"/>
    <x v="1"/>
  </r>
  <r>
    <d v="2018-01-02T00:00:00"/>
    <s v="001-00011214"/>
    <n v="1001.6049141338999"/>
    <n v="0"/>
    <n v="0"/>
    <n v="72.03"/>
    <n v="0"/>
    <n v="117"/>
    <n v="117.13747499999999"/>
    <n v="0"/>
    <n v="306.16747499999997"/>
    <n v="695.43743913389994"/>
    <n v="0.69432311016090931"/>
    <x v="1"/>
    <s v="MEDIANO"/>
    <x v="10"/>
    <x v="1"/>
    <n v="7"/>
    <n v="1"/>
    <d v="2017-12-26T00:00:00"/>
    <s v="SUZUKI"/>
    <s v="CIAZ"/>
    <n v="0"/>
    <d v="2017-12-26T00:00:00"/>
    <n v="8"/>
    <x v="1"/>
  </r>
  <r>
    <d v="2018-01-02T00:00:00"/>
    <s v="001-00011272"/>
    <n v="215.27119000000002"/>
    <n v="91.218002299999995"/>
    <n v="0"/>
    <n v="0"/>
    <n v="58.5"/>
    <n v="0"/>
    <n v="0"/>
    <n v="0"/>
    <n v="149.71800229999999"/>
    <n v="65.553187700000024"/>
    <n v="0.30451444849633624"/>
    <x v="0"/>
    <s v="-"/>
    <x v="10"/>
    <x v="1"/>
    <n v="0"/>
    <n v="1"/>
    <d v="2018-01-02T00:00:00"/>
    <s v="VOLKSWAGUEN"/>
    <s v="VOYAGE"/>
    <n v="376.15499999999997"/>
    <d v="2018-01-02T00:00:00"/>
    <n v="0"/>
    <x v="638"/>
  </r>
  <r>
    <d v="2018-01-02T00:00:00"/>
    <s v="001-00011170"/>
    <n v="1155.2199644"/>
    <n v="0"/>
    <n v="0"/>
    <n v="0"/>
    <n v="0"/>
    <n v="73.125"/>
    <n v="247.91"/>
    <n v="0"/>
    <n v="321.03499999999997"/>
    <n v="834.18496440000001"/>
    <n v="0.7221005437118293"/>
    <x v="1"/>
    <s v="LEVE"/>
    <x v="10"/>
    <x v="1"/>
    <n v="13"/>
    <n v="1"/>
    <d v="2017-12-20T00:00:00"/>
    <s v="KIA"/>
    <s v="CERATO"/>
    <n v="1385.4099999999999"/>
    <d v="2017-12-21T00:00:00"/>
    <n v="5"/>
    <x v="1"/>
  </r>
  <r>
    <d v="2018-01-03T00:00:00"/>
    <s v="001-00011125"/>
    <n v="2660.8723030508509"/>
    <n v="0"/>
    <n v="0"/>
    <n v="93.220338983050851"/>
    <n v="0"/>
    <n v="351"/>
    <n v="301.83042499999999"/>
    <n v="0"/>
    <n v="746.05076398305084"/>
    <n v="1914.8215390678001"/>
    <n v="0.71962173339635338"/>
    <x v="1"/>
    <s v="MEDIANO"/>
    <x v="10"/>
    <x v="1"/>
    <n v="20"/>
    <n v="1"/>
    <d v="2017-12-14T00:00:00"/>
    <s v="MAZDA"/>
    <s v="MAZDA 3"/>
    <n v="3001.3425000000002"/>
    <d v="2017-12-14T00:00:00"/>
    <n v="24"/>
    <x v="1"/>
  </r>
  <r>
    <d v="2018-01-03T00:00:00"/>
    <s v="001-00011014"/>
    <n v="1826.2200377720308"/>
    <n v="0"/>
    <n v="0"/>
    <n v="20.593220338983052"/>
    <n v="29.25"/>
    <n v="204.75"/>
    <n v="243.57157500000002"/>
    <n v="0"/>
    <n v="498.16479533898308"/>
    <n v="1328.0552424330476"/>
    <n v="0.72721534917186703"/>
    <x v="1"/>
    <s v="MEDIANO"/>
    <x v="10"/>
    <x v="1"/>
    <n v="35"/>
    <n v="1"/>
    <d v="2017-11-29T00:00:00"/>
    <s v="MAZDA"/>
    <s v="MAZDA 3"/>
    <n v="5237.4075000000003"/>
    <d v="2017-11-30T00:00:00"/>
    <n v="14"/>
    <x v="1"/>
  </r>
  <r>
    <d v="2018-01-04T00:00:00"/>
    <s v="001-00011290"/>
    <n v="450"/>
    <n v="82.210899499999996"/>
    <n v="0"/>
    <n v="0"/>
    <n v="39.048749999999998"/>
    <n v="0"/>
    <n v="0"/>
    <n v="0"/>
    <n v="121.25964949999999"/>
    <n v="328.74035049999998"/>
    <n v="0.7305341122222222"/>
    <x v="0"/>
    <s v="-"/>
    <x v="10"/>
    <x v="1"/>
    <n v="1"/>
    <n v="1"/>
    <d v="2018-01-03T00:00:00"/>
    <s v="JEEP"/>
    <s v="PATRIOT"/>
    <n v="0"/>
    <d v="2018-01-03T00:00:00"/>
    <n v="0"/>
    <x v="23"/>
  </r>
  <r>
    <d v="2018-01-04T00:00:00"/>
    <s v="001-00011293"/>
    <n v="400"/>
    <n v="59.620749250000003"/>
    <n v="0"/>
    <n v="0"/>
    <n v="39.048749999999998"/>
    <n v="0"/>
    <n v="0"/>
    <n v="0"/>
    <n v="98.669499250000001"/>
    <n v="301.33050075"/>
    <n v="0.75332625187500002"/>
    <x v="0"/>
    <s v="-"/>
    <x v="10"/>
    <x v="1"/>
    <n v="0"/>
    <n v="1"/>
    <d v="2018-01-04T00:00:00"/>
    <s v="SUZUKI"/>
    <s v="VITARA"/>
    <n v="0"/>
    <d v="2018-01-04T00:00:00"/>
    <n v="0"/>
    <x v="455"/>
  </r>
  <r>
    <d v="2018-01-04T00:00:00"/>
    <s v="001-00011154"/>
    <n v="2450.2014167000002"/>
    <n v="0"/>
    <n v="0"/>
    <n v="0"/>
    <n v="29.25"/>
    <n v="263.25"/>
    <n v="356.37062500000002"/>
    <n v="0"/>
    <n v="648.87062500000002"/>
    <n v="1801.3307917000002"/>
    <n v="0.73517661830678516"/>
    <x v="1"/>
    <s v="MEDIANO"/>
    <x v="10"/>
    <x v="1"/>
    <n v="17"/>
    <n v="1"/>
    <d v="2017-12-18T00:00:00"/>
    <s v="HYUNDAI"/>
    <s v="ACCENT"/>
    <n v="971.55499999999995"/>
    <d v="2017-12-19T00:00:00"/>
    <n v="18"/>
    <x v="1"/>
  </r>
  <r>
    <d v="2018-01-04T00:00:00"/>
    <s v="001-00011239"/>
    <n v="1244.6175473000001"/>
    <n v="0"/>
    <n v="0"/>
    <n v="20.593220338983052"/>
    <n v="0"/>
    <n v="102.375"/>
    <n v="247.91"/>
    <n v="0"/>
    <n v="370.87822033898306"/>
    <n v="873.73932696101701"/>
    <n v="0.70201430861749914"/>
    <x v="1"/>
    <s v="LEVE"/>
    <x v="10"/>
    <x v="1"/>
    <n v="7"/>
    <n v="1"/>
    <d v="2017-12-28T00:00:00"/>
    <s v="SUZUKI"/>
    <s v="VITARA"/>
    <n v="0"/>
    <d v="2017-12-27T00:00:00"/>
    <n v="7"/>
    <x v="1"/>
  </r>
  <r>
    <d v="2018-01-04T00:00:00"/>
    <s v="001-00011294"/>
    <n v="315"/>
    <n v="137.43"/>
    <n v="0"/>
    <n v="0"/>
    <n v="39.048749999999998"/>
    <n v="0"/>
    <n v="0"/>
    <n v="0"/>
    <n v="176.47874999999999"/>
    <n v="138.52125000000001"/>
    <n v="0.43975000000000003"/>
    <x v="0"/>
    <s v="-"/>
    <x v="10"/>
    <x v="1"/>
    <n v="1"/>
    <n v="1"/>
    <d v="2018-01-03T00:00:00"/>
    <s v="NISSAN"/>
    <s v="NAVARA"/>
    <n v="0"/>
    <d v="2018-01-04T00:00:00"/>
    <n v="0"/>
    <x v="157"/>
  </r>
  <r>
    <d v="2018-01-06T00:00:00"/>
    <s v="001-00011252"/>
    <n v="612.21217645763011"/>
    <n v="0"/>
    <n v="0"/>
    <n v="18"/>
    <n v="0"/>
    <n v="58.5"/>
    <n v="123.955"/>
    <n v="0"/>
    <n v="200.45499999999998"/>
    <n v="411.75717645763012"/>
    <n v="0.67257266727383846"/>
    <x v="1"/>
    <s v="LEVE"/>
    <x v="10"/>
    <x v="1"/>
    <n v="8"/>
    <n v="1"/>
    <d v="2017-12-29T00:00:00"/>
    <s v="HYUNDAI"/>
    <s v="ACCENT"/>
    <n v="518.63499999999999"/>
    <d v="2018-01-02T00:00:00"/>
    <n v="4"/>
    <x v="1"/>
  </r>
  <r>
    <d v="2018-01-06T00:00:00"/>
    <s v="001-00011157"/>
    <n v="377.95314738906973"/>
    <n v="0"/>
    <n v="0"/>
    <n v="0"/>
    <n v="0"/>
    <n v="21.9375"/>
    <n v="61.977499999999999"/>
    <n v="0"/>
    <n v="83.914999999999992"/>
    <n v="294.03814738906976"/>
    <n v="0.77797512580675299"/>
    <x v="1"/>
    <s v="LEVE"/>
    <x v="10"/>
    <x v="1"/>
    <n v="19"/>
    <n v="1"/>
    <d v="2017-12-18T00:00:00"/>
    <s v="TOYOTA"/>
    <s v="COROLLA"/>
    <n v="398.51499999999999"/>
    <d v="2017-12-18T00:00:00"/>
    <n v="1.5"/>
    <x v="1"/>
  </r>
  <r>
    <d v="2018-01-06T00:00:00"/>
    <s v="001-00011317"/>
    <n v="113.27970099999999"/>
    <n v="45.868000000000009"/>
    <n v="0"/>
    <n v="0"/>
    <n v="39.048749999999998"/>
    <n v="0"/>
    <n v="0"/>
    <n v="0"/>
    <n v="84.916750000000008"/>
    <n v="28.362950999999981"/>
    <n v="0.25037981871085607"/>
    <x v="0"/>
    <s v="-"/>
    <x v="10"/>
    <x v="1"/>
    <n v="0"/>
    <n v="1"/>
    <d v="2018-01-06T00:00:00"/>
    <s v="HYUNDAI"/>
    <s v="ACCENT"/>
    <n v="96.557500000000005"/>
    <d v="2018-01-06T00:00:00"/>
    <n v="0"/>
    <x v="638"/>
  </r>
  <r>
    <d v="2018-01-08T00:00:00"/>
    <s v="001-00011288"/>
    <n v="771.59997600000008"/>
    <n v="0"/>
    <n v="0"/>
    <n v="0"/>
    <n v="0"/>
    <n v="73.125"/>
    <n v="123.955"/>
    <n v="0"/>
    <n v="197.07999999999998"/>
    <n v="574.51997600000004"/>
    <n v="0.74458267738463479"/>
    <x v="0"/>
    <s v="LEVE"/>
    <x v="10"/>
    <x v="1"/>
    <n v="5"/>
    <n v="1"/>
    <d v="2018-01-03T00:00:00"/>
    <s v="SUZUKI"/>
    <s v="GRAND N."/>
    <n v="0"/>
    <d v="2018-01-03T00:00:00"/>
    <n v="5"/>
    <x v="554"/>
  </r>
  <r>
    <d v="2018-01-08T00:00:00"/>
    <s v="001-00011240"/>
    <n v="774.27006556694892"/>
    <n v="0"/>
    <n v="0"/>
    <n v="0"/>
    <n v="0"/>
    <n v="87.75"/>
    <n v="123.955"/>
    <n v="0"/>
    <n v="211.70499999999998"/>
    <n v="562.56506556694899"/>
    <n v="0.72657473223508673"/>
    <x v="1"/>
    <s v="LEVE"/>
    <x v="10"/>
    <x v="1"/>
    <n v="11"/>
    <n v="1"/>
    <d v="2017-12-28T00:00:00"/>
    <s v="SUZUKI"/>
    <s v="SWIFT"/>
    <n v="0"/>
    <d v="2017-12-28T00:00:00"/>
    <n v="6"/>
    <x v="684"/>
  </r>
  <r>
    <d v="2018-01-08T00:00:00"/>
    <s v="001-00011206"/>
    <n v="938.88899144660911"/>
    <n v="0"/>
    <n v="0"/>
    <n v="0"/>
    <n v="0"/>
    <n v="73.125"/>
    <n v="159.282175"/>
    <n v="0"/>
    <n v="232.407175"/>
    <n v="706.48181644660917"/>
    <n v="0.75246575780815728"/>
    <x v="1"/>
    <s v="LEVE"/>
    <x v="10"/>
    <x v="1"/>
    <n v="13"/>
    <n v="1"/>
    <d v="2017-12-26T00:00:00"/>
    <s v="TOYOTA"/>
    <s v="COROLLA"/>
    <n v="100.75"/>
    <d v="2017-12-27T00:00:00"/>
    <n v="5"/>
    <x v="1"/>
  </r>
  <r>
    <d v="2018-01-08T00:00:00"/>
    <s v="001-00011304"/>
    <n v="1112"/>
    <n v="285.20998999999995"/>
    <n v="0"/>
    <n v="114.41"/>
    <n v="117"/>
    <n v="0"/>
    <n v="0"/>
    <n v="0"/>
    <n v="516.61998999999992"/>
    <n v="595.38001000000008"/>
    <n v="0.53541367805755402"/>
    <x v="0"/>
    <s v="-"/>
    <x v="10"/>
    <x v="1"/>
    <n v="4"/>
    <n v="1"/>
    <d v="2018-01-04T00:00:00"/>
    <s v="CHEVROLET"/>
    <s v="SAIL"/>
    <n v="0"/>
    <d v="2018-01-04T00:00:00"/>
    <n v="0"/>
    <x v="638"/>
  </r>
  <r>
    <d v="2018-01-08T00:00:00"/>
    <s v="001-00011281"/>
    <n v="615"/>
    <n v="372.96299972000003"/>
    <n v="0"/>
    <n v="0"/>
    <n v="39.048749999999998"/>
    <n v="0"/>
    <n v="0"/>
    <n v="0"/>
    <n v="412.01174972000001"/>
    <n v="202.98825027999999"/>
    <n v="0.33006219557723576"/>
    <x v="0"/>
    <s v="-"/>
    <x v="10"/>
    <x v="1"/>
    <n v="5"/>
    <n v="1"/>
    <d v="2018-01-03T00:00:00"/>
    <s v="VOLKSWAGUEN"/>
    <s v="VOYAGE"/>
    <n v="60.157500000000006"/>
    <d v="2018-01-03T00:00:00"/>
    <n v="0"/>
    <x v="638"/>
  </r>
  <r>
    <d v="2018-01-08T00:00:00"/>
    <s v="001-00011326"/>
    <n v="211.11861000000002"/>
    <n v="91.218002299999995"/>
    <n v="0"/>
    <n v="0"/>
    <n v="39.048749999999998"/>
    <n v="0"/>
    <n v="0"/>
    <n v="0"/>
    <n v="130.26675230000001"/>
    <n v="80.851857700000011"/>
    <n v="0.3829688803843489"/>
    <x v="0"/>
    <s v="-"/>
    <x v="10"/>
    <x v="1"/>
    <n v="0"/>
    <n v="1"/>
    <d v="2018-01-08T00:00:00"/>
    <s v="VOLKSWAGUEN"/>
    <s v="VOYAGE"/>
    <n v="175.5"/>
    <d v="2018-01-08T00:00:00"/>
    <n v="0"/>
    <x v="638"/>
  </r>
  <r>
    <d v="2018-01-08T00:00:00"/>
    <s v="001-00011060"/>
    <n v="2802"/>
    <n v="652.82401299999992"/>
    <n v="337.12"/>
    <n v="286.27999999999997"/>
    <n v="78.097499999999997"/>
    <n v="0"/>
    <n v="0"/>
    <n v="0"/>
    <n v="1354.3215130000001"/>
    <n v="1447.6784869999999"/>
    <n v="0.51665898893647388"/>
    <x v="0"/>
    <s v="-"/>
    <x v="10"/>
    <x v="1"/>
    <n v="33"/>
    <n v="1"/>
    <d v="2017-12-06T00:00:00"/>
    <s v="FIAT"/>
    <s v="FIORINO"/>
    <n v="1872.7474999999999"/>
    <d v="2017-12-06T00:00:00"/>
    <n v="0"/>
    <x v="157"/>
  </r>
  <r>
    <d v="2018-01-08T00:00:00"/>
    <s v="001-00011222"/>
    <n v="231.61629915076026"/>
    <n v="0"/>
    <n v="126.29519999999999"/>
    <n v="0"/>
    <n v="0"/>
    <n v="0"/>
    <n v="0"/>
    <n v="0"/>
    <n v="126.29519999999999"/>
    <n v="105.32109915076026"/>
    <n v="0.4547223124492038"/>
    <x v="0"/>
    <s v="-"/>
    <x v="10"/>
    <x v="1"/>
    <n v="12"/>
    <n v="1"/>
    <d v="2017-12-27T00:00:00"/>
    <s v="KIA"/>
    <s v="RIO"/>
    <n v="234.13000000000002"/>
    <d v="2017-12-27T00:00:00"/>
    <n v="0"/>
    <x v="157"/>
  </r>
  <r>
    <d v="2018-01-08T00:00:00"/>
    <s v="001-00011208"/>
    <n v="810"/>
    <n v="236.529999"/>
    <n v="0"/>
    <n v="101.69"/>
    <n v="29.25"/>
    <n v="0"/>
    <n v="0"/>
    <n v="0"/>
    <n v="367.46999900000003"/>
    <n v="442.53000099999997"/>
    <n v="0.54633333456790123"/>
    <x v="0"/>
    <s v="-"/>
    <x v="10"/>
    <x v="1"/>
    <n v="13"/>
    <n v="1"/>
    <d v="2017-12-26T00:00:00"/>
    <s v="KIA"/>
    <s v="SORENTO"/>
    <n v="551.6875"/>
    <d v="2017-12-26T00:00:00"/>
    <n v="0"/>
    <x v="157"/>
  </r>
  <r>
    <d v="2018-01-08T00:00:00"/>
    <s v="001-00011188"/>
    <n v="225"/>
    <n v="51.968000000000011"/>
    <n v="0"/>
    <n v="0"/>
    <n v="39.048749999999998"/>
    <n v="0"/>
    <n v="0"/>
    <n v="0"/>
    <n v="91.016750000000002"/>
    <n v="133.98325"/>
    <n v="0.59548111111111113"/>
    <x v="0"/>
    <s v="-"/>
    <x v="10"/>
    <x v="1"/>
    <n v="19"/>
    <n v="1"/>
    <d v="2017-12-20T00:00:00"/>
    <s v="KIA"/>
    <s v="RIO"/>
    <n v="0"/>
    <d v="2017-12-21T00:00:00"/>
    <n v="0"/>
    <x v="157"/>
  </r>
  <r>
    <d v="2018-01-09T00:00:00"/>
    <s v="001-00011323"/>
    <n v="953"/>
    <n v="403.6690878"/>
    <n v="10.81"/>
    <n v="38.14"/>
    <n v="78.097499999999997"/>
    <n v="0"/>
    <n v="0"/>
    <n v="0"/>
    <n v="530.71658779999996"/>
    <n v="422.28341220000004"/>
    <n v="0.44310956159496334"/>
    <x v="0"/>
    <s v="-"/>
    <x v="10"/>
    <x v="1"/>
    <n v="1"/>
    <n v="1"/>
    <d v="2018-01-08T00:00:00"/>
    <s v="KIA"/>
    <s v="CERATO"/>
    <n v="354.25"/>
    <d v="2018-01-08T00:00:00"/>
    <n v="0"/>
    <x v="685"/>
  </r>
  <r>
    <d v="2018-01-09T00:00:00"/>
    <s v="001-00010479"/>
    <n v="590.87741471293032"/>
    <n v="0"/>
    <n v="0"/>
    <n v="0"/>
    <n v="0"/>
    <n v="43.875"/>
    <n v="77.471874999999997"/>
    <n v="0"/>
    <n v="121.346875"/>
    <n v="469.53053971293031"/>
    <n v="0.79463274110933024"/>
    <x v="1"/>
    <s v="LEVE"/>
    <x v="10"/>
    <x v="1"/>
    <n v="106"/>
    <n v="1"/>
    <d v="2017-09-25T00:00:00"/>
    <s v="MITSUBISHI"/>
    <s v="OUTLANDER"/>
    <n v="8373.43"/>
    <d v="2017-09-25T00:00:00"/>
    <n v="3"/>
    <x v="1"/>
  </r>
  <r>
    <d v="2018-01-09T00:00:00"/>
    <s v="001-00011139"/>
    <n v="196.41340398268991"/>
    <n v="1.1533999399999999"/>
    <n v="0"/>
    <n v="0"/>
    <n v="0"/>
    <n v="0"/>
    <n v="46.483125000000001"/>
    <n v="0"/>
    <n v="47.636524940000001"/>
    <n v="148.77687904268993"/>
    <n v="0.75746805475557955"/>
    <x v="1"/>
    <s v="LEVE"/>
    <x v="10"/>
    <x v="1"/>
    <n v="25"/>
    <n v="1"/>
    <d v="2017-12-15T00:00:00"/>
    <s v="NISSAN"/>
    <s v="VERSA"/>
    <n v="1396.07"/>
    <d v="2017-12-15T00:00:00"/>
    <n v="0"/>
    <x v="1"/>
  </r>
  <r>
    <d v="2018-01-09T00:00:00"/>
    <s v="001-00011104"/>
    <n v="1140"/>
    <n v="117.38640274000002"/>
    <n v="194.91"/>
    <n v="0"/>
    <n v="43.875"/>
    <n v="0"/>
    <n v="0"/>
    <n v="0"/>
    <n v="356.17140274000002"/>
    <n v="783.82859725999992"/>
    <n v="0.68756894496491217"/>
    <x v="0"/>
    <s v="-"/>
    <x v="10"/>
    <x v="1"/>
    <n v="29"/>
    <n v="1"/>
    <d v="2017-12-11T00:00:00"/>
    <s v="NISSAN"/>
    <s v="FRONTIER"/>
    <n v="882.7"/>
    <d v="2017-12-23T00:00:00"/>
    <n v="0"/>
    <x v="157"/>
  </r>
  <r>
    <d v="2018-01-09T00:00:00"/>
    <s v="001-00011260"/>
    <n v="1268.0404618823711"/>
    <n v="0"/>
    <n v="0"/>
    <n v="112.62322033898306"/>
    <n v="0"/>
    <n v="102.375"/>
    <n v="201.426875"/>
    <n v="0"/>
    <n v="416.42509533898306"/>
    <n v="851.61536654338806"/>
    <n v="0.67159952079067609"/>
    <x v="1"/>
    <s v="LEVE"/>
    <x v="10"/>
    <x v="1"/>
    <n v="7"/>
    <n v="1"/>
    <d v="2018-01-02T00:00:00"/>
    <s v="NISSAN"/>
    <s v="VERSA"/>
    <n v="1620.2550000000001"/>
    <d v="2018-01-02T00:00:00"/>
    <n v="7"/>
    <x v="1"/>
  </r>
  <r>
    <d v="2018-01-09T00:00:00"/>
    <s v="001-00011078"/>
    <n v="2639.1983407781413"/>
    <n v="1.5196999899999999"/>
    <n v="0"/>
    <n v="55.084745762711869"/>
    <n v="14.625"/>
    <n v="351"/>
    <n v="325.38187500000004"/>
    <n v="0"/>
    <n v="747.61132075271189"/>
    <n v="1891.5870200254294"/>
    <n v="0.71672787558198969"/>
    <x v="1"/>
    <s v="MEDIANO"/>
    <x v="10"/>
    <x v="1"/>
    <n v="31"/>
    <n v="1"/>
    <d v="2017-12-09T00:00:00"/>
    <s v="HYUNDAI"/>
    <s v="ELANTRA"/>
    <n v="5106.1399999999994"/>
    <d v="2017-12-12T00:00:00"/>
    <n v="24"/>
    <x v="1"/>
  </r>
  <r>
    <d v="2018-01-09T00:00:00"/>
    <s v="001-00011345"/>
    <n v="262.71189800000002"/>
    <n v="0"/>
    <n v="0"/>
    <n v="0"/>
    <n v="39.048749999999998"/>
    <n v="0"/>
    <n v="0"/>
    <n v="0"/>
    <n v="39.048749999999998"/>
    <n v="223.66314800000004"/>
    <n v="0.85136284158702247"/>
    <x v="0"/>
    <s v="-"/>
    <x v="10"/>
    <x v="1"/>
    <n v="0"/>
    <n v="1"/>
    <d v="2018-01-09T00:00:00"/>
    <s v="VOLKSWAGUEN"/>
    <s v="VOYAGE"/>
    <n v="221"/>
    <d v="2018-01-08T00:00:00"/>
    <n v="0"/>
    <x v="638"/>
  </r>
  <r>
    <d v="2018-01-09T00:00:00"/>
    <s v="001-00011319"/>
    <n v="678.27969000000007"/>
    <n v="92.278000300000002"/>
    <n v="0"/>
    <n v="38.14"/>
    <n v="78.097499999999997"/>
    <n v="0"/>
    <n v="0"/>
    <n v="0"/>
    <n v="208.51550030000001"/>
    <n v="469.76418970000009"/>
    <n v="0.69258183110274174"/>
    <x v="0"/>
    <s v="-"/>
    <x v="10"/>
    <x v="1"/>
    <n v="3"/>
    <n v="1"/>
    <d v="2018-01-06T00:00:00"/>
    <s v="TOYOTA"/>
    <s v="YARIS"/>
    <n v="347.19749999999999"/>
    <d v="2018-01-06T00:00:00"/>
    <n v="0"/>
    <x v="638"/>
  </r>
  <r>
    <d v="2018-01-10T00:00:00"/>
    <s v="001-00011353"/>
    <n v="600"/>
    <n v="82.440749749999995"/>
    <n v="0"/>
    <n v="0"/>
    <n v="39.048749999999998"/>
    <n v="0"/>
    <n v="0"/>
    <n v="0"/>
    <n v="121.48949974999999"/>
    <n v="478.51050025000001"/>
    <n v="0.79751750041666669"/>
    <x v="0"/>
    <s v="-"/>
    <x v="10"/>
    <x v="1"/>
    <n v="0"/>
    <n v="1"/>
    <d v="2018-01-10T00:00:00"/>
    <s v="MAZDA"/>
    <s v="CX-5"/>
    <n v="0"/>
    <d v="2018-01-10T00:00:00"/>
    <n v="0"/>
    <x v="148"/>
  </r>
  <r>
    <d v="2018-01-10T00:00:00"/>
    <s v="001-00011086"/>
    <n v="4136.9906018000001"/>
    <n v="16.771799390000002"/>
    <n v="79.66"/>
    <n v="55.084745762711869"/>
    <n v="43.875"/>
    <n v="585"/>
    <n v="464.83125000000001"/>
    <n v="0"/>
    <n v="1245.2227951527118"/>
    <n v="2891.7678066472881"/>
    <n v="0.69900274982231847"/>
    <x v="1"/>
    <s v="GRAVE"/>
    <x v="10"/>
    <x v="1"/>
    <n v="30"/>
    <n v="1"/>
    <d v="2017-12-11T00:00:00"/>
    <s v="HYUNDAI"/>
    <s v="ACCENT"/>
    <n v="5653.2125000000005"/>
    <d v="2017-12-14T00:00:00"/>
    <n v="40"/>
    <x v="1"/>
  </r>
  <r>
    <d v="2018-01-10T00:00:00"/>
    <s v="001-00011262"/>
    <n v="1065.137682"/>
    <n v="0"/>
    <n v="0"/>
    <n v="72.03"/>
    <n v="0"/>
    <n v="87.75"/>
    <n v="185.9325"/>
    <n v="0"/>
    <n v="345.71249999999998"/>
    <n v="719.42518200000006"/>
    <n v="0.67542928408010261"/>
    <x v="1"/>
    <s v="LEVE"/>
    <x v="10"/>
    <x v="1"/>
    <n v="8"/>
    <n v="1"/>
    <d v="2018-01-02T00:00:00"/>
    <s v="KIA"/>
    <s v="RIO"/>
    <n v="705.15250000000003"/>
    <d v="2018-01-02T00:00:00"/>
    <n v="6"/>
    <x v="1"/>
  </r>
  <r>
    <d v="2018-01-10T00:00:00"/>
    <s v="001-00011354"/>
    <n v="380"/>
    <n v="169.48999899999998"/>
    <n v="50.85"/>
    <n v="0"/>
    <n v="39.048749999999998"/>
    <n v="0"/>
    <n v="0"/>
    <n v="0"/>
    <n v="259.38874899999996"/>
    <n v="120.61125100000004"/>
    <n v="0.31739802894736852"/>
    <x v="0"/>
    <s v="-"/>
    <x v="10"/>
    <x v="1"/>
    <n v="0"/>
    <n v="1"/>
    <d v="2018-01-10T00:00:00"/>
    <s v="TOYOTA"/>
    <s v="YARIS"/>
    <n v="280.83249999999998"/>
    <d v="2018-01-10T00:00:00"/>
    <n v="0"/>
    <x v="638"/>
  </r>
  <r>
    <d v="2018-01-10T00:00:00"/>
    <s v="001-00011358"/>
    <n v="155.27120000000002"/>
    <n v="57.277999800000011"/>
    <n v="0"/>
    <n v="0"/>
    <n v="39.048749999999998"/>
    <n v="0"/>
    <n v="0"/>
    <n v="0"/>
    <n v="96.326749800000016"/>
    <n v="58.944450200000006"/>
    <n v="0.37962255846544624"/>
    <x v="0"/>
    <s v="-"/>
    <x v="10"/>
    <x v="1"/>
    <n v="0"/>
    <n v="1"/>
    <d v="2018-01-10T00:00:00"/>
    <s v="NISSAN"/>
    <s v="TIIDA"/>
    <n v="121.55"/>
    <d v="2018-01-10T00:00:00"/>
    <n v="0"/>
    <x v="638"/>
  </r>
  <r>
    <d v="2018-01-11T00:00:00"/>
    <s v="001-00011324"/>
    <n v="593.22031000000004"/>
    <n v="0"/>
    <n v="0"/>
    <n v="32.627118644067799"/>
    <n v="0"/>
    <n v="102.375"/>
    <n v="61.977499999999999"/>
    <n v="0"/>
    <n v="196.97961864406778"/>
    <n v="396.24069135593226"/>
    <n v="0.66794862663406152"/>
    <x v="0"/>
    <s v="LEVE"/>
    <x v="10"/>
    <x v="1"/>
    <n v="3"/>
    <n v="1"/>
    <d v="2018-01-08T00:00:00"/>
    <s v="HYUNDAI"/>
    <s v="TUCSON"/>
    <n v="0"/>
    <d v="2018-01-08T00:00:00"/>
    <n v="7"/>
    <x v="686"/>
  </r>
  <r>
    <d v="2018-01-11T00:00:00"/>
    <s v="001-00011332"/>
    <n v="1091.52558522"/>
    <n v="0"/>
    <n v="0"/>
    <n v="17.847457627118647"/>
    <n v="0"/>
    <n v="80.4375"/>
    <n v="216.92125000000001"/>
    <n v="0"/>
    <n v="315.20620762711866"/>
    <n v="776.31937759288144"/>
    <n v="0.71122416927717924"/>
    <x v="0"/>
    <s v="LEVE"/>
    <x v="10"/>
    <x v="1"/>
    <n v="3"/>
    <n v="1"/>
    <d v="2018-01-08T00:00:00"/>
    <s v="KIA"/>
    <s v="CERATO"/>
    <n v="0"/>
    <d v="2018-01-08T00:00:00"/>
    <n v="5.5"/>
    <x v="687"/>
  </r>
  <r>
    <d v="2018-01-11T00:00:00"/>
    <s v="001-00011234"/>
    <n v="1181.74"/>
    <n v="0"/>
    <n v="0"/>
    <n v="41.186440677966104"/>
    <n v="0"/>
    <n v="117"/>
    <n v="247.91"/>
    <n v="0"/>
    <n v="406.09644067796614"/>
    <n v="775.64355932203387"/>
    <n v="0.65635720151812904"/>
    <x v="2"/>
    <s v="LEVE"/>
    <x v="10"/>
    <x v="1"/>
    <n v="14"/>
    <n v="1"/>
    <d v="2017-12-28T00:00:00"/>
    <s v="SUZUKI"/>
    <s v="SWIFT"/>
    <n v="0"/>
    <d v="2017-12-27T00:00:00"/>
    <n v="8"/>
    <x v="2"/>
  </r>
  <r>
    <d v="2018-01-11T00:00:00"/>
    <s v="001-00011265"/>
    <n v="1994.2442421999999"/>
    <n v="0"/>
    <n v="0"/>
    <n v="41.186440677966104"/>
    <n v="0"/>
    <n v="292.5"/>
    <n v="240.47270000000003"/>
    <n v="0"/>
    <n v="574.15914067796621"/>
    <n v="1420.0851015220337"/>
    <n v="0.7120918649139143"/>
    <x v="1"/>
    <s v="MEDIANO"/>
    <x v="10"/>
    <x v="1"/>
    <n v="9"/>
    <n v="1"/>
    <d v="2018-01-02T00:00:00"/>
    <s v="SUZUKI"/>
    <s v="SX4"/>
    <n v="90.09"/>
    <d v="2018-01-02T00:00:00"/>
    <n v="20"/>
    <x v="1"/>
  </r>
  <r>
    <d v="2018-01-11T00:00:00"/>
    <s v="001-00011282"/>
    <n v="1078.4543462000001"/>
    <n v="0"/>
    <n v="0"/>
    <n v="59.186440677966104"/>
    <n v="5.8500000000000005"/>
    <n v="117"/>
    <n v="149.98554999999999"/>
    <n v="0"/>
    <n v="332.02199067796607"/>
    <n v="746.43235552203407"/>
    <n v="0.69213162166032727"/>
    <x v="1"/>
    <s v="LEVE"/>
    <x v="10"/>
    <x v="1"/>
    <n v="8"/>
    <n v="1"/>
    <d v="2018-01-03T00:00:00"/>
    <s v="KIA"/>
    <s v="PICANTO"/>
    <n v="1473.03"/>
    <d v="2018-01-04T00:00:00"/>
    <n v="8"/>
    <x v="1"/>
  </r>
  <r>
    <d v="2018-01-11T00:00:00"/>
    <s v="001-00011187"/>
    <n v="3846.0443462000007"/>
    <n v="0"/>
    <n v="0"/>
    <n v="96.398305084745772"/>
    <n v="0"/>
    <n v="585"/>
    <n v="381.16162500000002"/>
    <n v="0"/>
    <n v="1062.5599300847457"/>
    <n v="2783.484416115255"/>
    <n v="0.72372655267623609"/>
    <x v="1"/>
    <s v="GRAVE"/>
    <x v="10"/>
    <x v="1"/>
    <n v="22"/>
    <n v="1"/>
    <d v="2017-12-20T00:00:00"/>
    <s v="KIA"/>
    <s v="RIO"/>
    <n v="2523.3649999999998"/>
    <d v="2017-12-21T00:00:00"/>
    <n v="40"/>
    <x v="1"/>
  </r>
  <r>
    <d v="2018-01-11T00:00:00"/>
    <s v="001-00011276"/>
    <n v="718.63312780000001"/>
    <n v="0"/>
    <n v="0"/>
    <n v="18"/>
    <n v="0"/>
    <n v="58.5"/>
    <n v="123.955"/>
    <n v="0"/>
    <n v="200.45499999999998"/>
    <n v="518.17812780000008"/>
    <n v="0.72106073009232641"/>
    <x v="1"/>
    <s v="LEVE"/>
    <x v="10"/>
    <x v="1"/>
    <n v="8"/>
    <n v="1"/>
    <d v="2018-01-03T00:00:00"/>
    <s v="NISSAN"/>
    <s v="ALMERA"/>
    <n v="0"/>
    <d v="2018-01-04T00:00:00"/>
    <n v="4"/>
    <x v="1"/>
  </r>
  <r>
    <d v="2018-01-11T00:00:00"/>
    <s v="001-00011193"/>
    <n v="2276.8401040000003"/>
    <n v="0"/>
    <n v="0"/>
    <n v="72.03"/>
    <n v="0"/>
    <n v="117"/>
    <n v="440.66002500000002"/>
    <n v="0"/>
    <n v="629.69002499999999"/>
    <n v="1647.1500790000005"/>
    <n v="0.723436870295043"/>
    <x v="1"/>
    <s v="MEDIANO"/>
    <x v="10"/>
    <x v="1"/>
    <n v="20"/>
    <n v="1"/>
    <d v="2017-12-22T00:00:00"/>
    <s v="CHEVROLET"/>
    <s v="SAIL"/>
    <n v="3809.13"/>
    <d v="2017-12-28T00:00:00"/>
    <n v="8"/>
    <x v="1"/>
  </r>
  <r>
    <d v="2018-01-11T00:00:00"/>
    <s v="001-00010973"/>
    <n v="1161.9559979999999"/>
    <n v="0.63800000000000001"/>
    <n v="0"/>
    <n v="0"/>
    <n v="0"/>
    <n v="117"/>
    <n v="154.32397500000002"/>
    <n v="0"/>
    <n v="271.96197500000005"/>
    <n v="889.99402299999986"/>
    <n v="0.76594468683141992"/>
    <x v="1"/>
    <s v="LEVE"/>
    <x v="10"/>
    <x v="1"/>
    <n v="48"/>
    <n v="1"/>
    <d v="2017-11-24T00:00:00"/>
    <s v="CHEVROLET"/>
    <s v="N300"/>
    <n v="144.5925"/>
    <d v="2017-11-25T00:00:00"/>
    <n v="8"/>
    <x v="1"/>
  </r>
  <r>
    <d v="2018-01-12T00:00:00"/>
    <s v="001-00011229"/>
    <n v="1292.8449754245801"/>
    <n v="0.7975000000000001"/>
    <n v="0"/>
    <n v="125.96762711864407"/>
    <n v="0"/>
    <n v="102.375"/>
    <n v="201.426875"/>
    <n v="0"/>
    <n v="430.56700211864404"/>
    <n v="862.27797330593603"/>
    <n v="0.66696161542706034"/>
    <x v="1"/>
    <s v="LEVE"/>
    <x v="10"/>
    <x v="1"/>
    <n v="16"/>
    <n v="1"/>
    <d v="2017-12-27T00:00:00"/>
    <s v="GREAT W."/>
    <s v="VOLEEX"/>
    <n v="536.41250000000002"/>
    <d v="2017-12-28T00:00:00"/>
    <n v="7"/>
    <x v="688"/>
  </r>
  <r>
    <d v="2018-01-12T00:00:00"/>
    <s v="001-00011271"/>
    <n v="894.54958800168993"/>
    <n v="0"/>
    <n v="0"/>
    <n v="162.07"/>
    <n v="0"/>
    <n v="73.125"/>
    <n v="125.19454999999999"/>
    <n v="0"/>
    <n v="360.38954999999999"/>
    <n v="534.16003800168994"/>
    <n v="0.59712736461590188"/>
    <x v="1"/>
    <s v="LEVE"/>
    <x v="10"/>
    <x v="1"/>
    <n v="10"/>
    <n v="1"/>
    <d v="2018-01-02T00:00:00"/>
    <s v="MAZDA"/>
    <s v="MAZDA 3"/>
    <n v="40.072499999999998"/>
    <d v="2018-01-04T00:00:00"/>
    <n v="5"/>
    <x v="1"/>
  </r>
  <r>
    <d v="2018-01-12T00:00:00"/>
    <s v="001-00011274"/>
    <n v="1013.9972390898301"/>
    <n v="1.276"/>
    <n v="0"/>
    <n v="41.186440677966104"/>
    <n v="0"/>
    <n v="43.875"/>
    <n v="185.9325"/>
    <n v="0"/>
    <n v="272.26994067796613"/>
    <n v="741.72729841186401"/>
    <n v="0.73148847927598182"/>
    <x v="1"/>
    <s v="LEVE"/>
    <x v="10"/>
    <x v="1"/>
    <n v="10"/>
    <n v="1"/>
    <d v="2018-01-02T00:00:00"/>
    <s v="TOYOTA"/>
    <s v="RAV4"/>
    <n v="997.78250000000003"/>
    <d v="2018-01-03T00:00:00"/>
    <n v="3"/>
    <x v="1"/>
  </r>
  <r>
    <d v="2018-01-12T00:00:00"/>
    <s v="001-00011231"/>
    <n v="1961.3709390500003"/>
    <n v="0"/>
    <n v="0"/>
    <n v="177.79525423728813"/>
    <n v="0"/>
    <n v="146.25"/>
    <n v="340.87625000000003"/>
    <n v="0"/>
    <n v="664.92150423728822"/>
    <n v="1296.4494348127121"/>
    <n v="0.66099145704720896"/>
    <x v="1"/>
    <s v="MEDIANO"/>
    <x v="10"/>
    <x v="1"/>
    <n v="16"/>
    <n v="1"/>
    <d v="2017-12-27T00:00:00"/>
    <s v="TOYOTA"/>
    <s v="YARIS"/>
    <n v="2426.0925000000002"/>
    <d v="2017-12-28T00:00:00"/>
    <n v="10"/>
    <x v="1"/>
  </r>
  <r>
    <d v="2018-01-12T00:00:00"/>
    <s v="001-00011311"/>
    <n v="685.7886022889802"/>
    <n v="0"/>
    <n v="0"/>
    <n v="0"/>
    <n v="0"/>
    <n v="51.1875"/>
    <n v="119.61657499999998"/>
    <n v="0"/>
    <n v="170.80407499999998"/>
    <n v="514.98452728898019"/>
    <n v="0.75093771691465649"/>
    <x v="1"/>
    <s v="LEVE"/>
    <x v="10"/>
    <x v="1"/>
    <n v="7"/>
    <n v="1"/>
    <d v="2018-01-05T00:00:00"/>
    <s v="HYUNDAI"/>
    <s v="I10"/>
    <n v="282.55500000000001"/>
    <d v="2018-01-05T00:00:00"/>
    <n v="3.5"/>
    <x v="1"/>
  </r>
  <r>
    <d v="2018-01-12T00:00:00"/>
    <s v="001-00011243"/>
    <n v="1993.3054368376293"/>
    <n v="0"/>
    <n v="0"/>
    <n v="175.2020338983051"/>
    <n v="14.625"/>
    <n v="146.25"/>
    <n v="330.34007500000001"/>
    <n v="0"/>
    <n v="666.41710889830506"/>
    <n v="1326.8883279393242"/>
    <n v="0.665672356788645"/>
    <x v="1"/>
    <s v="MEDIANO"/>
    <x v="10"/>
    <x v="1"/>
    <n v="15"/>
    <n v="1"/>
    <d v="2017-12-28T00:00:00"/>
    <s v="HYUNDAI"/>
    <s v="ACCENT"/>
    <n v="2736.11"/>
    <d v="2017-12-29T00:00:00"/>
    <n v="10"/>
    <x v="1"/>
  </r>
  <r>
    <d v="2018-01-12T00:00:00"/>
    <s v="001-00011269"/>
    <n v="961.63655129694939"/>
    <n v="0"/>
    <n v="0"/>
    <n v="55.084745762711869"/>
    <n v="0"/>
    <n v="87.75"/>
    <n v="176.01609999999999"/>
    <n v="0"/>
    <n v="318.85084576271186"/>
    <n v="642.78570553423754"/>
    <n v="0.66842894508046624"/>
    <x v="1"/>
    <s v="LEVE"/>
    <x v="10"/>
    <x v="1"/>
    <n v="10"/>
    <n v="1"/>
    <d v="2018-01-02T00:00:00"/>
    <s v="KIA"/>
    <s v="SORENTO"/>
    <n v="602.61500000000001"/>
    <d v="2018-01-03T00:00:00"/>
    <n v="6"/>
    <x v="1"/>
  </r>
  <r>
    <d v="2018-01-12T00:00:00"/>
    <s v="001-00011367"/>
    <n v="595"/>
    <n v="118.91399960000001"/>
    <n v="0"/>
    <n v="76.28"/>
    <n v="78.097499999999997"/>
    <n v="0"/>
    <n v="0"/>
    <n v="0"/>
    <n v="273.29149960000001"/>
    <n v="321.70850039999999"/>
    <n v="0.54068655529411769"/>
    <x v="0"/>
    <s v="-"/>
    <x v="10"/>
    <x v="1"/>
    <n v="1"/>
    <n v="1"/>
    <d v="2018-01-11T00:00:00"/>
    <s v="CHEVROLET"/>
    <s v="SAIL"/>
    <n v="289.25"/>
    <d v="2018-01-11T00:00:00"/>
    <n v="0"/>
    <x v="638"/>
  </r>
  <r>
    <d v="2018-01-13T00:00:00"/>
    <s v="001-00011273"/>
    <n v="999.83266219999996"/>
    <n v="0"/>
    <n v="0"/>
    <n v="27.457627118644073"/>
    <n v="0"/>
    <n v="117"/>
    <n v="123.955"/>
    <n v="0"/>
    <n v="268.41262711864408"/>
    <n v="731.42003508135588"/>
    <n v="0.73154244978550964"/>
    <x v="1"/>
    <s v="MEDIANO"/>
    <x v="10"/>
    <x v="1"/>
    <n v="11"/>
    <n v="1"/>
    <d v="2018-01-02T00:00:00"/>
    <s v="KIA"/>
    <s v="RIO"/>
    <n v="1093.7224999999999"/>
    <d v="2018-01-03T00:00:00"/>
    <n v="8"/>
    <x v="689"/>
  </r>
  <r>
    <d v="2018-01-13T00:00:00"/>
    <s v="001-00011242"/>
    <n v="1625.4027935699999"/>
    <n v="0"/>
    <n v="0"/>
    <n v="50.85"/>
    <n v="0"/>
    <n v="146.25"/>
    <n v="294.393125"/>
    <n v="0"/>
    <n v="491.49312499999996"/>
    <n v="1133.9096685699999"/>
    <n v="0.69761764471900833"/>
    <x v="1"/>
    <s v="MEDIANO"/>
    <x v="10"/>
    <x v="1"/>
    <n v="16"/>
    <n v="1"/>
    <d v="2017-12-28T00:00:00"/>
    <s v="ZOTYE"/>
    <s v="HUNTER"/>
    <n v="1599"/>
    <d v="2017-12-29T00:00:00"/>
    <n v="10"/>
    <x v="1"/>
  </r>
  <r>
    <d v="2018-01-13T00:00:00"/>
    <s v="001-00011216"/>
    <n v="1267.4436005300001"/>
    <n v="0"/>
    <n v="0"/>
    <n v="169.32525423728814"/>
    <n v="14.625"/>
    <n v="102.375"/>
    <n v="154.94374999999999"/>
    <n v="0"/>
    <n v="441.26900423728819"/>
    <n v="826.17459629271195"/>
    <n v="0.65184328197896535"/>
    <x v="1"/>
    <s v="LEVE"/>
    <x v="10"/>
    <x v="1"/>
    <n v="18"/>
    <n v="1"/>
    <d v="2017-12-26T00:00:00"/>
    <s v="KIA"/>
    <s v="CERATO"/>
    <n v="5075.8175000000001"/>
    <d v="2017-12-27T00:00:00"/>
    <n v="7"/>
    <x v="690"/>
  </r>
  <r>
    <d v="2018-01-13T00:00:00"/>
    <s v="001-00011284"/>
    <n v="1069.2979866000001"/>
    <n v="0"/>
    <n v="0"/>
    <n v="0"/>
    <n v="0"/>
    <n v="87.75"/>
    <n v="185.9325"/>
    <n v="0"/>
    <n v="273.6825"/>
    <n v="795.61548660000005"/>
    <n v="0.74405403972543116"/>
    <x v="1"/>
    <s v="LEVE"/>
    <x v="10"/>
    <x v="1"/>
    <n v="10"/>
    <n v="1"/>
    <d v="2018-01-03T00:00:00"/>
    <s v="JEEP"/>
    <s v="GRAND C."/>
    <n v="1174.2250000000001"/>
    <d v="2018-01-04T00:00:00"/>
    <n v="6"/>
    <x v="624"/>
  </r>
  <r>
    <d v="2018-01-13T00:00:00"/>
    <s v="001-00011300"/>
    <n v="546.69923189999997"/>
    <n v="0.87519997999999977"/>
    <n v="0"/>
    <n v="0"/>
    <n v="0"/>
    <n v="38.025000000000006"/>
    <n v="123.955"/>
    <n v="0"/>
    <n v="162.85519998000001"/>
    <n v="383.84403191999996"/>
    <n v="0.7021118917361332"/>
    <x v="1"/>
    <s v="LEVE"/>
    <x v="10"/>
    <x v="1"/>
    <n v="9"/>
    <n v="1"/>
    <d v="2018-01-04T00:00:00"/>
    <s v="HYUNDAI"/>
    <s v="ELANTRA"/>
    <n v="1677.78"/>
    <d v="2018-01-05T00:00:00"/>
    <n v="2.6"/>
    <x v="1"/>
  </r>
  <r>
    <d v="2018-01-13T00:00:00"/>
    <s v="001-00011286"/>
    <n v="1177.7765134000001"/>
    <n v="0"/>
    <n v="0"/>
    <n v="20.656779661016948"/>
    <n v="0"/>
    <n v="117"/>
    <n v="201.426875"/>
    <n v="0"/>
    <n v="339.08365466101691"/>
    <n v="838.6928587389832"/>
    <n v="0.71209847470794629"/>
    <x v="1"/>
    <s v="LEVE"/>
    <x v="10"/>
    <x v="1"/>
    <n v="10"/>
    <n v="1"/>
    <d v="2018-01-03T00:00:00"/>
    <s v="HONDA"/>
    <s v="HR-V"/>
    <n v="105.88499999999999"/>
    <d v="2018-01-05T00:00:00"/>
    <n v="8"/>
    <x v="1"/>
  </r>
  <r>
    <d v="2018-01-13T00:00:00"/>
    <s v="001-00011315"/>
    <n v="799.77901340000017"/>
    <n v="0"/>
    <n v="0"/>
    <n v="0"/>
    <n v="0"/>
    <n v="102.375"/>
    <n v="92.966250000000002"/>
    <n v="0"/>
    <n v="195.34125"/>
    <n v="604.43776340000022"/>
    <n v="0.75575596917757293"/>
    <x v="1"/>
    <s v="MEDIANO"/>
    <x v="10"/>
    <x v="1"/>
    <n v="8"/>
    <n v="1"/>
    <d v="2018-01-05T00:00:00"/>
    <s v="MITSUBISHI"/>
    <s v="LANCER"/>
    <n v="0"/>
    <d v="2018-01-08T00:00:00"/>
    <n v="7"/>
    <x v="1"/>
  </r>
  <r>
    <d v="2018-01-13T00:00:00"/>
    <s v="001-00011334"/>
    <n v="964.85453646600013"/>
    <n v="0"/>
    <n v="0"/>
    <n v="84.75"/>
    <n v="16.087500000000002"/>
    <n v="73.125"/>
    <n v="77.471874999999997"/>
    <n v="0"/>
    <n v="251.43437499999999"/>
    <n v="713.42016146600008"/>
    <n v="0.73940696188159527"/>
    <x v="1"/>
    <s v="LEVE"/>
    <x v="10"/>
    <x v="1"/>
    <n v="5"/>
    <n v="1"/>
    <d v="2018-01-08T00:00:00"/>
    <s v="KIA"/>
    <s v="SPORTAGE"/>
    <n v="1842.9449999999997"/>
    <d v="2018-01-09T00:00:00"/>
    <n v="5"/>
    <x v="1"/>
  </r>
  <r>
    <d v="2018-01-15T00:00:00"/>
    <s v="001-00011314"/>
    <n v="2950"/>
    <n v="113.27"/>
    <n v="127.12"/>
    <n v="1439.99"/>
    <n v="165.8475"/>
    <n v="0"/>
    <n v="0"/>
    <n v="0"/>
    <n v="1846.2275000000002"/>
    <n v="1103.7724999999998"/>
    <n v="0.37416016949152536"/>
    <x v="0"/>
    <s v="-"/>
    <x v="10"/>
    <x v="1"/>
    <n v="11"/>
    <n v="1"/>
    <d v="2018-01-04T00:00:00"/>
    <s v="TOYOTA"/>
    <s v="HILUX"/>
    <n v="348.23750000000001"/>
    <d v="2018-01-05T00:00:00"/>
    <n v="0"/>
    <x v="691"/>
  </r>
  <r>
    <d v="2018-01-15T00:00:00"/>
    <s v="001-00011156"/>
    <n v="191.57492360000001"/>
    <n v="0"/>
    <n v="0"/>
    <n v="0"/>
    <n v="0"/>
    <n v="0"/>
    <n v="15.494375"/>
    <n v="0"/>
    <n v="15.494375"/>
    <n v="176.08054860000001"/>
    <n v="0.91912106914184888"/>
    <x v="1"/>
    <s v="LEVE"/>
    <x v="10"/>
    <x v="1"/>
    <n v="28"/>
    <n v="1"/>
    <d v="2017-12-18T00:00:00"/>
    <s v="SUZUKI"/>
    <s v="SWIFT"/>
    <n v="893.88000000000011"/>
    <d v="2017-12-12T00:00:00"/>
    <n v="0"/>
    <x v="1"/>
  </r>
  <r>
    <d v="2018-01-15T00:00:00"/>
    <s v="001-00011194"/>
    <n v="1982.7078418300002"/>
    <n v="0.94560000999999971"/>
    <n v="10.17"/>
    <n v="0"/>
    <n v="14.625"/>
    <n v="204.75"/>
    <n v="342.11579999999998"/>
    <n v="0"/>
    <n v="572.60640001000002"/>
    <n v="1410.1014418200002"/>
    <n v="0.71119981071871108"/>
    <x v="1"/>
    <s v="MEDIANO"/>
    <x v="10"/>
    <x v="1"/>
    <n v="24"/>
    <n v="1"/>
    <d v="2017-12-22T00:00:00"/>
    <s v="VOLKSWAGUEN"/>
    <s v="VOYAGE"/>
    <n v="4870.3850000000002"/>
    <d v="2017-12-26T00:00:00"/>
    <n v="14"/>
    <x v="1"/>
  </r>
  <r>
    <d v="2018-01-17T00:00:00"/>
    <s v="001-00011279"/>
    <n v="1161.9366488000001"/>
    <n v="0"/>
    <n v="0"/>
    <n v="55.084745762711869"/>
    <n v="0"/>
    <n v="117"/>
    <n v="211.96304999999998"/>
    <n v="0"/>
    <n v="384.04779576271187"/>
    <n v="777.88885303728819"/>
    <n v="0.66947613180172905"/>
    <x v="1"/>
    <s v="LEVE"/>
    <x v="10"/>
    <x v="1"/>
    <n v="14"/>
    <n v="1"/>
    <d v="2018-01-03T00:00:00"/>
    <s v="NISSAN"/>
    <s v="ALMERA"/>
    <n v="921.18"/>
    <d v="2018-01-04T00:00:00"/>
    <n v="8"/>
    <x v="692"/>
  </r>
  <r>
    <d v="2018-01-17T00:00:00"/>
    <s v="001-00010500"/>
    <n v="2880.0327935700002"/>
    <n v="0"/>
    <n v="0"/>
    <n v="92.686779661016942"/>
    <n v="58.5"/>
    <n v="351"/>
    <n v="294.393125"/>
    <n v="113.75"/>
    <n v="910.32990466101694"/>
    <n v="1969.7028889089834"/>
    <n v="0.68391682667869913"/>
    <x v="1"/>
    <s v="MEDIANO"/>
    <x v="10"/>
    <x v="1"/>
    <n v="112"/>
    <n v="1"/>
    <d v="2017-09-27T00:00:00"/>
    <s v="RENAULT"/>
    <s v="KOLEOS"/>
    <n v="16123.5425"/>
    <d v="2017-09-28T00:00:00"/>
    <n v="24"/>
    <x v="1"/>
  </r>
  <r>
    <d v="2018-01-17T00:00:00"/>
    <s v="001-00011305"/>
    <n v="993.31691823000006"/>
    <n v="0"/>
    <n v="0"/>
    <n v="0"/>
    <n v="0"/>
    <n v="102.375"/>
    <n v="185.9325"/>
    <n v="0"/>
    <n v="288.3075"/>
    <n v="705.00941823000005"/>
    <n v="0.70975275392093629"/>
    <x v="1"/>
    <s v="LEVE"/>
    <x v="10"/>
    <x v="1"/>
    <n v="13"/>
    <n v="1"/>
    <d v="2018-01-04T00:00:00"/>
    <s v="SUZUKI"/>
    <s v="CIAZ"/>
    <n v="0"/>
    <d v="2018-01-05T00:00:00"/>
    <n v="7"/>
    <x v="97"/>
  </r>
  <r>
    <d v="2018-01-17T00:00:00"/>
    <s v="001-00011296"/>
    <n v="1820.3314075000003"/>
    <n v="0"/>
    <n v="0"/>
    <n v="38.593220338983052"/>
    <n v="0"/>
    <n v="204.75"/>
    <n v="261.54505"/>
    <n v="0"/>
    <n v="504.88827033898303"/>
    <n v="1315.4431371610171"/>
    <n v="0.72263936761252467"/>
    <x v="1"/>
    <s v="MEDIANO"/>
    <x v="10"/>
    <x v="1"/>
    <n v="13"/>
    <n v="1"/>
    <d v="2018-01-04T00:00:00"/>
    <s v="TOYOTA"/>
    <s v="YARIS"/>
    <n v="1856.0100000000002"/>
    <d v="2018-01-03T00:00:00"/>
    <n v="14"/>
    <x v="1"/>
  </r>
  <r>
    <d v="2018-01-17T00:00:00"/>
    <s v="001-00011200"/>
    <n v="3185.0754249300003"/>
    <n v="0"/>
    <n v="0"/>
    <n v="55.084745762711869"/>
    <n v="35.099999999999994"/>
    <n v="438.75"/>
    <n v="350.17287500000003"/>
    <n v="0"/>
    <n v="879.1076207627118"/>
    <n v="2305.9678041672887"/>
    <n v="0.72399158466332647"/>
    <x v="1"/>
    <s v="GRAVE"/>
    <x v="10"/>
    <x v="1"/>
    <n v="25"/>
    <n v="1"/>
    <d v="2017-12-23T00:00:00"/>
    <s v="HYUNDAI"/>
    <s v="I10"/>
    <n v="1053.0974999999999"/>
    <d v="2017-12-26T00:00:00"/>
    <n v="30"/>
    <x v="1"/>
  </r>
  <r>
    <d v="2018-01-17T00:00:00"/>
    <s v="001-00011331"/>
    <n v="649.45243163000009"/>
    <n v="0"/>
    <n v="0"/>
    <n v="0"/>
    <n v="0"/>
    <n v="29.25"/>
    <n v="123.955"/>
    <n v="0"/>
    <n v="153.20499999999998"/>
    <n v="496.24743163000011"/>
    <n v="0.76410127587714927"/>
    <x v="1"/>
    <s v="LEVE"/>
    <x v="10"/>
    <x v="1"/>
    <n v="9"/>
    <n v="1"/>
    <d v="2018-01-08T00:00:00"/>
    <s v="SUZUKI"/>
    <s v="CIAZ"/>
    <n v="0"/>
    <d v="2018-01-05T00:00:00"/>
    <n v="2"/>
    <x v="1"/>
  </r>
  <r>
    <d v="2018-01-18T00:00:00"/>
    <s v="001-00011207"/>
    <n v="2666.2592753906802"/>
    <n v="0"/>
    <n v="96.098400000000012"/>
    <n v="0"/>
    <n v="0"/>
    <n v="255.9375"/>
    <n v="526.80875000000003"/>
    <n v="0"/>
    <n v="878.84465"/>
    <n v="1787.4146253906802"/>
    <n v="0.67038290007590307"/>
    <x v="0"/>
    <s v="MEDIANO"/>
    <x v="10"/>
    <x v="1"/>
    <n v="23"/>
    <n v="1"/>
    <d v="2017-12-26T00:00:00"/>
    <s v="SUZUKI"/>
    <s v="GRAND N."/>
    <n v="0"/>
    <d v="2017-12-26T00:00:00"/>
    <n v="17.5"/>
    <x v="693"/>
  </r>
  <r>
    <d v="2018-01-18T00:00:00"/>
    <s v="001-00011403"/>
    <n v="525"/>
    <n v="144.82999599999999"/>
    <n v="0"/>
    <n v="0"/>
    <n v="39.048749999999998"/>
    <n v="0"/>
    <n v="0"/>
    <n v="0"/>
    <n v="183.87874599999998"/>
    <n v="341.12125400000002"/>
    <n v="0.64975476952380962"/>
    <x v="0"/>
    <s v="-"/>
    <x v="10"/>
    <x v="1"/>
    <n v="2"/>
    <n v="1"/>
    <d v="2018-01-16T00:00:00"/>
    <s v="NISSAN"/>
    <s v="FRONTIER"/>
    <n v="0"/>
    <d v="2018-01-17T00:00:00"/>
    <n v="0"/>
    <x v="694"/>
  </r>
  <r>
    <d v="2018-01-18T00:00:00"/>
    <s v="001-00011330"/>
    <n v="1168.9502221267792"/>
    <n v="0"/>
    <n v="0"/>
    <n v="0"/>
    <n v="0"/>
    <n v="102.375"/>
    <n v="185.9325"/>
    <n v="0"/>
    <n v="288.3075"/>
    <n v="880.64272212677918"/>
    <n v="0.75336203839761839"/>
    <x v="1"/>
    <s v="LEVE"/>
    <x v="10"/>
    <x v="1"/>
    <n v="10"/>
    <n v="1"/>
    <d v="2018-01-08T00:00:00"/>
    <s v="KIA"/>
    <s v="CERATO"/>
    <n v="788.22249999999997"/>
    <d v="2018-01-08T00:00:00"/>
    <n v="7"/>
    <x v="1"/>
  </r>
  <r>
    <d v="2018-01-18T00:00:00"/>
    <s v="001-00011343"/>
    <n v="608.4562010327802"/>
    <n v="0"/>
    <n v="0"/>
    <n v="79.779661016949149"/>
    <n v="0"/>
    <n v="51.1875"/>
    <n v="92.966250000000002"/>
    <n v="0"/>
    <n v="223.93341101694915"/>
    <n v="384.52279001583105"/>
    <n v="0.63196461694884609"/>
    <x v="1"/>
    <s v="LEVE"/>
    <x v="10"/>
    <x v="1"/>
    <n v="9"/>
    <n v="1"/>
    <d v="2018-01-09T00:00:00"/>
    <s v="HYUNDAI"/>
    <s v="I20"/>
    <n v="2045.55"/>
    <d v="2018-01-10T00:00:00"/>
    <n v="3.5"/>
    <x v="1"/>
  </r>
  <r>
    <d v="2018-01-18T00:00:00"/>
    <s v="001-00011277"/>
    <n v="473.96046648006973"/>
    <n v="1.276"/>
    <n v="0"/>
    <n v="0"/>
    <n v="0"/>
    <n v="23.400000000000002"/>
    <n v="92.966250000000002"/>
    <n v="0"/>
    <n v="117.64225"/>
    <n v="356.31821648006974"/>
    <n v="0.75178889734478116"/>
    <x v="1"/>
    <s v="LEVE"/>
    <x v="10"/>
    <x v="1"/>
    <n v="15"/>
    <n v="1"/>
    <d v="2018-01-03T00:00:00"/>
    <s v="FORD"/>
    <s v="ECOSPORT"/>
    <n v="3776.5"/>
    <d v="2018-01-04T00:00:00"/>
    <n v="1.6"/>
    <x v="1"/>
  </r>
  <r>
    <d v="2018-01-19T00:00:00"/>
    <s v="001-00011308"/>
    <n v="1001.8841171822"/>
    <n v="0"/>
    <n v="0"/>
    <n v="0"/>
    <n v="0"/>
    <n v="146.25"/>
    <n v="123.955"/>
    <n v="0"/>
    <n v="270.20499999999998"/>
    <n v="731.67911718220012"/>
    <n v="0.73030314048699396"/>
    <x v="1"/>
    <s v="MEDIANO"/>
    <x v="10"/>
    <x v="1"/>
    <n v="14"/>
    <n v="1"/>
    <d v="2018-01-05T00:00:00"/>
    <s v="HYUNDAI"/>
    <s v="SANTA FE"/>
    <n v="1624.3824999999999"/>
    <d v="2018-01-09T00:00:00"/>
    <n v="10"/>
    <x v="695"/>
  </r>
  <r>
    <d v="2018-01-19T00:00:00"/>
    <s v="001-00011338"/>
    <n v="1254.9759906593201"/>
    <n v="0"/>
    <n v="0"/>
    <n v="20.593220338983052"/>
    <n v="0"/>
    <n v="117"/>
    <n v="215.061925"/>
    <n v="0"/>
    <n v="352.65514533898306"/>
    <n v="902.32084532033707"/>
    <n v="0.71899450829038536"/>
    <x v="1"/>
    <s v="MEDIANO"/>
    <x v="10"/>
    <x v="1"/>
    <n v="11"/>
    <n v="1"/>
    <d v="2018-01-08T00:00:00"/>
    <s v="HYUNDAI"/>
    <s v="ACCENT"/>
    <n v="329.42"/>
    <d v="2018-01-09T00:00:00"/>
    <n v="8"/>
    <x v="1"/>
  </r>
  <r>
    <d v="2018-01-19T00:00:00"/>
    <s v="001-00011365"/>
    <n v="1229.8711822479688"/>
    <n v="0"/>
    <n v="0"/>
    <n v="41.186440677966104"/>
    <n v="0"/>
    <n v="117"/>
    <n v="216.92125000000001"/>
    <n v="0"/>
    <n v="375.10769067796616"/>
    <n v="854.76349157000266"/>
    <n v="0.69500245546664396"/>
    <x v="1"/>
    <s v="MEDIANO"/>
    <x v="10"/>
    <x v="1"/>
    <n v="8"/>
    <n v="1"/>
    <d v="2018-01-11T00:00:00"/>
    <s v="CHEVROLET"/>
    <s v="SAIL"/>
    <n v="0"/>
    <d v="2018-01-11T00:00:00"/>
    <n v="8"/>
    <x v="1"/>
  </r>
  <r>
    <d v="2018-01-19T00:00:00"/>
    <s v="001-00011253"/>
    <n v="1831.1921834632187"/>
    <n v="0.87519997999999977"/>
    <n v="0"/>
    <n v="0"/>
    <n v="0"/>
    <n v="175.5"/>
    <n v="263.40437500000002"/>
    <n v="0"/>
    <n v="439.77957498000001"/>
    <n v="1391.4126084832187"/>
    <n v="0.75983974868859883"/>
    <x v="1"/>
    <s v="MEDIANO"/>
    <x v="10"/>
    <x v="1"/>
    <n v="21"/>
    <n v="1"/>
    <d v="2017-12-29T00:00:00"/>
    <s v="SUZUKI"/>
    <s v="CIAZ"/>
    <n v="2889.6075000000001"/>
    <d v="2018-01-02T00:00:00"/>
    <n v="12"/>
    <x v="1"/>
  </r>
  <r>
    <d v="2018-01-19T00:00:00"/>
    <s v="001-00011373"/>
    <n v="640.63944733898006"/>
    <n v="0"/>
    <n v="0"/>
    <n v="20.593220338983052"/>
    <n v="0"/>
    <n v="58.5"/>
    <n v="121.47590000000001"/>
    <n v="0"/>
    <n v="200.56912033898305"/>
    <n v="440.07032699999701"/>
    <n v="0.68692355556298368"/>
    <x v="1"/>
    <s v="LEVE"/>
    <x v="10"/>
    <x v="1"/>
    <n v="7"/>
    <n v="1"/>
    <d v="2018-01-12T00:00:00"/>
    <s v="HYUNDAI"/>
    <s v="CRETA"/>
    <n v="2120.69"/>
    <d v="2018-01-09T00:00:00"/>
    <n v="4"/>
    <x v="1"/>
  </r>
  <r>
    <d v="2018-01-19T00:00:00"/>
    <s v="001-00011101"/>
    <n v="1094.4895273644099"/>
    <n v="0"/>
    <n v="0"/>
    <n v="0"/>
    <n v="0"/>
    <n v="87.75"/>
    <n v="185.9325"/>
    <n v="0"/>
    <n v="273.6825"/>
    <n v="820.80702736440992"/>
    <n v="0.74994507196515414"/>
    <x v="1"/>
    <s v="LEVE"/>
    <x v="10"/>
    <x v="1"/>
    <n v="38"/>
    <n v="1"/>
    <d v="2017-12-12T00:00:00"/>
    <s v="HYUNDAI"/>
    <s v="ELANTRA"/>
    <n v="666.99749999999995"/>
    <d v="2017-12-13T00:00:00"/>
    <n v="6"/>
    <x v="1"/>
  </r>
  <r>
    <d v="2018-01-19T00:00:00"/>
    <s v="001-00011431"/>
    <n v="127"/>
    <n v="38.886249750000005"/>
    <n v="0"/>
    <n v="0"/>
    <n v="39.048749999999998"/>
    <n v="0"/>
    <n v="0"/>
    <n v="0"/>
    <n v="77.934999750000003"/>
    <n v="49.065000249999997"/>
    <n v="0.38633858464566928"/>
    <x v="0"/>
    <s v="-"/>
    <x v="10"/>
    <x v="1"/>
    <n v="1"/>
    <n v="1"/>
    <d v="2018-01-18T00:00:00"/>
    <s v="NISSAN"/>
    <s v="TIIDA"/>
    <n v="80.242500000000007"/>
    <d v="2018-01-19T00:00:00"/>
    <n v="0"/>
    <x v="638"/>
  </r>
  <r>
    <d v="2018-01-19T00:00:00"/>
    <s v="001-00011423"/>
    <n v="390.27119000000005"/>
    <n v="89.749104299999999"/>
    <n v="16.95"/>
    <n v="0"/>
    <n v="87.75"/>
    <n v="0"/>
    <n v="0"/>
    <n v="0"/>
    <n v="194.44910429999999"/>
    <n v="195.82208570000006"/>
    <n v="0.50175900942111573"/>
    <x v="0"/>
    <s v="-"/>
    <x v="10"/>
    <x v="1"/>
    <n v="2"/>
    <n v="1"/>
    <d v="2018-01-17T00:00:00"/>
    <s v="NISSAN"/>
    <s v="TIIDA"/>
    <n v="206.89500000000001"/>
    <d v="2018-01-18T00:00:00"/>
    <n v="0"/>
    <x v="638"/>
  </r>
  <r>
    <d v="2018-01-20T00:00:00"/>
    <s v="001-00010877"/>
    <n v="1105.8028940999998"/>
    <n v="0"/>
    <n v="0"/>
    <n v="41.186440677966104"/>
    <n v="0"/>
    <n v="102.375"/>
    <n v="185.9325"/>
    <n v="0"/>
    <n v="329.49394067796612"/>
    <n v="776.30895342203371"/>
    <n v="0.70203194218790921"/>
    <x v="1"/>
    <s v="MEDIANO"/>
    <x v="10"/>
    <x v="1"/>
    <n v="68"/>
    <n v="1"/>
    <d v="2017-11-13T00:00:00"/>
    <s v="KIA"/>
    <s v="RIO"/>
    <n v="30.745000000000005"/>
    <d v="2017-11-14T00:00:00"/>
    <n v="7"/>
    <x v="696"/>
  </r>
  <r>
    <d v="2018-01-20T00:00:00"/>
    <s v="001-00011235"/>
    <n v="941.98135119999984"/>
    <n v="0"/>
    <n v="0"/>
    <n v="0"/>
    <n v="0"/>
    <n v="73.125"/>
    <n v="122.71545"/>
    <n v="0"/>
    <n v="195.84045"/>
    <n v="746.1409011999998"/>
    <n v="0.79209731726587063"/>
    <x v="1"/>
    <s v="LEVE"/>
    <x v="10"/>
    <x v="1"/>
    <n v="23"/>
    <n v="1"/>
    <d v="2017-12-28T00:00:00"/>
    <s v="KIA"/>
    <s v="RIO"/>
    <n v="690.13749999999993"/>
    <d v="2017-11-14T00:00:00"/>
    <n v="5"/>
    <x v="696"/>
  </r>
  <r>
    <d v="2018-01-20T00:00:00"/>
    <s v="001-00011412"/>
    <n v="482.55"/>
    <n v="0"/>
    <n v="0"/>
    <n v="0"/>
    <n v="0"/>
    <n v="29.25"/>
    <n v="123.955"/>
    <n v="0"/>
    <n v="153.20499999999998"/>
    <n v="329.34500000000003"/>
    <n v="0.68250958449901566"/>
    <x v="0"/>
    <s v="LEVE"/>
    <x v="10"/>
    <x v="1"/>
    <n v="3"/>
    <n v="1"/>
    <d v="2018-01-17T00:00:00"/>
    <s v="TOYOTA"/>
    <s v="COROLLA"/>
    <n v="0"/>
    <d v="2018-01-17T00:00:00"/>
    <n v="2"/>
    <x v="697"/>
  </r>
  <r>
    <d v="2018-01-20T00:00:00"/>
    <s v="001-00011349"/>
    <n v="1162.2638176999999"/>
    <n v="3.9748998599999998"/>
    <n v="0"/>
    <n v="145.93288135593224"/>
    <n v="0"/>
    <n v="87.75"/>
    <n v="92.966250000000002"/>
    <n v="0"/>
    <n v="330.62403121593223"/>
    <n v="831.6397864840676"/>
    <n v="0.71553443703495556"/>
    <x v="1"/>
    <s v="LEVE"/>
    <x v="10"/>
    <x v="1"/>
    <n v="11"/>
    <n v="1"/>
    <d v="2018-01-09T00:00:00"/>
    <s v="CHEVROLET"/>
    <s v="SAIL"/>
    <n v="0"/>
    <d v="2018-01-09T00:00:00"/>
    <n v="6"/>
    <x v="1"/>
  </r>
  <r>
    <d v="2018-01-20T00:00:00"/>
    <s v="001-00011195"/>
    <n v="3789.6533766699999"/>
    <n v="12.403"/>
    <n v="0"/>
    <n v="84.75"/>
    <n v="17.549999999999997"/>
    <n v="468"/>
    <n v="456.15440000000001"/>
    <n v="0"/>
    <n v="1038.8573999999999"/>
    <n v="2750.7959766700001"/>
    <n v="0.72587007392405567"/>
    <x v="1"/>
    <s v="GRAVE"/>
    <x v="10"/>
    <x v="1"/>
    <n v="29"/>
    <n v="1"/>
    <d v="2017-12-22T00:00:00"/>
    <s v="RENAULT"/>
    <s v="LOGAN"/>
    <n v="12488.71"/>
    <d v="2017-12-26T00:00:00"/>
    <n v="32"/>
    <x v="1"/>
  </r>
  <r>
    <d v="2018-01-20T00:00:00"/>
    <s v="001-00011298"/>
    <n v="1934.5349074999999"/>
    <n v="0"/>
    <n v="0"/>
    <n v="145.11474576271186"/>
    <n v="0"/>
    <n v="204.75"/>
    <n v="236.134275"/>
    <n v="0"/>
    <n v="585.99902076271189"/>
    <n v="1348.5358867372879"/>
    <n v="0.69708532087436004"/>
    <x v="1"/>
    <s v="MEDIANO"/>
    <x v="10"/>
    <x v="1"/>
    <n v="16"/>
    <n v="1"/>
    <d v="2018-01-04T00:00:00"/>
    <s v="KIA"/>
    <s v="RIO"/>
    <n v="1960.0100000000002"/>
    <d v="2018-01-05T00:00:00"/>
    <n v="14"/>
    <x v="1"/>
  </r>
  <r>
    <d v="2018-01-20T00:00:00"/>
    <s v="001-00011366"/>
    <n v="1167.4711756000002"/>
    <n v="0"/>
    <n v="0"/>
    <n v="78.729661016949152"/>
    <n v="0"/>
    <n v="87.75"/>
    <n v="216.92125000000001"/>
    <n v="0"/>
    <n v="383.40091101694918"/>
    <n v="784.07026458305097"/>
    <n v="0.67159710746613732"/>
    <x v="1"/>
    <s v="LEVE"/>
    <x v="10"/>
    <x v="1"/>
    <n v="9"/>
    <n v="1"/>
    <d v="2018-01-11T00:00:00"/>
    <s v="KIA"/>
    <s v="CERATO"/>
    <n v="2497.2999999999997"/>
    <d v="2018-01-12T00:00:00"/>
    <n v="6"/>
    <x v="1"/>
  </r>
  <r>
    <d v="2018-01-20T00:00:00"/>
    <s v="001-00011270"/>
    <n v="1415.4800000000002"/>
    <n v="0"/>
    <n v="0"/>
    <n v="141.86762711864407"/>
    <n v="13.1625"/>
    <n v="117"/>
    <n v="208.24439999999998"/>
    <n v="0"/>
    <n v="480.27452711864402"/>
    <n v="935.20547288135617"/>
    <n v="0.6606984718126403"/>
    <x v="1"/>
    <s v="MEDIANO"/>
    <x v="10"/>
    <x v="1"/>
    <n v="18"/>
    <n v="1"/>
    <d v="2018-01-02T00:00:00"/>
    <s v="KIA"/>
    <s v="RIO"/>
    <n v="2844.79"/>
    <d v="2018-01-05T00:00:00"/>
    <n v="8"/>
    <x v="1"/>
  </r>
  <r>
    <d v="2018-01-20T00:00:00"/>
    <s v="001-00011303"/>
    <n v="1305.9655992"/>
    <n v="10.17"/>
    <n v="0"/>
    <n v="220.9830508474576"/>
    <n v="19.012500000000003"/>
    <n v="117"/>
    <n v="158.66240000000002"/>
    <n v="0"/>
    <n v="525.8279508474576"/>
    <n v="780.13764835254244"/>
    <n v="0.59736462341001484"/>
    <x v="1"/>
    <s v="MEDIANO"/>
    <x v="10"/>
    <x v="1"/>
    <n v="16"/>
    <n v="1"/>
    <d v="2018-01-04T00:00:00"/>
    <s v="SUZUKI"/>
    <s v="CIAZ"/>
    <n v="3397.4849999999997"/>
    <d v="2018-01-05T00:00:00"/>
    <n v="8"/>
    <x v="1"/>
  </r>
  <r>
    <d v="2018-01-20T00:00:00"/>
    <s v="001-00011325"/>
    <n v="925.8416622000002"/>
    <n v="0"/>
    <n v="0"/>
    <n v="114.27118644067798"/>
    <n v="0"/>
    <n v="51.1875"/>
    <n v="154.94374999999999"/>
    <n v="0"/>
    <n v="320.402436440678"/>
    <n v="605.4392257593222"/>
    <n v="0.65393387495726596"/>
    <x v="1"/>
    <s v="LEVE"/>
    <x v="10"/>
    <x v="1"/>
    <n v="12"/>
    <n v="1"/>
    <d v="2018-01-08T00:00:00"/>
    <s v="HYUNDAI"/>
    <s v="I20"/>
    <n v="2004.145"/>
    <d v="2018-01-08T00:00:00"/>
    <n v="3.5"/>
    <x v="1"/>
  </r>
  <r>
    <d v="2018-01-20T00:00:00"/>
    <s v="001-00011339"/>
    <n v="1414.9074061700001"/>
    <n v="0"/>
    <n v="0"/>
    <n v="0"/>
    <n v="0"/>
    <n v="204.75"/>
    <n v="185.9325"/>
    <n v="0"/>
    <n v="390.6825"/>
    <n v="1024.2249061699999"/>
    <n v="0.72388122480923678"/>
    <x v="1"/>
    <s v="MEDIANO"/>
    <x v="10"/>
    <x v="1"/>
    <n v="12"/>
    <n v="1"/>
    <d v="2018-01-08T00:00:00"/>
    <s v="VOLKSWAGUEN"/>
    <s v="GOL"/>
    <n v="2170.09"/>
    <d v="2018-01-09T00:00:00"/>
    <n v="14"/>
    <x v="1"/>
  </r>
  <r>
    <d v="2018-01-23T00:00:00"/>
    <s v="001-00011407"/>
    <n v="780"/>
    <n v="166.33008050000001"/>
    <n v="0"/>
    <n v="50.85"/>
    <n v="78.097499999999997"/>
    <n v="0"/>
    <n v="0"/>
    <n v="0"/>
    <n v="295.2775805"/>
    <n v="484.7224195"/>
    <n v="0.6214389993589744"/>
    <x v="0"/>
    <s v="-"/>
    <x v="10"/>
    <x v="1"/>
    <n v="7"/>
    <n v="1"/>
    <d v="2018-01-16T00:00:00"/>
    <s v="HYUNDAI"/>
    <s v="TUCSON"/>
    <n v="178.75"/>
    <d v="2018-01-17T00:00:00"/>
    <n v="0"/>
    <x v="28"/>
  </r>
  <r>
    <d v="2018-01-23T00:00:00"/>
    <s v="001-00011408"/>
    <n v="321.60001"/>
    <n v="0"/>
    <n v="0"/>
    <n v="0"/>
    <n v="0"/>
    <n v="43.875"/>
    <n v="61.977499999999999"/>
    <n v="0"/>
    <n v="105.85249999999999"/>
    <n v="215.74751000000001"/>
    <n v="0.67085666446341219"/>
    <x v="0"/>
    <s v="LEVE"/>
    <x v="10"/>
    <x v="1"/>
    <n v="7"/>
    <n v="1"/>
    <d v="2018-01-16T00:00:00"/>
    <s v="HYUNDAI"/>
    <s v="TUCSON"/>
    <n v="0"/>
    <d v="2018-01-17T00:00:00"/>
    <n v="3"/>
    <x v="28"/>
  </r>
  <r>
    <d v="2018-01-23T00:00:00"/>
    <s v="001-00011318"/>
    <n v="2019.2936595889798"/>
    <n v="0.63800000000000001"/>
    <n v="0"/>
    <n v="0"/>
    <n v="0"/>
    <n v="263.25"/>
    <n v="278.89875000000001"/>
    <n v="0"/>
    <n v="542.78674999999998"/>
    <n v="1476.5069095889799"/>
    <n v="0.73119969578348387"/>
    <x v="1"/>
    <s v="MEDIANO"/>
    <x v="10"/>
    <x v="1"/>
    <n v="17"/>
    <n v="1"/>
    <d v="2018-01-06T00:00:00"/>
    <s v="TOYOTA"/>
    <s v="YARIS"/>
    <n v="950.68999999999994"/>
    <d v="2018-01-08T00:00:00"/>
    <n v="18"/>
    <x v="1"/>
  </r>
  <r>
    <d v="2018-01-23T00:00:00"/>
    <s v="001-00011255"/>
    <n v="3227.1470457866089"/>
    <n v="11.18600004"/>
    <n v="0"/>
    <n v="236.95406779661019"/>
    <n v="96.524999999999991"/>
    <n v="321.75"/>
    <n v="335.91804999999999"/>
    <n v="0"/>
    <n v="1002.3331178366102"/>
    <n v="2224.8139279499987"/>
    <n v="0.68940581150609015"/>
    <x v="1"/>
    <s v="MEDIANO"/>
    <x v="10"/>
    <x v="1"/>
    <n v="25"/>
    <n v="1"/>
    <d v="2017-12-29T00:00:00"/>
    <s v="KIA"/>
    <s v="RIO"/>
    <n v="6819.8974999999991"/>
    <d v="2018-01-03T00:00:00"/>
    <n v="22"/>
    <x v="1"/>
  </r>
  <r>
    <d v="2018-01-23T00:00:00"/>
    <s v="001-00011098"/>
    <n v="1279.5592540272892"/>
    <n v="10.74669997"/>
    <n v="0"/>
    <n v="84.75"/>
    <n v="14.625"/>
    <n v="87.75"/>
    <n v="185.9325"/>
    <n v="0"/>
    <n v="383.80419997000001"/>
    <n v="895.75505405728916"/>
    <n v="0.70004968604461781"/>
    <x v="1"/>
    <s v="LEVE"/>
    <x v="10"/>
    <x v="1"/>
    <n v="43"/>
    <n v="1"/>
    <d v="2017-12-11T00:00:00"/>
    <s v="HYUNDAI"/>
    <s v="ELANTRA"/>
    <n v="8384.0249999999996"/>
    <d v="2017-12-13T00:00:00"/>
    <n v="6"/>
    <x v="1"/>
  </r>
  <r>
    <d v="2018-01-23T00:00:00"/>
    <s v="001-00011429"/>
    <n v="1672"/>
    <n v="636.87299214999996"/>
    <n v="0"/>
    <n v="84.75"/>
    <n v="87.75"/>
    <n v="0"/>
    <n v="0"/>
    <n v="0"/>
    <n v="809.37299214999996"/>
    <n v="862.62700785000004"/>
    <n v="0.51592524392942585"/>
    <x v="0"/>
    <s v="-"/>
    <x v="10"/>
    <x v="1"/>
    <n v="5"/>
    <n v="1"/>
    <d v="2018-01-18T00:00:00"/>
    <s v="NISSAN"/>
    <s v="TIIDA"/>
    <n v="1233.7650000000001"/>
    <d v="2018-01-19T00:00:00"/>
    <n v="0"/>
    <x v="638"/>
  </r>
  <r>
    <d v="2018-01-23T00:00:00"/>
    <s v="001-00011391"/>
    <n v="1610"/>
    <n v="519.09001999999998"/>
    <n v="0"/>
    <n v="84.75"/>
    <n v="39.048749999999998"/>
    <n v="0"/>
    <n v="0"/>
    <n v="0"/>
    <n v="642.88877000000002"/>
    <n v="967.11122999999998"/>
    <n v="0.6006902049689441"/>
    <x v="0"/>
    <s v="-"/>
    <x v="10"/>
    <x v="1"/>
    <n v="9"/>
    <n v="1"/>
    <d v="2018-01-14T00:00:00"/>
    <s v="FIAT"/>
    <s v="FIORINO"/>
    <n v="1053"/>
    <d v="2018-01-15T00:00:00"/>
    <n v="0"/>
    <x v="157"/>
  </r>
  <r>
    <d v="2018-01-24T00:00:00"/>
    <s v="001-00011320"/>
    <n v="1685.9921836762701"/>
    <n v="0"/>
    <n v="0"/>
    <n v="96.27118644067798"/>
    <n v="0"/>
    <n v="234"/>
    <n v="154.94374999999999"/>
    <n v="0"/>
    <n v="485.214936440678"/>
    <n v="1200.7772472355921"/>
    <n v="0.71220807478319548"/>
    <x v="1"/>
    <s v="MEDIANO"/>
    <x v="10"/>
    <x v="1"/>
    <n v="18"/>
    <n v="1"/>
    <d v="2018-01-06T00:00:00"/>
    <s v="CHEVROLET"/>
    <s v="CRUZE"/>
    <n v="1498.25"/>
    <d v="2018-01-08T00:00:00"/>
    <n v="16"/>
    <x v="698"/>
  </r>
  <r>
    <d v="2018-01-24T00:00:00"/>
    <s v="001-00011378"/>
    <n v="520.68678597541998"/>
    <n v="16.950001"/>
    <n v="0"/>
    <n v="0"/>
    <n v="0"/>
    <n v="29.25"/>
    <n v="123.955"/>
    <n v="0"/>
    <n v="170.155001"/>
    <n v="350.53178497542001"/>
    <n v="0.67321044900103832"/>
    <x v="1"/>
    <s v="LEVE"/>
    <x v="10"/>
    <x v="1"/>
    <n v="9"/>
    <n v="1"/>
    <d v="2018-01-15T00:00:00"/>
    <s v="KIA"/>
    <s v="RIO"/>
    <n v="604.46749999999997"/>
    <d v="2018-01-15T00:00:00"/>
    <n v="2"/>
    <x v="699"/>
  </r>
  <r>
    <d v="2018-01-24T00:00:00"/>
    <s v="001-00011369"/>
    <n v="721.46518950271093"/>
    <n v="0"/>
    <n v="0"/>
    <n v="0"/>
    <n v="0"/>
    <n v="51.1875"/>
    <n v="176.635875"/>
    <n v="0"/>
    <n v="227.823375"/>
    <n v="493.64181450271093"/>
    <n v="0.68422125098366382"/>
    <x v="1"/>
    <s v="LEVE"/>
    <x v="10"/>
    <x v="1"/>
    <n v="13"/>
    <n v="1"/>
    <d v="2018-01-11T00:00:00"/>
    <s v="KIA"/>
    <s v="CERATO"/>
    <n v="2092.5774999999999"/>
    <d v="2018-01-12T00:00:00"/>
    <n v="3.5"/>
    <x v="1"/>
  </r>
  <r>
    <d v="2018-01-24T00:00:00"/>
    <s v="001-00011368"/>
    <n v="904.12986099728914"/>
    <n v="0"/>
    <n v="0"/>
    <n v="13.728813559322036"/>
    <n v="7.3125"/>
    <n v="58.5"/>
    <n v="139.449375"/>
    <n v="0"/>
    <n v="218.99068855932205"/>
    <n v="685.13917243796709"/>
    <n v="0.75778845716060395"/>
    <x v="1"/>
    <s v="LEVE"/>
    <x v="10"/>
    <x v="1"/>
    <n v="13"/>
    <n v="1"/>
    <d v="2018-01-11T00:00:00"/>
    <s v="KIA"/>
    <s v="RIO"/>
    <n v="1756.625"/>
    <d v="2018-01-11T00:00:00"/>
    <n v="4"/>
    <x v="1"/>
  </r>
  <r>
    <d v="2018-01-24T00:00:00"/>
    <s v="001-00011328"/>
    <n v="1797.3068118058197"/>
    <n v="0"/>
    <n v="0"/>
    <n v="116.6949152542373"/>
    <n v="0"/>
    <n v="124.3125"/>
    <n v="296.25244999999995"/>
    <n v="0"/>
    <n v="537.25986525423718"/>
    <n v="1260.0469465515826"/>
    <n v="0.70107504087494521"/>
    <x v="1"/>
    <s v="LEVE"/>
    <x v="10"/>
    <x v="1"/>
    <n v="16"/>
    <n v="1"/>
    <d v="2018-01-08T00:00:00"/>
    <s v="CHEVROLET"/>
    <s v="TRACKER"/>
    <n v="332.05250000000001"/>
    <d v="2018-01-03T00:00:00"/>
    <n v="8.5"/>
    <x v="1"/>
  </r>
  <r>
    <d v="2018-01-24T00:00:00"/>
    <s v="001-00011356"/>
    <n v="1206.4702928796601"/>
    <n v="0"/>
    <n v="0"/>
    <n v="0"/>
    <n v="0"/>
    <n v="117"/>
    <n v="240.47270000000003"/>
    <n v="0"/>
    <n v="357.47270000000003"/>
    <n v="848.99759287966003"/>
    <n v="0.70370368660568727"/>
    <x v="1"/>
    <s v="MEDIANO"/>
    <x v="10"/>
    <x v="1"/>
    <n v="14"/>
    <n v="1"/>
    <d v="2018-01-10T00:00:00"/>
    <s v="MAZDA"/>
    <s v="MAZDA 3"/>
    <n v="2034.6299999999999"/>
    <d v="2018-01-11T00:00:00"/>
    <n v="8"/>
    <x v="1"/>
  </r>
  <r>
    <d v="2018-01-24T00:00:00"/>
    <s v="001-00011299"/>
    <n v="1213.5630377"/>
    <n v="0"/>
    <n v="169.49"/>
    <n v="18"/>
    <n v="0"/>
    <n v="175.5"/>
    <n v="123.955"/>
    <n v="0"/>
    <n v="486.94499999999999"/>
    <n v="726.61803770000006"/>
    <n v="0.59874766709862859"/>
    <x v="1"/>
    <s v="MEDIANO"/>
    <x v="10"/>
    <x v="1"/>
    <n v="20"/>
    <n v="1"/>
    <d v="2018-01-04T00:00:00"/>
    <s v="KIA"/>
    <s v="CERATO"/>
    <n v="2242.8250000000003"/>
    <d v="2018-01-06T00:00:00"/>
    <n v="12"/>
    <x v="1"/>
  </r>
  <r>
    <d v="2018-01-24T00:00:00"/>
    <s v="001-00011394"/>
    <n v="860.20956611288113"/>
    <n v="0"/>
    <n v="0"/>
    <n v="20.656779661016948"/>
    <n v="0"/>
    <n v="87.75"/>
    <n v="148.74600000000001"/>
    <n v="0"/>
    <n v="257.15277966101695"/>
    <n v="603.05678645186413"/>
    <n v="0.70105798657524798"/>
    <x v="1"/>
    <s v="LEVE"/>
    <x v="10"/>
    <x v="1"/>
    <n v="9"/>
    <n v="1"/>
    <d v="2018-01-15T00:00:00"/>
    <s v="KIA"/>
    <s v="RIO"/>
    <n v="1504.75"/>
    <d v="2018-01-16T00:00:00"/>
    <n v="6"/>
    <x v="1"/>
  </r>
  <r>
    <d v="2018-01-25T00:00:00"/>
    <s v="001-00011461"/>
    <n v="998.10169999999994"/>
    <n v="337.9324280400001"/>
    <n v="0"/>
    <n v="38.14"/>
    <n v="78.097499999999997"/>
    <n v="0"/>
    <n v="0"/>
    <n v="0"/>
    <n v="454.16992804000006"/>
    <n v="543.93177195999988"/>
    <n v="0.54496628145208037"/>
    <x v="0"/>
    <s v="-"/>
    <x v="10"/>
    <x v="1"/>
    <n v="1"/>
    <n v="1"/>
    <d v="2018-01-24T00:00:00"/>
    <s v="KIA"/>
    <s v="RIO"/>
    <n v="501.53999999999996"/>
    <d v="2018-01-24T00:00:00"/>
    <n v="0"/>
    <x v="96"/>
  </r>
  <r>
    <d v="2018-01-25T00:00:00"/>
    <s v="001-00011453"/>
    <n v="720"/>
    <n v="122.91019917999996"/>
    <n v="0"/>
    <n v="127.13000000000001"/>
    <n v="58.5"/>
    <n v="0"/>
    <n v="0"/>
    <n v="0"/>
    <n v="308.54019917999995"/>
    <n v="411.45980082000005"/>
    <n v="0.57147194558333336"/>
    <x v="0"/>
    <s v="-"/>
    <x v="10"/>
    <x v="1"/>
    <n v="2"/>
    <n v="1"/>
    <d v="2018-01-23T00:00:00"/>
    <s v="SUZUKI"/>
    <s v="CELERIO"/>
    <n v="331.01249999999999"/>
    <d v="2018-01-23T00:00:00"/>
    <n v="0"/>
    <x v="700"/>
  </r>
  <r>
    <d v="2018-01-25T00:00:00"/>
    <s v="001-00010978"/>
    <n v="1304.884"/>
    <n v="0"/>
    <n v="0"/>
    <n v="92.62322033898306"/>
    <n v="0"/>
    <n v="102.375"/>
    <n v="247.91"/>
    <n v="0"/>
    <n v="442.90822033898303"/>
    <n v="861.97577966101699"/>
    <n v="0.660576556736857"/>
    <x v="1"/>
    <s v="LEVE"/>
    <x v="10"/>
    <x v="1"/>
    <n v="59"/>
    <n v="1"/>
    <d v="2017-11-27T00:00:00"/>
    <s v="SUZUKI"/>
    <s v="SWIFT"/>
    <n v="2591.2575000000002"/>
    <d v="2017-11-28T00:00:00"/>
    <n v="7"/>
    <x v="701"/>
  </r>
  <r>
    <d v="2018-01-25T00:00:00"/>
    <s v="001-00011388"/>
    <n v="886.46491040000001"/>
    <n v="0"/>
    <n v="0"/>
    <n v="0"/>
    <n v="0"/>
    <n v="87.75"/>
    <n v="181.594075"/>
    <n v="0"/>
    <n v="269.34407499999998"/>
    <n v="617.12083540000003"/>
    <n v="0.69615934952409597"/>
    <x v="1"/>
    <s v="LEVE"/>
    <x v="10"/>
    <x v="1"/>
    <n v="10"/>
    <n v="1"/>
    <d v="2018-01-15T00:00:00"/>
    <s v="KIA"/>
    <s v="SPORTAGE"/>
    <n v="1989.5849999999998"/>
    <d v="2018-01-16T00:00:00"/>
    <n v="6"/>
    <x v="1"/>
  </r>
  <r>
    <d v="2018-01-25T00:00:00"/>
    <s v="001-00011217"/>
    <n v="3312.027"/>
    <n v="1.276"/>
    <n v="0"/>
    <n v="107.25423728813561"/>
    <n v="0"/>
    <n v="438.75"/>
    <n v="449.33687499999996"/>
    <n v="0"/>
    <n v="996.61711228813556"/>
    <n v="2315.4098877118645"/>
    <n v="0.69909148920339859"/>
    <x v="1"/>
    <s v="GRAVE"/>
    <x v="10"/>
    <x v="1"/>
    <n v="30"/>
    <n v="1"/>
    <d v="2017-12-26T00:00:00"/>
    <s v="TOYOTA"/>
    <s v="YARIS"/>
    <n v="1582.75"/>
    <d v="2018-01-02T00:00:00"/>
    <n v="30"/>
    <x v="1"/>
  </r>
  <r>
    <d v="2018-01-25T00:00:00"/>
    <s v="001-00011285"/>
    <n v="2486.3285448000006"/>
    <n v="0"/>
    <n v="0"/>
    <n v="41.186440677966104"/>
    <n v="0"/>
    <n v="321.75"/>
    <n v="325.38187500000004"/>
    <n v="0"/>
    <n v="688.31831567796621"/>
    <n v="1798.0102291220344"/>
    <n v="0.72315874460053131"/>
    <x v="1"/>
    <s v="MEDIANO"/>
    <x v="10"/>
    <x v="1"/>
    <n v="22"/>
    <n v="1"/>
    <d v="2018-01-03T00:00:00"/>
    <s v="KIA"/>
    <s v="SOUL"/>
    <n v="4776.2649999999994"/>
    <d v="2018-01-05T00:00:00"/>
    <n v="22"/>
    <x v="1"/>
  </r>
  <r>
    <d v="2018-01-25T00:00:00"/>
    <s v="001-00011313"/>
    <n v="1640.4201362000001"/>
    <n v="0"/>
    <n v="0"/>
    <n v="121.69999999999999"/>
    <n v="52.65"/>
    <n v="146.25"/>
    <n v="201.426875"/>
    <n v="0"/>
    <n v="522.02687500000002"/>
    <n v="1118.3932612000001"/>
    <n v="0.68177245360492544"/>
    <x v="1"/>
    <s v="MEDIANO"/>
    <x v="10"/>
    <x v="1"/>
    <n v="20"/>
    <n v="1"/>
    <d v="2018-01-05T00:00:00"/>
    <s v="HYUNDAI"/>
    <s v="ACCENT"/>
    <n v="4474.8274999999994"/>
    <d v="2018-01-08T00:00:00"/>
    <n v="10"/>
    <x v="1"/>
  </r>
  <r>
    <d v="2018-01-26T00:00:00"/>
    <s v="001-00011425"/>
    <n v="613.68138320999992"/>
    <n v="0"/>
    <n v="0"/>
    <n v="0"/>
    <n v="0"/>
    <n v="102.375"/>
    <n v="74.373000000000005"/>
    <n v="0"/>
    <n v="176.74799999999999"/>
    <n v="436.93338320999993"/>
    <n v="0.71198735233668098"/>
    <x v="1"/>
    <s v="LEVE"/>
    <x v="10"/>
    <x v="1"/>
    <n v="8"/>
    <n v="1"/>
    <d v="2018-01-18T00:00:00"/>
    <s v="HYUNDAI"/>
    <s v="ELANTRA"/>
    <n v="0"/>
    <d v="2018-01-19T00:00:00"/>
    <n v="7"/>
    <x v="1"/>
  </r>
  <r>
    <d v="2018-01-26T00:00:00"/>
    <s v="001-00011383"/>
    <n v="1673.1444159"/>
    <n v="0"/>
    <n v="0"/>
    <n v="56.436440677966104"/>
    <n v="0"/>
    <n v="131.625"/>
    <n v="325.38187500000004"/>
    <n v="0"/>
    <n v="513.44331567796621"/>
    <n v="1159.7011002220338"/>
    <n v="0.6931267194877615"/>
    <x v="1"/>
    <s v="MEDIANO"/>
    <x v="10"/>
    <x v="1"/>
    <n v="11"/>
    <n v="1"/>
    <d v="2018-01-15T00:00:00"/>
    <s v="TOYOTA"/>
    <s v="LAND C."/>
    <n v="285.935"/>
    <d v="2018-01-16T00:00:00"/>
    <n v="9"/>
    <x v="1"/>
  </r>
  <r>
    <d v="2018-01-27T00:00:00"/>
    <s v="001-00011404"/>
    <n v="795.71247525000013"/>
    <n v="0"/>
    <n v="0"/>
    <n v="41.186440677966104"/>
    <n v="0"/>
    <n v="58.5"/>
    <n v="154.94374999999999"/>
    <n v="0"/>
    <n v="254.63019067796608"/>
    <n v="541.08228457203404"/>
    <n v="0.67999723694420477"/>
    <x v="1"/>
    <s v="LEVE"/>
    <x v="10"/>
    <x v="1"/>
    <n v="10"/>
    <n v="1"/>
    <d v="2018-01-17T00:00:00"/>
    <s v="CHEVROLET"/>
    <s v="TAHOE"/>
    <n v="0"/>
    <d v="2018-01-18T00:00:00"/>
    <n v="4"/>
    <x v="702"/>
  </r>
  <r>
    <d v="2018-01-27T00:00:00"/>
    <s v="001-00011420"/>
    <n v="358.4724888500001"/>
    <n v="0"/>
    <n v="0"/>
    <n v="0"/>
    <n v="0"/>
    <n v="51.1875"/>
    <n v="61.977499999999999"/>
    <n v="0"/>
    <n v="113.16499999999999"/>
    <n v="245.30748885000011"/>
    <n v="0.68431329175904221"/>
    <x v="0"/>
    <s v="LEVE"/>
    <x v="10"/>
    <x v="1"/>
    <n v="10"/>
    <n v="1"/>
    <d v="2018-01-17T00:00:00"/>
    <s v="CHEVROLET"/>
    <s v="TAHOE"/>
    <n v="0"/>
    <d v="2018-01-18T00:00:00"/>
    <n v="3.5"/>
    <x v="702"/>
  </r>
  <r>
    <d v="2018-01-27T00:00:00"/>
    <s v="001-00011475"/>
    <n v="1220"/>
    <n v="551.06365200000005"/>
    <n v="0"/>
    <n v="101.69"/>
    <n v="78.097499999999997"/>
    <n v="0"/>
    <n v="0"/>
    <n v="0"/>
    <n v="730.85115200000007"/>
    <n v="489.14884799999993"/>
    <n v="0.40094167868852454"/>
    <x v="0"/>
    <s v="-"/>
    <x v="10"/>
    <x v="1"/>
    <n v="1"/>
    <n v="1"/>
    <d v="2018-01-26T00:00:00"/>
    <s v="JEEP"/>
    <s v="COMPASS"/>
    <n v="531.63499999999999"/>
    <d v="2018-01-26T00:00:00"/>
    <n v="0"/>
    <x v="441"/>
  </r>
  <r>
    <d v="2018-01-27T00:00:00"/>
    <s v="001-00011421"/>
    <n v="1231.3449617000001"/>
    <n v="0"/>
    <n v="0"/>
    <n v="127.11474576271186"/>
    <n v="0"/>
    <n v="146.25"/>
    <n v="185.9325"/>
    <n v="0"/>
    <n v="459.2972457627119"/>
    <n v="772.04771593728822"/>
    <n v="0.62699547239093412"/>
    <x v="2"/>
    <s v="MEDIANO"/>
    <x v="10"/>
    <x v="1"/>
    <n v="9"/>
    <n v="1"/>
    <d v="2018-01-18T00:00:00"/>
    <s v="HYUNDAI"/>
    <s v="I30"/>
    <n v="0"/>
    <d v="2018-01-19T00:00:00"/>
    <n v="10"/>
    <x v="2"/>
  </r>
  <r>
    <d v="2018-01-27T00:00:00"/>
    <s v="001-00011390"/>
    <n v="863.63613178728917"/>
    <n v="0"/>
    <n v="0"/>
    <n v="56.436440677966104"/>
    <n v="0"/>
    <n v="73.125"/>
    <n v="139.449375"/>
    <n v="0"/>
    <n v="269.01081567796609"/>
    <n v="594.62531610932308"/>
    <n v="0.68851370875226114"/>
    <x v="1"/>
    <s v="LEVE"/>
    <x v="10"/>
    <x v="1"/>
    <n v="12"/>
    <n v="1"/>
    <d v="2018-01-15T00:00:00"/>
    <s v="SUZUKI"/>
    <s v="CIAZ"/>
    <n v="10.237499999999999"/>
    <d v="2018-01-16T00:00:00"/>
    <n v="5"/>
    <x v="1"/>
  </r>
  <r>
    <d v="2018-01-27T00:00:00"/>
    <s v="001-00011268"/>
    <n v="2099.7219001898302"/>
    <n v="0"/>
    <n v="10.17"/>
    <n v="125.34322033898306"/>
    <n v="7.3125"/>
    <n v="263.25"/>
    <n v="264.64392499999997"/>
    <n v="0"/>
    <n v="670.71964533898301"/>
    <n v="1429.0022548508473"/>
    <n v="0.68056739072048311"/>
    <x v="1"/>
    <s v="MEDIANO"/>
    <x v="10"/>
    <x v="1"/>
    <n v="25"/>
    <n v="1"/>
    <d v="2018-01-02T00:00:00"/>
    <s v="KIA"/>
    <s v="RIO"/>
    <n v="7076.2574999999997"/>
    <d v="2018-01-03T00:00:00"/>
    <n v="18"/>
    <x v="1"/>
  </r>
  <r>
    <d v="2018-01-27T00:00:00"/>
    <s v="001-00011397"/>
    <n v="1686.7850271689013"/>
    <n v="0"/>
    <n v="0"/>
    <n v="140.67406779661019"/>
    <n v="0"/>
    <n v="124.3125"/>
    <n v="311.74682499999994"/>
    <n v="0"/>
    <n v="576.73339279661013"/>
    <n v="1110.0516343722911"/>
    <n v="0.6580871993127666"/>
    <x v="1"/>
    <s v="LEVE"/>
    <x v="10"/>
    <x v="1"/>
    <n v="11"/>
    <n v="1"/>
    <d v="2018-01-16T00:00:00"/>
    <s v="SUZUKI"/>
    <s v="ERTIGA"/>
    <n v="2884.3425000000002"/>
    <d v="2018-01-17T00:00:00"/>
    <n v="8.5"/>
    <x v="1"/>
  </r>
  <r>
    <d v="2018-01-27T00:00:00"/>
    <s v="001-00011415"/>
    <n v="667.0998945201701"/>
    <n v="0"/>
    <n v="0"/>
    <n v="0"/>
    <n v="0"/>
    <n v="43.875"/>
    <n v="123.955"/>
    <n v="0"/>
    <n v="167.82999999999998"/>
    <n v="499.26989452017011"/>
    <n v="0.74841848817752199"/>
    <x v="1"/>
    <s v="LEVE"/>
    <x v="10"/>
    <x v="1"/>
    <n v="9"/>
    <n v="1"/>
    <d v="2018-01-18T00:00:00"/>
    <s v="KIA"/>
    <s v="CERATO"/>
    <n v="3634.6374999999998"/>
    <d v="2018-01-18T00:00:00"/>
    <n v="3"/>
    <x v="1"/>
  </r>
  <r>
    <d v="2018-01-27T00:00:00"/>
    <s v="001-00011398"/>
    <n v="725.58175343136008"/>
    <n v="0.50800001999999989"/>
    <n v="0"/>
    <n v="70.334745762711862"/>
    <n v="0"/>
    <n v="29.25"/>
    <n v="92.966250000000002"/>
    <n v="0"/>
    <n v="193.05899578271186"/>
    <n v="532.52275764864817"/>
    <n v="0.73392523327700343"/>
    <x v="1"/>
    <s v="LEVE"/>
    <x v="10"/>
    <x v="1"/>
    <n v="11"/>
    <n v="1"/>
    <d v="2018-01-16T00:00:00"/>
    <s v="KIA"/>
    <s v="RIO"/>
    <n v="2472.0475000000001"/>
    <d v="2018-01-17T00:00:00"/>
    <n v="2"/>
    <x v="1"/>
  </r>
  <r>
    <d v="2018-01-27T00:00:00"/>
    <s v="001-00011092"/>
    <n v="1737.2171584652503"/>
    <n v="0"/>
    <n v="0"/>
    <n v="0"/>
    <n v="0"/>
    <n v="175.5"/>
    <n v="322.90277499999996"/>
    <n v="0"/>
    <n v="498.40277499999996"/>
    <n v="1238.8143834652503"/>
    <n v="0.71310277902141184"/>
    <x v="1"/>
    <s v="MEDIANO"/>
    <x v="10"/>
    <x v="1"/>
    <n v="47"/>
    <n v="1"/>
    <d v="2017-12-11T00:00:00"/>
    <s v="NISSAN"/>
    <s v="VERSA"/>
    <n v="4229.29"/>
    <d v="2017-12-12T00:00:00"/>
    <n v="12"/>
    <x v="1"/>
  </r>
  <r>
    <d v="2018-01-27T00:00:00"/>
    <s v="001-00011438"/>
    <n v="903.8983199999999"/>
    <n v="294.49299975000002"/>
    <n v="0"/>
    <n v="42.37"/>
    <n v="39.048749999999998"/>
    <n v="0"/>
    <n v="0"/>
    <n v="0"/>
    <n v="375.91174975000001"/>
    <n v="527.98657024999989"/>
    <n v="0.58412164130363686"/>
    <x v="0"/>
    <s v="-"/>
    <x v="10"/>
    <x v="1"/>
    <n v="6"/>
    <n v="1"/>
    <d v="2018-01-21T00:00:00"/>
    <s v="TOYOTA"/>
    <s v="YARIS"/>
    <n v="601.83500000000004"/>
    <d v="2018-01-22T00:00:00"/>
    <n v="0"/>
    <x v="638"/>
  </r>
  <r>
    <d v="2018-01-27T00:00:00"/>
    <s v="001-00011465"/>
    <n v="260"/>
    <n v="8.4700002999999988"/>
    <n v="80.5"/>
    <n v="0"/>
    <n v="39.048749999999998"/>
    <n v="0"/>
    <n v="0"/>
    <n v="0"/>
    <n v="128.01875029999999"/>
    <n v="131.98124970000001"/>
    <n v="0.50762019115384616"/>
    <x v="0"/>
    <s v="-"/>
    <x v="10"/>
    <x v="1"/>
    <n v="3"/>
    <n v="1"/>
    <d v="2018-01-24T00:00:00"/>
    <s v="TOYOTA"/>
    <s v="YARIS"/>
    <n v="20.052499999999998"/>
    <d v="2018-01-24T00:00:00"/>
    <n v="0"/>
    <x v="638"/>
  </r>
  <r>
    <d v="2018-01-29T00:00:00"/>
    <s v="001-00011402"/>
    <n v="918.67271842542016"/>
    <n v="0"/>
    <n v="0"/>
    <n v="15.25"/>
    <n v="0"/>
    <n v="182.8125"/>
    <n v="154.94374999999999"/>
    <n v="0"/>
    <n v="353.00625000000002"/>
    <n v="565.66646842542013"/>
    <n v="0.615743188058264"/>
    <x v="0"/>
    <s v="MEDIANO"/>
    <x v="10"/>
    <x v="1"/>
    <n v="12"/>
    <n v="1"/>
    <d v="2018-01-17T00:00:00"/>
    <s v="TOYOTA"/>
    <s v="YARIS"/>
    <n v="0"/>
    <d v="2018-01-20T00:00:00"/>
    <n v="12.5"/>
    <x v="703"/>
  </r>
  <r>
    <d v="2018-01-29T00:00:00"/>
    <s v="001-00011451"/>
    <n v="1009.2373"/>
    <n v="79.01599800000001"/>
    <n v="0"/>
    <n v="300.84559322033903"/>
    <n v="78.097499999999997"/>
    <n v="29.25"/>
    <n v="61.977499999999999"/>
    <n v="0"/>
    <n v="549.18659122033898"/>
    <n v="460.05070877966102"/>
    <n v="0.45583997814950061"/>
    <x v="0"/>
    <s v="LEVE"/>
    <x v="10"/>
    <x v="1"/>
    <n v="6"/>
    <n v="1"/>
    <d v="2018-01-23T00:00:00"/>
    <s v="TOYOTA"/>
    <s v="HILUX"/>
    <n v="144.6575"/>
    <d v="2018-01-23T00:00:00"/>
    <n v="2"/>
    <x v="28"/>
  </r>
  <r>
    <d v="2018-01-29T00:00:00"/>
    <s v="001-00011444"/>
    <n v="1136.3934440033911"/>
    <n v="1.276"/>
    <n v="0"/>
    <n v="15.25"/>
    <n v="0"/>
    <n v="58.5"/>
    <n v="234.27494999999999"/>
    <n v="0"/>
    <n v="309.30095"/>
    <n v="827.09249400339104"/>
    <n v="0.72782230341776144"/>
    <x v="1"/>
    <s v="LEVE"/>
    <x v="10"/>
    <x v="1"/>
    <n v="7"/>
    <n v="1"/>
    <d v="2018-01-22T00:00:00"/>
    <s v="RENAULT"/>
    <s v="DUSTER"/>
    <n v="2380.0074999999997"/>
    <d v="2018-01-22T00:00:00"/>
    <n v="4"/>
    <x v="1"/>
  </r>
  <r>
    <d v="2018-01-29T00:00:00"/>
    <s v="001-00011384"/>
    <n v="1723.2672738991503"/>
    <n v="0.43759998999999988"/>
    <n v="0"/>
    <n v="132.68516949152541"/>
    <n v="24.862499999999997"/>
    <n v="146.25"/>
    <n v="232.41562500000001"/>
    <n v="0"/>
    <n v="536.65089448152537"/>
    <n v="1186.616379417625"/>
    <n v="0.68858522261188637"/>
    <x v="1"/>
    <s v="MEDIANO"/>
    <x v="10"/>
    <x v="1"/>
    <n v="16"/>
    <n v="1"/>
    <d v="2018-01-13T00:00:00"/>
    <s v="SUZUKI"/>
    <s v="ERTIGA"/>
    <n v="2387.6774999999998"/>
    <d v="2018-01-15T00:00:00"/>
    <n v="10"/>
    <x v="1"/>
  </r>
  <r>
    <d v="2018-01-29T00:00:00"/>
    <s v="001-00011350"/>
    <n v="3873.8568703567821"/>
    <n v="0"/>
    <n v="0"/>
    <n v="300.72118644067797"/>
    <n v="42.412499999999994"/>
    <n v="321.75"/>
    <n v="542.30312500000002"/>
    <n v="0"/>
    <n v="1207.186811440678"/>
    <n v="2666.6700589161042"/>
    <n v="0.68837599017190942"/>
    <x v="1"/>
    <s v="MEDIANO"/>
    <x v="10"/>
    <x v="1"/>
    <n v="20"/>
    <n v="1"/>
    <d v="2018-01-09T00:00:00"/>
    <s v="KIA"/>
    <s v="SORENTO"/>
    <n v="7709.9750000000004"/>
    <d v="2018-01-09T00:00:00"/>
    <n v="22"/>
    <x v="1"/>
  </r>
  <r>
    <d v="2018-01-29T00:00:00"/>
    <s v="001-00011472"/>
    <n v="1430"/>
    <n v="581.35999100000004"/>
    <n v="0"/>
    <n v="0"/>
    <n v="39.048749999999998"/>
    <n v="0"/>
    <n v="0"/>
    <n v="0"/>
    <n v="620.40874100000008"/>
    <n v="809.59125899999992"/>
    <n v="0.56614773356643355"/>
    <x v="0"/>
    <s v="-"/>
    <x v="10"/>
    <x v="1"/>
    <n v="4"/>
    <n v="1"/>
    <d v="2018-01-25T00:00:00"/>
    <s v="NISSAN"/>
    <s v="TIIDA"/>
    <n v="1033.175"/>
    <d v="2018-01-25T00:00:00"/>
    <n v="0"/>
    <x v="157"/>
  </r>
  <r>
    <d v="2018-01-30T00:00:00"/>
    <s v="001-00011455"/>
    <n v="3556.9951105"/>
    <n v="0"/>
    <n v="0"/>
    <n v="123.94067796610169"/>
    <n v="0"/>
    <n v="131.625"/>
    <n v="929.66250000000002"/>
    <n v="0"/>
    <n v="1185.2281779661016"/>
    <n v="2371.7669325338984"/>
    <n v="0.66678948349763223"/>
    <x v="0"/>
    <s v="MEDIANO"/>
    <x v="10"/>
    <x v="1"/>
    <n v="7"/>
    <n v="1"/>
    <d v="2018-01-23T00:00:00"/>
    <s v="HYUNDAI"/>
    <s v="TUCSON"/>
    <n v="0"/>
    <d v="2018-01-23T00:00:00"/>
    <n v="9"/>
    <x v="704"/>
  </r>
  <r>
    <d v="2018-01-30T00:00:00"/>
    <s v="001-00011302"/>
    <n v="1895.9910589000001"/>
    <n v="0"/>
    <n v="0"/>
    <n v="134.00033898305085"/>
    <n v="0"/>
    <n v="204.75"/>
    <n v="309.88749999999999"/>
    <n v="0"/>
    <n v="648.63783898305087"/>
    <n v="1247.3532199169492"/>
    <n v="0.65788982182259237"/>
    <x v="2"/>
    <s v="MEDIANO"/>
    <x v="10"/>
    <x v="1"/>
    <n v="26"/>
    <n v="1"/>
    <d v="2018-01-04T00:00:00"/>
    <s v="HYUNDAI"/>
    <s v="TUCSON"/>
    <n v="270.04250000000002"/>
    <d v="2018-01-16T00:00:00"/>
    <n v="14"/>
    <x v="704"/>
  </r>
  <r>
    <d v="2018-01-30T00:00:00"/>
    <s v="001-00011079"/>
    <n v="2704.156478994521"/>
    <n v="1.7503999599999995"/>
    <n v="10.17"/>
    <n v="148.30508474576271"/>
    <n v="14.625"/>
    <n v="182.8125"/>
    <n v="387.359375"/>
    <n v="0"/>
    <n v="745.02235970576271"/>
    <n v="1959.1341192887583"/>
    <n v="0.72448992301555626"/>
    <x v="1"/>
    <s v="MEDIANO"/>
    <x v="10"/>
    <x v="1"/>
    <n v="52"/>
    <n v="1"/>
    <d v="2017-12-09T00:00:00"/>
    <s v="HYUNDAI"/>
    <s v="SANTA FE"/>
    <n v="6341.9849999999997"/>
    <d v="2017-12-18T00:00:00"/>
    <n v="12.5"/>
    <x v="1"/>
  </r>
  <r>
    <d v="2018-01-30T00:00:00"/>
    <s v="001-00011450"/>
    <n v="716.69138016441013"/>
    <n v="0"/>
    <n v="0"/>
    <n v="0"/>
    <n v="0"/>
    <n v="58.5"/>
    <n v="123.33522500000001"/>
    <n v="0"/>
    <n v="181.83522500000001"/>
    <n v="534.8561551644101"/>
    <n v="0.7462851793218348"/>
    <x v="1"/>
    <s v="LEVE"/>
    <x v="10"/>
    <x v="1"/>
    <n v="7"/>
    <n v="1"/>
    <d v="2018-01-23T00:00:00"/>
    <s v="TOYOTA"/>
    <s v="YARIS"/>
    <n v="309.98500000000001"/>
    <d v="2018-01-23T00:00:00"/>
    <n v="4"/>
    <x v="1"/>
  </r>
  <r>
    <d v="2018-01-30T00:00:00"/>
    <s v="001-00011445"/>
    <n v="119.92127352541999"/>
    <n v="0"/>
    <n v="0"/>
    <n v="0"/>
    <n v="0"/>
    <n v="0"/>
    <n v="15.494375"/>
    <n v="0"/>
    <n v="15.494375"/>
    <n v="104.42689852541999"/>
    <n v="0.8707954431728443"/>
    <x v="1"/>
    <s v="LEVE"/>
    <x v="10"/>
    <x v="1"/>
    <n v="8"/>
    <n v="1"/>
    <d v="2018-01-22T00:00:00"/>
    <s v="HYUNDAI"/>
    <s v="ELANTRA"/>
    <n v="1006.7849999999999"/>
    <d v="2018-01-22T00:00:00"/>
    <n v="0"/>
    <x v="1"/>
  </r>
  <r>
    <d v="2018-01-30T00:00:00"/>
    <s v="001-00011386"/>
    <n v="647.67376472034016"/>
    <n v="9.75"/>
    <n v="0"/>
    <n v="0"/>
    <n v="0"/>
    <n v="58.5"/>
    <n v="123.955"/>
    <n v="0"/>
    <n v="192.20499999999998"/>
    <n v="455.46876472034018"/>
    <n v="0.70323794096709724"/>
    <x v="1"/>
    <s v="LEVE"/>
    <x v="10"/>
    <x v="1"/>
    <n v="15"/>
    <n v="1"/>
    <d v="2018-01-15T00:00:00"/>
    <s v="HYUNDAI"/>
    <s v="ACCENT"/>
    <n v="763.75"/>
    <d v="2018-01-17T00:00:00"/>
    <n v="4"/>
    <x v="1"/>
  </r>
  <r>
    <d v="2018-01-30T00:00:00"/>
    <s v="001-00011430"/>
    <n v="509.61149101235992"/>
    <n v="0"/>
    <n v="0"/>
    <n v="0"/>
    <n v="0"/>
    <n v="73.125"/>
    <n v="77.471874999999997"/>
    <n v="0"/>
    <n v="150.59687500000001"/>
    <n v="359.01461601235991"/>
    <n v="0.70448689314121549"/>
    <x v="1"/>
    <s v="LEVE"/>
    <x v="10"/>
    <x v="1"/>
    <n v="11"/>
    <n v="1"/>
    <d v="2018-01-19T00:00:00"/>
    <s v="KIA"/>
    <s v="CERATO"/>
    <n v="2343.25"/>
    <d v="2018-01-22T00:00:00"/>
    <n v="5"/>
    <x v="1"/>
  </r>
  <r>
    <d v="2018-01-30T00:00:00"/>
    <s v="001-00011495"/>
    <n v="270"/>
    <n v="34.759999000000008"/>
    <n v="0"/>
    <n v="0"/>
    <n v="39.048749999999998"/>
    <n v="0"/>
    <n v="0"/>
    <n v="0"/>
    <n v="73.808749000000006"/>
    <n v="196.19125099999999"/>
    <n v="0.72663426296296296"/>
    <x v="0"/>
    <s v="-"/>
    <x v="10"/>
    <x v="1"/>
    <n v="0"/>
    <n v="1"/>
    <d v="2018-01-30T00:00:00"/>
    <s v="NISSAN"/>
    <s v="NAVARA"/>
    <n v="200.59"/>
    <d v="2018-01-30T00:00:00"/>
    <n v="0"/>
    <x v="157"/>
  </r>
  <r>
    <d v="2018-01-31T00:00:00"/>
    <s v="001-00011494"/>
    <n v="323.822"/>
    <n v="0"/>
    <n v="0"/>
    <n v="0"/>
    <n v="0"/>
    <n v="43.875"/>
    <n v="61.977499999999999"/>
    <n v="0"/>
    <n v="105.85249999999999"/>
    <n v="217.96950000000001"/>
    <n v="0.67311516820969552"/>
    <x v="0"/>
    <s v="LEVE"/>
    <x v="10"/>
    <x v="1"/>
    <n v="2"/>
    <n v="1"/>
    <d v="2018-01-29T00:00:00"/>
    <s v="KIA"/>
    <s v="RIO"/>
    <n v="0"/>
    <d v="2018-01-29T00:00:00"/>
    <n v="3"/>
    <x v="687"/>
  </r>
  <r>
    <d v="2018-01-31T00:00:00"/>
    <s v="001-00011218"/>
    <n v="2826.1345000000001"/>
    <n v="10.17"/>
    <n v="0"/>
    <n v="160.42796610169492"/>
    <n v="29.25"/>
    <n v="292.5"/>
    <n v="387.359375"/>
    <n v="0"/>
    <n v="879.70734110169496"/>
    <n v="1946.4271588983052"/>
    <n v="0.68872417745804559"/>
    <x v="1"/>
    <s v="MEDIANO"/>
    <x v="10"/>
    <x v="1"/>
    <n v="36"/>
    <n v="1"/>
    <d v="2017-12-26T00:00:00"/>
    <s v="TOYOTA"/>
    <s v="COROLLA"/>
    <n v="21851.017500000002"/>
    <d v="2017-12-28T00:00:00"/>
    <n v="20"/>
    <x v="1"/>
  </r>
  <r>
    <d v="2018-01-31T00:00:00"/>
    <s v="001-00011442"/>
    <n v="301.03496353400004"/>
    <n v="0"/>
    <n v="0"/>
    <n v="0"/>
    <n v="0"/>
    <n v="16.087500000000002"/>
    <n v="61.977499999999999"/>
    <n v="0"/>
    <n v="78.064999999999998"/>
    <n v="222.96996353400004"/>
    <n v="0.74067796284007714"/>
    <x v="1"/>
    <s v="LEVE"/>
    <x v="10"/>
    <x v="1"/>
    <n v="9"/>
    <n v="1"/>
    <d v="2018-01-22T00:00:00"/>
    <s v="HYUNDAI"/>
    <s v="ACCENT"/>
    <n v="1458.99"/>
    <d v="2018-01-22T00:00:00"/>
    <n v="1.1000000000000001"/>
    <x v="1"/>
  </r>
  <r>
    <d v="2018-01-31T00:00:00"/>
    <s v="001-00011467"/>
    <n v="877.47760590000007"/>
    <n v="0"/>
    <n v="0"/>
    <n v="120.22915254237289"/>
    <n v="0"/>
    <n v="73.125"/>
    <n v="123.955"/>
    <n v="0"/>
    <n v="317.30915254237289"/>
    <n v="560.16845335762719"/>
    <n v="0.6383848996158491"/>
    <x v="1"/>
    <s v="LEVE"/>
    <x v="10"/>
    <x v="1"/>
    <n v="7"/>
    <n v="1"/>
    <d v="2018-01-24T00:00:00"/>
    <s v="HYUNDAI"/>
    <s v="ELANTRA"/>
    <n v="2333.37"/>
    <d v="2018-01-25T00:00:00"/>
    <n v="5"/>
    <x v="705"/>
  </r>
  <r>
    <d v="2018-01-31T00:00:00"/>
    <s v="001-00011448"/>
    <n v="2116.0772627299998"/>
    <n v="0"/>
    <n v="0"/>
    <n v="87.28"/>
    <n v="0"/>
    <n v="234"/>
    <n v="325.38187500000004"/>
    <n v="0"/>
    <n v="646.66187500000001"/>
    <n v="1469.4153877299998"/>
    <n v="0.69440535731397313"/>
    <x v="1"/>
    <s v="MEDIANO"/>
    <x v="10"/>
    <x v="1"/>
    <n v="9"/>
    <n v="1"/>
    <d v="2018-01-22T00:00:00"/>
    <s v="HYUNDAI"/>
    <s v="ELANTRA"/>
    <n v="1565.33"/>
    <d v="2018-01-23T00:00:00"/>
    <n v="16"/>
    <x v="1"/>
  </r>
  <r>
    <d v="2018-01-31T00:00:00"/>
    <s v="001-00011387"/>
    <n v="2015.7776689"/>
    <n v="0"/>
    <n v="0"/>
    <n v="41.186440677966104"/>
    <n v="0"/>
    <n v="234"/>
    <n v="247.91"/>
    <n v="0"/>
    <n v="523.09644067796614"/>
    <n v="1492.681228222034"/>
    <n v="0.74049894055855014"/>
    <x v="1"/>
    <s v="MEDIANO"/>
    <x v="10"/>
    <x v="1"/>
    <n v="16"/>
    <n v="1"/>
    <d v="2018-01-15T00:00:00"/>
    <s v="TOYOTA"/>
    <s v="COROLLA"/>
    <n v="0"/>
    <d v="2018-01-12T00:00:00"/>
    <n v="16"/>
    <x v="1"/>
  </r>
  <r>
    <d v="2018-01-31T00:00:00"/>
    <s v="001-00011058"/>
    <n v="3340.8545000000004"/>
    <n v="103.81059929999999"/>
    <n v="0"/>
    <n v="75.741525423728817"/>
    <n v="234"/>
    <n v="219.375"/>
    <n v="402.85374999999999"/>
    <n v="0"/>
    <n v="1035.7808747237289"/>
    <n v="2305.0736252762717"/>
    <n v="0.68996528441339533"/>
    <x v="1"/>
    <s v="MEDIANO"/>
    <x v="10"/>
    <x v="1"/>
    <n v="56"/>
    <n v="1"/>
    <d v="2017-12-06T00:00:00"/>
    <s v="KIA"/>
    <s v="RIO"/>
    <n v="9065.7125000000015"/>
    <d v="2017-12-29T00:00:00"/>
    <n v="15"/>
    <x v="1"/>
  </r>
  <r>
    <d v="2018-01-31T00:00:00"/>
    <s v="001-00011456"/>
    <n v="1273.1412614000001"/>
    <n v="0"/>
    <n v="0"/>
    <n v="40.656779661016948"/>
    <n v="0"/>
    <n v="160.875"/>
    <n v="154.94374999999999"/>
    <n v="0"/>
    <n v="356.47552966101694"/>
    <n v="916.66573173898314"/>
    <n v="0.72000316031779432"/>
    <x v="1"/>
    <s v="MEDIANO"/>
    <x v="10"/>
    <x v="1"/>
    <n v="8"/>
    <n v="1"/>
    <d v="2018-01-23T00:00:00"/>
    <s v="MAZDA"/>
    <s v="CX3"/>
    <n v="2781.6749999999997"/>
    <d v="2018-01-23T00:00:00"/>
    <n v="11"/>
    <x v="1"/>
  </r>
  <r>
    <d v="2018-01-31T00:00:00"/>
    <s v="001-00011439"/>
    <n v="992.93512467000028"/>
    <n v="0"/>
    <n v="0"/>
    <n v="0"/>
    <n v="0"/>
    <n v="73.125"/>
    <n v="193.3698"/>
    <n v="0"/>
    <n v="266.4948"/>
    <n v="726.44032467000034"/>
    <n v="0.73160905140850074"/>
    <x v="1"/>
    <s v="LEVE"/>
    <x v="10"/>
    <x v="1"/>
    <n v="9"/>
    <n v="1"/>
    <d v="2018-01-22T00:00:00"/>
    <s v="TOYOTA"/>
    <s v="COROLLA"/>
    <n v="152.58750000000001"/>
    <d v="2018-01-22T00:00:00"/>
    <n v="5"/>
    <x v="1"/>
  </r>
  <r>
    <d v="2018-01-02T00:00:00"/>
    <s v="001-00011259"/>
    <n v="449"/>
    <n v="149.32339999999999"/>
    <n v="0"/>
    <n v="0"/>
    <n v="39.048749999999998"/>
    <n v="0"/>
    <n v="0"/>
    <n v="0"/>
    <n v="188.37214999999998"/>
    <n v="260.62785000000002"/>
    <n v="0.58046291759465485"/>
    <x v="0"/>
    <s v="-"/>
    <x v="10"/>
    <x v="1"/>
    <n v="0"/>
    <n v="1"/>
    <d v="2018-01-02T00:00:00"/>
    <s v="HYUNDAI"/>
    <s v="ELANTRA"/>
    <n v="97.5"/>
    <d v="2018-01-02T00:00:00"/>
    <n v="0"/>
    <x v="706"/>
  </r>
  <r>
    <d v="2018-01-02T00:00:00"/>
    <s v="001-00011263"/>
    <n v="400"/>
    <n v="80.510748750000005"/>
    <n v="0"/>
    <n v="0"/>
    <n v="39.048749999999998"/>
    <n v="0"/>
    <n v="0"/>
    <n v="0"/>
    <n v="119.55949875"/>
    <n v="280.44050125000001"/>
    <n v="0.70110125312500005"/>
    <x v="0"/>
    <s v="-"/>
    <x v="10"/>
    <x v="1"/>
    <n v="0"/>
    <n v="1"/>
    <d v="2018-01-02T00:00:00"/>
    <s v="MAZDA"/>
    <s v="MAZDA 5"/>
    <n v="0"/>
    <d v="2018-01-02T00:00:00"/>
    <n v="0"/>
    <x v="707"/>
  </r>
  <r>
    <d v="2018-01-02T00:00:00"/>
    <s v="001-00011261"/>
    <n v="249"/>
    <n v="50.528000000000006"/>
    <n v="0"/>
    <n v="0"/>
    <n v="39.048749999999998"/>
    <n v="0"/>
    <n v="0"/>
    <n v="0"/>
    <n v="89.576750000000004"/>
    <n v="159.42325"/>
    <n v="0.64025401606425703"/>
    <x v="0"/>
    <s v="-"/>
    <x v="10"/>
    <x v="1"/>
    <n v="0"/>
    <n v="1"/>
    <d v="2018-01-02T00:00:00"/>
    <s v="SUZUKI"/>
    <s v="SWIFT"/>
    <n v="0"/>
    <d v="2018-01-02T00:00:00"/>
    <n v="0"/>
    <x v="225"/>
  </r>
  <r>
    <d v="2018-01-03T00:00:00"/>
    <s v="001-00011280"/>
    <n v="30"/>
    <n v="0"/>
    <n v="0"/>
    <n v="0"/>
    <n v="0"/>
    <n v="7.3125"/>
    <n v="0"/>
    <n v="0"/>
    <n v="7.3125"/>
    <n v="22.6875"/>
    <n v="0.75624999999999998"/>
    <x v="0"/>
    <s v="LEVE"/>
    <x v="10"/>
    <x v="1"/>
    <n v="0"/>
    <n v="1"/>
    <d v="2018-01-03T00:00:00"/>
    <s v="TOYOTA"/>
    <s v="YARIS"/>
    <n v="0"/>
    <d v="2018-01-03T00:00:00"/>
    <n v="0.5"/>
    <x v="676"/>
  </r>
  <r>
    <d v="2018-01-03T00:00:00"/>
    <s v="001-00011266"/>
    <n v="499"/>
    <n v="101.248901"/>
    <n v="0"/>
    <n v="0"/>
    <n v="39.048749999999998"/>
    <n v="0"/>
    <n v="0"/>
    <n v="0"/>
    <n v="140.297651"/>
    <n v="358.70234900000003"/>
    <n v="0.71884238276553114"/>
    <x v="0"/>
    <s v="-"/>
    <x v="10"/>
    <x v="1"/>
    <n v="1"/>
    <n v="1"/>
    <d v="2018-01-02T00:00:00"/>
    <s v="KIA"/>
    <s v="RIO"/>
    <n v="0"/>
    <d v="2018-01-02T00:00:00"/>
    <n v="0"/>
    <x v="167"/>
  </r>
  <r>
    <d v="2018-01-04T00:00:00"/>
    <s v="001-00011264"/>
    <n v="1100"/>
    <n v="289.36199000000005"/>
    <n v="50.85"/>
    <n v="50.85"/>
    <n v="78.097499999999997"/>
    <n v="0"/>
    <n v="0"/>
    <n v="0"/>
    <n v="469.15949000000012"/>
    <n v="630.84050999999988"/>
    <n v="0.57349137272727257"/>
    <x v="0"/>
    <s v="-"/>
    <x v="10"/>
    <x v="1"/>
    <n v="2"/>
    <n v="1"/>
    <d v="2018-01-02T00:00:00"/>
    <s v="FORD"/>
    <s v="ESCAPE"/>
    <n v="220.67500000000001"/>
    <d v="2018-01-02T00:00:00"/>
    <n v="0"/>
    <x v="299"/>
  </r>
  <r>
    <d v="2018-01-04T00:00:00"/>
    <s v="001-00011292"/>
    <n v="520"/>
    <n v="98.600599000000003"/>
    <n v="0"/>
    <n v="0"/>
    <n v="39.048749999999998"/>
    <n v="0"/>
    <n v="0"/>
    <n v="0"/>
    <n v="137.649349"/>
    <n v="382.35065099999997"/>
    <n v="0.73528971346153837"/>
    <x v="0"/>
    <s v="-"/>
    <x v="10"/>
    <x v="1"/>
    <n v="0"/>
    <n v="1"/>
    <d v="2018-01-04T00:00:00"/>
    <s v="MAZDA"/>
    <s v="MAZDA 2"/>
    <n v="32.5"/>
    <d v="2018-01-04T00:00:00"/>
    <n v="0"/>
    <x v="286"/>
  </r>
  <r>
    <d v="2018-01-05T00:00:00"/>
    <s v="001-00011309"/>
    <n v="150"/>
    <n v="0"/>
    <n v="0"/>
    <n v="0"/>
    <n v="39.048749999999998"/>
    <n v="0"/>
    <n v="0"/>
    <n v="0"/>
    <n v="39.048749999999998"/>
    <n v="110.95125"/>
    <n v="0.73967499999999997"/>
    <x v="0"/>
    <s v="-"/>
    <x v="10"/>
    <x v="1"/>
    <n v="1"/>
    <n v="1"/>
    <d v="2018-01-04T00:00:00"/>
    <s v="KIA"/>
    <s v="RIO"/>
    <n v="0"/>
    <d v="2018-01-05T00:00:00"/>
    <n v="0"/>
    <x v="708"/>
  </r>
  <r>
    <d v="2018-01-05T00:00:00"/>
    <s v="001-00011225"/>
    <n v="762.7118989999999"/>
    <n v="139.83074775"/>
    <n v="0"/>
    <n v="0"/>
    <n v="39.048749999999998"/>
    <n v="14.625"/>
    <n v="61.977499999999999"/>
    <n v="0"/>
    <n v="255.48199774999998"/>
    <n v="507.2299012499999"/>
    <n v="0.66503472925364704"/>
    <x v="0"/>
    <s v="LEVE"/>
    <x v="10"/>
    <x v="1"/>
    <n v="9"/>
    <n v="1"/>
    <d v="2017-12-27T00:00:00"/>
    <s v="MAZDA"/>
    <s v="MAZDA 3"/>
    <n v="0"/>
    <d v="2017-12-27T00:00:00"/>
    <n v="1"/>
    <x v="709"/>
  </r>
  <r>
    <d v="2018-01-05T00:00:00"/>
    <s v="001-00011310"/>
    <n v="369"/>
    <n v="103.28100120000002"/>
    <n v="0"/>
    <n v="0"/>
    <n v="39.048749999999998"/>
    <n v="0"/>
    <n v="0"/>
    <n v="0"/>
    <n v="142.32975120000003"/>
    <n v="226.67024879999997"/>
    <n v="0.61428251707317061"/>
    <x v="0"/>
    <s v="-"/>
    <x v="10"/>
    <x v="1"/>
    <n v="1"/>
    <n v="1"/>
    <d v="2018-01-04T00:00:00"/>
    <s v="KIA"/>
    <s v="RIO"/>
    <n v="20.052499999999998"/>
    <d v="2018-01-05T00:00:00"/>
    <n v="0"/>
    <x v="710"/>
  </r>
  <r>
    <d v="2018-01-05T00:00:00"/>
    <s v="001-00011307"/>
    <n v="174.5"/>
    <n v="76.818900500000012"/>
    <n v="0"/>
    <n v="0"/>
    <n v="39.048749999999998"/>
    <n v="0"/>
    <n v="0"/>
    <n v="0"/>
    <n v="115.86765050000001"/>
    <n v="58.632349499999989"/>
    <n v="0.33600200286532944"/>
    <x v="0"/>
    <s v="-"/>
    <x v="10"/>
    <x v="1"/>
    <n v="0"/>
    <n v="1"/>
    <d v="2018-01-05T00:00:00"/>
    <s v="KIA"/>
    <s v="RIO"/>
    <n v="0"/>
    <d v="2018-01-05T00:00:00"/>
    <n v="0"/>
    <x v="350"/>
  </r>
  <r>
    <d v="2018-01-06T00:00:00"/>
    <s v="001-00011295"/>
    <n v="411.51998720000006"/>
    <n v="0"/>
    <n v="0"/>
    <n v="0"/>
    <n v="29.25"/>
    <n v="0"/>
    <n v="123.955"/>
    <n v="0"/>
    <n v="153.20499999999998"/>
    <n v="258.31498720000008"/>
    <n v="0.62770945576079185"/>
    <x v="0"/>
    <s v="-"/>
    <x v="10"/>
    <x v="1"/>
    <n v="3"/>
    <n v="1"/>
    <d v="2018-01-03T00:00:00"/>
    <s v="KIA"/>
    <s v="CERATO"/>
    <n v="0"/>
    <d v="2018-01-04T00:00:00"/>
    <n v="0"/>
    <x v="249"/>
  </r>
  <r>
    <d v="2018-01-08T00:00:00"/>
    <s v="001-00011321"/>
    <n v="30"/>
    <n v="0"/>
    <n v="0"/>
    <n v="0"/>
    <n v="0"/>
    <n v="0"/>
    <n v="0"/>
    <n v="0"/>
    <n v="0"/>
    <n v="30"/>
    <n v="1"/>
    <x v="4"/>
    <s v="S/TIPO"/>
    <x v="10"/>
    <x v="1"/>
    <n v="0"/>
    <n v="1"/>
    <d v="2018-01-08T00:00:00"/>
    <s v="S/MARCA"/>
    <s v="S/MODELO"/>
    <n v="0"/>
    <s v="F/Fecha"/>
    <n v="0"/>
    <x v="711"/>
  </r>
  <r>
    <d v="2018-01-09T00:00:00"/>
    <s v="001-00011289"/>
    <n v="762.71190000000001"/>
    <n v="76.707998900000007"/>
    <n v="0"/>
    <n v="0"/>
    <n v="39.048749999999998"/>
    <n v="73.125"/>
    <n v="61.977499999999999"/>
    <n v="0"/>
    <n v="250.85924889999998"/>
    <n v="511.8526511"/>
    <n v="0.67109566679109112"/>
    <x v="0"/>
    <s v="LEVE"/>
    <x v="10"/>
    <x v="1"/>
    <n v="6"/>
    <n v="1"/>
    <d v="2018-01-03T00:00:00"/>
    <s v="CHEVROLET"/>
    <s v="AVEO"/>
    <n v="0"/>
    <d v="2018-01-03T00:00:00"/>
    <n v="5"/>
    <x v="712"/>
  </r>
  <r>
    <d v="2018-01-09T00:00:00"/>
    <s v="001-00011327"/>
    <n v="349"/>
    <n v="60.830748249999999"/>
    <n v="0"/>
    <n v="0"/>
    <n v="39.048749999999998"/>
    <n v="0"/>
    <n v="0"/>
    <n v="0"/>
    <n v="99.879498249999997"/>
    <n v="249.12050175000002"/>
    <n v="0.71381232593123212"/>
    <x v="0"/>
    <s v="-"/>
    <x v="10"/>
    <x v="1"/>
    <n v="1"/>
    <n v="1"/>
    <d v="2018-01-08T00:00:00"/>
    <s v="TOYOTA"/>
    <s v="COROLLA"/>
    <n v="0"/>
    <d v="2018-01-08T00:00:00"/>
    <n v="0"/>
    <x v="613"/>
  </r>
  <r>
    <d v="2018-01-09T00:00:00"/>
    <s v="001-00011344"/>
    <n v="630"/>
    <n v="141.74909879999998"/>
    <n v="0"/>
    <n v="0"/>
    <n v="78.097499999999997"/>
    <n v="0"/>
    <n v="0"/>
    <n v="0"/>
    <n v="219.84659879999998"/>
    <n v="410.15340120000002"/>
    <n v="0.65103714476190477"/>
    <x v="0"/>
    <s v="-"/>
    <x v="10"/>
    <x v="1"/>
    <n v="0"/>
    <n v="1"/>
    <d v="2018-01-09T00:00:00"/>
    <s v="KIA"/>
    <s v="CERATO"/>
    <n v="120.25"/>
    <d v="2018-01-09T00:00:00"/>
    <n v="0"/>
    <x v="414"/>
  </r>
  <r>
    <d v="2018-01-10T00:00:00"/>
    <s v="001-00011283"/>
    <n v="715"/>
    <n v="21.666700000000002"/>
    <n v="380"/>
    <n v="0"/>
    <n v="53.673749999999998"/>
    <n v="14.625"/>
    <n v="0"/>
    <n v="0"/>
    <n v="469.96544999999998"/>
    <n v="245.03455000000002"/>
    <n v="0.34270566433566435"/>
    <x v="0"/>
    <s v="LEVE"/>
    <x v="10"/>
    <x v="1"/>
    <n v="7"/>
    <n v="1"/>
    <d v="2018-01-03T00:00:00"/>
    <s v="BRILLANCE"/>
    <s v="FRV"/>
    <n v="566.73500000000001"/>
    <d v="2018-01-03T00:00:00"/>
    <n v="1"/>
    <x v="272"/>
  </r>
  <r>
    <d v="2018-01-11T00:00:00"/>
    <s v="001-00011352"/>
    <n v="585"/>
    <n v="207.40099101999999"/>
    <n v="0"/>
    <n v="59.32"/>
    <n v="78.097499999999997"/>
    <n v="0"/>
    <n v="0"/>
    <n v="0"/>
    <n v="344.81849102000001"/>
    <n v="240.18150897999999"/>
    <n v="0.41056668201709401"/>
    <x v="0"/>
    <s v="-"/>
    <x v="10"/>
    <x v="1"/>
    <n v="2"/>
    <n v="1"/>
    <d v="2018-01-09T00:00:00"/>
    <s v="SUZUKI"/>
    <s v="SX4"/>
    <n v="235.7225"/>
    <d v="2018-01-09T00:00:00"/>
    <n v="0"/>
    <x v="713"/>
  </r>
  <r>
    <d v="2018-01-11T00:00:00"/>
    <s v="001-00011362"/>
    <n v="328"/>
    <n v="0"/>
    <n v="0"/>
    <n v="41.525423728813564"/>
    <n v="0"/>
    <n v="14.625"/>
    <n v="61.977499999999999"/>
    <n v="0"/>
    <n v="118.12792372881356"/>
    <n v="209.87207627118644"/>
    <n v="0.63985389107069035"/>
    <x v="0"/>
    <s v="LEVE"/>
    <x v="10"/>
    <x v="1"/>
    <n v="0"/>
    <n v="1"/>
    <d v="2018-01-11T00:00:00"/>
    <s v="NISSAN"/>
    <s v="VERSA"/>
    <n v="0"/>
    <d v="2018-01-15T00:00:00"/>
    <n v="1"/>
    <x v="714"/>
  </r>
  <r>
    <d v="2018-01-11T00:00:00"/>
    <s v="001-00011297"/>
    <n v="1828.3050520000002"/>
    <n v="0"/>
    <n v="0"/>
    <n v="0"/>
    <n v="0"/>
    <n v="204.75"/>
    <n v="309.88749999999999"/>
    <n v="0"/>
    <n v="514.63750000000005"/>
    <n v="1313.6675520000001"/>
    <n v="0.71851661218294327"/>
    <x v="0"/>
    <s v="MEDIANO"/>
    <x v="10"/>
    <x v="1"/>
    <n v="8"/>
    <n v="1"/>
    <d v="2018-01-03T00:00:00"/>
    <s v="HYUNDAI"/>
    <s v="ACCENT"/>
    <n v="0"/>
    <d v="2018-01-04T00:00:00"/>
    <n v="14"/>
    <x v="715"/>
  </r>
  <r>
    <d v="2018-01-11T00:00:00"/>
    <s v="001-00011333"/>
    <n v="150"/>
    <n v="100.33"/>
    <n v="0"/>
    <n v="0"/>
    <n v="0"/>
    <n v="0"/>
    <n v="0"/>
    <n v="0"/>
    <n v="100.33"/>
    <n v="49.67"/>
    <n v="0.33113333333333334"/>
    <x v="0"/>
    <s v="-"/>
    <x v="10"/>
    <x v="1"/>
    <n v="3"/>
    <n v="1"/>
    <d v="2018-01-08T00:00:00"/>
    <s v="HYUNDAI"/>
    <s v="ACCENT"/>
    <n v="149.5"/>
    <d v="2018-01-08T00:00:00"/>
    <n v="0"/>
    <x v="715"/>
  </r>
  <r>
    <d v="2018-01-11T00:00:00"/>
    <s v="001-00011363"/>
    <n v="481"/>
    <n v="66.018000000000001"/>
    <n v="82.360800000000012"/>
    <n v="0"/>
    <n v="39.048749999999998"/>
    <n v="0"/>
    <n v="0"/>
    <n v="0"/>
    <n v="187.42755"/>
    <n v="293.57245"/>
    <n v="0.61033773388773394"/>
    <x v="0"/>
    <s v="-"/>
    <x v="10"/>
    <x v="1"/>
    <n v="0"/>
    <n v="1"/>
    <d v="2018-01-11T00:00:00"/>
    <s v="NISSAN"/>
    <s v="VERSA"/>
    <n v="0"/>
    <d v="2018-01-11T00:00:00"/>
    <n v="0"/>
    <x v="484"/>
  </r>
  <r>
    <d v="2018-01-12T00:00:00"/>
    <s v="001-00011336"/>
    <n v="772.31997600000011"/>
    <n v="0"/>
    <n v="0"/>
    <n v="0"/>
    <n v="0"/>
    <n v="87.75"/>
    <n v="123.955"/>
    <n v="0"/>
    <n v="211.70499999999998"/>
    <n v="560.61497600000007"/>
    <n v="0.72588433993839874"/>
    <x v="0"/>
    <s v="LEVE"/>
    <x v="10"/>
    <x v="1"/>
    <n v="4"/>
    <n v="1"/>
    <d v="2018-01-08T00:00:00"/>
    <s v="SUZUKI"/>
    <s v="CIAZ"/>
    <n v="0"/>
    <d v="2018-01-08T00:00:00"/>
    <n v="6"/>
    <x v="601"/>
  </r>
  <r>
    <d v="2018-01-12T00:00:00"/>
    <s v="001-00011335"/>
    <n v="398.75420000000003"/>
    <n v="50.840598999999997"/>
    <n v="0"/>
    <n v="0"/>
    <n v="39.048749999999998"/>
    <n v="0"/>
    <n v="15.494375"/>
    <n v="0"/>
    <n v="105.383724"/>
    <n v="293.37047600000005"/>
    <n v="0.73571758241041729"/>
    <x v="0"/>
    <s v="-"/>
    <x v="10"/>
    <x v="1"/>
    <n v="4"/>
    <n v="1"/>
    <d v="2018-01-08T00:00:00"/>
    <s v="SUZUKI"/>
    <s v="CIAZ"/>
    <n v="0"/>
    <d v="2018-01-09T00:00:00"/>
    <n v="0"/>
    <x v="601"/>
  </r>
  <r>
    <d v="2018-01-12T00:00:00"/>
    <s v="001-00011370"/>
    <n v="449"/>
    <n v="66.330599000000007"/>
    <n v="0"/>
    <n v="0"/>
    <n v="39.048749999999998"/>
    <n v="0"/>
    <n v="0"/>
    <n v="0"/>
    <n v="105.379349"/>
    <n v="343.62065100000001"/>
    <n v="0.76530211804008907"/>
    <x v="0"/>
    <s v="-"/>
    <x v="10"/>
    <x v="1"/>
    <n v="0"/>
    <n v="1"/>
    <d v="2018-01-12T00:00:00"/>
    <s v="NISSAN"/>
    <s v="VERSA"/>
    <n v="0"/>
    <d v="2018-01-12T00:00:00"/>
    <n v="0"/>
    <x v="716"/>
  </r>
  <r>
    <d v="2018-01-12T00:00:00"/>
    <s v="001-00011372"/>
    <n v="150"/>
    <n v="42.369998999999986"/>
    <n v="0"/>
    <n v="0"/>
    <n v="39.048749999999998"/>
    <n v="0"/>
    <n v="0"/>
    <n v="0"/>
    <n v="81.418748999999991"/>
    <n v="68.581251000000009"/>
    <n v="0.45720834000000005"/>
    <x v="0"/>
    <s v="-"/>
    <x v="10"/>
    <x v="1"/>
    <n v="0"/>
    <n v="1"/>
    <d v="2018-01-12T00:00:00"/>
    <s v="TOYOTA"/>
    <s v="YARIS"/>
    <n v="87.75"/>
    <d v="2018-01-12T00:00:00"/>
    <n v="0"/>
    <x v="165"/>
  </r>
  <r>
    <d v="2018-01-12T00:00:00"/>
    <s v="001-00011371"/>
    <n v="399"/>
    <n v="94.07074974999999"/>
    <n v="0"/>
    <n v="0"/>
    <n v="39.048749999999998"/>
    <n v="0"/>
    <n v="0"/>
    <n v="0"/>
    <n v="133.11949974999999"/>
    <n v="265.88050025000001"/>
    <n v="0.66636716854636591"/>
    <x v="0"/>
    <s v="-"/>
    <x v="10"/>
    <x v="1"/>
    <n v="0"/>
    <n v="1"/>
    <d v="2018-01-12T00:00:00"/>
    <s v="MG"/>
    <s v="MG5"/>
    <n v="50.147500000000001"/>
    <d v="2018-01-12T00:00:00"/>
    <n v="0"/>
    <x v="650"/>
  </r>
  <r>
    <d v="2018-01-13T00:00:00"/>
    <s v="001-00011316"/>
    <n v="1194.9236989999999"/>
    <n v="64.660004000000015"/>
    <n v="0"/>
    <n v="59.322033898305087"/>
    <n v="0"/>
    <n v="87.75"/>
    <n v="247.91"/>
    <n v="0"/>
    <n v="459.64203789830509"/>
    <n v="735.28166110169491"/>
    <n v="0.61533775061707507"/>
    <x v="0"/>
    <s v="LEVE"/>
    <x v="10"/>
    <x v="1"/>
    <n v="8"/>
    <n v="1"/>
    <d v="2018-01-05T00:00:00"/>
    <s v="TOYOTA"/>
    <s v="AVANZA"/>
    <n v="93.502499999999998"/>
    <d v="2018-01-05T00:00:00"/>
    <n v="6"/>
    <x v="717"/>
  </r>
  <r>
    <d v="2018-01-13T00:00:00"/>
    <s v="001-00011348"/>
    <n v="192.61111286599996"/>
    <n v="0"/>
    <n v="0"/>
    <n v="0"/>
    <n v="0"/>
    <n v="0"/>
    <n v="61.977499999999999"/>
    <n v="0"/>
    <n v="61.977499999999999"/>
    <n v="130.63361286599996"/>
    <n v="0.67822469286537013"/>
    <x v="0"/>
    <s v="-"/>
    <x v="10"/>
    <x v="1"/>
    <n v="4"/>
    <n v="1"/>
    <d v="2018-01-09T00:00:00"/>
    <s v="HONDA"/>
    <s v="HR-V"/>
    <n v="0"/>
    <d v="2018-01-09T00:00:00"/>
    <n v="0"/>
    <x v="718"/>
  </r>
  <r>
    <d v="2018-01-15T00:00:00"/>
    <s v="001-00011376"/>
    <n v="314.10169999999999"/>
    <n v="65.849102500000001"/>
    <n v="0"/>
    <n v="0"/>
    <n v="39.048749999999998"/>
    <n v="0"/>
    <n v="0"/>
    <n v="0"/>
    <n v="104.8978525"/>
    <n v="209.20384749999999"/>
    <n v="0.66603857126529398"/>
    <x v="0"/>
    <s v="-"/>
    <x v="10"/>
    <x v="1"/>
    <n v="1"/>
    <n v="1"/>
    <d v="2018-01-14T00:00:00"/>
    <s v="HYUNDAI"/>
    <s v="I10"/>
    <n v="0"/>
    <d v="2018-01-15T00:00:00"/>
    <n v="0"/>
    <x v="586"/>
  </r>
  <r>
    <d v="2018-01-15T00:00:00"/>
    <s v="001-00011306"/>
    <n v="3506.5300000000007"/>
    <n v="0"/>
    <n v="0"/>
    <n v="288.14"/>
    <n v="0"/>
    <n v="131.625"/>
    <n v="619.77499999999998"/>
    <n v="0"/>
    <n v="1039.54"/>
    <n v="2466.9900000000007"/>
    <n v="0.70354167795512945"/>
    <x v="0"/>
    <s v="MEDIANO"/>
    <x v="10"/>
    <x v="1"/>
    <n v="11"/>
    <n v="1"/>
    <d v="2018-01-04T00:00:00"/>
    <s v="VOLVO"/>
    <s v="CX60"/>
    <n v="0"/>
    <d v="2018-01-04T00:00:00"/>
    <n v="9"/>
    <x v="719"/>
  </r>
  <r>
    <d v="2018-01-15T00:00:00"/>
    <s v="001-00009982"/>
    <n v="2632.2311557999992"/>
    <n v="0"/>
    <n v="0"/>
    <n v="55.084745762711869"/>
    <n v="121.3875"/>
    <n v="687.375"/>
    <n v="480.32562499999995"/>
    <n v="0"/>
    <n v="1344.1728707627117"/>
    <n v="1288.0582850372875"/>
    <n v="0.48934087046234936"/>
    <x v="1"/>
    <s v="GRAVE"/>
    <x v="10"/>
    <x v="1"/>
    <n v="177"/>
    <n v="1"/>
    <d v="2017-07-22T00:00:00"/>
    <s v="CHEVROLET"/>
    <s v="SAIL"/>
    <n v="9636.51"/>
    <d v="2017-07-25T00:00:00"/>
    <n v="47"/>
    <x v="720"/>
  </r>
  <r>
    <d v="2018-01-15T00:00:00"/>
    <s v="001-00010292"/>
    <n v="3521.2607743000012"/>
    <n v="2.8551997899999999"/>
    <n v="0"/>
    <n v="78.81"/>
    <n v="73.125"/>
    <n v="292.5"/>
    <n v="495.82"/>
    <n v="97.5"/>
    <n v="1040.61019979"/>
    <n v="2480.6505745100012"/>
    <n v="0.70447795079963504"/>
    <x v="1"/>
    <s v="MEDIANO"/>
    <x v="10"/>
    <x v="1"/>
    <n v="133"/>
    <n v="1"/>
    <d v="2017-09-04T00:00:00"/>
    <s v="CHEVROLET"/>
    <s v="SAIL"/>
    <n v="6685.6075000000001"/>
    <d v="2017-09-06T00:00:00"/>
    <n v="20"/>
    <x v="721"/>
  </r>
  <r>
    <d v="2018-01-15T00:00:00"/>
    <s v="001-00011361"/>
    <n v="1536.2966000000004"/>
    <n v="0"/>
    <n v="0"/>
    <n v="0"/>
    <n v="0"/>
    <n v="336.375"/>
    <n v="247.91"/>
    <n v="0"/>
    <n v="584.28499999999997"/>
    <n v="952.01160000000039"/>
    <n v="0.6196795592726041"/>
    <x v="0"/>
    <s v="MEDIANO"/>
    <x v="10"/>
    <x v="1"/>
    <n v="5"/>
    <n v="1"/>
    <d v="2018-01-10T00:00:00"/>
    <s v="KIA"/>
    <s v="SPORTAGE"/>
    <n v="0"/>
    <d v="2018-01-10T00:00:00"/>
    <n v="23"/>
    <x v="664"/>
  </r>
  <r>
    <d v="2018-01-16T00:00:00"/>
    <s v="001-00011374"/>
    <n v="1470"/>
    <n v="398.96807724999996"/>
    <n v="0"/>
    <n v="84.75"/>
    <n v="78.097499999999997"/>
    <n v="0"/>
    <n v="0"/>
    <n v="0"/>
    <n v="561.81557724999993"/>
    <n v="908.18442275000007"/>
    <n v="0.61781253248299328"/>
    <x v="0"/>
    <s v="-"/>
    <x v="10"/>
    <x v="1"/>
    <n v="3"/>
    <n v="1"/>
    <d v="2018-01-13T00:00:00"/>
    <s v="SUZUKI"/>
    <s v="GRAND N."/>
    <n v="742.26749999999993"/>
    <d v="2018-01-13T00:00:00"/>
    <n v="0"/>
    <x v="722"/>
  </r>
  <r>
    <d v="2018-01-17T00:00:00"/>
    <s v="001-00011357"/>
    <n v="1241.2167120660001"/>
    <n v="213.78998999999996"/>
    <n v="0"/>
    <n v="330.50847457627117"/>
    <n v="0"/>
    <n v="43.875"/>
    <n v="185.9325"/>
    <n v="0"/>
    <n v="774.10596457627116"/>
    <n v="467.11074748972896"/>
    <n v="0.37633295052257637"/>
    <x v="1"/>
    <s v="GRAVE"/>
    <x v="10"/>
    <x v="1"/>
    <n v="7"/>
    <n v="1"/>
    <d v="2018-01-10T00:00:00"/>
    <s v="HYUNDAI"/>
    <s v="I10"/>
    <n v="291.94749999999999"/>
    <d v="2018-01-10T00:00:00"/>
    <n v="3"/>
    <x v="723"/>
  </r>
  <r>
    <d v="2018-01-18T00:00:00"/>
    <s v="001-00011379"/>
    <n v="835.55618029999994"/>
    <n v="0"/>
    <n v="0"/>
    <n v="101.7"/>
    <n v="16.087500000000002"/>
    <n v="58.5"/>
    <n v="123.955"/>
    <n v="0"/>
    <n v="300.24250000000001"/>
    <n v="535.31368029999999"/>
    <n v="0.64066748941740792"/>
    <x v="4"/>
    <s v="S/TIPO"/>
    <x v="10"/>
    <x v="1"/>
    <n v="3"/>
    <n v="1"/>
    <d v="2018-01-15T00:00:00"/>
    <s v="S/MARCA"/>
    <s v="S/MODELO"/>
    <n v="0"/>
    <s v="F/Fecha"/>
    <n v="0"/>
    <x v="724"/>
  </r>
  <r>
    <d v="2018-01-18T00:00:00"/>
    <s v="001-00011400"/>
    <n v="419"/>
    <n v="120.43580299999999"/>
    <n v="0"/>
    <n v="0"/>
    <n v="39.048749999999998"/>
    <n v="0"/>
    <n v="0"/>
    <n v="0"/>
    <n v="159.48455300000001"/>
    <n v="259.51544699999999"/>
    <n v="0.61936860859188547"/>
    <x v="0"/>
    <s v="-"/>
    <x v="10"/>
    <x v="1"/>
    <n v="1"/>
    <n v="1"/>
    <d v="2018-01-17T00:00:00"/>
    <s v="SUZUKI"/>
    <s v="SWIFT"/>
    <n v="169"/>
    <d v="2018-01-17T00:00:00"/>
    <n v="0"/>
    <x v="258"/>
  </r>
  <r>
    <d v="2018-01-18T00:00:00"/>
    <s v="001-00011382"/>
    <n v="249"/>
    <n v="47.379102000000003"/>
    <n v="0"/>
    <n v="0"/>
    <n v="39.048749999999998"/>
    <n v="0"/>
    <n v="0"/>
    <n v="0"/>
    <n v="86.427852000000001"/>
    <n v="162.572148"/>
    <n v="0.65290019277108435"/>
    <x v="0"/>
    <s v="-"/>
    <x v="10"/>
    <x v="1"/>
    <n v="4"/>
    <n v="1"/>
    <d v="2018-01-14T00:00:00"/>
    <s v="NISSAN"/>
    <s v="VERSA"/>
    <n v="0"/>
    <d v="2018-01-15T00:00:00"/>
    <n v="0"/>
    <x v="725"/>
  </r>
  <r>
    <d v="2018-01-18T00:00:00"/>
    <s v="001-00011414"/>
    <n v="349"/>
    <n v="91.019103000000001"/>
    <n v="0"/>
    <n v="0"/>
    <n v="39.048749999999998"/>
    <n v="0"/>
    <n v="0"/>
    <n v="0"/>
    <n v="130.06785300000001"/>
    <n v="218.93214699999999"/>
    <n v="0.62731274212034382"/>
    <x v="0"/>
    <s v="-"/>
    <x v="10"/>
    <x v="1"/>
    <n v="1"/>
    <n v="1"/>
    <d v="2018-01-17T00:00:00"/>
    <s v="SUZUKI"/>
    <s v="SWIFT"/>
    <n v="0"/>
    <d v="2018-01-17T00:00:00"/>
    <n v="0"/>
    <x v="357"/>
  </r>
  <r>
    <d v="2018-01-18T00:00:00"/>
    <s v="001-00011417"/>
    <n v="459"/>
    <n v="70.929102499999999"/>
    <n v="0"/>
    <n v="38.14"/>
    <n v="78.097499999999997"/>
    <n v="0"/>
    <n v="0"/>
    <n v="0"/>
    <n v="187.16660250000001"/>
    <n v="271.83339749999999"/>
    <n v="0.59222962418300651"/>
    <x v="0"/>
    <s v="-"/>
    <x v="10"/>
    <x v="1"/>
    <n v="1"/>
    <n v="1"/>
    <d v="2018-01-17T00:00:00"/>
    <s v="HYUNDAI"/>
    <s v="ACCENT"/>
    <n v="48.75"/>
    <d v="2018-01-18T00:00:00"/>
    <n v="0"/>
    <x v="195"/>
  </r>
  <r>
    <d v="2018-01-19T00:00:00"/>
    <s v="001-00011422"/>
    <n v="50"/>
    <n v="0"/>
    <n v="0"/>
    <n v="0"/>
    <n v="39.048749999999998"/>
    <n v="0"/>
    <n v="0"/>
    <n v="0"/>
    <n v="39.048749999999998"/>
    <n v="10.951250000000002"/>
    <n v="0.21902500000000003"/>
    <x v="0"/>
    <s v="-"/>
    <x v="10"/>
    <x v="1"/>
    <n v="2"/>
    <n v="1"/>
    <d v="2018-01-17T00:00:00"/>
    <s v="AUDI "/>
    <s v="A3"/>
    <n v="0"/>
    <d v="2018-01-18T00:00:00"/>
    <n v="0"/>
    <x v="295"/>
  </r>
  <r>
    <d v="2018-01-19T00:00:00"/>
    <s v="001-00011364"/>
    <n v="550"/>
    <n v="120.44860209999999"/>
    <n v="0"/>
    <n v="0"/>
    <n v="39.048749999999998"/>
    <n v="0"/>
    <n v="0"/>
    <n v="0"/>
    <n v="159.4973521"/>
    <n v="390.5026479"/>
    <n v="0.71000481436363638"/>
    <x v="0"/>
    <s v="-"/>
    <x v="10"/>
    <x v="1"/>
    <n v="8"/>
    <n v="1"/>
    <d v="2018-01-11T00:00:00"/>
    <s v="CHEVROLET"/>
    <s v="SAIL"/>
    <n v="100.10000000000001"/>
    <d v="2018-01-11T00:00:00"/>
    <n v="0"/>
    <x v="726"/>
  </r>
  <r>
    <d v="2018-01-19T00:00:00"/>
    <s v="001-00011428"/>
    <n v="1188"/>
    <n v="284.55345304999997"/>
    <n v="0"/>
    <n v="38.14"/>
    <n v="78.097499999999997"/>
    <n v="0"/>
    <n v="0"/>
    <n v="0"/>
    <n v="400.79095304999998"/>
    <n v="787.20904695000002"/>
    <n v="0.66263387790404038"/>
    <x v="1"/>
    <s v="GRAVE"/>
    <x v="10"/>
    <x v="1"/>
    <n v="1"/>
    <n v="1"/>
    <d v="2018-01-18T00:00:00"/>
    <s v="MITSUBISHI"/>
    <s v="LANCER"/>
    <n v="610.1875"/>
    <d v="2018-01-19T00:00:00"/>
    <n v="0"/>
    <x v="727"/>
  </r>
  <r>
    <d v="2018-01-20T00:00:00"/>
    <s v="001-00011381"/>
    <n v="1090.50860053"/>
    <n v="0"/>
    <n v="0"/>
    <n v="167.7715254237288"/>
    <n v="23.400000000000002"/>
    <n v="365.625"/>
    <n v="371.86500000000001"/>
    <n v="0"/>
    <n v="928.66152542372879"/>
    <n v="161.84707510627118"/>
    <n v="0.14841430413993215"/>
    <x v="4"/>
    <s v="S/TIPO"/>
    <x v="10"/>
    <x v="1"/>
    <n v="5"/>
    <n v="1"/>
    <d v="2018-01-15T00:00:00"/>
    <s v="S/MARCA"/>
    <s v="S/MODELO"/>
    <n v="0"/>
    <s v="F/Fecha"/>
    <n v="0"/>
    <x v="728"/>
  </r>
  <r>
    <d v="2018-01-20T00:00:00"/>
    <s v="001-00011433"/>
    <n v="300"/>
    <n v="169.48750000000001"/>
    <n v="0"/>
    <n v="0"/>
    <n v="39.048749999999998"/>
    <n v="0"/>
    <n v="0"/>
    <n v="0"/>
    <n v="208.53625"/>
    <n v="91.463750000000005"/>
    <n v="0.3048791666666667"/>
    <x v="0"/>
    <s v="-"/>
    <x v="10"/>
    <x v="1"/>
    <n v="1"/>
    <n v="1"/>
    <d v="2018-01-19T00:00:00"/>
    <s v="KIA"/>
    <s v="SPORTAGE"/>
    <n v="300.91750000000002"/>
    <d v="2018-01-20T00:00:00"/>
    <n v="0"/>
    <x v="223"/>
  </r>
  <r>
    <d v="2018-01-20T00:00:00"/>
    <s v="001-00011435"/>
    <n v="315"/>
    <n v="91.479102000000012"/>
    <n v="0"/>
    <n v="0"/>
    <n v="39.048749999999998"/>
    <n v="0"/>
    <n v="0"/>
    <n v="0"/>
    <n v="130.527852"/>
    <n v="184.472148"/>
    <n v="0.58562586666666672"/>
    <x v="0"/>
    <s v="-"/>
    <x v="10"/>
    <x v="1"/>
    <n v="1"/>
    <n v="1"/>
    <d v="2018-01-19T00:00:00"/>
    <s v="SUZUKI"/>
    <s v="SWIFT"/>
    <n v="0"/>
    <d v="2018-01-20T00:00:00"/>
    <n v="0"/>
    <x v="729"/>
  </r>
  <r>
    <d v="2018-01-20T00:00:00"/>
    <s v="001-00011393"/>
    <n v="1399.5"/>
    <n v="0"/>
    <n v="0"/>
    <n v="288.14"/>
    <n v="0"/>
    <n v="58.5"/>
    <n v="309.88749999999999"/>
    <n v="0"/>
    <n v="656.52749999999992"/>
    <n v="742.97250000000008"/>
    <n v="0.53088424437299042"/>
    <x v="0"/>
    <s v="LEVE"/>
    <x v="10"/>
    <x v="1"/>
    <n v="6"/>
    <n v="1"/>
    <d v="2018-01-14T00:00:00"/>
    <s v="HONDA"/>
    <s v="HR-V"/>
    <n v="0"/>
    <d v="2018-01-15T00:00:00"/>
    <n v="4"/>
    <x v="730"/>
  </r>
  <r>
    <d v="2018-01-22T00:00:00"/>
    <s v="001-00011447"/>
    <n v="892.16948200000002"/>
    <n v="52.047601990000004"/>
    <n v="0"/>
    <n v="65.25864406779661"/>
    <n v="39.048749999999998"/>
    <n v="51.1875"/>
    <n v="123.955"/>
    <n v="0"/>
    <n v="331.49749605779658"/>
    <n v="560.67198594220349"/>
    <n v="0.62843663368234726"/>
    <x v="0"/>
    <s v="LEVE"/>
    <x v="10"/>
    <x v="1"/>
    <n v="0"/>
    <n v="1"/>
    <d v="2018-01-22T00:00:00"/>
    <s v="HYUNDAI"/>
    <s v="ACCENT"/>
    <n v="0"/>
    <d v="2018-01-22T00:00:00"/>
    <n v="3.5"/>
    <x v="361"/>
  </r>
  <r>
    <d v="2018-01-23T00:00:00"/>
    <s v="001-00011434"/>
    <n v="1370"/>
    <n v="429.32108025000002"/>
    <n v="0"/>
    <n v="76.28"/>
    <n v="78.097499999999997"/>
    <n v="0"/>
    <n v="0"/>
    <n v="0"/>
    <n v="583.69858024999996"/>
    <n v="786.30141975000004"/>
    <n v="0.57394264215328472"/>
    <x v="0"/>
    <s v="-"/>
    <x v="10"/>
    <x v="1"/>
    <n v="4"/>
    <n v="1"/>
    <d v="2018-01-19T00:00:00"/>
    <s v="MITSUBISHI"/>
    <s v="LANCER"/>
    <n v="732.22500000000002"/>
    <d v="2018-01-20T00:00:00"/>
    <n v="0"/>
    <x v="731"/>
  </r>
  <r>
    <d v="2018-01-24T00:00:00"/>
    <s v="001-00011287"/>
    <n v="2627.2796900000003"/>
    <n v="0"/>
    <n v="0"/>
    <n v="71.186440677966104"/>
    <n v="0"/>
    <n v="438.75"/>
    <n v="402.85374999999999"/>
    <n v="0"/>
    <n v="912.79019067796617"/>
    <n v="1714.4894993220341"/>
    <n v="0.65257212844439638"/>
    <x v="0"/>
    <s v="GRAVE"/>
    <x v="10"/>
    <x v="1"/>
    <n v="21"/>
    <n v="1"/>
    <d v="2018-01-03T00:00:00"/>
    <s v="SUBARU"/>
    <s v="IMPREZA"/>
    <n v="0"/>
    <d v="2018-01-03T00:00:00"/>
    <n v="30"/>
    <x v="732"/>
  </r>
  <r>
    <d v="2018-01-24T00:00:00"/>
    <s v="001-00011329"/>
    <n v="337.99501049999998"/>
    <n v="0"/>
    <n v="0"/>
    <n v="0"/>
    <n v="0"/>
    <n v="29.25"/>
    <n v="61.977499999999999"/>
    <n v="0"/>
    <n v="91.227499999999992"/>
    <n v="246.76751049999999"/>
    <n v="0.73009216951147859"/>
    <x v="0"/>
    <s v="LEVE"/>
    <x v="10"/>
    <x v="1"/>
    <n v="16"/>
    <n v="1"/>
    <d v="2018-01-08T00:00:00"/>
    <s v="CHEVROLET"/>
    <s v="TRACKER"/>
    <n v="0"/>
    <d v="2018-01-08T00:00:00"/>
    <n v="2"/>
    <x v="232"/>
  </r>
  <r>
    <d v="2018-01-24T00:00:00"/>
    <s v="001-00011432"/>
    <n v="289.71000900000001"/>
    <n v="0"/>
    <n v="8.4700000000000006"/>
    <n v="0"/>
    <n v="14.625"/>
    <n v="58.5"/>
    <n v="0"/>
    <n v="0"/>
    <n v="81.594999999999999"/>
    <n v="208.11500900000001"/>
    <n v="0.71835629607122065"/>
    <x v="0"/>
    <s v="LEVE"/>
    <x v="10"/>
    <x v="1"/>
    <n v="5"/>
    <n v="1"/>
    <d v="2018-01-19T00:00:00"/>
    <s v="KIA"/>
    <s v="CERATO"/>
    <n v="0"/>
    <d v="2018-01-19T00:00:00"/>
    <n v="4"/>
    <x v="733"/>
  </r>
  <r>
    <d v="2018-01-25T00:00:00"/>
    <s v="001-00011468"/>
    <n v="213.376813986"/>
    <n v="64.110000999999997"/>
    <n v="0"/>
    <n v="84.75"/>
    <n v="0"/>
    <n v="0"/>
    <n v="0"/>
    <n v="0"/>
    <n v="148.86000100000001"/>
    <n v="64.516812985999991"/>
    <n v="0.30236093500877298"/>
    <x v="0"/>
    <s v="-"/>
    <x v="10"/>
    <x v="1"/>
    <n v="0"/>
    <n v="1"/>
    <d v="2018-01-25T00:00:00"/>
    <s v="KIA"/>
    <s v="CERATO"/>
    <n v="102.0175"/>
    <d v="2018-01-25T00:00:00"/>
    <n v="0"/>
    <x v="733"/>
  </r>
  <r>
    <d v="2018-01-25T00:00:00"/>
    <s v="001-00011457"/>
    <n v="1061.65003048475"/>
    <n v="0"/>
    <n v="0"/>
    <n v="0"/>
    <n v="0"/>
    <n v="51.1875"/>
    <n v="139.449375"/>
    <n v="0"/>
    <n v="190.636875"/>
    <n v="871.01315548474997"/>
    <n v="0.82043341070413278"/>
    <x v="1"/>
    <s v="LEVE"/>
    <x v="10"/>
    <x v="1"/>
    <n v="2"/>
    <n v="1"/>
    <d v="2018-01-23T00:00:00"/>
    <s v="DAIHATSU"/>
    <s v="TERIOS"/>
    <n v="714.80499999999995"/>
    <d v="2018-01-24T00:00:00"/>
    <n v="3.5"/>
    <x v="734"/>
  </r>
  <r>
    <d v="2018-01-25T00:00:00"/>
    <s v="001-00011469"/>
    <n v="231.51694495799998"/>
    <n v="0"/>
    <n v="126.36000000000001"/>
    <n v="0"/>
    <n v="0"/>
    <n v="0"/>
    <n v="0"/>
    <n v="0"/>
    <n v="126.36000000000001"/>
    <n v="105.15694495799997"/>
    <n v="0.45420841648146631"/>
    <x v="0"/>
    <s v="-"/>
    <x v="10"/>
    <x v="1"/>
    <n v="0"/>
    <n v="1"/>
    <d v="2018-01-25T00:00:00"/>
    <s v="KIA"/>
    <s v="SPORTAGE"/>
    <n v="0"/>
    <d v="2018-01-25T00:00:00"/>
    <n v="0"/>
    <x v="664"/>
  </r>
  <r>
    <d v="2018-01-26T00:00:00"/>
    <s v="001-00011409"/>
    <n v="6006.7259819999999"/>
    <n v="2494.17"/>
    <n v="0"/>
    <n v="241.61966101694915"/>
    <n v="0"/>
    <n v="138.9375"/>
    <n v="464.83125000000001"/>
    <n v="0"/>
    <n v="3339.5584110169493"/>
    <n v="2667.1675709830506"/>
    <n v="0.4440301720064464"/>
    <x v="0"/>
    <s v="MEDIANO"/>
    <x v="10"/>
    <x v="1"/>
    <n v="10"/>
    <n v="1"/>
    <d v="2018-01-16T00:00:00"/>
    <s v="MITSUBISHI"/>
    <s v="OUTLANDER"/>
    <n v="2707.25"/>
    <d v="2018-01-17T00:00:00"/>
    <n v="9.5"/>
    <x v="735"/>
  </r>
  <r>
    <d v="2018-01-26T00:00:00"/>
    <s v="001-00011395"/>
    <n v="1088.1357542100002"/>
    <n v="0"/>
    <n v="0"/>
    <n v="192.79661016949154"/>
    <n v="0"/>
    <n v="80.4375"/>
    <n v="247.91"/>
    <n v="0"/>
    <n v="521.14411016949157"/>
    <n v="566.99164404050862"/>
    <n v="0.5210670101104723"/>
    <x v="0"/>
    <s v="LEVE"/>
    <x v="10"/>
    <x v="1"/>
    <n v="11"/>
    <n v="1"/>
    <d v="2018-01-15T00:00:00"/>
    <s v="HONDA"/>
    <s v="CR-V"/>
    <n v="0"/>
    <d v="2018-01-16T00:00:00"/>
    <n v="5.5"/>
    <x v="736"/>
  </r>
  <r>
    <d v="2018-01-26T00:00:00"/>
    <s v="001-00011446"/>
    <n v="611.99452500000007"/>
    <n v="0"/>
    <n v="0"/>
    <n v="55.084745762711869"/>
    <n v="0"/>
    <n v="58.5"/>
    <n v="123.955"/>
    <n v="0"/>
    <n v="237.53974576271185"/>
    <n v="374.45477923728822"/>
    <n v="0.61185968818477288"/>
    <x v="0"/>
    <s v="LEVE"/>
    <x v="10"/>
    <x v="1"/>
    <n v="5"/>
    <n v="1"/>
    <d v="2018-01-21T00:00:00"/>
    <s v="KIA"/>
    <s v="SPORTAGE"/>
    <n v="0"/>
    <d v="2018-01-22T00:00:00"/>
    <n v="4"/>
    <x v="737"/>
  </r>
  <r>
    <d v="2018-01-26T00:00:00"/>
    <s v="001-00011474"/>
    <n v="550"/>
    <n v="126.78830299999998"/>
    <n v="0"/>
    <n v="0"/>
    <n v="39.048749999999998"/>
    <n v="0"/>
    <n v="0"/>
    <n v="0"/>
    <n v="165.83705299999997"/>
    <n v="384.16294700000003"/>
    <n v="0.69847808545454548"/>
    <x v="0"/>
    <s v="-"/>
    <x v="10"/>
    <x v="1"/>
    <n v="1"/>
    <n v="1"/>
    <d v="2018-01-25T00:00:00"/>
    <s v="CHEVROLET"/>
    <s v="CAPTIVA"/>
    <n v="0"/>
    <d v="2018-01-25T00:00:00"/>
    <n v="0"/>
    <x v="738"/>
  </r>
  <r>
    <d v="2018-01-26T00:00:00"/>
    <s v="001-00011476"/>
    <n v="460"/>
    <n v="102.48020030000001"/>
    <n v="0"/>
    <n v="0"/>
    <n v="78.097499999999997"/>
    <n v="0"/>
    <n v="0"/>
    <n v="0"/>
    <n v="180.5777003"/>
    <n v="279.4222997"/>
    <n v="0.60743978195652171"/>
    <x v="0"/>
    <s v="-"/>
    <x v="10"/>
    <x v="1"/>
    <n v="0"/>
    <n v="1"/>
    <d v="2018-01-26T00:00:00"/>
    <s v="CHEVROLET"/>
    <s v="SAIL"/>
    <n v="150.4425"/>
    <d v="2018-01-26T00:00:00"/>
    <n v="0"/>
    <x v="739"/>
  </r>
  <r>
    <d v="2018-01-27T00:00:00"/>
    <s v="001-00011351"/>
    <n v="120"/>
    <n v="0"/>
    <n v="0"/>
    <n v="0"/>
    <n v="39.048749999999998"/>
    <n v="0"/>
    <n v="0"/>
    <n v="0"/>
    <n v="39.048749999999998"/>
    <n v="80.951250000000002"/>
    <n v="0.67459374999999999"/>
    <x v="0"/>
    <s v="-"/>
    <x v="10"/>
    <x v="1"/>
    <n v="18"/>
    <n v="1"/>
    <d v="2018-01-09T00:00:00"/>
    <s v="CHEVROLET"/>
    <s v="OPTRA"/>
    <n v="0"/>
    <d v="2018-01-09T00:00:00"/>
    <n v="0"/>
    <x v="740"/>
  </r>
  <r>
    <d v="2018-01-27T00:00:00"/>
    <s v="001-00011482"/>
    <n v="581.10169999999994"/>
    <n v="73.552201800000006"/>
    <n v="82.360800000000012"/>
    <n v="0"/>
    <n v="53.673749999999998"/>
    <n v="0"/>
    <n v="0"/>
    <n v="0"/>
    <n v="209.5867518"/>
    <n v="371.51494819999994"/>
    <n v="0.63932862044630046"/>
    <x v="0"/>
    <s v="-"/>
    <x v="10"/>
    <x v="1"/>
    <n v="0"/>
    <n v="1"/>
    <d v="2018-01-27T00:00:00"/>
    <s v="NISSAN"/>
    <s v="TIIDA"/>
    <n v="0"/>
    <d v="2018-01-27T00:00:00"/>
    <n v="0"/>
    <x v="741"/>
  </r>
  <r>
    <d v="2018-01-29T00:00:00"/>
    <s v="001-00011389"/>
    <n v="211.85589999999996"/>
    <n v="0"/>
    <n v="0"/>
    <n v="0"/>
    <n v="39.048749999999998"/>
    <n v="0"/>
    <n v="0"/>
    <n v="0"/>
    <n v="39.048749999999998"/>
    <n v="172.80714999999998"/>
    <n v="0.81568249928371128"/>
    <x v="0"/>
    <s v="-"/>
    <x v="10"/>
    <x v="1"/>
    <n v="15"/>
    <n v="1"/>
    <d v="2018-01-14T00:00:00"/>
    <s v="CHEVROLET"/>
    <s v="SAIL"/>
    <n v="0"/>
    <d v="2018-01-29T00:00:00"/>
    <n v="0"/>
    <x v="742"/>
  </r>
  <r>
    <d v="2018-01-29T00:00:00"/>
    <s v="001-00011488"/>
    <n v="150"/>
    <n v="0"/>
    <n v="0"/>
    <n v="0"/>
    <n v="39.048749999999998"/>
    <n v="0"/>
    <n v="0"/>
    <n v="0"/>
    <n v="39.048749999999998"/>
    <n v="110.95125"/>
    <n v="0.73967499999999997"/>
    <x v="0"/>
    <s v="-"/>
    <x v="10"/>
    <x v="1"/>
    <n v="0"/>
    <n v="1"/>
    <d v="2018-01-29T00:00:00"/>
    <s v="SUZUKI"/>
    <s v="SX4"/>
    <n v="0"/>
    <d v="2018-01-29T00:00:00"/>
    <n v="0"/>
    <x v="743"/>
  </r>
  <r>
    <d v="2018-01-29T00:00:00"/>
    <s v="001-00011489"/>
    <n v="16.949200000000001"/>
    <n v="0"/>
    <n v="0"/>
    <n v="0"/>
    <n v="0"/>
    <n v="0"/>
    <n v="0"/>
    <n v="0"/>
    <n v="0"/>
    <n v="16.949200000000001"/>
    <n v="1"/>
    <x v="0"/>
    <s v="-"/>
    <x v="10"/>
    <x v="1"/>
    <n v="0"/>
    <n v="1"/>
    <d v="2018-01-29T00:00:00"/>
    <s v="NISSAN"/>
    <s v="VERSA"/>
    <n v="0"/>
    <d v="2018-01-29T00:00:00"/>
    <n v="0"/>
    <x v="744"/>
  </r>
  <r>
    <d v="2018-01-31T00:00:00"/>
    <s v="001-00011436"/>
    <n v="42.372900000000001"/>
    <n v="8.9099997999999996"/>
    <n v="25.42"/>
    <n v="0"/>
    <n v="0"/>
    <n v="0"/>
    <n v="0"/>
    <n v="0"/>
    <n v="34.329999800000003"/>
    <n v="8.0429001999999983"/>
    <n v="0.18981236120256104"/>
    <x v="0"/>
    <s v="-"/>
    <x v="10"/>
    <x v="1"/>
    <n v="12"/>
    <n v="1"/>
    <d v="2018-01-19T00:00:00"/>
    <s v="KIA"/>
    <s v="RIO"/>
    <n v="16.965"/>
    <d v="2018-01-20T00:00:00"/>
    <n v="0"/>
    <x v="745"/>
  </r>
  <r>
    <d v="2018-01-31T00:00:00"/>
    <s v="001-00011490"/>
    <n v="536.39829999999995"/>
    <n v="313.55250000000001"/>
    <n v="0"/>
    <n v="0"/>
    <n v="39.048749999999998"/>
    <n v="0"/>
    <n v="0"/>
    <n v="0"/>
    <n v="352.60124999999999"/>
    <n v="183.79704999999996"/>
    <n v="0.34265032159870745"/>
    <x v="0"/>
    <s v="-"/>
    <x v="10"/>
    <x v="1"/>
    <n v="2"/>
    <n v="1"/>
    <d v="2018-01-29T00:00:00"/>
    <s v="KIA"/>
    <s v="CERATO"/>
    <n v="597.83749999999998"/>
    <d v="2018-01-29T00:00:00"/>
    <n v="0"/>
    <x v="356"/>
  </r>
  <r>
    <d v="2018-02-01T00:00:00"/>
    <s v="001-00011443"/>
    <n v="892.33596380000017"/>
    <n v="0"/>
    <n v="0"/>
    <n v="136.65118644067798"/>
    <n v="0"/>
    <n v="58.5"/>
    <n v="123.955"/>
    <n v="0"/>
    <n v="319.10618644067796"/>
    <n v="573.22977735932227"/>
    <n v="0.64239232824174353"/>
    <x v="1"/>
    <s v="LEVE"/>
    <x v="11"/>
    <x v="1"/>
    <n v="10"/>
    <n v="1"/>
    <d v="2018-01-22T00:00:00"/>
    <s v="CHEVROLET"/>
    <s v="AVEO"/>
    <n v="717.3075"/>
    <d v="2018-01-22T00:00:00"/>
    <n v="4"/>
    <x v="1"/>
  </r>
  <r>
    <d v="2018-02-01T00:00:00"/>
    <s v="001-00011470"/>
    <n v="373.19934128299997"/>
    <n v="0"/>
    <n v="0"/>
    <n v="0"/>
    <n v="0"/>
    <n v="19.012500000000003"/>
    <n v="61.977499999999999"/>
    <n v="0"/>
    <n v="80.990000000000009"/>
    <n v="292.20934128299996"/>
    <n v="0.78298461159773414"/>
    <x v="1"/>
    <s v="LEVE"/>
    <x v="11"/>
    <x v="1"/>
    <n v="7"/>
    <n v="1"/>
    <d v="2018-01-25T00:00:00"/>
    <s v="RENAULT"/>
    <s v="LOGAN"/>
    <n v="672.91250000000002"/>
    <d v="2018-01-26T00:00:00"/>
    <n v="1.3"/>
    <x v="1"/>
  </r>
  <r>
    <d v="2018-02-01T00:00:00"/>
    <s v="001-00011418"/>
    <n v="1007.4115924999999"/>
    <n v="0.47850000000000004"/>
    <n v="0"/>
    <n v="20.656779661016948"/>
    <n v="0"/>
    <n v="102.375"/>
    <n v="185.31272500000003"/>
    <n v="0"/>
    <n v="308.82300466101697"/>
    <n v="698.5885878389829"/>
    <n v="0.69344902623699256"/>
    <x v="1"/>
    <s v="LEVE"/>
    <x v="11"/>
    <x v="1"/>
    <n v="14"/>
    <n v="1"/>
    <d v="2018-01-18T00:00:00"/>
    <s v="KIA"/>
    <s v="SPORTAGE"/>
    <n v="3207.4575"/>
    <d v="2018-01-19T00:00:00"/>
    <n v="7"/>
    <x v="62"/>
  </r>
  <r>
    <d v="2018-02-01T00:00:00"/>
    <s v="001-00011380"/>
    <n v="635.19407639999997"/>
    <n v="1.3127999699999997"/>
    <n v="0"/>
    <n v="55.084745762711869"/>
    <n v="0"/>
    <n v="43.875"/>
    <n v="123.955"/>
    <n v="0"/>
    <n v="224.22754573271186"/>
    <n v="410.96653066728811"/>
    <n v="0.6469936448344501"/>
    <x v="1"/>
    <s v="LEVE"/>
    <x v="11"/>
    <x v="1"/>
    <n v="17"/>
    <n v="1"/>
    <d v="2018-01-15T00:00:00"/>
    <s v="SUZUKI"/>
    <s v="GRAND N."/>
    <n v="2044.575"/>
    <d v="2018-01-16T00:00:00"/>
    <n v="3"/>
    <x v="1"/>
  </r>
  <r>
    <d v="2018-02-01T00:00:00"/>
    <s v="001-00011424"/>
    <n v="419.62773511700004"/>
    <n v="0"/>
    <n v="0"/>
    <n v="148.30508474576271"/>
    <n v="0"/>
    <n v="7.3125"/>
    <n v="30.98875"/>
    <n v="0"/>
    <n v="186.60633474576272"/>
    <n v="233.02140037123732"/>
    <n v="0.55530504985869589"/>
    <x v="1"/>
    <s v="LEVE"/>
    <x v="11"/>
    <x v="1"/>
    <n v="14"/>
    <n v="1"/>
    <d v="2018-01-18T00:00:00"/>
    <s v="SUZUKI"/>
    <s v="GRAND N."/>
    <n v="1755"/>
    <d v="2018-01-16T00:00:00"/>
    <n v="0.5"/>
    <x v="1"/>
  </r>
  <r>
    <d v="2018-02-01T00:00:00"/>
    <s v="001-00011413"/>
    <n v="1025.2688378"/>
    <n v="1.7503999599999995"/>
    <n v="0"/>
    <n v="55.084745762711869"/>
    <n v="0"/>
    <n v="117"/>
    <n v="108.46062500000001"/>
    <n v="0"/>
    <n v="282.29577072271189"/>
    <n v="742.97306707728808"/>
    <n v="0.72466170791998696"/>
    <x v="1"/>
    <s v="MEDIANO"/>
    <x v="11"/>
    <x v="1"/>
    <n v="15"/>
    <n v="1"/>
    <d v="2018-01-17T00:00:00"/>
    <s v="TOYOTA"/>
    <s v="RAV4"/>
    <n v="2288.2275"/>
    <d v="2018-01-18T00:00:00"/>
    <n v="8"/>
    <x v="1"/>
  </r>
  <r>
    <d v="2018-02-01T00:00:00"/>
    <s v="001-00011291"/>
    <n v="3794.2060750700002"/>
    <n v="1.9140000000000001"/>
    <n v="0"/>
    <n v="199.15474576271185"/>
    <n v="0"/>
    <n v="409.5"/>
    <n v="472.88832500000001"/>
    <n v="0"/>
    <n v="1083.4570707627117"/>
    <n v="2710.7490043072885"/>
    <n v="0.71444432660587032"/>
    <x v="1"/>
    <s v="GRAVE"/>
    <x v="11"/>
    <x v="1"/>
    <n v="29"/>
    <n v="1"/>
    <d v="2018-01-03T00:00:00"/>
    <s v="KIA"/>
    <s v="RIO"/>
    <n v="6310.6549999999997"/>
    <d v="2018-01-05T00:00:00"/>
    <n v="28"/>
    <x v="1"/>
  </r>
  <r>
    <d v="2018-02-01T00:00:00"/>
    <s v="001-00011522"/>
    <n v="405"/>
    <n v="108.98075290000001"/>
    <n v="0"/>
    <n v="0"/>
    <n v="39.048749999999998"/>
    <n v="0"/>
    <n v="0"/>
    <n v="0"/>
    <n v="148.02950290000001"/>
    <n v="256.97049709999999"/>
    <n v="0.63449505456790123"/>
    <x v="0"/>
    <s v="MECANICA"/>
    <x v="11"/>
    <x v="1"/>
    <n v="0"/>
    <n v="1"/>
    <d v="2018-02-01T00:00:00"/>
    <s v="KIA"/>
    <s v="SORENTO"/>
    <n v="0"/>
    <d v="2018-02-01T00:00:00"/>
    <n v="0"/>
    <x v="157"/>
  </r>
  <r>
    <d v="2018-02-01T00:00:00"/>
    <s v="001-00011342"/>
    <n v="1216.57124933"/>
    <n v="1.2744000300000002"/>
    <n v="0"/>
    <n v="41.313559322033896"/>
    <n v="0"/>
    <n v="160.875"/>
    <n v="149.36577500000001"/>
    <n v="0"/>
    <n v="352.8287343520339"/>
    <n v="863.74251497796604"/>
    <n v="0.70998103518692668"/>
    <x v="1"/>
    <s v="MEDIANO"/>
    <x v="11"/>
    <x v="1"/>
    <n v="23"/>
    <n v="1"/>
    <d v="2018-01-09T00:00:00"/>
    <s v="DAIHATSU"/>
    <s v="TERIOS"/>
    <n v="1644.24"/>
    <d v="2018-01-08T00:00:00"/>
    <n v="11"/>
    <x v="1"/>
  </r>
  <r>
    <d v="2018-02-02T00:00:00"/>
    <s v="001-00011479"/>
    <n v="771.12002399999994"/>
    <n v="0"/>
    <n v="0"/>
    <n v="133.34355932203391"/>
    <n v="0"/>
    <n v="58.5"/>
    <n v="123.955"/>
    <n v="0"/>
    <n v="315.7985593220339"/>
    <n v="455.32146467796605"/>
    <n v="0.59046769699494417"/>
    <x v="2"/>
    <s v="LEVE"/>
    <x v="11"/>
    <x v="1"/>
    <n v="7"/>
    <n v="1"/>
    <d v="2018-01-26T00:00:00"/>
    <s v="NISSAN"/>
    <s v="SENTRA"/>
    <n v="0"/>
    <d v="2018-01-26T00:00:00"/>
    <n v="4"/>
    <x v="2"/>
  </r>
  <r>
    <d v="2018-02-03T00:00:00"/>
    <s v="001-00011416"/>
    <n v="2313.6875117216914"/>
    <n v="0"/>
    <n v="0"/>
    <n v="84.75"/>
    <n v="36.5625"/>
    <n v="175.5"/>
    <n v="264.64392499999997"/>
    <n v="0"/>
    <n v="561.45642499999997"/>
    <n v="1752.2310867216916"/>
    <n v="0.7573326466277196"/>
    <x v="1"/>
    <s v="MEDIANO"/>
    <x v="11"/>
    <x v="1"/>
    <n v="16"/>
    <n v="1"/>
    <d v="2018-01-18T00:00:00"/>
    <s v="MITSUBISHI"/>
    <s v="ASX"/>
    <n v="7394.92"/>
    <d v="2018-01-19T00:00:00"/>
    <n v="12"/>
    <x v="1"/>
  </r>
  <r>
    <d v="2018-02-03T00:00:00"/>
    <s v="001-00011427"/>
    <n v="2260.2633071418595"/>
    <n v="0"/>
    <n v="0"/>
    <n v="20.656779661016948"/>
    <n v="0"/>
    <n v="263.25"/>
    <n v="340.87625000000003"/>
    <n v="0"/>
    <n v="624.78302966101705"/>
    <n v="1635.4802774808425"/>
    <n v="0.72357953708894851"/>
    <x v="1"/>
    <s v="MEDIANO"/>
    <x v="11"/>
    <x v="1"/>
    <n v="16"/>
    <n v="1"/>
    <d v="2018-01-18T00:00:00"/>
    <s v="NISSAN"/>
    <s v="TIIDA"/>
    <n v="282.75"/>
    <d v="2018-01-20T00:00:00"/>
    <n v="18"/>
    <x v="1"/>
  </r>
  <r>
    <d v="2018-02-03T00:00:00"/>
    <s v="001-00011202"/>
    <n v="1449.5725117542404"/>
    <n v="0"/>
    <n v="0"/>
    <n v="72.03"/>
    <n v="0"/>
    <n v="175.5"/>
    <n v="185.9325"/>
    <n v="0"/>
    <n v="433.46249999999998"/>
    <n v="1016.1100117542404"/>
    <n v="0.70097218560288965"/>
    <x v="1"/>
    <s v="MEDIANO"/>
    <x v="11"/>
    <x v="1"/>
    <n v="39"/>
    <n v="1"/>
    <d v="2017-12-26T00:00:00"/>
    <s v="NISSAN"/>
    <s v="SENTRA"/>
    <n v="2440.2625000000003"/>
    <d v="2017-12-26T00:00:00"/>
    <n v="12"/>
    <x v="1"/>
  </r>
  <r>
    <d v="2018-02-03T00:00:00"/>
    <s v="001-00011460"/>
    <n v="2251.8089778045792"/>
    <n v="0.84960002000000012"/>
    <n v="8.4700000000000006"/>
    <n v="98.521186440677965"/>
    <n v="30.712500000000002"/>
    <n v="219.375"/>
    <n v="325.38187500000004"/>
    <n v="0"/>
    <n v="683.31016146067805"/>
    <n v="1568.4988163439011"/>
    <n v="0.69655056525848069"/>
    <x v="1"/>
    <s v="MEDIANO"/>
    <x v="11"/>
    <x v="1"/>
    <n v="11"/>
    <n v="1"/>
    <d v="2018-01-23T00:00:00"/>
    <s v="VOLKSWAGUEN"/>
    <s v="GOL"/>
    <n v="4306.1525000000001"/>
    <d v="2018-01-24T00:00:00"/>
    <n v="15"/>
    <x v="1"/>
  </r>
  <r>
    <d v="2018-02-03T00:00:00"/>
    <s v="001-00011463"/>
    <n v="884.4045215169499"/>
    <n v="0"/>
    <n v="0"/>
    <n v="0"/>
    <n v="0"/>
    <n v="102.375"/>
    <n v="0"/>
    <n v="0"/>
    <n v="102.375"/>
    <n v="782.0295215169499"/>
    <n v="0.88424414675718277"/>
    <x v="1"/>
    <s v="LEVE"/>
    <x v="11"/>
    <x v="1"/>
    <n v="10"/>
    <n v="1"/>
    <d v="2018-01-24T00:00:00"/>
    <s v="VOLKSWAGUEN"/>
    <s v="GOL"/>
    <n v="995.37749999999994"/>
    <d v="2018-01-25T00:00:00"/>
    <n v="7"/>
    <x v="1"/>
  </r>
  <r>
    <d v="2018-02-05T00:00:00"/>
    <s v="001-00011267"/>
    <n v="1566.9751239059306"/>
    <n v="0"/>
    <n v="0"/>
    <n v="150.42372881355931"/>
    <n v="0"/>
    <n v="117"/>
    <n v="250.38909999999998"/>
    <n v="0"/>
    <n v="517.81282881355924"/>
    <n v="1049.1622950923713"/>
    <n v="0.6695462353462065"/>
    <x v="1"/>
    <s v="MEDIANO"/>
    <x v="11"/>
    <x v="1"/>
    <n v="34"/>
    <n v="1"/>
    <d v="2018-01-02T00:00:00"/>
    <s v="RENAULT"/>
    <s v="DUSTER"/>
    <n v="194.57749999999999"/>
    <d v="2018-01-04T00:00:00"/>
    <n v="8"/>
    <x v="746"/>
  </r>
  <r>
    <d v="2018-02-05T00:00:00"/>
    <s v="001-00011355"/>
    <n v="790.26447666237118"/>
    <n v="0"/>
    <n v="0"/>
    <n v="20.593220338983052"/>
    <n v="0"/>
    <n v="58.5"/>
    <n v="154.94374999999999"/>
    <n v="0"/>
    <n v="234.03697033898305"/>
    <n v="556.22750632338807"/>
    <n v="0.70384981578898431"/>
    <x v="1"/>
    <s v="LEVE"/>
    <x v="11"/>
    <x v="1"/>
    <n v="26"/>
    <n v="1"/>
    <d v="2018-01-10T00:00:00"/>
    <s v="TOYOTA"/>
    <s v="COROLLA"/>
    <n v="154.57"/>
    <d v="2018-01-10T00:00:00"/>
    <n v="4"/>
    <x v="1"/>
  </r>
  <r>
    <d v="2018-02-05T00:00:00"/>
    <s v="001-00011359"/>
    <n v="985.38986357881026"/>
    <n v="0"/>
    <n v="0"/>
    <n v="42.707627118644069"/>
    <n v="0"/>
    <n v="87.75"/>
    <n v="185.9325"/>
    <n v="0"/>
    <n v="316.39012711864405"/>
    <n v="668.99973646016622"/>
    <n v="0.6789188332326096"/>
    <x v="1"/>
    <s v="LEVE"/>
    <x v="11"/>
    <x v="1"/>
    <n v="26"/>
    <n v="1"/>
    <d v="2018-01-10T00:00:00"/>
    <s v="TOYOTA"/>
    <s v="COROLLA"/>
    <n v="489.67749999999995"/>
    <d v="2018-01-10T00:00:00"/>
    <n v="6"/>
    <x v="1"/>
  </r>
  <r>
    <d v="2018-02-05T00:00:00"/>
    <s v="001-00011385"/>
    <n v="2439.9801703971216"/>
    <n v="8.4700002999999988"/>
    <n v="0"/>
    <n v="194.91949152542372"/>
    <n v="17.549999999999997"/>
    <n v="204.75"/>
    <n v="356.37062500000002"/>
    <n v="0"/>
    <n v="782.06011682542373"/>
    <n v="1657.9200535716977"/>
    <n v="0.67948095385621976"/>
    <x v="1"/>
    <s v="MEDIANO"/>
    <x v="11"/>
    <x v="1"/>
    <n v="21"/>
    <n v="1"/>
    <d v="2018-01-15T00:00:00"/>
    <s v="TOYOTA"/>
    <s v="YARIS"/>
    <n v="8822.7425000000003"/>
    <d v="2018-01-17T00:00:00"/>
    <n v="14"/>
    <x v="1"/>
  </r>
  <r>
    <d v="2018-02-05T00:00:00"/>
    <s v="001-00011396"/>
    <n v="2172.4772674498286"/>
    <n v="0"/>
    <n v="0"/>
    <n v="55.084745762711869"/>
    <n v="0"/>
    <n v="292.5"/>
    <n v="294.393125"/>
    <n v="0"/>
    <n v="641.97787076271186"/>
    <n v="1530.4993966871166"/>
    <n v="0.70449501111866619"/>
    <x v="1"/>
    <s v="MEDIANO"/>
    <x v="11"/>
    <x v="1"/>
    <n v="20"/>
    <n v="1"/>
    <d v="2018-01-16T00:00:00"/>
    <s v="KIA"/>
    <s v="RIO"/>
    <n v="6079.0275000000001"/>
    <d v="2018-01-17T00:00:00"/>
    <n v="20"/>
    <x v="1"/>
  </r>
  <r>
    <d v="2018-02-06T00:00:00"/>
    <s v="001-00011519"/>
    <n v="830"/>
    <n v="266.95000099999999"/>
    <n v="0"/>
    <n v="0"/>
    <n v="58.5"/>
    <n v="0"/>
    <n v="0"/>
    <n v="0"/>
    <n v="325.45000099999999"/>
    <n v="504.54999900000001"/>
    <n v="0.607891565060241"/>
    <x v="0"/>
    <s v="MECANICA"/>
    <x v="11"/>
    <x v="1"/>
    <n v="5"/>
    <n v="1"/>
    <d v="2018-02-01T00:00:00"/>
    <s v="NISSAN"/>
    <s v="FRONTIER"/>
    <n v="621.88749999999993"/>
    <d v="2018-02-05T00:00:00"/>
    <n v="0"/>
    <x v="157"/>
  </r>
  <r>
    <d v="2018-02-06T00:00:00"/>
    <s v="001-00011525"/>
    <n v="60"/>
    <n v="0"/>
    <n v="0"/>
    <n v="0"/>
    <n v="39.048749999999998"/>
    <n v="0"/>
    <n v="0"/>
    <n v="0"/>
    <n v="39.048749999999998"/>
    <n v="20.951250000000002"/>
    <n v="0.34918750000000004"/>
    <x v="0"/>
    <s v="MECANICA"/>
    <x v="11"/>
    <x v="1"/>
    <n v="4"/>
    <n v="1"/>
    <d v="2018-02-02T00:00:00"/>
    <s v="BYD"/>
    <s v="NEW F3"/>
    <n v="0"/>
    <d v="2018-02-02T00:00:00"/>
    <n v="0"/>
    <x v="638"/>
  </r>
  <r>
    <d v="2018-02-06T00:00:00"/>
    <s v="001-00011532"/>
    <n v="485"/>
    <n v="199.61010139999999"/>
    <n v="0"/>
    <n v="0"/>
    <n v="0"/>
    <n v="0"/>
    <n v="0"/>
    <n v="0"/>
    <n v="199.61010139999999"/>
    <n v="285.38989860000004"/>
    <n v="0.58843278061855675"/>
    <x v="0"/>
    <s v="MECANICA"/>
    <x v="11"/>
    <x v="1"/>
    <n v="2"/>
    <n v="1"/>
    <d v="2018-02-04T00:00:00"/>
    <s v="CHEVROLET"/>
    <s v="SAIL"/>
    <n v="0"/>
    <d v="2018-02-05T00:00:00"/>
    <n v="0"/>
    <x v="638"/>
  </r>
  <r>
    <d v="2018-02-06T00:00:00"/>
    <s v="001-00011080"/>
    <n v="1628.4610872550807"/>
    <n v="0"/>
    <n v="0"/>
    <n v="84.75"/>
    <n v="14.625"/>
    <n v="102.375"/>
    <n v="263.40437500000002"/>
    <n v="0"/>
    <n v="465.15437500000002"/>
    <n v="1163.3067122550806"/>
    <n v="0.71435953942009134"/>
    <x v="1"/>
    <s v="MEDIANO"/>
    <x v="11"/>
    <x v="1"/>
    <n v="59"/>
    <n v="1"/>
    <d v="2017-12-09T00:00:00"/>
    <s v="CHEVROLET"/>
    <s v="CRUZE"/>
    <n v="2983.9225000000001"/>
    <d v="2017-12-11T00:00:00"/>
    <n v="7"/>
    <x v="1"/>
  </r>
  <r>
    <d v="2018-02-07T00:00:00"/>
    <s v="001-00011545"/>
    <n v="2056.5"/>
    <n v="483.21271281999998"/>
    <n v="0"/>
    <n v="398.32"/>
    <n v="78.097499999999997"/>
    <n v="29.25"/>
    <n v="0"/>
    <n v="0"/>
    <n v="988.88021281999988"/>
    <n v="1067.61978718"/>
    <n v="0.51914407351325065"/>
    <x v="0"/>
    <s v="MECANICA"/>
    <x v="11"/>
    <x v="1"/>
    <n v="1"/>
    <n v="1"/>
    <d v="2018-02-06T00:00:00"/>
    <s v="MAZDA"/>
    <s v="MAZDA 3"/>
    <n v="937.88499999999999"/>
    <d v="2018-02-06T00:00:00"/>
    <n v="2"/>
    <x v="747"/>
  </r>
  <r>
    <d v="2018-02-07T00:00:00"/>
    <s v="001-00011493"/>
    <n v="1207.7464628500002"/>
    <n v="0.84960002000000012"/>
    <n v="0"/>
    <n v="41.313559322033896"/>
    <n v="0"/>
    <n v="102.375"/>
    <n v="216.92125000000001"/>
    <n v="0"/>
    <n v="361.45940934203395"/>
    <n v="846.28705350796622"/>
    <n v="0.70071582036425595"/>
    <x v="1"/>
    <s v="MEDIANO"/>
    <x v="11"/>
    <x v="1"/>
    <n v="9"/>
    <n v="1"/>
    <d v="2018-01-29T00:00:00"/>
    <s v="RENAULT"/>
    <s v="LOGAN"/>
    <n v="623.02499999999998"/>
    <d v="2018-01-29T00:00:00"/>
    <n v="7"/>
    <x v="1"/>
  </r>
  <r>
    <d v="2018-02-07T00:00:00"/>
    <s v="001-00011505"/>
    <n v="1602.6327092933909"/>
    <n v="0"/>
    <n v="0"/>
    <n v="20"/>
    <n v="0"/>
    <n v="102.375"/>
    <n v="293.77334999999999"/>
    <n v="0"/>
    <n v="416.14834999999999"/>
    <n v="1186.484359293391"/>
    <n v="0.74033454603364368"/>
    <x v="1"/>
    <s v="MEDIANO"/>
    <x v="11"/>
    <x v="1"/>
    <n v="7"/>
    <n v="1"/>
    <d v="2018-01-31T00:00:00"/>
    <s v="HYUNDAI"/>
    <s v="I10"/>
    <n v="0"/>
    <d v="2018-01-31T00:00:00"/>
    <n v="7"/>
    <x v="1"/>
  </r>
  <r>
    <d v="2018-02-07T00:00:00"/>
    <s v="001-00011485"/>
    <n v="1852.2708797345788"/>
    <n v="1.0160000399999998"/>
    <n v="0"/>
    <n v="90.03"/>
    <n v="0"/>
    <n v="146.25"/>
    <n v="325.38187500000004"/>
    <n v="0"/>
    <n v="562.67787504"/>
    <n v="1289.5930046945787"/>
    <n v="0.6962226847076336"/>
    <x v="1"/>
    <s v="MEDIANO"/>
    <x v="11"/>
    <x v="1"/>
    <n v="9"/>
    <n v="1"/>
    <d v="2018-01-29T00:00:00"/>
    <s v="KIA"/>
    <s v="RIO"/>
    <n v="816.98500000000001"/>
    <d v="2018-01-29T00:00:00"/>
    <n v="10"/>
    <x v="1"/>
  </r>
  <r>
    <d v="2018-02-07T00:00:00"/>
    <s v="001-00011560"/>
    <n v="132.24417718319989"/>
    <n v="0"/>
    <n v="82.615000000000009"/>
    <n v="0"/>
    <n v="0"/>
    <n v="0"/>
    <n v="0"/>
    <n v="0"/>
    <n v="82.615000000000009"/>
    <n v="49.629177183199886"/>
    <n v="0.37528440374692507"/>
    <x v="0"/>
    <s v="MECANICA"/>
    <x v="11"/>
    <x v="1"/>
    <n v="0"/>
    <n v="1"/>
    <d v="2018-02-07T00:00:00"/>
    <s v="TOYOTA"/>
    <s v="YARIS"/>
    <n v="132.21"/>
    <d v="2018-02-07T00:00:00"/>
    <n v="0"/>
    <x v="748"/>
  </r>
  <r>
    <d v="2018-02-07T00:00:00"/>
    <s v="001-00011459"/>
    <n v="1476.2845812898299"/>
    <n v="9.7400003000000002"/>
    <n v="0"/>
    <n v="112.75"/>
    <n v="0"/>
    <n v="0"/>
    <n v="0"/>
    <n v="0"/>
    <n v="122.49000030000001"/>
    <n v="1353.7945809898299"/>
    <n v="0.91702819236045907"/>
    <x v="1"/>
    <s v="LEVE"/>
    <x v="11"/>
    <x v="1"/>
    <n v="15"/>
    <n v="1"/>
    <d v="2018-01-23T00:00:00"/>
    <s v="TOYOTA"/>
    <s v="YARIS"/>
    <n v="0"/>
    <s v="F/Fecha"/>
    <n v="0"/>
    <x v="1"/>
  </r>
  <r>
    <d v="2018-02-08T00:00:00"/>
    <s v="001-00011466"/>
    <n v="2492.0724999999998"/>
    <n v="0"/>
    <n v="0"/>
    <n v="64.621186440677974"/>
    <n v="13.1625"/>
    <n v="292.5"/>
    <n v="371.86500000000001"/>
    <n v="0"/>
    <n v="742.14868644067792"/>
    <n v="1749.9238135593218"/>
    <n v="0.70219618954076257"/>
    <x v="1"/>
    <s v="MEDIANO"/>
    <x v="11"/>
    <x v="1"/>
    <n v="15"/>
    <n v="1"/>
    <d v="2018-01-24T00:00:00"/>
    <s v="VOLKSWAGUEN"/>
    <s v="GOL"/>
    <n v="2769.52"/>
    <d v="2018-01-25T00:00:00"/>
    <n v="20"/>
    <x v="749"/>
  </r>
  <r>
    <d v="2018-02-08T00:00:00"/>
    <s v="001-00011561"/>
    <n v="760"/>
    <n v="213.633655"/>
    <n v="0"/>
    <n v="50.85"/>
    <n v="78.097499999999997"/>
    <n v="0"/>
    <n v="0"/>
    <n v="0"/>
    <n v="342.58115499999997"/>
    <n v="417.41884500000003"/>
    <n v="0.5492353223684211"/>
    <x v="0"/>
    <s v="MECANICA"/>
    <x v="11"/>
    <x v="1"/>
    <n v="0"/>
    <n v="1"/>
    <d v="2018-02-08T00:00:00"/>
    <s v="TOYOTA"/>
    <s v="LAND C."/>
    <n v="260.77999999999997"/>
    <d v="2018-02-08T00:00:00"/>
    <n v="0"/>
    <x v="134"/>
  </r>
  <r>
    <d v="2018-02-08T00:00:00"/>
    <s v="001-00011487"/>
    <n v="1451.4089999999997"/>
    <n v="0"/>
    <n v="0"/>
    <n v="0"/>
    <n v="0"/>
    <n v="204.75"/>
    <n v="185.9325"/>
    <n v="0"/>
    <n v="390.6825"/>
    <n v="1060.7264999999998"/>
    <n v="0.73082535660175729"/>
    <x v="1"/>
    <s v="MEDIANO"/>
    <x v="11"/>
    <x v="1"/>
    <n v="12"/>
    <n v="1"/>
    <d v="2018-01-27T00:00:00"/>
    <s v="HYUNDAI"/>
    <s v="ELANTRA"/>
    <n v="0"/>
    <d v="2018-01-30T00:00:00"/>
    <n v="14"/>
    <x v="750"/>
  </r>
  <r>
    <d v="2018-02-08T00:00:00"/>
    <s v="001-00011484"/>
    <n v="1004.9464999999999"/>
    <n v="1.3576000399999999"/>
    <n v="0"/>
    <n v="90.03"/>
    <n v="0"/>
    <n v="73.125"/>
    <n v="185.9325"/>
    <n v="0"/>
    <n v="350.44510004"/>
    <n v="654.50139995999984"/>
    <n v="0.65127984421061214"/>
    <x v="1"/>
    <s v="LEVE"/>
    <x v="11"/>
    <x v="1"/>
    <n v="10"/>
    <n v="1"/>
    <d v="2018-01-29T00:00:00"/>
    <s v="RENAULT"/>
    <s v="STEPWAY"/>
    <n v="3676.7249999999999"/>
    <d v="2018-01-29T00:00:00"/>
    <n v="5"/>
    <x v="1"/>
  </r>
  <r>
    <d v="2018-02-08T00:00:00"/>
    <s v="001-00011337"/>
    <n v="4269.7777251999996"/>
    <n v="0"/>
    <n v="20"/>
    <n v="152.54491525423728"/>
    <n v="42.412499999999994"/>
    <n v="526.5"/>
    <n v="522.470325"/>
    <n v="0"/>
    <n v="1263.9277402542373"/>
    <n v="3005.8499849457621"/>
    <n v="0.70398277812107091"/>
    <x v="1"/>
    <s v="GRAVE"/>
    <x v="11"/>
    <x v="1"/>
    <n v="31"/>
    <n v="1"/>
    <d v="2018-01-08T00:00:00"/>
    <s v="TOYOTA"/>
    <s v="AVANZA"/>
    <n v="7997.5999999999995"/>
    <d v="2018-01-10T00:00:00"/>
    <n v="36"/>
    <x v="1"/>
  </r>
  <r>
    <d v="2018-02-08T00:00:00"/>
    <s v="001-00011516"/>
    <n v="732.66639270000007"/>
    <n v="0"/>
    <n v="0"/>
    <n v="41.313559322033896"/>
    <n v="0"/>
    <n v="58.5"/>
    <n v="123.33522500000001"/>
    <n v="0"/>
    <n v="223.14878432203392"/>
    <n v="509.51760837796616"/>
    <n v="0.6954292068731408"/>
    <x v="1"/>
    <s v="LEVE"/>
    <x v="11"/>
    <x v="1"/>
    <n v="8"/>
    <n v="1"/>
    <d v="2018-01-31T00:00:00"/>
    <s v="TOYOTA"/>
    <s v="YARIS"/>
    <n v="0"/>
    <d v="2018-01-17T00:00:00"/>
    <n v="4"/>
    <x v="1"/>
  </r>
  <r>
    <d v="2018-02-09T00:00:00"/>
    <s v="001-00011517"/>
    <n v="681.71297905000006"/>
    <n v="0"/>
    <n v="0"/>
    <n v="12.39406779661017"/>
    <n v="0"/>
    <n v="102.375"/>
    <n v="61.977499999999999"/>
    <n v="3.25"/>
    <n v="179.99656779661018"/>
    <n v="501.71641125338988"/>
    <n v="0.73596429387710338"/>
    <x v="0"/>
    <s v="MEDIANO"/>
    <x v="11"/>
    <x v="1"/>
    <n v="8"/>
    <n v="1"/>
    <d v="2018-02-01T00:00:00"/>
    <s v="HYUNDAI"/>
    <s v="ELANTRA"/>
    <n v="0"/>
    <d v="2018-02-01T00:00:00"/>
    <n v="7"/>
    <x v="750"/>
  </r>
  <r>
    <d v="2018-02-09T00:00:00"/>
    <s v="001-00011441"/>
    <n v="1799.9858386839001"/>
    <n v="0.84960002000000012"/>
    <n v="0"/>
    <n v="168.95677966101695"/>
    <n v="90.675000000000011"/>
    <n v="146.25"/>
    <n v="185.9325"/>
    <n v="0"/>
    <n v="592.66387968101697"/>
    <n v="1207.321959002883"/>
    <n v="0.67073969864432015"/>
    <x v="1"/>
    <s v="MEDIANO"/>
    <x v="11"/>
    <x v="1"/>
    <n v="18"/>
    <n v="1"/>
    <d v="2018-01-22T00:00:00"/>
    <s v="TOYOTA"/>
    <s v="COROLLA"/>
    <n v="4386.46"/>
    <d v="2018-01-23T00:00:00"/>
    <n v="10"/>
    <x v="1"/>
  </r>
  <r>
    <d v="2018-02-09T00:00:00"/>
    <s v="001-00011529"/>
    <n v="451.75442660895027"/>
    <n v="0"/>
    <n v="0"/>
    <n v="20"/>
    <n v="0"/>
    <n v="17.549999999999997"/>
    <n v="61.977499999999999"/>
    <n v="0"/>
    <n v="99.527500000000003"/>
    <n v="352.22692660895029"/>
    <n v="0.77968671885056384"/>
    <x v="1"/>
    <s v="LEVE"/>
    <x v="11"/>
    <x v="1"/>
    <n v="6"/>
    <n v="1"/>
    <d v="2018-02-03T00:00:00"/>
    <s v="KIA"/>
    <s v="RIO"/>
    <n v="0"/>
    <d v="2018-02-05T00:00:00"/>
    <n v="1.2"/>
    <x v="1"/>
  </r>
  <r>
    <d v="2018-02-09T00:00:00"/>
    <s v="001-00011000"/>
    <n v="2440.4999250000005"/>
    <n v="0"/>
    <n v="0"/>
    <n v="168.42830508474574"/>
    <n v="43.875"/>
    <n v="292.5"/>
    <n v="0"/>
    <n v="0"/>
    <n v="504.80330508474572"/>
    <n v="1935.6966199152548"/>
    <n v="0.79315577930831294"/>
    <x v="1"/>
    <s v="MEDIANO"/>
    <x v="11"/>
    <x v="1"/>
    <n v="73"/>
    <n v="1"/>
    <d v="2017-11-28T00:00:00"/>
    <s v="SUZUKI"/>
    <s v="SWIFT"/>
    <n v="4894.6949999999997"/>
    <d v="2017-12-11T00:00:00"/>
    <n v="20"/>
    <x v="1"/>
  </r>
  <r>
    <d v="2018-02-09T00:00:00"/>
    <s v="001-00011107"/>
    <n v="164.18902535424002"/>
    <n v="0"/>
    <n v="70"/>
    <n v="0"/>
    <n v="0"/>
    <n v="0"/>
    <n v="0"/>
    <n v="0"/>
    <n v="70"/>
    <n v="94.189025354240016"/>
    <n v="0.57366212602228395"/>
    <x v="1"/>
    <s v="LEVE"/>
    <x v="11"/>
    <x v="1"/>
    <n v="59"/>
    <n v="1"/>
    <d v="2017-12-12T00:00:00"/>
    <s v="SUZUKI"/>
    <s v="SWIFT"/>
    <n v="1107.6975"/>
    <d v="2017-11-29T00:00:00"/>
    <n v="0"/>
    <x v="1"/>
  </r>
  <r>
    <d v="2018-02-09T00:00:00"/>
    <s v="001-00011426"/>
    <n v="1850.2435417394099"/>
    <n v="10.169200340000002"/>
    <n v="0"/>
    <n v="158.90237288135594"/>
    <n v="43.875"/>
    <n v="146.25"/>
    <n v="265.88347499999998"/>
    <n v="0"/>
    <n v="625.08004822135592"/>
    <n v="1225.1634935180541"/>
    <n v="0.66216336708100632"/>
    <x v="1"/>
    <s v="MEDIANO"/>
    <x v="11"/>
    <x v="1"/>
    <n v="21"/>
    <n v="1"/>
    <d v="2018-01-19T00:00:00"/>
    <s v="HYUNDAI"/>
    <s v="EON"/>
    <n v="3072.7125000000001"/>
    <d v="2018-01-22T00:00:00"/>
    <n v="10"/>
    <x v="1"/>
  </r>
  <r>
    <d v="2018-02-09T00:00:00"/>
    <s v="001-00011499"/>
    <n v="597.85349682712013"/>
    <n v="0"/>
    <n v="0"/>
    <n v="20"/>
    <n v="0"/>
    <n v="21.9375"/>
    <n v="123.955"/>
    <n v="0"/>
    <n v="165.89249999999998"/>
    <n v="431.96099682712014"/>
    <n v="0.72251981316424296"/>
    <x v="1"/>
    <s v="LEVE"/>
    <x v="11"/>
    <x v="1"/>
    <n v="10"/>
    <n v="1"/>
    <d v="2018-01-30T00:00:00"/>
    <s v="SUZUKI"/>
    <s v="ALTO"/>
    <n v="131.33249999999998"/>
    <d v="2018-01-31T00:00:00"/>
    <n v="1.5"/>
    <x v="1"/>
  </r>
  <r>
    <d v="2018-02-09T00:00:00"/>
    <s v="001-00011473"/>
    <n v="2547.8819217000005"/>
    <n v="2.1199998999999998"/>
    <n v="0"/>
    <n v="263.77593220338986"/>
    <n v="5.8500000000000005"/>
    <n v="263.25"/>
    <n v="309.88749999999999"/>
    <n v="0"/>
    <n v="844.88343210338985"/>
    <n v="1702.9984895966106"/>
    <n v="0.66839772875358927"/>
    <x v="1"/>
    <s v="MEDIANO"/>
    <x v="11"/>
    <x v="1"/>
    <n v="15"/>
    <n v="1"/>
    <d v="2018-01-25T00:00:00"/>
    <s v="MAZDA"/>
    <s v="CX-3"/>
    <n v="5109.9425000000001"/>
    <d v="2018-01-26T00:00:00"/>
    <n v="18"/>
    <x v="1"/>
  </r>
  <r>
    <d v="2018-02-09T00:00:00"/>
    <s v="001-00011406"/>
    <n v="1257.8639235440701"/>
    <n v="3.6075999200000002"/>
    <n v="0"/>
    <n v="0"/>
    <n v="0"/>
    <n v="102.375"/>
    <n v="247.91"/>
    <n v="0"/>
    <n v="353.89259992000001"/>
    <n v="903.97132362407001"/>
    <n v="0.71865589488972959"/>
    <x v="1"/>
    <s v="LEVE"/>
    <x v="11"/>
    <x v="1"/>
    <n v="23"/>
    <n v="1"/>
    <d v="2018-01-17T00:00:00"/>
    <s v="SUZUKI"/>
    <s v="GRAND N."/>
    <n v="925.47"/>
    <d v="2018-01-24T00:00:00"/>
    <n v="7"/>
    <x v="1"/>
  </r>
  <r>
    <d v="2018-02-09T00:00:00"/>
    <s v="001-00011500"/>
    <n v="773.01793844407007"/>
    <n v="0"/>
    <n v="0"/>
    <n v="18"/>
    <n v="0"/>
    <n v="87.75"/>
    <n v="130.15275000000003"/>
    <n v="0"/>
    <n v="235.90275000000003"/>
    <n v="537.1151884440701"/>
    <n v="0.69482888007123766"/>
    <x v="1"/>
    <s v="LEVE"/>
    <x v="11"/>
    <x v="1"/>
    <n v="10"/>
    <n v="1"/>
    <d v="2018-01-30T00:00:00"/>
    <s v="HYUNDAI"/>
    <s v="ELANTRA"/>
    <n v="1247.415"/>
    <d v="2018-01-30T00:00:00"/>
    <n v="6"/>
    <x v="1"/>
  </r>
  <r>
    <d v="2018-02-09T00:00:00"/>
    <s v="001-00011496"/>
    <n v="1255.9336182633911"/>
    <n v="0"/>
    <n v="0"/>
    <n v="59.313559322033896"/>
    <n v="0"/>
    <n v="131.625"/>
    <n v="192.13025000000002"/>
    <n v="0"/>
    <n v="383.06880932203387"/>
    <n v="872.86480894135718"/>
    <n v="0.69499278962552802"/>
    <x v="1"/>
    <s v="MEDIANO"/>
    <x v="11"/>
    <x v="1"/>
    <n v="10"/>
    <n v="1"/>
    <d v="2018-01-30T00:00:00"/>
    <s v="MAZDA"/>
    <s v="MAZDA 3"/>
    <n v="2000.1149999999998"/>
    <d v="2018-01-30T00:00:00"/>
    <n v="9"/>
    <x v="1"/>
  </r>
  <r>
    <d v="2018-02-09T00:00:00"/>
    <s v="001-00011585"/>
    <n v="234"/>
    <n v="0"/>
    <n v="126.75"/>
    <n v="63.56"/>
    <n v="29.25"/>
    <n v="0"/>
    <n v="0"/>
    <n v="0"/>
    <n v="219.56"/>
    <n v="14.439999999999998"/>
    <n v="6.1709401709401701E-2"/>
    <x v="0"/>
    <s v="MECANICA"/>
    <x v="11"/>
    <x v="1"/>
    <n v="0"/>
    <n v="1"/>
    <d v="2018-02-09T00:00:00"/>
    <s v="KIA"/>
    <s v="RIO"/>
    <n v="0"/>
    <d v="2018-02-09T00:00:00"/>
    <n v="0"/>
    <x v="157"/>
  </r>
  <r>
    <d v="2018-02-09T00:00:00"/>
    <s v="001-00011581"/>
    <n v="190"/>
    <n v="57.079101800000004"/>
    <n v="0"/>
    <n v="0"/>
    <n v="39.048749999999998"/>
    <n v="0"/>
    <n v="0"/>
    <n v="0"/>
    <n v="96.127851800000002"/>
    <n v="93.872148199999998"/>
    <n v="0.49406393789473685"/>
    <x v="0"/>
    <s v="MECANICA"/>
    <x v="11"/>
    <x v="1"/>
    <n v="0"/>
    <n v="1"/>
    <d v="2018-02-09T00:00:00"/>
    <s v="NISSAN"/>
    <s v="TIIDA"/>
    <n v="113.32749999999999"/>
    <d v="2018-02-09T00:00:00"/>
    <n v="0"/>
    <x v="638"/>
  </r>
  <r>
    <d v="2018-02-09T00:00:00"/>
    <s v="001-00011583"/>
    <n v="220"/>
    <n v="65.859102800000002"/>
    <n v="0"/>
    <n v="0"/>
    <n v="39.048749999999998"/>
    <n v="0"/>
    <n v="0"/>
    <n v="0"/>
    <n v="104.9078528"/>
    <n v="115.0921472"/>
    <n v="0.52314612363636359"/>
    <x v="0"/>
    <s v="MECANICA"/>
    <x v="11"/>
    <x v="1"/>
    <n v="0"/>
    <n v="1"/>
    <d v="2018-02-09T00:00:00"/>
    <s v="KIA"/>
    <s v="RIO"/>
    <n v="173.51750000000001"/>
    <d v="2018-02-09T00:00:00"/>
    <n v="0"/>
    <x v="638"/>
  </r>
  <r>
    <d v="2018-02-10T00:00:00"/>
    <s v="001-00011360"/>
    <n v="2001.24"/>
    <n v="10.615200279999998"/>
    <n v="0"/>
    <n v="105.40677966101694"/>
    <n v="10.237499999999999"/>
    <n v="175.5"/>
    <n v="269.602125"/>
    <n v="0"/>
    <n v="571.36160494101694"/>
    <n v="1429.8783950589832"/>
    <n v="0.71449620987936635"/>
    <x v="1"/>
    <s v="MEDIANO"/>
    <x v="11"/>
    <x v="1"/>
    <n v="31"/>
    <n v="1"/>
    <d v="2018-01-10T00:00:00"/>
    <s v="TOYOTA"/>
    <s v="YARIS"/>
    <n v="3597.75"/>
    <d v="2018-01-16T00:00:00"/>
    <n v="12"/>
    <x v="751"/>
  </r>
  <r>
    <d v="2018-02-10T00:00:00"/>
    <s v="001-00011518"/>
    <n v="1024.4520870000001"/>
    <n v="0"/>
    <n v="0"/>
    <n v="18"/>
    <n v="0"/>
    <n v="87.75"/>
    <n v="216.92125000000001"/>
    <n v="0"/>
    <n v="322.67124999999999"/>
    <n v="701.78083700000013"/>
    <n v="0.68503041372592766"/>
    <x v="1"/>
    <s v="LEVE"/>
    <x v="11"/>
    <x v="1"/>
    <n v="9"/>
    <n v="1"/>
    <d v="2018-02-01T00:00:00"/>
    <s v="MAZDA"/>
    <s v="MAZDA 2"/>
    <n v="2414.88"/>
    <d v="2018-02-01T00:00:00"/>
    <n v="6"/>
    <x v="1"/>
  </r>
  <r>
    <d v="2018-02-10T00:00:00"/>
    <s v="001-00011275"/>
    <n v="4919.0497839"/>
    <n v="22.030000999999992"/>
    <n v="20"/>
    <n v="72.034745762711864"/>
    <n v="36.5625"/>
    <n v="599.625"/>
    <n v="635.26937499999997"/>
    <n v="0"/>
    <n v="1385.5216217627117"/>
    <n v="3533.5281621372883"/>
    <n v="0.71833551546936769"/>
    <x v="1"/>
    <s v="GRAVE"/>
    <x v="11"/>
    <x v="1"/>
    <n v="39"/>
    <n v="1"/>
    <d v="2018-01-02T00:00:00"/>
    <s v="NISSAN"/>
    <s v="TIIDA"/>
    <n v="6476.0475000000006"/>
    <d v="2018-01-04T00:00:00"/>
    <n v="41"/>
    <x v="1"/>
  </r>
  <r>
    <d v="2018-02-10T00:00:00"/>
    <s v="001-00011346"/>
    <n v="3139.5047639999993"/>
    <n v="8.4700003000000006"/>
    <n v="13.99"/>
    <n v="135.00322033898306"/>
    <n v="83.362500000000011"/>
    <n v="380.25"/>
    <n v="458.01372500000002"/>
    <n v="0"/>
    <n v="1079.0894456389831"/>
    <n v="2060.415318361016"/>
    <n v="0.65628673094793122"/>
    <x v="1"/>
    <s v="MEDIANO"/>
    <x v="11"/>
    <x v="1"/>
    <n v="32"/>
    <n v="1"/>
    <d v="2018-01-09T00:00:00"/>
    <s v="CHEVROLET"/>
    <s v="SAIL"/>
    <n v="3202.3875000000003"/>
    <d v="2018-01-11T00:00:00"/>
    <n v="26"/>
    <x v="1"/>
  </r>
  <r>
    <d v="2018-02-10T00:00:00"/>
    <s v="001-00011503"/>
    <n v="369.75950754000002"/>
    <n v="2.2904000700000005"/>
    <n v="0"/>
    <n v="27.542372881355934"/>
    <n v="0"/>
    <n v="29.25"/>
    <n v="68.175250000000005"/>
    <n v="0"/>
    <n v="127.25802295135594"/>
    <n v="242.50148458864408"/>
    <n v="0.65583569764574789"/>
    <x v="1"/>
    <s v="LEVE"/>
    <x v="11"/>
    <x v="1"/>
    <n v="10"/>
    <n v="1"/>
    <d v="2018-01-31T00:00:00"/>
    <s v="SUZUKI"/>
    <s v="SWIFT"/>
    <n v="640.57499999999993"/>
    <d v="2018-01-30T00:00:00"/>
    <n v="2"/>
    <x v="1"/>
  </r>
  <r>
    <d v="2018-02-12T00:00:00"/>
    <s v="001-00011167"/>
    <n v="3408.3654720000004"/>
    <n v="0"/>
    <n v="0"/>
    <n v="156.77966101694915"/>
    <n v="14.625"/>
    <n v="336.375"/>
    <n v="418.34812499999998"/>
    <n v="0"/>
    <n v="926.12778601694913"/>
    <n v="2482.2376859830511"/>
    <n v="0.72827802839068623"/>
    <x v="1"/>
    <s v="MEDIANO"/>
    <x v="11"/>
    <x v="1"/>
    <n v="55"/>
    <n v="1"/>
    <d v="2017-12-19T00:00:00"/>
    <s v="SUZUKI"/>
    <s v="APV"/>
    <n v="1155.1475"/>
    <d v="2017-12-20T00:00:00"/>
    <n v="23"/>
    <x v="1"/>
  </r>
  <r>
    <d v="2018-02-12T00:00:00"/>
    <s v="001-00011526"/>
    <n v="1611.5834973000001"/>
    <n v="0"/>
    <n v="0"/>
    <n v="0"/>
    <n v="0"/>
    <n v="117"/>
    <n v="0"/>
    <n v="15.892499999999998"/>
    <n v="132.89249999999998"/>
    <n v="1478.6909973000002"/>
    <n v="0.91753917794352935"/>
    <x v="1"/>
    <s v="MEDIANO"/>
    <x v="11"/>
    <x v="1"/>
    <n v="10"/>
    <n v="1"/>
    <d v="2018-02-02T00:00:00"/>
    <s v="HYUNDAI"/>
    <s v="ACCENT"/>
    <n v="286.84500000000003"/>
    <d v="2018-02-05T00:00:00"/>
    <n v="8"/>
    <x v="1"/>
  </r>
  <r>
    <d v="2018-02-13T00:00:00"/>
    <s v="001-00011586"/>
    <n v="315"/>
    <n v="0"/>
    <n v="0"/>
    <n v="33.898305084745765"/>
    <n v="0"/>
    <n v="14.625"/>
    <n v="61.977499999999999"/>
    <n v="0"/>
    <n v="110.50080508474576"/>
    <n v="204.49919491525424"/>
    <n v="0.64920379338175949"/>
    <x v="0"/>
    <s v="LEVE"/>
    <x v="11"/>
    <x v="1"/>
    <n v="4"/>
    <n v="1"/>
    <d v="2018-02-09T00:00:00"/>
    <s v="TOYOTA"/>
    <s v="RAV4"/>
    <n v="0"/>
    <d v="2018-02-09T00:00:00"/>
    <n v="1"/>
    <x v="35"/>
  </r>
  <r>
    <d v="2018-02-13T00:00:00"/>
    <s v="001-00011600"/>
    <n v="1183.5592999999999"/>
    <n v="389.27918120000004"/>
    <n v="0"/>
    <n v="38.14"/>
    <n v="78.097499999999997"/>
    <n v="0"/>
    <n v="0"/>
    <n v="0"/>
    <n v="505.51668119999999"/>
    <n v="678.0426187999999"/>
    <n v="0.57288436565873802"/>
    <x v="0"/>
    <s v="MECANICA"/>
    <x v="11"/>
    <x v="1"/>
    <n v="1"/>
    <n v="1"/>
    <d v="2018-02-12T00:00:00"/>
    <s v="KIA"/>
    <s v="CARENS"/>
    <n v="485.03000000000003"/>
    <d v="2018-02-12T00:00:00"/>
    <n v="0"/>
    <x v="508"/>
  </r>
  <r>
    <d v="2018-02-13T00:00:00"/>
    <s v="001-00011542"/>
    <n v="797.01982741102006"/>
    <n v="1.01600004"/>
    <n v="10.17"/>
    <n v="0"/>
    <n v="0"/>
    <n v="102.375"/>
    <n v="0"/>
    <n v="6.1749999999999998"/>
    <n v="119.73600003999999"/>
    <n v="677.28382737102004"/>
    <n v="0.84977036213899282"/>
    <x v="1"/>
    <s v="LEVE"/>
    <x v="11"/>
    <x v="1"/>
    <n v="8"/>
    <n v="1"/>
    <d v="2018-02-05T00:00:00"/>
    <s v="KIA"/>
    <s v="CARENS"/>
    <n v="0"/>
    <d v="2018-02-06T00:00:00"/>
    <n v="7"/>
    <x v="508"/>
  </r>
  <r>
    <d v="2018-02-13T00:00:00"/>
    <s v="001-00011537"/>
    <n v="1240.450951142371"/>
    <n v="0"/>
    <n v="0"/>
    <n v="61.313559322033896"/>
    <n v="0"/>
    <n v="87.75"/>
    <n v="0"/>
    <n v="12.9025"/>
    <n v="161.96605932203389"/>
    <n v="1078.484891820337"/>
    <n v="0.86942969476312282"/>
    <x v="1"/>
    <s v="LEVE"/>
    <x v="11"/>
    <x v="1"/>
    <n v="8"/>
    <n v="1"/>
    <d v="2018-02-05T00:00:00"/>
    <s v="CHEVROLET"/>
    <s v="SAIL"/>
    <n v="0"/>
    <d v="2018-02-06T00:00:00"/>
    <n v="6"/>
    <x v="1"/>
  </r>
  <r>
    <d v="2018-02-13T00:00:00"/>
    <s v="001-00011550"/>
    <n v="616.67003738729011"/>
    <n v="0"/>
    <n v="0"/>
    <n v="59.313559322033896"/>
    <n v="0"/>
    <n v="36.5625"/>
    <n v="123.955"/>
    <n v="0"/>
    <n v="219.83105932203389"/>
    <n v="396.83897806525624"/>
    <n v="0.6435191496356546"/>
    <x v="1"/>
    <s v="LEVE"/>
    <x v="11"/>
    <x v="1"/>
    <n v="7"/>
    <n v="1"/>
    <d v="2018-02-06T00:00:00"/>
    <s v="KIA"/>
    <s v="RIO"/>
    <n v="582.4"/>
    <d v="2018-02-06T00:00:00"/>
    <n v="2.5"/>
    <x v="1"/>
  </r>
  <r>
    <d v="2018-02-13T00:00:00"/>
    <s v="001-00011614"/>
    <n v="235"/>
    <n v="50.33560172"/>
    <n v="0"/>
    <n v="0"/>
    <n v="39.048749999999998"/>
    <n v="0"/>
    <n v="0"/>
    <n v="0"/>
    <n v="89.384351719999998"/>
    <n v="145.61564828000002"/>
    <n v="0.61964105651063839"/>
    <x v="0"/>
    <s v="MECANICA"/>
    <x v="11"/>
    <x v="1"/>
    <n v="1"/>
    <n v="1"/>
    <d v="2018-02-12T00:00:00"/>
    <s v="KIA"/>
    <s v="RIO"/>
    <n v="10.01"/>
    <d v="2018-02-13T00:00:00"/>
    <n v="0"/>
    <x v="157"/>
  </r>
  <r>
    <d v="2018-02-13T00:00:00"/>
    <s v="001-00011616"/>
    <n v="39.1800012"/>
    <n v="0"/>
    <n v="0"/>
    <n v="0"/>
    <n v="0"/>
    <n v="0"/>
    <n v="0"/>
    <n v="0"/>
    <n v="0"/>
    <n v="39.1800012"/>
    <n v="1"/>
    <x v="1"/>
    <s v="LEVE"/>
    <x v="11"/>
    <x v="1"/>
    <n v="0"/>
    <n v="1"/>
    <d v="2018-02-13T00:00:00"/>
    <s v="KIA"/>
    <s v="SORENTO"/>
    <n v="1365"/>
    <d v="2018-02-13T00:00:00"/>
    <n v="0"/>
    <x v="1"/>
  </r>
  <r>
    <d v="2018-02-14T00:00:00"/>
    <s v="001-00011575"/>
    <n v="367.875"/>
    <n v="0"/>
    <n v="0"/>
    <n v="0"/>
    <n v="0"/>
    <n v="29.25"/>
    <n v="92.966250000000002"/>
    <n v="0"/>
    <n v="122.21625"/>
    <n v="245.65875"/>
    <n v="0.6677777777777778"/>
    <x v="0"/>
    <s v="LEVE"/>
    <x v="11"/>
    <x v="1"/>
    <n v="6"/>
    <n v="1"/>
    <d v="2018-02-08T00:00:00"/>
    <s v="TOYOTA"/>
    <s v="HILUX"/>
    <n v="0"/>
    <d v="2018-02-08T00:00:00"/>
    <n v="2"/>
    <x v="752"/>
  </r>
  <r>
    <d v="2018-02-14T00:00:00"/>
    <s v="001-00011548"/>
    <n v="1045.4854137000002"/>
    <n v="0"/>
    <n v="0"/>
    <n v="41.313559322033896"/>
    <n v="0"/>
    <n v="87.75"/>
    <n v="185.9325"/>
    <n v="0"/>
    <n v="314.99605932203389"/>
    <n v="730.48935437796627"/>
    <n v="0.69870831750081075"/>
    <x v="1"/>
    <s v="LEVE"/>
    <x v="11"/>
    <x v="1"/>
    <n v="8"/>
    <n v="1"/>
    <d v="2018-02-06T00:00:00"/>
    <s v="HYUNDAI"/>
    <s v="I30"/>
    <n v="111.1825"/>
    <d v="2018-02-07T00:00:00"/>
    <n v="6"/>
    <x v="431"/>
  </r>
  <r>
    <d v="2018-02-14T00:00:00"/>
    <s v="001-00011551"/>
    <n v="673.18640099999993"/>
    <n v="249.36089854000002"/>
    <n v="0"/>
    <n v="38.14"/>
    <n v="78.097499999999997"/>
    <n v="0"/>
    <n v="0"/>
    <n v="0"/>
    <n v="365.59839854000006"/>
    <n v="307.58800245999987"/>
    <n v="0.4569135710452355"/>
    <x v="0"/>
    <s v="MECANICA"/>
    <x v="11"/>
    <x v="1"/>
    <n v="8"/>
    <n v="1"/>
    <d v="2018-02-06T00:00:00"/>
    <s v="HYUNDAI"/>
    <s v="I30"/>
    <n v="298.90249999999997"/>
    <d v="2018-02-06T00:00:00"/>
    <n v="0"/>
    <x v="431"/>
  </r>
  <r>
    <d v="2018-02-14T00:00:00"/>
    <s v="001-00011601"/>
    <n v="277.95"/>
    <n v="0"/>
    <n v="0"/>
    <n v="0"/>
    <n v="0"/>
    <n v="29.25"/>
    <n v="61.977499999999999"/>
    <n v="0"/>
    <n v="91.227499999999992"/>
    <n v="186.7225"/>
    <n v="0.67178449361395931"/>
    <x v="0"/>
    <s v="LEVE"/>
    <x v="11"/>
    <x v="1"/>
    <n v="2"/>
    <n v="1"/>
    <d v="2018-02-12T00:00:00"/>
    <s v="KIA"/>
    <s v="PICANTO"/>
    <n v="0"/>
    <d v="2018-02-12T00:00:00"/>
    <n v="2"/>
    <x v="687"/>
  </r>
  <r>
    <d v="2018-02-14T00:00:00"/>
    <s v="001-00011543"/>
    <n v="791.56167330000005"/>
    <n v="0"/>
    <n v="0"/>
    <n v="0"/>
    <n v="0"/>
    <n v="29.25"/>
    <n v="139.449375"/>
    <n v="0"/>
    <n v="168.699375"/>
    <n v="622.86229830000002"/>
    <n v="0.78687778768179018"/>
    <x v="1"/>
    <s v="LEVE"/>
    <x v="11"/>
    <x v="1"/>
    <n v="9"/>
    <n v="1"/>
    <d v="2018-02-05T00:00:00"/>
    <s v="JAC"/>
    <s v="SPAZIO"/>
    <n v="392.53500000000003"/>
    <d v="2018-02-07T00:00:00"/>
    <n v="2"/>
    <x v="1"/>
  </r>
  <r>
    <d v="2018-02-14T00:00:00"/>
    <s v="001-00011524"/>
    <n v="834.81988200000001"/>
    <n v="0"/>
    <n v="0"/>
    <n v="20"/>
    <n v="0"/>
    <n v="58.5"/>
    <n v="0"/>
    <n v="6.5"/>
    <n v="85"/>
    <n v="749.81988200000001"/>
    <n v="0.89818162955539194"/>
    <x v="1"/>
    <s v="LEVE"/>
    <x v="11"/>
    <x v="1"/>
    <n v="12"/>
    <n v="1"/>
    <d v="2018-02-02T00:00:00"/>
    <s v="HYUNDAI"/>
    <s v="SANTA FE"/>
    <n v="20.02"/>
    <d v="2018-02-05T00:00:00"/>
    <n v="4"/>
    <x v="1"/>
  </r>
  <r>
    <d v="2018-02-14T00:00:00"/>
    <s v="001-00011513"/>
    <n v="965.48123399999986"/>
    <n v="1.2744000300000002"/>
    <n v="0"/>
    <n v="55.084745762711869"/>
    <n v="0"/>
    <n v="102.375"/>
    <n v="154.94374999999999"/>
    <n v="0"/>
    <n v="313.67789579271187"/>
    <n v="651.80333820728799"/>
    <n v="0.67510720587168671"/>
    <x v="2"/>
    <s v="LEVE"/>
    <x v="11"/>
    <x v="1"/>
    <n v="14"/>
    <n v="1"/>
    <d v="2018-01-31T00:00:00"/>
    <s v="SUZUKI"/>
    <s v="SX4"/>
    <n v="528.54750000000001"/>
    <d v="2018-02-02T00:00:00"/>
    <n v="7"/>
    <x v="2"/>
  </r>
  <r>
    <d v="2018-02-14T00:00:00"/>
    <s v="001-00011536"/>
    <n v="1772.3400000000001"/>
    <n v="2.71080005"/>
    <n v="0"/>
    <n v="112.29237288135593"/>
    <n v="7.3125"/>
    <n v="117"/>
    <n v="0"/>
    <n v="16.25"/>
    <n v="255.56567293135595"/>
    <n v="1516.7743270686442"/>
    <n v="0.85580324715835787"/>
    <x v="1"/>
    <s v="MEDIANO"/>
    <x v="11"/>
    <x v="1"/>
    <n v="9"/>
    <n v="1"/>
    <d v="2018-02-05T00:00:00"/>
    <s v="KIA"/>
    <s v="RIO"/>
    <n v="2779.4324999999999"/>
    <d v="2018-02-06T00:00:00"/>
    <n v="8"/>
    <x v="1"/>
  </r>
  <r>
    <d v="2018-02-15T00:00:00"/>
    <s v="001-00011531"/>
    <n v="1740.8593502999997"/>
    <n v="1.01600004"/>
    <n v="0"/>
    <n v="41.313559322033896"/>
    <n v="0"/>
    <n v="146.25"/>
    <n v="322.28300000000002"/>
    <n v="0"/>
    <n v="510.86255936203395"/>
    <n v="1229.9967909379657"/>
    <n v="0.70654575898162142"/>
    <x v="1"/>
    <s v="MEDIANO"/>
    <x v="11"/>
    <x v="1"/>
    <n v="12"/>
    <n v="1"/>
    <d v="2018-02-03T00:00:00"/>
    <s v="KIA"/>
    <s v="RIO"/>
    <n v="570.14750000000004"/>
    <d v="2018-02-05T00:00:00"/>
    <n v="10"/>
    <x v="1"/>
  </r>
  <r>
    <d v="2018-02-15T00:00:00"/>
    <s v="001-00011530"/>
    <n v="694.68108899999993"/>
    <n v="0"/>
    <n v="0"/>
    <n v="89.506779661016935"/>
    <n v="0"/>
    <n v="36.5625"/>
    <n v="123.955"/>
    <n v="0"/>
    <n v="250.02427966101692"/>
    <n v="444.65680933898301"/>
    <n v="0.6400876839458387"/>
    <x v="1"/>
    <s v="LEVE"/>
    <x v="11"/>
    <x v="1"/>
    <n v="12"/>
    <n v="1"/>
    <d v="2018-02-03T00:00:00"/>
    <s v="KIA"/>
    <s v="PICANTO"/>
    <n v="1983.4749999999999"/>
    <d v="2018-02-05T00:00:00"/>
    <n v="2.5"/>
    <x v="1"/>
  </r>
  <r>
    <d v="2018-02-16T00:00:00"/>
    <s v="001-00011478"/>
    <n v="880.91510000000005"/>
    <n v="7.0035998199999998"/>
    <n v="0"/>
    <n v="0"/>
    <n v="0"/>
    <n v="58.5"/>
    <n v="213.82237499999999"/>
    <n v="0"/>
    <n v="279.32597482"/>
    <n v="601.58912518000011"/>
    <n v="0.68291385308300434"/>
    <x v="1"/>
    <s v="LEVE"/>
    <x v="11"/>
    <x v="1"/>
    <n v="21"/>
    <n v="1"/>
    <d v="2018-01-26T00:00:00"/>
    <s v="NISSAN"/>
    <s v="SENTRA"/>
    <n v="425.75"/>
    <d v="2018-01-29T00:00:00"/>
    <n v="4"/>
    <x v="30"/>
  </r>
  <r>
    <d v="2018-02-16T00:00:00"/>
    <s v="001-00011535"/>
    <n v="2023.8685675000002"/>
    <n v="2.11960002"/>
    <n v="0"/>
    <n v="55.084745762711869"/>
    <n v="2.9250000000000003"/>
    <n v="204.75"/>
    <n v="294.393125"/>
    <n v="0"/>
    <n v="559.27247078271193"/>
    <n v="1464.5960967172882"/>
    <n v="0.72366166471296223"/>
    <x v="1"/>
    <s v="MEDIANO"/>
    <x v="11"/>
    <x v="1"/>
    <n v="11"/>
    <n v="1"/>
    <d v="2018-02-05T00:00:00"/>
    <s v="KIA"/>
    <s v="RIO"/>
    <n v="3462.7125000000001"/>
    <d v="2018-02-06T00:00:00"/>
    <n v="14"/>
    <x v="1"/>
  </r>
  <r>
    <d v="2018-02-16T00:00:00"/>
    <s v="001-00011577"/>
    <n v="1379.7901000000002"/>
    <n v="0"/>
    <n v="0"/>
    <n v="116.39830508474577"/>
    <n v="0"/>
    <n v="117"/>
    <n v="216.92125000000001"/>
    <n v="0"/>
    <n v="450.31955508474579"/>
    <n v="929.47054491525432"/>
    <n v="0.67363184075262916"/>
    <x v="1"/>
    <s v="MEDIANO"/>
    <x v="11"/>
    <x v="1"/>
    <n v="8"/>
    <n v="1"/>
    <d v="2018-02-08T00:00:00"/>
    <s v="KIA"/>
    <s v="SORENTO"/>
    <n v="1290.6724999999999"/>
    <d v="2018-02-09T00:00:00"/>
    <n v="8"/>
    <x v="1"/>
  </r>
  <r>
    <d v="2018-02-16T00:00:00"/>
    <s v="001-00011411"/>
    <n v="2233.9618925"/>
    <n v="0"/>
    <n v="0"/>
    <n v="161.01999999999998"/>
    <n v="0"/>
    <n v="204.75"/>
    <n v="312.98637500000001"/>
    <n v="0"/>
    <n v="678.75637499999993"/>
    <n v="1555.2055175"/>
    <n v="0.69616474780578652"/>
    <x v="1"/>
    <s v="MEDIANO"/>
    <x v="11"/>
    <x v="1"/>
    <n v="30"/>
    <n v="1"/>
    <d v="2018-01-17T00:00:00"/>
    <s v="NISSAN"/>
    <s v="MARCH"/>
    <n v="6530.5174999999999"/>
    <d v="2018-01-19T00:00:00"/>
    <n v="14"/>
    <x v="1"/>
  </r>
  <r>
    <d v="2018-02-16T00:00:00"/>
    <s v="001-00011632"/>
    <n v="447"/>
    <n v="37.792000039999998"/>
    <n v="0"/>
    <n v="0"/>
    <n v="39.048749999999998"/>
    <n v="0"/>
    <n v="0"/>
    <n v="0"/>
    <n v="76.840750039999989"/>
    <n v="370.15924996000001"/>
    <n v="0.82809675606263988"/>
    <x v="0"/>
    <s v="MECANICA"/>
    <x v="11"/>
    <x v="1"/>
    <n v="1"/>
    <n v="1"/>
    <d v="2018-02-15T00:00:00"/>
    <s v="HYUNDAI"/>
    <s v="ACCENT"/>
    <n v="155.44749999999999"/>
    <d v="2018-02-16T00:00:00"/>
    <n v="0"/>
    <x v="638"/>
  </r>
  <r>
    <d v="2018-02-16T00:00:00"/>
    <s v="001-00010205"/>
    <n v="2118.6439999999998"/>
    <n v="3570.8300999999992"/>
    <n v="0"/>
    <n v="0"/>
    <n v="0"/>
    <n v="0"/>
    <n v="0"/>
    <n v="0"/>
    <n v="3570.8300999999992"/>
    <n v="-1452.1860999999994"/>
    <n v="-0.68543186113381938"/>
    <x v="0"/>
    <s v="MECANICA"/>
    <x v="11"/>
    <x v="1"/>
    <n v="180"/>
    <n v="1"/>
    <d v="2017-08-20T00:00:00"/>
    <s v="MAZDA"/>
    <s v="MAZDA 3"/>
    <n v="3801.6875"/>
    <d v="2017-11-24T00:00:00"/>
    <n v="0"/>
    <x v="89"/>
  </r>
  <r>
    <d v="2018-02-17T00:00:00"/>
    <s v="001-00011648"/>
    <n v="100"/>
    <n v="0"/>
    <n v="0"/>
    <n v="0"/>
    <n v="39.048749999999998"/>
    <n v="0"/>
    <n v="0"/>
    <n v="0"/>
    <n v="39.048749999999998"/>
    <n v="60.951250000000002"/>
    <n v="0.60951250000000001"/>
    <x v="0"/>
    <s v="MECANICA"/>
    <x v="11"/>
    <x v="1"/>
    <n v="0"/>
    <n v="1"/>
    <d v="2018-02-17T00:00:00"/>
    <s v="NISSAN"/>
    <s v="VERSA"/>
    <n v="0"/>
    <d v="2018-02-17T00:00:00"/>
    <n v="0"/>
    <x v="753"/>
  </r>
  <r>
    <d v="2018-02-17T00:00:00"/>
    <s v="001-00011628"/>
    <n v="678.5"/>
    <n v="0"/>
    <n v="0"/>
    <n v="0"/>
    <n v="0"/>
    <n v="102.375"/>
    <n v="123.955"/>
    <n v="0"/>
    <n v="226.32999999999998"/>
    <n v="452.17"/>
    <n v="0.66642593957258656"/>
    <x v="0"/>
    <s v="LEVE"/>
    <x v="11"/>
    <x v="1"/>
    <n v="4"/>
    <n v="1"/>
    <d v="2018-02-13T00:00:00"/>
    <s v="NISSAN"/>
    <s v="XTRAIL"/>
    <n v="0"/>
    <d v="2018-02-14T00:00:00"/>
    <n v="7"/>
    <x v="754"/>
  </r>
  <r>
    <d v="2018-02-17T00:00:00"/>
    <s v="001-00011554"/>
    <n v="1024.8428391299999"/>
    <n v="0"/>
    <n v="0"/>
    <n v="10"/>
    <n v="0"/>
    <n v="87.75"/>
    <n v="154.94374999999999"/>
    <n v="0"/>
    <n v="252.69374999999999"/>
    <n v="772.14908912999988"/>
    <n v="0.75343170645119162"/>
    <x v="1"/>
    <s v="LEVE"/>
    <x v="11"/>
    <x v="1"/>
    <n v="11"/>
    <n v="1"/>
    <d v="2018-02-06T00:00:00"/>
    <s v="TOYOTA"/>
    <s v="COROLLA"/>
    <n v="1316.9974999999999"/>
    <d v="2018-02-07T00:00:00"/>
    <n v="6"/>
    <x v="1"/>
  </r>
  <r>
    <d v="2018-02-17T00:00:00"/>
    <s v="001-00011511"/>
    <n v="2333.3933391300006"/>
    <n v="0.55720000000000003"/>
    <n v="0"/>
    <n v="70.084745762711862"/>
    <n v="5.8500000000000005"/>
    <n v="351"/>
    <n v="260.925275"/>
    <n v="0"/>
    <n v="688.41722076271185"/>
    <n v="1644.9761183672888"/>
    <n v="0.70497163542114749"/>
    <x v="1"/>
    <s v="MEDIANO"/>
    <x v="11"/>
    <x v="1"/>
    <n v="17"/>
    <n v="1"/>
    <d v="2018-01-31T00:00:00"/>
    <s v="TOYOTA"/>
    <s v="ETIOS"/>
    <n v="1910.0575000000001"/>
    <d v="2018-02-07T00:00:00"/>
    <n v="24"/>
    <x v="1"/>
  </r>
  <r>
    <d v="2018-02-17T00:00:00"/>
    <s v="001-00011392"/>
    <n v="851.28749999999991"/>
    <n v="0"/>
    <n v="0"/>
    <n v="41.313559322033896"/>
    <n v="0"/>
    <n v="73.125"/>
    <n v="139.449375"/>
    <n v="0"/>
    <n v="253.88793432203391"/>
    <n v="597.39956567796594"/>
    <n v="0.70176005835627331"/>
    <x v="1"/>
    <s v="LEVE"/>
    <x v="11"/>
    <x v="1"/>
    <n v="33"/>
    <n v="1"/>
    <d v="2018-01-15T00:00:00"/>
    <s v="NISSAN"/>
    <s v="VERSA"/>
    <n v="1697.4749999999999"/>
    <d v="2018-01-16T00:00:00"/>
    <n v="5"/>
    <x v="1"/>
  </r>
  <r>
    <d v="2018-02-17T00:00:00"/>
    <s v="001-00011540"/>
    <n v="1327.8985298699999"/>
    <n v="0"/>
    <n v="0"/>
    <n v="85.801186440677967"/>
    <n v="0"/>
    <n v="102.375"/>
    <n v="247.91"/>
    <n v="0"/>
    <n v="436.08618644067792"/>
    <n v="891.81234342932203"/>
    <n v="0.67159675484890369"/>
    <x v="1"/>
    <s v="LEVE"/>
    <x v="11"/>
    <x v="1"/>
    <n v="12"/>
    <n v="1"/>
    <d v="2018-02-05T00:00:00"/>
    <s v="HYUNDAI"/>
    <s v="I30"/>
    <n v="2503.41"/>
    <d v="2018-02-06T00:00:00"/>
    <n v="7"/>
    <x v="1"/>
  </r>
  <r>
    <d v="2018-02-17T00:00:00"/>
    <s v="001-00011547"/>
    <n v="605.0118099"/>
    <n v="0"/>
    <n v="0"/>
    <n v="41.313559322033896"/>
    <n v="0"/>
    <n v="29.25"/>
    <n v="123.955"/>
    <n v="0"/>
    <n v="194.51855932203389"/>
    <n v="410.49325057796614"/>
    <n v="0.67848799620261124"/>
    <x v="1"/>
    <s v="LEVE"/>
    <x v="11"/>
    <x v="1"/>
    <n v="11"/>
    <n v="1"/>
    <d v="2018-02-06T00:00:00"/>
    <s v="SUZUKI"/>
    <s v="GRAND N."/>
    <n v="233.70749999999998"/>
    <d v="2018-02-07T00:00:00"/>
    <n v="2"/>
    <x v="1"/>
  </r>
  <r>
    <d v="2018-02-17T00:00:00"/>
    <s v="001-00011544"/>
    <n v="1772.1620292299999"/>
    <n v="0"/>
    <n v="0"/>
    <n v="86.03"/>
    <n v="0"/>
    <n v="146.25"/>
    <n v="263.40437500000002"/>
    <n v="0"/>
    <n v="495.68437500000005"/>
    <n v="1276.4776542299999"/>
    <n v="0.72029398733062022"/>
    <x v="1"/>
    <s v="MEDIANO"/>
    <x v="11"/>
    <x v="1"/>
    <n v="11"/>
    <n v="1"/>
    <d v="2018-02-06T00:00:00"/>
    <s v="NISSAN"/>
    <s v="XTRAIL"/>
    <n v="2109.2824999999998"/>
    <d v="2018-02-06T00:00:00"/>
    <n v="10"/>
    <x v="1"/>
  </r>
  <r>
    <d v="2018-02-17T00:00:00"/>
    <s v="001-00011549"/>
    <n v="431.89625724300004"/>
    <n v="0"/>
    <n v="0"/>
    <n v="0"/>
    <n v="0"/>
    <n v="29.25"/>
    <n v="77.471874999999997"/>
    <n v="0"/>
    <n v="106.721875"/>
    <n v="325.17438224300003"/>
    <n v="0.75289928261648598"/>
    <x v="1"/>
    <s v="LEVE"/>
    <x v="11"/>
    <x v="1"/>
    <n v="11"/>
    <n v="1"/>
    <d v="2018-02-06T00:00:00"/>
    <s v="SUZUKI"/>
    <s v="GRAND N."/>
    <n v="2014.8700000000001"/>
    <d v="2018-02-07T00:00:00"/>
    <n v="2"/>
    <x v="1"/>
  </r>
  <r>
    <d v="2018-02-17T00:00:00"/>
    <s v="001-00011572"/>
    <n v="533.14368690000003"/>
    <n v="1.3569999900000003"/>
    <n v="0"/>
    <n v="0"/>
    <n v="0"/>
    <n v="43.875"/>
    <n v="123.955"/>
    <n v="0"/>
    <n v="169.18699999"/>
    <n v="363.95668691000003"/>
    <n v="0.6826615335656524"/>
    <x v="1"/>
    <s v="LEVE"/>
    <x v="11"/>
    <x v="1"/>
    <n v="9"/>
    <n v="1"/>
    <d v="2018-02-08T00:00:00"/>
    <s v="KIA"/>
    <s v="RIO"/>
    <n v="2973.2950000000001"/>
    <d v="2018-02-09T00:00:00"/>
    <n v="3"/>
    <x v="1"/>
  </r>
  <r>
    <d v="2018-02-19T00:00:00"/>
    <s v="001-00011611"/>
    <n v="1729.7559126300002"/>
    <n v="0"/>
    <n v="0"/>
    <n v="0"/>
    <n v="0"/>
    <n v="73.125"/>
    <n v="449.33687499999996"/>
    <n v="0"/>
    <n v="522.46187499999996"/>
    <n v="1207.2940376300003"/>
    <n v="0.6979563005478473"/>
    <x v="1"/>
    <s v="LEVE"/>
    <x v="11"/>
    <x v="1"/>
    <n v="7"/>
    <n v="1"/>
    <d v="2018-02-12T00:00:00"/>
    <s v="TOYOTA"/>
    <s v="LAND C."/>
    <n v="0"/>
    <d v="2018-02-13T00:00:00"/>
    <n v="5"/>
    <x v="755"/>
  </r>
  <r>
    <d v="2018-02-19T00:00:00"/>
    <s v="001-00011571"/>
    <n v="1846.5311214000003"/>
    <n v="0.5076000100000001"/>
    <n v="0"/>
    <n v="82.627118644067806"/>
    <n v="0"/>
    <n v="175.5"/>
    <n v="294.393125"/>
    <n v="0"/>
    <n v="553.02784365406774"/>
    <n v="1293.5032777459326"/>
    <n v="0.70050445549232121"/>
    <x v="1"/>
    <s v="MEDIANO"/>
    <x v="11"/>
    <x v="1"/>
    <n v="11"/>
    <n v="1"/>
    <d v="2018-02-08T00:00:00"/>
    <s v="TOYOTA"/>
    <s v="RAV4"/>
    <n v="4474.5675000000001"/>
    <d v="2018-02-09T00:00:00"/>
    <n v="12"/>
    <x v="756"/>
  </r>
  <r>
    <d v="2018-02-19T00:00:00"/>
    <s v="001-00011641"/>
    <n v="500"/>
    <n v="0"/>
    <n v="0"/>
    <n v="127.12"/>
    <n v="58.5"/>
    <n v="0"/>
    <n v="0"/>
    <n v="0"/>
    <n v="185.62"/>
    <n v="314.38"/>
    <n v="0.62875999999999999"/>
    <x v="0"/>
    <s v="MECANICA"/>
    <x v="11"/>
    <x v="1"/>
    <n v="3"/>
    <n v="1"/>
    <d v="2018-02-16T00:00:00"/>
    <s v="BMW"/>
    <s v="M240"/>
    <n v="0"/>
    <d v="2018-02-19T00:00:00"/>
    <n v="0"/>
    <x v="1"/>
  </r>
  <r>
    <d v="2018-02-19T00:00:00"/>
    <s v="001-00011584"/>
    <n v="537.78830501400012"/>
    <n v="0.83579999999999999"/>
    <n v="0"/>
    <n v="82.627118644067792"/>
    <n v="0"/>
    <n v="29.25"/>
    <n v="61.977499999999999"/>
    <n v="0"/>
    <n v="174.69041864406779"/>
    <n v="363.09788636993233"/>
    <n v="0.67516880338347984"/>
    <x v="1"/>
    <s v="LEVE"/>
    <x v="11"/>
    <x v="1"/>
    <n v="10"/>
    <n v="1"/>
    <d v="2018-02-09T00:00:00"/>
    <s v="TOYOTA"/>
    <s v="RAV4"/>
    <n v="352.26749999999998"/>
    <d v="2018-02-09T00:00:00"/>
    <n v="2"/>
    <x v="1"/>
  </r>
  <r>
    <d v="2018-02-19T00:00:00"/>
    <s v="001-00011573"/>
    <n v="1971.7439999999999"/>
    <n v="2.54"/>
    <n v="0"/>
    <n v="88.855932203389841"/>
    <n v="17.549999999999997"/>
    <n v="146.25"/>
    <n v="309.88749999999999"/>
    <n v="0"/>
    <n v="565.08343220338986"/>
    <n v="1406.6605677966099"/>
    <n v="0.7134093309256222"/>
    <x v="1"/>
    <s v="MEDIANO"/>
    <x v="11"/>
    <x v="1"/>
    <n v="11"/>
    <n v="1"/>
    <d v="2018-02-08T00:00:00"/>
    <s v="NISSAN"/>
    <s v="VERSA"/>
    <n v="1879.1175000000003"/>
    <d v="2018-02-09T00:00:00"/>
    <n v="10"/>
    <x v="1"/>
  </r>
  <r>
    <d v="2018-02-20T00:00:00"/>
    <s v="001-00011602"/>
    <n v="920.6863249999999"/>
    <n v="0"/>
    <n v="0"/>
    <n v="92.03"/>
    <n v="0"/>
    <n v="117"/>
    <n v="123.955"/>
    <n v="0"/>
    <n v="332.98500000000001"/>
    <n v="587.70132499999988"/>
    <n v="0.63832959069963369"/>
    <x v="1"/>
    <s v="LEVE"/>
    <x v="11"/>
    <x v="1"/>
    <n v="8"/>
    <n v="1"/>
    <d v="2018-02-12T00:00:00"/>
    <s v="KIA"/>
    <s v="CERATO"/>
    <n v="66.105000000000004"/>
    <d v="2018-02-12T00:00:00"/>
    <n v="8"/>
    <x v="1"/>
  </r>
  <r>
    <d v="2018-02-20T00:00:00"/>
    <s v="001-00011570"/>
    <n v="767.22031750000008"/>
    <n v="0"/>
    <n v="0"/>
    <n v="18"/>
    <n v="0"/>
    <n v="58.5"/>
    <n v="138.82960000000003"/>
    <n v="0"/>
    <n v="215.32960000000003"/>
    <n v="551.89071750000005"/>
    <n v="0.71933798533691728"/>
    <x v="1"/>
    <s v="LEVE"/>
    <x v="11"/>
    <x v="1"/>
    <n v="12"/>
    <n v="1"/>
    <d v="2018-02-08T00:00:00"/>
    <s v="TOYOTA"/>
    <s v="YARIS"/>
    <n v="1881.8799999999999"/>
    <d v="2018-02-13T00:00:00"/>
    <n v="4"/>
    <x v="1"/>
  </r>
  <r>
    <d v="2018-02-20T00:00:00"/>
    <s v="001-00011631"/>
    <n v="706.875"/>
    <n v="0"/>
    <n v="0"/>
    <n v="0"/>
    <n v="0"/>
    <n v="73.125"/>
    <n v="123.955"/>
    <n v="0"/>
    <n v="197.07999999999998"/>
    <n v="509.79500000000002"/>
    <n v="0.7211954022988506"/>
    <x v="1"/>
    <s v="LEVE"/>
    <x v="11"/>
    <x v="1"/>
    <n v="5"/>
    <n v="1"/>
    <d v="2018-02-15T00:00:00"/>
    <s v="HYUNDAI"/>
    <s v="TUCSON"/>
    <n v="126.52249999999999"/>
    <d v="2018-02-15T00:00:00"/>
    <n v="5"/>
    <x v="1"/>
  </r>
  <r>
    <d v="2018-02-20T00:00:00"/>
    <s v="001-00011591"/>
    <n v="616.12298149999992"/>
    <n v="0"/>
    <n v="0"/>
    <n v="143.53677966101694"/>
    <n v="0"/>
    <n v="21.9375"/>
    <n v="61.977499999999999"/>
    <n v="0"/>
    <n v="227.45177966101693"/>
    <n v="388.671201838983"/>
    <n v="0.63083380024671754"/>
    <x v="1"/>
    <s v="LEVE"/>
    <x v="11"/>
    <x v="1"/>
    <n v="10"/>
    <n v="1"/>
    <d v="2018-02-10T00:00:00"/>
    <s v="KIA"/>
    <s v="RIO"/>
    <n v="1471.86"/>
    <d v="2018-02-12T00:00:00"/>
    <n v="1.5"/>
    <x v="1"/>
  </r>
  <r>
    <d v="2018-02-20T00:00:00"/>
    <s v="001-00011587"/>
    <n v="999.51279999999997"/>
    <n v="0"/>
    <n v="0"/>
    <n v="245.93220338983051"/>
    <n v="0"/>
    <n v="43.875"/>
    <n v="123.955"/>
    <n v="0"/>
    <n v="413.76220338983052"/>
    <n v="585.7505966101694"/>
    <n v="0.58603611340462014"/>
    <x v="1"/>
    <s v="LEVE"/>
    <x v="11"/>
    <x v="1"/>
    <n v="11"/>
    <n v="1"/>
    <d v="2018-02-09T00:00:00"/>
    <s v="CHEVROLET"/>
    <s v="CAPTIVA"/>
    <n v="1001.5525"/>
    <d v="2018-02-12T00:00:00"/>
    <n v="3"/>
    <x v="1"/>
  </r>
  <r>
    <d v="2018-02-21T00:00:00"/>
    <s v="001-00011481"/>
    <n v="4417.5876951299997"/>
    <n v="11.234800010000001"/>
    <n v="0"/>
    <n v="159.83474576271186"/>
    <n v="21.9375"/>
    <n v="511.875"/>
    <n v="573.291875"/>
    <n v="0.8125"/>
    <n v="1278.9864207727119"/>
    <n v="3138.6012743572878"/>
    <n v="0.71047854416502443"/>
    <x v="1"/>
    <s v="GRAVE"/>
    <x v="11"/>
    <x v="1"/>
    <n v="26"/>
    <n v="1"/>
    <d v="2018-01-26T00:00:00"/>
    <s v="TOYOTA"/>
    <s v="ETIOS"/>
    <n v="4842.5974999999999"/>
    <d v="2018-01-29T00:00:00"/>
    <n v="35"/>
    <x v="1"/>
  </r>
  <r>
    <d v="2018-02-21T00:00:00"/>
    <s v="001-00011595"/>
    <n v="1870.4750000000001"/>
    <n v="0.42469999000000003"/>
    <n v="0"/>
    <n v="72.03"/>
    <n v="0"/>
    <n v="117"/>
    <n v="371.86500000000001"/>
    <n v="0"/>
    <n v="561.31969999"/>
    <n v="1309.1553000100002"/>
    <n v="0.69990526471083558"/>
    <x v="1"/>
    <s v="MEDIANO"/>
    <x v="11"/>
    <x v="1"/>
    <n v="11"/>
    <n v="1"/>
    <d v="2018-02-10T00:00:00"/>
    <s v="SUZUKI"/>
    <s v="CIAZ"/>
    <n v="2484.2024999999999"/>
    <d v="2018-02-12T00:00:00"/>
    <n v="8"/>
    <x v="1"/>
  </r>
  <r>
    <d v="2018-02-21T00:00:00"/>
    <s v="001-00011593"/>
    <n v="1590.3035111700001"/>
    <n v="0.93270000999999991"/>
    <n v="0"/>
    <n v="79.970338983050851"/>
    <n v="0"/>
    <n v="175.5"/>
    <n v="161.14150000000001"/>
    <n v="0"/>
    <n v="417.54453899305088"/>
    <n v="1172.7589721769491"/>
    <n v="0.73744349046562829"/>
    <x v="1"/>
    <s v="MEDIANO"/>
    <x v="11"/>
    <x v="1"/>
    <n v="11"/>
    <n v="1"/>
    <d v="2018-02-10T00:00:00"/>
    <s v="KIA"/>
    <s v="CERATO"/>
    <n v="322.04250000000002"/>
    <d v="2018-02-12T00:00:00"/>
    <n v="12"/>
    <x v="1"/>
  </r>
  <r>
    <d v="2018-02-22T00:00:00"/>
    <s v="001-00011599"/>
    <n v="1575.01703"/>
    <n v="155.4291035"/>
    <n v="0"/>
    <n v="400"/>
    <n v="117"/>
    <n v="0"/>
    <n v="0"/>
    <n v="0"/>
    <n v="672.4291035"/>
    <n v="902.58792649999998"/>
    <n v="0.57306550298062486"/>
    <x v="0"/>
    <s v="MECANICA"/>
    <x v="11"/>
    <x v="1"/>
    <n v="10"/>
    <n v="1"/>
    <d v="2018-02-12T00:00:00"/>
    <s v="NISSAN"/>
    <s v="TIIDA"/>
    <n v="287.43"/>
    <d v="2018-02-12T00:00:00"/>
    <n v="0"/>
    <x v="638"/>
  </r>
  <r>
    <d v="2018-02-22T00:00:00"/>
    <s v="001-00011664"/>
    <n v="2005.7965999999997"/>
    <n v="680.73469483000019"/>
    <n v="42.370000000000005"/>
    <n v="144.91999999999999"/>
    <n v="58.5"/>
    <n v="14.625"/>
    <n v="0"/>
    <n v="0"/>
    <n v="941.14969483000016"/>
    <n v="1064.6469051699996"/>
    <n v="0.53078507819287346"/>
    <x v="0"/>
    <s v="MECANICA"/>
    <x v="11"/>
    <x v="1"/>
    <n v="2"/>
    <n v="1"/>
    <d v="2018-02-20T00:00:00"/>
    <s v="CHEVROLET"/>
    <s v="SAIL"/>
    <n v="1219.5625"/>
    <d v="2018-02-20T00:00:00"/>
    <n v="1"/>
    <x v="638"/>
  </r>
  <r>
    <d v="2018-02-23T00:00:00"/>
    <s v="001-00011634"/>
    <n v="412.32593631495024"/>
    <n v="0"/>
    <n v="0"/>
    <n v="18"/>
    <n v="0"/>
    <n v="20.474999999999998"/>
    <n v="61.977499999999999"/>
    <n v="0"/>
    <n v="100.45249999999999"/>
    <n v="311.87343631495025"/>
    <n v="0.75637598522720495"/>
    <x v="1"/>
    <s v="LEVE"/>
    <x v="11"/>
    <x v="1"/>
    <n v="8"/>
    <n v="1"/>
    <d v="2018-02-15T00:00:00"/>
    <s v="KIA"/>
    <s v="RIO"/>
    <n v="109.33"/>
    <d v="2018-02-19T00:00:00"/>
    <n v="1.4"/>
    <x v="1"/>
  </r>
  <r>
    <d v="2018-02-23T00:00:00"/>
    <s v="001-00011523"/>
    <n v="2290.7149656281413"/>
    <n v="0.84960002000000012"/>
    <n v="0"/>
    <n v="164.07"/>
    <n v="0"/>
    <n v="175.5"/>
    <n v="345.83445"/>
    <n v="0"/>
    <n v="686.25405002000002"/>
    <n v="1604.4609156081412"/>
    <n v="0.70041927506601809"/>
    <x v="1"/>
    <s v="MEDIANO"/>
    <x v="11"/>
    <x v="1"/>
    <n v="22"/>
    <n v="1"/>
    <d v="2018-02-01T00:00:00"/>
    <s v="HYUNDAI"/>
    <s v="ELANTRA"/>
    <n v="3177.6550000000002"/>
    <d v="2018-02-02T00:00:00"/>
    <n v="12"/>
    <x v="1"/>
  </r>
  <r>
    <d v="2018-02-23T00:00:00"/>
    <s v="001-00011589"/>
    <n v="1754.9339596186401"/>
    <n v="0"/>
    <n v="25.42"/>
    <n v="253.70627118644069"/>
    <n v="30.712500000000002"/>
    <n v="117"/>
    <n v="223.73877499999998"/>
    <n v="0"/>
    <n v="650.57754618644071"/>
    <n v="1104.3564134321994"/>
    <n v="0.62928659359477213"/>
    <x v="1"/>
    <s v="MEDIANO"/>
    <x v="11"/>
    <x v="1"/>
    <n v="14"/>
    <n v="1"/>
    <d v="2018-02-09T00:00:00"/>
    <s v="VOLKSWAGUEN"/>
    <s v="TIGUAN"/>
    <n v="1703.1624999999999"/>
    <d v="2018-02-13T00:00:00"/>
    <n v="8"/>
    <x v="1"/>
  </r>
  <r>
    <d v="2018-02-23T00:00:00"/>
    <s v="001-00011564"/>
    <n v="1594.6704253583093"/>
    <n v="0"/>
    <n v="0"/>
    <n v="0"/>
    <n v="0"/>
    <n v="175.5"/>
    <n v="247.91"/>
    <n v="0"/>
    <n v="423.40999999999997"/>
    <n v="1171.2604253583095"/>
    <n v="0.73448432148300291"/>
    <x v="1"/>
    <s v="MEDIANO"/>
    <x v="11"/>
    <x v="1"/>
    <n v="15"/>
    <n v="1"/>
    <d v="2018-02-08T00:00:00"/>
    <s v="KIA"/>
    <s v="CERATO"/>
    <n v="31.1675"/>
    <d v="2018-02-08T00:00:00"/>
    <n v="12"/>
    <x v="1"/>
  </r>
  <r>
    <d v="2018-02-23T00:00:00"/>
    <s v="001-00011606"/>
    <n v="2508.6422003347498"/>
    <n v="0"/>
    <n v="0"/>
    <n v="20.656779661016948"/>
    <n v="0"/>
    <n v="292.5"/>
    <n v="424.54587500000002"/>
    <n v="0"/>
    <n v="737.70265466101705"/>
    <n v="1770.9395456737327"/>
    <n v="0.70593548391931737"/>
    <x v="1"/>
    <s v="MEDIANO"/>
    <x v="11"/>
    <x v="1"/>
    <n v="11"/>
    <n v="1"/>
    <d v="2018-02-12T00:00:00"/>
    <s v="RENAULT"/>
    <s v="LOGAN"/>
    <n v="5358.5999999999995"/>
    <d v="2018-02-12T00:00:00"/>
    <n v="20"/>
    <x v="1"/>
  </r>
  <r>
    <d v="2018-02-23T00:00:00"/>
    <s v="001-00011480"/>
    <n v="902.97887642457977"/>
    <n v="0"/>
    <n v="0"/>
    <n v="20"/>
    <n v="0"/>
    <n v="58.5"/>
    <n v="139.449375"/>
    <n v="0"/>
    <n v="217.949375"/>
    <n v="685.02950142457973"/>
    <n v="0.75863291967250801"/>
    <x v="1"/>
    <s v="LEVE"/>
    <x v="11"/>
    <x v="1"/>
    <n v="28"/>
    <n v="1"/>
    <d v="2018-01-26T00:00:00"/>
    <s v="HONDA "/>
    <s v="CR-V"/>
    <n v="1764.4575"/>
    <d v="2018-01-27T00:00:00"/>
    <n v="4"/>
    <x v="1"/>
  </r>
  <r>
    <d v="2018-02-23T00:00:00"/>
    <s v="001-00011653"/>
    <n v="475.96848890832018"/>
    <n v="0"/>
    <n v="0"/>
    <n v="59.313559322033896"/>
    <n v="0"/>
    <n v="36.5625"/>
    <n v="77.471874999999997"/>
    <n v="0"/>
    <n v="173.34793432203389"/>
    <n v="302.62055458628629"/>
    <n v="0.63579955740426397"/>
    <x v="1"/>
    <s v="LEVE"/>
    <x v="11"/>
    <x v="1"/>
    <n v="4"/>
    <n v="1"/>
    <d v="2018-02-19T00:00:00"/>
    <s v="MAZDA"/>
    <s v="MAZDA 3"/>
    <n v="73.709999999999994"/>
    <d v="2018-02-20T00:00:00"/>
    <n v="2.5"/>
    <x v="1"/>
  </r>
  <r>
    <d v="2018-02-24T00:00:00"/>
    <s v="001-00011672"/>
    <n v="560.79748274999997"/>
    <n v="0"/>
    <n v="0"/>
    <n v="0"/>
    <n v="0"/>
    <n v="87.75"/>
    <n v="92.966250000000002"/>
    <n v="0"/>
    <n v="180.71625"/>
    <n v="380.08123274999997"/>
    <n v="0.67775131743848749"/>
    <x v="0"/>
    <s v="LEVE"/>
    <x v="11"/>
    <x v="1"/>
    <n v="3"/>
    <n v="1"/>
    <d v="2018-02-21T00:00:00"/>
    <s v="TOYOTA"/>
    <s v="COROLLA"/>
    <n v="0"/>
    <d v="2018-02-21T00:00:00"/>
    <n v="6"/>
    <x v="133"/>
  </r>
  <r>
    <d v="2018-02-24T00:00:00"/>
    <s v="001-00011626"/>
    <n v="729.51885086017012"/>
    <n v="0"/>
    <n v="0"/>
    <n v="103.80118644067797"/>
    <n v="0"/>
    <n v="58.5"/>
    <n v="123.955"/>
    <n v="0"/>
    <n v="286.25618644067794"/>
    <n v="443.26266441949218"/>
    <n v="0.60760960994612345"/>
    <x v="1"/>
    <s v="LEVE"/>
    <x v="11"/>
    <x v="1"/>
    <n v="10"/>
    <n v="1"/>
    <d v="2018-02-14T00:00:00"/>
    <s v="KIA"/>
    <s v="CERATO"/>
    <n v="3228.1275000000001"/>
    <d v="2018-02-15T00:00:00"/>
    <n v="4"/>
    <x v="1"/>
  </r>
  <r>
    <d v="2018-02-24T00:00:00"/>
    <s v="001-00011527"/>
    <n v="2248.0664308500004"/>
    <n v="12.45929999"/>
    <n v="0"/>
    <n v="0"/>
    <n v="99.449999999999989"/>
    <n v="204.75"/>
    <n v="314.84570000000002"/>
    <n v="0"/>
    <n v="631.50499998999999"/>
    <n v="1616.5614308600004"/>
    <n v="0.71908970690371188"/>
    <x v="1"/>
    <s v="MEDIANO"/>
    <x v="11"/>
    <x v="1"/>
    <n v="22"/>
    <n v="1"/>
    <d v="2018-02-02T00:00:00"/>
    <s v="KIA"/>
    <s v="RIO"/>
    <n v="7357.1225000000004"/>
    <d v="2018-02-07T00:00:00"/>
    <n v="14"/>
    <x v="1"/>
  </r>
  <r>
    <d v="2018-02-24T00:00:00"/>
    <s v="001-00011649"/>
    <n v="1266.6776956472891"/>
    <n v="0"/>
    <n v="0"/>
    <n v="31.771186440677965"/>
    <n v="0"/>
    <n v="146.25"/>
    <n v="185.9325"/>
    <n v="0"/>
    <n v="363.95368644067798"/>
    <n v="902.72400920661107"/>
    <n v="0.71267064408622682"/>
    <x v="1"/>
    <s v="MEDIANO"/>
    <x v="11"/>
    <x v="1"/>
    <n v="7"/>
    <n v="1"/>
    <d v="2018-02-17T00:00:00"/>
    <s v="KIA"/>
    <s v="RIO"/>
    <n v="741.39"/>
    <d v="2018-02-19T00:00:00"/>
    <n v="10"/>
    <x v="1"/>
  </r>
  <r>
    <d v="2018-02-24T00:00:00"/>
    <s v="001-00011624"/>
    <n v="1162.7009333355902"/>
    <n v="0.84939998000000005"/>
    <n v="0"/>
    <n v="0"/>
    <n v="0"/>
    <n v="117"/>
    <n v="201.426875"/>
    <n v="0"/>
    <n v="319.27627497999998"/>
    <n v="843.42465835559028"/>
    <n v="0.72540120522303975"/>
    <x v="1"/>
    <s v="MEDIANO"/>
    <x v="11"/>
    <x v="1"/>
    <n v="10"/>
    <n v="1"/>
    <d v="2018-02-14T00:00:00"/>
    <s v="HYUNDAI"/>
    <s v="TUCSON"/>
    <n v="1008.2150000000001"/>
    <d v="2018-02-15T00:00:00"/>
    <n v="8"/>
    <x v="1"/>
  </r>
  <r>
    <d v="2018-02-24T00:00:00"/>
    <s v="001-00010926"/>
    <n v="420.5087225692497"/>
    <n v="0"/>
    <n v="0"/>
    <n v="0"/>
    <n v="0"/>
    <n v="58.5"/>
    <n v="61.977499999999999"/>
    <n v="0"/>
    <n v="120.47749999999999"/>
    <n v="300.03122256924973"/>
    <n v="0.71349583603427003"/>
    <x v="1"/>
    <s v="LEVE"/>
    <x v="11"/>
    <x v="1"/>
    <n v="96"/>
    <n v="1"/>
    <d v="2017-11-20T00:00:00"/>
    <s v="MITSUBISHI"/>
    <s v="MONTERO"/>
    <n v="691.66499999999996"/>
    <d v="2017-11-20T00:00:00"/>
    <n v="4"/>
    <x v="1"/>
  </r>
  <r>
    <d v="2018-02-24T00:00:00"/>
    <s v="001-00010347"/>
    <n v="2635.7618231245797"/>
    <n v="0"/>
    <n v="287.29000000000002"/>
    <n v="55.084745762711869"/>
    <n v="0"/>
    <n v="321.75"/>
    <n v="263.40437500000002"/>
    <n v="0"/>
    <n v="927.52912076271195"/>
    <n v="1708.2327023618677"/>
    <n v="0.64809827935698416"/>
    <x v="1"/>
    <s v="MEDIANO"/>
    <x v="11"/>
    <x v="1"/>
    <n v="167"/>
    <n v="1"/>
    <d v="2017-09-10T00:00:00"/>
    <s v="MITSUBISHI"/>
    <s v="MONTERO"/>
    <n v="2616.64"/>
    <d v="2017-09-12T00:00:00"/>
    <n v="22"/>
    <x v="1"/>
  </r>
  <r>
    <d v="2018-02-24T00:00:00"/>
    <s v="001-00011645"/>
    <n v="1578.36045145"/>
    <n v="0"/>
    <n v="0"/>
    <n v="0"/>
    <n v="0"/>
    <n v="175.5"/>
    <n v="247.91"/>
    <n v="0"/>
    <n v="423.40999999999997"/>
    <n v="1154.9504514499999"/>
    <n v="0.73174061754333497"/>
    <x v="1"/>
    <s v="MEDIANO"/>
    <x v="11"/>
    <x v="1"/>
    <n v="7"/>
    <n v="1"/>
    <d v="2018-02-17T00:00:00"/>
    <s v="KIA"/>
    <s v="RIO"/>
    <n v="978.60750000000007"/>
    <d v="2018-02-14T00:00:00"/>
    <n v="12"/>
    <x v="1"/>
  </r>
  <r>
    <d v="2018-02-24T00:00:00"/>
    <s v="001-00011592"/>
    <n v="1885.414758695081"/>
    <n v="16.098300080000001"/>
    <n v="0"/>
    <n v="102.75"/>
    <n v="14.625"/>
    <n v="146.25"/>
    <n v="302.4502"/>
    <n v="0"/>
    <n v="582.17350007999994"/>
    <n v="1303.2412586150811"/>
    <n v="0.69122258251392421"/>
    <x v="1"/>
    <s v="MEDIANO"/>
    <x v="11"/>
    <x v="1"/>
    <n v="14"/>
    <n v="1"/>
    <d v="2018-02-10T00:00:00"/>
    <s v="KIA"/>
    <s v="RIO"/>
    <n v="8075.1774999999998"/>
    <d v="2018-02-12T00:00:00"/>
    <n v="10"/>
    <x v="1"/>
  </r>
  <r>
    <d v="2018-02-27T00:00:00"/>
    <s v="001-00011615"/>
    <n v="841.03402499999993"/>
    <n v="0"/>
    <n v="0"/>
    <n v="30.656779661016948"/>
    <n v="0"/>
    <n v="102.375"/>
    <n v="123.33522500000001"/>
    <n v="0"/>
    <n v="256.36700466101695"/>
    <n v="584.66702033898298"/>
    <n v="0.69517641731436852"/>
    <x v="1"/>
    <s v="LEVE"/>
    <x v="11"/>
    <x v="1"/>
    <n v="15"/>
    <n v="1"/>
    <d v="2018-02-12T00:00:00"/>
    <s v="HYUNDAI"/>
    <s v="TUCSON"/>
    <n v="509.4375"/>
    <d v="2018-02-12T00:00:00"/>
    <n v="7"/>
    <x v="573"/>
  </r>
  <r>
    <d v="2018-02-27T00:00:00"/>
    <s v="001-00011633"/>
    <n v="1192.7223750000001"/>
    <n v="0"/>
    <n v="0"/>
    <n v="0"/>
    <n v="0"/>
    <n v="117"/>
    <n v="133.25162500000002"/>
    <n v="0"/>
    <n v="250.25162500000002"/>
    <n v="942.47075000000007"/>
    <n v="0.79018451381026533"/>
    <x v="1"/>
    <s v="MEDIANO"/>
    <x v="11"/>
    <x v="1"/>
    <n v="12"/>
    <n v="1"/>
    <d v="2018-02-15T00:00:00"/>
    <s v="FIAT"/>
    <s v="FIORINO"/>
    <n v="487.5"/>
    <d v="2018-02-16T00:00:00"/>
    <n v="8"/>
    <x v="757"/>
  </r>
  <r>
    <d v="2018-02-27T00:00:00"/>
    <s v="001-00011597"/>
    <n v="754"/>
    <n v="0"/>
    <n v="0"/>
    <n v="144.59745762711864"/>
    <n v="0"/>
    <n v="87.75"/>
    <n v="127.67364999999999"/>
    <n v="0"/>
    <n v="360.02110762711862"/>
    <n v="393.97889237288138"/>
    <n v="0.52251842489772071"/>
    <x v="0"/>
    <s v="MEDIANO"/>
    <x v="11"/>
    <x v="1"/>
    <n v="15"/>
    <n v="1"/>
    <d v="2018-02-12T00:00:00"/>
    <s v="MAZDA"/>
    <s v="CX-5"/>
    <n v="0"/>
    <d v="2018-02-12T00:00:00"/>
    <n v="6"/>
    <x v="758"/>
  </r>
  <r>
    <d v="2018-02-27T00:00:00"/>
    <s v="001-00011723"/>
    <n v="760.52762499999994"/>
    <n v="0"/>
    <n v="0"/>
    <n v="0"/>
    <n v="0"/>
    <n v="68.737500000000011"/>
    <n v="123.955"/>
    <n v="0"/>
    <n v="192.6925"/>
    <n v="567.83512499999995"/>
    <n v="0.74663313512116014"/>
    <x v="1"/>
    <s v="LEVE"/>
    <x v="11"/>
    <x v="1"/>
    <n v="0"/>
    <n v="1"/>
    <d v="2018-02-27T00:00:00"/>
    <s v="MAZDA"/>
    <s v="CX-5"/>
    <n v="0"/>
    <d v="2018-02-23T00:00:00"/>
    <n v="4.7"/>
    <x v="758"/>
  </r>
  <r>
    <d v="2018-02-27T00:00:00"/>
    <s v="001-00011724"/>
    <n v="885.92789999999991"/>
    <n v="0"/>
    <n v="0"/>
    <n v="0"/>
    <n v="0"/>
    <n v="121.3875"/>
    <n v="123.955"/>
    <n v="0"/>
    <n v="245.3425"/>
    <n v="640.58539999999994"/>
    <n v="0.7230671931654935"/>
    <x v="1"/>
    <s v="LEVE"/>
    <x v="11"/>
    <x v="1"/>
    <n v="0"/>
    <n v="1"/>
    <d v="2018-02-27T00:00:00"/>
    <s v="MAZDA"/>
    <s v="CX-5"/>
    <n v="0"/>
    <d v="2018-02-23T00:00:00"/>
    <n v="8.3000000000000007"/>
    <x v="758"/>
  </r>
  <r>
    <d v="2018-02-27T00:00:00"/>
    <s v="001-00011504"/>
    <n v="247.24798149999998"/>
    <n v="0"/>
    <n v="0"/>
    <n v="0"/>
    <n v="0"/>
    <n v="8.7749999999999986"/>
    <n v="68.175250000000005"/>
    <n v="0"/>
    <n v="76.950250000000011"/>
    <n v="170.29773149999997"/>
    <n v="0.68877299004360115"/>
    <x v="1"/>
    <s v="LEVE"/>
    <x v="11"/>
    <x v="1"/>
    <n v="27"/>
    <n v="1"/>
    <d v="2018-01-31T00:00:00"/>
    <s v="MAZDA"/>
    <s v="CX-5"/>
    <n v="2730.1949999999997"/>
    <d v="2018-01-26T00:00:00"/>
    <n v="0.6"/>
    <x v="1"/>
  </r>
  <r>
    <d v="2018-02-27T00:00:00"/>
    <s v="001-00011502"/>
    <n v="409.52762174999998"/>
    <n v="0"/>
    <n v="0"/>
    <n v="13.771186440677967"/>
    <n v="0"/>
    <n v="24.862499999999997"/>
    <n v="77.471874999999997"/>
    <n v="0"/>
    <n v="116.10556144067796"/>
    <n v="293.42206030932203"/>
    <n v="0.71648905891980175"/>
    <x v="1"/>
    <s v="LEVE"/>
    <x v="11"/>
    <x v="1"/>
    <n v="27"/>
    <n v="1"/>
    <d v="2018-01-31T00:00:00"/>
    <s v="MAZDA"/>
    <s v="CX-5"/>
    <n v="3085.29"/>
    <d v="2018-01-26T00:00:00"/>
    <n v="1.7"/>
    <x v="758"/>
  </r>
  <r>
    <d v="2018-02-27T00:00:00"/>
    <s v="001-00011617"/>
    <n v="1368.25"/>
    <n v="0.8483999900000001"/>
    <n v="0"/>
    <n v="0"/>
    <n v="0"/>
    <n v="117"/>
    <n v="247.91"/>
    <n v="0"/>
    <n v="365.75839998999999"/>
    <n v="1002.49160001"/>
    <n v="0.73268160059199705"/>
    <x v="1"/>
    <s v="MEDIANO"/>
    <x v="11"/>
    <x v="1"/>
    <n v="14"/>
    <n v="1"/>
    <d v="2018-02-13T00:00:00"/>
    <s v="RENAULT"/>
    <s v="LOGAN"/>
    <n v="3625.5374999999999"/>
    <d v="2018-02-14T00:00:00"/>
    <n v="8"/>
    <x v="1"/>
  </r>
  <r>
    <d v="2018-02-27T00:00:00"/>
    <s v="001-00011676"/>
    <n v="736.15262499999994"/>
    <n v="0"/>
    <n v="0"/>
    <n v="82.627118644067792"/>
    <n v="0"/>
    <n v="43.875"/>
    <n v="123.955"/>
    <n v="0"/>
    <n v="250.4571186440678"/>
    <n v="485.69550635593214"/>
    <n v="0.65977555449990033"/>
    <x v="1"/>
    <s v="LEVE"/>
    <x v="11"/>
    <x v="1"/>
    <n v="6"/>
    <n v="1"/>
    <d v="2018-02-21T00:00:00"/>
    <s v="MAZDA"/>
    <s v="CX-5"/>
    <n v="467.48"/>
    <d v="2018-02-20T00:00:00"/>
    <n v="3"/>
    <x v="1"/>
  </r>
  <r>
    <d v="2018-02-27T00:00:00"/>
    <s v="001-00011452"/>
    <n v="3028.2011825"/>
    <n v="10.17"/>
    <n v="0"/>
    <n v="13.771186440677967"/>
    <n v="131.625"/>
    <n v="292.5"/>
    <n v="387.359375"/>
    <n v="0"/>
    <n v="835.42556144067794"/>
    <n v="2192.775621059322"/>
    <n v="0.72411821041857816"/>
    <x v="1"/>
    <s v="MEDIANO"/>
    <x v="11"/>
    <x v="1"/>
    <n v="35"/>
    <n v="1"/>
    <d v="2018-01-23T00:00:00"/>
    <s v="NISSAN"/>
    <s v="SENTRA"/>
    <n v="6461.0974999999999"/>
    <d v="2018-01-25T00:00:00"/>
    <n v="20"/>
    <x v="1"/>
  </r>
  <r>
    <d v="2018-02-28T00:00:00"/>
    <s v="001-00011341"/>
    <n v="2887.7352074999999"/>
    <n v="2.4713999900000001"/>
    <n v="0"/>
    <n v="187.49474576271186"/>
    <n v="32.175000000000004"/>
    <n v="234"/>
    <n v="413.38992500000001"/>
    <n v="0"/>
    <n v="869.53107075271191"/>
    <n v="2018.204136747288"/>
    <n v="0.69888822614539803"/>
    <x v="1"/>
    <s v="MEDIANO"/>
    <x v="11"/>
    <x v="1"/>
    <n v="51"/>
    <n v="1"/>
    <d v="2018-01-08T00:00:00"/>
    <s v="NISSAN"/>
    <s v="TIIDA"/>
    <n v="6624.8325000000004"/>
    <d v="2018-01-12T00:00:00"/>
    <n v="16"/>
    <x v="759"/>
  </r>
  <r>
    <d v="2018-02-28T00:00:00"/>
    <s v="001-00010907"/>
    <n v="4618.25"/>
    <n v="10.17"/>
    <n v="0"/>
    <n v="84.75"/>
    <n v="190.125"/>
    <n v="965.25"/>
    <n v="1053.6175000000001"/>
    <n v="0"/>
    <n v="2303.9125000000004"/>
    <n v="2314.3374999999996"/>
    <n v="0.50112867428138352"/>
    <x v="1"/>
    <s v="GRAVE"/>
    <x v="11"/>
    <x v="1"/>
    <n v="105"/>
    <n v="1"/>
    <d v="2017-11-15T00:00:00"/>
    <s v="NISSAN"/>
    <s v="VERSA"/>
    <n v="12774.775"/>
    <d v="2017-12-15T00:00:00"/>
    <n v="66"/>
    <x v="1"/>
  </r>
  <r>
    <d v="2018-02-28T00:00:00"/>
    <s v="001-00010574"/>
    <n v="2756.8261825"/>
    <n v="0"/>
    <n v="0"/>
    <n v="137.71186440677965"/>
    <n v="0"/>
    <n v="438.75"/>
    <n v="836.69624999999996"/>
    <n v="0"/>
    <n v="1413.1581144067795"/>
    <n v="1343.6680680932204"/>
    <n v="0.48739673056744137"/>
    <x v="1"/>
    <s v="MEDIANO"/>
    <x v="11"/>
    <x v="1"/>
    <n v="145"/>
    <n v="1"/>
    <d v="2017-10-06T00:00:00"/>
    <s v="GREAT W."/>
    <s v="HAVAL H6"/>
    <n v="8932.9499999999989"/>
    <d v="2017-10-04T00:00:00"/>
    <n v="30"/>
    <x v="135"/>
  </r>
  <r>
    <d v="2018-02-28T00:00:00"/>
    <s v="001-00011729"/>
    <n v="338.98309"/>
    <n v="0"/>
    <n v="0"/>
    <n v="0"/>
    <n v="0"/>
    <n v="0"/>
    <n v="0"/>
    <n v="0"/>
    <n v="0"/>
    <n v="338.98309"/>
    <n v="1"/>
    <x v="0"/>
    <s v="MECANICA"/>
    <x v="11"/>
    <x v="1"/>
    <n v="2"/>
    <n v="1"/>
    <d v="2018-02-26T00:00:00"/>
    <s v="GREAT W."/>
    <s v="HAVAL H6"/>
    <n v="340.01499999999999"/>
    <d v="2018-02-28T00:00:00"/>
    <n v="0"/>
    <x v="135"/>
  </r>
  <r>
    <d v="2018-02-28T00:00:00"/>
    <s v="001-00011660"/>
    <n v="2037.2816750000004"/>
    <n v="1.3550000099999999"/>
    <n v="0"/>
    <n v="61.313559322033896"/>
    <n v="0"/>
    <n v="219.375"/>
    <n v="340.87625000000003"/>
    <n v="0"/>
    <n v="622.91980933203399"/>
    <n v="1414.3618656679664"/>
    <n v="0.69423972297201664"/>
    <x v="1"/>
    <s v="MEDIANO"/>
    <x v="11"/>
    <x v="1"/>
    <n v="9"/>
    <n v="1"/>
    <d v="2018-02-19T00:00:00"/>
    <s v="SUZUKI"/>
    <s v="SWIFT"/>
    <n v="971.68500000000006"/>
    <d v="2018-02-20T00:00:00"/>
    <n v="15"/>
    <x v="1"/>
  </r>
  <r>
    <d v="2018-02-28T00:00:00"/>
    <s v="001-00011619"/>
    <n v="1495.9363250000001"/>
    <n v="3.8037001999999998"/>
    <n v="0"/>
    <n v="148.18118644067798"/>
    <n v="38.025000000000006"/>
    <n v="58.5"/>
    <n v="259.68572499999999"/>
    <n v="0"/>
    <n v="508.19561164067795"/>
    <n v="987.74071335932217"/>
    <n v="0.66028259147950175"/>
    <x v="1"/>
    <s v="LEVE"/>
    <x v="11"/>
    <x v="1"/>
    <n v="15"/>
    <n v="1"/>
    <d v="2018-02-13T00:00:00"/>
    <s v="CHEVROLET"/>
    <s v="SAIL"/>
    <n v="2454.8225000000002"/>
    <d v="2018-02-15T00:00:00"/>
    <n v="4"/>
    <x v="1"/>
  </r>
  <r>
    <d v="2018-02-28T00:00:00"/>
    <s v="001-00011675"/>
    <n v="876.78399249999984"/>
    <n v="0"/>
    <n v="0"/>
    <n v="0"/>
    <n v="0"/>
    <n v="102.375"/>
    <n v="163.62060000000002"/>
    <n v="0"/>
    <n v="265.99560000000002"/>
    <n v="610.78839249999987"/>
    <n v="0.6966235671780926"/>
    <x v="1"/>
    <s v="LEVE"/>
    <x v="11"/>
    <x v="1"/>
    <n v="7"/>
    <n v="1"/>
    <d v="2018-02-21T00:00:00"/>
    <s v="NISSAN"/>
    <s v="SENTRA"/>
    <n v="91"/>
    <d v="2018-02-21T00:00:00"/>
    <n v="7"/>
    <x v="1"/>
  </r>
  <r>
    <d v="2018-02-28T00:00:00"/>
    <s v="001-00011520"/>
    <n v="1604.6598750000001"/>
    <n v="59.32"/>
    <n v="0"/>
    <n v="122.88"/>
    <n v="73.125"/>
    <n v="102.375"/>
    <n v="15.494375"/>
    <n v="8.0925000000000011"/>
    <n v="381.28687500000001"/>
    <n v="1223.373"/>
    <n v="0.76238773029705131"/>
    <x v="1"/>
    <s v="LEVE"/>
    <x v="11"/>
    <x v="1"/>
    <n v="27"/>
    <n v="1"/>
    <d v="2018-02-01T00:00:00"/>
    <s v="TOYOTA"/>
    <s v="YARIS"/>
    <n v="4630.4049999999997"/>
    <d v="2018-02-02T00:00:00"/>
    <n v="7"/>
    <x v="1"/>
  </r>
  <r>
    <d v="2018-02-28T00:00:00"/>
    <s v="001-00011642"/>
    <n v="1370.97675"/>
    <n v="0"/>
    <n v="0"/>
    <n v="18"/>
    <n v="0"/>
    <n v="204.75"/>
    <n v="154.94374999999999"/>
    <n v="0"/>
    <n v="377.69375000000002"/>
    <n v="993.28300000000002"/>
    <n v="0.72450754544159846"/>
    <x v="1"/>
    <s v="MEDIANO"/>
    <x v="11"/>
    <x v="1"/>
    <n v="12"/>
    <n v="1"/>
    <d v="2018-02-16T00:00:00"/>
    <s v="SUZUKI"/>
    <s v="CIAZ"/>
    <n v="852.05250000000001"/>
    <d v="2018-02-19T00:00:00"/>
    <n v="14"/>
    <x v="1"/>
  </r>
  <r>
    <d v="2018-02-28T00:00:00"/>
    <s v="001-00011732"/>
    <n v="375"/>
    <n v="190.710003"/>
    <n v="0"/>
    <n v="0"/>
    <n v="29.25"/>
    <n v="0"/>
    <n v="0"/>
    <n v="0"/>
    <n v="219.960003"/>
    <n v="155.039997"/>
    <n v="0.41343999199999998"/>
    <x v="0"/>
    <s v="MECANICA"/>
    <x v="11"/>
    <x v="1"/>
    <n v="0"/>
    <n v="1"/>
    <d v="2018-02-28T00:00:00"/>
    <s v="HYUNDAI"/>
    <s v="ACCENT"/>
    <n v="250.76999999999998"/>
    <d v="2018-02-28T00:00:00"/>
    <n v="0"/>
    <x v="638"/>
  </r>
  <r>
    <d v="2018-02-02T00:00:00"/>
    <s v="001-00011521"/>
    <n v="349"/>
    <n v="80.149102800000009"/>
    <n v="0"/>
    <n v="0"/>
    <n v="39.048749999999998"/>
    <n v="0"/>
    <n v="0"/>
    <n v="0"/>
    <n v="119.19785280000001"/>
    <n v="229.80214719999998"/>
    <n v="0.65845887449856733"/>
    <x v="0"/>
    <s v="MECANICA"/>
    <x v="11"/>
    <x v="1"/>
    <n v="1"/>
    <n v="1"/>
    <d v="2018-02-01T00:00:00"/>
    <s v="RENAULT"/>
    <s v="STEPWAY"/>
    <n v="0"/>
    <d v="2018-02-01T00:00:00"/>
    <n v="0"/>
    <x v="760"/>
  </r>
  <r>
    <d v="2018-02-02T00:00:00"/>
    <s v="001-00011491"/>
    <n v="534.96451664999995"/>
    <n v="0"/>
    <n v="0"/>
    <n v="0"/>
    <n v="0"/>
    <n v="73.125"/>
    <n v="123.955"/>
    <n v="0"/>
    <n v="197.07999999999998"/>
    <n v="337.88451664999997"/>
    <n v="0.63160173457085678"/>
    <x v="0"/>
    <s v="LEVE"/>
    <x v="11"/>
    <x v="1"/>
    <n v="4"/>
    <n v="1"/>
    <d v="2018-01-29T00:00:00"/>
    <s v="AUDI"/>
    <s v="A3"/>
    <n v="0"/>
    <d v="2018-01-29T00:00:00"/>
    <n v="5"/>
    <x v="295"/>
  </r>
  <r>
    <d v="2018-02-03T00:00:00"/>
    <s v="001-00011528"/>
    <n v="400"/>
    <n v="0"/>
    <n v="308.75585000000001"/>
    <n v="0"/>
    <n v="0"/>
    <n v="0"/>
    <n v="0"/>
    <n v="0"/>
    <n v="308.75585000000001"/>
    <n v="91.244149999999991"/>
    <n v="0.22811037499999998"/>
    <x v="0"/>
    <s v="MECANICA"/>
    <x v="11"/>
    <x v="1"/>
    <n v="0"/>
    <n v="1"/>
    <d v="2018-02-03T00:00:00"/>
    <s v="NISSAN"/>
    <s v="VERSA"/>
    <n v="401.21250000000003"/>
    <d v="2018-02-03T00:00:00"/>
    <n v="0"/>
    <x v="682"/>
  </r>
  <r>
    <d v="2018-02-03T00:00:00"/>
    <s v="001-00011483"/>
    <n v="579.04914495193043"/>
    <n v="0"/>
    <n v="0"/>
    <n v="0"/>
    <n v="0"/>
    <n v="78.682500000000005"/>
    <n v="123.955"/>
    <n v="0"/>
    <n v="202.63749999999999"/>
    <n v="376.41164495193044"/>
    <n v="0.65005129224943092"/>
    <x v="0"/>
    <s v="LEVE"/>
    <x v="11"/>
    <x v="1"/>
    <n v="5"/>
    <n v="1"/>
    <d v="2018-01-29T00:00:00"/>
    <s v="SUZUKI"/>
    <s v="BALENO"/>
    <n v="0"/>
    <d v="2018-01-29T00:00:00"/>
    <n v="5.38"/>
    <x v="761"/>
  </r>
  <r>
    <d v="2018-02-05T00:00:00"/>
    <s v="001-00011375"/>
    <n v="518.15240027830907"/>
    <n v="0"/>
    <n v="356.40000000000003"/>
    <n v="0"/>
    <n v="0"/>
    <n v="0"/>
    <n v="0"/>
    <n v="0"/>
    <n v="356.40000000000003"/>
    <n v="161.75240027830904"/>
    <n v="0.31217147733259343"/>
    <x v="0"/>
    <s v="MECANICA"/>
    <x v="11"/>
    <x v="1"/>
    <n v="23"/>
    <n v="1"/>
    <d v="2018-01-13T00:00:00"/>
    <s v="TOYOTA"/>
    <s v="COROLLA"/>
    <n v="523.28250000000003"/>
    <d v="2018-01-13T00:00:00"/>
    <n v="0"/>
    <x v="762"/>
  </r>
  <r>
    <d v="2018-02-05T00:00:00"/>
    <s v="001-00011401"/>
    <n v="338.98309"/>
    <n v="0"/>
    <n v="234.0975"/>
    <n v="0"/>
    <n v="0"/>
    <n v="0"/>
    <n v="0"/>
    <n v="0"/>
    <n v="234.0975"/>
    <n v="104.88559000000001"/>
    <n v="0.3094124547628615"/>
    <x v="0"/>
    <s v="MECANICA"/>
    <x v="11"/>
    <x v="1"/>
    <n v="19"/>
    <n v="1"/>
    <d v="2018-01-17T00:00:00"/>
    <s v="TOYOTA"/>
    <s v="COROLLA"/>
    <n v="340.01499999999999"/>
    <d v="2018-01-17T00:00:00"/>
    <n v="0"/>
    <x v="762"/>
  </r>
  <r>
    <d v="2018-02-06T00:00:00"/>
    <s v="001-00011514"/>
    <n v="1720"/>
    <n v="0"/>
    <n v="0"/>
    <n v="118.64406779661017"/>
    <n v="0"/>
    <n v="175.5"/>
    <n v="309.88749999999999"/>
    <n v="0"/>
    <n v="604.03156779661015"/>
    <n v="1115.96843220339"/>
    <n v="0.64881885593220345"/>
    <x v="0"/>
    <s v="MEDIANO"/>
    <x v="11"/>
    <x v="1"/>
    <n v="6"/>
    <n v="1"/>
    <d v="2018-01-31T00:00:00"/>
    <s v="TOYOTA"/>
    <s v="RAV4"/>
    <n v="0"/>
    <d v="2018-01-31T00:00:00"/>
    <n v="12"/>
    <x v="763"/>
  </r>
  <r>
    <d v="2018-02-06T00:00:00"/>
    <s v="001-00011533"/>
    <n v="836"/>
    <n v="131.41220399999997"/>
    <n v="0"/>
    <n v="0"/>
    <n v="39.048749999999998"/>
    <n v="29.25"/>
    <n v="61.977499999999999"/>
    <n v="0"/>
    <n v="261.68845399999998"/>
    <n v="574.31154600000002"/>
    <n v="0.68697553349282303"/>
    <x v="0"/>
    <s v="LEVE"/>
    <x v="11"/>
    <x v="1"/>
    <n v="3"/>
    <n v="1"/>
    <d v="2018-02-03T00:00:00"/>
    <s v="SUZUKI"/>
    <s v="SWIFT"/>
    <n v="97.5"/>
    <d v="2018-02-05T00:00:00"/>
    <n v="2"/>
    <x v="224"/>
  </r>
  <r>
    <d v="2018-02-08T00:00:00"/>
    <s v="001-00011559"/>
    <n v="550.83899999999994"/>
    <n v="288.14001000000002"/>
    <n v="0"/>
    <n v="25.42"/>
    <n v="39.048749999999998"/>
    <n v="0"/>
    <n v="0"/>
    <n v="0"/>
    <n v="352.60876000000002"/>
    <n v="198.23023999999992"/>
    <n v="0.35986965338329341"/>
    <x v="0"/>
    <s v="MECANICA"/>
    <x v="11"/>
    <x v="1"/>
    <n v="1"/>
    <n v="1"/>
    <d v="2018-02-07T00:00:00"/>
    <s v="KIA"/>
    <s v="PICANTO"/>
    <n v="401.21250000000003"/>
    <d v="2018-02-07T00:00:00"/>
    <n v="0"/>
    <x v="764"/>
  </r>
  <r>
    <d v="2018-02-08T00:00:00"/>
    <s v="001-00011410"/>
    <n v="324.7"/>
    <n v="0"/>
    <n v="0"/>
    <n v="0"/>
    <n v="0"/>
    <n v="117"/>
    <n v="185.9325"/>
    <n v="0"/>
    <n v="302.9325"/>
    <n v="21.767499999999984"/>
    <n v="6.7038805050816094E-2"/>
    <x v="1"/>
    <s v="MEDIANO"/>
    <x v="11"/>
    <x v="1"/>
    <n v="22"/>
    <n v="1"/>
    <d v="2018-01-17T00:00:00"/>
    <s v="TOYOTA"/>
    <s v="YARIS"/>
    <n v="0"/>
    <d v="2018-01-17T00:00:00"/>
    <n v="8"/>
    <x v="543"/>
  </r>
  <r>
    <d v="2018-02-08T00:00:00"/>
    <s v="001-00011569"/>
    <n v="450"/>
    <n v="127.56070030000001"/>
    <n v="0"/>
    <n v="0"/>
    <n v="39.048749999999998"/>
    <n v="0"/>
    <n v="0"/>
    <n v="0"/>
    <n v="166.60945029999999"/>
    <n v="283.39054970000001"/>
    <n v="0.62975677711111111"/>
    <x v="0"/>
    <s v="MECANICA"/>
    <x v="11"/>
    <x v="1"/>
    <n v="0"/>
    <n v="1"/>
    <d v="2018-02-08T00:00:00"/>
    <s v="KIA"/>
    <s v="RIO"/>
    <n v="0"/>
    <d v="2018-02-08T00:00:00"/>
    <n v="0"/>
    <x v="765"/>
  </r>
  <r>
    <d v="2018-02-08T00:00:00"/>
    <s v="001-00011557"/>
    <n v="1553.3983000000001"/>
    <n v="137.71502050000001"/>
    <n v="594.97749999999996"/>
    <n v="69.919661016949163"/>
    <n v="58.5"/>
    <n v="14.625"/>
    <n v="61.977499999999999"/>
    <n v="0"/>
    <n v="937.7146815169491"/>
    <n v="615.68361848305096"/>
    <n v="0.39634626771707615"/>
    <x v="0"/>
    <s v="LEVE"/>
    <x v="11"/>
    <x v="1"/>
    <n v="1"/>
    <n v="1"/>
    <d v="2018-02-07T00:00:00"/>
    <s v="CHEVROLET"/>
    <s v="SAIL"/>
    <n v="451.36"/>
    <d v="2018-02-07T00:00:00"/>
    <n v="1"/>
    <x v="739"/>
  </r>
  <r>
    <d v="2018-02-08T00:00:00"/>
    <s v="001-00011558"/>
    <n v="396"/>
    <n v="0"/>
    <n v="0"/>
    <n v="0"/>
    <n v="0"/>
    <n v="14.625"/>
    <n v="61.977499999999999"/>
    <n v="0"/>
    <n v="76.602499999999992"/>
    <n v="319.39750000000004"/>
    <n v="0.80655934343434355"/>
    <x v="0"/>
    <s v="LEVE"/>
    <x v="11"/>
    <x v="1"/>
    <n v="1"/>
    <n v="1"/>
    <d v="2018-02-07T00:00:00"/>
    <s v="KIA"/>
    <s v="CERATO"/>
    <n v="0"/>
    <d v="2018-02-07T00:00:00"/>
    <n v="1"/>
    <x v="290"/>
  </r>
  <r>
    <d v="2018-02-09T00:00:00"/>
    <s v="001-00011563"/>
    <n v="350"/>
    <n v="78.168103340000016"/>
    <n v="0"/>
    <n v="0"/>
    <n v="39.048749999999998"/>
    <n v="0"/>
    <n v="0"/>
    <n v="0"/>
    <n v="117.21685334000001"/>
    <n v="232.78314666"/>
    <n v="0.66509470474285715"/>
    <x v="0"/>
    <s v="MECANICA"/>
    <x v="11"/>
    <x v="1"/>
    <n v="1"/>
    <n v="1"/>
    <d v="2018-02-08T00:00:00"/>
    <s v="GREAT W."/>
    <s v="VOLEEX C30"/>
    <n v="0"/>
    <d v="2018-02-08T00:00:00"/>
    <n v="0"/>
    <x v="495"/>
  </r>
  <r>
    <d v="2018-02-09T00:00:00"/>
    <s v="001-00011582"/>
    <n v="314.10169999999999"/>
    <n v="89.538102739999999"/>
    <n v="0"/>
    <n v="0"/>
    <n v="39.048749999999998"/>
    <n v="0"/>
    <n v="0"/>
    <n v="0"/>
    <n v="128.58685273999998"/>
    <n v="185.51484726000001"/>
    <n v="0.59062032220774363"/>
    <x v="0"/>
    <s v="MECANICA"/>
    <x v="11"/>
    <x v="1"/>
    <n v="0"/>
    <n v="1"/>
    <d v="2018-02-09T00:00:00"/>
    <s v="SUZUKI"/>
    <s v="CELERIO"/>
    <n v="0"/>
    <d v="2018-02-09T00:00:00"/>
    <n v="0"/>
    <x v="204"/>
  </r>
  <r>
    <d v="2018-02-10T00:00:00"/>
    <s v="001-00011594"/>
    <n v="20"/>
    <n v="0"/>
    <n v="0"/>
    <n v="16.95"/>
    <n v="0"/>
    <n v="0"/>
    <n v="0"/>
    <n v="0"/>
    <n v="16.95"/>
    <n v="3.0500000000000007"/>
    <n v="0.15250000000000002"/>
    <x v="0"/>
    <s v="MECANICA"/>
    <x v="11"/>
    <x v="1"/>
    <n v="0"/>
    <n v="1"/>
    <d v="2018-02-10T00:00:00"/>
    <s v="NISSAN"/>
    <s v="TIIDA"/>
    <n v="0"/>
    <d v="2018-02-10T00:00:00"/>
    <n v="0"/>
    <x v="766"/>
  </r>
  <r>
    <d v="2018-02-10T00:00:00"/>
    <s v="001-00011568"/>
    <n v="744.025486"/>
    <n v="76.562202000000013"/>
    <n v="0"/>
    <n v="27.542372881355934"/>
    <n v="39.048749999999998"/>
    <n v="14.625"/>
    <n v="61.977499999999999"/>
    <n v="0"/>
    <n v="219.75582488135595"/>
    <n v="524.26966111864408"/>
    <n v="0.7046393853215992"/>
    <x v="0"/>
    <s v="LEVE"/>
    <x v="11"/>
    <x v="1"/>
    <n v="2"/>
    <n v="1"/>
    <d v="2018-02-08T00:00:00"/>
    <s v="NISSAN"/>
    <s v="VERSA"/>
    <n v="0"/>
    <d v="2018-02-08T00:00:00"/>
    <n v="1"/>
    <x v="403"/>
  </r>
  <r>
    <d v="2018-02-10T00:00:00"/>
    <s v="001-00011579"/>
    <n v="1372.5"/>
    <n v="521.3352625"/>
    <n v="0"/>
    <n v="101.69"/>
    <n v="78.097499999999997"/>
    <n v="0"/>
    <n v="0"/>
    <n v="0"/>
    <n v="701.12276250000002"/>
    <n v="671.37723749999998"/>
    <n v="0.48916374316939887"/>
    <x v="0"/>
    <s v="MECANICA"/>
    <x v="11"/>
    <x v="1"/>
    <n v="1"/>
    <n v="1"/>
    <d v="2018-02-09T00:00:00"/>
    <s v="MAZDA"/>
    <s v="CX-5"/>
    <n v="381.16"/>
    <d v="2018-02-09T00:00:00"/>
    <n v="0"/>
    <x v="767"/>
  </r>
  <r>
    <d v="2018-02-12T00:00:00"/>
    <s v="001-00011198"/>
    <n v="1095.45"/>
    <n v="0"/>
    <n v="0"/>
    <n v="72.03"/>
    <n v="0"/>
    <n v="109.6875"/>
    <n v="216.92125000000001"/>
    <n v="0"/>
    <n v="398.63875000000002"/>
    <n v="696.81124999999997"/>
    <n v="0.63609589666347155"/>
    <x v="0"/>
    <s v="MEDIANO"/>
    <x v="11"/>
    <x v="1"/>
    <n v="52"/>
    <n v="1"/>
    <d v="2017-12-22T00:00:00"/>
    <s v="SUZUKI"/>
    <s v="APV"/>
    <n v="0"/>
    <d v="2017-12-22T00:00:00"/>
    <n v="7.5"/>
    <x v="768"/>
  </r>
  <r>
    <d v="2018-02-12T00:00:00"/>
    <s v="001-00011603"/>
    <n v="315"/>
    <n v="64.129102000000003"/>
    <n v="0"/>
    <n v="0"/>
    <n v="39.048749999999998"/>
    <n v="0"/>
    <n v="0"/>
    <n v="0"/>
    <n v="103.177852"/>
    <n v="211.822148"/>
    <n v="0.67245126349206352"/>
    <x v="0"/>
    <s v="MECANICA"/>
    <x v="11"/>
    <x v="1"/>
    <n v="0"/>
    <n v="1"/>
    <d v="2018-02-12T00:00:00"/>
    <s v="NISSAN"/>
    <s v="VERSA"/>
    <n v="0"/>
    <d v="2018-02-12T00:00:00"/>
    <n v="0"/>
    <x v="725"/>
  </r>
  <r>
    <d v="2018-02-13T00:00:00"/>
    <s v="001-00011567"/>
    <n v="250"/>
    <n v="0"/>
    <n v="0"/>
    <n v="0"/>
    <n v="39.048749999999998"/>
    <n v="0"/>
    <n v="0"/>
    <n v="0"/>
    <n v="39.048749999999998"/>
    <n v="210.95125000000002"/>
    <n v="0.84380500000000003"/>
    <x v="0"/>
    <s v="MECANICA"/>
    <x v="11"/>
    <x v="1"/>
    <n v="5"/>
    <n v="1"/>
    <d v="2018-02-08T00:00:00"/>
    <s v="HONDA "/>
    <s v="ACCORD"/>
    <n v="0"/>
    <d v="2018-02-08T00:00:00"/>
    <n v="0"/>
    <x v="769"/>
  </r>
  <r>
    <d v="2018-02-13T00:00:00"/>
    <s v="001-00011613"/>
    <n v="224.10169999999999"/>
    <n v="49.079101800000004"/>
    <n v="0"/>
    <n v="0"/>
    <n v="39.048749999999998"/>
    <n v="0"/>
    <n v="0"/>
    <n v="0"/>
    <n v="88.127851800000002"/>
    <n v="135.97384819999999"/>
    <n v="0.6067506324137657"/>
    <x v="0"/>
    <s v="MECANICA"/>
    <x v="11"/>
    <x v="1"/>
    <n v="1"/>
    <n v="1"/>
    <d v="2018-02-12T00:00:00"/>
    <s v="HYUNDAI"/>
    <s v="I10"/>
    <n v="0"/>
    <d v="2018-02-13T00:00:00"/>
    <n v="0"/>
    <x v="586"/>
  </r>
  <r>
    <d v="2018-02-13T00:00:00"/>
    <s v="001-00011618"/>
    <n v="349"/>
    <n v="83.604702599999996"/>
    <n v="0"/>
    <n v="0"/>
    <n v="39.048749999999998"/>
    <n v="0"/>
    <n v="0"/>
    <n v="0"/>
    <n v="122.65345259999999"/>
    <n v="226.34654740000002"/>
    <n v="0.64855744240687685"/>
    <x v="0"/>
    <s v="MECANICA"/>
    <x v="11"/>
    <x v="1"/>
    <n v="1"/>
    <n v="1"/>
    <d v="2018-02-12T00:00:00"/>
    <s v="SUZUKI"/>
    <s v="ALTO"/>
    <n v="0"/>
    <d v="2018-02-13T00:00:00"/>
    <n v="0"/>
    <x v="245"/>
  </r>
  <r>
    <d v="2018-02-14T00:00:00"/>
    <s v="001-00011625"/>
    <n v="350"/>
    <n v="76.675252200000003"/>
    <n v="0"/>
    <n v="0"/>
    <n v="39.048749999999998"/>
    <n v="0"/>
    <n v="0"/>
    <n v="0"/>
    <n v="115.7240022"/>
    <n v="234.2759978"/>
    <n v="0.66935999371428567"/>
    <x v="0"/>
    <s v="MECANICA"/>
    <x v="11"/>
    <x v="1"/>
    <n v="1"/>
    <n v="1"/>
    <d v="2018-02-13T00:00:00"/>
    <s v="NISSAN"/>
    <s v="SENTRA"/>
    <n v="0"/>
    <d v="2018-02-14T00:00:00"/>
    <n v="0"/>
    <x v="770"/>
  </r>
  <r>
    <d v="2018-02-15T00:00:00"/>
    <s v="001-00011596"/>
    <n v="880"/>
    <n v="530.14668999999992"/>
    <n v="0"/>
    <n v="0"/>
    <n v="39.048749999999998"/>
    <n v="0"/>
    <n v="0"/>
    <n v="0"/>
    <n v="569.19543999999996"/>
    <n v="310.80456000000004"/>
    <n v="0.35318700000000003"/>
    <x v="0"/>
    <s v="MECANICA"/>
    <x v="11"/>
    <x v="1"/>
    <n v="5"/>
    <n v="1"/>
    <d v="2018-02-10T00:00:00"/>
    <s v="HYUNDAI"/>
    <s v="I10"/>
    <n v="732.22500000000002"/>
    <d v="2018-02-12T00:00:00"/>
    <n v="0"/>
    <x v="645"/>
  </r>
  <r>
    <d v="2018-02-15T00:00:00"/>
    <s v="001-00011629"/>
    <n v="133.01706326999999"/>
    <n v="0"/>
    <n v="82.615000000000009"/>
    <n v="0"/>
    <n v="0"/>
    <n v="0"/>
    <n v="0"/>
    <n v="0"/>
    <n v="82.615000000000009"/>
    <n v="50.402063269999985"/>
    <n v="0.37891426882349022"/>
    <x v="0"/>
    <s v="MECANICA"/>
    <x v="11"/>
    <x v="1"/>
    <n v="0"/>
    <n v="1"/>
    <d v="2018-02-15T00:00:00"/>
    <s v="KIA"/>
    <s v="RIO"/>
    <n v="132.21"/>
    <d v="2018-02-15T00:00:00"/>
    <n v="0"/>
    <x v="771"/>
  </r>
  <r>
    <d v="2018-02-15T00:00:00"/>
    <s v="001-00011621"/>
    <n v="294.3"/>
    <n v="0"/>
    <n v="0"/>
    <n v="0"/>
    <n v="0"/>
    <n v="0"/>
    <n v="61.977499999999999"/>
    <n v="0"/>
    <n v="61.977499999999999"/>
    <n v="232.32250000000002"/>
    <n v="0.78940706761807677"/>
    <x v="0"/>
    <s v="LEVE"/>
    <x v="11"/>
    <x v="1"/>
    <n v="2"/>
    <n v="1"/>
    <d v="2018-02-13T00:00:00"/>
    <s v="KIA"/>
    <s v="CERATO"/>
    <n v="0"/>
    <d v="2018-02-14T00:00:00"/>
    <n v="0"/>
    <x v="772"/>
  </r>
  <r>
    <d v="2018-02-16T00:00:00"/>
    <s v="001-00011638"/>
    <n v="450"/>
    <n v="92.022201800000005"/>
    <n v="0"/>
    <n v="0"/>
    <n v="39.048749999999998"/>
    <n v="0"/>
    <n v="0"/>
    <n v="0"/>
    <n v="131.07095179999999"/>
    <n v="318.92904820000001"/>
    <n v="0.70873121822222229"/>
    <x v="0"/>
    <s v="MECANICA"/>
    <x v="11"/>
    <x v="1"/>
    <n v="0"/>
    <n v="1"/>
    <d v="2018-02-16T00:00:00"/>
    <s v="FIAT"/>
    <s v="PUNTO"/>
    <n v="0"/>
    <d v="2018-02-16T00:00:00"/>
    <n v="0"/>
    <x v="773"/>
  </r>
  <r>
    <d v="2018-02-17T00:00:00"/>
    <s v="001-00011647"/>
    <n v="42.372897999999985"/>
    <n v="0"/>
    <n v="0"/>
    <n v="0"/>
    <n v="0"/>
    <n v="0"/>
    <n v="0"/>
    <n v="0"/>
    <n v="0"/>
    <n v="42.372897999999985"/>
    <n v="1"/>
    <x v="0"/>
    <s v="MECANICA"/>
    <x v="11"/>
    <x v="1"/>
    <n v="0"/>
    <n v="1"/>
    <d v="2018-02-17T00:00:00"/>
    <s v="TOYOTA"/>
    <s v="COROLLA"/>
    <n v="0"/>
    <s v="F/Fecha"/>
    <n v="0"/>
    <x v="774"/>
  </r>
  <r>
    <d v="2018-02-17T00:00:00"/>
    <s v="001-00011643"/>
    <n v="399"/>
    <n v="91.163102199999997"/>
    <n v="0"/>
    <n v="0"/>
    <n v="39.048749999999998"/>
    <n v="0"/>
    <n v="0"/>
    <n v="0"/>
    <n v="130.21185220000001"/>
    <n v="268.78814779999999"/>
    <n v="0.67365450576441099"/>
    <x v="0"/>
    <s v="MECANICA"/>
    <x v="11"/>
    <x v="1"/>
    <n v="1"/>
    <n v="1"/>
    <d v="2018-02-16T00:00:00"/>
    <s v="CHEVROLET"/>
    <s v="SAIL"/>
    <n v="50.147500000000001"/>
    <d v="2018-02-17T00:00:00"/>
    <n v="0"/>
    <x v="315"/>
  </r>
  <r>
    <d v="2018-02-17T00:00:00"/>
    <s v="001-00011646"/>
    <n v="349"/>
    <n v="146.09910400000001"/>
    <n v="0"/>
    <n v="0"/>
    <n v="39.048749999999998"/>
    <n v="0"/>
    <n v="0"/>
    <n v="0"/>
    <n v="185.147854"/>
    <n v="163.852146"/>
    <n v="0.46949038968481377"/>
    <x v="0"/>
    <s v="MECANICA"/>
    <x v="11"/>
    <x v="1"/>
    <n v="0"/>
    <n v="1"/>
    <d v="2018-02-17T00:00:00"/>
    <s v="VOLKSWAGUEN"/>
    <s v="GOL"/>
    <n v="0"/>
    <d v="2018-02-17T00:00:00"/>
    <n v="0"/>
    <x v="775"/>
  </r>
  <r>
    <d v="2018-02-19T00:00:00"/>
    <s v="001-00010860"/>
    <n v="340.51500000000004"/>
    <n v="0"/>
    <n v="0"/>
    <n v="41.313559322033896"/>
    <n v="0"/>
    <n v="14.625"/>
    <n v="61.977499999999999"/>
    <n v="0"/>
    <n v="117.9160593220339"/>
    <n v="222.59894067796614"/>
    <n v="0.65371258440293711"/>
    <x v="0"/>
    <s v="LEVE"/>
    <x v="11"/>
    <x v="1"/>
    <n v="100"/>
    <n v="1"/>
    <d v="2017-11-11T00:00:00"/>
    <s v="CHEVROLET"/>
    <s v="SAIL"/>
    <n v="0"/>
    <d v="2017-11-11T00:00:00"/>
    <n v="1"/>
    <x v="721"/>
  </r>
  <r>
    <d v="2018-02-19T00:00:00"/>
    <s v="001-00011650"/>
    <n v="450"/>
    <n v="141.24059969999999"/>
    <n v="0"/>
    <n v="0"/>
    <n v="39.048749999999998"/>
    <n v="0"/>
    <n v="0"/>
    <n v="0"/>
    <n v="180.2893497"/>
    <n v="269.7106503"/>
    <n v="0.59935700066666664"/>
    <x v="0"/>
    <s v="MECANICA"/>
    <x v="11"/>
    <x v="1"/>
    <n v="0"/>
    <n v="1"/>
    <d v="2018-02-19T00:00:00"/>
    <s v="KIA"/>
    <s v="CERATO"/>
    <n v="0"/>
    <d v="2018-02-19T00:00:00"/>
    <n v="0"/>
    <x v="266"/>
  </r>
  <r>
    <d v="2018-02-19T00:00:00"/>
    <s v="001-00011651"/>
    <n v="810"/>
    <n v="256.36"/>
    <n v="0"/>
    <n v="76.28"/>
    <n v="39.048749999999998"/>
    <n v="0"/>
    <n v="0"/>
    <n v="0"/>
    <n v="371.68874999999997"/>
    <n v="438.31125000000003"/>
    <n v="0.54112500000000008"/>
    <x v="0"/>
    <s v="MECANICA"/>
    <x v="11"/>
    <x v="1"/>
    <n v="2"/>
    <n v="1"/>
    <d v="2018-02-17T00:00:00"/>
    <s v="CHEVROLET"/>
    <s v="SAIL"/>
    <n v="601.83500000000004"/>
    <d v="2018-02-19T00:00:00"/>
    <n v="0"/>
    <x v="315"/>
  </r>
  <r>
    <d v="2018-02-21T00:00:00"/>
    <s v="001-00011669"/>
    <n v="539.10169999999994"/>
    <n v="233.79200299999999"/>
    <n v="0"/>
    <n v="0"/>
    <n v="39.048749999999998"/>
    <n v="0"/>
    <n v="0"/>
    <n v="0"/>
    <n v="272.84075300000001"/>
    <n v="266.26094699999993"/>
    <n v="0.49389743530766078"/>
    <x v="0"/>
    <s v="MECANICA"/>
    <x v="11"/>
    <x v="1"/>
    <n v="0"/>
    <n v="1"/>
    <d v="2018-02-21T00:00:00"/>
    <s v="HYUNDAI"/>
    <s v="ACCENT"/>
    <n v="0"/>
    <d v="2018-02-21T00:00:00"/>
    <n v="0"/>
    <x v="195"/>
  </r>
  <r>
    <d v="2018-02-21T00:00:00"/>
    <s v="001-00011673"/>
    <n v="314.10169999999999"/>
    <n v="123.0776007"/>
    <n v="0"/>
    <n v="0"/>
    <n v="39.048749999999998"/>
    <n v="0"/>
    <n v="0"/>
    <n v="0"/>
    <n v="162.12635069999999"/>
    <n v="151.9753493"/>
    <n v="0.4838412186244137"/>
    <x v="0"/>
    <s v="MECANICA"/>
    <x v="11"/>
    <x v="1"/>
    <n v="0"/>
    <n v="1"/>
    <d v="2018-02-21T00:00:00"/>
    <s v="HYUNDAI"/>
    <s v="ACCENT"/>
    <n v="0"/>
    <d v="2018-02-21T00:00:00"/>
    <n v="0"/>
    <x v="776"/>
  </r>
  <r>
    <d v="2018-02-21T00:00:00"/>
    <s v="001-00011670"/>
    <n v="620.10169999999994"/>
    <n v="108.90200300000001"/>
    <n v="312.01560000000001"/>
    <n v="0"/>
    <n v="39.048749999999998"/>
    <n v="0"/>
    <n v="0"/>
    <n v="0"/>
    <n v="459.96635299999997"/>
    <n v="160.13534699999997"/>
    <n v="0.25824045797648998"/>
    <x v="0"/>
    <s v="MECANICA"/>
    <x v="11"/>
    <x v="1"/>
    <n v="0"/>
    <n v="1"/>
    <d v="2018-02-21T00:00:00"/>
    <s v="HYUNDAI"/>
    <s v="ACCENT"/>
    <n v="0"/>
    <d v="2018-02-21T00:00:00"/>
    <n v="0"/>
    <x v="777"/>
  </r>
  <r>
    <d v="2018-02-22T00:00:00"/>
    <s v="001-00011663"/>
    <n v="162.450005"/>
    <n v="0"/>
    <n v="0"/>
    <n v="18"/>
    <n v="0"/>
    <n v="117"/>
    <n v="185.9325"/>
    <n v="0"/>
    <n v="320.9325"/>
    <n v="-158.482495"/>
    <n v="-0.97557703984065747"/>
    <x v="1"/>
    <s v="LEVE"/>
    <x v="11"/>
    <x v="1"/>
    <n v="2"/>
    <n v="1"/>
    <d v="2018-02-20T00:00:00"/>
    <s v="NISSAN"/>
    <s v="VERSA"/>
    <n v="0"/>
    <s v="F/Fecha"/>
    <n v="0"/>
    <x v="778"/>
  </r>
  <r>
    <d v="2018-02-23T00:00:00"/>
    <s v="001-00011661"/>
    <n v="227.56999300000001"/>
    <n v="0"/>
    <n v="0"/>
    <n v="144.07"/>
    <n v="0"/>
    <n v="0"/>
    <n v="0"/>
    <n v="0"/>
    <n v="144.07"/>
    <n v="83.499993000000018"/>
    <n v="0.36692004907694492"/>
    <x v="0"/>
    <s v="MECANICA"/>
    <x v="11"/>
    <x v="1"/>
    <n v="4"/>
    <n v="1"/>
    <d v="2018-02-19T00:00:00"/>
    <s v="HYUNDAI"/>
    <s v="ELANTRA"/>
    <n v="0"/>
    <d v="2018-02-19T00:00:00"/>
    <n v="0"/>
    <x v="779"/>
  </r>
  <r>
    <d v="2018-02-23T00:00:00"/>
    <s v="001-00011680"/>
    <n v="249"/>
    <n v="50.329102000000006"/>
    <n v="0"/>
    <n v="0"/>
    <n v="39.048749999999998"/>
    <n v="0"/>
    <n v="0"/>
    <n v="0"/>
    <n v="89.377852000000004"/>
    <n v="159.62214799999998"/>
    <n v="0.6410528032128513"/>
    <x v="0"/>
    <s v="MECANICA"/>
    <x v="11"/>
    <x v="1"/>
    <n v="1"/>
    <n v="1"/>
    <d v="2018-02-22T00:00:00"/>
    <s v="SUZUKI"/>
    <s v="SWIFT"/>
    <n v="0"/>
    <d v="2018-02-22T00:00:00"/>
    <n v="0"/>
    <x v="341"/>
  </r>
  <r>
    <d v="2018-02-23T00:00:00"/>
    <s v="001-00011612"/>
    <n v="357.60998899999998"/>
    <n v="0"/>
    <n v="0"/>
    <n v="0"/>
    <n v="0"/>
    <n v="0"/>
    <n v="123.955"/>
    <n v="0"/>
    <n v="123.955"/>
    <n v="233.654989"/>
    <n v="0.65337936910928962"/>
    <x v="0"/>
    <s v="LEVE"/>
    <x v="11"/>
    <x v="1"/>
    <n v="10"/>
    <n v="1"/>
    <d v="2018-02-13T00:00:00"/>
    <s v="KIA"/>
    <s v="CERATO"/>
    <n v="0"/>
    <d v="2018-02-13T00:00:00"/>
    <n v="0"/>
    <x v="282"/>
  </r>
  <r>
    <d v="2018-02-24T00:00:00"/>
    <s v="001-00011685"/>
    <n v="16.949200000000001"/>
    <n v="0"/>
    <n v="0"/>
    <n v="0"/>
    <n v="0"/>
    <n v="0"/>
    <n v="0"/>
    <n v="0"/>
    <n v="0"/>
    <n v="16.949200000000001"/>
    <n v="1"/>
    <x v="0"/>
    <s v="MEDIANO"/>
    <x v="11"/>
    <x v="1"/>
    <n v="1"/>
    <n v="1"/>
    <d v="2018-02-23T00:00:00"/>
    <s v="KIA"/>
    <s v="RIO"/>
    <n v="0"/>
    <d v="2018-02-23T00:00:00"/>
    <n v="0"/>
    <x v="470"/>
  </r>
  <r>
    <d v="2018-02-24T00:00:00"/>
    <s v="001-00011668"/>
    <n v="132.24417718319989"/>
    <n v="0"/>
    <n v="82.615000000000009"/>
    <n v="0"/>
    <n v="0"/>
    <n v="0"/>
    <n v="0"/>
    <n v="0"/>
    <n v="82.615000000000009"/>
    <n v="49.629177183199886"/>
    <n v="0.37528440374692507"/>
    <x v="0"/>
    <s v="MEDIANO"/>
    <x v="11"/>
    <x v="1"/>
    <n v="4"/>
    <n v="1"/>
    <d v="2018-02-20T00:00:00"/>
    <s v="KIA"/>
    <s v="RIO"/>
    <n v="132.21"/>
    <d v="2018-02-20T00:00:00"/>
    <n v="0"/>
    <x v="780"/>
  </r>
  <r>
    <d v="2018-02-24T00:00:00"/>
    <s v="001-00011662"/>
    <n v="227.56999300000001"/>
    <n v="0"/>
    <n v="0"/>
    <n v="0"/>
    <n v="0"/>
    <n v="14.625"/>
    <n v="61.977499999999999"/>
    <n v="0"/>
    <n v="76.602499999999992"/>
    <n v="150.96749300000002"/>
    <n v="0.66338927645878165"/>
    <x v="0"/>
    <s v="LEVE"/>
    <x v="11"/>
    <x v="1"/>
    <n v="4"/>
    <n v="1"/>
    <d v="2018-02-20T00:00:00"/>
    <s v="MITSUBISHI"/>
    <s v="LANCER"/>
    <n v="0"/>
    <d v="2018-02-20T00:00:00"/>
    <n v="1"/>
    <x v="781"/>
  </r>
  <r>
    <d v="2018-02-24T00:00:00"/>
    <s v="001-00011677"/>
    <n v="536.41498349999995"/>
    <n v="0"/>
    <n v="0"/>
    <n v="0"/>
    <n v="0"/>
    <n v="29.25"/>
    <n v="123.955"/>
    <n v="0"/>
    <n v="153.20499999999998"/>
    <n v="383.20998349999996"/>
    <n v="0.71439090123775406"/>
    <x v="0"/>
    <s v="LEVE"/>
    <x v="11"/>
    <x v="1"/>
    <n v="3"/>
    <n v="1"/>
    <d v="2018-02-21T00:00:00"/>
    <s v="NISSAN"/>
    <s v="VERSA"/>
    <n v="0"/>
    <d v="2018-02-21T00:00:00"/>
    <n v="2"/>
    <x v="782"/>
  </r>
  <r>
    <d v="2018-02-24T00:00:00"/>
    <s v="001-00011689"/>
    <n v="350"/>
    <n v="127.12"/>
    <n v="0"/>
    <n v="50.85"/>
    <n v="39.048749999999998"/>
    <n v="0"/>
    <n v="0"/>
    <n v="0"/>
    <n v="217.01875000000001"/>
    <n v="132.98124999999999"/>
    <n v="0.37994642857142852"/>
    <x v="0"/>
    <s v="MECANICA"/>
    <x v="11"/>
    <x v="1"/>
    <n v="2"/>
    <n v="1"/>
    <d v="2018-02-22T00:00:00"/>
    <s v="MITSUBISHI"/>
    <s v="ASX"/>
    <n v="230.685"/>
    <d v="2018-02-24T00:00:00"/>
    <n v="0"/>
    <x v="783"/>
  </r>
  <r>
    <d v="2018-02-24T00:00:00"/>
    <s v="001-00011690"/>
    <n v="450.84749999999997"/>
    <n v="160.1771028"/>
    <n v="0"/>
    <n v="0"/>
    <n v="39.048749999999998"/>
    <n v="0"/>
    <n v="0"/>
    <n v="0"/>
    <n v="199.22585279999998"/>
    <n v="251.62164719999998"/>
    <n v="0.55810811238833535"/>
    <x v="0"/>
    <s v="MECANICA"/>
    <x v="11"/>
    <x v="1"/>
    <n v="2"/>
    <n v="1"/>
    <d v="2018-02-22T00:00:00"/>
    <s v="NISSAN"/>
    <s v="TIIDA"/>
    <n v="50.9925"/>
    <d v="2018-02-24T00:00:00"/>
    <n v="0"/>
    <x v="784"/>
  </r>
  <r>
    <d v="2018-02-24T00:00:00"/>
    <s v="001-00011681"/>
    <n v="322"/>
    <n v="0"/>
    <n v="0"/>
    <n v="25.423728813559322"/>
    <n v="0"/>
    <n v="14.625"/>
    <n v="61.977499999999999"/>
    <n v="0"/>
    <n v="102.02622881355933"/>
    <n v="219.97377118644067"/>
    <n v="0.68314835772186544"/>
    <x v="0"/>
    <s v="LEVE"/>
    <x v="11"/>
    <x v="1"/>
    <n v="2"/>
    <n v="1"/>
    <d v="2018-02-22T00:00:00"/>
    <s v="RENAULT"/>
    <s v="DUSTER"/>
    <n v="0"/>
    <d v="2018-02-22T00:00:00"/>
    <n v="1"/>
    <x v="785"/>
  </r>
  <r>
    <d v="2018-02-26T00:00:00"/>
    <s v="001-00011696"/>
    <n v="405"/>
    <n v="95.629776199999995"/>
    <n v="0"/>
    <n v="0"/>
    <n v="39.048749999999998"/>
    <n v="0"/>
    <n v="0"/>
    <n v="0"/>
    <n v="134.67852619999999"/>
    <n v="270.32147380000004"/>
    <n v="0.6674604291358025"/>
    <x v="0"/>
    <s v="MECANICA"/>
    <x v="11"/>
    <x v="1"/>
    <n v="2"/>
    <n v="1"/>
    <d v="2018-02-24T00:00:00"/>
    <s v="KIA"/>
    <s v="SPORTAGE"/>
    <n v="0"/>
    <d v="2018-02-26T00:00:00"/>
    <n v="0"/>
    <x v="223"/>
  </r>
  <r>
    <d v="2018-02-27T00:00:00"/>
    <s v="001-00011703"/>
    <n v="249"/>
    <n v="49.827601700000002"/>
    <n v="0"/>
    <n v="0"/>
    <n v="39.048749999999998"/>
    <n v="0"/>
    <n v="0"/>
    <n v="0"/>
    <n v="88.876351700000001"/>
    <n v="160.12364830000001"/>
    <n v="0.64306686064257035"/>
    <x v="0"/>
    <s v="MECANICA"/>
    <x v="11"/>
    <x v="1"/>
    <n v="1"/>
    <n v="1"/>
    <d v="2018-02-26T00:00:00"/>
    <s v="KIA"/>
    <s v="RIO"/>
    <n v="0"/>
    <d v="2018-02-26T00:00:00"/>
    <n v="0"/>
    <x v="167"/>
  </r>
  <r>
    <d v="2018-02-27T00:00:00"/>
    <s v="001-00011717"/>
    <n v="614.70339999999999"/>
    <n v="112.74525349999999"/>
    <n v="0"/>
    <n v="0"/>
    <n v="39.048749999999998"/>
    <n v="0"/>
    <n v="0"/>
    <n v="0"/>
    <n v="151.79400349999997"/>
    <n v="462.90939650000001"/>
    <n v="0.75306138944407985"/>
    <x v="0"/>
    <s v="MECANICA"/>
    <x v="11"/>
    <x v="1"/>
    <n v="0"/>
    <n v="1"/>
    <d v="2018-02-27T00:00:00"/>
    <s v="BAIC"/>
    <s v="KEMBO"/>
    <n v="0"/>
    <d v="2018-02-27T00:00:00"/>
    <n v="0"/>
    <x v="786"/>
  </r>
  <r>
    <d v="2018-02-28T00:00:00"/>
    <s v="001-00011698"/>
    <n v="234.11016524999999"/>
    <n v="0"/>
    <n v="0"/>
    <n v="0"/>
    <n v="0"/>
    <n v="0"/>
    <n v="0"/>
    <n v="0"/>
    <n v="0"/>
    <n v="234.11016524999999"/>
    <n v="1"/>
    <x v="0"/>
    <s v="MECANICA"/>
    <x v="11"/>
    <x v="1"/>
    <n v="2"/>
    <n v="1"/>
    <d v="2018-02-26T00:00:00"/>
    <s v="SUZUKI"/>
    <s v="GRAND V."/>
    <n v="0"/>
    <d v="2018-02-26T00:00:00"/>
    <n v="0"/>
    <x v="787"/>
  </r>
  <r>
    <d v="2018-02-28T00:00:00"/>
    <s v="001-00011697"/>
    <n v="450"/>
    <n v="76.975252499999996"/>
    <n v="0"/>
    <n v="0"/>
    <n v="39.048749999999998"/>
    <n v="0"/>
    <n v="0"/>
    <n v="0"/>
    <n v="116.02400249999999"/>
    <n v="333.97599750000001"/>
    <n v="0.74216888333333331"/>
    <x v="0"/>
    <s v="MECANICA"/>
    <x v="11"/>
    <x v="1"/>
    <n v="2"/>
    <n v="1"/>
    <d v="2018-02-26T00:00:00"/>
    <s v="SUZUKI"/>
    <s v="GRAND V."/>
    <n v="0"/>
    <d v="2018-02-26T00:00:00"/>
    <n v="0"/>
    <x v="787"/>
  </r>
  <r>
    <d v="2018-02-28T00:00:00"/>
    <s v="001-00011726"/>
    <n v="30"/>
    <n v="0"/>
    <n v="0"/>
    <n v="0"/>
    <n v="29.25"/>
    <n v="0"/>
    <n v="0"/>
    <n v="0"/>
    <n v="29.25"/>
    <n v="0.75"/>
    <n v="2.5000000000000001E-2"/>
    <x v="0"/>
    <s v="MECANICA"/>
    <x v="11"/>
    <x v="1"/>
    <n v="2"/>
    <n v="1"/>
    <d v="2018-02-26T00:00:00"/>
    <s v="KIA"/>
    <s v="CARENS"/>
    <n v="0"/>
    <d v="2018-02-28T00:00:00"/>
    <n v="0"/>
    <x v="788"/>
  </r>
  <r>
    <d v="2018-02-28T00:00:00"/>
    <s v="001-00011730"/>
    <n v="280"/>
    <n v="0"/>
    <n v="0"/>
    <n v="0"/>
    <n v="58.5"/>
    <n v="0"/>
    <n v="0"/>
    <n v="0"/>
    <n v="58.5"/>
    <n v="221.5"/>
    <n v="0.79107142857142854"/>
    <x v="0"/>
    <s v="MECANICA"/>
    <x v="11"/>
    <x v="1"/>
    <n v="0"/>
    <n v="1"/>
    <d v="2018-02-28T00:00:00"/>
    <s v="HYUNDAI"/>
    <s v="I10"/>
    <n v="0"/>
    <d v="2018-02-28T00:00:00"/>
    <n v="0"/>
    <x v="645"/>
  </r>
  <r>
    <d v="2018-02-28T00:00:00"/>
    <s v="001-00011691"/>
    <n v="812.5"/>
    <n v="0"/>
    <n v="0"/>
    <n v="0"/>
    <n v="0"/>
    <n v="36.5625"/>
    <n v="142.54825"/>
    <n v="0"/>
    <n v="179.11075"/>
    <n v="633.38924999999995"/>
    <n v="0.77955599999999992"/>
    <x v="0"/>
    <s v="LEVE"/>
    <x v="11"/>
    <x v="1"/>
    <n v="4"/>
    <n v="1"/>
    <d v="2018-02-24T00:00:00"/>
    <s v="TOYOTA"/>
    <s v="LAND C."/>
    <n v="0"/>
    <d v="2018-02-24T00:00:00"/>
    <n v="2.5"/>
    <x v="789"/>
  </r>
  <r>
    <d v="2018-02-28T00:00:00"/>
    <s v="001-00011705"/>
    <n v="1067.625"/>
    <n v="0"/>
    <n v="0"/>
    <n v="34.427966101694921"/>
    <n v="0"/>
    <n v="117"/>
    <n v="247.91"/>
    <n v="0"/>
    <n v="399.33796610169492"/>
    <n v="668.28703389830503"/>
    <n v="0.62595671129685515"/>
    <x v="0"/>
    <s v="LEVE"/>
    <x v="11"/>
    <x v="1"/>
    <n v="2"/>
    <n v="1"/>
    <d v="2018-02-26T00:00:00"/>
    <s v="VOLKSWAGUEN"/>
    <s v="GOL"/>
    <n v="0"/>
    <d v="2018-02-26T00:00:00"/>
    <n v="8"/>
    <x v="790"/>
  </r>
  <r>
    <d v="2018-02-28T00:00:00"/>
    <s v="001-00011702"/>
    <n v="891"/>
    <n v="394.98220500000002"/>
    <n v="0"/>
    <n v="0"/>
    <n v="39.048749999999998"/>
    <n v="0"/>
    <n v="0"/>
    <n v="0"/>
    <n v="434.03095500000001"/>
    <n v="456.96904499999999"/>
    <n v="0.5128721043771044"/>
    <x v="0"/>
    <s v="MECANICA"/>
    <x v="11"/>
    <x v="1"/>
    <n v="2"/>
    <n v="1"/>
    <d v="2018-02-26T00:00:00"/>
    <s v="VOLKSWAGUEN"/>
    <s v="GOL"/>
    <n v="0"/>
    <d v="2018-02-26T00:00:00"/>
    <n v="0"/>
    <x v="790"/>
  </r>
  <r>
    <d v="2018-02-28T00:00:00"/>
    <s v="001-00011695"/>
    <n v="1950"/>
    <n v="0"/>
    <n v="0"/>
    <n v="460.91220338983055"/>
    <n v="0"/>
    <n v="102.375"/>
    <n v="247.91"/>
    <n v="0"/>
    <n v="811.19720338983052"/>
    <n v="1138.8027966101695"/>
    <n v="0.58400143415906125"/>
    <x v="0"/>
    <s v="LEVE"/>
    <x v="11"/>
    <x v="1"/>
    <n v="4"/>
    <n v="1"/>
    <d v="2018-02-24T00:00:00"/>
    <s v="KIA"/>
    <s v="RIO"/>
    <n v="585"/>
    <d v="2018-02-26T00:00:00"/>
    <n v="7"/>
    <x v="791"/>
  </r>
  <r>
    <d v="2017-03-04T00:00:00"/>
    <s v="001-00008990"/>
    <n v="444.77529570000002"/>
    <n v="0"/>
    <n v="0"/>
    <n v="0"/>
    <n v="0"/>
    <n v="0"/>
    <n v="0"/>
    <n v="0"/>
    <n v="0"/>
    <n v="444.77529570000002"/>
    <n v="1"/>
    <x v="1"/>
    <s v="LEVE"/>
    <x v="7"/>
    <x v="0"/>
    <n v="15"/>
    <n v="1"/>
    <d v="2017-02-17T00:00:00"/>
    <s v="MAZDA"/>
    <s v="MAZDA 3"/>
    <n v="0"/>
    <s v="F/Fecha"/>
    <n v="0"/>
    <x v="19"/>
  </r>
  <r>
    <d v="2018-01-15T00:00:00"/>
    <s v="001-00009982"/>
    <n v="2211.2403809999996"/>
    <n v="0"/>
    <n v="0"/>
    <n v="55.084745762711869"/>
    <n v="121.3875"/>
    <n v="687.375"/>
    <n v="480.32562499999995"/>
    <n v="0"/>
    <n v="1344.1728707627117"/>
    <n v="867.06751023728793"/>
    <n v="0.39211816032645441"/>
    <x v="1"/>
    <s v="GRAVE"/>
    <x v="10"/>
    <x v="1"/>
    <n v="177"/>
    <n v="1"/>
    <d v="2017-07-22T00:00:00"/>
    <s v="CHEVROLET"/>
    <s v="SAIL"/>
    <n v="9636.51"/>
    <d v="2017-07-25T00:00:00"/>
    <n v="47"/>
    <x v="720"/>
  </r>
  <r>
    <d v="2018-01-15T00:00:00"/>
    <s v="001-00010292"/>
    <n v="1837.3246335599999"/>
    <n v="2.8551997899999999"/>
    <n v="0"/>
    <n v="78.81"/>
    <n v="73.125"/>
    <n v="292.5"/>
    <n v="495.82"/>
    <n v="97.5"/>
    <n v="1040.61019979"/>
    <n v="796.71443376999991"/>
    <n v="0.43362747073514502"/>
    <x v="1"/>
    <s v="MEDIANO"/>
    <x v="10"/>
    <x v="1"/>
    <n v="133"/>
    <n v="1"/>
    <d v="2017-09-04T00:00:00"/>
    <s v="CHEVROLET"/>
    <s v="SAIL"/>
    <n v="6685.6075000000001"/>
    <d v="2017-09-06T00:00:00"/>
    <n v="20"/>
    <x v="721"/>
  </r>
  <r>
    <d v="2018-02-06T00:00:00"/>
    <s v="001-00010340"/>
    <n v="120.93749625"/>
    <n v="0.95479999999999987"/>
    <n v="0"/>
    <n v="144.07"/>
    <n v="153.5625"/>
    <n v="658.125"/>
    <n v="511.31437500000004"/>
    <n v="113.75"/>
    <n v="1581.7766750000001"/>
    <n v="-1460.83917875"/>
    <n v="-12.079290741476715"/>
    <x v="1"/>
    <s v="GRAVE"/>
    <x v="11"/>
    <x v="1"/>
    <n v="151"/>
    <n v="1"/>
    <d v="2017-09-08T00:00:00"/>
    <s v="MITSUBISHI"/>
    <s v="MIRAGE"/>
    <n v="7220.33"/>
    <d v="2017-10-11T00:00:00"/>
    <n v="45"/>
    <x v="1"/>
  </r>
  <r>
    <d v="2018-01-18T00:00:00"/>
    <s v="001-00011379"/>
    <n v="674.9561852999999"/>
    <n v="0"/>
    <n v="0"/>
    <n v="101.7"/>
    <n v="16.087500000000002"/>
    <n v="58.5"/>
    <n v="123.955"/>
    <n v="0"/>
    <n v="300.24250000000001"/>
    <n v="374.7136852999999"/>
    <n v="0.55516742191709778"/>
    <x v="1"/>
    <s v="LEVE"/>
    <x v="10"/>
    <x v="1"/>
    <n v="3"/>
    <n v="1"/>
    <d v="2018-01-15T00:00:00"/>
    <s v="HYUNDAI"/>
    <s v="I10"/>
    <n v="1917.7275000000002"/>
    <d v="2018-01-15T00:00:00"/>
    <n v="4"/>
    <x v="724"/>
  </r>
  <r>
    <d v="2018-01-27T00:00:00"/>
    <s v="001-00011415"/>
    <n v="138.55937645999995"/>
    <n v="0"/>
    <n v="0"/>
    <n v="0"/>
    <n v="0"/>
    <n v="43.875"/>
    <n v="123.955"/>
    <n v="0"/>
    <n v="167.82999999999998"/>
    <n v="-29.270623540000031"/>
    <n v="-0.21124967712632589"/>
    <x v="1"/>
    <s v="LEVE"/>
    <x v="10"/>
    <x v="1"/>
    <n v="9"/>
    <n v="1"/>
    <d v="2018-01-18T00:00:00"/>
    <s v="KIA"/>
    <s v="CERATO"/>
    <n v="3634.6374999999998"/>
    <d v="2018-01-18T00:00:00"/>
    <n v="3"/>
    <x v="1"/>
  </r>
  <r>
    <d v="2018-01-25T00:00:00"/>
    <s v="001-00011457"/>
    <n v="579.55003048474987"/>
    <n v="0"/>
    <n v="0"/>
    <n v="0"/>
    <n v="0"/>
    <n v="51.1875"/>
    <n v="139.449375"/>
    <n v="0"/>
    <n v="190.636875"/>
    <n v="388.91315548474984"/>
    <n v="0.67106053839640611"/>
    <x v="1"/>
    <s v="LEVE"/>
    <x v="10"/>
    <x v="1"/>
    <n v="2"/>
    <n v="1"/>
    <d v="2018-01-23T00:00:00"/>
    <s v="DAIHATSU"/>
    <s v="TERIOS"/>
    <n v="714.80499999999995"/>
    <d v="2018-01-24T00:00:00"/>
    <n v="3.5"/>
    <x v="734"/>
  </r>
  <r>
    <d v="2018-03-12T00:00:00"/>
    <s v="001-00009982"/>
    <n v="421.12024739999993"/>
    <n v="0"/>
    <n v="0"/>
    <n v="55.084745762711869"/>
    <n v="121.3875"/>
    <n v="687.375"/>
    <n v="480.32562499999995"/>
    <n v="0"/>
    <n v="1344.1728707627117"/>
    <n v="-923.05262336271176"/>
    <n v="-2.1918979889037553"/>
    <x v="1"/>
    <s v="GRAVE"/>
    <x v="7"/>
    <x v="1"/>
    <n v="233"/>
    <n v="1"/>
    <d v="2017-07-22T00:00:00"/>
    <s v="CHEVROLET"/>
    <s v="SAIL"/>
    <n v="9636.51"/>
    <d v="2017-07-25T00:00:00"/>
    <n v="47"/>
    <x v="720"/>
  </r>
  <r>
    <d v="2018-03-03T00:00:00"/>
    <s v="001-00010205"/>
    <n v="2118.6439999999998"/>
    <n v="3570.8300999999992"/>
    <n v="0"/>
    <n v="0"/>
    <n v="0"/>
    <n v="0"/>
    <n v="0"/>
    <n v="0"/>
    <n v="3570.8300999999992"/>
    <n v="-1452.1860999999994"/>
    <n v="-0.68543186113381938"/>
    <x v="0"/>
    <s v="MECANICA"/>
    <x v="7"/>
    <x v="1"/>
    <n v="195"/>
    <n v="1"/>
    <d v="2017-08-20T00:00:00"/>
    <s v="MAZDA"/>
    <s v="MAZDA 3"/>
    <n v="3801.6875"/>
    <d v="2017-11-24T00:00:00"/>
    <n v="0"/>
    <x v="89"/>
  </r>
  <r>
    <d v="2018-03-02T00:00:00"/>
    <s v="001-00010357"/>
    <n v="3506.6101073999998"/>
    <n v="14.272400000000001"/>
    <n v="40"/>
    <n v="84.75"/>
    <n v="43.875"/>
    <n v="409.5"/>
    <n v="371.86500000000001"/>
    <n v="0"/>
    <n v="964.26240000000007"/>
    <n v="2542.3477073999998"/>
    <n v="0.7250157928977855"/>
    <x v="1"/>
    <s v="MEDIANO"/>
    <x v="7"/>
    <x v="1"/>
    <n v="172"/>
    <n v="1"/>
    <d v="2017-09-11T00:00:00"/>
    <s v="SUBARU"/>
    <s v="IMPRESA"/>
    <n v="1651"/>
    <d v="2017-10-27T00:00:00"/>
    <n v="28"/>
    <x v="1"/>
  </r>
  <r>
    <d v="2018-03-09T00:00:00"/>
    <s v="001-00011230"/>
    <n v="3924.8683022776295"/>
    <n v="11.1023"/>
    <n v="0"/>
    <n v="177.43677966101694"/>
    <n v="102.375"/>
    <n v="343.6875"/>
    <n v="480.32562499999995"/>
    <n v="0"/>
    <n v="1114.927204661017"/>
    <n v="2809.9410976166128"/>
    <n v="0.71593258198905263"/>
    <x v="1"/>
    <s v="MEDIANO"/>
    <x v="7"/>
    <x v="1"/>
    <n v="72"/>
    <n v="1"/>
    <d v="2017-12-27T00:00:00"/>
    <s v="TOYOTA"/>
    <s v="YARIS"/>
    <n v="8647.5349999999999"/>
    <d v="2017-12-28T00:00:00"/>
    <n v="23.5"/>
    <x v="1"/>
  </r>
  <r>
    <d v="2018-03-05T00:00:00"/>
    <s v="001-00011241"/>
    <n v="1793.91399784492"/>
    <n v="0.84739999999999993"/>
    <n v="0"/>
    <n v="55.084745762711869"/>
    <n v="0"/>
    <n v="234"/>
    <n v="216.92125000000001"/>
    <n v="0"/>
    <n v="506.8533957627119"/>
    <n v="1287.0606020822081"/>
    <n v="0.7174594788983143"/>
    <x v="1"/>
    <s v="MEDIANO"/>
    <x v="7"/>
    <x v="1"/>
    <n v="67"/>
    <n v="1"/>
    <d v="2017-12-28T00:00:00"/>
    <s v="NISSAN"/>
    <s v="VERSA"/>
    <n v="5410.5675000000001"/>
    <d v="2017-12-29T00:00:00"/>
    <n v="16"/>
    <x v="1"/>
  </r>
  <r>
    <d v="2018-03-29T00:00:00"/>
    <s v="001-00011458"/>
    <n v="3784.2786218066085"/>
    <n v="74.150000000000006"/>
    <n v="0"/>
    <n v="20"/>
    <n v="45.337500000000006"/>
    <n v="614.25"/>
    <n v="573.291875"/>
    <n v="0"/>
    <n v="1327.0293750000001"/>
    <n v="2457.2492468066084"/>
    <n v="0.64933095376405492"/>
    <x v="1"/>
    <s v="GRAVE"/>
    <x v="7"/>
    <x v="1"/>
    <n v="65"/>
    <n v="1"/>
    <d v="2018-01-23T00:00:00"/>
    <s v="CHEVROLET"/>
    <s v="N300"/>
    <n v="2937.3175000000001"/>
    <d v="2018-02-05T00:00:00"/>
    <n v="42"/>
    <x v="1"/>
  </r>
  <r>
    <d v="2018-03-23T00:00:00"/>
    <s v="001-00011464"/>
    <n v="2209.1702241300004"/>
    <n v="1.393"/>
    <n v="0"/>
    <n v="0"/>
    <n v="0"/>
    <n v="292.5"/>
    <n v="266.50325000000004"/>
    <n v="0"/>
    <n v="560.39625000000001"/>
    <n v="1648.7739741300004"/>
    <n v="0.74633179287001694"/>
    <x v="1"/>
    <s v="MEDIANO"/>
    <x v="7"/>
    <x v="1"/>
    <n v="58"/>
    <n v="1"/>
    <d v="2018-01-24T00:00:00"/>
    <s v="HYUNDAI"/>
    <s v="ACCENT"/>
    <n v="3114.7350000000001"/>
    <d v="2018-01-29T00:00:00"/>
    <n v="20"/>
    <x v="1"/>
  </r>
  <r>
    <d v="2018-03-03T00:00:00"/>
    <s v="001-00011497"/>
    <n v="1996.1375612500001"/>
    <n v="0"/>
    <n v="0"/>
    <n v="18"/>
    <n v="7.3125"/>
    <n v="248.625"/>
    <n v="309.88749999999999"/>
    <n v="0"/>
    <n v="583.82500000000005"/>
    <n v="1412.31256125"/>
    <n v="0.70752266209829584"/>
    <x v="1"/>
    <s v="MEDIANO"/>
    <x v="7"/>
    <x v="1"/>
    <n v="32"/>
    <n v="1"/>
    <d v="2018-01-30T00:00:00"/>
    <s v="TOYOTA"/>
    <s v="COROLLA"/>
    <n v="828.42500000000007"/>
    <d v="2018-01-27T00:00:00"/>
    <n v="17"/>
    <x v="1"/>
  </r>
  <r>
    <d v="2018-03-02T00:00:00"/>
    <s v="001-00011498"/>
    <n v="1553.4207354279688"/>
    <n v="0"/>
    <n v="0"/>
    <n v="34.427966101694913"/>
    <n v="0"/>
    <n v="117"/>
    <n v="278.89875000000001"/>
    <n v="0"/>
    <n v="430.32671610169496"/>
    <n v="1123.0940193262738"/>
    <n v="0.72298122054928049"/>
    <x v="1"/>
    <s v="MEDIANO"/>
    <x v="7"/>
    <x v="1"/>
    <n v="31"/>
    <n v="1"/>
    <d v="2018-01-30T00:00:00"/>
    <s v="CHEVROLET"/>
    <s v="CRUZE"/>
    <n v="1483.2349999999999"/>
    <d v="2018-01-31T00:00:00"/>
    <n v="8"/>
    <x v="1"/>
  </r>
  <r>
    <d v="2018-03-09T00:00:00"/>
    <s v="001-00011508"/>
    <n v="8085"/>
    <n v="3814.7696926000003"/>
    <n v="0"/>
    <n v="16.95"/>
    <n v="214.54875000000001"/>
    <n v="0"/>
    <n v="0"/>
    <n v="0"/>
    <n v="4046.2684426000001"/>
    <n v="4038.7315573999999"/>
    <n v="0.49953389701917128"/>
    <x v="0"/>
    <s v="MECANICA"/>
    <x v="7"/>
    <x v="1"/>
    <n v="37"/>
    <n v="1"/>
    <d v="2018-01-31T00:00:00"/>
    <s v="HYUNDAI"/>
    <s v="ELANTRA"/>
    <n v="5051.54"/>
    <d v="2018-01-31T00:00:00"/>
    <n v="0"/>
    <x v="28"/>
  </r>
  <r>
    <d v="2018-03-06T00:00:00"/>
    <s v="001-00011509"/>
    <n v="638.87297500000022"/>
    <n v="0"/>
    <n v="0"/>
    <n v="31.771186440677965"/>
    <n v="0"/>
    <n v="51.1875"/>
    <n v="123.33522500000001"/>
    <n v="0"/>
    <n v="206.29391144067796"/>
    <n v="432.57906355932226"/>
    <n v="0.67709713900376223"/>
    <x v="1"/>
    <s v="LEVE"/>
    <x v="7"/>
    <x v="1"/>
    <n v="34"/>
    <n v="1"/>
    <d v="2018-01-31T00:00:00"/>
    <s v="NISSAN"/>
    <s v="VERSA"/>
    <n v="3019.2175000000002"/>
    <d v="2018-01-31T00:00:00"/>
    <n v="3.5"/>
    <x v="458"/>
  </r>
  <r>
    <d v="2018-03-29T00:00:00"/>
    <s v="001-00011546"/>
    <n v="5451.4279059171213"/>
    <n v="1.393"/>
    <n v="0"/>
    <n v="262.96474576271186"/>
    <n v="99.449999999999989"/>
    <n v="731.25"/>
    <n v="486.52337499999999"/>
    <n v="0"/>
    <n v="1581.5811207627119"/>
    <n v="3869.8467851544092"/>
    <n v="0.70987764159074307"/>
    <x v="1"/>
    <s v="GRAVE"/>
    <x v="7"/>
    <x v="1"/>
    <n v="52"/>
    <n v="1"/>
    <d v="2018-02-05T00:00:00"/>
    <s v="HYUNDAI"/>
    <s v="ACCENT"/>
    <n v="9891.2124999999996"/>
    <d v="2018-02-08T00:00:00"/>
    <n v="50"/>
    <x v="1"/>
  </r>
  <r>
    <d v="2018-03-08T00:00:00"/>
    <s v="001-00011555"/>
    <n v="332.214"/>
    <n v="0"/>
    <n v="0"/>
    <n v="0"/>
    <n v="0"/>
    <n v="21.9375"/>
    <n v="61.977499999999999"/>
    <n v="0"/>
    <n v="83.914999999999992"/>
    <n v="248.29900000000001"/>
    <n v="0.74740679200756144"/>
    <x v="2"/>
    <s v="LEVE"/>
    <x v="7"/>
    <x v="1"/>
    <n v="30"/>
    <n v="1"/>
    <d v="2018-02-06T00:00:00"/>
    <s v="FORD"/>
    <s v="ESCAPE"/>
    <n v="1467.2124999999999"/>
    <d v="2018-02-08T00:00:00"/>
    <n v="1.5"/>
    <x v="2"/>
  </r>
  <r>
    <d v="2018-03-02T00:00:00"/>
    <s v="001-00011562"/>
    <n v="886.69661400762891"/>
    <n v="0"/>
    <n v="0"/>
    <n v="72.03"/>
    <n v="0"/>
    <n v="58.5"/>
    <n v="139.449375"/>
    <n v="0"/>
    <n v="269.979375"/>
    <n v="616.7172390076289"/>
    <n v="0.69552226687799534"/>
    <x v="1"/>
    <s v="LEVE"/>
    <x v="7"/>
    <x v="1"/>
    <n v="22"/>
    <n v="1"/>
    <d v="2018-02-08T00:00:00"/>
    <s v="SUZUKI"/>
    <s v="ERTIGA"/>
    <n v="1887.7950000000001"/>
    <d v="2018-02-08T00:00:00"/>
    <n v="4"/>
    <x v="1"/>
  </r>
  <r>
    <d v="2018-03-01T00:00:00"/>
    <s v="001-00011576"/>
    <n v="2531.6413687561007"/>
    <n v="0"/>
    <n v="0"/>
    <n v="122.88"/>
    <n v="30.712500000000002"/>
    <n v="219.375"/>
    <n v="364.42770000000002"/>
    <n v="0"/>
    <n v="737.39519999999993"/>
    <n v="1794.2461687561008"/>
    <n v="0.70872841268101394"/>
    <x v="1"/>
    <s v="MEDIANO"/>
    <x v="7"/>
    <x v="1"/>
    <n v="21"/>
    <n v="1"/>
    <d v="2018-02-08T00:00:00"/>
    <s v="KIA"/>
    <s v="RIO"/>
    <n v="5996.2174999999997"/>
    <d v="2018-02-09T00:00:00"/>
    <n v="15"/>
    <x v="1"/>
  </r>
  <r>
    <d v="2018-03-08T00:00:00"/>
    <s v="001-00011590"/>
    <n v="819.96342939999977"/>
    <n v="1.0156000299999999"/>
    <n v="16.95"/>
    <n v="13.771186440677967"/>
    <n v="0"/>
    <n v="73.125"/>
    <n v="154.94374999999999"/>
    <n v="0"/>
    <n v="259.80553647067796"/>
    <n v="560.15789292932186"/>
    <n v="0.68314984893803365"/>
    <x v="1"/>
    <s v="LEVE"/>
    <x v="7"/>
    <x v="1"/>
    <n v="27"/>
    <n v="1"/>
    <d v="2018-02-09T00:00:00"/>
    <s v="HYUNDAI"/>
    <s v="ELANTRA"/>
    <n v="2491.3200000000002"/>
    <d v="2018-02-10T00:00:00"/>
    <n v="5"/>
    <x v="792"/>
  </r>
  <r>
    <d v="2018-03-01T00:00:00"/>
    <s v="001-00011604"/>
    <n v="1805.7095940371189"/>
    <n v="11.44"/>
    <n v="10.17"/>
    <n v="104.75"/>
    <n v="8.7749999999999986"/>
    <n v="146.25"/>
    <n v="265.88347499999998"/>
    <n v="0"/>
    <n v="547.26847499999997"/>
    <n v="1258.4411190371188"/>
    <n v="0.69692331656917017"/>
    <x v="1"/>
    <s v="MEDIANO"/>
    <x v="7"/>
    <x v="1"/>
    <n v="17"/>
    <n v="1"/>
    <d v="2018-02-12T00:00:00"/>
    <s v="HYUNDAI"/>
    <s v="ACCENT"/>
    <n v="4449.0875000000005"/>
    <d v="2018-02-13T00:00:00"/>
    <n v="10"/>
    <x v="1"/>
  </r>
  <r>
    <d v="2018-03-09T00:00:00"/>
    <s v="001-00011605"/>
    <n v="170.94"/>
    <n v="0"/>
    <n v="59.32"/>
    <n v="18"/>
    <n v="21.9375"/>
    <n v="0"/>
    <n v="0"/>
    <n v="0"/>
    <n v="99.257499999999993"/>
    <n v="71.682500000000005"/>
    <n v="0.41934304434304437"/>
    <x v="1"/>
    <s v="LEVE"/>
    <x v="7"/>
    <x v="1"/>
    <n v="25"/>
    <n v="1"/>
    <d v="2018-02-12T00:00:00"/>
    <s v="DAEWOO"/>
    <s v="MATIZ"/>
    <n v="942.5"/>
    <d v="2018-02-21T00:00:00"/>
    <n v="0"/>
    <x v="1"/>
  </r>
  <r>
    <d v="2018-03-05T00:00:00"/>
    <s v="001-00011609"/>
    <n v="3097.5690823566092"/>
    <n v="0"/>
    <n v="0"/>
    <n v="55.084745762711869"/>
    <n v="16.087500000000002"/>
    <n v="365.625"/>
    <n v="387.359375"/>
    <n v="0"/>
    <n v="824.1566207627119"/>
    <n v="2273.4124615938972"/>
    <n v="0.73393438569069802"/>
    <x v="1"/>
    <s v="MEDIANO"/>
    <x v="7"/>
    <x v="1"/>
    <n v="21"/>
    <n v="1"/>
    <d v="2018-02-12T00:00:00"/>
    <s v="HYUNDAI"/>
    <s v="I10"/>
    <n v="12647.0825"/>
    <d v="2018-02-13T00:00:00"/>
    <n v="25"/>
    <x v="1"/>
  </r>
  <r>
    <d v="2018-03-01T00:00:00"/>
    <s v="001-00011623"/>
    <n v="2264.7644305500003"/>
    <n v="0"/>
    <n v="10.17"/>
    <n v="20"/>
    <n v="19.012500000000003"/>
    <n v="204.75"/>
    <n v="371.86500000000001"/>
    <n v="0"/>
    <n v="625.79750000000001"/>
    <n v="1638.9669305500001"/>
    <n v="0.72368097469279635"/>
    <x v="1"/>
    <s v="MEDIANO"/>
    <x v="7"/>
    <x v="1"/>
    <n v="15"/>
    <n v="1"/>
    <d v="2018-02-14T00:00:00"/>
    <s v="SUZUKI"/>
    <s v="CIAZ"/>
    <n v="4304.04"/>
    <d v="2018-02-15T00:00:00"/>
    <n v="14"/>
    <x v="1"/>
  </r>
  <r>
    <d v="2018-03-09T00:00:00"/>
    <s v="001-00011637"/>
    <n v="4244.2236108799998"/>
    <n v="3.9003999999999999"/>
    <n v="0"/>
    <n v="55.084745762711869"/>
    <n v="29.25"/>
    <n v="585"/>
    <n v="557.79750000000001"/>
    <n v="0"/>
    <n v="1231.032645762712"/>
    <n v="3013.1909651172878"/>
    <n v="0.70995103966553996"/>
    <x v="1"/>
    <s v="GRAVE"/>
    <x v="7"/>
    <x v="1"/>
    <n v="21"/>
    <n v="1"/>
    <d v="2018-02-16T00:00:00"/>
    <s v="TOYOTA"/>
    <s v="YARIS"/>
    <n v="10128.137499999999"/>
    <d v="2018-02-19T00:00:00"/>
    <n v="40"/>
    <x v="1"/>
  </r>
  <r>
    <d v="2018-03-28T00:00:00"/>
    <s v="001-00011639"/>
    <n v="1778.38594087"/>
    <n v="3.5129998999999996"/>
    <n v="0"/>
    <n v="50.85"/>
    <n v="40.949999999999996"/>
    <n v="175.5"/>
    <n v="285.09649999999999"/>
    <n v="0"/>
    <n v="555.90949990000001"/>
    <n v="1222.4764409700001"/>
    <n v="0.68740784150146583"/>
    <x v="1"/>
    <s v="MEDIANO"/>
    <x v="7"/>
    <x v="1"/>
    <n v="40"/>
    <n v="1"/>
    <d v="2018-02-16T00:00:00"/>
    <s v="RENAULT"/>
    <s v="DUSTER"/>
    <n v="8775"/>
    <d v="2018-02-26T00:00:00"/>
    <n v="12"/>
    <x v="1"/>
  </r>
  <r>
    <d v="2018-03-06T00:00:00"/>
    <s v="001-00011640"/>
    <n v="692.49797500000011"/>
    <n v="1.5526999699999999"/>
    <n v="0"/>
    <n v="0"/>
    <n v="0"/>
    <n v="43.875"/>
    <n v="123.33522500000001"/>
    <n v="0"/>
    <n v="168.76292497"/>
    <n v="523.73505003000014"/>
    <n v="0.75629831268459669"/>
    <x v="1"/>
    <s v="LEVE"/>
    <x v="7"/>
    <x v="1"/>
    <n v="18"/>
    <n v="1"/>
    <d v="2018-02-16T00:00:00"/>
    <s v="NISSAN"/>
    <s v="VERSA"/>
    <n v="1704.105"/>
    <d v="2018-02-16T00:00:00"/>
    <n v="3"/>
    <x v="1"/>
  </r>
  <r>
    <d v="2018-03-08T00:00:00"/>
    <s v="001-00011644"/>
    <n v="1871.5327476299997"/>
    <n v="10.17"/>
    <n v="0"/>
    <n v="84.75"/>
    <n v="11.700000000000001"/>
    <n v="175.5"/>
    <n v="309.88749999999999"/>
    <n v="0"/>
    <n v="592.00749999999994"/>
    <n v="1279.5252476299997"/>
    <n v="0.68367772311241481"/>
    <x v="1"/>
    <s v="MEDIANO"/>
    <x v="7"/>
    <x v="1"/>
    <n v="19"/>
    <n v="1"/>
    <d v="2018-02-17T00:00:00"/>
    <s v="KIA"/>
    <s v="CERATO"/>
    <n v="5344.95"/>
    <d v="2018-02-19T00:00:00"/>
    <n v="12"/>
    <x v="1"/>
  </r>
  <r>
    <d v="2018-03-24T00:00:00"/>
    <s v="001-00011655"/>
    <n v="2696.9146424999999"/>
    <n v="25.815900200000002"/>
    <n v="0"/>
    <n v="194.91949152542372"/>
    <n v="30.712500000000002"/>
    <n v="219.375"/>
    <n v="356.37062500000002"/>
    <n v="0"/>
    <n v="827.19351672542371"/>
    <n v="1869.7211257745762"/>
    <n v="0.6932815359856449"/>
    <x v="1"/>
    <s v="MEDIANO"/>
    <x v="7"/>
    <x v="1"/>
    <n v="33"/>
    <n v="1"/>
    <d v="2018-02-19T00:00:00"/>
    <s v="TOYOTA"/>
    <s v="CORONA"/>
    <n v="2567.5"/>
    <d v="2018-02-22T00:00:00"/>
    <n v="15"/>
    <x v="1"/>
  </r>
  <r>
    <d v="2018-03-16T00:00:00"/>
    <s v="001-00011656"/>
    <n v="544.12881468390003"/>
    <n v="0.42369999999999997"/>
    <n v="0"/>
    <n v="0"/>
    <n v="0"/>
    <n v="43.875"/>
    <n v="123.955"/>
    <n v="0"/>
    <n v="168.25369999999998"/>
    <n v="375.87511468390005"/>
    <n v="0.69078333023450822"/>
    <x v="1"/>
    <s v="LEVE"/>
    <x v="7"/>
    <x v="1"/>
    <n v="25"/>
    <n v="1"/>
    <d v="2018-02-19T00:00:00"/>
    <s v="CHEVROLET"/>
    <s v="SAIL"/>
    <n v="266.5"/>
    <d v="2018-02-20T00:00:00"/>
    <n v="3"/>
    <x v="1"/>
  </r>
  <r>
    <d v="2018-03-24T00:00:00"/>
    <s v="001-00011663"/>
    <n v="1000.8363767999998"/>
    <n v="0"/>
    <n v="0"/>
    <n v="18"/>
    <n v="0"/>
    <n v="117"/>
    <n v="185.9325"/>
    <n v="0"/>
    <n v="320.9325"/>
    <n v="679.90387679999981"/>
    <n v="0.67933569618429956"/>
    <x v="1"/>
    <s v="LEVE"/>
    <x v="7"/>
    <x v="1"/>
    <n v="32"/>
    <n v="1"/>
    <d v="2018-02-20T00:00:00"/>
    <s v="NISSAN"/>
    <s v="VERSA"/>
    <n v="886.82749999999999"/>
    <d v="2018-02-20T00:00:00"/>
    <n v="8"/>
    <x v="778"/>
  </r>
  <r>
    <d v="2018-03-01T00:00:00"/>
    <s v="001-00011666"/>
    <n v="988.82911908711901"/>
    <n v="0"/>
    <n v="0"/>
    <n v="0"/>
    <n v="0"/>
    <n v="87.75"/>
    <n v="133.25162500000002"/>
    <n v="0"/>
    <n v="221.00162500000002"/>
    <n v="767.82749408711902"/>
    <n v="0.77650170213026559"/>
    <x v="1"/>
    <s v="LEVE"/>
    <x v="7"/>
    <x v="1"/>
    <n v="9"/>
    <n v="1"/>
    <d v="2018-02-20T00:00:00"/>
    <s v="NISSAN"/>
    <s v="TIIDA"/>
    <n v="947.99249999999995"/>
    <d v="2018-02-20T00:00:00"/>
    <n v="6"/>
    <x v="1"/>
  </r>
  <r>
    <d v="2018-03-01T00:00:00"/>
    <s v="001-00011674"/>
    <n v="979.70940676677901"/>
    <n v="1.77760001"/>
    <n v="0"/>
    <n v="61.313559322033896"/>
    <n v="0"/>
    <n v="58.5"/>
    <n v="201.426875"/>
    <n v="0"/>
    <n v="323.01803433203389"/>
    <n v="656.69137243474506"/>
    <n v="0.67029199464558298"/>
    <x v="1"/>
    <s v="LEVE"/>
    <x v="7"/>
    <x v="1"/>
    <n v="8"/>
    <n v="1"/>
    <d v="2018-02-21T00:00:00"/>
    <s v="KIA"/>
    <s v="RIO"/>
    <n v="528.54750000000001"/>
    <d v="2018-02-22T00:00:00"/>
    <n v="4"/>
    <x v="1"/>
  </r>
  <r>
    <d v="2018-03-03T00:00:00"/>
    <s v="001-00011678"/>
    <n v="559.16717885763012"/>
    <n v="0"/>
    <n v="0"/>
    <n v="20.656779661016948"/>
    <n v="0"/>
    <n v="36.5625"/>
    <n v="123.33522500000001"/>
    <n v="0"/>
    <n v="180.55450466101695"/>
    <n v="378.61267419661317"/>
    <n v="0.67710103259299481"/>
    <x v="1"/>
    <s v="LEVE"/>
    <x v="7"/>
    <x v="1"/>
    <n v="10"/>
    <n v="1"/>
    <d v="2018-02-21T00:00:00"/>
    <s v="NISSAN"/>
    <s v="VERSA"/>
    <n v="2753.5625"/>
    <d v="2018-02-28T00:00:00"/>
    <n v="2.5"/>
    <x v="1"/>
  </r>
  <r>
    <d v="2018-03-09T00:00:00"/>
    <s v="001-00011686"/>
    <n v="1691.1608647999999"/>
    <n v="0"/>
    <n v="0"/>
    <n v="0"/>
    <n v="0"/>
    <n v="197.4375"/>
    <n v="263.40437500000002"/>
    <n v="0"/>
    <n v="460.84187500000002"/>
    <n v="1230.3189897999998"/>
    <n v="0.72749968108178742"/>
    <x v="1"/>
    <s v="MEDIANO"/>
    <x v="7"/>
    <x v="1"/>
    <n v="14"/>
    <n v="1"/>
    <d v="2018-02-23T00:00:00"/>
    <s v="CHEVROLET"/>
    <s v="N300"/>
    <n v="250.47749999999996"/>
    <d v="2018-02-26T00:00:00"/>
    <n v="13.5"/>
    <x v="1"/>
  </r>
  <r>
    <d v="2018-03-05T00:00:00"/>
    <s v="001-00011687"/>
    <n v="891.36422885085017"/>
    <n v="1.1144000000000001"/>
    <n v="0"/>
    <n v="81.56"/>
    <n v="0"/>
    <n v="58.5"/>
    <n v="139.449375"/>
    <n v="0"/>
    <n v="280.62377500000002"/>
    <n v="610.74045385085014"/>
    <n v="0.68517496449035076"/>
    <x v="1"/>
    <s v="LEVE"/>
    <x v="7"/>
    <x v="1"/>
    <n v="10"/>
    <n v="1"/>
    <d v="2018-02-23T00:00:00"/>
    <s v="CHEVROLET"/>
    <s v="AVEO"/>
    <n v="1239.355"/>
    <d v="2018-02-23T00:00:00"/>
    <n v="4"/>
    <x v="1"/>
  </r>
  <r>
    <d v="2018-03-09T00:00:00"/>
    <s v="001-00011688"/>
    <n v="1747.8097296000001"/>
    <n v="0"/>
    <n v="0"/>
    <n v="122.03"/>
    <n v="0"/>
    <n v="87.75"/>
    <n v="247.91"/>
    <n v="0"/>
    <n v="457.69"/>
    <n v="1290.1197296"/>
    <n v="0.7381351114776401"/>
    <x v="1"/>
    <s v="LEVE"/>
    <x v="7"/>
    <x v="1"/>
    <n v="14"/>
    <n v="1"/>
    <d v="2018-02-23T00:00:00"/>
    <s v="HONDA"/>
    <s v="HR-V"/>
    <n v="3184.09"/>
    <d v="2018-02-26T00:00:00"/>
    <n v="6"/>
    <x v="793"/>
  </r>
  <r>
    <d v="2018-03-01T00:00:00"/>
    <s v="001-00011692"/>
    <n v="100"/>
    <n v="0"/>
    <n v="0"/>
    <n v="0"/>
    <n v="39.048749999999998"/>
    <n v="0"/>
    <n v="0"/>
    <n v="0"/>
    <n v="39.048749999999998"/>
    <n v="60.951250000000002"/>
    <n v="0.60951250000000001"/>
    <x v="0"/>
    <s v="MECANICA"/>
    <x v="7"/>
    <x v="1"/>
    <n v="5"/>
    <n v="1"/>
    <d v="2018-02-24T00:00:00"/>
    <s v="FIAT"/>
    <s v="PUNTO"/>
    <n v="0"/>
    <d v="2018-02-26T00:00:00"/>
    <n v="0"/>
    <x v="773"/>
  </r>
  <r>
    <d v="2018-03-10T00:00:00"/>
    <s v="001-00011693"/>
    <n v="1295.380234"/>
    <n v="1.3550000099999999"/>
    <n v="0"/>
    <n v="55.084745762711869"/>
    <n v="0"/>
    <n v="131.625"/>
    <n v="129.53297499999999"/>
    <n v="0"/>
    <n v="317.59772077271185"/>
    <n v="977.78251322728806"/>
    <n v="0.75482278296620053"/>
    <x v="1"/>
    <s v="MEDIANO"/>
    <x v="7"/>
    <x v="1"/>
    <n v="12"/>
    <n v="1"/>
    <d v="2018-02-26T00:00:00"/>
    <s v="FORD "/>
    <s v="ECOSPORT"/>
    <n v="3978"/>
    <d v="2018-02-27T00:00:00"/>
    <n v="9"/>
    <x v="1"/>
  </r>
  <r>
    <d v="2018-03-02T00:00:00"/>
    <s v="001-00011694"/>
    <n v="684.73683312203104"/>
    <n v="0.42369999999999997"/>
    <n v="0"/>
    <n v="26"/>
    <n v="0"/>
    <n v="36.5625"/>
    <n v="145.64712500000002"/>
    <n v="0"/>
    <n v="208.63332500000001"/>
    <n v="476.10350812203103"/>
    <n v="0.69530874504188056"/>
    <x v="1"/>
    <s v="LEVE"/>
    <x v="7"/>
    <x v="1"/>
    <n v="4"/>
    <n v="1"/>
    <d v="2018-02-26T00:00:00"/>
    <s v="SUZUKI"/>
    <s v="SWIFT"/>
    <n v="2126.4749999999999"/>
    <d v="2018-02-26T00:00:00"/>
    <n v="2.5"/>
    <x v="1"/>
  </r>
  <r>
    <d v="2018-03-03T00:00:00"/>
    <s v="001-00011699"/>
    <n v="1124.7415845018611"/>
    <n v="0"/>
    <n v="0"/>
    <n v="0"/>
    <n v="0"/>
    <n v="117"/>
    <n v="185.9325"/>
    <n v="0"/>
    <n v="302.9325"/>
    <n v="821.80908450186109"/>
    <n v="0.73066479965336539"/>
    <x v="1"/>
    <s v="MEDIANO"/>
    <x v="7"/>
    <x v="1"/>
    <n v="5"/>
    <n v="1"/>
    <d v="2018-02-26T00:00:00"/>
    <s v="MITSUBISHI"/>
    <s v="MIRAGE"/>
    <n v="1308.2875000000001"/>
    <d v="2018-02-27T00:00:00"/>
    <n v="8"/>
    <x v="1"/>
  </r>
  <r>
    <d v="2018-03-09T00:00:00"/>
    <s v="001-00011701"/>
    <n v="1048.6527568000001"/>
    <n v="0"/>
    <n v="0"/>
    <n v="0"/>
    <n v="0"/>
    <n v="146.25"/>
    <n v="128.29342499999998"/>
    <n v="0"/>
    <n v="274.54342499999996"/>
    <n v="774.10933180000018"/>
    <n v="0.73819415128628596"/>
    <x v="1"/>
    <s v="MEDIANO"/>
    <x v="7"/>
    <x v="1"/>
    <n v="11"/>
    <n v="1"/>
    <d v="2018-02-26T00:00:00"/>
    <s v="KIA"/>
    <s v="CERATO"/>
    <n v="195.16249999999999"/>
    <d v="2018-02-27T00:00:00"/>
    <n v="10"/>
    <x v="1"/>
  </r>
  <r>
    <d v="2018-03-01T00:00:00"/>
    <s v="001-00011704"/>
    <n v="678"/>
    <n v="0"/>
    <n v="0"/>
    <n v="0"/>
    <n v="0"/>
    <n v="102.375"/>
    <n v="123.955"/>
    <n v="0"/>
    <n v="226.32999999999998"/>
    <n v="451.67"/>
    <n v="0.66617994100294986"/>
    <x v="0"/>
    <s v="LEVE"/>
    <x v="7"/>
    <x v="1"/>
    <n v="3"/>
    <n v="1"/>
    <d v="2018-02-26T00:00:00"/>
    <s v="HYUNDAI"/>
    <s v="TUCSON"/>
    <n v="0"/>
    <d v="2018-02-26T00:00:00"/>
    <n v="7"/>
    <x v="215"/>
  </r>
  <r>
    <d v="2018-03-12T00:00:00"/>
    <s v="001-00011706"/>
    <n v="420"/>
    <n v="180"/>
    <n v="20"/>
    <n v="0"/>
    <n v="0"/>
    <n v="0"/>
    <n v="0"/>
    <n v="0"/>
    <n v="200"/>
    <n v="220"/>
    <n v="0.52380952380952384"/>
    <x v="0"/>
    <s v="MECANICA"/>
    <x v="7"/>
    <x v="1"/>
    <n v="14"/>
    <n v="1"/>
    <d v="2018-02-26T00:00:00"/>
    <s v="NISSAN"/>
    <s v="FRONTIER"/>
    <n v="270.82249999999999"/>
    <d v="2018-02-26T00:00:00"/>
    <n v="0"/>
    <x v="157"/>
  </r>
  <r>
    <d v="2018-03-05T00:00:00"/>
    <s v="001-00011707"/>
    <n v="465.48460726504982"/>
    <n v="0"/>
    <n v="0"/>
    <n v="55.084745762711869"/>
    <n v="0"/>
    <n v="21.9375"/>
    <n v="61.977499999999999"/>
    <n v="0"/>
    <n v="138.99974576271185"/>
    <n v="326.48486150233794"/>
    <n v="0.70138701990726715"/>
    <x v="1"/>
    <s v="LEVE"/>
    <x v="7"/>
    <x v="1"/>
    <n v="7"/>
    <n v="1"/>
    <d v="2018-02-26T00:00:00"/>
    <s v="KIA"/>
    <s v="SORENTO"/>
    <n v="2372.8575000000001"/>
    <d v="2018-02-28T00:00:00"/>
    <n v="1.5"/>
    <x v="1"/>
  </r>
  <r>
    <d v="2018-03-05T00:00:00"/>
    <s v="001-00011708"/>
    <n v="586.62001800000007"/>
    <n v="0"/>
    <n v="0"/>
    <n v="30.985169491525422"/>
    <n v="0"/>
    <n v="73.125"/>
    <n v="92.966250000000002"/>
    <n v="0"/>
    <n v="197.07641949152543"/>
    <n v="389.54359850847464"/>
    <n v="0.66404757177664975"/>
    <x v="0"/>
    <s v="LEVE"/>
    <x v="7"/>
    <x v="1"/>
    <n v="7"/>
    <n v="1"/>
    <d v="2018-02-26T00:00:00"/>
    <s v="KIA"/>
    <s v="SORENTO"/>
    <n v="0"/>
    <d v="2018-02-26T00:00:00"/>
    <n v="5"/>
    <x v="794"/>
  </r>
  <r>
    <d v="2018-03-08T00:00:00"/>
    <s v="001-00011710"/>
    <n v="1738.3546690299997"/>
    <n v="0"/>
    <n v="0"/>
    <n v="102.75"/>
    <n v="21.9375"/>
    <n v="175.5"/>
    <n v="276.41964999999999"/>
    <n v="0"/>
    <n v="576.60715000000005"/>
    <n v="1161.7475190299997"/>
    <n v="0.6683029301944774"/>
    <x v="1"/>
    <s v="MEDIANO"/>
    <x v="7"/>
    <x v="1"/>
    <n v="10"/>
    <n v="1"/>
    <d v="2018-02-26T00:00:00"/>
    <s v="KIA"/>
    <s v="CERATO"/>
    <n v="3485.9174999999996"/>
    <d v="2018-02-27T00:00:00"/>
    <n v="12"/>
    <x v="1"/>
  </r>
  <r>
    <d v="2018-03-14T00:00:00"/>
    <s v="001-00011712"/>
    <n v="1111.6877099999997"/>
    <n v="0"/>
    <n v="0"/>
    <n v="125.53033898305085"/>
    <n v="0"/>
    <n v="117"/>
    <n v="123.955"/>
    <n v="0"/>
    <n v="366.48533898305084"/>
    <n v="745.20237101694886"/>
    <n v="0.67033427131883028"/>
    <x v="1"/>
    <s v="MEDIANO"/>
    <x v="7"/>
    <x v="1"/>
    <n v="16"/>
    <n v="1"/>
    <d v="2018-02-26T00:00:00"/>
    <s v="RENAULT"/>
    <s v="DUSTER"/>
    <n v="1182.8699999999999"/>
    <d v="2018-02-27T00:00:00"/>
    <n v="8"/>
    <x v="1"/>
  </r>
  <r>
    <d v="2018-03-06T00:00:00"/>
    <s v="001-00011715"/>
    <n v="642.78402499999993"/>
    <n v="0.42370000000000002"/>
    <n v="0"/>
    <n v="40.656779661016948"/>
    <n v="0"/>
    <n v="36.5625"/>
    <n v="147.50645"/>
    <n v="0"/>
    <n v="225.14942966101694"/>
    <n v="417.63459533898299"/>
    <n v="0.64972771428005394"/>
    <x v="1"/>
    <s v="LEVE"/>
    <x v="7"/>
    <x v="1"/>
    <n v="7"/>
    <n v="1"/>
    <d v="2018-02-27T00:00:00"/>
    <s v="VOLKSWAGUEN"/>
    <s v="UP"/>
    <n v="2451.5725000000002"/>
    <d v="2018-02-27T00:00:00"/>
    <n v="2.5"/>
    <x v="1"/>
  </r>
  <r>
    <d v="2018-03-21T00:00:00"/>
    <s v="001-00011720"/>
    <n v="1377.96658129054"/>
    <n v="47.702300199999996"/>
    <n v="0"/>
    <n v="167.37711864406779"/>
    <n v="73.125"/>
    <n v="87.75"/>
    <n v="80.570750000000004"/>
    <n v="0"/>
    <n v="456.52516884406782"/>
    <n v="921.44141244647221"/>
    <n v="0.66869648724245012"/>
    <x v="1"/>
    <s v="LEVE"/>
    <x v="7"/>
    <x v="1"/>
    <n v="22"/>
    <n v="1"/>
    <d v="2018-02-27T00:00:00"/>
    <s v="CHEVROLET"/>
    <s v="SAIL"/>
    <n v="2161.4775"/>
    <d v="2018-03-01T00:00:00"/>
    <n v="6"/>
    <x v="1"/>
  </r>
  <r>
    <d v="2018-03-08T00:00:00"/>
    <s v="001-00011721"/>
    <n v="2046.1688860999998"/>
    <n v="22.879999000000002"/>
    <n v="0"/>
    <n v="84.193559322033892"/>
    <n v="0"/>
    <n v="219.375"/>
    <n v="294.393125"/>
    <n v="0"/>
    <n v="620.84168332203387"/>
    <n v="1425.3272027779658"/>
    <n v="0.69658336242940389"/>
    <x v="1"/>
    <s v="MEDIANO"/>
    <x v="7"/>
    <x v="1"/>
    <n v="9"/>
    <n v="1"/>
    <d v="2018-02-27T00:00:00"/>
    <s v="HYUNDAI"/>
    <s v="I10"/>
    <n v="3005.7950000000001"/>
    <d v="2018-02-28T00:00:00"/>
    <n v="15"/>
    <x v="1"/>
  </r>
  <r>
    <d v="2018-03-27T00:00:00"/>
    <s v="001-00011722"/>
    <n v="1708.4978550654209"/>
    <n v="0"/>
    <n v="0"/>
    <n v="18"/>
    <n v="0"/>
    <n v="160.875"/>
    <n v="294.393125"/>
    <n v="0"/>
    <n v="473.268125"/>
    <n v="1235.2297300654209"/>
    <n v="0.72299167739846071"/>
    <x v="1"/>
    <s v="MEDIANO"/>
    <x v="7"/>
    <x v="1"/>
    <n v="28"/>
    <n v="1"/>
    <d v="2018-02-27T00:00:00"/>
    <s v="NISSAN"/>
    <s v="VERSA"/>
    <n v="1251.0550000000001"/>
    <d v="2018-02-28T00:00:00"/>
    <n v="11"/>
    <x v="1"/>
  </r>
  <r>
    <d v="2018-03-21T00:00:00"/>
    <s v="001-00011725"/>
    <n v="1476.5076079769492"/>
    <n v="2.6829999"/>
    <n v="0"/>
    <n v="0"/>
    <n v="0"/>
    <n v="117"/>
    <n v="255.96707500000002"/>
    <n v="0"/>
    <n v="375.65007490000005"/>
    <n v="1100.857533076949"/>
    <n v="0.7455820255374771"/>
    <x v="1"/>
    <s v="MEDIANO"/>
    <x v="7"/>
    <x v="1"/>
    <n v="21"/>
    <n v="1"/>
    <d v="2018-02-28T00:00:00"/>
    <s v="NISSAN"/>
    <s v="FRONTIER"/>
    <n v="1938.9825000000001"/>
    <d v="2018-02-28T00:00:00"/>
    <n v="8"/>
    <x v="795"/>
  </r>
  <r>
    <d v="2018-03-09T00:00:00"/>
    <s v="001-00011727"/>
    <n v="918.96464879999962"/>
    <n v="0"/>
    <n v="0"/>
    <n v="0"/>
    <n v="0"/>
    <n v="73.125"/>
    <n v="187.17205000000001"/>
    <n v="0"/>
    <n v="260.29705000000001"/>
    <n v="658.66759879999961"/>
    <n v="0.7167496591518504"/>
    <x v="1"/>
    <s v="LEVE"/>
    <x v="7"/>
    <x v="1"/>
    <n v="9"/>
    <n v="1"/>
    <d v="2018-02-28T00:00:00"/>
    <s v="HYUNDAI"/>
    <s v="I10"/>
    <n v="1241.4675"/>
    <d v="2018-03-01T00:00:00"/>
    <n v="5"/>
    <x v="1"/>
  </r>
  <r>
    <d v="2018-03-28T00:00:00"/>
    <s v="001-00011728"/>
    <n v="2453.1280342300006"/>
    <n v="1.1144000000000001"/>
    <n v="0"/>
    <n v="0"/>
    <n v="7.3125"/>
    <n v="263.25"/>
    <n v="371.86500000000001"/>
    <n v="0"/>
    <n v="643.54189999999994"/>
    <n v="1809.5861342300007"/>
    <n v="0.73766477288577481"/>
    <x v="1"/>
    <s v="MEDIANO"/>
    <x v="7"/>
    <x v="1"/>
    <n v="28"/>
    <n v="1"/>
    <d v="2018-02-28T00:00:00"/>
    <s v="BYD"/>
    <s v="F3"/>
    <n v="1384.5"/>
    <d v="2018-03-05T00:00:00"/>
    <n v="18"/>
    <x v="1"/>
  </r>
  <r>
    <d v="2018-03-14T00:00:00"/>
    <s v="001-00011731"/>
    <n v="2322.5012945999997"/>
    <n v="0"/>
    <n v="0"/>
    <n v="157.83474576271186"/>
    <n v="5.8500000000000005"/>
    <n v="204.75"/>
    <n v="390.45825000000002"/>
    <n v="0"/>
    <n v="758.89299576271185"/>
    <n v="1563.6082988372877"/>
    <n v="0.67324324101467736"/>
    <x v="1"/>
    <s v="MEDIANO"/>
    <x v="7"/>
    <x v="1"/>
    <n v="14"/>
    <n v="1"/>
    <d v="2018-02-28T00:00:00"/>
    <s v="TOYOTA"/>
    <s v="YARIS"/>
    <n v="5390.6774999999998"/>
    <d v="2018-03-01T00:00:00"/>
    <n v="14"/>
    <x v="796"/>
  </r>
  <r>
    <d v="2018-03-09T00:00:00"/>
    <s v="001-00011733"/>
    <n v="1189.9575890399999"/>
    <n v="0"/>
    <n v="0"/>
    <n v="133.34355932203391"/>
    <n v="0"/>
    <n v="102.375"/>
    <n v="182.83362500000001"/>
    <n v="0"/>
    <n v="418.5521843220339"/>
    <n v="771.40540471796601"/>
    <n v="0.64826293963997361"/>
    <x v="1"/>
    <s v="LEVE"/>
    <x v="7"/>
    <x v="1"/>
    <n v="8"/>
    <n v="1"/>
    <d v="2018-03-01T00:00:00"/>
    <s v="HYUNDAI"/>
    <s v="ELANTRA"/>
    <n v="0"/>
    <d v="2018-03-01T00:00:00"/>
    <n v="7"/>
    <x v="1"/>
  </r>
  <r>
    <d v="2018-03-10T00:00:00"/>
    <s v="001-00011734"/>
    <n v="825.08383199999992"/>
    <n v="1.1144000000000001"/>
    <n v="0"/>
    <n v="41.313559322033896"/>
    <n v="0"/>
    <n v="87.75"/>
    <n v="115.89792500000001"/>
    <n v="0"/>
    <n v="246.07588432203391"/>
    <n v="579.00794767796606"/>
    <n v="0.70175650669878364"/>
    <x v="1"/>
    <s v="LEVE"/>
    <x v="7"/>
    <x v="1"/>
    <n v="9"/>
    <n v="1"/>
    <d v="2018-03-01T00:00:00"/>
    <s v="SMA"/>
    <s v="CG1"/>
    <n v="162.5"/>
    <d v="2018-03-01T00:00:00"/>
    <n v="6"/>
    <x v="1"/>
  </r>
  <r>
    <d v="2018-03-01T00:00:00"/>
    <s v="001-00011735"/>
    <n v="303"/>
    <n v="0"/>
    <n v="74.58"/>
    <n v="21.186440677966104"/>
    <n v="29.25"/>
    <n v="0"/>
    <n v="0"/>
    <n v="0"/>
    <n v="125.0164406779661"/>
    <n v="177.9835593220339"/>
    <n v="0.58740448621133301"/>
    <x v="0"/>
    <s v="MECANICA"/>
    <x v="7"/>
    <x v="1"/>
    <n v="0"/>
    <n v="1"/>
    <d v="2018-03-01T00:00:00"/>
    <s v="HYUNDAI"/>
    <s v="I10"/>
    <n v="0"/>
    <d v="2018-03-01T00:00:00"/>
    <n v="0"/>
    <x v="592"/>
  </r>
  <r>
    <d v="2018-03-14T00:00:00"/>
    <s v="001-00011736"/>
    <n v="1042.9789719999999"/>
    <n v="0"/>
    <n v="0"/>
    <n v="104.8735593220339"/>
    <n v="0"/>
    <n v="102.375"/>
    <n v="123.955"/>
    <n v="0"/>
    <n v="331.20355932203387"/>
    <n v="711.77541267796596"/>
    <n v="0.68244464345534861"/>
    <x v="1"/>
    <s v="LEVE"/>
    <x v="7"/>
    <x v="1"/>
    <n v="13"/>
    <n v="1"/>
    <d v="2018-03-01T00:00:00"/>
    <s v="RENAULT"/>
    <s v="DUSTER"/>
    <n v="780.97500000000002"/>
    <d v="2018-02-28T00:00:00"/>
    <n v="7"/>
    <x v="1"/>
  </r>
  <r>
    <d v="2018-03-19T00:00:00"/>
    <s v="001-00011737"/>
    <n v="1364.7500918389801"/>
    <n v="5.4759001999999999"/>
    <n v="0"/>
    <n v="84.75"/>
    <n v="17.549999999999997"/>
    <n v="117"/>
    <n v="195.22912500000001"/>
    <n v="0"/>
    <n v="420.00502519999998"/>
    <n v="944.74506663898012"/>
    <n v="0.69224766665225168"/>
    <x v="1"/>
    <s v="MEDIANO"/>
    <x v="7"/>
    <x v="1"/>
    <n v="18"/>
    <n v="1"/>
    <d v="2018-03-01T00:00:00"/>
    <s v="HYUNDAI"/>
    <s v="ACCENT"/>
    <n v="2424.0125000000003"/>
    <d v="2018-03-02T00:00:00"/>
    <n v="8"/>
    <x v="1"/>
  </r>
  <r>
    <d v="2018-03-05T00:00:00"/>
    <s v="001-00011739"/>
    <n v="619.21001965180005"/>
    <n v="0"/>
    <n v="0"/>
    <n v="0"/>
    <n v="0"/>
    <n v="109.6875"/>
    <n v="92.966250000000002"/>
    <n v="0"/>
    <n v="202.65375"/>
    <n v="416.55626965180005"/>
    <n v="0.67272210789812781"/>
    <x v="0"/>
    <s v="LEVE"/>
    <x v="7"/>
    <x v="1"/>
    <n v="3"/>
    <n v="1"/>
    <d v="2018-03-02T00:00:00"/>
    <s v="HYUNDAI"/>
    <s v="ELANTRA"/>
    <n v="0"/>
    <d v="2018-03-02T00:00:00"/>
    <n v="7.5"/>
    <x v="797"/>
  </r>
  <r>
    <d v="2018-03-05T00:00:00"/>
    <s v="001-00011740"/>
    <n v="542.62351665000006"/>
    <n v="0"/>
    <n v="0"/>
    <n v="0"/>
    <n v="0"/>
    <n v="43.875"/>
    <n v="92.966250000000002"/>
    <n v="0"/>
    <n v="136.84125"/>
    <n v="405.78226665000005"/>
    <n v="0.74781548200340053"/>
    <x v="1"/>
    <s v="LEVE"/>
    <x v="7"/>
    <x v="1"/>
    <n v="3"/>
    <n v="1"/>
    <d v="2018-03-02T00:00:00"/>
    <s v="HYUNDAI"/>
    <s v="ELANTRA"/>
    <n v="2013.6025000000002"/>
    <d v="2018-03-02T00:00:00"/>
    <n v="3"/>
    <x v="1"/>
  </r>
  <r>
    <d v="2018-03-12T00:00:00"/>
    <s v="001-00011741"/>
    <n v="987.53129459999991"/>
    <n v="0"/>
    <n v="0"/>
    <n v="0"/>
    <n v="0"/>
    <n v="102.375"/>
    <n v="185.9325"/>
    <n v="0"/>
    <n v="288.3075"/>
    <n v="699.22379459999991"/>
    <n v="0.70805229001195436"/>
    <x v="1"/>
    <s v="LEVE"/>
    <x v="7"/>
    <x v="1"/>
    <n v="10"/>
    <n v="1"/>
    <d v="2018-03-02T00:00:00"/>
    <s v="HYUNDAI"/>
    <s v="ELANTRA"/>
    <n v="94.347499999999997"/>
    <d v="2018-03-03T00:00:00"/>
    <n v="7"/>
    <x v="1"/>
  </r>
  <r>
    <d v="2018-03-15T00:00:00"/>
    <s v="001-00011742"/>
    <n v="1825.7451122027205"/>
    <n v="0"/>
    <n v="0"/>
    <n v="113.61228813559322"/>
    <n v="0"/>
    <n v="117"/>
    <n v="325.38187500000004"/>
    <n v="0"/>
    <n v="555.99416313559323"/>
    <n v="1269.7509490671273"/>
    <n v="0.69546999774530482"/>
    <x v="1"/>
    <s v="MEDIANO"/>
    <x v="7"/>
    <x v="1"/>
    <n v="13"/>
    <n v="1"/>
    <d v="2018-03-02T00:00:00"/>
    <s v="SUZUKI"/>
    <s v="SWIFT"/>
    <n v="813.83249999999998"/>
    <d v="2018-03-03T00:00:00"/>
    <n v="8"/>
    <x v="1"/>
  </r>
  <r>
    <d v="2018-03-08T00:00:00"/>
    <s v="001-00011744"/>
    <n v="340"/>
    <n v="177.97"/>
    <n v="0"/>
    <n v="0"/>
    <n v="14.625"/>
    <n v="0"/>
    <n v="0"/>
    <n v="0"/>
    <n v="192.595"/>
    <n v="147.405"/>
    <n v="0.4335441176470588"/>
    <x v="0"/>
    <s v="MECANICA"/>
    <x v="7"/>
    <x v="1"/>
    <n v="6"/>
    <n v="1"/>
    <d v="2018-03-02T00:00:00"/>
    <s v="NISSAN"/>
    <s v="FRONTIER"/>
    <n v="320.97000000000003"/>
    <d v="2018-03-02T00:00:00"/>
    <n v="0"/>
    <x v="157"/>
  </r>
  <r>
    <d v="2018-03-10T00:00:00"/>
    <s v="001-00011745"/>
    <n v="410.75999999999993"/>
    <n v="0"/>
    <n v="0"/>
    <n v="0"/>
    <n v="0"/>
    <n v="29.25"/>
    <n v="61.977499999999999"/>
    <n v="0"/>
    <n v="91.227499999999992"/>
    <n v="319.53249999999991"/>
    <n v="0.77790558963871836"/>
    <x v="2"/>
    <s v="LEVE"/>
    <x v="7"/>
    <x v="1"/>
    <n v="8"/>
    <n v="1"/>
    <d v="2018-03-02T00:00:00"/>
    <s v="SUZUKI"/>
    <s v="SWIFT"/>
    <n v="408.03749999999997"/>
    <d v="2018-03-07T00:00:00"/>
    <n v="2"/>
    <x v="2"/>
  </r>
  <r>
    <d v="2018-03-02T00:00:00"/>
    <s v="001-00011747"/>
    <n v="60"/>
    <n v="0"/>
    <n v="0"/>
    <n v="0"/>
    <n v="29.25"/>
    <n v="0"/>
    <n v="0"/>
    <n v="0"/>
    <n v="29.25"/>
    <n v="30.75"/>
    <n v="0.51249999999999996"/>
    <x v="0"/>
    <s v="MECANICA"/>
    <x v="7"/>
    <x v="1"/>
    <n v="0"/>
    <n v="1"/>
    <d v="2018-03-02T00:00:00"/>
    <s v="KIA"/>
    <s v="CERATO"/>
    <n v="0"/>
    <d v="2018-03-02T00:00:00"/>
    <n v="0"/>
    <x v="356"/>
  </r>
  <r>
    <d v="2018-03-16T00:00:00"/>
    <s v="001-00011749"/>
    <n v="988.19259369407007"/>
    <n v="0"/>
    <n v="0"/>
    <n v="34.427966101694921"/>
    <n v="0"/>
    <n v="43.875"/>
    <n v="175.39632499999999"/>
    <n v="0"/>
    <n v="253.69929110169491"/>
    <n v="734.49330259237513"/>
    <n v="0.7432693862303561"/>
    <x v="1"/>
    <s v="LEVE"/>
    <x v="7"/>
    <x v="1"/>
    <n v="13"/>
    <n v="1"/>
    <d v="2018-03-03T00:00:00"/>
    <s v="VOLKSWAGUEN"/>
    <s v="GOL"/>
    <n v="1589.3150000000001"/>
    <d v="2018-03-05T00:00:00"/>
    <n v="3"/>
    <x v="1"/>
  </r>
  <r>
    <d v="2018-03-09T00:00:00"/>
    <s v="001-00011750"/>
    <n v="393.97599999999994"/>
    <n v="0"/>
    <n v="0"/>
    <n v="173.72"/>
    <n v="5.8500000000000005"/>
    <n v="0"/>
    <n v="0"/>
    <n v="0"/>
    <n v="179.57"/>
    <n v="214.40599999999995"/>
    <n v="0.54421081487197187"/>
    <x v="1"/>
    <s v="LEVE"/>
    <x v="7"/>
    <x v="1"/>
    <n v="6"/>
    <n v="1"/>
    <d v="2018-03-03T00:00:00"/>
    <s v="FORD"/>
    <s v="EXPLORER"/>
    <n v="666.25"/>
    <d v="2018-03-05T00:00:00"/>
    <n v="0"/>
    <x v="1"/>
  </r>
  <r>
    <d v="2018-03-07T00:00:00"/>
    <s v="001-00011751"/>
    <n v="569"/>
    <n v="170.25199999999998"/>
    <n v="0"/>
    <n v="0"/>
    <n v="39.048749999999998"/>
    <n v="0"/>
    <n v="30.98875"/>
    <n v="0"/>
    <n v="240.2895"/>
    <n v="328.71050000000002"/>
    <n v="0.57769859402460466"/>
    <x v="0"/>
    <s v="MECANICA"/>
    <x v="7"/>
    <x v="1"/>
    <n v="2"/>
    <n v="1"/>
    <d v="2018-03-05T00:00:00"/>
    <s v="HYUNDAI"/>
    <s v="ACCENT"/>
    <n v="120.25"/>
    <d v="2018-03-05T00:00:00"/>
    <n v="0"/>
    <x v="234"/>
  </r>
  <r>
    <d v="2018-03-13T00:00:00"/>
    <s v="001-00011752"/>
    <n v="527.95801619999997"/>
    <n v="0"/>
    <n v="0"/>
    <n v="122.88"/>
    <n v="55.574999999999996"/>
    <n v="14.625"/>
    <n v="0"/>
    <n v="0"/>
    <n v="193.07999999999998"/>
    <n v="334.87801619999999"/>
    <n v="0.63428910239927527"/>
    <x v="1"/>
    <s v="LEVE"/>
    <x v="7"/>
    <x v="1"/>
    <n v="8"/>
    <n v="1"/>
    <d v="2018-03-05T00:00:00"/>
    <s v="HYUNDAI"/>
    <s v="ELANTRA"/>
    <n v="2095.5675000000001"/>
    <d v="2018-03-05T00:00:00"/>
    <n v="1"/>
    <x v="1"/>
  </r>
  <r>
    <d v="2018-03-16T00:00:00"/>
    <s v="001-00011753"/>
    <n v="1623.1768604001718"/>
    <n v="5.4759001999999999"/>
    <n v="0"/>
    <n v="0"/>
    <n v="24.862499999999997"/>
    <n v="117"/>
    <n v="308.02817500000003"/>
    <n v="0"/>
    <n v="455.36657520000006"/>
    <n v="1167.8102852001716"/>
    <n v="0.71945966806861961"/>
    <x v="1"/>
    <s v="MEDIANO"/>
    <x v="7"/>
    <x v="1"/>
    <n v="11"/>
    <n v="1"/>
    <d v="2018-03-05T00:00:00"/>
    <s v="KIA"/>
    <s v="RIO"/>
    <n v="8308.56"/>
    <d v="2018-03-05T00:00:00"/>
    <n v="8"/>
    <x v="1"/>
  </r>
  <r>
    <d v="2018-03-07T00:00:00"/>
    <s v="001-00011754"/>
    <n v="605"/>
    <n v="122.66910380000002"/>
    <n v="0"/>
    <n v="34.75"/>
    <n v="39.048749999999998"/>
    <n v="0"/>
    <n v="0"/>
    <n v="0"/>
    <n v="196.4678538"/>
    <n v="408.5321462"/>
    <n v="0.67525974578512393"/>
    <x v="0"/>
    <s v="MECANICA"/>
    <x v="7"/>
    <x v="1"/>
    <n v="4"/>
    <n v="1"/>
    <d v="2018-03-03T00:00:00"/>
    <s v="NISSAN"/>
    <s v="TIIDA"/>
    <n v="0"/>
    <d v="2018-03-05T00:00:00"/>
    <n v="0"/>
    <x v="157"/>
  </r>
  <r>
    <d v="2018-03-12T00:00:00"/>
    <s v="001-00011755"/>
    <n v="719.79691600000001"/>
    <n v="0"/>
    <n v="0"/>
    <n v="0"/>
    <n v="0"/>
    <n v="36.5625"/>
    <n v="123.955"/>
    <n v="0"/>
    <n v="160.51749999999998"/>
    <n v="559.27941600000008"/>
    <n v="0.77699612705759369"/>
    <x v="1"/>
    <s v="LEVE"/>
    <x v="7"/>
    <x v="1"/>
    <n v="7"/>
    <n v="1"/>
    <d v="2018-03-05T00:00:00"/>
    <s v="TOYOTA"/>
    <s v="COROLLA"/>
    <n v="2024.425"/>
    <d v="2018-03-05T00:00:00"/>
    <n v="2.5"/>
    <x v="1"/>
  </r>
  <r>
    <d v="2018-03-08T00:00:00"/>
    <s v="001-00011756"/>
    <n v="349"/>
    <n v="83.569103800000022"/>
    <n v="0"/>
    <n v="0"/>
    <n v="39.048749999999998"/>
    <n v="0"/>
    <n v="0"/>
    <n v="0"/>
    <n v="122.61785380000002"/>
    <n v="226.38214619999997"/>
    <n v="0.64865944469914028"/>
    <x v="0"/>
    <s v="MECANICA"/>
    <x v="7"/>
    <x v="1"/>
    <n v="5"/>
    <n v="1"/>
    <d v="2018-03-03T00:00:00"/>
    <s v="TOYOTA"/>
    <s v="YARIS"/>
    <n v="0"/>
    <d v="2018-03-05T00:00:00"/>
    <n v="0"/>
    <x v="318"/>
  </r>
  <r>
    <d v="2018-03-28T00:00:00"/>
    <s v="001-00011757"/>
    <n v="10928.400818830001"/>
    <n v="3339.2300100000002"/>
    <n v="0"/>
    <n v="148.31"/>
    <n v="73.125"/>
    <n v="281.53125"/>
    <n v="433.84250000000003"/>
    <n v="0"/>
    <n v="4276.0387600000004"/>
    <n v="6652.3620588300009"/>
    <n v="0.60872237110554706"/>
    <x v="0"/>
    <s v="MEDIANO"/>
    <x v="7"/>
    <x v="1"/>
    <n v="23"/>
    <n v="1"/>
    <d v="2018-03-05T00:00:00"/>
    <s v="NISSAN"/>
    <s v="VERSA"/>
    <n v="7969"/>
    <d v="2018-03-15T00:00:00"/>
    <n v="19.25"/>
    <x v="798"/>
  </r>
  <r>
    <d v="2018-03-08T00:00:00"/>
    <s v="001-00011758"/>
    <n v="847.45760300000006"/>
    <n v="233.20000400000001"/>
    <n v="0"/>
    <n v="132.37"/>
    <n v="39.048749999999998"/>
    <n v="0"/>
    <n v="0"/>
    <n v="0"/>
    <n v="404.61875400000002"/>
    <n v="442.83884900000004"/>
    <n v="0.5225498566917689"/>
    <x v="0"/>
    <s v="MECANICA"/>
    <x v="7"/>
    <x v="1"/>
    <n v="3"/>
    <n v="1"/>
    <d v="2018-03-05T00:00:00"/>
    <s v="KIA"/>
    <s v="RIO"/>
    <n v="481.45499999999993"/>
    <d v="2018-03-05T00:00:00"/>
    <n v="0"/>
    <x v="142"/>
  </r>
  <r>
    <d v="2018-03-15T00:00:00"/>
    <s v="001-00011759"/>
    <n v="1569.4253415948799"/>
    <n v="0"/>
    <n v="0"/>
    <n v="0"/>
    <n v="0"/>
    <n v="263.25"/>
    <n v="185.9325"/>
    <n v="0"/>
    <n v="449.1825"/>
    <n v="1120.2428415948798"/>
    <n v="0.7137917375900581"/>
    <x v="0"/>
    <s v="MEDIANO"/>
    <x v="7"/>
    <x v="1"/>
    <n v="10"/>
    <n v="1"/>
    <d v="2018-03-05T00:00:00"/>
    <s v="SUZUKI"/>
    <s v="SWIFT"/>
    <n v="0"/>
    <d v="2018-03-05T00:00:00"/>
    <n v="18"/>
    <x v="799"/>
  </r>
  <r>
    <d v="2018-03-05T00:00:00"/>
    <s v="001-00011760"/>
    <n v="250"/>
    <n v="62.285102000000002"/>
    <n v="0"/>
    <n v="0"/>
    <n v="39.048749999999998"/>
    <n v="0"/>
    <n v="0"/>
    <n v="0"/>
    <n v="101.33385200000001"/>
    <n v="148.66614799999999"/>
    <n v="0.59466459199999999"/>
    <x v="0"/>
    <s v="MECANICA"/>
    <x v="7"/>
    <x v="1"/>
    <n v="2"/>
    <n v="1"/>
    <d v="2018-03-03T00:00:00"/>
    <s v="HYUNDAI"/>
    <s v="ACCENT"/>
    <n v="0"/>
    <d v="2018-03-05T00:00:00"/>
    <n v="0"/>
    <x v="800"/>
  </r>
  <r>
    <d v="2018-03-06T00:00:00"/>
    <s v="001-00011761"/>
    <n v="749"/>
    <n v="212.46220169999998"/>
    <n v="0"/>
    <n v="0"/>
    <n v="53.673749999999998"/>
    <n v="0"/>
    <n v="0"/>
    <n v="0"/>
    <n v="266.13595169999996"/>
    <n v="482.86404830000004"/>
    <n v="0.6446783021361816"/>
    <x v="0"/>
    <s v="MECANICA"/>
    <x v="7"/>
    <x v="1"/>
    <n v="1"/>
    <n v="1"/>
    <d v="2018-03-05T00:00:00"/>
    <s v="NISSAN"/>
    <s v="VERSA"/>
    <n v="431.3075"/>
    <d v="2018-03-05T00:00:00"/>
    <n v="0"/>
    <x v="801"/>
  </r>
  <r>
    <d v="2018-03-17T00:00:00"/>
    <s v="001-00011762"/>
    <n v="1582.4874152962709"/>
    <n v="0.5076000100000001"/>
    <n v="0"/>
    <n v="41.313559322033896"/>
    <n v="0"/>
    <n v="263.25"/>
    <n v="178.49519999999998"/>
    <n v="0"/>
    <n v="483.56635933203393"/>
    <n v="1098.921055964237"/>
    <n v="0.69442641081508927"/>
    <x v="1"/>
    <s v="MEDIANO"/>
    <x v="7"/>
    <x v="1"/>
    <n v="12"/>
    <n v="1"/>
    <d v="2018-03-05T00:00:00"/>
    <s v="NISSAN"/>
    <s v="TIIDA"/>
    <n v="0"/>
    <d v="2018-03-06T00:00:00"/>
    <n v="18"/>
    <x v="1"/>
  </r>
  <r>
    <d v="2018-03-14T00:00:00"/>
    <s v="001-00011763"/>
    <n v="1983.5994533999997"/>
    <n v="0"/>
    <n v="0"/>
    <n v="41.313559322033896"/>
    <n v="0"/>
    <n v="234"/>
    <n v="252.8682"/>
    <n v="0"/>
    <n v="528.18175932203394"/>
    <n v="1455.4176940779657"/>
    <n v="0.73372559746540511"/>
    <x v="1"/>
    <s v="MEDIANO"/>
    <x v="7"/>
    <x v="1"/>
    <n v="9"/>
    <n v="1"/>
    <d v="2018-03-05T00:00:00"/>
    <s v="HYUNDAI"/>
    <s v="ELANTRA"/>
    <n v="1193.4974999999999"/>
    <d v="2018-03-06T00:00:00"/>
    <n v="16"/>
    <x v="1"/>
  </r>
  <r>
    <d v="2018-03-08T00:00:00"/>
    <s v="001-00011764"/>
    <n v="1069.9244999999999"/>
    <n v="0"/>
    <n v="0"/>
    <n v="0"/>
    <n v="0"/>
    <n v="73.125"/>
    <n v="185.9325"/>
    <n v="0"/>
    <n v="259.0575"/>
    <n v="810.86699999999985"/>
    <n v="0.75787310226095383"/>
    <x v="0"/>
    <s v="LEVE"/>
    <x v="7"/>
    <x v="1"/>
    <n v="3"/>
    <n v="1"/>
    <d v="2018-03-05T00:00:00"/>
    <s v="TOYOTA"/>
    <s v="YARIS"/>
    <n v="0"/>
    <d v="2018-03-05T00:00:00"/>
    <n v="5"/>
    <x v="318"/>
  </r>
  <r>
    <d v="2018-03-07T00:00:00"/>
    <s v="001-00011765"/>
    <n v="121.15066212542"/>
    <n v="0"/>
    <n v="0"/>
    <n v="0"/>
    <n v="0"/>
    <n v="7.3125"/>
    <n v="15.494375"/>
    <n v="0"/>
    <n v="22.806874999999998"/>
    <n v="98.343787125419993"/>
    <n v="0.81174783034706477"/>
    <x v="1"/>
    <s v="LEVE"/>
    <x v="7"/>
    <x v="1"/>
    <n v="2"/>
    <n v="1"/>
    <d v="2018-03-05T00:00:00"/>
    <s v="KIA"/>
    <s v="RIO"/>
    <n v="578.01249999999993"/>
    <d v="2018-03-05T00:00:00"/>
    <n v="0.5"/>
    <x v="1"/>
  </r>
  <r>
    <d v="2018-03-12T00:00:00"/>
    <s v="001-00011766"/>
    <n v="616.16770673999997"/>
    <n v="0"/>
    <n v="0"/>
    <n v="67.084745762711862"/>
    <n v="0"/>
    <n v="58.5"/>
    <n v="69.414800000000014"/>
    <n v="0"/>
    <n v="194.99954576271188"/>
    <n v="421.1681609772881"/>
    <n v="0.68352845559789377"/>
    <x v="1"/>
    <s v="LEVE"/>
    <x v="7"/>
    <x v="1"/>
    <n v="7"/>
    <n v="1"/>
    <d v="2018-03-05T00:00:00"/>
    <s v="HYUNDAI"/>
    <s v="CRETA"/>
    <n v="2283.0925000000002"/>
    <d v="2018-03-06T00:00:00"/>
    <n v="4"/>
    <x v="1"/>
  </r>
  <r>
    <d v="2018-03-15T00:00:00"/>
    <s v="001-00011767"/>
    <n v="1799.4640944186399"/>
    <n v="2.54"/>
    <n v="0"/>
    <n v="72.03"/>
    <n v="0"/>
    <n v="175.5"/>
    <n v="301.21065000000004"/>
    <n v="0"/>
    <n v="551.28065000000004"/>
    <n v="1248.1834444186397"/>
    <n v="0.69364176161675262"/>
    <x v="1"/>
    <s v="MEDIANO"/>
    <x v="7"/>
    <x v="1"/>
    <n v="10"/>
    <n v="1"/>
    <d v="2018-03-05T00:00:00"/>
    <s v="SUZUKI"/>
    <s v="APV"/>
    <n v="3235.3425000000002"/>
    <d v="2018-03-06T00:00:00"/>
    <n v="12"/>
    <x v="1"/>
  </r>
  <r>
    <d v="2018-03-27T00:00:00"/>
    <s v="001-00011769"/>
    <n v="381.69712799563024"/>
    <n v="0"/>
    <n v="0"/>
    <n v="27.542372881355934"/>
    <n v="0"/>
    <n v="30.712500000000002"/>
    <n v="61.977499999999999"/>
    <n v="0"/>
    <n v="120.23237288135593"/>
    <n v="261.46475511427434"/>
    <n v="0.68500582251503772"/>
    <x v="1"/>
    <s v="LEVE"/>
    <x v="7"/>
    <x v="1"/>
    <n v="22"/>
    <n v="1"/>
    <d v="2018-03-05T00:00:00"/>
    <s v="HYUNDAI"/>
    <s v="ELANTRA"/>
    <n v="2217.7999999999997"/>
    <d v="2018-03-07T00:00:00"/>
    <n v="2.1"/>
    <x v="1"/>
  </r>
  <r>
    <d v="2018-03-14T00:00:00"/>
    <s v="001-00011770"/>
    <n v="586.79999999999995"/>
    <n v="0"/>
    <n v="0"/>
    <n v="72.03"/>
    <n v="0"/>
    <n v="29.25"/>
    <n v="61.977499999999999"/>
    <n v="0"/>
    <n v="163.25749999999999"/>
    <n v="423.54249999999996"/>
    <n v="0.72178340149965914"/>
    <x v="1"/>
    <s v="LEVE"/>
    <x v="7"/>
    <x v="1"/>
    <n v="8"/>
    <n v="1"/>
    <d v="2018-03-06T00:00:00"/>
    <s v="SUZUKI"/>
    <s v="ERTIGA"/>
    <n v="178.75"/>
    <d v="2018-03-07T00:00:00"/>
    <n v="2"/>
    <x v="1"/>
  </r>
  <r>
    <d v="2018-03-12T00:00:00"/>
    <s v="001-00011771"/>
    <n v="559.44925200000012"/>
    <n v="0"/>
    <n v="0"/>
    <n v="0"/>
    <n v="0"/>
    <n v="43.875"/>
    <n v="123.955"/>
    <n v="0"/>
    <n v="167.82999999999998"/>
    <n v="391.61925200000013"/>
    <n v="0.70000853625236426"/>
    <x v="1"/>
    <s v="LEVE"/>
    <x v="7"/>
    <x v="1"/>
    <n v="6"/>
    <n v="1"/>
    <d v="2018-03-06T00:00:00"/>
    <s v="KIA"/>
    <s v="RIO"/>
    <n v="30.745000000000005"/>
    <d v="2018-03-07T00:00:00"/>
    <n v="3"/>
    <x v="802"/>
  </r>
  <r>
    <d v="2018-03-14T00:00:00"/>
    <s v="001-00011772"/>
    <n v="577.02"/>
    <n v="0"/>
    <n v="0"/>
    <n v="18"/>
    <n v="0"/>
    <n v="73.125"/>
    <n v="92.966250000000002"/>
    <n v="0"/>
    <n v="184.09125"/>
    <n v="392.92874999999998"/>
    <n v="0.68096209836747423"/>
    <x v="1"/>
    <s v="LEVE"/>
    <x v="7"/>
    <x v="1"/>
    <n v="8"/>
    <n v="1"/>
    <d v="2018-03-06T00:00:00"/>
    <s v="MAZDA"/>
    <s v="MAZDA 3"/>
    <n v="2112.5"/>
    <d v="2018-03-07T00:00:00"/>
    <n v="5"/>
    <x v="1"/>
  </r>
  <r>
    <d v="2018-03-17T00:00:00"/>
    <s v="001-00011773"/>
    <n v="982.28328566237099"/>
    <n v="0"/>
    <n v="0"/>
    <n v="0"/>
    <n v="0"/>
    <n v="102.375"/>
    <n v="123.955"/>
    <n v="0"/>
    <n v="226.32999999999998"/>
    <n v="755.95328566237094"/>
    <n v="0.76958785382632089"/>
    <x v="1"/>
    <s v="LEVE"/>
    <x v="7"/>
    <x v="1"/>
    <n v="11"/>
    <n v="1"/>
    <d v="2018-03-06T00:00:00"/>
    <s v="TOYOTA"/>
    <s v="RAV4"/>
    <n v="1896.1474999999998"/>
    <d v="2018-03-07T00:00:00"/>
    <n v="7"/>
    <x v="1"/>
  </r>
  <r>
    <d v="2018-03-15T00:00:00"/>
    <s v="001-00011774"/>
    <n v="1334.2462615847498"/>
    <n v="0"/>
    <n v="0"/>
    <n v="40.656779661016948"/>
    <n v="0"/>
    <n v="146.25"/>
    <n v="201.426875"/>
    <n v="0"/>
    <n v="388.33365466101691"/>
    <n v="945.91260692373294"/>
    <n v="0.70894904048689333"/>
    <x v="1"/>
    <s v="MEDIANO"/>
    <x v="7"/>
    <x v="1"/>
    <n v="9"/>
    <n v="1"/>
    <d v="2018-03-06T00:00:00"/>
    <s v="HYUNDAI"/>
    <s v="SANTA FE"/>
    <n v="3890.7700000000004"/>
    <d v="2018-03-07T00:00:00"/>
    <n v="10"/>
    <x v="803"/>
  </r>
  <r>
    <d v="2018-03-08T00:00:00"/>
    <s v="001-00011775"/>
    <n v="347.5"/>
    <n v="0"/>
    <n v="0"/>
    <n v="36.020000000000003"/>
    <n v="0"/>
    <n v="14.625"/>
    <n v="61.977499999999999"/>
    <n v="0"/>
    <n v="112.6225"/>
    <n v="234.8775"/>
    <n v="0.67590647482014388"/>
    <x v="0"/>
    <s v="LEVE"/>
    <x v="7"/>
    <x v="1"/>
    <n v="2"/>
    <n v="1"/>
    <d v="2018-03-06T00:00:00"/>
    <s v="SUZUKI"/>
    <s v="SWIFT"/>
    <n v="0"/>
    <d v="2018-03-06T00:00:00"/>
    <n v="1"/>
    <x v="804"/>
  </r>
  <r>
    <d v="2018-03-19T00:00:00"/>
    <s v="001-00011777"/>
    <n v="1169.9439642"/>
    <n v="0"/>
    <n v="0"/>
    <n v="20.656779661016948"/>
    <n v="0"/>
    <n v="146.25"/>
    <n v="201.426875"/>
    <n v="0"/>
    <n v="368.33365466101691"/>
    <n v="801.61030953898307"/>
    <n v="0.68516983211851423"/>
    <x v="2"/>
    <s v="MEDIANO"/>
    <x v="7"/>
    <x v="1"/>
    <n v="13"/>
    <n v="1"/>
    <d v="2018-03-06T00:00:00"/>
    <s v="KIA"/>
    <s v="RIO"/>
    <n v="1860.0400000000002"/>
    <d v="2018-03-07T00:00:00"/>
    <n v="10"/>
    <x v="2"/>
  </r>
  <r>
    <d v="2018-03-19T00:00:00"/>
    <s v="001-00011778"/>
    <n v="908.17161661017008"/>
    <n v="0"/>
    <n v="0"/>
    <n v="126.0635593220339"/>
    <n v="21.9375"/>
    <n v="73.125"/>
    <n v="77.471874999999997"/>
    <n v="0"/>
    <n v="298.59793432203389"/>
    <n v="609.57368228813618"/>
    <n v="0.67120979244366086"/>
    <x v="1"/>
    <s v="LEVE"/>
    <x v="7"/>
    <x v="1"/>
    <n v="12"/>
    <n v="1"/>
    <d v="2018-03-07T00:00:00"/>
    <s v="HYUNDAI"/>
    <s v="ELANTRA"/>
    <n v="2669.8425000000002"/>
    <d v="2018-03-08T00:00:00"/>
    <n v="5"/>
    <x v="1"/>
  </r>
  <r>
    <d v="2018-03-09T00:00:00"/>
    <s v="001-00011780"/>
    <n v="350"/>
    <n v="119.40200199999998"/>
    <n v="0"/>
    <n v="0"/>
    <n v="39.048749999999998"/>
    <n v="0"/>
    <n v="0"/>
    <n v="0"/>
    <n v="158.45075199999997"/>
    <n v="191.54924800000003"/>
    <n v="0.54728356571428582"/>
    <x v="0"/>
    <s v="MECANICA"/>
    <x v="7"/>
    <x v="1"/>
    <n v="2"/>
    <n v="1"/>
    <d v="2018-03-07T00:00:00"/>
    <s v="HYUNDAI"/>
    <s v="ACCENT"/>
    <n v="0"/>
    <d v="2018-03-08T00:00:00"/>
    <n v="0"/>
    <x v="206"/>
  </r>
  <r>
    <d v="2018-03-09T00:00:00"/>
    <s v="001-00011781"/>
    <n v="325.59999999999997"/>
    <n v="0"/>
    <n v="0"/>
    <n v="41.313559322033896"/>
    <n v="0"/>
    <n v="14.625"/>
    <n v="61.977499999999999"/>
    <n v="0"/>
    <n v="117.9160593220339"/>
    <n v="207.68394067796606"/>
    <n v="0.63784994065714395"/>
    <x v="0"/>
    <s v="LEVE"/>
    <x v="7"/>
    <x v="1"/>
    <n v="2"/>
    <n v="1"/>
    <d v="2018-03-07T00:00:00"/>
    <s v="HYUNDAI"/>
    <s v="ACCENT"/>
    <n v="0"/>
    <d v="2018-03-07T00:00:00"/>
    <n v="1"/>
    <x v="206"/>
  </r>
  <r>
    <d v="2018-03-17T00:00:00"/>
    <s v="001-00011782"/>
    <n v="1969.3671219145785"/>
    <n v="0.41789999999999999"/>
    <n v="0"/>
    <n v="92.163559322033905"/>
    <n v="24.423749999999998"/>
    <n v="175.5"/>
    <n v="123.955"/>
    <n v="0"/>
    <n v="416.4602093220339"/>
    <n v="1552.9069125925446"/>
    <n v="0.78853094240897048"/>
    <x v="2"/>
    <s v="MEDIANO"/>
    <x v="7"/>
    <x v="1"/>
    <n v="11"/>
    <n v="1"/>
    <d v="2018-03-06T00:00:00"/>
    <s v="KIA"/>
    <s v="CERATO"/>
    <n v="6377.085"/>
    <d v="2018-03-08T00:00:00"/>
    <n v="12"/>
    <x v="2"/>
  </r>
  <r>
    <d v="2018-03-07T00:00:00"/>
    <s v="001-00011783"/>
    <n v="550"/>
    <n v="106.3352522"/>
    <n v="0"/>
    <n v="0"/>
    <n v="39.048749999999998"/>
    <n v="0"/>
    <n v="0"/>
    <n v="0"/>
    <n v="145.3840022"/>
    <n v="404.6159978"/>
    <n v="0.73566545054545451"/>
    <x v="0"/>
    <s v="MECANICA"/>
    <x v="7"/>
    <x v="1"/>
    <n v="0"/>
    <n v="1"/>
    <d v="2018-03-07T00:00:00"/>
    <s v="NISSAN"/>
    <s v="QASHQAI"/>
    <n v="0"/>
    <d v="2018-03-07T00:00:00"/>
    <n v="0"/>
    <x v="805"/>
  </r>
  <r>
    <d v="2018-03-09T00:00:00"/>
    <s v="001-00011784"/>
    <n v="65.11999999999999"/>
    <n v="0"/>
    <n v="0"/>
    <n v="0"/>
    <n v="0"/>
    <n v="0"/>
    <n v="0"/>
    <n v="0"/>
    <n v="0"/>
    <n v="65.11999999999999"/>
    <n v="1"/>
    <x v="0"/>
    <s v="LEVE"/>
    <x v="7"/>
    <x v="1"/>
    <n v="2"/>
    <n v="1"/>
    <d v="2018-03-07T00:00:00"/>
    <s v="FORD"/>
    <s v="EXPLORER"/>
    <n v="0"/>
    <d v="2018-03-07T00:00:00"/>
    <n v="0"/>
    <x v="806"/>
  </r>
  <r>
    <d v="2018-03-14T00:00:00"/>
    <s v="001-00011785"/>
    <n v="782.4"/>
    <n v="0"/>
    <n v="0"/>
    <n v="0"/>
    <n v="0"/>
    <n v="117"/>
    <n v="123.955"/>
    <n v="0"/>
    <n v="240.95499999999998"/>
    <n v="541.44499999999994"/>
    <n v="0.69203093047034758"/>
    <x v="0"/>
    <s v="LEVE"/>
    <x v="7"/>
    <x v="1"/>
    <n v="7"/>
    <n v="1"/>
    <d v="2018-03-07T00:00:00"/>
    <s v="SUZUKI"/>
    <s v="ERTIGA"/>
    <n v="0"/>
    <d v="2018-03-07T00:00:00"/>
    <n v="8"/>
    <x v="807"/>
  </r>
  <r>
    <d v="2018-03-13T00:00:00"/>
    <s v="001-00011786"/>
    <n v="100"/>
    <n v="0"/>
    <n v="0"/>
    <n v="0"/>
    <n v="39.048749999999998"/>
    <n v="0"/>
    <n v="0"/>
    <n v="0"/>
    <n v="39.048749999999998"/>
    <n v="60.951250000000002"/>
    <n v="0.60951250000000001"/>
    <x v="0"/>
    <s v="LEVE"/>
    <x v="7"/>
    <x v="1"/>
    <n v="6"/>
    <n v="1"/>
    <d v="2018-03-07T00:00:00"/>
    <s v="HYUNDAI"/>
    <s v="ELANTRA"/>
    <n v="0"/>
    <d v="2018-03-07T00:00:00"/>
    <n v="0"/>
    <x v="808"/>
  </r>
  <r>
    <d v="2018-03-21T00:00:00"/>
    <s v="001-00011787"/>
    <n v="2186.1575466754198"/>
    <n v="6.3233002000000003"/>
    <n v="20"/>
    <n v="112.29237288135593"/>
    <n v="43.875"/>
    <n v="204.75"/>
    <n v="294.393125"/>
    <n v="0"/>
    <n v="681.63379808135596"/>
    <n v="1504.5237485940638"/>
    <n v="0.68820463140090493"/>
    <x v="1"/>
    <s v="MEDIANO"/>
    <x v="7"/>
    <x v="1"/>
    <n v="14"/>
    <n v="1"/>
    <d v="2018-03-07T00:00:00"/>
    <s v="HYUNDAI"/>
    <s v="ELANTRA"/>
    <n v="2432.17"/>
    <d v="2018-03-08T00:00:00"/>
    <n v="14"/>
    <x v="1"/>
  </r>
  <r>
    <d v="2018-03-08T00:00:00"/>
    <s v="001-00011789"/>
    <n v="449"/>
    <n v="133.51070169999997"/>
    <n v="0"/>
    <n v="0"/>
    <n v="39.048749999999998"/>
    <n v="0"/>
    <n v="0"/>
    <n v="0"/>
    <n v="172.55945169999995"/>
    <n v="276.44054830000005"/>
    <n v="0.61568050846325173"/>
    <x v="0"/>
    <s v="MECANICA"/>
    <x v="7"/>
    <x v="1"/>
    <n v="0"/>
    <n v="1"/>
    <d v="2018-03-08T00:00:00"/>
    <s v="KIA"/>
    <s v="RIO"/>
    <n v="0"/>
    <d v="2018-03-08T00:00:00"/>
    <n v="0"/>
    <x v="708"/>
  </r>
  <r>
    <d v="2018-03-10T00:00:00"/>
    <s v="001-00011791"/>
    <n v="697.63999999999987"/>
    <n v="0"/>
    <n v="0"/>
    <n v="0"/>
    <n v="0"/>
    <n v="43.875"/>
    <n v="123.955"/>
    <n v="0"/>
    <n v="167.82999999999998"/>
    <n v="529.80999999999995"/>
    <n v="0.75943179863539945"/>
    <x v="1"/>
    <s v="LEVE"/>
    <x v="7"/>
    <x v="1"/>
    <n v="2"/>
    <n v="1"/>
    <d v="2018-03-08T00:00:00"/>
    <s v="VOLKSWAGUEN"/>
    <s v="GOL"/>
    <n v="0"/>
    <d v="2018-03-08T00:00:00"/>
    <n v="3"/>
    <x v="1"/>
  </r>
  <r>
    <d v="2018-03-16T00:00:00"/>
    <s v="001-00011795"/>
    <n v="479.70745130592991"/>
    <n v="0"/>
    <n v="0"/>
    <n v="0"/>
    <n v="0"/>
    <n v="23.400000000000002"/>
    <n v="123.955"/>
    <n v="0"/>
    <n v="147.35499999999999"/>
    <n v="332.35245130592989"/>
    <n v="0.69282319964209715"/>
    <x v="1"/>
    <s v="LEVE"/>
    <x v="7"/>
    <x v="1"/>
    <n v="8"/>
    <n v="1"/>
    <d v="2018-03-08T00:00:00"/>
    <s v="MITSUBISHI"/>
    <s v="OUTLANDER"/>
    <n v="2508.09"/>
    <d v="2018-03-08T00:00:00"/>
    <n v="1.6"/>
    <x v="1"/>
  </r>
  <r>
    <d v="2018-03-17T00:00:00"/>
    <s v="001-00011797"/>
    <n v="1457.7217477940701"/>
    <n v="0"/>
    <n v="0"/>
    <n v="0"/>
    <n v="0"/>
    <n v="175.5"/>
    <n v="232.41562500000001"/>
    <n v="0"/>
    <n v="407.91562499999998"/>
    <n v="1049.8061227940702"/>
    <n v="0.72016907505339256"/>
    <x v="1"/>
    <s v="MEDIANO"/>
    <x v="7"/>
    <x v="1"/>
    <n v="9"/>
    <n v="1"/>
    <d v="2018-03-08T00:00:00"/>
    <s v="VOLKSWAGUEN"/>
    <s v="GOL"/>
    <n v="1331.2650000000001"/>
    <d v="2018-03-10T00:00:00"/>
    <n v="12"/>
    <x v="1"/>
  </r>
  <r>
    <d v="2018-03-16T00:00:00"/>
    <s v="001-00011799"/>
    <n v="890.47086687830904"/>
    <n v="0"/>
    <n v="0"/>
    <n v="68.855932203389841"/>
    <n v="0"/>
    <n v="43.875"/>
    <n v="179.73474999999999"/>
    <n v="0"/>
    <n v="292.46568220338986"/>
    <n v="598.00518467491918"/>
    <n v="0.67156063934053667"/>
    <x v="1"/>
    <s v="MEDIANO"/>
    <x v="7"/>
    <x v="1"/>
    <n v="8"/>
    <n v="1"/>
    <d v="2018-03-08T00:00:00"/>
    <s v="SUZUKI"/>
    <s v="APV"/>
    <n v="0"/>
    <d v="2018-03-09T00:00:00"/>
    <n v="3"/>
    <x v="809"/>
  </r>
  <r>
    <d v="2018-03-10T00:00:00"/>
    <s v="001-00011800"/>
    <n v="600"/>
    <n v="171.597103"/>
    <n v="0"/>
    <n v="0"/>
    <n v="78.097499999999997"/>
    <n v="0"/>
    <n v="0"/>
    <n v="0"/>
    <n v="249.694603"/>
    <n v="350.30539699999997"/>
    <n v="0.58384232833333327"/>
    <x v="0"/>
    <s v="MECANICA"/>
    <x v="7"/>
    <x v="1"/>
    <n v="3"/>
    <n v="1"/>
    <d v="2018-03-07T00:00:00"/>
    <s v="VOLKSWAGUEN"/>
    <s v="POLO"/>
    <n v="177.67750000000001"/>
    <d v="2018-03-09T00:00:00"/>
    <n v="0"/>
    <x v="810"/>
  </r>
  <r>
    <d v="2018-03-22T00:00:00"/>
    <s v="001-00011802"/>
    <n v="655.5588884"/>
    <n v="1.393"/>
    <n v="0"/>
    <n v="20"/>
    <n v="0"/>
    <n v="58.5"/>
    <n v="127.05387499999999"/>
    <n v="0"/>
    <n v="206.94687499999998"/>
    <n v="448.61201340000002"/>
    <n v="0.68431993118865631"/>
    <x v="1"/>
    <s v="LEVE"/>
    <x v="7"/>
    <x v="1"/>
    <n v="13"/>
    <n v="1"/>
    <d v="2018-03-09T00:00:00"/>
    <s v="MITSUBISHI"/>
    <s v="L200"/>
    <n v="2464.7999999999997"/>
    <d v="2018-03-09T00:00:00"/>
    <n v="4"/>
    <x v="811"/>
  </r>
  <r>
    <d v="2018-03-10T00:00:00"/>
    <s v="001-00011806"/>
    <n v="450"/>
    <n v="102.93760069999999"/>
    <n v="0"/>
    <n v="0"/>
    <n v="39.048749999999998"/>
    <n v="0"/>
    <n v="0"/>
    <n v="0"/>
    <n v="141.9863507"/>
    <n v="308.0136493"/>
    <n v="0.68447477622222219"/>
    <x v="0"/>
    <s v="MECANICA"/>
    <x v="7"/>
    <x v="1"/>
    <n v="0"/>
    <n v="1"/>
    <d v="2018-03-10T00:00:00"/>
    <s v="KIA"/>
    <s v="SOUL"/>
    <n v="0"/>
    <d v="2018-03-10T00:00:00"/>
    <n v="0"/>
    <x v="812"/>
  </r>
  <r>
    <d v="2018-03-16T00:00:00"/>
    <s v="001-00011807"/>
    <n v="2530.5657613351209"/>
    <n v="0"/>
    <n v="0"/>
    <n v="0"/>
    <n v="0"/>
    <n v="365.625"/>
    <n v="480.32562499999995"/>
    <n v="0"/>
    <n v="845.95062499999995"/>
    <n v="1684.615136335121"/>
    <n v="0.66570691901178725"/>
    <x v="0"/>
    <s v="MEDIANO"/>
    <x v="7"/>
    <x v="1"/>
    <n v="6"/>
    <n v="1"/>
    <d v="2018-03-10T00:00:00"/>
    <s v="SUZUKI"/>
    <s v="APV"/>
    <n v="59.15"/>
    <d v="2018-03-10T00:00:00"/>
    <n v="25"/>
    <x v="809"/>
  </r>
  <r>
    <d v="2018-03-17T00:00:00"/>
    <s v="001-00011808"/>
    <n v="1918.0000100000002"/>
    <n v="453.38999699999999"/>
    <n v="0"/>
    <n v="148.31"/>
    <n v="87.75"/>
    <n v="0"/>
    <n v="0"/>
    <n v="0"/>
    <n v="689.44999699999994"/>
    <n v="1228.5500130000003"/>
    <n v="0.64053702116508338"/>
    <x v="0"/>
    <s v="MECANICA"/>
    <x v="7"/>
    <x v="1"/>
    <n v="9"/>
    <n v="1"/>
    <d v="2018-03-08T00:00:00"/>
    <s v="CITROEN"/>
    <s v="BERLINGO"/>
    <n v="1192.5225"/>
    <d v="2018-03-10T00:00:00"/>
    <n v="0"/>
    <x v="813"/>
  </r>
  <r>
    <d v="2018-03-17T00:00:00"/>
    <s v="001-00011809"/>
    <n v="641.8018467610201"/>
    <n v="0"/>
    <n v="0"/>
    <n v="41.313559322033896"/>
    <n v="0"/>
    <n v="51.1875"/>
    <n v="115.89792500000001"/>
    <n v="0"/>
    <n v="208.39898432203393"/>
    <n v="433.40286243898618"/>
    <n v="0.67529076867921056"/>
    <x v="1"/>
    <s v="LEVE"/>
    <x v="7"/>
    <x v="1"/>
    <n v="7"/>
    <n v="1"/>
    <d v="2018-03-10T00:00:00"/>
    <s v="MAZDA"/>
    <s v="MAZDA 2"/>
    <n v="1535.04"/>
    <d v="2018-03-12T00:00:00"/>
    <n v="3.5"/>
    <x v="1"/>
  </r>
  <r>
    <d v="2018-03-27T00:00:00"/>
    <s v="001-00011810"/>
    <n v="1973.2470613"/>
    <n v="0"/>
    <n v="0"/>
    <n v="122.89"/>
    <n v="20.474999999999998"/>
    <n v="117"/>
    <n v="283.23717499999998"/>
    <n v="0"/>
    <n v="543.60217499999999"/>
    <n v="1429.6448863000001"/>
    <n v="0.72451388087112212"/>
    <x v="1"/>
    <s v="MEDIANO"/>
    <x v="7"/>
    <x v="1"/>
    <n v="17"/>
    <n v="1"/>
    <d v="2018-03-10T00:00:00"/>
    <s v="HYUNDAI"/>
    <s v="TUCSON"/>
    <n v="1782.8199999999997"/>
    <d v="2018-03-12T00:00:00"/>
    <n v="8"/>
    <x v="1"/>
  </r>
  <r>
    <d v="2018-03-13T00:00:00"/>
    <s v="001-00011811"/>
    <n v="880"/>
    <n v="184.88310332"/>
    <n v="0"/>
    <n v="0"/>
    <n v="39.048749999999998"/>
    <n v="0"/>
    <n v="0"/>
    <n v="0"/>
    <n v="223.93185332000002"/>
    <n v="656.06814667999993"/>
    <n v="0.74553198486363625"/>
    <x v="0"/>
    <s v="MECANICA"/>
    <x v="7"/>
    <x v="1"/>
    <n v="1"/>
    <n v="1"/>
    <d v="2018-03-12T00:00:00"/>
    <s v="KIA"/>
    <s v="RIO"/>
    <n v="566.73500000000001"/>
    <d v="2018-03-12T00:00:00"/>
    <n v="0"/>
    <x v="157"/>
  </r>
  <r>
    <d v="2018-03-12T00:00:00"/>
    <s v="001-00011812"/>
    <n v="503.10169999999999"/>
    <n v="140.67190640000001"/>
    <n v="0"/>
    <n v="38.14"/>
    <n v="78.097499999999997"/>
    <n v="0"/>
    <n v="0"/>
    <n v="0"/>
    <n v="256.90940639999997"/>
    <n v="246.19229360000003"/>
    <n v="0.48934895986238969"/>
    <x v="0"/>
    <s v="MECANICA"/>
    <x v="7"/>
    <x v="1"/>
    <n v="2"/>
    <n v="1"/>
    <d v="2018-03-10T00:00:00"/>
    <s v="HYUNDAI"/>
    <s v="ELANTRA"/>
    <n v="50.147500000000001"/>
    <d v="2018-03-12T00:00:00"/>
    <n v="0"/>
    <x v="0"/>
  </r>
  <r>
    <d v="2018-03-21T00:00:00"/>
    <s v="001-00011814"/>
    <n v="1165.786271751861"/>
    <n v="0"/>
    <n v="0"/>
    <n v="41.313559322033896"/>
    <n v="0"/>
    <n v="102.375"/>
    <n v="185.9325"/>
    <n v="0"/>
    <n v="329.62105932203389"/>
    <n v="836.16521242982708"/>
    <n v="0.71725429668450047"/>
    <x v="1"/>
    <s v="MEDIANO"/>
    <x v="7"/>
    <x v="1"/>
    <n v="9"/>
    <n v="1"/>
    <d v="2018-03-12T00:00:00"/>
    <s v="TOYOTA"/>
    <s v="YARIS"/>
    <n v="268.22250000000003"/>
    <d v="2018-03-13T00:00:00"/>
    <n v="7"/>
    <x v="1"/>
  </r>
  <r>
    <d v="2018-03-22T00:00:00"/>
    <s v="001-00011815"/>
    <n v="2474.2526301999997"/>
    <n v="0"/>
    <n v="0"/>
    <n v="0"/>
    <n v="11.700000000000001"/>
    <n v="263.25"/>
    <n v="285.09649999999999"/>
    <n v="0"/>
    <n v="560.04649999999992"/>
    <n v="1914.2061301999997"/>
    <n v="0.77365023556437318"/>
    <x v="1"/>
    <s v="MEDIANO"/>
    <x v="7"/>
    <x v="1"/>
    <n v="10"/>
    <n v="1"/>
    <d v="2018-03-12T00:00:00"/>
    <s v="SUZUKI"/>
    <s v="GRAND N."/>
    <n v="2964.585"/>
    <d v="2018-03-12T00:00:00"/>
    <n v="18"/>
    <x v="814"/>
  </r>
  <r>
    <d v="2018-03-29T00:00:00"/>
    <s v="001-00011816"/>
    <n v="1829.1190612566088"/>
    <n v="5.4759001999999999"/>
    <n v="0"/>
    <n v="75.741525423728817"/>
    <n v="32.175000000000004"/>
    <n v="131.625"/>
    <n v="309.88749999999999"/>
    <n v="0"/>
    <n v="554.90492562372879"/>
    <n v="1274.21413563288"/>
    <n v="0.69662722488796991"/>
    <x v="1"/>
    <s v="MEDIANO"/>
    <x v="7"/>
    <x v="1"/>
    <n v="17"/>
    <n v="1"/>
    <d v="2018-03-12T00:00:00"/>
    <s v="CHEVROLET"/>
    <s v="SAIL"/>
    <n v="3437.5250000000001"/>
    <d v="2018-03-13T00:00:00"/>
    <n v="9"/>
    <x v="1"/>
  </r>
  <r>
    <d v="2018-03-21T00:00:00"/>
    <s v="001-00011818"/>
    <n v="1642.6725502499999"/>
    <n v="0.93130001000000007"/>
    <n v="0"/>
    <n v="0"/>
    <n v="0"/>
    <n v="263.25"/>
    <n v="192.13025000000002"/>
    <n v="0"/>
    <n v="456.31155001000002"/>
    <n v="1186.3610002399998"/>
    <n v="0.72221393123020561"/>
    <x v="1"/>
    <s v="MEDIANO"/>
    <x v="7"/>
    <x v="1"/>
    <n v="9"/>
    <n v="1"/>
    <d v="2018-03-12T00:00:00"/>
    <s v="KIA"/>
    <s v="RIO"/>
    <n v="60.092499999999994"/>
    <d v="2018-03-12T00:00:00"/>
    <n v="18"/>
    <x v="1"/>
  </r>
  <r>
    <d v="2018-03-24T00:00:00"/>
    <s v="001-00011820"/>
    <n v="1630.2409550700002"/>
    <n v="0"/>
    <n v="0"/>
    <n v="126.0635593220339"/>
    <n v="23.400000000000002"/>
    <n v="160.875"/>
    <n v="222.49922499999997"/>
    <n v="0"/>
    <n v="532.83778432203394"/>
    <n v="1097.4031707479662"/>
    <n v="0.67315396986873355"/>
    <x v="1"/>
    <s v="MEDIANO"/>
    <x v="7"/>
    <x v="1"/>
    <n v="12"/>
    <n v="1"/>
    <d v="2018-03-12T00:00:00"/>
    <s v="KIA"/>
    <s v="CERATO"/>
    <n v="6597.37"/>
    <d v="2018-03-12T00:00:00"/>
    <n v="11"/>
    <x v="1"/>
  </r>
  <r>
    <d v="2018-03-24T00:00:00"/>
    <s v="001-00011822"/>
    <n v="1528.5224057999999"/>
    <n v="0"/>
    <n v="0"/>
    <n v="0"/>
    <n v="0"/>
    <n v="117"/>
    <n v="260.30550000000005"/>
    <n v="0"/>
    <n v="377.30550000000005"/>
    <n v="1151.2169057999999"/>
    <n v="0.75315670966398085"/>
    <x v="1"/>
    <s v="MEDIANO"/>
    <x v="7"/>
    <x v="1"/>
    <n v="12"/>
    <n v="1"/>
    <d v="2018-03-12T00:00:00"/>
    <s v="TOYOTA"/>
    <s v="RAV4"/>
    <n v="5715.4174999999996"/>
    <d v="2018-03-13T00:00:00"/>
    <n v="8"/>
    <x v="1"/>
  </r>
  <r>
    <d v="2018-03-12T00:00:00"/>
    <s v="001-00011823"/>
    <n v="450"/>
    <n v="120.7891807"/>
    <n v="0"/>
    <n v="0"/>
    <n v="39.048749999999998"/>
    <n v="0"/>
    <n v="0"/>
    <n v="0"/>
    <n v="159.83793070000002"/>
    <n v="290.16206929999998"/>
    <n v="0.64480459844444438"/>
    <x v="0"/>
    <s v="MECANICA"/>
    <x v="7"/>
    <x v="1"/>
    <n v="2"/>
    <n v="1"/>
    <d v="2018-03-10T00:00:00"/>
    <s v="HYUNDAI"/>
    <s v="SANTA FE"/>
    <n v="0"/>
    <d v="2018-03-12T00:00:00"/>
    <n v="0"/>
    <x v="815"/>
  </r>
  <r>
    <d v="2018-03-17T00:00:00"/>
    <s v="001-00011824"/>
    <n v="794.23479357660892"/>
    <n v="0.42369999999999997"/>
    <n v="0"/>
    <n v="18"/>
    <n v="0"/>
    <n v="42.412499999999994"/>
    <n v="185.9325"/>
    <n v="0"/>
    <n v="246.7687"/>
    <n v="547.46609357660896"/>
    <n v="0.68930006341229677"/>
    <x v="1"/>
    <s v="LEVE"/>
    <x v="7"/>
    <x v="1"/>
    <n v="5"/>
    <n v="1"/>
    <d v="2018-03-12T00:00:00"/>
    <s v="SUZUKI"/>
    <s v="BALENO"/>
    <n v="0"/>
    <d v="2018-03-12T00:00:00"/>
    <n v="2.9"/>
    <x v="1"/>
  </r>
  <r>
    <d v="2018-03-24T00:00:00"/>
    <s v="001-00011825"/>
    <n v="2049.13076667"/>
    <n v="0"/>
    <n v="0"/>
    <n v="18"/>
    <n v="0"/>
    <n v="175.5"/>
    <n v="349.55309999999997"/>
    <n v="0"/>
    <n v="543.05309999999997"/>
    <n v="1506.0776666699999"/>
    <n v="0.73498367755099181"/>
    <x v="1"/>
    <s v="MEDIANO"/>
    <x v="7"/>
    <x v="1"/>
    <n v="12"/>
    <n v="1"/>
    <d v="2018-03-12T00:00:00"/>
    <s v="KIA"/>
    <s v="RIO"/>
    <n v="1075.5874999999999"/>
    <d v="2018-03-13T00:00:00"/>
    <n v="12"/>
    <x v="816"/>
  </r>
  <r>
    <d v="2018-03-17T00:00:00"/>
    <s v="001-00011827"/>
    <n v="820.57255249067998"/>
    <n v="0"/>
    <n v="0"/>
    <n v="0"/>
    <n v="0"/>
    <n v="87.75"/>
    <n v="148.12622500000001"/>
    <n v="0"/>
    <n v="235.87622500000001"/>
    <n v="584.69632749068001"/>
    <n v="0.71254677690102353"/>
    <x v="1"/>
    <s v="LEVE"/>
    <x v="7"/>
    <x v="1"/>
    <n v="5"/>
    <n v="1"/>
    <d v="2018-03-12T00:00:00"/>
    <s v="HYUNDAI"/>
    <s v="ELANTRA"/>
    <n v="0"/>
    <d v="2018-03-12T00:00:00"/>
    <n v="6"/>
    <x v="1"/>
  </r>
  <r>
    <d v="2018-03-29T00:00:00"/>
    <s v="001-00011828"/>
    <n v="2526.4462378323706"/>
    <n v="5.4759001999999999"/>
    <n v="0"/>
    <n v="161.81144067796612"/>
    <n v="35.099999999999994"/>
    <n v="263.25"/>
    <n v="331.57962499999996"/>
    <n v="0"/>
    <n v="797.21696587796612"/>
    <n v="1729.2292719544043"/>
    <n v="0.68445124462178975"/>
    <x v="1"/>
    <s v="MEDIANO"/>
    <x v="7"/>
    <x v="1"/>
    <n v="17"/>
    <n v="1"/>
    <d v="2018-03-12T00:00:00"/>
    <s v="KIA"/>
    <s v="RIO"/>
    <n v="11196.5425"/>
    <d v="2018-03-14T00:00:00"/>
    <n v="18"/>
    <x v="1"/>
  </r>
  <r>
    <d v="2018-03-13T00:00:00"/>
    <s v="001-00011829"/>
    <n v="1070"/>
    <n v="355.99"/>
    <n v="0"/>
    <n v="97.46"/>
    <n v="39.048749999999998"/>
    <n v="0"/>
    <n v="0"/>
    <n v="0"/>
    <n v="492.49874999999997"/>
    <n v="577.50125000000003"/>
    <n v="0.53972079439252341"/>
    <x v="0"/>
    <s v="MECANICA"/>
    <x v="7"/>
    <x v="1"/>
    <n v="1"/>
    <n v="1"/>
    <d v="2018-03-12T00:00:00"/>
    <s v="FIAT"/>
    <s v="PALIO"/>
    <n v="797.45249999999999"/>
    <d v="2018-03-13T00:00:00"/>
    <n v="0"/>
    <x v="638"/>
  </r>
  <r>
    <d v="2018-03-28T00:00:00"/>
    <s v="001-00011831"/>
    <n v="1386.7092866"/>
    <n v="0"/>
    <n v="0"/>
    <n v="137.03"/>
    <n v="45.337500000000006"/>
    <n v="102.375"/>
    <n v="154.94374999999999"/>
    <n v="0"/>
    <n v="439.68624999999997"/>
    <n v="947.02303660000007"/>
    <n v="0.68292831507745677"/>
    <x v="1"/>
    <s v="LEVE"/>
    <x v="7"/>
    <x v="1"/>
    <n v="16"/>
    <n v="1"/>
    <d v="2018-03-12T00:00:00"/>
    <s v="SUZUKI"/>
    <s v="SX4"/>
    <n v="2410.0374999999999"/>
    <d v="2018-03-13T00:00:00"/>
    <n v="7"/>
    <x v="1"/>
  </r>
  <r>
    <d v="2018-03-14T00:00:00"/>
    <s v="001-00011832"/>
    <n v="900"/>
    <n v="259.45121190000003"/>
    <n v="0"/>
    <n v="50.85"/>
    <n v="68.298749999999998"/>
    <n v="0"/>
    <n v="0"/>
    <n v="0"/>
    <n v="378.59996190000004"/>
    <n v="521.40003809999996"/>
    <n v="0.57933337566666665"/>
    <x v="0"/>
    <s v="MECANICA"/>
    <x v="7"/>
    <x v="1"/>
    <n v="1"/>
    <n v="1"/>
    <d v="2018-03-13T00:00:00"/>
    <s v="HONDA"/>
    <s v="CR-V"/>
    <n v="190.58"/>
    <d v="2018-03-13T00:00:00"/>
    <n v="0"/>
    <x v="113"/>
  </r>
  <r>
    <d v="2018-03-24T00:00:00"/>
    <s v="001-00011834"/>
    <n v="1866.3500009700001"/>
    <n v="0"/>
    <n v="0"/>
    <n v="90.03"/>
    <n v="0"/>
    <n v="219.375"/>
    <n v="273.94055000000003"/>
    <n v="0"/>
    <n v="583.34555"/>
    <n v="1283.0044509700001"/>
    <n v="0.68744043202142302"/>
    <x v="1"/>
    <s v="MEDIANO"/>
    <x v="7"/>
    <x v="1"/>
    <n v="11"/>
    <n v="1"/>
    <d v="2018-03-13T00:00:00"/>
    <s v="KIA"/>
    <s v="RIO"/>
    <n v="113.45749999999998"/>
    <d v="2018-03-13T00:00:00"/>
    <n v="15"/>
    <x v="1"/>
  </r>
  <r>
    <d v="2018-03-14T00:00:00"/>
    <s v="001-00011836"/>
    <n v="565"/>
    <n v="90.892700000000005"/>
    <n v="0"/>
    <n v="29.66"/>
    <n v="39.048749999999998"/>
    <n v="0"/>
    <n v="0"/>
    <n v="0"/>
    <n v="159.60145"/>
    <n v="405.39855"/>
    <n v="0.71751955752212393"/>
    <x v="0"/>
    <s v="MECANICA"/>
    <x v="7"/>
    <x v="1"/>
    <n v="1"/>
    <n v="1"/>
    <d v="2018-03-13T00:00:00"/>
    <s v="SSANYONG"/>
    <s v="ACTYON"/>
    <n v="55.152499999999996"/>
    <d v="2018-03-13T00:00:00"/>
    <n v="0"/>
    <x v="817"/>
  </r>
  <r>
    <d v="2018-03-13T00:00:00"/>
    <s v="001-00011837"/>
    <n v="1408.3474999999999"/>
    <n v="806.76168100000018"/>
    <n v="0"/>
    <n v="213.62"/>
    <n v="0"/>
    <n v="0"/>
    <n v="0"/>
    <n v="0"/>
    <n v="1020.3816810000002"/>
    <n v="387.96581899999967"/>
    <n v="0.27547591698781709"/>
    <x v="0"/>
    <s v="MECANICA"/>
    <x v="7"/>
    <x v="1"/>
    <n v="2"/>
    <n v="1"/>
    <d v="2018-03-11T00:00:00"/>
    <s v="KIA"/>
    <s v="PICANTO"/>
    <n v="983.25500000000011"/>
    <d v="2018-03-13T00:00:00"/>
    <n v="0"/>
    <x v="687"/>
  </r>
  <r>
    <d v="2018-03-28T00:00:00"/>
    <s v="001-00011838"/>
    <n v="2688.3642800300004"/>
    <n v="2.3376000499999998"/>
    <n v="0"/>
    <n v="55.084745762711869"/>
    <n v="0"/>
    <n v="438.75"/>
    <n v="263.40437500000002"/>
    <n v="0"/>
    <n v="759.57672081271187"/>
    <n v="1928.7875592172886"/>
    <n v="0.71745766507348652"/>
    <x v="1"/>
    <s v="GRAVE"/>
    <x v="7"/>
    <x v="1"/>
    <n v="15"/>
    <n v="1"/>
    <d v="2018-03-13T00:00:00"/>
    <s v="KIA"/>
    <s v="RIO"/>
    <n v="1710.4424999999999"/>
    <d v="2018-03-14T00:00:00"/>
    <n v="30"/>
    <x v="1"/>
  </r>
  <r>
    <d v="2018-03-16T00:00:00"/>
    <s v="001-00011839"/>
    <n v="161.46900495"/>
    <n v="0"/>
    <n v="0"/>
    <n v="0"/>
    <n v="0"/>
    <n v="0"/>
    <n v="61.977499999999999"/>
    <n v="0"/>
    <n v="61.977499999999999"/>
    <n v="99.491504950000007"/>
    <n v="0.61616472449810566"/>
    <x v="0"/>
    <s v="LEVE"/>
    <x v="7"/>
    <x v="1"/>
    <n v="3"/>
    <n v="1"/>
    <d v="2018-03-13T00:00:00"/>
    <s v="MITSUBISHI"/>
    <s v="OUTLANDER"/>
    <n v="0"/>
    <d v="2018-03-14T00:00:00"/>
    <n v="0"/>
    <x v="660"/>
  </r>
  <r>
    <d v="2018-03-24T00:00:00"/>
    <s v="001-00011840"/>
    <n v="227.11860000000001"/>
    <n v="0"/>
    <n v="81.87"/>
    <n v="0"/>
    <n v="0"/>
    <n v="0"/>
    <n v="0"/>
    <n v="0"/>
    <n v="81.87"/>
    <n v="145.24860000000001"/>
    <n v="0.63952754199788131"/>
    <x v="0"/>
    <s v="MEDIANO"/>
    <x v="7"/>
    <x v="1"/>
    <n v="10"/>
    <n v="1"/>
    <d v="2018-03-14T00:00:00"/>
    <s v="TOYOTA"/>
    <s v="CORONA"/>
    <n v="0"/>
    <d v="2018-03-14T00:00:00"/>
    <n v="0"/>
    <x v="818"/>
  </r>
  <r>
    <d v="2018-03-21T00:00:00"/>
    <s v="001-00011841"/>
    <n v="359.61779423184987"/>
    <n v="0"/>
    <n v="0"/>
    <n v="0"/>
    <n v="0"/>
    <n v="43.875"/>
    <n v="61.977499999999999"/>
    <n v="0"/>
    <n v="105.85249999999999"/>
    <n v="253.76529423184988"/>
    <n v="0.7056527744237383"/>
    <x v="0"/>
    <s v="LEVE"/>
    <x v="7"/>
    <x v="1"/>
    <n v="7"/>
    <n v="1"/>
    <d v="2018-03-14T00:00:00"/>
    <s v="HYUNDAI"/>
    <s v="ELANTRA"/>
    <n v="0"/>
    <d v="2018-03-14T00:00:00"/>
    <n v="3"/>
    <x v="819"/>
  </r>
  <r>
    <d v="2018-03-28T00:00:00"/>
    <s v="001-00011842"/>
    <n v="483.45000000000005"/>
    <n v="0"/>
    <n v="0"/>
    <n v="146.18711864406779"/>
    <n v="0"/>
    <n v="102.375"/>
    <n v="203.28620000000001"/>
    <n v="0"/>
    <n v="451.84831864406783"/>
    <n v="31.601681355932215"/>
    <n v="6.5367010768294986E-2"/>
    <x v="1"/>
    <s v="LEVE"/>
    <x v="7"/>
    <x v="1"/>
    <n v="14"/>
    <n v="1"/>
    <d v="2018-03-14T00:00:00"/>
    <s v="VOLKSWAGUEN"/>
    <s v="GOL"/>
    <n v="2958.67"/>
    <d v="2018-03-14T00:00:00"/>
    <n v="7"/>
    <x v="820"/>
  </r>
  <r>
    <d v="2018-03-14T00:00:00"/>
    <s v="001-00011843"/>
    <n v="405"/>
    <n v="90.306701400000009"/>
    <n v="0"/>
    <n v="0"/>
    <n v="39.048749999999998"/>
    <n v="0"/>
    <n v="0"/>
    <n v="0"/>
    <n v="129.35545139999999"/>
    <n v="275.64454860000001"/>
    <n v="0.68060382370370376"/>
    <x v="0"/>
    <s v="MECANICA"/>
    <x v="7"/>
    <x v="1"/>
    <n v="0"/>
    <n v="1"/>
    <d v="2018-03-14T00:00:00"/>
    <s v="KIA"/>
    <s v="RIO"/>
    <n v="0"/>
    <d v="2018-03-14T00:00:00"/>
    <n v="0"/>
    <x v="342"/>
  </r>
  <r>
    <d v="2018-03-17T00:00:00"/>
    <s v="001-00011844"/>
    <n v="1092"/>
    <n v="207.61999500000005"/>
    <n v="220.33"/>
    <n v="67.8"/>
    <n v="73.125"/>
    <n v="0"/>
    <n v="0"/>
    <n v="0"/>
    <n v="568.87499500000013"/>
    <n v="523.12500499999987"/>
    <n v="0.47905220238095225"/>
    <x v="0"/>
    <s v="MECANICA"/>
    <x v="7"/>
    <x v="1"/>
    <n v="3"/>
    <n v="1"/>
    <d v="2018-03-14T00:00:00"/>
    <s v="CHEVROLET"/>
    <s v="SAIL"/>
    <n v="463.41750000000002"/>
    <d v="2018-03-15T00:00:00"/>
    <n v="0"/>
    <x v="638"/>
  </r>
  <r>
    <d v="2018-03-26T00:00:00"/>
    <s v="001-00011845"/>
    <n v="981.46940580000012"/>
    <n v="0"/>
    <n v="0"/>
    <n v="0"/>
    <n v="0"/>
    <n v="175.5"/>
    <n v="83.669625000000011"/>
    <n v="0"/>
    <n v="259.169625"/>
    <n v="722.29978080000012"/>
    <n v="0.73593713317151266"/>
    <x v="1"/>
    <s v="MEDIANO"/>
    <x v="7"/>
    <x v="1"/>
    <n v="12"/>
    <n v="1"/>
    <d v="2018-03-14T00:00:00"/>
    <s v="TOYOTA"/>
    <s v="HILUX"/>
    <n v="770.05499999999995"/>
    <d v="2018-03-15T00:00:00"/>
    <n v="12"/>
    <x v="821"/>
  </r>
  <r>
    <d v="2018-03-28T00:00:00"/>
    <s v="001-00011846"/>
    <n v="1034.0093382300001"/>
    <n v="0"/>
    <n v="0"/>
    <n v="134.00033898305085"/>
    <n v="0"/>
    <n v="87.75"/>
    <n v="156.80307499999998"/>
    <n v="0"/>
    <n v="378.55341398305086"/>
    <n v="655.45592424694928"/>
    <n v="0.63389749010289187"/>
    <x v="1"/>
    <s v="LEVE"/>
    <x v="7"/>
    <x v="1"/>
    <n v="14"/>
    <n v="1"/>
    <d v="2018-03-14T00:00:00"/>
    <s v="JAC"/>
    <s v="J6"/>
    <n v="2039.4075"/>
    <d v="2018-03-15T00:00:00"/>
    <n v="6"/>
    <x v="1"/>
  </r>
  <r>
    <d v="2018-03-24T00:00:00"/>
    <s v="001-00011848"/>
    <n v="1323.2198889000001"/>
    <n v="1.0152000200000002"/>
    <n v="0"/>
    <n v="75.741525423728817"/>
    <n v="5.8500000000000005"/>
    <n v="175.5"/>
    <n v="125.814325"/>
    <n v="0"/>
    <n v="383.9210504437288"/>
    <n v="939.29883845627137"/>
    <n v="0.7098584644439675"/>
    <x v="1"/>
    <s v="MEDIANO"/>
    <x v="7"/>
    <x v="1"/>
    <n v="10"/>
    <n v="1"/>
    <d v="2018-03-14T00:00:00"/>
    <s v="KIA"/>
    <s v="CERATO"/>
    <n v="3321.5"/>
    <d v="2018-03-15T00:00:00"/>
    <n v="12"/>
    <x v="1"/>
  </r>
  <r>
    <d v="2018-03-20T00:00:00"/>
    <s v="001-00011849"/>
    <n v="277.40050969200007"/>
    <n v="0"/>
    <n v="0"/>
    <n v="0"/>
    <n v="0"/>
    <n v="117"/>
    <n v="139.449375"/>
    <n v="0"/>
    <n v="256.44937500000003"/>
    <n v="20.951134692000039"/>
    <n v="7.5526662569085565E-2"/>
    <x v="1"/>
    <s v="MEDIANO"/>
    <x v="7"/>
    <x v="1"/>
    <n v="6"/>
    <n v="1"/>
    <d v="2018-03-14T00:00:00"/>
    <s v="CHEVROLET"/>
    <s v="SPIN"/>
    <n v="0"/>
    <s v="F/Fecha"/>
    <n v="0"/>
    <x v="822"/>
  </r>
  <r>
    <d v="2018-03-23T00:00:00"/>
    <s v="001-00011850"/>
    <n v="625.40444249999996"/>
    <n v="0"/>
    <n v="0"/>
    <n v="20"/>
    <n v="0"/>
    <n v="36.5625"/>
    <n v="123.955"/>
    <n v="0"/>
    <n v="180.51749999999998"/>
    <n v="444.88694249999998"/>
    <n v="0.7113587820412709"/>
    <x v="1"/>
    <s v="LEVE"/>
    <x v="7"/>
    <x v="1"/>
    <n v="9"/>
    <n v="1"/>
    <d v="2018-03-14T00:00:00"/>
    <s v="TOYOTA"/>
    <s v="COROLLA"/>
    <n v="1436.37"/>
    <d v="2018-03-15T00:00:00"/>
    <n v="2.5"/>
    <x v="823"/>
  </r>
  <r>
    <d v="2018-03-23T00:00:00"/>
    <s v="001-00011851"/>
    <n v="1079.0670639"/>
    <n v="0"/>
    <n v="0"/>
    <n v="41.313559322033896"/>
    <n v="0"/>
    <n v="87.75"/>
    <n v="180.35452500000002"/>
    <n v="0"/>
    <n v="309.41808432203391"/>
    <n v="769.64897957796609"/>
    <n v="0.71325407412239528"/>
    <x v="1"/>
    <s v="MEDIANO"/>
    <x v="7"/>
    <x v="1"/>
    <n v="9"/>
    <n v="1"/>
    <d v="2018-03-14T00:00:00"/>
    <s v="KIA"/>
    <s v="SPORTAGE"/>
    <n v="2424.4349999999999"/>
    <d v="2018-03-12T00:00:00"/>
    <n v="6"/>
    <x v="1"/>
  </r>
  <r>
    <d v="2018-03-17T00:00:00"/>
    <s v="001-00011853"/>
    <n v="153.5959953"/>
    <n v="0"/>
    <n v="0"/>
    <n v="27.542372881355934"/>
    <n v="0"/>
    <n v="10.96875"/>
    <n v="30.98875"/>
    <n v="0"/>
    <n v="69.499872881355927"/>
    <n v="84.096122418644072"/>
    <n v="0.54751507195477034"/>
    <x v="0"/>
    <s v="LEVE"/>
    <x v="7"/>
    <x v="1"/>
    <n v="2"/>
    <n v="1"/>
    <d v="2018-03-15T00:00:00"/>
    <s v="CHEVROLET"/>
    <s v="TRACKER"/>
    <n v="0"/>
    <d v="2018-03-15T00:00:00"/>
    <n v="0.75"/>
    <x v="824"/>
  </r>
  <r>
    <d v="2018-03-16T00:00:00"/>
    <s v="001-00011854"/>
    <n v="1620"/>
    <n v="633.39243939999994"/>
    <n v="0"/>
    <n v="156.78"/>
    <n v="92.722499999999997"/>
    <n v="0"/>
    <n v="0"/>
    <n v="0"/>
    <n v="882.89493939999988"/>
    <n v="737.10506060000012"/>
    <n v="0.45500312382716057"/>
    <x v="0"/>
    <s v="MECANICA"/>
    <x v="7"/>
    <x v="1"/>
    <n v="1"/>
    <n v="1"/>
    <d v="2018-03-15T00:00:00"/>
    <s v="HYUNDAI"/>
    <s v="TUCSON"/>
    <n v="932.81499999999994"/>
    <d v="2018-03-15T00:00:00"/>
    <n v="0"/>
    <x v="179"/>
  </r>
  <r>
    <d v="2018-03-17T00:00:00"/>
    <s v="001-00011856"/>
    <n v="529"/>
    <n v="41.943699000000009"/>
    <n v="0"/>
    <n v="0"/>
    <n v="39.048749999999998"/>
    <n v="0"/>
    <n v="0"/>
    <n v="0"/>
    <n v="80.992449000000008"/>
    <n v="448.00755099999998"/>
    <n v="0.84689518147448006"/>
    <x v="0"/>
    <s v="MECANICA"/>
    <x v="7"/>
    <x v="1"/>
    <n v="3"/>
    <n v="1"/>
    <d v="2018-03-14T00:00:00"/>
    <s v="CHANGAN"/>
    <s v="CS-35"/>
    <n v="60.157500000000006"/>
    <d v="2018-03-15T00:00:00"/>
    <n v="0"/>
    <x v="201"/>
  </r>
  <r>
    <d v="2018-03-28T00:00:00"/>
    <s v="001-00011859"/>
    <n v="2120.7340000000004"/>
    <n v="297.54001"/>
    <n v="0"/>
    <n v="0"/>
    <n v="0"/>
    <n v="102.375"/>
    <n v="433.84250000000003"/>
    <n v="0"/>
    <n v="833.75751000000002"/>
    <n v="1286.9764900000005"/>
    <n v="0.60685427309601314"/>
    <x v="0"/>
    <s v="LEVE"/>
    <x v="7"/>
    <x v="1"/>
    <n v="13"/>
    <n v="1"/>
    <d v="2018-03-15T00:00:00"/>
    <s v="VOLKSWAGUEN"/>
    <s v="GOL"/>
    <n v="471.25"/>
    <d v="2018-03-16T00:00:00"/>
    <n v="7"/>
    <x v="820"/>
  </r>
  <r>
    <d v="2018-03-16T00:00:00"/>
    <s v="001-00011861"/>
    <n v="674.10169999999994"/>
    <n v="79.071800800000005"/>
    <n v="0"/>
    <n v="211.86"/>
    <n v="68.298749999999998"/>
    <n v="0"/>
    <n v="0"/>
    <n v="0"/>
    <n v="359.2305508"/>
    <n v="314.87114919999993"/>
    <n v="0.46709739672811973"/>
    <x v="0"/>
    <s v="MECANICA"/>
    <x v="7"/>
    <x v="1"/>
    <n v="0"/>
    <n v="1"/>
    <d v="2018-03-16T00:00:00"/>
    <s v="TOYOTA"/>
    <s v="YARIS"/>
    <n v="401.21250000000003"/>
    <d v="2018-03-16T00:00:00"/>
    <n v="0"/>
    <x v="165"/>
  </r>
  <r>
    <d v="2018-03-29T00:00:00"/>
    <s v="001-00011863"/>
    <n v="1665.2063301703397"/>
    <n v="0"/>
    <n v="0"/>
    <n v="85.656779661016941"/>
    <n v="0"/>
    <n v="175.5"/>
    <n v="252.8682"/>
    <n v="0"/>
    <n v="514.02497966101691"/>
    <n v="1151.1813505093228"/>
    <n v="0.69131454141875892"/>
    <x v="1"/>
    <s v="MEDIANO"/>
    <x v="7"/>
    <x v="1"/>
    <n v="13"/>
    <n v="1"/>
    <d v="2018-03-16T00:00:00"/>
    <s v="HYUNDAI"/>
    <s v="ACCENT"/>
    <n v="2619.0449999999996"/>
    <d v="2018-03-20T00:00:00"/>
    <n v="12"/>
    <x v="1"/>
  </r>
  <r>
    <d v="2018-03-26T00:00:00"/>
    <s v="001-00011864"/>
    <n v="2301.7265009700004"/>
    <n v="5.4759001999999999"/>
    <n v="0"/>
    <n v="119.17796610169492"/>
    <n v="13.1625"/>
    <n v="263.25"/>
    <n v="328.48075"/>
    <n v="0"/>
    <n v="729.54711630169493"/>
    <n v="1572.1793846683054"/>
    <n v="0.68304352580801975"/>
    <x v="1"/>
    <s v="MEDIANO"/>
    <x v="7"/>
    <x v="1"/>
    <n v="10"/>
    <n v="1"/>
    <d v="2018-03-16T00:00:00"/>
    <s v="TOYOTA"/>
    <s v="YARIS"/>
    <n v="3270.1824999999999"/>
    <d v="2018-03-19T00:00:00"/>
    <n v="18"/>
    <x v="1"/>
  </r>
  <r>
    <d v="2018-03-20T00:00:00"/>
    <s v="001-00011865"/>
    <n v="720.06000000000006"/>
    <n v="0"/>
    <n v="16.95"/>
    <n v="55.084745762711869"/>
    <n v="0"/>
    <n v="14.625"/>
    <n v="170.43812500000001"/>
    <n v="0"/>
    <n v="257.09787076271186"/>
    <n v="462.9621292372882"/>
    <n v="0.64294937815916475"/>
    <x v="0"/>
    <s v="LEVE"/>
    <x v="7"/>
    <x v="1"/>
    <n v="4"/>
    <n v="1"/>
    <d v="2018-03-16T00:00:00"/>
    <s v="KIA"/>
    <s v="SPORTAGE"/>
    <n v="0"/>
    <d v="2018-03-16T00:00:00"/>
    <n v="1"/>
    <x v="62"/>
  </r>
  <r>
    <d v="2018-03-19T00:00:00"/>
    <s v="001-00011867"/>
    <n v="1535.9599529999998"/>
    <n v="1271.1799700000001"/>
    <n v="0"/>
    <n v="0"/>
    <n v="39.048749999999998"/>
    <n v="0"/>
    <n v="0"/>
    <n v="0"/>
    <n v="1310.2287200000001"/>
    <n v="225.73123299999975"/>
    <n v="0.14696426984252223"/>
    <x v="0"/>
    <s v="MECANICA"/>
    <x v="7"/>
    <x v="1"/>
    <n v="3"/>
    <n v="1"/>
    <d v="2018-03-16T00:00:00"/>
    <s v="HYUNDAI"/>
    <s v="I10"/>
    <n v="1699.75"/>
    <d v="2018-03-16T00:00:00"/>
    <n v="0"/>
    <x v="645"/>
  </r>
  <r>
    <d v="2018-03-20T00:00:00"/>
    <s v="001-00011868"/>
    <n v="372.5"/>
    <n v="2.1199998999999998"/>
    <n v="0"/>
    <n v="67.8"/>
    <n v="0"/>
    <n v="36.5625"/>
    <n v="30.98875"/>
    <n v="0"/>
    <n v="137.4712499"/>
    <n v="235.0287501"/>
    <n v="0.63094966469798652"/>
    <x v="0"/>
    <s v="LEVE"/>
    <x v="7"/>
    <x v="1"/>
    <n v="4"/>
    <n v="1"/>
    <d v="2018-03-16T00:00:00"/>
    <s v="CHEVROLET"/>
    <s v="SPIN"/>
    <n v="0"/>
    <d v="2018-03-16T00:00:00"/>
    <n v="2.5"/>
    <x v="822"/>
  </r>
  <r>
    <d v="2018-03-27T00:00:00"/>
    <s v="001-00011869"/>
    <n v="1095.5512750338999"/>
    <n v="0"/>
    <n v="0"/>
    <n v="123.40677966101694"/>
    <n v="16.087500000000002"/>
    <n v="102.375"/>
    <n v="139.449375"/>
    <n v="0"/>
    <n v="381.31865466101692"/>
    <n v="714.23262037288293"/>
    <n v="0.65193901613667726"/>
    <x v="1"/>
    <s v="LEVE"/>
    <x v="7"/>
    <x v="1"/>
    <n v="11"/>
    <n v="1"/>
    <d v="2018-03-16T00:00:00"/>
    <s v="KIA"/>
    <s v="SPORTAGE"/>
    <n v="5520.3525"/>
    <d v="2018-03-19T00:00:00"/>
    <n v="7"/>
    <x v="1"/>
  </r>
  <r>
    <d v="2018-03-24T00:00:00"/>
    <s v="001-00011870"/>
    <n v="1016.4180000000001"/>
    <n v="0"/>
    <n v="0"/>
    <n v="72.03"/>
    <n v="0"/>
    <n v="102.375"/>
    <n v="164.86015000000003"/>
    <n v="0"/>
    <n v="339.26515000000006"/>
    <n v="677.15285000000006"/>
    <n v="0.66621493322629077"/>
    <x v="1"/>
    <s v="LEVE"/>
    <x v="7"/>
    <x v="1"/>
    <n v="8"/>
    <n v="1"/>
    <d v="2018-03-16T00:00:00"/>
    <s v="VOLKSWAGUEN"/>
    <s v="GOL"/>
    <n v="0"/>
    <d v="2018-03-17T00:00:00"/>
    <n v="7"/>
    <x v="1"/>
  </r>
  <r>
    <d v="2018-03-17T00:00:00"/>
    <s v="001-00011873"/>
    <n v="279.20339999999999"/>
    <n v="103.3740002"/>
    <n v="0"/>
    <n v="0"/>
    <n v="39.048749999999998"/>
    <n v="0"/>
    <n v="0"/>
    <n v="0"/>
    <n v="142.4227502"/>
    <n v="136.78064979999999"/>
    <n v="0.4898960750477967"/>
    <x v="0"/>
    <s v="MECANICA"/>
    <x v="7"/>
    <x v="1"/>
    <n v="0"/>
    <n v="1"/>
    <d v="2018-03-17T00:00:00"/>
    <s v="HYUNDAI"/>
    <s v="ACCENT"/>
    <n v="0"/>
    <d v="2018-03-16T00:00:00"/>
    <n v="0"/>
    <x v="825"/>
  </r>
  <r>
    <d v="2018-03-17T00:00:00"/>
    <s v="001-00011874"/>
    <n v="425"/>
    <n v="113.84935289999999"/>
    <n v="0"/>
    <n v="0"/>
    <n v="39.048749999999998"/>
    <n v="0"/>
    <n v="0"/>
    <n v="0"/>
    <n v="152.89810289999997"/>
    <n v="272.10189710000003"/>
    <n v="0.64023975788235299"/>
    <x v="0"/>
    <s v="MECANICA"/>
    <x v="7"/>
    <x v="1"/>
    <n v="1"/>
    <n v="1"/>
    <d v="2018-03-16T00:00:00"/>
    <s v="KIA"/>
    <s v="SPORTAGE"/>
    <n v="0"/>
    <d v="2018-03-16T00:00:00"/>
    <n v="0"/>
    <x v="826"/>
  </r>
  <r>
    <d v="2018-03-17T00:00:00"/>
    <s v="001-00011875"/>
    <n v="50"/>
    <n v="15.25"/>
    <n v="0"/>
    <n v="0"/>
    <n v="0"/>
    <n v="0"/>
    <n v="0"/>
    <n v="0"/>
    <n v="15.25"/>
    <n v="34.75"/>
    <n v="0.69499999999999995"/>
    <x v="0"/>
    <s v="MECANICA"/>
    <x v="7"/>
    <x v="1"/>
    <n v="2"/>
    <n v="1"/>
    <d v="2018-03-15T00:00:00"/>
    <s v="HYUNDAI"/>
    <s v="TUCSON"/>
    <n v="50.147500000000001"/>
    <d v="2018-03-17T00:00:00"/>
    <n v="0"/>
    <x v="827"/>
  </r>
  <r>
    <d v="2018-03-19T00:00:00"/>
    <s v="001-00011876"/>
    <n v="5196.802550567958"/>
    <n v="1020.9699979999999"/>
    <n v="0"/>
    <n v="110.16949152542374"/>
    <n v="73.125"/>
    <n v="555.75"/>
    <n v="309.88749999999999"/>
    <n v="0"/>
    <n v="2069.9019895254237"/>
    <n v="3126.9005610425343"/>
    <n v="0.60169701092468786"/>
    <x v="0"/>
    <s v="GRAVE"/>
    <x v="7"/>
    <x v="1"/>
    <n v="3"/>
    <n v="1"/>
    <d v="2018-03-16T00:00:00"/>
    <s v="TOYOTA"/>
    <s v="ETIOS"/>
    <n v="1677"/>
    <d v="2018-03-19T00:00:00"/>
    <n v="38"/>
    <x v="828"/>
  </r>
  <r>
    <d v="2018-03-27T00:00:00"/>
    <s v="001-00011878"/>
    <n v="1473.6199396788102"/>
    <n v="0"/>
    <n v="0"/>
    <n v="0"/>
    <n v="0"/>
    <n v="102.375"/>
    <n v="246.05067499999998"/>
    <n v="0"/>
    <n v="348.42567499999996"/>
    <n v="1125.1942646788102"/>
    <n v="0.76355798016960685"/>
    <x v="1"/>
    <s v="LEVE"/>
    <x v="7"/>
    <x v="1"/>
    <n v="8"/>
    <n v="1"/>
    <d v="2018-03-19T00:00:00"/>
    <s v="HYUNDAI"/>
    <s v="I10"/>
    <n v="27.462499999999999"/>
    <d v="2018-03-19T00:00:00"/>
    <n v="7"/>
    <x v="829"/>
  </r>
  <r>
    <d v="2018-03-23T00:00:00"/>
    <s v="001-00011884"/>
    <n v="295.11300000000006"/>
    <n v="0"/>
    <n v="0"/>
    <n v="96.398305084745772"/>
    <n v="0"/>
    <n v="0"/>
    <n v="0"/>
    <n v="0"/>
    <n v="96.398305084745772"/>
    <n v="198.71469491525428"/>
    <n v="0.6733512075552559"/>
    <x v="2"/>
    <s v="LEVE"/>
    <x v="7"/>
    <x v="1"/>
    <n v="4"/>
    <n v="1"/>
    <d v="2018-03-19T00:00:00"/>
    <s v="KIA"/>
    <s v="CERATO"/>
    <n v="1651.6499999999999"/>
    <d v="2018-03-19T00:00:00"/>
    <n v="0"/>
    <x v="2"/>
  </r>
  <r>
    <d v="2018-03-29T00:00:00"/>
    <s v="001-00011885"/>
    <n v="1201.1880372000001"/>
    <n v="0"/>
    <n v="0"/>
    <n v="0"/>
    <n v="0"/>
    <n v="175.5"/>
    <n v="185.9325"/>
    <n v="0"/>
    <n v="361.4325"/>
    <n v="839.75553720000005"/>
    <n v="0.69910414622301065"/>
    <x v="1"/>
    <s v="MEDIANO"/>
    <x v="7"/>
    <x v="1"/>
    <n v="10"/>
    <n v="1"/>
    <d v="2018-03-19T00:00:00"/>
    <s v="NISSAN"/>
    <s v="AD VAN"/>
    <n v="0"/>
    <d v="2018-03-20T00:00:00"/>
    <n v="12"/>
    <x v="1"/>
  </r>
  <r>
    <d v="2018-03-28T00:00:00"/>
    <s v="001-00011886"/>
    <n v="1743.643"/>
    <n v="6.3233002000000003"/>
    <n v="0"/>
    <n v="20"/>
    <n v="0"/>
    <n v="263.25"/>
    <n v="215.061925"/>
    <n v="0"/>
    <n v="504.63522520000004"/>
    <n v="1239.0077747999999"/>
    <n v="0.7105856960398429"/>
    <x v="1"/>
    <s v="MEDIANO"/>
    <x v="7"/>
    <x v="1"/>
    <n v="9"/>
    <n v="1"/>
    <d v="2018-03-19T00:00:00"/>
    <s v="JAC"/>
    <s v="J6"/>
    <n v="1009.6450000000001"/>
    <d v="2018-03-20T00:00:00"/>
    <n v="18"/>
    <x v="1"/>
  </r>
  <r>
    <d v="2018-03-24T00:00:00"/>
    <s v="001-00011887"/>
    <n v="605.31899999999996"/>
    <n v="0"/>
    <n v="0"/>
    <n v="41.313559322033896"/>
    <n v="0"/>
    <n v="38.025000000000006"/>
    <n v="123.955"/>
    <n v="0"/>
    <n v="203.2935593220339"/>
    <n v="402.02544067796606"/>
    <n v="0.66415466998056572"/>
    <x v="1"/>
    <s v="LEVE"/>
    <x v="7"/>
    <x v="1"/>
    <n v="5"/>
    <n v="1"/>
    <d v="2018-03-19T00:00:00"/>
    <s v="TOYOTA"/>
    <s v="LAND C."/>
    <n v="704.50250000000005"/>
    <d v="2018-03-20T00:00:00"/>
    <n v="2.6"/>
    <x v="1"/>
  </r>
  <r>
    <d v="2018-03-24T00:00:00"/>
    <s v="001-00011888"/>
    <n v="817.47974880000004"/>
    <n v="0"/>
    <n v="605.92999999999995"/>
    <n v="0"/>
    <n v="0"/>
    <n v="0"/>
    <n v="0"/>
    <n v="0"/>
    <n v="605.92999999999995"/>
    <n v="211.54974880000009"/>
    <n v="0.25878286172903919"/>
    <x v="0"/>
    <s v="LEVE"/>
    <x v="7"/>
    <x v="1"/>
    <n v="5"/>
    <n v="1"/>
    <d v="2018-03-19T00:00:00"/>
    <s v="TOYOTA"/>
    <s v="LAND C."/>
    <n v="0"/>
    <d v="2018-03-19T00:00:00"/>
    <n v="0"/>
    <x v="830"/>
  </r>
  <r>
    <d v="2018-03-29T00:00:00"/>
    <s v="001-00011894"/>
    <n v="603.27569672504978"/>
    <n v="0"/>
    <n v="0"/>
    <n v="0"/>
    <n v="0"/>
    <n v="14.625"/>
    <n v="77.471874999999997"/>
    <n v="0"/>
    <n v="92.096874999999997"/>
    <n v="511.17882172504977"/>
    <n v="0.84733866207447395"/>
    <x v="1"/>
    <s v="LEVE"/>
    <x v="7"/>
    <x v="1"/>
    <n v="10"/>
    <n v="1"/>
    <d v="2018-03-19T00:00:00"/>
    <s v="HYUNDAI"/>
    <s v="SANTA FE"/>
    <n v="24.504999999999999"/>
    <d v="2018-03-20T00:00:00"/>
    <n v="1"/>
    <x v="1"/>
  </r>
  <r>
    <d v="2018-03-29T00:00:00"/>
    <s v="001-00011896"/>
    <n v="1562.5347826906698"/>
    <n v="0.5076000100000001"/>
    <n v="0"/>
    <n v="0"/>
    <n v="0"/>
    <n v="131.625"/>
    <n v="309.88749999999999"/>
    <n v="0"/>
    <n v="442.02010000999996"/>
    <n v="1120.5146826806699"/>
    <n v="0.71711343330940414"/>
    <x v="1"/>
    <s v="MEDIANO"/>
    <x v="7"/>
    <x v="1"/>
    <n v="10"/>
    <n v="1"/>
    <d v="2018-03-19T00:00:00"/>
    <s v="TOYOTA"/>
    <s v="YARIS"/>
    <n v="2884.2449999999999"/>
    <d v="2018-03-21T00:00:00"/>
    <n v="9"/>
    <x v="1"/>
  </r>
  <r>
    <d v="2018-03-27T00:00:00"/>
    <s v="001-00011897"/>
    <n v="977.32126416101994"/>
    <n v="0"/>
    <n v="0"/>
    <n v="0"/>
    <n v="0"/>
    <n v="43.875"/>
    <n v="136.97027500000002"/>
    <n v="0"/>
    <n v="180.84527500000002"/>
    <n v="796.47598916101992"/>
    <n v="0.81495821115153333"/>
    <x v="1"/>
    <s v="LEVE"/>
    <x v="7"/>
    <x v="1"/>
    <n v="10"/>
    <n v="1"/>
    <d v="2018-03-17T00:00:00"/>
    <s v="KIA"/>
    <s v="SORENTO"/>
    <n v="3083.8924999999999"/>
    <d v="2018-03-20T00:00:00"/>
    <n v="3"/>
    <x v="831"/>
  </r>
  <r>
    <d v="2018-03-26T00:00:00"/>
    <s v="001-00011898"/>
    <n v="2078.2457899999999"/>
    <n v="1001.4681237499999"/>
    <n v="0"/>
    <n v="266.62"/>
    <n v="58.5"/>
    <n v="0"/>
    <n v="0"/>
    <n v="0"/>
    <n v="1326.5881237499998"/>
    <n v="751.65766625000015"/>
    <n v="0.36167890721433876"/>
    <x v="0"/>
    <s v="MECANICA"/>
    <x v="7"/>
    <x v="1"/>
    <n v="7"/>
    <n v="1"/>
    <d v="2018-03-19T00:00:00"/>
    <s v="MG"/>
    <s v="MG5"/>
    <n v="1685.1575"/>
    <d v="2018-03-19T00:00:00"/>
    <n v="0"/>
    <x v="29"/>
  </r>
  <r>
    <d v="2018-03-24T00:00:00"/>
    <s v="001-00011899"/>
    <n v="1373.3983000000001"/>
    <n v="431.81130270000006"/>
    <n v="0"/>
    <n v="55.09"/>
    <n v="58.5"/>
    <n v="0"/>
    <n v="0"/>
    <n v="0"/>
    <n v="545.40130270000009"/>
    <n v="827.99699729999998"/>
    <n v="0.60288191510066669"/>
    <x v="0"/>
    <s v="MECANICA"/>
    <x v="7"/>
    <x v="1"/>
    <n v="4"/>
    <n v="1"/>
    <d v="2018-03-20T00:00:00"/>
    <s v="CHEVROLET"/>
    <s v="AVEO"/>
    <n v="674.05000000000007"/>
    <d v="2018-03-20T00:00:00"/>
    <n v="0"/>
    <x v="465"/>
  </r>
  <r>
    <d v="2018-03-27T00:00:00"/>
    <s v="001-00011900"/>
    <n v="906.28501375424025"/>
    <n v="0"/>
    <n v="0"/>
    <n v="41.313559322033896"/>
    <n v="0"/>
    <n v="73.125"/>
    <n v="154.94374999999999"/>
    <n v="0"/>
    <n v="269.3823093220339"/>
    <n v="636.90270443220629"/>
    <n v="0.70276203927710201"/>
    <x v="1"/>
    <s v="LEVE"/>
    <x v="7"/>
    <x v="1"/>
    <n v="9"/>
    <n v="1"/>
    <d v="2018-03-18T00:00:00"/>
    <s v="TOYOTA"/>
    <s v="COROLLA"/>
    <n v="0"/>
    <d v="2018-03-20T00:00:00"/>
    <n v="5"/>
    <x v="1"/>
  </r>
  <r>
    <d v="2018-03-23T00:00:00"/>
    <s v="001-00011901"/>
    <n v="1638"/>
    <n v="281.34235200000001"/>
    <n v="0"/>
    <n v="375.74677966101694"/>
    <n v="78.097499999999997"/>
    <n v="0"/>
    <n v="0"/>
    <n v="0"/>
    <n v="735.18663166101692"/>
    <n v="902.81336833898308"/>
    <n v="0.55116811253906173"/>
    <x v="0"/>
    <s v="MECANICA"/>
    <x v="7"/>
    <x v="1"/>
    <n v="3"/>
    <n v="1"/>
    <d v="2018-03-20T00:00:00"/>
    <s v="SUZUKI"/>
    <s v="GRAND N."/>
    <n v="381.16"/>
    <d v="2018-03-20T00:00:00"/>
    <n v="0"/>
    <x v="832"/>
  </r>
  <r>
    <d v="2018-03-24T00:00:00"/>
    <s v="001-00011906"/>
    <n v="2169.8982999999998"/>
    <n v="924.68889920000004"/>
    <n v="0"/>
    <n v="126.75"/>
    <n v="58.5"/>
    <n v="0"/>
    <n v="0"/>
    <n v="0"/>
    <n v="1109.9388991999999"/>
    <n v="1059.9594007999999"/>
    <n v="0.48848344680485717"/>
    <x v="0"/>
    <s v="MECANICA"/>
    <x v="7"/>
    <x v="1"/>
    <n v="3"/>
    <n v="1"/>
    <d v="2018-03-21T00:00:00"/>
    <s v="KIA"/>
    <s v="RIO"/>
    <n v="1756.3974999999998"/>
    <d v="2018-03-21T00:00:00"/>
    <n v="0"/>
    <x v="25"/>
  </r>
  <r>
    <d v="2018-03-28T00:00:00"/>
    <s v="001-00011907"/>
    <n v="16.949200000000001"/>
    <n v="0"/>
    <n v="16.95"/>
    <n v="0"/>
    <n v="0"/>
    <n v="0"/>
    <n v="0"/>
    <n v="0"/>
    <n v="16.95"/>
    <n v="-7.9999999999813554E-4"/>
    <n v="-4.7199867840260043E-5"/>
    <x v="0"/>
    <s v="MEDIANO"/>
    <x v="7"/>
    <x v="1"/>
    <n v="9"/>
    <n v="1"/>
    <d v="2018-03-19T00:00:00"/>
    <s v="BYD"/>
    <s v="F3"/>
    <n v="0"/>
    <d v="2018-03-21T00:00:00"/>
    <n v="0"/>
    <x v="833"/>
  </r>
  <r>
    <d v="2018-03-24T00:00:00"/>
    <s v="001-00011908"/>
    <n v="597.60169999999994"/>
    <n v="83.648399819999995"/>
    <n v="0"/>
    <n v="100"/>
    <n v="39.048749999999998"/>
    <n v="0"/>
    <n v="0"/>
    <n v="0"/>
    <n v="222.69714981999999"/>
    <n v="374.90455017999994"/>
    <n v="0.6273485336136092"/>
    <x v="0"/>
    <s v="MECANICA"/>
    <x v="7"/>
    <x v="1"/>
    <n v="3"/>
    <n v="1"/>
    <d v="2018-03-21T00:00:00"/>
    <s v="HYUNDAI"/>
    <s v="I10"/>
    <n v="205.6275"/>
    <d v="2018-03-21T00:00:00"/>
    <n v="0"/>
    <x v="423"/>
  </r>
  <r>
    <d v="2018-03-21T00:00:00"/>
    <s v="001-00011911"/>
    <n v="147.10500450000001"/>
    <n v="0"/>
    <n v="0"/>
    <n v="0"/>
    <n v="39.048749999999998"/>
    <n v="0"/>
    <n v="0"/>
    <n v="0"/>
    <n v="39.048749999999998"/>
    <n v="108.05625450000001"/>
    <n v="0.73455185883903773"/>
    <x v="0"/>
    <s v="MECANICA"/>
    <x v="7"/>
    <x v="1"/>
    <n v="0"/>
    <n v="1"/>
    <d v="2018-03-21T00:00:00"/>
    <s v="HYUNDAI"/>
    <s v="TUCSON"/>
    <n v="0"/>
    <d v="2018-03-21T00:00:00"/>
    <n v="0"/>
    <x v="615"/>
  </r>
  <r>
    <d v="2018-03-27T00:00:00"/>
    <s v="001-00011912"/>
    <n v="1154.2033999999999"/>
    <n v="340.33930149999998"/>
    <n v="0"/>
    <n v="76.28"/>
    <n v="39.048749999999998"/>
    <n v="0"/>
    <n v="0"/>
    <n v="0"/>
    <n v="455.66805149999999"/>
    <n v="698.53534849999983"/>
    <n v="0.60520992097233461"/>
    <x v="0"/>
    <s v="MECANICA"/>
    <x v="7"/>
    <x v="1"/>
    <n v="6"/>
    <n v="1"/>
    <d v="2018-03-21T00:00:00"/>
    <s v="TOYOTA"/>
    <s v="COROLLA"/>
    <n v="0"/>
    <d v="2018-03-21T00:00:00"/>
    <n v="0"/>
    <x v="834"/>
  </r>
  <r>
    <d v="2018-03-23T00:00:00"/>
    <s v="001-00011914"/>
    <n v="810"/>
    <n v="457.63"/>
    <n v="0"/>
    <n v="0"/>
    <n v="39.048749999999998"/>
    <n v="0"/>
    <n v="0"/>
    <n v="0"/>
    <n v="496.67874999999998"/>
    <n v="313.32125000000002"/>
    <n v="0.38681635802469139"/>
    <x v="0"/>
    <s v="MECANICA"/>
    <x v="7"/>
    <x v="1"/>
    <n v="2"/>
    <n v="1"/>
    <d v="2018-03-21T00:00:00"/>
    <s v="KIA"/>
    <s v="RIO"/>
    <n v="611"/>
    <d v="2018-03-22T00:00:00"/>
    <n v="0"/>
    <x v="305"/>
  </r>
  <r>
    <d v="2018-03-22T00:00:00"/>
    <s v="001-00011915"/>
    <n v="349"/>
    <n v="83.927902400000008"/>
    <n v="0"/>
    <n v="0"/>
    <n v="39.048749999999998"/>
    <n v="0"/>
    <n v="0"/>
    <n v="0"/>
    <n v="122.97665240000001"/>
    <n v="226.02334759999999"/>
    <n v="0.64763136848137537"/>
    <x v="0"/>
    <s v="MECANICA"/>
    <x v="7"/>
    <x v="1"/>
    <n v="0"/>
    <n v="1"/>
    <d v="2018-03-22T00:00:00"/>
    <s v="MAZDA"/>
    <s v="MAZDA 3"/>
    <n v="0"/>
    <d v="2018-03-22T00:00:00"/>
    <n v="0"/>
    <x v="835"/>
  </r>
  <r>
    <d v="2018-03-24T00:00:00"/>
    <s v="001-00011916"/>
    <n v="349.596"/>
    <n v="25"/>
    <n v="0"/>
    <n v="0"/>
    <n v="0"/>
    <n v="14.625"/>
    <n v="61.977499999999999"/>
    <n v="0"/>
    <n v="101.60249999999999"/>
    <n v="247.99350000000001"/>
    <n v="0.70937167473312057"/>
    <x v="0"/>
    <s v="LEVE"/>
    <x v="7"/>
    <x v="1"/>
    <n v="2"/>
    <n v="1"/>
    <d v="2018-03-22T00:00:00"/>
    <s v="CHANGAN"/>
    <s v="CS-35"/>
    <n v="0"/>
    <d v="2018-03-22T00:00:00"/>
    <n v="1"/>
    <x v="201"/>
  </r>
  <r>
    <d v="2018-03-22T00:00:00"/>
    <s v="001-00011918"/>
    <n v="349"/>
    <n v="102.65889919999998"/>
    <n v="0"/>
    <n v="0"/>
    <n v="39.048749999999998"/>
    <n v="0"/>
    <n v="0"/>
    <n v="0"/>
    <n v="141.70764919999999"/>
    <n v="207.29235080000001"/>
    <n v="0.59396089054441259"/>
    <x v="0"/>
    <s v="MECANICA"/>
    <x v="7"/>
    <x v="1"/>
    <n v="0"/>
    <n v="1"/>
    <d v="2018-03-22T00:00:00"/>
    <s v="HYUNDAI"/>
    <s v="ACCENT"/>
    <n v="0"/>
    <d v="2018-03-22T00:00:00"/>
    <n v="0"/>
    <x v="836"/>
  </r>
  <r>
    <d v="2018-03-22T00:00:00"/>
    <s v="001-00011919"/>
    <n v="360"/>
    <n v="213.48"/>
    <n v="0"/>
    <n v="0"/>
    <n v="39.048749999999998"/>
    <n v="0"/>
    <n v="0"/>
    <n v="0"/>
    <n v="252.52875"/>
    <n v="107.47125"/>
    <n v="0.29853124999999997"/>
    <x v="0"/>
    <s v="MECANICA"/>
    <x v="7"/>
    <x v="1"/>
    <n v="0"/>
    <n v="1"/>
    <d v="2018-03-22T00:00:00"/>
    <s v="KIA"/>
    <s v="RIO"/>
    <n v="320.97000000000003"/>
    <d v="2018-03-22T00:00:00"/>
    <n v="0"/>
    <x v="157"/>
  </r>
  <r>
    <d v="2018-03-23T00:00:00"/>
    <s v="001-00011921"/>
    <n v="162.15000000000003"/>
    <n v="0"/>
    <n v="0"/>
    <n v="0"/>
    <n v="0"/>
    <n v="0"/>
    <n v="30.98875"/>
    <n v="0"/>
    <n v="30.98875"/>
    <n v="131.16125000000002"/>
    <n v="0.80888837496145538"/>
    <x v="0"/>
    <s v="LEVE"/>
    <x v="7"/>
    <x v="1"/>
    <n v="1"/>
    <n v="1"/>
    <d v="2018-03-22T00:00:00"/>
    <s v="TOYOTA"/>
    <s v="COROLLA"/>
    <n v="0"/>
    <d v="2018-03-22T00:00:00"/>
    <n v="0"/>
    <x v="823"/>
  </r>
  <r>
    <d v="2018-03-23T00:00:00"/>
    <s v="001-00011923"/>
    <n v="500"/>
    <n v="0"/>
    <n v="0"/>
    <n v="76.27"/>
    <n v="39.048749999999998"/>
    <n v="0"/>
    <n v="0"/>
    <n v="0"/>
    <n v="115.31874999999999"/>
    <n v="384.68124999999998"/>
    <n v="0.76936249999999995"/>
    <x v="0"/>
    <s v="MECANICA"/>
    <x v="7"/>
    <x v="1"/>
    <n v="1"/>
    <n v="1"/>
    <d v="2018-03-22T00:00:00"/>
    <s v="KIA"/>
    <s v="SPORTAGE"/>
    <n v="0"/>
    <d v="2018-03-22T00:00:00"/>
    <n v="0"/>
    <x v="837"/>
  </r>
  <r>
    <d v="2018-03-27T00:00:00"/>
    <s v="001-00011924"/>
    <n v="1582.19294703269"/>
    <n v="0"/>
    <n v="0"/>
    <n v="70.233050847457633"/>
    <n v="0"/>
    <n v="146.25"/>
    <n v="247.91"/>
    <n v="0"/>
    <n v="464.39305084745763"/>
    <n v="1117.7998961852322"/>
    <n v="0.70648772533185689"/>
    <x v="0"/>
    <s v="MEDIANO"/>
    <x v="7"/>
    <x v="1"/>
    <n v="5"/>
    <n v="1"/>
    <d v="2018-03-22T00:00:00"/>
    <s v="HYUNDAI"/>
    <s v="ELANTRA"/>
    <n v="0"/>
    <d v="2018-03-22T00:00:00"/>
    <n v="10"/>
    <x v="838"/>
  </r>
  <r>
    <d v="2018-03-28T00:00:00"/>
    <s v="001-00011925"/>
    <n v="686.00749250000013"/>
    <n v="0"/>
    <n v="0"/>
    <n v="0"/>
    <n v="0"/>
    <n v="29.25"/>
    <n v="216.92125000000001"/>
    <n v="0"/>
    <n v="246.17125000000001"/>
    <n v="439.83624250000014"/>
    <n v="0.64115370066457411"/>
    <x v="0"/>
    <s v="LEVE"/>
    <x v="7"/>
    <x v="1"/>
    <n v="6"/>
    <n v="1"/>
    <d v="2018-03-22T00:00:00"/>
    <s v="BMV"/>
    <s v="320I"/>
    <n v="0"/>
    <d v="2018-03-22T00:00:00"/>
    <n v="2"/>
    <x v="71"/>
  </r>
  <r>
    <d v="2018-03-27T00:00:00"/>
    <s v="001-00011926"/>
    <n v="459"/>
    <n v="59.97724980000001"/>
    <n v="0"/>
    <n v="38.14"/>
    <n v="78.097499999999997"/>
    <n v="0"/>
    <n v="0"/>
    <n v="0"/>
    <n v="176.21474979999999"/>
    <n v="282.78525020000001"/>
    <n v="0.6160898697167756"/>
    <x v="0"/>
    <s v="MECANICA"/>
    <x v="7"/>
    <x v="1"/>
    <n v="4"/>
    <n v="1"/>
    <d v="2018-03-23T00:00:00"/>
    <s v="CHEVROLET"/>
    <s v="CAPTIVA"/>
    <n v="451.36"/>
    <d v="2018-03-23T00:00:00"/>
    <n v="0"/>
    <x v="236"/>
  </r>
  <r>
    <d v="2018-03-24T00:00:00"/>
    <s v="001-00011927"/>
    <n v="925"/>
    <n v="263.66710101000001"/>
    <n v="0"/>
    <n v="50.85"/>
    <n v="39.048749999999998"/>
    <n v="0"/>
    <n v="0"/>
    <n v="0"/>
    <n v="353.56585101000002"/>
    <n v="571.43414899000004"/>
    <n v="0.61776664755675681"/>
    <x v="0"/>
    <s v="MECANICA"/>
    <x v="7"/>
    <x v="1"/>
    <n v="2"/>
    <n v="1"/>
    <d v="2018-03-22T00:00:00"/>
    <s v="HYUNDAI"/>
    <s v="SANTA FE"/>
    <n v="727.22"/>
    <d v="2018-03-23T00:00:00"/>
    <n v="0"/>
    <x v="815"/>
  </r>
  <r>
    <d v="2018-03-24T00:00:00"/>
    <s v="001-00011929"/>
    <n v="360"/>
    <n v="75.226399999999998"/>
    <n v="0"/>
    <n v="0"/>
    <n v="39.048749999999998"/>
    <n v="0"/>
    <n v="0"/>
    <n v="0"/>
    <n v="114.27515"/>
    <n v="245.72485"/>
    <n v="0.68256902777777784"/>
    <x v="0"/>
    <s v="MECANICA"/>
    <x v="7"/>
    <x v="1"/>
    <n v="2"/>
    <n v="1"/>
    <d v="2018-03-22T00:00:00"/>
    <s v="CHERY "/>
    <s v="TIGGO"/>
    <n v="0"/>
    <d v="2018-03-23T00:00:00"/>
    <n v="0"/>
    <x v="839"/>
  </r>
  <r>
    <d v="2018-03-28T00:00:00"/>
    <s v="001-00011935"/>
    <n v="244.94800000000004"/>
    <n v="0"/>
    <n v="0"/>
    <n v="27.542372881355934"/>
    <n v="0"/>
    <n v="14.625"/>
    <n v="61.977499999999999"/>
    <n v="0"/>
    <n v="104.14487288135592"/>
    <n v="140.80312711864411"/>
    <n v="0.57482864574784887"/>
    <x v="0"/>
    <s v="LEVE"/>
    <x v="7"/>
    <x v="1"/>
    <n v="2"/>
    <n v="1"/>
    <d v="2018-03-26T00:00:00"/>
    <s v="TOYOTA"/>
    <s v="COROLLA"/>
    <n v="0"/>
    <d v="2018-03-26T00:00:00"/>
    <n v="1"/>
    <x v="840"/>
  </r>
  <r>
    <d v="2018-03-26T00:00:00"/>
    <s v="001-00011936"/>
    <n v="440"/>
    <n v="136.89690190000002"/>
    <n v="0"/>
    <n v="0"/>
    <n v="39.048749999999998"/>
    <n v="0"/>
    <n v="0"/>
    <n v="0"/>
    <n v="175.94565190000003"/>
    <n v="264.05434809999997"/>
    <n v="0.60012351840909084"/>
    <x v="0"/>
    <s v="MECANICA"/>
    <x v="7"/>
    <x v="1"/>
    <n v="0"/>
    <n v="1"/>
    <d v="2018-03-26T00:00:00"/>
    <s v="MITSUBISHI"/>
    <s v="OUTLANDER"/>
    <n v="0"/>
    <d v="2018-03-26T00:00:00"/>
    <n v="0"/>
    <x v="298"/>
  </r>
  <r>
    <d v="2018-03-26T00:00:00"/>
    <s v="001-00011941"/>
    <n v="434"/>
    <n v="187.13340119999998"/>
    <n v="0"/>
    <n v="0"/>
    <n v="39.048749999999998"/>
    <n v="0"/>
    <n v="0"/>
    <n v="0"/>
    <n v="226.18215119999996"/>
    <n v="207.81784880000004"/>
    <n v="0.47884296958525352"/>
    <x v="0"/>
    <s v="MECANICA"/>
    <x v="7"/>
    <x v="1"/>
    <n v="0"/>
    <n v="1"/>
    <d v="2018-03-26T00:00:00"/>
    <s v="HYUNDAI"/>
    <s v="ACCENT"/>
    <n v="85.247500000000002"/>
    <d v="2018-03-26T00:00:00"/>
    <n v="0"/>
    <x v="597"/>
  </r>
  <r>
    <d v="2018-03-27T00:00:00"/>
    <s v="001-00011944"/>
    <n v="257.52000800000002"/>
    <n v="0"/>
    <n v="0"/>
    <n v="0"/>
    <n v="0"/>
    <n v="0"/>
    <n v="61.977499999999999"/>
    <n v="0"/>
    <n v="61.977499999999999"/>
    <n v="195.54250800000003"/>
    <n v="0.75932937995248906"/>
    <x v="0"/>
    <s v="LEVE"/>
    <x v="7"/>
    <x v="1"/>
    <n v="1"/>
    <n v="1"/>
    <d v="2018-03-26T00:00:00"/>
    <s v="HYUNDAI"/>
    <s v="SANTA FE"/>
    <n v="0"/>
    <d v="2018-03-26T00:00:00"/>
    <n v="0"/>
    <x v="677"/>
  </r>
  <r>
    <d v="2018-03-29T00:00:00"/>
    <s v="001-00011946"/>
    <n v="736.2120228"/>
    <n v="0"/>
    <n v="0"/>
    <n v="0"/>
    <n v="0"/>
    <n v="102.375"/>
    <n v="185.9325"/>
    <n v="0"/>
    <n v="288.3075"/>
    <n v="447.9045228"/>
    <n v="0.60839066590695723"/>
    <x v="0"/>
    <s v="LEVE"/>
    <x v="7"/>
    <x v="1"/>
    <n v="3"/>
    <n v="1"/>
    <d v="2018-03-26T00:00:00"/>
    <s v="HYUNDAI"/>
    <s v="TUCSON"/>
    <n v="0"/>
    <d v="2018-03-26T00:00:00"/>
    <n v="7"/>
    <x v="215"/>
  </r>
  <r>
    <d v="2018-03-29T00:00:00"/>
    <s v="001-00011947"/>
    <n v="322.90001000000001"/>
    <n v="0"/>
    <n v="0"/>
    <n v="34.427966101694921"/>
    <n v="0"/>
    <n v="14.625"/>
    <n v="61.977499999999999"/>
    <n v="0"/>
    <n v="111.03046610169491"/>
    <n v="211.8695438983051"/>
    <n v="0.65614598122280976"/>
    <x v="0"/>
    <s v="LEVE"/>
    <x v="7"/>
    <x v="1"/>
    <n v="3"/>
    <n v="1"/>
    <d v="2018-03-26T00:00:00"/>
    <s v="KIA"/>
    <s v="CERATO"/>
    <n v="0"/>
    <d v="2018-03-26T00:00:00"/>
    <n v="1"/>
    <x v="62"/>
  </r>
  <r>
    <d v="2018-03-29T00:00:00"/>
    <s v="001-00011949"/>
    <n v="200"/>
    <n v="0"/>
    <n v="0"/>
    <n v="0"/>
    <n v="0"/>
    <n v="0"/>
    <n v="61.977499999999999"/>
    <n v="0"/>
    <n v="61.977499999999999"/>
    <n v="138.02250000000001"/>
    <n v="0.69011250000000002"/>
    <x v="0"/>
    <s v="LEVE"/>
    <x v="7"/>
    <x v="1"/>
    <n v="3"/>
    <n v="1"/>
    <d v="2018-03-26T00:00:00"/>
    <s v="KIA"/>
    <s v="CERATO"/>
    <n v="0"/>
    <d v="2018-03-26T00:00:00"/>
    <n v="0"/>
    <x v="62"/>
  </r>
  <r>
    <d v="2018-03-27T00:00:00"/>
    <s v="001-00011950"/>
    <n v="42.372897999999985"/>
    <n v="21.190000999999992"/>
    <n v="0"/>
    <n v="0"/>
    <n v="0"/>
    <n v="0"/>
    <n v="0"/>
    <n v="0"/>
    <n v="21.190000999999992"/>
    <n v="21.182896999999993"/>
    <n v="0.49991617283292733"/>
    <x v="0"/>
    <s v="LEVE"/>
    <x v="7"/>
    <x v="1"/>
    <n v="1"/>
    <n v="1"/>
    <d v="2018-03-26T00:00:00"/>
    <s v="HYUNDAI"/>
    <s v="I10"/>
    <n v="0"/>
    <d v="2018-03-26T00:00:00"/>
    <n v="0"/>
    <x v="829"/>
  </r>
  <r>
    <d v="2018-03-27T00:00:00"/>
    <s v="001-00011951"/>
    <n v="360.63712564638968"/>
    <n v="0"/>
    <n v="126.75"/>
    <n v="0"/>
    <n v="0"/>
    <n v="0"/>
    <n v="0"/>
    <n v="0"/>
    <n v="126.75"/>
    <n v="233.88712564638968"/>
    <n v="0.64853868061193354"/>
    <x v="0"/>
    <s v="MECANICA"/>
    <x v="7"/>
    <x v="1"/>
    <n v="0"/>
    <n v="1"/>
    <d v="2018-03-27T00:00:00"/>
    <s v="GREAT W."/>
    <s v="HAVAL H3"/>
    <n v="0"/>
    <d v="2018-03-27T00:00:00"/>
    <n v="0"/>
    <x v="841"/>
  </r>
  <r>
    <d v="2018-03-28T00:00:00"/>
    <s v="001-00011953"/>
    <n v="249"/>
    <n v="49.871800199999996"/>
    <n v="0"/>
    <n v="0"/>
    <n v="39.048749999999998"/>
    <n v="0"/>
    <n v="0"/>
    <n v="0"/>
    <n v="88.920550199999994"/>
    <n v="160.07944980000002"/>
    <n v="0.64288935662650615"/>
    <x v="0"/>
    <s v="MECANICA"/>
    <x v="7"/>
    <x v="1"/>
    <n v="1"/>
    <n v="1"/>
    <d v="2018-03-27T00:00:00"/>
    <s v="SUZUKI"/>
    <s v="SWIFT"/>
    <n v="0"/>
    <d v="2018-03-27T00:00:00"/>
    <n v="0"/>
    <x v="497"/>
  </r>
  <r>
    <d v="2018-03-28T00:00:00"/>
    <s v="001-00011957"/>
    <n v="16.949200000000001"/>
    <n v="0"/>
    <n v="16.95"/>
    <n v="0"/>
    <n v="0"/>
    <n v="0"/>
    <n v="0"/>
    <n v="0"/>
    <n v="16.95"/>
    <n v="-7.9999999999813554E-4"/>
    <n v="-4.7199867840260043E-5"/>
    <x v="0"/>
    <s v="LEVE"/>
    <x v="7"/>
    <x v="1"/>
    <n v="1"/>
    <n v="1"/>
    <d v="2018-03-27T00:00:00"/>
    <s v="SUZUKI"/>
    <s v="SX4"/>
    <n v="0"/>
    <d v="2018-03-27T00:00:00"/>
    <n v="0"/>
    <x v="842"/>
  </r>
  <r>
    <d v="2018-03-28T00:00:00"/>
    <s v="001-00011958"/>
    <n v="350"/>
    <n v="69.098901900000001"/>
    <n v="0"/>
    <n v="0"/>
    <n v="39.048749999999998"/>
    <n v="0"/>
    <n v="0"/>
    <n v="0"/>
    <n v="108.1476519"/>
    <n v="241.8523481"/>
    <n v="0.69100670885714288"/>
    <x v="0"/>
    <s v="MECANICA"/>
    <x v="7"/>
    <x v="1"/>
    <n v="0"/>
    <n v="1"/>
    <d v="2018-03-28T00:00:00"/>
    <s v="MAZDA"/>
    <s v="MAZDA 3"/>
    <n v="0"/>
    <d v="2018-03-28T00:00:00"/>
    <n v="0"/>
    <x v="254"/>
  </r>
  <r>
    <d v="2018-03-28T00:00:00"/>
    <s v="001-00011959"/>
    <n v="33.898400000000002"/>
    <n v="0"/>
    <n v="33.9"/>
    <n v="0"/>
    <n v="0"/>
    <n v="0"/>
    <n v="0"/>
    <n v="0"/>
    <n v="33.9"/>
    <n v="-1.5999999999962711E-3"/>
    <n v="-4.7199867840260043E-5"/>
    <x v="0"/>
    <s v="MEDIANO"/>
    <x v="7"/>
    <x v="1"/>
    <n v="0"/>
    <n v="1"/>
    <d v="2018-03-28T00:00:00"/>
    <s v="RENAULT"/>
    <s v="DUSTER"/>
    <n v="0"/>
    <d v="2018-03-28T00:00:00"/>
    <n v="0"/>
    <x v="843"/>
  </r>
  <r>
    <d v="2018-03-28T00:00:00"/>
    <s v="001-00011961"/>
    <n v="199.20339999999999"/>
    <n v="49.586700199999996"/>
    <n v="0"/>
    <n v="0"/>
    <n v="39.048749999999998"/>
    <n v="0"/>
    <n v="0"/>
    <n v="0"/>
    <n v="88.635450199999994"/>
    <n v="110.56794979999999"/>
    <n v="0.55505051520204973"/>
    <x v="0"/>
    <s v="MECANICA"/>
    <x v="7"/>
    <x v="1"/>
    <n v="1"/>
    <n v="1"/>
    <d v="2018-03-27T00:00:00"/>
    <s v="HYUNDAI"/>
    <s v="ACCENT"/>
    <n v="0"/>
    <d v="2018-03-28T00:00:00"/>
    <n v="0"/>
    <x v="195"/>
  </r>
  <r>
    <d v="2018-03-29T00:00:00"/>
    <s v="001-00011962"/>
    <n v="404.10169999999999"/>
    <n v="88.976003299999988"/>
    <n v="0"/>
    <n v="0"/>
    <n v="0"/>
    <n v="0"/>
    <n v="0"/>
    <n v="0"/>
    <n v="88.976003299999988"/>
    <n v="315.12569669999999"/>
    <n v="0.77981779512434612"/>
    <x v="0"/>
    <s v="MECANICA"/>
    <x v="7"/>
    <x v="1"/>
    <n v="2"/>
    <n v="1"/>
    <d v="2018-03-27T00:00:00"/>
    <s v="HYUNDAI"/>
    <s v="I20"/>
    <n v="0"/>
    <d v="2018-03-28T00:00:00"/>
    <n v="0"/>
    <x v="844"/>
  </r>
  <r>
    <d v="2018-03-29T00:00:00"/>
    <s v="001-00011965"/>
    <n v="250"/>
    <n v="48.031800000000004"/>
    <n v="0"/>
    <n v="0"/>
    <n v="0"/>
    <n v="0"/>
    <n v="0"/>
    <n v="0"/>
    <n v="48.031800000000004"/>
    <n v="201.9682"/>
    <n v="0.80787279999999995"/>
    <x v="0"/>
    <s v="MECANICA"/>
    <x v="7"/>
    <x v="1"/>
    <n v="0"/>
    <n v="1"/>
    <d v="2018-03-29T00:00:00"/>
    <s v="NISSAN"/>
    <s v="VERSA"/>
    <n v="0"/>
    <s v="F/Fecha"/>
    <n v="0"/>
    <x v="484"/>
  </r>
  <r>
    <d v="2018-04-07T00:00:00"/>
    <s v="001-00011458"/>
    <n v="919.68948026340001"/>
    <n v="74.150000000000006"/>
    <n v="0"/>
    <n v="20"/>
    <n v="45.337500000000006"/>
    <n v="614.25"/>
    <n v="573.291875"/>
    <n v="0"/>
    <n v="1327.0293750000001"/>
    <n v="-407.33989473660006"/>
    <n v="-0.44291024685846953"/>
    <x v="1"/>
    <s v="GRAVE"/>
    <x v="0"/>
    <x v="1"/>
    <n v="74"/>
    <n v="1"/>
    <d v="2018-01-23T00:00:00"/>
    <s v="CHEVROLET"/>
    <s v="N300"/>
    <n v="3029.9100000000003"/>
    <d v="2018-02-05T00:00:00"/>
    <n v="42"/>
    <x v="1"/>
  </r>
  <r>
    <d v="2018-04-02T00:00:00"/>
    <s v="001-00011512"/>
    <n v="4683.6646450500002"/>
    <n v="44.892200039999999"/>
    <n v="0"/>
    <n v="220.97915254237287"/>
    <n v="29.25"/>
    <n v="585"/>
    <n v="588.78625"/>
    <n v="0"/>
    <n v="1468.9076025823729"/>
    <n v="3214.7570424676273"/>
    <n v="0.68637643514148494"/>
    <x v="1"/>
    <s v="GRAVE"/>
    <x v="0"/>
    <x v="1"/>
    <n v="61"/>
    <n v="1"/>
    <d v="2018-01-31T00:00:00"/>
    <s v="NISSAN"/>
    <s v="TIIDA"/>
    <n v="15172.039999999999"/>
    <d v="2018-03-10T00:00:00"/>
    <n v="40"/>
    <x v="1"/>
  </r>
  <r>
    <d v="2018-04-17T00:00:00"/>
    <s v="001-00011538"/>
    <n v="3071.76172056"/>
    <n v="0"/>
    <n v="0"/>
    <n v="222.88474576271184"/>
    <n v="106.7625"/>
    <n v="380.25"/>
    <n v="302.4502"/>
    <n v="0"/>
    <n v="1012.3474457627119"/>
    <n v="2059.4142747972883"/>
    <n v="0.67043425309103899"/>
    <x v="1"/>
    <s v="MEDIANO"/>
    <x v="0"/>
    <x v="1"/>
    <n v="71"/>
    <n v="1"/>
    <d v="2018-02-05T00:00:00"/>
    <s v="HYUNDAI"/>
    <s v="ELANTRA"/>
    <n v="23158.395"/>
    <d v="2018-02-09T00:00:00"/>
    <n v="26"/>
    <x v="1"/>
  </r>
  <r>
    <d v="2018-04-03T00:00:00"/>
    <s v="001-00011635"/>
    <n v="784.5650399874612"/>
    <n v="0"/>
    <n v="0"/>
    <n v="160.88593220338984"/>
    <n v="0"/>
    <n v="219.375"/>
    <n v="195.22912500000001"/>
    <n v="0"/>
    <n v="575.49005720338982"/>
    <n v="209.07498278407138"/>
    <n v="0.26648521426268595"/>
    <x v="1"/>
    <s v="MEDIANO"/>
    <x v="0"/>
    <x v="1"/>
    <n v="47"/>
    <n v="1"/>
    <d v="2018-02-15T00:00:00"/>
    <s v="SUZUKI"/>
    <s v="VITARA"/>
    <n v="6076.07"/>
    <d v="2018-02-22T00:00:00"/>
    <n v="15"/>
    <x v="1"/>
  </r>
  <r>
    <d v="2018-04-28T00:00:00"/>
    <s v="001-00011683"/>
    <n v="2847.0537369450803"/>
    <n v="6.8309002100000002"/>
    <n v="0"/>
    <n v="20.656779661016948"/>
    <n v="112.6125"/>
    <n v="292.5"/>
    <n v="405.95262500000001"/>
    <n v="0"/>
    <n v="838.55280487101697"/>
    <n v="2008.5009320740633"/>
    <n v="0.70546646380802303"/>
    <x v="1"/>
    <s v="MEDIANO"/>
    <x v="0"/>
    <x v="1"/>
    <n v="65"/>
    <n v="1"/>
    <d v="2018-02-22T00:00:00"/>
    <s v="KIA"/>
    <s v="RIO"/>
    <n v="13880.164999999999"/>
    <d v="2018-03-01T00:00:00"/>
    <n v="20"/>
    <x v="1"/>
  </r>
  <r>
    <d v="2018-04-27T00:00:00"/>
    <s v="001-00011779"/>
    <n v="1996.0624155750809"/>
    <n v="5.4759001999999999"/>
    <n v="0"/>
    <n v="84.75"/>
    <n v="36.5625"/>
    <n v="190.125"/>
    <n v="312.98637500000001"/>
    <n v="0"/>
    <n v="629.89977520000002"/>
    <n v="1366.1626403750809"/>
    <n v="0.68442881831502189"/>
    <x v="1"/>
    <s v="MEDIANO"/>
    <x v="0"/>
    <x v="1"/>
    <n v="51"/>
    <n v="1"/>
    <d v="2018-03-07T00:00:00"/>
    <s v="HYUNDAI"/>
    <s v="I10"/>
    <n v="9864.14"/>
    <d v="2018-03-14T00:00:00"/>
    <n v="13"/>
    <x v="1"/>
  </r>
  <r>
    <d v="2018-04-07T00:00:00"/>
    <s v="001-00011788"/>
    <n v="1184.9595912"/>
    <n v="0"/>
    <n v="0"/>
    <n v="54.427966101694921"/>
    <n v="7.3125"/>
    <n v="102.375"/>
    <n v="221.87945000000002"/>
    <n v="0"/>
    <n v="385.99491610169491"/>
    <n v="798.96467509830507"/>
    <n v="0.67425478559078911"/>
    <x v="1"/>
    <s v="LEVE"/>
    <x v="0"/>
    <x v="1"/>
    <n v="31"/>
    <n v="1"/>
    <d v="2018-03-07T00:00:00"/>
    <s v="KIA"/>
    <s v="RIO"/>
    <n v="2022.8974999999998"/>
    <d v="2018-03-23T00:00:00"/>
    <n v="7"/>
    <x v="1"/>
  </r>
  <r>
    <d v="2018-04-26T00:00:00"/>
    <s v="001-00011803"/>
    <n v="1169.70261327966"/>
    <n v="0"/>
    <n v="0"/>
    <n v="122.88"/>
    <n v="10.237499999999999"/>
    <n v="73.125"/>
    <n v="154.94374999999999"/>
    <n v="0"/>
    <n v="361.18624999999997"/>
    <n v="808.51636327966003"/>
    <n v="0.69121531755213306"/>
    <x v="1"/>
    <s v="LEVE"/>
    <x v="0"/>
    <x v="1"/>
    <n v="48"/>
    <n v="1"/>
    <d v="2018-03-09T00:00:00"/>
    <s v="KIA"/>
    <s v="CARENS"/>
    <n v="1134.0550000000001"/>
    <d v="2018-03-12T00:00:00"/>
    <n v="5"/>
    <x v="1"/>
  </r>
  <r>
    <d v="2018-04-05T00:00:00"/>
    <s v="001-00011813"/>
    <n v="3359.8281556361007"/>
    <n v="0"/>
    <n v="0"/>
    <n v="20"/>
    <n v="10.237499999999999"/>
    <n v="541.125"/>
    <n v="371.86500000000001"/>
    <n v="0"/>
    <n v="943.22749999999996"/>
    <n v="2416.6006556361008"/>
    <n v="0.71926317171378573"/>
    <x v="1"/>
    <s v="GRAVE"/>
    <x v="0"/>
    <x v="1"/>
    <n v="24"/>
    <n v="1"/>
    <d v="2018-03-12T00:00:00"/>
    <s v="NISSAN"/>
    <s v="FRONTIER"/>
    <n v="1140.75"/>
    <d v="2018-03-13T00:00:00"/>
    <n v="37"/>
    <x v="845"/>
  </r>
  <r>
    <d v="2018-04-03T00:00:00"/>
    <s v="001-00011842"/>
    <n v="892.92802304339102"/>
    <n v="0"/>
    <n v="0"/>
    <n v="146.18711864406779"/>
    <n v="0"/>
    <n v="102.375"/>
    <n v="203.28620000000001"/>
    <n v="0"/>
    <n v="451.84831864406783"/>
    <n v="441.07970439932319"/>
    <n v="0.49397005471502525"/>
    <x v="1"/>
    <s v="LEVE"/>
    <x v="0"/>
    <x v="1"/>
    <n v="20"/>
    <n v="1"/>
    <d v="2018-03-14T00:00:00"/>
    <s v="VOLKSWAGUEN"/>
    <s v="GOL"/>
    <n v="2958.67"/>
    <d v="2018-03-14T00:00:00"/>
    <n v="7"/>
    <x v="820"/>
  </r>
  <r>
    <d v="2018-04-02T00:00:00"/>
    <s v="001-00011847"/>
    <n v="1298.7033999999999"/>
    <n v="144.27979899999997"/>
    <n v="0"/>
    <n v="360"/>
    <n v="97.548749999999998"/>
    <n v="0"/>
    <n v="0"/>
    <n v="0"/>
    <n v="601.82854899999995"/>
    <n v="696.87485099999992"/>
    <n v="0.53659276706290293"/>
    <x v="0"/>
    <s v="MECANICA"/>
    <x v="0"/>
    <x v="1"/>
    <n v="19"/>
    <n v="1"/>
    <d v="2018-03-14T00:00:00"/>
    <s v="VOLKSWAGUEN"/>
    <s v="POLO"/>
    <n v="424.96999999999997"/>
    <d v="2018-03-14T00:00:00"/>
    <n v="0"/>
    <x v="846"/>
  </r>
  <r>
    <d v="2018-04-07T00:00:00"/>
    <s v="001-00011858"/>
    <n v="1627.5240827999999"/>
    <n v="0"/>
    <n v="0"/>
    <n v="225.50711864406779"/>
    <n v="14.625"/>
    <n v="87.75"/>
    <n v="263.40437500000002"/>
    <n v="0"/>
    <n v="591.28649364406783"/>
    <n v="1036.237589155932"/>
    <n v="0.636695702452024"/>
    <x v="1"/>
    <s v="LEVE"/>
    <x v="0"/>
    <x v="1"/>
    <n v="23"/>
    <n v="1"/>
    <d v="2018-03-15T00:00:00"/>
    <s v="HYUNDAI"/>
    <s v="ELANTRA"/>
    <n v="3858.8224999999998"/>
    <d v="2018-03-19T00:00:00"/>
    <n v="6"/>
    <x v="1"/>
  </r>
  <r>
    <d v="2018-04-10T00:00:00"/>
    <s v="001-00011860"/>
    <n v="3751.6130659062728"/>
    <n v="5.9835002099999999"/>
    <n v="0"/>
    <n v="126.0635593220339"/>
    <n v="14.625"/>
    <n v="497.25"/>
    <n v="470.40922499999999"/>
    <n v="0"/>
    <n v="1114.3312845320338"/>
    <n v="2637.281781374239"/>
    <n v="0.70297275732969389"/>
    <x v="1"/>
    <s v="GRAVE"/>
    <x v="0"/>
    <x v="1"/>
    <n v="25"/>
    <n v="1"/>
    <d v="2018-03-16T00:00:00"/>
    <s v="KIA"/>
    <s v="CERATO"/>
    <n v="3677.31"/>
    <d v="2018-03-20T00:00:00"/>
    <n v="34"/>
    <x v="1"/>
  </r>
  <r>
    <d v="2018-04-07T00:00:00"/>
    <s v="001-00011871"/>
    <n v="5889.0865110000004"/>
    <n v="593.21997999999996"/>
    <n v="0"/>
    <n v="127.12"/>
    <n v="0"/>
    <n v="146.25"/>
    <n v="1239.55"/>
    <n v="0"/>
    <n v="2106.1399799999999"/>
    <n v="3782.9465310000005"/>
    <n v="0.64236558996611426"/>
    <x v="0"/>
    <s v="MEDIANO"/>
    <x v="0"/>
    <x v="1"/>
    <n v="22"/>
    <n v="1"/>
    <d v="2018-03-16T00:00:00"/>
    <s v="HONDA"/>
    <s v="PILOT"/>
    <n v="0"/>
    <d v="2018-03-17T00:00:00"/>
    <n v="10"/>
    <x v="847"/>
  </r>
  <r>
    <d v="2018-04-06T00:00:00"/>
    <s v="001-00011872"/>
    <n v="1763.8831192367788"/>
    <n v="0"/>
    <n v="0"/>
    <n v="133.47711864406779"/>
    <n v="16.087500000000002"/>
    <n v="175.5"/>
    <n v="195.22912500000001"/>
    <n v="0"/>
    <n v="520.29374364406772"/>
    <n v="1243.5893755927111"/>
    <n v="0.70502935371976594"/>
    <x v="1"/>
    <s v="MEDIANO"/>
    <x v="0"/>
    <x v="1"/>
    <n v="20"/>
    <n v="1"/>
    <d v="2018-03-17T00:00:00"/>
    <s v="HYUNDAI"/>
    <s v="ELANTRA"/>
    <n v="2420.3724999999999"/>
    <d v="2018-03-20T00:00:00"/>
    <n v="12"/>
    <x v="1"/>
  </r>
  <r>
    <d v="2018-04-05T00:00:00"/>
    <s v="001-00011880"/>
    <n v="1839.1665329045788"/>
    <n v="0"/>
    <n v="0"/>
    <n v="0"/>
    <n v="0"/>
    <n v="175.5"/>
    <n v="325.38187500000004"/>
    <n v="0"/>
    <n v="500.88187500000004"/>
    <n v="1338.2846579045788"/>
    <n v="0.72765822668110325"/>
    <x v="1"/>
    <s v="MEDIANO"/>
    <x v="0"/>
    <x v="1"/>
    <n v="17"/>
    <n v="1"/>
    <d v="2018-03-19T00:00:00"/>
    <s v="KIA"/>
    <s v="SPORTAGE"/>
    <n v="1963"/>
    <d v="2018-03-22T00:00:00"/>
    <n v="12"/>
    <x v="1"/>
  </r>
  <r>
    <d v="2018-04-03T00:00:00"/>
    <s v="001-00011890"/>
    <n v="728.71428456779995"/>
    <n v="0"/>
    <n v="0"/>
    <n v="75.741525423728817"/>
    <n v="0"/>
    <n v="51.1875"/>
    <n v="118.99679999999999"/>
    <n v="0"/>
    <n v="245.92582542372881"/>
    <n v="482.78845914407111"/>
    <n v="0.66252092125573292"/>
    <x v="1"/>
    <s v="LEVE"/>
    <x v="0"/>
    <x v="1"/>
    <n v="17"/>
    <n v="1"/>
    <d v="2018-03-17T00:00:00"/>
    <s v="NISSAN"/>
    <s v="VERSA"/>
    <n v="35.620000000000005"/>
    <d v="2018-03-21T00:00:00"/>
    <n v="3.5"/>
    <x v="1"/>
  </r>
  <r>
    <d v="2018-04-03T00:00:00"/>
    <s v="001-00011892"/>
    <n v="872.18586281102"/>
    <n v="0"/>
    <n v="0"/>
    <n v="61.970338983050844"/>
    <n v="0"/>
    <n v="87.75"/>
    <n v="130.772525"/>
    <n v="0"/>
    <n v="280.49286398305082"/>
    <n v="591.69299882796918"/>
    <n v="0.6784024186323846"/>
    <x v="1"/>
    <s v="LEVE"/>
    <x v="0"/>
    <x v="1"/>
    <n v="17"/>
    <n v="1"/>
    <d v="2018-03-17T00:00:00"/>
    <s v="NISSAN"/>
    <s v="FRONTIER"/>
    <n v="33.3125"/>
    <d v="2018-03-19T00:00:00"/>
    <n v="6"/>
    <x v="523"/>
  </r>
  <r>
    <d v="2018-04-07T00:00:00"/>
    <s v="001-00011893"/>
    <n v="923.96479559999989"/>
    <n v="0"/>
    <n v="0"/>
    <n v="0"/>
    <n v="0"/>
    <n v="58.5"/>
    <n v="184.07317499999999"/>
    <n v="0"/>
    <n v="242.57317499999999"/>
    <n v="681.3916205999999"/>
    <n v="0.73746491624447774"/>
    <x v="1"/>
    <s v="MEDIANO"/>
    <x v="0"/>
    <x v="1"/>
    <n v="19"/>
    <n v="1"/>
    <d v="2018-03-19T00:00:00"/>
    <s v="HONDA"/>
    <s v="PILOT"/>
    <n v="0"/>
    <d v="2018-03-17T00:00:00"/>
    <n v="4"/>
    <x v="847"/>
  </r>
  <r>
    <d v="2018-04-03T00:00:00"/>
    <s v="001-00011895"/>
    <n v="2548.03691471102"/>
    <n v="0"/>
    <n v="0"/>
    <n v="109.51271186440678"/>
    <n v="0"/>
    <n v="292.5"/>
    <n v="402.85374999999999"/>
    <n v="0"/>
    <n v="804.8664618644068"/>
    <n v="1743.1704528466132"/>
    <n v="0.68412291940609937"/>
    <x v="1"/>
    <s v="MEDIANO"/>
    <x v="0"/>
    <x v="1"/>
    <n v="15"/>
    <n v="1"/>
    <d v="2018-03-19T00:00:00"/>
    <s v="SSANYONG"/>
    <s v="KYON"/>
    <n v="196.23500000000001"/>
    <d v="2018-03-20T00:00:00"/>
    <n v="20"/>
    <x v="1"/>
  </r>
  <r>
    <d v="2018-04-12T00:00:00"/>
    <s v="001-00011902"/>
    <n v="560.34701730000006"/>
    <n v="0"/>
    <n v="0"/>
    <n v="20.656779661016948"/>
    <n v="0"/>
    <n v="36.5625"/>
    <n v="123.955"/>
    <n v="0"/>
    <n v="181.17427966101695"/>
    <n v="379.17273763898311"/>
    <n v="0.67667485670933913"/>
    <x v="1"/>
    <s v="LEVE"/>
    <x v="0"/>
    <x v="1"/>
    <n v="23"/>
    <n v="1"/>
    <d v="2018-03-20T00:00:00"/>
    <s v="HYUNDAI"/>
    <s v="ELANTRA"/>
    <n v="983.06000000000006"/>
    <d v="2018-03-20T00:00:00"/>
    <n v="2.5"/>
    <x v="1"/>
  </r>
  <r>
    <d v="2018-04-30T00:00:00"/>
    <s v="001-00011905"/>
    <n v="1814.4106917469471"/>
    <n v="22.030000999999992"/>
    <n v="0"/>
    <n v="149.75"/>
    <n v="43.875"/>
    <n v="731.25"/>
    <n v="646.42532500000004"/>
    <n v="0"/>
    <n v="1593.330326"/>
    <n v="221.08036574694711"/>
    <n v="0.12184692625134774"/>
    <x v="1"/>
    <s v="GRAVE"/>
    <x v="0"/>
    <x v="1"/>
    <n v="41"/>
    <n v="1"/>
    <d v="2018-03-20T00:00:00"/>
    <s v="GREAT W."/>
    <s v="VOLEEX"/>
    <n v="11886.7775"/>
    <d v="2018-03-22T00:00:00"/>
    <n v="50"/>
    <x v="1"/>
  </r>
  <r>
    <d v="2018-04-21T00:00:00"/>
    <s v="001-00011910"/>
    <n v="2980.8240924000002"/>
    <n v="0.84679998999999995"/>
    <n v="0"/>
    <n v="244.75"/>
    <n v="35.099999999999994"/>
    <n v="292.5"/>
    <n v="490.24202500000001"/>
    <n v="0"/>
    <n v="1063.4388249900001"/>
    <n v="1917.3852674100001"/>
    <n v="0.64323999269149224"/>
    <x v="1"/>
    <s v="MEDIANO"/>
    <x v="0"/>
    <x v="1"/>
    <n v="31"/>
    <n v="1"/>
    <d v="2018-03-21T00:00:00"/>
    <s v="CHEVROLET"/>
    <s v="SAIL"/>
    <n v="2625.0249999999996"/>
    <d v="2018-04-03T00:00:00"/>
    <n v="20"/>
    <x v="1"/>
  </r>
  <r>
    <d v="2018-04-13T00:00:00"/>
    <s v="001-00011913"/>
    <n v="1739.2269920527108"/>
    <n v="0"/>
    <n v="0"/>
    <n v="61.970338983050844"/>
    <n v="0"/>
    <n v="219.375"/>
    <n v="247.91"/>
    <n v="0"/>
    <n v="529.25533898305082"/>
    <n v="1209.9716530696601"/>
    <n v="0.69569507522511442"/>
    <x v="1"/>
    <s v="MEDIANO"/>
    <x v="0"/>
    <x v="1"/>
    <n v="23"/>
    <n v="1"/>
    <d v="2018-03-21T00:00:00"/>
    <s v="BYD"/>
    <s v="NEW"/>
    <n v="1361.75"/>
    <d v="2018-03-27T00:00:00"/>
    <n v="15"/>
    <x v="1"/>
  </r>
  <r>
    <d v="2018-04-02T00:00:00"/>
    <s v="001-00011917"/>
    <n v="1033.0611380832211"/>
    <n v="1.2711000000000001"/>
    <n v="0"/>
    <n v="92.987288135593218"/>
    <n v="0"/>
    <n v="117"/>
    <n v="136.35050000000001"/>
    <n v="0"/>
    <n v="347.60888813559325"/>
    <n v="685.45224994762782"/>
    <n v="0.66351566686502284"/>
    <x v="1"/>
    <s v="MEDIANO"/>
    <x v="0"/>
    <x v="1"/>
    <n v="11"/>
    <n v="1"/>
    <d v="2018-03-22T00:00:00"/>
    <s v="HYUNDAI"/>
    <s v="H1"/>
    <n v="455"/>
    <d v="2018-03-22T00:00:00"/>
    <n v="8"/>
    <x v="848"/>
  </r>
  <r>
    <d v="2018-04-26T00:00:00"/>
    <s v="001-00011920"/>
    <n v="1388.9478155607987"/>
    <n v="0"/>
    <n v="0"/>
    <n v="271.05"/>
    <n v="0"/>
    <n v="73.125"/>
    <n v="182.83362500000001"/>
    <n v="0"/>
    <n v="527.00862500000005"/>
    <n v="861.93919056079869"/>
    <n v="0.62056988815867342"/>
    <x v="1"/>
    <s v="LEVE"/>
    <x v="0"/>
    <x v="1"/>
    <n v="35"/>
    <n v="1"/>
    <d v="2018-03-22T00:00:00"/>
    <s v="HYUNDAI"/>
    <s v="CRETA"/>
    <n v="2909.5949999999998"/>
    <d v="2018-03-22T00:00:00"/>
    <n v="5"/>
    <x v="1"/>
  </r>
  <r>
    <d v="2018-04-18T00:00:00"/>
    <s v="001-00011928"/>
    <n v="1620.3813515899999"/>
    <n v="5.4759001999999999"/>
    <n v="0"/>
    <n v="85"/>
    <n v="16.087500000000002"/>
    <n v="146.25"/>
    <n v="264.64392499999997"/>
    <n v="0"/>
    <n v="517.45732520000001"/>
    <n v="1102.9240263899999"/>
    <n v="0.68065707205760861"/>
    <x v="1"/>
    <s v="MEDIANO"/>
    <x v="0"/>
    <x v="1"/>
    <n v="26"/>
    <n v="1"/>
    <d v="2018-03-23T00:00:00"/>
    <s v="VOLKSWAGUEN"/>
    <s v="GOL"/>
    <n v="7514.7149999999992"/>
    <d v="2018-03-23T00:00:00"/>
    <n v="10"/>
    <x v="1"/>
  </r>
  <r>
    <d v="2018-04-11T00:00:00"/>
    <s v="001-00011931"/>
    <n v="1492.38289987542"/>
    <n v="16.950001"/>
    <n v="0"/>
    <n v="273.17830508474577"/>
    <n v="14.625"/>
    <n v="131.625"/>
    <n v="122.71545"/>
    <n v="0"/>
    <n v="559.09375608474579"/>
    <n v="933.28914379067419"/>
    <n v="0.62536842513310931"/>
    <x v="1"/>
    <s v="MEDIANO"/>
    <x v="0"/>
    <x v="1"/>
    <n v="18"/>
    <n v="1"/>
    <d v="2018-03-24T00:00:00"/>
    <s v="KIA"/>
    <s v="RIO"/>
    <n v="5146.7325000000001"/>
    <d v="2018-03-26T00:00:00"/>
    <n v="9"/>
    <x v="1"/>
  </r>
  <r>
    <d v="2018-04-09T00:00:00"/>
    <s v="001-00011932"/>
    <n v="1185.699543336"/>
    <n v="0"/>
    <n v="0"/>
    <n v="63.56"/>
    <n v="0"/>
    <n v="73.125"/>
    <n v="263.40437500000002"/>
    <n v="0"/>
    <n v="400.08937500000002"/>
    <n v="785.61016833600002"/>
    <n v="0.66257103053751965"/>
    <x v="1"/>
    <s v="LEVE"/>
    <x v="0"/>
    <x v="1"/>
    <n v="16"/>
    <n v="1"/>
    <d v="2018-03-24T00:00:00"/>
    <s v="HYUNDAI"/>
    <s v="H1"/>
    <n v="0"/>
    <d v="2018-04-02T00:00:00"/>
    <n v="5"/>
    <x v="1"/>
  </r>
  <r>
    <d v="2018-04-07T00:00:00"/>
    <s v="001-00011934"/>
    <n v="2323.7386325999996"/>
    <n v="1.7624000199999998"/>
    <n v="0"/>
    <n v="34.427966101694921"/>
    <n v="43.875"/>
    <n v="321.75"/>
    <n v="263.40437500000002"/>
    <n v="0"/>
    <n v="665.21974112169494"/>
    <n v="1658.5188914783048"/>
    <n v="0.71372867335884949"/>
    <x v="1"/>
    <s v="MEDIANO"/>
    <x v="0"/>
    <x v="1"/>
    <n v="14"/>
    <n v="1"/>
    <d v="2018-03-24T00:00:00"/>
    <s v="HYUNDAI"/>
    <s v="ELANTRA"/>
    <n v="1657.175"/>
    <d v="2018-03-26T00:00:00"/>
    <n v="22"/>
    <x v="1"/>
  </r>
  <r>
    <d v="2018-04-16T00:00:00"/>
    <s v="001-00011937"/>
    <n v="839.5400259999999"/>
    <n v="0.42370000000000002"/>
    <n v="0"/>
    <n v="110"/>
    <n v="0"/>
    <n v="51.1875"/>
    <n v="92.966250000000002"/>
    <n v="0"/>
    <n v="254.57745"/>
    <n v="584.9625759999999"/>
    <n v="0.69676555957321318"/>
    <x v="1"/>
    <s v="LEVE"/>
    <x v="0"/>
    <x v="1"/>
    <n v="21"/>
    <n v="1"/>
    <d v="2018-03-26T00:00:00"/>
    <s v="SUZUKI"/>
    <s v="SX4"/>
    <n v="634.04250000000002"/>
    <d v="2018-03-27T00:00:00"/>
    <n v="3.5"/>
    <x v="849"/>
  </r>
  <r>
    <d v="2018-04-21T00:00:00"/>
    <s v="001-00011938"/>
    <n v="1109.5801535949199"/>
    <n v="0.93130001000000007"/>
    <n v="0"/>
    <n v="126.97033898305085"/>
    <n v="0"/>
    <n v="87.75"/>
    <n v="168.5788"/>
    <n v="0"/>
    <n v="384.23043899305083"/>
    <n v="725.3497146018691"/>
    <n v="0.65371547269641972"/>
    <x v="1"/>
    <s v="LEVE"/>
    <x v="0"/>
    <x v="1"/>
    <n v="26"/>
    <n v="1"/>
    <d v="2018-03-26T00:00:00"/>
    <s v="HYUNDAI"/>
    <s v="CRETA"/>
    <n v="2248.3824999999997"/>
    <d v="2018-03-26T00:00:00"/>
    <n v="6"/>
    <x v="1"/>
  </r>
  <r>
    <d v="2018-04-13T00:00:00"/>
    <s v="001-00011940"/>
    <n v="2334.813412717629"/>
    <n v="5.4759001999999999"/>
    <n v="0"/>
    <n v="84.75"/>
    <n v="14.625"/>
    <n v="234"/>
    <n v="371.86500000000001"/>
    <n v="0"/>
    <n v="710.71590020000008"/>
    <n v="1624.097512517629"/>
    <n v="0.69560055791663655"/>
    <x v="1"/>
    <s v="MEDIANO"/>
    <x v="0"/>
    <x v="1"/>
    <n v="18"/>
    <n v="1"/>
    <d v="2018-03-26T00:00:00"/>
    <s v="VOLKSWAGUEN"/>
    <s v="GOL"/>
    <n v="3006.9650000000001"/>
    <d v="2018-03-27T00:00:00"/>
    <n v="16"/>
    <x v="850"/>
  </r>
  <r>
    <d v="2018-04-03T00:00:00"/>
    <s v="001-00011942"/>
    <n v="1651.5240557566087"/>
    <n v="0"/>
    <n v="0"/>
    <n v="0"/>
    <n v="0"/>
    <n v="58.5"/>
    <n v="154.94374999999999"/>
    <n v="0"/>
    <n v="213.44374999999999"/>
    <n v="1438.0803057566088"/>
    <n v="0.87075952708287052"/>
    <x v="0"/>
    <s v="LEVE"/>
    <x v="0"/>
    <x v="1"/>
    <n v="8"/>
    <n v="1"/>
    <d v="2018-03-26T00:00:00"/>
    <s v="SUZUKI"/>
    <s v="VITARA"/>
    <n v="0"/>
    <d v="2018-03-26T00:00:00"/>
    <n v="4"/>
    <x v="851"/>
  </r>
  <r>
    <d v="2018-04-24T00:00:00"/>
    <s v="001-00011943"/>
    <n v="2070.5669520000001"/>
    <n v="0"/>
    <n v="0"/>
    <n v="223.50711864406779"/>
    <n v="11.700000000000001"/>
    <n v="102.375"/>
    <n v="371.86500000000001"/>
    <n v="0"/>
    <n v="709.44711864406781"/>
    <n v="1361.1198333559323"/>
    <n v="0.65736576740066321"/>
    <x v="1"/>
    <s v="MEDIANO"/>
    <x v="0"/>
    <x v="1"/>
    <n v="29"/>
    <n v="1"/>
    <d v="2018-03-26T00:00:00"/>
    <s v="RENAULT"/>
    <s v="FLUENCE"/>
    <n v="3393"/>
    <d v="2018-03-28T00:00:00"/>
    <n v="7"/>
    <x v="1"/>
  </r>
  <r>
    <d v="2018-04-09T00:00:00"/>
    <s v="001-00011945"/>
    <n v="150"/>
    <n v="0"/>
    <n v="0"/>
    <n v="0"/>
    <n v="39.048749999999998"/>
    <n v="0"/>
    <n v="0"/>
    <n v="0"/>
    <n v="39.048749999999998"/>
    <n v="110.95125"/>
    <n v="0.73967499999999997"/>
    <x v="0"/>
    <s v="MECANICA"/>
    <x v="0"/>
    <x v="1"/>
    <n v="14"/>
    <n v="1"/>
    <d v="2018-03-26T00:00:00"/>
    <s v="SUZUKI"/>
    <s v="APV"/>
    <n v="0"/>
    <d v="2018-03-26T00:00:00"/>
    <n v="0"/>
    <x v="852"/>
  </r>
  <r>
    <d v="2018-04-10T00:00:00"/>
    <s v="001-00011948"/>
    <n v="1149.8725670008503"/>
    <n v="6.3233002000000003"/>
    <n v="0"/>
    <n v="102.75"/>
    <n v="17.549999999999997"/>
    <n v="87.75"/>
    <n v="182.83362500000001"/>
    <n v="0"/>
    <n v="397.2069252"/>
    <n v="752.66564180085027"/>
    <n v="0.65456439556949075"/>
    <x v="1"/>
    <s v="LEVE"/>
    <x v="0"/>
    <x v="1"/>
    <n v="15"/>
    <n v="1"/>
    <d v="2018-03-26T00:00:00"/>
    <s v="SUZUKI"/>
    <s v="SWIFT"/>
    <n v="3831.75"/>
    <d v="2018-03-27T00:00:00"/>
    <n v="6"/>
    <x v="1"/>
  </r>
  <r>
    <d v="2018-04-13T00:00:00"/>
    <s v="001-00011954"/>
    <n v="1798.4161460957598"/>
    <n v="0.55720000000000003"/>
    <n v="0"/>
    <n v="20.656779661016948"/>
    <n v="8.7749999999999986"/>
    <n v="175.5"/>
    <n v="328.48075"/>
    <n v="0"/>
    <n v="533.96972966101691"/>
    <n v="1264.4464164347428"/>
    <n v="0.70308889251232021"/>
    <x v="1"/>
    <s v="MEDIANO"/>
    <x v="0"/>
    <x v="1"/>
    <n v="17"/>
    <n v="1"/>
    <d v="2018-03-27T00:00:00"/>
    <s v="TOYOTA"/>
    <s v="HILUX"/>
    <n v="822.25"/>
    <d v="2018-03-28T00:00:00"/>
    <n v="12"/>
    <x v="48"/>
  </r>
  <r>
    <d v="2018-04-07T00:00:00"/>
    <s v="001-00011955"/>
    <n v="1127.10368694"/>
    <n v="0"/>
    <n v="0"/>
    <n v="20.656779661016948"/>
    <n v="0"/>
    <n v="87.75"/>
    <n v="213.20260000000002"/>
    <n v="0"/>
    <n v="321.60937966101699"/>
    <n v="805.494307278983"/>
    <n v="0.71465856833974006"/>
    <x v="1"/>
    <s v="LEVE"/>
    <x v="0"/>
    <x v="1"/>
    <n v="11"/>
    <n v="1"/>
    <d v="2018-03-27T00:00:00"/>
    <s v="KIA"/>
    <s v="RIO"/>
    <n v="1732.4449999999997"/>
    <d v="2018-03-27T00:00:00"/>
    <n v="6"/>
    <x v="1"/>
  </r>
  <r>
    <d v="2018-04-03T00:00:00"/>
    <s v="001-00011956"/>
    <n v="193.74000599999999"/>
    <n v="0"/>
    <n v="0"/>
    <n v="41.313559322033896"/>
    <n v="0"/>
    <n v="29.25"/>
    <n v="0"/>
    <n v="0"/>
    <n v="70.563559322033896"/>
    <n v="123.1764466779661"/>
    <n v="0.63578219708512917"/>
    <x v="0"/>
    <s v="LEVE"/>
    <x v="0"/>
    <x v="1"/>
    <n v="7"/>
    <n v="1"/>
    <d v="2018-03-27T00:00:00"/>
    <s v="SSANYONG"/>
    <s v="KYON"/>
    <n v="0"/>
    <d v="2018-03-27T00:00:00"/>
    <n v="2"/>
    <x v="853"/>
  </r>
  <r>
    <d v="2018-04-16T00:00:00"/>
    <s v="001-00011963"/>
    <n v="1454.4730653440702"/>
    <n v="0"/>
    <n v="0"/>
    <n v="41.313559322033896"/>
    <n v="0"/>
    <n v="146.25"/>
    <n v="260.30550000000005"/>
    <n v="0"/>
    <n v="447.86905932203393"/>
    <n v="1006.6040060220362"/>
    <n v="0.69207469702019808"/>
    <x v="1"/>
    <s v="MEDIANO"/>
    <x v="0"/>
    <x v="1"/>
    <n v="19"/>
    <n v="1"/>
    <d v="2018-03-28T00:00:00"/>
    <s v="SUZUKI"/>
    <s v="G.VITARA"/>
    <n v="1914.0875000000001"/>
    <d v="2018-04-02T00:00:00"/>
    <n v="10"/>
    <x v="1"/>
  </r>
  <r>
    <d v="2018-04-07T00:00:00"/>
    <s v="001-00011966"/>
    <n v="779.42148899999995"/>
    <n v="0"/>
    <n v="0"/>
    <n v="81.970338983050851"/>
    <n v="0"/>
    <n v="73.125"/>
    <n v="122.095675"/>
    <n v="0"/>
    <n v="277.19101398305088"/>
    <n v="502.23047501694907"/>
    <n v="0.64436313612717078"/>
    <x v="1"/>
    <s v="LEVE"/>
    <x v="0"/>
    <x v="1"/>
    <n v="6"/>
    <n v="1"/>
    <d v="2018-04-01T00:00:00"/>
    <s v="KIA"/>
    <s v="SPORTAGE"/>
    <n v="0"/>
    <d v="2018-04-02T00:00:00"/>
    <n v="5"/>
    <x v="1"/>
  </r>
  <r>
    <d v="2018-04-16T00:00:00"/>
    <s v="001-00011967"/>
    <n v="1771.7633334703398"/>
    <n v="0"/>
    <n v="0"/>
    <n v="65"/>
    <n v="0"/>
    <n v="234"/>
    <n v="235.51449999999997"/>
    <n v="0"/>
    <n v="534.5145"/>
    <n v="1237.2488334703398"/>
    <n v="0.69831495555726941"/>
    <x v="1"/>
    <s v="MEDIANO"/>
    <x v="0"/>
    <x v="1"/>
    <n v="15"/>
    <n v="1"/>
    <d v="2018-04-01T00:00:00"/>
    <s v="KIA"/>
    <s v="RIO"/>
    <n v="1568.8400000000001"/>
    <d v="2018-04-05T00:00:00"/>
    <n v="16"/>
    <x v="1"/>
  </r>
  <r>
    <d v="2018-04-04T00:00:00"/>
    <s v="001-00011968"/>
    <n v="637"/>
    <n v="146.23999869999994"/>
    <n v="0"/>
    <n v="38.14"/>
    <n v="43.875"/>
    <n v="0"/>
    <n v="0"/>
    <n v="0"/>
    <n v="228.25499869999993"/>
    <n v="408.74500130000007"/>
    <n v="0.64167190156985887"/>
    <x v="0"/>
    <s v="MECANICA"/>
    <x v="0"/>
    <x v="1"/>
    <n v="5"/>
    <n v="1"/>
    <d v="2018-03-30T00:00:00"/>
    <s v="CHEVROLET"/>
    <s v="SAIL"/>
    <n v="277.84249999999997"/>
    <d v="2018-04-03T00:00:00"/>
    <n v="0"/>
    <x v="638"/>
  </r>
  <r>
    <d v="2018-04-17T00:00:00"/>
    <s v="001-00011969"/>
    <n v="2036.7755408"/>
    <n v="0"/>
    <n v="0"/>
    <n v="102.75"/>
    <n v="21.9375"/>
    <n v="263.25"/>
    <n v="240.47270000000003"/>
    <n v="0"/>
    <n v="628.41020000000003"/>
    <n v="1408.3653408"/>
    <n v="0.69146811349022064"/>
    <x v="1"/>
    <s v="MEDIANO"/>
    <x v="0"/>
    <x v="1"/>
    <n v="16"/>
    <n v="1"/>
    <d v="2018-04-01T00:00:00"/>
    <s v="VOLKSWAGUEN"/>
    <s v="GOL"/>
    <n v="3104.14"/>
    <d v="2018-04-02T00:00:00"/>
    <n v="18"/>
    <x v="1"/>
  </r>
  <r>
    <d v="2018-04-13T00:00:00"/>
    <s v="001-00011970"/>
    <n v="788.91576243220004"/>
    <n v="0"/>
    <n v="0"/>
    <n v="20.656779661016948"/>
    <n v="0"/>
    <n v="87.75"/>
    <n v="132.01207499999998"/>
    <n v="0"/>
    <n v="240.41885466101692"/>
    <n v="548.49690777118315"/>
    <n v="0.69525408654554721"/>
    <x v="1"/>
    <s v="LEVE"/>
    <x v="0"/>
    <x v="1"/>
    <n v="12"/>
    <n v="1"/>
    <d v="2018-04-01T00:00:00"/>
    <s v="HYUNDAI"/>
    <s v="ACCENT"/>
    <n v="1655.7449999999999"/>
    <d v="2018-04-02T00:00:00"/>
    <n v="6"/>
    <x v="1"/>
  </r>
  <r>
    <d v="2018-04-02T00:00:00"/>
    <s v="001-00011971"/>
    <n v="249"/>
    <n v="60.077250200000002"/>
    <n v="0"/>
    <n v="0"/>
    <n v="39.048749999999998"/>
    <n v="0"/>
    <n v="0"/>
    <n v="0"/>
    <n v="99.126000199999993"/>
    <n v="149.87399980000001"/>
    <n v="0.60190361365461853"/>
    <x v="0"/>
    <s v="MECANICA"/>
    <x v="0"/>
    <x v="1"/>
    <n v="3"/>
    <n v="1"/>
    <d v="2018-03-30T00:00:00"/>
    <s v="TOYOTA"/>
    <s v="COROLLA"/>
    <n v="0"/>
    <d v="2018-04-02T00:00:00"/>
    <n v="0"/>
    <x v="854"/>
  </r>
  <r>
    <d v="2018-04-13T00:00:00"/>
    <s v="001-00011973"/>
    <n v="892.25005651714014"/>
    <n v="0"/>
    <n v="0"/>
    <n v="0"/>
    <n v="0"/>
    <n v="201.82500000000002"/>
    <n v="61.977499999999999"/>
    <n v="0"/>
    <n v="263.80250000000001"/>
    <n v="628.44755651714013"/>
    <n v="0.70434017003065064"/>
    <x v="1"/>
    <s v="MEDIANO"/>
    <x v="0"/>
    <x v="1"/>
    <n v="12"/>
    <n v="1"/>
    <d v="2018-04-01T00:00:00"/>
    <s v="NISSAN"/>
    <s v="QASHQAI"/>
    <n v="0"/>
    <d v="2018-04-03T00:00:00"/>
    <n v="13.8"/>
    <x v="1"/>
  </r>
  <r>
    <d v="2018-04-21T00:00:00"/>
    <s v="001-00011974"/>
    <n v="322.60001"/>
    <n v="0"/>
    <n v="0"/>
    <n v="20"/>
    <n v="0"/>
    <n v="87.75"/>
    <n v="131.39230000000001"/>
    <n v="0"/>
    <n v="239.14230000000001"/>
    <n v="83.457709999999992"/>
    <n v="0.2587033707779488"/>
    <x v="1"/>
    <s v="LEVE"/>
    <x v="0"/>
    <x v="1"/>
    <n v="20"/>
    <n v="1"/>
    <d v="2018-04-01T00:00:00"/>
    <s v="HYUNDAI"/>
    <s v="I20"/>
    <n v="0"/>
    <s v="F/Fecha"/>
    <n v="0"/>
    <x v="855"/>
  </r>
  <r>
    <d v="2018-04-09T00:00:00"/>
    <s v="001-00011975"/>
    <n v="120"/>
    <n v="0"/>
    <n v="0"/>
    <n v="0"/>
    <n v="0"/>
    <n v="0"/>
    <n v="0"/>
    <n v="0"/>
    <n v="0"/>
    <n v="120"/>
    <n v="1"/>
    <x v="0"/>
    <s v="MECANICA"/>
    <x v="0"/>
    <x v="1"/>
    <n v="8"/>
    <n v="1"/>
    <d v="2018-04-01T00:00:00"/>
    <s v="TOYOTA"/>
    <s v="HILUX"/>
    <n v="0"/>
    <s v="F/Fecha"/>
    <n v="0"/>
    <x v="856"/>
  </r>
  <r>
    <d v="2018-04-13T00:00:00"/>
    <s v="001-00011976"/>
    <n v="858.12033837541992"/>
    <n v="0"/>
    <n v="0"/>
    <n v="0"/>
    <n v="0"/>
    <n v="73.125"/>
    <n v="121.47590000000001"/>
    <n v="0"/>
    <n v="194.60090000000002"/>
    <n v="663.5194383754199"/>
    <n v="0.77322423056838929"/>
    <x v="1"/>
    <s v="LEVE"/>
    <x v="0"/>
    <x v="1"/>
    <n v="12"/>
    <n v="1"/>
    <d v="2018-04-01T00:00:00"/>
    <s v="SUZUKI"/>
    <s v="CIAZ"/>
    <n v="32.467500000000001"/>
    <d v="2018-04-03T00:00:00"/>
    <n v="5"/>
    <x v="97"/>
  </r>
  <r>
    <d v="2018-04-19T00:00:00"/>
    <s v="001-00011977"/>
    <n v="1477.2573378"/>
    <n v="59.31620199999999"/>
    <n v="0"/>
    <n v="13.771186440677967"/>
    <n v="8.7749999999999986"/>
    <n v="175.5"/>
    <n v="195.84890000000001"/>
    <n v="0"/>
    <n v="453.21128844067795"/>
    <n v="1024.0460493593221"/>
    <n v="0.69320762412619241"/>
    <x v="1"/>
    <s v="MEDIANO"/>
    <x v="0"/>
    <x v="1"/>
    <n v="18"/>
    <n v="1"/>
    <d v="2018-04-01T00:00:00"/>
    <s v="HYUNDAI"/>
    <s v="I10"/>
    <n v="1619.085"/>
    <d v="2018-04-03T00:00:00"/>
    <n v="12"/>
    <x v="1"/>
  </r>
  <r>
    <d v="2018-04-04T00:00:00"/>
    <s v="001-00011982"/>
    <n v="84.737297000000012"/>
    <n v="0"/>
    <n v="0"/>
    <n v="50.85"/>
    <n v="33.198749999999997"/>
    <n v="0"/>
    <n v="0"/>
    <n v="0"/>
    <n v="84.048749999999998"/>
    <n v="0.68854700000001401"/>
    <n v="8.1256663166871367E-3"/>
    <x v="0"/>
    <s v="MECANICA"/>
    <x v="0"/>
    <x v="1"/>
    <n v="4"/>
    <n v="1"/>
    <d v="2018-03-31T00:00:00"/>
    <s v="TOYOTA"/>
    <s v="COROLLA"/>
    <n v="506.54500000000007"/>
    <d v="2018-03-26T00:00:00"/>
    <n v="0"/>
    <x v="834"/>
  </r>
  <r>
    <d v="2018-04-06T00:00:00"/>
    <s v="001-00011984"/>
    <n v="740.82597705000001"/>
    <n v="0"/>
    <n v="0"/>
    <n v="0"/>
    <n v="0"/>
    <n v="73.125"/>
    <n v="185.9325"/>
    <n v="0"/>
    <n v="259.0575"/>
    <n v="481.76847705"/>
    <n v="0.65031261318403311"/>
    <x v="0"/>
    <s v="LEVE"/>
    <x v="0"/>
    <x v="1"/>
    <n v="4"/>
    <n v="1"/>
    <d v="2018-04-02T00:00:00"/>
    <s v="NISSAN"/>
    <s v="QASHQAI"/>
    <n v="0"/>
    <d v="2018-04-03T00:00:00"/>
    <n v="5"/>
    <x v="857"/>
  </r>
  <r>
    <d v="2018-04-03T00:00:00"/>
    <s v="001-00011985"/>
    <n v="249"/>
    <n v="50.299600399999996"/>
    <n v="0"/>
    <n v="0"/>
    <n v="39.048749999999998"/>
    <n v="0"/>
    <n v="0"/>
    <n v="0"/>
    <n v="89.348350399999987"/>
    <n v="159.65164960000001"/>
    <n v="0.64117128353413655"/>
    <x v="0"/>
    <s v="MECANICA"/>
    <x v="0"/>
    <x v="1"/>
    <n v="2"/>
    <n v="1"/>
    <d v="2018-04-01T00:00:00"/>
    <s v="HYUNDAI"/>
    <s v="ELANTRA"/>
    <n v="0"/>
    <d v="2018-04-03T00:00:00"/>
    <n v="0"/>
    <x v="383"/>
  </r>
  <r>
    <d v="2018-04-03T00:00:00"/>
    <s v="001-00011986"/>
    <n v="549"/>
    <n v="132.6150025"/>
    <n v="0"/>
    <n v="0"/>
    <n v="39.048749999999998"/>
    <n v="0"/>
    <n v="0"/>
    <n v="0"/>
    <n v="171.66375249999999"/>
    <n v="377.33624750000001"/>
    <n v="0.68731556921675774"/>
    <x v="0"/>
    <s v="MECANICA"/>
    <x v="0"/>
    <x v="1"/>
    <n v="0"/>
    <n v="1"/>
    <d v="2018-04-03T00:00:00"/>
    <s v="CHEVROLET"/>
    <s v="SPIN"/>
    <n v="0"/>
    <d v="2018-04-03T00:00:00"/>
    <n v="0"/>
    <x v="858"/>
  </r>
  <r>
    <d v="2018-04-11T00:00:00"/>
    <s v="001-00011987"/>
    <n v="699.7338560933913"/>
    <n v="0"/>
    <n v="0"/>
    <n v="0"/>
    <n v="0"/>
    <n v="58.5"/>
    <n v="141.30869999999999"/>
    <n v="0"/>
    <n v="199.80869999999999"/>
    <n v="499.92515609339131"/>
    <n v="0.71445043246080675"/>
    <x v="1"/>
    <s v="LEVE"/>
    <x v="0"/>
    <x v="1"/>
    <n v="8"/>
    <n v="1"/>
    <d v="2018-04-03T00:00:00"/>
    <s v="TOYOTA"/>
    <s v="AVANZA"/>
    <n v="2994.875"/>
    <d v="2018-04-04T00:00:00"/>
    <n v="4"/>
    <x v="859"/>
  </r>
  <r>
    <d v="2018-04-20T00:00:00"/>
    <s v="001-00011989"/>
    <n v="858.99689439999997"/>
    <n v="0.84740000000000004"/>
    <n v="0"/>
    <n v="0"/>
    <n v="0"/>
    <n v="58.5"/>
    <n v="136.35050000000001"/>
    <n v="0"/>
    <n v="195.6979"/>
    <n v="663.29899439999997"/>
    <n v="0.77217857098692666"/>
    <x v="1"/>
    <s v="LEVE"/>
    <x v="0"/>
    <x v="1"/>
    <n v="17"/>
    <n v="1"/>
    <d v="2018-04-03T00:00:00"/>
    <s v="SUZUKI"/>
    <s v="S-CROSS"/>
    <n v="2483.6175000000003"/>
    <d v="2018-04-04T00:00:00"/>
    <n v="4"/>
    <x v="1"/>
  </r>
  <r>
    <d v="2018-04-12T00:00:00"/>
    <s v="001-00011990"/>
    <n v="890.36808968897981"/>
    <n v="0"/>
    <n v="0"/>
    <n v="0"/>
    <n v="0"/>
    <n v="29.25"/>
    <n v="169.81835000000001"/>
    <n v="0"/>
    <n v="199.06835000000001"/>
    <n v="691.2997396889798"/>
    <n v="0.77642016565358063"/>
    <x v="1"/>
    <s v="LEVE"/>
    <x v="0"/>
    <x v="1"/>
    <n v="9"/>
    <n v="1"/>
    <d v="2018-04-03T00:00:00"/>
    <s v="MAZDA"/>
    <s v="MAZDA 3"/>
    <n v="3668.8600000000006"/>
    <d v="2018-04-04T00:00:00"/>
    <n v="2"/>
    <x v="1"/>
  </r>
  <r>
    <d v="2018-04-18T00:00:00"/>
    <s v="001-00011991"/>
    <n v="2633.98631041"/>
    <n v="0.84740000000000004"/>
    <n v="0"/>
    <n v="0"/>
    <n v="43.875"/>
    <n v="248.625"/>
    <n v="433.22272500000008"/>
    <n v="0"/>
    <n v="726.57012500000008"/>
    <n v="1907.4161854099998"/>
    <n v="0.72415569430696702"/>
    <x v="1"/>
    <s v="MEDIANO"/>
    <x v="0"/>
    <x v="1"/>
    <n v="15"/>
    <n v="1"/>
    <d v="2018-04-03T00:00:00"/>
    <s v="TOYOTA"/>
    <s v="YARIS"/>
    <n v="1461.2"/>
    <d v="2018-04-04T00:00:00"/>
    <n v="17"/>
    <x v="1"/>
  </r>
  <r>
    <d v="2018-04-14T00:00:00"/>
    <s v="001-00011994"/>
    <n v="868.60102689999997"/>
    <n v="0"/>
    <n v="0"/>
    <n v="42.37"/>
    <n v="0"/>
    <n v="109.6875"/>
    <n v="123.955"/>
    <n v="0"/>
    <n v="276.01249999999999"/>
    <n v="592.58852690000003"/>
    <n v="0.68223327920175647"/>
    <x v="1"/>
    <s v="LEVE"/>
    <x v="0"/>
    <x v="1"/>
    <n v="11"/>
    <n v="1"/>
    <d v="2018-04-03T00:00:00"/>
    <s v="SUBARU"/>
    <s v="IMPREZA"/>
    <n v="1637.22"/>
    <d v="2018-04-04T00:00:00"/>
    <n v="7.5"/>
    <x v="1"/>
  </r>
  <r>
    <d v="2018-04-05T00:00:00"/>
    <s v="001-00011996"/>
    <n v="193.67999399999999"/>
    <n v="0"/>
    <n v="0"/>
    <n v="0"/>
    <n v="0"/>
    <n v="14.625"/>
    <n v="46.483125000000001"/>
    <n v="0"/>
    <n v="61.108125000000001"/>
    <n v="132.57186899999999"/>
    <n v="0.68448922504613463"/>
    <x v="0"/>
    <s v="MEDIANO"/>
    <x v="0"/>
    <x v="1"/>
    <n v="3"/>
    <n v="1"/>
    <d v="2018-04-02T00:00:00"/>
    <s v="KIA"/>
    <s v="SPORTAGE"/>
    <n v="0"/>
    <d v="2018-04-03T00:00:00"/>
    <n v="1"/>
    <x v="860"/>
  </r>
  <r>
    <d v="2018-04-18T00:00:00"/>
    <s v="001-00011998"/>
    <n v="2259.5315000000001"/>
    <n v="4.2399997999999997"/>
    <n v="0"/>
    <n v="0"/>
    <n v="29.25"/>
    <n v="248.625"/>
    <n v="322.28300000000002"/>
    <n v="0"/>
    <n v="604.39799979999998"/>
    <n v="1655.1335002000001"/>
    <n v="0.73251180618637091"/>
    <x v="1"/>
    <s v="MEDIANO"/>
    <x v="0"/>
    <x v="1"/>
    <n v="14"/>
    <n v="1"/>
    <d v="2018-04-04T00:00:00"/>
    <s v="TOYOTA"/>
    <s v="COROLLA"/>
    <n v="4981.4049999999997"/>
    <d v="2018-04-05T00:00:00"/>
    <n v="17"/>
    <x v="83"/>
  </r>
  <r>
    <d v="2018-04-21T00:00:00"/>
    <s v="001-00011999"/>
    <n v="2137.0611531849186"/>
    <n v="0"/>
    <n v="0"/>
    <n v="84.75"/>
    <n v="20.474999999999998"/>
    <n v="263.25"/>
    <n v="291.29425000000003"/>
    <n v="0"/>
    <n v="659.76925000000006"/>
    <n v="1477.2919031849185"/>
    <n v="0.69127263905540159"/>
    <x v="1"/>
    <s v="MEDIANO"/>
    <x v="0"/>
    <x v="1"/>
    <n v="17"/>
    <n v="1"/>
    <d v="2018-04-04T00:00:00"/>
    <s v="RENAULT"/>
    <s v="LOGAN"/>
    <n v="10456.875"/>
    <d v="2018-04-05T00:00:00"/>
    <n v="18"/>
    <x v="1"/>
  </r>
  <r>
    <d v="2018-04-05T00:00:00"/>
    <s v="001-00012000"/>
    <n v="595"/>
    <n v="125.51930279999999"/>
    <n v="0"/>
    <n v="0"/>
    <n v="39.048749999999998"/>
    <n v="0"/>
    <n v="0"/>
    <n v="0"/>
    <n v="164.56805279999998"/>
    <n v="430.43194720000002"/>
    <n v="0.72341503731092438"/>
    <x v="0"/>
    <s v="MECANICA"/>
    <x v="0"/>
    <x v="1"/>
    <n v="1"/>
    <n v="1"/>
    <d v="2018-04-04T00:00:00"/>
    <s v="CHEVROLET"/>
    <s v="CAPTIVA"/>
    <n v="45.11"/>
    <d v="2018-04-04T00:00:00"/>
    <n v="0"/>
    <x v="673"/>
  </r>
  <r>
    <d v="2018-04-04T00:00:00"/>
    <s v="001-00012002"/>
    <n v="449"/>
    <n v="121.4759016"/>
    <n v="0"/>
    <n v="0"/>
    <n v="39.048749999999998"/>
    <n v="0"/>
    <n v="0"/>
    <n v="0"/>
    <n v="160.5246516"/>
    <n v="288.47534840000003"/>
    <n v="0.64248407216035641"/>
    <x v="0"/>
    <s v="MECANICA"/>
    <x v="0"/>
    <x v="1"/>
    <n v="0"/>
    <n v="1"/>
    <d v="2018-04-04T00:00:00"/>
    <s v="KIA"/>
    <s v="RIO"/>
    <n v="0"/>
    <d v="2018-04-04T00:00:00"/>
    <n v="0"/>
    <x v="861"/>
  </r>
  <r>
    <d v="2018-04-04T00:00:00"/>
    <s v="001-00012003"/>
    <n v="650"/>
    <n v="204.74700039999999"/>
    <n v="0"/>
    <n v="0"/>
    <n v="39.048749999999998"/>
    <n v="0"/>
    <n v="0"/>
    <n v="0"/>
    <n v="243.79575039999997"/>
    <n v="406.20424960000003"/>
    <n v="0.62492961476923081"/>
    <x v="0"/>
    <s v="MECANICA"/>
    <x v="0"/>
    <x v="1"/>
    <n v="0"/>
    <n v="1"/>
    <d v="2018-04-04T00:00:00"/>
    <s v="MAZDA"/>
    <s v="CX-5"/>
    <n v="0"/>
    <d v="2018-04-04T00:00:00"/>
    <n v="0"/>
    <x v="862"/>
  </r>
  <r>
    <d v="2018-04-05T00:00:00"/>
    <s v="001-00012005"/>
    <n v="500"/>
    <n v="101.69"/>
    <n v="0"/>
    <n v="67.8"/>
    <n v="39.048749999999998"/>
    <n v="0"/>
    <n v="0"/>
    <n v="0"/>
    <n v="208.53874999999999"/>
    <n v="291.46125000000001"/>
    <n v="0.58292250000000001"/>
    <x v="0"/>
    <s v="MECANICA"/>
    <x v="0"/>
    <x v="1"/>
    <n v="1"/>
    <n v="1"/>
    <d v="2018-04-04T00:00:00"/>
    <s v="RENAULT"/>
    <s v="STEPWAY"/>
    <n v="200.59"/>
    <d v="2018-04-04T00:00:00"/>
    <n v="0"/>
    <x v="760"/>
  </r>
  <r>
    <d v="2018-04-14T00:00:00"/>
    <s v="001-00012006"/>
    <n v="484.35001499999998"/>
    <n v="0"/>
    <n v="0"/>
    <n v="20"/>
    <n v="0"/>
    <n v="43.875"/>
    <n v="77.471874999999997"/>
    <n v="0"/>
    <n v="141.34687500000001"/>
    <n v="343.00313999999997"/>
    <n v="0.7081720437233805"/>
    <x v="0"/>
    <s v="LEVE"/>
    <x v="0"/>
    <x v="1"/>
    <n v="10"/>
    <n v="1"/>
    <d v="2018-04-04T00:00:00"/>
    <s v="SUBARU"/>
    <s v="IMPREZA"/>
    <n v="0"/>
    <d v="2018-04-05T00:00:00"/>
    <n v="3"/>
    <x v="863"/>
  </r>
  <r>
    <d v="2018-04-16T00:00:00"/>
    <s v="001-00012007"/>
    <n v="1611.5858774097501"/>
    <n v="0"/>
    <n v="0"/>
    <n v="0"/>
    <n v="0"/>
    <n v="146.25"/>
    <n v="224.97832499999998"/>
    <n v="0"/>
    <n v="371.22832499999998"/>
    <n v="1240.35755240975"/>
    <n v="0.76965029899823689"/>
    <x v="1"/>
    <s v="MEDIANO"/>
    <x v="0"/>
    <x v="1"/>
    <n v="12"/>
    <n v="1"/>
    <d v="2018-04-04T00:00:00"/>
    <s v="VOLKSWAGUEN"/>
    <s v="GOL"/>
    <n v="1333.8"/>
    <d v="2018-04-05T00:00:00"/>
    <n v="10"/>
    <x v="1"/>
  </r>
  <r>
    <d v="2018-04-05T00:00:00"/>
    <s v="001-00012009"/>
    <n v="350"/>
    <n v="60.505050400000002"/>
    <n v="0"/>
    <n v="0"/>
    <n v="39.048749999999998"/>
    <n v="0"/>
    <n v="0"/>
    <n v="0"/>
    <n v="99.5538004"/>
    <n v="250.4461996"/>
    <n v="0.71556057028571429"/>
    <x v="0"/>
    <s v="MECANICA"/>
    <x v="0"/>
    <x v="1"/>
    <n v="1"/>
    <n v="1"/>
    <d v="2018-04-04T00:00:00"/>
    <s v="HYUNDAI"/>
    <s v="TUCSON"/>
    <n v="0"/>
    <d v="2018-04-05T00:00:00"/>
    <n v="0"/>
    <x v="28"/>
  </r>
  <r>
    <d v="2018-04-12T00:00:00"/>
    <s v="001-00012010"/>
    <n v="1915"/>
    <n v="632.51310081000008"/>
    <n v="0"/>
    <n v="101.69"/>
    <n v="58.5"/>
    <n v="0"/>
    <n v="0"/>
    <n v="0"/>
    <n v="792.70310081000002"/>
    <n v="1122.29689919"/>
    <n v="0.58605582203133155"/>
    <x v="0"/>
    <s v="MECANICA"/>
    <x v="0"/>
    <x v="1"/>
    <n v="8"/>
    <n v="1"/>
    <d v="2018-04-04T00:00:00"/>
    <s v="TOYOTA"/>
    <s v="VITZ"/>
    <n v="1003.0799999999999"/>
    <d v="2018-04-05T00:00:00"/>
    <n v="0"/>
    <x v="777"/>
  </r>
  <r>
    <d v="2018-04-05T00:00:00"/>
    <s v="001-00012011"/>
    <n v="510"/>
    <n v="189.40999799999997"/>
    <n v="0"/>
    <n v="0"/>
    <n v="39.048749999999998"/>
    <n v="0"/>
    <n v="0"/>
    <n v="0"/>
    <n v="228.45874799999996"/>
    <n v="281.54125200000004"/>
    <n v="0.55204167058823539"/>
    <x v="0"/>
    <s v="MECANICA"/>
    <x v="0"/>
    <x v="1"/>
    <n v="1"/>
    <n v="1"/>
    <d v="2018-04-04T00:00:00"/>
    <s v="NISSAN"/>
    <s v="NAVARA"/>
    <n v="60.157500000000006"/>
    <d v="2018-04-05T00:00:00"/>
    <n v="0"/>
    <x v="157"/>
  </r>
  <r>
    <d v="2018-04-12T00:00:00"/>
    <s v="001-00012012"/>
    <n v="750"/>
    <n v="151.78800190000001"/>
    <n v="0"/>
    <n v="147.66949152542372"/>
    <n v="39.048749999999998"/>
    <n v="0"/>
    <n v="30.98875"/>
    <n v="0"/>
    <n v="369.49499342542373"/>
    <n v="380.50500657457627"/>
    <n v="0.50734000876610175"/>
    <x v="0"/>
    <s v="MECANICA"/>
    <x v="0"/>
    <x v="1"/>
    <n v="8"/>
    <n v="1"/>
    <d v="2018-04-04T00:00:00"/>
    <s v="MAZDA"/>
    <s v="MAZDA 3"/>
    <n v="92.267499999999998"/>
    <d v="2018-04-05T00:00:00"/>
    <n v="0"/>
    <x v="864"/>
  </r>
  <r>
    <d v="2018-04-17T00:00:00"/>
    <s v="001-00012013"/>
    <n v="840.07055496000009"/>
    <n v="0"/>
    <n v="0"/>
    <n v="0"/>
    <n v="0"/>
    <n v="48.262499999999996"/>
    <n v="169.19857500000001"/>
    <n v="0"/>
    <n v="217.46107499999999"/>
    <n v="622.60947996000004"/>
    <n v="0.74113951058509075"/>
    <x v="1"/>
    <s v="LEVE"/>
    <x v="0"/>
    <x v="1"/>
    <n v="12"/>
    <n v="1"/>
    <d v="2018-04-05T00:00:00"/>
    <s v="JEEP"/>
    <s v="COMPASS"/>
    <n v="531.69999999999993"/>
    <d v="2018-04-06T00:00:00"/>
    <n v="3.3"/>
    <x v="1"/>
  </r>
  <r>
    <d v="2018-04-19T00:00:00"/>
    <s v="001-00012015"/>
    <n v="964.17318230000001"/>
    <n v="0"/>
    <n v="0"/>
    <n v="0"/>
    <n v="0"/>
    <n v="58.5"/>
    <n v="139.449375"/>
    <n v="0"/>
    <n v="197.949375"/>
    <n v="766.22380729999998"/>
    <n v="0.79469520763085422"/>
    <x v="1"/>
    <s v="LEVE"/>
    <x v="0"/>
    <x v="1"/>
    <n v="14"/>
    <n v="1"/>
    <d v="2018-04-05T00:00:00"/>
    <s v="SSANYONG"/>
    <s v="KORANDO"/>
    <n v="735.15"/>
    <d v="2018-04-06T00:00:00"/>
    <n v="4"/>
    <x v="1"/>
  </r>
  <r>
    <d v="2018-04-16T00:00:00"/>
    <s v="001-00012016"/>
    <n v="1114.4703334144099"/>
    <n v="0"/>
    <n v="0"/>
    <n v="20.656779661016948"/>
    <n v="0"/>
    <n v="102.375"/>
    <n v="207.62462500000001"/>
    <n v="0"/>
    <n v="330.65640466101695"/>
    <n v="783.81392875339293"/>
    <n v="0.70330623010126903"/>
    <x v="1"/>
    <s v="LEVE"/>
    <x v="0"/>
    <x v="1"/>
    <n v="11"/>
    <n v="1"/>
    <d v="2018-04-05T00:00:00"/>
    <s v="KIA"/>
    <s v="PICANTO"/>
    <n v="2179.2874999999999"/>
    <d v="2018-04-06T00:00:00"/>
    <n v="7"/>
    <x v="1"/>
  </r>
  <r>
    <d v="2018-04-12T00:00:00"/>
    <s v="001-00012017"/>
    <n v="1394.3895430499999"/>
    <n v="120.52"/>
    <n v="0"/>
    <n v="0"/>
    <n v="0"/>
    <n v="131.625"/>
    <n v="247.91"/>
    <n v="0"/>
    <n v="500.05499999999995"/>
    <n v="894.33454304999998"/>
    <n v="0.64138070133098446"/>
    <x v="0"/>
    <s v="MEDIANO"/>
    <x v="0"/>
    <x v="1"/>
    <n v="7"/>
    <n v="1"/>
    <d v="2018-04-05T00:00:00"/>
    <s v="TOYOTA"/>
    <s v="LAND C."/>
    <n v="0"/>
    <d v="2018-04-06T00:00:00"/>
    <n v="9"/>
    <x v="789"/>
  </r>
  <r>
    <d v="2018-04-16T00:00:00"/>
    <s v="001-00012018"/>
    <n v="628.80676117373014"/>
    <n v="0"/>
    <n v="0"/>
    <n v="0"/>
    <n v="0"/>
    <n v="58.5"/>
    <n v="128.91320000000002"/>
    <n v="0"/>
    <n v="187.41320000000002"/>
    <n v="441.39356117373012"/>
    <n v="0.70195422254974693"/>
    <x v="1"/>
    <s v="LEVE"/>
    <x v="0"/>
    <x v="1"/>
    <n v="11"/>
    <n v="1"/>
    <d v="2018-04-05T00:00:00"/>
    <s v="SUZUKI"/>
    <s v="SX4"/>
    <n v="1586.9750000000001"/>
    <d v="2018-03-27T00:00:00"/>
    <n v="4"/>
    <x v="849"/>
  </r>
  <r>
    <d v="2018-04-14T00:00:00"/>
    <s v="001-00012019"/>
    <n v="1248.254879067629"/>
    <n v="0"/>
    <n v="0"/>
    <n v="0"/>
    <n v="0"/>
    <n v="87.75"/>
    <n v="246.67045000000002"/>
    <n v="0"/>
    <n v="334.42045000000002"/>
    <n v="913.83442906762889"/>
    <n v="0.73208961117797355"/>
    <x v="1"/>
    <s v="LEVE"/>
    <x v="0"/>
    <x v="1"/>
    <n v="8"/>
    <n v="1"/>
    <d v="2018-04-06T00:00:00"/>
    <s v="HONDA"/>
    <s v="HR-V"/>
    <n v="1118.9750000000001"/>
    <d v="2018-04-07T00:00:00"/>
    <n v="6"/>
    <x v="1"/>
  </r>
  <r>
    <d v="2018-04-07T00:00:00"/>
    <s v="001-00012020"/>
    <n v="1340"/>
    <n v="375.43280390000001"/>
    <n v="0"/>
    <n v="0"/>
    <n v="78.097499999999997"/>
    <n v="0"/>
    <n v="0"/>
    <n v="0"/>
    <n v="453.53030390000004"/>
    <n v="886.46969609999996"/>
    <n v="0.66154454932835816"/>
    <x v="0"/>
    <s v="MECANICA"/>
    <x v="0"/>
    <x v="1"/>
    <n v="1"/>
    <n v="1"/>
    <d v="2018-04-06T00:00:00"/>
    <s v="KIA"/>
    <s v="SORENTO"/>
    <n v="411.255"/>
    <d v="2018-04-06T00:00:00"/>
    <n v="0"/>
    <x v="349"/>
  </r>
  <r>
    <d v="2018-04-06T00:00:00"/>
    <s v="001-00012021"/>
    <n v="215"/>
    <n v="32.200001"/>
    <n v="0"/>
    <n v="0"/>
    <n v="39.048749999999998"/>
    <n v="0"/>
    <n v="0"/>
    <n v="0"/>
    <n v="71.248750999999999"/>
    <n v="143.751249"/>
    <n v="0.6686104604651163"/>
    <x v="0"/>
    <s v="MECANICA"/>
    <x v="0"/>
    <x v="1"/>
    <n v="0"/>
    <n v="1"/>
    <d v="2018-04-06T00:00:00"/>
    <s v="SUZUKI"/>
    <s v="VITARA"/>
    <n v="85.247500000000002"/>
    <d v="2018-04-06T00:00:00"/>
    <n v="0"/>
    <x v="865"/>
  </r>
  <r>
    <d v="2018-04-17T00:00:00"/>
    <s v="001-00012022"/>
    <n v="1665.2505178400002"/>
    <n v="22.030000999999992"/>
    <n v="0"/>
    <n v="27.542372881355934"/>
    <n v="5.8500000000000005"/>
    <n v="248.625"/>
    <n v="179.11497500000002"/>
    <n v="0"/>
    <n v="483.16234888135597"/>
    <n v="1182.0881689586442"/>
    <n v="0.70985605846976896"/>
    <x v="1"/>
    <s v="MEDIANO"/>
    <x v="0"/>
    <x v="1"/>
    <n v="11"/>
    <n v="1"/>
    <d v="2018-04-06T00:00:00"/>
    <s v="HYUNDAI"/>
    <s v="I10"/>
    <n v="1103.9275"/>
    <d v="2018-04-06T00:00:00"/>
    <n v="17"/>
    <x v="1"/>
  </r>
  <r>
    <d v="2018-04-28T00:00:00"/>
    <s v="001-00012023"/>
    <n v="3150.4716750032189"/>
    <n v="25.505899799999998"/>
    <n v="0"/>
    <n v="105.40677966101694"/>
    <n v="55.574999999999996"/>
    <n v="321.75"/>
    <n v="407.81195000000002"/>
    <n v="0"/>
    <n v="916.04962946101693"/>
    <n v="2234.4220455422019"/>
    <n v="0.70923413254934875"/>
    <x v="1"/>
    <s v="MEDIANO"/>
    <x v="0"/>
    <x v="1"/>
    <n v="22"/>
    <n v="1"/>
    <d v="2018-04-06T00:00:00"/>
    <s v="TOYOTA"/>
    <s v="AVANZA"/>
    <n v="26565.759999999998"/>
    <d v="2018-04-09T00:00:00"/>
    <n v="22"/>
    <x v="866"/>
  </r>
  <r>
    <d v="2018-04-06T00:00:00"/>
    <s v="001-00012025"/>
    <n v="109.39627004262003"/>
    <n v="0"/>
    <n v="0"/>
    <n v="0"/>
    <n v="0"/>
    <n v="0"/>
    <n v="16.733924999999999"/>
    <n v="0"/>
    <n v="16.733924999999999"/>
    <n v="92.662345042620032"/>
    <n v="0.84703386145176085"/>
    <x v="0"/>
    <s v="MECANICA"/>
    <x v="0"/>
    <x v="1"/>
    <n v="0"/>
    <n v="1"/>
    <d v="2018-04-06T00:00:00"/>
    <s v="SUZUKI"/>
    <s v="ERTIGA"/>
    <n v="0"/>
    <d v="2018-04-06T00:00:00"/>
    <n v="0"/>
    <x v="867"/>
  </r>
  <r>
    <d v="2018-04-16T00:00:00"/>
    <s v="001-00012026"/>
    <n v="309.21777756327032"/>
    <n v="0"/>
    <n v="179.01"/>
    <n v="0"/>
    <n v="0"/>
    <n v="0"/>
    <n v="0"/>
    <n v="0"/>
    <n v="179.01"/>
    <n v="130.20777756327033"/>
    <n v="0.42108761853651178"/>
    <x v="0"/>
    <s v="MECANICA"/>
    <x v="0"/>
    <x v="1"/>
    <n v="10"/>
    <n v="1"/>
    <d v="2018-04-06T00:00:00"/>
    <s v="KIA"/>
    <s v="PICANTO"/>
    <n v="0"/>
    <d v="2018-04-05T00:00:00"/>
    <n v="0"/>
    <x v="868"/>
  </r>
  <r>
    <d v="2018-04-28T00:00:00"/>
    <s v="001-00012027"/>
    <n v="2015.6546819176292"/>
    <n v="0"/>
    <n v="0"/>
    <n v="0"/>
    <n v="0"/>
    <n v="131.625"/>
    <n v="436.94137499999999"/>
    <n v="0"/>
    <n v="568.56637499999999"/>
    <n v="1447.0883069176293"/>
    <n v="0.71792471195557961"/>
    <x v="1"/>
    <s v="MEDIANO"/>
    <x v="0"/>
    <x v="1"/>
    <n v="22"/>
    <n v="1"/>
    <d v="2018-04-06T00:00:00"/>
    <s v="HYUNDAI"/>
    <s v="ELANTRA"/>
    <n v="1056.9650000000001"/>
    <d v="2018-04-09T00:00:00"/>
    <n v="9"/>
    <x v="869"/>
  </r>
  <r>
    <d v="2018-04-18T00:00:00"/>
    <s v="001-00012028"/>
    <n v="579.78"/>
    <n v="0"/>
    <n v="0"/>
    <n v="34.427966101694921"/>
    <n v="0"/>
    <n v="43.875"/>
    <n v="123.955"/>
    <n v="0"/>
    <n v="202.25796610169493"/>
    <n v="377.52203389830504"/>
    <n v="0.65114704525562295"/>
    <x v="0"/>
    <s v="LEVE"/>
    <x v="0"/>
    <x v="1"/>
    <n v="12"/>
    <n v="1"/>
    <d v="2018-04-06T00:00:00"/>
    <s v="KIA"/>
    <s v="RIO"/>
    <n v="0"/>
    <d v="2018-04-16T00:00:00"/>
    <n v="3"/>
    <x v="870"/>
  </r>
  <r>
    <d v="2018-04-25T00:00:00"/>
    <s v="001-00012029"/>
    <n v="1035.129531975"/>
    <n v="0.9150000199999998"/>
    <n v="0"/>
    <n v="0"/>
    <n v="0"/>
    <n v="102.375"/>
    <n v="170.43812500000001"/>
    <n v="0"/>
    <n v="273.72812501999999"/>
    <n v="761.40140695499997"/>
    <n v="0.7355614765451296"/>
    <x v="2"/>
    <s v="MEDIANO"/>
    <x v="0"/>
    <x v="1"/>
    <n v="19"/>
    <n v="1"/>
    <d v="2018-04-06T00:00:00"/>
    <s v="HYUNDAI"/>
    <s v="ACCENT"/>
    <n v="1024.8225"/>
    <d v="2018-04-10T00:00:00"/>
    <n v="7"/>
    <x v="871"/>
  </r>
  <r>
    <d v="2018-04-09T00:00:00"/>
    <s v="001-00012030"/>
    <n v="950"/>
    <n v="269.0649995"/>
    <n v="0"/>
    <n v="0"/>
    <n v="78.097499999999997"/>
    <n v="0"/>
    <n v="0"/>
    <n v="0"/>
    <n v="347.16249949999997"/>
    <n v="602.83750050000003"/>
    <n v="0.63456579000000002"/>
    <x v="0"/>
    <s v="MECANICA"/>
    <x v="0"/>
    <x v="1"/>
    <n v="2"/>
    <n v="1"/>
    <d v="2018-04-07T00:00:00"/>
    <s v="JEEP"/>
    <s v="PATRIOT"/>
    <n v="178.75"/>
    <d v="2018-04-07T00:00:00"/>
    <n v="0"/>
    <x v="23"/>
  </r>
  <r>
    <d v="2018-04-21T00:00:00"/>
    <s v="001-00012032"/>
    <n v="853.46832825592992"/>
    <n v="42.369998000000002"/>
    <n v="0"/>
    <n v="0"/>
    <n v="0"/>
    <n v="36.5625"/>
    <n v="135.11095"/>
    <n v="0"/>
    <n v="214.04344800000001"/>
    <n v="639.42488025592991"/>
    <n v="0.7492075090385607"/>
    <x v="1"/>
    <s v="LEVE"/>
    <x v="0"/>
    <x v="1"/>
    <n v="14"/>
    <n v="1"/>
    <d v="2018-04-07T00:00:00"/>
    <s v="KIA"/>
    <s v="CERATO"/>
    <n v="2167.3274999999999"/>
    <d v="2018-04-09T00:00:00"/>
    <n v="2.5"/>
    <x v="1"/>
  </r>
  <r>
    <d v="2018-04-30T00:00:00"/>
    <s v="001-00012033"/>
    <n v="2023.7571816676291"/>
    <n v="0"/>
    <n v="0"/>
    <n v="0"/>
    <n v="0"/>
    <n v="117"/>
    <n v="427.02497500000004"/>
    <n v="0"/>
    <n v="544.02497500000004"/>
    <n v="1479.732206667629"/>
    <n v="0.73118070689107617"/>
    <x v="1"/>
    <s v="MEDIANO"/>
    <x v="0"/>
    <x v="1"/>
    <n v="23"/>
    <n v="1"/>
    <d v="2018-04-07T00:00:00"/>
    <s v="HYUNDAI"/>
    <s v="ACCENT"/>
    <n v="3030.625"/>
    <d v="2018-04-10T00:00:00"/>
    <n v="8"/>
    <x v="1"/>
  </r>
  <r>
    <d v="2018-04-14T00:00:00"/>
    <s v="001-00012034"/>
    <n v="479.53395812184988"/>
    <n v="0"/>
    <n v="0"/>
    <n v="75.741525423728817"/>
    <n v="0"/>
    <n v="26.324999999999999"/>
    <n v="69.414800000000014"/>
    <n v="0"/>
    <n v="171.48132542372883"/>
    <n v="308.05263269812104"/>
    <n v="0.64240003753778929"/>
    <x v="1"/>
    <s v="LEVE"/>
    <x v="0"/>
    <x v="1"/>
    <n v="7"/>
    <n v="1"/>
    <d v="2018-04-07T00:00:00"/>
    <s v="VOLKSWAGUEN"/>
    <s v="CROSSFOX"/>
    <n v="0"/>
    <d v="2018-04-09T00:00:00"/>
    <n v="1.8"/>
    <x v="1"/>
  </r>
  <r>
    <d v="2018-04-25T00:00:00"/>
    <s v="001-00012036"/>
    <n v="1408.2480854920314"/>
    <n v="0"/>
    <n v="0"/>
    <n v="0"/>
    <n v="0"/>
    <n v="146.25"/>
    <n v="230.55630000000002"/>
    <n v="0"/>
    <n v="376.80630000000002"/>
    <n v="1031.4417854920314"/>
    <n v="0.73242903442801655"/>
    <x v="1"/>
    <s v="LEVE"/>
    <x v="0"/>
    <x v="1"/>
    <n v="18"/>
    <n v="1"/>
    <d v="2018-04-07T00:00:00"/>
    <s v="CHEVROLET"/>
    <s v="SAIL"/>
    <n v="1952.2425000000003"/>
    <d v="2018-04-10T00:00:00"/>
    <n v="10"/>
    <x v="1"/>
  </r>
  <r>
    <d v="2018-04-14T00:00:00"/>
    <s v="001-00012037"/>
    <n v="753.28730145781003"/>
    <n v="0"/>
    <n v="0"/>
    <n v="117.05508474576271"/>
    <n v="0"/>
    <n v="58.5"/>
    <n v="61.977499999999999"/>
    <n v="0"/>
    <n v="237.5325847457627"/>
    <n v="515.7547167120473"/>
    <n v="0.68467199130255563"/>
    <x v="1"/>
    <s v="LEVE"/>
    <x v="0"/>
    <x v="1"/>
    <n v="7"/>
    <n v="1"/>
    <d v="2018-04-07T00:00:00"/>
    <s v="RENAULT"/>
    <s v="KOLEOS"/>
    <n v="0"/>
    <d v="2018-04-09T00:00:00"/>
    <n v="4"/>
    <x v="1"/>
  </r>
  <r>
    <d v="2018-04-16T00:00:00"/>
    <s v="001-00012039"/>
    <n v="749.78446600432949"/>
    <n v="0"/>
    <n v="0"/>
    <n v="0"/>
    <n v="0"/>
    <n v="58.5"/>
    <n v="137.59005000000002"/>
    <n v="0"/>
    <n v="196.09005000000002"/>
    <n v="553.69441600432947"/>
    <n v="0.73847144227329498"/>
    <x v="1"/>
    <s v="LEVE"/>
    <x v="0"/>
    <x v="1"/>
    <n v="7"/>
    <n v="1"/>
    <d v="2018-04-09T00:00:00"/>
    <s v="MAZDA"/>
    <s v="MAZDA 2"/>
    <n v="974.90250000000015"/>
    <d v="2018-04-04T00:00:00"/>
    <n v="4"/>
    <x v="1"/>
  </r>
  <r>
    <d v="2018-04-14T00:00:00"/>
    <s v="001-00012041"/>
    <n v="581.2474645008499"/>
    <n v="0"/>
    <n v="0"/>
    <n v="41.313559322033896"/>
    <n v="0"/>
    <n v="29.25"/>
    <n v="123.955"/>
    <n v="0"/>
    <n v="194.51855932203389"/>
    <n v="386.72890517881604"/>
    <n v="0.66534295424569645"/>
    <x v="1"/>
    <s v="LEVE"/>
    <x v="0"/>
    <x v="1"/>
    <n v="5"/>
    <n v="1"/>
    <d v="2018-04-09T00:00:00"/>
    <s v="MAZDA"/>
    <s v="CX-5"/>
    <n v="421.49250000000001"/>
    <d v="2018-04-09T00:00:00"/>
    <n v="2"/>
    <x v="1"/>
  </r>
  <r>
    <d v="2018-04-13T00:00:00"/>
    <s v="001-00012042"/>
    <n v="338.98310100000003"/>
    <n v="0"/>
    <n v="0"/>
    <n v="158.47457627118644"/>
    <n v="0"/>
    <n v="14.625"/>
    <n v="61.977499999999999"/>
    <n v="0"/>
    <n v="235.07707627118643"/>
    <n v="103.90602472881361"/>
    <n v="0.30652272759996257"/>
    <x v="0"/>
    <s v="LEVE"/>
    <x v="0"/>
    <x v="1"/>
    <n v="4"/>
    <n v="1"/>
    <d v="2018-04-09T00:00:00"/>
    <s v="HONDA"/>
    <s v="ACCORD"/>
    <n v="0"/>
    <d v="2018-04-09T00:00:00"/>
    <n v="1"/>
    <x v="872"/>
  </r>
  <r>
    <d v="2018-04-13T00:00:00"/>
    <s v="001-00012043"/>
    <n v="686.05305814661006"/>
    <n v="0"/>
    <n v="0"/>
    <n v="0"/>
    <n v="0"/>
    <n v="29.25"/>
    <n v="121.47590000000001"/>
    <n v="0"/>
    <n v="150.72590000000002"/>
    <n v="535.32715814661003"/>
    <n v="0.78029993714015367"/>
    <x v="1"/>
    <s v="LEVE"/>
    <x v="0"/>
    <x v="1"/>
    <n v="4"/>
    <n v="1"/>
    <d v="2018-04-09T00:00:00"/>
    <s v="SUZUKI"/>
    <s v="GRAND V."/>
    <n v="0"/>
    <d v="2018-04-09T00:00:00"/>
    <n v="2"/>
    <x v="1"/>
  </r>
  <r>
    <d v="2018-04-11T00:00:00"/>
    <s v="001-00012044"/>
    <n v="194.34000600000002"/>
    <n v="0"/>
    <n v="0"/>
    <n v="20.656779661016948"/>
    <n v="0"/>
    <n v="14.625"/>
    <n v="30.98875"/>
    <n v="0"/>
    <n v="66.270529661016951"/>
    <n v="128.06947633898307"/>
    <n v="0.65899697635587728"/>
    <x v="0"/>
    <s v="LEVE"/>
    <x v="0"/>
    <x v="1"/>
    <n v="2"/>
    <n v="1"/>
    <d v="2018-04-09T00:00:00"/>
    <s v="RENAULT"/>
    <s v="SANDERO"/>
    <n v="0"/>
    <d v="2018-04-09T00:00:00"/>
    <n v="1"/>
    <x v="873"/>
  </r>
  <r>
    <d v="2018-04-16T00:00:00"/>
    <s v="001-00012045"/>
    <n v="798.76708654728907"/>
    <n v="0"/>
    <n v="0"/>
    <n v="41.313559322033896"/>
    <n v="0"/>
    <n v="80.4375"/>
    <n v="196.46867500000002"/>
    <n v="0"/>
    <n v="318.2197343220339"/>
    <n v="480.54735222525517"/>
    <n v="0.60161135870338034"/>
    <x v="1"/>
    <s v="LEVE"/>
    <x v="0"/>
    <x v="1"/>
    <n v="7"/>
    <n v="1"/>
    <d v="2018-04-09T00:00:00"/>
    <s v="VOLKSWAGUEN"/>
    <s v="GOL"/>
    <n v="263.28250000000003"/>
    <d v="2018-04-05T00:00:00"/>
    <n v="5.5"/>
    <x v="1"/>
  </r>
  <r>
    <d v="2018-04-19T00:00:00"/>
    <s v="001-00012047"/>
    <n v="1451.7938177000001"/>
    <n v="0"/>
    <n v="0"/>
    <n v="20.656779661016948"/>
    <n v="0"/>
    <n v="234"/>
    <n v="185.9325"/>
    <n v="0"/>
    <n v="440.58927966101692"/>
    <n v="1011.2045380389832"/>
    <n v="0.69652076328647061"/>
    <x v="1"/>
    <s v="MEDIANO"/>
    <x v="0"/>
    <x v="1"/>
    <n v="10"/>
    <n v="1"/>
    <d v="2018-04-09T00:00:00"/>
    <s v="SSANYONG"/>
    <s v="KORANDO"/>
    <n v="0"/>
    <d v="2018-04-06T00:00:00"/>
    <n v="16"/>
    <x v="1"/>
  </r>
  <r>
    <d v="2018-04-19T00:00:00"/>
    <s v="001-00012049"/>
    <n v="1018.9982613999998"/>
    <n v="0"/>
    <n v="0"/>
    <n v="72.03"/>
    <n v="0"/>
    <n v="87.75"/>
    <n v="135.11095"/>
    <n v="0"/>
    <n v="294.89094999999998"/>
    <n v="724.10731139999984"/>
    <n v="0.7106070136028988"/>
    <x v="1"/>
    <s v="MEDIANO"/>
    <x v="0"/>
    <x v="1"/>
    <n v="10"/>
    <n v="1"/>
    <d v="2018-04-09T00:00:00"/>
    <s v="NISSAN"/>
    <s v="TIIDA"/>
    <n v="299"/>
    <d v="2018-04-11T00:00:00"/>
    <n v="6"/>
    <x v="1"/>
  </r>
  <r>
    <d v="2018-04-27T00:00:00"/>
    <s v="001-00012050"/>
    <n v="1602.8371496991599"/>
    <n v="0"/>
    <n v="0"/>
    <n v="65"/>
    <n v="0"/>
    <n v="175.5"/>
    <n v="216.92125000000001"/>
    <n v="0"/>
    <n v="457.42124999999999"/>
    <n v="1145.41589969916"/>
    <n v="0.71461776382843745"/>
    <x v="1"/>
    <s v="MEDIANO"/>
    <x v="0"/>
    <x v="1"/>
    <n v="18"/>
    <n v="1"/>
    <d v="2018-04-09T00:00:00"/>
    <s v="HYUNDAI"/>
    <s v="SANTA FE"/>
    <n v="3287.7649999999999"/>
    <d v="2018-04-11T00:00:00"/>
    <n v="12"/>
    <x v="1"/>
  </r>
  <r>
    <d v="2018-04-14T00:00:00"/>
    <s v="001-00012052"/>
    <n v="211.85590000000002"/>
    <n v="0"/>
    <n v="0"/>
    <n v="0"/>
    <n v="0"/>
    <n v="14.625"/>
    <n v="61.977499999999999"/>
    <n v="0"/>
    <n v="76.602499999999992"/>
    <n v="135.25340000000003"/>
    <n v="0.63842168190737203"/>
    <x v="0"/>
    <s v="LEVE"/>
    <x v="0"/>
    <x v="1"/>
    <n v="4"/>
    <n v="1"/>
    <d v="2018-04-10T00:00:00"/>
    <s v="MAZDA"/>
    <s v="CX-5"/>
    <n v="0"/>
    <d v="2018-04-10T00:00:00"/>
    <n v="1"/>
    <x v="874"/>
  </r>
  <r>
    <d v="2018-04-16T00:00:00"/>
    <s v="001-00012054"/>
    <n v="633.54079822033998"/>
    <n v="0"/>
    <n v="0"/>
    <n v="75.741525423728817"/>
    <n v="0"/>
    <n v="43.875"/>
    <n v="123.955"/>
    <n v="0"/>
    <n v="243.57152542372881"/>
    <n v="389.96927279661116"/>
    <n v="0.61553932105408504"/>
    <x v="0"/>
    <s v="LEVE"/>
    <x v="0"/>
    <x v="1"/>
    <n v="6"/>
    <n v="1"/>
    <d v="2018-04-10T00:00:00"/>
    <s v="HYUNDAI"/>
    <s v="SANTA FE"/>
    <n v="0"/>
    <d v="2018-04-10T00:00:00"/>
    <n v="3"/>
    <x v="875"/>
  </r>
  <r>
    <d v="2018-04-12T00:00:00"/>
    <s v="001-00012055"/>
    <n v="323.90001000000001"/>
    <n v="0"/>
    <n v="0"/>
    <n v="41.313559322033896"/>
    <n v="0"/>
    <n v="14.625"/>
    <n v="61.977499999999999"/>
    <n v="0"/>
    <n v="117.9160593220339"/>
    <n v="205.98395067796611"/>
    <n v="0.63594919517898785"/>
    <x v="0"/>
    <s v="LEVE"/>
    <x v="0"/>
    <x v="1"/>
    <n v="2"/>
    <n v="1"/>
    <d v="2018-04-10T00:00:00"/>
    <s v="KIA"/>
    <s v="RIO"/>
    <n v="0"/>
    <d v="2018-04-10T00:00:00"/>
    <n v="1"/>
    <x v="876"/>
  </r>
  <r>
    <d v="2018-04-10T00:00:00"/>
    <s v="001-00012056"/>
    <n v="450"/>
    <n v="92.511801999999989"/>
    <n v="0"/>
    <n v="0"/>
    <n v="39.048749999999998"/>
    <n v="0"/>
    <n v="0"/>
    <n v="0"/>
    <n v="131.56055199999997"/>
    <n v="318.43944800000003"/>
    <n v="0.70764321777777783"/>
    <x v="0"/>
    <s v="MECANICA"/>
    <x v="0"/>
    <x v="1"/>
    <n v="0"/>
    <n v="1"/>
    <d v="2018-04-10T00:00:00"/>
    <s v="RENAULT"/>
    <s v="SANDERO"/>
    <n v="0"/>
    <d v="2018-04-10T00:00:00"/>
    <n v="0"/>
    <x v="877"/>
  </r>
  <r>
    <d v="2018-04-10T00:00:00"/>
    <s v="001-00012057"/>
    <n v="315"/>
    <n v="59.445100099999998"/>
    <n v="0"/>
    <n v="0"/>
    <n v="39.048749999999998"/>
    <n v="0"/>
    <n v="0"/>
    <n v="0"/>
    <n v="98.493850100000003"/>
    <n v="216.5061499"/>
    <n v="0.68732111079365077"/>
    <x v="0"/>
    <s v="MECANICA"/>
    <x v="0"/>
    <x v="1"/>
    <n v="0"/>
    <n v="1"/>
    <d v="2018-04-10T00:00:00"/>
    <s v="NISSAN"/>
    <s v="VERSA"/>
    <n v="0"/>
    <d v="2018-04-10T00:00:00"/>
    <n v="0"/>
    <x v="725"/>
  </r>
  <r>
    <d v="2018-04-14T00:00:00"/>
    <s v="001-00012058"/>
    <n v="763.65852365000001"/>
    <n v="0"/>
    <n v="0"/>
    <n v="20.656779661016948"/>
    <n v="0"/>
    <n v="87.75"/>
    <n v="123.955"/>
    <n v="0"/>
    <n v="232.36177966101695"/>
    <n v="531.29674398898305"/>
    <n v="0.69572554687085109"/>
    <x v="1"/>
    <s v="LEVE"/>
    <x v="0"/>
    <x v="1"/>
    <n v="4"/>
    <n v="1"/>
    <d v="2018-04-10T00:00:00"/>
    <s v="KIA"/>
    <s v="SPORTAGE"/>
    <n v="0"/>
    <d v="2018-04-10T00:00:00"/>
    <n v="6"/>
    <x v="1"/>
  </r>
  <r>
    <d v="2018-04-14T00:00:00"/>
    <s v="001-00012059"/>
    <n v="857.68248273285985"/>
    <n v="111.85860299999999"/>
    <n v="0"/>
    <n v="34.427966101694921"/>
    <n v="0"/>
    <n v="29.25"/>
    <n v="123.955"/>
    <n v="0"/>
    <n v="299.49156910169489"/>
    <n v="558.1909136311649"/>
    <n v="0.65081300465946812"/>
    <x v="0"/>
    <s v="LEVE"/>
    <x v="0"/>
    <x v="1"/>
    <n v="4"/>
    <n v="1"/>
    <d v="2018-04-10T00:00:00"/>
    <s v="KIA"/>
    <s v="SPORTAGE"/>
    <n v="0"/>
    <d v="2018-04-10T00:00:00"/>
    <n v="2"/>
    <x v="878"/>
  </r>
  <r>
    <d v="2018-04-14T00:00:00"/>
    <s v="001-00012060"/>
    <n v="177.86881825047976"/>
    <n v="0"/>
    <n v="0"/>
    <n v="0"/>
    <n v="0"/>
    <n v="14.625"/>
    <n v="46.483125000000001"/>
    <n v="0"/>
    <n v="61.108125000000001"/>
    <n v="116.76069325047976"/>
    <n v="0.65644273346469384"/>
    <x v="0"/>
    <s v="LEVE"/>
    <x v="0"/>
    <x v="1"/>
    <n v="4"/>
    <n v="1"/>
    <d v="2018-04-10T00:00:00"/>
    <s v="VOLKSWAGUEN"/>
    <s v="CROSSFOX"/>
    <n v="0"/>
    <d v="2018-04-10T00:00:00"/>
    <n v="1"/>
    <x v="879"/>
  </r>
  <r>
    <d v="2018-04-19T00:00:00"/>
    <s v="001-00012061"/>
    <n v="1513.0258740000002"/>
    <n v="0"/>
    <n v="0"/>
    <n v="0"/>
    <n v="0"/>
    <n v="248.625"/>
    <n v="130.15275000000003"/>
    <n v="0"/>
    <n v="378.77775000000003"/>
    <n v="1134.2481240000002"/>
    <n v="0.74965547086209317"/>
    <x v="1"/>
    <s v="MEDIANO"/>
    <x v="0"/>
    <x v="1"/>
    <n v="9"/>
    <n v="1"/>
    <d v="2018-04-10T00:00:00"/>
    <s v="RENAULT"/>
    <s v="DUSTER"/>
    <n v="0"/>
    <d v="2018-04-11T00:00:00"/>
    <n v="17"/>
    <x v="1"/>
  </r>
  <r>
    <d v="2018-04-27T00:00:00"/>
    <s v="001-00012062"/>
    <n v="1011.0790683745799"/>
    <n v="0"/>
    <n v="0"/>
    <n v="0"/>
    <n v="0"/>
    <n v="117"/>
    <n v="154.94374999999999"/>
    <n v="0"/>
    <n v="271.94375000000002"/>
    <n v="739.13531837457992"/>
    <n v="0.73103611922539424"/>
    <x v="1"/>
    <s v="MEDIANO"/>
    <x v="0"/>
    <x v="1"/>
    <n v="17"/>
    <n v="1"/>
    <d v="2018-04-10T00:00:00"/>
    <s v="TOYOTA"/>
    <s v="COROLLA"/>
    <n v="783.80250000000001"/>
    <d v="2018-04-12T00:00:00"/>
    <n v="8"/>
    <x v="1"/>
  </r>
  <r>
    <d v="2018-04-17T00:00:00"/>
    <s v="001-00012063"/>
    <n v="128.96"/>
    <n v="0"/>
    <n v="0"/>
    <n v="0"/>
    <n v="0"/>
    <n v="14.625"/>
    <n v="27.889875"/>
    <n v="0"/>
    <n v="42.514875000000004"/>
    <n v="86.445125000000004"/>
    <n v="0.67032510080645158"/>
    <x v="0"/>
    <s v="LEVE"/>
    <x v="0"/>
    <x v="1"/>
    <n v="7"/>
    <n v="1"/>
    <d v="2018-04-10T00:00:00"/>
    <s v="JEEP"/>
    <s v="COMPASS"/>
    <n v="0"/>
    <d v="2018-04-10T00:00:00"/>
    <n v="1"/>
    <x v="880"/>
  </r>
  <r>
    <d v="2018-04-11T00:00:00"/>
    <s v="001-00012065"/>
    <n v="585"/>
    <n v="146.25880239999998"/>
    <n v="0"/>
    <n v="0"/>
    <n v="39.048749999999998"/>
    <n v="0"/>
    <n v="0"/>
    <n v="0"/>
    <n v="185.30755239999996"/>
    <n v="399.69244760000004"/>
    <n v="0.68323495316239324"/>
    <x v="0"/>
    <s v="MECANICA"/>
    <x v="0"/>
    <x v="1"/>
    <n v="1"/>
    <n v="1"/>
    <d v="2018-04-10T00:00:00"/>
    <s v="KIA"/>
    <s v="CERATO"/>
    <n v="0"/>
    <d v="2018-04-11T00:00:00"/>
    <n v="0"/>
    <x v="881"/>
  </r>
  <r>
    <d v="2018-04-13T00:00:00"/>
    <s v="001-00012066"/>
    <n v="1315"/>
    <n v="281.41990419999996"/>
    <n v="0"/>
    <n v="76.28"/>
    <n v="78.097499999999997"/>
    <n v="14.625"/>
    <n v="0"/>
    <n v="0"/>
    <n v="450.42240419999996"/>
    <n v="864.57759580000004"/>
    <n v="0.65747345688212933"/>
    <x v="0"/>
    <s v="MECANICA"/>
    <x v="0"/>
    <x v="1"/>
    <n v="3"/>
    <n v="1"/>
    <d v="2018-04-10T00:00:00"/>
    <s v="GREAT W."/>
    <s v="VOLEEX"/>
    <n v="616.88250000000005"/>
    <d v="2018-04-11T00:00:00"/>
    <n v="1"/>
    <x v="882"/>
  </r>
  <r>
    <d v="2018-04-11T00:00:00"/>
    <s v="001-00012067"/>
    <n v="333"/>
    <n v="131.35"/>
    <n v="0"/>
    <n v="38.14"/>
    <n v="39.048749999999998"/>
    <n v="0"/>
    <n v="0"/>
    <n v="0"/>
    <n v="208.53874999999999"/>
    <n v="124.46125000000001"/>
    <n v="0.37375750750750752"/>
    <x v="0"/>
    <s v="MECANICA"/>
    <x v="0"/>
    <x v="1"/>
    <n v="0"/>
    <n v="1"/>
    <d v="2018-04-11T00:00:00"/>
    <s v="RENAULT"/>
    <s v="SANDERO"/>
    <n v="240.5"/>
    <d v="2018-04-11T00:00:00"/>
    <n v="0"/>
    <x v="877"/>
  </r>
  <r>
    <d v="2018-04-28T00:00:00"/>
    <s v="001-00012069"/>
    <n v="1016.54772113475"/>
    <n v="2.1199998999999998"/>
    <n v="0"/>
    <n v="0"/>
    <n v="0"/>
    <n v="95.0625"/>
    <n v="123.955"/>
    <n v="0"/>
    <n v="221.13749989999999"/>
    <n v="795.41022123475"/>
    <n v="0.78246225405616077"/>
    <x v="0"/>
    <s v="LEVE"/>
    <x v="0"/>
    <x v="1"/>
    <n v="17"/>
    <n v="1"/>
    <d v="2018-04-11T00:00:00"/>
    <s v="TOYOTA"/>
    <s v="RAV 4"/>
    <n v="0"/>
    <d v="2018-04-11T00:00:00"/>
    <n v="6.5"/>
    <x v="883"/>
  </r>
  <r>
    <d v="2018-04-20T00:00:00"/>
    <s v="001-00012071"/>
    <n v="776.26100000000008"/>
    <n v="0"/>
    <n v="0"/>
    <n v="123.28389830508476"/>
    <n v="0"/>
    <n v="43.875"/>
    <n v="123.955"/>
    <n v="0"/>
    <n v="291.11389830508477"/>
    <n v="485.14710169491531"/>
    <n v="0.62497935835358887"/>
    <x v="1"/>
    <s v="LEVE"/>
    <x v="0"/>
    <x v="1"/>
    <n v="9"/>
    <n v="1"/>
    <d v="2018-04-11T00:00:00"/>
    <s v="HYUNDAI"/>
    <s v="ACCENT"/>
    <n v="0"/>
    <d v="2018-04-16T00:00:00"/>
    <n v="3"/>
    <x v="1"/>
  </r>
  <r>
    <d v="2018-04-27T00:00:00"/>
    <s v="001-00012072"/>
    <n v="1945.26956252373"/>
    <n v="0"/>
    <n v="0"/>
    <n v="84.75"/>
    <n v="0"/>
    <n v="321.75"/>
    <n v="201.426875"/>
    <n v="0"/>
    <n v="607.926875"/>
    <n v="1337.3426875237301"/>
    <n v="0.68748450769399017"/>
    <x v="1"/>
    <s v="GRAVE"/>
    <x v="0"/>
    <x v="1"/>
    <n v="16"/>
    <n v="1"/>
    <d v="2018-04-11T00:00:00"/>
    <s v="HYUNDAI"/>
    <s v="AVANTE"/>
    <n v="0"/>
    <d v="2018-04-12T00:00:00"/>
    <n v="22"/>
    <x v="1"/>
  </r>
  <r>
    <d v="2018-04-23T00:00:00"/>
    <s v="001-00012073"/>
    <n v="1192.0070369499999"/>
    <n v="0"/>
    <n v="0"/>
    <n v="116.39830508474577"/>
    <n v="0"/>
    <n v="73.125"/>
    <n v="216.92125000000001"/>
    <n v="0"/>
    <n v="406.44455508474579"/>
    <n v="785.56248186525409"/>
    <n v="0.65902503719716332"/>
    <x v="1"/>
    <s v="LEVE"/>
    <x v="0"/>
    <x v="1"/>
    <n v="12"/>
    <n v="1"/>
    <d v="2018-04-11T00:00:00"/>
    <s v="HYUNDAI"/>
    <s v="TUCSON"/>
    <n v="48.620000000000005"/>
    <d v="2018-04-12T00:00:00"/>
    <n v="5"/>
    <x v="518"/>
  </r>
  <r>
    <d v="2018-04-12T00:00:00"/>
    <s v="001-00012074"/>
    <n v="553.5"/>
    <n v="91.500651200000007"/>
    <n v="0"/>
    <n v="0"/>
    <n v="39.048749999999998"/>
    <n v="0"/>
    <n v="0"/>
    <n v="0"/>
    <n v="130.54940120000001"/>
    <n v="422.95059879999997"/>
    <n v="0.76413838988256544"/>
    <x v="0"/>
    <s v="MECANICA"/>
    <x v="0"/>
    <x v="1"/>
    <n v="0"/>
    <n v="1"/>
    <d v="2018-04-12T00:00:00"/>
    <s v="KIA"/>
    <s v="CARENS"/>
    <n v="0"/>
    <d v="2018-04-12T00:00:00"/>
    <n v="0"/>
    <x v="884"/>
  </r>
  <r>
    <d v="2018-04-12T00:00:00"/>
    <s v="001-00012075"/>
    <n v="550"/>
    <n v="0"/>
    <n v="0"/>
    <n v="288.14"/>
    <n v="39.048749999999998"/>
    <n v="0"/>
    <n v="0"/>
    <n v="0"/>
    <n v="327.18874999999997"/>
    <n v="222.81125000000003"/>
    <n v="0.40511136363636369"/>
    <x v="0"/>
    <s v="MECANICA"/>
    <x v="0"/>
    <x v="1"/>
    <n v="0"/>
    <n v="1"/>
    <d v="2018-04-12T00:00:00"/>
    <s v="TOYOTA"/>
    <s v="LAND C."/>
    <n v="0"/>
    <d v="2018-04-12T00:00:00"/>
    <n v="0"/>
    <x v="134"/>
  </r>
  <r>
    <d v="2018-04-21T00:00:00"/>
    <s v="001-00012077"/>
    <n v="1492.7905760737299"/>
    <n v="1.6947999999999999"/>
    <n v="0"/>
    <n v="41.313559322033896"/>
    <n v="0"/>
    <n v="146.25"/>
    <n v="224.35855000000001"/>
    <n v="0"/>
    <n v="413.61690932203391"/>
    <n v="1079.1736667516959"/>
    <n v="0.7229236867170542"/>
    <x v="1"/>
    <s v="MEDIANO"/>
    <x v="0"/>
    <x v="1"/>
    <n v="9"/>
    <n v="1"/>
    <d v="2018-04-12T00:00:00"/>
    <s v="KIA"/>
    <s v="RIO"/>
    <n v="1555.71"/>
    <d v="2018-04-12T00:00:00"/>
    <n v="10"/>
    <x v="1"/>
  </r>
  <r>
    <d v="2018-04-23T00:00:00"/>
    <s v="001-00012079"/>
    <n v="1259.0968706296599"/>
    <n v="0"/>
    <n v="0"/>
    <n v="164.07"/>
    <n v="29.25"/>
    <n v="87.75"/>
    <n v="178.49519999999998"/>
    <n v="0"/>
    <n v="459.5652"/>
    <n v="799.53167062965986"/>
    <n v="0.63500409641223499"/>
    <x v="1"/>
    <s v="LEVE"/>
    <x v="0"/>
    <x v="1"/>
    <n v="11"/>
    <n v="1"/>
    <d v="2018-04-12T00:00:00"/>
    <s v="HYUNDAI"/>
    <s v="TUCSON"/>
    <n v="1994.1350000000002"/>
    <d v="2018-04-12T00:00:00"/>
    <n v="6"/>
    <x v="1"/>
  </r>
  <r>
    <d v="2018-04-21T00:00:00"/>
    <s v="001-00012080"/>
    <n v="801.6610248500001"/>
    <n v="0"/>
    <n v="0"/>
    <n v="34.427966101694921"/>
    <n v="20.474999999999998"/>
    <n v="58.5"/>
    <n v="61.977499999999999"/>
    <n v="0"/>
    <n v="175.38046610169491"/>
    <n v="626.28055874830522"/>
    <n v="0.78122864818766691"/>
    <x v="1"/>
    <s v="LEVE"/>
    <x v="0"/>
    <x v="1"/>
    <n v="9"/>
    <n v="1"/>
    <d v="2018-04-12T00:00:00"/>
    <s v="HYUNDAI"/>
    <s v="ELANTRA"/>
    <n v="2050.62"/>
    <d v="2018-04-11T00:00:00"/>
    <n v="4"/>
    <x v="885"/>
  </r>
  <r>
    <d v="2018-04-12T00:00:00"/>
    <s v="001-00012082"/>
    <n v="100"/>
    <n v="46.7018001"/>
    <n v="0"/>
    <n v="0"/>
    <n v="29.25"/>
    <n v="0"/>
    <n v="0"/>
    <n v="0"/>
    <n v="75.9518001"/>
    <n v="24.0481999"/>
    <n v="0.240481999"/>
    <x v="0"/>
    <s v="MECANICA"/>
    <x v="0"/>
    <x v="1"/>
    <n v="0"/>
    <n v="1"/>
    <d v="2018-04-12T00:00:00"/>
    <s v="CHEVROLET"/>
    <s v="SAIL"/>
    <n v="100.295"/>
    <d v="2018-04-12T00:00:00"/>
    <n v="0"/>
    <x v="638"/>
  </r>
  <r>
    <d v="2018-04-12T00:00:00"/>
    <s v="001-00012084"/>
    <n v="48.585001500000004"/>
    <n v="0"/>
    <n v="0"/>
    <n v="0"/>
    <n v="0"/>
    <n v="14.625"/>
    <n v="0"/>
    <n v="0"/>
    <n v="14.625"/>
    <n v="33.960001500000004"/>
    <n v="0.698981176320433"/>
    <x v="0"/>
    <s v="LEVE"/>
    <x v="0"/>
    <x v="1"/>
    <n v="0"/>
    <n v="1"/>
    <d v="2018-04-12T00:00:00"/>
    <s v="FORD"/>
    <s v="ECOSPORT"/>
    <n v="0"/>
    <d v="2018-04-12T00:00:00"/>
    <n v="1"/>
    <x v="886"/>
  </r>
  <r>
    <d v="2018-04-25T00:00:00"/>
    <s v="001-00012085"/>
    <n v="1452.78404495"/>
    <n v="0"/>
    <n v="0"/>
    <n v="0"/>
    <n v="0"/>
    <n v="204.75"/>
    <n v="154.94374999999999"/>
    <n v="0"/>
    <n v="359.69375000000002"/>
    <n v="1093.09029495"/>
    <n v="0.75241072391294095"/>
    <x v="2"/>
    <s v="MEDIANO"/>
    <x v="0"/>
    <x v="1"/>
    <n v="13"/>
    <n v="1"/>
    <d v="2018-04-12T00:00:00"/>
    <s v="NISSAN"/>
    <s v="SENTRA"/>
    <n v="0"/>
    <d v="2018-04-16T00:00:00"/>
    <n v="14"/>
    <x v="2"/>
  </r>
  <r>
    <d v="2018-04-12T00:00:00"/>
    <s v="001-00012086"/>
    <n v="175.64709510088022"/>
    <n v="155.72"/>
    <n v="155.72"/>
    <n v="0"/>
    <n v="0"/>
    <n v="0"/>
    <n v="0"/>
    <n v="0"/>
    <n v="311.44"/>
    <n v="-135.79290489911978"/>
    <n v="-0.77310077243878816"/>
    <x v="0"/>
    <s v="LEVE"/>
    <x v="0"/>
    <x v="1"/>
    <n v="0"/>
    <n v="1"/>
    <d v="2018-04-12T00:00:00"/>
    <s v="TOYOTA"/>
    <s v="ETIOS"/>
    <n v="176.2475"/>
    <d v="2018-04-12T00:00:00"/>
    <n v="0"/>
    <x v="828"/>
  </r>
  <r>
    <d v="2018-04-25T00:00:00"/>
    <s v="001-00012089"/>
    <n v="1512.2198803889801"/>
    <n v="0"/>
    <n v="20"/>
    <n v="20.656779661016948"/>
    <n v="0"/>
    <n v="102.375"/>
    <n v="263.40437500000002"/>
    <n v="0"/>
    <n v="406.43615466101699"/>
    <n v="1105.783725727963"/>
    <n v="0.73123210458225707"/>
    <x v="1"/>
    <s v="MEDIANO"/>
    <x v="0"/>
    <x v="1"/>
    <n v="12"/>
    <n v="1"/>
    <d v="2018-04-13T00:00:00"/>
    <s v="HYUNDAI"/>
    <s v="I10"/>
    <n v="2334.3449999999998"/>
    <d v="2018-04-16T00:00:00"/>
    <n v="7"/>
    <x v="1"/>
  </r>
  <r>
    <d v="2018-04-13T00:00:00"/>
    <s v="001-00012090"/>
    <n v="550"/>
    <n v="119.14500160000003"/>
    <n v="0"/>
    <n v="0"/>
    <n v="39.048749999999998"/>
    <n v="0"/>
    <n v="0"/>
    <n v="0"/>
    <n v="158.19375160000004"/>
    <n v="391.80624839999996"/>
    <n v="0.71237499709090901"/>
    <x v="0"/>
    <s v="MECANICA"/>
    <x v="0"/>
    <x v="1"/>
    <n v="0"/>
    <n v="1"/>
    <d v="2018-04-13T00:00:00"/>
    <s v="KIA"/>
    <s v="SPORTAGE"/>
    <n v="0"/>
    <d v="2018-04-13T00:00:00"/>
    <n v="0"/>
    <x v="887"/>
  </r>
  <r>
    <d v="2018-04-19T00:00:00"/>
    <s v="001-00012091"/>
    <n v="1785.4350000000002"/>
    <n v="111.85860299999999"/>
    <n v="0"/>
    <n v="0"/>
    <n v="0"/>
    <n v="43.875"/>
    <n v="433.84250000000003"/>
    <n v="0"/>
    <n v="589.57610299999999"/>
    <n v="1195.8588970000001"/>
    <n v="0.66978573680923692"/>
    <x v="0"/>
    <s v="LEVE"/>
    <x v="0"/>
    <x v="1"/>
    <n v="6"/>
    <n v="1"/>
    <d v="2018-04-13T00:00:00"/>
    <s v="TOYOTA"/>
    <s v="RAV 4"/>
    <n v="0"/>
    <d v="2018-04-13T00:00:00"/>
    <n v="3"/>
    <x v="249"/>
  </r>
  <r>
    <d v="2018-04-16T00:00:00"/>
    <s v="001-00012092"/>
    <n v="1062"/>
    <n v="703.47998000000007"/>
    <n v="0"/>
    <n v="0"/>
    <n v="39.048749999999998"/>
    <n v="0"/>
    <n v="0"/>
    <n v="0"/>
    <n v="742.52873000000011"/>
    <n v="319.47126999999989"/>
    <n v="0.30082040489642176"/>
    <x v="0"/>
    <s v="MECANICA"/>
    <x v="0"/>
    <x v="1"/>
    <n v="3"/>
    <n v="1"/>
    <d v="2018-04-13T00:00:00"/>
    <s v="VOLKSWAGUEN"/>
    <s v="GOL"/>
    <n v="1103.375"/>
    <d v="2018-04-13T00:00:00"/>
    <n v="0"/>
    <x v="888"/>
  </r>
  <r>
    <d v="2018-04-24T00:00:00"/>
    <s v="001-00012093"/>
    <n v="1605.4740839999999"/>
    <n v="0"/>
    <n v="0"/>
    <n v="0"/>
    <n v="0"/>
    <n v="263.25"/>
    <n v="185.9325"/>
    <n v="0"/>
    <n v="449.1825"/>
    <n v="1156.2915840000001"/>
    <n v="0.72021815582293769"/>
    <x v="1"/>
    <s v="MEDIANO"/>
    <x v="0"/>
    <x v="1"/>
    <n v="11"/>
    <n v="1"/>
    <d v="2018-04-13T00:00:00"/>
    <s v="KIA"/>
    <s v="CERATO"/>
    <n v="1966.4124999999999"/>
    <d v="2018-04-16T00:00:00"/>
    <n v="18"/>
    <x v="1"/>
  </r>
  <r>
    <d v="2018-04-28T00:00:00"/>
    <s v="001-00012095"/>
    <n v="1137.5909649"/>
    <n v="0"/>
    <n v="0"/>
    <n v="0"/>
    <n v="0"/>
    <n v="146.25"/>
    <n v="185.9325"/>
    <n v="0"/>
    <n v="332.1825"/>
    <n v="805.40846490000001"/>
    <n v="0.70799477997858351"/>
    <x v="0"/>
    <s v="MEDIANO"/>
    <x v="0"/>
    <x v="1"/>
    <n v="15"/>
    <n v="1"/>
    <d v="2018-04-13T00:00:00"/>
    <s v="HYUNDAI"/>
    <s v="ELANTRA"/>
    <n v="0"/>
    <d v="2018-04-13T00:00:00"/>
    <n v="10"/>
    <x v="1"/>
  </r>
  <r>
    <d v="2018-04-16T00:00:00"/>
    <s v="001-00012096"/>
    <n v="240"/>
    <n v="21.239500000000003"/>
    <n v="0"/>
    <n v="0"/>
    <n v="39.048749999999998"/>
    <n v="0"/>
    <n v="0"/>
    <n v="0"/>
    <n v="60.288250000000005"/>
    <n v="179.71174999999999"/>
    <n v="0.74879895833333332"/>
    <x v="0"/>
    <s v="MECANICA"/>
    <x v="0"/>
    <x v="1"/>
    <n v="3"/>
    <n v="1"/>
    <d v="2018-04-13T00:00:00"/>
    <s v="VOLKSWAGUEN"/>
    <s v="VOYAGE"/>
    <n v="451.36"/>
    <d v="2018-04-13T00:00:00"/>
    <n v="0"/>
    <x v="638"/>
  </r>
  <r>
    <d v="2018-04-28T00:00:00"/>
    <s v="001-00012097"/>
    <n v="1134.1027091176288"/>
    <n v="0"/>
    <n v="0"/>
    <n v="20"/>
    <n v="0"/>
    <n v="146.25"/>
    <n v="145.64712500000002"/>
    <n v="0"/>
    <n v="311.89712500000002"/>
    <n v="822.20558411762886"/>
    <n v="0.72498335248430301"/>
    <x v="1"/>
    <s v="MEDIANO"/>
    <x v="0"/>
    <x v="1"/>
    <n v="15"/>
    <n v="1"/>
    <d v="2018-04-13T00:00:00"/>
    <s v="SUZUKI"/>
    <s v="VITARA"/>
    <n v="2991.7874999999999"/>
    <d v="2018-04-16T00:00:00"/>
    <n v="10"/>
    <x v="455"/>
  </r>
  <r>
    <d v="2018-04-24T00:00:00"/>
    <s v="001-00012098"/>
    <n v="100"/>
    <n v="74.279999000000018"/>
    <n v="0"/>
    <n v="25"/>
    <n v="0"/>
    <n v="0"/>
    <n v="0"/>
    <n v="0"/>
    <n v="99.279999000000018"/>
    <n v="0.72000099999998213"/>
    <n v="7.2000099999998211E-3"/>
    <x v="0"/>
    <s v="MECANICA"/>
    <x v="0"/>
    <x v="1"/>
    <n v="11"/>
    <n v="1"/>
    <d v="2018-04-13T00:00:00"/>
    <s v="RENAULT"/>
    <s v="FLUENCE"/>
    <n v="0"/>
    <d v="2018-04-13T00:00:00"/>
    <n v="0"/>
    <x v="889"/>
  </r>
  <r>
    <d v="2018-04-27T00:00:00"/>
    <s v="001-00012099"/>
    <n v="323.79999000000004"/>
    <n v="0"/>
    <n v="0"/>
    <n v="0"/>
    <n v="19.012500000000003"/>
    <n v="146.25"/>
    <n v="294.393125"/>
    <n v="0"/>
    <n v="459.65562499999999"/>
    <n v="-135.85563499999995"/>
    <n v="-0.41956652006073236"/>
    <x v="1"/>
    <s v="GRAVE"/>
    <x v="0"/>
    <x v="1"/>
    <n v="13"/>
    <n v="1"/>
    <d v="2018-04-14T00:00:00"/>
    <s v="HYUNDAI"/>
    <s v="AVANTE"/>
    <n v="1205.75"/>
    <d v="2018-04-12T00:00:00"/>
    <n v="10"/>
    <x v="890"/>
  </r>
  <r>
    <d v="2018-04-16T00:00:00"/>
    <s v="001-00012100"/>
    <n v="359.20339999999999"/>
    <n v="123.2159006"/>
    <n v="0"/>
    <n v="0"/>
    <n v="39.048749999999998"/>
    <n v="0"/>
    <n v="0"/>
    <n v="0"/>
    <n v="162.26465059999998"/>
    <n v="196.93874940000001"/>
    <n v="0.54826527087438481"/>
    <x v="0"/>
    <s v="MECANICA"/>
    <x v="0"/>
    <x v="1"/>
    <n v="0"/>
    <n v="1"/>
    <d v="2018-04-16T00:00:00"/>
    <s v="HYUNDAI"/>
    <s v="ACCENT"/>
    <n v="0"/>
    <d v="2018-04-16T00:00:00"/>
    <n v="0"/>
    <x v="800"/>
  </r>
  <r>
    <d v="2018-04-16T00:00:00"/>
    <s v="001-00012103"/>
    <n v="495"/>
    <n v="129.22500250000002"/>
    <n v="0"/>
    <n v="0"/>
    <n v="39.048749999999998"/>
    <n v="0"/>
    <n v="0"/>
    <n v="0"/>
    <n v="168.2737525"/>
    <n v="326.7262475"/>
    <n v="0.66005302525252529"/>
    <x v="0"/>
    <s v="MECANICA"/>
    <x v="0"/>
    <x v="1"/>
    <n v="0"/>
    <n v="1"/>
    <d v="2018-04-16T00:00:00"/>
    <s v="FORD"/>
    <s v="ECOSPORT"/>
    <n v="0"/>
    <d v="2018-04-16T00:00:00"/>
    <n v="0"/>
    <x v="891"/>
  </r>
  <r>
    <d v="2018-04-27T00:00:00"/>
    <s v="001-00012104"/>
    <n v="1257.7434571367794"/>
    <n v="0"/>
    <n v="0"/>
    <n v="0"/>
    <n v="14.625"/>
    <n v="146.25"/>
    <n v="181.594075"/>
    <n v="0"/>
    <n v="342.46907499999998"/>
    <n v="915.27438213677942"/>
    <n v="0.72771150344155078"/>
    <x v="1"/>
    <s v="MEDIANO"/>
    <x v="0"/>
    <x v="1"/>
    <n v="11"/>
    <n v="1"/>
    <d v="2018-04-16T00:00:00"/>
    <s v="HONDA"/>
    <s v="HR-V"/>
    <n v="3529.1425000000004"/>
    <d v="2018-04-16T00:00:00"/>
    <n v="10"/>
    <x v="1"/>
  </r>
  <r>
    <d v="2018-04-28T00:00:00"/>
    <s v="001-00012105"/>
    <n v="1048.46346765"/>
    <n v="0.42369999999999997"/>
    <n v="0"/>
    <n v="75.741525423728817"/>
    <n v="0"/>
    <n v="102.375"/>
    <n v="154.94374999999999"/>
    <n v="0"/>
    <n v="333.48397542372879"/>
    <n v="714.97949222627119"/>
    <n v="0.68193076276544806"/>
    <x v="1"/>
    <s v="LEVE"/>
    <x v="0"/>
    <x v="1"/>
    <n v="12"/>
    <n v="1"/>
    <d v="2018-04-16T00:00:00"/>
    <s v="NISSAN"/>
    <s v="TIIDA"/>
    <n v="2752.5550000000003"/>
    <d v="2018-04-17T00:00:00"/>
    <n v="7"/>
    <x v="892"/>
  </r>
  <r>
    <d v="2018-04-25T00:00:00"/>
    <s v="001-00012107"/>
    <n v="1557.02962257542"/>
    <n v="0"/>
    <n v="0"/>
    <n v="20.656779661016948"/>
    <n v="0"/>
    <n v="234"/>
    <n v="154.94374999999999"/>
    <n v="0"/>
    <n v="409.60052966101694"/>
    <n v="1147.4290929144031"/>
    <n v="0.73693465832492433"/>
    <x v="1"/>
    <s v="MEDIANO"/>
    <x v="0"/>
    <x v="1"/>
    <n v="9"/>
    <n v="1"/>
    <d v="2018-04-16T00:00:00"/>
    <s v="FORD"/>
    <s v="FIESTA"/>
    <n v="0"/>
    <d v="2018-04-16T00:00:00"/>
    <n v="16"/>
    <x v="1"/>
  </r>
  <r>
    <d v="2018-04-25T00:00:00"/>
    <s v="001-00012108"/>
    <n v="977.68003025000007"/>
    <n v="0"/>
    <n v="0"/>
    <n v="0"/>
    <n v="0"/>
    <n v="117"/>
    <n v="154.94374999999999"/>
    <n v="0"/>
    <n v="271.94375000000002"/>
    <n v="705.73628025000005"/>
    <n v="0.72184790362296547"/>
    <x v="2"/>
    <s v="MEDIANO"/>
    <x v="0"/>
    <x v="1"/>
    <n v="9"/>
    <n v="1"/>
    <d v="2018-04-16T00:00:00"/>
    <s v="KIA"/>
    <s v="RIO"/>
    <n v="2256.15"/>
    <d v="2018-04-17T00:00:00"/>
    <n v="8"/>
    <x v="2"/>
  </r>
  <r>
    <d v="2018-04-20T00:00:00"/>
    <s v="001-00012109"/>
    <n v="1998.0571684419999"/>
    <n v="0"/>
    <n v="0"/>
    <n v="0"/>
    <n v="0"/>
    <n v="160.875"/>
    <n v="557.79750000000001"/>
    <n v="0"/>
    <n v="718.67250000000001"/>
    <n v="1279.384668442"/>
    <n v="0.64031434567991352"/>
    <x v="0"/>
    <s v="MEDIANO"/>
    <x v="0"/>
    <x v="1"/>
    <n v="4"/>
    <n v="1"/>
    <d v="2018-04-16T00:00:00"/>
    <s v="NISSAN"/>
    <s v="SENTRA"/>
    <n v="0"/>
    <d v="2018-04-16T00:00:00"/>
    <n v="11"/>
    <x v="893"/>
  </r>
  <r>
    <d v="2018-04-19T00:00:00"/>
    <s v="001-00012110"/>
    <n v="16.949200000000001"/>
    <n v="0"/>
    <n v="0"/>
    <n v="16.95"/>
    <n v="0"/>
    <n v="0"/>
    <n v="0"/>
    <n v="0"/>
    <n v="16.95"/>
    <n v="-7.9999999999813554E-4"/>
    <n v="-4.7199867840260043E-5"/>
    <x v="0"/>
    <s v="MECANICA"/>
    <x v="0"/>
    <x v="1"/>
    <n v="3"/>
    <n v="1"/>
    <d v="2018-04-16T00:00:00"/>
    <s v="HYUNDAI"/>
    <s v="I10"/>
    <n v="0"/>
    <d v="2018-04-16T00:00:00"/>
    <n v="0"/>
    <x v="894"/>
  </r>
  <r>
    <d v="2018-04-30T00:00:00"/>
    <s v="001-00012111"/>
    <n v="3943.0060528598278"/>
    <n v="0"/>
    <n v="0"/>
    <n v="72.03"/>
    <n v="35.099999999999994"/>
    <n v="468"/>
    <n v="443.13912500000004"/>
    <n v="0"/>
    <n v="1018.269125"/>
    <n v="2924.736927859828"/>
    <n v="0.7417530910809893"/>
    <x v="1"/>
    <s v="GRAVE"/>
    <x v="0"/>
    <x v="1"/>
    <n v="14"/>
    <n v="1"/>
    <d v="2018-04-16T00:00:00"/>
    <s v="KIA"/>
    <s v="RIO"/>
    <n v="4534.66"/>
    <d v="2018-04-17T00:00:00"/>
    <n v="32"/>
    <x v="1"/>
  </r>
  <r>
    <d v="2018-04-17T00:00:00"/>
    <s v="001-00012112"/>
    <n v="16.949200000000001"/>
    <n v="0"/>
    <n v="0"/>
    <n v="0"/>
    <n v="0"/>
    <n v="0"/>
    <n v="0"/>
    <n v="0"/>
    <n v="0"/>
    <n v="16.949200000000001"/>
    <n v="1"/>
    <x v="0"/>
    <s v="MECANICA"/>
    <x v="0"/>
    <x v="1"/>
    <n v="3"/>
    <n v="1"/>
    <d v="2018-04-14T00:00:00"/>
    <s v="HYUNDAI"/>
    <s v="ELANTRA"/>
    <n v="0"/>
    <d v="2018-04-16T00:00:00"/>
    <n v="0"/>
    <x v="895"/>
  </r>
  <r>
    <d v="2018-04-30T00:00:00"/>
    <s v="001-00012113"/>
    <n v="1703.3927033323707"/>
    <n v="0"/>
    <n v="0"/>
    <n v="0"/>
    <n v="0"/>
    <n v="234"/>
    <n v="216.92125000000001"/>
    <n v="0"/>
    <n v="450.92124999999999"/>
    <n v="1252.4714533323709"/>
    <n v="0.73528050864732697"/>
    <x v="1"/>
    <s v="MEDIANO"/>
    <x v="0"/>
    <x v="1"/>
    <n v="13"/>
    <n v="1"/>
    <d v="2018-04-17T00:00:00"/>
    <s v="VOLKSWAGUEN"/>
    <s v="GOL"/>
    <n v="1470.3975"/>
    <d v="2018-04-18T00:00:00"/>
    <n v="16"/>
    <x v="1"/>
  </r>
  <r>
    <d v="2018-04-26T00:00:00"/>
    <s v="001-00012114"/>
    <n v="522.12670970507997"/>
    <n v="0"/>
    <n v="0"/>
    <n v="20"/>
    <n v="0"/>
    <n v="29.25"/>
    <n v="123.955"/>
    <n v="0"/>
    <n v="173.20499999999998"/>
    <n v="348.92170970507999"/>
    <n v="0.66827017890382634"/>
    <x v="1"/>
    <s v="LEVE"/>
    <x v="0"/>
    <x v="1"/>
    <n v="9"/>
    <n v="1"/>
    <d v="2018-04-17T00:00:00"/>
    <s v="SUZUKI"/>
    <s v="CELERIO"/>
    <n v="432.31500000000005"/>
    <d v="2018-04-17T00:00:00"/>
    <n v="2"/>
    <x v="1"/>
  </r>
  <r>
    <d v="2018-04-18T00:00:00"/>
    <s v="001-00012115"/>
    <n v="1568.7033999999999"/>
    <n v="536.0675033"/>
    <n v="0"/>
    <n v="38.14"/>
    <n v="78.097499999999997"/>
    <n v="0"/>
    <n v="0"/>
    <n v="0"/>
    <n v="652.30500329999995"/>
    <n v="916.39839669999992"/>
    <n v="0.58417569356960664"/>
    <x v="0"/>
    <s v="MECANICA"/>
    <x v="0"/>
    <x v="1"/>
    <n v="1"/>
    <n v="1"/>
    <d v="2018-04-17T00:00:00"/>
    <s v="MG"/>
    <s v="MG350"/>
    <n v="1086.3125"/>
    <d v="2018-04-17T00:00:00"/>
    <n v="0"/>
    <x v="896"/>
  </r>
  <r>
    <d v="2018-04-25T00:00:00"/>
    <s v="001-00012117"/>
    <n v="1350.6198753889798"/>
    <n v="0"/>
    <n v="0"/>
    <n v="20"/>
    <n v="0"/>
    <n v="117"/>
    <n v="154.94374999999999"/>
    <n v="0"/>
    <n v="291.94375000000002"/>
    <n v="1058.6761253889799"/>
    <n v="0.78384462177715264"/>
    <x v="1"/>
    <s v="MEDIANO"/>
    <x v="0"/>
    <x v="1"/>
    <n v="8"/>
    <n v="1"/>
    <d v="2018-04-17T00:00:00"/>
    <s v="FORD"/>
    <s v="ECOSPORT"/>
    <n v="0"/>
    <d v="2018-04-17T00:00:00"/>
    <n v="8"/>
    <x v="1"/>
  </r>
  <r>
    <d v="2018-04-16T00:00:00"/>
    <s v="001-00012118"/>
    <n v="54.701525223070099"/>
    <n v="0"/>
    <n v="41.307500000000005"/>
    <n v="0"/>
    <n v="0"/>
    <n v="0"/>
    <n v="0"/>
    <n v="0"/>
    <n v="41.307500000000005"/>
    <n v="13.394025223070095"/>
    <n v="0.24485652216185794"/>
    <x v="0"/>
    <s v="MECANICA"/>
    <x v="0"/>
    <x v="1"/>
    <n v="-1"/>
    <n v="1"/>
    <d v="2018-04-17T00:00:00"/>
    <s v="MAZDA"/>
    <s v="MAZDA 5"/>
    <n v="0"/>
    <d v="2018-04-17T00:00:00"/>
    <n v="0"/>
    <x v="707"/>
  </r>
  <r>
    <d v="2018-04-26T00:00:00"/>
    <s v="001-00012120"/>
    <n v="1391.9170809339"/>
    <n v="0"/>
    <n v="0"/>
    <n v="41.313559322033896"/>
    <n v="0"/>
    <n v="175.5"/>
    <n v="185.9325"/>
    <n v="0"/>
    <n v="402.74605932203389"/>
    <n v="989.17102161186608"/>
    <n v="0.71065369852935967"/>
    <x v="1"/>
    <s v="MEDIANO"/>
    <x v="0"/>
    <x v="1"/>
    <n v="9"/>
    <n v="1"/>
    <d v="2018-04-17T00:00:00"/>
    <s v="SUZUKI"/>
    <s v="SWIFT"/>
    <n v="1254.5"/>
    <d v="2018-04-18T00:00:00"/>
    <n v="12"/>
    <x v="1"/>
  </r>
  <r>
    <d v="2018-04-17T00:00:00"/>
    <s v="001-00012121"/>
    <n v="420"/>
    <n v="0"/>
    <n v="0"/>
    <n v="0"/>
    <n v="39.048749999999998"/>
    <n v="0"/>
    <n v="0"/>
    <n v="0"/>
    <n v="39.048749999999998"/>
    <n v="380.95125000000002"/>
    <n v="0.90702678571428574"/>
    <x v="0"/>
    <s v="MECANICA"/>
    <x v="0"/>
    <x v="1"/>
    <n v="0"/>
    <n v="1"/>
    <d v="2018-04-17T00:00:00"/>
    <s v="NISSAN"/>
    <s v="TIIDA"/>
    <n v="391.20249999999999"/>
    <d v="2018-04-17T00:00:00"/>
    <n v="0"/>
    <x v="157"/>
  </r>
  <r>
    <d v="2018-04-19T00:00:00"/>
    <s v="001-00012123"/>
    <n v="1549.279152137801"/>
    <n v="0"/>
    <n v="0"/>
    <n v="0"/>
    <n v="0"/>
    <n v="146.25"/>
    <n v="239.23314999999997"/>
    <n v="0"/>
    <n v="385.48314999999997"/>
    <n v="1163.796002137801"/>
    <n v="0.75118547908678424"/>
    <x v="1"/>
    <s v="MEDIANO"/>
    <x v="0"/>
    <x v="1"/>
    <n v="2"/>
    <n v="1"/>
    <d v="2018-04-17T00:00:00"/>
    <s v="CHERY"/>
    <s v="TIGGO"/>
    <n v="1706.25"/>
    <d v="2018-04-18T00:00:00"/>
    <n v="10"/>
    <x v="897"/>
  </r>
  <r>
    <d v="2018-04-19T00:00:00"/>
    <s v="001-00012124"/>
    <n v="1014"/>
    <n v="113.2828507"/>
    <n v="0"/>
    <n v="38.14"/>
    <n v="39.048749999999998"/>
    <n v="29.25"/>
    <n v="61.977499999999999"/>
    <n v="0"/>
    <n v="281.69910070000003"/>
    <n v="732.30089929999997"/>
    <n v="0.72219023599605514"/>
    <x v="0"/>
    <s v="LEVE"/>
    <x v="0"/>
    <x v="1"/>
    <n v="2"/>
    <n v="1"/>
    <d v="2018-04-17T00:00:00"/>
    <s v="CHERY"/>
    <s v="TIGGO"/>
    <n v="0"/>
    <d v="2018-04-17T00:00:00"/>
    <n v="2"/>
    <x v="897"/>
  </r>
  <r>
    <d v="2018-04-30T00:00:00"/>
    <s v="001-00012126"/>
    <n v="2095.8833657421987"/>
    <n v="0"/>
    <n v="0"/>
    <n v="0"/>
    <n v="0"/>
    <n v="71.37"/>
    <n v="302.4502"/>
    <n v="0"/>
    <n v="373.8202"/>
    <n v="1722.0631657421986"/>
    <n v="0.82164074293913669"/>
    <x v="1"/>
    <s v="MEDIANO"/>
    <x v="0"/>
    <x v="1"/>
    <n v="13"/>
    <n v="1"/>
    <d v="2018-04-17T00:00:00"/>
    <s v="KIA"/>
    <s v="RIO"/>
    <n v="1519.7"/>
    <d v="2018-04-18T00:00:00"/>
    <n v="4.88"/>
    <x v="1"/>
  </r>
  <r>
    <d v="2018-04-18T00:00:00"/>
    <s v="001-00012128"/>
    <n v="527.20339999999999"/>
    <n v="210.13550122000001"/>
    <n v="0"/>
    <n v="38.14"/>
    <n v="53.673749999999998"/>
    <n v="0"/>
    <n v="0"/>
    <n v="0"/>
    <n v="301.94925122000001"/>
    <n v="225.25414877999998"/>
    <n v="0.42726232186666474"/>
    <x v="0"/>
    <s v="MECANICA"/>
    <x v="0"/>
    <x v="1"/>
    <n v="0"/>
    <n v="1"/>
    <d v="2018-04-18T00:00:00"/>
    <s v="SUZUKI"/>
    <s v="SX4"/>
    <n v="170.495"/>
    <d v="2018-04-18T00:00:00"/>
    <n v="0"/>
    <x v="350"/>
  </r>
  <r>
    <d v="2018-04-18T00:00:00"/>
    <s v="001-00012129"/>
    <n v="350"/>
    <n v="101.69"/>
    <n v="0"/>
    <n v="50.85"/>
    <n v="39.048749999999998"/>
    <n v="0"/>
    <n v="0"/>
    <n v="0"/>
    <n v="191.58875"/>
    <n v="158.41125"/>
    <n v="0.45260357142857144"/>
    <x v="0"/>
    <s v="MECANICA"/>
    <x v="0"/>
    <x v="1"/>
    <n v="1"/>
    <n v="1"/>
    <d v="2018-04-17T00:00:00"/>
    <s v="NISSAN"/>
    <s v="NAVARA"/>
    <n v="160.48500000000001"/>
    <d v="2018-04-18T00:00:00"/>
    <n v="0"/>
    <x v="157"/>
  </r>
  <r>
    <d v="2018-04-18T00:00:00"/>
    <s v="001-00012130"/>
    <n v="763"/>
    <n v="136.48519900000002"/>
    <n v="0"/>
    <n v="0"/>
    <n v="39.048749999999998"/>
    <n v="0"/>
    <n v="0"/>
    <n v="0"/>
    <n v="175.53394900000001"/>
    <n v="587.46605099999999"/>
    <n v="0.76994239973787681"/>
    <x v="0"/>
    <s v="MECANICA"/>
    <x v="0"/>
    <x v="1"/>
    <n v="1"/>
    <n v="1"/>
    <d v="2018-04-17T00:00:00"/>
    <s v="CHEVROLET"/>
    <s v="CAPTIVA"/>
    <n v="200.6225"/>
    <d v="2018-04-18T00:00:00"/>
    <n v="0"/>
    <x v="898"/>
  </r>
  <r>
    <d v="2018-04-28T00:00:00"/>
    <s v="001-00012134"/>
    <n v="1296.5098623066087"/>
    <n v="0"/>
    <n v="0"/>
    <n v="55.084745762711869"/>
    <n v="0"/>
    <n v="117"/>
    <n v="201.426875"/>
    <n v="0"/>
    <n v="373.51162076271186"/>
    <n v="922.99824154389694"/>
    <n v="0.71190992708825163"/>
    <x v="1"/>
    <s v="MEDIANO"/>
    <x v="0"/>
    <x v="1"/>
    <n v="10"/>
    <n v="1"/>
    <d v="2018-04-18T00:00:00"/>
    <s v="TOYOTA"/>
    <s v="AVANZA"/>
    <n v="1618.4675"/>
    <d v="2018-04-19T00:00:00"/>
    <n v="8"/>
    <x v="1"/>
  </r>
  <r>
    <d v="2018-04-24T00:00:00"/>
    <s v="001-00012137"/>
    <n v="296.61019999999996"/>
    <n v="21.239500000000003"/>
    <n v="0"/>
    <n v="42.37"/>
    <n v="39.048749999999998"/>
    <n v="0"/>
    <n v="0"/>
    <n v="0"/>
    <n v="102.65825"/>
    <n v="193.95194999999995"/>
    <n v="0.65389507845650618"/>
    <x v="0"/>
    <s v="MECANICA"/>
    <x v="0"/>
    <x v="1"/>
    <n v="5"/>
    <n v="1"/>
    <d v="2018-04-19T00:00:00"/>
    <s v="HYUNDAI"/>
    <s v="ACCENT"/>
    <n v="0"/>
    <d v="2018-04-19T00:00:00"/>
    <n v="0"/>
    <x v="316"/>
  </r>
  <r>
    <d v="2018-04-26T00:00:00"/>
    <s v="001-00012138"/>
    <n v="1251.4120386"/>
    <n v="0"/>
    <n v="0"/>
    <n v="41.313559322033896"/>
    <n v="0"/>
    <n v="146.25"/>
    <n v="154.94374999999999"/>
    <n v="0"/>
    <n v="342.50730932203385"/>
    <n v="908.90472927796611"/>
    <n v="0.72630332875396564"/>
    <x v="1"/>
    <s v="MEDIANO"/>
    <x v="0"/>
    <x v="1"/>
    <n v="7"/>
    <n v="1"/>
    <d v="2018-04-19T00:00:00"/>
    <s v="SUZUKI"/>
    <s v="SWIFT"/>
    <n v="0"/>
    <d v="2018-04-18T00:00:00"/>
    <n v="10"/>
    <x v="1"/>
  </r>
  <r>
    <d v="2018-04-25T00:00:00"/>
    <s v="001-00012141"/>
    <n v="804"/>
    <n v="74.577400000000011"/>
    <n v="0"/>
    <n v="31.78"/>
    <n v="0"/>
    <n v="29.25"/>
    <n v="123.955"/>
    <n v="0"/>
    <n v="259.56240000000003"/>
    <n v="544.43759999999997"/>
    <n v="0.67716119402985075"/>
    <x v="0"/>
    <s v="LEVE"/>
    <x v="0"/>
    <x v="1"/>
    <n v="7"/>
    <n v="1"/>
    <d v="2018-04-18T00:00:00"/>
    <s v="HYUNDAI"/>
    <s v="I10"/>
    <n v="247"/>
    <d v="2018-04-19T00:00:00"/>
    <n v="2"/>
    <x v="376"/>
  </r>
  <r>
    <d v="2018-04-30T00:00:00"/>
    <s v="001-00012143"/>
    <n v="1674.690473037969"/>
    <n v="0"/>
    <n v="0"/>
    <n v="0"/>
    <n v="0"/>
    <n v="204.75"/>
    <n v="247.91"/>
    <n v="0"/>
    <n v="452.65999999999997"/>
    <n v="1222.0304730379689"/>
    <n v="0.72970527551944986"/>
    <x v="1"/>
    <s v="LEVE"/>
    <x v="0"/>
    <x v="1"/>
    <n v="10"/>
    <n v="1"/>
    <d v="2018-04-20T00:00:00"/>
    <s v="NISSAN"/>
    <s v="VERSA"/>
    <n v="29.672500000000003"/>
    <d v="2018-04-20T00:00:00"/>
    <n v="14"/>
    <x v="1"/>
  </r>
  <r>
    <d v="2018-04-30T00:00:00"/>
    <s v="001-00012144"/>
    <n v="1105.2908682066093"/>
    <n v="0"/>
    <n v="0"/>
    <n v="18"/>
    <n v="0"/>
    <n v="102.375"/>
    <n v="154.94374999999999"/>
    <n v="0"/>
    <n v="275.31875000000002"/>
    <n v="829.97211820660925"/>
    <n v="0.75090832836905752"/>
    <x v="1"/>
    <s v="MEDIANO"/>
    <x v="0"/>
    <x v="1"/>
    <n v="10"/>
    <n v="1"/>
    <d v="2018-04-20T00:00:00"/>
    <s v="VOLKSWAGUEN"/>
    <s v="GOL"/>
    <n v="1116.895"/>
    <d v="2018-04-23T00:00:00"/>
    <n v="7"/>
    <x v="899"/>
  </r>
  <r>
    <d v="2018-04-20T00:00:00"/>
    <s v="001-00012146"/>
    <n v="349"/>
    <n v="69.159002399999991"/>
    <n v="0"/>
    <n v="0"/>
    <n v="39.048749999999998"/>
    <n v="0"/>
    <n v="0"/>
    <n v="0"/>
    <n v="108.20775239999999"/>
    <n v="240.7922476"/>
    <n v="0.68994913352435527"/>
    <x v="0"/>
    <s v="MECANICA"/>
    <x v="0"/>
    <x v="1"/>
    <n v="1"/>
    <n v="1"/>
    <d v="2018-04-19T00:00:00"/>
    <s v="NISSAN"/>
    <s v="VERSA"/>
    <n v="0"/>
    <d v="2018-04-20T00:00:00"/>
    <n v="0"/>
    <x v="798"/>
  </r>
  <r>
    <d v="2018-04-21T00:00:00"/>
    <s v="001-00012148"/>
    <n v="349"/>
    <n v="109.36009870000001"/>
    <n v="0"/>
    <n v="0"/>
    <n v="39.048749999999998"/>
    <n v="0"/>
    <n v="0"/>
    <n v="0"/>
    <n v="148.40884870000002"/>
    <n v="200.59115129999998"/>
    <n v="0.57475974584527212"/>
    <x v="0"/>
    <s v="MECANICA"/>
    <x v="0"/>
    <x v="1"/>
    <n v="1"/>
    <n v="1"/>
    <d v="2018-04-20T00:00:00"/>
    <s v="KIA"/>
    <s v="RIO"/>
    <n v="0"/>
    <d v="2018-04-20T00:00:00"/>
    <n v="0"/>
    <x v="167"/>
  </r>
  <r>
    <d v="2018-04-23T00:00:00"/>
    <s v="001-00012150"/>
    <n v="2190"/>
    <n v="876.10248899999999"/>
    <n v="0"/>
    <n v="135.59"/>
    <n v="78.097499999999997"/>
    <n v="0"/>
    <n v="0"/>
    <n v="0"/>
    <n v="1089.7899890000001"/>
    <n v="1100.2100109999999"/>
    <n v="0.50237900045662098"/>
    <x v="0"/>
    <s v="MECANICA"/>
    <x v="0"/>
    <x v="1"/>
    <n v="3"/>
    <n v="1"/>
    <d v="2018-04-20T00:00:00"/>
    <s v="CHERY"/>
    <s v="TIGGO"/>
    <n v="1494.5774999999999"/>
    <d v="2018-04-19T00:00:00"/>
    <n v="0"/>
    <x v="897"/>
  </r>
  <r>
    <d v="2018-04-21T00:00:00"/>
    <s v="001-00012151"/>
    <n v="500"/>
    <n v="124.9950035"/>
    <n v="0"/>
    <n v="0"/>
    <n v="0"/>
    <n v="0"/>
    <n v="0"/>
    <n v="0"/>
    <n v="124.9950035"/>
    <n v="375.0049965"/>
    <n v="0.75000999300000004"/>
    <x v="0"/>
    <s v="MECANICA"/>
    <x v="0"/>
    <x v="1"/>
    <n v="0"/>
    <n v="1"/>
    <d v="2018-04-21T00:00:00"/>
    <s v="FORD"/>
    <s v="ECOSPORT"/>
    <n v="0"/>
    <d v="2018-04-21T00:00:00"/>
    <n v="0"/>
    <x v="900"/>
  </r>
  <r>
    <d v="2018-04-21T00:00:00"/>
    <s v="001-00012153"/>
    <n v="350"/>
    <n v="117.18429870000001"/>
    <n v="0"/>
    <n v="0"/>
    <n v="0"/>
    <n v="0"/>
    <n v="0"/>
    <n v="0"/>
    <n v="117.18429870000001"/>
    <n v="232.8157013"/>
    <n v="0.66518771799999998"/>
    <x v="0"/>
    <s v="MECANICA"/>
    <x v="0"/>
    <x v="1"/>
    <n v="0"/>
    <n v="1"/>
    <d v="2018-04-21T00:00:00"/>
    <s v="HYUNDAI"/>
    <s v="ELANTRA"/>
    <n v="0"/>
    <d v="2018-04-21T00:00:00"/>
    <n v="0"/>
    <x v="819"/>
  </r>
  <r>
    <d v="2018-04-28T00:00:00"/>
    <s v="001-00012159"/>
    <n v="938.26947104999999"/>
    <n v="0"/>
    <n v="0"/>
    <n v="92.03"/>
    <n v="0"/>
    <n v="87.75"/>
    <n v="139.449375"/>
    <n v="0"/>
    <n v="319.229375"/>
    <n v="619.04009604999999"/>
    <n v="0.65976791865266993"/>
    <x v="2"/>
    <s v="MEDIANO"/>
    <x v="0"/>
    <x v="1"/>
    <n v="5"/>
    <n v="1"/>
    <d v="2018-04-23T00:00:00"/>
    <s v="SUZUKI"/>
    <s v="SWIFT"/>
    <n v="1247.8050000000001"/>
    <d v="2018-04-18T00:00:00"/>
    <n v="6"/>
    <x v="2"/>
  </r>
  <r>
    <d v="2018-04-23T00:00:00"/>
    <s v="001-00012160"/>
    <n v="915"/>
    <n v="164.23225099999999"/>
    <n v="0"/>
    <n v="38.14"/>
    <n v="78.097499999999997"/>
    <n v="0"/>
    <n v="0"/>
    <n v="0"/>
    <n v="280.46975099999997"/>
    <n v="634.53024900000003"/>
    <n v="0.6934756819672131"/>
    <x v="0"/>
    <s v="MECANICA"/>
    <x v="0"/>
    <x v="1"/>
    <n v="0"/>
    <n v="1"/>
    <d v="2018-04-23T00:00:00"/>
    <s v="KIA"/>
    <s v="SPORTAGE"/>
    <n v="305.92250000000001"/>
    <d v="2018-04-23T00:00:00"/>
    <n v="0"/>
    <x v="901"/>
  </r>
  <r>
    <d v="2018-04-23T00:00:00"/>
    <s v="001-00012161"/>
    <n v="270.62850641498011"/>
    <n v="0"/>
    <n v="0"/>
    <n v="0"/>
    <n v="0"/>
    <n v="0"/>
    <n v="0"/>
    <n v="0"/>
    <n v="0"/>
    <n v="270.62850641498011"/>
    <n v="1"/>
    <x v="0"/>
    <s v="MECANICA"/>
    <x v="0"/>
    <x v="1"/>
    <n v="0"/>
    <n v="1"/>
    <d v="2018-04-23T00:00:00"/>
    <s v="DAEWOO"/>
    <s v="RACER"/>
    <n v="272.64249999999998"/>
    <d v="2018-04-23T00:00:00"/>
    <n v="0"/>
    <x v="902"/>
  </r>
  <r>
    <d v="2018-04-26T00:00:00"/>
    <s v="001-00012163"/>
    <n v="715"/>
    <n v="130.35230211000001"/>
    <n v="0"/>
    <n v="0"/>
    <n v="68.298749999999998"/>
    <n v="0"/>
    <n v="0"/>
    <n v="0"/>
    <n v="198.65105211000002"/>
    <n v="516.34894788999998"/>
    <n v="0.7221663606853147"/>
    <x v="0"/>
    <s v="MECANICA"/>
    <x v="0"/>
    <x v="1"/>
    <n v="3"/>
    <n v="1"/>
    <d v="2018-04-23T00:00:00"/>
    <s v="KIA"/>
    <s v="SPORTAGE"/>
    <n v="44.85"/>
    <d v="2018-04-23T00:00:00"/>
    <n v="0"/>
    <x v="903"/>
  </r>
  <r>
    <d v="2018-04-28T00:00:00"/>
    <s v="001-00012165"/>
    <n v="852.38297369999998"/>
    <n v="0"/>
    <n v="0"/>
    <n v="0"/>
    <n v="0"/>
    <n v="117"/>
    <n v="123.955"/>
    <n v="0"/>
    <n v="240.95499999999998"/>
    <n v="611.42797369999994"/>
    <n v="0.71731603347956452"/>
    <x v="1"/>
    <s v="MEDIANO"/>
    <x v="0"/>
    <x v="1"/>
    <n v="5"/>
    <n v="1"/>
    <d v="2018-04-23T00:00:00"/>
    <s v="HYUNDAI"/>
    <s v="I10"/>
    <n v="77.155000000000001"/>
    <d v="2018-04-23T00:00:00"/>
    <n v="8"/>
    <x v="1"/>
  </r>
  <r>
    <d v="2018-04-27T00:00:00"/>
    <s v="001-00012169"/>
    <n v="143.43238637034"/>
    <n v="0"/>
    <n v="0"/>
    <n v="0"/>
    <n v="0"/>
    <n v="43.875"/>
    <n v="123.955"/>
    <n v="0"/>
    <n v="167.82999999999998"/>
    <n v="-24.397613629659986"/>
    <n v="-0.17009835956201524"/>
    <x v="1"/>
    <s v="LEVE"/>
    <x v="0"/>
    <x v="1"/>
    <n v="3"/>
    <n v="1"/>
    <d v="2018-04-24T00:00:00"/>
    <s v="HONDA"/>
    <s v="PILOT"/>
    <n v="0"/>
    <d v="2018-04-19T00:00:00"/>
    <n v="3"/>
    <x v="1"/>
  </r>
  <r>
    <d v="2018-04-28T00:00:00"/>
    <s v="001-00012170"/>
    <n v="453.73998599999993"/>
    <n v="0"/>
    <n v="0"/>
    <n v="0"/>
    <n v="0"/>
    <n v="29.25"/>
    <n v="123.955"/>
    <n v="0"/>
    <n v="153.20499999999998"/>
    <n v="300.53498599999995"/>
    <n v="0.66235067499649458"/>
    <x v="0"/>
    <s v="MEDIANO"/>
    <x v="0"/>
    <x v="1"/>
    <n v="4"/>
    <n v="1"/>
    <d v="2018-04-24T00:00:00"/>
    <s v="SUZUKI"/>
    <s v="VITARA"/>
    <n v="0"/>
    <d v="2018-04-20T00:00:00"/>
    <n v="2"/>
    <x v="455"/>
  </r>
  <r>
    <d v="2018-04-24T00:00:00"/>
    <s v="001-00012171"/>
    <n v="16.949200000000001"/>
    <n v="0"/>
    <n v="0"/>
    <n v="16.95"/>
    <n v="0"/>
    <n v="0"/>
    <n v="0"/>
    <n v="0"/>
    <n v="16.95"/>
    <n v="-7.9999999999813554E-4"/>
    <n v="-4.7199867840260043E-5"/>
    <x v="0"/>
    <s v="MECANICA"/>
    <x v="0"/>
    <x v="1"/>
    <n v="0"/>
    <n v="1"/>
    <d v="2018-04-24T00:00:00"/>
    <s v="KIA"/>
    <s v="CERATO"/>
    <n v="0"/>
    <d v="2018-04-24T00:00:00"/>
    <n v="0"/>
    <x v="904"/>
  </r>
  <r>
    <d v="2018-04-26T00:00:00"/>
    <s v="001-00012172"/>
    <n v="946.60170000000005"/>
    <n v="349.78725010000005"/>
    <n v="0"/>
    <n v="38.14"/>
    <n v="107.3475"/>
    <n v="0"/>
    <n v="0"/>
    <n v="0"/>
    <n v="495.27475010000001"/>
    <n v="451.32694990000005"/>
    <n v="0.47678654063266529"/>
    <x v="0"/>
    <s v="MECANICA"/>
    <x v="0"/>
    <x v="1"/>
    <n v="2"/>
    <n v="1"/>
    <d v="2018-04-24T00:00:00"/>
    <s v="CHEVROLET"/>
    <s v="CRUZE"/>
    <n v="491.49750000000006"/>
    <d v="2018-04-24T00:00:00"/>
    <n v="0"/>
    <x v="236"/>
  </r>
  <r>
    <d v="2018-04-27T00:00:00"/>
    <s v="001-00012174"/>
    <n v="527.79398370000001"/>
    <n v="0"/>
    <n v="0"/>
    <n v="0"/>
    <n v="0"/>
    <n v="43.875"/>
    <n v="123.955"/>
    <n v="0"/>
    <n v="167.82999999999998"/>
    <n v="359.96398370000003"/>
    <n v="0.68201607979033885"/>
    <x v="1"/>
    <s v="LEVE"/>
    <x v="0"/>
    <x v="1"/>
    <n v="3"/>
    <n v="1"/>
    <d v="2018-04-24T00:00:00"/>
    <s v="SUZUKI"/>
    <s v="SX4"/>
    <n v="0"/>
    <d v="2018-04-17T00:00:00"/>
    <n v="3"/>
    <x v="1"/>
  </r>
  <r>
    <d v="2018-04-25T00:00:00"/>
    <s v="001-00012176"/>
    <n v="517.79660000000001"/>
    <n v="123.72140329999999"/>
    <n v="0"/>
    <n v="0"/>
    <n v="53.673749999999998"/>
    <n v="0"/>
    <n v="0"/>
    <n v="0"/>
    <n v="177.3951533"/>
    <n v="340.40144670000001"/>
    <n v="0.65740378886226758"/>
    <x v="0"/>
    <s v="MECANICA"/>
    <x v="0"/>
    <x v="1"/>
    <n v="0"/>
    <n v="1"/>
    <d v="2018-04-25T00:00:00"/>
    <s v="SUBARU"/>
    <s v="FORESTER"/>
    <n v="68.022499999999994"/>
    <d v="2018-04-25T00:00:00"/>
    <n v="0"/>
    <x v="476"/>
  </r>
  <r>
    <d v="2018-04-25T00:00:00"/>
    <s v="001-00012177"/>
    <n v="371.70339999999999"/>
    <n v="57.887250100000003"/>
    <n v="0"/>
    <n v="0"/>
    <n v="39.048749999999998"/>
    <n v="0"/>
    <n v="0"/>
    <n v="0"/>
    <n v="96.936000100000001"/>
    <n v="274.76739989999999"/>
    <n v="0.73921142475425294"/>
    <x v="0"/>
    <s v="MECANICA"/>
    <x v="0"/>
    <x v="1"/>
    <n v="1"/>
    <n v="1"/>
    <d v="2018-04-24T00:00:00"/>
    <s v="KIA"/>
    <s v="SORENTO"/>
    <n v="0"/>
    <d v="2018-04-25T00:00:00"/>
    <n v="0"/>
    <x v="157"/>
  </r>
  <r>
    <d v="2018-04-25T00:00:00"/>
    <s v="001-00012179"/>
    <n v="280"/>
    <n v="0"/>
    <n v="0"/>
    <n v="0"/>
    <n v="39.048749999999998"/>
    <n v="0"/>
    <n v="0"/>
    <n v="0"/>
    <n v="39.048749999999998"/>
    <n v="240.95125000000002"/>
    <n v="0.86054017857142862"/>
    <x v="0"/>
    <s v="MECANICA"/>
    <x v="0"/>
    <x v="1"/>
    <n v="0"/>
    <n v="1"/>
    <d v="2018-04-25T00:00:00"/>
    <s v="CHANGAN"/>
    <s v="CS35"/>
    <n v="220.67500000000001"/>
    <d v="2018-04-25T00:00:00"/>
    <n v="0"/>
    <x v="201"/>
  </r>
  <r>
    <d v="2018-04-25T00:00:00"/>
    <s v="001-00012181"/>
    <n v="271.15931398983003"/>
    <n v="0"/>
    <n v="0"/>
    <n v="0"/>
    <n v="0"/>
    <n v="0"/>
    <n v="0"/>
    <n v="0"/>
    <n v="0"/>
    <n v="271.15931398983003"/>
    <n v="1"/>
    <x v="0"/>
    <s v="MECANICA"/>
    <x v="0"/>
    <x v="1"/>
    <n v="0"/>
    <n v="1"/>
    <d v="2018-04-25T00:00:00"/>
    <s v="CHANGAN"/>
    <s v="CS35"/>
    <n v="272.67500000000001"/>
    <d v="2018-04-25T00:00:00"/>
    <n v="0"/>
    <x v="201"/>
  </r>
  <r>
    <d v="2018-04-27T00:00:00"/>
    <s v="001-00012182"/>
    <n v="1004"/>
    <n v="111.8634"/>
    <n v="0"/>
    <n v="381.36"/>
    <n v="14.625"/>
    <n v="0"/>
    <n v="0"/>
    <n v="0"/>
    <n v="507.84840000000003"/>
    <n v="496.15159999999997"/>
    <n v="0.49417490039840634"/>
    <x v="0"/>
    <s v="MECANICA"/>
    <x v="0"/>
    <x v="1"/>
    <n v="1"/>
    <n v="1"/>
    <d v="2018-04-26T00:00:00"/>
    <s v="CHERY"/>
    <s v="TIGGO"/>
    <n v="351.065"/>
    <d v="2018-04-26T00:00:00"/>
    <n v="0"/>
    <x v="897"/>
  </r>
  <r>
    <d v="2018-04-27T00:00:00"/>
    <s v="001-00012186"/>
    <n v="960"/>
    <n v="192.51705111000001"/>
    <n v="0"/>
    <n v="50.85"/>
    <n v="39.048749999999998"/>
    <n v="0"/>
    <n v="0"/>
    <n v="0"/>
    <n v="282.41580111000002"/>
    <n v="677.58419888999993"/>
    <n v="0.70581687384374991"/>
    <x v="0"/>
    <s v="MECANICA"/>
    <x v="0"/>
    <x v="1"/>
    <n v="0"/>
    <n v="1"/>
    <d v="2018-04-27T00:00:00"/>
    <s v="HYUNDAI"/>
    <s v="TUCSON"/>
    <n v="270.72499999999997"/>
    <d v="2018-04-27T00:00:00"/>
    <n v="0"/>
    <x v="4"/>
  </r>
  <r>
    <d v="2018-04-27T00:00:00"/>
    <s v="001-00012188"/>
    <n v="550"/>
    <n v="116.6563029"/>
    <n v="0"/>
    <n v="0"/>
    <n v="39.048749999999998"/>
    <n v="0"/>
    <n v="0"/>
    <n v="0"/>
    <n v="155.7050529"/>
    <n v="394.2949471"/>
    <n v="0.71689990381818181"/>
    <x v="0"/>
    <s v="MECANICA"/>
    <x v="0"/>
    <x v="1"/>
    <n v="0"/>
    <n v="1"/>
    <d v="2018-04-27T00:00:00"/>
    <s v="SUZUKI"/>
    <s v="APV"/>
    <n v="0"/>
    <d v="2018-04-27T00:00:00"/>
    <n v="0"/>
    <x v="1"/>
  </r>
  <r>
    <d v="2018-04-28T00:00:00"/>
    <s v="001-00012191"/>
    <n v="550"/>
    <n v="108.86830260000001"/>
    <n v="0"/>
    <n v="0"/>
    <n v="39.048749999999998"/>
    <n v="0"/>
    <n v="0"/>
    <n v="0"/>
    <n v="147.91705260000001"/>
    <n v="402.08294739999997"/>
    <n v="0.73105990436363633"/>
    <x v="0"/>
    <s v="MECANICA"/>
    <x v="0"/>
    <x v="1"/>
    <n v="0"/>
    <n v="1"/>
    <d v="2018-04-28T00:00:00"/>
    <s v="NISSAN"/>
    <s v="QASHQAI"/>
    <n v="0"/>
    <d v="2018-04-28T00:00:00"/>
    <n v="0"/>
    <x v="523"/>
  </r>
  <r>
    <d v="2018-04-30T00:00:00"/>
    <s v="001-00012200"/>
    <n v="1246.5"/>
    <n v="300.15707635000001"/>
    <n v="0"/>
    <n v="88.990000000000009"/>
    <n v="78.097499999999997"/>
    <n v="0"/>
    <n v="0"/>
    <n v="0"/>
    <n v="467.24457634999999"/>
    <n v="779.25542365000001"/>
    <n v="0.62515477228239069"/>
    <x v="0"/>
    <s v="MECANICA"/>
    <x v="0"/>
    <x v="1"/>
    <n v="1"/>
    <n v="1"/>
    <d v="2018-04-29T00:00:00"/>
    <s v="HYUNDAI"/>
    <s v="SANTA FE"/>
    <n v="596.82999999999993"/>
    <d v="2018-04-30T00:00:00"/>
    <n v="0"/>
    <x v="815"/>
  </r>
  <r>
    <d v="2018-05-10T00:00:00"/>
    <s v="001-00010371"/>
    <n v="666.63722510000014"/>
    <n v="0"/>
    <n v="0"/>
    <n v="0"/>
    <n v="43.875"/>
    <n v="146.25"/>
    <n v="213.20260000000002"/>
    <n v="0"/>
    <n v="403.32760000000002"/>
    <n v="263.30962510000012"/>
    <n v="0.39498188097807152"/>
    <x v="1"/>
    <s v="MEDIANO"/>
    <x v="1"/>
    <x v="1"/>
    <n v="240"/>
    <n v="1"/>
    <d v="2017-09-12T00:00:00"/>
    <s v="KIA"/>
    <s v="RIO"/>
    <n v="1886.8850000000002"/>
    <d v="2017-09-14T00:00:00"/>
    <n v="10"/>
    <x v="1"/>
  </r>
  <r>
    <d v="2018-05-18T00:00:00"/>
    <s v="001-00010731"/>
    <n v="971.10176513898011"/>
    <n v="93.124699199999995"/>
    <n v="58.47"/>
    <n v="161.01999999999998"/>
    <n v="248.625"/>
    <n v="409.5"/>
    <n v="464.83125000000001"/>
    <n v="0"/>
    <n v="1435.5709491999999"/>
    <n v="-464.46918406101975"/>
    <n v="-0.47829094821441998"/>
    <x v="1"/>
    <s v="LEVE"/>
    <x v="1"/>
    <x v="1"/>
    <n v="205"/>
    <n v="1"/>
    <d v="2017-10-25T00:00:00"/>
    <s v="HYUNDAI"/>
    <s v="I10"/>
    <n v="0"/>
    <s v="F/Fecha"/>
    <n v="0"/>
    <x v="905"/>
  </r>
  <r>
    <d v="2018-05-04T00:00:00"/>
    <s v="001-00010981"/>
    <n v="2118.6439999999998"/>
    <n v="2867.6898999999999"/>
    <n v="0"/>
    <n v="0"/>
    <n v="0"/>
    <n v="0"/>
    <n v="0"/>
    <n v="0"/>
    <n v="2867.6898999999999"/>
    <n v="-749.04590000000007"/>
    <n v="-0.35354967611358973"/>
    <x v="0"/>
    <s v="MECANICA"/>
    <x v="1"/>
    <x v="1"/>
    <n v="158"/>
    <n v="1"/>
    <d v="2017-11-27T00:00:00"/>
    <s v="MAZDA"/>
    <s v="MAZDA 3"/>
    <n v="518.17999999999995"/>
    <d v="2017-11-27T00:00:00"/>
    <n v="0"/>
    <x v="89"/>
  </r>
  <r>
    <d v="2018-05-19T00:00:00"/>
    <s v="001-00011381"/>
    <n v="1992.15818659"/>
    <n v="0"/>
    <n v="0"/>
    <n v="167.7715254237288"/>
    <n v="23.400000000000002"/>
    <n v="365.625"/>
    <n v="371.86500000000001"/>
    <n v="0"/>
    <n v="928.66152542372879"/>
    <n v="1063.4966611662712"/>
    <n v="0.53384147319479214"/>
    <x v="1"/>
    <s v="MEDIANO"/>
    <x v="1"/>
    <x v="1"/>
    <n v="124"/>
    <n v="1"/>
    <d v="2018-01-15T00:00:00"/>
    <s v="MITSUBISHI"/>
    <s v="LANCER"/>
    <n v="9690.0374999999985"/>
    <d v="2018-01-17T00:00:00"/>
    <n v="25"/>
    <x v="728"/>
  </r>
  <r>
    <d v="2018-05-31T00:00:00"/>
    <s v="001-00011636"/>
    <n v="4399.3703847750803"/>
    <n v="0"/>
    <n v="0"/>
    <n v="106.3135593220339"/>
    <n v="43.875"/>
    <n v="687.375"/>
    <n v="390.45825000000002"/>
    <n v="0"/>
    <n v="1228.0218093220337"/>
    <n v="3171.3485754530466"/>
    <n v="0.72086419148252345"/>
    <x v="1"/>
    <s v="GRAVE"/>
    <x v="1"/>
    <x v="1"/>
    <n v="105"/>
    <n v="1"/>
    <d v="2018-02-15T00:00:00"/>
    <s v="HYUNDAI"/>
    <s v="ACCENT"/>
    <n v="6931.1449999999995"/>
    <d v="2018-02-17T00:00:00"/>
    <n v="47"/>
    <x v="1"/>
  </r>
  <r>
    <d v="2018-05-07T00:00:00"/>
    <s v="001-00011652"/>
    <n v="1415.3062935750811"/>
    <n v="0"/>
    <n v="0"/>
    <n v="27.542372881355934"/>
    <n v="0"/>
    <n v="131.625"/>
    <n v="275.79987500000004"/>
    <n v="0"/>
    <n v="434.967247881356"/>
    <n v="980.3390456937251"/>
    <n v="0.69266917708489562"/>
    <x v="1"/>
    <s v="MEDIANO"/>
    <x v="1"/>
    <x v="1"/>
    <n v="77"/>
    <n v="1"/>
    <d v="2018-02-19T00:00:00"/>
    <s v="NISSAN"/>
    <s v="SENTRA"/>
    <n v="8239.0424999999996"/>
    <d v="2018-03-07T00:00:00"/>
    <n v="9"/>
    <x v="1"/>
  </r>
  <r>
    <d v="2018-05-22T00:00:00"/>
    <s v="001-00011684"/>
    <n v="1643.3896867399999"/>
    <n v="6.0859002000000002"/>
    <n v="0"/>
    <n v="137.71186440677968"/>
    <n v="43.875"/>
    <n v="409.5"/>
    <n v="449.33687499999996"/>
    <n v="0"/>
    <n v="1046.5096396067797"/>
    <n v="596.88004713322016"/>
    <n v="0.36320055550382213"/>
    <x v="1"/>
    <s v="MEDIANO"/>
    <x v="1"/>
    <x v="1"/>
    <n v="89"/>
    <n v="1"/>
    <d v="2018-02-22T00:00:00"/>
    <s v="CHEVROLET"/>
    <s v="SAIL"/>
    <n v="4703.8549999999996"/>
    <d v="2018-02-28T00:00:00"/>
    <n v="28"/>
    <x v="555"/>
  </r>
  <r>
    <d v="2018-05-02T00:00:00"/>
    <s v="001-00011804"/>
    <n v="1950.8261825"/>
    <n v="0"/>
    <n v="0"/>
    <n v="20"/>
    <n v="0"/>
    <n v="248.625"/>
    <n v="290.67447500000003"/>
    <n v="0"/>
    <n v="559.29947500000003"/>
    <n v="1391.5267074999999"/>
    <n v="0.71330122590252854"/>
    <x v="1"/>
    <s v="MEDIANO"/>
    <x v="1"/>
    <x v="1"/>
    <n v="54"/>
    <n v="1"/>
    <d v="2018-03-09T00:00:00"/>
    <s v="NISSAN"/>
    <s v="VERSA"/>
    <n v="1219.6275000000001"/>
    <d v="2018-03-10T00:00:00"/>
    <n v="17"/>
    <x v="1"/>
  </r>
  <r>
    <d v="2018-05-15T00:00:00"/>
    <s v="001-00011826"/>
    <n v="3891.9428499999995"/>
    <n v="0.5076000100000001"/>
    <n v="0"/>
    <n v="181.67677966101692"/>
    <n v="32.175000000000004"/>
    <n v="468"/>
    <n v="450.57642500000003"/>
    <n v="0"/>
    <n v="1132.935804671017"/>
    <n v="2759.0070453289827"/>
    <n v="0.70890225053766731"/>
    <x v="1"/>
    <s v="MEDIANO"/>
    <x v="1"/>
    <x v="1"/>
    <n v="64"/>
    <n v="1"/>
    <d v="2018-03-12T00:00:00"/>
    <s v="RENAULT"/>
    <s v="LOGAN"/>
    <n v="14176.012499999999"/>
    <d v="2018-04-05T00:00:00"/>
    <n v="32"/>
    <x v="1"/>
  </r>
  <r>
    <d v="2018-05-03T00:00:00"/>
    <s v="001-00011855"/>
    <n v="2353.8799213530519"/>
    <n v="1.4226000299999999"/>
    <n v="0"/>
    <n v="135.06677966101694"/>
    <n v="16.087500000000002"/>
    <n v="263.25"/>
    <n v="256.58684999999997"/>
    <n v="0"/>
    <n v="672.4137296910169"/>
    <n v="1681.466191662035"/>
    <n v="0.71433813441745087"/>
    <x v="1"/>
    <s v="MEDIANO"/>
    <x v="1"/>
    <x v="1"/>
    <n v="49"/>
    <n v="1"/>
    <d v="2018-03-15T00:00:00"/>
    <s v="NISSAN"/>
    <s v="TIIDA"/>
    <n v="4502.6149999999998"/>
    <d v="2018-03-19T00:00:00"/>
    <n v="18"/>
    <x v="1"/>
  </r>
  <r>
    <d v="2018-05-07T00:00:00"/>
    <s v="001-00011857"/>
    <n v="3748.9078896954206"/>
    <n v="0"/>
    <n v="0"/>
    <n v="621.40067796610174"/>
    <n v="58.5"/>
    <n v="438.75"/>
    <n v="325.38187500000004"/>
    <n v="0"/>
    <n v="1444.0325529661018"/>
    <n v="2304.8753367293189"/>
    <n v="0.61481247460485833"/>
    <x v="2"/>
    <s v="GRAVE"/>
    <x v="1"/>
    <x v="1"/>
    <n v="53"/>
    <n v="1"/>
    <d v="2018-03-15T00:00:00"/>
    <s v="RENAULT"/>
    <s v="SANDERO"/>
    <n v="9137.1474999999991"/>
    <d v="2018-03-19T00:00:00"/>
    <n v="30"/>
    <x v="2"/>
  </r>
  <r>
    <d v="2018-05-03T00:00:00"/>
    <s v="001-00011905"/>
    <n v="3445.5241905677995"/>
    <n v="22.030000999999992"/>
    <n v="0"/>
    <n v="149.75"/>
    <n v="43.875"/>
    <n v="731.25"/>
    <n v="646.42532500000004"/>
    <n v="0"/>
    <n v="1593.330326"/>
    <n v="1852.1938645677994"/>
    <n v="0.53756518954016408"/>
    <x v="1"/>
    <s v="GRAVE"/>
    <x v="1"/>
    <x v="1"/>
    <n v="44"/>
    <n v="1"/>
    <d v="2018-03-20T00:00:00"/>
    <s v="GREAT W."/>
    <s v="VOLEEX"/>
    <n v="11886.7775"/>
    <d v="2018-03-22T00:00:00"/>
    <n v="50"/>
    <x v="1"/>
  </r>
  <r>
    <d v="2018-05-10T00:00:00"/>
    <s v="001-00011939"/>
    <n v="3330.0601135299999"/>
    <n v="0.84739999999999993"/>
    <n v="0"/>
    <n v="65"/>
    <n v="43.875"/>
    <n v="468"/>
    <n v="371.86500000000001"/>
    <n v="0"/>
    <n v="949.5874"/>
    <n v="2380.47271353"/>
    <n v="0.71484376629063362"/>
    <x v="1"/>
    <s v="GRAVE"/>
    <x v="1"/>
    <x v="1"/>
    <n v="45"/>
    <n v="1"/>
    <d v="2018-03-26T00:00:00"/>
    <s v="KIA"/>
    <s v="RIO"/>
    <n v="4823.7475000000004"/>
    <d v="2018-03-26T00:00:00"/>
    <n v="32"/>
    <x v="1"/>
  </r>
  <r>
    <d v="2018-05-11T00:00:00"/>
    <s v="001-00011974"/>
    <n v="495.68479050000008"/>
    <n v="0"/>
    <n v="0"/>
    <n v="20"/>
    <n v="0"/>
    <n v="87.75"/>
    <n v="131.39230000000001"/>
    <n v="0"/>
    <n v="239.14230000000001"/>
    <n v="256.5424905000001"/>
    <n v="0.5175516687555094"/>
    <x v="1"/>
    <s v="LEVE"/>
    <x v="1"/>
    <x v="1"/>
    <n v="40"/>
    <n v="1"/>
    <d v="2018-04-01T00:00:00"/>
    <s v="HYUNDAI"/>
    <s v="I20"/>
    <n v="1532.31"/>
    <d v="2018-04-03T00:00:00"/>
    <n v="6"/>
    <x v="855"/>
  </r>
  <r>
    <d v="2018-05-07T00:00:00"/>
    <s v="001-00012004"/>
    <n v="2118.1485695355905"/>
    <n v="0"/>
    <n v="0"/>
    <n v="50.85"/>
    <n v="68.737500000000011"/>
    <n v="204.75"/>
    <n v="278.89875000000001"/>
    <n v="0"/>
    <n v="603.23624999999993"/>
    <n v="1514.9123195355905"/>
    <n v="0.7152058837250207"/>
    <x v="1"/>
    <s v="MEDIANO"/>
    <x v="1"/>
    <x v="1"/>
    <n v="33"/>
    <n v="1"/>
    <d v="2018-04-04T00:00:00"/>
    <s v="KIA"/>
    <s v="CERATO"/>
    <n v="8757.9375"/>
    <d v="2018-04-05T00:00:00"/>
    <n v="14"/>
    <x v="1"/>
  </r>
  <r>
    <d v="2018-05-10T00:00:00"/>
    <s v="001-00012008"/>
    <n v="3129.4943174999999"/>
    <n v="0"/>
    <n v="0"/>
    <n v="84.75"/>
    <n v="58.5"/>
    <n v="248.625"/>
    <n v="357.61017499999997"/>
    <n v="0"/>
    <n v="749.48517500000003"/>
    <n v="2380.0091425000001"/>
    <n v="0.7605091752974561"/>
    <x v="1"/>
    <s v="MEDIANO"/>
    <x v="1"/>
    <x v="1"/>
    <n v="36"/>
    <n v="1"/>
    <d v="2018-04-04T00:00:00"/>
    <s v="KIA"/>
    <s v="RIO"/>
    <n v="5830.3050000000003"/>
    <d v="2018-04-06T00:00:00"/>
    <n v="17"/>
    <x v="1"/>
  </r>
  <r>
    <d v="2018-05-17T00:00:00"/>
    <s v="001-00012014"/>
    <n v="3051.5086322245797"/>
    <n v="37.680900100000002"/>
    <n v="0"/>
    <n v="84.75"/>
    <n v="21.9375"/>
    <n v="380.25"/>
    <n v="216.92125000000001"/>
    <n v="0"/>
    <n v="741.53965010000002"/>
    <n v="2309.9689821245797"/>
    <n v="0.75699244554998679"/>
    <x v="1"/>
    <s v="MEDIANO"/>
    <x v="1"/>
    <x v="1"/>
    <n v="42"/>
    <n v="1"/>
    <d v="2018-04-05T00:00:00"/>
    <s v="ZOTYE"/>
    <s v="HUNTER"/>
    <n v="2496"/>
    <d v="2018-04-26T00:00:00"/>
    <n v="26"/>
    <x v="1"/>
  </r>
  <r>
    <d v="2018-05-10T00:00:00"/>
    <s v="001-00012064"/>
    <n v="1166.9337943999999"/>
    <n v="0"/>
    <n v="0"/>
    <n v="0"/>
    <n v="0"/>
    <n v="146.25"/>
    <n v="151.84487500000003"/>
    <n v="0"/>
    <n v="298.094875"/>
    <n v="868.8389193999999"/>
    <n v="0.74454859698936826"/>
    <x v="1"/>
    <s v="LEVE"/>
    <x v="1"/>
    <x v="1"/>
    <n v="30"/>
    <n v="1"/>
    <d v="2018-04-10T00:00:00"/>
    <s v="TOYOTA"/>
    <s v="HILUX"/>
    <n v="2188.6475"/>
    <d v="2018-04-12T00:00:00"/>
    <n v="10"/>
    <x v="906"/>
  </r>
  <r>
    <d v="2018-05-07T00:00:00"/>
    <s v="001-00012068"/>
    <n v="3216.7586297621701"/>
    <n v="5.4759001999999999"/>
    <n v="0"/>
    <n v="201.80508474576271"/>
    <n v="5.8500000000000005"/>
    <n v="365.625"/>
    <n v="414.62947500000007"/>
    <n v="0"/>
    <n v="993.38545994576282"/>
    <n v="2223.3731698164074"/>
    <n v="0.69118433358513809"/>
    <x v="1"/>
    <s v="MEDIANO"/>
    <x v="1"/>
    <x v="1"/>
    <n v="26"/>
    <n v="1"/>
    <d v="2018-04-11T00:00:00"/>
    <s v="TOYOTA"/>
    <s v="YARIS"/>
    <n v="3982.4849999999997"/>
    <d v="2018-04-12T00:00:00"/>
    <n v="25"/>
    <x v="1"/>
  </r>
  <r>
    <d v="2018-05-15T00:00:00"/>
    <s v="001-00012070"/>
    <n v="2015.7023360000001"/>
    <n v="0"/>
    <n v="0"/>
    <n v="92.542372881355931"/>
    <n v="0"/>
    <n v="175.5"/>
    <n v="325.38187500000004"/>
    <n v="0"/>
    <n v="593.424247881356"/>
    <n v="1422.2780881186441"/>
    <n v="0.70559926568376219"/>
    <x v="1"/>
    <s v="MEDIANO"/>
    <x v="1"/>
    <x v="1"/>
    <n v="34"/>
    <n v="1"/>
    <d v="2018-04-11T00:00:00"/>
    <s v="NISSAN"/>
    <s v="SENTRA"/>
    <n v="8521.7275000000009"/>
    <d v="2018-04-12T00:00:00"/>
    <n v="12"/>
    <x v="1"/>
  </r>
  <r>
    <d v="2018-05-09T00:00:00"/>
    <s v="001-00012087"/>
    <n v="1130.2638571274204"/>
    <n v="0"/>
    <n v="0"/>
    <n v="110"/>
    <n v="0"/>
    <n v="117"/>
    <n v="61.977499999999999"/>
    <n v="0"/>
    <n v="288.97750000000002"/>
    <n v="841.28635712742039"/>
    <n v="0.74432739914869095"/>
    <x v="1"/>
    <s v="MEDIANO"/>
    <x v="1"/>
    <x v="1"/>
    <n v="27"/>
    <n v="1"/>
    <d v="2018-04-12T00:00:00"/>
    <s v="NISSAN"/>
    <s v="QASHQAI"/>
    <n v="2729.7075"/>
    <d v="2018-04-16T00:00:00"/>
    <n v="8"/>
    <x v="907"/>
  </r>
  <r>
    <d v="2018-05-31T00:00:00"/>
    <s v="001-00012094"/>
    <n v="3915.8908483188125"/>
    <n v="6.6617001600000005"/>
    <n v="0"/>
    <n v="379.64406779661022"/>
    <n v="7.3125"/>
    <n v="321.75"/>
    <n v="433.84250000000003"/>
    <n v="0"/>
    <n v="1149.2107679566102"/>
    <n v="2766.6800803622023"/>
    <n v="0.70652635314133072"/>
    <x v="1"/>
    <s v="MEDIANO"/>
    <x v="1"/>
    <x v="1"/>
    <n v="48"/>
    <n v="1"/>
    <d v="2018-04-13T00:00:00"/>
    <s v="TOYOTA"/>
    <s v="LAND C."/>
    <n v="8071.1474999999991"/>
    <d v="2018-04-16T00:00:00"/>
    <n v="22"/>
    <x v="1"/>
  </r>
  <r>
    <d v="2018-05-09T00:00:00"/>
    <s v="001-00012099"/>
    <n v="1517.314425427031"/>
    <n v="0"/>
    <n v="0"/>
    <n v="0"/>
    <n v="19.012500000000003"/>
    <n v="146.25"/>
    <n v="294.393125"/>
    <n v="0"/>
    <n v="459.65562499999999"/>
    <n v="1057.6588004270311"/>
    <n v="0.69705974101535684"/>
    <x v="1"/>
    <s v="GRAVE"/>
    <x v="1"/>
    <x v="1"/>
    <n v="25"/>
    <n v="1"/>
    <d v="2018-04-14T00:00:00"/>
    <s v="HYUNDAI"/>
    <s v="AVANTE"/>
    <n v="1205.75"/>
    <d v="2018-04-12T00:00:00"/>
    <n v="10"/>
    <x v="890"/>
  </r>
  <r>
    <d v="2018-05-17T00:00:00"/>
    <s v="001-00012106"/>
    <n v="1430.5806948965794"/>
    <n v="15.916700350000003"/>
    <n v="0"/>
    <n v="163.53677966101694"/>
    <n v="62.887499999999996"/>
    <n v="58.5"/>
    <n v="123.955"/>
    <n v="0"/>
    <n v="424.79598001101692"/>
    <n v="1005.7847148855625"/>
    <n v="0.70306045543154305"/>
    <x v="1"/>
    <s v="LEVE"/>
    <x v="1"/>
    <x v="1"/>
    <n v="31"/>
    <n v="1"/>
    <d v="2018-04-16T00:00:00"/>
    <s v="NISSAN"/>
    <s v="SENTRA"/>
    <n v="6781.58"/>
    <d v="2018-04-17T00:00:00"/>
    <n v="4"/>
    <x v="1"/>
  </r>
  <r>
    <d v="2018-05-05T00:00:00"/>
    <s v="001-00012119"/>
    <n v="2973.0001173418591"/>
    <n v="0"/>
    <n v="0"/>
    <n v="174.26271186440678"/>
    <n v="76.050000000000011"/>
    <n v="292.5"/>
    <n v="371.86500000000001"/>
    <n v="0"/>
    <n v="914.67771186440677"/>
    <n v="2058.3224054774523"/>
    <n v="0.69233848780261253"/>
    <x v="1"/>
    <s v="MEDIANO"/>
    <x v="1"/>
    <x v="1"/>
    <n v="18"/>
    <n v="1"/>
    <d v="2018-04-17T00:00:00"/>
    <s v="TOYOTA"/>
    <s v="YARIS"/>
    <n v="2004.6650000000002"/>
    <d v="2018-04-21T00:00:00"/>
    <n v="20"/>
    <x v="908"/>
  </r>
  <r>
    <d v="2018-05-05T00:00:00"/>
    <s v="001-00012122"/>
    <n v="2471.6355011389801"/>
    <n v="5.4759001999999999"/>
    <n v="0"/>
    <n v="84.75"/>
    <n v="23.400000000000002"/>
    <n v="204.75"/>
    <n v="309.88749999999999"/>
    <n v="0"/>
    <n v="628.26340019999998"/>
    <n v="1843.3721009389801"/>
    <n v="0.74581065860622109"/>
    <x v="1"/>
    <s v="MEDIANO"/>
    <x v="1"/>
    <x v="1"/>
    <n v="18"/>
    <n v="1"/>
    <d v="2018-04-17T00:00:00"/>
    <s v="TOYOTA"/>
    <s v="RAV 4"/>
    <n v="9391.0049999999992"/>
    <d v="2018-04-18T00:00:00"/>
    <n v="14"/>
    <x v="1"/>
  </r>
  <r>
    <d v="2018-05-02T00:00:00"/>
    <s v="001-00012127"/>
    <n v="1292.5910075000002"/>
    <n v="0.42369999999999997"/>
    <n v="0"/>
    <n v="122.88"/>
    <n v="21.9375"/>
    <n v="87.75"/>
    <n v="195.22912500000001"/>
    <n v="0"/>
    <n v="428.220325"/>
    <n v="864.37068250000016"/>
    <n v="0.66871166322886555"/>
    <x v="1"/>
    <s v="LEVE"/>
    <x v="1"/>
    <x v="1"/>
    <n v="15"/>
    <n v="1"/>
    <d v="2018-04-17T00:00:00"/>
    <s v="KIA"/>
    <s v="CERATO"/>
    <n v="6547.32"/>
    <d v="2018-04-19T00:00:00"/>
    <n v="6"/>
    <x v="1"/>
  </r>
  <r>
    <d v="2018-05-03T00:00:00"/>
    <s v="001-00012135"/>
    <n v="2034.9113802922077"/>
    <n v="0"/>
    <n v="0"/>
    <n v="55.084745762711869"/>
    <n v="0"/>
    <n v="175.5"/>
    <n v="328.48075"/>
    <n v="0"/>
    <n v="559.06549576271186"/>
    <n v="1475.8458845294958"/>
    <n v="0.72526297647299431"/>
    <x v="1"/>
    <s v="LEVE"/>
    <x v="1"/>
    <x v="1"/>
    <n v="15"/>
    <n v="1"/>
    <d v="2018-04-18T00:00:00"/>
    <s v="MAZDA"/>
    <s v="MAZDA 3"/>
    <n v="2209.7399999999998"/>
    <d v="2018-04-19T00:00:00"/>
    <n v="12"/>
    <x v="1"/>
  </r>
  <r>
    <d v="2018-05-21T00:00:00"/>
    <s v="001-00012139"/>
    <n v="1519.90810829"/>
    <n v="5.4759001999999999"/>
    <n v="0"/>
    <n v="84.75"/>
    <n v="33.637499999999996"/>
    <n v="95.0625"/>
    <n v="170.43812500000001"/>
    <n v="0"/>
    <n v="389.36402520000001"/>
    <n v="1130.54408309"/>
    <n v="0.74382396996482836"/>
    <x v="1"/>
    <s v="LEVE"/>
    <x v="1"/>
    <x v="1"/>
    <n v="32"/>
    <n v="1"/>
    <d v="2018-04-19T00:00:00"/>
    <s v="NISSAN"/>
    <s v="TIIDA"/>
    <n v="793"/>
    <d v="2018-05-07T00:00:00"/>
    <n v="6.5"/>
    <x v="1"/>
  </r>
  <r>
    <d v="2018-05-11T00:00:00"/>
    <s v="001-00012140"/>
    <n v="1049.86362921"/>
    <n v="0"/>
    <n v="0"/>
    <n v="0"/>
    <n v="0"/>
    <n v="58.5"/>
    <n v="185.9325"/>
    <n v="0"/>
    <n v="244.4325"/>
    <n v="805.43112920999999"/>
    <n v="0.76717690450527343"/>
    <x v="1"/>
    <s v="MEDIANO"/>
    <x v="1"/>
    <x v="1"/>
    <n v="22"/>
    <n v="1"/>
    <d v="2018-04-19T00:00:00"/>
    <s v="BMW"/>
    <n v="328"/>
    <n v="0"/>
    <d v="2018-04-20T00:00:00"/>
    <n v="4"/>
    <x v="71"/>
  </r>
  <r>
    <d v="2018-05-05T00:00:00"/>
    <s v="001-00012145"/>
    <n v="1365.2557972134205"/>
    <n v="0"/>
    <n v="41.53"/>
    <n v="114.41"/>
    <n v="24.862499999999997"/>
    <n v="51.1875"/>
    <n v="123.955"/>
    <n v="0"/>
    <n v="355.94499999999999"/>
    <n v="1009.3107972134205"/>
    <n v="0.7392832898226781"/>
    <x v="1"/>
    <s v="LEVE"/>
    <x v="1"/>
    <x v="1"/>
    <n v="15"/>
    <n v="1"/>
    <d v="2018-04-20T00:00:00"/>
    <s v="KIA"/>
    <s v="PICANTO"/>
    <n v="970.84000000000015"/>
    <d v="2018-04-21T00:00:00"/>
    <n v="3.5"/>
    <x v="1"/>
  </r>
  <r>
    <d v="2018-05-17T00:00:00"/>
    <s v="001-00012147"/>
    <n v="5637.6873796081409"/>
    <n v="1.3559999200000001"/>
    <n v="179.01"/>
    <n v="149.75"/>
    <n v="20.474999999999998"/>
    <n v="658.125"/>
    <n v="585.68737499999997"/>
    <n v="0"/>
    <n v="1594.40337492"/>
    <n v="4043.2840046881411"/>
    <n v="0.71718840234258929"/>
    <x v="1"/>
    <s v="GRAVE"/>
    <x v="1"/>
    <x v="1"/>
    <n v="27"/>
    <n v="1"/>
    <d v="2018-04-20T00:00:00"/>
    <s v="TOYOTA"/>
    <s v="ETIOS"/>
    <n v="8401.3150000000005"/>
    <d v="2018-04-24T00:00:00"/>
    <n v="45"/>
    <x v="1"/>
  </r>
  <r>
    <d v="2018-05-12T00:00:00"/>
    <s v="001-00012149"/>
    <n v="2820.7649135000001"/>
    <n v="0"/>
    <n v="0"/>
    <n v="438.4027118644068"/>
    <n v="0"/>
    <n v="204.75"/>
    <n v="371.86500000000001"/>
    <n v="0"/>
    <n v="1015.0177118644068"/>
    <n v="1805.7472016355932"/>
    <n v="0.64016224570626312"/>
    <x v="1"/>
    <s v="LEVE"/>
    <x v="1"/>
    <x v="1"/>
    <n v="22"/>
    <n v="1"/>
    <d v="2018-04-20T00:00:00"/>
    <s v="MITSUBISHI"/>
    <s v="MIRAGE"/>
    <n v="6154.2"/>
    <d v="2018-04-20T00:00:00"/>
    <n v="14"/>
    <x v="1"/>
  </r>
  <r>
    <d v="2018-05-08T00:00:00"/>
    <s v="001-00012152"/>
    <n v="2477.6455506900002"/>
    <n v="0"/>
    <n v="0"/>
    <n v="89.512711864406782"/>
    <n v="5.8500000000000005"/>
    <n v="234"/>
    <n v="340.87625000000003"/>
    <n v="0"/>
    <n v="670.23896186440675"/>
    <n v="1807.4065888255934"/>
    <n v="0.72948553449150477"/>
    <x v="1"/>
    <s v="MEDIANO"/>
    <x v="1"/>
    <x v="1"/>
    <n v="17"/>
    <n v="1"/>
    <d v="2018-04-21T00:00:00"/>
    <s v="TOYOTA"/>
    <s v="YARIS"/>
    <n v="1702.4475000000002"/>
    <d v="2018-04-24T00:00:00"/>
    <n v="16"/>
    <x v="1"/>
  </r>
  <r>
    <d v="2018-05-07T00:00:00"/>
    <s v="001-00012155"/>
    <n v="2574.3985538796601"/>
    <n v="0"/>
    <n v="0"/>
    <n v="20"/>
    <n v="0"/>
    <n v="292.5"/>
    <n v="325.38187500000004"/>
    <n v="0"/>
    <n v="637.88187500000004"/>
    <n v="1936.51667887966"/>
    <n v="0.7522210094320082"/>
    <x v="1"/>
    <s v="MEDIANO"/>
    <x v="1"/>
    <x v="1"/>
    <n v="16"/>
    <n v="1"/>
    <d v="2018-04-21T00:00:00"/>
    <s v="RENAULT"/>
    <s v="KOLEOS"/>
    <n v="0"/>
    <d v="2018-04-24T00:00:00"/>
    <n v="20"/>
    <x v="1"/>
  </r>
  <r>
    <d v="2018-05-11T00:00:00"/>
    <s v="001-00012156"/>
    <n v="2115.7885545899994"/>
    <n v="0"/>
    <n v="0"/>
    <n v="20.656779661016948"/>
    <n v="0"/>
    <n v="234"/>
    <n v="301.21065000000004"/>
    <n v="0"/>
    <n v="555.86742966101701"/>
    <n v="1559.9211249289824"/>
    <n v="0.73727647384464945"/>
    <x v="1"/>
    <s v="MEDIANO"/>
    <x v="1"/>
    <x v="1"/>
    <n v="20"/>
    <n v="1"/>
    <d v="2018-04-21T00:00:00"/>
    <s v="HYUNDAI"/>
    <s v="SANTA FE"/>
    <n v="1279.9475"/>
    <d v="2018-04-23T00:00:00"/>
    <n v="16"/>
    <x v="909"/>
  </r>
  <r>
    <d v="2018-05-02T00:00:00"/>
    <s v="001-00012157"/>
    <n v="515.125"/>
    <n v="0"/>
    <n v="0"/>
    <n v="0"/>
    <n v="0"/>
    <n v="36.5625"/>
    <n v="123.955"/>
    <n v="0"/>
    <n v="160.51749999999998"/>
    <n v="354.60750000000002"/>
    <n v="0.6883911671924291"/>
    <x v="1"/>
    <s v="LEVE"/>
    <x v="1"/>
    <x v="1"/>
    <n v="11"/>
    <n v="1"/>
    <d v="2018-04-21T00:00:00"/>
    <s v="HYUNDAI"/>
    <s v="AVANTE"/>
    <n v="611"/>
    <d v="2018-04-23T00:00:00"/>
    <n v="2.5"/>
    <x v="1"/>
  </r>
  <r>
    <d v="2018-05-04T00:00:00"/>
    <s v="001-00012158"/>
    <n v="1311.98260284"/>
    <n v="0.33899998000000003"/>
    <n v="0"/>
    <n v="61.970338983050844"/>
    <n v="0"/>
    <n v="131.625"/>
    <n v="142.54825"/>
    <n v="0"/>
    <n v="336.48258896305083"/>
    <n v="975.5000138769492"/>
    <n v="0.74353121128688793"/>
    <x v="1"/>
    <s v="MEDIANO"/>
    <x v="1"/>
    <x v="1"/>
    <n v="11"/>
    <n v="1"/>
    <d v="2018-04-23T00:00:00"/>
    <s v="KIA"/>
    <s v="SOUL"/>
    <n v="1688.895"/>
    <d v="2018-04-23T00:00:00"/>
    <n v="9"/>
    <x v="1"/>
  </r>
  <r>
    <d v="2018-05-22T00:00:00"/>
    <s v="001-00012162"/>
    <n v="3017.5087935399997"/>
    <n v="1.6949999000000002"/>
    <n v="0"/>
    <n v="0"/>
    <n v="8.7749999999999986"/>
    <n v="453.375"/>
    <n v="340.87625000000003"/>
    <n v="0"/>
    <n v="804.72124989999998"/>
    <n v="2212.78754364"/>
    <n v="0.73331602160604192"/>
    <x v="1"/>
    <s v="MEDIANO"/>
    <x v="1"/>
    <x v="1"/>
    <n v="29"/>
    <n v="1"/>
    <d v="2018-04-23T00:00:00"/>
    <s v="NISSAN"/>
    <s v="VERSA"/>
    <n v="3066.44"/>
    <d v="2018-04-24T00:00:00"/>
    <n v="31"/>
    <x v="1"/>
  </r>
  <r>
    <d v="2018-05-04T00:00:00"/>
    <s v="001-00012166"/>
    <n v="1159.704"/>
    <n v="0"/>
    <n v="0"/>
    <n v="73.084745762711862"/>
    <n v="2.9250000000000003"/>
    <n v="117"/>
    <n v="139.449375"/>
    <n v="0"/>
    <n v="332.4591207627119"/>
    <n v="827.24487923728805"/>
    <n v="0.71332415792071779"/>
    <x v="1"/>
    <s v="MEDIANO"/>
    <x v="1"/>
    <x v="1"/>
    <n v="11"/>
    <n v="1"/>
    <d v="2018-04-23T00:00:00"/>
    <s v="HYUNDAI"/>
    <s v="ELANTRA"/>
    <n v="743.5675"/>
    <d v="2018-04-24T00:00:00"/>
    <n v="8"/>
    <x v="1"/>
  </r>
  <r>
    <d v="2018-05-09T00:00:00"/>
    <s v="001-00012168"/>
    <n v="931.72984076928128"/>
    <n v="0"/>
    <n v="0"/>
    <n v="41.313559322033896"/>
    <n v="0"/>
    <n v="73.125"/>
    <n v="154.94374999999999"/>
    <n v="0"/>
    <n v="269.3823093220339"/>
    <n v="662.34753144724732"/>
    <n v="0.71087937990735717"/>
    <x v="1"/>
    <s v="LEVE"/>
    <x v="1"/>
    <x v="1"/>
    <n v="16"/>
    <n v="1"/>
    <d v="2018-04-23T00:00:00"/>
    <s v="MAZDA"/>
    <s v="MAZDA 3"/>
    <n v="5076.8250000000007"/>
    <d v="2018-04-24T00:00:00"/>
    <n v="5"/>
    <x v="1"/>
  </r>
  <r>
    <d v="2018-05-05T00:00:00"/>
    <s v="001-00012169"/>
    <n v="490.80001500000003"/>
    <n v="0"/>
    <n v="0"/>
    <n v="0"/>
    <n v="0"/>
    <n v="43.875"/>
    <n v="123.955"/>
    <n v="0"/>
    <n v="167.82999999999998"/>
    <n v="322.97001500000005"/>
    <n v="0.65804809521042906"/>
    <x v="1"/>
    <s v="LEVE"/>
    <x v="1"/>
    <x v="1"/>
    <n v="11"/>
    <n v="1"/>
    <d v="2018-04-24T00:00:00"/>
    <s v="HONDA"/>
    <s v="PILOT"/>
    <n v="0"/>
    <d v="2018-04-19T00:00:00"/>
    <n v="3"/>
    <x v="1"/>
  </r>
  <r>
    <d v="2018-05-05T00:00:00"/>
    <s v="001-00012173"/>
    <n v="1883.1470110733908"/>
    <n v="1.4393000300000001"/>
    <n v="0"/>
    <n v="41.313559322033896"/>
    <n v="5.8500000000000005"/>
    <n v="146.25"/>
    <n v="340.87625000000003"/>
    <n v="0"/>
    <n v="535.7291093520339"/>
    <n v="1347.4179017213569"/>
    <n v="0.71551392100467548"/>
    <x v="1"/>
    <s v="MEDIANO"/>
    <x v="1"/>
    <x v="1"/>
    <n v="11"/>
    <n v="1"/>
    <d v="2018-04-24T00:00:00"/>
    <s v="HYUNDAI"/>
    <s v="ELANTRA"/>
    <n v="4048.1025"/>
    <d v="2018-04-25T00:00:00"/>
    <n v="10"/>
    <x v="1"/>
  </r>
  <r>
    <d v="2018-05-04T00:00:00"/>
    <s v="001-00012180"/>
    <n v="1410.318"/>
    <n v="0.42370000000000002"/>
    <n v="0"/>
    <n v="0"/>
    <n v="0"/>
    <n v="175.5"/>
    <n v="185.9325"/>
    <n v="0"/>
    <n v="361.8562"/>
    <n v="1048.4618"/>
    <n v="0.74342226363132291"/>
    <x v="1"/>
    <s v="MEDIANO"/>
    <x v="1"/>
    <x v="1"/>
    <n v="9"/>
    <n v="1"/>
    <d v="2018-04-25T00:00:00"/>
    <s v="HYUNDAI"/>
    <s v="SANTA FE"/>
    <n v="1820.1299999999999"/>
    <d v="2018-04-26T00:00:00"/>
    <n v="12"/>
    <x v="910"/>
  </r>
  <r>
    <d v="2018-05-10T00:00:00"/>
    <s v="001-00012183"/>
    <n v="667.78121329999999"/>
    <n v="0"/>
    <n v="0"/>
    <n v="0"/>
    <n v="0"/>
    <n v="58.5"/>
    <n v="123.955"/>
    <n v="0"/>
    <n v="182.45499999999998"/>
    <n v="485.32621330000001"/>
    <n v="0.72677428420252332"/>
    <x v="1"/>
    <s v="LEVE"/>
    <x v="1"/>
    <x v="1"/>
    <n v="14"/>
    <n v="1"/>
    <d v="2018-04-26T00:00:00"/>
    <s v="HYUNDAI"/>
    <s v="ELANTRA"/>
    <n v="1172.5025000000001"/>
    <d v="2018-04-26T00:00:00"/>
    <n v="4"/>
    <x v="0"/>
  </r>
  <r>
    <d v="2018-05-11T00:00:00"/>
    <s v="001-00012187"/>
    <n v="1788.3055778100002"/>
    <n v="0"/>
    <n v="0"/>
    <n v="85"/>
    <n v="0"/>
    <n v="234"/>
    <n v="154.94374999999999"/>
    <n v="0"/>
    <n v="473.94375000000002"/>
    <n v="1314.3618278100002"/>
    <n v="0.73497608245431845"/>
    <x v="1"/>
    <s v="MEDIANO"/>
    <x v="1"/>
    <x v="1"/>
    <n v="14"/>
    <n v="1"/>
    <d v="2018-04-27T00:00:00"/>
    <s v="HYUNDAI"/>
    <s v="CRETA"/>
    <n v="1392.7224999999999"/>
    <d v="2018-04-27T00:00:00"/>
    <n v="16"/>
    <x v="911"/>
  </r>
  <r>
    <d v="2018-05-04T00:00:00"/>
    <s v="001-00012193"/>
    <n v="770"/>
    <n v="83.282550000000015"/>
    <n v="0"/>
    <n v="0"/>
    <n v="39.048749999999998"/>
    <n v="0"/>
    <n v="0"/>
    <n v="0"/>
    <n v="122.33130000000001"/>
    <n v="647.66869999999994"/>
    <n v="0.84112818181818172"/>
    <x v="0"/>
    <s v="MECANICA"/>
    <x v="1"/>
    <x v="1"/>
    <n v="7"/>
    <n v="1"/>
    <d v="2018-04-27T00:00:00"/>
    <s v="CHEVROLET"/>
    <s v="CAPTIVA"/>
    <n v="20.052499999999998"/>
    <d v="2018-04-28T00:00:00"/>
    <n v="0"/>
    <x v="620"/>
  </r>
  <r>
    <d v="2018-05-04T00:00:00"/>
    <s v="001-00012194"/>
    <n v="16.949200000000001"/>
    <n v="0"/>
    <n v="0"/>
    <n v="16.95"/>
    <n v="0"/>
    <n v="0"/>
    <n v="0"/>
    <n v="0"/>
    <n v="16.95"/>
    <n v="-7.9999999999813554E-4"/>
    <n v="-4.7199867840260043E-5"/>
    <x v="0"/>
    <s v="MECANICA"/>
    <x v="1"/>
    <x v="1"/>
    <n v="8"/>
    <n v="1"/>
    <d v="2018-04-26T00:00:00"/>
    <s v="MAZDA"/>
    <s v="MAZDA 3"/>
    <n v="0"/>
    <d v="2018-04-28T00:00:00"/>
    <n v="0"/>
    <x v="89"/>
  </r>
  <r>
    <d v="2018-05-08T00:00:00"/>
    <s v="001-00012195"/>
    <n v="780.40200000000004"/>
    <n v="0"/>
    <n v="0"/>
    <n v="61.970338983050844"/>
    <n v="0"/>
    <n v="58.5"/>
    <n v="123.955"/>
    <n v="0"/>
    <n v="244.42533898305084"/>
    <n v="535.97666101694927"/>
    <n v="0.68679560151940822"/>
    <x v="1"/>
    <s v="LEVE"/>
    <x v="1"/>
    <x v="1"/>
    <n v="10"/>
    <n v="1"/>
    <d v="2018-04-28T00:00:00"/>
    <s v="HYUNDAI"/>
    <s v="I10"/>
    <n v="12.09"/>
    <d v="2018-04-30T00:00:00"/>
    <n v="4"/>
    <x v="1"/>
  </r>
  <r>
    <d v="2018-05-15T00:00:00"/>
    <s v="001-00012196"/>
    <n v="1341.49"/>
    <n v="1.6949999000000002"/>
    <n v="0"/>
    <n v="16.95"/>
    <n v="0"/>
    <n v="117"/>
    <n v="236.75404999999998"/>
    <n v="0"/>
    <n v="372.39904989999997"/>
    <n v="969.0909501000001"/>
    <n v="0.72239893707742886"/>
    <x v="1"/>
    <s v="MEDIANO"/>
    <x v="1"/>
    <x v="1"/>
    <n v="17"/>
    <n v="1"/>
    <d v="2018-04-28T00:00:00"/>
    <s v="TOYOTA"/>
    <s v="AVANZA"/>
    <n v="4469.4975000000004"/>
    <d v="2018-04-30T00:00:00"/>
    <n v="8"/>
    <x v="1"/>
  </r>
  <r>
    <d v="2018-05-15T00:00:00"/>
    <s v="001-00012197"/>
    <n v="2105.9048733999998"/>
    <n v="0"/>
    <n v="0"/>
    <n v="76.27"/>
    <n v="40.949999999999996"/>
    <n v="146.25"/>
    <n v="254.72752500000001"/>
    <n v="0"/>
    <n v="518.19752500000004"/>
    <n v="1587.7073483999998"/>
    <n v="0.75393118105882617"/>
    <x v="1"/>
    <s v="MEDIANO"/>
    <x v="1"/>
    <x v="1"/>
    <n v="16"/>
    <n v="1"/>
    <d v="2018-04-29T00:00:00"/>
    <s v="HYUNDAI"/>
    <s v="I10"/>
    <n v="1043.4125000000001"/>
    <d v="2018-04-30T00:00:00"/>
    <n v="10"/>
    <x v="1"/>
  </r>
  <r>
    <d v="2018-05-09T00:00:00"/>
    <s v="001-00012199"/>
    <n v="806.39583412541981"/>
    <n v="0"/>
    <n v="0"/>
    <n v="20"/>
    <n v="0"/>
    <n v="73.125"/>
    <n v="139.449375"/>
    <n v="0"/>
    <n v="232.574375"/>
    <n v="573.82145912541978"/>
    <n v="0.71158782677462662"/>
    <x v="1"/>
    <s v="LEVE"/>
    <x v="1"/>
    <x v="1"/>
    <n v="10"/>
    <n v="1"/>
    <d v="2018-04-29T00:00:00"/>
    <s v="KIA"/>
    <s v="RIO"/>
    <n v="1574.6575"/>
    <d v="2018-04-30T00:00:00"/>
    <n v="5"/>
    <x v="1"/>
  </r>
  <r>
    <d v="2018-05-02T00:00:00"/>
    <s v="001-00012201"/>
    <n v="450"/>
    <n v="135.67850070000003"/>
    <n v="0"/>
    <n v="0"/>
    <n v="39.048749999999998"/>
    <n v="0"/>
    <n v="0"/>
    <n v="0"/>
    <n v="174.72725070000001"/>
    <n v="275.27274929999999"/>
    <n v="0.61171722066666667"/>
    <x v="0"/>
    <s v="MECANICA"/>
    <x v="1"/>
    <x v="1"/>
    <n v="2"/>
    <n v="1"/>
    <d v="2018-04-30T00:00:00"/>
    <s v="KIA"/>
    <s v="CERATO"/>
    <n v="0"/>
    <d v="2018-04-30T00:00:00"/>
    <n v="0"/>
    <x v="912"/>
  </r>
  <r>
    <d v="2018-05-10T00:00:00"/>
    <s v="001-00012202"/>
    <n v="1496.6685"/>
    <n v="0"/>
    <n v="0"/>
    <n v="0"/>
    <n v="23.400000000000002"/>
    <n v="175.5"/>
    <n v="139.449375"/>
    <n v="0"/>
    <n v="338.34937500000001"/>
    <n v="1158.319125"/>
    <n v="0.77393165219953519"/>
    <x v="1"/>
    <s v="MEDIANO"/>
    <x v="1"/>
    <x v="1"/>
    <n v="13"/>
    <n v="1"/>
    <d v="2018-04-27T00:00:00"/>
    <s v="MAZDA"/>
    <s v="MAZDA 3"/>
    <n v="137.47499999999999"/>
    <d v="2018-04-30T00:00:00"/>
    <n v="12"/>
    <x v="1"/>
  </r>
  <r>
    <d v="2018-05-05T00:00:00"/>
    <s v="001-00012203"/>
    <n v="1121.99075669067"/>
    <n v="0.67799996000000007"/>
    <n v="0"/>
    <n v="61.313559322033896"/>
    <n v="0"/>
    <n v="102.375"/>
    <n v="176.635875"/>
    <n v="0"/>
    <n v="341.0024342820339"/>
    <n v="780.98832240863612"/>
    <n v="0.6960737579622972"/>
    <x v="1"/>
    <s v="MEDIANO"/>
    <x v="1"/>
    <x v="1"/>
    <n v="8"/>
    <n v="1"/>
    <d v="2018-04-27T00:00:00"/>
    <s v="RENAULT"/>
    <s v="SANDERO"/>
    <n v="0"/>
    <d v="2018-04-25T00:00:00"/>
    <n v="7"/>
    <x v="1"/>
  </r>
  <r>
    <d v="2018-05-09T00:00:00"/>
    <s v="001-00012205"/>
    <n v="780.56563413982985"/>
    <n v="0"/>
    <n v="0"/>
    <n v="0"/>
    <n v="0"/>
    <n v="58.5"/>
    <n v="123.955"/>
    <n v="0"/>
    <n v="182.45499999999998"/>
    <n v="598.11063413982993"/>
    <n v="0.76625284022263895"/>
    <x v="1"/>
    <s v="LEVE"/>
    <x v="1"/>
    <x v="1"/>
    <n v="7"/>
    <n v="1"/>
    <d v="2018-05-02T00:00:00"/>
    <s v="SUZUKI"/>
    <s v="VITARA"/>
    <n v="2768.8050000000003"/>
    <d v="2018-04-27T00:00:00"/>
    <n v="4"/>
    <x v="1"/>
  </r>
  <r>
    <d v="2018-05-05T00:00:00"/>
    <s v="001-00012207"/>
    <n v="276.09595251014014"/>
    <n v="0"/>
    <n v="0"/>
    <n v="20"/>
    <n v="0"/>
    <n v="23.400000000000002"/>
    <n v="46.483125000000001"/>
    <n v="0"/>
    <n v="89.883125000000007"/>
    <n v="186.21282751014013"/>
    <n v="0.67444968250051085"/>
    <x v="1"/>
    <s v="LEVE"/>
    <x v="1"/>
    <x v="1"/>
    <n v="3"/>
    <n v="1"/>
    <d v="2018-05-02T00:00:00"/>
    <s v="SUZUKI"/>
    <s v="GRAND N."/>
    <n v="847.37250000000006"/>
    <d v="2018-05-02T00:00:00"/>
    <n v="1.6"/>
    <x v="1"/>
  </r>
  <r>
    <d v="2018-05-05T00:00:00"/>
    <s v="001-00012209"/>
    <n v="353.37601080000002"/>
    <n v="0"/>
    <n v="0"/>
    <n v="0"/>
    <n v="0"/>
    <n v="14.625"/>
    <n v="61.977499999999999"/>
    <n v="0"/>
    <n v="76.602499999999992"/>
    <n v="276.77351080000005"/>
    <n v="0.78322665472797293"/>
    <x v="0"/>
    <s v="LEVE"/>
    <x v="1"/>
    <x v="1"/>
    <n v="3"/>
    <n v="1"/>
    <d v="2018-05-02T00:00:00"/>
    <s v="CHERY"/>
    <s v="FULWIN"/>
    <n v="0"/>
    <d v="2018-05-02T00:00:00"/>
    <n v="1"/>
    <x v="194"/>
  </r>
  <r>
    <d v="2018-05-12T00:00:00"/>
    <s v="001-00012210"/>
    <n v="927.33996585271098"/>
    <n v="0"/>
    <n v="0"/>
    <n v="0"/>
    <n v="0"/>
    <n v="29.25"/>
    <n v="230.55630000000002"/>
    <n v="0"/>
    <n v="259.80630000000002"/>
    <n v="667.53366585271101"/>
    <n v="0.7198370505242897"/>
    <x v="1"/>
    <s v="LEVE"/>
    <x v="1"/>
    <x v="1"/>
    <n v="10"/>
    <n v="1"/>
    <d v="2018-05-02T00:00:00"/>
    <s v="HYUNDAI"/>
    <s v="ELANTRA"/>
    <n v="0"/>
    <d v="2018-05-02T00:00:00"/>
    <n v="2"/>
    <x v="1"/>
  </r>
  <r>
    <d v="2018-05-26T00:00:00"/>
    <s v="001-00012214"/>
    <n v="789.20632499999988"/>
    <n v="0"/>
    <n v="0"/>
    <n v="0"/>
    <n v="0"/>
    <n v="43.875"/>
    <n v="123.955"/>
    <n v="0"/>
    <n v="167.82999999999998"/>
    <n v="621.37632499999995"/>
    <n v="0.78734331608404184"/>
    <x v="1"/>
    <s v="LEVE"/>
    <x v="1"/>
    <x v="1"/>
    <n v="24"/>
    <n v="1"/>
    <d v="2018-05-02T00:00:00"/>
    <s v="MAZDA"/>
    <s v="MAZDA 3"/>
    <n v="2879.4675000000002"/>
    <d v="2018-05-02T00:00:00"/>
    <n v="3"/>
    <x v="1"/>
  </r>
  <r>
    <d v="2018-05-26T00:00:00"/>
    <s v="001-00012215"/>
    <n v="2049.3201180000001"/>
    <n v="2.5422000000000002"/>
    <n v="0"/>
    <n v="0"/>
    <n v="0"/>
    <n v="190.125"/>
    <n v="495.82"/>
    <n v="0"/>
    <n v="688.48720000000003"/>
    <n v="1360.8329180000001"/>
    <n v="0.66404116470006758"/>
    <x v="0"/>
    <s v="MEDIANO"/>
    <x v="1"/>
    <x v="1"/>
    <n v="24"/>
    <n v="1"/>
    <d v="2018-05-02T00:00:00"/>
    <s v="MAZDA"/>
    <s v="MAZDA 3"/>
    <n v="0"/>
    <d v="2018-05-02T00:00:00"/>
    <n v="13"/>
    <x v="913"/>
  </r>
  <r>
    <d v="2018-05-12T00:00:00"/>
    <s v="001-00012216"/>
    <n v="2993.2111862218585"/>
    <n v="1.5232000400000001"/>
    <n v="0"/>
    <n v="209.7471186440678"/>
    <n v="0"/>
    <n v="175.5"/>
    <n v="387.359375"/>
    <n v="0"/>
    <n v="774.12969368406777"/>
    <n v="2219.0814925377908"/>
    <n v="0.74137150854991873"/>
    <x v="1"/>
    <s v="MEDIANO"/>
    <x v="1"/>
    <x v="1"/>
    <n v="10"/>
    <n v="1"/>
    <d v="2018-05-02T00:00:00"/>
    <s v="KIA"/>
    <s v="CERATO"/>
    <n v="1929.6224999999999"/>
    <d v="2018-05-02T00:00:00"/>
    <n v="12"/>
    <x v="1"/>
  </r>
  <r>
    <d v="2018-05-10T00:00:00"/>
    <s v="001-00012217"/>
    <n v="846.49627490000012"/>
    <n v="0"/>
    <n v="0"/>
    <n v="18"/>
    <n v="0"/>
    <n v="87.75"/>
    <n v="139.449375"/>
    <n v="0"/>
    <n v="245.199375"/>
    <n v="601.29689990000008"/>
    <n v="0.71033614409116408"/>
    <x v="1"/>
    <s v="LEVE"/>
    <x v="1"/>
    <x v="1"/>
    <n v="8"/>
    <n v="1"/>
    <d v="2018-05-02T00:00:00"/>
    <s v="KIA"/>
    <s v="RIO"/>
    <n v="339.495"/>
    <d v="2018-05-02T00:00:00"/>
    <n v="6"/>
    <x v="1"/>
  </r>
  <r>
    <d v="2018-05-14T00:00:00"/>
    <s v="001-00012218"/>
    <n v="2000"/>
    <n v="339.09000079999998"/>
    <n v="0"/>
    <n v="67.79661016949153"/>
    <n v="78.097499999999997"/>
    <n v="117"/>
    <n v="123.955"/>
    <n v="0"/>
    <n v="725.93911096949159"/>
    <n v="1274.0608890305084"/>
    <n v="0.63703044451525426"/>
    <x v="0"/>
    <s v="LEVE"/>
    <x v="1"/>
    <x v="1"/>
    <n v="12"/>
    <n v="1"/>
    <d v="2018-05-02T00:00:00"/>
    <s v="MAZDA"/>
    <s v="CX-5"/>
    <n v="782.40499999999997"/>
    <d v="2018-05-02T00:00:00"/>
    <n v="8"/>
    <x v="862"/>
  </r>
  <r>
    <d v="2018-05-02T00:00:00"/>
    <s v="001-00012219"/>
    <n v="449"/>
    <n v="78.776002000000005"/>
    <n v="0"/>
    <n v="0"/>
    <n v="39.048749999999998"/>
    <n v="0"/>
    <n v="0"/>
    <n v="0"/>
    <n v="117.824752"/>
    <n v="331.17524800000001"/>
    <n v="0.73758407126948777"/>
    <x v="0"/>
    <s v="MECANICA"/>
    <x v="1"/>
    <x v="1"/>
    <n v="0"/>
    <n v="1"/>
    <d v="2018-05-02T00:00:00"/>
    <s v="NISSAN"/>
    <s v="VERSA"/>
    <n v="0"/>
    <d v="2018-05-02T00:00:00"/>
    <n v="0"/>
    <x v="914"/>
  </r>
  <r>
    <d v="2018-05-07T00:00:00"/>
    <s v="001-00012220"/>
    <n v="327.20001000000002"/>
    <n v="0"/>
    <n v="0"/>
    <n v="0"/>
    <n v="0"/>
    <n v="14.625"/>
    <n v="61.977499999999999"/>
    <n v="0"/>
    <n v="76.602499999999992"/>
    <n v="250.59751000000003"/>
    <n v="0.76588478710621066"/>
    <x v="0"/>
    <s v="LEVE"/>
    <x v="1"/>
    <x v="1"/>
    <n v="5"/>
    <n v="1"/>
    <d v="2018-05-02T00:00:00"/>
    <s v="RENAULT"/>
    <s v="KOLEOS"/>
    <n v="0"/>
    <d v="2018-05-02T00:00:00"/>
    <n v="1"/>
    <x v="915"/>
  </r>
  <r>
    <d v="2018-05-15T00:00:00"/>
    <s v="001-00012221"/>
    <n v="2334.4638711199996"/>
    <n v="0"/>
    <n v="1845.3175000000001"/>
    <n v="0"/>
    <n v="0"/>
    <n v="0"/>
    <n v="0"/>
    <n v="0"/>
    <n v="1845.3175000000001"/>
    <n v="489.14637111999946"/>
    <n v="0.20953263709552419"/>
    <x v="0"/>
    <s v="MECANICA"/>
    <x v="1"/>
    <x v="1"/>
    <n v="13"/>
    <n v="1"/>
    <d v="2018-05-02T00:00:00"/>
    <s v="RENAULT"/>
    <s v="LOGAN"/>
    <n v="0"/>
    <d v="2018-05-02T00:00:00"/>
    <n v="0"/>
    <x v="916"/>
  </r>
  <r>
    <d v="2018-05-25T00:00:00"/>
    <s v="001-00012222"/>
    <n v="3435.2496315621984"/>
    <n v="2.2033999200000003"/>
    <n v="0"/>
    <n v="65"/>
    <n v="8.7749999999999986"/>
    <n v="380.25"/>
    <n v="495.82"/>
    <n v="0"/>
    <n v="952.04839992000007"/>
    <n v="2483.2012316421983"/>
    <n v="0.72285903441402866"/>
    <x v="1"/>
    <s v="MEDIANO"/>
    <x v="1"/>
    <x v="1"/>
    <n v="22"/>
    <n v="1"/>
    <d v="2018-05-03T00:00:00"/>
    <s v="NISSAN"/>
    <s v="VERSA"/>
    <n v="7408.57"/>
    <d v="2018-05-03T00:00:00"/>
    <n v="26"/>
    <x v="917"/>
  </r>
  <r>
    <d v="2018-05-15T00:00:00"/>
    <s v="001-00012223"/>
    <n v="1385.0856213999998"/>
    <n v="0"/>
    <n v="0"/>
    <n v="0"/>
    <n v="0"/>
    <n v="102.375"/>
    <n v="278.89875000000001"/>
    <n v="0"/>
    <n v="381.27375000000001"/>
    <n v="1003.8118713999997"/>
    <n v="0.72472911124828454"/>
    <x v="1"/>
    <s v="MEDIANO"/>
    <x v="1"/>
    <x v="1"/>
    <n v="12"/>
    <n v="1"/>
    <d v="2018-05-03T00:00:00"/>
    <s v="HYUNDAI"/>
    <s v="H100"/>
    <n v="1298.2775000000001"/>
    <d v="2018-05-03T00:00:00"/>
    <n v="7"/>
    <x v="1"/>
  </r>
  <r>
    <d v="2018-05-03T00:00:00"/>
    <s v="001-00012224"/>
    <n v="349"/>
    <n v="66.241800000000012"/>
    <n v="0"/>
    <n v="0"/>
    <n v="39.048749999999998"/>
    <n v="0"/>
    <n v="0"/>
    <n v="0"/>
    <n v="105.29055000000001"/>
    <n v="243.70945"/>
    <n v="0.69830787965616048"/>
    <x v="0"/>
    <s v="MECANICA"/>
    <x v="1"/>
    <x v="1"/>
    <n v="0"/>
    <n v="1"/>
    <d v="2018-05-03T00:00:00"/>
    <s v="TOYOTA"/>
    <s v="COROLLA"/>
    <n v="0"/>
    <d v="2018-05-03T00:00:00"/>
    <n v="0"/>
    <x v="918"/>
  </r>
  <r>
    <d v="2018-05-04T00:00:00"/>
    <s v="001-00012225"/>
    <n v="829"/>
    <n v="0"/>
    <n v="0"/>
    <n v="33.898305084745765"/>
    <n v="39.048749999999998"/>
    <n v="87.75"/>
    <n v="123.955"/>
    <n v="0"/>
    <n v="284.65205508474577"/>
    <n v="544.34794491525417"/>
    <n v="0.65663202040440793"/>
    <x v="0"/>
    <s v="LEVE"/>
    <x v="1"/>
    <x v="1"/>
    <n v="1"/>
    <n v="1"/>
    <d v="2018-05-03T00:00:00"/>
    <s v="CHANGAN"/>
    <s v="CS35"/>
    <n v="0"/>
    <d v="2018-05-03T00:00:00"/>
    <n v="6"/>
    <x v="201"/>
  </r>
  <r>
    <d v="2018-05-12T00:00:00"/>
    <s v="001-00012226"/>
    <n v="1690.6350708559301"/>
    <n v="5.4759001999999999"/>
    <n v="0"/>
    <n v="84.75"/>
    <n v="7.3125"/>
    <n v="117"/>
    <n v="201.426875"/>
    <n v="0"/>
    <n v="415.96527520000001"/>
    <n v="1274.6697956559301"/>
    <n v="0.75395915867910734"/>
    <x v="1"/>
    <s v="MEDIANO"/>
    <x v="1"/>
    <x v="1"/>
    <n v="9"/>
    <n v="1"/>
    <d v="2018-05-03T00:00:00"/>
    <s v="KIA"/>
    <s v="RIO"/>
    <n v="4010.8899999999994"/>
    <d v="2018-05-05T00:00:00"/>
    <n v="8"/>
    <x v="1"/>
  </r>
  <r>
    <d v="2018-05-05T00:00:00"/>
    <s v="001-00012227"/>
    <n v="433.20725083983001"/>
    <n v="1.7787000100000001"/>
    <n v="0"/>
    <n v="0"/>
    <n v="0"/>
    <n v="43.875"/>
    <n v="61.977499999999999"/>
    <n v="0"/>
    <n v="107.63120001"/>
    <n v="325.57605082983002"/>
    <n v="0.7515480181798837"/>
    <x v="1"/>
    <s v="LEVE"/>
    <x v="1"/>
    <x v="1"/>
    <n v="2"/>
    <n v="1"/>
    <d v="2018-05-03T00:00:00"/>
    <s v="KIA"/>
    <s v="PICANTO"/>
    <n v="0"/>
    <d v="2018-04-28T00:00:00"/>
    <n v="3"/>
    <x v="1"/>
  </r>
  <r>
    <d v="2018-05-03T00:00:00"/>
    <s v="001-00012228"/>
    <n v="1160"/>
    <n v="160.07309980000002"/>
    <n v="0"/>
    <n v="135.6"/>
    <n v="78.097499999999997"/>
    <n v="0"/>
    <n v="0"/>
    <n v="0"/>
    <n v="373.77059980000001"/>
    <n v="786.22940019999999"/>
    <n v="0.67778396568965515"/>
    <x v="0"/>
    <s v="MECANICA"/>
    <x v="1"/>
    <x v="1"/>
    <n v="0"/>
    <n v="1"/>
    <d v="2018-05-03T00:00:00"/>
    <s v="SUZUKI"/>
    <s v="GRAND N."/>
    <n v="220.67500000000001"/>
    <d v="2018-05-03T00:00:00"/>
    <n v="0"/>
    <x v="919"/>
  </r>
  <r>
    <d v="2018-05-16T00:00:00"/>
    <s v="001-00012230"/>
    <n v="291.23581762884987"/>
    <n v="0"/>
    <n v="0"/>
    <n v="0"/>
    <n v="0"/>
    <n v="21.9375"/>
    <n v="61.977499999999999"/>
    <n v="0"/>
    <n v="83.914999999999992"/>
    <n v="207.32081762884988"/>
    <n v="0.71186579767828884"/>
    <x v="1"/>
    <s v="LEVE"/>
    <x v="1"/>
    <x v="1"/>
    <n v="19"/>
    <n v="1"/>
    <d v="2018-04-27T00:00:00"/>
    <s v="KIA"/>
    <s v="CERATO"/>
    <n v="1798.6800000000003"/>
    <d v="2018-05-04T00:00:00"/>
    <n v="1.5"/>
    <x v="1"/>
  </r>
  <r>
    <d v="2018-05-03T00:00:00"/>
    <s v="001-00012231"/>
    <n v="449"/>
    <n v="129.78870119999999"/>
    <n v="0"/>
    <n v="0"/>
    <n v="39.048749999999998"/>
    <n v="0"/>
    <n v="0"/>
    <n v="0"/>
    <n v="168.83745119999998"/>
    <n v="280.16254880000002"/>
    <n v="0.62397004187082405"/>
    <x v="0"/>
    <s v="MECANICA"/>
    <x v="1"/>
    <x v="1"/>
    <n v="0"/>
    <n v="1"/>
    <d v="2018-05-03T00:00:00"/>
    <s v="HYUNDAI"/>
    <s v="ACCENT"/>
    <n v="0"/>
    <d v="2018-05-03T00:00:00"/>
    <n v="0"/>
    <x v="920"/>
  </r>
  <r>
    <d v="2018-05-16T00:00:00"/>
    <s v="001-00012234"/>
    <n v="1904.3593877216913"/>
    <n v="0"/>
    <n v="0"/>
    <n v="0"/>
    <n v="0"/>
    <n v="234"/>
    <n v="296.25245000000001"/>
    <n v="0"/>
    <n v="530.25244999999995"/>
    <n v="1374.1069377216913"/>
    <n v="0.72155862311557939"/>
    <x v="1"/>
    <s v="MEDIANO"/>
    <x v="1"/>
    <x v="1"/>
    <n v="13"/>
    <n v="1"/>
    <d v="2018-05-03T00:00:00"/>
    <s v="CHEVROLET"/>
    <s v="SPARK"/>
    <n v="988.32500000000005"/>
    <d v="2018-05-04T00:00:00"/>
    <n v="16"/>
    <x v="1"/>
  </r>
  <r>
    <d v="2018-05-10T00:00:00"/>
    <s v="001-00012235"/>
    <n v="395.16"/>
    <n v="0"/>
    <n v="0"/>
    <n v="41.313559322033896"/>
    <n v="0"/>
    <n v="29.25"/>
    <n v="61.977499999999999"/>
    <n v="0"/>
    <n v="132.5410593220339"/>
    <n v="262.61894067796612"/>
    <n v="0.66458887710792114"/>
    <x v="0"/>
    <s v="LEVE"/>
    <x v="1"/>
    <x v="1"/>
    <n v="7"/>
    <n v="1"/>
    <d v="2018-05-03T00:00:00"/>
    <s v="MAZDA"/>
    <s v="MAZDA 3"/>
    <n v="0"/>
    <d v="2018-05-03T00:00:00"/>
    <n v="2"/>
    <x v="921"/>
  </r>
  <r>
    <d v="2018-05-19T00:00:00"/>
    <s v="001-00012236"/>
    <n v="334.44656631100003"/>
    <n v="0"/>
    <n v="0"/>
    <n v="34.427966101694921"/>
    <n v="0"/>
    <n v="16.087500000000002"/>
    <n v="61.977499999999999"/>
    <n v="0"/>
    <n v="112.49296610169492"/>
    <n v="221.95360020930511"/>
    <n v="0.6636444280396997"/>
    <x v="0"/>
    <s v="LEVE"/>
    <x v="1"/>
    <x v="1"/>
    <n v="16"/>
    <n v="1"/>
    <d v="2018-05-03T00:00:00"/>
    <s v="MITSUBISHI"/>
    <s v="LANCER"/>
    <n v="0"/>
    <d v="2018-05-03T00:00:00"/>
    <n v="1.1000000000000001"/>
    <x v="728"/>
  </r>
  <r>
    <d v="2018-05-21T00:00:00"/>
    <s v="001-00012238"/>
    <n v="836.18647969999984"/>
    <n v="0"/>
    <n v="0"/>
    <n v="0"/>
    <n v="0"/>
    <n v="117"/>
    <n v="250.38909999999998"/>
    <n v="0"/>
    <n v="367.38909999999998"/>
    <n v="468.79737969999985"/>
    <n v="0.5606373591070154"/>
    <x v="1"/>
    <s v="LEVE"/>
    <x v="1"/>
    <x v="1"/>
    <n v="18"/>
    <n v="1"/>
    <d v="2018-05-03T00:00:00"/>
    <s v="BAIC"/>
    <s v="X35"/>
    <n v="0"/>
    <s v="F/Fecha"/>
    <n v="0"/>
    <x v="922"/>
  </r>
  <r>
    <d v="2018-05-04T00:00:00"/>
    <s v="001-00012239"/>
    <n v="550"/>
    <n v="180.81700380000001"/>
    <n v="0"/>
    <n v="0"/>
    <n v="39.048749999999998"/>
    <n v="0"/>
    <n v="0"/>
    <n v="0"/>
    <n v="219.86575379999999"/>
    <n v="330.13424620000001"/>
    <n v="0.60024408400000007"/>
    <x v="0"/>
    <s v="MECANICA"/>
    <x v="1"/>
    <x v="1"/>
    <n v="1"/>
    <n v="1"/>
    <d v="2018-05-03T00:00:00"/>
    <s v="BAIC"/>
    <s v="X35"/>
    <n v="0"/>
    <d v="2018-05-03T00:00:00"/>
    <n v="0"/>
    <x v="922"/>
  </r>
  <r>
    <d v="2018-05-04T00:00:00"/>
    <s v="001-00012241"/>
    <n v="610"/>
    <n v="71.075700400000002"/>
    <n v="0"/>
    <n v="76.27"/>
    <n v="39.048749999999998"/>
    <n v="0"/>
    <n v="0"/>
    <n v="0"/>
    <n v="186.39445039999998"/>
    <n v="423.60554960000002"/>
    <n v="0.69443532721311474"/>
    <x v="0"/>
    <s v="MECANICA"/>
    <x v="1"/>
    <x v="1"/>
    <n v="0"/>
    <n v="1"/>
    <d v="2018-05-04T00:00:00"/>
    <s v="SUZUKI"/>
    <s v="GRAND N."/>
    <n v="0"/>
    <d v="2018-05-04T00:00:00"/>
    <n v="0"/>
    <x v="727"/>
  </r>
  <r>
    <d v="2018-05-05T00:00:00"/>
    <s v="001-00012242"/>
    <n v="400"/>
    <n v="152.81399880000001"/>
    <n v="0"/>
    <n v="0"/>
    <n v="39.048749999999998"/>
    <n v="0"/>
    <n v="0"/>
    <n v="0"/>
    <n v="191.86274880000002"/>
    <n v="208.13725119999998"/>
    <n v="0.52034312799999993"/>
    <x v="0"/>
    <s v="MECANICA"/>
    <x v="1"/>
    <x v="1"/>
    <n v="2"/>
    <n v="1"/>
    <d v="2018-05-03T00:00:00"/>
    <s v="SUZUKI"/>
    <s v="GRAND N."/>
    <n v="0"/>
    <d v="2018-05-04T00:00:00"/>
    <n v="0"/>
    <x v="814"/>
  </r>
  <r>
    <d v="2018-05-16T00:00:00"/>
    <s v="001-00012243"/>
    <n v="1296.5994060271198"/>
    <n v="0"/>
    <n v="0"/>
    <n v="61.313559322033896"/>
    <n v="0"/>
    <n v="160.875"/>
    <n v="123.955"/>
    <n v="0"/>
    <n v="346.14355932203387"/>
    <n v="950.45584670508595"/>
    <n v="0.73303739172406046"/>
    <x v="1"/>
    <s v="MEDIANO"/>
    <x v="1"/>
    <x v="1"/>
    <n v="12"/>
    <n v="1"/>
    <d v="2018-05-04T00:00:00"/>
    <s v="FORD"/>
    <s v="ECOSPORT"/>
    <n v="1982.5"/>
    <d v="2018-05-07T00:00:00"/>
    <n v="11"/>
    <x v="923"/>
  </r>
  <r>
    <d v="2018-05-04T00:00:00"/>
    <s v="001-00012244"/>
    <n v="203.38979999999995"/>
    <n v="0"/>
    <n v="0"/>
    <n v="0"/>
    <n v="0"/>
    <n v="0"/>
    <n v="0"/>
    <n v="0"/>
    <n v="0"/>
    <n v="203.38979999999995"/>
    <n v="1"/>
    <x v="0"/>
    <s v="MECANICA"/>
    <x v="1"/>
    <x v="1"/>
    <n v="0"/>
    <n v="1"/>
    <d v="2018-05-04T00:00:00"/>
    <s v="BMW"/>
    <s v="M240I"/>
    <n v="0"/>
    <s v="F/Fecha"/>
    <n v="0"/>
    <x v="924"/>
  </r>
  <r>
    <d v="2018-05-11T00:00:00"/>
    <s v="001-00012245"/>
    <n v="500"/>
    <n v="123.81470110000001"/>
    <n v="0"/>
    <n v="0"/>
    <n v="39.048749999999998"/>
    <n v="0"/>
    <n v="0"/>
    <n v="0"/>
    <n v="162.86345110000002"/>
    <n v="337.13654889999998"/>
    <n v="0.6742730978"/>
    <x v="0"/>
    <s v="MECANICA"/>
    <x v="1"/>
    <x v="1"/>
    <n v="7"/>
    <n v="1"/>
    <d v="2018-05-04T00:00:00"/>
    <s v="TOYOTA"/>
    <s v="HILUX"/>
    <n v="0"/>
    <d v="2018-05-04T00:00:00"/>
    <n v="0"/>
    <x v="871"/>
  </r>
  <r>
    <d v="2018-05-05T00:00:00"/>
    <s v="001-00012246"/>
    <n v="274"/>
    <n v="48.274700080000002"/>
    <n v="0"/>
    <n v="0"/>
    <n v="39.048749999999998"/>
    <n v="0"/>
    <n v="0"/>
    <n v="0"/>
    <n v="87.323450080000001"/>
    <n v="186.67654992000001"/>
    <n v="0.68130127708029198"/>
    <x v="0"/>
    <s v="MECANICA"/>
    <x v="1"/>
    <x v="1"/>
    <n v="0"/>
    <n v="1"/>
    <d v="2018-05-05T00:00:00"/>
    <s v="KIA"/>
    <s v="RIO"/>
    <n v="25.057500000000001"/>
    <d v="2018-05-05T00:00:00"/>
    <n v="0"/>
    <x v="401"/>
  </r>
  <r>
    <d v="2018-05-12T00:00:00"/>
    <s v="001-00012247"/>
    <n v="1500.8889001745797"/>
    <n v="0"/>
    <n v="0"/>
    <n v="96.27"/>
    <n v="2.9250000000000003"/>
    <n v="117"/>
    <n v="154.94374999999999"/>
    <n v="0"/>
    <n v="371.13874999999996"/>
    <n v="1129.7501501745796"/>
    <n v="0.75272070440601557"/>
    <x v="1"/>
    <s v="MEDIANO"/>
    <x v="1"/>
    <x v="1"/>
    <n v="7"/>
    <n v="1"/>
    <d v="2018-05-05T00:00:00"/>
    <s v="HONDA"/>
    <s v="DR-V"/>
    <n v="475.47500000000002"/>
    <d v="2018-05-07T00:00:00"/>
    <n v="8"/>
    <x v="1"/>
  </r>
  <r>
    <d v="2018-05-16T00:00:00"/>
    <s v="001-00012248"/>
    <n v="1307.9404888457302"/>
    <n v="0"/>
    <n v="0"/>
    <n v="11.016949152542374"/>
    <n v="0"/>
    <n v="190.125"/>
    <n v="123.955"/>
    <n v="0"/>
    <n v="325.09694915254238"/>
    <n v="982.84353969318784"/>
    <n v="0.75144362306618129"/>
    <x v="1"/>
    <s v="MEDIANO"/>
    <x v="1"/>
    <x v="1"/>
    <n v="11"/>
    <n v="1"/>
    <d v="2018-05-05T00:00:00"/>
    <s v="KIA"/>
    <s v="CERATO"/>
    <n v="60.092499999999994"/>
    <d v="2018-05-04T00:00:00"/>
    <n v="13"/>
    <x v="1"/>
  </r>
  <r>
    <d v="2018-05-25T00:00:00"/>
    <s v="001-00012249"/>
    <n v="276.17376628115011"/>
    <n v="0.84740000000000004"/>
    <n v="0"/>
    <n v="0"/>
    <n v="0"/>
    <n v="17.549999999999997"/>
    <n v="61.977499999999999"/>
    <n v="0"/>
    <n v="80.374899999999997"/>
    <n v="195.79886628115011"/>
    <n v="0.7089698233025622"/>
    <x v="1"/>
    <s v="LEVE"/>
    <x v="1"/>
    <x v="1"/>
    <n v="20"/>
    <n v="1"/>
    <d v="2018-05-05T00:00:00"/>
    <s v="NISSAN"/>
    <s v="TIIDA"/>
    <n v="775.02750000000003"/>
    <d v="2018-05-07T00:00:00"/>
    <n v="1.2"/>
    <x v="1"/>
  </r>
  <r>
    <d v="2018-05-10T00:00:00"/>
    <s v="001-00012251"/>
    <n v="311.18849999999998"/>
    <n v="0"/>
    <n v="0"/>
    <n v="0"/>
    <n v="0"/>
    <n v="43.875"/>
    <n v="61.977499999999999"/>
    <n v="0"/>
    <n v="105.85249999999999"/>
    <n v="205.33599999999998"/>
    <n v="0.65984443512533397"/>
    <x v="0"/>
    <s v="LEVE"/>
    <x v="1"/>
    <x v="1"/>
    <n v="5"/>
    <n v="1"/>
    <d v="2018-05-05T00:00:00"/>
    <s v="RENAULT"/>
    <s v="DUSTER"/>
    <n v="0"/>
    <d v="2018-05-05T00:00:00"/>
    <n v="3"/>
    <x v="194"/>
  </r>
  <r>
    <d v="2018-05-12T00:00:00"/>
    <s v="001-00012253"/>
    <n v="357.10720428815011"/>
    <n v="0"/>
    <n v="0"/>
    <n v="13.771186440677967"/>
    <n v="0"/>
    <n v="32.175000000000004"/>
    <n v="61.977499999999999"/>
    <n v="0"/>
    <n v="107.92368644067797"/>
    <n v="249.18351784747216"/>
    <n v="0.6977835083002295"/>
    <x v="1"/>
    <s v="LEVE"/>
    <x v="1"/>
    <x v="1"/>
    <n v="5"/>
    <n v="1"/>
    <d v="2018-05-07T00:00:00"/>
    <s v="HYUNDAI"/>
    <s v="CRETA"/>
    <n v="2341.8199999999997"/>
    <d v="2018-05-07T00:00:00"/>
    <n v="2.2000000000000002"/>
    <x v="1"/>
  </r>
  <r>
    <d v="2018-05-11T00:00:00"/>
    <s v="001-00012254"/>
    <n v="1743.4830899999999"/>
    <n v="328.16370201000007"/>
    <n v="0"/>
    <n v="266.94644067796605"/>
    <n v="39.048749999999998"/>
    <n v="0"/>
    <n v="0"/>
    <n v="0"/>
    <n v="634.15889268796616"/>
    <n v="1109.3241973120339"/>
    <n v="0.63626897425889795"/>
    <x v="0"/>
    <s v="MECANICA"/>
    <x v="1"/>
    <x v="1"/>
    <n v="4"/>
    <n v="1"/>
    <d v="2018-05-07T00:00:00"/>
    <s v="SUZUKI"/>
    <s v="CELERIO"/>
    <n v="310.66750000000002"/>
    <d v="2018-05-07T00:00:00"/>
    <n v="0"/>
    <x v="204"/>
  </r>
  <r>
    <d v="2018-05-19T00:00:00"/>
    <s v="001-00012255"/>
    <n v="974.65897100000029"/>
    <n v="0"/>
    <n v="0"/>
    <n v="0"/>
    <n v="0"/>
    <n v="87.75"/>
    <n v="170.43812500000001"/>
    <n v="0"/>
    <n v="258.18812500000001"/>
    <n v="716.47084600000028"/>
    <n v="0.73509901136486855"/>
    <x v="1"/>
    <s v="LEVE"/>
    <x v="1"/>
    <x v="1"/>
    <n v="12"/>
    <n v="1"/>
    <d v="2018-05-07T00:00:00"/>
    <s v="HYUNDAI"/>
    <s v="I30"/>
    <n v="1174.7124999999999"/>
    <d v="2018-05-07T00:00:00"/>
    <n v="6"/>
    <x v="1"/>
  </r>
  <r>
    <d v="2018-05-17T00:00:00"/>
    <s v="001-00012258"/>
    <n v="754.13248052373001"/>
    <n v="0"/>
    <n v="0"/>
    <n v="13.771186440677967"/>
    <n v="0"/>
    <n v="73.125"/>
    <n v="139.449375"/>
    <n v="0"/>
    <n v="226.34556144067795"/>
    <n v="527.786919083052"/>
    <n v="0.69985968342924898"/>
    <x v="1"/>
    <s v="LEVE"/>
    <x v="1"/>
    <x v="1"/>
    <n v="10"/>
    <n v="1"/>
    <d v="2018-05-07T00:00:00"/>
    <s v="KIA"/>
    <s v="RIO"/>
    <n v="1241.0775000000001"/>
    <d v="2018-05-08T00:00:00"/>
    <n v="5"/>
    <x v="1"/>
  </r>
  <r>
    <d v="2018-05-25T00:00:00"/>
    <s v="001-00012259"/>
    <n v="2790.8719145999994"/>
    <n v="1.0152000200000002"/>
    <n v="0"/>
    <n v="127.12"/>
    <n v="11.700000000000001"/>
    <n v="234"/>
    <n v="402.85374999999999"/>
    <n v="0"/>
    <n v="776.68895001999999"/>
    <n v="2014.1829645799994"/>
    <n v="0.7217038352935955"/>
    <x v="1"/>
    <s v="MEDIANO"/>
    <x v="1"/>
    <x v="1"/>
    <n v="18"/>
    <n v="1"/>
    <d v="2018-05-07T00:00:00"/>
    <s v="KIA"/>
    <s v="RIO"/>
    <n v="4146.87"/>
    <d v="2018-05-09T00:00:00"/>
    <n v="16"/>
    <x v="1"/>
  </r>
  <r>
    <d v="2018-05-18T00:00:00"/>
    <s v="001-00012260"/>
    <n v="2028.2983013883083"/>
    <n v="0"/>
    <n v="0"/>
    <n v="163.12593220338982"/>
    <n v="0"/>
    <n v="146.25"/>
    <n v="358.22995000000003"/>
    <n v="0"/>
    <n v="667.60588220338991"/>
    <n v="1360.6924191849184"/>
    <n v="0.67085419252856737"/>
    <x v="1"/>
    <s v="MEDIANO"/>
    <x v="1"/>
    <x v="1"/>
    <n v="11"/>
    <n v="1"/>
    <d v="2018-05-07T00:00:00"/>
    <s v="TOYOTA"/>
    <s v="RAV4"/>
    <n v="1040"/>
    <d v="2018-05-10T00:00:00"/>
    <n v="10"/>
    <x v="925"/>
  </r>
  <r>
    <d v="2018-05-07T00:00:00"/>
    <s v="001-00012261"/>
    <n v="400"/>
    <n v="0"/>
    <n v="0"/>
    <n v="0"/>
    <n v="29.25"/>
    <n v="0"/>
    <n v="0"/>
    <n v="0"/>
    <n v="29.25"/>
    <n v="370.75"/>
    <n v="0.926875"/>
    <x v="0"/>
    <s v="MECANICA"/>
    <x v="1"/>
    <x v="1"/>
    <n v="0"/>
    <n v="1"/>
    <d v="2018-05-07T00:00:00"/>
    <s v="SUBARU"/>
    <s v="FORESTER"/>
    <n v="401.21250000000003"/>
    <d v="2018-05-07T00:00:00"/>
    <n v="0"/>
    <x v="476"/>
  </r>
  <r>
    <d v="2018-05-15T00:00:00"/>
    <s v="001-00012262"/>
    <n v="862.27"/>
    <n v="0"/>
    <n v="0"/>
    <n v="0"/>
    <n v="0"/>
    <n v="73.125"/>
    <n v="154.94374999999999"/>
    <n v="0"/>
    <n v="228.06874999999999"/>
    <n v="634.20124999999996"/>
    <n v="0.73550193094970251"/>
    <x v="1"/>
    <s v="LEVE"/>
    <x v="1"/>
    <x v="1"/>
    <n v="8"/>
    <n v="1"/>
    <d v="2018-05-07T00:00:00"/>
    <s v="HYUNDAI"/>
    <s v="CRETA"/>
    <n v="915.00500000000011"/>
    <d v="2018-05-08T00:00:00"/>
    <n v="5"/>
    <x v="1"/>
  </r>
  <r>
    <d v="2018-05-11T00:00:00"/>
    <s v="001-00012263"/>
    <n v="1182.7626909999999"/>
    <n v="360.32070220000003"/>
    <n v="0"/>
    <n v="38.14"/>
    <n v="107.3475"/>
    <n v="0"/>
    <n v="0"/>
    <n v="0"/>
    <n v="505.80820219999998"/>
    <n v="676.95448879999992"/>
    <n v="0.5723502220277592"/>
    <x v="0"/>
    <s v="MECANICA"/>
    <x v="1"/>
    <x v="1"/>
    <n v="3"/>
    <n v="1"/>
    <d v="2018-05-08T00:00:00"/>
    <s v="SUZUKI"/>
    <s v="SX4"/>
    <n v="583.96"/>
    <d v="2018-05-08T00:00:00"/>
    <n v="0"/>
    <x v="926"/>
  </r>
  <r>
    <d v="2018-05-08T00:00:00"/>
    <s v="001-00012264"/>
    <n v="400"/>
    <n v="81.005002600000012"/>
    <n v="0"/>
    <n v="0"/>
    <n v="39.048749999999998"/>
    <n v="0"/>
    <n v="0"/>
    <n v="0"/>
    <n v="120.05375260000001"/>
    <n v="279.9462474"/>
    <n v="0.69986561850000006"/>
    <x v="0"/>
    <s v="MECANICA"/>
    <x v="1"/>
    <x v="1"/>
    <n v="0"/>
    <n v="1"/>
    <d v="2018-05-08T00:00:00"/>
    <s v="HYUNDAI"/>
    <s v="TUCSON"/>
    <n v="0"/>
    <d v="2018-05-08T00:00:00"/>
    <n v="0"/>
    <x v="927"/>
  </r>
  <r>
    <d v="2018-05-10T00:00:00"/>
    <s v="001-00012266"/>
    <n v="720.33899999999994"/>
    <n v="144.05400209999999"/>
    <n v="0"/>
    <n v="50.991525423728817"/>
    <n v="39.048749999999998"/>
    <n v="0"/>
    <n v="0"/>
    <n v="0"/>
    <n v="234.09427752372881"/>
    <n v="486.24472247627114"/>
    <n v="0.67502206943712773"/>
    <x v="0"/>
    <s v="MECANICA"/>
    <x v="1"/>
    <x v="1"/>
    <n v="3"/>
    <n v="1"/>
    <d v="2018-05-07T00:00:00"/>
    <s v="KIA"/>
    <s v="SORENTO"/>
    <n v="0"/>
    <d v="2018-05-08T00:00:00"/>
    <n v="0"/>
    <x v="928"/>
  </r>
  <r>
    <d v="2018-05-10T00:00:00"/>
    <s v="001-00012267"/>
    <n v="954.89830000000006"/>
    <n v="260.76060310000003"/>
    <n v="0"/>
    <n v="88.990000000000009"/>
    <n v="78.097499999999997"/>
    <n v="0"/>
    <n v="0"/>
    <n v="0"/>
    <n v="427.8481031"/>
    <n v="527.05019690000006"/>
    <n v="0.55194380061206516"/>
    <x v="0"/>
    <s v="MECANICA"/>
    <x v="1"/>
    <x v="1"/>
    <n v="2"/>
    <n v="1"/>
    <d v="2018-05-08T00:00:00"/>
    <s v="KIA"/>
    <s v="CERATO"/>
    <n v="403.22749999999996"/>
    <d v="2018-05-08T00:00:00"/>
    <n v="0"/>
    <x v="356"/>
  </r>
  <r>
    <d v="2018-05-11T00:00:00"/>
    <s v="001-00012268"/>
    <n v="120"/>
    <n v="0"/>
    <n v="0"/>
    <n v="0"/>
    <n v="39.048749999999998"/>
    <n v="0"/>
    <n v="0"/>
    <n v="0"/>
    <n v="39.048749999999998"/>
    <n v="80.951250000000002"/>
    <n v="0.67459374999999999"/>
    <x v="0"/>
    <s v="MECANICA"/>
    <x v="1"/>
    <x v="1"/>
    <n v="3"/>
    <n v="1"/>
    <d v="2018-05-08T00:00:00"/>
    <s v="RENAULT"/>
    <s v="DUSTER"/>
    <n v="0"/>
    <d v="2018-05-08T00:00:00"/>
    <n v="0"/>
    <x v="929"/>
  </r>
  <r>
    <d v="2018-05-21T00:00:00"/>
    <s v="001-00012269"/>
    <n v="418.09307540000003"/>
    <n v="0.84660000000000024"/>
    <n v="8.4700000000000006"/>
    <n v="118.08474576271186"/>
    <n v="32.175000000000004"/>
    <n v="585"/>
    <n v="536.10537499999998"/>
    <n v="0"/>
    <n v="1280.6817207627118"/>
    <n v="-862.58864536271176"/>
    <n v="-2.0631498011237133"/>
    <x v="1"/>
    <s v="LEVE"/>
    <x v="1"/>
    <x v="1"/>
    <n v="13"/>
    <n v="1"/>
    <d v="2018-05-08T00:00:00"/>
    <s v="SUZUKI"/>
    <s v="CIAZ"/>
    <n v="0"/>
    <s v="F/Fecha"/>
    <n v="0"/>
    <x v="930"/>
  </r>
  <r>
    <d v="2018-05-18T00:00:00"/>
    <s v="001-00012270"/>
    <n v="665.64870606864008"/>
    <n v="0"/>
    <n v="0"/>
    <n v="0"/>
    <n v="0"/>
    <n v="29.25"/>
    <n v="123.955"/>
    <n v="0"/>
    <n v="153.20499999999998"/>
    <n v="512.44370606864004"/>
    <n v="0.76984106090307358"/>
    <x v="1"/>
    <s v="LEVE"/>
    <x v="1"/>
    <x v="1"/>
    <n v="10"/>
    <n v="1"/>
    <d v="2018-05-08T00:00:00"/>
    <s v="FORD"/>
    <s v="FIESTA"/>
    <n v="1442.0249999999999"/>
    <d v="2018-05-09T00:00:00"/>
    <n v="2"/>
    <x v="1"/>
  </r>
  <r>
    <d v="2018-05-15T00:00:00"/>
    <s v="001-00012272"/>
    <n v="830.74746260000006"/>
    <n v="0"/>
    <n v="0"/>
    <n v="13.771186440677967"/>
    <n v="0"/>
    <n v="51.1875"/>
    <n v="185.9325"/>
    <n v="0"/>
    <n v="250.89118644067798"/>
    <n v="579.85627615932208"/>
    <n v="0.69799343635012634"/>
    <x v="1"/>
    <s v="LEVE"/>
    <x v="1"/>
    <x v="1"/>
    <n v="7"/>
    <n v="1"/>
    <d v="2018-05-08T00:00:00"/>
    <s v="KIA"/>
    <s v="RIO"/>
    <n v="571.51249999999993"/>
    <d v="2018-05-09T00:00:00"/>
    <n v="3.5"/>
    <x v="931"/>
  </r>
  <r>
    <d v="2018-05-11T00:00:00"/>
    <s v="001-00012274"/>
    <n v="3619"/>
    <n v="1217.0194940000001"/>
    <n v="60.17"/>
    <n v="156.79"/>
    <n v="117"/>
    <n v="0"/>
    <n v="0"/>
    <n v="0"/>
    <n v="1550.9794940000002"/>
    <n v="2068.0205059999998"/>
    <n v="0.57143423763470569"/>
    <x v="0"/>
    <s v="MECANICA"/>
    <x v="1"/>
    <x v="1"/>
    <n v="3"/>
    <n v="1"/>
    <d v="2018-05-08T00:00:00"/>
    <s v="TOYOTA"/>
    <s v="HILUX"/>
    <n v="2286.0174999999999"/>
    <d v="2018-05-07T00:00:00"/>
    <n v="0"/>
    <x v="871"/>
  </r>
  <r>
    <d v="2018-05-14T00:00:00"/>
    <s v="001-00012275"/>
    <n v="616.32898109999985"/>
    <n v="0"/>
    <n v="0"/>
    <n v="0"/>
    <n v="0"/>
    <n v="87.75"/>
    <n v="123.955"/>
    <n v="0"/>
    <n v="211.70499999999998"/>
    <n v="404.62398109999987"/>
    <n v="0.65650649816570816"/>
    <x v="0"/>
    <s v="LEVE"/>
    <x v="1"/>
    <x v="1"/>
    <n v="6"/>
    <n v="1"/>
    <d v="2018-05-08T00:00:00"/>
    <s v="HONDA"/>
    <s v="HR-V"/>
    <n v="0"/>
    <d v="2018-05-08T00:00:00"/>
    <n v="6"/>
    <x v="443"/>
  </r>
  <r>
    <d v="2018-05-17T00:00:00"/>
    <s v="001-00012277"/>
    <n v="349"/>
    <n v="58.473601400000007"/>
    <n v="0"/>
    <n v="0"/>
    <n v="39.048749999999998"/>
    <n v="0"/>
    <n v="0"/>
    <n v="0"/>
    <n v="97.522351400000005"/>
    <n v="251.47764860000001"/>
    <n v="0.72056632836676215"/>
    <x v="0"/>
    <s v="MECANICA"/>
    <x v="1"/>
    <x v="1"/>
    <n v="9"/>
    <n v="1"/>
    <d v="2018-05-08T00:00:00"/>
    <s v="NISSAN"/>
    <s v="TIIDA"/>
    <n v="0"/>
    <d v="2018-05-08T00:00:00"/>
    <n v="0"/>
    <x v="932"/>
  </r>
  <r>
    <d v="2018-05-21T00:00:00"/>
    <s v="001-00012278"/>
    <n v="1322.033897"/>
    <n v="169.49001000000001"/>
    <n v="0"/>
    <n v="41.525423728813564"/>
    <n v="0"/>
    <n v="87.75"/>
    <n v="123.955"/>
    <n v="0"/>
    <n v="422.72043372881359"/>
    <n v="899.31346327118649"/>
    <n v="0.68024992801768269"/>
    <x v="0"/>
    <s v="LEVE"/>
    <x v="1"/>
    <x v="1"/>
    <n v="13"/>
    <n v="1"/>
    <d v="2018-05-08T00:00:00"/>
    <s v="NISSAN"/>
    <s v="TIIDA"/>
    <n v="539.63"/>
    <d v="2018-05-09T00:00:00"/>
    <n v="6"/>
    <x v="932"/>
  </r>
  <r>
    <d v="2018-05-11T00:00:00"/>
    <s v="001-00012279"/>
    <n v="483.04230899999988"/>
    <n v="42.369998999999986"/>
    <n v="0"/>
    <n v="305.08"/>
    <n v="0"/>
    <n v="0"/>
    <n v="0"/>
    <n v="0"/>
    <n v="347.44999899999999"/>
    <n v="135.59230999999988"/>
    <n v="0.28070483159271237"/>
    <x v="0"/>
    <s v="MECANICA"/>
    <x v="1"/>
    <x v="1"/>
    <n v="3"/>
    <n v="1"/>
    <d v="2018-05-08T00:00:00"/>
    <s v="KIA"/>
    <s v="CERATO"/>
    <n v="59.475000000000001"/>
    <d v="2018-05-08T00:00:00"/>
    <n v="0"/>
    <x v="912"/>
  </r>
  <r>
    <d v="2018-05-09T00:00:00"/>
    <s v="001-00012282"/>
    <n v="349"/>
    <n v="114.01460010000001"/>
    <n v="0"/>
    <n v="0"/>
    <n v="39.048749999999998"/>
    <n v="0"/>
    <n v="0"/>
    <n v="0"/>
    <n v="153.06335010000001"/>
    <n v="195.93664989999999"/>
    <n v="0.56142306561604582"/>
    <x v="0"/>
    <s v="MECANICA"/>
    <x v="1"/>
    <x v="1"/>
    <n v="0"/>
    <n v="1"/>
    <d v="2018-05-09T00:00:00"/>
    <s v="HYUNDAI"/>
    <s v="ACCENT"/>
    <n v="0"/>
    <d v="2018-05-09T00:00:00"/>
    <n v="0"/>
    <x v="195"/>
  </r>
  <r>
    <d v="2018-05-09T00:00:00"/>
    <s v="001-00012283"/>
    <n v="315"/>
    <n v="118.9900006"/>
    <n v="0"/>
    <n v="0"/>
    <n v="39.048749999999998"/>
    <n v="0"/>
    <n v="0"/>
    <n v="0"/>
    <n v="158.03875060000001"/>
    <n v="156.96124939999999"/>
    <n v="0.49828968063492057"/>
    <x v="0"/>
    <s v="MECANICA"/>
    <x v="1"/>
    <x v="1"/>
    <n v="0"/>
    <n v="1"/>
    <d v="2018-05-09T00:00:00"/>
    <s v="KIA"/>
    <s v="RIO"/>
    <n v="0"/>
    <d v="2018-05-09T00:00:00"/>
    <n v="0"/>
    <x v="157"/>
  </r>
  <r>
    <d v="2018-05-29T00:00:00"/>
    <s v="001-00012286"/>
    <n v="2516.1959216208511"/>
    <n v="0"/>
    <n v="0"/>
    <n v="34.427966101694921"/>
    <n v="0"/>
    <n v="204.75"/>
    <n v="472.26855"/>
    <n v="0"/>
    <n v="711.4465161016949"/>
    <n v="1804.7494055191562"/>
    <n v="0.71725313200436147"/>
    <x v="1"/>
    <s v="MEDIANO"/>
    <x v="1"/>
    <x v="1"/>
    <n v="20"/>
    <n v="1"/>
    <d v="2018-05-09T00:00:00"/>
    <s v="TOYOTA"/>
    <s v="YARIS"/>
    <n v="2381.9899999999998"/>
    <d v="2018-05-10T00:00:00"/>
    <n v="14"/>
    <x v="1"/>
  </r>
  <r>
    <d v="2018-05-16T00:00:00"/>
    <s v="001-00012287"/>
    <n v="414.66100999999998"/>
    <n v="169.49001000000001"/>
    <n v="0"/>
    <n v="19.067796610169491"/>
    <n v="0"/>
    <n v="0"/>
    <n v="15.494375"/>
    <n v="0"/>
    <n v="204.0521816101695"/>
    <n v="210.60882838983048"/>
    <n v="0.50790603242352228"/>
    <x v="0"/>
    <s v="LEVE"/>
    <x v="1"/>
    <x v="1"/>
    <n v="7"/>
    <n v="1"/>
    <d v="2018-05-09T00:00:00"/>
    <s v="HYUNDAI"/>
    <s v="ACCENT"/>
    <n v="280.50749999999999"/>
    <d v="2018-05-14T00:00:00"/>
    <n v="0"/>
    <x v="871"/>
  </r>
  <r>
    <d v="2018-05-15T00:00:00"/>
    <s v="001-00012288"/>
    <n v="607.94920300000001"/>
    <n v="0"/>
    <n v="0"/>
    <n v="37.711864406779661"/>
    <n v="0"/>
    <n v="65.8125"/>
    <n v="123.955"/>
    <n v="0"/>
    <n v="227.47936440677967"/>
    <n v="380.46983859322035"/>
    <n v="0.62582504708575193"/>
    <x v="0"/>
    <s v="LEVE"/>
    <x v="1"/>
    <x v="1"/>
    <n v="6"/>
    <n v="1"/>
    <d v="2018-05-09T00:00:00"/>
    <s v="KIA"/>
    <s v="RIO"/>
    <n v="0"/>
    <d v="2018-05-09T00:00:00"/>
    <n v="4.5"/>
    <x v="933"/>
  </r>
  <r>
    <d v="2018-05-19T00:00:00"/>
    <s v="001-00012290"/>
    <n v="4535.5408645171219"/>
    <n v="146.8497011"/>
    <n v="0"/>
    <n v="0"/>
    <n v="39.048749999999998"/>
    <n v="321.75"/>
    <n v="464.83125000000001"/>
    <n v="0"/>
    <n v="972.47970110000006"/>
    <n v="3563.0611634171219"/>
    <n v="0.78558682852843498"/>
    <x v="0"/>
    <s v="MEDIANO"/>
    <x v="1"/>
    <x v="1"/>
    <n v="10"/>
    <n v="1"/>
    <d v="2018-05-09T00:00:00"/>
    <s v="SUZUKI"/>
    <s v="GRAND N."/>
    <n v="0"/>
    <d v="2018-05-10T00:00:00"/>
    <n v="22"/>
    <x v="512"/>
  </r>
  <r>
    <d v="2018-05-10T00:00:00"/>
    <s v="001-00012291"/>
    <n v="660"/>
    <n v="229.29700189999997"/>
    <n v="0"/>
    <n v="0"/>
    <n v="39.048749999999998"/>
    <n v="0"/>
    <n v="0"/>
    <n v="0"/>
    <n v="268.34575189999998"/>
    <n v="391.65424810000002"/>
    <n v="0.59341552742424242"/>
    <x v="0"/>
    <s v="MECANICA"/>
    <x v="1"/>
    <x v="1"/>
    <n v="1"/>
    <n v="1"/>
    <d v="2018-05-09T00:00:00"/>
    <s v="KIA"/>
    <s v="CERATO"/>
    <n v="210.63249999999999"/>
    <d v="2018-05-10T00:00:00"/>
    <n v="0"/>
    <x v="414"/>
  </r>
  <r>
    <d v="2018-05-21T00:00:00"/>
    <s v="001-00012294"/>
    <n v="350"/>
    <n v="64.137001150000003"/>
    <n v="0"/>
    <n v="0"/>
    <n v="39.048749999999998"/>
    <n v="0"/>
    <n v="0"/>
    <n v="0"/>
    <n v="103.18575115"/>
    <n v="246.81424885000001"/>
    <n v="0.70518356814285721"/>
    <x v="0"/>
    <s v="MECANICA"/>
    <x v="1"/>
    <x v="1"/>
    <n v="11"/>
    <n v="1"/>
    <d v="2018-05-10T00:00:00"/>
    <s v="MAZDA"/>
    <s v="CX-5"/>
    <n v="0"/>
    <d v="2018-05-10T00:00:00"/>
    <n v="0"/>
    <x v="257"/>
  </r>
  <r>
    <d v="2018-05-19T00:00:00"/>
    <s v="001-00012296"/>
    <n v="796.60698259999992"/>
    <n v="0"/>
    <n v="0"/>
    <n v="68.855932203389841"/>
    <n v="0"/>
    <n v="58.5"/>
    <n v="136.97027500000002"/>
    <n v="0"/>
    <n v="264.32620720338986"/>
    <n v="532.28077539661012"/>
    <n v="0.66818492308381405"/>
    <x v="1"/>
    <s v="LEVE"/>
    <x v="1"/>
    <x v="1"/>
    <n v="8"/>
    <n v="1"/>
    <d v="2018-05-11T00:00:00"/>
    <s v="TOYOTA"/>
    <s v="RAV4"/>
    <n v="570.21249999999998"/>
    <d v="2018-05-11T00:00:00"/>
    <n v="4"/>
    <x v="1"/>
  </r>
  <r>
    <d v="2018-05-15T00:00:00"/>
    <s v="001-00012297"/>
    <n v="489"/>
    <n v="0"/>
    <n v="0"/>
    <n v="82.627118644067792"/>
    <n v="0"/>
    <n v="29.25"/>
    <n v="61.977499999999999"/>
    <n v="0"/>
    <n v="173.85461864406778"/>
    <n v="315.14538135593222"/>
    <n v="0.64446908252746871"/>
    <x v="0"/>
    <s v="MEDIANO"/>
    <x v="1"/>
    <x v="1"/>
    <n v="4"/>
    <n v="1"/>
    <d v="2018-05-11T00:00:00"/>
    <s v="HYUNDAI"/>
    <s v="H1 "/>
    <n v="0"/>
    <d v="2018-05-11T00:00:00"/>
    <n v="2"/>
    <x v="934"/>
  </r>
  <r>
    <d v="2018-05-11T00:00:00"/>
    <s v="001-00012300"/>
    <n v="249"/>
    <n v="50.803600900000006"/>
    <n v="0"/>
    <n v="0"/>
    <n v="39.048749999999998"/>
    <n v="0"/>
    <n v="0"/>
    <n v="0"/>
    <n v="89.852350900000005"/>
    <n v="159.1476491"/>
    <n v="0.63914718514056224"/>
    <x v="0"/>
    <s v="MECANICA"/>
    <x v="1"/>
    <x v="1"/>
    <n v="0"/>
    <n v="1"/>
    <d v="2018-05-11T00:00:00"/>
    <s v="HYUNDAI"/>
    <s v="ELANTRA"/>
    <n v="0"/>
    <d v="2018-05-11T00:00:00"/>
    <n v="0"/>
    <x v="935"/>
  </r>
  <r>
    <d v="2018-05-19T00:00:00"/>
    <s v="001-00012301"/>
    <n v="1315.6000000000001"/>
    <n v="58.824000999999988"/>
    <n v="0"/>
    <n v="68.855932203389841"/>
    <n v="0"/>
    <n v="204.75"/>
    <n v="123.955"/>
    <n v="0"/>
    <n v="456.38493320338983"/>
    <n v="859.21506679661024"/>
    <n v="0.65309749680496365"/>
    <x v="0"/>
    <s v="MEDIANO"/>
    <x v="1"/>
    <x v="1"/>
    <n v="8"/>
    <n v="1"/>
    <d v="2018-05-11T00:00:00"/>
    <s v="RENAULT"/>
    <s v="SANDERO"/>
    <n v="97.5"/>
    <d v="2018-05-11T00:00:00"/>
    <n v="14"/>
    <x v="877"/>
  </r>
  <r>
    <d v="2018-05-11T00:00:00"/>
    <s v="001-00012302"/>
    <n v="271.18639999999999"/>
    <n v="209.3"/>
    <n v="0"/>
    <n v="0"/>
    <n v="29.25"/>
    <n v="0"/>
    <n v="0"/>
    <n v="0"/>
    <n v="238.55"/>
    <n v="32.636399999999981"/>
    <n v="0.12034674305201139"/>
    <x v="0"/>
    <s v="MECANICA"/>
    <x v="1"/>
    <x v="1"/>
    <n v="0"/>
    <n v="1"/>
    <d v="2018-05-11T00:00:00"/>
    <s v="TOYOTA"/>
    <s v="HILUX"/>
    <n v="217.8475"/>
    <d v="2018-05-12T00:00:00"/>
    <n v="0"/>
    <x v="871"/>
  </r>
  <r>
    <d v="2018-05-12T00:00:00"/>
    <s v="001-00012304"/>
    <n v="82.934398395780093"/>
    <n v="0"/>
    <n v="0"/>
    <n v="0"/>
    <n v="29.25"/>
    <n v="0"/>
    <n v="0"/>
    <n v="0"/>
    <n v="29.25"/>
    <n v="53.684398395780093"/>
    <n v="0.64731160331792659"/>
    <x v="0"/>
    <s v="MECANICA"/>
    <x v="1"/>
    <x v="1"/>
    <n v="0"/>
    <n v="1"/>
    <d v="2018-05-12T00:00:00"/>
    <s v="KIA"/>
    <s v="SOUL"/>
    <n v="0"/>
    <d v="2018-05-12T00:00:00"/>
    <n v="0"/>
    <x v="936"/>
  </r>
  <r>
    <d v="2018-05-12T00:00:00"/>
    <s v="001-00012305"/>
    <n v="513"/>
    <n v="170.20999299999997"/>
    <n v="0"/>
    <n v="0"/>
    <n v="39.048749999999998"/>
    <n v="0"/>
    <n v="0"/>
    <n v="0"/>
    <n v="209.25874299999998"/>
    <n v="303.74125700000002"/>
    <n v="0.59208822027290453"/>
    <x v="0"/>
    <s v="MECANICA"/>
    <x v="1"/>
    <x v="1"/>
    <n v="0"/>
    <n v="1"/>
    <d v="2018-05-12T00:00:00"/>
    <s v="HYUNDAI"/>
    <s v="ACCENT"/>
    <n v="541.64499999999998"/>
    <d v="2018-05-12T00:00:00"/>
    <n v="0"/>
    <x v="195"/>
  </r>
  <r>
    <d v="2018-05-21T00:00:00"/>
    <s v="001-00012306"/>
    <n v="820.60550000000012"/>
    <n v="0"/>
    <n v="0"/>
    <n v="0"/>
    <n v="0"/>
    <n v="102.375"/>
    <n v="61.977499999999999"/>
    <n v="0"/>
    <n v="164.35249999999999"/>
    <n v="656.25300000000016"/>
    <n v="0.79971801310130153"/>
    <x v="0"/>
    <s v="LEVE"/>
    <x v="1"/>
    <x v="1"/>
    <n v="9"/>
    <n v="1"/>
    <d v="2018-05-12T00:00:00"/>
    <s v="MAZDA"/>
    <s v="CX-5"/>
    <n v="0"/>
    <d v="2018-05-12T00:00:00"/>
    <n v="7"/>
    <x v="257"/>
  </r>
  <r>
    <d v="2018-05-12T00:00:00"/>
    <s v="001-00012307"/>
    <n v="349"/>
    <n v="111.39700115000001"/>
    <n v="0"/>
    <n v="0"/>
    <n v="39.048749999999998"/>
    <n v="0"/>
    <n v="0"/>
    <n v="0"/>
    <n v="150.44575115000001"/>
    <n v="198.55424884999999"/>
    <n v="0.5689233491404011"/>
    <x v="0"/>
    <s v="MECANICA"/>
    <x v="1"/>
    <x v="1"/>
    <n v="0"/>
    <n v="1"/>
    <d v="2018-05-12T00:00:00"/>
    <s v="KIA"/>
    <s v="SOUL"/>
    <n v="0"/>
    <d v="2018-05-12T00:00:00"/>
    <n v="0"/>
    <x v="936"/>
  </r>
  <r>
    <d v="2018-05-12T00:00:00"/>
    <s v="001-00012308"/>
    <n v="450"/>
    <n v="71.807001150000019"/>
    <n v="0"/>
    <n v="0"/>
    <n v="39.048749999999998"/>
    <n v="0"/>
    <n v="0"/>
    <n v="0"/>
    <n v="110.85575115000002"/>
    <n v="339.14424885"/>
    <n v="0.7536538863333333"/>
    <x v="0"/>
    <s v="MECANICA"/>
    <x v="1"/>
    <x v="1"/>
    <n v="0"/>
    <n v="1"/>
    <d v="2018-05-12T00:00:00"/>
    <s v="KIA"/>
    <s v="SPORTAGE"/>
    <n v="0"/>
    <d v="2018-05-12T00:00:00"/>
    <n v="0"/>
    <x v="664"/>
  </r>
  <r>
    <d v="2018-05-22T00:00:00"/>
    <s v="001-00012310"/>
    <n v="1087.4990711999999"/>
    <n v="0"/>
    <n v="0"/>
    <n v="41.313559322033896"/>
    <n v="0"/>
    <n v="87.75"/>
    <n v="185.9325"/>
    <n v="0"/>
    <n v="314.99605932203389"/>
    <n v="772.50301187796595"/>
    <n v="0.71034820381551977"/>
    <x v="1"/>
    <s v="LEVE"/>
    <x v="1"/>
    <x v="1"/>
    <n v="10"/>
    <n v="1"/>
    <d v="2018-05-12T00:00:00"/>
    <s v="KIA"/>
    <s v="RIO"/>
    <n v="1362.3999999999999"/>
    <d v="2018-05-14T00:00:00"/>
    <n v="6"/>
    <x v="1"/>
  </r>
  <r>
    <d v="2018-05-30T00:00:00"/>
    <s v="001-00012311"/>
    <n v="1671.5581903433906"/>
    <n v="4.2399997999999997"/>
    <n v="0"/>
    <n v="0"/>
    <n v="0"/>
    <n v="204.75"/>
    <n v="247.91"/>
    <n v="0"/>
    <n v="456.89999979999999"/>
    <n v="1214.6581905433907"/>
    <n v="0.72666222304463224"/>
    <x v="1"/>
    <s v="MEDIANO"/>
    <x v="1"/>
    <x v="1"/>
    <n v="18"/>
    <n v="1"/>
    <d v="2018-05-12T00:00:00"/>
    <s v="MAZDA"/>
    <s v="MAZDA 2"/>
    <n v="30.712499999999999"/>
    <d v="2018-05-14T00:00:00"/>
    <n v="14"/>
    <x v="1"/>
  </r>
  <r>
    <d v="2018-05-17T00:00:00"/>
    <s v="001-00012312"/>
    <n v="349"/>
    <n v="91.863600600000012"/>
    <n v="0"/>
    <n v="0"/>
    <n v="39.048749999999998"/>
    <n v="0"/>
    <n v="0"/>
    <n v="0"/>
    <n v="130.91235060000002"/>
    <n v="218.08764939999998"/>
    <n v="0.62489297822349565"/>
    <x v="0"/>
    <s v="MECANICA"/>
    <x v="1"/>
    <x v="1"/>
    <n v="5"/>
    <n v="1"/>
    <d v="2018-05-12T00:00:00"/>
    <s v="HYUNDAI"/>
    <s v="ACCENT"/>
    <n v="0"/>
    <d v="2018-05-14T00:00:00"/>
    <n v="0"/>
    <x v="871"/>
  </r>
  <r>
    <d v="2018-05-22T00:00:00"/>
    <s v="001-00012313"/>
    <n v="780.42499999999995"/>
    <n v="0"/>
    <n v="0"/>
    <n v="75.741525423728817"/>
    <n v="0"/>
    <n v="58.5"/>
    <n v="123.955"/>
    <n v="0"/>
    <n v="258.19652542372881"/>
    <n v="522.22847457627108"/>
    <n v="0.66915907944552144"/>
    <x v="1"/>
    <s v="MEDIANO"/>
    <x v="1"/>
    <x v="1"/>
    <n v="8"/>
    <n v="1"/>
    <d v="2018-05-14T00:00:00"/>
    <s v="TOYOTA"/>
    <s v="YARIS"/>
    <n v="686.4"/>
    <d v="2018-05-14T00:00:00"/>
    <n v="4"/>
    <x v="1"/>
  </r>
  <r>
    <d v="2018-05-14T00:00:00"/>
    <s v="001-00012314"/>
    <n v="249"/>
    <n v="52.233600700000011"/>
    <n v="0"/>
    <n v="0"/>
    <n v="39.048749999999998"/>
    <n v="0"/>
    <n v="0"/>
    <n v="0"/>
    <n v="91.282350700000009"/>
    <n v="157.71764930000001"/>
    <n v="0.63340421405622493"/>
    <x v="0"/>
    <s v="MECANICA"/>
    <x v="1"/>
    <x v="1"/>
    <n v="2"/>
    <n v="1"/>
    <d v="2018-05-12T00:00:00"/>
    <s v="KIA"/>
    <s v="PICANTO"/>
    <n v="0"/>
    <d v="2018-05-14T00:00:00"/>
    <n v="0"/>
    <x v="606"/>
  </r>
  <r>
    <d v="2018-05-18T00:00:00"/>
    <s v="001-00012316"/>
    <n v="221.96606162034001"/>
    <n v="0"/>
    <n v="0"/>
    <n v="0"/>
    <n v="0"/>
    <n v="0"/>
    <n v="0"/>
    <n v="0"/>
    <n v="0"/>
    <n v="221.96606162034001"/>
    <n v="1"/>
    <x v="0"/>
    <s v="MECANICA"/>
    <x v="1"/>
    <x v="1"/>
    <n v="4"/>
    <n v="1"/>
    <d v="2018-05-14T00:00:00"/>
    <s v="VOLKSWAGEN"/>
    <s v="GOL"/>
    <n v="0"/>
    <d v="2018-05-14T00:00:00"/>
    <n v="0"/>
    <x v="937"/>
  </r>
  <r>
    <d v="2018-05-14T00:00:00"/>
    <s v="001-00012317"/>
    <n v="765"/>
    <n v="256.40000300000003"/>
    <n v="0"/>
    <n v="0"/>
    <n v="39.048749999999998"/>
    <n v="0"/>
    <n v="0"/>
    <n v="0"/>
    <n v="295.44875300000001"/>
    <n v="469.55124699999999"/>
    <n v="0.6137924797385621"/>
    <x v="0"/>
    <s v="MECANICA"/>
    <x v="1"/>
    <x v="1"/>
    <n v="2"/>
    <n v="1"/>
    <d v="2018-05-12T00:00:00"/>
    <s v="KIA"/>
    <s v="RIO"/>
    <n v="0"/>
    <d v="2018-05-14T00:00:00"/>
    <n v="0"/>
    <x v="157"/>
  </r>
  <r>
    <d v="2018-05-14T00:00:00"/>
    <s v="001-00012319"/>
    <n v="349"/>
    <n v="101.97360070000002"/>
    <n v="0"/>
    <n v="0"/>
    <n v="39.048749999999998"/>
    <n v="0"/>
    <n v="0"/>
    <n v="0"/>
    <n v="141.0223507"/>
    <n v="207.9776493"/>
    <n v="0.59592449656160462"/>
    <x v="0"/>
    <s v="MECANICA"/>
    <x v="1"/>
    <x v="1"/>
    <n v="0"/>
    <n v="1"/>
    <d v="2018-05-14T00:00:00"/>
    <s v="HYUNDAI"/>
    <s v="ACCENT"/>
    <n v="0"/>
    <d v="2018-05-14T00:00:00"/>
    <n v="0"/>
    <x v="185"/>
  </r>
  <r>
    <d v="2018-05-14T00:00:00"/>
    <s v="001-00012321"/>
    <n v="120"/>
    <n v="50.803600900000006"/>
    <n v="0"/>
    <n v="0"/>
    <n v="29.25"/>
    <n v="0"/>
    <n v="0"/>
    <n v="0"/>
    <n v="80.053600900000006"/>
    <n v="39.946399099999994"/>
    <n v="0.3328866591666666"/>
    <x v="0"/>
    <s v="MECANICA"/>
    <x v="1"/>
    <x v="1"/>
    <n v="0"/>
    <n v="1"/>
    <d v="2018-05-14T00:00:00"/>
    <s v="KIA"/>
    <s v="RIO"/>
    <n v="100.295"/>
    <d v="2018-05-14T00:00:00"/>
    <n v="0"/>
    <x v="638"/>
  </r>
  <r>
    <d v="2018-05-19T00:00:00"/>
    <s v="001-00012322"/>
    <n v="998.21150000000011"/>
    <n v="0"/>
    <n v="0"/>
    <n v="0"/>
    <n v="0"/>
    <n v="219.375"/>
    <n v="92.966250000000002"/>
    <n v="0"/>
    <n v="312.34125"/>
    <n v="685.87025000000017"/>
    <n v="0.68709912678826091"/>
    <x v="2"/>
    <s v="MEDIANO"/>
    <x v="1"/>
    <x v="1"/>
    <n v="5"/>
    <n v="1"/>
    <d v="2018-05-14T00:00:00"/>
    <s v="VOLKSWAGEN"/>
    <s v="GOL"/>
    <n v="0"/>
    <d v="2018-05-14T00:00:00"/>
    <n v="15"/>
    <x v="2"/>
  </r>
  <r>
    <d v="2018-05-15T00:00:00"/>
    <s v="001-00012324"/>
    <n v="16.949200000000001"/>
    <n v="0"/>
    <n v="0"/>
    <n v="0"/>
    <n v="0"/>
    <n v="0"/>
    <n v="0"/>
    <n v="0"/>
    <n v="0"/>
    <n v="16.949200000000001"/>
    <n v="1"/>
    <x v="0"/>
    <s v="MEDIANO"/>
    <x v="1"/>
    <x v="1"/>
    <n v="1"/>
    <n v="1"/>
    <d v="2018-05-14T00:00:00"/>
    <s v="NISSAN"/>
    <s v="SENTRA"/>
    <n v="0"/>
    <d v="2018-05-14T00:00:00"/>
    <n v="0"/>
    <x v="938"/>
  </r>
  <r>
    <d v="2018-05-24T00:00:00"/>
    <s v="001-00012325"/>
    <n v="2824.8411397598275"/>
    <n v="0"/>
    <n v="0"/>
    <n v="152.54"/>
    <n v="2.9250000000000003"/>
    <n v="263.25"/>
    <n v="372.48477499999996"/>
    <n v="0"/>
    <n v="791.19977500000005"/>
    <n v="2033.6413647598274"/>
    <n v="0.71991353288373972"/>
    <x v="1"/>
    <s v="MEDIANO"/>
    <x v="1"/>
    <x v="1"/>
    <n v="10"/>
    <n v="1"/>
    <d v="2018-05-14T00:00:00"/>
    <s v="BRILLANCE"/>
    <s v="H530"/>
    <n v="0"/>
    <d v="2018-05-15T00:00:00"/>
    <n v="18"/>
    <x v="1"/>
  </r>
  <r>
    <d v="2018-05-28T00:00:00"/>
    <s v="001-00012326"/>
    <n v="1533.1034972999998"/>
    <n v="0"/>
    <n v="0"/>
    <n v="13.771186440677967"/>
    <n v="0"/>
    <n v="117"/>
    <n v="309.88749999999999"/>
    <n v="0"/>
    <n v="440.65868644067797"/>
    <n v="1092.4448108593219"/>
    <n v="0.71257081650603715"/>
    <x v="1"/>
    <s v="MEDIANO"/>
    <x v="1"/>
    <x v="1"/>
    <n v="14"/>
    <n v="1"/>
    <d v="2018-05-14T00:00:00"/>
    <s v="HYUNDAI"/>
    <s v="ELANTRA"/>
    <n v="2019.9075"/>
    <d v="2018-05-15T00:00:00"/>
    <n v="8"/>
    <x v="1"/>
  </r>
  <r>
    <d v="2018-05-14T00:00:00"/>
    <s v="001-00012327"/>
    <n v="169.49159199999994"/>
    <n v="0"/>
    <n v="0"/>
    <n v="0"/>
    <n v="0"/>
    <n v="0"/>
    <n v="0"/>
    <n v="0"/>
    <n v="0"/>
    <n v="169.49159199999994"/>
    <n v="1"/>
    <x v="0"/>
    <s v="MECANICA"/>
    <x v="1"/>
    <x v="1"/>
    <n v="0"/>
    <n v="1"/>
    <d v="2018-05-14T00:00:00"/>
    <s v="ASIA"/>
    <s v="SY6420"/>
    <n v="0"/>
    <s v="F/Fecha"/>
    <n v="0"/>
    <x v="939"/>
  </r>
  <r>
    <d v="2018-05-17T00:00:00"/>
    <s v="001-00012328"/>
    <n v="1276"/>
    <n v="734.04221500000006"/>
    <n v="0"/>
    <n v="0"/>
    <n v="39.048749999999998"/>
    <n v="0"/>
    <n v="0"/>
    <n v="0"/>
    <n v="773.0909650000001"/>
    <n v="502.9090349999999"/>
    <n v="0.3941293377742946"/>
    <x v="0"/>
    <s v="MECANICA"/>
    <x v="1"/>
    <x v="1"/>
    <n v="3"/>
    <n v="1"/>
    <d v="2018-05-14T00:00:00"/>
    <s v="HYUNDAI"/>
    <s v="ACCENT"/>
    <n v="1059.24"/>
    <d v="2018-05-14T00:00:00"/>
    <n v="0"/>
    <x v="871"/>
  </r>
  <r>
    <d v="2018-05-14T00:00:00"/>
    <s v="001-00012329"/>
    <n v="249"/>
    <n v="52.556301200000007"/>
    <n v="0"/>
    <n v="0"/>
    <n v="39.048749999999998"/>
    <n v="0"/>
    <n v="0"/>
    <n v="0"/>
    <n v="91.605051200000005"/>
    <n v="157.39494880000001"/>
    <n v="0.63210822811244982"/>
    <x v="0"/>
    <s v="MECANICA"/>
    <x v="1"/>
    <x v="1"/>
    <n v="0"/>
    <n v="1"/>
    <d v="2018-05-14T00:00:00"/>
    <s v="SUZUKI"/>
    <s v="ALTO"/>
    <n v="0"/>
    <d v="2018-05-14T00:00:00"/>
    <n v="0"/>
    <x v="245"/>
  </r>
  <r>
    <d v="2018-05-23T00:00:00"/>
    <s v="001-00012331"/>
    <n v="686.59673962881004"/>
    <n v="0"/>
    <n v="0"/>
    <n v="0"/>
    <n v="0"/>
    <n v="43.875"/>
    <n v="154.94374999999999"/>
    <n v="0"/>
    <n v="198.81874999999999"/>
    <n v="487.77798962881002"/>
    <n v="0.71042864242628645"/>
    <x v="1"/>
    <s v="LEVE"/>
    <x v="1"/>
    <x v="1"/>
    <n v="9"/>
    <n v="1"/>
    <d v="2018-05-14T00:00:00"/>
    <s v="HONDA"/>
    <s v="HR-V"/>
    <n v="0"/>
    <d v="2018-05-15T00:00:00"/>
    <n v="3"/>
    <x v="1"/>
  </r>
  <r>
    <d v="2018-05-22T00:00:00"/>
    <s v="001-00012332"/>
    <n v="1730.079"/>
    <n v="0"/>
    <n v="0"/>
    <n v="0"/>
    <n v="0"/>
    <n v="190.125"/>
    <n v="371.86500000000001"/>
    <n v="0"/>
    <n v="561.99"/>
    <n v="1168.0889999999999"/>
    <n v="0.67516512251752669"/>
    <x v="0"/>
    <s v="MEDIANO"/>
    <x v="1"/>
    <x v="1"/>
    <n v="7"/>
    <n v="1"/>
    <d v="2018-05-15T00:00:00"/>
    <s v="TOYOTA"/>
    <s v="YARIS"/>
    <n v="0"/>
    <d v="2018-05-15T00:00:00"/>
    <n v="13"/>
    <x v="940"/>
  </r>
  <r>
    <d v="2018-05-17T00:00:00"/>
    <s v="001-00012333"/>
    <n v="400"/>
    <n v="71.217002250000007"/>
    <n v="0"/>
    <n v="0"/>
    <n v="39.048749999999998"/>
    <n v="0"/>
    <n v="0"/>
    <n v="0"/>
    <n v="110.26575225000001"/>
    <n v="289.73424775000001"/>
    <n v="0.72433561937500002"/>
    <x v="0"/>
    <s v="MECANICA"/>
    <x v="1"/>
    <x v="1"/>
    <n v="2"/>
    <n v="1"/>
    <d v="2018-05-15T00:00:00"/>
    <s v="JEEP"/>
    <s v="COMPASS"/>
    <n v="0"/>
    <d v="2018-05-15T00:00:00"/>
    <n v="0"/>
    <x v="441"/>
  </r>
  <r>
    <d v="2018-05-15T00:00:00"/>
    <s v="001-00012335"/>
    <n v="495"/>
    <n v="156.774002"/>
    <n v="0"/>
    <n v="0"/>
    <n v="39.048749999999998"/>
    <n v="0"/>
    <n v="0"/>
    <n v="0"/>
    <n v="195.82275199999998"/>
    <n v="299.17724800000002"/>
    <n v="0.6043984808080809"/>
    <x v="0"/>
    <s v="MECANICA"/>
    <x v="1"/>
    <x v="1"/>
    <n v="0"/>
    <n v="1"/>
    <d v="2018-05-15T00:00:00"/>
    <s v="SSANYONH"/>
    <s v="KORANDO"/>
    <n v="0"/>
    <d v="2018-05-15T00:00:00"/>
    <n v="0"/>
    <x v="941"/>
  </r>
  <r>
    <d v="2018-05-15T00:00:00"/>
    <s v="001-00012336"/>
    <n v="495"/>
    <n v="104.9014037"/>
    <n v="0"/>
    <n v="0"/>
    <n v="39.048749999999998"/>
    <n v="0"/>
    <n v="0"/>
    <n v="0"/>
    <n v="143.95015369999999"/>
    <n v="351.04984630000001"/>
    <n v="0.7091916086868687"/>
    <x v="0"/>
    <s v="MECANICA"/>
    <x v="1"/>
    <x v="1"/>
    <n v="0"/>
    <n v="1"/>
    <d v="2018-05-15T00:00:00"/>
    <s v="TOYOTA"/>
    <s v="RAV4"/>
    <n v="0"/>
    <d v="2018-05-15T00:00:00"/>
    <n v="0"/>
    <x v="942"/>
  </r>
  <r>
    <d v="2018-05-15T00:00:00"/>
    <s v="001-00012338"/>
    <n v="400"/>
    <n v="0"/>
    <n v="0"/>
    <n v="0"/>
    <n v="0"/>
    <n v="0"/>
    <n v="0"/>
    <n v="0"/>
    <n v="0"/>
    <n v="400"/>
    <n v="1"/>
    <x v="0"/>
    <s v="MECANICA"/>
    <x v="1"/>
    <x v="1"/>
    <n v="0"/>
    <n v="1"/>
    <d v="2018-05-15T00:00:00"/>
    <s v="KIA"/>
    <s v="RIO"/>
    <n v="401.21250000000003"/>
    <d v="2018-05-15T00:00:00"/>
    <n v="0"/>
    <x v="425"/>
  </r>
  <r>
    <d v="2018-05-16T00:00:00"/>
    <s v="001-00012339"/>
    <n v="349"/>
    <n v="102.39730070000002"/>
    <n v="0"/>
    <n v="0"/>
    <n v="39.048749999999998"/>
    <n v="0"/>
    <n v="0"/>
    <n v="0"/>
    <n v="141.4460507"/>
    <n v="207.5539493"/>
    <n v="0.59471045644699139"/>
    <x v="0"/>
    <s v="MECANICA"/>
    <x v="1"/>
    <x v="1"/>
    <n v="1"/>
    <n v="1"/>
    <d v="2018-05-15T00:00:00"/>
    <s v="HYUNDAI"/>
    <s v="ACCENT"/>
    <n v="0"/>
    <d v="2018-05-15T00:00:00"/>
    <n v="0"/>
    <x v="322"/>
  </r>
  <r>
    <d v="2018-05-16T00:00:00"/>
    <s v="001-00012340"/>
    <n v="495"/>
    <n v="130.155002"/>
    <n v="0"/>
    <n v="0"/>
    <n v="39.048749999999998"/>
    <n v="0"/>
    <n v="0"/>
    <n v="0"/>
    <n v="169.20375200000001"/>
    <n v="325.79624799999999"/>
    <n v="0.65817423838383837"/>
    <x v="0"/>
    <s v="MECANICA"/>
    <x v="1"/>
    <x v="1"/>
    <n v="1"/>
    <n v="1"/>
    <d v="2018-05-15T00:00:00"/>
    <s v="MITSUBISHI"/>
    <s v="OUTLANDER"/>
    <n v="0"/>
    <d v="2018-05-15T00:00:00"/>
    <n v="0"/>
    <x v="327"/>
  </r>
  <r>
    <d v="2018-05-22T00:00:00"/>
    <s v="001-00012341"/>
    <n v="1427"/>
    <n v="594.53164626"/>
    <n v="0"/>
    <n v="93.22"/>
    <n v="58.5"/>
    <n v="0"/>
    <n v="0"/>
    <n v="0"/>
    <n v="746.25164626000003"/>
    <n v="680.74835373999997"/>
    <n v="0.47704860107918706"/>
    <x v="0"/>
    <s v="MECANICA"/>
    <x v="1"/>
    <x v="1"/>
    <n v="7"/>
    <n v="1"/>
    <d v="2018-05-15T00:00:00"/>
    <s v="NISSAN"/>
    <s v="TIIDA"/>
    <n v="1100.385"/>
    <d v="2018-05-14T00:00:00"/>
    <n v="0"/>
    <x v="932"/>
  </r>
  <r>
    <d v="2018-05-23T00:00:00"/>
    <s v="001-00012342"/>
    <n v="954.37097085000005"/>
    <n v="0"/>
    <n v="0"/>
    <n v="0"/>
    <n v="0"/>
    <n v="87.75"/>
    <n v="139.449375"/>
    <n v="0"/>
    <n v="227.199375"/>
    <n v="727.17159585000002"/>
    <n v="0.76193809122500089"/>
    <x v="2"/>
    <s v="LEVE"/>
    <x v="1"/>
    <x v="1"/>
    <n v="8"/>
    <n v="1"/>
    <d v="2018-05-15T00:00:00"/>
    <s v="SUZUKI"/>
    <s v="S-CROSS"/>
    <n v="1133.665"/>
    <d v="2018-05-16T00:00:00"/>
    <n v="6"/>
    <x v="2"/>
  </r>
  <r>
    <d v="2018-05-17T00:00:00"/>
    <s v="001-00012343"/>
    <n v="1287.5919606"/>
    <n v="777.35870999999997"/>
    <n v="0"/>
    <n v="0"/>
    <n v="29.25"/>
    <n v="0"/>
    <n v="0"/>
    <n v="0"/>
    <n v="806.60870999999997"/>
    <n v="480.98325060000002"/>
    <n v="0.37355254251189057"/>
    <x v="0"/>
    <s v="MECANICA"/>
    <x v="1"/>
    <x v="1"/>
    <n v="2"/>
    <n v="1"/>
    <d v="2018-05-15T00:00:00"/>
    <s v="JEEP"/>
    <s v="COMPASS"/>
    <n v="1118"/>
    <d v="2018-05-15T00:00:00"/>
    <n v="0"/>
    <x v="441"/>
  </r>
  <r>
    <d v="2018-05-22T00:00:00"/>
    <s v="001-00012344"/>
    <n v="981.70630119999987"/>
    <n v="131.55999800000004"/>
    <n v="0"/>
    <n v="41.313559322033896"/>
    <n v="0"/>
    <n v="127.96875"/>
    <n v="154.94374999999999"/>
    <n v="0"/>
    <n v="455.78605732203391"/>
    <n v="525.92024387796596"/>
    <n v="0.53572055434003163"/>
    <x v="0"/>
    <s v="LEVE"/>
    <x v="1"/>
    <x v="1"/>
    <n v="7"/>
    <n v="1"/>
    <d v="2018-05-15T00:00:00"/>
    <s v="SUZUKI"/>
    <s v="SX4"/>
    <n v="0"/>
    <d v="2018-05-15T00:00:00"/>
    <n v="8.75"/>
    <x v="943"/>
  </r>
  <r>
    <d v="2018-05-17T00:00:00"/>
    <s v="001-00012345"/>
    <n v="1159"/>
    <n v="600.45901798"/>
    <n v="0"/>
    <n v="0"/>
    <n v="29.25"/>
    <n v="0"/>
    <n v="0"/>
    <n v="0"/>
    <n v="629.70901798"/>
    <n v="529.29098202"/>
    <n v="0.45667901813632444"/>
    <x v="0"/>
    <s v="MECANICA"/>
    <x v="1"/>
    <x v="1"/>
    <n v="2"/>
    <n v="1"/>
    <d v="2018-05-15T00:00:00"/>
    <s v="HYUNDAI"/>
    <s v="ACCENT"/>
    <n v="0"/>
    <d v="2018-05-15T00:00:00"/>
    <n v="0"/>
    <x v="871"/>
  </r>
  <r>
    <d v="2018-05-19T00:00:00"/>
    <s v="001-00012347"/>
    <n v="254.22881000000004"/>
    <n v="0"/>
    <n v="0"/>
    <n v="0"/>
    <n v="0"/>
    <n v="0"/>
    <n v="0"/>
    <n v="0"/>
    <n v="0"/>
    <n v="254.22881000000004"/>
    <n v="1"/>
    <x v="0"/>
    <s v="MECANICA"/>
    <x v="1"/>
    <x v="1"/>
    <n v="3"/>
    <n v="1"/>
    <d v="2018-05-16T00:00:00"/>
    <s v="CITROEN"/>
    <s v="CS4P"/>
    <n v="255.0275"/>
    <d v="2018-05-16T00:00:00"/>
    <n v="0"/>
    <x v="813"/>
  </r>
  <r>
    <d v="2018-05-25T00:00:00"/>
    <s v="001-00012349"/>
    <n v="1671.2218152610199"/>
    <n v="0"/>
    <n v="0"/>
    <n v="18"/>
    <n v="0"/>
    <n v="175.5"/>
    <n v="235.51449999999997"/>
    <n v="0"/>
    <n v="429.0145"/>
    <n v="1242.2073152610199"/>
    <n v="0.74329290338219145"/>
    <x v="1"/>
    <s v="MEDIANO"/>
    <x v="1"/>
    <x v="1"/>
    <n v="9"/>
    <n v="1"/>
    <d v="2018-05-16T00:00:00"/>
    <s v="RENAULT"/>
    <s v="LOGAN"/>
    <n v="368.55"/>
    <d v="2018-05-16T00:00:00"/>
    <n v="12"/>
    <x v="1"/>
  </r>
  <r>
    <d v="2018-05-29T00:00:00"/>
    <s v="001-00012351"/>
    <n v="1891.0773577157609"/>
    <n v="5.8996002000000001"/>
    <n v="0"/>
    <n v="20.656779661016948"/>
    <n v="39.048749999999998"/>
    <n v="175.5"/>
    <n v="306.78862500000002"/>
    <n v="0"/>
    <n v="547.89375486101699"/>
    <n v="1343.1836028547439"/>
    <n v="0.71027427692179668"/>
    <x v="1"/>
    <s v="MEDIANO"/>
    <x v="1"/>
    <x v="1"/>
    <n v="13"/>
    <n v="1"/>
    <d v="2018-05-16T00:00:00"/>
    <s v="NISSAN"/>
    <s v="SENTRA"/>
    <n v="786.5"/>
    <d v="2018-05-17T00:00:00"/>
    <n v="12"/>
    <x v="30"/>
  </r>
  <r>
    <d v="2018-05-18T00:00:00"/>
    <s v="001-00012352"/>
    <n v="747.04071846000011"/>
    <n v="0"/>
    <n v="0"/>
    <n v="20"/>
    <n v="0"/>
    <n v="36.5625"/>
    <n v="77.471874999999997"/>
    <n v="0"/>
    <n v="134.03437500000001"/>
    <n v="613.00634346000015"/>
    <n v="0.82057955920219794"/>
    <x v="1"/>
    <s v="LEVE"/>
    <x v="1"/>
    <x v="1"/>
    <n v="2"/>
    <n v="1"/>
    <d v="2018-05-16T00:00:00"/>
    <s v="VOLKSWAGEN"/>
    <s v="TIGUAN"/>
    <n v="1313"/>
    <d v="2018-05-18T00:00:00"/>
    <n v="2.5"/>
    <x v="944"/>
  </r>
  <r>
    <d v="2018-05-17T00:00:00"/>
    <s v="001-00012353"/>
    <n v="300"/>
    <n v="82.73480099999999"/>
    <n v="0"/>
    <n v="0"/>
    <n v="39.048749999999998"/>
    <n v="0"/>
    <n v="0"/>
    <n v="0"/>
    <n v="121.78355099999999"/>
    <n v="178.21644900000001"/>
    <n v="0.59405483000000003"/>
    <x v="0"/>
    <s v="MECANICA"/>
    <x v="1"/>
    <x v="1"/>
    <n v="0"/>
    <n v="1"/>
    <d v="2018-05-17T00:00:00"/>
    <s v="HYUNDAI"/>
    <s v="TUCSON"/>
    <n v="300.91750000000002"/>
    <d v="2018-05-17T00:00:00"/>
    <n v="0"/>
    <x v="927"/>
  </r>
  <r>
    <d v="2018-05-17T00:00:00"/>
    <s v="001-00012354"/>
    <n v="314.10169999999999"/>
    <n v="69.186001899999994"/>
    <n v="0"/>
    <n v="0"/>
    <n v="39.048749999999998"/>
    <n v="0"/>
    <n v="0"/>
    <n v="0"/>
    <n v="108.23475189999999"/>
    <n v="205.8669481"/>
    <n v="0.65541494394968258"/>
    <x v="0"/>
    <s v="MECANICA"/>
    <x v="1"/>
    <x v="1"/>
    <n v="0"/>
    <n v="1"/>
    <d v="2018-05-17T00:00:00"/>
    <s v="FIAT"/>
    <s v="UNO"/>
    <n v="0"/>
    <d v="2018-05-17T00:00:00"/>
    <n v="0"/>
    <x v="945"/>
  </r>
  <r>
    <d v="2018-05-19T00:00:00"/>
    <s v="001-00012355"/>
    <n v="1550.7033999999999"/>
    <n v="692.93775974999994"/>
    <n v="0"/>
    <n v="88.990000000000009"/>
    <n v="58.5"/>
    <n v="0"/>
    <n v="0"/>
    <n v="0"/>
    <n v="840.42775974999995"/>
    <n v="710.27564024999992"/>
    <n v="0.45803448954197173"/>
    <x v="0"/>
    <s v="MEDIANO"/>
    <x v="1"/>
    <x v="1"/>
    <n v="2"/>
    <n v="1"/>
    <d v="2018-05-17T00:00:00"/>
    <s v="SUZUKI"/>
    <s v="GRAND N."/>
    <n v="1477.5150000000001"/>
    <d v="2018-05-15T00:00:00"/>
    <n v="0"/>
    <x v="512"/>
  </r>
  <r>
    <d v="2018-05-22T00:00:00"/>
    <s v="001-00012357"/>
    <n v="612.64414348599996"/>
    <n v="0"/>
    <n v="0"/>
    <n v="0"/>
    <n v="14.625"/>
    <n v="43.875"/>
    <n v="123.955"/>
    <n v="0"/>
    <n v="182.45499999999998"/>
    <n v="430.18914348599998"/>
    <n v="0.70218437254322763"/>
    <x v="0"/>
    <s v="LEVE"/>
    <x v="1"/>
    <x v="1"/>
    <n v="5"/>
    <n v="1"/>
    <d v="2018-05-17T00:00:00"/>
    <s v="AUDI"/>
    <s v="A3"/>
    <n v="0"/>
    <d v="2018-05-17T00:00:00"/>
    <n v="3"/>
    <x v="295"/>
  </r>
  <r>
    <d v="2018-05-25T00:00:00"/>
    <s v="001-00012358"/>
    <n v="419"/>
    <n v="168.84600369999998"/>
    <n v="0"/>
    <n v="0"/>
    <n v="53.673749999999998"/>
    <n v="0"/>
    <n v="0"/>
    <n v="0"/>
    <n v="222.51975369999997"/>
    <n v="196.48024630000003"/>
    <n v="0.46892660214797144"/>
    <x v="0"/>
    <s v="MECANICA"/>
    <x v="1"/>
    <x v="1"/>
    <n v="8"/>
    <n v="1"/>
    <d v="2018-05-17T00:00:00"/>
    <s v="KIA"/>
    <s v="RIO"/>
    <n v="120.3475"/>
    <d v="2018-05-22T00:00:00"/>
    <n v="0"/>
    <x v="946"/>
  </r>
  <r>
    <d v="2018-05-19T00:00:00"/>
    <s v="001-00012359"/>
    <n v="404.10169999999999"/>
    <n v="112.23700095000002"/>
    <n v="0"/>
    <n v="0"/>
    <n v="39.048749999999998"/>
    <n v="0"/>
    <n v="0"/>
    <n v="0"/>
    <n v="151.28575095000002"/>
    <n v="252.81594904999997"/>
    <n v="0.6256245619605163"/>
    <x v="0"/>
    <s v="MECANICA"/>
    <x v="1"/>
    <x v="1"/>
    <n v="2"/>
    <n v="1"/>
    <d v="2018-05-17T00:00:00"/>
    <s v="KIA"/>
    <s v="SPORTAGE"/>
    <n v="0"/>
    <d v="2018-05-17T00:00:00"/>
    <n v="0"/>
    <x v="933"/>
  </r>
  <r>
    <d v="2018-05-18T00:00:00"/>
    <s v="001-00012360"/>
    <n v="349"/>
    <n v="100.02360090000002"/>
    <n v="0"/>
    <n v="0"/>
    <n v="39.048749999999998"/>
    <n v="0"/>
    <n v="0"/>
    <n v="0"/>
    <n v="139.0723509"/>
    <n v="209.9276491"/>
    <n v="0.60151188853868198"/>
    <x v="0"/>
    <s v="MECANICA"/>
    <x v="1"/>
    <x v="1"/>
    <n v="0"/>
    <n v="1"/>
    <d v="2018-05-18T00:00:00"/>
    <s v="KIA"/>
    <s v="RIO"/>
    <n v="0"/>
    <d v="2018-05-18T00:00:00"/>
    <n v="0"/>
    <x v="947"/>
  </r>
  <r>
    <d v="2018-05-18T00:00:00"/>
    <s v="001-00012361"/>
    <n v="640"/>
    <n v="211.80319890000001"/>
    <n v="0"/>
    <n v="0"/>
    <n v="39.048749999999998"/>
    <n v="0"/>
    <n v="0"/>
    <n v="0"/>
    <n v="250.85194890000002"/>
    <n v="389.14805109999998"/>
    <n v="0.60804382984374994"/>
    <x v="0"/>
    <s v="MECANICA"/>
    <x v="1"/>
    <x v="1"/>
    <n v="0"/>
    <n v="1"/>
    <d v="2018-05-18T00:00:00"/>
    <s v="HYUNDAI"/>
    <s v="ELANTRA"/>
    <n v="391.20249999999999"/>
    <d v="2018-05-18T00:00:00"/>
    <n v="0"/>
    <x v="233"/>
  </r>
  <r>
    <d v="2018-05-18T00:00:00"/>
    <s v="001-00012362"/>
    <n v="349"/>
    <n v="91.723602700000001"/>
    <n v="0"/>
    <n v="0"/>
    <n v="39.048749999999998"/>
    <n v="0"/>
    <n v="0"/>
    <n v="0"/>
    <n v="130.7723527"/>
    <n v="218.2276473"/>
    <n v="0.62529411833810888"/>
    <x v="0"/>
    <s v="MECANICA"/>
    <x v="1"/>
    <x v="1"/>
    <n v="1"/>
    <n v="1"/>
    <d v="2018-05-17T00:00:00"/>
    <s v="HYUNDAI"/>
    <s v="I20"/>
    <n v="0"/>
    <d v="2018-05-18T00:00:00"/>
    <n v="0"/>
    <x v="308"/>
  </r>
  <r>
    <d v="2018-05-26T00:00:00"/>
    <s v="001-00012363"/>
    <n v="1133.5262070000001"/>
    <n v="0"/>
    <n v="0"/>
    <n v="0"/>
    <n v="0"/>
    <n v="146.25"/>
    <n v="133.87139999999999"/>
    <n v="0"/>
    <n v="280.12139999999999"/>
    <n v="853.40480700000012"/>
    <n v="0.75287611502042673"/>
    <x v="1"/>
    <s v="MEDIANO"/>
    <x v="1"/>
    <x v="1"/>
    <n v="9"/>
    <n v="1"/>
    <d v="2018-05-17T00:00:00"/>
    <s v="HONDA"/>
    <s v="WR-V"/>
    <n v="1340.0725"/>
    <d v="2018-05-18T00:00:00"/>
    <n v="10"/>
    <x v="1"/>
  </r>
  <r>
    <d v="2018-05-25T00:00:00"/>
    <s v="001-00012365"/>
    <n v="392.159988"/>
    <n v="0"/>
    <n v="0"/>
    <n v="0"/>
    <n v="0"/>
    <n v="117"/>
    <n v="0"/>
    <n v="0"/>
    <n v="117"/>
    <n v="275.159988"/>
    <n v="0.70165237765154154"/>
    <x v="0"/>
    <s v="LEVE"/>
    <x v="1"/>
    <x v="1"/>
    <n v="7"/>
    <n v="1"/>
    <d v="2018-05-18T00:00:00"/>
    <s v="KIA"/>
    <s v="RIO"/>
    <n v="0"/>
    <d v="2018-05-18T00:00:00"/>
    <n v="8"/>
    <x v="946"/>
  </r>
  <r>
    <d v="2018-05-31T00:00:00"/>
    <s v="001-00012367"/>
    <n v="2314.191469847121"/>
    <n v="0"/>
    <n v="0"/>
    <n v="0"/>
    <n v="2.9250000000000003"/>
    <n v="263.25"/>
    <n v="313.60614999999996"/>
    <n v="0"/>
    <n v="579.78115000000003"/>
    <n v="1734.4103198471209"/>
    <n v="0.74946707843569171"/>
    <x v="1"/>
    <s v="MEDIANO"/>
    <x v="1"/>
    <x v="1"/>
    <n v="14"/>
    <n v="1"/>
    <d v="2018-05-17T00:00:00"/>
    <s v="KIA"/>
    <s v="RIO"/>
    <n v="4519.2550000000001"/>
    <d v="2018-05-19T00:00:00"/>
    <n v="18"/>
    <x v="1"/>
  </r>
  <r>
    <d v="2018-05-29T00:00:00"/>
    <s v="001-00012368"/>
    <n v="2906.6452641138994"/>
    <n v="5.4759001999999999"/>
    <n v="0"/>
    <n v="181.14830508474577"/>
    <n v="26.324999999999999"/>
    <n v="292.5"/>
    <n v="316.08524999999997"/>
    <n v="0"/>
    <n v="821.53445528474572"/>
    <n v="2085.1108088291539"/>
    <n v="0.7173599181752256"/>
    <x v="1"/>
    <s v="MEDIANO"/>
    <x v="1"/>
    <x v="1"/>
    <n v="12"/>
    <n v="1"/>
    <d v="2018-05-17T00:00:00"/>
    <s v="CHANGAN"/>
    <s v="CS35"/>
    <n v="996.51499999999999"/>
    <d v="2018-05-19T00:00:00"/>
    <n v="20"/>
    <x v="948"/>
  </r>
  <r>
    <d v="2018-05-31T00:00:00"/>
    <s v="001-00012371"/>
    <n v="1938.6600592499999"/>
    <n v="0"/>
    <n v="0"/>
    <n v="126.0635593220339"/>
    <n v="19.012500000000003"/>
    <n v="175.5"/>
    <n v="309.88749999999999"/>
    <n v="0"/>
    <n v="630.46355932203392"/>
    <n v="1308.196499927966"/>
    <n v="0.67479416707747186"/>
    <x v="1"/>
    <s v="MEDIANO"/>
    <x v="1"/>
    <x v="1"/>
    <n v="13"/>
    <n v="1"/>
    <d v="2018-05-18T00:00:00"/>
    <s v="HYUNDAI"/>
    <s v="ELANTRA"/>
    <n v="3893.9875000000002"/>
    <d v="2018-05-21T00:00:00"/>
    <n v="12"/>
    <x v="1"/>
  </r>
  <r>
    <d v="2018-05-30T00:00:00"/>
    <s v="001-00012372"/>
    <n v="1153.0211573676288"/>
    <n v="0"/>
    <n v="0"/>
    <n v="0"/>
    <n v="0"/>
    <n v="102.375"/>
    <n v="154.94374999999999"/>
    <n v="0"/>
    <n v="257.31875000000002"/>
    <n v="895.70240736762878"/>
    <n v="0.7768308514065223"/>
    <x v="1"/>
    <s v="MEDIANO"/>
    <x v="1"/>
    <x v="1"/>
    <n v="12"/>
    <n v="1"/>
    <d v="2018-05-18T00:00:00"/>
    <s v="MAZDA"/>
    <s v="MAZDA 2"/>
    <n v="0"/>
    <d v="2018-05-16T00:00:00"/>
    <n v="7"/>
    <x v="1"/>
  </r>
  <r>
    <d v="2018-05-29T00:00:00"/>
    <s v="001-00012373"/>
    <n v="1773.86773741356"/>
    <n v="0"/>
    <n v="0"/>
    <n v="20"/>
    <n v="0"/>
    <n v="263.25"/>
    <n v="215.68170000000001"/>
    <n v="0"/>
    <n v="498.93169999999998"/>
    <n v="1274.9360374135599"/>
    <n v="0.71873229921443738"/>
    <x v="1"/>
    <s v="MEDIANO"/>
    <x v="1"/>
    <x v="1"/>
    <n v="11"/>
    <n v="1"/>
    <d v="2018-05-18T00:00:00"/>
    <s v="FIAT"/>
    <s v="FIORINO"/>
    <n v="1418.7550000000001"/>
    <d v="2018-05-21T00:00:00"/>
    <n v="18"/>
    <x v="949"/>
  </r>
  <r>
    <d v="2018-05-23T00:00:00"/>
    <s v="001-00012374"/>
    <n v="499"/>
    <n v="131.50749874999997"/>
    <n v="0"/>
    <n v="0"/>
    <n v="39.048749999999998"/>
    <n v="0"/>
    <n v="0"/>
    <n v="0"/>
    <n v="170.55624874999995"/>
    <n v="328.44375125000005"/>
    <n v="0.65820391032064141"/>
    <x v="0"/>
    <s v="MECANICA"/>
    <x v="1"/>
    <x v="1"/>
    <n v="5"/>
    <n v="1"/>
    <d v="2018-05-18T00:00:00"/>
    <s v="TOYOTA"/>
    <s v="HIACE"/>
    <n v="0"/>
    <d v="2018-05-18T00:00:00"/>
    <n v="0"/>
    <x v="871"/>
  </r>
  <r>
    <d v="2018-05-22T00:00:00"/>
    <s v="001-00012375"/>
    <n v="529"/>
    <n v="79.963601600000018"/>
    <n v="0"/>
    <n v="38.14"/>
    <n v="68.298749999999998"/>
    <n v="0"/>
    <n v="0"/>
    <n v="0"/>
    <n v="186.40235160000003"/>
    <n v="342.59764839999997"/>
    <n v="0.6476326056710775"/>
    <x v="0"/>
    <s v="MECANICA"/>
    <x v="1"/>
    <x v="1"/>
    <n v="4"/>
    <n v="1"/>
    <d v="2018-05-18T00:00:00"/>
    <s v="NISSAN"/>
    <s v="SUNNY"/>
    <n v="120.3475"/>
    <d v="2018-05-18T00:00:00"/>
    <n v="0"/>
    <x v="267"/>
  </r>
  <r>
    <d v="2018-05-30T00:00:00"/>
    <s v="001-00012377"/>
    <n v="806.56984591694993"/>
    <n v="0"/>
    <n v="0"/>
    <n v="0"/>
    <n v="0"/>
    <n v="87.75"/>
    <n v="123.955"/>
    <n v="0"/>
    <n v="211.70499999999998"/>
    <n v="594.86484591694989"/>
    <n v="0.73752428128611358"/>
    <x v="1"/>
    <s v="LEVE"/>
    <x v="1"/>
    <x v="1"/>
    <n v="12"/>
    <n v="1"/>
    <d v="2018-05-18T00:00:00"/>
    <s v="GREAT W."/>
    <s v="GREAT W. 4"/>
    <n v="1767.1875"/>
    <d v="2018-05-21T00:00:00"/>
    <n v="6"/>
    <x v="1"/>
  </r>
  <r>
    <d v="2018-05-26T00:00:00"/>
    <s v="001-00012378"/>
    <n v="1566"/>
    <n v="342.70260350000001"/>
    <n v="0"/>
    <n v="186.44"/>
    <n v="97.548749999999998"/>
    <n v="0"/>
    <n v="0"/>
    <n v="0"/>
    <n v="626.69135349999999"/>
    <n v="939.30864650000001"/>
    <n v="0.59981395051085573"/>
    <x v="0"/>
    <s v="MECANICA"/>
    <x v="1"/>
    <x v="1"/>
    <n v="7"/>
    <n v="1"/>
    <d v="2018-05-19T00:00:00"/>
    <s v="FORD"/>
    <s v="ESCAPE"/>
    <n v="478.46499999999997"/>
    <d v="2018-05-19T00:00:00"/>
    <n v="0"/>
    <x v="299"/>
  </r>
  <r>
    <d v="2018-05-23T00:00:00"/>
    <s v="001-00012380"/>
    <n v="1627"/>
    <n v="547.67239801000005"/>
    <n v="0"/>
    <n v="76.27"/>
    <n v="39.048749999999998"/>
    <n v="0"/>
    <n v="0"/>
    <n v="0"/>
    <n v="662.99114801000007"/>
    <n v="964.00885198999993"/>
    <n v="0.59250697725261214"/>
    <x v="0"/>
    <s v="MECANICA"/>
    <x v="1"/>
    <x v="1"/>
    <n v="2"/>
    <n v="1"/>
    <d v="2018-05-21T00:00:00"/>
    <s v="TOYOTA"/>
    <s v="HIACE"/>
    <n v="1150.5325"/>
    <d v="2018-05-21T00:00:00"/>
    <n v="0"/>
    <x v="871"/>
  </r>
  <r>
    <d v="2018-05-25T00:00:00"/>
    <s v="001-00012381"/>
    <n v="941.18397119999997"/>
    <n v="0"/>
    <n v="0"/>
    <n v="0"/>
    <n v="0"/>
    <n v="95.0625"/>
    <n v="123.955"/>
    <n v="0"/>
    <n v="219.01749999999998"/>
    <n v="722.16647119999993"/>
    <n v="0.76729576076316408"/>
    <x v="0"/>
    <s v="LEVE"/>
    <x v="1"/>
    <x v="1"/>
    <n v="6"/>
    <n v="1"/>
    <d v="2018-05-19T00:00:00"/>
    <s v="MAZDA"/>
    <s v="MAZDA 3"/>
    <n v="0"/>
    <d v="2018-05-21T00:00:00"/>
    <n v="6.5"/>
    <x v="950"/>
  </r>
  <r>
    <d v="2018-05-25T00:00:00"/>
    <s v="001-00012383"/>
    <n v="277.77999149999999"/>
    <n v="0"/>
    <n v="0"/>
    <n v="0"/>
    <n v="0"/>
    <n v="29.25"/>
    <n v="61.977499999999999"/>
    <n v="0"/>
    <n v="91.227499999999992"/>
    <n v="186.5524915"/>
    <n v="0.6715836172815205"/>
    <x v="0"/>
    <s v="LEVE"/>
    <x v="1"/>
    <x v="1"/>
    <n v="4"/>
    <n v="1"/>
    <d v="2018-05-21T00:00:00"/>
    <s v="MAZDA"/>
    <s v="CX-5"/>
    <n v="0"/>
    <d v="2018-05-23T00:00:00"/>
    <n v="2"/>
    <x v="259"/>
  </r>
  <r>
    <d v="2018-05-21T00:00:00"/>
    <s v="001-00012384"/>
    <n v="50"/>
    <n v="21.232201"/>
    <n v="0"/>
    <n v="0"/>
    <n v="4.3874999999999993"/>
    <n v="0"/>
    <n v="0"/>
    <n v="0"/>
    <n v="25.619700999999999"/>
    <n v="24.380299000000001"/>
    <n v="0.48760597999999999"/>
    <x v="0"/>
    <s v="MECANICA"/>
    <x v="1"/>
    <x v="1"/>
    <n v="2"/>
    <n v="1"/>
    <d v="2018-05-19T00:00:00"/>
    <s v="CHEVROLET"/>
    <s v="CRUZE"/>
    <n v="50.147500000000001"/>
    <d v="2018-05-21T00:00:00"/>
    <n v="0"/>
    <x v="236"/>
  </r>
  <r>
    <d v="2018-05-29T00:00:00"/>
    <s v="001-00012385"/>
    <n v="921.28987630078029"/>
    <n v="0"/>
    <n v="0"/>
    <n v="20"/>
    <n v="0"/>
    <n v="36.5625"/>
    <n v="179.11497500000002"/>
    <n v="0"/>
    <n v="235.67747500000002"/>
    <n v="685.61240130078022"/>
    <n v="0.74418749075339163"/>
    <x v="1"/>
    <s v="LEVE"/>
    <x v="1"/>
    <x v="1"/>
    <n v="8"/>
    <n v="1"/>
    <d v="2018-05-21T00:00:00"/>
    <s v="KIA"/>
    <s v="SPORTAGE"/>
    <n v="794.20249999999999"/>
    <d v="2018-05-22T00:00:00"/>
    <n v="2.5"/>
    <x v="1"/>
  </r>
  <r>
    <d v="2018-05-30T00:00:00"/>
    <s v="001-00012386"/>
    <n v="83.415157157630006"/>
    <n v="0"/>
    <n v="0"/>
    <n v="0"/>
    <n v="0"/>
    <n v="0"/>
    <n v="0"/>
    <n v="0"/>
    <n v="0"/>
    <n v="83.415157157630006"/>
    <n v="1"/>
    <x v="0"/>
    <s v="MEDIANO"/>
    <x v="1"/>
    <x v="1"/>
    <n v="9"/>
    <n v="1"/>
    <d v="2018-05-21T00:00:00"/>
    <s v="MAZDA"/>
    <s v="MAZDA 2"/>
    <n v="0"/>
    <d v="2018-05-21T00:00:00"/>
    <n v="0"/>
    <x v="951"/>
  </r>
  <r>
    <d v="2018-05-30T00:00:00"/>
    <s v="001-00012387"/>
    <n v="562.69148284999994"/>
    <n v="0"/>
    <n v="0"/>
    <n v="88.855932203389841"/>
    <n v="0"/>
    <n v="43.875"/>
    <n v="61.977499999999999"/>
    <n v="0"/>
    <n v="194.70843220338983"/>
    <n v="367.98305064661008"/>
    <n v="0.65396946970442338"/>
    <x v="2"/>
    <s v="LEVE"/>
    <x v="1"/>
    <x v="1"/>
    <n v="9"/>
    <n v="1"/>
    <d v="2018-05-21T00:00:00"/>
    <s v="HONDA"/>
    <s v="CR-V"/>
    <n v="429"/>
    <d v="2018-05-22T00:00:00"/>
    <n v="3"/>
    <x v="2"/>
  </r>
  <r>
    <d v="2018-05-26T00:00:00"/>
    <s v="001-00012389"/>
    <n v="944"/>
    <n v="76.85600190000001"/>
    <n v="42.370000000000005"/>
    <n v="0"/>
    <n v="39.048749999999998"/>
    <n v="0"/>
    <n v="0"/>
    <n v="0"/>
    <n v="158.27475190000001"/>
    <n v="785.72524810000004"/>
    <n v="0.83233606790254244"/>
    <x v="0"/>
    <s v="MECANICA"/>
    <x v="1"/>
    <x v="1"/>
    <n v="5"/>
    <n v="1"/>
    <d v="2018-05-21T00:00:00"/>
    <s v="HYUNDAI"/>
    <s v="I30"/>
    <n v="0"/>
    <d v="2018-05-21T00:00:00"/>
    <n v="0"/>
    <x v="952"/>
  </r>
  <r>
    <d v="2018-05-26T00:00:00"/>
    <s v="001-00012392"/>
    <n v="1050.6398819999999"/>
    <n v="0"/>
    <n v="0"/>
    <n v="0"/>
    <n v="0"/>
    <n v="102.375"/>
    <n v="247.91"/>
    <n v="0"/>
    <n v="350.28499999999997"/>
    <n v="700.35488199999998"/>
    <n v="0.6665984168303255"/>
    <x v="0"/>
    <s v="LEVE"/>
    <x v="1"/>
    <x v="1"/>
    <n v="4"/>
    <n v="1"/>
    <d v="2018-05-22T00:00:00"/>
    <s v="AUDI"/>
    <s v="TT"/>
    <n v="0"/>
    <d v="2018-05-22T00:00:00"/>
    <n v="7"/>
    <x v="953"/>
  </r>
  <r>
    <d v="2018-05-22T00:00:00"/>
    <s v="001-00012393"/>
    <n v="539"/>
    <n v="167.2959999"/>
    <n v="0"/>
    <n v="0"/>
    <n v="53.673749999999998"/>
    <n v="0"/>
    <n v="0"/>
    <n v="0"/>
    <n v="220.96974990000001"/>
    <n v="318.03025009999999"/>
    <n v="0.59003756975881261"/>
    <x v="0"/>
    <s v="MECANICA"/>
    <x v="1"/>
    <x v="1"/>
    <n v="0"/>
    <n v="1"/>
    <d v="2018-05-22T00:00:00"/>
    <s v="KIA"/>
    <s v="RIO"/>
    <n v="90.252499999999998"/>
    <d v="2018-05-21T00:00:00"/>
    <n v="0"/>
    <x v="954"/>
  </r>
  <r>
    <d v="2018-05-26T00:00:00"/>
    <s v="001-00012395"/>
    <n v="1662.7950000000001"/>
    <n v="0"/>
    <n v="0"/>
    <n v="68.855932203389841"/>
    <n v="0"/>
    <n v="175.5"/>
    <n v="278.89875000000001"/>
    <n v="0"/>
    <n v="523.25468220338985"/>
    <n v="1139.5403177966102"/>
    <n v="0.68531618016448825"/>
    <x v="0"/>
    <s v="MEDIANO"/>
    <x v="1"/>
    <x v="1"/>
    <n v="4"/>
    <n v="1"/>
    <d v="2018-05-22T00:00:00"/>
    <s v="NISSAN"/>
    <s v="VERSA"/>
    <n v="0"/>
    <d v="2018-05-22T00:00:00"/>
    <n v="12"/>
    <x v="955"/>
  </r>
  <r>
    <d v="2018-05-29T00:00:00"/>
    <s v="001-00012396"/>
    <n v="900"/>
    <n v="426.4299972"/>
    <n v="169.49"/>
    <n v="0"/>
    <n v="39.048749999999998"/>
    <n v="0"/>
    <n v="0"/>
    <n v="0"/>
    <n v="634.96874720000005"/>
    <n v="265.03125279999995"/>
    <n v="0.29447916977777772"/>
    <x v="0"/>
    <s v="MECANICA"/>
    <x v="1"/>
    <x v="1"/>
    <n v="7"/>
    <n v="1"/>
    <d v="2018-05-22T00:00:00"/>
    <s v="NISSAN"/>
    <s v="FRONTIER"/>
    <n v="451.36"/>
    <d v="2018-05-22T00:00:00"/>
    <n v="0"/>
    <x v="157"/>
  </r>
  <r>
    <d v="2018-05-25T00:00:00"/>
    <s v="001-00012399"/>
    <n v="163.39999499999999"/>
    <n v="0"/>
    <n v="0"/>
    <n v="186.9615254237288"/>
    <n v="2.9250000000000003"/>
    <n v="43.875"/>
    <n v="154.94374999999999"/>
    <n v="0"/>
    <n v="388.70527542372884"/>
    <n v="-225.30528042372885"/>
    <n v="-1.3788573275276346"/>
    <x v="1"/>
    <s v="LEVE"/>
    <x v="1"/>
    <x v="1"/>
    <n v="3"/>
    <n v="1"/>
    <d v="2018-05-22T00:00:00"/>
    <s v="VOLKSWAGEN"/>
    <s v="BORA"/>
    <n v="0"/>
    <s v="F/Fecha"/>
    <n v="0"/>
    <x v="956"/>
  </r>
  <r>
    <d v="2018-05-29T00:00:00"/>
    <s v="001-00012400"/>
    <n v="550.5555712262701"/>
    <n v="0"/>
    <n v="0"/>
    <n v="20.656779661016948"/>
    <n v="0"/>
    <n v="43.875"/>
    <n v="77.471874999999997"/>
    <n v="0"/>
    <n v="142.00365466101692"/>
    <n v="408.55191656525318"/>
    <n v="0.74207207758387106"/>
    <x v="1"/>
    <s v="LEVE"/>
    <x v="1"/>
    <x v="1"/>
    <n v="6"/>
    <n v="1"/>
    <d v="2018-05-23T00:00:00"/>
    <s v="KIA"/>
    <s v="SPORTAGE"/>
    <n v="420.12750000000005"/>
    <d v="2018-05-08T00:00:00"/>
    <n v="3"/>
    <x v="1"/>
  </r>
  <r>
    <d v="2018-05-24T00:00:00"/>
    <s v="001-00012402"/>
    <n v="469"/>
    <n v="157.03559970000003"/>
    <n v="0"/>
    <n v="0"/>
    <n v="39.048749999999998"/>
    <n v="0"/>
    <n v="0"/>
    <n v="0"/>
    <n v="196.08434970000002"/>
    <n v="272.91565029999998"/>
    <n v="0.58190970213219617"/>
    <x v="0"/>
    <s v="MECANICA"/>
    <x v="1"/>
    <x v="1"/>
    <n v="1"/>
    <n v="1"/>
    <d v="2018-05-23T00:00:00"/>
    <s v="HYUNDAI"/>
    <s v="ACCENT"/>
    <n v="120.3475"/>
    <d v="2018-05-23T00:00:00"/>
    <n v="0"/>
    <x v="110"/>
  </r>
  <r>
    <d v="2018-05-30T00:00:00"/>
    <s v="001-00012404"/>
    <n v="1350.520618248139"/>
    <n v="0"/>
    <n v="0"/>
    <n v="39.542372881355931"/>
    <n v="0"/>
    <n v="146.25"/>
    <n v="167.33925000000002"/>
    <n v="0"/>
    <n v="353.13162288135595"/>
    <n v="997.38899536678309"/>
    <n v="0.73852185734163078"/>
    <x v="1"/>
    <s v="MEDIANO"/>
    <x v="1"/>
    <x v="1"/>
    <n v="7"/>
    <n v="1"/>
    <d v="2018-05-23T00:00:00"/>
    <s v="TOYOTA"/>
    <s v="RAV4"/>
    <n v="0"/>
    <d v="2018-05-23T00:00:00"/>
    <n v="10"/>
    <x v="1"/>
  </r>
  <r>
    <d v="2018-05-24T00:00:00"/>
    <s v="001-00012409"/>
    <n v="545"/>
    <n v="209.16339999999997"/>
    <n v="0"/>
    <n v="0"/>
    <n v="39.048749999999998"/>
    <n v="0"/>
    <n v="0"/>
    <n v="0"/>
    <n v="248.21214999999995"/>
    <n v="296.78785000000005"/>
    <n v="0.5445648623853212"/>
    <x v="0"/>
    <s v="MECANICA"/>
    <x v="1"/>
    <x v="1"/>
    <n v="0"/>
    <n v="1"/>
    <d v="2018-05-24T00:00:00"/>
    <s v="KIA"/>
    <s v="CARENS"/>
    <n v="486.49250000000001"/>
    <d v="2018-05-24T00:00:00"/>
    <n v="0"/>
    <x v="884"/>
  </r>
  <r>
    <d v="2018-05-24T00:00:00"/>
    <s v="001-00012410"/>
    <n v="450"/>
    <n v="138.68070219999998"/>
    <n v="0"/>
    <n v="0"/>
    <n v="39.048749999999998"/>
    <n v="0"/>
    <n v="0"/>
    <n v="0"/>
    <n v="177.72945219999997"/>
    <n v="272.27054780000003"/>
    <n v="0.60504566177777785"/>
    <x v="0"/>
    <s v="MECANICA"/>
    <x v="1"/>
    <x v="1"/>
    <n v="0"/>
    <n v="1"/>
    <d v="2018-05-24T00:00:00"/>
    <s v="SUZUKI"/>
    <s v="ERTIGA"/>
    <n v="0"/>
    <d v="2018-05-24T00:00:00"/>
    <n v="0"/>
    <x v="656"/>
  </r>
  <r>
    <d v="2018-05-24T00:00:00"/>
    <s v="001-00012411"/>
    <n v="604.39828"/>
    <n v="88.989999799999993"/>
    <n v="0"/>
    <n v="0"/>
    <n v="68.298749999999998"/>
    <n v="0"/>
    <n v="0"/>
    <n v="0"/>
    <n v="157.28874980000001"/>
    <n v="447.10953019999999"/>
    <n v="0.73975976602713034"/>
    <x v="0"/>
    <s v="MECANICA"/>
    <x v="1"/>
    <x v="1"/>
    <n v="0"/>
    <n v="1"/>
    <d v="2018-05-24T00:00:00"/>
    <s v="SUZUKI"/>
    <s v="VITARA"/>
    <n v="240.72749999999996"/>
    <d v="2018-05-24T00:00:00"/>
    <n v="0"/>
    <x v="957"/>
  </r>
  <r>
    <d v="2018-05-31T00:00:00"/>
    <s v="001-00012415"/>
    <n v="1214.5219379186401"/>
    <n v="0.42370000000000002"/>
    <n v="123.955"/>
    <n v="131.35474576271187"/>
    <n v="0"/>
    <n v="51.1875"/>
    <n v="185.9325"/>
    <n v="0"/>
    <n v="492.85344576271189"/>
    <n v="721.66849215592822"/>
    <n v="0.59419963495486261"/>
    <x v="1"/>
    <s v="LEVE"/>
    <x v="1"/>
    <x v="1"/>
    <n v="7"/>
    <n v="1"/>
    <d v="2018-05-24T00:00:00"/>
    <s v="SUZUKI"/>
    <s v="SWIFT"/>
    <n v="651.10500000000002"/>
    <d v="2018-05-22T00:00:00"/>
    <n v="3.5"/>
    <x v="1"/>
  </r>
  <r>
    <d v="2018-05-31T00:00:00"/>
    <s v="001-00012418"/>
    <n v="59.321998999999998"/>
    <n v="2.0339998800000001"/>
    <n v="0"/>
    <n v="58.599999999999994"/>
    <n v="0"/>
    <n v="0"/>
    <n v="0"/>
    <n v="0"/>
    <n v="60.633999879999998"/>
    <n v="-1.3120008799999994"/>
    <n v="-2.2116599273736534E-2"/>
    <x v="0"/>
    <s v="MECANICA"/>
    <x v="1"/>
    <x v="1"/>
    <n v="7"/>
    <n v="1"/>
    <d v="2018-05-24T00:00:00"/>
    <s v="HYUNDAI"/>
    <s v="ACCENT"/>
    <n v="0"/>
    <d v="2018-05-24T00:00:00"/>
    <n v="0"/>
    <x v="958"/>
  </r>
  <r>
    <d v="2018-05-29T00:00:00"/>
    <s v="001-00012425"/>
    <n v="1944"/>
    <n v="700.16999309999994"/>
    <n v="190.01"/>
    <n v="0"/>
    <n v="117"/>
    <n v="0"/>
    <n v="0"/>
    <n v="0"/>
    <n v="1007.1799930999999"/>
    <n v="936.82000690000007"/>
    <n v="0.48190329573045271"/>
    <x v="0"/>
    <s v="MECANICA"/>
    <x v="1"/>
    <x v="1"/>
    <n v="5"/>
    <n v="1"/>
    <d v="2018-05-24T00:00:00"/>
    <s v="NISSAN"/>
    <s v="FRONTIER"/>
    <n v="1018.1274999999999"/>
    <d v="2018-05-25T00:00:00"/>
    <n v="0"/>
    <x v="157"/>
  </r>
  <r>
    <d v="2018-05-30T00:00:00"/>
    <s v="001-00012428"/>
    <n v="625.61449565120006"/>
    <n v="0"/>
    <n v="0"/>
    <n v="34.427966101694921"/>
    <n v="0"/>
    <n v="73.125"/>
    <n v="92.966250000000002"/>
    <n v="0"/>
    <n v="200.51921610169492"/>
    <n v="425.09527954950511"/>
    <n v="0.67948438296178681"/>
    <x v="0"/>
    <s v="LEVE"/>
    <x v="1"/>
    <x v="1"/>
    <n v="6"/>
    <n v="1"/>
    <d v="2018-05-24T00:00:00"/>
    <s v="HYUNDAI"/>
    <s v="ACCENT"/>
    <n v="0"/>
    <d v="2018-05-25T00:00:00"/>
    <n v="5"/>
    <x v="959"/>
  </r>
  <r>
    <d v="2018-05-26T00:00:00"/>
    <s v="001-00012432"/>
    <n v="533.8983199999999"/>
    <n v="411.10000999999988"/>
    <n v="0"/>
    <n v="0"/>
    <n v="68.298749999999998"/>
    <n v="0"/>
    <n v="0"/>
    <n v="0"/>
    <n v="479.39875999999987"/>
    <n v="54.499560000000031"/>
    <n v="0.10207853810066314"/>
    <x v="0"/>
    <s v="MECANICA"/>
    <x v="1"/>
    <x v="1"/>
    <n v="1"/>
    <n v="1"/>
    <d v="2018-05-25T00:00:00"/>
    <s v="CHEVROLET"/>
    <s v="CRUZE"/>
    <n v="818.51250000000005"/>
    <d v="2018-05-28T00:00:00"/>
    <n v="0"/>
    <x v="236"/>
  </r>
  <r>
    <d v="2018-05-28T00:00:00"/>
    <s v="001-00012447"/>
    <n v="180.09950754000002"/>
    <n v="0"/>
    <n v="96.394999999999996"/>
    <n v="0"/>
    <n v="0"/>
    <n v="0"/>
    <n v="0"/>
    <n v="0"/>
    <n v="96.394999999999996"/>
    <n v="83.704507540000023"/>
    <n v="0.46476810893782866"/>
    <x v="0"/>
    <s v="MECANICA"/>
    <x v="1"/>
    <x v="1"/>
    <n v="0"/>
    <n v="1"/>
    <d v="2018-05-28T00:00:00"/>
    <s v="HYUNDAI"/>
    <s v="ACCENT"/>
    <n v="0"/>
    <d v="2018-05-28T00:00:00"/>
    <n v="0"/>
    <x v="960"/>
  </r>
  <r>
    <d v="2018-05-28T00:00:00"/>
    <s v="001-00012448"/>
    <n v="249"/>
    <n v="50.513600900000007"/>
    <n v="0"/>
    <n v="0"/>
    <n v="39.048749999999998"/>
    <n v="0"/>
    <n v="0"/>
    <n v="0"/>
    <n v="89.562350900000013"/>
    <n v="159.43764909999999"/>
    <n v="0.64031184377510031"/>
    <x v="0"/>
    <s v="MECANICA"/>
    <x v="1"/>
    <x v="1"/>
    <n v="0"/>
    <n v="1"/>
    <d v="2018-05-28T00:00:00"/>
    <s v="CHEVROLET"/>
    <s v="PRISMA"/>
    <n v="0"/>
    <d v="2018-05-28T00:00:00"/>
    <n v="0"/>
    <x v="961"/>
  </r>
  <r>
    <d v="2018-05-28T00:00:00"/>
    <s v="001-00012450"/>
    <n v="515"/>
    <n v="119.22999799999999"/>
    <n v="42.38"/>
    <n v="38.14"/>
    <n v="39.048749999999998"/>
    <n v="0"/>
    <n v="0"/>
    <n v="0"/>
    <n v="238.79874799999999"/>
    <n v="276.20125200000001"/>
    <n v="0.53631311067961163"/>
    <x v="0"/>
    <s v="MECANICA"/>
    <x v="1"/>
    <x v="1"/>
    <n v="0"/>
    <n v="1"/>
    <d v="2018-05-28T00:00:00"/>
    <s v="KIA"/>
    <s v="RIO"/>
    <n v="235.7225"/>
    <d v="2018-05-28T00:00:00"/>
    <n v="0"/>
    <x v="638"/>
  </r>
  <r>
    <d v="2018-05-29T00:00:00"/>
    <s v="001-00012453"/>
    <n v="349"/>
    <n v="69.383600900000005"/>
    <n v="0"/>
    <n v="0"/>
    <n v="39.048749999999998"/>
    <n v="0"/>
    <n v="0"/>
    <n v="0"/>
    <n v="108.4323509"/>
    <n v="240.56764909999998"/>
    <n v="0.68930558481375348"/>
    <x v="0"/>
    <s v="MECANICA"/>
    <x v="1"/>
    <x v="1"/>
    <n v="0"/>
    <n v="1"/>
    <d v="2018-05-29T00:00:00"/>
    <s v="NISSAN"/>
    <s v="VERSA"/>
    <n v="0"/>
    <d v="2018-05-29T00:00:00"/>
    <n v="0"/>
    <x v="962"/>
  </r>
  <r>
    <d v="2018-05-30T00:00:00"/>
    <s v="001-00012464"/>
    <n v="249"/>
    <n v="50.803600900000006"/>
    <n v="0"/>
    <n v="0"/>
    <n v="39.048749999999998"/>
    <n v="0"/>
    <n v="0"/>
    <n v="0"/>
    <n v="89.852350900000005"/>
    <n v="159.1476491"/>
    <n v="0.63914718514056224"/>
    <x v="0"/>
    <s v="MECANICA"/>
    <x v="1"/>
    <x v="1"/>
    <n v="1"/>
    <n v="1"/>
    <d v="2018-05-29T00:00:00"/>
    <s v="KIA"/>
    <s v="RIO"/>
    <n v="0"/>
    <d v="2018-05-30T00:00:00"/>
    <n v="0"/>
    <x v="167"/>
  </r>
  <r>
    <d v="2018-05-30T00:00:00"/>
    <s v="001-00012470"/>
    <n v="838.79660000000001"/>
    <n v="112.396299"/>
    <n v="76.27"/>
    <n v="88.990000000000009"/>
    <n v="39.048749999999998"/>
    <n v="0"/>
    <n v="0"/>
    <n v="0"/>
    <n v="316.70504899999997"/>
    <n v="522.09155099999998"/>
    <n v="0.62242926473474014"/>
    <x v="0"/>
    <s v="MECANICA"/>
    <x v="1"/>
    <x v="1"/>
    <n v="0"/>
    <n v="1"/>
    <d v="2018-05-30T00:00:00"/>
    <s v="NISSAN"/>
    <s v="VERSA"/>
    <n v="503.52250000000004"/>
    <d v="2018-05-30T00:00:00"/>
    <n v="0"/>
    <x v="577"/>
  </r>
  <r>
    <d v="2018-05-31T00:00:00"/>
    <s v="001-00012480"/>
    <n v="225"/>
    <n v="51.227300900000003"/>
    <n v="0"/>
    <n v="0"/>
    <n v="39.048749999999998"/>
    <n v="0"/>
    <n v="0"/>
    <n v="0"/>
    <n v="90.276050900000001"/>
    <n v="134.7239491"/>
    <n v="0.59877310711111109"/>
    <x v="0"/>
    <s v="MECANICA"/>
    <x v="1"/>
    <x v="1"/>
    <n v="0"/>
    <n v="1"/>
    <d v="2018-05-31T00:00:00"/>
    <s v="KIA"/>
    <s v="RIO"/>
    <n v="0"/>
    <d v="2018-05-31T00:00:00"/>
    <n v="0"/>
    <x v="157"/>
  </r>
  <r>
    <d v="2018-05-31T00:00:00"/>
    <s v="001-00012481"/>
    <n v="249"/>
    <n v="50.803600900000006"/>
    <n v="0"/>
    <n v="0"/>
    <n v="39.048749999999998"/>
    <n v="0"/>
    <n v="0"/>
    <n v="0"/>
    <n v="89.852350900000005"/>
    <n v="159.1476491"/>
    <n v="0.63914718514056224"/>
    <x v="0"/>
    <s v="MECANICA"/>
    <x v="1"/>
    <x v="1"/>
    <n v="0"/>
    <n v="1"/>
    <d v="2018-05-31T00:00:00"/>
    <s v="HYUNDAI"/>
    <s v="ELANTRA"/>
    <n v="0"/>
    <d v="2018-05-31T00:00:00"/>
    <n v="0"/>
    <x v="27"/>
  </r>
  <r>
    <d v="2018-05-31T00:00:00"/>
    <s v="001-00012482"/>
    <n v="506.62710200000004"/>
    <n v="111.13770270000001"/>
    <n v="0"/>
    <n v="0"/>
    <n v="39.048749999999998"/>
    <n v="0"/>
    <n v="0"/>
    <n v="0"/>
    <n v="150.18645270000002"/>
    <n v="356.44064930000002"/>
    <n v="0.70355622092242509"/>
    <x v="0"/>
    <s v="MECANICA"/>
    <x v="1"/>
    <x v="1"/>
    <n v="0"/>
    <n v="1"/>
    <d v="2018-05-31T00:00:00"/>
    <s v="SUZUKI"/>
    <s v="ERTIGA"/>
    <n v="0"/>
    <d v="2018-05-31T00:00:00"/>
    <n v="0"/>
    <x v="963"/>
  </r>
  <r>
    <d v="2018-06-28T00:00:00"/>
    <s v="001-00010705"/>
    <n v="1817.5960555500001"/>
    <n v="0"/>
    <n v="0"/>
    <n v="40.656779661016948"/>
    <n v="16.087500000000002"/>
    <n v="175.5"/>
    <n v="278.89875000000001"/>
    <n v="0"/>
    <n v="511.14302966101695"/>
    <n v="1306.4530258889831"/>
    <n v="0.7187807334307037"/>
    <x v="1"/>
    <s v="MEDIANO"/>
    <x v="2"/>
    <x v="1"/>
    <n v="248"/>
    <n v="1"/>
    <d v="2017-10-23T00:00:00"/>
    <s v="CHEVROLET"/>
    <s v="SAIL"/>
    <n v="1723.5725000000002"/>
    <d v="2018-06-19T00:00:00"/>
    <n v="12"/>
    <x v="1"/>
  </r>
  <r>
    <d v="2018-06-26T00:00:00"/>
    <s v="001-00011630"/>
    <n v="29.475000900000005"/>
    <n v="0"/>
    <n v="0"/>
    <n v="16.95"/>
    <n v="10.237499999999999"/>
    <n v="0"/>
    <n v="0"/>
    <n v="0"/>
    <n v="27.1875"/>
    <n v="2.2875009000000048"/>
    <n v="7.7608170658274842E-2"/>
    <x v="1"/>
    <s v="LEVE"/>
    <x v="2"/>
    <x v="1"/>
    <n v="131"/>
    <n v="1"/>
    <d v="2018-02-15T00:00:00"/>
    <s v="KIA"/>
    <s v="SORENTO"/>
    <n v="4212.8450000000003"/>
    <d v="2018-02-13T00:00:00"/>
    <n v="0"/>
    <x v="1"/>
  </r>
  <r>
    <d v="2018-05-22T00:00:00"/>
    <s v="001-00011684"/>
    <n v="3481.8795136657573"/>
    <n v="6.0859002000000002"/>
    <n v="0"/>
    <n v="137.71186440677968"/>
    <n v="43.875"/>
    <n v="409.5"/>
    <n v="449.33687499999996"/>
    <n v="0"/>
    <n v="1046.5096396067797"/>
    <n v="2435.3698740589775"/>
    <n v="0.69944116805322654"/>
    <x v="1"/>
    <s v="MEDIANO"/>
    <x v="1"/>
    <x v="1"/>
    <n v="89"/>
    <n v="1"/>
    <d v="2018-02-22T00:00:00"/>
    <s v="CHEVROLET"/>
    <s v="SAIL"/>
    <n v="4703.8549999999996"/>
    <d v="2018-02-28T00:00:00"/>
    <n v="28"/>
    <x v="555"/>
  </r>
  <r>
    <d v="2018-06-09T00:00:00"/>
    <s v="001-00011746"/>
    <n v="4023.9978388999998"/>
    <n v="0.67799996000000007"/>
    <n v="148.30000000000001"/>
    <n v="176.38033898305085"/>
    <n v="156.48749999999998"/>
    <n v="321.75"/>
    <n v="495.82"/>
    <n v="0"/>
    <n v="1299.4158389430509"/>
    <n v="2724.5819999569489"/>
    <n v="0.6770833656068117"/>
    <x v="1"/>
    <s v="MEDIANO"/>
    <x v="2"/>
    <x v="1"/>
    <n v="99"/>
    <n v="1"/>
    <d v="2018-03-02T00:00:00"/>
    <s v="HYUNDAI"/>
    <s v="ACCENT"/>
    <n v="10692.3375"/>
    <d v="2018-03-05T00:00:00"/>
    <n v="22"/>
    <x v="964"/>
  </r>
  <r>
    <d v="2018-06-27T00:00:00"/>
    <s v="001-00011933"/>
    <n v="5535.4199442954223"/>
    <n v="0"/>
    <n v="0"/>
    <n v="233.05474576271186"/>
    <n v="97.987500000000011"/>
    <n v="760.5"/>
    <n v="557.79750000000001"/>
    <n v="0"/>
    <n v="1649.339745762712"/>
    <n v="3886.0801985327103"/>
    <n v="0.70203891260997209"/>
    <x v="1"/>
    <s v="GRAVE"/>
    <x v="2"/>
    <x v="1"/>
    <n v="95"/>
    <n v="1"/>
    <d v="2018-03-24T00:00:00"/>
    <s v="HYUNDAI"/>
    <s v="ACCENT"/>
    <n v="15975.764999999999"/>
    <d v="2018-04-03T00:00:00"/>
    <n v="52"/>
    <x v="1"/>
  </r>
  <r>
    <d v="2018-06-01T00:00:00"/>
    <s v="001-00012001"/>
    <n v="2140.05821963475"/>
    <n v="0"/>
    <n v="0"/>
    <n v="571.50677966101694"/>
    <n v="19.012500000000003"/>
    <n v="117"/>
    <n v="358.22995000000003"/>
    <n v="0"/>
    <n v="1065.7492296610171"/>
    <n v="1074.3089899737329"/>
    <n v="0.50199988959042818"/>
    <x v="1"/>
    <s v="MEDIANO"/>
    <x v="2"/>
    <x v="1"/>
    <n v="58"/>
    <n v="1"/>
    <d v="2018-04-04T00:00:00"/>
    <s v="HYUNDAI"/>
    <s v="TUCSON"/>
    <n v="11880.862500000001"/>
    <d v="2018-04-05T00:00:00"/>
    <n v="8"/>
    <x v="1"/>
  </r>
  <r>
    <d v="2018-06-05T00:00:00"/>
    <s v="001-00012046"/>
    <n v="86.734500000000011"/>
    <n v="0"/>
    <n v="0"/>
    <n v="0"/>
    <n v="0"/>
    <n v="7.3125"/>
    <n v="0"/>
    <n v="0"/>
    <n v="7.3125"/>
    <n v="79.422000000000011"/>
    <n v="0.9156909880151497"/>
    <x v="2"/>
    <s v="LEVE"/>
    <x v="2"/>
    <x v="1"/>
    <n v="57"/>
    <n v="1"/>
    <d v="2018-04-09T00:00:00"/>
    <s v="MITSUBISHI"/>
    <s v="MONTERO"/>
    <n v="2822.3649999999998"/>
    <d v="2018-04-09T00:00:00"/>
    <n v="0.5"/>
    <x v="2"/>
  </r>
  <r>
    <d v="2018-06-12T00:00:00"/>
    <s v="001-00012125"/>
    <n v="4925.2240352700001"/>
    <n v="1.1864999300000001"/>
    <n v="0"/>
    <n v="195.85237288135593"/>
    <n v="57.037500000000001"/>
    <n v="497.25"/>
    <n v="526.80875000000003"/>
    <n v="0"/>
    <n v="1278.1351228113558"/>
    <n v="3647.0889124586442"/>
    <n v="0.74049198297204188"/>
    <x v="1"/>
    <s v="GRAVE"/>
    <x v="2"/>
    <x v="1"/>
    <n v="56"/>
    <n v="1"/>
    <d v="2018-04-17T00:00:00"/>
    <s v="NISSAN"/>
    <s v="TIIDA"/>
    <n v="2708.9074999999998"/>
    <d v="2018-04-19T00:00:00"/>
    <n v="34"/>
    <x v="1"/>
  </r>
  <r>
    <d v="2018-06-07T00:00:00"/>
    <s v="001-00012133"/>
    <n v="2298.7838010967807"/>
    <n v="867.99956999999995"/>
    <n v="0"/>
    <n v="123.9406779661017"/>
    <n v="0"/>
    <n v="234"/>
    <n v="309.26772499999998"/>
    <n v="0"/>
    <n v="1535.2079729661016"/>
    <n v="763.57582813067916"/>
    <n v="0.33216513347900173"/>
    <x v="1"/>
    <s v="MEDIANO"/>
    <x v="2"/>
    <x v="1"/>
    <n v="50"/>
    <n v="1"/>
    <d v="2018-04-18T00:00:00"/>
    <s v="KIA"/>
    <s v="RIO"/>
    <n v="4110.9575000000004"/>
    <d v="2018-04-23T00:00:00"/>
    <n v="16"/>
    <x v="1"/>
  </r>
  <r>
    <d v="2018-06-22T00:00:00"/>
    <s v="001-00012178"/>
    <n v="3863.9126433899996"/>
    <n v="5.4759001999999999"/>
    <n v="223.14499999999998"/>
    <n v="311.31779661016952"/>
    <n v="38.025000000000006"/>
    <n v="321.75"/>
    <n v="433.84250000000003"/>
    <n v="0"/>
    <n v="1333.5561968101695"/>
    <n v="2530.3564465798299"/>
    <n v="0.65486895799999878"/>
    <x v="1"/>
    <s v="MEDIANO"/>
    <x v="2"/>
    <x v="1"/>
    <n v="58"/>
    <n v="1"/>
    <d v="2018-04-25T00:00:00"/>
    <s v="KIA"/>
    <s v="CERATO"/>
    <n v="13868.5625"/>
    <d v="2018-05-05T00:00:00"/>
    <n v="22"/>
    <x v="1"/>
  </r>
  <r>
    <d v="2018-06-18T00:00:00"/>
    <s v="001-00012257"/>
    <n v="3389.5967024100005"/>
    <n v="0.42369999999999997"/>
    <n v="0"/>
    <n v="103.28389830508476"/>
    <n v="10.237499999999999"/>
    <n v="438.75"/>
    <n v="459.25327500000003"/>
    <n v="0"/>
    <n v="1011.9483733050848"/>
    <n v="2377.6483291049158"/>
    <n v="0.70145463836875044"/>
    <x v="1"/>
    <s v="GRAVE"/>
    <x v="2"/>
    <x v="1"/>
    <n v="42"/>
    <n v="1"/>
    <d v="2018-05-07T00:00:00"/>
    <s v="HYUNDAI"/>
    <s v="ELANTRA"/>
    <n v="6867.7375000000002"/>
    <d v="2018-05-08T00:00:00"/>
    <n v="30"/>
    <x v="1"/>
  </r>
  <r>
    <d v="2018-06-11T00:00:00"/>
    <s v="001-00012273"/>
    <n v="5225.9201188237312"/>
    <n v="1947.95"/>
    <n v="0"/>
    <n v="103.81237288135593"/>
    <n v="87.75"/>
    <n v="190.125"/>
    <n v="278.89875000000001"/>
    <n v="0"/>
    <n v="2608.5361228813558"/>
    <n v="2617.3839959423753"/>
    <n v="0.50084653734269202"/>
    <x v="0"/>
    <s v="MEDIANO"/>
    <x v="2"/>
    <x v="1"/>
    <n v="34"/>
    <n v="1"/>
    <d v="2018-05-08T00:00:00"/>
    <s v="KIA"/>
    <s v="RIO"/>
    <n v="2950.2525000000001"/>
    <d v="2018-06-09T00:00:00"/>
    <n v="13"/>
    <x v="270"/>
  </r>
  <r>
    <d v="2018-06-01T00:00:00"/>
    <s v="001-00012281"/>
    <n v="2241.9686365820312"/>
    <n v="0"/>
    <n v="0"/>
    <n v="83.56"/>
    <n v="0"/>
    <n v="351"/>
    <n v="227.45742500000003"/>
    <n v="0"/>
    <n v="662.017425"/>
    <n v="1579.9512115820312"/>
    <n v="0.70471601868201361"/>
    <x v="1"/>
    <s v="MEDIANO"/>
    <x v="2"/>
    <x v="1"/>
    <n v="23"/>
    <n v="1"/>
    <d v="2018-05-09T00:00:00"/>
    <s v="NISSAN"/>
    <s v="VERSA"/>
    <n v="1759.2900000000002"/>
    <d v="2018-05-09T00:00:00"/>
    <n v="24"/>
    <x v="1"/>
  </r>
  <r>
    <d v="2018-06-02T00:00:00"/>
    <s v="001-00012295"/>
    <n v="512.4185987190001"/>
    <n v="0"/>
    <n v="0"/>
    <n v="20"/>
    <n v="0"/>
    <n v="29.25"/>
    <n v="61.977499999999999"/>
    <n v="0"/>
    <n v="111.22749999999999"/>
    <n v="401.19109871900014"/>
    <n v="0.78293625508898668"/>
    <x v="1"/>
    <s v="LEVE"/>
    <x v="2"/>
    <x v="1"/>
    <n v="22"/>
    <n v="1"/>
    <d v="2018-05-11T00:00:00"/>
    <s v="MAZDA"/>
    <s v="CX-3"/>
    <n v="554.22249999999997"/>
    <d v="2018-05-11T00:00:00"/>
    <n v="2"/>
    <x v="1"/>
  </r>
  <r>
    <d v="2018-06-06T00:00:00"/>
    <s v="001-00012298"/>
    <n v="2679.7530563999999"/>
    <n v="0.84740000000000004"/>
    <n v="0"/>
    <n v="173.72949152542373"/>
    <n v="0"/>
    <n v="351"/>
    <n v="294.393125"/>
    <n v="0"/>
    <n v="819.97001652542372"/>
    <n v="1859.7830398745762"/>
    <n v="0.69401284399429797"/>
    <x v="1"/>
    <s v="MEDIANO"/>
    <x v="2"/>
    <x v="1"/>
    <n v="26"/>
    <n v="1"/>
    <d v="2018-05-11T00:00:00"/>
    <s v="TOYOTA"/>
    <s v="HILUX"/>
    <n v="2370.1925000000001"/>
    <d v="2018-05-14T00:00:00"/>
    <n v="24"/>
    <x v="906"/>
  </r>
  <r>
    <d v="2018-06-12T00:00:00"/>
    <s v="001-00012356"/>
    <n v="2830.0525040699999"/>
    <n v="0"/>
    <n v="0"/>
    <n v="76.27"/>
    <n v="2.9250000000000003"/>
    <n v="292.5"/>
    <n v="387.359375"/>
    <n v="0"/>
    <n v="759.05437499999994"/>
    <n v="2070.9981290699998"/>
    <n v="0.73178788241264892"/>
    <x v="1"/>
    <s v="MEDIANO"/>
    <x v="2"/>
    <x v="1"/>
    <n v="26"/>
    <n v="1"/>
    <d v="2018-05-17T00:00:00"/>
    <s v="AUDI"/>
    <s v="Q-5"/>
    <n v="10440.300000000001"/>
    <d v="2018-05-19T00:00:00"/>
    <n v="20"/>
    <x v="1"/>
  </r>
  <r>
    <d v="2018-06-07T00:00:00"/>
    <s v="001-00012369"/>
    <n v="349"/>
    <n v="86.71360150000001"/>
    <n v="0"/>
    <n v="0"/>
    <n v="39.048749999999998"/>
    <n v="0"/>
    <n v="0"/>
    <n v="0"/>
    <n v="125.76235150000001"/>
    <n v="223.23764849999998"/>
    <n v="0.63964942263610314"/>
    <x v="0"/>
    <s v="MECANICA"/>
    <x v="2"/>
    <x v="1"/>
    <n v="20"/>
    <n v="1"/>
    <d v="2018-05-18T00:00:00"/>
    <s v="FIAT"/>
    <s v="FIORINO"/>
    <n v="0"/>
    <d v="2018-05-18T00:00:00"/>
    <n v="0"/>
    <x v="871"/>
  </r>
  <r>
    <d v="2018-06-15T00:00:00"/>
    <s v="001-00012370"/>
    <n v="2648.7340040700001"/>
    <n v="2.4555000000000002"/>
    <n v="0"/>
    <n v="84.75"/>
    <n v="35.099999999999994"/>
    <n v="234"/>
    <n v="356.37062500000002"/>
    <n v="0"/>
    <n v="712.67612499999996"/>
    <n v="1936.0578790700001"/>
    <n v="0.73093707261472318"/>
    <x v="1"/>
    <s v="MEDIANO"/>
    <x v="2"/>
    <x v="1"/>
    <n v="28"/>
    <n v="1"/>
    <d v="2018-05-18T00:00:00"/>
    <s v="KIA"/>
    <s v="CERATO"/>
    <n v="2523.9500000000003"/>
    <d v="2018-05-19T00:00:00"/>
    <n v="16"/>
    <x v="629"/>
  </r>
  <r>
    <d v="2018-06-05T00:00:00"/>
    <s v="001-00012379"/>
    <n v="1635.4735839270002"/>
    <n v="0"/>
    <n v="0"/>
    <n v="96.926779661016951"/>
    <n v="29.25"/>
    <n v="204.75"/>
    <n v="139.449375"/>
    <n v="0"/>
    <n v="470.37615466101693"/>
    <n v="1165.0974292659832"/>
    <n v="0.71239146918437035"/>
    <x v="2"/>
    <s v="MEDIANO"/>
    <x v="2"/>
    <x v="1"/>
    <n v="17"/>
    <n v="1"/>
    <d v="2018-05-19T00:00:00"/>
    <s v="KIA"/>
    <s v="CERATO"/>
    <n v="5210.8874999999998"/>
    <d v="2018-05-22T00:00:00"/>
    <n v="14"/>
    <x v="2"/>
  </r>
  <r>
    <d v="2018-06-28T00:00:00"/>
    <s v="001-00012382"/>
    <n v="5708.1983022159329"/>
    <n v="7.2545002000000007"/>
    <n v="0"/>
    <n v="194.91949152542372"/>
    <n v="33.637499999999996"/>
    <n v="804.375"/>
    <n v="703.44462499999997"/>
    <n v="0"/>
    <n v="1743.6311167254239"/>
    <n v="3964.567185490509"/>
    <n v="0.69453914800953165"/>
    <x v="1"/>
    <s v="GRAVE"/>
    <x v="2"/>
    <x v="1"/>
    <n v="38"/>
    <n v="1"/>
    <d v="2018-05-21T00:00:00"/>
    <s v="NISSAN"/>
    <s v="VERSA"/>
    <n v="5587.4000000000005"/>
    <d v="2018-05-22T00:00:00"/>
    <n v="55"/>
    <x v="1"/>
  </r>
  <r>
    <d v="2018-06-01T00:00:00"/>
    <s v="001-00012390"/>
    <n v="762.06505652373016"/>
    <n v="0"/>
    <n v="0"/>
    <n v="27.542372881355934"/>
    <n v="0"/>
    <n v="65.8125"/>
    <n v="136.35050000000001"/>
    <n v="0"/>
    <n v="229.70537288135594"/>
    <n v="532.35968364237419"/>
    <n v="0.6985751138765105"/>
    <x v="1"/>
    <s v="LEVE"/>
    <x v="2"/>
    <x v="1"/>
    <n v="11"/>
    <n v="1"/>
    <d v="2018-05-21T00:00:00"/>
    <s v="MAZDA"/>
    <s v="MAZDA 3"/>
    <n v="482.43"/>
    <d v="2018-05-23T00:00:00"/>
    <n v="4.5"/>
    <x v="1"/>
  </r>
  <r>
    <d v="2018-06-01T00:00:00"/>
    <s v="001-00012391"/>
    <n v="1483.26077229576"/>
    <n v="0"/>
    <n v="0"/>
    <n v="61.313559322033896"/>
    <n v="0"/>
    <n v="175.5"/>
    <n v="185.9325"/>
    <n v="0"/>
    <n v="422.74605932203389"/>
    <n v="1060.5147129737261"/>
    <n v="0.71498871458205127"/>
    <x v="1"/>
    <s v="MEDIANO"/>
    <x v="2"/>
    <x v="1"/>
    <n v="10"/>
    <n v="1"/>
    <d v="2018-05-22T00:00:00"/>
    <s v="CHEVROLET"/>
    <s v="N300"/>
    <n v="181.41499999999999"/>
    <d v="2018-05-22T00:00:00"/>
    <n v="12"/>
    <x v="1"/>
  </r>
  <r>
    <d v="2018-06-12T00:00:00"/>
    <s v="001-00012394"/>
    <n v="859.47023942999999"/>
    <n v="0"/>
    <n v="0"/>
    <n v="0"/>
    <n v="0"/>
    <n v="73.125"/>
    <n v="154.32397500000002"/>
    <n v="0"/>
    <n v="227.44897500000002"/>
    <n v="632.02126442999997"/>
    <n v="0.73536143013998478"/>
    <x v="1"/>
    <s v="LEVE"/>
    <x v="2"/>
    <x v="1"/>
    <n v="21"/>
    <n v="1"/>
    <d v="2018-05-22T00:00:00"/>
    <s v="HYUNDAI"/>
    <s v="I20"/>
    <n v="2038.8225000000002"/>
    <d v="2018-05-23T00:00:00"/>
    <n v="5"/>
    <x v="965"/>
  </r>
  <r>
    <d v="2018-06-09T00:00:00"/>
    <s v="001-00012397"/>
    <n v="1555.6212158370001"/>
    <n v="0"/>
    <n v="20"/>
    <n v="113.22"/>
    <n v="14.625"/>
    <n v="102.375"/>
    <n v="262.78460000000001"/>
    <n v="0"/>
    <n v="513.00459999999998"/>
    <n v="1042.6166158370002"/>
    <n v="0.67022524842335829"/>
    <x v="1"/>
    <s v="LEVE"/>
    <x v="2"/>
    <x v="1"/>
    <n v="18"/>
    <n v="1"/>
    <d v="2018-05-22T00:00:00"/>
    <s v="SUZUKI"/>
    <s v="CELERIO"/>
    <n v="1425.06"/>
    <d v="2018-05-23T00:00:00"/>
    <n v="7"/>
    <x v="1"/>
  </r>
  <r>
    <d v="2018-06-01T00:00:00"/>
    <s v="001-00012398"/>
    <n v="1198.9777239788102"/>
    <n v="5.4759001999999999"/>
    <n v="0"/>
    <n v="84.75"/>
    <n v="13.1625"/>
    <n v="117"/>
    <n v="154.94374999999999"/>
    <n v="0"/>
    <n v="375.3321502"/>
    <n v="823.64557377881022"/>
    <n v="0.68695652747036917"/>
    <x v="1"/>
    <s v="MEDIANO"/>
    <x v="2"/>
    <x v="1"/>
    <n v="10"/>
    <n v="1"/>
    <d v="2018-05-22T00:00:00"/>
    <s v="KIA"/>
    <s v="PICANTO"/>
    <n v="1405.5925"/>
    <d v="2018-05-23T00:00:00"/>
    <n v="8"/>
    <x v="1"/>
  </r>
  <r>
    <d v="2018-05-25T00:00:00"/>
    <s v="001-00012399"/>
    <n v="1073.3083774680508"/>
    <n v="0"/>
    <n v="0"/>
    <n v="186.9615254237288"/>
    <n v="2.9250000000000003"/>
    <n v="43.875"/>
    <n v="154.94374999999999"/>
    <n v="0"/>
    <n v="388.70527542372884"/>
    <n v="684.60310204432199"/>
    <n v="0.63784380744265701"/>
    <x v="1"/>
    <s v="LEVE"/>
    <x v="1"/>
    <x v="1"/>
    <n v="3"/>
    <n v="1"/>
    <d v="2018-05-22T00:00:00"/>
    <s v="VOLKSWAGUEN"/>
    <s v="BORA"/>
    <n v="3043.8525"/>
    <d v="2018-05-23T00:00:00"/>
    <n v="3"/>
    <x v="956"/>
  </r>
  <r>
    <d v="2018-06-06T00:00:00"/>
    <s v="001-00012401"/>
    <n v="1661.0475000000004"/>
    <n v="0"/>
    <n v="0"/>
    <n v="178.39406779661016"/>
    <n v="0"/>
    <n v="117"/>
    <n v="247.91"/>
    <n v="0"/>
    <n v="543.30406779661018"/>
    <n v="1117.7434322033901"/>
    <n v="0.67291479154171674"/>
    <x v="1"/>
    <s v="LEVE"/>
    <x v="2"/>
    <x v="1"/>
    <n v="14"/>
    <n v="1"/>
    <d v="2018-05-23T00:00:00"/>
    <s v="CHEVROLET"/>
    <s v="SAIL"/>
    <n v="445.96499999999997"/>
    <d v="2018-05-23T00:00:00"/>
    <n v="8"/>
    <x v="1"/>
  </r>
  <r>
    <d v="2018-06-08T00:00:00"/>
    <s v="001-00012405"/>
    <n v="2957.0030906499996"/>
    <n v="7.5946001000000001"/>
    <n v="0"/>
    <n v="18"/>
    <n v="45.337500000000006"/>
    <n v="292.5"/>
    <n v="449.33687499999996"/>
    <n v="0"/>
    <n v="812.76897510000003"/>
    <n v="2144.2341155499998"/>
    <n v="0.72513759702518965"/>
    <x v="1"/>
    <s v="MEDIANO"/>
    <x v="2"/>
    <x v="1"/>
    <n v="16"/>
    <n v="1"/>
    <d v="2018-05-23T00:00:00"/>
    <s v="VOLKSWAGEN"/>
    <s v="GOL"/>
    <n v="8633.1374999999989"/>
    <d v="2018-05-24T00:00:00"/>
    <n v="20"/>
    <x v="1"/>
  </r>
  <r>
    <d v="2018-06-19T00:00:00"/>
    <s v="001-00012406"/>
    <n v="1787.81126781017"/>
    <n v="0"/>
    <n v="0"/>
    <n v="0"/>
    <n v="68.737500000000011"/>
    <n v="146.25"/>
    <n v="213.82237499999999"/>
    <n v="0"/>
    <n v="428.80987500000003"/>
    <n v="1359.0013928101698"/>
    <n v="0.76014813044263052"/>
    <x v="1"/>
    <s v="MEDIANO"/>
    <x v="2"/>
    <x v="1"/>
    <n v="27"/>
    <n v="1"/>
    <d v="2018-05-23T00:00:00"/>
    <s v="NISSAN"/>
    <s v="TIIDA"/>
    <n v="6403.6049999999996"/>
    <d v="2018-05-25T00:00:00"/>
    <n v="10"/>
    <x v="1"/>
  </r>
  <r>
    <d v="2018-06-02T00:00:00"/>
    <s v="001-00012408"/>
    <n v="1291.1985"/>
    <n v="0"/>
    <n v="0"/>
    <n v="93.22"/>
    <n v="30.712500000000002"/>
    <n v="117"/>
    <n v="133.87139999999999"/>
    <n v="0"/>
    <n v="374.8039"/>
    <n v="916.39459999999997"/>
    <n v="0.70972402771533583"/>
    <x v="1"/>
    <s v="MEDIANO"/>
    <x v="2"/>
    <x v="1"/>
    <n v="10"/>
    <n v="1"/>
    <d v="2018-05-23T00:00:00"/>
    <s v="KIA"/>
    <s v="SPORTAGE"/>
    <n v="1570.7574999999999"/>
    <d v="2018-05-25T00:00:00"/>
    <n v="8"/>
    <x v="1"/>
  </r>
  <r>
    <d v="2018-06-04T00:00:00"/>
    <s v="001-00012412"/>
    <n v="531.89031722699997"/>
    <n v="0"/>
    <n v="0"/>
    <n v="0"/>
    <n v="0"/>
    <n v="20.474999999999998"/>
    <n v="61.977499999999999"/>
    <n v="0"/>
    <n v="82.452500000000001"/>
    <n v="449.43781722699998"/>
    <n v="0.84498213761464103"/>
    <x v="1"/>
    <s v="LEVE"/>
    <x v="2"/>
    <x v="1"/>
    <n v="11"/>
    <n v="1"/>
    <d v="2018-05-24T00:00:00"/>
    <s v="HYUNDAI"/>
    <s v="I30"/>
    <n v="161.8175"/>
    <d v="2018-05-26T00:00:00"/>
    <n v="1.4"/>
    <x v="95"/>
  </r>
  <r>
    <d v="2018-06-07T00:00:00"/>
    <s v="001-00012413"/>
    <n v="1784.1536672781408"/>
    <n v="0"/>
    <n v="0"/>
    <n v="0"/>
    <n v="0"/>
    <n v="117"/>
    <n v="232.41562500000001"/>
    <n v="0"/>
    <n v="349.41562499999998"/>
    <n v="1434.7380422781407"/>
    <n v="0.80415609293729751"/>
    <x v="1"/>
    <s v="MEDIANO"/>
    <x v="2"/>
    <x v="1"/>
    <n v="14"/>
    <n v="1"/>
    <d v="2018-05-24T00:00:00"/>
    <s v="CHEVROLET"/>
    <s v="CAPTIVA"/>
    <n v="1451.45"/>
    <d v="2018-05-26T00:00:00"/>
    <n v="8"/>
    <x v="1"/>
  </r>
  <r>
    <d v="2018-06-29T00:00:00"/>
    <s v="001-00012414"/>
    <n v="1280.6439609000001"/>
    <n v="0.67799996000000007"/>
    <n v="42.37"/>
    <n v="96.27"/>
    <n v="1.4625000000000001"/>
    <n v="58.5"/>
    <n v="123.955"/>
    <n v="0"/>
    <n v="323.23549996000003"/>
    <n v="957.40846094000017"/>
    <n v="0.74759924707501113"/>
    <x v="1"/>
    <s v="LEVE"/>
    <x v="2"/>
    <x v="1"/>
    <n v="36"/>
    <n v="1"/>
    <d v="2018-05-24T00:00:00"/>
    <s v="DAIHATSU"/>
    <s v="TERIOS"/>
    <n v="1278.2574999999999"/>
    <d v="2018-05-28T00:00:00"/>
    <n v="4"/>
    <x v="1"/>
  </r>
  <r>
    <d v="2018-06-19T00:00:00"/>
    <s v="001-00012419"/>
    <n v="2466.0605186281409"/>
    <n v="12.71"/>
    <n v="0"/>
    <n v="96.27"/>
    <n v="1.4625000000000001"/>
    <n v="175.5"/>
    <n v="390.45825000000002"/>
    <n v="0"/>
    <n v="676.40075000000002"/>
    <n v="1789.6597686281409"/>
    <n v="0.72571607838063967"/>
    <x v="1"/>
    <s v="MEDIANO"/>
    <x v="2"/>
    <x v="1"/>
    <n v="26"/>
    <n v="1"/>
    <d v="2018-05-24T00:00:00"/>
    <s v="HYUNDAI"/>
    <s v="ELANTRA"/>
    <n v="3425.4025000000001"/>
    <d v="2018-05-30T00:00:00"/>
    <n v="12"/>
    <x v="1"/>
  </r>
  <r>
    <d v="2018-06-01T00:00:00"/>
    <s v="001-00012420"/>
    <n v="545.12098335000007"/>
    <n v="0"/>
    <n v="0"/>
    <n v="41.313559322033896"/>
    <n v="0"/>
    <n v="29.25"/>
    <n v="61.977499999999999"/>
    <n v="0"/>
    <n v="132.5410593220339"/>
    <n v="412.57992402796617"/>
    <n v="0.75685936999248726"/>
    <x v="0"/>
    <s v="LEVE"/>
    <x v="2"/>
    <x v="1"/>
    <n v="8"/>
    <n v="1"/>
    <d v="2018-05-24T00:00:00"/>
    <s v="MAZDA"/>
    <s v="MAZDA 3"/>
    <n v="0"/>
    <d v="2018-05-24T00:00:00"/>
    <n v="2"/>
    <x v="966"/>
  </r>
  <r>
    <d v="2018-06-06T00:00:00"/>
    <s v="001-00012421"/>
    <n v="762.30395640000006"/>
    <n v="0"/>
    <n v="0"/>
    <n v="0"/>
    <n v="0"/>
    <n v="87.75"/>
    <n v="121.47590000000001"/>
    <n v="0"/>
    <n v="209.22590000000002"/>
    <n v="553.07805640000004"/>
    <n v="0.72553481030313072"/>
    <x v="1"/>
    <s v="LEVE"/>
    <x v="2"/>
    <x v="1"/>
    <n v="13"/>
    <n v="1"/>
    <d v="2018-05-24T00:00:00"/>
    <s v="HONDA"/>
    <s v="WR-V"/>
    <n v="2672.605"/>
    <d v="2018-05-26T00:00:00"/>
    <n v="6"/>
    <x v="1"/>
  </r>
  <r>
    <d v="2018-06-04T00:00:00"/>
    <s v="001-00012422"/>
    <n v="1684.4854530000002"/>
    <n v="0"/>
    <n v="0"/>
    <n v="13.771186440677967"/>
    <n v="0"/>
    <n v="234"/>
    <n v="221.25967499999999"/>
    <n v="0"/>
    <n v="469.030861440678"/>
    <n v="1215.4545915593221"/>
    <n v="0.721558378194746"/>
    <x v="1"/>
    <s v="MEDIANO"/>
    <x v="2"/>
    <x v="1"/>
    <n v="11"/>
    <n v="1"/>
    <d v="2018-05-24T00:00:00"/>
    <s v="KIA"/>
    <s v="RIO"/>
    <n v="1711.0925"/>
    <d v="2018-05-26T00:00:00"/>
    <n v="16"/>
    <x v="1"/>
  </r>
  <r>
    <d v="2018-06-07T00:00:00"/>
    <s v="001-00012429"/>
    <n v="1616.378157323051"/>
    <n v="0"/>
    <n v="0"/>
    <n v="123.94067796610169"/>
    <n v="19.012500000000003"/>
    <n v="117"/>
    <n v="247.91"/>
    <n v="0"/>
    <n v="507.86317796610172"/>
    <n v="1108.5149793569494"/>
    <n v="0.68580175643600982"/>
    <x v="1"/>
    <s v="MEDIANO"/>
    <x v="2"/>
    <x v="1"/>
    <n v="13"/>
    <n v="1"/>
    <d v="2018-05-25T00:00:00"/>
    <s v="HYUNDAI"/>
    <s v="ELANTRA"/>
    <n v="1681.5825"/>
    <d v="2018-05-28T00:00:00"/>
    <n v="8"/>
    <x v="1"/>
  </r>
  <r>
    <d v="2018-06-04T00:00:00"/>
    <s v="001-00012430"/>
    <n v="793.53623159999995"/>
    <n v="0"/>
    <n v="0"/>
    <n v="33.771186440677965"/>
    <n v="2.9250000000000003"/>
    <n v="73.125"/>
    <n v="138.209825"/>
    <n v="0"/>
    <n v="248.03101144067796"/>
    <n v="545.50522015932199"/>
    <n v="0.68743580751117661"/>
    <x v="1"/>
    <s v="LEVE"/>
    <x v="2"/>
    <x v="1"/>
    <n v="9"/>
    <n v="1"/>
    <d v="2018-05-26T00:00:00"/>
    <s v="KIA"/>
    <s v="RIO"/>
    <n v="2556.0275000000001"/>
    <d v="2018-05-28T00:00:00"/>
    <n v="5"/>
    <x v="1"/>
  </r>
  <r>
    <d v="2018-05-26T00:00:00"/>
    <s v="001-00012432"/>
    <n v="886"/>
    <n v="411.10000999999988"/>
    <n v="0"/>
    <n v="0"/>
    <n v="68.298749999999998"/>
    <n v="0"/>
    <n v="0"/>
    <n v="0"/>
    <n v="479.39875999999987"/>
    <n v="406.60124000000013"/>
    <n v="0.45891787810383761"/>
    <x v="0"/>
    <s v="MECANICA"/>
    <x v="1"/>
    <x v="1"/>
    <n v="1"/>
    <n v="1"/>
    <d v="2018-05-25T00:00:00"/>
    <s v="CHEVROLET"/>
    <s v="CRUZE"/>
    <n v="818.51250000000005"/>
    <d v="2018-05-28T00:00:00"/>
    <n v="0"/>
    <x v="236"/>
  </r>
  <r>
    <d v="2018-06-06T00:00:00"/>
    <s v="001-00012434"/>
    <n v="2687.1330000000003"/>
    <n v="0.67799996000000007"/>
    <n v="0"/>
    <n v="55.084745762711869"/>
    <n v="0"/>
    <n v="351"/>
    <n v="247.91"/>
    <n v="0"/>
    <n v="654.67274572271185"/>
    <n v="2032.4602542772884"/>
    <n v="0.75636756880931766"/>
    <x v="1"/>
    <s v="MEDIANO"/>
    <x v="2"/>
    <x v="1"/>
    <n v="9"/>
    <n v="1"/>
    <d v="2018-05-28T00:00:00"/>
    <s v="HYUNDAI"/>
    <s v="CRETA"/>
    <n v="951.82749999999999"/>
    <d v="2018-03-17T00:00:00"/>
    <n v="24"/>
    <x v="1"/>
  </r>
  <r>
    <d v="2018-06-13T00:00:00"/>
    <s v="001-00012436"/>
    <n v="1912.1462667000001"/>
    <n v="0"/>
    <n v="0"/>
    <n v="20"/>
    <n v="10.237499999999999"/>
    <n v="234"/>
    <n v="294.393125"/>
    <n v="0"/>
    <n v="558.63062500000001"/>
    <n v="1353.5156417000001"/>
    <n v="0.70785152018517394"/>
    <x v="1"/>
    <s v="MEDIANO"/>
    <x v="2"/>
    <x v="1"/>
    <n v="16"/>
    <n v="1"/>
    <d v="2018-05-28T00:00:00"/>
    <s v="VOLKSWAGEN"/>
    <s v="GOL"/>
    <n v="1993.2900000000002"/>
    <d v="2018-05-29T00:00:00"/>
    <n v="16"/>
    <x v="967"/>
  </r>
  <r>
    <d v="2018-06-09T00:00:00"/>
    <s v="001-00012438"/>
    <n v="1310.9239545999997"/>
    <n v="0"/>
    <n v="0"/>
    <n v="0"/>
    <n v="0"/>
    <n v="204.75"/>
    <n v="201.426875"/>
    <n v="0"/>
    <n v="406.176875"/>
    <n v="904.74707959999967"/>
    <n v="0.69015984979545497"/>
    <x v="2"/>
    <s v="MEDIANO"/>
    <x v="2"/>
    <x v="1"/>
    <n v="12"/>
    <n v="1"/>
    <d v="2018-05-28T00:00:00"/>
    <s v="HYUNDAI"/>
    <s v="ELANTRA"/>
    <n v="1297.27"/>
    <d v="2018-05-30T00:00:00"/>
    <n v="14"/>
    <x v="2"/>
  </r>
  <r>
    <d v="2018-06-07T00:00:00"/>
    <s v="001-00012439"/>
    <n v="505.64837157706967"/>
    <n v="0"/>
    <n v="0"/>
    <n v="0"/>
    <n v="0"/>
    <n v="58.5"/>
    <n v="92.966250000000002"/>
    <n v="0"/>
    <n v="151.46625"/>
    <n v="354.18212157706967"/>
    <n v="0.70045142333279742"/>
    <x v="1"/>
    <s v="LEVE"/>
    <x v="2"/>
    <x v="1"/>
    <n v="10"/>
    <n v="1"/>
    <d v="2018-05-28T00:00:00"/>
    <s v="MAZDA"/>
    <s v="MAZDA 3"/>
    <n v="3823.8525"/>
    <d v="2018-05-28T00:00:00"/>
    <n v="4"/>
    <x v="1"/>
  </r>
  <r>
    <d v="2018-06-05T00:00:00"/>
    <s v="001-00012440"/>
    <n v="810.89949660000002"/>
    <n v="0"/>
    <n v="0"/>
    <n v="0"/>
    <n v="0"/>
    <n v="43.875"/>
    <n v="123.955"/>
    <n v="0"/>
    <n v="167.82999999999998"/>
    <n v="643.06949660000009"/>
    <n v="0.79303230461519569"/>
    <x v="2"/>
    <s v="LEVE"/>
    <x v="2"/>
    <x v="1"/>
    <n v="8"/>
    <n v="1"/>
    <d v="2018-05-28T00:00:00"/>
    <s v="SUZUKI"/>
    <s v="S-CROSS"/>
    <n v="98.865000000000009"/>
    <d v="2018-05-29T00:00:00"/>
    <n v="3"/>
    <x v="2"/>
  </r>
  <r>
    <d v="2018-06-01T00:00:00"/>
    <s v="001-00012441"/>
    <n v="500"/>
    <n v="101.65069995000002"/>
    <n v="0"/>
    <n v="0"/>
    <n v="39.048749999999998"/>
    <n v="0"/>
    <n v="0"/>
    <n v="0"/>
    <n v="140.69944995000003"/>
    <n v="359.30055004999997"/>
    <n v="0.71860110009999989"/>
    <x v="0"/>
    <s v="MECANICA"/>
    <x v="2"/>
    <x v="1"/>
    <n v="4"/>
    <n v="1"/>
    <d v="2018-05-28T00:00:00"/>
    <s v="HYUNDAI"/>
    <s v="TUCSON"/>
    <n v="0"/>
    <d v="2018-05-28T00:00:00"/>
    <n v="0"/>
    <x v="968"/>
  </r>
  <r>
    <d v="2018-06-05T00:00:00"/>
    <s v="001-00012442"/>
    <n v="2803.3244999999997"/>
    <n v="0"/>
    <n v="0"/>
    <n v="152.54"/>
    <n v="0"/>
    <n v="292.5"/>
    <n v="402.85374999999999"/>
    <n v="0"/>
    <n v="847.89374999999995"/>
    <n v="1955.4307499999998"/>
    <n v="0.69753992090462591"/>
    <x v="2"/>
    <s v="MEDIANO"/>
    <x v="2"/>
    <x v="1"/>
    <n v="8"/>
    <n v="1"/>
    <d v="2018-05-28T00:00:00"/>
    <s v="TOYOTA"/>
    <s v="RAV4"/>
    <n v="0"/>
    <d v="2018-05-28T00:00:00"/>
    <n v="20"/>
    <x v="128"/>
  </r>
  <r>
    <d v="2018-06-09T00:00:00"/>
    <s v="001-00012444"/>
    <n v="2189.6771215999997"/>
    <n v="0"/>
    <n v="0"/>
    <n v="8"/>
    <n v="0"/>
    <n v="234"/>
    <n v="362.568375"/>
    <n v="0"/>
    <n v="604.56837500000006"/>
    <n v="1585.1087465999997"/>
    <n v="0.72390067511038281"/>
    <x v="1"/>
    <s v="MEDIANO"/>
    <x v="2"/>
    <x v="1"/>
    <n v="12"/>
    <n v="1"/>
    <d v="2018-05-28T00:00:00"/>
    <s v="SUZUKI"/>
    <s v="APV"/>
    <n v="0"/>
    <d v="2018-05-29T00:00:00"/>
    <n v="16"/>
    <x v="1"/>
  </r>
  <r>
    <d v="2018-06-05T00:00:00"/>
    <s v="001-00012445"/>
    <n v="649"/>
    <n v="173.57970145000002"/>
    <n v="0"/>
    <n v="70.849999999999994"/>
    <n v="78.097499999999997"/>
    <n v="0"/>
    <n v="0"/>
    <n v="0"/>
    <n v="322.52720145000001"/>
    <n v="326.47279854999999"/>
    <n v="0.50303975123266564"/>
    <x v="0"/>
    <s v="MECANICA"/>
    <x v="2"/>
    <x v="1"/>
    <n v="8"/>
    <n v="1"/>
    <d v="2018-05-28T00:00:00"/>
    <s v="TOYOTA"/>
    <s v="RAV4"/>
    <n v="160.48500000000001"/>
    <d v="2018-05-28T00:00:00"/>
    <n v="0"/>
    <x v="128"/>
  </r>
  <r>
    <d v="2018-06-07T00:00:00"/>
    <s v="001-00012446"/>
    <n v="1501.6904539500001"/>
    <n v="0"/>
    <n v="0"/>
    <n v="20"/>
    <n v="0"/>
    <n v="146.25"/>
    <n v="247.91"/>
    <n v="0"/>
    <n v="414.15999999999997"/>
    <n v="1087.5304539500003"/>
    <n v="0.72420414679296508"/>
    <x v="1"/>
    <s v="MEDIANO"/>
    <x v="2"/>
    <x v="1"/>
    <n v="10"/>
    <n v="1"/>
    <d v="2018-05-28T00:00:00"/>
    <s v="TOYOTA"/>
    <s v="YARIS"/>
    <n v="2693.4375"/>
    <d v="2018-05-25T00:00:00"/>
    <n v="10"/>
    <x v="1"/>
  </r>
  <r>
    <d v="2018-06-07T00:00:00"/>
    <s v="001-00012449"/>
    <n v="1543.6689469527109"/>
    <n v="2.2033999200000003"/>
    <n v="123.955"/>
    <n v="97.454745762711866"/>
    <n v="0"/>
    <n v="175.5"/>
    <n v="154.94374999999999"/>
    <n v="0"/>
    <n v="554.05689568271191"/>
    <n v="989.61205126999903"/>
    <n v="0.64107790289073874"/>
    <x v="1"/>
    <s v="MEDIANO"/>
    <x v="2"/>
    <x v="1"/>
    <n v="10"/>
    <n v="1"/>
    <d v="2018-05-28T00:00:00"/>
    <s v="HYUNDAI"/>
    <s v="ACCENT"/>
    <n v="1238.25"/>
    <d v="2018-05-29T00:00:00"/>
    <n v="12"/>
    <x v="1"/>
  </r>
  <r>
    <d v="2018-06-06T00:00:00"/>
    <s v="001-00012451"/>
    <n v="1252.9764387300002"/>
    <n v="0.33899998000000003"/>
    <n v="0"/>
    <n v="41.313559322033896"/>
    <n v="0"/>
    <n v="102.375"/>
    <n v="244.19135"/>
    <n v="0"/>
    <n v="388.21890930203392"/>
    <n v="864.75752942796623"/>
    <n v="0.6901626420880449"/>
    <x v="1"/>
    <s v="LEVE"/>
    <x v="2"/>
    <x v="1"/>
    <n v="9"/>
    <n v="1"/>
    <d v="2018-05-28T00:00:00"/>
    <s v="TOYOTA"/>
    <s v="HILUX"/>
    <n v="0"/>
    <d v="2018-05-29T00:00:00"/>
    <n v="7"/>
    <x v="48"/>
  </r>
  <r>
    <d v="2018-06-01T00:00:00"/>
    <s v="001-00012452"/>
    <n v="1709.1016999999999"/>
    <n v="582.56870000000004"/>
    <n v="8.4700000000000006"/>
    <n v="76.28"/>
    <n v="117"/>
    <n v="0"/>
    <n v="0"/>
    <n v="0"/>
    <n v="784.31870000000004"/>
    <n v="924.7829999999999"/>
    <n v="0.54109301980098667"/>
    <x v="0"/>
    <s v="MECANICA"/>
    <x v="2"/>
    <x v="1"/>
    <n v="4"/>
    <n v="1"/>
    <d v="2018-05-28T00:00:00"/>
    <s v="HYUNDAI"/>
    <s v="ELANTRA"/>
    <n v="1019.135"/>
    <d v="2018-05-28T00:00:00"/>
    <n v="0"/>
    <x v="969"/>
  </r>
  <r>
    <d v="2018-06-01T00:00:00"/>
    <s v="001-00012456"/>
    <n v="438.38302081017002"/>
    <n v="0"/>
    <n v="316.71250000000003"/>
    <n v="0"/>
    <n v="0"/>
    <n v="0"/>
    <n v="0"/>
    <n v="0"/>
    <n v="316.71250000000003"/>
    <n v="121.67052081016999"/>
    <n v="0.27754387153341903"/>
    <x v="0"/>
    <s v="MECANICA"/>
    <x v="2"/>
    <x v="1"/>
    <n v="3"/>
    <n v="1"/>
    <d v="2018-05-29T00:00:00"/>
    <s v="HYUNDAI"/>
    <s v="TUCSON"/>
    <n v="0"/>
    <d v="2018-05-29T00:00:00"/>
    <n v="0"/>
    <x v="968"/>
  </r>
  <r>
    <d v="2018-06-12T00:00:00"/>
    <s v="001-00012458"/>
    <n v="1273.57627617"/>
    <n v="0"/>
    <n v="0"/>
    <n v="0"/>
    <n v="0"/>
    <n v="146.25"/>
    <n v="190.27092500000001"/>
    <n v="0"/>
    <n v="336.52092500000003"/>
    <n v="937.05535116999999"/>
    <n v="0.73576696480872539"/>
    <x v="1"/>
    <s v="MEDIANO"/>
    <x v="2"/>
    <x v="1"/>
    <n v="14"/>
    <n v="1"/>
    <d v="2018-05-29T00:00:00"/>
    <s v="TOYOTA"/>
    <s v="ETIOS"/>
    <n v="0"/>
    <d v="2018-05-30T00:00:00"/>
    <n v="10"/>
    <x v="970"/>
  </r>
  <r>
    <d v="2018-06-04T00:00:00"/>
    <s v="001-00012459"/>
    <n v="1852.8508641000001"/>
    <n v="246.61899998000001"/>
    <n v="0"/>
    <n v="126.69491525423729"/>
    <n v="0"/>
    <n v="87.75"/>
    <n v="309.88749999999999"/>
    <n v="0"/>
    <n v="770.95141523423729"/>
    <n v="1081.8994488657627"/>
    <n v="0.58391070205819418"/>
    <x v="0"/>
    <s v="LEVE"/>
    <x v="2"/>
    <x v="1"/>
    <n v="6"/>
    <n v="1"/>
    <d v="2018-05-29T00:00:00"/>
    <s v="TOYOTA"/>
    <s v="COROLLA"/>
    <n v="325"/>
    <d v="2018-05-29T00:00:00"/>
    <n v="6"/>
    <x v="130"/>
  </r>
  <r>
    <d v="2018-06-12T00:00:00"/>
    <s v="001-00012460"/>
    <n v="2396.5104636000001"/>
    <n v="5.4759001999999999"/>
    <n v="0"/>
    <n v="132.94915254237287"/>
    <n v="29.25"/>
    <n v="234"/>
    <n v="322.28300000000002"/>
    <n v="0"/>
    <n v="723.95805274237296"/>
    <n v="1672.5524108576271"/>
    <n v="0.69791158280408483"/>
    <x v="1"/>
    <s v="MEDIANO"/>
    <x v="2"/>
    <x v="1"/>
    <n v="14"/>
    <n v="1"/>
    <d v="2018-05-29T00:00:00"/>
    <s v="KIA"/>
    <s v="RIO"/>
    <n v="5350.54"/>
    <d v="2018-05-30T00:00:00"/>
    <n v="16"/>
    <x v="1"/>
  </r>
  <r>
    <d v="2018-06-14T00:00:00"/>
    <s v="001-00012463"/>
    <n v="2885.511"/>
    <n v="5.4759001999999999"/>
    <n v="0"/>
    <n v="104.75"/>
    <n v="19.012500000000003"/>
    <n v="351"/>
    <n v="371.86500000000001"/>
    <n v="0"/>
    <n v="852.10340020000001"/>
    <n v="2033.4075997999998"/>
    <n v="0.70469584063273361"/>
    <x v="1"/>
    <s v="MEDIANO"/>
    <x v="2"/>
    <x v="1"/>
    <n v="16"/>
    <n v="1"/>
    <d v="2018-05-29T00:00:00"/>
    <s v="KIA"/>
    <s v="CERATO"/>
    <n v="11558.7225"/>
    <d v="2018-05-30T00:00:00"/>
    <n v="24"/>
    <x v="1"/>
  </r>
  <r>
    <d v="2018-06-07T00:00:00"/>
    <s v="001-00012465"/>
    <n v="2425"/>
    <n v="667.0037018999999"/>
    <n v="0"/>
    <n v="161.02000000000001"/>
    <n v="87.75"/>
    <n v="0"/>
    <n v="0"/>
    <n v="0"/>
    <n v="915.77370189999988"/>
    <n v="1509.2262981000001"/>
    <n v="0.62236136004123721"/>
    <x v="0"/>
    <s v="MECANICA"/>
    <x v="2"/>
    <x v="1"/>
    <n v="9"/>
    <n v="1"/>
    <d v="2018-05-29T00:00:00"/>
    <s v="FIAT"/>
    <s v="FIORINO"/>
    <n v="1138.4750000000001"/>
    <d v="2018-05-29T00:00:00"/>
    <n v="0"/>
    <x v="871"/>
  </r>
  <r>
    <d v="2018-06-25T00:00:00"/>
    <s v="001-00012466"/>
    <n v="3463.5056059499998"/>
    <n v="8.1863002799999993"/>
    <n v="0"/>
    <n v="117.58830508474577"/>
    <n v="40.949999999999996"/>
    <n v="351"/>
    <n v="526.80875000000003"/>
    <n v="0"/>
    <n v="1044.5333553647458"/>
    <n v="2418.9722505852542"/>
    <n v="0.69841730483405928"/>
    <x v="1"/>
    <s v="MEDIANO"/>
    <x v="2"/>
    <x v="1"/>
    <n v="27"/>
    <n v="1"/>
    <d v="2018-05-29T00:00:00"/>
    <s v="KIA"/>
    <s v="RIO"/>
    <n v="6671.3074999999999"/>
    <d v="2018-06-01T00:00:00"/>
    <n v="24"/>
    <x v="1"/>
  </r>
  <r>
    <d v="2018-06-09T00:00:00"/>
    <s v="001-00012467"/>
    <n v="2379.2523429999997"/>
    <n v="0"/>
    <n v="0"/>
    <n v="131.35474576271187"/>
    <n v="0"/>
    <n v="292.5"/>
    <n v="252.24842500000003"/>
    <n v="0"/>
    <n v="676.1031707627119"/>
    <n v="1703.1491722372878"/>
    <n v="0.71583376906116092"/>
    <x v="1"/>
    <s v="MEDIANO"/>
    <x v="2"/>
    <x v="1"/>
    <n v="10"/>
    <n v="1"/>
    <d v="2018-05-30T00:00:00"/>
    <s v="HONDA"/>
    <s v="CR-Z"/>
    <n v="0"/>
    <d v="2018-05-30T00:00:00"/>
    <n v="20"/>
    <x v="1"/>
  </r>
  <r>
    <d v="2018-06-09T00:00:00"/>
    <s v="001-00012468"/>
    <n v="559"/>
    <n v="111.4371"/>
    <n v="0"/>
    <n v="76.27"/>
    <n v="39.048749999999998"/>
    <n v="0"/>
    <n v="61.977499999999999"/>
    <n v="0"/>
    <n v="288.73335000000003"/>
    <n v="270.26664999999997"/>
    <n v="0.48348237924865828"/>
    <x v="0"/>
    <s v="MECANICA"/>
    <x v="2"/>
    <x v="1"/>
    <n v="10"/>
    <n v="1"/>
    <d v="2018-05-30T00:00:00"/>
    <s v="HONDA"/>
    <s v="CR-Z"/>
    <n v="271.83"/>
    <d v="2018-06-01T00:00:00"/>
    <n v="0"/>
    <x v="971"/>
  </r>
  <r>
    <d v="2018-06-01T00:00:00"/>
    <s v="001-00012469"/>
    <n v="1429.24784297627"/>
    <n v="0"/>
    <n v="0"/>
    <n v="76.27"/>
    <n v="38.025000000000006"/>
    <n v="117"/>
    <n v="182.21385000000001"/>
    <n v="0"/>
    <n v="413.50885000000005"/>
    <n v="1015.73899297627"/>
    <n v="0.71068079477460822"/>
    <x v="1"/>
    <s v="MEDIANO"/>
    <x v="2"/>
    <x v="1"/>
    <n v="2"/>
    <n v="1"/>
    <d v="2018-05-30T00:00:00"/>
    <s v="SUZUKI"/>
    <s v="BALENO"/>
    <n v="3215.4524999999999"/>
    <d v="2018-05-31T00:00:00"/>
    <n v="8"/>
    <x v="972"/>
  </r>
  <r>
    <d v="2018-06-11T00:00:00"/>
    <s v="001-00012471"/>
    <n v="1386.5260657299998"/>
    <n v="0"/>
    <n v="0"/>
    <n v="20"/>
    <n v="0"/>
    <n v="160.875"/>
    <n v="151.2251"/>
    <n v="0"/>
    <n v="332.1001"/>
    <n v="1054.4259657299999"/>
    <n v="0.76048044951455662"/>
    <x v="1"/>
    <s v="MEDIANO"/>
    <x v="2"/>
    <x v="1"/>
    <n v="12"/>
    <n v="1"/>
    <d v="2018-05-30T00:00:00"/>
    <s v="CHEVROLET"/>
    <s v="CAPTIVA"/>
    <n v="541.84"/>
    <d v="2018-05-30T00:00:00"/>
    <n v="11"/>
    <x v="1"/>
  </r>
  <r>
    <d v="2018-06-07T00:00:00"/>
    <s v="001-00012472"/>
    <n v="349"/>
    <n v="118.02980090000001"/>
    <n v="0"/>
    <n v="38.14"/>
    <n v="68.298749999999998"/>
    <n v="0"/>
    <n v="0"/>
    <n v="0"/>
    <n v="224.46855090000003"/>
    <n v="124.53144909999997"/>
    <n v="0.35682363638968473"/>
    <x v="0"/>
    <s v="MECANICA"/>
    <x v="2"/>
    <x v="1"/>
    <n v="8"/>
    <n v="1"/>
    <d v="2018-05-30T00:00:00"/>
    <s v="HYUNDAI"/>
    <s v="ACCENT"/>
    <n v="0"/>
    <d v="2018-05-30T00:00:00"/>
    <n v="0"/>
    <x v="871"/>
  </r>
  <r>
    <d v="2018-06-12T00:00:00"/>
    <s v="001-00012473"/>
    <n v="2437.7357238300006"/>
    <n v="0"/>
    <n v="0"/>
    <n v="138.77130508474576"/>
    <n v="0"/>
    <n v="321.75"/>
    <n v="278.89875000000001"/>
    <n v="0"/>
    <n v="739.42005508474585"/>
    <n v="1698.3156687452547"/>
    <n v="0.69667751600119288"/>
    <x v="1"/>
    <s v="MEDIANO"/>
    <x v="2"/>
    <x v="1"/>
    <n v="13"/>
    <n v="1"/>
    <d v="2018-05-30T00:00:00"/>
    <s v="KIA"/>
    <s v="RIO"/>
    <n v="913.11999999999989"/>
    <d v="2018-05-31T00:00:00"/>
    <n v="22"/>
    <x v="1"/>
  </r>
  <r>
    <d v="2018-06-11T00:00:00"/>
    <s v="001-00012474"/>
    <n v="1544.0626941999999"/>
    <n v="0"/>
    <n v="0"/>
    <n v="20"/>
    <n v="0"/>
    <n v="175.5"/>
    <n v="276.41964999999999"/>
    <n v="0"/>
    <n v="471.91964999999999"/>
    <n v="1072.1430441999998"/>
    <n v="0.6943649686164407"/>
    <x v="1"/>
    <s v="MEDIANO"/>
    <x v="2"/>
    <x v="1"/>
    <n v="12"/>
    <n v="1"/>
    <d v="2018-05-30T00:00:00"/>
    <s v="KIA"/>
    <s v="CERATO"/>
    <n v="1223.9175"/>
    <d v="2018-06-01T00:00:00"/>
    <n v="12"/>
    <x v="1"/>
  </r>
  <r>
    <d v="2018-06-13T00:00:00"/>
    <s v="001-00012475"/>
    <n v="1487.7947043000004"/>
    <n v="0"/>
    <n v="0"/>
    <n v="0"/>
    <n v="0"/>
    <n v="175.5"/>
    <n v="230.55630000000002"/>
    <n v="0"/>
    <n v="406.05630000000002"/>
    <n v="1081.7384043000004"/>
    <n v="0.72707504682842161"/>
    <x v="1"/>
    <s v="MEDIANO"/>
    <x v="2"/>
    <x v="1"/>
    <n v="14"/>
    <n v="1"/>
    <d v="2018-05-30T00:00:00"/>
    <s v="TOYOTA"/>
    <s v="ETIOS"/>
    <n v="903.30499999999995"/>
    <d v="2018-05-31T00:00:00"/>
    <n v="12"/>
    <x v="1"/>
  </r>
  <r>
    <d v="2018-06-09T00:00:00"/>
    <s v="001-00012476"/>
    <n v="1295.7428471000001"/>
    <n v="0"/>
    <n v="0"/>
    <n v="76.27"/>
    <n v="0"/>
    <n v="73.125"/>
    <n v="185.9325"/>
    <n v="0"/>
    <n v="335.32749999999999"/>
    <n v="960.41534710000008"/>
    <n v="0.74120829549590339"/>
    <x v="1"/>
    <s v="LEVE"/>
    <x v="2"/>
    <x v="1"/>
    <n v="10"/>
    <n v="1"/>
    <d v="2018-05-30T00:00:00"/>
    <s v="MAZDA"/>
    <s v="MAZDA 3"/>
    <n v="40.072499999999998"/>
    <d v="2018-05-31T00:00:00"/>
    <n v="5"/>
    <x v="1"/>
  </r>
  <r>
    <d v="2018-06-12T00:00:00"/>
    <s v="001-00012477"/>
    <n v="1590.8905118699997"/>
    <n v="0"/>
    <n v="0"/>
    <n v="0"/>
    <n v="0"/>
    <n v="146.25"/>
    <n v="290.67447500000003"/>
    <n v="0"/>
    <n v="436.92447500000003"/>
    <n v="1153.9660368699997"/>
    <n v="0.72535855123906634"/>
    <x v="1"/>
    <s v="MEDIANO"/>
    <x v="2"/>
    <x v="1"/>
    <n v="13"/>
    <n v="1"/>
    <d v="2018-05-30T00:00:00"/>
    <s v="HYUNDAI"/>
    <s v="ACCENT"/>
    <n v="0"/>
    <d v="2018-05-31T00:00:00"/>
    <n v="10"/>
    <x v="1"/>
  </r>
  <r>
    <d v="2018-06-08T00:00:00"/>
    <s v="001-00012478"/>
    <n v="938.68195617626998"/>
    <n v="0"/>
    <n v="0"/>
    <n v="0"/>
    <n v="0"/>
    <n v="51.1875"/>
    <n v="185.9325"/>
    <n v="0"/>
    <n v="237.12"/>
    <n v="701.56195617626997"/>
    <n v="0.74739047827667782"/>
    <x v="1"/>
    <s v="LEVE"/>
    <x v="2"/>
    <x v="1"/>
    <n v="9"/>
    <n v="1"/>
    <d v="2018-05-30T00:00:00"/>
    <s v="HYUNDAI"/>
    <s v="TUCSON"/>
    <n v="981.07749999999999"/>
    <d v="2018-06-01T00:00:00"/>
    <n v="3.5"/>
    <x v="973"/>
  </r>
  <r>
    <d v="2018-06-06T00:00:00"/>
    <s v="001-00012483"/>
    <n v="645.72395129999995"/>
    <n v="0"/>
    <n v="0"/>
    <n v="0"/>
    <n v="0"/>
    <n v="36.5625"/>
    <n v="123.955"/>
    <n v="0"/>
    <n v="160.51749999999998"/>
    <n v="485.20645129999997"/>
    <n v="0.75141467235830561"/>
    <x v="1"/>
    <s v="LEVE"/>
    <x v="2"/>
    <x v="1"/>
    <n v="7"/>
    <n v="1"/>
    <d v="2018-05-30T00:00:00"/>
    <s v="NISSAN"/>
    <s v="VERSA"/>
    <n v="0"/>
    <d v="2018-05-31T00:00:00"/>
    <n v="2.5"/>
    <x v="1"/>
  </r>
  <r>
    <d v="2018-06-15T00:00:00"/>
    <s v="001-00012484"/>
    <n v="1680.5670155999999"/>
    <n v="0"/>
    <n v="0"/>
    <n v="20"/>
    <n v="0"/>
    <n v="234"/>
    <n v="221.25967499999999"/>
    <n v="0"/>
    <n v="475.25967500000002"/>
    <n v="1205.3073405999999"/>
    <n v="0.71720278299623674"/>
    <x v="1"/>
    <s v="MEDIANO"/>
    <x v="2"/>
    <x v="1"/>
    <n v="16"/>
    <n v="1"/>
    <d v="2018-05-30T00:00:00"/>
    <s v="NISSAN"/>
    <s v="X-TRAIL"/>
    <n v="3258.4175"/>
    <d v="2018-06-01T00:00:00"/>
    <n v="16"/>
    <x v="1"/>
  </r>
  <r>
    <d v="2018-06-06T00:00:00"/>
    <s v="001-00012485"/>
    <n v="817.16827350000017"/>
    <n v="0.33899998000000003"/>
    <n v="0"/>
    <n v="75.084745762711862"/>
    <n v="0"/>
    <n v="58.5"/>
    <n v="123.955"/>
    <n v="0"/>
    <n v="257.87874574271183"/>
    <n v="559.2895277572884"/>
    <n v="0.68442393799970291"/>
    <x v="1"/>
    <s v="LEVE"/>
    <x v="2"/>
    <x v="1"/>
    <n v="7"/>
    <n v="1"/>
    <d v="2018-05-30T00:00:00"/>
    <s v="CHEVROLET"/>
    <s v="SPIN"/>
    <n v="0"/>
    <d v="2018-05-31T00:00:00"/>
    <n v="4"/>
    <x v="974"/>
  </r>
  <r>
    <d v="2018-06-01T00:00:00"/>
    <s v="001-00012486"/>
    <n v="1172.7033999999999"/>
    <n v="276.97219899999999"/>
    <n v="76.27"/>
    <n v="144.07"/>
    <n v="78.097499999999997"/>
    <n v="0"/>
    <n v="0"/>
    <n v="0"/>
    <n v="575.40969899999993"/>
    <n v="597.29370099999994"/>
    <n v="0.50933057838836315"/>
    <x v="0"/>
    <s v="MECANICA"/>
    <x v="2"/>
    <x v="1"/>
    <n v="1"/>
    <n v="1"/>
    <d v="2018-05-31T00:00:00"/>
    <s v="MG"/>
    <s v="MG 3"/>
    <n v="1233.7650000000001"/>
    <d v="2018-05-31T00:00:00"/>
    <n v="0"/>
    <x v="975"/>
  </r>
  <r>
    <d v="2018-06-21T00:00:00"/>
    <s v="001-00012487"/>
    <n v="1433.6414511999997"/>
    <n v="0"/>
    <n v="0"/>
    <n v="34.427966101694921"/>
    <n v="7.3125"/>
    <n v="117"/>
    <n v="241.71225000000001"/>
    <n v="0"/>
    <n v="400.45271610169493"/>
    <n v="1033.1887350983047"/>
    <n v="0.72067442960267059"/>
    <x v="1"/>
    <s v="MEDIANO"/>
    <x v="2"/>
    <x v="1"/>
    <n v="21"/>
    <n v="1"/>
    <d v="2018-05-31T00:00:00"/>
    <s v="KIA"/>
    <s v="RIO"/>
    <n v="2930.3624999999997"/>
    <d v="2018-06-02T00:00:00"/>
    <n v="8"/>
    <x v="1"/>
  </r>
  <r>
    <d v="2018-06-22T00:00:00"/>
    <s v="001-00012488"/>
    <n v="3278.0259879500004"/>
    <n v="112.07319999999997"/>
    <n v="0"/>
    <n v="279.65949152542373"/>
    <n v="2.9250000000000003"/>
    <n v="234"/>
    <n v="433.84250000000003"/>
    <n v="0"/>
    <n v="1062.5001915254238"/>
    <n v="2215.5257964245766"/>
    <n v="0.6758719438371853"/>
    <x v="1"/>
    <s v="MEDIANO"/>
    <x v="2"/>
    <x v="1"/>
    <n v="22"/>
    <n v="1"/>
    <d v="2018-05-31T00:00:00"/>
    <s v="DAIHATSU"/>
    <s v="TERIOS"/>
    <n v="6628.2125000000005"/>
    <d v="2018-06-15T00:00:00"/>
    <n v="16"/>
    <x v="1"/>
  </r>
  <r>
    <d v="2018-06-13T00:00:00"/>
    <s v="001-00012489"/>
    <n v="1851.7345862999998"/>
    <n v="0"/>
    <n v="0"/>
    <n v="0"/>
    <n v="0"/>
    <n v="234"/>
    <n v="263.40437500000002"/>
    <n v="0"/>
    <n v="497.40437500000002"/>
    <n v="1354.3302112999997"/>
    <n v="0.73138462786188108"/>
    <x v="1"/>
    <s v="MEDIANO"/>
    <x v="2"/>
    <x v="1"/>
    <n v="13"/>
    <n v="1"/>
    <d v="2018-05-31T00:00:00"/>
    <s v="TOYOTA"/>
    <s v="YARIS"/>
    <n v="0"/>
    <d v="2018-06-02T00:00:00"/>
    <n v="16"/>
    <x v="1"/>
  </r>
  <r>
    <d v="2018-06-02T00:00:00"/>
    <s v="001-00012491"/>
    <n v="539.10169999999994"/>
    <n v="154.34730070000001"/>
    <n v="0"/>
    <n v="38.14"/>
    <n v="78.097499999999997"/>
    <n v="0"/>
    <n v="0"/>
    <n v="0"/>
    <n v="270.58480069999996"/>
    <n v="268.51689929999998"/>
    <n v="0.49808208599601894"/>
    <x v="0"/>
    <s v="MECANICA"/>
    <x v="2"/>
    <x v="1"/>
    <n v="2"/>
    <n v="1"/>
    <d v="2018-05-31T00:00:00"/>
    <s v="HYUNDAI"/>
    <s v="ELANTRA"/>
    <n v="0"/>
    <d v="2018-06-01T00:00:00"/>
    <n v="0"/>
    <x v="0"/>
  </r>
  <r>
    <d v="2018-06-09T00:00:00"/>
    <s v="001-00012493"/>
    <n v="413.4331942"/>
    <n v="0"/>
    <n v="0"/>
    <n v="27.542372881355934"/>
    <n v="0"/>
    <n v="29.25"/>
    <n v="61.977499999999999"/>
    <n v="0"/>
    <n v="118.76987288135592"/>
    <n v="294.66332131864408"/>
    <n v="0.71272293916511087"/>
    <x v="0"/>
    <s v="LEVE"/>
    <x v="2"/>
    <x v="1"/>
    <n v="8"/>
    <n v="1"/>
    <d v="2018-06-01T00:00:00"/>
    <s v="MAZDA"/>
    <s v="MAZDA 3"/>
    <n v="0"/>
    <d v="2018-05-31T00:00:00"/>
    <n v="2"/>
    <x v="976"/>
  </r>
  <r>
    <d v="2018-06-07T00:00:00"/>
    <s v="001-00012494"/>
    <n v="1768.381306"/>
    <n v="473.67619490000004"/>
    <n v="0"/>
    <n v="101.69"/>
    <n v="78.097499999999997"/>
    <n v="0"/>
    <n v="0"/>
    <n v="0"/>
    <n v="653.46369489999995"/>
    <n v="1114.9176111000002"/>
    <n v="0.63047353380018156"/>
    <x v="0"/>
    <s v="MECANICA"/>
    <x v="2"/>
    <x v="1"/>
    <n v="7"/>
    <n v="1"/>
    <d v="2018-05-31T00:00:00"/>
    <s v="HYUNDAI"/>
    <s v="I10"/>
    <n v="0"/>
    <d v="2018-06-01T00:00:00"/>
    <n v="0"/>
    <x v="977"/>
  </r>
  <r>
    <d v="2018-06-01T00:00:00"/>
    <s v="001-00012495"/>
    <n v="400"/>
    <n v="73.163001150000014"/>
    <n v="0"/>
    <n v="0"/>
    <n v="39.048749999999998"/>
    <n v="0"/>
    <n v="0"/>
    <n v="0"/>
    <n v="112.21175115000001"/>
    <n v="287.78824885"/>
    <n v="0.71947062212500001"/>
    <x v="0"/>
    <s v="MECANICA"/>
    <x v="2"/>
    <x v="1"/>
    <n v="1"/>
    <n v="1"/>
    <d v="2018-05-31T00:00:00"/>
    <s v="HYUNDAI"/>
    <s v="TUCSON"/>
    <n v="0"/>
    <d v="2018-06-01T00:00:00"/>
    <n v="0"/>
    <x v="4"/>
  </r>
  <r>
    <d v="2018-06-12T00:00:00"/>
    <s v="001-00012496"/>
    <n v="2202.0687839699995"/>
    <n v="0"/>
    <n v="0"/>
    <n v="0"/>
    <n v="0"/>
    <n v="175.5"/>
    <n v="300.59087499999998"/>
    <n v="0"/>
    <n v="476.09087499999998"/>
    <n v="1725.9779089699996"/>
    <n v="0.78379836340003894"/>
    <x v="1"/>
    <s v="MEDIANO"/>
    <x v="2"/>
    <x v="1"/>
    <n v="11"/>
    <n v="1"/>
    <d v="2018-06-01T00:00:00"/>
    <s v="KIA"/>
    <s v="CERATO"/>
    <n v="3049.41"/>
    <d v="2018-06-02T00:00:00"/>
    <n v="12"/>
    <x v="1"/>
  </r>
  <r>
    <d v="2018-06-07T00:00:00"/>
    <s v="001-00012498"/>
    <n v="160"/>
    <n v="0"/>
    <n v="0"/>
    <n v="0"/>
    <n v="0"/>
    <n v="0"/>
    <n v="0"/>
    <n v="0"/>
    <n v="0"/>
    <n v="160"/>
    <n v="1"/>
    <x v="4"/>
    <s v="S/TIPO"/>
    <x v="2"/>
    <x v="1"/>
    <n v="7"/>
    <n v="1"/>
    <d v="2018-05-31T00:00:00"/>
    <s v="S/MARCA"/>
    <s v="S/MODELO"/>
    <n v="0"/>
    <s v="F/Fecha"/>
    <n v="0"/>
    <x v="871"/>
  </r>
  <r>
    <d v="2018-06-14T00:00:00"/>
    <s v="001-00012499"/>
    <n v="1181.4340218"/>
    <n v="1.6947999999999999"/>
    <n v="0"/>
    <n v="20"/>
    <n v="0"/>
    <n v="117"/>
    <n v="185.9325"/>
    <n v="0"/>
    <n v="324.62729999999999"/>
    <n v="856.80672179999999"/>
    <n v="0.72522604393480483"/>
    <x v="1"/>
    <s v="MEDIANO"/>
    <x v="2"/>
    <x v="1"/>
    <n v="12"/>
    <n v="1"/>
    <d v="2018-06-02T00:00:00"/>
    <s v="CHEVROLET"/>
    <s v="AVEO"/>
    <n v="497.25"/>
    <d v="2018-06-04T00:00:00"/>
    <n v="8"/>
    <x v="1"/>
  </r>
  <r>
    <d v="2018-06-13T00:00:00"/>
    <s v="001-00012501"/>
    <n v="1517.8895279999999"/>
    <n v="0"/>
    <n v="0"/>
    <n v="82.627118644067792"/>
    <n v="29.25"/>
    <n v="160.875"/>
    <n v="185.9325"/>
    <n v="0"/>
    <n v="458.68461864406777"/>
    <n v="1059.2049093559322"/>
    <n v="0.6978142281220957"/>
    <x v="1"/>
    <s v="MEDIANO"/>
    <x v="2"/>
    <x v="1"/>
    <n v="11"/>
    <n v="1"/>
    <d v="2018-06-02T00:00:00"/>
    <s v="HYUNDAI"/>
    <s v="ELANTRA"/>
    <n v="788.09249999999997"/>
    <d v="2018-06-04T00:00:00"/>
    <n v="11"/>
    <x v="1"/>
  </r>
  <r>
    <d v="2018-06-08T00:00:00"/>
    <s v="001-00012502"/>
    <n v="401.72346731525005"/>
    <n v="0"/>
    <n v="0"/>
    <n v="96.398305084745772"/>
    <n v="0"/>
    <n v="29.25"/>
    <n v="60.737950000000005"/>
    <n v="0"/>
    <n v="186.38625508474578"/>
    <n v="215.33721223050426"/>
    <n v="0.53603344029070543"/>
    <x v="1"/>
    <s v="LEVE"/>
    <x v="2"/>
    <x v="1"/>
    <n v="6"/>
    <n v="1"/>
    <d v="2018-06-02T00:00:00"/>
    <s v="HYUNDAI"/>
    <s v="TUCSON"/>
    <n v="308.32749999999999"/>
    <d v="2018-06-01T00:00:00"/>
    <n v="2"/>
    <x v="973"/>
  </r>
  <r>
    <d v="2018-06-09T00:00:00"/>
    <s v="001-00012504"/>
    <n v="1725.90573597"/>
    <n v="0"/>
    <n v="0"/>
    <n v="20"/>
    <n v="0"/>
    <n v="175.5"/>
    <n v="288.81515000000002"/>
    <n v="0"/>
    <n v="484.31515000000002"/>
    <n v="1241.5905859700001"/>
    <n v="0.71938493516402657"/>
    <x v="1"/>
    <s v="MEDIANO"/>
    <x v="2"/>
    <x v="1"/>
    <n v="7"/>
    <n v="1"/>
    <d v="2018-06-02T00:00:00"/>
    <s v="MITSUBISHI"/>
    <s v="ASX"/>
    <n v="0"/>
    <d v="2018-06-04T00:00:00"/>
    <n v="12"/>
    <x v="1"/>
  </r>
  <r>
    <d v="2018-06-04T00:00:00"/>
    <s v="001-00012505"/>
    <n v="225"/>
    <n v="53.28360090000001"/>
    <n v="0"/>
    <n v="0"/>
    <n v="39.048749999999998"/>
    <n v="0"/>
    <n v="0"/>
    <n v="0"/>
    <n v="92.332350900000009"/>
    <n v="132.66764910000001"/>
    <n v="0.58963399599999999"/>
    <x v="0"/>
    <s v="MECANICA"/>
    <x v="2"/>
    <x v="1"/>
    <n v="1"/>
    <n v="1"/>
    <d v="2018-06-03T00:00:00"/>
    <s v="NISSAN"/>
    <s v="TIIDA"/>
    <n v="0"/>
    <d v="2018-06-04T00:00:00"/>
    <n v="0"/>
    <x v="157"/>
  </r>
  <r>
    <d v="2018-06-04T00:00:00"/>
    <s v="001-00012506"/>
    <n v="476.10169999999999"/>
    <n v="147.27600169999999"/>
    <n v="0"/>
    <n v="0"/>
    <n v="39.048749999999998"/>
    <n v="0"/>
    <n v="0"/>
    <n v="0"/>
    <n v="186.32475169999998"/>
    <n v="289.77694830000002"/>
    <n v="0.60864506112874628"/>
    <x v="0"/>
    <s v="MECANICA"/>
    <x v="2"/>
    <x v="1"/>
    <n v="0"/>
    <n v="1"/>
    <d v="2018-06-04T00:00:00"/>
    <s v="HYUNDAI"/>
    <s v="ACCENT"/>
    <n v="80.242500000000007"/>
    <d v="2018-06-04T00:00:00"/>
    <n v="0"/>
    <x v="978"/>
  </r>
  <r>
    <d v="2018-06-07T00:00:00"/>
    <s v="001-00012507"/>
    <n v="855.34918637034002"/>
    <n v="0"/>
    <n v="0"/>
    <n v="0"/>
    <n v="0"/>
    <n v="58.5"/>
    <n v="193.989575"/>
    <n v="0"/>
    <n v="252.489575"/>
    <n v="602.85961137033996"/>
    <n v="0.70481111220619108"/>
    <x v="1"/>
    <s v="LEVE"/>
    <x v="2"/>
    <x v="1"/>
    <n v="4"/>
    <n v="1"/>
    <d v="2018-06-03T00:00:00"/>
    <s v="NISSAN"/>
    <s v="VERSA"/>
    <n v="0"/>
    <d v="2018-06-04T00:00:00"/>
    <n v="4"/>
    <x v="1"/>
  </r>
  <r>
    <d v="2018-06-20T00:00:00"/>
    <s v="001-00012509"/>
    <n v="1852.7400563999997"/>
    <n v="0"/>
    <n v="0"/>
    <n v="84.75"/>
    <n v="29.25"/>
    <n v="146.25"/>
    <n v="371.86500000000001"/>
    <n v="0"/>
    <n v="632.11500000000001"/>
    <n v="1220.6250563999997"/>
    <n v="0.65882153958054834"/>
    <x v="2"/>
    <s v="MEDIANO"/>
    <x v="2"/>
    <x v="1"/>
    <n v="17"/>
    <n v="1"/>
    <d v="2018-06-03T00:00:00"/>
    <s v="KIA"/>
    <s v="SPORTAGE"/>
    <n v="5385.0550000000003"/>
    <d v="2018-06-05T00:00:00"/>
    <n v="10"/>
    <x v="2"/>
  </r>
  <r>
    <d v="2018-06-15T00:00:00"/>
    <s v="001-00012510"/>
    <n v="2281.3349921999998"/>
    <n v="0.67760001999999986"/>
    <n v="0"/>
    <n v="20"/>
    <n v="0"/>
    <n v="234"/>
    <n v="294.393125"/>
    <n v="0"/>
    <n v="549.07072502000005"/>
    <n v="1732.2642671799997"/>
    <n v="0.75932042996872418"/>
    <x v="1"/>
    <s v="MEDIANO"/>
    <x v="2"/>
    <x v="1"/>
    <n v="12"/>
    <n v="1"/>
    <d v="2018-06-03T00:00:00"/>
    <s v="HYUNDAI"/>
    <s v="ACCENT"/>
    <n v="1105.585"/>
    <d v="2018-06-05T00:00:00"/>
    <n v="16"/>
    <x v="1"/>
  </r>
  <r>
    <d v="2018-06-22T00:00:00"/>
    <s v="001-00012511"/>
    <n v="2002.91324229"/>
    <n v="6.3233002000000003"/>
    <n v="0"/>
    <n v="48.199152542372886"/>
    <n v="10.237499999999999"/>
    <n v="190.125"/>
    <n v="278.89875000000001"/>
    <n v="0"/>
    <n v="533.78370274237295"/>
    <n v="1469.129539547627"/>
    <n v="0.73349634349010562"/>
    <x v="1"/>
    <s v="MEDIANO"/>
    <x v="2"/>
    <x v="1"/>
    <n v="19"/>
    <n v="1"/>
    <d v="2018-06-03T00:00:00"/>
    <s v="HYUNDAI"/>
    <s v="ACCENT"/>
    <n v="5951.79"/>
    <d v="2018-06-06T00:00:00"/>
    <n v="13"/>
    <x v="1"/>
  </r>
  <r>
    <d v="2018-06-15T00:00:00"/>
    <s v="001-00012512"/>
    <n v="2025.67848813"/>
    <n v="1.3552000399999997"/>
    <n v="0"/>
    <n v="0"/>
    <n v="0"/>
    <n v="263.25"/>
    <n v="278.89875000000001"/>
    <n v="0"/>
    <n v="543.50395004000006"/>
    <n v="1482.1745380899999"/>
    <n v="0.73169288550734701"/>
    <x v="1"/>
    <s v="MEDIANO"/>
    <x v="2"/>
    <x v="1"/>
    <n v="12"/>
    <n v="1"/>
    <d v="2018-06-03T00:00:00"/>
    <s v="BYD"/>
    <s v="NEW F3"/>
    <n v="1560"/>
    <d v="2018-06-05T00:00:00"/>
    <n v="18"/>
    <x v="1"/>
  </r>
  <r>
    <d v="2018-06-15T00:00:00"/>
    <s v="001-00012513"/>
    <n v="1958.53869783"/>
    <n v="1.2704999999999997"/>
    <n v="0"/>
    <n v="0"/>
    <n v="0"/>
    <n v="204.75"/>
    <n v="309.88749999999999"/>
    <n v="0"/>
    <n v="515.90800000000002"/>
    <n v="1442.6306978299999"/>
    <n v="0.73658524053080487"/>
    <x v="1"/>
    <s v="MEDIANO"/>
    <x v="2"/>
    <x v="1"/>
    <n v="12"/>
    <n v="1"/>
    <d v="2018-06-03T00:00:00"/>
    <s v="HYUNDAI"/>
    <s v="ELANTRA"/>
    <n v="914.875"/>
    <d v="2018-06-04T00:00:00"/>
    <n v="14"/>
    <x v="1"/>
  </r>
  <r>
    <d v="2018-06-13T00:00:00"/>
    <s v="001-00012514"/>
    <n v="831.35597426999993"/>
    <n v="0"/>
    <n v="0"/>
    <n v="0"/>
    <n v="0"/>
    <n v="29.25"/>
    <n v="123.955"/>
    <n v="0"/>
    <n v="153.20499999999998"/>
    <n v="678.15097427000001"/>
    <n v="0.81571672695979991"/>
    <x v="0"/>
    <s v="MEDIANO"/>
    <x v="2"/>
    <x v="1"/>
    <n v="9"/>
    <n v="1"/>
    <d v="2018-06-04T00:00:00"/>
    <s v="TOYOTA"/>
    <s v="YARIS"/>
    <n v="0"/>
    <d v="2018-06-02T00:00:00"/>
    <n v="2"/>
    <x v="979"/>
  </r>
  <r>
    <d v="2018-06-04T00:00:00"/>
    <s v="001-00012515"/>
    <n v="349"/>
    <n v="62.441001300000011"/>
    <n v="0"/>
    <n v="0"/>
    <n v="39.048749999999998"/>
    <n v="0"/>
    <n v="0"/>
    <n v="0"/>
    <n v="101.48975130000001"/>
    <n v="247.51024869999998"/>
    <n v="0.70919842034383951"/>
    <x v="0"/>
    <s v="MECANICA"/>
    <x v="2"/>
    <x v="1"/>
    <n v="0"/>
    <n v="1"/>
    <d v="2018-06-04T00:00:00"/>
    <s v="NISSAN"/>
    <s v="TIIDA"/>
    <n v="0"/>
    <d v="2018-06-04T00:00:00"/>
    <n v="0"/>
    <x v="980"/>
  </r>
  <r>
    <d v="2018-06-09T00:00:00"/>
    <s v="001-00012516"/>
    <n v="1198.2124297"/>
    <n v="0"/>
    <n v="0"/>
    <n v="0"/>
    <n v="0"/>
    <n v="87.75"/>
    <n v="185.9325"/>
    <n v="0"/>
    <n v="273.6825"/>
    <n v="924.52992970000003"/>
    <n v="0.77159100238300593"/>
    <x v="1"/>
    <s v="LEVE"/>
    <x v="2"/>
    <x v="1"/>
    <n v="5"/>
    <n v="1"/>
    <d v="2018-06-04T00:00:00"/>
    <s v="SUZUKI"/>
    <s v="CIAZ"/>
    <n v="8.4175000000000004"/>
    <d v="2018-06-04T00:00:00"/>
    <n v="6"/>
    <x v="1"/>
  </r>
  <r>
    <d v="2018-06-14T00:00:00"/>
    <s v="001-00012517"/>
    <n v="709.10938025999985"/>
    <n v="0.93230000000000002"/>
    <n v="21.18"/>
    <n v="20"/>
    <n v="0"/>
    <n v="58.5"/>
    <n v="136.97027500000002"/>
    <n v="0"/>
    <n v="237.58257500000002"/>
    <n v="471.52680525999983"/>
    <n v="0.6649563782206791"/>
    <x v="1"/>
    <s v="LEVE"/>
    <x v="2"/>
    <x v="1"/>
    <n v="11"/>
    <n v="1"/>
    <d v="2018-06-03T00:00:00"/>
    <s v="SUZUKI"/>
    <s v="SWIFT"/>
    <n v="893.75"/>
    <d v="2018-06-05T00:00:00"/>
    <n v="4"/>
    <x v="1"/>
  </r>
  <r>
    <d v="2018-06-12T00:00:00"/>
    <s v="001-00012518"/>
    <n v="1223.9897174999999"/>
    <n v="0"/>
    <n v="0"/>
    <n v="158.8971186440678"/>
    <n v="0"/>
    <n v="87.75"/>
    <n v="185.9325"/>
    <n v="0"/>
    <n v="432.57961864406781"/>
    <n v="791.41009885593212"/>
    <n v="0.64658230991710286"/>
    <x v="1"/>
    <s v="LEVE"/>
    <x v="2"/>
    <x v="1"/>
    <n v="9"/>
    <n v="1"/>
    <d v="2018-06-03T00:00:00"/>
    <s v="KIA"/>
    <s v="SORENTO"/>
    <n v="2483.0974999999999"/>
    <d v="2018-06-05T00:00:00"/>
    <n v="6"/>
    <x v="981"/>
  </r>
  <r>
    <d v="2018-06-18T00:00:00"/>
    <s v="001-00012519"/>
    <n v="1179.1894221899997"/>
    <n v="0"/>
    <n v="0"/>
    <n v="0"/>
    <n v="0"/>
    <n v="131.625"/>
    <n v="154.94374999999999"/>
    <n v="0"/>
    <n v="286.56875000000002"/>
    <n v="892.62067218999971"/>
    <n v="0.75697818806092887"/>
    <x v="1"/>
    <s v="MEDIANO"/>
    <x v="2"/>
    <x v="1"/>
    <n v="14"/>
    <n v="1"/>
    <d v="2018-06-04T00:00:00"/>
    <s v="CHEVROLET"/>
    <s v="CRUZE"/>
    <n v="349.21250000000003"/>
    <d v="2018-06-05T00:00:00"/>
    <n v="9"/>
    <x v="982"/>
  </r>
  <r>
    <d v="2018-06-23T00:00:00"/>
    <s v="001-00012520"/>
    <n v="1100.0185336500001"/>
    <n v="0"/>
    <n v="0"/>
    <n v="0"/>
    <n v="4.3874999999999993"/>
    <n v="73.125"/>
    <n v="247.91"/>
    <n v="0"/>
    <n v="325.42250000000001"/>
    <n v="774.59603365000009"/>
    <n v="0.70416634807033007"/>
    <x v="1"/>
    <s v="LEVE"/>
    <x v="2"/>
    <x v="1"/>
    <n v="19"/>
    <n v="1"/>
    <d v="2018-06-04T00:00:00"/>
    <s v="VOLKSWAGUEN"/>
    <s v="VOYAGE"/>
    <n v="2132.6499999999996"/>
    <d v="2018-06-05T00:00:00"/>
    <n v="5"/>
    <x v="1"/>
  </r>
  <r>
    <d v="2018-06-08T00:00:00"/>
    <s v="001-00012521"/>
    <n v="1295.7034000000001"/>
    <n v="20.387501"/>
    <n v="0"/>
    <n v="42.79661016949153"/>
    <n v="0"/>
    <n v="124.3125"/>
    <n v="247.91"/>
    <n v="0"/>
    <n v="435.4066111694915"/>
    <n v="860.2967888305086"/>
    <n v="0.66396120349032695"/>
    <x v="0"/>
    <s v="LEVE"/>
    <x v="2"/>
    <x v="1"/>
    <n v="4"/>
    <n v="1"/>
    <d v="2018-06-04T00:00:00"/>
    <s v="KIA"/>
    <s v="CERATO"/>
    <n v="32.272500000000001"/>
    <d v="2018-06-04T00:00:00"/>
    <n v="8.5"/>
    <x v="489"/>
  </r>
  <r>
    <d v="2018-06-07T00:00:00"/>
    <s v="001-00012522"/>
    <n v="377"/>
    <n v="0"/>
    <n v="0"/>
    <n v="0"/>
    <n v="0"/>
    <n v="87.75"/>
    <n v="30.98875"/>
    <n v="0"/>
    <n v="118.73875"/>
    <n v="258.26125000000002"/>
    <n v="0.6850431034482759"/>
    <x v="0"/>
    <s v="LEVE"/>
    <x v="2"/>
    <x v="1"/>
    <n v="3"/>
    <n v="1"/>
    <d v="2018-06-04T00:00:00"/>
    <s v="CHEVROLET"/>
    <s v="SAIL"/>
    <n v="0"/>
    <d v="2018-06-04T00:00:00"/>
    <n v="6"/>
    <x v="983"/>
  </r>
  <r>
    <d v="2018-06-08T00:00:00"/>
    <s v="001-00012523"/>
    <n v="848.12002599999994"/>
    <n v="0"/>
    <n v="0"/>
    <n v="0"/>
    <n v="0"/>
    <n v="87.75"/>
    <n v="154.94374999999999"/>
    <n v="0"/>
    <n v="242.69374999999999"/>
    <n v="605.42627599999992"/>
    <n v="0.7138450424940207"/>
    <x v="0"/>
    <s v="LEVE"/>
    <x v="2"/>
    <x v="1"/>
    <n v="4"/>
    <n v="1"/>
    <d v="2018-06-04T00:00:00"/>
    <s v="VOLKSWAGUEN"/>
    <s v="AMAROK"/>
    <n v="0"/>
    <d v="2018-06-05T00:00:00"/>
    <n v="6"/>
    <x v="984"/>
  </r>
  <r>
    <d v="2018-06-20T00:00:00"/>
    <s v="001-00012524"/>
    <n v="2508.0975763500001"/>
    <n v="7.5087002599999995"/>
    <n v="0"/>
    <n v="104.75"/>
    <n v="14.625"/>
    <n v="263.25"/>
    <n v="309.88749999999999"/>
    <n v="0"/>
    <n v="700.02120026"/>
    <n v="1808.0763760899999"/>
    <n v="0.72089554774071773"/>
    <x v="1"/>
    <s v="MEDIANO"/>
    <x v="2"/>
    <x v="1"/>
    <n v="17"/>
    <n v="1"/>
    <d v="2018-06-03T00:00:00"/>
    <s v="NISSAN"/>
    <s v="TIIDA"/>
    <n v="2083.25"/>
    <d v="2018-06-05T00:00:00"/>
    <n v="18"/>
    <x v="1"/>
  </r>
  <r>
    <d v="2018-06-07T00:00:00"/>
    <s v="001-00012526"/>
    <n v="195.65999399999998"/>
    <n v="0"/>
    <n v="0"/>
    <n v="0"/>
    <n v="0"/>
    <n v="0"/>
    <n v="61.977499999999999"/>
    <n v="0"/>
    <n v="61.977499999999999"/>
    <n v="133.68249399999999"/>
    <n v="0.68323877184622628"/>
    <x v="0"/>
    <s v="LEVE"/>
    <x v="2"/>
    <x v="1"/>
    <n v="3"/>
    <n v="1"/>
    <d v="2018-06-04T00:00:00"/>
    <s v="TOYOTA"/>
    <s v="SOARER"/>
    <n v="0"/>
    <d v="2018-06-04T00:00:00"/>
    <n v="0"/>
    <x v="985"/>
  </r>
  <r>
    <d v="2018-06-08T00:00:00"/>
    <s v="001-00012529"/>
    <n v="331.70104370663989"/>
    <n v="0"/>
    <n v="0"/>
    <n v="0"/>
    <n v="0"/>
    <n v="14.625"/>
    <n v="61.977499999999999"/>
    <n v="0"/>
    <n v="76.602499999999992"/>
    <n v="255.0985437066399"/>
    <n v="0.76906162505853282"/>
    <x v="0"/>
    <s v="LEVE"/>
    <x v="2"/>
    <x v="1"/>
    <n v="3"/>
    <n v="1"/>
    <d v="2018-06-05T00:00:00"/>
    <s v="SUZUKI"/>
    <s v="APV"/>
    <n v="0"/>
    <d v="2018-06-05T00:00:00"/>
    <n v="1"/>
    <x v="986"/>
  </r>
  <r>
    <d v="2018-06-27T00:00:00"/>
    <s v="001-00012530"/>
    <n v="2471.1918506454213"/>
    <n v="0"/>
    <n v="0"/>
    <n v="137.58355932203389"/>
    <n v="4.3874999999999993"/>
    <n v="292.5"/>
    <n v="356.37062500000002"/>
    <n v="0"/>
    <n v="790.84168432203387"/>
    <n v="1680.3501663233874"/>
    <n v="0.67997560200941776"/>
    <x v="1"/>
    <s v="MEDIANO"/>
    <x v="2"/>
    <x v="1"/>
    <n v="22"/>
    <n v="1"/>
    <d v="2018-06-05T00:00:00"/>
    <s v="SUZUKI"/>
    <s v="BALENO"/>
    <n v="2305.6800000000003"/>
    <d v="2018-06-06T00:00:00"/>
    <n v="20"/>
    <x v="1"/>
  </r>
  <r>
    <d v="2018-06-20T00:00:00"/>
    <s v="001-00012531"/>
    <n v="1942.2701389754209"/>
    <n v="5.4759001999999999"/>
    <n v="0"/>
    <n v="0"/>
    <n v="10.237499999999999"/>
    <n v="190.125"/>
    <n v="294.393125"/>
    <n v="0"/>
    <n v="500.23152519999996"/>
    <n v="1442.0386137754208"/>
    <n v="0.74245007676229824"/>
    <x v="1"/>
    <s v="MEDIANO"/>
    <x v="2"/>
    <x v="1"/>
    <n v="15"/>
    <n v="1"/>
    <d v="2018-06-05T00:00:00"/>
    <s v="KIA"/>
    <s v="RIO"/>
    <n v="5392.7249999999995"/>
    <d v="2018-06-06T00:00:00"/>
    <n v="13"/>
    <x v="1"/>
  </r>
  <r>
    <d v="2018-06-06T00:00:00"/>
    <s v="001-00012533"/>
    <n v="634.5"/>
    <n v="170.81460140000002"/>
    <n v="0"/>
    <n v="38.14"/>
    <n v="39.048749999999998"/>
    <n v="0"/>
    <n v="0"/>
    <n v="0"/>
    <n v="248.00335139999999"/>
    <n v="386.49664860000001"/>
    <n v="0.60913577399527186"/>
    <x v="0"/>
    <s v="MECANICA"/>
    <x v="2"/>
    <x v="1"/>
    <n v="1"/>
    <n v="1"/>
    <d v="2018-06-05T00:00:00"/>
    <s v="RENAULT"/>
    <s v="STEPWAY"/>
    <n v="150.4425"/>
    <d v="2018-06-05T00:00:00"/>
    <n v="0"/>
    <x v="987"/>
  </r>
  <r>
    <d v="2018-06-08T00:00:00"/>
    <s v="001-00012534"/>
    <n v="2165.1694900000002"/>
    <n v="600.20440500000007"/>
    <n v="0"/>
    <n v="423.73"/>
    <n v="82.923749999999998"/>
    <n v="0"/>
    <n v="0"/>
    <n v="0"/>
    <n v="1106.8581550000001"/>
    <n v="1058.3113350000001"/>
    <n v="0.48878914093695269"/>
    <x v="0"/>
    <s v="MECANICA"/>
    <x v="2"/>
    <x v="1"/>
    <n v="3"/>
    <n v="1"/>
    <d v="2018-06-05T00:00:00"/>
    <s v="MITSUBISHI"/>
    <s v="L200"/>
    <n v="366.11250000000001"/>
    <d v="2018-06-05T00:00:00"/>
    <n v="0"/>
    <x v="988"/>
  </r>
  <r>
    <d v="2018-06-11T00:00:00"/>
    <s v="001-00012535"/>
    <n v="2423.4055317000007"/>
    <n v="0.76249999999999996"/>
    <n v="0"/>
    <n v="117.58355932203389"/>
    <n v="1.4625000000000001"/>
    <n v="321.75"/>
    <n v="288.19537500000007"/>
    <n v="0"/>
    <n v="729.75393432203396"/>
    <n v="1693.6515973779667"/>
    <n v="0.69887254742291638"/>
    <x v="1"/>
    <s v="MEDIANO"/>
    <x v="2"/>
    <x v="1"/>
    <n v="6"/>
    <n v="1"/>
    <d v="2018-06-05T00:00:00"/>
    <s v="NISSAN"/>
    <s v="MARCH"/>
    <n v="2027.0900000000001"/>
    <d v="2018-06-06T00:00:00"/>
    <n v="22"/>
    <x v="989"/>
  </r>
  <r>
    <d v="2018-06-05T00:00:00"/>
    <s v="001-00012537"/>
    <n v="235.766944881"/>
    <n v="0"/>
    <n v="0"/>
    <n v="20"/>
    <n v="0"/>
    <n v="0"/>
    <n v="0"/>
    <n v="0"/>
    <n v="20"/>
    <n v="215.766944881"/>
    <n v="0.91517046628358056"/>
    <x v="0"/>
    <s v="LEVE"/>
    <x v="2"/>
    <x v="1"/>
    <n v="0"/>
    <n v="1"/>
    <d v="2018-06-05T00:00:00"/>
    <s v="MITSUBISHI"/>
    <s v="MONTERO"/>
    <n v="0"/>
    <d v="2018-06-05T00:00:00"/>
    <n v="0"/>
    <x v="62"/>
  </r>
  <r>
    <d v="2018-06-20T00:00:00"/>
    <s v="001-00012538"/>
    <n v="1236.8025376499997"/>
    <n v="0"/>
    <n v="0"/>
    <n v="41.313559322033896"/>
    <n v="0"/>
    <n v="146.25"/>
    <n v="185.9325"/>
    <n v="0"/>
    <n v="373.49605932203389"/>
    <n v="863.30647832796581"/>
    <n v="0.69801480191680454"/>
    <x v="1"/>
    <s v="MEDIANO"/>
    <x v="2"/>
    <x v="1"/>
    <n v="15"/>
    <n v="1"/>
    <d v="2018-06-05T00:00:00"/>
    <s v="HONDA"/>
    <s v="WR-V"/>
    <n v="5193.0774999999994"/>
    <d v="2018-06-06T00:00:00"/>
    <n v="10"/>
    <x v="1"/>
  </r>
  <r>
    <d v="2018-06-09T00:00:00"/>
    <s v="001-00012540"/>
    <n v="349"/>
    <n v="94.831601300000003"/>
    <n v="0"/>
    <n v="0"/>
    <n v="39.048749999999998"/>
    <n v="0"/>
    <n v="0"/>
    <n v="0"/>
    <n v="133.8803513"/>
    <n v="215.1196487"/>
    <n v="0.61638867822349575"/>
    <x v="0"/>
    <s v="MECANICA"/>
    <x v="2"/>
    <x v="1"/>
    <n v="4"/>
    <n v="1"/>
    <d v="2018-06-05T00:00:00"/>
    <s v="HYUNDAI"/>
    <s v="ACCENT"/>
    <n v="0"/>
    <d v="2018-06-05T00:00:00"/>
    <n v="0"/>
    <x v="871"/>
  </r>
  <r>
    <d v="2018-06-08T00:00:00"/>
    <s v="001-00012542"/>
    <n v="179.41000549999998"/>
    <n v="0"/>
    <n v="0"/>
    <n v="0"/>
    <n v="0"/>
    <n v="0"/>
    <n v="61.977499999999999"/>
    <n v="0"/>
    <n v="61.977499999999999"/>
    <n v="117.43250549999999"/>
    <n v="0.65454825204829503"/>
    <x v="0"/>
    <s v="LEVE"/>
    <x v="2"/>
    <x v="1"/>
    <n v="2"/>
    <n v="1"/>
    <d v="2018-06-06T00:00:00"/>
    <s v="HYUNDAI"/>
    <s v="TUCSON"/>
    <n v="0"/>
    <d v="2018-06-06T00:00:00"/>
    <n v="0"/>
    <x v="973"/>
  </r>
  <r>
    <d v="2018-06-08T00:00:00"/>
    <s v="001-00012543"/>
    <n v="211.85589999999996"/>
    <n v="0"/>
    <n v="0"/>
    <n v="0"/>
    <n v="0"/>
    <n v="0"/>
    <n v="61.977499999999999"/>
    <n v="0"/>
    <n v="61.977499999999999"/>
    <n v="149.87839999999997"/>
    <n v="0.7074544537112254"/>
    <x v="0"/>
    <s v="LEVE"/>
    <x v="2"/>
    <x v="1"/>
    <n v="2"/>
    <n v="1"/>
    <d v="2018-06-06T00:00:00"/>
    <s v="HYUNDAI"/>
    <s v="TUCSON"/>
    <n v="0"/>
    <d v="2018-06-06T00:00:00"/>
    <n v="0"/>
    <x v="973"/>
  </r>
  <r>
    <d v="2018-06-19T00:00:00"/>
    <s v="001-00012544"/>
    <n v="527.46240262372999"/>
    <n v="0"/>
    <n v="0"/>
    <n v="0"/>
    <n v="0"/>
    <n v="29.25"/>
    <n v="123.955"/>
    <n v="0"/>
    <n v="153.20499999999998"/>
    <n v="374.25740262373"/>
    <n v="0.70954327884239721"/>
    <x v="1"/>
    <s v="LEVE"/>
    <x v="2"/>
    <x v="1"/>
    <n v="13"/>
    <n v="1"/>
    <d v="2018-06-06T00:00:00"/>
    <s v="HYUNDAI"/>
    <s v="ELANTRA"/>
    <n v="994.98749999999995"/>
    <d v="2018-06-07T00:00:00"/>
    <n v="2"/>
    <x v="1"/>
  </r>
  <r>
    <d v="2018-06-09T00:00:00"/>
    <s v="001-00012545"/>
    <n v="2580"/>
    <n v="608.08029997999995"/>
    <n v="182.2"/>
    <n v="67.8"/>
    <n v="58.5"/>
    <n v="0"/>
    <n v="0"/>
    <n v="0"/>
    <n v="916.58029997999984"/>
    <n v="1663.4197000200002"/>
    <n v="0.64473631783720942"/>
    <x v="0"/>
    <s v="MECANICA"/>
    <x v="2"/>
    <x v="1"/>
    <n v="3"/>
    <n v="1"/>
    <d v="2018-06-06T00:00:00"/>
    <s v="HYUNDAI"/>
    <s v="ACCENT"/>
    <n v="1068.2749999999999"/>
    <d v="2018-06-06T00:00:00"/>
    <n v="0"/>
    <x v="871"/>
  </r>
  <r>
    <d v="2018-06-06T00:00:00"/>
    <s v="001-00012546"/>
    <n v="1440"/>
    <n v="0"/>
    <n v="0"/>
    <n v="0"/>
    <n v="39.048749999999998"/>
    <n v="0"/>
    <n v="0"/>
    <n v="0"/>
    <n v="39.048749999999998"/>
    <n v="1400.9512500000001"/>
    <n v="0.97288281250000008"/>
    <x v="0"/>
    <s v="MECANICA"/>
    <x v="2"/>
    <x v="1"/>
    <n v="0"/>
    <n v="1"/>
    <d v="2018-06-06T00:00:00"/>
    <s v="KIA"/>
    <s v="RIO"/>
    <n v="1344.135"/>
    <d v="2018-06-06T00:00:00"/>
    <n v="0"/>
    <x v="990"/>
  </r>
  <r>
    <d v="2018-06-19T00:00:00"/>
    <s v="001-00012548"/>
    <n v="732.35822157881"/>
    <n v="0"/>
    <n v="0"/>
    <n v="20"/>
    <n v="0"/>
    <n v="43.875"/>
    <n v="136.35050000000001"/>
    <n v="0"/>
    <n v="200.22550000000001"/>
    <n v="532.13272157880999"/>
    <n v="0.7266016901286968"/>
    <x v="1"/>
    <s v="LEVE"/>
    <x v="2"/>
    <x v="1"/>
    <n v="13"/>
    <n v="1"/>
    <d v="2018-06-06T00:00:00"/>
    <s v="VOLVO"/>
    <s v="S60"/>
    <n v="1335.75"/>
    <d v="2018-06-08T00:00:00"/>
    <n v="3"/>
    <x v="1"/>
  </r>
  <r>
    <d v="2018-06-19T00:00:00"/>
    <s v="001-00012549"/>
    <n v="250"/>
    <n v="0"/>
    <n v="0"/>
    <n v="0"/>
    <n v="39.048749999999998"/>
    <n v="0"/>
    <n v="0"/>
    <n v="0"/>
    <n v="39.048749999999998"/>
    <n v="210.95125000000002"/>
    <n v="0.84380500000000003"/>
    <x v="0"/>
    <s v="MECANICA"/>
    <x v="2"/>
    <x v="1"/>
    <n v="12"/>
    <n v="1"/>
    <d v="2018-06-07T00:00:00"/>
    <s v="FIAT"/>
    <s v="PALIO"/>
    <n v="0"/>
    <d v="2018-06-07T00:00:00"/>
    <n v="0"/>
    <x v="991"/>
  </r>
  <r>
    <d v="2018-06-29T00:00:00"/>
    <s v="001-00012550"/>
    <n v="2244.9928630296599"/>
    <n v="0"/>
    <n v="0"/>
    <n v="132.9491525423729"/>
    <n v="46.800000000000004"/>
    <n v="175.5"/>
    <n v="232.41562500000001"/>
    <n v="0"/>
    <n v="587.66477754237292"/>
    <n v="1657.3280854872869"/>
    <n v="0.73823311992657814"/>
    <x v="1"/>
    <s v="MEDIANO"/>
    <x v="2"/>
    <x v="1"/>
    <n v="22"/>
    <n v="1"/>
    <d v="2018-06-07T00:00:00"/>
    <s v="HYUNDAI"/>
    <s v="ACCENT"/>
    <n v="3481.8224999999998"/>
    <d v="2018-06-07T00:00:00"/>
    <n v="12"/>
    <x v="1"/>
  </r>
  <r>
    <d v="2018-06-23T00:00:00"/>
    <s v="001-00012551"/>
    <n v="932.55154863711891"/>
    <n v="2.0328000599999996"/>
    <n v="0"/>
    <n v="81.970338983050851"/>
    <n v="0"/>
    <n v="87.75"/>
    <n v="136.35050000000001"/>
    <n v="0"/>
    <n v="308.10363904305086"/>
    <n v="624.44790959406805"/>
    <n v="0.66961221661866288"/>
    <x v="1"/>
    <s v="LEVE"/>
    <x v="2"/>
    <x v="1"/>
    <n v="17"/>
    <n v="1"/>
    <d v="2018-06-06T00:00:00"/>
    <s v="SUBARU"/>
    <s v="LEGACY"/>
    <n v="4899.18"/>
    <d v="2018-06-07T00:00:00"/>
    <n v="6"/>
    <x v="1"/>
  </r>
  <r>
    <d v="2018-06-15T00:00:00"/>
    <s v="001-00012552"/>
    <n v="744.10074090000012"/>
    <n v="0.59289997999999999"/>
    <n v="0"/>
    <n v="20"/>
    <n v="0"/>
    <n v="58.5"/>
    <n v="123.955"/>
    <n v="0"/>
    <n v="203.04789998000001"/>
    <n v="541.05284092000011"/>
    <n v="0.72712310468282726"/>
    <x v="1"/>
    <s v="LEVE"/>
    <x v="2"/>
    <x v="1"/>
    <n v="8"/>
    <n v="1"/>
    <d v="2018-06-07T00:00:00"/>
    <s v="HYUNDAI"/>
    <s v="ACCENT"/>
    <n v="1396.7849999999999"/>
    <d v="2018-06-07T00:00:00"/>
    <n v="4"/>
    <x v="1"/>
  </r>
  <r>
    <d v="2018-06-20T00:00:00"/>
    <s v="001-00012553"/>
    <n v="514.93756267541994"/>
    <n v="0"/>
    <n v="0"/>
    <n v="0"/>
    <n v="0"/>
    <n v="17.549999999999997"/>
    <n v="77.471874999999997"/>
    <n v="0"/>
    <n v="95.021874999999994"/>
    <n v="419.91568767541992"/>
    <n v="0.815469132789027"/>
    <x v="1"/>
    <s v="LEVE"/>
    <x v="2"/>
    <x v="1"/>
    <n v="14"/>
    <n v="1"/>
    <d v="2018-06-06T00:00:00"/>
    <s v="TOYOTA"/>
    <s v="YARIS"/>
    <n v="97.142499999999998"/>
    <d v="2018-06-09T00:00:00"/>
    <n v="1.2"/>
    <x v="1"/>
  </r>
  <r>
    <d v="2018-06-22T00:00:00"/>
    <s v="001-00012554"/>
    <n v="2501.877"/>
    <n v="5.4759001999999999"/>
    <n v="0"/>
    <n v="104.75"/>
    <n v="7.3125"/>
    <n v="219.375"/>
    <n v="309.88749999999999"/>
    <n v="0"/>
    <n v="646.8009002"/>
    <n v="1855.0760998000001"/>
    <n v="0.74147374143493072"/>
    <x v="1"/>
    <s v="MEDIANO"/>
    <x v="2"/>
    <x v="1"/>
    <n v="15"/>
    <n v="1"/>
    <d v="2018-06-07T00:00:00"/>
    <s v="SUZUKI"/>
    <s v="SWIFT"/>
    <n v="4484.9674999999997"/>
    <d v="2018-06-08T00:00:00"/>
    <n v="15"/>
    <x v="1"/>
  </r>
  <r>
    <d v="2018-06-22T00:00:00"/>
    <s v="001-00012555"/>
    <n v="1944.2803940099998"/>
    <n v="0"/>
    <n v="0"/>
    <n v="76.27"/>
    <n v="5.8500000000000005"/>
    <n v="234"/>
    <n v="216.92125000000001"/>
    <n v="0"/>
    <n v="533.04124999999999"/>
    <n v="1411.2391440099998"/>
    <n v="0.7258413695667506"/>
    <x v="1"/>
    <s v="MEDIANO"/>
    <x v="2"/>
    <x v="1"/>
    <n v="15"/>
    <n v="1"/>
    <d v="2018-06-07T00:00:00"/>
    <s v="SUBARU"/>
    <s v="NEW XV"/>
    <n v="2943.98"/>
    <d v="2018-06-09T00:00:00"/>
    <n v="16"/>
    <x v="1"/>
  </r>
  <r>
    <d v="2018-06-09T00:00:00"/>
    <s v="001-00012556"/>
    <n v="1582.5550000000001"/>
    <n v="1778.7685300000003"/>
    <n v="0"/>
    <n v="0"/>
    <n v="29.25"/>
    <n v="58.5"/>
    <n v="0"/>
    <n v="0"/>
    <n v="1866.5185300000003"/>
    <n v="-283.96353000000022"/>
    <n v="-0.17943359314526205"/>
    <x v="0"/>
    <s v="LEVE"/>
    <x v="2"/>
    <x v="1"/>
    <n v="2"/>
    <n v="1"/>
    <d v="2018-06-07T00:00:00"/>
    <s v="KIA"/>
    <s v="RIO"/>
    <n v="1235"/>
    <d v="2018-06-08T00:00:00"/>
    <n v="4"/>
    <x v="990"/>
  </r>
  <r>
    <d v="2018-06-28T00:00:00"/>
    <s v="001-00012557"/>
    <n v="1711.8659531186402"/>
    <n v="0"/>
    <n v="0"/>
    <n v="0"/>
    <n v="2.9250000000000003"/>
    <n v="204.75"/>
    <n v="259.68572499999999"/>
    <n v="0"/>
    <n v="467.360725"/>
    <n v="1244.5052281186402"/>
    <n v="0.72698754587146708"/>
    <x v="1"/>
    <s v="MEDIANO"/>
    <x v="2"/>
    <x v="1"/>
    <n v="20"/>
    <n v="1"/>
    <d v="2018-06-08T00:00:00"/>
    <s v="KIA"/>
    <s v="SPORTAGE"/>
    <n v="3884.7249999999999"/>
    <d v="2018-06-11T00:00:00"/>
    <n v="14"/>
    <x v="1"/>
  </r>
  <r>
    <d v="2018-06-27T00:00:00"/>
    <s v="001-00012559"/>
    <n v="2809.7329401920306"/>
    <n v="0.42370000000000002"/>
    <n v="0"/>
    <n v="75.08"/>
    <n v="4.3874999999999993"/>
    <n v="351"/>
    <n v="400.37464999999997"/>
    <n v="0"/>
    <n v="831.26585"/>
    <n v="1978.4670901920306"/>
    <n v="0.70414773656631324"/>
    <x v="1"/>
    <s v="MEDIANO"/>
    <x v="2"/>
    <x v="1"/>
    <n v="19"/>
    <n v="1"/>
    <d v="2018-06-08T00:00:00"/>
    <s v="HYUNDAI"/>
    <s v="ACCENT"/>
    <n v="1497.0150000000001"/>
    <d v="2018-06-11T00:00:00"/>
    <n v="24"/>
    <x v="1"/>
  </r>
  <r>
    <d v="2018-06-09T00:00:00"/>
    <s v="001-00012560"/>
    <n v="226.75076776299994"/>
    <n v="0"/>
    <n v="0"/>
    <n v="0"/>
    <n v="0"/>
    <n v="0"/>
    <n v="0"/>
    <n v="0"/>
    <n v="0"/>
    <n v="226.75076776299994"/>
    <n v="1"/>
    <x v="0"/>
    <s v="LEVE"/>
    <x v="2"/>
    <x v="1"/>
    <n v="2"/>
    <n v="1"/>
    <d v="2018-06-07T00:00:00"/>
    <s v="SUZUKI"/>
    <s v="APV"/>
    <n v="0"/>
    <d v="2018-06-08T00:00:00"/>
    <n v="0"/>
    <x v="986"/>
  </r>
  <r>
    <d v="2018-06-27T00:00:00"/>
    <s v="001-00012561"/>
    <n v="1392.92937937119"/>
    <n v="0"/>
    <n v="0"/>
    <n v="83.56"/>
    <n v="4.3874999999999993"/>
    <n v="73.125"/>
    <n v="185.31272500000003"/>
    <n v="0"/>
    <n v="346.38522499999999"/>
    <n v="1046.54415437119"/>
    <n v="0.75132606855031758"/>
    <x v="1"/>
    <s v="LEVE"/>
    <x v="2"/>
    <x v="1"/>
    <n v="19"/>
    <n v="1"/>
    <d v="2018-06-08T00:00:00"/>
    <s v="TOYOTA"/>
    <s v="YARIS"/>
    <n v="227.5"/>
    <d v="2018-06-09T00:00:00"/>
    <n v="5"/>
    <x v="1"/>
  </r>
  <r>
    <d v="2018-06-19T00:00:00"/>
    <s v="001-00012562"/>
    <n v="693.87178936304963"/>
    <n v="0"/>
    <n v="0"/>
    <n v="0"/>
    <n v="0"/>
    <n v="117"/>
    <n v="247.91"/>
    <n v="0"/>
    <n v="364.90999999999997"/>
    <n v="328.96178936304966"/>
    <n v="0.47409592723898636"/>
    <x v="1"/>
    <s v="LEVE"/>
    <x v="2"/>
    <x v="1"/>
    <n v="11"/>
    <n v="1"/>
    <d v="2018-06-08T00:00:00"/>
    <s v="MITSUBISHI"/>
    <s v="LANCER"/>
    <n v="6965.5299999999988"/>
    <d v="2018-06-12T00:00:00"/>
    <n v="8"/>
    <x v="992"/>
  </r>
  <r>
    <d v="2018-06-20T00:00:00"/>
    <s v="001-00012563"/>
    <n v="84.74579599999997"/>
    <n v="0"/>
    <n v="0"/>
    <n v="0"/>
    <n v="0"/>
    <n v="14.625"/>
    <n v="0"/>
    <n v="0"/>
    <n v="14.625"/>
    <n v="70.12079599999997"/>
    <n v="0.8274250677874333"/>
    <x v="0"/>
    <s v="MEDIANO"/>
    <x v="2"/>
    <x v="1"/>
    <n v="11"/>
    <n v="1"/>
    <d v="2018-06-09T00:00:00"/>
    <s v="HONDA"/>
    <s v="WR-V"/>
    <n v="0"/>
    <d v="2018-06-09T00:00:00"/>
    <n v="1"/>
    <x v="993"/>
  </r>
  <r>
    <d v="2018-06-23T00:00:00"/>
    <s v="001-00012564"/>
    <n v="1126.3091400542401"/>
    <n v="0.67760001999999986"/>
    <n v="0"/>
    <n v="33.771186440677965"/>
    <n v="0"/>
    <n v="87.75"/>
    <n v="241.09247499999998"/>
    <n v="0"/>
    <n v="363.29126146067796"/>
    <n v="763.01787859356205"/>
    <n v="0.67744977951330232"/>
    <x v="1"/>
    <s v="LEVE"/>
    <x v="2"/>
    <x v="1"/>
    <n v="15"/>
    <n v="1"/>
    <d v="2018-06-08T00:00:00"/>
    <s v="NISSAN"/>
    <s v="ALMERA"/>
    <n v="679.77"/>
    <d v="2018-06-11T00:00:00"/>
    <n v="6"/>
    <x v="1"/>
  </r>
  <r>
    <d v="2018-06-09T00:00:00"/>
    <s v="001-00012565"/>
    <n v="449"/>
    <n v="82.736002900000003"/>
    <n v="0"/>
    <n v="0"/>
    <n v="39.048749999999998"/>
    <n v="0"/>
    <n v="0"/>
    <n v="0"/>
    <n v="121.7847529"/>
    <n v="327.2152471"/>
    <n v="0.72876447015590196"/>
    <x v="0"/>
    <s v="MECANICA"/>
    <x v="2"/>
    <x v="1"/>
    <n v="1"/>
    <n v="1"/>
    <d v="2018-06-08T00:00:00"/>
    <s v="VOLKSWAGUEN"/>
    <s v="GOL"/>
    <n v="0"/>
    <d v="2018-06-09T00:00:00"/>
    <n v="0"/>
    <x v="994"/>
  </r>
  <r>
    <d v="2018-06-18T00:00:00"/>
    <s v="001-00012566"/>
    <n v="414.79349999999999"/>
    <n v="0"/>
    <n v="0"/>
    <n v="0"/>
    <n v="0"/>
    <n v="58.5"/>
    <n v="61.977499999999999"/>
    <n v="0"/>
    <n v="120.47749999999999"/>
    <n v="294.31600000000003"/>
    <n v="0.70954824509062953"/>
    <x v="1"/>
    <s v="LEVE"/>
    <x v="2"/>
    <x v="1"/>
    <n v="10"/>
    <n v="1"/>
    <d v="2018-06-08T00:00:00"/>
    <s v="MITSUBISHI"/>
    <s v="L200"/>
    <n v="0"/>
    <d v="2018-06-11T00:00:00"/>
    <n v="4"/>
    <x v="1"/>
  </r>
  <r>
    <d v="2018-06-23T00:00:00"/>
    <s v="001-00012569"/>
    <n v="927.37086996863991"/>
    <n v="0.67760001999999986"/>
    <n v="0"/>
    <n v="0"/>
    <n v="0"/>
    <n v="117"/>
    <n v="122.71545"/>
    <n v="0"/>
    <n v="240.39305002"/>
    <n v="686.97781994863988"/>
    <n v="0.74078002899947759"/>
    <x v="1"/>
    <s v="MEDIANO"/>
    <x v="2"/>
    <x v="1"/>
    <n v="15"/>
    <n v="1"/>
    <d v="2018-06-08T00:00:00"/>
    <s v="HONDA"/>
    <s v="HR-V"/>
    <n v="1818.1800000000003"/>
    <d v="2018-05-25T00:00:00"/>
    <n v="8"/>
    <x v="1"/>
  </r>
  <r>
    <d v="2018-06-11T00:00:00"/>
    <s v="001-00012570"/>
    <n v="349"/>
    <n v="128.01130355000001"/>
    <n v="0"/>
    <n v="0"/>
    <n v="39.048749999999998"/>
    <n v="0"/>
    <n v="0"/>
    <n v="0"/>
    <n v="167.06005355000002"/>
    <n v="181.93994644999998"/>
    <n v="0.52131789813753571"/>
    <x v="0"/>
    <s v="MECANICA"/>
    <x v="2"/>
    <x v="1"/>
    <n v="0"/>
    <n v="1"/>
    <d v="2018-06-11T00:00:00"/>
    <s v="TOYOTA"/>
    <s v="COROLLA"/>
    <n v="0"/>
    <d v="2018-06-11T00:00:00"/>
    <n v="0"/>
    <x v="854"/>
  </r>
  <r>
    <d v="2018-06-11T00:00:00"/>
    <s v="001-00012572"/>
    <n v="349"/>
    <n v="78.657701550000013"/>
    <n v="0"/>
    <n v="0"/>
    <n v="39.048749999999998"/>
    <n v="0"/>
    <n v="0"/>
    <n v="0"/>
    <n v="117.70645155000001"/>
    <n v="231.29354845"/>
    <n v="0.66273223051575936"/>
    <x v="0"/>
    <s v="MECANICA"/>
    <x v="2"/>
    <x v="1"/>
    <n v="0"/>
    <n v="1"/>
    <d v="2018-06-11T00:00:00"/>
    <s v="NISSAN"/>
    <s v="VERSA"/>
    <n v="0"/>
    <d v="2018-06-11T00:00:00"/>
    <n v="0"/>
    <x v="151"/>
  </r>
  <r>
    <d v="2018-06-30T00:00:00"/>
    <s v="001-00012573"/>
    <n v="939.63797129999989"/>
    <n v="0"/>
    <n v="0"/>
    <n v="20"/>
    <n v="0"/>
    <n v="102.375"/>
    <n v="0"/>
    <n v="0"/>
    <n v="122.375"/>
    <n v="817.26297129999989"/>
    <n v="0.8697636709692641"/>
    <x v="2"/>
    <s v="MEDIANO"/>
    <x v="2"/>
    <x v="1"/>
    <n v="19"/>
    <n v="1"/>
    <d v="2018-06-11T00:00:00"/>
    <s v="NISSAN"/>
    <s v="QASHQAI"/>
    <n v="3862.4625000000001"/>
    <d v="2018-06-12T00:00:00"/>
    <n v="7"/>
    <x v="995"/>
  </r>
  <r>
    <d v="2018-06-15T00:00:00"/>
    <s v="001-00012575"/>
    <n v="346.30200000000002"/>
    <n v="0"/>
    <n v="0"/>
    <n v="27.542372881355934"/>
    <n v="0"/>
    <n v="21.9375"/>
    <n v="61.977499999999999"/>
    <n v="0"/>
    <n v="111.45737288135592"/>
    <n v="234.8446271186441"/>
    <n v="0.67814978578998697"/>
    <x v="1"/>
    <s v="LEVE"/>
    <x v="2"/>
    <x v="1"/>
    <n v="4"/>
    <n v="1"/>
    <d v="2018-06-11T00:00:00"/>
    <s v="TOYOTA"/>
    <s v="COROLLA"/>
    <n v="833.00750000000005"/>
    <d v="2018-06-12T00:00:00"/>
    <n v="1.5"/>
    <x v="1"/>
  </r>
  <r>
    <d v="2018-06-21T00:00:00"/>
    <s v="001-00012576"/>
    <n v="1976.2546734699997"/>
    <n v="0"/>
    <n v="0"/>
    <n v="0"/>
    <n v="2.9250000000000003"/>
    <n v="292.5"/>
    <n v="216.92125000000001"/>
    <n v="0"/>
    <n v="512.34625000000005"/>
    <n v="1463.9084234699997"/>
    <n v="0.74074887367608411"/>
    <x v="1"/>
    <s v="MEDIANO"/>
    <x v="2"/>
    <x v="1"/>
    <n v="10"/>
    <n v="1"/>
    <d v="2018-06-11T00:00:00"/>
    <s v="SUZUKI"/>
    <s v="APV"/>
    <n v="0"/>
    <d v="2018-06-11T00:00:00"/>
    <n v="20"/>
    <x v="1"/>
  </r>
  <r>
    <d v="2018-06-19T00:00:00"/>
    <s v="001-00012577"/>
    <n v="2270.3406720933908"/>
    <n v="0.50860000000000005"/>
    <n v="0"/>
    <n v="0"/>
    <n v="0"/>
    <n v="409.5"/>
    <n v="220.63990000000001"/>
    <n v="0"/>
    <n v="630.64850000000001"/>
    <n v="1639.6921720933908"/>
    <n v="0.72222296514711859"/>
    <x v="1"/>
    <s v="GRAVE"/>
    <x v="2"/>
    <x v="1"/>
    <n v="8"/>
    <n v="1"/>
    <d v="2018-06-11T00:00:00"/>
    <s v="TOYOTA"/>
    <s v="AVANZA"/>
    <n v="627.96500000000003"/>
    <d v="2018-05-26T00:00:00"/>
    <n v="28"/>
    <x v="1"/>
  </r>
  <r>
    <d v="2018-06-13T00:00:00"/>
    <s v="001-00012578"/>
    <n v="3158.4441254000008"/>
    <n v="0.76249999999999996"/>
    <n v="0"/>
    <n v="93.22"/>
    <n v="0"/>
    <n v="365.625"/>
    <n v="376.82319999999999"/>
    <n v="0"/>
    <n v="836.4307"/>
    <n v="2322.0134254000009"/>
    <n v="0.73517635050958197"/>
    <x v="1"/>
    <s v="GRAVE"/>
    <x v="2"/>
    <x v="1"/>
    <n v="2"/>
    <n v="1"/>
    <d v="2018-06-11T00:00:00"/>
    <s v="NISSAN"/>
    <s v="X-TRAIL"/>
    <n v="4394.0974999999999"/>
    <d v="2018-06-12T00:00:00"/>
    <n v="25"/>
    <x v="41"/>
  </r>
  <r>
    <d v="2018-06-14T00:00:00"/>
    <s v="001-00012579"/>
    <n v="1469.7"/>
    <n v="0"/>
    <n v="0"/>
    <n v="0"/>
    <n v="0"/>
    <n v="87.75"/>
    <n v="278.89875000000001"/>
    <n v="0"/>
    <n v="366.64875000000001"/>
    <n v="1103.05125"/>
    <n v="0.75052816901408448"/>
    <x v="0"/>
    <s v="LEVE"/>
    <x v="2"/>
    <x v="1"/>
    <n v="3"/>
    <n v="1"/>
    <d v="2018-06-11T00:00:00"/>
    <s v="HYUNDAI"/>
    <s v="SANTA FE"/>
    <n v="0"/>
    <d v="2018-06-11T00:00:00"/>
    <n v="6"/>
    <x v="996"/>
  </r>
  <r>
    <d v="2018-06-23T00:00:00"/>
    <s v="001-00012580"/>
    <n v="572.07501749999994"/>
    <n v="0"/>
    <n v="0"/>
    <n v="47.542372881355931"/>
    <n v="0"/>
    <n v="29.25"/>
    <n v="123.955"/>
    <n v="0"/>
    <n v="200.74737288135594"/>
    <n v="371.327644618644"/>
    <n v="0.64908907618683775"/>
    <x v="1"/>
    <s v="LEVE"/>
    <x v="2"/>
    <x v="1"/>
    <n v="12"/>
    <n v="1"/>
    <d v="2018-06-11T00:00:00"/>
    <s v="KIA"/>
    <s v="SPORTAGE"/>
    <n v="1166.3275000000001"/>
    <d v="2018-06-15T00:00:00"/>
    <n v="2"/>
    <x v="1"/>
  </r>
  <r>
    <d v="2018-06-27T00:00:00"/>
    <s v="001-00012581"/>
    <n v="1187.52793709364"/>
    <n v="2.37140006"/>
    <n v="0"/>
    <n v="0"/>
    <n v="0"/>
    <n v="102.375"/>
    <n v="201.426875"/>
    <n v="0"/>
    <n v="306.17327505999998"/>
    <n v="881.35466203364012"/>
    <n v="0.74217593919572999"/>
    <x v="1"/>
    <s v="LEVE"/>
    <x v="2"/>
    <x v="1"/>
    <n v="16"/>
    <n v="1"/>
    <d v="2018-06-11T00:00:00"/>
    <s v="VOLKSWAGUEN"/>
    <s v="GOL"/>
    <n v="2750.9300000000003"/>
    <d v="2018-06-12T00:00:00"/>
    <n v="7"/>
    <x v="1"/>
  </r>
  <r>
    <d v="2018-06-23T00:00:00"/>
    <s v="001-00012582"/>
    <n v="1299.0120171472888"/>
    <n v="0"/>
    <n v="0"/>
    <n v="45.444915254237294"/>
    <n v="1.4625000000000001"/>
    <n v="117"/>
    <n v="185.9325"/>
    <n v="0"/>
    <n v="349.83991525423733"/>
    <n v="949.17210189305149"/>
    <n v="0.73068769908494957"/>
    <x v="1"/>
    <s v="MEDIANO"/>
    <x v="2"/>
    <x v="1"/>
    <n v="12"/>
    <n v="1"/>
    <d v="2018-06-11T00:00:00"/>
    <s v="SUZUKI"/>
    <s v="SWIFT"/>
    <n v="1262.95"/>
    <d v="2018-06-12T00:00:00"/>
    <n v="8"/>
    <x v="1"/>
  </r>
  <r>
    <d v="2018-06-26T00:00:00"/>
    <s v="001-00012583"/>
    <n v="851.86093101102006"/>
    <n v="0"/>
    <n v="0"/>
    <n v="0"/>
    <n v="0"/>
    <n v="43.875"/>
    <n v="201.426875"/>
    <n v="0"/>
    <n v="245.301875"/>
    <n v="606.55905601102006"/>
    <n v="0.71203999846680766"/>
    <x v="1"/>
    <s v="LEVE"/>
    <x v="2"/>
    <x v="1"/>
    <n v="15"/>
    <n v="1"/>
    <d v="2018-06-11T00:00:00"/>
    <s v="MAZDA"/>
    <s v="CX-5"/>
    <n v="2762.5"/>
    <d v="2018-06-13T00:00:00"/>
    <n v="3"/>
    <x v="1"/>
  </r>
  <r>
    <d v="2018-06-21T00:00:00"/>
    <s v="001-00012584"/>
    <n v="1239.1378181"/>
    <n v="0"/>
    <n v="0"/>
    <n v="0"/>
    <n v="0"/>
    <n v="102.375"/>
    <n v="201.426875"/>
    <n v="0"/>
    <n v="303.801875"/>
    <n v="935.33594310000001"/>
    <n v="0.75482801786662701"/>
    <x v="1"/>
    <s v="LEVE"/>
    <x v="2"/>
    <x v="1"/>
    <n v="10"/>
    <n v="1"/>
    <d v="2018-06-11T00:00:00"/>
    <s v="HYUNDAI"/>
    <s v="I30"/>
    <n v="0"/>
    <d v="2018-06-12T00:00:00"/>
    <n v="7"/>
    <x v="1"/>
  </r>
  <r>
    <d v="2018-06-14T00:00:00"/>
    <s v="001-00012586"/>
    <n v="933.85456193400012"/>
    <n v="0"/>
    <n v="0"/>
    <n v="0"/>
    <n v="0"/>
    <n v="102.375"/>
    <n v="216.92125000000001"/>
    <n v="0"/>
    <n v="319.29624999999999"/>
    <n v="614.55831193400013"/>
    <n v="0.65808781900819568"/>
    <x v="0"/>
    <s v="LEVE"/>
    <x v="2"/>
    <x v="1"/>
    <n v="3"/>
    <n v="1"/>
    <d v="2018-06-11T00:00:00"/>
    <s v="MAZDA"/>
    <s v="MAZDA 3"/>
    <n v="0"/>
    <d v="2018-06-11T00:00:00"/>
    <n v="7"/>
    <x v="997"/>
  </r>
  <r>
    <d v="2018-06-26T00:00:00"/>
    <s v="001-00012587"/>
    <n v="777.86786797668992"/>
    <n v="0"/>
    <n v="0"/>
    <n v="68.851186440677964"/>
    <n v="0"/>
    <n v="87.75"/>
    <n v="77.471874999999997"/>
    <n v="0"/>
    <n v="234.07306144067798"/>
    <n v="543.79480653601195"/>
    <n v="0.69908377620800199"/>
    <x v="1"/>
    <s v="LEVE"/>
    <x v="2"/>
    <x v="1"/>
    <n v="15"/>
    <n v="1"/>
    <d v="2018-06-11T00:00:00"/>
    <s v="KIA"/>
    <s v="SPORTAGE"/>
    <n v="3299.27"/>
    <d v="2018-06-12T00:00:00"/>
    <n v="6"/>
    <x v="1"/>
  </r>
  <r>
    <d v="2018-06-12T00:00:00"/>
    <s v="001-00012589"/>
    <n v="245.10169999999999"/>
    <n v="50.803600900000006"/>
    <n v="0"/>
    <n v="12.71"/>
    <n v="39.048749999999998"/>
    <n v="0"/>
    <n v="0"/>
    <n v="0"/>
    <n v="102.56235090000001"/>
    <n v="142.53934909999998"/>
    <n v="0.58155185826944478"/>
    <x v="0"/>
    <s v="MECANICA"/>
    <x v="2"/>
    <x v="1"/>
    <n v="0"/>
    <n v="1"/>
    <d v="2018-06-12T00:00:00"/>
    <s v="KIA"/>
    <s v="RIO"/>
    <n v="0"/>
    <d v="2018-06-12T00:00:00"/>
    <n v="0"/>
    <x v="350"/>
  </r>
  <r>
    <d v="2018-06-22T00:00:00"/>
    <s v="001-00012590"/>
    <n v="1233.2653458"/>
    <n v="3.3874"/>
    <n v="0"/>
    <n v="66.101694915254242"/>
    <n v="0"/>
    <n v="102.375"/>
    <n v="170.43812500000001"/>
    <n v="0"/>
    <n v="342.30221991525423"/>
    <n v="890.96312588474575"/>
    <n v="0.72244235915571919"/>
    <x v="1"/>
    <s v="LEVE"/>
    <x v="2"/>
    <x v="1"/>
    <n v="10"/>
    <n v="1"/>
    <d v="2018-06-12T00:00:00"/>
    <s v="KIA"/>
    <s v="PICANTO"/>
    <n v="1751.7825"/>
    <d v="2018-06-13T00:00:00"/>
    <n v="7"/>
    <x v="1"/>
  </r>
  <r>
    <d v="2018-06-12T00:00:00"/>
    <s v="001-00012591"/>
    <n v="499"/>
    <n v="64.137001150000003"/>
    <n v="0"/>
    <n v="0"/>
    <n v="39.048749999999998"/>
    <n v="0"/>
    <n v="0"/>
    <n v="0"/>
    <n v="103.18575115"/>
    <n v="395.81424885000001"/>
    <n v="0.79321492755511025"/>
    <x v="0"/>
    <s v="MECANICA"/>
    <x v="2"/>
    <x v="1"/>
    <n v="0"/>
    <n v="1"/>
    <d v="2018-06-12T00:00:00"/>
    <s v="MAZDA"/>
    <s v="MAZDA 3"/>
    <n v="0"/>
    <d v="2018-06-12T00:00:00"/>
    <n v="0"/>
    <x v="747"/>
  </r>
  <r>
    <d v="2018-06-26T00:00:00"/>
    <s v="001-00012592"/>
    <n v="844.14503077541997"/>
    <n v="0"/>
    <n v="0"/>
    <n v="0"/>
    <n v="10.237499999999999"/>
    <n v="87.75"/>
    <n v="139.449375"/>
    <n v="0"/>
    <n v="237.43687499999999"/>
    <n v="606.70815577541998"/>
    <n v="0.71872502195281096"/>
    <x v="1"/>
    <s v="LEVE"/>
    <x v="2"/>
    <x v="1"/>
    <n v="14"/>
    <n v="1"/>
    <d v="2018-06-12T00:00:00"/>
    <s v="NISSAN"/>
    <s v="TIIDA"/>
    <n v="2305.4850000000001"/>
    <d v="2018-06-12T00:00:00"/>
    <n v="6"/>
    <x v="1"/>
  </r>
  <r>
    <d v="2018-06-13T00:00:00"/>
    <s v="001-00012593"/>
    <n v="349"/>
    <n v="92.551602400000021"/>
    <n v="0"/>
    <n v="0"/>
    <n v="39.048749999999998"/>
    <n v="0"/>
    <n v="0"/>
    <n v="0"/>
    <n v="131.60035240000002"/>
    <n v="217.39964759999998"/>
    <n v="0.62292162636103143"/>
    <x v="0"/>
    <s v="MECANICA"/>
    <x v="2"/>
    <x v="1"/>
    <n v="1"/>
    <n v="1"/>
    <d v="2018-06-12T00:00:00"/>
    <s v="CHEVROLET"/>
    <s v="AVEO"/>
    <n v="0"/>
    <d v="2018-06-12T00:00:00"/>
    <n v="0"/>
    <x v="129"/>
  </r>
  <r>
    <d v="2018-06-26T00:00:00"/>
    <s v="001-00012594"/>
    <n v="1110"/>
    <n v="509.03760295000001"/>
    <n v="0"/>
    <n v="0"/>
    <n v="39.048749999999998"/>
    <n v="0"/>
    <n v="0"/>
    <n v="0"/>
    <n v="548.08635294999999"/>
    <n v="561.91364705000001"/>
    <n v="0.50622851085585585"/>
    <x v="0"/>
    <s v="MECANICA"/>
    <x v="2"/>
    <x v="1"/>
    <n v="14"/>
    <n v="1"/>
    <d v="2018-06-12T00:00:00"/>
    <s v="KIA"/>
    <s v="SORENTO"/>
    <n v="0"/>
    <d v="2018-06-12T00:00:00"/>
    <n v="0"/>
    <x v="157"/>
  </r>
  <r>
    <d v="2018-06-27T00:00:00"/>
    <s v="001-00012595"/>
    <n v="1836.3129104420309"/>
    <n v="0"/>
    <n v="0"/>
    <n v="0"/>
    <n v="0"/>
    <n v="160.875"/>
    <n v="316.08524999999997"/>
    <n v="0"/>
    <n v="476.96024999999997"/>
    <n v="1359.3526604420308"/>
    <n v="0.74026199604228238"/>
    <x v="1"/>
    <s v="MEDIANO"/>
    <x v="2"/>
    <x v="1"/>
    <n v="15"/>
    <n v="1"/>
    <d v="2018-06-12T00:00:00"/>
    <s v="HYUNDAI"/>
    <s v="SANTA FE"/>
    <n v="1263.6000000000001"/>
    <d v="2018-06-13T00:00:00"/>
    <n v="11"/>
    <x v="910"/>
  </r>
  <r>
    <d v="2018-06-15T00:00:00"/>
    <s v="001-00012596"/>
    <n v="634.5"/>
    <n v="0"/>
    <n v="0"/>
    <n v="40.254237288135599"/>
    <n v="0"/>
    <n v="58.5"/>
    <n v="123.955"/>
    <n v="0"/>
    <n v="222.7092372881356"/>
    <n v="411.79076271186443"/>
    <n v="0.64900041404549158"/>
    <x v="0"/>
    <s v="LEVE"/>
    <x v="2"/>
    <x v="1"/>
    <n v="3"/>
    <n v="1"/>
    <d v="2018-06-12T00:00:00"/>
    <s v="TOYOTA"/>
    <s v="YARIS"/>
    <n v="0"/>
    <d v="2018-06-12T00:00:00"/>
    <n v="4"/>
    <x v="998"/>
  </r>
  <r>
    <d v="2018-06-26T00:00:00"/>
    <s v="001-00012597"/>
    <n v="1140.5881820771192"/>
    <n v="0"/>
    <n v="0"/>
    <n v="0"/>
    <n v="0"/>
    <n v="117"/>
    <n v="173.53700000000001"/>
    <n v="0"/>
    <n v="290.53700000000003"/>
    <n v="850.05118207711917"/>
    <n v="0.74527440791916266"/>
    <x v="1"/>
    <s v="MEDIANO"/>
    <x v="2"/>
    <x v="1"/>
    <n v="14"/>
    <n v="1"/>
    <d v="2018-06-12T00:00:00"/>
    <s v="HYUNDAI"/>
    <s v="CRETA"/>
    <n v="6983.6"/>
    <d v="2018-06-13T00:00:00"/>
    <n v="8"/>
    <x v="1"/>
  </r>
  <r>
    <d v="2018-06-12T00:00:00"/>
    <s v="001-00012599"/>
    <n v="30"/>
    <n v="0"/>
    <n v="0"/>
    <n v="0"/>
    <n v="0"/>
    <n v="0"/>
    <n v="0"/>
    <n v="0"/>
    <n v="0"/>
    <n v="30"/>
    <n v="1"/>
    <x v="0"/>
    <s v="MECANICA"/>
    <x v="2"/>
    <x v="1"/>
    <n v="0"/>
    <n v="1"/>
    <d v="2018-06-12T00:00:00"/>
    <s v="PEUGEOT"/>
    <n v="308"/>
    <n v="0"/>
    <d v="2018-06-12T00:00:00"/>
    <n v="0"/>
    <x v="418"/>
  </r>
  <r>
    <d v="2018-06-15T00:00:00"/>
    <s v="001-00012600"/>
    <n v="1587.7619999999997"/>
    <n v="0"/>
    <n v="0"/>
    <n v="0"/>
    <n v="0"/>
    <n v="219.375"/>
    <n v="325.38187500000004"/>
    <n v="0"/>
    <n v="544.75687500000004"/>
    <n v="1043.0051249999997"/>
    <n v="0.65690268755644732"/>
    <x v="0"/>
    <s v="MEDIANO"/>
    <x v="2"/>
    <x v="1"/>
    <n v="3"/>
    <n v="1"/>
    <d v="2018-06-12T00:00:00"/>
    <s v="TOYOTA"/>
    <s v="YARIS"/>
    <n v="0"/>
    <d v="2018-06-12T00:00:00"/>
    <n v="15"/>
    <x v="17"/>
  </r>
  <r>
    <d v="2018-06-26T00:00:00"/>
    <s v="001-00012602"/>
    <n v="330.77501010000003"/>
    <n v="0"/>
    <n v="0"/>
    <n v="0"/>
    <n v="0"/>
    <n v="73.125"/>
    <n v="0"/>
    <n v="0"/>
    <n v="73.125"/>
    <n v="257.65001010000003"/>
    <n v="0.77892828125712155"/>
    <x v="0"/>
    <s v="LEVE"/>
    <x v="2"/>
    <x v="1"/>
    <n v="14"/>
    <n v="1"/>
    <d v="2018-06-12T00:00:00"/>
    <s v="CHEVROLET"/>
    <s v="N300"/>
    <n v="84.5"/>
    <d v="2018-06-13T00:00:00"/>
    <n v="5"/>
    <x v="999"/>
  </r>
  <r>
    <d v="2018-06-27T00:00:00"/>
    <s v="001-00012603"/>
    <n v="1513.6328086601698"/>
    <n v="1.0337000000000001"/>
    <n v="0"/>
    <n v="0"/>
    <n v="0"/>
    <n v="160.875"/>
    <n v="278.89875000000001"/>
    <n v="0"/>
    <n v="440.80745000000002"/>
    <n v="1072.8253586601697"/>
    <n v="0.70877517487864716"/>
    <x v="1"/>
    <s v="MEDIANO"/>
    <x v="2"/>
    <x v="1"/>
    <n v="15"/>
    <n v="1"/>
    <d v="2018-06-12T00:00:00"/>
    <s v="SUZUKI"/>
    <s v="G. VITARA"/>
    <n v="4812.9250000000002"/>
    <d v="2018-06-13T00:00:00"/>
    <n v="11"/>
    <x v="999"/>
  </r>
  <r>
    <d v="2018-06-20T00:00:00"/>
    <s v="001-00012605"/>
    <n v="1170"/>
    <n v="530.2237090000001"/>
    <n v="0"/>
    <n v="0"/>
    <n v="39.048749999999998"/>
    <n v="0"/>
    <n v="0"/>
    <n v="0"/>
    <n v="569.27245900000014"/>
    <n v="600.72754099999986"/>
    <n v="0.51344234273504263"/>
    <x v="0"/>
    <s v="MECANICA"/>
    <x v="2"/>
    <x v="1"/>
    <n v="8"/>
    <n v="1"/>
    <d v="2018-06-12T00:00:00"/>
    <s v="HYUNDAI"/>
    <s v="I10"/>
    <n v="1013.0900000000001"/>
    <d v="2018-06-13T00:00:00"/>
    <n v="0"/>
    <x v="586"/>
  </r>
  <r>
    <d v="2018-06-27T00:00:00"/>
    <s v="001-00012606"/>
    <n v="808.68300471525004"/>
    <n v="0"/>
    <n v="0"/>
    <n v="89.512711864406782"/>
    <n v="0"/>
    <n v="43.875"/>
    <n v="131.39230000000001"/>
    <n v="0"/>
    <n v="264.78001186440679"/>
    <n v="543.90299285084325"/>
    <n v="0.67257873564730108"/>
    <x v="1"/>
    <s v="LEVE"/>
    <x v="2"/>
    <x v="1"/>
    <n v="15"/>
    <n v="1"/>
    <d v="2018-06-12T00:00:00"/>
    <s v="VOLKSWAGUEN"/>
    <s v="CROSSFOX"/>
    <n v="1169.5125"/>
    <d v="2018-06-13T00:00:00"/>
    <n v="3"/>
    <x v="1"/>
  </r>
  <r>
    <d v="2018-06-26T00:00:00"/>
    <s v="001-00012607"/>
    <n v="810.22945723983003"/>
    <n v="0.42369999999999997"/>
    <n v="0"/>
    <n v="55.084745762711869"/>
    <n v="0"/>
    <n v="43.875"/>
    <n v="123.955"/>
    <n v="0"/>
    <n v="223.33844576271184"/>
    <n v="586.89101147711813"/>
    <n v="0.72435160957545497"/>
    <x v="1"/>
    <s v="LEVE"/>
    <x v="2"/>
    <x v="1"/>
    <n v="14"/>
    <n v="1"/>
    <d v="2018-06-12T00:00:00"/>
    <s v="SUZUKI"/>
    <s v="VITARA"/>
    <n v="366.63249999999999"/>
    <d v="2018-06-14T00:00:00"/>
    <n v="3"/>
    <x v="1"/>
  </r>
  <r>
    <d v="2018-06-23T00:00:00"/>
    <s v="001-00012608"/>
    <n v="686.49002100000007"/>
    <n v="0"/>
    <n v="0"/>
    <n v="193.8535593220339"/>
    <n v="5.8500000000000005"/>
    <n v="14.625"/>
    <n v="61.977499999999999"/>
    <n v="0"/>
    <n v="276.30605932203389"/>
    <n v="410.18396167796618"/>
    <n v="0.59750899376579014"/>
    <x v="1"/>
    <s v="LEVE"/>
    <x v="2"/>
    <x v="1"/>
    <n v="10"/>
    <n v="1"/>
    <d v="2018-06-13T00:00:00"/>
    <s v="HYUNDAI"/>
    <s v="I30"/>
    <n v="403"/>
    <d v="2018-06-14T00:00:00"/>
    <n v="1"/>
    <x v="1000"/>
  </r>
  <r>
    <d v="2018-06-29T00:00:00"/>
    <s v="001-00012609"/>
    <n v="1233.8818041727111"/>
    <n v="0"/>
    <n v="0"/>
    <n v="55.08"/>
    <n v="0"/>
    <n v="117"/>
    <n v="195.22912500000001"/>
    <n v="0"/>
    <n v="367.30912499999999"/>
    <n v="866.5726791727111"/>
    <n v="0.70231417323941159"/>
    <x v="1"/>
    <s v="MEDIANO"/>
    <x v="2"/>
    <x v="1"/>
    <n v="16"/>
    <n v="1"/>
    <d v="2018-06-13T00:00:00"/>
    <s v="TOYOTA"/>
    <s v="AVANZA"/>
    <n v="1914.4449999999997"/>
    <d v="2018-06-14T00:00:00"/>
    <n v="8"/>
    <x v="1"/>
  </r>
  <r>
    <d v="2018-06-20T00:00:00"/>
    <s v="001-00012610"/>
    <n v="773.20000003729001"/>
    <n v="0"/>
    <n v="0"/>
    <n v="0"/>
    <n v="0"/>
    <n v="73.125"/>
    <n v="123.955"/>
    <n v="0"/>
    <n v="197.07999999999998"/>
    <n v="576.12000003729008"/>
    <n v="0.74511122608575386"/>
    <x v="1"/>
    <s v="LEVE"/>
    <x v="2"/>
    <x v="1"/>
    <n v="7"/>
    <n v="1"/>
    <d v="2018-06-13T00:00:00"/>
    <s v="KIA"/>
    <s v="RIO"/>
    <n v="29.379999999999995"/>
    <d v="2018-06-13T00:00:00"/>
    <n v="5"/>
    <x v="1001"/>
  </r>
  <r>
    <d v="2018-06-22T00:00:00"/>
    <s v="001-00012611"/>
    <n v="756.53186370000003"/>
    <n v="4.4044001299999991"/>
    <n v="0"/>
    <n v="20"/>
    <n v="0"/>
    <n v="73.125"/>
    <n v="132.01207499999998"/>
    <n v="0"/>
    <n v="229.54147512999998"/>
    <n v="526.99038857000005"/>
    <n v="0.69658716817640376"/>
    <x v="1"/>
    <s v="LEVE"/>
    <x v="2"/>
    <x v="1"/>
    <n v="9"/>
    <n v="1"/>
    <d v="2018-06-13T00:00:00"/>
    <s v="BYD"/>
    <s v="F3-GL"/>
    <n v="1787.5"/>
    <d v="2018-06-14T00:00:00"/>
    <n v="5"/>
    <x v="1"/>
  </r>
  <r>
    <d v="2018-06-23T00:00:00"/>
    <s v="001-00012613"/>
    <n v="300"/>
    <n v="111.86819399999999"/>
    <n v="0"/>
    <n v="0"/>
    <n v="14.625"/>
    <n v="0"/>
    <n v="0"/>
    <n v="0"/>
    <n v="126.49319399999999"/>
    <n v="173.50680600000001"/>
    <n v="0.57835602000000008"/>
    <x v="0"/>
    <s v="MECANICA"/>
    <x v="2"/>
    <x v="1"/>
    <n v="10"/>
    <n v="1"/>
    <d v="2018-06-13T00:00:00"/>
    <s v="HONDA"/>
    <s v="HR-V"/>
    <n v="250.76999999999998"/>
    <d v="2018-06-13T00:00:00"/>
    <n v="0"/>
    <x v="1002"/>
  </r>
  <r>
    <d v="2018-06-14T00:00:00"/>
    <s v="001-00012614"/>
    <n v="415.16934759999998"/>
    <n v="0"/>
    <n v="223.14499999999998"/>
    <n v="0"/>
    <n v="0"/>
    <n v="0"/>
    <n v="0"/>
    <n v="0"/>
    <n v="223.14499999999998"/>
    <n v="192.0243476"/>
    <n v="0.46252053218776695"/>
    <x v="0"/>
    <s v="MECANICA"/>
    <x v="2"/>
    <x v="1"/>
    <n v="2"/>
    <n v="1"/>
    <d v="2018-06-12T00:00:00"/>
    <s v="HYUNDAI"/>
    <s v="I20"/>
    <n v="0"/>
    <d v="2018-06-14T00:00:00"/>
    <n v="0"/>
    <x v="1003"/>
  </r>
  <r>
    <d v="2018-06-21T00:00:00"/>
    <s v="001-00012617"/>
    <n v="782.24434960000008"/>
    <n v="0"/>
    <n v="0"/>
    <n v="0"/>
    <n v="0"/>
    <n v="87.75"/>
    <n v="123.955"/>
    <n v="0"/>
    <n v="211.70499999999998"/>
    <n v="570.53934960000015"/>
    <n v="0.72936205917210517"/>
    <x v="1"/>
    <s v="LEVE"/>
    <x v="2"/>
    <x v="1"/>
    <n v="8"/>
    <n v="1"/>
    <d v="2018-06-13T00:00:00"/>
    <s v="MAZDA"/>
    <s v="CX-5"/>
    <n v="404.82"/>
    <d v="2018-06-14T00:00:00"/>
    <n v="6"/>
    <x v="1004"/>
  </r>
  <r>
    <d v="2018-06-26T00:00:00"/>
    <s v="001-00012618"/>
    <n v="1045.55753692542"/>
    <n v="0"/>
    <n v="0"/>
    <n v="0"/>
    <n v="0"/>
    <n v="58.5"/>
    <n v="201.426875"/>
    <n v="0"/>
    <n v="259.926875"/>
    <n v="785.63066192541999"/>
    <n v="0.75139878407424199"/>
    <x v="1"/>
    <s v="LEVE"/>
    <x v="2"/>
    <x v="1"/>
    <n v="13"/>
    <n v="1"/>
    <d v="2018-06-13T00:00:00"/>
    <s v="MAZDA"/>
    <s v="MAZDA 3"/>
    <n v="1050.7250000000001"/>
    <d v="2018-06-14T00:00:00"/>
    <n v="4"/>
    <x v="1"/>
  </r>
  <r>
    <d v="2018-06-26T00:00:00"/>
    <s v="001-00012619"/>
    <n v="652.89059243558995"/>
    <n v="0"/>
    <n v="0"/>
    <n v="0"/>
    <n v="0"/>
    <n v="58.5"/>
    <n v="139.449375"/>
    <n v="0"/>
    <n v="197.949375"/>
    <n v="454.94121743558992"/>
    <n v="0.69681080215667457"/>
    <x v="1"/>
    <s v="LEVE"/>
    <x v="2"/>
    <x v="1"/>
    <n v="13"/>
    <n v="1"/>
    <d v="2018-06-13T00:00:00"/>
    <s v="TOYOTA"/>
    <s v="YARIS"/>
    <n v="549.02250000000004"/>
    <d v="2018-06-14T00:00:00"/>
    <n v="4"/>
    <x v="1"/>
  </r>
  <r>
    <d v="2018-06-29T00:00:00"/>
    <s v="001-00012620"/>
    <n v="2533.2712061645793"/>
    <n v="1.27"/>
    <n v="0"/>
    <n v="144.07"/>
    <n v="17.549999999999997"/>
    <n v="175.5"/>
    <n v="387.359375"/>
    <n v="0"/>
    <n v="725.74937499999999"/>
    <n v="1807.5218311645795"/>
    <n v="0.7135129577780982"/>
    <x v="1"/>
    <s v="MEDIANO"/>
    <x v="2"/>
    <x v="1"/>
    <n v="16"/>
    <n v="1"/>
    <d v="2018-06-13T00:00:00"/>
    <s v="KIA"/>
    <s v="PICANTO"/>
    <n v="3147.4949999999999"/>
    <d v="2018-06-14T00:00:00"/>
    <n v="12"/>
    <x v="1005"/>
  </r>
  <r>
    <d v="2018-06-23T00:00:00"/>
    <s v="001-00012622"/>
    <n v="652.19330645084995"/>
    <n v="2.2883000000000004"/>
    <n v="0"/>
    <n v="0"/>
    <n v="0"/>
    <n v="73.125"/>
    <n v="114.65837499999999"/>
    <n v="0"/>
    <n v="190.071675"/>
    <n v="462.12163145084992"/>
    <n v="0.70856543126094773"/>
    <x v="1"/>
    <s v="MEDIANO"/>
    <x v="2"/>
    <x v="1"/>
    <n v="10"/>
    <n v="1"/>
    <d v="2018-06-13T00:00:00"/>
    <s v="SUZUKI"/>
    <s v="SWIFT"/>
    <n v="1356.3875"/>
    <d v="2018-06-12T00:00:00"/>
    <n v="5"/>
    <x v="1"/>
  </r>
  <r>
    <d v="2018-06-26T00:00:00"/>
    <s v="001-00012623"/>
    <n v="1451.5743970728811"/>
    <n v="0"/>
    <n v="0"/>
    <n v="76.27"/>
    <n v="2.9250000000000003"/>
    <n v="146.25"/>
    <n v="185.9325"/>
    <n v="0"/>
    <n v="411.3775"/>
    <n v="1040.196897072881"/>
    <n v="0.71659909348804429"/>
    <x v="1"/>
    <s v="MEDIANO"/>
    <x v="2"/>
    <x v="1"/>
    <n v="12"/>
    <n v="1"/>
    <d v="2018-06-14T00:00:00"/>
    <s v="NISSAN"/>
    <s v="SENTRA"/>
    <n v="0"/>
    <d v="2018-06-15T00:00:00"/>
    <n v="10"/>
    <x v="1"/>
  </r>
  <r>
    <d v="2018-06-28T00:00:00"/>
    <s v="001-00012624"/>
    <n v="602.04801839999993"/>
    <n v="0"/>
    <n v="0"/>
    <n v="0"/>
    <n v="0"/>
    <n v="43.875"/>
    <n v="123.955"/>
    <n v="0"/>
    <n v="167.82999999999998"/>
    <n v="434.21801839999995"/>
    <n v="0.72123486022589323"/>
    <x v="1"/>
    <s v="LEVE"/>
    <x v="2"/>
    <x v="1"/>
    <n v="14"/>
    <n v="1"/>
    <d v="2018-06-14T00:00:00"/>
    <s v="HYUNDAI"/>
    <s v="SANTA FE"/>
    <n v="1904.9549999999999"/>
    <d v="2018-06-15T00:00:00"/>
    <n v="3"/>
    <x v="1"/>
  </r>
  <r>
    <d v="2018-06-14T00:00:00"/>
    <s v="001-00012625"/>
    <n v="836.10169999999994"/>
    <n v="223.15959915000002"/>
    <n v="0"/>
    <n v="0"/>
    <n v="78.097499999999997"/>
    <n v="0"/>
    <n v="0"/>
    <n v="0"/>
    <n v="301.25709915000004"/>
    <n v="534.84460084999989"/>
    <n v="0.63968845040023237"/>
    <x v="0"/>
    <s v="MECANICA"/>
    <x v="2"/>
    <x v="1"/>
    <n v="0"/>
    <n v="1"/>
    <d v="2018-06-14T00:00:00"/>
    <s v="HYUNDAI"/>
    <s v="TUCSON"/>
    <n v="320.97000000000003"/>
    <d v="2018-06-14T00:00:00"/>
    <n v="0"/>
    <x v="28"/>
  </r>
  <r>
    <d v="2018-06-26T00:00:00"/>
    <s v="001-00012626"/>
    <n v="112.18250842542001"/>
    <n v="0"/>
    <n v="0"/>
    <n v="20.656779661016948"/>
    <n v="39.048749999999998"/>
    <n v="0"/>
    <n v="15.494375"/>
    <n v="0"/>
    <n v="75.199904661016944"/>
    <n v="36.982603764403066"/>
    <n v="0.329664617804383"/>
    <x v="0"/>
    <s v="LEVE"/>
    <x v="2"/>
    <x v="1"/>
    <n v="12"/>
    <n v="1"/>
    <d v="2018-06-14T00:00:00"/>
    <s v="KIA"/>
    <s v="SORENTO"/>
    <n v="1546.48"/>
    <d v="2018-06-13T00:00:00"/>
    <n v="0"/>
    <x v="1"/>
  </r>
  <r>
    <d v="2018-06-30T00:00:00"/>
    <s v="001-00012627"/>
    <n v="271.74199170000003"/>
    <n v="0"/>
    <n v="0"/>
    <n v="0"/>
    <n v="0"/>
    <n v="21.9375"/>
    <n v="61.977499999999999"/>
    <n v="0"/>
    <n v="83.914999999999992"/>
    <n v="187.82699170000004"/>
    <n v="0.69119605153758801"/>
    <x v="1"/>
    <s v="LEVE"/>
    <x v="2"/>
    <x v="1"/>
    <n v="16"/>
    <n v="1"/>
    <d v="2018-06-14T00:00:00"/>
    <s v="HYUNDAI"/>
    <s v="I20"/>
    <n v="943.96249999999998"/>
    <d v="2018-06-14T00:00:00"/>
    <n v="1.5"/>
    <x v="1"/>
  </r>
  <r>
    <d v="2018-06-15T00:00:00"/>
    <s v="001-00012628"/>
    <n v="550"/>
    <n v="136.01500150000001"/>
    <n v="0"/>
    <n v="0"/>
    <n v="39.048749999999998"/>
    <n v="0"/>
    <n v="0"/>
    <n v="0"/>
    <n v="175.06375150000002"/>
    <n v="374.93624849999998"/>
    <n v="0.68170226999999994"/>
    <x v="0"/>
    <s v="MECANICA"/>
    <x v="2"/>
    <x v="1"/>
    <n v="1"/>
    <n v="1"/>
    <d v="2018-06-14T00:00:00"/>
    <s v="SUBARU"/>
    <s v="NEW XV"/>
    <n v="0"/>
    <d v="2018-06-14T00:00:00"/>
    <n v="0"/>
    <x v="1006"/>
  </r>
  <r>
    <d v="2018-06-19T00:00:00"/>
    <s v="001-00012629"/>
    <n v="3322.1017199999997"/>
    <n v="1407.6672987000002"/>
    <n v="0"/>
    <n v="38.135593220338983"/>
    <n v="97.548749999999998"/>
    <n v="51.1875"/>
    <n v="61.977499999999999"/>
    <n v="0"/>
    <n v="1656.516641920339"/>
    <n v="1665.5850780796607"/>
    <n v="0.50136486431236094"/>
    <x v="0"/>
    <s v="MECANICA"/>
    <x v="2"/>
    <x v="1"/>
    <n v="5"/>
    <n v="1"/>
    <d v="2018-06-14T00:00:00"/>
    <s v="HYUNDAI"/>
    <s v="I10"/>
    <n v="1785.4849999999999"/>
    <d v="2018-06-14T00:00:00"/>
    <n v="3.5"/>
    <x v="896"/>
  </r>
  <r>
    <d v="2018-06-26T00:00:00"/>
    <s v="001-00012631"/>
    <n v="264.22045970530007"/>
    <n v="0"/>
    <n v="0"/>
    <n v="0"/>
    <n v="0"/>
    <n v="29.25"/>
    <n v="61.977499999999999"/>
    <n v="0"/>
    <n v="91.227499999999992"/>
    <n v="172.99295970530008"/>
    <n v="0.6547296144221717"/>
    <x v="0"/>
    <s v="MEDIANO"/>
    <x v="2"/>
    <x v="1"/>
    <n v="12"/>
    <n v="1"/>
    <d v="2018-06-14T00:00:00"/>
    <s v="KIA"/>
    <s v="SPORTAGE"/>
    <n v="0"/>
    <d v="2018-06-14T00:00:00"/>
    <n v="2"/>
    <x v="1007"/>
  </r>
  <r>
    <d v="2018-06-15T00:00:00"/>
    <s v="001-00012634"/>
    <n v="449"/>
    <n v="120.0740029"/>
    <n v="0"/>
    <n v="0"/>
    <n v="39.048749999999998"/>
    <n v="0"/>
    <n v="0"/>
    <n v="0"/>
    <n v="159.12275289999999"/>
    <n v="289.87724709999998"/>
    <n v="0.6456063409799554"/>
    <x v="0"/>
    <s v="MECANICA"/>
    <x v="2"/>
    <x v="1"/>
    <n v="0"/>
    <n v="1"/>
    <d v="2018-06-15T00:00:00"/>
    <s v="SUBARU"/>
    <s v="IMPREZA"/>
    <n v="0"/>
    <d v="2018-06-15T00:00:00"/>
    <n v="0"/>
    <x v="732"/>
  </r>
  <r>
    <d v="2018-06-15T00:00:00"/>
    <s v="001-00012635"/>
    <n v="449"/>
    <n v="116.62670030000001"/>
    <n v="0"/>
    <n v="0"/>
    <n v="39.048749999999998"/>
    <n v="0"/>
    <n v="0"/>
    <n v="0"/>
    <n v="155.67545030000002"/>
    <n v="293.32454969999998"/>
    <n v="0.6532840750556792"/>
    <x v="0"/>
    <s v="MECANICA"/>
    <x v="2"/>
    <x v="1"/>
    <n v="0"/>
    <n v="1"/>
    <d v="2018-06-15T00:00:00"/>
    <s v="TOYOTA"/>
    <s v="COROLLA"/>
    <n v="0"/>
    <d v="2018-06-15T00:00:00"/>
    <n v="0"/>
    <x v="774"/>
  </r>
  <r>
    <d v="2018-06-26T00:00:00"/>
    <s v="001-00012636"/>
    <n v="905.73173515593044"/>
    <n v="0"/>
    <n v="0"/>
    <n v="13.771186440677967"/>
    <n v="0"/>
    <n v="87.75"/>
    <n v="172.29744999999997"/>
    <n v="0"/>
    <n v="273.81863644067795"/>
    <n v="631.91309871525254"/>
    <n v="0.69768240880558596"/>
    <x v="1"/>
    <s v="LEVE"/>
    <x v="2"/>
    <x v="1"/>
    <n v="11"/>
    <n v="1"/>
    <d v="2018-06-15T00:00:00"/>
    <s v="HYUNDAI"/>
    <s v="I10"/>
    <n v="1276.665"/>
    <d v="2018-06-15T00:00:00"/>
    <n v="6"/>
    <x v="1008"/>
  </r>
  <r>
    <d v="2018-06-23T00:00:00"/>
    <s v="001-00012638"/>
    <n v="756.77352314999996"/>
    <n v="0"/>
    <n v="0"/>
    <n v="55.09"/>
    <n v="0"/>
    <n v="87.75"/>
    <n v="61.977499999999999"/>
    <n v="0"/>
    <n v="204.8175"/>
    <n v="551.95602314999996"/>
    <n v="0.72935429988688549"/>
    <x v="1"/>
    <s v="LEVE"/>
    <x v="2"/>
    <x v="1"/>
    <n v="8"/>
    <n v="1"/>
    <d v="2018-06-15T00:00:00"/>
    <s v="KIA"/>
    <s v="PICANTO"/>
    <n v="1374.2950000000001"/>
    <d v="2018-06-18T00:00:00"/>
    <n v="6"/>
    <x v="1"/>
  </r>
  <r>
    <d v="2018-06-22T00:00:00"/>
    <s v="001-00012639"/>
    <n v="1534.5719999999999"/>
    <n v="100"/>
    <n v="0"/>
    <n v="0"/>
    <n v="0"/>
    <n v="160.875"/>
    <n v="216.92125000000001"/>
    <n v="0"/>
    <n v="477.79624999999999"/>
    <n v="1056.7757499999998"/>
    <n v="0.68864527047280932"/>
    <x v="0"/>
    <s v="MEDIANO"/>
    <x v="2"/>
    <x v="1"/>
    <n v="4"/>
    <n v="1"/>
    <d v="2018-06-18T00:00:00"/>
    <s v="HYUNDAI"/>
    <s v="ACCENT"/>
    <n v="373.75"/>
    <d v="2018-06-18T00:00:00"/>
    <n v="11"/>
    <x v="1009"/>
  </r>
  <r>
    <d v="2018-06-27T00:00:00"/>
    <s v="001-00012640"/>
    <n v="786.72199444406999"/>
    <n v="0"/>
    <n v="0"/>
    <n v="76.27"/>
    <n v="0"/>
    <n v="73.125"/>
    <n v="117.75724999999998"/>
    <n v="0"/>
    <n v="267.15224999999998"/>
    <n v="519.56974444407001"/>
    <n v="0.66042356526617674"/>
    <x v="1"/>
    <s v="LEVE"/>
    <x v="2"/>
    <x v="1"/>
    <n v="9"/>
    <n v="1"/>
    <d v="2018-06-18T00:00:00"/>
    <s v="NISSAN"/>
    <s v="SENTRA"/>
    <n v="0"/>
    <d v="2018-06-18T00:00:00"/>
    <n v="5"/>
    <x v="1"/>
  </r>
  <r>
    <d v="2018-06-21T00:00:00"/>
    <s v="001-00012641"/>
    <n v="344.71499999999997"/>
    <n v="0"/>
    <n v="0"/>
    <n v="0"/>
    <n v="0"/>
    <n v="14.625"/>
    <n v="61.977499999999999"/>
    <n v="0"/>
    <n v="76.602499999999992"/>
    <n v="268.11249999999995"/>
    <n v="0.77778019523374375"/>
    <x v="0"/>
    <s v="LEVE"/>
    <x v="2"/>
    <x v="1"/>
    <n v="6"/>
    <n v="1"/>
    <d v="2018-06-15T00:00:00"/>
    <s v="VOLKSWAGUEN"/>
    <s v="UP"/>
    <n v="0"/>
    <d v="2018-06-18T00:00:00"/>
    <n v="1"/>
    <x v="1010"/>
  </r>
  <r>
    <d v="2018-06-19T00:00:00"/>
    <s v="001-00012642"/>
    <n v="587"/>
    <n v="72.936002000000002"/>
    <n v="0"/>
    <n v="0"/>
    <n v="39.048749999999998"/>
    <n v="0"/>
    <n v="0"/>
    <n v="0"/>
    <n v="111.984752"/>
    <n v="475.01524799999999"/>
    <n v="0.80922529471890969"/>
    <x v="0"/>
    <s v="MECANICA"/>
    <x v="2"/>
    <x v="1"/>
    <n v="4"/>
    <n v="1"/>
    <d v="2018-06-15T00:00:00"/>
    <s v="HYUNDAI"/>
    <s v="ACCENT"/>
    <n v="0"/>
    <d v="2018-06-18T00:00:00"/>
    <n v="0"/>
    <x v="366"/>
  </r>
  <r>
    <d v="2018-06-19T00:00:00"/>
    <s v="001-00012643"/>
    <n v="549"/>
    <n v="113.05470240000001"/>
    <n v="0"/>
    <n v="0"/>
    <n v="39.048749999999998"/>
    <n v="0"/>
    <n v="0"/>
    <n v="0"/>
    <n v="152.10345240000001"/>
    <n v="396.89654759999996"/>
    <n v="0.72294453114754087"/>
    <x v="0"/>
    <s v="MECANICA"/>
    <x v="2"/>
    <x v="1"/>
    <n v="4"/>
    <n v="1"/>
    <d v="2018-06-15T00:00:00"/>
    <s v="SUZUKI"/>
    <s v="G. VITARA"/>
    <n v="0"/>
    <d v="2018-06-18T00:00:00"/>
    <n v="0"/>
    <x v="787"/>
  </r>
  <r>
    <d v="2018-06-20T00:00:00"/>
    <s v="001-00012644"/>
    <n v="640.32437399236983"/>
    <n v="0"/>
    <n v="0"/>
    <n v="0"/>
    <n v="0"/>
    <n v="29.25"/>
    <n v="185.9325"/>
    <n v="0"/>
    <n v="215.1825"/>
    <n v="425.14187399236982"/>
    <n v="0.66394766662034932"/>
    <x v="0"/>
    <s v="LEVE"/>
    <x v="2"/>
    <x v="1"/>
    <n v="5"/>
    <n v="1"/>
    <d v="2018-06-15T00:00:00"/>
    <s v="NISSAN"/>
    <s v="QASHQAI"/>
    <n v="0"/>
    <d v="2018-06-18T00:00:00"/>
    <n v="2"/>
    <x v="1011"/>
  </r>
  <r>
    <d v="2018-06-26T00:00:00"/>
    <s v="001-00012645"/>
    <n v="1890.0635054618613"/>
    <n v="0"/>
    <n v="0"/>
    <n v="13.771186440677967"/>
    <n v="0"/>
    <n v="277.875"/>
    <n v="185.9325"/>
    <n v="0"/>
    <n v="477.57868644067798"/>
    <n v="1412.4848190211833"/>
    <n v="0.74732135451502968"/>
    <x v="1"/>
    <s v="MEDIANO"/>
    <x v="2"/>
    <x v="1"/>
    <n v="8"/>
    <n v="1"/>
    <d v="2018-06-18T00:00:00"/>
    <s v="TOYOTA"/>
    <s v="YARIS"/>
    <n v="1229.2150000000001"/>
    <d v="2018-06-19T00:00:00"/>
    <n v="19"/>
    <x v="1"/>
  </r>
  <r>
    <d v="2018-06-29T00:00:00"/>
    <s v="001-00012649"/>
    <n v="1033.7238886262699"/>
    <n v="0"/>
    <n v="0"/>
    <n v="27.542372881355934"/>
    <n v="0"/>
    <n v="73.125"/>
    <n v="200.18732499999999"/>
    <n v="0"/>
    <n v="300.85469788135595"/>
    <n v="732.86919074491391"/>
    <n v="0.70896029279040274"/>
    <x v="1"/>
    <s v="LEVE"/>
    <x v="2"/>
    <x v="1"/>
    <n v="11"/>
    <n v="1"/>
    <d v="2018-06-18T00:00:00"/>
    <s v="SUZUKI"/>
    <s v="SWIFT"/>
    <n v="1600.2349999999999"/>
    <d v="2018-06-19T00:00:00"/>
    <n v="5"/>
    <x v="1"/>
  </r>
  <r>
    <d v="2018-06-26T00:00:00"/>
    <s v="001-00012651"/>
    <n v="1097.1250335000002"/>
    <n v="0"/>
    <n v="0"/>
    <n v="41.313559322033896"/>
    <n v="0"/>
    <n v="175.5"/>
    <n v="123.955"/>
    <n v="0"/>
    <n v="340.76855932203387"/>
    <n v="756.35647417796633"/>
    <n v="0.68939861099064625"/>
    <x v="2"/>
    <s v="MEDIANO"/>
    <x v="2"/>
    <x v="1"/>
    <n v="8"/>
    <n v="1"/>
    <d v="2018-06-18T00:00:00"/>
    <s v="SSANYONG"/>
    <s v="NEWK"/>
    <n v="422.23999999999995"/>
    <d v="2018-06-18T00:00:00"/>
    <n v="12"/>
    <x v="2"/>
  </r>
  <r>
    <d v="2018-06-21T00:00:00"/>
    <s v="001-00012653"/>
    <n v="737.0335"/>
    <n v="0"/>
    <n v="0"/>
    <n v="0"/>
    <n v="0"/>
    <n v="0"/>
    <n v="0"/>
    <n v="0"/>
    <n v="0"/>
    <n v="737.0335"/>
    <n v="1"/>
    <x v="4"/>
    <s v="S/TIPO"/>
    <x v="2"/>
    <x v="1"/>
    <n v="3"/>
    <n v="1"/>
    <d v="2018-06-18T00:00:00"/>
    <s v="S/MARCA"/>
    <s v="S/MODELO"/>
    <n v="0"/>
    <s v="F/Fecha"/>
    <n v="0"/>
    <x v="1012"/>
  </r>
  <r>
    <d v="2018-06-23T00:00:00"/>
    <s v="001-00012655"/>
    <n v="557.36451705000002"/>
    <n v="0"/>
    <n v="0"/>
    <n v="61.313559322033896"/>
    <n v="0"/>
    <n v="21.9375"/>
    <n v="123.955"/>
    <n v="0"/>
    <n v="207.20605932203389"/>
    <n v="350.15845772796615"/>
    <n v="0.62823959368865634"/>
    <x v="1"/>
    <s v="LEVE"/>
    <x v="2"/>
    <x v="1"/>
    <n v="5"/>
    <n v="1"/>
    <d v="2018-06-18T00:00:00"/>
    <s v="KIA"/>
    <s v="CERATO"/>
    <n v="787.93"/>
    <d v="2018-06-19T00:00:00"/>
    <n v="1.5"/>
    <x v="1"/>
  </r>
  <r>
    <d v="2018-06-20T00:00:00"/>
    <s v="001-00012656"/>
    <n v="4396.9407000000001"/>
    <n v="1348.6256900000001"/>
    <n v="0"/>
    <n v="50.85"/>
    <n v="97.548749999999998"/>
    <n v="0"/>
    <n v="0"/>
    <n v="0"/>
    <n v="1497.0244399999999"/>
    <n v="2899.91626"/>
    <n v="0.65953044579382203"/>
    <x v="0"/>
    <s v="MECANICA"/>
    <x v="2"/>
    <x v="1"/>
    <n v="2"/>
    <n v="1"/>
    <d v="2018-06-18T00:00:00"/>
    <s v="VOLKSWAGUEN"/>
    <s v="GOL"/>
    <n v="1991.1125"/>
    <d v="2018-06-18T00:00:00"/>
    <n v="0"/>
    <x v="1013"/>
  </r>
  <r>
    <d v="2018-06-28T00:00:00"/>
    <s v="001-00012659"/>
    <n v="752.12907888289999"/>
    <n v="0"/>
    <n v="0"/>
    <n v="41.313559322033896"/>
    <n v="2.9250000000000003"/>
    <n v="36.5625"/>
    <n v="123.955"/>
    <n v="0"/>
    <n v="204.75605932203388"/>
    <n v="547.37301956086617"/>
    <n v="0.72776473470996783"/>
    <x v="1"/>
    <s v="LEVE"/>
    <x v="2"/>
    <x v="1"/>
    <n v="10"/>
    <n v="1"/>
    <d v="2018-06-18T00:00:00"/>
    <s v="NISSAN"/>
    <s v="KICKS"/>
    <n v="1785.42"/>
    <d v="2018-06-19T00:00:00"/>
    <n v="2.5"/>
    <x v="1014"/>
  </r>
  <r>
    <d v="2018-06-28T00:00:00"/>
    <s v="001-00012661"/>
    <n v="430.43423075507997"/>
    <n v="0"/>
    <n v="0"/>
    <n v="20"/>
    <n v="0"/>
    <n v="27.787499999999998"/>
    <n v="92.966250000000002"/>
    <n v="0"/>
    <n v="140.75375"/>
    <n v="289.68048075508"/>
    <n v="0.6729959191370869"/>
    <x v="1"/>
    <s v="LEVE"/>
    <x v="2"/>
    <x v="1"/>
    <n v="10"/>
    <n v="1"/>
    <d v="2018-06-18T00:00:00"/>
    <s v="TOYOTA"/>
    <s v="YARIS"/>
    <n v="373.75"/>
    <d v="2018-06-19T00:00:00"/>
    <n v="1.9"/>
    <x v="1"/>
  </r>
  <r>
    <d v="2018-06-20T00:00:00"/>
    <s v="001-00012663"/>
    <n v="1456.2033999999999"/>
    <n v="416.72721330000002"/>
    <n v="0"/>
    <n v="0"/>
    <n v="97.548749999999998"/>
    <n v="0"/>
    <n v="0"/>
    <n v="0"/>
    <n v="514.27596330000006"/>
    <n v="941.92743669999982"/>
    <n v="0.6468378227244902"/>
    <x v="0"/>
    <s v="MECANICA"/>
    <x v="2"/>
    <x v="1"/>
    <n v="1"/>
    <n v="1"/>
    <d v="2018-06-19T00:00:00"/>
    <s v="MAZDA"/>
    <s v="MAZDA 3"/>
    <n v="677.07249999999999"/>
    <d v="2018-06-19T00:00:00"/>
    <n v="0"/>
    <x v="1015"/>
  </r>
  <r>
    <d v="2018-06-27T00:00:00"/>
    <s v="001-00012664"/>
    <n v="1088.43901326525"/>
    <n v="0"/>
    <n v="0"/>
    <n v="41.313559322033896"/>
    <n v="0"/>
    <n v="58.5"/>
    <n v="238.61337499999999"/>
    <n v="0"/>
    <n v="338.4269343220339"/>
    <n v="750.01207894321601"/>
    <n v="0.6890712936623119"/>
    <x v="1"/>
    <s v="LEVE"/>
    <x v="2"/>
    <x v="1"/>
    <n v="8"/>
    <n v="1"/>
    <d v="2018-06-19T00:00:00"/>
    <s v="KIA"/>
    <s v="SORENTO"/>
    <n v="3561.7725"/>
    <d v="2018-06-19T00:00:00"/>
    <n v="4"/>
    <x v="1"/>
  </r>
  <r>
    <d v="2018-06-19T00:00:00"/>
    <s v="001-00012668"/>
    <n v="224.10169999999999"/>
    <n v="55.273601000000006"/>
    <n v="0"/>
    <n v="0"/>
    <n v="0"/>
    <n v="0"/>
    <n v="0"/>
    <n v="0"/>
    <n v="55.273601000000006"/>
    <n v="168.82809899999998"/>
    <n v="0.7533548339883186"/>
    <x v="4"/>
    <s v="S/TIPO"/>
    <x v="2"/>
    <x v="1"/>
    <n v="0"/>
    <n v="1"/>
    <d v="2018-06-19T00:00:00"/>
    <s v="S/MARCA"/>
    <s v="S/MODELO"/>
    <n v="0"/>
    <s v="F/Fecha"/>
    <n v="0"/>
    <x v="315"/>
  </r>
  <r>
    <d v="2018-06-22T00:00:00"/>
    <s v="001-00012671"/>
    <n v="349"/>
    <n v="126.5915"/>
    <n v="0"/>
    <n v="0"/>
    <n v="39.048749999999998"/>
    <n v="0"/>
    <n v="0"/>
    <n v="0"/>
    <n v="165.64024999999998"/>
    <n v="183.35975000000002"/>
    <n v="0.52538610315186252"/>
    <x v="0"/>
    <s v="MECANICA"/>
    <x v="2"/>
    <x v="1"/>
    <n v="3"/>
    <n v="1"/>
    <d v="2018-06-19T00:00:00"/>
    <s v="HYUNDAI"/>
    <s v="ACCENT"/>
    <n v="0"/>
    <d v="2018-06-20T00:00:00"/>
    <n v="0"/>
    <x v="1009"/>
  </r>
  <r>
    <d v="2018-06-22T00:00:00"/>
    <s v="001-00012673"/>
    <n v="1114.1525000000001"/>
    <n v="293.40360200000003"/>
    <n v="0"/>
    <n v="0"/>
    <n v="39.048749999999998"/>
    <n v="0"/>
    <n v="0"/>
    <n v="0"/>
    <n v="332.45235200000002"/>
    <n v="781.70014800000013"/>
    <n v="0.7016096521795715"/>
    <x v="0"/>
    <s v="MECANICA"/>
    <x v="2"/>
    <x v="1"/>
    <n v="2"/>
    <n v="1"/>
    <d v="2018-06-20T00:00:00"/>
    <s v="TOYOTA"/>
    <s v="COROLLA"/>
    <n v="446.35500000000002"/>
    <d v="2018-06-21T00:00:00"/>
    <n v="0"/>
    <x v="1016"/>
  </r>
  <r>
    <d v="2018-06-30T00:00:00"/>
    <s v="001-00012677"/>
    <n v="441.01891812966005"/>
    <n v="0"/>
    <n v="0"/>
    <n v="0"/>
    <n v="0"/>
    <n v="17.549999999999997"/>
    <n v="61.977499999999999"/>
    <n v="0"/>
    <n v="79.527500000000003"/>
    <n v="361.49141812966002"/>
    <n v="0.81967326858160117"/>
    <x v="1"/>
    <s v="LEVE"/>
    <x v="2"/>
    <x v="1"/>
    <n v="10"/>
    <n v="1"/>
    <d v="2018-06-20T00:00:00"/>
    <s v="HONDA"/>
    <s v="FIT"/>
    <n v="1523.6000000000001"/>
    <d v="2018-06-21T00:00:00"/>
    <n v="1.2"/>
    <x v="1017"/>
  </r>
  <r>
    <d v="2018-06-23T00:00:00"/>
    <s v="001-00012678"/>
    <n v="100"/>
    <n v="0"/>
    <n v="0"/>
    <n v="0"/>
    <n v="29.25"/>
    <n v="0"/>
    <n v="0"/>
    <n v="0"/>
    <n v="29.25"/>
    <n v="70.75"/>
    <n v="0.70750000000000002"/>
    <x v="0"/>
    <s v="MECANICA"/>
    <x v="2"/>
    <x v="1"/>
    <n v="3"/>
    <n v="1"/>
    <d v="2018-06-20T00:00:00"/>
    <s v="HYUNDAI"/>
    <s v="I10"/>
    <n v="0"/>
    <d v="2018-06-22T00:00:00"/>
    <n v="0"/>
    <x v="586"/>
  </r>
  <r>
    <d v="2018-06-21T00:00:00"/>
    <s v="001-00012681"/>
    <n v="249"/>
    <n v="54.595725350000009"/>
    <n v="0"/>
    <n v="0"/>
    <n v="39.048749999999998"/>
    <n v="0"/>
    <n v="0"/>
    <n v="0"/>
    <n v="93.644475350000008"/>
    <n v="155.35552465000001"/>
    <n v="0.62391776967871493"/>
    <x v="0"/>
    <s v="MECANICA"/>
    <x v="2"/>
    <x v="1"/>
    <n v="0"/>
    <n v="1"/>
    <d v="2018-06-21T00:00:00"/>
    <s v="HYUNDAI"/>
    <s v="ACCENT"/>
    <n v="0"/>
    <d v="2018-06-21T00:00:00"/>
    <n v="0"/>
    <x v="195"/>
  </r>
  <r>
    <d v="2018-06-23T00:00:00"/>
    <s v="001-00012683"/>
    <n v="2074.8201632110199"/>
    <n v="0"/>
    <n v="0"/>
    <n v="76.27"/>
    <n v="2.9250000000000003"/>
    <n v="175.5"/>
    <n v="340.87625000000003"/>
    <n v="0"/>
    <n v="595.57124999999996"/>
    <n v="1479.24891321102"/>
    <n v="0.71295283294418843"/>
    <x v="1"/>
    <s v="MEDIANO"/>
    <x v="2"/>
    <x v="1"/>
    <n v="2"/>
    <n v="1"/>
    <d v="2018-06-21T00:00:00"/>
    <s v="NISSAN"/>
    <s v="QASHQAI"/>
    <n v="3657.875"/>
    <d v="2018-06-22T00:00:00"/>
    <n v="12"/>
    <x v="1018"/>
  </r>
  <r>
    <d v="2018-06-22T00:00:00"/>
    <s v="001-00012686"/>
    <n v="225"/>
    <n v="54.91389989999999"/>
    <n v="0"/>
    <n v="0"/>
    <n v="39.048749999999998"/>
    <n v="0"/>
    <n v="0"/>
    <n v="0"/>
    <n v="93.962649899999988"/>
    <n v="131.03735010000003"/>
    <n v="0.58238822266666679"/>
    <x v="0"/>
    <s v="MECANICA"/>
    <x v="2"/>
    <x v="1"/>
    <n v="0"/>
    <n v="1"/>
    <d v="2018-06-22T00:00:00"/>
    <s v="KIA"/>
    <s v="RIO"/>
    <n v="0"/>
    <d v="2018-06-22T00:00:00"/>
    <n v="0"/>
    <x v="157"/>
  </r>
  <r>
    <d v="2018-06-27T00:00:00"/>
    <s v="001-00012689"/>
    <n v="474.44001449999996"/>
    <n v="0"/>
    <n v="0"/>
    <n v="55.084745762711869"/>
    <n v="0"/>
    <n v="43.875"/>
    <n v="61.977499999999999"/>
    <n v="0"/>
    <n v="160.93724576271185"/>
    <n v="313.50276873728808"/>
    <n v="0.66078483929666121"/>
    <x v="0"/>
    <s v="LEVE"/>
    <x v="2"/>
    <x v="1"/>
    <n v="5"/>
    <n v="1"/>
    <d v="2018-06-22T00:00:00"/>
    <s v="CHEVROLET"/>
    <s v="N300"/>
    <n v="0"/>
    <d v="2018-06-22T00:00:00"/>
    <n v="3"/>
    <x v="999"/>
  </r>
  <r>
    <d v="2018-06-30T00:00:00"/>
    <s v="001-00012690"/>
    <n v="1207.5510528569491"/>
    <n v="0"/>
    <n v="0"/>
    <n v="34.427966101694921"/>
    <n v="0"/>
    <n v="146.25"/>
    <n v="142.54825"/>
    <n v="0"/>
    <n v="323.22621610169494"/>
    <n v="884.32483675525418"/>
    <n v="0.73232915052579106"/>
    <x v="1"/>
    <s v="MEDIANO"/>
    <x v="2"/>
    <x v="1"/>
    <n v="8"/>
    <n v="1"/>
    <d v="2018-06-22T00:00:00"/>
    <s v="KIA"/>
    <s v="CERATO"/>
    <n v="1474.2"/>
    <d v="2018-06-22T00:00:00"/>
    <n v="10"/>
    <x v="1"/>
  </r>
  <r>
    <d v="2018-06-23T00:00:00"/>
    <s v="001-00012694"/>
    <n v="406.62710200000004"/>
    <n v="149.61670230000001"/>
    <n v="0"/>
    <n v="0"/>
    <n v="39.048749999999998"/>
    <n v="0"/>
    <n v="0"/>
    <n v="0"/>
    <n v="188.66545230000003"/>
    <n v="217.96164970000001"/>
    <n v="0.53602341956046007"/>
    <x v="0"/>
    <s v="MECANICA"/>
    <x v="2"/>
    <x v="1"/>
    <n v="0"/>
    <n v="1"/>
    <d v="2018-06-23T00:00:00"/>
    <s v="SUZUKI"/>
    <s v="SWIFT"/>
    <n v="0"/>
    <d v="2018-06-23T00:00:00"/>
    <n v="0"/>
    <x v="1019"/>
  </r>
  <r>
    <d v="2018-06-30T00:00:00"/>
    <s v="001-00012695"/>
    <n v="401.89723852457996"/>
    <n v="0"/>
    <n v="0"/>
    <n v="0"/>
    <n v="0"/>
    <n v="32.90625"/>
    <n v="61.977499999999999"/>
    <n v="0"/>
    <n v="94.883749999999992"/>
    <n v="307.01348852458"/>
    <n v="0.76391042061316161"/>
    <x v="0"/>
    <s v="LEVE"/>
    <x v="2"/>
    <x v="1"/>
    <n v="7"/>
    <n v="1"/>
    <d v="2018-06-23T00:00:00"/>
    <s v="NISSAN"/>
    <s v="KICKS"/>
    <n v="0"/>
    <d v="2018-06-26T00:00:00"/>
    <n v="2.25"/>
    <x v="1020"/>
  </r>
  <r>
    <d v="2018-06-23T00:00:00"/>
    <s v="001-00012696"/>
    <n v="84.737297000000012"/>
    <n v="0"/>
    <n v="0"/>
    <n v="0"/>
    <n v="0"/>
    <n v="29.25"/>
    <n v="0"/>
    <n v="0"/>
    <n v="29.25"/>
    <n v="55.487297000000012"/>
    <n v="0.65481551765806267"/>
    <x v="0"/>
    <s v="LEVE"/>
    <x v="2"/>
    <x v="1"/>
    <n v="0"/>
    <n v="1"/>
    <d v="2018-06-23T00:00:00"/>
    <s v="TOYOTA"/>
    <s v="ETIOS"/>
    <n v="0"/>
    <d v="2018-06-23T00:00:00"/>
    <n v="2"/>
    <x v="1021"/>
  </r>
  <r>
    <d v="2018-06-23T00:00:00"/>
    <s v="001-00012697"/>
    <n v="349"/>
    <n v="70.865299899999997"/>
    <n v="0"/>
    <n v="0"/>
    <n v="39.048749999999998"/>
    <n v="0"/>
    <n v="0"/>
    <n v="0"/>
    <n v="109.91404989999999"/>
    <n v="239.08595009999999"/>
    <n v="0.68506002893982809"/>
    <x v="0"/>
    <s v="MECANICA"/>
    <x v="2"/>
    <x v="1"/>
    <n v="0"/>
    <n v="1"/>
    <d v="2018-06-23T00:00:00"/>
    <s v="NISSAN"/>
    <s v="TIIDA"/>
    <n v="0"/>
    <d v="2018-06-23T00:00:00"/>
    <n v="0"/>
    <x v="1022"/>
  </r>
  <r>
    <d v="2018-06-25T00:00:00"/>
    <s v="001-00012707"/>
    <n v="308.47460200000006"/>
    <n v="81.361499899999998"/>
    <n v="0"/>
    <n v="0"/>
    <n v="39.048749999999998"/>
    <n v="0"/>
    <n v="0"/>
    <n v="0"/>
    <n v="120.4102499"/>
    <n v="188.06435210000006"/>
    <n v="0.60965911255150929"/>
    <x v="0"/>
    <s v="MECANICA"/>
    <x v="2"/>
    <x v="1"/>
    <n v="0"/>
    <n v="1"/>
    <d v="2018-06-25T00:00:00"/>
    <s v="KIA"/>
    <s v="RIO"/>
    <n v="0"/>
    <d v="2018-06-25T00:00:00"/>
    <n v="0"/>
    <x v="334"/>
  </r>
  <r>
    <d v="2018-06-27T00:00:00"/>
    <s v="001-00012709"/>
    <n v="127"/>
    <n v="0"/>
    <n v="0"/>
    <n v="0"/>
    <n v="39.048749999999998"/>
    <n v="0"/>
    <n v="0"/>
    <n v="0"/>
    <n v="39.048749999999998"/>
    <n v="87.951250000000002"/>
    <n v="0.69252952755905517"/>
    <x v="0"/>
    <s v="MECANICA"/>
    <x v="2"/>
    <x v="1"/>
    <n v="4"/>
    <n v="1"/>
    <d v="2018-06-23T00:00:00"/>
    <s v="NISSAN"/>
    <s v="QASHQAI"/>
    <n v="0"/>
    <d v="2018-06-25T00:00:00"/>
    <n v="0"/>
    <x v="1018"/>
  </r>
  <r>
    <d v="2018-06-27T00:00:00"/>
    <s v="001-00012710"/>
    <n v="134.7373"/>
    <n v="83.581001000000015"/>
    <n v="0"/>
    <n v="0"/>
    <n v="0"/>
    <n v="0"/>
    <n v="0"/>
    <n v="0"/>
    <n v="83.581001000000015"/>
    <n v="51.15629899999999"/>
    <n v="0.37967436634102053"/>
    <x v="0"/>
    <s v="MECANICA"/>
    <x v="2"/>
    <x v="1"/>
    <n v="4"/>
    <n v="1"/>
    <d v="2018-06-23T00:00:00"/>
    <s v="HYUNDAI"/>
    <s v="SANTA FE"/>
    <n v="0"/>
    <d v="2018-06-25T00:00:00"/>
    <n v="0"/>
    <x v="910"/>
  </r>
  <r>
    <d v="2018-06-27T00:00:00"/>
    <s v="001-00012713"/>
    <n v="1674"/>
    <n v="591.09500249999996"/>
    <n v="0"/>
    <n v="114.41"/>
    <n v="78.097499999999997"/>
    <n v="0"/>
    <n v="0"/>
    <n v="0"/>
    <n v="783.6025024999999"/>
    <n v="890.3974975000001"/>
    <n v="0.53189814665471924"/>
    <x v="0"/>
    <s v="MECANICA"/>
    <x v="2"/>
    <x v="1"/>
    <n v="4"/>
    <n v="1"/>
    <d v="2018-06-23T00:00:00"/>
    <s v="AUDI"/>
    <s v="A3"/>
    <n v="626.92500000000007"/>
    <d v="2018-06-25T00:00:00"/>
    <n v="0"/>
    <x v="295"/>
  </r>
  <r>
    <d v="2018-06-26T00:00:00"/>
    <s v="001-00012720"/>
    <n v="450.25420000000003"/>
    <n v="100.42570180000001"/>
    <n v="0"/>
    <n v="0"/>
    <n v="39.048749999999998"/>
    <n v="0"/>
    <n v="0"/>
    <n v="0"/>
    <n v="139.4744518"/>
    <n v="310.77974820000003"/>
    <n v="0.69023175841557949"/>
    <x v="0"/>
    <s v="MECANICA"/>
    <x v="2"/>
    <x v="1"/>
    <n v="1"/>
    <n v="1"/>
    <d v="2018-06-25T00:00:00"/>
    <s v="SUZUKI"/>
    <s v="S-CROSS"/>
    <n v="0"/>
    <d v="2018-06-26T00:00:00"/>
    <n v="0"/>
    <x v="947"/>
  </r>
  <r>
    <d v="2018-06-27T00:00:00"/>
    <s v="001-00012730"/>
    <n v="449.10169999999999"/>
    <n v="113.6750024"/>
    <n v="0"/>
    <n v="0"/>
    <n v="39.048749999999998"/>
    <n v="0"/>
    <n v="0"/>
    <n v="0"/>
    <n v="152.7237524"/>
    <n v="296.37794759999997"/>
    <n v="0.6599350383220548"/>
    <x v="0"/>
    <s v="MECANICA"/>
    <x v="2"/>
    <x v="1"/>
    <n v="0"/>
    <n v="1"/>
    <d v="2018-06-27T00:00:00"/>
    <s v="MAZDA"/>
    <s v="MAZDA 3"/>
    <n v="0"/>
    <d v="2018-06-27T00:00:00"/>
    <n v="0"/>
    <x v="864"/>
  </r>
  <r>
    <d v="2018-06-27T00:00:00"/>
    <s v="001-00012732"/>
    <n v="450.25420000000003"/>
    <n v="108.7550021"/>
    <n v="0"/>
    <n v="0"/>
    <n v="39.048749999999998"/>
    <n v="0"/>
    <n v="0"/>
    <n v="0"/>
    <n v="147.8037521"/>
    <n v="302.45044790000003"/>
    <n v="0.67173265213295075"/>
    <x v="0"/>
    <s v="MECANICA"/>
    <x v="2"/>
    <x v="1"/>
    <n v="0"/>
    <n v="1"/>
    <d v="2018-06-27T00:00:00"/>
    <s v="FORD"/>
    <s v="FIESTA"/>
    <n v="0"/>
    <d v="2018-06-27T00:00:00"/>
    <n v="0"/>
    <x v="1023"/>
  </r>
  <r>
    <d v="2018-06-28T00:00:00"/>
    <s v="001-00012735"/>
    <n v="349"/>
    <n v="64.831625099999982"/>
    <n v="0"/>
    <n v="0"/>
    <n v="39.048749999999998"/>
    <n v="0"/>
    <n v="0"/>
    <n v="0"/>
    <n v="103.88037509999998"/>
    <n v="245.11962490000002"/>
    <n v="0.70234849541547284"/>
    <x v="0"/>
    <s v="MECANICA"/>
    <x v="2"/>
    <x v="1"/>
    <n v="1"/>
    <n v="1"/>
    <d v="2018-06-27T00:00:00"/>
    <s v="CHEVROLET"/>
    <s v="TRACKER"/>
    <n v="0"/>
    <d v="2018-06-27T00:00:00"/>
    <n v="0"/>
    <x v="232"/>
  </r>
  <r>
    <d v="2018-06-29T00:00:00"/>
    <s v="001-00012748"/>
    <n v="3111.2775167640002"/>
    <n v="638.17699100000016"/>
    <n v="0"/>
    <n v="0"/>
    <n v="0"/>
    <n v="438.75"/>
    <n v="77.471874999999997"/>
    <n v="0"/>
    <n v="1154.3988660000002"/>
    <n v="1956.878650764"/>
    <n v="0.62896306749239272"/>
    <x v="0"/>
    <s v="GRAVE"/>
    <x v="2"/>
    <x v="1"/>
    <n v="0"/>
    <n v="1"/>
    <d v="2018-06-29T00:00:00"/>
    <s v="HYUNDAI"/>
    <s v="AVANTE"/>
    <n v="1267.5"/>
    <d v="2018-06-29T00:00:00"/>
    <n v="30"/>
    <x v="1024"/>
  </r>
  <r>
    <d v="2018-01-15T00:00:00"/>
    <s v="001-00009982"/>
    <n v="505.39158153322103"/>
    <n v="0"/>
    <n v="0"/>
    <n v="55.084745762711869"/>
    <n v="121.3875"/>
    <n v="687.375"/>
    <n v="480.32562499999995"/>
    <n v="0"/>
    <n v="1344.1728707627117"/>
    <n v="-838.78128922949065"/>
    <n v="-1.6596661279652811"/>
    <x v="1"/>
    <s v="GRAVE"/>
    <x v="10"/>
    <x v="1"/>
    <n v="177"/>
    <n v="1"/>
    <d v="2017-07-22T00:00:00"/>
    <s v="CHEVROLET"/>
    <s v="SAIL"/>
    <n v="9636.51"/>
    <d v="2017-07-25T00:00:00"/>
    <n v="47"/>
    <x v="720"/>
  </r>
  <r>
    <d v="2018-07-23T00:00:00"/>
    <s v="001-00011471"/>
    <n v="4582.3050000000003"/>
    <n v="0.67760001999999986"/>
    <n v="135.59"/>
    <n v="254.24"/>
    <n v="160.875"/>
    <n v="482.625"/>
    <n v="387.359375"/>
    <n v="0"/>
    <n v="1421.3669750200002"/>
    <n v="3160.9380249800001"/>
    <n v="0.68981397462194238"/>
    <x v="1"/>
    <s v="GRAVE"/>
    <x v="3"/>
    <x v="1"/>
    <n v="179"/>
    <n v="1"/>
    <d v="2018-01-25T00:00:00"/>
    <s v="CHEVROLET"/>
    <s v="SONIC"/>
    <n v="14610.569999999998"/>
    <d v="2018-05-30T00:00:00"/>
    <n v="33"/>
    <x v="1"/>
  </r>
  <r>
    <d v="2018-05-22T00:00:00"/>
    <s v="001-00011684"/>
    <n v="3481.8795136657573"/>
    <n v="6.0859002000000002"/>
    <n v="0"/>
    <n v="137.71186440677968"/>
    <n v="43.875"/>
    <n v="409.5"/>
    <n v="449.33687499999996"/>
    <n v="0"/>
    <n v="1046.5096396067797"/>
    <n v="2435.3698740589775"/>
    <n v="0.69944116805322654"/>
    <x v="1"/>
    <s v="MEDIANO"/>
    <x v="1"/>
    <x v="1"/>
    <n v="89"/>
    <n v="1"/>
    <d v="2018-02-22T00:00:00"/>
    <s v="CHEVROLET"/>
    <s v="SAIL"/>
    <n v="4703.8549999999996"/>
    <d v="2018-02-28T00:00:00"/>
    <n v="28"/>
    <x v="555"/>
  </r>
  <r>
    <d v="2018-07-07T00:00:00"/>
    <s v="001-00011903"/>
    <n v="4261.762382814919"/>
    <n v="57.533401380000008"/>
    <n v="0"/>
    <n v="373.94593220338987"/>
    <n v="219.375"/>
    <n v="468"/>
    <n v="436.94137499999999"/>
    <n v="0"/>
    <n v="1555.79570858339"/>
    <n v="2705.9666742315289"/>
    <n v="0.63494076655775966"/>
    <x v="1"/>
    <s v="MEDIANO"/>
    <x v="3"/>
    <x v="1"/>
    <n v="109"/>
    <n v="1"/>
    <d v="2018-03-20T00:00:00"/>
    <s v="NISSAN"/>
    <s v="VERSA"/>
    <n v="14256.872500000001"/>
    <d v="2018-03-22T00:00:00"/>
    <n v="32"/>
    <x v="1"/>
  </r>
  <r>
    <d v="2018-07-13T00:00:00"/>
    <s v="001-00012190"/>
    <n v="3450.5442644399996"/>
    <n v="0"/>
    <n v="104.5"/>
    <n v="121.7"/>
    <n v="67.274999999999991"/>
    <n v="343.6875"/>
    <n v="427.64474999999999"/>
    <n v="0"/>
    <n v="1064.8072499999998"/>
    <n v="2385.7370144399997"/>
    <n v="0.69140890004701594"/>
    <x v="1"/>
    <s v="MEDIANO"/>
    <x v="3"/>
    <x v="1"/>
    <n v="77"/>
    <n v="1"/>
    <d v="2018-04-27T00:00:00"/>
    <s v="HYUNDAI"/>
    <s v="I10"/>
    <n v="8258.0550000000003"/>
    <d v="2018-04-30T00:00:00"/>
    <n v="23.5"/>
    <x v="1"/>
  </r>
  <r>
    <d v="2018-07-24T00:00:00"/>
    <s v="001-00012198"/>
    <n v="6664.14"/>
    <n v="0"/>
    <n v="0"/>
    <n v="158.36864406779662"/>
    <n v="134.54999999999998"/>
    <n v="819"/>
    <n v="790.21312499999999"/>
    <n v="0"/>
    <n v="1902.1317690677965"/>
    <n v="4762.0082309322042"/>
    <n v="0.71457205744960395"/>
    <x v="1"/>
    <s v="GRAVE"/>
    <x v="3"/>
    <x v="1"/>
    <n v="86"/>
    <n v="1"/>
    <d v="2018-04-29T00:00:00"/>
    <s v="KIA"/>
    <s v="RIO"/>
    <n v="19762.404999999999"/>
    <d v="2018-05-15T00:00:00"/>
    <n v="56"/>
    <x v="638"/>
  </r>
  <r>
    <d v="2018-06-11T00:00:00"/>
    <s v="001-00012273"/>
    <n v="5225.9201188237312"/>
    <n v="1947.95"/>
    <n v="0"/>
    <n v="103.81237288135593"/>
    <n v="87.75"/>
    <n v="190.125"/>
    <n v="278.89875000000001"/>
    <n v="0"/>
    <n v="2608.5361228813558"/>
    <n v="2617.3839959423753"/>
    <n v="0.50084653734269202"/>
    <x v="0"/>
    <s v="MEDIANO"/>
    <x v="2"/>
    <x v="1"/>
    <n v="34"/>
    <n v="1"/>
    <d v="2018-05-08T00:00:00"/>
    <s v="KIA"/>
    <s v="RIO"/>
    <n v="2950.2525000000001"/>
    <d v="2018-06-09T00:00:00"/>
    <n v="13"/>
    <x v="270"/>
  </r>
  <r>
    <d v="2018-06-29T00:00:00"/>
    <s v="001-00012414"/>
    <n v="1280.6439609000001"/>
    <n v="0.67799996000000007"/>
    <n v="42.37"/>
    <n v="96.27"/>
    <n v="1.4625000000000001"/>
    <n v="58.5"/>
    <n v="123.955"/>
    <n v="0"/>
    <n v="323.23549996000003"/>
    <n v="957.40846094000017"/>
    <n v="0.74759924707501113"/>
    <x v="1"/>
    <s v="LEVE"/>
    <x v="2"/>
    <x v="1"/>
    <n v="36"/>
    <n v="1"/>
    <d v="2018-05-24T00:00:00"/>
    <s v="DAIHATSU"/>
    <s v="TERIOS"/>
    <n v="1278.2574999999999"/>
    <d v="2018-05-28T00:00:00"/>
    <n v="4"/>
    <x v="1"/>
  </r>
  <r>
    <d v="2018-07-12T00:00:00"/>
    <s v="001-00012431"/>
    <n v="3592.8230791999995"/>
    <n v="0.30499999999999999"/>
    <n v="0"/>
    <n v="55.09"/>
    <n v="14.625"/>
    <n v="468"/>
    <n v="418.34812499999998"/>
    <n v="0"/>
    <n v="956.36812499999996"/>
    <n v="2636.4549541999995"/>
    <n v="0.73381151703886549"/>
    <x v="1"/>
    <s v="GRAVE"/>
    <x v="3"/>
    <x v="1"/>
    <n v="47"/>
    <n v="1"/>
    <d v="2018-05-26T00:00:00"/>
    <s v="HYUNDAI"/>
    <s v="TUCSON"/>
    <n v="7151.1050000000005"/>
    <d v="2018-05-29T00:00:00"/>
    <n v="32"/>
    <x v="1"/>
  </r>
  <r>
    <d v="2018-07-07T00:00:00"/>
    <s v="001-00012443"/>
    <n v="1912.2260300945791"/>
    <n v="0"/>
    <n v="0"/>
    <n v="20"/>
    <n v="4.3874999999999993"/>
    <n v="204.75"/>
    <n v="294.393125"/>
    <n v="0"/>
    <n v="523.53062499999999"/>
    <n v="1388.6954050945792"/>
    <n v="0.72621927703070444"/>
    <x v="1"/>
    <s v="MEDIANO"/>
    <x v="3"/>
    <x v="1"/>
    <n v="40"/>
    <n v="1"/>
    <d v="2018-05-28T00:00:00"/>
    <s v="MAZDA"/>
    <s v="MAZDA 3"/>
    <n v="6574.1975000000002"/>
    <d v="2018-05-30T00:00:00"/>
    <n v="14"/>
    <x v="1"/>
  </r>
  <r>
    <d v="2018-07-21T00:00:00"/>
    <s v="001-00012462"/>
    <n v="4837.0140000000001"/>
    <n v="6.0859002000000002"/>
    <n v="0"/>
    <n v="132.94915254237287"/>
    <n v="232.53749999999999"/>
    <n v="526.5"/>
    <n v="464.83125000000001"/>
    <n v="0"/>
    <n v="1362.9038027423728"/>
    <n v="3474.1101972576271"/>
    <n v="0.71823447218834324"/>
    <x v="1"/>
    <s v="GRAVE"/>
    <x v="3"/>
    <x v="1"/>
    <n v="53"/>
    <n v="1"/>
    <d v="2018-05-29T00:00:00"/>
    <s v="SUZU"/>
    <s v="GRAND N."/>
    <n v="22270.3"/>
    <d v="2018-05-31T00:00:00"/>
    <n v="36"/>
    <x v="1"/>
  </r>
  <r>
    <d v="2018-07-13T00:00:00"/>
    <s v="001-00012479"/>
    <n v="2798.4535160400005"/>
    <n v="1.7786"/>
    <n v="126.75"/>
    <n v="68.855932203389841"/>
    <n v="29.25"/>
    <n v="321.75"/>
    <n v="340.87625000000003"/>
    <n v="0"/>
    <n v="889.26078220338991"/>
    <n v="1909.1927338366106"/>
    <n v="0.68223135488712583"/>
    <x v="1"/>
    <s v="MEDIANO"/>
    <x v="3"/>
    <x v="1"/>
    <n v="44"/>
    <n v="1"/>
    <d v="2018-05-30T00:00:00"/>
    <s v="KIA"/>
    <s v="RIO"/>
    <n v="4792.6125000000002"/>
    <d v="2018-06-01T00:00:00"/>
    <n v="22"/>
    <x v="1"/>
  </r>
  <r>
    <d v="2018-06-22T00:00:00"/>
    <s v="001-00012488"/>
    <n v="3278.0259879500004"/>
    <n v="112.07319999999997"/>
    <n v="0"/>
    <n v="279.65949152542373"/>
    <n v="2.9250000000000003"/>
    <n v="234"/>
    <n v="433.84250000000003"/>
    <n v="0"/>
    <n v="1062.5001915254238"/>
    <n v="2215.5257964245766"/>
    <n v="0.6758719438371853"/>
    <x v="1"/>
    <s v="MEDIANO"/>
    <x v="2"/>
    <x v="1"/>
    <n v="22"/>
    <n v="1"/>
    <d v="2018-05-31T00:00:00"/>
    <s v="DAIHATSU"/>
    <s v="TERIOS"/>
    <n v="6628.2125000000005"/>
    <d v="2018-06-15T00:00:00"/>
    <n v="16"/>
    <x v="1"/>
  </r>
  <r>
    <d v="2018-07-03T00:00:00"/>
    <s v="001-00012490"/>
    <n v="1400.38160099068"/>
    <n v="0"/>
    <n v="0"/>
    <n v="0"/>
    <n v="0"/>
    <n v="175.5"/>
    <n v="154.94374999999999"/>
    <n v="0"/>
    <n v="330.44375000000002"/>
    <n v="1069.9378509906801"/>
    <n v="0.7640330680107249"/>
    <x v="1"/>
    <s v="MEDIANO"/>
    <x v="3"/>
    <x v="1"/>
    <n v="33"/>
    <n v="1"/>
    <d v="2018-05-31T00:00:00"/>
    <s v="HYUNDAI"/>
    <s v="I10"/>
    <n v="188.85749999999999"/>
    <d v="2018-06-01T00:00:00"/>
    <n v="12"/>
    <x v="1"/>
  </r>
  <r>
    <d v="2018-07-10T00:00:00"/>
    <s v="001-00012492"/>
    <n v="1401.9339745101702"/>
    <n v="0"/>
    <n v="0"/>
    <n v="27.542372881355934"/>
    <n v="0"/>
    <n v="117"/>
    <n v="255.34729999999999"/>
    <n v="0"/>
    <n v="399.88967288135592"/>
    <n v="1002.0443016288143"/>
    <n v="0.7147585548591362"/>
    <x v="1"/>
    <s v="MEDIANO"/>
    <x v="3"/>
    <x v="1"/>
    <n v="40"/>
    <n v="1"/>
    <d v="2018-05-31T00:00:00"/>
    <s v="CHEVROLET"/>
    <s v="SAIL"/>
    <n v="1669.7525000000001"/>
    <d v="2018-06-02T00:00:00"/>
    <n v="8"/>
    <x v="1"/>
  </r>
  <r>
    <d v="2018-07-10T00:00:00"/>
    <s v="001-00012497"/>
    <n v="2174.6758993796602"/>
    <n v="5.4759001999999999"/>
    <n v="0"/>
    <n v="119.17796610169492"/>
    <n v="21.9375"/>
    <n v="204.75"/>
    <n v="300.59087499999998"/>
    <n v="0"/>
    <n v="651.93224130169483"/>
    <n v="1522.7436580779654"/>
    <n v="0.70021636718939928"/>
    <x v="1"/>
    <s v="MEDIANO"/>
    <x v="3"/>
    <x v="1"/>
    <n v="39"/>
    <n v="1"/>
    <d v="2018-06-01T00:00:00"/>
    <s v="VOLKSWAGUEN"/>
    <s v="GOL"/>
    <n v="8665.5400000000009"/>
    <d v="2018-06-15T00:00:00"/>
    <n v="14"/>
    <x v="1"/>
  </r>
  <r>
    <d v="2018-07-06T00:00:00"/>
    <s v="001-00012532"/>
    <n v="1271.3549850413092"/>
    <n v="0"/>
    <n v="0"/>
    <n v="20"/>
    <n v="0"/>
    <n v="87.75"/>
    <n v="263.40437500000002"/>
    <n v="0"/>
    <n v="371.15437500000002"/>
    <n v="900.20061004130912"/>
    <n v="0.70806393228721998"/>
    <x v="1"/>
    <s v="LEVE"/>
    <x v="3"/>
    <x v="1"/>
    <n v="31"/>
    <n v="1"/>
    <d v="2018-06-05T00:00:00"/>
    <s v="RENAULT"/>
    <s v="STEPWAY"/>
    <n v="5092.4250000000002"/>
    <d v="2018-06-07T00:00:00"/>
    <n v="6"/>
    <x v="1025"/>
  </r>
  <r>
    <d v="2018-07-12T00:00:00"/>
    <s v="001-00012536"/>
    <n v="1496.9309592000002"/>
    <n v="0.50860000000000005"/>
    <n v="0"/>
    <n v="117.46000000000001"/>
    <n v="14.625"/>
    <n v="131.625"/>
    <n v="200.18732499999999"/>
    <n v="0"/>
    <n v="464.40592500000002"/>
    <n v="1032.5250342000002"/>
    <n v="0.68976129316732759"/>
    <x v="1"/>
    <s v="MEDIANO"/>
    <x v="3"/>
    <x v="1"/>
    <n v="37"/>
    <n v="1"/>
    <d v="2018-06-05T00:00:00"/>
    <s v="KIA"/>
    <s v="CERATO"/>
    <n v="4560.5625"/>
    <d v="2018-06-07T00:00:00"/>
    <n v="9"/>
    <x v="1"/>
  </r>
  <r>
    <d v="2018-07-13T00:00:00"/>
    <s v="001-00012567"/>
    <n v="4242.3090418799993"/>
    <n v="43.375298199999996"/>
    <n v="0"/>
    <n v="0"/>
    <n v="24.862499999999997"/>
    <n v="585"/>
    <n v="573.291875"/>
    <n v="0"/>
    <n v="1226.5296732000002"/>
    <n v="3015.7793686799992"/>
    <n v="0.71088158333310447"/>
    <x v="1"/>
    <s v="GRAVE"/>
    <x v="3"/>
    <x v="1"/>
    <n v="35"/>
    <n v="1"/>
    <d v="2018-06-08T00:00:00"/>
    <s v="HYUNDAI"/>
    <s v="ELANTRA"/>
    <n v="6296.29"/>
    <d v="2018-06-02T00:00:00"/>
    <n v="40"/>
    <x v="1"/>
  </r>
  <r>
    <d v="2018-07-21T00:00:00"/>
    <s v="001-00012571"/>
    <n v="2425.8780000000006"/>
    <n v="0.42370000000000002"/>
    <n v="0"/>
    <n v="70.849999999999994"/>
    <n v="38.025000000000006"/>
    <n v="175.5"/>
    <n v="402.85374999999999"/>
    <n v="0"/>
    <n v="687.65245000000004"/>
    <n v="1738.2255500000006"/>
    <n v="0.71653461138606311"/>
    <x v="1"/>
    <s v="MEDIANO"/>
    <x v="3"/>
    <x v="1"/>
    <n v="40"/>
    <n v="1"/>
    <d v="2018-06-11T00:00:00"/>
    <s v="HYUNDAI"/>
    <s v="I10"/>
    <n v="35246.477500000001"/>
    <d v="2018-06-13T00:00:00"/>
    <n v="12"/>
    <x v="829"/>
  </r>
  <r>
    <d v="2018-06-13T00:00:00"/>
    <s v="001-00012578"/>
    <n v="3158.4441254000008"/>
    <n v="0.76249999999999996"/>
    <n v="0"/>
    <n v="93.22"/>
    <n v="0"/>
    <n v="365.625"/>
    <n v="376.82319999999999"/>
    <n v="0"/>
    <n v="836.4307"/>
    <n v="2322.0134254000009"/>
    <n v="0.73517635050958197"/>
    <x v="1"/>
    <s v="GRAVE"/>
    <x v="2"/>
    <x v="1"/>
    <n v="2"/>
    <n v="1"/>
    <d v="2018-06-11T00:00:00"/>
    <s v="NISSAN"/>
    <s v="X-TRAIL"/>
    <n v="4394.0974999999999"/>
    <d v="2018-06-12T00:00:00"/>
    <n v="25"/>
    <x v="41"/>
  </r>
  <r>
    <d v="2018-07-25T00:00:00"/>
    <s v="001-00012585"/>
    <n v="2987.8271312313605"/>
    <n v="5.4759001999999999"/>
    <n v="25.42"/>
    <n v="21.19"/>
    <n v="73.125"/>
    <n v="175.5"/>
    <n v="340.87625000000003"/>
    <n v="0"/>
    <n v="641.5871502"/>
    <n v="2346.2399810313605"/>
    <n v="0.78526630825004073"/>
    <x v="1"/>
    <s v="MEDIANO"/>
    <x v="3"/>
    <x v="1"/>
    <n v="44"/>
    <n v="1"/>
    <d v="2018-06-11T00:00:00"/>
    <s v="HYUNDAI"/>
    <s v="ACCENT"/>
    <n v="7387.6725000000006"/>
    <d v="2018-06-26T00:00:00"/>
    <n v="12"/>
    <x v="1"/>
  </r>
  <r>
    <d v="2018-07-12T00:00:00"/>
    <s v="001-00012616"/>
    <n v="1290.2909592000001"/>
    <n v="0"/>
    <n v="0"/>
    <n v="40"/>
    <n v="0"/>
    <n v="73.125"/>
    <n v="232.41562500000001"/>
    <n v="0"/>
    <n v="345.54062499999998"/>
    <n v="944.75033420000011"/>
    <n v="0.73219945273875253"/>
    <x v="1"/>
    <s v="LEVE"/>
    <x v="3"/>
    <x v="1"/>
    <n v="30"/>
    <n v="1"/>
    <d v="2018-06-12T00:00:00"/>
    <s v="NISSAN"/>
    <s v="QASHQAI"/>
    <n v="1208.3824999999999"/>
    <d v="2018-06-15T00:00:00"/>
    <n v="5"/>
    <x v="1"/>
  </r>
  <r>
    <d v="2018-07-02T00:00:00"/>
    <s v="001-00012630"/>
    <n v="732.57122842458"/>
    <n v="0.42369999999999997"/>
    <n v="0"/>
    <n v="76.27"/>
    <n v="1.4625000000000001"/>
    <n v="51.1875"/>
    <n v="133.25162500000002"/>
    <n v="0"/>
    <n v="262.595325"/>
    <n v="469.97590342458"/>
    <n v="0.64154294516217836"/>
    <x v="1"/>
    <s v="LEVE"/>
    <x v="3"/>
    <x v="1"/>
    <n v="18"/>
    <n v="1"/>
    <d v="2018-06-14T00:00:00"/>
    <s v="SUZUKI"/>
    <s v="SWIFT"/>
    <n v="1210.3"/>
    <d v="2018-06-15T00:00:00"/>
    <n v="3.5"/>
    <x v="1"/>
  </r>
  <r>
    <d v="2018-07-09T00:00:00"/>
    <s v="001-00012633"/>
    <n v="3204.9922107949101"/>
    <n v="0"/>
    <n v="0"/>
    <n v="144.59796610169491"/>
    <n v="0"/>
    <n v="263.25"/>
    <n v="607.99927500000001"/>
    <n v="0"/>
    <n v="1015.8472411016949"/>
    <n v="2189.144969693215"/>
    <n v="0.68304221218380368"/>
    <x v="1"/>
    <s v="MEDIANO"/>
    <x v="3"/>
    <x v="1"/>
    <n v="24"/>
    <n v="1"/>
    <d v="2018-06-15T00:00:00"/>
    <s v="VOLKSWAGUEN"/>
    <s v="GOL"/>
    <n v="2583.6849999999999"/>
    <d v="2018-06-15T00:00:00"/>
    <n v="18"/>
    <x v="1"/>
  </r>
  <r>
    <d v="2018-07-06T00:00:00"/>
    <s v="001-00012646"/>
    <n v="1937.5343954262698"/>
    <n v="0"/>
    <n v="0"/>
    <n v="76.27"/>
    <n v="74.587499999999991"/>
    <n v="146.25"/>
    <n v="228.69697500000001"/>
    <n v="0"/>
    <n v="525.80447499999991"/>
    <n v="1411.7299204262699"/>
    <n v="0.72862186279572105"/>
    <x v="1"/>
    <s v="MEDIANO"/>
    <x v="3"/>
    <x v="1"/>
    <n v="18"/>
    <n v="1"/>
    <d v="2018-06-18T00:00:00"/>
    <s v="KIA"/>
    <s v="CERATO"/>
    <n v="7541.1050000000005"/>
    <d v="2018-06-18T00:00:00"/>
    <n v="10"/>
    <x v="1"/>
  </r>
  <r>
    <d v="2018-07-20T00:00:00"/>
    <s v="001-00012647"/>
    <n v="2987.4852424999995"/>
    <n v="0"/>
    <n v="0"/>
    <n v="84.75"/>
    <n v="26.324999999999999"/>
    <n v="321.75"/>
    <n v="362.568375"/>
    <n v="0"/>
    <n v="795.39337499999999"/>
    <n v="2192.0918674999994"/>
    <n v="0.73375822458142226"/>
    <x v="1"/>
    <s v="MEDIANO"/>
    <x v="3"/>
    <x v="1"/>
    <n v="32"/>
    <n v="1"/>
    <d v="2018-06-18T00:00:00"/>
    <s v="KIA"/>
    <s v="SPORTAGE"/>
    <n v="4120.2849999999999"/>
    <d v="2018-06-28T00:00:00"/>
    <n v="22"/>
    <x v="1"/>
  </r>
  <r>
    <d v="2018-07-04T00:00:00"/>
    <s v="001-00012650"/>
    <n v="2563.8599220000006"/>
    <n v="5.8996002000000001"/>
    <n v="0"/>
    <n v="153.60593220338984"/>
    <n v="0"/>
    <n v="95.0625"/>
    <n v="402.85374999999999"/>
    <n v="0"/>
    <n v="657.4217824033899"/>
    <n v="1906.4381395966107"/>
    <n v="0.74358123984770885"/>
    <x v="1"/>
    <s v="MEDIANO"/>
    <x v="3"/>
    <x v="1"/>
    <n v="16"/>
    <n v="1"/>
    <d v="2018-06-18T00:00:00"/>
    <s v="HYUNDAI"/>
    <s v="ACCENT"/>
    <n v="7326.67"/>
    <d v="2018-06-20T00:00:00"/>
    <n v="6.5"/>
    <x v="1"/>
  </r>
  <r>
    <d v="2018-07-05T00:00:00"/>
    <s v="001-00012658"/>
    <n v="1885.603437214239"/>
    <n v="0"/>
    <n v="0"/>
    <n v="0"/>
    <n v="0"/>
    <n v="204.75"/>
    <n v="303.68975000000006"/>
    <n v="0"/>
    <n v="508.43975000000006"/>
    <n v="1377.163687214239"/>
    <n v="0.73035700934489123"/>
    <x v="1"/>
    <s v="MEDIANO"/>
    <x v="3"/>
    <x v="1"/>
    <n v="17"/>
    <n v="1"/>
    <d v="2018-06-18T00:00:00"/>
    <s v="KIA"/>
    <s v="RIO"/>
    <n v="3218.9949999999999"/>
    <d v="2018-06-19T00:00:00"/>
    <n v="14"/>
    <x v="1"/>
  </r>
  <r>
    <d v="2018-07-09T00:00:00"/>
    <s v="001-00012660"/>
    <n v="886.34774053475007"/>
    <n v="0"/>
    <n v="0"/>
    <n v="0"/>
    <n v="0"/>
    <n v="58.5"/>
    <n v="200.80710000000002"/>
    <n v="0"/>
    <n v="259.30709999999999"/>
    <n v="627.04064053475008"/>
    <n v="0.7074431533569937"/>
    <x v="1"/>
    <s v="LEVE"/>
    <x v="3"/>
    <x v="1"/>
    <n v="21"/>
    <n v="1"/>
    <d v="2018-06-18T00:00:00"/>
    <s v="NISSAN"/>
    <s v="X-TRAIL"/>
    <n v="0"/>
    <d v="2018-06-19T00:00:00"/>
    <n v="4"/>
    <x v="1"/>
  </r>
  <r>
    <d v="2018-07-06T00:00:00"/>
    <s v="001-00012665"/>
    <n v="2099.6579362000002"/>
    <n v="0"/>
    <n v="21.19"/>
    <n v="13.771186440677967"/>
    <n v="5.8500000000000005"/>
    <n v="204.75"/>
    <n v="340.87625000000003"/>
    <n v="0"/>
    <n v="586.43743644067797"/>
    <n v="1513.2204997593221"/>
    <n v="0.72069858316920732"/>
    <x v="1"/>
    <s v="MEDIANO"/>
    <x v="3"/>
    <x v="1"/>
    <n v="17"/>
    <n v="1"/>
    <d v="2018-06-19T00:00:00"/>
    <s v="TOYOTA"/>
    <s v="YARIS"/>
    <n v="2828.8325"/>
    <d v="2018-06-20T00:00:00"/>
    <n v="14"/>
    <x v="796"/>
  </r>
  <r>
    <d v="2018-07-03T00:00:00"/>
    <s v="001-00012670"/>
    <n v="2032.8542010355898"/>
    <n v="0.30499999999999999"/>
    <n v="0"/>
    <n v="0"/>
    <n v="0"/>
    <n v="146.25"/>
    <n v="371.86500000000001"/>
    <n v="0"/>
    <n v="518.42000000000007"/>
    <n v="1514.4342010355897"/>
    <n v="0.74497925147022193"/>
    <x v="1"/>
    <s v="MEDIANO"/>
    <x v="3"/>
    <x v="1"/>
    <n v="13"/>
    <n v="1"/>
    <d v="2018-06-20T00:00:00"/>
    <s v="NISSAN"/>
    <s v="TIIDA"/>
    <n v="1445.405"/>
    <d v="2018-06-21T00:00:00"/>
    <n v="10"/>
    <x v="1"/>
  </r>
  <r>
    <d v="2018-07-07T00:00:00"/>
    <s v="001-00012676"/>
    <n v="2468.5369248999996"/>
    <n v="0.42369999999999997"/>
    <n v="0"/>
    <n v="0"/>
    <n v="14.625"/>
    <n v="175.5"/>
    <n v="433.84250000000003"/>
    <n v="0"/>
    <n v="624.39120000000003"/>
    <n v="1844.1457248999995"/>
    <n v="0.74706021461465721"/>
    <x v="1"/>
    <s v="MEDIANO"/>
    <x v="3"/>
    <x v="1"/>
    <n v="17"/>
    <n v="1"/>
    <d v="2018-06-20T00:00:00"/>
    <s v="MAZDA"/>
    <s v="MAZDA 3"/>
    <n v="6294.8274999999994"/>
    <d v="2018-06-21T00:00:00"/>
    <n v="12"/>
    <x v="1"/>
  </r>
  <r>
    <d v="2018-07-13T00:00:00"/>
    <s v="001-00012679"/>
    <n v="2796.7189280399998"/>
    <n v="0"/>
    <n v="0"/>
    <n v="61.970338983050851"/>
    <n v="0"/>
    <n v="380.25"/>
    <n v="343.35534999999999"/>
    <n v="0"/>
    <n v="785.5756889830509"/>
    <n v="2011.1432390569489"/>
    <n v="0.71910810160190142"/>
    <x v="1"/>
    <s v="MEDIANO"/>
    <x v="3"/>
    <x v="1"/>
    <n v="23"/>
    <n v="1"/>
    <d v="2018-06-20T00:00:00"/>
    <s v="HYUNDAI"/>
    <s v="H1"/>
    <n v="5848.7975000000006"/>
    <d v="2018-06-22T00:00:00"/>
    <n v="26"/>
    <x v="1"/>
  </r>
  <r>
    <d v="2018-07-11T00:00:00"/>
    <s v="001-00012682"/>
    <n v="4046.6638764000004"/>
    <n v="2636.7329"/>
    <n v="0"/>
    <n v="0"/>
    <n v="24.862499999999997"/>
    <n v="58.5"/>
    <n v="30.98875"/>
    <n v="0"/>
    <n v="2751.0841500000001"/>
    <n v="1295.5797264000003"/>
    <n v="0.32015995545263226"/>
    <x v="0"/>
    <s v="LEVE"/>
    <x v="3"/>
    <x v="1"/>
    <n v="20"/>
    <n v="1"/>
    <d v="2018-06-21T00:00:00"/>
    <s v="MITSUBISHI"/>
    <s v="L200"/>
    <n v="3643.25"/>
    <d v="2018-07-06T00:00:00"/>
    <n v="4"/>
    <x v="999"/>
  </r>
  <r>
    <d v="2018-07-09T00:00:00"/>
    <s v="001-00012684"/>
    <n v="852.97647404999998"/>
    <n v="0"/>
    <n v="0"/>
    <n v="0"/>
    <n v="0"/>
    <n v="58.5"/>
    <n v="185.9325"/>
    <n v="0"/>
    <n v="244.4325"/>
    <n v="608.54397404999997"/>
    <n v="0.71343582450824805"/>
    <x v="1"/>
    <s v="LEVE"/>
    <x v="3"/>
    <x v="1"/>
    <n v="18"/>
    <n v="1"/>
    <d v="2018-06-21T00:00:00"/>
    <s v="NISSAN"/>
    <s v="X-TRAIL"/>
    <n v="0"/>
    <d v="2018-06-16T00:00:00"/>
    <n v="4"/>
    <x v="1"/>
  </r>
  <r>
    <d v="2018-07-14T00:00:00"/>
    <s v="001-00012687"/>
    <n v="816.14186070000017"/>
    <n v="0.84739999999999993"/>
    <n v="0"/>
    <n v="0"/>
    <n v="0"/>
    <n v="87.75"/>
    <n v="130.15275000000003"/>
    <n v="0"/>
    <n v="218.75015000000002"/>
    <n v="597.3917107000002"/>
    <n v="0.73197043242901516"/>
    <x v="1"/>
    <s v="LEVE"/>
    <x v="3"/>
    <x v="1"/>
    <n v="22"/>
    <n v="1"/>
    <d v="2018-06-22T00:00:00"/>
    <s v="HYUNDAI"/>
    <s v="I10"/>
    <n v="1156.7075"/>
    <d v="2018-06-22T00:00:00"/>
    <n v="6"/>
    <x v="1"/>
  </r>
  <r>
    <d v="2018-07-04T00:00:00"/>
    <s v="001-00012698"/>
    <n v="805.06417740763004"/>
    <n v="0"/>
    <n v="0"/>
    <n v="86.27"/>
    <n v="2.9250000000000003"/>
    <n v="58.5"/>
    <n v="123.955"/>
    <n v="0"/>
    <n v="271.64999999999998"/>
    <n v="533.41417740763006"/>
    <n v="0.66257348466958954"/>
    <x v="1"/>
    <s v="LEVE"/>
    <x v="3"/>
    <x v="1"/>
    <n v="11"/>
    <n v="1"/>
    <d v="2018-06-23T00:00:00"/>
    <s v="MAZDA"/>
    <s v="CX-5"/>
    <n v="910.48749999999995"/>
    <d v="2018-06-25T00:00:00"/>
    <n v="4"/>
    <x v="1"/>
  </r>
  <r>
    <d v="2018-07-03T00:00:00"/>
    <s v="001-00012699"/>
    <n v="1121.68183491441"/>
    <n v="0"/>
    <n v="0"/>
    <n v="148.30474576271186"/>
    <n v="0"/>
    <n v="73.125"/>
    <n v="123.33522500000001"/>
    <n v="0"/>
    <n v="344.76497076271187"/>
    <n v="776.91686415169818"/>
    <n v="0.69263568328266711"/>
    <x v="1"/>
    <s v="LEVE"/>
    <x v="3"/>
    <x v="1"/>
    <n v="10"/>
    <n v="1"/>
    <d v="2018-06-23T00:00:00"/>
    <s v="KIA"/>
    <s v="PICANTO"/>
    <n v="804.375"/>
    <d v="2018-06-25T00:00:00"/>
    <n v="5"/>
    <x v="1"/>
  </r>
  <r>
    <d v="2018-07-21T00:00:00"/>
    <s v="001-00012700"/>
    <n v="2294.0327919600004"/>
    <n v="221.2470002"/>
    <n v="214.5"/>
    <n v="84.75"/>
    <n v="16.087500000000002"/>
    <n v="204.75"/>
    <n v="325.38187500000004"/>
    <n v="0"/>
    <n v="1066.7163752000001"/>
    <n v="1227.3164167600003"/>
    <n v="0.53500386788777876"/>
    <x v="1"/>
    <s v="MEDIANO"/>
    <x v="3"/>
    <x v="1"/>
    <n v="28"/>
    <n v="1"/>
    <d v="2018-06-23T00:00:00"/>
    <s v="KIA"/>
    <s v="PICANTO"/>
    <n v="8185.125"/>
    <d v="2018-06-27T00:00:00"/>
    <n v="14"/>
    <x v="552"/>
  </r>
  <r>
    <d v="2018-07-10T00:00:00"/>
    <s v="001-00012701"/>
    <n v="851.37697407500002"/>
    <n v="0"/>
    <n v="0"/>
    <n v="0"/>
    <n v="0"/>
    <n v="49.724999999999994"/>
    <n v="108.46062500000001"/>
    <n v="0"/>
    <n v="158.18562500000002"/>
    <n v="693.19134907500006"/>
    <n v="0.81420025462649526"/>
    <x v="1"/>
    <s v="LEVE"/>
    <x v="3"/>
    <x v="1"/>
    <n v="15"/>
    <n v="1"/>
    <d v="2018-06-25T00:00:00"/>
    <s v="SUZUKI"/>
    <s v="VITARA"/>
    <n v="2064.8224999999998"/>
    <d v="2018-06-26T00:00:00"/>
    <n v="3.4"/>
    <x v="1026"/>
  </r>
  <r>
    <d v="2018-07-07T00:00:00"/>
    <s v="001-00012702"/>
    <n v="1259.6174769788101"/>
    <n v="0"/>
    <n v="0"/>
    <n v="76.27"/>
    <n v="2.9250000000000003"/>
    <n v="102.375"/>
    <n v="185.9325"/>
    <n v="0"/>
    <n v="367.5025"/>
    <n v="892.11497697881009"/>
    <n v="0.70824277471804054"/>
    <x v="1"/>
    <s v="LEVE"/>
    <x v="3"/>
    <x v="1"/>
    <n v="12"/>
    <n v="1"/>
    <d v="2018-06-25T00:00:00"/>
    <s v="KIA"/>
    <s v="CERATO"/>
    <n v="1768.7474999999999"/>
    <d v="2018-06-25T00:00:00"/>
    <n v="7"/>
    <x v="1"/>
  </r>
  <r>
    <d v="2018-07-11T00:00:00"/>
    <s v="001-00012704"/>
    <n v="1356.351663632031"/>
    <n v="0"/>
    <n v="0"/>
    <n v="75.741525423728817"/>
    <n v="7.3125"/>
    <n v="87.75"/>
    <n v="213.82237499999999"/>
    <n v="0"/>
    <n v="384.6264004237288"/>
    <n v="971.72526320830218"/>
    <n v="0.71642575392743035"/>
    <x v="1"/>
    <s v="LEVE"/>
    <x v="3"/>
    <x v="1"/>
    <n v="16"/>
    <n v="1"/>
    <d v="2018-06-25T00:00:00"/>
    <s v="FORD"/>
    <s v="ECOSPORT"/>
    <n v="10257.8125"/>
    <d v="2018-06-25T00:00:00"/>
    <n v="6"/>
    <x v="1"/>
  </r>
  <r>
    <d v="2018-07-10T00:00:00"/>
    <s v="001-00012706"/>
    <n v="546.78598335000004"/>
    <n v="0"/>
    <n v="0"/>
    <n v="21.186440677966104"/>
    <n v="0"/>
    <n v="43.875"/>
    <n v="61.977499999999999"/>
    <n v="0"/>
    <n v="127.03894067796611"/>
    <n v="419.7470426720339"/>
    <n v="0.76766240440247724"/>
    <x v="1"/>
    <s v="LEVE"/>
    <x v="3"/>
    <x v="1"/>
    <n v="15"/>
    <n v="1"/>
    <d v="2018-06-25T00:00:00"/>
    <s v="CHEVROLET"/>
    <s v="TRACKER"/>
    <n v="0"/>
    <d v="2018-06-28T00:00:00"/>
    <n v="3"/>
    <x v="1"/>
  </r>
  <r>
    <d v="2018-07-04T00:00:00"/>
    <s v="001-00012708"/>
    <n v="346.77848945"/>
    <n v="0"/>
    <n v="0"/>
    <n v="41.313559322033896"/>
    <n v="0"/>
    <n v="16.087500000000002"/>
    <n v="61.977499999999999"/>
    <n v="0"/>
    <n v="119.37855932203391"/>
    <n v="227.39993012796609"/>
    <n v="0.65574981449578518"/>
    <x v="1"/>
    <s v="LEVE"/>
    <x v="3"/>
    <x v="1"/>
    <n v="9"/>
    <n v="1"/>
    <d v="2018-06-25T00:00:00"/>
    <s v="HYUNDAI"/>
    <s v="ACCENT"/>
    <n v="460.36250000000001"/>
    <d v="2018-06-26T00:00:00"/>
    <n v="1.1000000000000001"/>
    <x v="1"/>
  </r>
  <r>
    <d v="2018-07-07T00:00:00"/>
    <s v="001-00012711"/>
    <n v="1985.2086036742389"/>
    <n v="0"/>
    <n v="0"/>
    <n v="0"/>
    <n v="0"/>
    <n v="234"/>
    <n v="257.20662500000003"/>
    <n v="0"/>
    <n v="491.20662500000003"/>
    <n v="1494.0019786742389"/>
    <n v="0.75256674583674932"/>
    <x v="1"/>
    <s v="MEDIANO"/>
    <x v="3"/>
    <x v="1"/>
    <n v="12"/>
    <n v="1"/>
    <d v="2018-06-25T00:00:00"/>
    <s v="KIA"/>
    <s v="RIO"/>
    <n v="3710.2649999999994"/>
    <d v="2018-06-28T00:00:00"/>
    <n v="16"/>
    <x v="1"/>
  </r>
  <r>
    <d v="2018-07-10T00:00:00"/>
    <s v="001-00012714"/>
    <n v="771.51732130677999"/>
    <n v="0"/>
    <n v="0"/>
    <n v="55.084745762711862"/>
    <n v="0"/>
    <n v="30.712500000000002"/>
    <n v="154.94374999999999"/>
    <n v="0"/>
    <n v="240.74099576271186"/>
    <n v="530.77632554406819"/>
    <n v="0.68796423733565737"/>
    <x v="1"/>
    <s v="LEVE"/>
    <x v="3"/>
    <x v="1"/>
    <n v="15"/>
    <n v="1"/>
    <d v="2018-06-25T00:00:00"/>
    <s v="HYUNDAI"/>
    <s v="I20"/>
    <n v="2558.4650000000001"/>
    <d v="2018-06-26T00:00:00"/>
    <n v="2.1"/>
    <x v="1"/>
  </r>
  <r>
    <d v="2018-07-11T00:00:00"/>
    <s v="001-00012715"/>
    <n v="553.30598309999993"/>
    <n v="0"/>
    <n v="0"/>
    <n v="84.75"/>
    <n v="17.549999999999997"/>
    <n v="43.875"/>
    <n v="61.977499999999999"/>
    <n v="0"/>
    <n v="208.1525"/>
    <n v="345.1534830999999"/>
    <n v="0.62380218837723955"/>
    <x v="1"/>
    <s v="LEVE"/>
    <x v="3"/>
    <x v="1"/>
    <n v="16"/>
    <n v="1"/>
    <d v="2018-06-25T00:00:00"/>
    <s v="HYUNDAI"/>
    <s v="TUCSON"/>
    <n v="2794.2525000000001"/>
    <d v="2018-06-27T00:00:00"/>
    <n v="3"/>
    <x v="1"/>
  </r>
  <r>
    <d v="2018-07-04T00:00:00"/>
    <s v="001-00012716"/>
    <n v="618.20677929237013"/>
    <n v="0"/>
    <n v="0"/>
    <n v="0"/>
    <n v="0"/>
    <n v="36.5625"/>
    <n v="123.33522500000001"/>
    <n v="0"/>
    <n v="159.89772500000001"/>
    <n v="458.30905429237009"/>
    <n v="0.74135235918469411"/>
    <x v="1"/>
    <s v="LEVE"/>
    <x v="3"/>
    <x v="1"/>
    <n v="9"/>
    <n v="1"/>
    <d v="2018-06-25T00:00:00"/>
    <s v="NISSAN"/>
    <s v="VERSA"/>
    <n v="1801.9300000000003"/>
    <d v="2018-06-26T00:00:00"/>
    <n v="2.5"/>
    <x v="1"/>
  </r>
  <r>
    <d v="2018-07-04T00:00:00"/>
    <s v="001-00012717"/>
    <n v="206.77960200000001"/>
    <n v="55.615299899999989"/>
    <n v="0"/>
    <n v="0"/>
    <n v="39.048749999999998"/>
    <n v="0"/>
    <n v="0"/>
    <n v="0"/>
    <n v="94.664049899999981"/>
    <n v="112.11555210000003"/>
    <n v="0.54219831654381467"/>
    <x v="0"/>
    <s v="MECANICA"/>
    <x v="3"/>
    <x v="1"/>
    <n v="9"/>
    <n v="1"/>
    <d v="2018-06-25T00:00:00"/>
    <s v="NISSAN"/>
    <s v="VERSA"/>
    <n v="0"/>
    <d v="2018-06-26T00:00:00"/>
    <n v="0"/>
    <x v="1027"/>
  </r>
  <r>
    <d v="2018-07-11T00:00:00"/>
    <s v="001-00012719"/>
    <n v="2011.8729385500005"/>
    <n v="0"/>
    <n v="0"/>
    <n v="84.75"/>
    <n v="24.862499999999997"/>
    <n v="204.75"/>
    <n v="278.89875000000001"/>
    <n v="0"/>
    <n v="593.26125000000002"/>
    <n v="1418.6116885500005"/>
    <n v="0.70511992152567249"/>
    <x v="1"/>
    <s v="MEDIANO"/>
    <x v="3"/>
    <x v="1"/>
    <n v="15"/>
    <n v="1"/>
    <d v="2018-06-26T00:00:00"/>
    <s v="TOYOTA"/>
    <s v="HILUX"/>
    <n v="1145.04"/>
    <d v="2018-06-26T00:00:00"/>
    <n v="14"/>
    <x v="1028"/>
  </r>
  <r>
    <d v="2018-07-02T00:00:00"/>
    <s v="001-00012721"/>
    <n v="1006.0890376703402"/>
    <n v="0"/>
    <n v="0"/>
    <n v="41.313559322033896"/>
    <n v="0"/>
    <n v="117"/>
    <n v="139.449375"/>
    <n v="0"/>
    <n v="297.76293432203386"/>
    <n v="708.32610334830633"/>
    <n v="0.70403918224621365"/>
    <x v="1"/>
    <s v="MEDIANO"/>
    <x v="3"/>
    <x v="1"/>
    <n v="6"/>
    <n v="1"/>
    <d v="2018-06-26T00:00:00"/>
    <s v="NISSAN"/>
    <s v="VERSA"/>
    <n v="157.5275"/>
    <d v="2018-06-26T00:00:00"/>
    <n v="8"/>
    <x v="1"/>
  </r>
  <r>
    <d v="2018-07-18T00:00:00"/>
    <s v="001-00012723"/>
    <n v="2084.1536616450812"/>
    <n v="0"/>
    <n v="0"/>
    <n v="63.56"/>
    <n v="5.8500000000000005"/>
    <n v="219.375"/>
    <n v="282.61739999999998"/>
    <n v="0"/>
    <n v="571.40239999999994"/>
    <n v="1512.7512616450813"/>
    <n v="0.7258348026272804"/>
    <x v="1"/>
    <s v="MEDIANO"/>
    <x v="3"/>
    <x v="1"/>
    <n v="22"/>
    <n v="1"/>
    <d v="2018-06-26T00:00:00"/>
    <s v="KIA"/>
    <s v="CERATO"/>
    <n v="4500.6975000000002"/>
    <d v="2018-06-27T00:00:00"/>
    <n v="15"/>
    <x v="1029"/>
  </r>
  <r>
    <d v="2018-07-04T00:00:00"/>
    <s v="001-00012725"/>
    <n v="84.754204000000016"/>
    <n v="0"/>
    <n v="0"/>
    <n v="0"/>
    <n v="0"/>
    <n v="0"/>
    <n v="61.977499999999999"/>
    <n v="0"/>
    <n v="61.977499999999999"/>
    <n v="22.776704000000016"/>
    <n v="0.26873833892652704"/>
    <x v="0"/>
    <s v="LEVE"/>
    <x v="3"/>
    <x v="1"/>
    <n v="8"/>
    <n v="1"/>
    <d v="2018-06-26T00:00:00"/>
    <s v="SUZUKI"/>
    <s v="VITARA"/>
    <n v="0"/>
    <d v="2018-06-26T00:00:00"/>
    <n v="0"/>
    <x v="1030"/>
  </r>
  <r>
    <d v="2018-07-07T00:00:00"/>
    <s v="001-00012726"/>
    <n v="1950.8900238183091"/>
    <n v="0"/>
    <n v="0"/>
    <n v="20"/>
    <n v="0"/>
    <n v="234"/>
    <n v="267.12302499999998"/>
    <n v="0"/>
    <n v="521.12302499999998"/>
    <n v="1429.7669988183093"/>
    <n v="0.73287934294725099"/>
    <x v="1"/>
    <s v="MEDIANO"/>
    <x v="3"/>
    <x v="1"/>
    <n v="11"/>
    <n v="1"/>
    <d v="2018-06-26T00:00:00"/>
    <s v="KIA"/>
    <s v="RIO"/>
    <n v="2622.1"/>
    <d v="2018-06-28T00:00:00"/>
    <n v="16"/>
    <x v="1"/>
  </r>
  <r>
    <d v="2018-07-21T00:00:00"/>
    <s v="001-00012728"/>
    <n v="1041.768"/>
    <n v="128.22499999999999"/>
    <n v="0"/>
    <n v="0"/>
    <n v="0"/>
    <n v="73.125"/>
    <n v="123.955"/>
    <n v="0"/>
    <n v="325.30500000000001"/>
    <n v="716.46299999999997"/>
    <n v="0.68773757688852022"/>
    <x v="1"/>
    <s v="GRAVE"/>
    <x v="3"/>
    <x v="1"/>
    <n v="25"/>
    <n v="1"/>
    <d v="2018-06-26T00:00:00"/>
    <s v="HYUNDAI"/>
    <s v="AVANTE"/>
    <n v="32.5"/>
    <d v="2018-06-28T00:00:00"/>
    <n v="5"/>
    <x v="1"/>
  </r>
  <r>
    <d v="2018-07-24T00:00:00"/>
    <s v="001-00012729"/>
    <n v="2878.4502311999995"/>
    <n v="1.5249999999999999"/>
    <n v="0"/>
    <n v="68.855932203389841"/>
    <n v="17.549999999999997"/>
    <n v="438.75"/>
    <n v="294.393125"/>
    <n v="0"/>
    <n v="821.07405720338988"/>
    <n v="2057.3761739966094"/>
    <n v="0.71475134490649439"/>
    <x v="1"/>
    <s v="GRAVE"/>
    <x v="3"/>
    <x v="1"/>
    <n v="28"/>
    <n v="1"/>
    <d v="2018-06-26T00:00:00"/>
    <s v="BYD"/>
    <s v="NEW F3"/>
    <n v="4059.25"/>
    <d v="2018-06-27T00:00:00"/>
    <n v="30"/>
    <x v="1"/>
  </r>
  <r>
    <d v="2018-07-13T00:00:00"/>
    <s v="001-00012731"/>
    <n v="1019.6687591999998"/>
    <n v="1.22"/>
    <n v="0"/>
    <n v="76.271186440677965"/>
    <n v="4.3874999999999993"/>
    <n v="65.8125"/>
    <n v="139.449375"/>
    <n v="0"/>
    <n v="287.14056144067797"/>
    <n v="732.52819775932187"/>
    <n v="0.71839819662028337"/>
    <x v="1"/>
    <s v="MEDIANO"/>
    <x v="3"/>
    <x v="1"/>
    <n v="16"/>
    <n v="1"/>
    <d v="2018-06-27T00:00:00"/>
    <s v="HONDA"/>
    <s v="ACCORD"/>
    <n v="0"/>
    <d v="2018-06-27T00:00:00"/>
    <n v="4.5"/>
    <x v="1"/>
  </r>
  <r>
    <d v="2018-07-21T00:00:00"/>
    <s v="001-00012733"/>
    <n v="555.25415727599989"/>
    <n v="4.2399997999999997"/>
    <n v="0"/>
    <n v="20.656779661016948"/>
    <n v="0"/>
    <n v="43.875"/>
    <n v="154.94374999999999"/>
    <n v="0"/>
    <n v="223.71552946101696"/>
    <n v="331.53862781498293"/>
    <n v="0.59709346336363445"/>
    <x v="0"/>
    <s v="LEVE"/>
    <x v="3"/>
    <x v="1"/>
    <n v="24"/>
    <n v="1"/>
    <d v="2018-06-27T00:00:00"/>
    <s v="SUZUKI"/>
    <s v="GRAND N."/>
    <n v="509.17749999999995"/>
    <d v="2018-06-27T00:00:00"/>
    <n v="3"/>
    <x v="814"/>
  </r>
  <r>
    <d v="2018-07-05T00:00:00"/>
    <s v="001-00012734"/>
    <n v="1104.1584399491501"/>
    <n v="0"/>
    <n v="0"/>
    <n v="20"/>
    <n v="0"/>
    <n v="160.875"/>
    <n v="147.50645"/>
    <n v="0"/>
    <n v="328.38144999999997"/>
    <n v="775.77698994915011"/>
    <n v="0.70259571623151928"/>
    <x v="1"/>
    <s v="MEDIANO"/>
    <x v="3"/>
    <x v="1"/>
    <n v="8"/>
    <n v="1"/>
    <d v="2018-06-27T00:00:00"/>
    <s v="HYUNDAI"/>
    <s v="ELANTRA"/>
    <n v="0"/>
    <d v="2018-06-27T00:00:00"/>
    <n v="11"/>
    <x v="0"/>
  </r>
  <r>
    <d v="2018-07-23T00:00:00"/>
    <s v="001-00012736"/>
    <n v="1336.4415792"/>
    <n v="0"/>
    <n v="0"/>
    <n v="20"/>
    <n v="0"/>
    <n v="117"/>
    <n v="233.03539999999998"/>
    <n v="0"/>
    <n v="370.03539999999998"/>
    <n v="966.4061792"/>
    <n v="0.72311891087562175"/>
    <x v="1"/>
    <s v="MEDIANO"/>
    <x v="3"/>
    <x v="1"/>
    <n v="26"/>
    <n v="1"/>
    <d v="2018-06-27T00:00:00"/>
    <s v="NISSAN"/>
    <s v="VERSA"/>
    <n v="1674.5625"/>
    <d v="2018-07-02T00:00:00"/>
    <n v="8"/>
    <x v="1031"/>
  </r>
  <r>
    <d v="2018-07-19T00:00:00"/>
    <s v="001-00012737"/>
    <n v="3857.89632639"/>
    <n v="1.0160000399999998"/>
    <n v="0"/>
    <n v="0"/>
    <n v="0"/>
    <n v="0"/>
    <n v="0"/>
    <n v="0"/>
    <n v="1.0160000399999998"/>
    <n v="3856.8803263499999"/>
    <n v="0.99973664402719942"/>
    <x v="4"/>
    <s v="S/TIPO"/>
    <x v="3"/>
    <x v="1"/>
    <n v="22"/>
    <n v="1"/>
    <d v="2018-06-27T00:00:00"/>
    <s v="S/MARCA"/>
    <s v="S/MODELO"/>
    <n v="0"/>
    <s v="F/Fecha"/>
    <n v="0"/>
    <x v="1"/>
  </r>
  <r>
    <d v="2018-07-11T00:00:00"/>
    <s v="001-00012738"/>
    <n v="820"/>
    <n v="242.86259699999999"/>
    <n v="0"/>
    <n v="67.8"/>
    <n v="39.048749999999998"/>
    <n v="0"/>
    <n v="0"/>
    <n v="0"/>
    <n v="349.71134699999999"/>
    <n v="470.28865300000001"/>
    <n v="0.57352274756097565"/>
    <x v="0"/>
    <s v="MECANICA"/>
    <x v="3"/>
    <x v="1"/>
    <n v="13"/>
    <n v="1"/>
    <d v="2018-06-28T00:00:00"/>
    <s v="NISSAN"/>
    <s v="TIIDA"/>
    <n v="541.67750000000001"/>
    <d v="2018-06-28T00:00:00"/>
    <n v="0"/>
    <x v="157"/>
  </r>
  <r>
    <d v="2018-07-10T00:00:00"/>
    <s v="001-00012740"/>
    <n v="644.94408356102008"/>
    <n v="0"/>
    <n v="0"/>
    <n v="20.656779661016948"/>
    <n v="0"/>
    <n v="51.1875"/>
    <n v="122.71545"/>
    <n v="0"/>
    <n v="194.55972966101695"/>
    <n v="450.38435390000313"/>
    <n v="0.69833085592976207"/>
    <x v="1"/>
    <s v="LEVE"/>
    <x v="3"/>
    <x v="1"/>
    <n v="12"/>
    <n v="1"/>
    <d v="2018-06-28T00:00:00"/>
    <s v="SUZUKI"/>
    <s v="SX4"/>
    <n v="2138.0774999999999"/>
    <d v="2018-07-02T00:00:00"/>
    <n v="3.5"/>
    <x v="1"/>
  </r>
  <r>
    <d v="2018-07-10T00:00:00"/>
    <s v="001-00012741"/>
    <n v="505.5"/>
    <n v="135.8223242"/>
    <n v="0"/>
    <n v="38.14"/>
    <n v="29.25"/>
    <n v="0"/>
    <n v="0"/>
    <n v="0"/>
    <n v="203.21232420000001"/>
    <n v="302.28767579999999"/>
    <n v="0.59799738041543027"/>
    <x v="0"/>
    <s v="LEVE"/>
    <x v="3"/>
    <x v="1"/>
    <n v="12"/>
    <n v="1"/>
    <d v="2018-06-28T00:00:00"/>
    <s v="SUZUKI"/>
    <s v="SX4"/>
    <n v="197.63249999999999"/>
    <d v="2018-07-06T00:00:00"/>
    <n v="0"/>
    <x v="1032"/>
  </r>
  <r>
    <d v="2018-07-10T00:00:00"/>
    <s v="001-00012742"/>
    <n v="133.58655121619989"/>
    <n v="83.581001000000015"/>
    <n v="0"/>
    <n v="0"/>
    <n v="0"/>
    <n v="0"/>
    <n v="0"/>
    <n v="0"/>
    <n v="83.581001000000015"/>
    <n v="50.005550216199879"/>
    <n v="0.37433072237391335"/>
    <x v="0"/>
    <s v="LEVE"/>
    <x v="3"/>
    <x v="1"/>
    <n v="12"/>
    <n v="1"/>
    <d v="2018-06-28T00:00:00"/>
    <s v="HYUNDAI"/>
    <s v="I20"/>
    <n v="0"/>
    <d v="2018-06-28T00:00:00"/>
    <n v="0"/>
    <x v="1033"/>
  </r>
  <r>
    <d v="2018-07-17T00:00:00"/>
    <s v="001-00012745"/>
    <n v="1059.0188374541003"/>
    <n v="0.42369999999999997"/>
    <n v="0"/>
    <n v="154.53355932203388"/>
    <n v="0"/>
    <n v="58.5"/>
    <n v="185.9325"/>
    <n v="0"/>
    <n v="399.38975932203391"/>
    <n v="659.62907813206641"/>
    <n v="0.62286812547907666"/>
    <x v="1"/>
    <s v="LEVE"/>
    <x v="3"/>
    <x v="1"/>
    <n v="19"/>
    <n v="1"/>
    <d v="2018-06-28T00:00:00"/>
    <s v="CHEVROLET"/>
    <s v="SAIL"/>
    <n v="737.75"/>
    <d v="2018-07-02T00:00:00"/>
    <n v="4"/>
    <x v="1"/>
  </r>
  <r>
    <d v="2018-07-03T00:00:00"/>
    <s v="001-00012746"/>
    <n v="381.3559120000001"/>
    <n v="0.42370000000000002"/>
    <n v="0"/>
    <n v="0"/>
    <n v="0"/>
    <n v="73.125"/>
    <n v="61.977499999999999"/>
    <n v="0"/>
    <n v="135.52619999999999"/>
    <n v="245.82971200000011"/>
    <n v="0.64462016783943299"/>
    <x v="0"/>
    <s v="LEVE"/>
    <x v="3"/>
    <x v="1"/>
    <n v="4"/>
    <n v="1"/>
    <d v="2018-06-29T00:00:00"/>
    <s v="TOYOTA"/>
    <s v="YARIS"/>
    <n v="0"/>
    <d v="2018-06-29T00:00:00"/>
    <n v="5"/>
    <x v="1034"/>
  </r>
  <r>
    <d v="2018-07-24T00:00:00"/>
    <s v="001-00012747"/>
    <n v="2060.618344"/>
    <n v="0"/>
    <n v="0"/>
    <n v="0"/>
    <n v="33.637499999999996"/>
    <n v="190.125"/>
    <n v="348.93332499999997"/>
    <n v="0"/>
    <n v="572.69582500000001"/>
    <n v="1487.922519"/>
    <n v="0.72207574164932309"/>
    <x v="1"/>
    <s v="MEDIANO"/>
    <x v="3"/>
    <x v="1"/>
    <n v="25"/>
    <n v="1"/>
    <d v="2018-06-29T00:00:00"/>
    <s v="HYUNDAI"/>
    <s v="ACCENT"/>
    <n v="2608.71"/>
    <d v="2018-07-02T00:00:00"/>
    <n v="13"/>
    <x v="1"/>
  </r>
  <r>
    <d v="2018-06-29T00:00:00"/>
    <s v="001-00012748"/>
    <n v="3111.2775167640002"/>
    <n v="638.17699100000016"/>
    <n v="0"/>
    <n v="0"/>
    <n v="0"/>
    <n v="438.75"/>
    <n v="77.471874999999997"/>
    <n v="0"/>
    <n v="1154.3988660000002"/>
    <n v="1956.878650764"/>
    <n v="0.62896306749239272"/>
    <x v="0"/>
    <s v="GRAVE"/>
    <x v="2"/>
    <x v="1"/>
    <n v="0"/>
    <n v="1"/>
    <d v="2018-06-29T00:00:00"/>
    <s v="HYUNDAI"/>
    <s v="AVANTE"/>
    <n v="1267.5"/>
    <d v="2018-06-29T00:00:00"/>
    <n v="30"/>
    <x v="1024"/>
  </r>
  <r>
    <d v="2018-07-03T00:00:00"/>
    <s v="001-00012749"/>
    <n v="254.23729999999995"/>
    <n v="0"/>
    <n v="0"/>
    <n v="0"/>
    <n v="0"/>
    <n v="14.625"/>
    <n v="61.977499999999999"/>
    <n v="0"/>
    <n v="76.602499999999992"/>
    <n v="177.63479999999996"/>
    <n v="0.69869684739414706"/>
    <x v="0"/>
    <s v="LEVE"/>
    <x v="3"/>
    <x v="1"/>
    <n v="4"/>
    <n v="1"/>
    <d v="2018-06-29T00:00:00"/>
    <s v="MAZDA"/>
    <s v="MAZDA 2"/>
    <n v="0"/>
    <d v="2018-06-29T00:00:00"/>
    <n v="1"/>
    <x v="1035"/>
  </r>
  <r>
    <d v="2018-07-10T00:00:00"/>
    <s v="001-00012751"/>
    <n v="1022.79914165508"/>
    <n v="0"/>
    <n v="0"/>
    <n v="116.39830508474577"/>
    <n v="0"/>
    <n v="58.5"/>
    <n v="185.31272500000003"/>
    <n v="0"/>
    <n v="360.2110300847458"/>
    <n v="662.58811157033415"/>
    <n v="0.64781840792136647"/>
    <x v="1"/>
    <s v="LEVE"/>
    <x v="3"/>
    <x v="1"/>
    <n v="11"/>
    <n v="1"/>
    <d v="2018-06-29T00:00:00"/>
    <s v="KIA"/>
    <s v="RIO"/>
    <n v="1514.2075"/>
    <d v="2018-07-03T00:00:00"/>
    <n v="4"/>
    <x v="1"/>
  </r>
  <r>
    <d v="2018-07-16T00:00:00"/>
    <s v="001-00012752"/>
    <n v="1457.7332894700003"/>
    <n v="12.71"/>
    <n v="0"/>
    <n v="110.04118644067796"/>
    <n v="11.700000000000001"/>
    <n v="102.375"/>
    <n v="232.41562500000001"/>
    <n v="0"/>
    <n v="469.24181144067796"/>
    <n v="988.49147802932225"/>
    <n v="0.67810173861688783"/>
    <x v="1"/>
    <s v="LEVE"/>
    <x v="3"/>
    <x v="1"/>
    <n v="16"/>
    <n v="1"/>
    <d v="2018-06-30T00:00:00"/>
    <s v="HYUNDAI"/>
    <s v="ELANTRA"/>
    <n v="3480.0025000000001"/>
    <d v="2018-07-03T00:00:00"/>
    <n v="7"/>
    <x v="1"/>
  </r>
  <r>
    <d v="2018-07-07T00:00:00"/>
    <s v="001-00012753"/>
    <n v="628.51316747881992"/>
    <n v="18.639999"/>
    <n v="0"/>
    <n v="20"/>
    <n v="0"/>
    <n v="51.1875"/>
    <n v="123.955"/>
    <n v="0"/>
    <n v="213.782499"/>
    <n v="414.73066847881989"/>
    <n v="0.65985995192820801"/>
    <x v="1"/>
    <s v="LEVE"/>
    <x v="3"/>
    <x v="1"/>
    <n v="7"/>
    <n v="1"/>
    <d v="2018-06-30T00:00:00"/>
    <s v="CHEVROLET"/>
    <s v="CRUZE"/>
    <n v="951.50249999999994"/>
    <d v="2018-07-02T00:00:00"/>
    <n v="3.5"/>
    <x v="1036"/>
  </r>
  <r>
    <d v="2018-07-26T00:00:00"/>
    <s v="001-00012754"/>
    <n v="3093.9852688383089"/>
    <n v="0.42369999999999997"/>
    <n v="0"/>
    <n v="98.521186440677965"/>
    <n v="20.474999999999998"/>
    <n v="380.25"/>
    <n v="381.16162500000002"/>
    <n v="0"/>
    <n v="880.83151144067801"/>
    <n v="2213.1537573976311"/>
    <n v="0.71530843397602817"/>
    <x v="1"/>
    <s v="GRAVE"/>
    <x v="3"/>
    <x v="1"/>
    <n v="26"/>
    <n v="1"/>
    <d v="2018-06-30T00:00:00"/>
    <s v="SUBARU"/>
    <s v="FORESTER"/>
    <n v="14169.577499999996"/>
    <d v="2018-07-03T00:00:00"/>
    <n v="26"/>
    <x v="1037"/>
  </r>
  <r>
    <d v="2018-07-14T00:00:00"/>
    <s v="001-00012755"/>
    <n v="1954.5910872000002"/>
    <n v="1.6098999999999999"/>
    <n v="21.19"/>
    <n v="41.313559322033896"/>
    <n v="17.549999999999997"/>
    <n v="146.25"/>
    <n v="324.14232500000003"/>
    <n v="0"/>
    <n v="552.0557843220339"/>
    <n v="1402.5353028779664"/>
    <n v="0.71755944865538746"/>
    <x v="1"/>
    <s v="MEDIANO"/>
    <x v="3"/>
    <x v="1"/>
    <n v="14"/>
    <n v="1"/>
    <d v="2018-06-30T00:00:00"/>
    <s v="SUZUKI"/>
    <s v="SWIFT"/>
    <n v="2082.9575"/>
    <d v="2018-07-03T00:00:00"/>
    <n v="10"/>
    <x v="1038"/>
  </r>
  <r>
    <d v="2018-07-11T00:00:00"/>
    <s v="001-00012758"/>
    <n v="659.32268346186004"/>
    <n v="0"/>
    <n v="0"/>
    <n v="76.27"/>
    <n v="0"/>
    <n v="43.875"/>
    <n v="123.955"/>
    <n v="0"/>
    <n v="244.1"/>
    <n v="415.22268346186002"/>
    <n v="0.62977157297497932"/>
    <x v="1"/>
    <s v="LEVE"/>
    <x v="3"/>
    <x v="1"/>
    <n v="11"/>
    <n v="1"/>
    <d v="2018-06-30T00:00:00"/>
    <s v="RENAULT"/>
    <s v="DUSTER"/>
    <n v="0"/>
    <d v="2018-07-02T00:00:00"/>
    <n v="3"/>
    <x v="1"/>
  </r>
  <r>
    <d v="2018-07-14T00:00:00"/>
    <s v="001-00012759"/>
    <n v="1218.4436048700002"/>
    <n v="0"/>
    <n v="0"/>
    <n v="20.656779661016948"/>
    <n v="0"/>
    <n v="87.75"/>
    <n v="247.91"/>
    <n v="0"/>
    <n v="356.31677966101694"/>
    <n v="862.12682520898329"/>
    <n v="0.7075639953816053"/>
    <x v="1"/>
    <s v="LEVE"/>
    <x v="3"/>
    <x v="1"/>
    <n v="12"/>
    <n v="1"/>
    <d v="2018-07-02T00:00:00"/>
    <s v="HYUNDAI"/>
    <s v="CRETA"/>
    <n v="2418.3575000000001"/>
    <d v="2018-07-03T00:00:00"/>
    <n v="6"/>
    <x v="1"/>
  </r>
  <r>
    <d v="2018-07-30T00:00:00"/>
    <s v="001-00012760"/>
    <n v="49.14"/>
    <n v="0"/>
    <n v="0"/>
    <n v="0"/>
    <n v="0"/>
    <n v="14.625"/>
    <n v="0"/>
    <n v="0"/>
    <n v="14.625"/>
    <n v="34.515000000000001"/>
    <n v="0.70238095238095244"/>
    <x v="1"/>
    <s v="LEVE"/>
    <x v="3"/>
    <x v="1"/>
    <n v="28"/>
    <n v="1"/>
    <d v="2018-07-02T00:00:00"/>
    <s v="SUZUKI"/>
    <s v="VITARA"/>
    <n v="996.28750000000002"/>
    <d v="2018-07-03T00:00:00"/>
    <n v="1"/>
    <x v="1"/>
  </r>
  <r>
    <d v="2018-07-19T00:00:00"/>
    <s v="001-00012761"/>
    <n v="862.38015357000006"/>
    <n v="0"/>
    <n v="0"/>
    <n v="20.656779661016948"/>
    <n v="0"/>
    <n v="58.5"/>
    <n v="123.955"/>
    <n v="0"/>
    <n v="203.11177966101695"/>
    <n v="659.26837390898311"/>
    <n v="0.76447535484183637"/>
    <x v="1"/>
    <s v="LEVE"/>
    <x v="3"/>
    <x v="1"/>
    <n v="17"/>
    <n v="1"/>
    <d v="2018-07-02T00:00:00"/>
    <s v="KIA"/>
    <s v="CERATO"/>
    <n v="3547.96"/>
    <d v="2018-07-04T00:00:00"/>
    <n v="4"/>
    <x v="1"/>
  </r>
  <r>
    <d v="2018-07-18T00:00:00"/>
    <s v="001-00012763"/>
    <n v="1707.3598184388093"/>
    <n v="0"/>
    <n v="0"/>
    <n v="33.771186440677965"/>
    <n v="11.700000000000001"/>
    <n v="117"/>
    <n v="246.67045000000002"/>
    <n v="0"/>
    <n v="409.14163644067798"/>
    <n v="1298.2181819981313"/>
    <n v="0.76036589825875567"/>
    <x v="1"/>
    <s v="MEDIANO"/>
    <x v="3"/>
    <x v="1"/>
    <n v="16"/>
    <n v="1"/>
    <d v="2018-07-02T00:00:00"/>
    <s v="KIA"/>
    <s v="CERATO"/>
    <n v="5163.6975000000002"/>
    <d v="2018-07-04T00:00:00"/>
    <n v="8"/>
    <x v="1039"/>
  </r>
  <r>
    <d v="2018-07-12T00:00:00"/>
    <s v="001-00012764"/>
    <n v="938.99738319999983"/>
    <n v="0"/>
    <n v="0"/>
    <n v="0"/>
    <n v="0"/>
    <n v="51.1875"/>
    <n v="123.955"/>
    <n v="0"/>
    <n v="175.14249999999998"/>
    <n v="763.8548831999999"/>
    <n v="0.81347924591319565"/>
    <x v="1"/>
    <s v="LEVE"/>
    <x v="3"/>
    <x v="1"/>
    <n v="10"/>
    <n v="1"/>
    <d v="2018-07-02T00:00:00"/>
    <s v="NISSAN"/>
    <s v="VERSA"/>
    <n v="640.38"/>
    <d v="2018-07-04T00:00:00"/>
    <n v="3.5"/>
    <x v="1"/>
  </r>
  <r>
    <d v="2018-07-13T00:00:00"/>
    <s v="001-00012765"/>
    <n v="416.30196535199997"/>
    <n v="0"/>
    <n v="0"/>
    <n v="0"/>
    <n v="0"/>
    <n v="29.25"/>
    <n v="61.977499999999999"/>
    <n v="0"/>
    <n v="91.227499999999992"/>
    <n v="325.07446535199995"/>
    <n v="0.78086219236831245"/>
    <x v="1"/>
    <s v="LEVE"/>
    <x v="3"/>
    <x v="1"/>
    <n v="11"/>
    <n v="1"/>
    <d v="2018-07-02T00:00:00"/>
    <s v="HYUNDAI"/>
    <s v="ELANTRA"/>
    <n v="501.3125"/>
    <d v="2018-07-03T00:00:00"/>
    <n v="2"/>
    <x v="152"/>
  </r>
  <r>
    <d v="2018-07-02T00:00:00"/>
    <s v="001-00012766"/>
    <n v="479"/>
    <n v="77.790224899999998"/>
    <n v="0"/>
    <n v="0"/>
    <n v="68.298749999999998"/>
    <n v="0"/>
    <n v="0"/>
    <n v="0"/>
    <n v="146.08897489999998"/>
    <n v="332.91102510000002"/>
    <n v="0.69501257849686848"/>
    <x v="0"/>
    <s v="MECANICA"/>
    <x v="3"/>
    <x v="1"/>
    <n v="0"/>
    <n v="1"/>
    <d v="2018-07-02T00:00:00"/>
    <s v="KIA"/>
    <s v="CARENS"/>
    <n v="0"/>
    <d v="2018-07-02T00:00:00"/>
    <n v="0"/>
    <x v="788"/>
  </r>
  <r>
    <d v="2018-07-13T00:00:00"/>
    <s v="001-00012767"/>
    <n v="663.38999999999987"/>
    <n v="0"/>
    <n v="0"/>
    <n v="84.75"/>
    <n v="0"/>
    <n v="73.125"/>
    <n v="154.94374999999999"/>
    <n v="0"/>
    <n v="312.81875000000002"/>
    <n v="350.57124999999985"/>
    <n v="0.52845422752830151"/>
    <x v="0"/>
    <s v="LEVE"/>
    <x v="3"/>
    <x v="1"/>
    <n v="11"/>
    <n v="1"/>
    <d v="2018-07-02T00:00:00"/>
    <s v="HYUNDAI"/>
    <s v="ELANTRA"/>
    <n v="0"/>
    <d v="2018-07-02T00:00:00"/>
    <n v="5"/>
    <x v="152"/>
  </r>
  <r>
    <d v="2018-07-13T00:00:00"/>
    <s v="001-00012770"/>
    <n v="1683.864"/>
    <n v="0"/>
    <n v="0"/>
    <n v="96.271186440677965"/>
    <n v="0"/>
    <n v="175.5"/>
    <n v="247.91"/>
    <n v="0"/>
    <n v="519.68118644067795"/>
    <n v="1164.1828135593221"/>
    <n v="0.69137579612089939"/>
    <x v="1"/>
    <s v="MEDIANO"/>
    <x v="3"/>
    <x v="1"/>
    <n v="11"/>
    <n v="1"/>
    <d v="2018-07-02T00:00:00"/>
    <s v="HONDA"/>
    <s v="ACCORD"/>
    <n v="0"/>
    <d v="2018-06-27T00:00:00"/>
    <n v="12"/>
    <x v="1"/>
  </r>
  <r>
    <d v="2018-07-12T00:00:00"/>
    <s v="001-00012771"/>
    <n v="1550.1335759999999"/>
    <n v="0"/>
    <n v="0"/>
    <n v="84.75"/>
    <n v="17.549999999999997"/>
    <n v="263.25"/>
    <n v="216.92125000000001"/>
    <n v="0"/>
    <n v="582.47125000000005"/>
    <n v="967.66232599999989"/>
    <n v="0.62424447865775401"/>
    <x v="1"/>
    <s v="MEDIANO"/>
    <x v="3"/>
    <x v="1"/>
    <n v="10"/>
    <n v="1"/>
    <d v="2018-07-02T00:00:00"/>
    <s v="KIA"/>
    <s v="CERATO"/>
    <n v="1027.6499999999999"/>
    <d v="2018-07-03T00:00:00"/>
    <n v="18"/>
    <x v="1"/>
  </r>
  <r>
    <d v="2018-07-17T00:00:00"/>
    <s v="001-00012772"/>
    <n v="2587.2369333920315"/>
    <n v="0"/>
    <n v="0"/>
    <n v="213.8535593220339"/>
    <n v="7.3125"/>
    <n v="321.75"/>
    <n v="309.88749999999999"/>
    <n v="0"/>
    <n v="852.80355932203383"/>
    <n v="1734.4333740699976"/>
    <n v="0.67038057152193076"/>
    <x v="1"/>
    <s v="MEDIANO"/>
    <x v="3"/>
    <x v="1"/>
    <n v="15"/>
    <n v="1"/>
    <d v="2018-07-02T00:00:00"/>
    <s v="KIA"/>
    <s v="PICANTO"/>
    <n v="1266.7849999999999"/>
    <d v="2018-07-04T00:00:00"/>
    <n v="22"/>
    <x v="1"/>
  </r>
  <r>
    <d v="2018-07-11T00:00:00"/>
    <s v="001-00012773"/>
    <n v="750.46723600397024"/>
    <n v="0"/>
    <n v="0"/>
    <n v="55.084745762711869"/>
    <n v="0"/>
    <n v="102.375"/>
    <n v="77.471874999999997"/>
    <n v="0"/>
    <n v="234.93162076271187"/>
    <n v="515.53561524125837"/>
    <n v="0.6869528615084417"/>
    <x v="1"/>
    <s v="LEVE"/>
    <x v="3"/>
    <x v="1"/>
    <n v="9"/>
    <n v="1"/>
    <d v="2018-07-02T00:00:00"/>
    <s v="CHEVROLET"/>
    <s v="SPIN"/>
    <n v="0"/>
    <d v="2018-07-04T00:00:00"/>
    <n v="7"/>
    <x v="1040"/>
  </r>
  <r>
    <d v="2018-07-03T00:00:00"/>
    <s v="001-00012775"/>
    <n v="2911"/>
    <n v="1660.6626179999998"/>
    <n v="0"/>
    <n v="0"/>
    <n v="97.548749999999998"/>
    <n v="0"/>
    <n v="0"/>
    <n v="0"/>
    <n v="1758.2113679999998"/>
    <n v="1152.7886320000002"/>
    <n v="0.39601120989350747"/>
    <x v="0"/>
    <s v="MECANICA"/>
    <x v="3"/>
    <x v="1"/>
    <n v="1"/>
    <n v="1"/>
    <d v="2018-07-02T00:00:00"/>
    <s v="KIA"/>
    <s v="SPORTAGE"/>
    <n v="2086.4025000000001"/>
    <d v="2018-07-02T00:00:00"/>
    <n v="0"/>
    <x v="1041"/>
  </r>
  <r>
    <d v="2018-07-03T00:00:00"/>
    <s v="001-00012776"/>
    <n v="315"/>
    <n v="108.884398"/>
    <n v="0"/>
    <n v="0"/>
    <n v="39.048749999999998"/>
    <n v="0"/>
    <n v="0"/>
    <n v="0"/>
    <n v="147.93314800000002"/>
    <n v="167.06685199999998"/>
    <n v="0.53037095873015871"/>
    <x v="0"/>
    <s v="MECANICA"/>
    <x v="3"/>
    <x v="1"/>
    <n v="1"/>
    <n v="1"/>
    <d v="2018-07-02T00:00:00"/>
    <s v="NISSAN"/>
    <s v="NAVARA"/>
    <n v="0"/>
    <d v="2018-07-03T00:00:00"/>
    <n v="0"/>
    <x v="157"/>
  </r>
  <r>
    <d v="2018-07-11T00:00:00"/>
    <s v="001-00012777"/>
    <n v="98.219997000000006"/>
    <n v="0"/>
    <n v="0"/>
    <n v="41.313559322033896"/>
    <n v="0"/>
    <n v="0"/>
    <n v="0"/>
    <n v="0"/>
    <n v="41.313559322033896"/>
    <n v="56.90643767796611"/>
    <n v="0.57937731028403627"/>
    <x v="0"/>
    <s v="LEVE"/>
    <x v="3"/>
    <x v="1"/>
    <n v="8"/>
    <n v="1"/>
    <d v="2018-07-03T00:00:00"/>
    <s v="RENAULT"/>
    <s v="DUSTER"/>
    <n v="0"/>
    <d v="2018-07-03T00:00:00"/>
    <n v="0"/>
    <x v="1042"/>
  </r>
  <r>
    <d v="2018-07-21T00:00:00"/>
    <s v="001-00012778"/>
    <n v="2906.9225312399994"/>
    <n v="1.9998"/>
    <n v="0"/>
    <n v="0"/>
    <n v="0"/>
    <n v="321.75"/>
    <n v="387.359375"/>
    <n v="0"/>
    <n v="711.10917500000005"/>
    <n v="2195.8133562399994"/>
    <n v="0.75537388170552178"/>
    <x v="1"/>
    <s v="MEDIANO"/>
    <x v="3"/>
    <x v="1"/>
    <n v="18"/>
    <n v="1"/>
    <d v="2018-07-03T00:00:00"/>
    <s v="NISSAN"/>
    <s v="VERSA"/>
    <n v="3131.5050000000001"/>
    <d v="2018-07-05T00:00:00"/>
    <n v="22"/>
    <x v="1"/>
  </r>
  <r>
    <d v="2018-07-03T00:00:00"/>
    <s v="001-00012780"/>
    <n v="817.62710200000004"/>
    <n v="302.95500150000004"/>
    <n v="0"/>
    <n v="38.14"/>
    <n v="68.298749999999998"/>
    <n v="0"/>
    <n v="0"/>
    <n v="0"/>
    <n v="409.39375150000001"/>
    <n v="408.23335050000003"/>
    <n v="0.49929038494616829"/>
    <x v="0"/>
    <s v="MECANICA"/>
    <x v="3"/>
    <x v="1"/>
    <n v="1"/>
    <n v="1"/>
    <d v="2018-07-02T00:00:00"/>
    <s v="FORD"/>
    <s v="ECOSPORT"/>
    <n v="180.53749999999999"/>
    <d v="2018-07-03T00:00:00"/>
    <n v="0"/>
    <x v="1043"/>
  </r>
  <r>
    <d v="2018-07-14T00:00:00"/>
    <s v="001-00012781"/>
    <n v="486.04050000000001"/>
    <n v="0"/>
    <n v="0"/>
    <n v="41.313559322033896"/>
    <n v="0"/>
    <n v="29.25"/>
    <n v="92.966250000000002"/>
    <n v="0"/>
    <n v="163.52980932203388"/>
    <n v="322.51069067796612"/>
    <n v="0.66354694861429475"/>
    <x v="1"/>
    <s v="LEVE"/>
    <x v="3"/>
    <x v="1"/>
    <n v="11"/>
    <n v="1"/>
    <d v="2018-07-03T00:00:00"/>
    <s v="MITSUBISHI"/>
    <s v="OUTLANDER"/>
    <n v="0"/>
    <d v="2018-07-05T00:00:00"/>
    <n v="2"/>
    <x v="1"/>
  </r>
  <r>
    <d v="2018-07-17T00:00:00"/>
    <s v="001-00012782"/>
    <n v="927.833837236779"/>
    <n v="0"/>
    <n v="0"/>
    <n v="55.084745762711869"/>
    <n v="0"/>
    <n v="58.5"/>
    <n v="139.449375"/>
    <n v="0"/>
    <n v="253.03412076271186"/>
    <n v="674.79971647406717"/>
    <n v="0.72728509070515968"/>
    <x v="1"/>
    <s v="LEVE"/>
    <x v="3"/>
    <x v="1"/>
    <n v="14"/>
    <n v="1"/>
    <d v="2018-07-03T00:00:00"/>
    <s v="TOYOTA"/>
    <s v="YARIS"/>
    <n v="1893.58"/>
    <d v="2018-07-05T00:00:00"/>
    <n v="4"/>
    <x v="1"/>
  </r>
  <r>
    <d v="2018-07-26T00:00:00"/>
    <s v="001-00012783"/>
    <n v="2273.3767724227114"/>
    <n v="0"/>
    <n v="0"/>
    <n v="221.39"/>
    <n v="29.25"/>
    <n v="175.5"/>
    <n v="315.46547499999997"/>
    <n v="0"/>
    <n v="741.60547499999996"/>
    <n v="1531.7712974227115"/>
    <n v="0.67378681615996305"/>
    <x v="1"/>
    <s v="MEDIANO"/>
    <x v="3"/>
    <x v="1"/>
    <n v="23"/>
    <n v="1"/>
    <d v="2018-07-03T00:00:00"/>
    <s v="KIA"/>
    <s v="RIO"/>
    <n v="5020.5675000000001"/>
    <d v="2018-07-04T00:00:00"/>
    <n v="12"/>
    <x v="1"/>
  </r>
  <r>
    <d v="2018-07-20T00:00:00"/>
    <s v="001-00012784"/>
    <n v="131.07999999999998"/>
    <n v="0"/>
    <n v="0"/>
    <n v="0"/>
    <n v="0"/>
    <n v="0"/>
    <n v="0"/>
    <n v="0"/>
    <n v="0"/>
    <n v="131.07999999999998"/>
    <n v="1"/>
    <x v="0"/>
    <s v="GRAVE"/>
    <x v="3"/>
    <x v="1"/>
    <n v="17"/>
    <n v="1"/>
    <d v="2018-07-03T00:00:00"/>
    <s v="NISSAN"/>
    <s v="X-TRAIL"/>
    <n v="0"/>
    <d v="2018-07-03T00:00:00"/>
    <n v="0"/>
    <x v="1"/>
  </r>
  <r>
    <d v="2018-07-10T00:00:00"/>
    <s v="001-00012785"/>
    <n v="1768.8983000000001"/>
    <n v="225.20479799999998"/>
    <n v="0"/>
    <n v="133.47457627118644"/>
    <n v="0"/>
    <n v="160.875"/>
    <n v="185.9325"/>
    <n v="0"/>
    <n v="705.48687427118637"/>
    <n v="1063.4114257288138"/>
    <n v="0.60117160253295154"/>
    <x v="0"/>
    <s v="MEDIANO"/>
    <x v="3"/>
    <x v="1"/>
    <n v="8"/>
    <n v="1"/>
    <d v="2018-07-02T00:00:00"/>
    <s v="HYUNDAI"/>
    <s v="TUCSON"/>
    <n v="0"/>
    <d v="2018-07-03T00:00:00"/>
    <n v="11"/>
    <x v="1044"/>
  </r>
  <r>
    <d v="2018-07-24T00:00:00"/>
    <s v="001-00012786"/>
    <n v="1374.9871519999997"/>
    <n v="0.84739999999999993"/>
    <n v="0"/>
    <n v="20"/>
    <n v="0"/>
    <n v="117"/>
    <n v="247.91"/>
    <n v="0"/>
    <n v="385.75739999999996"/>
    <n v="989.22975199999973"/>
    <n v="0.71944654214485337"/>
    <x v="1"/>
    <s v="MEDIANO"/>
    <x v="3"/>
    <x v="1"/>
    <n v="21"/>
    <n v="1"/>
    <d v="2018-07-03T00:00:00"/>
    <s v="SUZUKI"/>
    <s v="SX4"/>
    <n v="3182.9850000000001"/>
    <d v="2018-07-05T00:00:00"/>
    <n v="8"/>
    <x v="1"/>
  </r>
  <r>
    <d v="2018-07-05T00:00:00"/>
    <s v="001-00012787"/>
    <n v="2664.8982799999999"/>
    <n v="900.76246479999998"/>
    <n v="186.44"/>
    <n v="110.17"/>
    <n v="78.097499999999997"/>
    <n v="0"/>
    <n v="0"/>
    <n v="0"/>
    <n v="1275.4699648000001"/>
    <n v="1389.4283151999998"/>
    <n v="0.52138136964837545"/>
    <x v="0"/>
    <s v="MECANICA"/>
    <x v="3"/>
    <x v="1"/>
    <n v="1"/>
    <n v="1"/>
    <d v="2018-07-04T00:00:00"/>
    <s v="KIA"/>
    <s v="SORENTO"/>
    <n v="1070.29"/>
    <d v="2018-07-04T00:00:00"/>
    <n v="0"/>
    <x v="794"/>
  </r>
  <r>
    <d v="2018-07-25T00:00:00"/>
    <s v="001-00012789"/>
    <n v="356.41989183304992"/>
    <n v="0.30499999999999999"/>
    <n v="0"/>
    <n v="20"/>
    <n v="0"/>
    <n v="29.25"/>
    <n v="61.977499999999999"/>
    <n v="0"/>
    <n v="111.5325"/>
    <n v="244.88739183304992"/>
    <n v="0.68707554613073407"/>
    <x v="1"/>
    <s v="LEVE"/>
    <x v="3"/>
    <x v="1"/>
    <n v="21"/>
    <n v="1"/>
    <d v="2018-07-04T00:00:00"/>
    <s v="MITSUBISHI"/>
    <s v="GALANT"/>
    <n v="2059.7525000000001"/>
    <d v="2018-07-05T00:00:00"/>
    <n v="2"/>
    <x v="560"/>
  </r>
  <r>
    <d v="2018-07-24T00:00:00"/>
    <s v="001-00012790"/>
    <n v="1979.8132808"/>
    <n v="7.645500199999999"/>
    <n v="0"/>
    <n v="104.75"/>
    <n v="17.549999999999997"/>
    <n v="234"/>
    <n v="213.82237499999999"/>
    <n v="0"/>
    <n v="577.76787519999993"/>
    <n v="1402.0454056000001"/>
    <n v="0.70817052254213775"/>
    <x v="1"/>
    <s v="MEDIANO"/>
    <x v="3"/>
    <x v="1"/>
    <n v="20"/>
    <n v="1"/>
    <d v="2018-07-04T00:00:00"/>
    <s v="NISSAN"/>
    <s v="TIIDA"/>
    <n v="2982.3624999999997"/>
    <d v="2018-07-05T00:00:00"/>
    <n v="16"/>
    <x v="1045"/>
  </r>
  <r>
    <d v="2018-07-04T00:00:00"/>
    <s v="001-00012791"/>
    <n v="378.00498850000002"/>
    <n v="0"/>
    <n v="42.37"/>
    <n v="34.427966101694921"/>
    <n v="0"/>
    <n v="29.25"/>
    <n v="61.977499999999999"/>
    <n v="0"/>
    <n v="168.02546610169492"/>
    <n v="209.97952239830511"/>
    <n v="0.5554940511011407"/>
    <x v="0"/>
    <s v="LEVE"/>
    <x v="3"/>
    <x v="1"/>
    <n v="0"/>
    <n v="1"/>
    <d v="2018-07-04T00:00:00"/>
    <s v="KIA"/>
    <s v="RIO"/>
    <n v="0"/>
    <d v="2018-07-04T00:00:00"/>
    <n v="2"/>
    <x v="1046"/>
  </r>
  <r>
    <d v="2018-07-07T00:00:00"/>
    <s v="001-00012793"/>
    <n v="1517.6466404288205"/>
    <n v="1.22"/>
    <n v="0"/>
    <n v="20"/>
    <n v="17.549999999999997"/>
    <n v="102.375"/>
    <n v="185.9325"/>
    <n v="0"/>
    <n v="327.07749999999999"/>
    <n v="1190.5691404288204"/>
    <n v="0.78448375841455276"/>
    <x v="1"/>
    <s v="MEDIANO"/>
    <x v="3"/>
    <x v="1"/>
    <n v="3"/>
    <n v="1"/>
    <d v="2018-07-04T00:00:00"/>
    <s v="NISSAN"/>
    <s v="VERSA"/>
    <n v="4726.41"/>
    <d v="2018-07-05T00:00:00"/>
    <n v="7"/>
    <x v="1"/>
  </r>
  <r>
    <d v="2018-07-18T00:00:00"/>
    <s v="001-00012795"/>
    <n v="843.40202580000005"/>
    <n v="0"/>
    <n v="0"/>
    <n v="68.855932203389841"/>
    <n v="0"/>
    <n v="73.125"/>
    <n v="123.955"/>
    <n v="0"/>
    <n v="265.93593220338983"/>
    <n v="577.46609359661022"/>
    <n v="0.68468663333937441"/>
    <x v="1"/>
    <s v="LEVE"/>
    <x v="3"/>
    <x v="1"/>
    <n v="14"/>
    <n v="1"/>
    <d v="2018-07-04T00:00:00"/>
    <s v="KIA"/>
    <s v="PICANTO"/>
    <n v="113.32749999999999"/>
    <d v="2018-07-09T00:00:00"/>
    <n v="5"/>
    <x v="1"/>
  </r>
  <r>
    <d v="2018-07-14T00:00:00"/>
    <s v="001-00012797"/>
    <n v="642.36782691900009"/>
    <n v="0"/>
    <n v="0"/>
    <n v="10"/>
    <n v="0"/>
    <n v="87.75"/>
    <n v="86.148724999999985"/>
    <n v="0"/>
    <n v="183.89872499999998"/>
    <n v="458.46910191900008"/>
    <n v="0.71371741034722014"/>
    <x v="1"/>
    <s v="LEVE"/>
    <x v="3"/>
    <x v="1"/>
    <n v="10"/>
    <n v="1"/>
    <d v="2018-07-04T00:00:00"/>
    <s v="KIA"/>
    <s v="SOUL"/>
    <n v="574.66499999999996"/>
    <d v="2018-07-05T00:00:00"/>
    <n v="6"/>
    <x v="1"/>
  </r>
  <r>
    <d v="2018-07-11T00:00:00"/>
    <s v="001-00012798"/>
    <n v="235.8389715746103"/>
    <n v="127.92"/>
    <n v="0"/>
    <n v="0"/>
    <n v="0"/>
    <n v="0"/>
    <n v="0"/>
    <n v="0"/>
    <n v="127.92"/>
    <n v="107.9189715746103"/>
    <n v="0.45759600652120774"/>
    <x v="0"/>
    <s v="LEVE"/>
    <x v="3"/>
    <x v="1"/>
    <n v="7"/>
    <n v="1"/>
    <d v="2018-07-04T00:00:00"/>
    <s v="CHEVROLET"/>
    <s v="SPIN"/>
    <n v="0"/>
    <d v="2018-07-04T00:00:00"/>
    <n v="0"/>
    <x v="1040"/>
  </r>
  <r>
    <d v="2018-07-05T00:00:00"/>
    <s v="001-00012800"/>
    <n v="349"/>
    <n v="111.07530019999999"/>
    <n v="0"/>
    <n v="0"/>
    <n v="39.048749999999998"/>
    <n v="0"/>
    <n v="0"/>
    <n v="0"/>
    <n v="150.1240502"/>
    <n v="198.8759498"/>
    <n v="0.56984512836676215"/>
    <x v="0"/>
    <s v="MECANICA"/>
    <x v="3"/>
    <x v="1"/>
    <n v="0"/>
    <n v="1"/>
    <d v="2018-07-05T00:00:00"/>
    <s v="RENAULT"/>
    <s v="LOGAN"/>
    <n v="0"/>
    <d v="2018-07-05T00:00:00"/>
    <n v="0"/>
    <x v="243"/>
  </r>
  <r>
    <d v="2018-07-18T00:00:00"/>
    <s v="001-00012801"/>
    <n v="800.90502450000008"/>
    <n v="0"/>
    <n v="0"/>
    <n v="41.313559322033896"/>
    <n v="0"/>
    <n v="102.375"/>
    <n v="123.955"/>
    <n v="0"/>
    <n v="267.64355932203387"/>
    <n v="533.26146517796622"/>
    <n v="0.66582359813621839"/>
    <x v="0"/>
    <s v="LEVE"/>
    <x v="3"/>
    <x v="1"/>
    <n v="13"/>
    <n v="1"/>
    <d v="2018-07-05T00:00:00"/>
    <s v="KIA"/>
    <s v="PICANTO"/>
    <n v="0"/>
    <d v="2018-07-04T00:00:00"/>
    <n v="7"/>
    <x v="1047"/>
  </r>
  <r>
    <d v="2018-07-05T00:00:00"/>
    <s v="001-00012802"/>
    <n v="684"/>
    <n v="216.09400200000005"/>
    <n v="0"/>
    <n v="0"/>
    <n v="39.048749999999998"/>
    <n v="0"/>
    <n v="0"/>
    <n v="0"/>
    <n v="255.14275200000003"/>
    <n v="428.85724799999997"/>
    <n v="0.62698428070175438"/>
    <x v="0"/>
    <s v="MECANICA"/>
    <x v="3"/>
    <x v="1"/>
    <n v="1"/>
    <n v="1"/>
    <d v="2018-07-04T00:00:00"/>
    <s v="DODGE"/>
    <s v="DURANGO"/>
    <n v="35.1"/>
    <d v="2018-07-05T00:00:00"/>
    <n v="0"/>
    <x v="1048"/>
  </r>
  <r>
    <d v="2018-07-06T00:00:00"/>
    <s v="001-00012803"/>
    <n v="765"/>
    <n v="186.67129759999997"/>
    <n v="0"/>
    <n v="67.8"/>
    <n v="39.048749999999998"/>
    <n v="0"/>
    <n v="0"/>
    <n v="0"/>
    <n v="293.52004759999994"/>
    <n v="471.47995240000006"/>
    <n v="0.61631366326797399"/>
    <x v="0"/>
    <s v="MECANICA"/>
    <x v="3"/>
    <x v="1"/>
    <n v="2"/>
    <n v="1"/>
    <d v="2018-07-04T00:00:00"/>
    <s v="NISSAN"/>
    <s v="TIIDA"/>
    <n v="346.06"/>
    <d v="2018-07-05T00:00:00"/>
    <n v="0"/>
    <x v="157"/>
  </r>
  <r>
    <d v="2018-07-25T00:00:00"/>
    <s v="001-00012805"/>
    <n v="1890.45221522373"/>
    <n v="0.50800001999999989"/>
    <n v="0"/>
    <n v="256.35661016949155"/>
    <n v="0"/>
    <n v="102.375"/>
    <n v="273.32077500000003"/>
    <n v="0"/>
    <n v="632.56038518949163"/>
    <n v="1257.8918300342384"/>
    <n v="0.66539202625937321"/>
    <x v="1"/>
    <s v="LEVE"/>
    <x v="3"/>
    <x v="1"/>
    <n v="20"/>
    <n v="1"/>
    <d v="2018-07-05T00:00:00"/>
    <s v="PEUGEOT"/>
    <n v="208"/>
    <n v="2122.8675000000003"/>
    <d v="2018-07-06T00:00:00"/>
    <n v="7"/>
    <x v="1"/>
  </r>
  <r>
    <d v="2018-07-17T00:00:00"/>
    <s v="001-00012806"/>
    <n v="1284.5928016601699"/>
    <n v="0.42370000000000002"/>
    <n v="0"/>
    <n v="33.771186440677965"/>
    <n v="0"/>
    <n v="146.25"/>
    <n v="139.449375"/>
    <n v="0"/>
    <n v="319.89426144067795"/>
    <n v="964.69854021949197"/>
    <n v="0.75097613731973589"/>
    <x v="1"/>
    <s v="MEDIANO"/>
    <x v="3"/>
    <x v="1"/>
    <n v="12"/>
    <n v="1"/>
    <d v="2018-07-05T00:00:00"/>
    <s v="MITSUBISHI"/>
    <s v="ASX"/>
    <n v="4044.8199999999997"/>
    <d v="2018-07-07T00:00:00"/>
    <n v="10"/>
    <x v="1"/>
  </r>
  <r>
    <d v="2018-07-13T00:00:00"/>
    <s v="001-00012810"/>
    <n v="133.26113127599999"/>
    <n v="83.377601999999968"/>
    <n v="0"/>
    <n v="0"/>
    <n v="0"/>
    <n v="0"/>
    <n v="0"/>
    <n v="0"/>
    <n v="83.377601999999968"/>
    <n v="49.883529276000019"/>
    <n v="0.37432917459394194"/>
    <x v="0"/>
    <s v="MEDIANO"/>
    <x v="3"/>
    <x v="1"/>
    <n v="8"/>
    <n v="1"/>
    <d v="2018-07-05T00:00:00"/>
    <s v="HYUNDAI"/>
    <s v="I10"/>
    <n v="0"/>
    <d v="2018-07-05T00:00:00"/>
    <n v="0"/>
    <x v="1049"/>
  </r>
  <r>
    <d v="2018-07-24T00:00:00"/>
    <s v="001-00012811"/>
    <n v="1184.9137759999999"/>
    <n v="0"/>
    <n v="0"/>
    <n v="76.27"/>
    <n v="17.549999999999997"/>
    <n v="73.125"/>
    <n v="139.449375"/>
    <n v="0"/>
    <n v="306.39437499999997"/>
    <n v="878.5194009999999"/>
    <n v="0.74142053100748151"/>
    <x v="1"/>
    <s v="LEVE"/>
    <x v="3"/>
    <x v="1"/>
    <n v="19"/>
    <n v="1"/>
    <d v="2018-07-05T00:00:00"/>
    <s v="KIA"/>
    <s v="CERATO"/>
    <n v="3190.4274999999998"/>
    <d v="2018-07-06T00:00:00"/>
    <n v="5"/>
    <x v="1"/>
  </r>
  <r>
    <d v="2018-07-06T00:00:00"/>
    <s v="001-00012813"/>
    <n v="360"/>
    <n v="70.033401899999987"/>
    <n v="0"/>
    <n v="0"/>
    <n v="39.048749999999998"/>
    <n v="0"/>
    <n v="0"/>
    <n v="0"/>
    <n v="109.08215189999999"/>
    <n v="250.91784810000001"/>
    <n v="0.69699402250000009"/>
    <x v="0"/>
    <s v="MECANICA"/>
    <x v="3"/>
    <x v="1"/>
    <n v="0"/>
    <n v="1"/>
    <d v="2018-07-06T00:00:00"/>
    <s v="MAZDA"/>
    <s v="MAZDA 2"/>
    <n v="0"/>
    <d v="2018-07-06T00:00:00"/>
    <n v="0"/>
    <x v="286"/>
  </r>
  <r>
    <d v="2018-07-18T00:00:00"/>
    <s v="001-00012814"/>
    <n v="532.84701629999995"/>
    <n v="0"/>
    <n v="0"/>
    <n v="0"/>
    <n v="0"/>
    <n v="36.5625"/>
    <n v="123.955"/>
    <n v="0"/>
    <n v="160.51749999999998"/>
    <n v="372.32951629999997"/>
    <n v="0.69875499892144188"/>
    <x v="1"/>
    <s v="LEVE"/>
    <x v="3"/>
    <x v="1"/>
    <n v="12"/>
    <n v="1"/>
    <d v="2018-07-06T00:00:00"/>
    <s v="TOYOTA"/>
    <s v="ETIOS"/>
    <n v="912.63250000000005"/>
    <d v="2018-07-10T00:00:00"/>
    <n v="2.5"/>
    <x v="1"/>
  </r>
  <r>
    <d v="2018-07-11T00:00:00"/>
    <s v="001-00012815"/>
    <n v="600.88130200000001"/>
    <n v="68.136601600000006"/>
    <n v="0"/>
    <n v="0"/>
    <n v="39.048749999999998"/>
    <n v="14.625"/>
    <n v="77.471874999999997"/>
    <n v="0"/>
    <n v="199.2822266"/>
    <n v="401.5990754"/>
    <n v="0.66835009520732269"/>
    <x v="0"/>
    <s v="LEVE"/>
    <x v="3"/>
    <x v="1"/>
    <n v="5"/>
    <n v="1"/>
    <d v="2018-07-06T00:00:00"/>
    <s v="HYUNDAI"/>
    <s v="I10"/>
    <n v="0"/>
    <d v="2018-07-06T00:00:00"/>
    <n v="1"/>
    <x v="599"/>
  </r>
  <r>
    <d v="2018-07-25T00:00:00"/>
    <s v="001-00012817"/>
    <n v="2452.9750749000004"/>
    <n v="5.4759001999999999"/>
    <n v="0"/>
    <n v="146.72033898305085"/>
    <n v="58.5"/>
    <n v="0"/>
    <n v="0"/>
    <n v="0"/>
    <n v="210.69623918305086"/>
    <n v="2242.2788357169497"/>
    <n v="0.91410583770744591"/>
    <x v="1"/>
    <s v="MEDIANO"/>
    <x v="3"/>
    <x v="1"/>
    <n v="19"/>
    <n v="1"/>
    <d v="2018-07-06T00:00:00"/>
    <s v="KIA"/>
    <s v="SPORTAGE"/>
    <n v="391.69"/>
    <d v="2018-07-09T00:00:00"/>
    <n v="0"/>
    <x v="1"/>
  </r>
  <r>
    <d v="2018-07-16T00:00:00"/>
    <s v="001-00012818"/>
    <n v="665.25099660000001"/>
    <n v="0"/>
    <n v="0"/>
    <n v="20.656779661016948"/>
    <n v="0"/>
    <n v="58.5"/>
    <n v="123.955"/>
    <n v="0"/>
    <n v="203.11177966101695"/>
    <n v="462.13921693898305"/>
    <n v="0.69468399040498796"/>
    <x v="1"/>
    <s v="LEVE"/>
    <x v="3"/>
    <x v="1"/>
    <n v="10"/>
    <n v="1"/>
    <d v="2018-07-06T00:00:00"/>
    <s v="KIA"/>
    <s v="PICANTO"/>
    <n v="516.75"/>
    <d v="2018-07-09T00:00:00"/>
    <n v="4"/>
    <x v="1"/>
  </r>
  <r>
    <d v="2018-07-16T00:00:00"/>
    <s v="001-00012819"/>
    <n v="644.39830000000006"/>
    <n v="0"/>
    <n v="0"/>
    <n v="33.898305084745765"/>
    <n v="0"/>
    <n v="73.125"/>
    <n v="123.955"/>
    <n v="0"/>
    <n v="230.97830508474578"/>
    <n v="413.41999491525428"/>
    <n v="0.64155972310177456"/>
    <x v="0"/>
    <s v="LEVE"/>
    <x v="3"/>
    <x v="1"/>
    <n v="10"/>
    <n v="1"/>
    <d v="2018-07-06T00:00:00"/>
    <s v="KIA"/>
    <s v="PICANTO"/>
    <n v="0"/>
    <d v="2018-07-06T00:00:00"/>
    <n v="5"/>
    <x v="1050"/>
  </r>
  <r>
    <d v="2018-07-18T00:00:00"/>
    <s v="001-00012820"/>
    <n v="1182.5745159754199"/>
    <n v="0"/>
    <n v="0"/>
    <n v="76.27"/>
    <n v="0"/>
    <n v="87.75"/>
    <n v="201.426875"/>
    <n v="0"/>
    <n v="365.44687499999998"/>
    <n v="817.12764097541992"/>
    <n v="0.69097349041166389"/>
    <x v="1"/>
    <s v="LEVE"/>
    <x v="3"/>
    <x v="1"/>
    <n v="12"/>
    <n v="1"/>
    <d v="2018-07-06T00:00:00"/>
    <s v="NISSAN"/>
    <s v="SENTRA"/>
    <n v="3032.4449999999997"/>
    <d v="2018-07-09T00:00:00"/>
    <n v="6"/>
    <x v="1"/>
  </r>
  <r>
    <d v="2018-07-18T00:00:00"/>
    <s v="001-00012821"/>
    <n v="392.22880200000003"/>
    <n v="92.135002299999996"/>
    <n v="0"/>
    <n v="0"/>
    <n v="39.048749999999998"/>
    <n v="0"/>
    <n v="0"/>
    <n v="0"/>
    <n v="131.18375229999998"/>
    <n v="261.04504970000005"/>
    <n v="0.66554278617203644"/>
    <x v="0"/>
    <s v="MECANICA"/>
    <x v="3"/>
    <x v="1"/>
    <n v="12"/>
    <n v="1"/>
    <d v="2018-07-06T00:00:00"/>
    <s v="NISSAN"/>
    <s v="SENTRA"/>
    <n v="0"/>
    <d v="2018-07-07T00:00:00"/>
    <n v="0"/>
    <x v="1051"/>
  </r>
  <r>
    <d v="2018-07-17T00:00:00"/>
    <s v="001-00012822"/>
    <n v="685.53931775169008"/>
    <n v="27.76"/>
    <n v="0"/>
    <n v="20"/>
    <n v="0"/>
    <n v="43.875"/>
    <n v="122.095675"/>
    <n v="0"/>
    <n v="213.73067500000002"/>
    <n v="471.80864275169006"/>
    <n v="0.68822988052537104"/>
    <x v="1"/>
    <s v="LEVE"/>
    <x v="3"/>
    <x v="1"/>
    <n v="10"/>
    <n v="1"/>
    <d v="2018-07-07T00:00:00"/>
    <s v="HYUNDAI"/>
    <s v="ACCENT"/>
    <n v="637.8125"/>
    <d v="2018-07-09T00:00:00"/>
    <n v="3"/>
    <x v="1"/>
  </r>
  <r>
    <d v="2018-07-23T00:00:00"/>
    <s v="001-00012823"/>
    <n v="1971.7355876399999"/>
    <n v="0"/>
    <n v="0"/>
    <n v="172.1398305084746"/>
    <n v="0"/>
    <n v="175.5"/>
    <n v="263.40437500000002"/>
    <n v="0"/>
    <n v="611.04420550847453"/>
    <n v="1360.6913821315254"/>
    <n v="0.69009830256203741"/>
    <x v="1"/>
    <s v="MEDIANO"/>
    <x v="3"/>
    <x v="1"/>
    <n v="16"/>
    <n v="1"/>
    <d v="2018-07-07T00:00:00"/>
    <s v="HYUNDAI"/>
    <s v="I20"/>
    <n v="0"/>
    <d v="2018-07-09T00:00:00"/>
    <n v="12"/>
    <x v="1"/>
  </r>
  <r>
    <d v="2018-07-07T00:00:00"/>
    <s v="001-00012824"/>
    <n v="349"/>
    <n v="84.0150024"/>
    <n v="0"/>
    <n v="0"/>
    <n v="39.048749999999998"/>
    <n v="0"/>
    <n v="0"/>
    <n v="0"/>
    <n v="123.0637524"/>
    <n v="225.9362476"/>
    <n v="0.64738179828080233"/>
    <x v="0"/>
    <s v="MECANICA"/>
    <x v="3"/>
    <x v="1"/>
    <n v="0"/>
    <n v="1"/>
    <d v="2018-07-07T00:00:00"/>
    <s v="MAZDA"/>
    <s v="MAZDA 3"/>
    <n v="0"/>
    <d v="2018-07-07T00:00:00"/>
    <n v="0"/>
    <x v="222"/>
  </r>
  <r>
    <d v="2018-07-07T00:00:00"/>
    <s v="001-00012825"/>
    <n v="314.10169999999999"/>
    <n v="68.456702300000003"/>
    <n v="0"/>
    <n v="0"/>
    <n v="39.048749999999998"/>
    <n v="0"/>
    <n v="0"/>
    <n v="0"/>
    <n v="107.5054523"/>
    <n v="206.59624769999999"/>
    <n v="0.65773680212491681"/>
    <x v="0"/>
    <s v="MECANICA"/>
    <x v="3"/>
    <x v="1"/>
    <n v="0"/>
    <n v="1"/>
    <d v="2018-07-07T00:00:00"/>
    <s v="SUZUKI"/>
    <s v="SWIFT"/>
    <n v="0"/>
    <d v="2018-07-07T00:00:00"/>
    <n v="0"/>
    <x v="729"/>
  </r>
  <r>
    <d v="2018-07-25T00:00:00"/>
    <s v="001-00012827"/>
    <n v="589.50001800000007"/>
    <n v="0"/>
    <n v="0"/>
    <n v="0"/>
    <n v="0"/>
    <n v="58.5"/>
    <n v="123.955"/>
    <n v="0"/>
    <n v="182.45499999999998"/>
    <n v="407.04501800000008"/>
    <n v="0.69049195177463085"/>
    <x v="0"/>
    <s v="LEVE"/>
    <x v="3"/>
    <x v="1"/>
    <n v="18"/>
    <n v="1"/>
    <d v="2018-07-07T00:00:00"/>
    <s v="MITSUBISHI"/>
    <s v="GALANT"/>
    <n v="0"/>
    <d v="2018-07-06T00:00:00"/>
    <n v="4"/>
    <x v="560"/>
  </r>
  <r>
    <d v="2018-07-12T00:00:00"/>
    <s v="001-00012829"/>
    <n v="1111.8645712799998"/>
    <n v="0"/>
    <n v="0"/>
    <n v="0"/>
    <n v="0"/>
    <n v="131.625"/>
    <n v="154.94374999999999"/>
    <n v="0"/>
    <n v="286.56875000000002"/>
    <n v="825.29582127999981"/>
    <n v="0.74226290017488683"/>
    <x v="0"/>
    <s v="LEVE"/>
    <x v="3"/>
    <x v="1"/>
    <n v="5"/>
    <n v="1"/>
    <d v="2018-07-07T00:00:00"/>
    <s v="MAZDA"/>
    <s v="MAZDA 3"/>
    <n v="0"/>
    <d v="2018-07-07T00:00:00"/>
    <n v="9"/>
    <x v="997"/>
  </r>
  <r>
    <d v="2018-07-21T00:00:00"/>
    <s v="001-00012831"/>
    <n v="1914.3224099999998"/>
    <n v="0"/>
    <n v="25.42"/>
    <n v="0"/>
    <n v="0"/>
    <n v="204.75"/>
    <n v="257.20662500000003"/>
    <n v="0"/>
    <n v="487.37662500000005"/>
    <n v="1426.9457849999997"/>
    <n v="0.74540515095364723"/>
    <x v="1"/>
    <s v="MEDIANO"/>
    <x v="3"/>
    <x v="1"/>
    <n v="14"/>
    <n v="1"/>
    <d v="2018-07-07T00:00:00"/>
    <s v="KIA"/>
    <s v="RIO"/>
    <n v="287.755"/>
    <d v="2018-07-09T00:00:00"/>
    <n v="14"/>
    <x v="1"/>
  </r>
  <r>
    <d v="2018-07-12T00:00:00"/>
    <s v="001-00012832"/>
    <n v="1321.1864"/>
    <n v="96.845702800000012"/>
    <n v="0"/>
    <n v="55.084745762711869"/>
    <n v="39.048749999999998"/>
    <n v="102.375"/>
    <n v="123.955"/>
    <n v="0"/>
    <n v="417.30919856271186"/>
    <n v="903.87720143728825"/>
    <n v="0.68414055839303844"/>
    <x v="0"/>
    <s v="LEVE"/>
    <x v="3"/>
    <x v="1"/>
    <n v="3"/>
    <n v="1"/>
    <d v="2018-07-09T00:00:00"/>
    <s v="SUZUKI"/>
    <s v="G. NOMADE"/>
    <n v="0"/>
    <d v="2018-07-09T00:00:00"/>
    <n v="7"/>
    <x v="1052"/>
  </r>
  <r>
    <d v="2018-07-09T00:00:00"/>
    <s v="001-00012833"/>
    <n v="449"/>
    <n v="115.85930190000001"/>
    <n v="0"/>
    <n v="0"/>
    <n v="39.048749999999998"/>
    <n v="0"/>
    <n v="0"/>
    <n v="0"/>
    <n v="154.9080519"/>
    <n v="294.09194809999997"/>
    <n v="0.65499320289532292"/>
    <x v="0"/>
    <s v="MECANICA"/>
    <x v="3"/>
    <x v="1"/>
    <n v="0"/>
    <n v="1"/>
    <d v="2018-07-09T00:00:00"/>
    <s v="KIA"/>
    <s v="CERATO"/>
    <n v="0"/>
    <d v="2018-07-09T00:00:00"/>
    <n v="0"/>
    <x v="616"/>
  </r>
  <r>
    <d v="2018-07-09T00:00:00"/>
    <s v="001-00012835"/>
    <n v="206.62710200000001"/>
    <n v="54.565899599999987"/>
    <n v="0"/>
    <n v="0"/>
    <n v="39.048749999999998"/>
    <n v="0"/>
    <n v="0"/>
    <n v="0"/>
    <n v="93.614649599999979"/>
    <n v="113.01245240000003"/>
    <n v="0.54693915418704375"/>
    <x v="0"/>
    <s v="MECANICA"/>
    <x v="3"/>
    <x v="1"/>
    <n v="0"/>
    <n v="1"/>
    <d v="2018-07-09T00:00:00"/>
    <s v="HYUNDAI"/>
    <s v="ACCENT"/>
    <n v="0"/>
    <d v="2018-07-09T00:00:00"/>
    <n v="0"/>
    <x v="978"/>
  </r>
  <r>
    <d v="2018-07-21T00:00:00"/>
    <s v="001-00012836"/>
    <n v="632.12910742799988"/>
    <n v="0"/>
    <n v="0"/>
    <n v="20"/>
    <n v="0"/>
    <n v="73.125"/>
    <n v="61.977499999999999"/>
    <n v="0"/>
    <n v="155.10249999999999"/>
    <n v="477.02660742799992"/>
    <n v="0.75463477606484641"/>
    <x v="1"/>
    <s v="LEVE"/>
    <x v="3"/>
    <x v="1"/>
    <n v="12"/>
    <n v="1"/>
    <d v="2018-07-09T00:00:00"/>
    <s v="KIA"/>
    <s v="SPORTAGE"/>
    <n v="387.30250000000001"/>
    <d v="2018-07-09T00:00:00"/>
    <n v="5"/>
    <x v="1"/>
  </r>
  <r>
    <d v="2018-07-24T00:00:00"/>
    <s v="001-00012837"/>
    <n v="315"/>
    <n v="112.434398"/>
    <n v="0"/>
    <n v="0"/>
    <n v="39.048749999999998"/>
    <n v="0"/>
    <n v="0"/>
    <n v="0"/>
    <n v="151.483148"/>
    <n v="163.516852"/>
    <n v="0.51910111746031751"/>
    <x v="0"/>
    <s v="MECANICA"/>
    <x v="3"/>
    <x v="1"/>
    <n v="15"/>
    <n v="1"/>
    <d v="2018-07-09T00:00:00"/>
    <s v="NISSAN"/>
    <s v="FRONTIER"/>
    <n v="0"/>
    <d v="2018-07-09T00:00:00"/>
    <n v="0"/>
    <x v="157"/>
  </r>
  <r>
    <d v="2018-07-20T00:00:00"/>
    <s v="001-00012838"/>
    <n v="1776.4394164"/>
    <n v="0"/>
    <n v="0"/>
    <n v="0"/>
    <n v="0"/>
    <n v="175.5"/>
    <n v="278.89875000000001"/>
    <n v="0"/>
    <n v="454.39875000000001"/>
    <n v="1322.0406664"/>
    <n v="0.74420813577709799"/>
    <x v="1"/>
    <s v="MEDIANO"/>
    <x v="3"/>
    <x v="1"/>
    <n v="11"/>
    <n v="1"/>
    <d v="2018-07-09T00:00:00"/>
    <s v="KIA"/>
    <s v="RIO"/>
    <n v="2104.3425000000002"/>
    <d v="2018-07-10T00:00:00"/>
    <n v="12"/>
    <x v="1"/>
  </r>
  <r>
    <d v="2018-07-30T00:00:00"/>
    <s v="001-00012839"/>
    <n v="1299.350337012"/>
    <n v="184.40409990000001"/>
    <n v="0"/>
    <n v="41.313559322033896"/>
    <n v="0"/>
    <n v="73.125"/>
    <n v="201.426875"/>
    <n v="0"/>
    <n v="500.26953422203388"/>
    <n v="799.08080278996613"/>
    <n v="0.61498487361579557"/>
    <x v="1"/>
    <s v="LEVE"/>
    <x v="3"/>
    <x v="1"/>
    <n v="21"/>
    <n v="1"/>
    <d v="2018-07-09T00:00:00"/>
    <s v="TOYOTA"/>
    <s v="COROLLA"/>
    <n v="769.20999999999992"/>
    <d v="2018-07-10T00:00:00"/>
    <n v="5"/>
    <x v="1"/>
  </r>
  <r>
    <d v="2018-07-10T00:00:00"/>
    <s v="001-00012841"/>
    <n v="6077.5"/>
    <n v="3313.7986077000005"/>
    <n v="0"/>
    <n v="168.64999999999998"/>
    <n v="141.42375000000001"/>
    <n v="0"/>
    <n v="0"/>
    <n v="0"/>
    <n v="3623.8723577000005"/>
    <n v="2453.6276422999995"/>
    <n v="0.40372318260798018"/>
    <x v="0"/>
    <s v="MECANICA"/>
    <x v="3"/>
    <x v="1"/>
    <n v="1"/>
    <n v="1"/>
    <d v="2018-07-09T00:00:00"/>
    <s v="FORD"/>
    <s v="ECOSPORT"/>
    <n v="4549.9350000000004"/>
    <d v="2018-07-09T00:00:00"/>
    <n v="0"/>
    <x v="330"/>
  </r>
  <r>
    <d v="2018-07-12T00:00:00"/>
    <s v="001-00012842"/>
    <n v="295.2"/>
    <n v="0"/>
    <n v="0"/>
    <n v="0"/>
    <n v="0"/>
    <n v="29.25"/>
    <n v="61.977499999999999"/>
    <n v="0"/>
    <n v="91.227499999999992"/>
    <n v="203.9725"/>
    <n v="0.69096375338753391"/>
    <x v="0"/>
    <s v="LEVE"/>
    <x v="3"/>
    <x v="1"/>
    <n v="3"/>
    <n v="1"/>
    <d v="2018-07-09T00:00:00"/>
    <s v="HYUNDAI"/>
    <s v="ELANTRA"/>
    <n v="0"/>
    <d v="2018-07-09T00:00:00"/>
    <n v="2"/>
    <x v="1053"/>
  </r>
  <r>
    <d v="2018-07-14T00:00:00"/>
    <s v="001-00012843"/>
    <n v="518.43763590000003"/>
    <n v="0"/>
    <n v="0"/>
    <n v="0"/>
    <n v="0"/>
    <n v="36.5625"/>
    <n v="123.955"/>
    <n v="0"/>
    <n v="160.51749999999998"/>
    <n v="357.92013590000005"/>
    <n v="0.69038223908774676"/>
    <x v="1"/>
    <s v="LEVE"/>
    <x v="3"/>
    <x v="1"/>
    <n v="5"/>
    <n v="1"/>
    <d v="2018-07-09T00:00:00"/>
    <s v="HYUNDAI"/>
    <s v="I10"/>
    <n v="1409.33"/>
    <d v="2018-07-10T00:00:00"/>
    <n v="2.5"/>
    <x v="1054"/>
  </r>
  <r>
    <d v="2018-07-21T00:00:00"/>
    <s v="001-00012844"/>
    <n v="1081.1075183999997"/>
    <n v="0"/>
    <n v="0"/>
    <n v="20"/>
    <n v="0"/>
    <n v="73.125"/>
    <n v="232.41562500000001"/>
    <n v="0"/>
    <n v="325.54062499999998"/>
    <n v="755.56689339999969"/>
    <n v="0.69888228556416998"/>
    <x v="1"/>
    <s v="LEVE"/>
    <x v="3"/>
    <x v="1"/>
    <n v="12"/>
    <n v="1"/>
    <d v="2018-07-09T00:00:00"/>
    <s v="MAZDA"/>
    <s v="MAZDA 3"/>
    <n v="7360.2099999999991"/>
    <d v="2018-07-10T00:00:00"/>
    <n v="5"/>
    <x v="1"/>
  </r>
  <r>
    <d v="2018-07-18T00:00:00"/>
    <s v="001-00012845"/>
    <n v="990.83948761016995"/>
    <n v="0"/>
    <n v="0"/>
    <n v="84.75"/>
    <n v="13.1625"/>
    <n v="87.75"/>
    <n v="150.60532500000002"/>
    <n v="0"/>
    <n v="336.26782500000002"/>
    <n v="654.57166261016994"/>
    <n v="0.66062331063222701"/>
    <x v="1"/>
    <s v="LEVE"/>
    <x v="3"/>
    <x v="1"/>
    <n v="9"/>
    <n v="1"/>
    <d v="2018-07-09T00:00:00"/>
    <s v="MAZDA"/>
    <s v="MAZDA 3"/>
    <n v="5043.6100000000006"/>
    <d v="2018-07-10T00:00:00"/>
    <n v="6"/>
    <x v="1"/>
  </r>
  <r>
    <d v="2018-07-10T00:00:00"/>
    <s v="001-00012846"/>
    <n v="609"/>
    <n v="163.29380090000001"/>
    <n v="0"/>
    <n v="0"/>
    <n v="78.097499999999997"/>
    <n v="0"/>
    <n v="0"/>
    <n v="0"/>
    <n v="241.3913009"/>
    <n v="367.60869909999997"/>
    <n v="0.60362676371100155"/>
    <x v="0"/>
    <s v="MECANICA"/>
    <x v="3"/>
    <x v="1"/>
    <n v="1"/>
    <n v="1"/>
    <d v="2018-07-09T00:00:00"/>
    <s v="KIA"/>
    <s v="RIO"/>
    <n v="100.295"/>
    <d v="2018-07-09T00:00:00"/>
    <n v="0"/>
    <x v="167"/>
  </r>
  <r>
    <d v="2018-07-23T00:00:00"/>
    <s v="001-00012847"/>
    <n v="1095.8220000000001"/>
    <n v="0"/>
    <n v="0"/>
    <n v="20.656779661016948"/>
    <n v="0"/>
    <n v="102.375"/>
    <n v="163.62060000000002"/>
    <n v="0"/>
    <n v="286.65237966101699"/>
    <n v="809.16962033898312"/>
    <n v="0.73841337401419482"/>
    <x v="1"/>
    <s v="MEDIANO"/>
    <x v="3"/>
    <x v="1"/>
    <n v="14"/>
    <n v="1"/>
    <d v="2018-07-09T00:00:00"/>
    <s v="MAZDA"/>
    <s v="CX-3"/>
    <n v="2715.5699999999997"/>
    <d v="2018-07-11T00:00:00"/>
    <n v="7"/>
    <x v="1"/>
  </r>
  <r>
    <d v="2018-07-19T00:00:00"/>
    <s v="001-00012848"/>
    <n v="847.38980100000003"/>
    <n v="96.212400789999975"/>
    <n v="0"/>
    <n v="0"/>
    <n v="39.048749999999998"/>
    <n v="65.8125"/>
    <n v="123.955"/>
    <n v="0"/>
    <n v="325.02865078999997"/>
    <n v="522.36115021000001"/>
    <n v="0.61643549355156801"/>
    <x v="0"/>
    <s v="GRAVE"/>
    <x v="3"/>
    <x v="1"/>
    <n v="10"/>
    <n v="1"/>
    <d v="2018-07-09T00:00:00"/>
    <s v="CHEVROLET"/>
    <s v="SAIL"/>
    <n v="0"/>
    <d v="2018-07-09T00:00:00"/>
    <n v="4.5"/>
    <x v="1055"/>
  </r>
  <r>
    <d v="2018-07-23T00:00:00"/>
    <s v="001-00012849"/>
    <n v="437.346"/>
    <n v="0"/>
    <n v="0"/>
    <n v="20"/>
    <n v="0"/>
    <n v="43.875"/>
    <n v="77.471874999999997"/>
    <n v="0"/>
    <n v="141.34687500000001"/>
    <n v="295.99912499999999"/>
    <n v="0.67680766486946264"/>
    <x v="1"/>
    <s v="LEVE"/>
    <x v="3"/>
    <x v="1"/>
    <n v="14"/>
    <n v="1"/>
    <d v="2018-07-09T00:00:00"/>
    <s v="AUDI"/>
    <s v="A6"/>
    <n v="5136.2350000000006"/>
    <d v="2018-07-11T00:00:00"/>
    <n v="3"/>
    <x v="1"/>
  </r>
  <r>
    <d v="2018-07-25T00:00:00"/>
    <s v="001-00012851"/>
    <n v="1215.52447461525"/>
    <n v="0"/>
    <n v="0"/>
    <n v="61.970338983050844"/>
    <n v="0"/>
    <n v="87.75"/>
    <n v="201.426875"/>
    <n v="0"/>
    <n v="351.14721398305085"/>
    <n v="864.37726063219918"/>
    <n v="0.71111464942390445"/>
    <x v="1"/>
    <s v="LEVE"/>
    <x v="3"/>
    <x v="1"/>
    <n v="16"/>
    <n v="1"/>
    <d v="2018-07-09T00:00:00"/>
    <s v="MITSUBISHI"/>
    <s v="OUTLANDER"/>
    <n v="658.48250000000007"/>
    <d v="2018-07-11T00:00:00"/>
    <n v="6"/>
    <x v="1"/>
  </r>
  <r>
    <d v="2018-07-27T00:00:00"/>
    <s v="001-00012853"/>
    <n v="750.89818439999999"/>
    <n v="0"/>
    <n v="0"/>
    <n v="20"/>
    <n v="0"/>
    <n v="73.125"/>
    <n v="123.955"/>
    <n v="0"/>
    <n v="217.07999999999998"/>
    <n v="533.81818440000006"/>
    <n v="0.710906212706512"/>
    <x v="1"/>
    <s v="LEVE"/>
    <x v="3"/>
    <x v="1"/>
    <n v="18"/>
    <n v="1"/>
    <d v="2018-07-09T00:00:00"/>
    <s v="MITSUBISHI"/>
    <s v="MIRAGE"/>
    <n v="4045.5025000000001"/>
    <d v="2018-07-11T00:00:00"/>
    <n v="5"/>
    <x v="1"/>
  </r>
  <r>
    <d v="2018-07-12T00:00:00"/>
    <s v="001-00012855"/>
    <n v="2616.7174192799994"/>
    <n v="671.02167200000008"/>
    <n v="0"/>
    <n v="82.627118644067792"/>
    <n v="0"/>
    <n v="234"/>
    <n v="309.88749999999999"/>
    <n v="0"/>
    <n v="1297.5362906440678"/>
    <n v="1319.1811286359316"/>
    <n v="0.50413587608512567"/>
    <x v="0"/>
    <s v="MEDIANO"/>
    <x v="3"/>
    <x v="1"/>
    <n v="3"/>
    <n v="1"/>
    <d v="2018-07-09T00:00:00"/>
    <s v="KIA"/>
    <s v="CERATO"/>
    <n v="0"/>
    <d v="2018-07-09T00:00:00"/>
    <n v="16"/>
    <x v="637"/>
  </r>
  <r>
    <d v="2018-07-14T00:00:00"/>
    <s v="001-00012856"/>
    <n v="1455.1813641000001"/>
    <n v="1.4406000000000003"/>
    <n v="0"/>
    <n v="0"/>
    <n v="0"/>
    <n v="160.875"/>
    <n v="247.91"/>
    <n v="0"/>
    <n v="410.22559999999999"/>
    <n v="1044.9557641000001"/>
    <n v="0.71809314624248499"/>
    <x v="0"/>
    <s v="MEDIANO"/>
    <x v="3"/>
    <x v="1"/>
    <n v="5"/>
    <n v="1"/>
    <d v="2018-07-09T00:00:00"/>
    <s v="KIA"/>
    <s v="SORENTO"/>
    <n v="0"/>
    <d v="2018-07-10T00:00:00"/>
    <n v="11"/>
    <x v="1056"/>
  </r>
  <r>
    <d v="2018-07-31T00:00:00"/>
    <s v="001-00012857"/>
    <n v="1833.9007265283094"/>
    <n v="5.4759001999999999"/>
    <n v="0"/>
    <n v="84.75"/>
    <n v="17.549999999999997"/>
    <n v="146.25"/>
    <n v="263.40437500000002"/>
    <n v="0"/>
    <n v="517.43027519999998"/>
    <n v="1316.4704513283095"/>
    <n v="0.7178526254365315"/>
    <x v="1"/>
    <s v="MEDIANO"/>
    <x v="3"/>
    <x v="1"/>
    <n v="21"/>
    <n v="1"/>
    <d v="2018-07-10T00:00:00"/>
    <s v="HYUNDAI"/>
    <s v="CRETA"/>
    <n v="6990.2624999999998"/>
    <d v="2018-07-11T00:00:00"/>
    <n v="10"/>
    <x v="1"/>
  </r>
  <r>
    <d v="2018-07-27T00:00:00"/>
    <s v="001-00012858"/>
    <n v="1017.3644207999998"/>
    <n v="0.42369999999999997"/>
    <n v="0"/>
    <n v="116.39830508474577"/>
    <n v="0"/>
    <n v="87.75"/>
    <n v="123.955"/>
    <n v="0"/>
    <n v="328.52700508474578"/>
    <n v="688.83741571525411"/>
    <n v="0.67708030832608634"/>
    <x v="1"/>
    <s v="LEVE"/>
    <x v="3"/>
    <x v="1"/>
    <n v="17"/>
    <n v="1"/>
    <d v="2018-07-10T00:00:00"/>
    <s v="KIA"/>
    <s v="RIO"/>
    <n v="894.43249999999989"/>
    <d v="2018-07-11T00:00:00"/>
    <n v="6"/>
    <x v="1"/>
  </r>
  <r>
    <d v="2018-07-19T00:00:00"/>
    <s v="001-00012860"/>
    <n v="842.7974999999999"/>
    <n v="0"/>
    <n v="0"/>
    <n v="0"/>
    <n v="0"/>
    <n v="117"/>
    <n v="123.955"/>
    <n v="0"/>
    <n v="240.95499999999998"/>
    <n v="601.84249999999997"/>
    <n v="0.71410095544896612"/>
    <x v="1"/>
    <s v="MEDIANO"/>
    <x v="3"/>
    <x v="1"/>
    <n v="9"/>
    <n v="1"/>
    <d v="2018-07-10T00:00:00"/>
    <s v="KIA"/>
    <s v="RIO"/>
    <n v="60.125"/>
    <d v="2018-07-11T00:00:00"/>
    <n v="8"/>
    <x v="1"/>
  </r>
  <r>
    <d v="2018-07-14T00:00:00"/>
    <s v="001-00012861"/>
    <n v="2029.3320000000001"/>
    <n v="0"/>
    <n v="0"/>
    <n v="104.75"/>
    <n v="11.700000000000001"/>
    <n v="175.5"/>
    <n v="340.87625000000003"/>
    <n v="0"/>
    <n v="632.82625000000007"/>
    <n v="1396.50575"/>
    <n v="0.68816031580835468"/>
    <x v="1"/>
    <s v="MEDIANO"/>
    <x v="3"/>
    <x v="1"/>
    <n v="4"/>
    <n v="1"/>
    <d v="2018-07-10T00:00:00"/>
    <s v="CHEVROLET"/>
    <s v="PRISMA"/>
    <n v="3244.5725000000002"/>
    <d v="2018-07-12T00:00:00"/>
    <n v="12"/>
    <x v="1057"/>
  </r>
  <r>
    <d v="2018-07-10T00:00:00"/>
    <s v="001-00012862"/>
    <n v="781.59197619999998"/>
    <n v="203.39000300000001"/>
    <n v="0"/>
    <n v="0"/>
    <n v="0"/>
    <n v="58.5"/>
    <n v="61.977499999999999"/>
    <n v="0"/>
    <n v="323.867503"/>
    <n v="457.72447319999998"/>
    <n v="0.58563097771985539"/>
    <x v="0"/>
    <s v="MEDIANO"/>
    <x v="3"/>
    <x v="1"/>
    <n v="0"/>
    <n v="1"/>
    <d v="2018-07-10T00:00:00"/>
    <s v="KIA"/>
    <s v="RIO"/>
    <n v="0"/>
    <d v="2018-07-10T00:00:00"/>
    <n v="4"/>
    <x v="1058"/>
  </r>
  <r>
    <d v="2018-07-18T00:00:00"/>
    <s v="001-00012864"/>
    <n v="1078.770033"/>
    <n v="0"/>
    <n v="0"/>
    <n v="0"/>
    <n v="0"/>
    <n v="117"/>
    <n v="185.9325"/>
    <n v="0"/>
    <n v="302.9325"/>
    <n v="775.83753300000001"/>
    <n v="0.71918713837687775"/>
    <x v="0"/>
    <s v="MEDIANO"/>
    <x v="3"/>
    <x v="1"/>
    <n v="8"/>
    <n v="1"/>
    <d v="2018-07-10T00:00:00"/>
    <s v="KIA"/>
    <s v="RIO"/>
    <n v="0"/>
    <d v="2018-07-10T00:00:00"/>
    <n v="8"/>
    <x v="1059"/>
  </r>
  <r>
    <d v="2018-07-26T00:00:00"/>
    <s v="001-00012865"/>
    <n v="1469.2490349237301"/>
    <n v="1.22"/>
    <n v="0"/>
    <n v="96.27"/>
    <n v="0"/>
    <n v="117"/>
    <n v="185.9325"/>
    <n v="0"/>
    <n v="400.42250000000001"/>
    <n v="1068.8265349237299"/>
    <n v="0.72746451385568789"/>
    <x v="1"/>
    <s v="MEDIANO"/>
    <x v="3"/>
    <x v="1"/>
    <n v="16"/>
    <n v="1"/>
    <d v="2018-07-10T00:00:00"/>
    <s v="HYUNDAI"/>
    <s v="TUCSON"/>
    <n v="1747.1675"/>
    <d v="2018-07-11T00:00:00"/>
    <n v="8"/>
    <x v="1"/>
  </r>
  <r>
    <d v="2018-07-30T00:00:00"/>
    <s v="001-00012867"/>
    <n v="727.66053032399986"/>
    <n v="0"/>
    <n v="0"/>
    <n v="20"/>
    <n v="0"/>
    <n v="102.375"/>
    <n v="92.966250000000002"/>
    <n v="0"/>
    <n v="215.34125"/>
    <n v="512.31928032399992"/>
    <n v="0.7040635831874561"/>
    <x v="1"/>
    <s v="LEVE"/>
    <x v="3"/>
    <x v="1"/>
    <n v="20"/>
    <n v="1"/>
    <d v="2018-07-10T00:00:00"/>
    <s v="KIA"/>
    <s v="SPORTAGE"/>
    <n v="302.34750000000003"/>
    <d v="2018-07-11T00:00:00"/>
    <n v="7"/>
    <x v="1"/>
  </r>
  <r>
    <d v="2018-07-27T00:00:00"/>
    <s v="001-00012868"/>
    <n v="1181.0255315039999"/>
    <n v="0"/>
    <n v="0"/>
    <n v="0"/>
    <n v="0"/>
    <n v="131.625"/>
    <n v="201.426875"/>
    <n v="0"/>
    <n v="333.051875"/>
    <n v="847.9736565039999"/>
    <n v="0.71799773492121832"/>
    <x v="1"/>
    <s v="MEDIANO"/>
    <x v="3"/>
    <x v="1"/>
    <n v="17"/>
    <n v="1"/>
    <d v="2018-07-10T00:00:00"/>
    <s v="KIA"/>
    <s v="SPORTAGE"/>
    <n v="2016.2674999999999"/>
    <d v="2018-07-11T00:00:00"/>
    <n v="9"/>
    <x v="1060"/>
  </r>
  <r>
    <d v="2018-07-14T00:00:00"/>
    <s v="001-00012871"/>
    <n v="3327.9068200000002"/>
    <n v="1291.9315192000001"/>
    <n v="0"/>
    <n v="423.73"/>
    <n v="82.923749999999998"/>
    <n v="0"/>
    <n v="0"/>
    <n v="0"/>
    <n v="1798.5852692000001"/>
    <n v="1529.3215508000001"/>
    <n v="0.45954458268155479"/>
    <x v="0"/>
    <s v="MECANICA"/>
    <x v="3"/>
    <x v="1"/>
    <n v="4"/>
    <n v="1"/>
    <d v="2018-07-10T00:00:00"/>
    <s v="NISSAN"/>
    <s v="TIIDA"/>
    <n v="1624.9675"/>
    <d v="2018-07-10T00:00:00"/>
    <n v="0"/>
    <x v="1061"/>
  </r>
  <r>
    <d v="2018-07-20T00:00:00"/>
    <s v="001-00012872"/>
    <n v="764.84622909999985"/>
    <n v="206.89070000000004"/>
    <n v="0"/>
    <n v="0"/>
    <n v="0"/>
    <n v="43.875"/>
    <n v="123.955"/>
    <n v="0"/>
    <n v="374.72070000000002"/>
    <n v="390.12552909999982"/>
    <n v="0.51007054000784369"/>
    <x v="1"/>
    <s v="LEVE"/>
    <x v="3"/>
    <x v="1"/>
    <n v="10"/>
    <n v="1"/>
    <d v="2018-07-10T00:00:00"/>
    <s v="KIA"/>
    <s v="CERATO"/>
    <n v="1594.8724999999999"/>
    <d v="2018-07-12T00:00:00"/>
    <n v="3"/>
    <x v="1"/>
  </r>
  <r>
    <d v="2018-07-24T00:00:00"/>
    <s v="001-00012873"/>
    <n v="1435.4726479999999"/>
    <n v="38.830002000000007"/>
    <n v="0"/>
    <n v="0"/>
    <n v="0"/>
    <n v="73.125"/>
    <n v="340.87625000000003"/>
    <n v="0"/>
    <n v="452.83125200000006"/>
    <n v="982.64139599999987"/>
    <n v="0.68454205475045726"/>
    <x v="1"/>
    <s v="LEVE"/>
    <x v="3"/>
    <x v="1"/>
    <n v="14"/>
    <n v="1"/>
    <d v="2018-07-10T00:00:00"/>
    <s v="SUZUKI"/>
    <s v="G. NOMADE"/>
    <n v="0"/>
    <d v="2018-07-12T00:00:00"/>
    <n v="5"/>
    <x v="1"/>
  </r>
  <r>
    <d v="2018-07-26T00:00:00"/>
    <s v="001-00012875"/>
    <n v="1591.9962021745796"/>
    <n v="0"/>
    <n v="0"/>
    <n v="0"/>
    <n v="0"/>
    <n v="146.25"/>
    <n v="263.40437500000002"/>
    <n v="0"/>
    <n v="409.65437500000002"/>
    <n v="1182.3418271745795"/>
    <n v="0.74267879883103072"/>
    <x v="1"/>
    <s v="MEDIANO"/>
    <x v="3"/>
    <x v="1"/>
    <n v="15"/>
    <n v="1"/>
    <d v="2018-07-11T00:00:00"/>
    <s v="HYUNDAI"/>
    <s v="ELANTRA"/>
    <n v="94.347499999999997"/>
    <d v="2018-07-12T00:00:00"/>
    <n v="10"/>
    <x v="1"/>
  </r>
  <r>
    <d v="2018-07-25T00:00:00"/>
    <s v="001-00012876"/>
    <n v="422.97443731524959"/>
    <n v="0"/>
    <n v="0"/>
    <n v="0"/>
    <n v="0"/>
    <n v="27.787499999999998"/>
    <n v="77.471874999999997"/>
    <n v="0"/>
    <n v="105.25937499999999"/>
    <n v="317.71506231524961"/>
    <n v="0.75114483119094855"/>
    <x v="1"/>
    <s v="LEVE"/>
    <x v="3"/>
    <x v="1"/>
    <n v="14"/>
    <n v="1"/>
    <d v="2018-07-11T00:00:00"/>
    <s v="HYUNDAI"/>
    <s v="ACCENT"/>
    <n v="1073.7349999999999"/>
    <d v="2018-07-11T00:00:00"/>
    <n v="1.9"/>
    <x v="1"/>
  </r>
  <r>
    <d v="2018-07-11T00:00:00"/>
    <s v="001-00012877"/>
    <n v="138"/>
    <n v="0"/>
    <n v="0"/>
    <n v="0"/>
    <n v="39.048749999999998"/>
    <n v="0"/>
    <n v="0"/>
    <n v="0"/>
    <n v="39.048749999999998"/>
    <n v="98.951250000000002"/>
    <n v="0.71703804347826083"/>
    <x v="0"/>
    <s v="MECANICA"/>
    <x v="3"/>
    <x v="1"/>
    <n v="0"/>
    <n v="1"/>
    <d v="2018-07-11T00:00:00"/>
    <s v="KIA"/>
    <s v="RIO"/>
    <n v="0"/>
    <d v="2018-07-11T00:00:00"/>
    <n v="0"/>
    <x v="1062"/>
  </r>
  <r>
    <d v="2018-07-12T00:00:00"/>
    <s v="001-00012878"/>
    <n v="349"/>
    <n v="103.8500007"/>
    <n v="0"/>
    <n v="0"/>
    <n v="39.048749999999998"/>
    <n v="0"/>
    <n v="0"/>
    <n v="0"/>
    <n v="142.89875069999999"/>
    <n v="206.10124930000001"/>
    <n v="0.59054799226361032"/>
    <x v="0"/>
    <s v="MECANICA"/>
    <x v="3"/>
    <x v="1"/>
    <n v="1"/>
    <n v="1"/>
    <d v="2018-07-11T00:00:00"/>
    <s v="SUZUKI"/>
    <s v="SWIFT"/>
    <n v="0"/>
    <d v="2018-07-11T00:00:00"/>
    <n v="0"/>
    <x v="497"/>
  </r>
  <r>
    <d v="2018-07-21T00:00:00"/>
    <s v="001-00012880"/>
    <n v="1342.3547591999998"/>
    <n v="0"/>
    <n v="0"/>
    <n v="0"/>
    <n v="0"/>
    <n v="204.75"/>
    <n v="138.82960000000003"/>
    <n v="0"/>
    <n v="343.57960000000003"/>
    <n v="998.77515919999973"/>
    <n v="0.74404709511756606"/>
    <x v="1"/>
    <s v="MEDIANO"/>
    <x v="3"/>
    <x v="1"/>
    <n v="10"/>
    <n v="1"/>
    <d v="2018-07-11T00:00:00"/>
    <s v="VW"/>
    <s v="GOL"/>
    <n v="438.19750000000005"/>
    <d v="2018-07-12T00:00:00"/>
    <n v="14"/>
    <x v="1"/>
  </r>
  <r>
    <d v="2018-07-19T00:00:00"/>
    <s v="001-00012883"/>
    <n v="654.6"/>
    <n v="0"/>
    <n v="0"/>
    <n v="96.398305084745772"/>
    <n v="0"/>
    <n v="43.875"/>
    <n v="77.471874999999997"/>
    <n v="0"/>
    <n v="217.74518008474575"/>
    <n v="436.85481991525427"/>
    <n v="0.66736147252559463"/>
    <x v="0"/>
    <s v="LEVE"/>
    <x v="3"/>
    <x v="1"/>
    <n v="7"/>
    <n v="1"/>
    <d v="2018-07-12T00:00:00"/>
    <s v="MAZDA"/>
    <s v="CX-9"/>
    <n v="0"/>
    <d v="2018-07-12T00:00:00"/>
    <n v="3"/>
    <x v="1063"/>
  </r>
  <r>
    <d v="2018-07-26T00:00:00"/>
    <s v="001-00012884"/>
    <n v="2394.126210414579"/>
    <n v="0"/>
    <n v="0"/>
    <n v="20"/>
    <n v="0"/>
    <n v="292.5"/>
    <n v="277.65920000000006"/>
    <n v="0"/>
    <n v="590.15920000000006"/>
    <n v="1803.9670104145789"/>
    <n v="0.75349703894774822"/>
    <x v="1"/>
    <s v="MEDIANO"/>
    <x v="3"/>
    <x v="1"/>
    <n v="14"/>
    <n v="1"/>
    <d v="2018-07-12T00:00:00"/>
    <s v="MAZDA"/>
    <s v="MAZDA 3"/>
    <n v="40.072499999999998"/>
    <d v="2018-07-12T00:00:00"/>
    <n v="20"/>
    <x v="1"/>
  </r>
  <r>
    <d v="2018-07-27T00:00:00"/>
    <s v="001-00012886"/>
    <n v="279.29275919999998"/>
    <n v="0"/>
    <n v="0"/>
    <n v="0"/>
    <n v="0"/>
    <n v="25.59375"/>
    <n v="61.977499999999999"/>
    <n v="0"/>
    <n v="87.571249999999992"/>
    <n v="191.72150919999999"/>
    <n v="0.6864535613066477"/>
    <x v="1"/>
    <s v="MEDIANO"/>
    <x v="3"/>
    <x v="1"/>
    <n v="15"/>
    <n v="1"/>
    <d v="2018-07-12T00:00:00"/>
    <s v="SUZUKI"/>
    <s v="CIAZ"/>
    <n v="1307.93"/>
    <d v="2018-07-12T00:00:00"/>
    <n v="1.75"/>
    <x v="1"/>
  </r>
  <r>
    <d v="2018-07-25T00:00:00"/>
    <s v="001-00012887"/>
    <n v="550"/>
    <n v="1462.6275329"/>
    <n v="452.75350000000003"/>
    <n v="300"/>
    <n v="97.548749999999998"/>
    <n v="0"/>
    <n v="0"/>
    <n v="0"/>
    <n v="2312.9297828999997"/>
    <n v="-1762.9297828999997"/>
    <n v="-3.2053268779999997"/>
    <x v="0"/>
    <s v="MECANICA"/>
    <x v="3"/>
    <x v="1"/>
    <n v="13"/>
    <n v="1"/>
    <d v="2018-07-12T00:00:00"/>
    <s v="MITSUBISHI"/>
    <s v="L200"/>
    <n v="2668.1849999999999"/>
    <d v="2018-07-12T00:00:00"/>
    <n v="0"/>
    <x v="871"/>
  </r>
  <r>
    <d v="2018-07-19T00:00:00"/>
    <s v="001-00012888"/>
    <n v="422.21700000000004"/>
    <n v="0"/>
    <n v="0"/>
    <n v="0"/>
    <n v="0"/>
    <n v="29.25"/>
    <n v="61.977499999999999"/>
    <n v="0"/>
    <n v="91.227499999999992"/>
    <n v="330.98950000000002"/>
    <n v="0.78393219600347686"/>
    <x v="1"/>
    <s v="LEVE"/>
    <x v="3"/>
    <x v="1"/>
    <n v="7"/>
    <n v="1"/>
    <d v="2018-07-12T00:00:00"/>
    <s v="KIA"/>
    <s v="RIO"/>
    <n v="0"/>
    <d v="2018-07-12T00:00:00"/>
    <n v="2"/>
    <x v="1"/>
  </r>
  <r>
    <d v="2018-07-27T00:00:00"/>
    <s v="001-00012890"/>
    <n v="977.24717999999984"/>
    <n v="0"/>
    <n v="0"/>
    <n v="20"/>
    <n v="0"/>
    <n v="102.375"/>
    <n v="151.84487500000003"/>
    <n v="0"/>
    <n v="274.219875"/>
    <n v="703.02730499999984"/>
    <n v="0.71939558321365527"/>
    <x v="1"/>
    <s v="MEDIANO"/>
    <x v="3"/>
    <x v="1"/>
    <n v="15"/>
    <n v="1"/>
    <d v="2018-07-12T00:00:00"/>
    <s v="HYUNDAI"/>
    <s v="ACCENT"/>
    <n v="1651.52"/>
    <d v="2018-07-13T00:00:00"/>
    <n v="7"/>
    <x v="1"/>
  </r>
  <r>
    <d v="2018-07-26T00:00:00"/>
    <s v="001-00012892"/>
    <n v="671.16997949999995"/>
    <n v="0"/>
    <n v="0"/>
    <n v="0"/>
    <n v="0"/>
    <n v="58.5"/>
    <n v="123.955"/>
    <n v="0"/>
    <n v="182.45499999999998"/>
    <n v="488.71497949999997"/>
    <n v="0.72815381263637102"/>
    <x v="1"/>
    <s v="LEVE"/>
    <x v="3"/>
    <x v="1"/>
    <n v="14"/>
    <n v="1"/>
    <d v="2018-07-12T00:00:00"/>
    <s v="HYUNDAI"/>
    <s v="ELANTRA"/>
    <n v="1178.8400000000001"/>
    <d v="2018-07-13T00:00:00"/>
    <n v="4"/>
    <x v="1"/>
  </r>
  <r>
    <d v="2018-07-27T00:00:00"/>
    <s v="001-00012895"/>
    <n v="1023.7499999999998"/>
    <n v="0"/>
    <n v="0"/>
    <n v="0"/>
    <n v="0"/>
    <n v="117"/>
    <n v="154.94374999999999"/>
    <n v="0"/>
    <n v="271.94375000000002"/>
    <n v="751.80624999999975"/>
    <n v="0.73436507936507933"/>
    <x v="1"/>
    <s v="MEDIANO"/>
    <x v="3"/>
    <x v="1"/>
    <n v="14"/>
    <n v="1"/>
    <d v="2018-07-13T00:00:00"/>
    <s v="SUZUKI"/>
    <s v="CIAZ"/>
    <n v="0"/>
    <d v="2018-07-12T00:00:00"/>
    <n v="8"/>
    <x v="1"/>
  </r>
  <r>
    <d v="2018-07-21T00:00:00"/>
    <s v="001-00012896"/>
    <n v="403.91966159999993"/>
    <n v="0"/>
    <n v="0"/>
    <n v="0"/>
    <n v="0"/>
    <n v="29.25"/>
    <n v="74.373000000000005"/>
    <n v="0"/>
    <n v="103.623"/>
    <n v="300.29666159999994"/>
    <n v="0.74345641014470487"/>
    <x v="1"/>
    <s v="LEVE"/>
    <x v="3"/>
    <x v="1"/>
    <n v="8"/>
    <n v="1"/>
    <d v="2018-07-13T00:00:00"/>
    <s v="HYUNDAI"/>
    <s v="ELANTRA"/>
    <n v="2178.6375000000003"/>
    <d v="2018-07-16T00:00:00"/>
    <n v="2"/>
    <x v="1"/>
  </r>
  <r>
    <d v="2018-07-23T00:00:00"/>
    <s v="001-00012897"/>
    <n v="745.29"/>
    <n v="0"/>
    <n v="0"/>
    <n v="61.970338983050844"/>
    <n v="0"/>
    <n v="43.875"/>
    <n v="123.955"/>
    <n v="0"/>
    <n v="229.80033898305084"/>
    <n v="515.48966101694919"/>
    <n v="0.6916631928738467"/>
    <x v="1"/>
    <s v="LEVE"/>
    <x v="3"/>
    <x v="1"/>
    <n v="10"/>
    <n v="1"/>
    <d v="2018-07-13T00:00:00"/>
    <s v="KIA"/>
    <s v="PICANTO"/>
    <n v="641.32249999999999"/>
    <d v="2018-07-16T00:00:00"/>
    <n v="3"/>
    <x v="1064"/>
  </r>
  <r>
    <d v="2018-07-23T00:00:00"/>
    <s v="001-00012898"/>
    <n v="345.61799999999999"/>
    <n v="0"/>
    <n v="0"/>
    <n v="0"/>
    <n v="0"/>
    <n v="43.875"/>
    <n v="61.977499999999999"/>
    <n v="0"/>
    <n v="105.85249999999999"/>
    <n v="239.7655"/>
    <n v="0.69372978259234186"/>
    <x v="1"/>
    <s v="LEVE"/>
    <x v="3"/>
    <x v="1"/>
    <n v="10"/>
    <n v="1"/>
    <d v="2018-07-13T00:00:00"/>
    <s v="AUDI"/>
    <s v="A6"/>
    <n v="1578.6875"/>
    <d v="2018-07-11T00:00:00"/>
    <n v="3"/>
    <x v="1"/>
  </r>
  <r>
    <d v="2018-07-30T00:00:00"/>
    <s v="001-00012901"/>
    <n v="1107.288"/>
    <n v="0"/>
    <n v="0"/>
    <n v="20"/>
    <n v="0"/>
    <n v="117"/>
    <n v="185.9325"/>
    <n v="0"/>
    <n v="322.9325"/>
    <n v="784.35550000000001"/>
    <n v="0.70835726567975088"/>
    <x v="2"/>
    <s v="MEDIANO"/>
    <x v="3"/>
    <x v="1"/>
    <n v="17"/>
    <n v="1"/>
    <d v="2018-07-13T00:00:00"/>
    <s v="HYUNDAI"/>
    <s v="TUCSON"/>
    <n v="1725.75"/>
    <d v="2018-07-16T00:00:00"/>
    <n v="8"/>
    <x v="2"/>
  </r>
  <r>
    <d v="2018-07-14T00:00:00"/>
    <s v="001-00012903"/>
    <n v="629.10169999999994"/>
    <n v="182.05929779999997"/>
    <n v="0"/>
    <n v="38.14"/>
    <n v="39.048749999999998"/>
    <n v="0"/>
    <n v="0"/>
    <n v="0"/>
    <n v="259.24804779999994"/>
    <n v="369.8536522"/>
    <n v="0.58790757074730526"/>
    <x v="0"/>
    <s v="MECANICA"/>
    <x v="3"/>
    <x v="1"/>
    <n v="0"/>
    <n v="1"/>
    <d v="2018-07-14T00:00:00"/>
    <s v="CHEVROLET"/>
    <s v="SAIL"/>
    <n v="180.53749999999999"/>
    <d v="2018-07-14T00:00:00"/>
    <n v="0"/>
    <x v="739"/>
  </r>
  <r>
    <d v="2018-07-18T00:00:00"/>
    <s v="001-00012906"/>
    <n v="277.06150135142047"/>
    <n v="0"/>
    <n v="0"/>
    <n v="0"/>
    <n v="0"/>
    <n v="117"/>
    <n v="167.33925000000002"/>
    <n v="0"/>
    <n v="284.33924999999999"/>
    <n v="-7.277748648579518"/>
    <n v="-2.6267628714494458E-2"/>
    <x v="4"/>
    <s v="S/TIPO"/>
    <x v="3"/>
    <x v="1"/>
    <n v="4"/>
    <n v="1"/>
    <d v="2018-07-14T00:00:00"/>
    <s v="S/MARCA"/>
    <s v="S/MODELO"/>
    <n v="0"/>
    <s v="F/Fecha"/>
    <n v="0"/>
    <x v="1065"/>
  </r>
  <r>
    <d v="2018-07-27T00:00:00"/>
    <s v="001-00012907"/>
    <n v="1365.7866768000001"/>
    <n v="0"/>
    <n v="0"/>
    <n v="95.741525423728817"/>
    <n v="0"/>
    <n v="146.25"/>
    <n v="185.9325"/>
    <n v="0"/>
    <n v="427.92402542372884"/>
    <n v="937.86265137627129"/>
    <n v="0.68668311626355671"/>
    <x v="1"/>
    <s v="MEDIANO"/>
    <x v="3"/>
    <x v="1"/>
    <n v="11"/>
    <n v="1"/>
    <d v="2018-07-16T00:00:00"/>
    <s v="TOYOTA"/>
    <s v="YARIS"/>
    <n v="612.07249999999999"/>
    <d v="2018-07-16T00:00:00"/>
    <n v="10"/>
    <x v="78"/>
  </r>
  <r>
    <d v="2018-07-27T00:00:00"/>
    <s v="001-00012908"/>
    <n v="2219.5175839199997"/>
    <n v="0"/>
    <n v="0"/>
    <n v="0"/>
    <n v="0"/>
    <n v="292.5"/>
    <n v="340.87625000000003"/>
    <n v="0"/>
    <n v="633.37625000000003"/>
    <n v="1586.1413339199996"/>
    <n v="0.71463337141877337"/>
    <x v="1"/>
    <s v="MEDIANO"/>
    <x v="3"/>
    <x v="1"/>
    <n v="11"/>
    <n v="1"/>
    <d v="2018-07-16T00:00:00"/>
    <s v="NISSAN"/>
    <s v="VERSA"/>
    <n v="1756.3325"/>
    <d v="2018-07-16T00:00:00"/>
    <n v="20"/>
    <x v="1"/>
  </r>
  <r>
    <d v="2018-07-18T00:00:00"/>
    <s v="001-00012909"/>
    <n v="692.61252474928972"/>
    <n v="0"/>
    <n v="0"/>
    <n v="45.444915254237294"/>
    <n v="0"/>
    <n v="58.5"/>
    <n v="123.955"/>
    <n v="0"/>
    <n v="227.89991525423727"/>
    <n v="464.71260949505245"/>
    <n v="0.67095611599467975"/>
    <x v="0"/>
    <s v="LEVE"/>
    <x v="3"/>
    <x v="1"/>
    <n v="2"/>
    <n v="1"/>
    <d v="2018-07-16T00:00:00"/>
    <s v="NISSAN"/>
    <s v="QASHQAI"/>
    <n v="0"/>
    <d v="2018-07-16T00:00:00"/>
    <n v="4"/>
    <x v="1011"/>
  </r>
  <r>
    <d v="2018-07-25T00:00:00"/>
    <s v="001-00012911"/>
    <n v="1284.4936842211803"/>
    <n v="0"/>
    <n v="0"/>
    <n v="0"/>
    <n v="0"/>
    <n v="58.5"/>
    <n v="263.40437500000002"/>
    <n v="0"/>
    <n v="321.90437500000002"/>
    <n v="962.5893092211802"/>
    <n v="0.7493920141809195"/>
    <x v="1"/>
    <s v="LEVE"/>
    <x v="3"/>
    <x v="1"/>
    <n v="9"/>
    <n v="1"/>
    <d v="2018-07-16T00:00:00"/>
    <s v="KIA"/>
    <s v="SORENTO"/>
    <n v="250.315"/>
    <d v="2018-07-12T00:00:00"/>
    <n v="4"/>
    <x v="1"/>
  </r>
  <r>
    <d v="2018-07-25T00:00:00"/>
    <s v="001-00012914"/>
    <n v="262.00000800000004"/>
    <n v="0"/>
    <n v="0"/>
    <n v="152.54"/>
    <n v="0"/>
    <n v="0"/>
    <n v="0"/>
    <n v="0"/>
    <n v="152.54"/>
    <n v="109.46000800000004"/>
    <n v="0.41778627731950307"/>
    <x v="0"/>
    <s v="LEVE"/>
    <x v="3"/>
    <x v="1"/>
    <n v="9"/>
    <n v="1"/>
    <d v="2018-07-16T00:00:00"/>
    <s v="KIA"/>
    <s v="SORENTO"/>
    <n v="0"/>
    <d v="2018-07-16T00:00:00"/>
    <n v="0"/>
    <x v="1066"/>
  </r>
  <r>
    <d v="2018-07-20T00:00:00"/>
    <s v="001-00012915"/>
    <n v="549"/>
    <n v="122.07660170000003"/>
    <n v="0"/>
    <n v="0"/>
    <n v="39.048749999999998"/>
    <n v="0"/>
    <n v="0"/>
    <n v="0"/>
    <n v="161.12535170000001"/>
    <n v="387.87464829999999"/>
    <n v="0.70651119908925319"/>
    <x v="0"/>
    <s v="MECANICA"/>
    <x v="3"/>
    <x v="1"/>
    <n v="4"/>
    <n v="1"/>
    <d v="2018-07-16T00:00:00"/>
    <s v="NISSAN"/>
    <s v="X-TRAIL"/>
    <n v="0"/>
    <d v="2018-07-16T00:00:00"/>
    <n v="0"/>
    <x v="41"/>
  </r>
  <r>
    <d v="2018-07-25T00:00:00"/>
    <s v="001-00012916"/>
    <n v="610.78751865000004"/>
    <n v="0"/>
    <n v="0"/>
    <n v="0"/>
    <n v="0"/>
    <n v="36.5625"/>
    <n v="89.867374999999996"/>
    <n v="0"/>
    <n v="126.429875"/>
    <n v="484.35764365000006"/>
    <n v="0.79300514313153769"/>
    <x v="2"/>
    <s v="LEVE"/>
    <x v="3"/>
    <x v="1"/>
    <n v="9"/>
    <n v="1"/>
    <d v="2018-07-16T00:00:00"/>
    <s v="MAZDA"/>
    <s v="MAZDA 2"/>
    <n v="419.41250000000002"/>
    <d v="2018-07-17T00:00:00"/>
    <n v="2.5"/>
    <x v="1067"/>
  </r>
  <r>
    <d v="2018-07-27T00:00:00"/>
    <s v="001-00012918"/>
    <n v="1012.5060800399999"/>
    <n v="0"/>
    <n v="0"/>
    <n v="0"/>
    <n v="0"/>
    <n v="87.75"/>
    <n v="184.07317499999999"/>
    <n v="0"/>
    <n v="271.82317499999999"/>
    <n v="740.68290503999992"/>
    <n v="0.73153427879735655"/>
    <x v="1"/>
    <s v="LEVE"/>
    <x v="3"/>
    <x v="1"/>
    <n v="11"/>
    <n v="1"/>
    <d v="2018-07-16T00:00:00"/>
    <s v="NISSAN"/>
    <s v="QASHQAI"/>
    <n v="0"/>
    <d v="2018-07-17T00:00:00"/>
    <n v="6"/>
    <x v="1068"/>
  </r>
  <r>
    <d v="2018-07-25T00:00:00"/>
    <s v="001-00012919"/>
    <n v="1582.7132283271201"/>
    <n v="0"/>
    <n v="0"/>
    <n v="20"/>
    <n v="0"/>
    <n v="263.25"/>
    <n v="123.955"/>
    <n v="0"/>
    <n v="407.20499999999998"/>
    <n v="1175.5082283271202"/>
    <n v="0.74271713111894355"/>
    <x v="1"/>
    <s v="MEDIANO"/>
    <x v="3"/>
    <x v="1"/>
    <n v="9"/>
    <n v="1"/>
    <d v="2018-07-16T00:00:00"/>
    <s v="SUZUKI"/>
    <s v="GRAND V."/>
    <n v="0"/>
    <d v="2018-07-17T00:00:00"/>
    <n v="18"/>
    <x v="1"/>
  </r>
  <r>
    <d v="2018-07-19T00:00:00"/>
    <s v="001-00012920"/>
    <n v="630"/>
    <n v="328.82001000000014"/>
    <n v="0"/>
    <n v="50.85"/>
    <n v="39.048749999999998"/>
    <n v="0"/>
    <n v="0"/>
    <n v="0"/>
    <n v="418.71876000000015"/>
    <n v="211.28123999999985"/>
    <n v="0.3353670476190474"/>
    <x v="0"/>
    <s v="MECANICA"/>
    <x v="3"/>
    <x v="1"/>
    <n v="3"/>
    <n v="1"/>
    <d v="2018-07-16T00:00:00"/>
    <s v="HYUNDAI"/>
    <s v="SANTA FE"/>
    <n v="431.3075"/>
    <d v="2018-07-16T00:00:00"/>
    <n v="0"/>
    <x v="1069"/>
  </r>
  <r>
    <d v="2018-07-26T00:00:00"/>
    <s v="001-00012921"/>
    <n v="2779.7369364366091"/>
    <n v="0"/>
    <n v="0"/>
    <n v="102.62711864406779"/>
    <n v="0"/>
    <n v="438.75"/>
    <n v="288.19537500000007"/>
    <n v="0"/>
    <n v="829.57249364406789"/>
    <n v="1950.1644427925412"/>
    <n v="0.70156438806489707"/>
    <x v="1"/>
    <s v="GRAVE"/>
    <x v="3"/>
    <x v="1"/>
    <n v="10"/>
    <n v="1"/>
    <d v="2018-07-16T00:00:00"/>
    <s v="HYUNDAI"/>
    <s v="I10"/>
    <n v="2133.7550000000001"/>
    <d v="2018-07-17T00:00:00"/>
    <n v="30"/>
    <x v="1"/>
  </r>
  <r>
    <d v="2018-07-27T00:00:00"/>
    <s v="001-00012922"/>
    <n v="739.15441235999992"/>
    <n v="0"/>
    <n v="0"/>
    <n v="2"/>
    <n v="0"/>
    <n v="36.5625"/>
    <n v="123.955"/>
    <n v="0"/>
    <n v="162.51749999999998"/>
    <n v="576.63691236"/>
    <n v="0.7801305149743909"/>
    <x v="1"/>
    <s v="LEVE"/>
    <x v="3"/>
    <x v="1"/>
    <n v="11"/>
    <n v="1"/>
    <d v="2018-07-16T00:00:00"/>
    <s v="MAZDA"/>
    <s v="MAZDA 3"/>
    <n v="146.54250000000002"/>
    <d v="2018-07-16T00:00:00"/>
    <n v="2.5"/>
    <x v="1"/>
  </r>
  <r>
    <d v="2018-07-27T00:00:00"/>
    <s v="001-00012923"/>
    <n v="2272.8776616"/>
    <n v="1.0172000000000001"/>
    <n v="0"/>
    <n v="20"/>
    <n v="0"/>
    <n v="292.5"/>
    <n v="247.91"/>
    <n v="0"/>
    <n v="561.42719999999997"/>
    <n v="1711.4504615999999"/>
    <n v="0.75298837703179256"/>
    <x v="1"/>
    <s v="MEDIANO"/>
    <x v="3"/>
    <x v="1"/>
    <n v="11"/>
    <n v="1"/>
    <d v="2018-07-16T00:00:00"/>
    <s v="SUZUKI"/>
    <s v="SWIFT"/>
    <n v="0"/>
    <d v="2018-07-17T00:00:00"/>
    <n v="20"/>
    <x v="1"/>
  </r>
  <r>
    <d v="2018-07-18T00:00:00"/>
    <s v="001-00012924"/>
    <n v="132.97638933680011"/>
    <n v="83.377601999999968"/>
    <n v="82.615000000000009"/>
    <n v="0"/>
    <n v="0"/>
    <n v="0"/>
    <n v="0"/>
    <n v="0"/>
    <n v="165.99260199999998"/>
    <n v="-33.016212663199866"/>
    <n v="-0.2482862771944952"/>
    <x v="0"/>
    <s v="LEVE"/>
    <x v="3"/>
    <x v="1"/>
    <n v="2"/>
    <n v="1"/>
    <d v="2018-07-16T00:00:00"/>
    <s v="KIA"/>
    <s v="PICANTO"/>
    <n v="0"/>
    <d v="2018-07-16T00:00:00"/>
    <n v="0"/>
    <x v="1047"/>
  </r>
  <r>
    <d v="2018-07-31T00:00:00"/>
    <s v="001-00012926"/>
    <n v="504.83068190081013"/>
    <n v="0"/>
    <n v="0"/>
    <n v="10"/>
    <n v="0"/>
    <n v="36.5625"/>
    <n v="77.471874999999997"/>
    <n v="0"/>
    <n v="124.034375"/>
    <n v="380.79630690081012"/>
    <n v="0.75430499879092039"/>
    <x v="1"/>
    <s v="LEVE"/>
    <x v="3"/>
    <x v="1"/>
    <n v="15"/>
    <n v="1"/>
    <d v="2018-07-16T00:00:00"/>
    <s v="HONDA"/>
    <s v="HR-V"/>
    <n v="738.95249999999999"/>
    <d v="2018-07-17T00:00:00"/>
    <n v="2.5"/>
    <x v="1"/>
  </r>
  <r>
    <d v="2018-07-30T00:00:00"/>
    <s v="001-00012927"/>
    <n v="1665.2353536000001"/>
    <n v="0"/>
    <n v="0"/>
    <n v="96.27"/>
    <n v="0"/>
    <n v="87.75"/>
    <n v="263.40437500000002"/>
    <n v="0"/>
    <n v="447.424375"/>
    <n v="1217.8109786"/>
    <n v="0.73131463127255092"/>
    <x v="1"/>
    <s v="LEVE"/>
    <x v="3"/>
    <x v="1"/>
    <n v="14"/>
    <n v="1"/>
    <d v="2018-07-16T00:00:00"/>
    <s v="VW"/>
    <s v="JETTA"/>
    <n v="296.46499999999997"/>
    <d v="2018-07-17T00:00:00"/>
    <n v="6"/>
    <x v="150"/>
  </r>
  <r>
    <d v="2018-07-19T00:00:00"/>
    <s v="001-00012930"/>
    <n v="193.107"/>
    <n v="0"/>
    <n v="0"/>
    <n v="0"/>
    <n v="0"/>
    <n v="0"/>
    <n v="61.977499999999999"/>
    <n v="0"/>
    <n v="61.977499999999999"/>
    <n v="131.12950000000001"/>
    <n v="0.67905099245496026"/>
    <x v="0"/>
    <s v="LEVE"/>
    <x v="3"/>
    <x v="1"/>
    <n v="2"/>
    <n v="1"/>
    <d v="2018-07-17T00:00:00"/>
    <s v="TOYOTA"/>
    <s v="RAV 4"/>
    <n v="0"/>
    <d v="2018-07-17T00:00:00"/>
    <n v="0"/>
    <x v="249"/>
  </r>
  <r>
    <d v="2018-07-20T00:00:00"/>
    <s v="001-00012931"/>
    <n v="390"/>
    <n v="157.84369875000002"/>
    <n v="0"/>
    <n v="42.37"/>
    <n v="43.875"/>
    <n v="0"/>
    <n v="0"/>
    <n v="0"/>
    <n v="244.08869875000002"/>
    <n v="145.91130124999998"/>
    <n v="0.37413154166666662"/>
    <x v="0"/>
    <s v="MECANICA"/>
    <x v="3"/>
    <x v="1"/>
    <n v="4"/>
    <n v="1"/>
    <d v="2018-07-16T00:00:00"/>
    <s v="NISSAN"/>
    <s v="URBAN"/>
    <n v="240.72749999999996"/>
    <d v="2018-07-18T00:00:00"/>
    <n v="0"/>
    <x v="1070"/>
  </r>
  <r>
    <d v="2018-07-24T00:00:00"/>
    <s v="001-00012932"/>
    <n v="487.07999999999993"/>
    <n v="0"/>
    <n v="0"/>
    <n v="0"/>
    <n v="0"/>
    <n v="29.25"/>
    <n v="92.966250000000002"/>
    <n v="0"/>
    <n v="122.21625"/>
    <n v="364.86374999999992"/>
    <n v="0.74908382606553336"/>
    <x v="1"/>
    <s v="LEVE"/>
    <x v="3"/>
    <x v="1"/>
    <n v="7"/>
    <n v="1"/>
    <d v="2018-07-17T00:00:00"/>
    <s v="HONDA"/>
    <s v="CR-V"/>
    <n v="1023.36"/>
    <d v="2018-07-04T00:00:00"/>
    <n v="2"/>
    <x v="1"/>
  </r>
  <r>
    <d v="2018-07-20T00:00:00"/>
    <s v="001-00012933"/>
    <n v="194.39819072299997"/>
    <n v="0"/>
    <n v="0"/>
    <n v="0"/>
    <n v="0"/>
    <n v="73.125"/>
    <n v="91.726700000000008"/>
    <n v="0"/>
    <n v="164.85169999999999"/>
    <n v="29.546490722999977"/>
    <n v="0.15198953556672284"/>
    <x v="4"/>
    <s v="S/TIPO"/>
    <x v="3"/>
    <x v="1"/>
    <n v="3"/>
    <n v="1"/>
    <d v="2018-07-17T00:00:00"/>
    <s v="S/MARCA"/>
    <s v="S/MODELO"/>
    <n v="0"/>
    <s v="F/Fecha"/>
    <n v="0"/>
    <x v="1071"/>
  </r>
  <r>
    <d v="2018-07-21T00:00:00"/>
    <s v="001-00012934"/>
    <n v="855.03599999999994"/>
    <n v="0"/>
    <n v="0"/>
    <n v="0"/>
    <n v="0"/>
    <n v="87.75"/>
    <n v="185.9325"/>
    <n v="0"/>
    <n v="273.6825"/>
    <n v="581.35349999999994"/>
    <n v="0.67991698595146866"/>
    <x v="0"/>
    <s v="LEVE"/>
    <x v="3"/>
    <x v="1"/>
    <n v="5"/>
    <n v="1"/>
    <d v="2018-07-16T00:00:00"/>
    <s v="TOYOTA"/>
    <s v="COROLLA"/>
    <n v="0"/>
    <d v="2018-07-17T00:00:00"/>
    <n v="6"/>
    <x v="823"/>
  </r>
  <r>
    <d v="2018-07-17T00:00:00"/>
    <s v="001-00012936"/>
    <n v="225"/>
    <n v="53.982699899999986"/>
    <n v="0"/>
    <n v="0"/>
    <n v="39.048749999999998"/>
    <n v="0"/>
    <n v="0"/>
    <n v="0"/>
    <n v="93.031449899999984"/>
    <n v="131.96855010000002"/>
    <n v="0.58652688933333341"/>
    <x v="0"/>
    <s v="MECANICA"/>
    <x v="3"/>
    <x v="1"/>
    <n v="1"/>
    <n v="1"/>
    <d v="2018-07-16T00:00:00"/>
    <s v="KIA"/>
    <s v="RIO"/>
    <n v="0"/>
    <d v="2018-07-17T00:00:00"/>
    <n v="0"/>
    <x v="157"/>
  </r>
  <r>
    <d v="2018-07-30T00:00:00"/>
    <s v="001-00012938"/>
    <n v="1528.8092492400001"/>
    <n v="0"/>
    <n v="0"/>
    <n v="61.313559322033896"/>
    <n v="0"/>
    <n v="204.75"/>
    <n v="204.52574999999999"/>
    <n v="0"/>
    <n v="470.58930932203384"/>
    <n v="1058.2199399179663"/>
    <n v="0.69218572588047023"/>
    <x v="1"/>
    <s v="MEDIANO"/>
    <x v="3"/>
    <x v="1"/>
    <n v="13"/>
    <n v="1"/>
    <d v="2018-07-17T00:00:00"/>
    <s v="HYUNDAI"/>
    <s v="CRETA"/>
    <n v="1220.31"/>
    <d v="2018-07-18T00:00:00"/>
    <n v="14"/>
    <x v="1"/>
  </r>
  <r>
    <d v="2018-07-17T00:00:00"/>
    <s v="001-00012940"/>
    <n v="707"/>
    <n v="115.42162289999999"/>
    <n v="0"/>
    <n v="0"/>
    <n v="39.048749999999998"/>
    <n v="0"/>
    <n v="0"/>
    <n v="0"/>
    <n v="154.47037289999997"/>
    <n v="552.52962709999997"/>
    <n v="0.7815129096181046"/>
    <x v="0"/>
    <s v="MECANICA"/>
    <x v="3"/>
    <x v="1"/>
    <n v="1"/>
    <n v="1"/>
    <d v="2018-07-16T00:00:00"/>
    <s v="KIA"/>
    <s v="SPORTAGE"/>
    <n v="120.3475"/>
    <d v="2018-07-17T00:00:00"/>
    <n v="0"/>
    <x v="223"/>
  </r>
  <r>
    <d v="2018-07-27T00:00:00"/>
    <s v="001-00012941"/>
    <n v="697.26056399999993"/>
    <n v="0"/>
    <n v="0"/>
    <n v="0"/>
    <n v="0"/>
    <n v="58.5"/>
    <n v="123.955"/>
    <n v="0"/>
    <n v="182.45499999999998"/>
    <n v="514.805564"/>
    <n v="0.73832594381459959"/>
    <x v="1"/>
    <s v="MEDIANO"/>
    <x v="3"/>
    <x v="1"/>
    <n v="10"/>
    <n v="1"/>
    <d v="2018-07-17T00:00:00"/>
    <s v="TOYOTA"/>
    <s v="YARIS"/>
    <n v="0"/>
    <d v="2018-07-16T00:00:00"/>
    <n v="4"/>
    <x v="78"/>
  </r>
  <r>
    <d v="2018-07-24T00:00:00"/>
    <s v="001-00012942"/>
    <n v="131.19999999999999"/>
    <n v="194.92"/>
    <n v="194.92"/>
    <n v="55.084745762711869"/>
    <n v="0"/>
    <n v="0"/>
    <n v="0"/>
    <n v="0"/>
    <n v="444.92474576271184"/>
    <n v="-313.72474576271185"/>
    <n v="-2.3911947085572551"/>
    <x v="4"/>
    <s v="S/TIPO"/>
    <x v="3"/>
    <x v="1"/>
    <n v="7"/>
    <n v="1"/>
    <d v="2018-07-17T00:00:00"/>
    <s v="S/MARCA"/>
    <s v="S/MODELO"/>
    <n v="0"/>
    <s v="F/Fecha"/>
    <n v="0"/>
    <x v="1072"/>
  </r>
  <r>
    <d v="2018-07-27T00:00:00"/>
    <s v="001-00012943"/>
    <n v="589.67999999999995"/>
    <n v="0"/>
    <n v="0"/>
    <n v="0"/>
    <n v="0"/>
    <n v="0"/>
    <n v="185.9325"/>
    <n v="0"/>
    <n v="185.9325"/>
    <n v="403.74749999999995"/>
    <n v="0.68468915343915338"/>
    <x v="0"/>
    <s v="MEDIANO"/>
    <x v="3"/>
    <x v="1"/>
    <n v="10"/>
    <n v="1"/>
    <d v="2018-07-17T00:00:00"/>
    <s v="KIA"/>
    <s v="SPORTAGE"/>
    <n v="0"/>
    <d v="2018-07-17T00:00:00"/>
    <n v="0"/>
    <x v="1060"/>
  </r>
  <r>
    <d v="2018-07-18T00:00:00"/>
    <s v="001-00012948"/>
    <n v="209.39830000000001"/>
    <n v="121.73169949999999"/>
    <n v="0"/>
    <n v="0"/>
    <n v="39.048749999999998"/>
    <n v="0"/>
    <n v="0"/>
    <n v="0"/>
    <n v="160.78044949999997"/>
    <n v="48.617850500000031"/>
    <n v="0.23217882141354554"/>
    <x v="0"/>
    <s v="MECANICA"/>
    <x v="3"/>
    <x v="1"/>
    <n v="0"/>
    <n v="1"/>
    <d v="2018-07-18T00:00:00"/>
    <s v="HYUNDAI"/>
    <s v="ACCENT"/>
    <n v="0"/>
    <d v="2018-07-18T00:00:00"/>
    <n v="0"/>
    <x v="1073"/>
  </r>
  <r>
    <d v="2018-07-20T00:00:00"/>
    <s v="001-00012949"/>
    <n v="1009"/>
    <n v="250.2236001"/>
    <n v="0"/>
    <n v="50.85"/>
    <n v="78.097499999999997"/>
    <n v="0"/>
    <n v="0"/>
    <n v="0"/>
    <n v="379.17110009999999"/>
    <n v="629.82889990000001"/>
    <n v="0.62421100089197223"/>
    <x v="0"/>
    <s v="MECANICA"/>
    <x v="3"/>
    <x v="1"/>
    <n v="2"/>
    <n v="1"/>
    <d v="2018-07-18T00:00:00"/>
    <s v="KIA"/>
    <s v="CERATO"/>
    <n v="401.21250000000003"/>
    <d v="2018-07-18T00:00:00"/>
    <n v="0"/>
    <x v="266"/>
  </r>
  <r>
    <d v="2018-07-26T00:00:00"/>
    <s v="001-00012950"/>
    <n v="2118.6440000000002"/>
    <n v="0"/>
    <n v="211.86"/>
    <n v="0"/>
    <n v="0"/>
    <n v="307.125"/>
    <n v="247.91"/>
    <n v="0"/>
    <n v="766.89499999999998"/>
    <n v="1351.7490000000003"/>
    <n v="0.63802554841681758"/>
    <x v="0"/>
    <s v="MEDIANO"/>
    <x v="3"/>
    <x v="1"/>
    <n v="8"/>
    <n v="1"/>
    <d v="2018-07-18T00:00:00"/>
    <s v="KIA"/>
    <s v="CERATO"/>
    <n v="0"/>
    <d v="2018-07-18T00:00:00"/>
    <n v="21"/>
    <x v="1074"/>
  </r>
  <r>
    <d v="2018-07-19T00:00:00"/>
    <s v="001-00012952"/>
    <n v="1898.4830749733915"/>
    <n v="785.32092"/>
    <n v="0"/>
    <n v="34.427966101694921"/>
    <n v="0"/>
    <n v="43.875"/>
    <n v="247.91"/>
    <n v="0"/>
    <n v="1111.5338861016949"/>
    <n v="786.94918887169661"/>
    <n v="0.41451472454276489"/>
    <x v="0"/>
    <s v="MEDIANO"/>
    <x v="3"/>
    <x v="1"/>
    <n v="1"/>
    <n v="1"/>
    <d v="2018-07-18T00:00:00"/>
    <s v="PEUGEOT"/>
    <n v="208"/>
    <n v="877.5"/>
    <d v="2018-07-18T00:00:00"/>
    <n v="3"/>
    <x v="1075"/>
  </r>
  <r>
    <d v="2018-07-21T00:00:00"/>
    <s v="001-00012954"/>
    <n v="25.423700000000004"/>
    <n v="0"/>
    <n v="0"/>
    <n v="0"/>
    <n v="0"/>
    <n v="0"/>
    <n v="0"/>
    <n v="0"/>
    <n v="0"/>
    <n v="25.423700000000004"/>
    <n v="1"/>
    <x v="0"/>
    <s v="MECANICA"/>
    <x v="3"/>
    <x v="1"/>
    <n v="3"/>
    <n v="1"/>
    <d v="2018-07-18T00:00:00"/>
    <s v="KIA"/>
    <s v="RIO"/>
    <n v="0"/>
    <d v="2018-07-18T00:00:00"/>
    <n v="0"/>
    <x v="1076"/>
  </r>
  <r>
    <d v="2018-07-30T00:00:00"/>
    <s v="001-00012956"/>
    <n v="658.47599999999989"/>
    <n v="0"/>
    <n v="0"/>
    <n v="0"/>
    <n v="0"/>
    <n v="87.75"/>
    <n v="123.955"/>
    <n v="0"/>
    <n v="211.70499999999998"/>
    <n v="446.7709999999999"/>
    <n v="0.6784924583432046"/>
    <x v="2"/>
    <s v="LEVE"/>
    <x v="3"/>
    <x v="1"/>
    <n v="12"/>
    <n v="1"/>
    <d v="2018-07-18T00:00:00"/>
    <s v="FIAT"/>
    <s v="UNO"/>
    <n v="0"/>
    <d v="2018-07-19T00:00:00"/>
    <n v="6"/>
    <x v="2"/>
  </r>
  <r>
    <d v="2018-07-21T00:00:00"/>
    <s v="001-00012962"/>
    <n v="299.15249999999997"/>
    <n v="108.75549949999998"/>
    <n v="0"/>
    <n v="0"/>
    <n v="39.048749999999998"/>
    <n v="0"/>
    <n v="0"/>
    <n v="0"/>
    <n v="147.80424949999997"/>
    <n v="151.34825050000001"/>
    <n v="0.50592340194382468"/>
    <x v="0"/>
    <s v="MECANICA"/>
    <x v="3"/>
    <x v="1"/>
    <n v="2"/>
    <n v="1"/>
    <d v="2018-07-19T00:00:00"/>
    <s v="KIA"/>
    <s v="PICANTO"/>
    <n v="0"/>
    <d v="2018-07-19T00:00:00"/>
    <n v="0"/>
    <x v="552"/>
  </r>
  <r>
    <d v="2018-07-20T00:00:00"/>
    <s v="001-00012965"/>
    <n v="61.457513399999996"/>
    <n v="0"/>
    <n v="0"/>
    <n v="0"/>
    <n v="0"/>
    <n v="0"/>
    <n v="15.494375"/>
    <n v="0"/>
    <n v="15.494375"/>
    <n v="45.963138399999998"/>
    <n v="0.74788477205132087"/>
    <x v="0"/>
    <s v="LEVE"/>
    <x v="3"/>
    <x v="1"/>
    <n v="1"/>
    <n v="1"/>
    <d v="2018-07-19T00:00:00"/>
    <s v="SUZUKI"/>
    <s v="CELERIO"/>
    <n v="0"/>
    <d v="2018-07-19T00:00:00"/>
    <n v="0"/>
    <x v="204"/>
  </r>
  <r>
    <d v="2018-07-30T00:00:00"/>
    <s v="001-00012968"/>
    <n v="614.24999999999977"/>
    <n v="0"/>
    <n v="0"/>
    <n v="0"/>
    <n v="0"/>
    <n v="29.25"/>
    <n v="123.955"/>
    <n v="0"/>
    <n v="153.20499999999998"/>
    <n v="461.04499999999979"/>
    <n v="0.75058201058201046"/>
    <x v="1"/>
    <s v="LEVE"/>
    <x v="3"/>
    <x v="1"/>
    <n v="11"/>
    <n v="1"/>
    <d v="2018-07-19T00:00:00"/>
    <s v="VW"/>
    <s v="JETTA"/>
    <n v="639.4375"/>
    <d v="2018-07-17T00:00:00"/>
    <n v="2"/>
    <x v="150"/>
  </r>
  <r>
    <d v="2018-07-21T00:00:00"/>
    <s v="001-00012969"/>
    <n v="311.21999999999997"/>
    <n v="0"/>
    <n v="0"/>
    <n v="76.27"/>
    <n v="0"/>
    <n v="87.75"/>
    <n v="185.9325"/>
    <n v="0"/>
    <n v="349.95249999999999"/>
    <n v="-38.732500000000016"/>
    <n v="-0.12445376261165741"/>
    <x v="4"/>
    <s v="S/TIPO"/>
    <x v="3"/>
    <x v="1"/>
    <n v="2"/>
    <n v="1"/>
    <d v="2018-07-19T00:00:00"/>
    <s v="S/MARCA"/>
    <s v="S/MODELO"/>
    <n v="0"/>
    <s v="F/Fecha"/>
    <n v="0"/>
    <x v="1077"/>
  </r>
  <r>
    <d v="2018-07-27T00:00:00"/>
    <s v="001-00012973"/>
    <n v="662.58475919999978"/>
    <n v="0"/>
    <n v="0"/>
    <n v="20"/>
    <n v="0"/>
    <n v="117"/>
    <n v="61.977499999999999"/>
    <n v="0"/>
    <n v="198.97749999999999"/>
    <n v="463.60725919999982"/>
    <n v="0.69969502431621877"/>
    <x v="1"/>
    <s v="MEDIANO"/>
    <x v="3"/>
    <x v="1"/>
    <n v="8"/>
    <n v="1"/>
    <d v="2018-07-19T00:00:00"/>
    <s v="NISSAN"/>
    <s v="VERSA"/>
    <n v="0"/>
    <d v="2018-07-21T00:00:00"/>
    <n v="8"/>
    <x v="1"/>
  </r>
  <r>
    <d v="2018-07-20T00:00:00"/>
    <s v="001-00012976"/>
    <n v="483.2373"/>
    <n v="182.38310149999995"/>
    <n v="85.157000000000011"/>
    <n v="0"/>
    <n v="39.048749999999998"/>
    <n v="0"/>
    <n v="0"/>
    <n v="0"/>
    <n v="306.58885149999998"/>
    <n v="176.64844850000003"/>
    <n v="0.36555218005729284"/>
    <x v="0"/>
    <s v="MECANICA"/>
    <x v="3"/>
    <x v="1"/>
    <n v="0"/>
    <n v="1"/>
    <d v="2018-07-20T00:00:00"/>
    <s v="KIA"/>
    <s v="PICANTO"/>
    <n v="0"/>
    <d v="2018-07-20T00:00:00"/>
    <n v="0"/>
    <x v="1078"/>
  </r>
  <r>
    <d v="2018-07-31T00:00:00"/>
    <s v="001-00012977"/>
    <n v="1104.882417047799"/>
    <n v="0"/>
    <n v="0"/>
    <n v="61.313559322033896"/>
    <n v="0"/>
    <n v="73.125"/>
    <n v="195.22912500000001"/>
    <n v="0"/>
    <n v="329.66768432203389"/>
    <n v="775.21473272576509"/>
    <n v="0.70162645433086668"/>
    <x v="1"/>
    <s v="LEVE"/>
    <x v="3"/>
    <x v="1"/>
    <n v="11"/>
    <n v="1"/>
    <d v="2018-07-20T00:00:00"/>
    <s v="MAZDA"/>
    <s v="MAZDA 3"/>
    <n v="2911.1224999999999"/>
    <d v="2018-07-20T00:00:00"/>
    <n v="5"/>
    <x v="1"/>
  </r>
  <r>
    <d v="2018-07-23T00:00:00"/>
    <s v="001-00012978"/>
    <n v="2118.6440000000002"/>
    <n v="1119.7314509999999"/>
    <n v="991.51"/>
    <n v="0"/>
    <n v="78.097499999999997"/>
    <n v="0"/>
    <n v="0"/>
    <n v="0"/>
    <n v="2189.3389509999997"/>
    <n v="-70.694950999999492"/>
    <n v="-3.3368017939776333E-2"/>
    <x v="0"/>
    <s v="MECANICA"/>
    <x v="3"/>
    <x v="1"/>
    <n v="3"/>
    <n v="1"/>
    <d v="2018-07-20T00:00:00"/>
    <s v="CHERY"/>
    <s v="TIGGO"/>
    <n v="0"/>
    <d v="2018-07-20T00:00:00"/>
    <n v="0"/>
    <x v="839"/>
  </r>
  <r>
    <d v="2018-07-25T00:00:00"/>
    <s v="001-00012979"/>
    <n v="4473"/>
    <n v="0"/>
    <n v="0"/>
    <n v="0"/>
    <n v="0"/>
    <n v="0"/>
    <n v="0"/>
    <n v="0"/>
    <n v="0"/>
    <n v="4473"/>
    <n v="1"/>
    <x v="4"/>
    <s v="S/TIPO"/>
    <x v="3"/>
    <x v="1"/>
    <n v="5"/>
    <n v="1"/>
    <d v="2018-07-20T00:00:00"/>
    <s v="S/MARCA"/>
    <s v="S/MODELO"/>
    <n v="0"/>
    <s v="F/Fecha"/>
    <n v="0"/>
    <x v="871"/>
  </r>
  <r>
    <d v="2018-07-27T00:00:00"/>
    <s v="001-00012983"/>
    <n v="581.49"/>
    <n v="0"/>
    <n v="0"/>
    <n v="0"/>
    <n v="0"/>
    <n v="65.8125"/>
    <n v="123.955"/>
    <n v="0"/>
    <n v="189.76749999999998"/>
    <n v="391.72250000000003"/>
    <n v="0.67365302928683213"/>
    <x v="0"/>
    <s v="MEDIANO"/>
    <x v="3"/>
    <x v="1"/>
    <n v="6"/>
    <n v="1"/>
    <d v="2018-07-21T00:00:00"/>
    <s v="NISSAN"/>
    <s v="QASHQAI"/>
    <n v="0"/>
    <d v="2018-07-21T00:00:00"/>
    <n v="4.5"/>
    <x v="1068"/>
  </r>
  <r>
    <d v="2018-07-21T00:00:00"/>
    <s v="001-00012984"/>
    <n v="199"/>
    <n v="54.505499499999985"/>
    <n v="0"/>
    <n v="0"/>
    <n v="39.048749999999998"/>
    <n v="0"/>
    <n v="0"/>
    <n v="0"/>
    <n v="93.554249499999983"/>
    <n v="105.44575050000002"/>
    <n v="0.52987814321608051"/>
    <x v="0"/>
    <s v="MECANICA"/>
    <x v="3"/>
    <x v="1"/>
    <n v="0"/>
    <n v="1"/>
    <d v="2018-07-21T00:00:00"/>
    <s v="HYUNDAI"/>
    <s v="ACCENT"/>
    <n v="0"/>
    <d v="2018-07-21T00:00:00"/>
    <n v="0"/>
    <x v="1079"/>
  </r>
  <r>
    <d v="2018-07-23T00:00:00"/>
    <s v="001-00012994"/>
    <n v="49.14"/>
    <n v="0"/>
    <n v="0"/>
    <n v="0"/>
    <n v="0"/>
    <n v="14.625"/>
    <n v="0"/>
    <n v="0"/>
    <n v="14.625"/>
    <n v="34.515000000000001"/>
    <n v="0.70238095238095244"/>
    <x v="0"/>
    <s v="LEVE"/>
    <x v="3"/>
    <x v="1"/>
    <n v="0"/>
    <n v="1"/>
    <d v="2018-07-23T00:00:00"/>
    <s v="SUZUKI"/>
    <s v="SWIFT"/>
    <n v="0"/>
    <d v="2018-07-23T00:00:00"/>
    <n v="1"/>
    <x v="1080"/>
  </r>
  <r>
    <d v="2018-07-23T00:00:00"/>
    <s v="001-00012995"/>
    <n v="550"/>
    <n v="146.16162699999998"/>
    <n v="0"/>
    <n v="0"/>
    <n v="39.048749999999998"/>
    <n v="0"/>
    <n v="0"/>
    <n v="0"/>
    <n v="185.21037699999999"/>
    <n v="364.78962300000001"/>
    <n v="0.66325385999999997"/>
    <x v="0"/>
    <s v="MECANICA"/>
    <x v="3"/>
    <x v="1"/>
    <n v="0"/>
    <n v="1"/>
    <d v="2018-07-23T00:00:00"/>
    <s v="FORD"/>
    <s v="ECOSPORT"/>
    <n v="0"/>
    <d v="2018-07-23T00:00:00"/>
    <n v="0"/>
    <x v="180"/>
  </r>
  <r>
    <d v="2018-07-25T00:00:00"/>
    <s v="001-00012996"/>
    <n v="1503"/>
    <n v="618.45979599999998"/>
    <n v="0"/>
    <n v="0"/>
    <n v="43.875"/>
    <n v="0"/>
    <n v="0"/>
    <n v="0"/>
    <n v="662.33479599999998"/>
    <n v="840.66520400000002"/>
    <n v="0.55932481969394543"/>
    <x v="0"/>
    <s v="MECANICA"/>
    <x v="3"/>
    <x v="1"/>
    <n v="2"/>
    <n v="1"/>
    <d v="2018-07-23T00:00:00"/>
    <s v="KIA"/>
    <s v="RIO"/>
    <n v="1116.375"/>
    <d v="2018-07-23T00:00:00"/>
    <n v="0"/>
    <x v="946"/>
  </r>
  <r>
    <d v="2018-07-27T00:00:00"/>
    <s v="001-00013008"/>
    <n v="1368.7849014840001"/>
    <n v="0"/>
    <n v="0"/>
    <n v="55.084745762711869"/>
    <n v="0"/>
    <n v="58.5"/>
    <n v="356.37062500000002"/>
    <n v="0"/>
    <n v="469.95537076271188"/>
    <n v="898.82953072128817"/>
    <n v="0.65666236509973275"/>
    <x v="0"/>
    <s v="LEVE"/>
    <x v="3"/>
    <x v="1"/>
    <n v="4"/>
    <n v="1"/>
    <d v="2018-07-23T00:00:00"/>
    <s v="CHEVROLET"/>
    <s v="SAIL"/>
    <n v="0"/>
    <d v="2018-07-23T00:00:00"/>
    <n v="4"/>
    <x v="315"/>
  </r>
  <r>
    <d v="2018-07-25T00:00:00"/>
    <s v="001-00013010"/>
    <n v="25.423700000000004"/>
    <n v="0"/>
    <n v="0"/>
    <n v="25.42"/>
    <n v="0"/>
    <n v="0"/>
    <n v="0"/>
    <n v="0"/>
    <n v="25.42"/>
    <n v="3.700000000002035E-3"/>
    <n v="1.4553349827137806E-4"/>
    <x v="0"/>
    <s v="MEDIANO"/>
    <x v="3"/>
    <x v="1"/>
    <n v="2"/>
    <n v="1"/>
    <d v="2018-07-23T00:00:00"/>
    <s v="KIA"/>
    <s v="SPORTAGE"/>
    <n v="0"/>
    <d v="2018-07-23T00:00:00"/>
    <n v="0"/>
    <x v="1081"/>
  </r>
  <r>
    <d v="2018-07-26T00:00:00"/>
    <s v="001-00013013"/>
    <n v="729"/>
    <n v="280.724313"/>
    <n v="0"/>
    <n v="0"/>
    <n v="39.048749999999998"/>
    <n v="0"/>
    <n v="0"/>
    <n v="0"/>
    <n v="319.77306299999998"/>
    <n v="409.22693700000002"/>
    <n v="0.56135382304526749"/>
    <x v="0"/>
    <s v="MECANICA"/>
    <x v="3"/>
    <x v="1"/>
    <n v="2"/>
    <n v="1"/>
    <d v="2018-07-24T00:00:00"/>
    <s v="JEEP"/>
    <s v="COMPASS"/>
    <n v="0"/>
    <d v="2018-07-24T00:00:00"/>
    <n v="0"/>
    <x v="655"/>
  </r>
  <r>
    <d v="2018-07-24T00:00:00"/>
    <s v="001-00013014"/>
    <n v="449"/>
    <n v="100.88660369999999"/>
    <n v="0"/>
    <n v="0"/>
    <n v="39.048749999999998"/>
    <n v="0"/>
    <n v="0"/>
    <n v="0"/>
    <n v="139.93535370000001"/>
    <n v="309.06464629999999"/>
    <n v="0.68833996948775056"/>
    <x v="0"/>
    <s v="MECANICA"/>
    <x v="3"/>
    <x v="1"/>
    <n v="0"/>
    <n v="1"/>
    <d v="2018-07-24T00:00:00"/>
    <s v="NISSAN"/>
    <s v="VERSA"/>
    <n v="0"/>
    <d v="2018-07-24T00:00:00"/>
    <n v="0"/>
    <x v="1082"/>
  </r>
  <r>
    <d v="2018-07-24T00:00:00"/>
    <s v="001-00013015"/>
    <n v="549"/>
    <n v="126.93880430000002"/>
    <n v="0"/>
    <n v="0"/>
    <n v="39.048749999999998"/>
    <n v="0"/>
    <n v="0"/>
    <n v="0"/>
    <n v="165.9875543"/>
    <n v="383.0124457"/>
    <n v="0.69765472805100182"/>
    <x v="0"/>
    <s v="MECANICA"/>
    <x v="3"/>
    <x v="1"/>
    <n v="0"/>
    <n v="1"/>
    <d v="2018-07-24T00:00:00"/>
    <s v="MAZDA"/>
    <s v="MAZDA 3"/>
    <n v="0"/>
    <d v="2018-07-24T00:00:00"/>
    <n v="0"/>
    <x v="921"/>
  </r>
  <r>
    <d v="2018-07-24T00:00:00"/>
    <s v="001-00013017"/>
    <n v="449"/>
    <n v="67.734800000000007"/>
    <n v="0"/>
    <n v="0"/>
    <n v="39.048749999999998"/>
    <n v="0"/>
    <n v="0"/>
    <n v="0"/>
    <n v="106.78355000000001"/>
    <n v="342.21645000000001"/>
    <n v="0.76217472160356348"/>
    <x v="0"/>
    <s v="MECANICA"/>
    <x v="3"/>
    <x v="1"/>
    <n v="0"/>
    <n v="1"/>
    <d v="2018-07-24T00:00:00"/>
    <s v="KIA"/>
    <s v="RIO"/>
    <n v="0"/>
    <d v="2018-07-24T00:00:00"/>
    <n v="0"/>
    <x v="169"/>
  </r>
  <r>
    <d v="2018-07-27T00:00:00"/>
    <s v="001-00013019"/>
    <n v="2235"/>
    <n v="584.65628349999997"/>
    <n v="0"/>
    <n v="77.12"/>
    <n v="39.048749999999998"/>
    <n v="0"/>
    <n v="0"/>
    <n v="0"/>
    <n v="700.82503350000002"/>
    <n v="1534.1749665"/>
    <n v="0.68643175234899323"/>
    <x v="0"/>
    <s v="MECANICA"/>
    <x v="3"/>
    <x v="1"/>
    <n v="3"/>
    <n v="1"/>
    <d v="2018-07-24T00:00:00"/>
    <s v="SUZUKI"/>
    <s v="SWIFT"/>
    <n v="1188.6224999999999"/>
    <d v="2018-07-24T00:00:00"/>
    <n v="0"/>
    <x v="497"/>
  </r>
  <r>
    <d v="2018-07-26T00:00:00"/>
    <s v="001-00013032"/>
    <n v="506.62710200000004"/>
    <n v="280.47794699999997"/>
    <n v="0"/>
    <n v="0"/>
    <n v="39.048749999999998"/>
    <n v="0"/>
    <n v="0"/>
    <n v="0"/>
    <n v="319.52669699999996"/>
    <n v="187.10040500000008"/>
    <n v="0.36930595355319162"/>
    <x v="0"/>
    <s v="MECANICA"/>
    <x v="3"/>
    <x v="1"/>
    <n v="1"/>
    <n v="1"/>
    <d v="2018-07-25T00:00:00"/>
    <s v="FORD"/>
    <s v="ESCAPE"/>
    <n v="0"/>
    <d v="2018-07-25T00:00:00"/>
    <n v="0"/>
    <x v="299"/>
  </r>
  <r>
    <d v="2018-07-26T00:00:00"/>
    <s v="001-00013034"/>
    <n v="1119"/>
    <n v="380.18760310000005"/>
    <n v="0"/>
    <n v="38.14"/>
    <n v="78.097499999999997"/>
    <n v="0"/>
    <n v="0"/>
    <n v="0"/>
    <n v="496.4251031"/>
    <n v="622.5748969"/>
    <n v="0.55636720008936547"/>
    <x v="0"/>
    <s v="MECANICA"/>
    <x v="3"/>
    <x v="1"/>
    <n v="0"/>
    <n v="1"/>
    <d v="2018-07-26T00:00:00"/>
    <s v="KIA"/>
    <s v="OPTIMA"/>
    <n v="521.59249999999997"/>
    <d v="2018-07-26T00:00:00"/>
    <n v="0"/>
    <x v="1083"/>
  </r>
  <r>
    <d v="2018-07-31T00:00:00"/>
    <s v="001-00013035"/>
    <n v="623.89842525179984"/>
    <n v="0"/>
    <n v="0"/>
    <n v="305.08"/>
    <n v="0"/>
    <n v="0"/>
    <n v="61.977499999999999"/>
    <n v="0"/>
    <n v="367.0575"/>
    <n v="256.84092525179983"/>
    <n v="0.41167105871142584"/>
    <x v="0"/>
    <s v="LEVE"/>
    <x v="3"/>
    <x v="1"/>
    <n v="5"/>
    <n v="1"/>
    <d v="2018-07-26T00:00:00"/>
    <s v="HONDA"/>
    <s v="HR-V"/>
    <n v="0"/>
    <d v="2018-07-26T00:00:00"/>
    <n v="0"/>
    <x v="1084"/>
  </r>
  <r>
    <d v="2018-07-27T00:00:00"/>
    <s v="001-00013042"/>
    <n v="169.49150000000006"/>
    <n v="0"/>
    <n v="0"/>
    <n v="0"/>
    <n v="29.25"/>
    <n v="0"/>
    <n v="0"/>
    <n v="0"/>
    <n v="29.25"/>
    <n v="140.24150000000006"/>
    <n v="0.82742497411374616"/>
    <x v="0"/>
    <s v="MECANICA"/>
    <x v="3"/>
    <x v="1"/>
    <n v="0"/>
    <n v="1"/>
    <d v="2018-07-27T00:00:00"/>
    <s v="FORD"/>
    <s v="ESCAPE"/>
    <n v="170.00749999999999"/>
    <d v="2018-07-27T00:00:00"/>
    <n v="0"/>
    <x v="299"/>
  </r>
  <r>
    <d v="2018-07-27T00:00:00"/>
    <s v="001-00013048"/>
    <n v="404.10169999999999"/>
    <n v="74.648525099999986"/>
    <n v="0"/>
    <n v="0"/>
    <n v="39.048749999999998"/>
    <n v="0"/>
    <n v="0"/>
    <n v="0"/>
    <n v="113.69727509999998"/>
    <n v="290.40442489999998"/>
    <n v="0.71864192825716888"/>
    <x v="0"/>
    <s v="MECANICA"/>
    <x v="3"/>
    <x v="1"/>
    <n v="0"/>
    <n v="1"/>
    <d v="2018-07-27T00:00:00"/>
    <s v="HYUNDAI"/>
    <s v="TUCSON"/>
    <n v="0"/>
    <d v="2018-07-27T00:00:00"/>
    <n v="0"/>
    <x v="4"/>
  </r>
  <r>
    <d v="2018-07-30T00:00:00"/>
    <s v="001-00013059"/>
    <n v="449"/>
    <n v="108.64882359999999"/>
    <n v="0"/>
    <n v="0"/>
    <n v="39.048749999999998"/>
    <n v="0"/>
    <n v="0"/>
    <n v="0"/>
    <n v="147.6975736"/>
    <n v="301.3024264"/>
    <n v="0.67105217461024502"/>
    <x v="0"/>
    <s v="MECANICA"/>
    <x v="3"/>
    <x v="1"/>
    <n v="0"/>
    <n v="1"/>
    <d v="2018-07-30T00:00:00"/>
    <s v="SUZUKI"/>
    <s v="APV"/>
    <n v="0"/>
    <d v="2018-07-30T00:00:00"/>
    <n v="0"/>
    <x v="1085"/>
  </r>
  <r>
    <d v="2018-07-30T00:00:00"/>
    <s v="001-00013064"/>
    <n v="506.62710200000004"/>
    <n v="101.31030370000001"/>
    <n v="0"/>
    <n v="0"/>
    <n v="39.048749999999998"/>
    <n v="0"/>
    <n v="0"/>
    <n v="0"/>
    <n v="140.3590537"/>
    <n v="366.26804830000003"/>
    <n v="0.72295391788969077"/>
    <x v="0"/>
    <s v="MECANICA"/>
    <x v="3"/>
    <x v="1"/>
    <n v="0"/>
    <n v="1"/>
    <d v="2018-07-30T00:00:00"/>
    <s v="MAZDA"/>
    <s v="CX-5"/>
    <n v="0"/>
    <d v="2018-07-30T00:00:00"/>
    <n v="0"/>
    <x v="1086"/>
  </r>
  <r>
    <d v="2018-07-31T00:00:00"/>
    <s v="001-00013076"/>
    <n v="1032.6271019999999"/>
    <n v="346.23589909999998"/>
    <n v="0"/>
    <n v="38.14"/>
    <n v="78.097499999999997"/>
    <n v="0"/>
    <n v="0"/>
    <n v="0"/>
    <n v="462.47339909999994"/>
    <n v="570.15370289999998"/>
    <n v="0.55213900719409936"/>
    <x v="0"/>
    <s v="MECANICA"/>
    <x v="3"/>
    <x v="1"/>
    <n v="1"/>
    <n v="1"/>
    <d v="2018-07-30T00:00:00"/>
    <s v="HYUNDAI"/>
    <s v="ELANTRA"/>
    <n v="441.21999999999997"/>
    <d v="2018-07-30T00:00:00"/>
    <n v="0"/>
    <x v="1087"/>
  </r>
  <r>
    <d v="2018-07-31T00:00:00"/>
    <s v="001-00013085"/>
    <n v="349"/>
    <n v="64.495225099999985"/>
    <n v="0"/>
    <n v="0"/>
    <n v="39.048749999999998"/>
    <n v="0"/>
    <n v="0"/>
    <n v="0"/>
    <n v="103.54397509999998"/>
    <n v="245.45602490000002"/>
    <n v="0.70331239226361031"/>
    <x v="0"/>
    <s v="MECANICA"/>
    <x v="3"/>
    <x v="1"/>
    <n v="0"/>
    <n v="1"/>
    <d v="2018-07-31T00:00:00"/>
    <s v="KIA"/>
    <s v="CARENS"/>
    <n v="0"/>
    <d v="2018-07-31T00:00:00"/>
    <n v="0"/>
    <x v="884"/>
  </r>
  <r>
    <d v="2018-07-31T00:00:00"/>
    <s v="001-00013092"/>
    <n v="403.29660000000001"/>
    <n v="288.14001000000002"/>
    <n v="0"/>
    <n v="0"/>
    <n v="0"/>
    <n v="0"/>
    <n v="0"/>
    <n v="0"/>
    <n v="288.14001000000002"/>
    <n v="115.15658999999999"/>
    <n v="0.28553821182722589"/>
    <x v="0"/>
    <s v="MECANICA"/>
    <x v="3"/>
    <x v="1"/>
    <n v="1"/>
    <n v="1"/>
    <d v="2018-07-30T00:00:00"/>
    <s v="KIA"/>
    <s v="SPORTAGE"/>
    <n v="404.52749999999997"/>
    <d v="2018-07-31T00:00:00"/>
    <n v="0"/>
    <x v="1088"/>
  </r>
  <r>
    <d v="2018-08-14T00:00:00"/>
    <s v="001-00011849"/>
    <n v="601.52096855200023"/>
    <n v="0"/>
    <n v="0"/>
    <n v="0"/>
    <n v="0"/>
    <n v="117"/>
    <n v="139.449375"/>
    <n v="0"/>
    <n v="256.44937500000003"/>
    <n v="345.07159355200019"/>
    <n v="0.57366511159647049"/>
    <x v="1"/>
    <s v="MEDIANO"/>
    <x v="4"/>
    <x v="1"/>
    <n v="153"/>
    <n v="1"/>
    <d v="2018-03-14T00:00:00"/>
    <s v="CHEVROLET"/>
    <s v="SPIN"/>
    <n v="1173.2175"/>
    <d v="2018-03-15T00:00:00"/>
    <n v="8"/>
    <x v="822"/>
  </r>
  <r>
    <d v="2018-08-25T00:00:00"/>
    <s v="001-00012233"/>
    <n v="6277.1634758364398"/>
    <n v="63.053598950000001"/>
    <n v="0"/>
    <n v="75.084745762711862"/>
    <n v="125.77499999999999"/>
    <n v="760.5"/>
    <n v="712.74125000000004"/>
    <n v="0"/>
    <n v="1737.154594712712"/>
    <n v="4540.0088811237274"/>
    <n v="0.72325802866218414"/>
    <x v="1"/>
    <s v="GRAVE"/>
    <x v="4"/>
    <x v="1"/>
    <n v="114"/>
    <n v="1"/>
    <d v="2018-05-03T00:00:00"/>
    <s v="CHEVROLET"/>
    <s v="SAIL"/>
    <n v="6946.42"/>
    <d v="2018-05-08T00:00:00"/>
    <n v="52"/>
    <x v="1"/>
  </r>
  <r>
    <d v="2018-08-22T00:00:00"/>
    <s v="001-00012350"/>
    <n v="3871.2617644854208"/>
    <n v="1.7794000100000003"/>
    <n v="0"/>
    <n v="152.54"/>
    <n v="81.899999999999991"/>
    <n v="380.25"/>
    <n v="542.30312500000002"/>
    <n v="0"/>
    <n v="1158.77252501"/>
    <n v="2712.4892394754206"/>
    <n v="0.70067316665577439"/>
    <x v="1"/>
    <s v="MEDIANO"/>
    <x v="4"/>
    <x v="1"/>
    <n v="98"/>
    <n v="1"/>
    <d v="2018-05-16T00:00:00"/>
    <s v="VOLKSWAGUEN"/>
    <s v="CROSSFOX"/>
    <n v="7844.9475000000002"/>
    <d v="2018-05-17T00:00:00"/>
    <n v="26"/>
    <x v="1089"/>
  </r>
  <r>
    <d v="2018-08-06T00:00:00"/>
    <s v="001-00012457"/>
    <n v="907.67466875084995"/>
    <n v="0"/>
    <n v="0"/>
    <n v="88.855932203389841"/>
    <n v="0"/>
    <n v="58.5"/>
    <n v="154.94374999999999"/>
    <n v="0"/>
    <n v="302.29968220338981"/>
    <n v="605.37498654746014"/>
    <n v="0.66695150519137281"/>
    <x v="1"/>
    <s v="LEVE"/>
    <x v="4"/>
    <x v="1"/>
    <n v="69"/>
    <n v="1"/>
    <d v="2018-05-29T00:00:00"/>
    <s v="TOYOTA"/>
    <s v="RAV 4"/>
    <n v="3130.14"/>
    <d v="2018-06-20T00:00:00"/>
    <n v="4"/>
    <x v="1"/>
  </r>
  <r>
    <d v="2018-08-14T00:00:00"/>
    <s v="001-00012469"/>
    <n v="1429.24784297627"/>
    <n v="0"/>
    <n v="0"/>
    <n v="76.27"/>
    <n v="38.025000000000006"/>
    <n v="117"/>
    <n v="182.21385000000001"/>
    <n v="0"/>
    <n v="413.50885000000005"/>
    <n v="1015.73899297627"/>
    <n v="0.71068079477460822"/>
    <x v="1"/>
    <s v="MEDIANO"/>
    <x v="4"/>
    <x v="1"/>
    <n v="76"/>
    <n v="1"/>
    <d v="2018-05-30T00:00:00"/>
    <s v="SUZUKI"/>
    <s v="BALENO"/>
    <n v="3215.4524999999999"/>
    <d v="2018-05-31T00:00:00"/>
    <n v="8"/>
    <x v="972"/>
  </r>
  <r>
    <d v="2018-08-02T00:00:00"/>
    <s v="001-00012525"/>
    <n v="2665.8500814000008"/>
    <n v="34.715901399999993"/>
    <n v="21.19"/>
    <n v="104.75"/>
    <n v="62.887499999999996"/>
    <n v="234"/>
    <n v="340.87625000000003"/>
    <n v="0"/>
    <n v="798.41965140000002"/>
    <n v="1867.4304300000008"/>
    <n v="0.70050091827343075"/>
    <x v="1"/>
    <s v="MEDIANO"/>
    <x v="4"/>
    <x v="1"/>
    <n v="59"/>
    <n v="1"/>
    <d v="2018-06-04T00:00:00"/>
    <s v="SUZUKI"/>
    <s v="ERTIGA"/>
    <n v="6209.84"/>
    <d v="2018-06-06T00:00:00"/>
    <n v="16"/>
    <x v="1"/>
  </r>
  <r>
    <d v="2018-08-29T00:00:00"/>
    <s v="001-00012532"/>
    <n v="1271.3549850413092"/>
    <n v="0"/>
    <n v="0"/>
    <n v="20"/>
    <n v="0"/>
    <n v="87.75"/>
    <n v="263.40437500000002"/>
    <n v="0"/>
    <n v="371.15437500000002"/>
    <n v="900.20061004130912"/>
    <n v="0.70806393228721998"/>
    <x v="1"/>
    <s v="LEVE"/>
    <x v="4"/>
    <x v="1"/>
    <n v="85"/>
    <n v="1"/>
    <d v="2018-06-05T00:00:00"/>
    <s v="RENAULT"/>
    <s v="STEPWAY"/>
    <n v="5092.4250000000002"/>
    <d v="2018-06-07T00:00:00"/>
    <n v="6"/>
    <x v="1025"/>
  </r>
  <r>
    <d v="2018-08-08T00:00:00"/>
    <s v="001-00012535"/>
    <n v="2423.4055317000007"/>
    <n v="0.76249999999999996"/>
    <n v="0"/>
    <n v="117.58355932203389"/>
    <n v="1.4625000000000001"/>
    <n v="321.75"/>
    <n v="288.19537500000007"/>
    <n v="0"/>
    <n v="729.75393432203396"/>
    <n v="1693.6515973779667"/>
    <n v="0.69887254742291638"/>
    <x v="1"/>
    <s v="MEDIANO"/>
    <x v="4"/>
    <x v="1"/>
    <n v="64"/>
    <n v="1"/>
    <d v="2018-06-05T00:00:00"/>
    <s v="NISSAN"/>
    <s v="MARCH"/>
    <n v="2027.0900000000001"/>
    <d v="2018-06-06T00:00:00"/>
    <n v="22"/>
    <x v="989"/>
  </r>
  <r>
    <d v="2018-08-22T00:00:00"/>
    <s v="001-00012562"/>
    <n v="693.87178936304963"/>
    <n v="0"/>
    <n v="0"/>
    <n v="0"/>
    <n v="0"/>
    <n v="117"/>
    <n v="247.91"/>
    <n v="0"/>
    <n v="364.90999999999997"/>
    <n v="328.96178936304966"/>
    <n v="0.47409592723898636"/>
    <x v="1"/>
    <s v="LEVE"/>
    <x v="4"/>
    <x v="1"/>
    <n v="75"/>
    <n v="1"/>
    <d v="2018-06-08T00:00:00"/>
    <s v="MITSUBISHI"/>
    <s v="LANCER"/>
    <n v="6965.5299999999988"/>
    <d v="2018-06-12T00:00:00"/>
    <n v="8"/>
    <x v="992"/>
  </r>
  <r>
    <d v="2018-08-02T00:00:00"/>
    <s v="001-00012637"/>
    <n v="3832.5826220254203"/>
    <n v="1086.82"/>
    <n v="50.85"/>
    <n v="0"/>
    <n v="0"/>
    <n v="482.625"/>
    <n v="170.43812500000001"/>
    <n v="0"/>
    <n v="1790.7331249999997"/>
    <n v="2041.8494970254205"/>
    <n v="0.53276072518075457"/>
    <x v="0"/>
    <s v="MEDIANO"/>
    <x v="4"/>
    <x v="1"/>
    <n v="48"/>
    <n v="1"/>
    <d v="2018-06-15T00:00:00"/>
    <s v="TOYOTA"/>
    <s v="HILUX"/>
    <n v="1586"/>
    <d v="2018-07-19T00:00:00"/>
    <n v="33"/>
    <x v="999"/>
  </r>
  <r>
    <d v="2018-08-29T00:00:00"/>
    <s v="001-00012654"/>
    <n v="107.89233152458002"/>
    <n v="0"/>
    <n v="0"/>
    <n v="0"/>
    <n v="0"/>
    <n v="0"/>
    <n v="15.494375"/>
    <n v="0"/>
    <n v="15.494375"/>
    <n v="92.39795652458001"/>
    <n v="0.85639039604524558"/>
    <x v="1"/>
    <s v="LEVE"/>
    <x v="4"/>
    <x v="1"/>
    <n v="72"/>
    <n v="1"/>
    <d v="2018-06-18T00:00:00"/>
    <s v="HYUNDAI"/>
    <s v="SANTA FE"/>
    <n v="1478.0025000000001"/>
    <d v="2018-06-20T00:00:00"/>
    <n v="0"/>
    <x v="1"/>
  </r>
  <r>
    <d v="2018-08-10T00:00:00"/>
    <s v="001-00012659"/>
    <n v="752.12907888289999"/>
    <n v="0"/>
    <n v="0"/>
    <n v="41.313559322033896"/>
    <n v="2.9250000000000003"/>
    <n v="36.5625"/>
    <n v="123.955"/>
    <n v="0"/>
    <n v="204.75605932203388"/>
    <n v="547.37301956086617"/>
    <n v="0.72776473470996783"/>
    <x v="1"/>
    <s v="LEVE"/>
    <x v="4"/>
    <x v="1"/>
    <n v="53"/>
    <n v="1"/>
    <d v="2018-06-18T00:00:00"/>
    <s v="NISSAN"/>
    <s v="KICKS"/>
    <n v="1785.42"/>
    <d v="2018-06-19T00:00:00"/>
    <n v="2.5"/>
    <x v="1014"/>
  </r>
  <r>
    <d v="2018-08-22T00:00:00"/>
    <s v="001-00012675"/>
    <n v="2205.0680667999995"/>
    <n v="5.4759001999999999"/>
    <n v="0"/>
    <n v="105.40677966101694"/>
    <n v="30.712500000000002"/>
    <n v="204.75"/>
    <n v="309.88749999999999"/>
    <n v="0"/>
    <n v="656.232679861017"/>
    <n v="1548.8353869389825"/>
    <n v="0.70239799408399051"/>
    <x v="1"/>
    <s v="MEDIANO"/>
    <x v="4"/>
    <x v="1"/>
    <n v="63"/>
    <n v="1"/>
    <d v="2018-06-20T00:00:00"/>
    <s v="MITSUBISHI"/>
    <s v="L200"/>
    <n v="12599.535"/>
    <d v="2018-06-22T00:00:00"/>
    <n v="14"/>
    <x v="1"/>
  </r>
  <r>
    <d v="2018-08-01T00:00:00"/>
    <s v="001-00012683"/>
    <n v="2074.8201632110199"/>
    <n v="0"/>
    <n v="0"/>
    <n v="76.27"/>
    <n v="2.9250000000000003"/>
    <n v="175.5"/>
    <n v="340.87625000000003"/>
    <n v="0"/>
    <n v="595.57124999999996"/>
    <n v="1479.24891321102"/>
    <n v="0.71295283294418843"/>
    <x v="1"/>
    <s v="MEDIANO"/>
    <x v="4"/>
    <x v="1"/>
    <n v="41"/>
    <n v="1"/>
    <d v="2018-06-21T00:00:00"/>
    <s v="NISSAN"/>
    <s v="QASHQAI"/>
    <n v="3657.875"/>
    <d v="2018-06-22T00:00:00"/>
    <n v="12"/>
    <x v="1018"/>
  </r>
  <r>
    <d v="2018-08-09T00:00:00"/>
    <s v="001-00012744"/>
    <n v="2899.8804720000003"/>
    <n v="5.4759001999999999"/>
    <n v="0"/>
    <n v="84.75"/>
    <n v="36.5625"/>
    <n v="234"/>
    <n v="433.84250000000003"/>
    <n v="0"/>
    <n v="794.63090020000004"/>
    <n v="2105.2495718"/>
    <n v="0.72597805051876629"/>
    <x v="1"/>
    <s v="MEDIANO"/>
    <x v="4"/>
    <x v="1"/>
    <n v="42"/>
    <n v="1"/>
    <d v="2018-06-28T00:00:00"/>
    <s v="VW"/>
    <s v="CROSSFOX"/>
    <n v="8650.2975000000006"/>
    <d v="2018-07-02T00:00:00"/>
    <n v="16"/>
    <x v="1"/>
  </r>
  <r>
    <d v="2018-08-04T00:00:00"/>
    <s v="001-00012756"/>
    <n v="3007.8627014688086"/>
    <n v="0"/>
    <n v="0"/>
    <n v="113.22"/>
    <n v="51.1875"/>
    <n v="263.25"/>
    <n v="319.18412500000005"/>
    <n v="0"/>
    <n v="746.84162500000002"/>
    <n v="2261.0210764688086"/>
    <n v="0.75170355194893035"/>
    <x v="1"/>
    <s v="MEDIANO"/>
    <x v="4"/>
    <x v="1"/>
    <n v="35"/>
    <n v="1"/>
    <d v="2018-06-30T00:00:00"/>
    <s v="TOYOTA"/>
    <s v="YARIS"/>
    <n v="3647.8"/>
    <d v="2018-07-13T00:00:00"/>
    <n v="18"/>
    <x v="1"/>
  </r>
  <r>
    <d v="2018-08-02T00:00:00"/>
    <s v="001-00012757"/>
    <n v="2667.487581450001"/>
    <n v="0"/>
    <n v="20"/>
    <n v="34.427966101694921"/>
    <n v="68.298749999999998"/>
    <n v="255.9375"/>
    <n v="371.86500000000001"/>
    <n v="0"/>
    <n v="750.52921610169494"/>
    <n v="1916.958365348306"/>
    <n v="0.71863815924731689"/>
    <x v="2"/>
    <s v="MEDIANO"/>
    <x v="4"/>
    <x v="1"/>
    <n v="33"/>
    <n v="1"/>
    <d v="2018-06-30T00:00:00"/>
    <s v="SUZUKI"/>
    <s v="SWIFT"/>
    <n v="6250.8549999999996"/>
    <d v="2018-07-05T00:00:00"/>
    <n v="17.5"/>
    <x v="1090"/>
  </r>
  <r>
    <d v="2018-08-14T00:00:00"/>
    <s v="001-00012793"/>
    <n v="1517.6466404288205"/>
    <n v="1.22"/>
    <n v="0"/>
    <n v="20"/>
    <n v="17.549999999999997"/>
    <n v="102.375"/>
    <n v="185.9325"/>
    <n v="0"/>
    <n v="327.07749999999999"/>
    <n v="1190.5691404288204"/>
    <n v="0.78448375841455276"/>
    <x v="1"/>
    <s v="MEDIANO"/>
    <x v="4"/>
    <x v="1"/>
    <n v="41"/>
    <n v="1"/>
    <d v="2018-07-04T00:00:00"/>
    <s v="NISSAN"/>
    <s v="VERSA"/>
    <n v="4726.41"/>
    <d v="2018-07-05T00:00:00"/>
    <n v="7"/>
    <x v="1"/>
  </r>
  <r>
    <d v="2018-08-06T00:00:00"/>
    <s v="001-00012796"/>
    <n v="4494.5200621049189"/>
    <n v="3.1054000099999999"/>
    <n v="42.37"/>
    <n v="115.47118644067797"/>
    <n v="140.39999999999998"/>
    <n v="438.75"/>
    <n v="511.31437500000004"/>
    <n v="0"/>
    <n v="1251.4109614506779"/>
    <n v="3243.109100654241"/>
    <n v="0.72156961273756015"/>
    <x v="1"/>
    <s v="GRAVE"/>
    <x v="4"/>
    <x v="1"/>
    <n v="33"/>
    <n v="1"/>
    <d v="2018-07-04T00:00:00"/>
    <s v="TOYOTA"/>
    <s v="YARIS"/>
    <n v="6860.0024999999996"/>
    <d v="2018-07-06T00:00:00"/>
    <n v="30"/>
    <x v="1"/>
  </r>
  <r>
    <d v="2018-08-20T00:00:00"/>
    <s v="001-00012808"/>
    <n v="1214.3319890652501"/>
    <n v="0.84740000000000004"/>
    <n v="0"/>
    <n v="41.313559322033896"/>
    <n v="0"/>
    <n v="102.375"/>
    <n v="185.9325"/>
    <n v="0"/>
    <n v="330.46845932203394"/>
    <n v="883.86352974321619"/>
    <n v="0.72785987497832705"/>
    <x v="1"/>
    <s v="MEDIANO"/>
    <x v="4"/>
    <x v="1"/>
    <n v="46"/>
    <n v="1"/>
    <d v="2018-07-05T00:00:00"/>
    <s v="NISSAN"/>
    <s v="NP300"/>
    <n v="1898.78"/>
    <d v="2018-07-06T00:00:00"/>
    <n v="7"/>
    <x v="999"/>
  </r>
  <r>
    <d v="2018-08-08T00:00:00"/>
    <s v="001-00012809"/>
    <n v="3662.4275333999999"/>
    <n v="0"/>
    <n v="0"/>
    <n v="104.75"/>
    <n v="23.400000000000002"/>
    <n v="351"/>
    <n v="526.80875000000003"/>
    <n v="0"/>
    <n v="1005.95875"/>
    <n v="2656.4687833999997"/>
    <n v="0.72533006023299462"/>
    <x v="1"/>
    <s v="MEDIANO"/>
    <x v="4"/>
    <x v="1"/>
    <n v="34"/>
    <n v="1"/>
    <d v="2018-07-05T00:00:00"/>
    <s v="RENAULT"/>
    <s v="STEPWAY"/>
    <n v="6984.6724999999988"/>
    <d v="2018-07-06T00:00:00"/>
    <n v="24"/>
    <x v="1"/>
  </r>
  <r>
    <d v="2018-08-16T00:00:00"/>
    <s v="001-00012830"/>
    <n v="1411.5344609000003"/>
    <n v="1.0337000000000001"/>
    <n v="0"/>
    <n v="101.27"/>
    <n v="0"/>
    <n v="73.125"/>
    <n v="263.40437500000002"/>
    <n v="0"/>
    <n v="438.83307500000001"/>
    <n v="972.70138590000033"/>
    <n v="0.68910920196719949"/>
    <x v="1"/>
    <s v="MEDIANO"/>
    <x v="4"/>
    <x v="1"/>
    <n v="40"/>
    <n v="1"/>
    <d v="2018-07-07T00:00:00"/>
    <s v="HONDA"/>
    <s v="PILOT"/>
    <n v="1091.6099999999999"/>
    <d v="2018-07-10T00:00:00"/>
    <n v="5"/>
    <x v="1"/>
  </r>
  <r>
    <d v="2018-08-06T00:00:00"/>
    <s v="001-00012834"/>
    <n v="915.87997199999995"/>
    <n v="0"/>
    <n v="0"/>
    <n v="20"/>
    <n v="0"/>
    <n v="102.375"/>
    <n v="136.97027500000002"/>
    <n v="0"/>
    <n v="259.34527500000002"/>
    <n v="656.53469699999994"/>
    <n v="0.71683486599923163"/>
    <x v="1"/>
    <s v="LEVE"/>
    <x v="4"/>
    <x v="1"/>
    <n v="29"/>
    <n v="1"/>
    <d v="2018-07-08T00:00:00"/>
    <s v="TOYOTA"/>
    <s v="CORONA"/>
    <n v="61.847500000000004"/>
    <d v="2018-07-09T00:00:00"/>
    <n v="7"/>
    <x v="1"/>
  </r>
  <r>
    <d v="2018-08-25T00:00:00"/>
    <s v="001-00012874"/>
    <n v="1175.7346311067802"/>
    <n v="0"/>
    <n v="0"/>
    <n v="76.27"/>
    <n v="16.087500000000002"/>
    <n v="117"/>
    <n v="108.46062500000001"/>
    <n v="0"/>
    <n v="317.81812500000001"/>
    <n v="857.91650610678016"/>
    <n v="0.7296854948460425"/>
    <x v="1"/>
    <s v="MEDIANO"/>
    <x v="4"/>
    <x v="1"/>
    <n v="45"/>
    <n v="1"/>
    <d v="2018-07-11T00:00:00"/>
    <s v="FORD"/>
    <s v="ECOSPORT"/>
    <n v="2704"/>
    <d v="2018-07-12T00:00:00"/>
    <n v="8"/>
    <x v="1091"/>
  </r>
  <r>
    <d v="2018-08-01T00:00:00"/>
    <s v="001-00012881"/>
    <n v="1059.1664692491599"/>
    <n v="0"/>
    <n v="0"/>
    <n v="40.656779661016948"/>
    <n v="0"/>
    <n v="117"/>
    <n v="170.43812500000001"/>
    <n v="0"/>
    <n v="328.09490466101693"/>
    <n v="731.07156458814302"/>
    <n v="0.69023291976604728"/>
    <x v="1"/>
    <s v="MEDIANO"/>
    <x v="4"/>
    <x v="1"/>
    <n v="21"/>
    <n v="1"/>
    <d v="2018-07-11T00:00:00"/>
    <s v="BMV"/>
    <s v="316I"/>
    <n v="9449.6674999999996"/>
    <d v="2018-07-13T00:00:00"/>
    <n v="8"/>
    <x v="1"/>
  </r>
  <r>
    <d v="2018-08-01T00:00:00"/>
    <s v="001-00012882"/>
    <n v="1359.5422092745798"/>
    <n v="154.15189999999998"/>
    <n v="0"/>
    <n v="20"/>
    <n v="0"/>
    <n v="102.375"/>
    <n v="216.92125000000001"/>
    <n v="0"/>
    <n v="493.44814999999994"/>
    <n v="866.09405927457988"/>
    <n v="0.63704830447059646"/>
    <x v="1"/>
    <s v="MEDIANO"/>
    <x v="4"/>
    <x v="1"/>
    <n v="21"/>
    <n v="1"/>
    <d v="2018-07-11T00:00:00"/>
    <s v="VW"/>
    <s v="GOL"/>
    <n v="1781.65"/>
    <d v="2018-07-12T00:00:00"/>
    <n v="7"/>
    <x v="1"/>
  </r>
  <r>
    <d v="2018-08-16T00:00:00"/>
    <s v="001-00012894"/>
    <n v="970.87730039999997"/>
    <n v="0"/>
    <n v="0"/>
    <n v="0"/>
    <n v="0"/>
    <n v="102.375"/>
    <n v="139.449375"/>
    <n v="0"/>
    <n v="241.824375"/>
    <n v="729.05292539999994"/>
    <n v="0.75092179526664316"/>
    <x v="1"/>
    <s v="MEDIANO"/>
    <x v="4"/>
    <x v="1"/>
    <n v="34"/>
    <n v="1"/>
    <d v="2018-07-13T00:00:00"/>
    <s v="HONDA"/>
    <s v="PILOT"/>
    <n v="197.4375"/>
    <d v="2018-07-10T00:00:00"/>
    <n v="7"/>
    <x v="1"/>
  </r>
  <r>
    <d v="2018-08-06T00:00:00"/>
    <s v="001-00012899"/>
    <n v="1561.9299286491598"/>
    <n v="0.30499999999999999"/>
    <n v="0"/>
    <n v="110.16949152542374"/>
    <n v="0"/>
    <n v="117"/>
    <n v="232.41562500000001"/>
    <n v="0"/>
    <n v="459.89011652542376"/>
    <n v="1102.0398121237361"/>
    <n v="0.70556290132479804"/>
    <x v="1"/>
    <s v="MEDIANO"/>
    <x v="4"/>
    <x v="1"/>
    <n v="24"/>
    <n v="1"/>
    <d v="2018-07-13T00:00:00"/>
    <s v="GREAT W."/>
    <s v="GREAT W."/>
    <n v="1059.1424999999999"/>
    <d v="2018-07-16T00:00:00"/>
    <n v="8"/>
    <x v="1"/>
  </r>
  <r>
    <d v="2018-08-04T00:00:00"/>
    <s v="001-00012917"/>
    <n v="2288.8310668906802"/>
    <n v="0"/>
    <n v="0"/>
    <n v="0"/>
    <n v="21.9375"/>
    <n v="292.5"/>
    <n v="278.89875000000001"/>
    <n v="0"/>
    <n v="593.33625000000006"/>
    <n v="1695.4948168906801"/>
    <n v="0.74076887605076391"/>
    <x v="1"/>
    <s v="MEDIANO"/>
    <x v="4"/>
    <x v="1"/>
    <n v="19"/>
    <n v="1"/>
    <d v="2018-07-16T00:00:00"/>
    <s v="VW"/>
    <s v="GOL"/>
    <n v="2828.7674999999999"/>
    <d v="2018-07-17T00:00:00"/>
    <n v="20"/>
    <x v="1"/>
  </r>
  <r>
    <d v="2018-08-04T00:00:00"/>
    <s v="001-00012929"/>
    <n v="337.4718024403698"/>
    <n v="703.46001999999976"/>
    <n v="0"/>
    <n v="20.656779661016948"/>
    <n v="0"/>
    <n v="20.474999999999998"/>
    <n v="70.034575000000004"/>
    <n v="0"/>
    <n v="814.62637466101671"/>
    <n v="-477.15457222064691"/>
    <n v="-1.4139094548646287"/>
    <x v="1"/>
    <s v="LEVE"/>
    <x v="4"/>
    <x v="1"/>
    <n v="19"/>
    <n v="1"/>
    <d v="2018-07-16T00:00:00"/>
    <s v="HYUNDAI"/>
    <s v="SANTA FE"/>
    <n v="1443.5525"/>
    <d v="2018-07-17T00:00:00"/>
    <n v="1.4"/>
    <x v="1"/>
  </r>
  <r>
    <d v="2018-08-03T00:00:00"/>
    <s v="001-00012937"/>
    <n v="1407.5701835476291"/>
    <n v="0"/>
    <n v="0"/>
    <n v="0"/>
    <n v="0"/>
    <n v="117"/>
    <n v="309.26772499999998"/>
    <n v="0"/>
    <n v="426.26772499999998"/>
    <n v="981.30245854762916"/>
    <n v="0.69716058923212054"/>
    <x v="1"/>
    <s v="MEDIANO"/>
    <x v="4"/>
    <x v="1"/>
    <n v="17"/>
    <n v="1"/>
    <d v="2018-07-17T00:00:00"/>
    <s v="CHEVROLET"/>
    <s v="N300"/>
    <n v="529.00250000000005"/>
    <d v="2018-07-18T00:00:00"/>
    <n v="8"/>
    <x v="999"/>
  </r>
  <r>
    <d v="2018-08-07T00:00:00"/>
    <s v="001-00012951"/>
    <n v="4302.156207"/>
    <n v="0"/>
    <n v="0"/>
    <n v="76.27"/>
    <n v="10.237499999999999"/>
    <n v="409.5"/>
    <n v="519.37144999999987"/>
    <n v="0"/>
    <n v="1015.3789499999998"/>
    <n v="3286.7772570000002"/>
    <n v="0.76398370929723891"/>
    <x v="1"/>
    <s v="GRAVE"/>
    <x v="4"/>
    <x v="1"/>
    <n v="20"/>
    <n v="1"/>
    <d v="2018-07-18T00:00:00"/>
    <s v="SUZUKI"/>
    <s v="VITARA"/>
    <n v="2223.13"/>
    <d v="2018-07-19T00:00:00"/>
    <n v="28"/>
    <x v="1"/>
  </r>
  <r>
    <d v="2018-08-07T00:00:00"/>
    <s v="001-00012953"/>
    <n v="501.62710200000004"/>
    <n v="173.50382359999998"/>
    <n v="0"/>
    <n v="0"/>
    <n v="39.048749999999998"/>
    <n v="0"/>
    <n v="0"/>
    <n v="0"/>
    <n v="212.55257359999996"/>
    <n v="289.07452840000008"/>
    <n v="0.57627374447563251"/>
    <x v="0"/>
    <s v="MECANICA"/>
    <x v="4"/>
    <x v="1"/>
    <n v="20"/>
    <n v="1"/>
    <d v="2018-07-18T00:00:00"/>
    <s v="SUZUKI"/>
    <s v="VITARA"/>
    <n v="95.29"/>
    <d v="2018-07-18T00:00:00"/>
    <n v="0"/>
    <x v="865"/>
  </r>
  <r>
    <d v="2018-08-17T00:00:00"/>
    <s v="001-00012957"/>
    <n v="3277.1854370684773"/>
    <n v="5.4759001999999999"/>
    <n v="0"/>
    <n v="125.40677966101694"/>
    <n v="65.8125"/>
    <n v="438.75"/>
    <n v="325.38187500000004"/>
    <n v="0"/>
    <n v="960.82705486101702"/>
    <n v="2316.3583822074602"/>
    <n v="0.70681333927795664"/>
    <x v="1"/>
    <s v="GRAVE"/>
    <x v="4"/>
    <x v="1"/>
    <n v="30"/>
    <n v="1"/>
    <d v="2018-07-18T00:00:00"/>
    <s v="TOYOTA"/>
    <s v="HILUX"/>
    <n v="11326.5425"/>
    <d v="2018-07-19T00:00:00"/>
    <n v="30"/>
    <x v="1092"/>
  </r>
  <r>
    <d v="2018-08-02T00:00:00"/>
    <s v="001-00012958"/>
    <n v="1309.444960233051"/>
    <n v="0"/>
    <n v="0"/>
    <n v="0"/>
    <n v="0"/>
    <n v="219.375"/>
    <n v="139.449375"/>
    <n v="0"/>
    <n v="358.82437500000003"/>
    <n v="950.62058523305097"/>
    <n v="0.72597215927568459"/>
    <x v="1"/>
    <s v="MEDIANO"/>
    <x v="4"/>
    <x v="1"/>
    <n v="15"/>
    <n v="1"/>
    <d v="2018-07-18T00:00:00"/>
    <s v="KIA"/>
    <s v="RIO"/>
    <n v="873.11249999999995"/>
    <d v="2018-07-19T00:00:00"/>
    <n v="15"/>
    <x v="1"/>
  </r>
  <r>
    <d v="2018-08-06T00:00:00"/>
    <s v="001-00012959"/>
    <n v="909.08842761762889"/>
    <n v="0.45750000000000002"/>
    <n v="0"/>
    <n v="0"/>
    <n v="0"/>
    <n v="73.125"/>
    <n v="173.53700000000001"/>
    <n v="0"/>
    <n v="247.11950000000002"/>
    <n v="661.96892761762888"/>
    <n v="0.7281678080012467"/>
    <x v="1"/>
    <s v="LEVE"/>
    <x v="4"/>
    <x v="1"/>
    <n v="19"/>
    <n v="1"/>
    <d v="2018-07-18T00:00:00"/>
    <s v="TOYOTA"/>
    <s v="YARIS"/>
    <n v="855.8549999999999"/>
    <d v="2018-07-19T00:00:00"/>
    <n v="5"/>
    <x v="931"/>
  </r>
  <r>
    <d v="2018-08-16T00:00:00"/>
    <s v="001-00012961"/>
    <n v="1801.4576646000005"/>
    <n v="0"/>
    <n v="0"/>
    <n v="84.75"/>
    <n v="114.075"/>
    <n v="102.375"/>
    <n v="216.92125000000001"/>
    <n v="0"/>
    <n v="518.12125000000003"/>
    <n v="1283.3364146000004"/>
    <n v="0.71238777342289372"/>
    <x v="1"/>
    <s v="MEDIANO"/>
    <x v="4"/>
    <x v="1"/>
    <n v="29"/>
    <n v="1"/>
    <d v="2018-07-18T00:00:00"/>
    <s v="CHEVROLET"/>
    <s v="SAIL"/>
    <n v="4815.6225000000004"/>
    <d v="2018-07-20T00:00:00"/>
    <n v="7"/>
    <x v="999"/>
  </r>
  <r>
    <d v="2018-08-22T00:00:00"/>
    <s v="001-00012970"/>
    <n v="3214.0550913761008"/>
    <n v="1.22"/>
    <n v="0"/>
    <n v="104.75"/>
    <n v="20.474999999999998"/>
    <n v="263.25"/>
    <n v="449.33687499999996"/>
    <n v="0"/>
    <n v="839.0318749999999"/>
    <n v="2375.0232163761011"/>
    <n v="0.73894913088102443"/>
    <x v="1"/>
    <s v="MEDIANO"/>
    <x v="4"/>
    <x v="1"/>
    <n v="34"/>
    <n v="1"/>
    <d v="2018-07-19T00:00:00"/>
    <s v="RENAULT"/>
    <s v="LOGAN"/>
    <n v="2528.0450000000001"/>
    <d v="2018-07-20T00:00:00"/>
    <n v="18"/>
    <x v="999"/>
  </r>
  <r>
    <d v="2018-08-02T00:00:00"/>
    <s v="001-00012972"/>
    <n v="1866.2781294855904"/>
    <n v="1.3559999999999999"/>
    <n v="0"/>
    <n v="20"/>
    <n v="0"/>
    <n v="263.25"/>
    <n v="278.89875000000001"/>
    <n v="0"/>
    <n v="563.50475000000006"/>
    <n v="1302.7733794855903"/>
    <n v="0.6980596079988779"/>
    <x v="1"/>
    <s v="MEDIANO"/>
    <x v="4"/>
    <x v="1"/>
    <n v="14"/>
    <n v="1"/>
    <d v="2018-07-19T00:00:00"/>
    <s v="NISSAN"/>
    <s v="VERSA"/>
    <n v="2383.94"/>
    <d v="2018-07-20T00:00:00"/>
    <n v="18"/>
    <x v="1"/>
  </r>
  <r>
    <d v="2018-08-02T00:00:00"/>
    <s v="001-00012975"/>
    <n v="3427"/>
    <n v="1197.4784979999999"/>
    <n v="169.5"/>
    <n v="186.45"/>
    <n v="87.75"/>
    <n v="14.625"/>
    <n v="0"/>
    <n v="0"/>
    <n v="1655.803498"/>
    <n v="1771.196502"/>
    <n v="0.516835862853808"/>
    <x v="0"/>
    <s v="LEVE"/>
    <x v="4"/>
    <x v="1"/>
    <n v="14"/>
    <n v="1"/>
    <d v="2018-07-19T00:00:00"/>
    <s v="NISSAN"/>
    <s v="MARCH"/>
    <n v="1361.75"/>
    <d v="2018-07-30T00:00:00"/>
    <n v="1"/>
    <x v="228"/>
  </r>
  <r>
    <d v="2018-08-06T00:00:00"/>
    <s v="001-00012980"/>
    <n v="864.48634867118994"/>
    <n v="0"/>
    <n v="0"/>
    <n v="0"/>
    <n v="0"/>
    <n v="58.5"/>
    <n v="170.43812500000001"/>
    <n v="0"/>
    <n v="228.93812500000001"/>
    <n v="635.54822367118993"/>
    <n v="0.73517438956450509"/>
    <x v="1"/>
    <s v="LEVE"/>
    <x v="4"/>
    <x v="1"/>
    <n v="16"/>
    <n v="1"/>
    <d v="2018-07-21T00:00:00"/>
    <s v="TOYOTA"/>
    <s v="YARIS"/>
    <n v="4378.1725000000006"/>
    <d v="2018-07-23T00:00:00"/>
    <n v="4"/>
    <x v="1"/>
  </r>
  <r>
    <d v="2018-08-06T00:00:00"/>
    <s v="001-00012982"/>
    <n v="1107.4552072332208"/>
    <n v="0"/>
    <n v="156.14349999999999"/>
    <n v="20"/>
    <n v="0"/>
    <n v="117"/>
    <n v="182.83362500000001"/>
    <n v="0"/>
    <n v="475.977125"/>
    <n v="631.47808223322079"/>
    <n v="0.57020643192500409"/>
    <x v="1"/>
    <s v="MEDIANO"/>
    <x v="4"/>
    <x v="1"/>
    <n v="16"/>
    <n v="1"/>
    <d v="2018-07-21T00:00:00"/>
    <s v="NISSAN"/>
    <s v="TIIDA"/>
    <n v="0"/>
    <d v="2018-07-23T00:00:00"/>
    <n v="8"/>
    <x v="1"/>
  </r>
  <r>
    <d v="2018-08-03T00:00:00"/>
    <s v="001-00012985"/>
    <n v="398.40126470536001"/>
    <n v="2.5436999"/>
    <n v="0"/>
    <n v="0"/>
    <n v="0"/>
    <n v="29.25"/>
    <n v="77.471874999999997"/>
    <n v="0"/>
    <n v="109.26557489999999"/>
    <n v="289.13568980536002"/>
    <n v="0.72573988945339318"/>
    <x v="1"/>
    <s v="LEVE"/>
    <x v="4"/>
    <x v="1"/>
    <n v="13"/>
    <n v="1"/>
    <d v="2018-07-21T00:00:00"/>
    <s v="TOYOTA"/>
    <s v="YARIS"/>
    <n v="260"/>
    <d v="2018-07-23T00:00:00"/>
    <n v="2"/>
    <x v="1"/>
  </r>
  <r>
    <d v="2018-08-10T00:00:00"/>
    <s v="001-00012986"/>
    <n v="789.7359512999999"/>
    <n v="0"/>
    <n v="0"/>
    <n v="0"/>
    <n v="0"/>
    <n v="73.125"/>
    <n v="123.955"/>
    <n v="0"/>
    <n v="197.07999999999998"/>
    <n v="592.65595129999997"/>
    <n v="0.75044823567221086"/>
    <x v="1"/>
    <s v="LEVE"/>
    <x v="4"/>
    <x v="1"/>
    <n v="20"/>
    <n v="1"/>
    <d v="2018-07-21T00:00:00"/>
    <s v="HONDA"/>
    <s v="HR-V"/>
    <n v="60.515000000000001"/>
    <d v="2018-07-23T00:00:00"/>
    <n v="5"/>
    <x v="1"/>
  </r>
  <r>
    <d v="2018-08-09T00:00:00"/>
    <s v="001-00012987"/>
    <n v="1771.0653539999998"/>
    <n v="0"/>
    <n v="0"/>
    <n v="127.12"/>
    <n v="42.412499999999994"/>
    <n v="146.25"/>
    <n v="200.18732499999999"/>
    <n v="0"/>
    <n v="515.96982500000001"/>
    <n v="1255.0955289999997"/>
    <n v="0.70866697615948049"/>
    <x v="1"/>
    <s v="MEDIANO"/>
    <x v="4"/>
    <x v="1"/>
    <n v="19"/>
    <n v="1"/>
    <d v="2018-07-21T00:00:00"/>
    <s v="HYUNDAI"/>
    <s v="TUCSON"/>
    <n v="910"/>
    <d v="2018-07-24T00:00:00"/>
    <n v="10"/>
    <x v="1"/>
  </r>
  <r>
    <d v="2018-08-06T00:00:00"/>
    <s v="001-00012988"/>
    <n v="1183.07617823136"/>
    <n v="0"/>
    <n v="0"/>
    <n v="20"/>
    <n v="0"/>
    <n v="117"/>
    <n v="180.9743"/>
    <n v="0"/>
    <n v="317.97429999999997"/>
    <n v="865.10187823136005"/>
    <n v="0.73123091661320094"/>
    <x v="1"/>
    <s v="MEDIANO"/>
    <x v="4"/>
    <x v="1"/>
    <n v="16"/>
    <n v="1"/>
    <d v="2018-07-21T00:00:00"/>
    <s v="RENAULT"/>
    <s v="DUSTER"/>
    <n v="1114.0349999999999"/>
    <d v="2018-07-23T00:00:00"/>
    <n v="8"/>
    <x v="999"/>
  </r>
  <r>
    <d v="2018-08-04T00:00:00"/>
    <s v="001-00012990"/>
    <n v="929.78847000084011"/>
    <n v="0"/>
    <n v="0"/>
    <n v="20"/>
    <n v="0"/>
    <n v="102.375"/>
    <n v="123.955"/>
    <n v="0"/>
    <n v="246.32999999999998"/>
    <n v="683.45847000084018"/>
    <n v="0.7350687732234652"/>
    <x v="1"/>
    <s v="MEDIANO"/>
    <x v="4"/>
    <x v="1"/>
    <n v="14"/>
    <n v="1"/>
    <d v="2018-07-21T00:00:00"/>
    <s v="HONDA"/>
    <s v="CR-V"/>
    <n v="1176.9549999999999"/>
    <d v="2018-07-23T00:00:00"/>
    <n v="7"/>
    <x v="1"/>
  </r>
  <r>
    <d v="2018-08-07T00:00:00"/>
    <s v="001-00012991"/>
    <n v="1015.1133266999999"/>
    <n v="0"/>
    <n v="0"/>
    <n v="41.313559322033896"/>
    <n v="0"/>
    <n v="87.75"/>
    <n v="154.94374999999999"/>
    <n v="0"/>
    <n v="284.00730932203385"/>
    <n v="731.10601737796605"/>
    <n v="0.72022108088630432"/>
    <x v="1"/>
    <s v="MEDIANO"/>
    <x v="4"/>
    <x v="1"/>
    <n v="17"/>
    <n v="1"/>
    <d v="2018-07-21T00:00:00"/>
    <s v="SUZUKI"/>
    <s v="SWIFT"/>
    <n v="0"/>
    <d v="2018-07-23T00:00:00"/>
    <n v="6"/>
    <x v="1"/>
  </r>
  <r>
    <d v="2018-08-07T00:00:00"/>
    <s v="001-00012992"/>
    <n v="4008"/>
    <n v="1691.1368880999999"/>
    <n v="110.17"/>
    <n v="0"/>
    <n v="82.923749999999998"/>
    <n v="0"/>
    <n v="0"/>
    <n v="0"/>
    <n v="1884.2306380999999"/>
    <n v="2123.7693619000001"/>
    <n v="0.52988257532435135"/>
    <x v="0"/>
    <s v="MECANICA"/>
    <x v="4"/>
    <x v="1"/>
    <n v="15"/>
    <n v="1"/>
    <d v="2018-07-23T00:00:00"/>
    <s v="SUZUKI"/>
    <s v="SWIFT"/>
    <n v="2827.6949999999997"/>
    <d v="2018-07-23T00:00:00"/>
    <n v="0"/>
    <x v="1093"/>
  </r>
  <r>
    <d v="2018-08-08T00:00:00"/>
    <s v="001-00012997"/>
    <n v="943.39499999999998"/>
    <n v="0"/>
    <n v="0"/>
    <n v="0"/>
    <n v="0"/>
    <n v="102.375"/>
    <n v="154.94374999999999"/>
    <n v="0"/>
    <n v="257.31875000000002"/>
    <n v="686.07624999999996"/>
    <n v="0.72724177041430149"/>
    <x v="1"/>
    <s v="MEDIANO"/>
    <x v="4"/>
    <x v="1"/>
    <n v="16"/>
    <n v="1"/>
    <d v="2018-07-23T00:00:00"/>
    <s v="KIA"/>
    <s v="RIO"/>
    <n v="1617.7849999999999"/>
    <d v="2018-07-24T00:00:00"/>
    <n v="7"/>
    <x v="1"/>
  </r>
  <r>
    <d v="2018-08-01T00:00:00"/>
    <s v="001-00013003"/>
    <n v="997.07178714576014"/>
    <n v="0"/>
    <n v="0"/>
    <n v="20"/>
    <n v="0"/>
    <n v="58.5"/>
    <n v="185.9325"/>
    <n v="0"/>
    <n v="264.4325"/>
    <n v="732.63928714576014"/>
    <n v="0.73479091133751728"/>
    <x v="1"/>
    <s v="LEVE"/>
    <x v="4"/>
    <x v="1"/>
    <n v="9"/>
    <n v="1"/>
    <d v="2018-07-23T00:00:00"/>
    <s v="HYUNDAI"/>
    <s v="TUCSON"/>
    <n v="925.07999999999993"/>
    <d v="2018-07-23T00:00:00"/>
    <n v="4"/>
    <x v="1"/>
  </r>
  <r>
    <d v="2018-08-18T00:00:00"/>
    <s v="001-00013004"/>
    <n v="997.9605300500001"/>
    <n v="0"/>
    <n v="0"/>
    <n v="30"/>
    <n v="0"/>
    <n v="73.125"/>
    <n v="123.955"/>
    <n v="0"/>
    <n v="227.07999999999998"/>
    <n v="770.88053005000006"/>
    <n v="0.77245593070837903"/>
    <x v="2"/>
    <s v="LEVE"/>
    <x v="4"/>
    <x v="1"/>
    <n v="26"/>
    <n v="1"/>
    <d v="2018-07-23T00:00:00"/>
    <s v="NISSAN"/>
    <s v="QASHQAI"/>
    <n v="841.65250000000015"/>
    <d v="2018-07-23T00:00:00"/>
    <n v="5"/>
    <x v="995"/>
  </r>
  <r>
    <d v="2018-08-11T00:00:00"/>
    <s v="001-00013005"/>
    <n v="1187.3593458"/>
    <n v="0"/>
    <n v="0"/>
    <n v="96.27"/>
    <n v="0"/>
    <n v="87.75"/>
    <n v="139.449375"/>
    <n v="0"/>
    <n v="323.46937500000001"/>
    <n v="863.88997080000001"/>
    <n v="0.72757246898826744"/>
    <x v="1"/>
    <s v="LEVE"/>
    <x v="4"/>
    <x v="1"/>
    <n v="19"/>
    <n v="1"/>
    <d v="2018-07-23T00:00:00"/>
    <s v="HYUNDAI"/>
    <s v="ACCENT"/>
    <n v="1543.0349999999999"/>
    <d v="2018-07-24T00:00:00"/>
    <n v="6"/>
    <x v="1"/>
  </r>
  <r>
    <d v="2018-08-08T00:00:00"/>
    <s v="001-00013007"/>
    <n v="4267.3500000000004"/>
    <n v="0"/>
    <n v="0"/>
    <n v="0"/>
    <n v="0"/>
    <n v="102.375"/>
    <n v="123.955"/>
    <n v="0"/>
    <n v="226.32999999999998"/>
    <n v="4041.0200000000004"/>
    <n v="0.94696240055303649"/>
    <x v="0"/>
    <s v="GRAVE"/>
    <x v="4"/>
    <x v="1"/>
    <n v="16"/>
    <n v="1"/>
    <d v="2018-07-23T00:00:00"/>
    <s v="FIAT"/>
    <s v="FIORINO"/>
    <n v="507"/>
    <d v="2018-07-23T00:00:00"/>
    <n v="7"/>
    <x v="999"/>
  </r>
  <r>
    <d v="2018-08-07T00:00:00"/>
    <s v="001-00013009"/>
    <n v="915.29523600000016"/>
    <n v="0"/>
    <n v="0"/>
    <n v="34.427966101694921"/>
    <n v="0"/>
    <n v="58.5"/>
    <n v="154.94374999999999"/>
    <n v="0"/>
    <n v="247.87171610169491"/>
    <n v="667.42351989830524"/>
    <n v="0.72918933000794639"/>
    <x v="1"/>
    <s v="LEVE"/>
    <x v="4"/>
    <x v="1"/>
    <n v="15"/>
    <n v="1"/>
    <d v="2018-07-23T00:00:00"/>
    <s v="TOYOTA"/>
    <s v="HILUX"/>
    <n v="1667.25"/>
    <d v="2018-07-24T00:00:00"/>
    <n v="4"/>
    <x v="999"/>
  </r>
  <r>
    <d v="2018-08-09T00:00:00"/>
    <s v="001-00013011"/>
    <n v="919.50732299999993"/>
    <n v="0"/>
    <n v="0"/>
    <n v="0"/>
    <n v="0"/>
    <n v="73.125"/>
    <n v="114.0386"/>
    <n v="0"/>
    <n v="187.1636"/>
    <n v="732.34372299999995"/>
    <n v="0.79645230079369367"/>
    <x v="1"/>
    <s v="LEVE"/>
    <x v="4"/>
    <x v="1"/>
    <n v="17"/>
    <n v="1"/>
    <d v="2018-07-23T00:00:00"/>
    <s v="SUZUKI"/>
    <s v="CELERIO"/>
    <n v="204.97749999999999"/>
    <d v="2018-07-24T00:00:00"/>
    <n v="5"/>
    <x v="1"/>
  </r>
  <r>
    <d v="2018-08-02T00:00:00"/>
    <s v="001-00013012"/>
    <n v="1402.4772003237301"/>
    <n v="0.71219999999999983"/>
    <n v="0"/>
    <n v="108.04118644067796"/>
    <n v="0"/>
    <n v="117"/>
    <n v="185.9325"/>
    <n v="0"/>
    <n v="411.68588644067796"/>
    <n v="990.79131388305223"/>
    <n v="0.70645805411620988"/>
    <x v="1"/>
    <s v="MEDIANO"/>
    <x v="4"/>
    <x v="1"/>
    <n v="9"/>
    <n v="1"/>
    <d v="2018-07-24T00:00:00"/>
    <s v="GREAT W."/>
    <s v="VOLEEX"/>
    <n v="1315.665"/>
    <d v="2018-07-24T00:00:00"/>
    <n v="8"/>
    <x v="1"/>
  </r>
  <r>
    <d v="2018-08-01T00:00:00"/>
    <s v="001-00013020"/>
    <n v="932.20342999999991"/>
    <n v="0"/>
    <n v="0"/>
    <n v="76.271186440677965"/>
    <n v="0"/>
    <n v="43.875"/>
    <n v="123.955"/>
    <n v="0"/>
    <n v="244.10118644067796"/>
    <n v="688.10224355932201"/>
    <n v="0.73814601128352642"/>
    <x v="0"/>
    <s v="LEVE"/>
    <x v="4"/>
    <x v="1"/>
    <n v="8"/>
    <n v="1"/>
    <d v="2018-07-24T00:00:00"/>
    <s v="CHEVROLET"/>
    <s v="CRUZE"/>
    <n v="0"/>
    <d v="2018-07-24T00:00:00"/>
    <n v="3"/>
    <x v="236"/>
  </r>
  <r>
    <d v="2018-08-02T00:00:00"/>
    <s v="001-00013021"/>
    <n v="878.53253182542016"/>
    <n v="0"/>
    <n v="0"/>
    <n v="20"/>
    <n v="0"/>
    <n v="102.375"/>
    <n v="108.46062500000001"/>
    <n v="0"/>
    <n v="230.83562499999999"/>
    <n v="647.69690682542023"/>
    <n v="0.73724863151012943"/>
    <x v="1"/>
    <s v="MEDIANO"/>
    <x v="4"/>
    <x v="1"/>
    <n v="9"/>
    <n v="1"/>
    <d v="2018-07-24T00:00:00"/>
    <s v="HYUNDAI"/>
    <s v="I20"/>
    <n v="735.86500000000001"/>
    <d v="2018-07-24T00:00:00"/>
    <n v="7"/>
    <x v="1094"/>
  </r>
  <r>
    <d v="2018-08-09T00:00:00"/>
    <s v="001-00013022"/>
    <n v="1503.5904719999999"/>
    <n v="0"/>
    <n v="0"/>
    <n v="20"/>
    <n v="0"/>
    <n v="234"/>
    <n v="154.94374999999999"/>
    <n v="0"/>
    <n v="408.94375000000002"/>
    <n v="1094.646722"/>
    <n v="0.7280218532802728"/>
    <x v="1"/>
    <s v="MEDIANO"/>
    <x v="4"/>
    <x v="1"/>
    <n v="16"/>
    <n v="1"/>
    <d v="2018-07-24T00:00:00"/>
    <s v="KIA"/>
    <s v="SORENTO"/>
    <n v="1917.0775000000001"/>
    <d v="2018-07-25T00:00:00"/>
    <n v="16"/>
    <x v="1095"/>
  </r>
  <r>
    <d v="2018-08-07T00:00:00"/>
    <s v="001-00013023"/>
    <n v="704.65720500000009"/>
    <n v="0"/>
    <n v="0"/>
    <n v="41.313559322033896"/>
    <n v="0"/>
    <n v="58.5"/>
    <n v="122.095675"/>
    <n v="0"/>
    <n v="221.90923432203391"/>
    <n v="482.74797067796618"/>
    <n v="0.68508200477133574"/>
    <x v="1"/>
    <s v="LEVE"/>
    <x v="4"/>
    <x v="1"/>
    <n v="14"/>
    <n v="1"/>
    <d v="2018-07-24T00:00:00"/>
    <s v="CHEVROLET"/>
    <s v="PRISMA"/>
    <n v="550.32249999999999"/>
    <d v="2018-07-25T00:00:00"/>
    <n v="4"/>
    <x v="1"/>
  </r>
  <r>
    <d v="2018-08-11T00:00:00"/>
    <s v="001-00013024"/>
    <n v="2604.7766433900001"/>
    <n v="0"/>
    <n v="0"/>
    <n v="76.27"/>
    <n v="0"/>
    <n v="351"/>
    <n v="263.40437500000002"/>
    <n v="0"/>
    <n v="690.67437500000005"/>
    <n v="1914.1022683900001"/>
    <n v="0.73484314797098371"/>
    <x v="1"/>
    <s v="MEDIANO"/>
    <x v="4"/>
    <x v="1"/>
    <n v="17"/>
    <n v="1"/>
    <d v="2018-07-25T00:00:00"/>
    <s v="MAZDA"/>
    <s v="CX-5"/>
    <n v="1451.2224999999999"/>
    <d v="2018-07-25T00:00:00"/>
    <n v="24"/>
    <x v="1"/>
  </r>
  <r>
    <d v="2018-08-02T00:00:00"/>
    <s v="001-00013025"/>
    <n v="1532.2006092847503"/>
    <n v="0"/>
    <n v="0"/>
    <n v="20"/>
    <n v="0"/>
    <n v="219.375"/>
    <n v="180.9743"/>
    <n v="0"/>
    <n v="420.34929999999997"/>
    <n v="1111.8513092847502"/>
    <n v="0.72565648554582929"/>
    <x v="1"/>
    <s v="MEDIANO"/>
    <x v="4"/>
    <x v="1"/>
    <n v="8"/>
    <n v="1"/>
    <d v="2018-07-25T00:00:00"/>
    <s v="HYUNDAI"/>
    <s v="ACCENT"/>
    <n v="0"/>
    <d v="2018-07-25T00:00:00"/>
    <n v="15"/>
    <x v="1096"/>
  </r>
  <r>
    <d v="2018-08-11T00:00:00"/>
    <s v="001-00013027"/>
    <n v="1342.80594789"/>
    <n v="0"/>
    <n v="0"/>
    <n v="181.54796610169493"/>
    <n v="17.549999999999997"/>
    <n v="146.25"/>
    <n v="247.91"/>
    <n v="0"/>
    <n v="593.25796610169493"/>
    <n v="749.54798178830504"/>
    <n v="0.55819530957998598"/>
    <x v="1"/>
    <s v="MEDIANO"/>
    <x v="4"/>
    <x v="1"/>
    <n v="17"/>
    <n v="1"/>
    <d v="2018-07-25T00:00:00"/>
    <s v="SUZUKI"/>
    <s v="GRAND N."/>
    <n v="4695.6324999999997"/>
    <d v="2018-07-26T00:00:00"/>
    <n v="10"/>
    <x v="1"/>
  </r>
  <r>
    <d v="2018-08-22T00:00:00"/>
    <s v="001-00013028"/>
    <n v="3076.5320931999995"/>
    <n v="0.61"/>
    <n v="0"/>
    <n v="0"/>
    <n v="21.9375"/>
    <n v="321.75"/>
    <n v="278.89875000000001"/>
    <n v="0"/>
    <n v="623.19624999999996"/>
    <n v="2453.3358431999995"/>
    <n v="0.79743547893505196"/>
    <x v="1"/>
    <s v="MEDIANO"/>
    <x v="4"/>
    <x v="1"/>
    <n v="28"/>
    <n v="1"/>
    <d v="2018-07-25T00:00:00"/>
    <s v="NISSAN"/>
    <s v="NP300"/>
    <n v="4625.66"/>
    <d v="2018-07-26T00:00:00"/>
    <n v="22"/>
    <x v="999"/>
  </r>
  <r>
    <d v="2018-08-20T00:00:00"/>
    <s v="001-00013030"/>
    <n v="2421.431205222711"/>
    <n v="5.4759001999999999"/>
    <n v="0"/>
    <n v="88.855932203389841"/>
    <n v="16.087500000000002"/>
    <n v="234"/>
    <n v="340.87625000000003"/>
    <n v="0"/>
    <n v="685.29558240338986"/>
    <n v="1736.1356228193213"/>
    <n v="0.71698738294720221"/>
    <x v="1"/>
    <s v="MEDIANO"/>
    <x v="4"/>
    <x v="1"/>
    <n v="26"/>
    <n v="1"/>
    <d v="2018-07-25T00:00:00"/>
    <s v="HYUNDAI"/>
    <s v="ACCENT"/>
    <n v="9302.5399999999991"/>
    <d v="2018-07-30T00:00:00"/>
    <n v="16"/>
    <x v="1"/>
  </r>
  <r>
    <d v="2018-08-29T00:00:00"/>
    <s v="001-00013031"/>
    <n v="3181.1942711645797"/>
    <n v="5.4759001999999999"/>
    <n v="0"/>
    <n v="139.83474576271186"/>
    <n v="35.099999999999994"/>
    <n v="234"/>
    <n v="464.83125000000001"/>
    <n v="0"/>
    <n v="879.24189596271185"/>
    <n v="2301.9523752018677"/>
    <n v="0.72361263694818712"/>
    <x v="1"/>
    <s v="MEDIANO"/>
    <x v="4"/>
    <x v="1"/>
    <n v="35"/>
    <n v="1"/>
    <d v="2018-07-25T00:00:00"/>
    <s v="HYUNDAI"/>
    <s v="ELANTRA"/>
    <n v="8646.5925000000007"/>
    <d v="2018-07-30T00:00:00"/>
    <n v="16"/>
    <x v="1"/>
  </r>
  <r>
    <d v="2018-08-16T00:00:00"/>
    <s v="001-00013033"/>
    <n v="1008.2187860000001"/>
    <n v="0"/>
    <n v="0"/>
    <n v="20"/>
    <n v="0"/>
    <n v="87.75"/>
    <n v="123.33522500000001"/>
    <n v="0"/>
    <n v="231.08522500000001"/>
    <n v="777.1335610000001"/>
    <n v="0.77079853280972288"/>
    <x v="1"/>
    <s v="LEVE"/>
    <x v="4"/>
    <x v="1"/>
    <n v="22"/>
    <n v="1"/>
    <d v="2018-07-25T00:00:00"/>
    <s v="CHEVROLET"/>
    <s v="ONIX"/>
    <n v="1368.7049999999999"/>
    <d v="2018-07-26T00:00:00"/>
    <n v="6"/>
    <x v="1"/>
  </r>
  <r>
    <d v="2018-08-07T00:00:00"/>
    <s v="001-00013036"/>
    <n v="1183.5738839999999"/>
    <n v="0"/>
    <n v="0"/>
    <n v="40.656779661016948"/>
    <n v="0"/>
    <n v="73.125"/>
    <n v="238.61337499999999"/>
    <n v="0"/>
    <n v="352.39515466101693"/>
    <n v="831.17872933898298"/>
    <n v="0.70226180264297133"/>
    <x v="1"/>
    <s v="LEVE"/>
    <x v="4"/>
    <x v="1"/>
    <n v="12"/>
    <n v="1"/>
    <d v="2018-07-26T00:00:00"/>
    <s v="DAIHATSU"/>
    <s v="TERIOS"/>
    <n v="1148.7775000000001"/>
    <d v="2018-07-27T00:00:00"/>
    <n v="5"/>
    <x v="1"/>
  </r>
  <r>
    <d v="2018-08-17T00:00:00"/>
    <s v="001-00013037"/>
    <n v="1016.5875984"/>
    <n v="0"/>
    <n v="0"/>
    <n v="20.656779661016948"/>
    <n v="4.3874999999999993"/>
    <n v="87.75"/>
    <n v="154.94374999999999"/>
    <n v="0"/>
    <n v="267.73802966101692"/>
    <n v="748.84956873898318"/>
    <n v="0.7366306355867337"/>
    <x v="1"/>
    <s v="LEVE"/>
    <x v="4"/>
    <x v="1"/>
    <n v="22"/>
    <n v="1"/>
    <d v="2018-07-26T00:00:00"/>
    <s v="TOYOTA"/>
    <s v="YARIS"/>
    <n v="546"/>
    <d v="2018-07-27T00:00:00"/>
    <n v="6"/>
    <x v="1097"/>
  </r>
  <r>
    <d v="2018-08-31T00:00:00"/>
    <s v="001-00013039"/>
    <n v="3119.4179053000003"/>
    <n v="31.810900200000003"/>
    <n v="0"/>
    <n v="84.75"/>
    <n v="29.25"/>
    <n v="263.25"/>
    <n v="371.86500000000001"/>
    <n v="0"/>
    <n v="780.9259002"/>
    <n v="2338.4920051000004"/>
    <n v="0.74965653083122352"/>
    <x v="1"/>
    <s v="MEDIANO"/>
    <x v="4"/>
    <x v="1"/>
    <n v="36"/>
    <n v="1"/>
    <d v="2018-07-26T00:00:00"/>
    <s v="SUZUKI"/>
    <s v="SX4"/>
    <n v="11095.922500000001"/>
    <d v="2018-07-30T00:00:00"/>
    <n v="18"/>
    <x v="1"/>
  </r>
  <r>
    <d v="2018-08-07T00:00:00"/>
    <s v="001-00013040"/>
    <n v="251.45744100000002"/>
    <n v="74.578795999999997"/>
    <n v="0"/>
    <n v="0"/>
    <n v="0"/>
    <n v="0"/>
    <n v="0"/>
    <n v="0"/>
    <n v="74.578795999999997"/>
    <n v="176.87864500000001"/>
    <n v="0.70341384329923251"/>
    <x v="0"/>
    <s v="MECANICA"/>
    <x v="4"/>
    <x v="1"/>
    <n v="12"/>
    <n v="1"/>
    <d v="2018-07-26T00:00:00"/>
    <s v="S/MARCA"/>
    <s v="S/MODELO"/>
    <n v="0"/>
    <s v="F/Fecha"/>
    <n v="0"/>
    <x v="1098"/>
  </r>
  <r>
    <d v="2018-08-15T00:00:00"/>
    <s v="001-00013049"/>
    <n v="1778.897043756609"/>
    <n v="5.4759001999999999"/>
    <n v="0"/>
    <n v="125.40677966101694"/>
    <n v="43.875"/>
    <n v="146.25"/>
    <n v="216.92125000000001"/>
    <n v="0"/>
    <n v="537.92892986101697"/>
    <n v="1240.9681138955921"/>
    <n v="0.69760536072113621"/>
    <x v="1"/>
    <s v="MEDIANO"/>
    <x v="4"/>
    <x v="1"/>
    <n v="19"/>
    <n v="1"/>
    <d v="2018-07-27T00:00:00"/>
    <s v="TOYOTA"/>
    <s v="ETIOS"/>
    <n v="5843.5325000000003"/>
    <d v="2018-07-26T00:00:00"/>
    <n v="10"/>
    <x v="1"/>
  </r>
  <r>
    <d v="2018-08-10T00:00:00"/>
    <s v="001-00013051"/>
    <n v="1383.3972407700003"/>
    <n v="0"/>
    <n v="0"/>
    <n v="33.771186440677965"/>
    <n v="0"/>
    <n v="146.25"/>
    <n v="216.92125000000001"/>
    <n v="0"/>
    <n v="396.94243644067797"/>
    <n v="986.45480432932231"/>
    <n v="0.71306691618111118"/>
    <x v="1"/>
    <s v="MEDIANO"/>
    <x v="4"/>
    <x v="1"/>
    <n v="14"/>
    <n v="1"/>
    <d v="2018-07-27T00:00:00"/>
    <s v="HYUNDAI"/>
    <s v="I10"/>
    <n v="963.85249999999996"/>
    <d v="2018-07-30T00:00:00"/>
    <n v="10"/>
    <x v="1"/>
  </r>
  <r>
    <d v="2018-08-09T00:00:00"/>
    <s v="001-00013052"/>
    <n v="1201.5033266999999"/>
    <n v="0"/>
    <n v="0"/>
    <n v="0"/>
    <n v="0"/>
    <n v="146.25"/>
    <n v="147.50645"/>
    <n v="0"/>
    <n v="293.75644999999997"/>
    <n v="907.74687669999992"/>
    <n v="0.75550924956086518"/>
    <x v="1"/>
    <s v="MEDIANO"/>
    <x v="4"/>
    <x v="1"/>
    <n v="13"/>
    <n v="1"/>
    <d v="2018-07-27T00:00:00"/>
    <s v="SUZUKI"/>
    <s v="CELERIO"/>
    <n v="0"/>
    <d v="2018-07-24T00:00:00"/>
    <n v="10"/>
    <x v="1"/>
  </r>
  <r>
    <d v="2018-08-03T00:00:00"/>
    <s v="001-00013053"/>
    <n v="1124.6189656500001"/>
    <n v="0"/>
    <n v="0"/>
    <n v="0"/>
    <n v="0"/>
    <n v="146.25"/>
    <n v="92.966250000000002"/>
    <n v="0"/>
    <n v="239.21625"/>
    <n v="885.40271565000012"/>
    <n v="0.78729128948866756"/>
    <x v="1"/>
    <s v="MEDIANO"/>
    <x v="4"/>
    <x v="1"/>
    <n v="4"/>
    <n v="1"/>
    <d v="2018-07-30T00:00:00"/>
    <s v="SUZUKI"/>
    <s v="ERTIGA"/>
    <n v="0"/>
    <d v="2018-07-23T00:00:00"/>
    <n v="10"/>
    <x v="1"/>
  </r>
  <r>
    <d v="2018-08-11T00:00:00"/>
    <s v="001-00013055"/>
    <n v="2168.2525545899998"/>
    <n v="0.61"/>
    <n v="0"/>
    <n v="41.313559322033896"/>
    <n v="0"/>
    <n v="204.75"/>
    <n v="356.37062500000002"/>
    <n v="0"/>
    <n v="603.04418432203397"/>
    <n v="1565.2083702679658"/>
    <n v="0.72187548768456766"/>
    <x v="1"/>
    <s v="MEDIANO"/>
    <x v="4"/>
    <x v="1"/>
    <n v="12"/>
    <n v="1"/>
    <d v="2018-07-30T00:00:00"/>
    <s v="HYUNDAI"/>
    <s v="ELANTRA"/>
    <n v="1817.1075000000001"/>
    <d v="2018-07-31T00:00:00"/>
    <n v="14"/>
    <x v="1"/>
  </r>
  <r>
    <d v="2018-08-11T00:00:00"/>
    <s v="001-00013056"/>
    <n v="1825.9862063099999"/>
    <n v="1.22"/>
    <n v="0"/>
    <n v="168.43355932203389"/>
    <n v="0"/>
    <n v="190.125"/>
    <n v="200.80710000000002"/>
    <n v="0"/>
    <n v="560.58565932203385"/>
    <n v="1265.4005469879662"/>
    <n v="0.69299567686500785"/>
    <x v="1"/>
    <s v="MEDIANO"/>
    <x v="4"/>
    <x v="1"/>
    <n v="12"/>
    <n v="1"/>
    <d v="2018-07-30T00:00:00"/>
    <s v="SUZUKI"/>
    <s v="GRAND V."/>
    <n v="3149.4775"/>
    <d v="2018-07-30T00:00:00"/>
    <n v="13"/>
    <x v="1"/>
  </r>
  <r>
    <d v="2018-08-21T00:00:00"/>
    <s v="001-00013057"/>
    <n v="2734.1447548279684"/>
    <n v="7.6790002099999999"/>
    <n v="0"/>
    <n v="104.75"/>
    <n v="21.9375"/>
    <n v="263.25"/>
    <n v="340.87625000000003"/>
    <n v="0"/>
    <n v="738.49275021000005"/>
    <n v="1995.6520046179685"/>
    <n v="0.72989990785748804"/>
    <x v="1"/>
    <s v="MEDIANO"/>
    <x v="4"/>
    <x v="1"/>
    <n v="22"/>
    <n v="1"/>
    <d v="2018-07-30T00:00:00"/>
    <s v="TOYOTA"/>
    <s v="COROLLA"/>
    <n v="2611.4074999999998"/>
    <d v="2018-07-30T00:00:00"/>
    <n v="18"/>
    <x v="967"/>
  </r>
  <r>
    <d v="2018-08-24T00:00:00"/>
    <s v="001-00013062"/>
    <n v="1652.944"/>
    <n v="0.88550000999999989"/>
    <n v="0"/>
    <n v="16.95"/>
    <n v="39.487500000000004"/>
    <n v="102.375"/>
    <n v="278.89875000000001"/>
    <n v="0"/>
    <n v="438.59675000999999"/>
    <n v="1214.3472499899999"/>
    <n v="0.73465722371114806"/>
    <x v="1"/>
    <s v="MEDIANO"/>
    <x v="4"/>
    <x v="1"/>
    <n v="25"/>
    <n v="1"/>
    <d v="2018-07-30T00:00:00"/>
    <s v="SUZUKI"/>
    <s v="SWIFT"/>
    <n v="2059.0699999999997"/>
    <d v="2018-08-01T00:00:00"/>
    <n v="7"/>
    <x v="1"/>
  </r>
  <r>
    <d v="2018-08-11T00:00:00"/>
    <s v="001-00013063"/>
    <n v="728.79939330000002"/>
    <n v="0"/>
    <n v="0"/>
    <n v="0"/>
    <n v="0"/>
    <n v="58.5"/>
    <n v="108.46062500000001"/>
    <n v="0"/>
    <n v="166.96062499999999"/>
    <n v="561.83876830000008"/>
    <n v="0.77091003843457795"/>
    <x v="1"/>
    <s v="LEVE"/>
    <x v="4"/>
    <x v="1"/>
    <n v="12"/>
    <n v="1"/>
    <d v="2018-07-30T00:00:00"/>
    <s v="TOYOTA"/>
    <s v="YARIS"/>
    <n v="1280.6300000000001"/>
    <d v="2018-07-31T00:00:00"/>
    <n v="4"/>
    <x v="1"/>
  </r>
  <r>
    <d v="2018-08-14T00:00:00"/>
    <s v="001-00013065"/>
    <n v="501.26748474999999"/>
    <n v="0"/>
    <n v="0"/>
    <n v="75.656779661016941"/>
    <n v="0"/>
    <n v="365.625"/>
    <n v="61.977499999999999"/>
    <n v="0"/>
    <n v="503.25927966101693"/>
    <n v="-1.9917949110169388"/>
    <n v="-3.9735170774348513E-3"/>
    <x v="1"/>
    <s v="LEVE"/>
    <x v="4"/>
    <x v="1"/>
    <n v="15"/>
    <n v="1"/>
    <d v="2018-07-30T00:00:00"/>
    <s v="RENAULT"/>
    <s v="DUSTER"/>
    <n v="3064.75"/>
    <d v="2018-07-31T00:00:00"/>
    <n v="25"/>
    <x v="1"/>
  </r>
  <r>
    <d v="2018-08-13T00:00:00"/>
    <s v="001-00013066"/>
    <n v="1900.1805000000002"/>
    <n v="0"/>
    <n v="0"/>
    <n v="55.084745762711869"/>
    <n v="0"/>
    <n v="204.75"/>
    <n v="309.88749999999999"/>
    <n v="0"/>
    <n v="569.72224576271185"/>
    <n v="1330.4582542372882"/>
    <n v="0.70017466984704246"/>
    <x v="1"/>
    <s v="MEDIANO"/>
    <x v="4"/>
    <x v="1"/>
    <n v="14"/>
    <n v="1"/>
    <d v="2018-07-30T00:00:00"/>
    <s v="DFSK"/>
    <s v="GLORY"/>
    <n v="4000.75"/>
    <d v="2018-08-01T00:00:00"/>
    <n v="14"/>
    <x v="1"/>
  </r>
  <r>
    <d v="2018-08-10T00:00:00"/>
    <s v="001-00013067"/>
    <n v="1746.4555872000001"/>
    <n v="0"/>
    <n v="0"/>
    <n v="0"/>
    <n v="0"/>
    <n v="204.75"/>
    <n v="238.61337499999999"/>
    <n v="0"/>
    <n v="443.36337500000002"/>
    <n v="1303.0922122000002"/>
    <n v="0.74613532788954517"/>
    <x v="1"/>
    <s v="MEDIANO"/>
    <x v="4"/>
    <x v="1"/>
    <n v="11"/>
    <n v="1"/>
    <d v="2018-07-30T00:00:00"/>
    <s v="SUZUKI"/>
    <s v="CIAZ"/>
    <n v="0"/>
    <d v="2018-07-31T00:00:00"/>
    <n v="14"/>
    <x v="1"/>
  </r>
  <r>
    <d v="2018-08-10T00:00:00"/>
    <s v="001-00013068"/>
    <n v="1604.82393873"/>
    <n v="0"/>
    <n v="0"/>
    <n v="0"/>
    <n v="0"/>
    <n v="146.25"/>
    <n v="278.89875000000001"/>
    <n v="0"/>
    <n v="425.14875000000001"/>
    <n v="1179.6751887299999"/>
    <n v="0.73508075263605088"/>
    <x v="1"/>
    <s v="MEDIANO"/>
    <x v="4"/>
    <x v="1"/>
    <n v="11"/>
    <n v="1"/>
    <d v="2018-07-30T00:00:00"/>
    <s v="TOYOTA"/>
    <s v="YARIS"/>
    <n v="2928.9324999999999"/>
    <d v="2018-07-31T00:00:00"/>
    <n v="10"/>
    <x v="1"/>
  </r>
  <r>
    <d v="2018-08-03T00:00:00"/>
    <s v="001-00013069"/>
    <n v="928.17897164999999"/>
    <n v="0"/>
    <n v="0"/>
    <n v="41.313559322033896"/>
    <n v="0"/>
    <n v="160.875"/>
    <n v="123.955"/>
    <n v="0"/>
    <n v="326.14355932203387"/>
    <n v="602.03541232796613"/>
    <n v="0.64861996523983212"/>
    <x v="0"/>
    <s v="MEDIANO"/>
    <x v="4"/>
    <x v="1"/>
    <n v="4"/>
    <n v="1"/>
    <d v="2018-07-30T00:00:00"/>
    <s v="MAZDA"/>
    <s v="MAZDA 3"/>
    <n v="0"/>
    <d v="2018-07-30T00:00:00"/>
    <n v="11"/>
    <x v="709"/>
  </r>
  <r>
    <d v="2018-08-17T00:00:00"/>
    <s v="001-00013071"/>
    <n v="1824.2383391999999"/>
    <n v="0"/>
    <n v="0"/>
    <n v="0"/>
    <n v="0"/>
    <n v="204.75"/>
    <n v="371.86500000000001"/>
    <n v="0"/>
    <n v="576.61500000000001"/>
    <n v="1247.6233391999999"/>
    <n v="0.68391465763576254"/>
    <x v="0"/>
    <s v="MEDIANO"/>
    <x v="4"/>
    <x v="1"/>
    <n v="18"/>
    <n v="1"/>
    <d v="2018-07-30T00:00:00"/>
    <s v="TOYOTA"/>
    <s v="YARIS"/>
    <n v="0"/>
    <d v="2018-07-30T00:00:00"/>
    <n v="14"/>
    <x v="1097"/>
  </r>
  <r>
    <d v="2018-08-04T00:00:00"/>
    <s v="001-00013072"/>
    <n v="439.38191817966003"/>
    <n v="0"/>
    <n v="0"/>
    <n v="27.542372881355934"/>
    <n v="0"/>
    <n v="36.5625"/>
    <n v="61.977499999999999"/>
    <n v="0"/>
    <n v="126.08237288135592"/>
    <n v="313.29954529830411"/>
    <n v="0.71304605932872789"/>
    <x v="1"/>
    <s v="LEVE"/>
    <x v="4"/>
    <x v="1"/>
    <n v="5"/>
    <n v="1"/>
    <d v="2018-07-30T00:00:00"/>
    <s v="HONDA"/>
    <s v="ACCORD"/>
    <n v="0"/>
    <d v="2018-07-30T00:00:00"/>
    <n v="2.5"/>
    <x v="1099"/>
  </r>
  <r>
    <d v="2018-08-14T00:00:00"/>
    <s v="001-00013074"/>
    <n v="1817.6553615316914"/>
    <n v="0"/>
    <n v="0"/>
    <n v="20.656779661016948"/>
    <n v="0"/>
    <n v="292.5"/>
    <n v="185.9325"/>
    <n v="0"/>
    <n v="499.08927966101697"/>
    <n v="1318.5660818706745"/>
    <n v="0.72542139163254404"/>
    <x v="1"/>
    <s v="MEDIANO"/>
    <x v="4"/>
    <x v="1"/>
    <n v="15"/>
    <n v="1"/>
    <d v="2018-07-30T00:00:00"/>
    <s v="HONDA"/>
    <s v="HR-V"/>
    <n v="809.02250000000004"/>
    <d v="2018-07-31T00:00:00"/>
    <n v="20"/>
    <x v="1"/>
  </r>
  <r>
    <d v="2018-08-10T00:00:00"/>
    <s v="001-00013075"/>
    <n v="575.27131710000015"/>
    <n v="0"/>
    <n v="0"/>
    <n v="0"/>
    <n v="0"/>
    <n v="51.1875"/>
    <n v="119.61657499999998"/>
    <n v="0"/>
    <n v="170.80407499999998"/>
    <n v="404.46724210000013"/>
    <n v="0.70308953371595106"/>
    <x v="1"/>
    <s v="LEVE"/>
    <x v="4"/>
    <x v="1"/>
    <n v="11"/>
    <n v="1"/>
    <d v="2018-07-30T00:00:00"/>
    <s v="KIA"/>
    <s v="RIO"/>
    <n v="2058.5499999999997"/>
    <d v="2018-07-31T00:00:00"/>
    <n v="3.5"/>
    <x v="1"/>
  </r>
  <r>
    <d v="2018-08-10T00:00:00"/>
    <s v="001-00013078"/>
    <n v="971.27649659999997"/>
    <n v="1.01660002"/>
    <n v="0"/>
    <n v="0"/>
    <n v="8.7749999999999986"/>
    <n v="117"/>
    <n v="123.955"/>
    <n v="0"/>
    <n v="250.74660002000002"/>
    <n v="720.52989658000001"/>
    <n v="0.74183808534670559"/>
    <x v="1"/>
    <s v="MEDIANO"/>
    <x v="4"/>
    <x v="1"/>
    <n v="11"/>
    <n v="1"/>
    <d v="2018-07-30T00:00:00"/>
    <s v="HYUNDAI"/>
    <s v="ELANTRA"/>
    <n v="938.82749999999999"/>
    <d v="2018-08-01T00:00:00"/>
    <n v="8"/>
    <x v="1100"/>
  </r>
  <r>
    <d v="2018-08-15T00:00:00"/>
    <s v="001-00013079"/>
    <n v="794.1906778678001"/>
    <n v="0.84739999999999993"/>
    <n v="0"/>
    <n v="0"/>
    <n v="0"/>
    <n v="43.875"/>
    <n v="123.955"/>
    <n v="0"/>
    <n v="168.67740000000001"/>
    <n v="625.51327786780007"/>
    <n v="0.78761095452183361"/>
    <x v="1"/>
    <s v="LEVE"/>
    <x v="4"/>
    <x v="1"/>
    <n v="16"/>
    <n v="1"/>
    <d v="2018-07-30T00:00:00"/>
    <s v="HYUNDAI"/>
    <s v="ACCENT"/>
    <n v="1042.4375"/>
    <d v="2018-07-31T00:00:00"/>
    <n v="3"/>
    <x v="1"/>
  </r>
  <r>
    <d v="2018-08-01T00:00:00"/>
    <s v="001-00013080"/>
    <n v="163.699995"/>
    <n v="0"/>
    <n v="0"/>
    <n v="20"/>
    <n v="0"/>
    <n v="102.375"/>
    <n v="214.44215000000003"/>
    <n v="0"/>
    <n v="336.81715000000003"/>
    <n v="-173.11715500000003"/>
    <n v="-1.0575269412806032"/>
    <x v="1"/>
    <s v="MEDIANO"/>
    <x v="4"/>
    <x v="1"/>
    <n v="2"/>
    <n v="1"/>
    <d v="2018-07-30T00:00:00"/>
    <s v="S/MARCA"/>
    <s v="S/MODELO"/>
    <n v="0"/>
    <s v="F/Fecha"/>
    <n v="0"/>
    <x v="1101"/>
  </r>
  <r>
    <d v="2018-08-10T00:00:00"/>
    <s v="001-00013081"/>
    <n v="371.43523644600003"/>
    <n v="0.50849997999999996"/>
    <n v="0"/>
    <n v="0"/>
    <n v="0"/>
    <n v="43.875"/>
    <n v="61.977499999999999"/>
    <n v="0"/>
    <n v="106.36099998"/>
    <n v="265.074236466"/>
    <n v="0.71364859996134755"/>
    <x v="1"/>
    <s v="LEVE"/>
    <x v="4"/>
    <x v="1"/>
    <n v="11"/>
    <n v="1"/>
    <d v="2018-07-30T00:00:00"/>
    <s v="HYUNDAI"/>
    <s v="ELANTRA"/>
    <n v="1144"/>
    <d v="2018-08-01T00:00:00"/>
    <n v="3"/>
    <x v="1"/>
  </r>
  <r>
    <d v="2018-08-01T00:00:00"/>
    <s v="001-00013083"/>
    <n v="620.64492550322086"/>
    <n v="0"/>
    <n v="0"/>
    <n v="76.27"/>
    <n v="0"/>
    <n v="234"/>
    <n v="247.91"/>
    <n v="0"/>
    <n v="558.17999999999995"/>
    <n v="62.464925503220911"/>
    <n v="0.1006451884748339"/>
    <x v="1"/>
    <s v="MEDIANO"/>
    <x v="4"/>
    <x v="1"/>
    <n v="2"/>
    <n v="1"/>
    <d v="2018-07-30T00:00:00"/>
    <s v="S/MARCA"/>
    <s v="S/MODELO"/>
    <n v="0"/>
    <s v="F/Fecha"/>
    <n v="0"/>
    <x v="1102"/>
  </r>
  <r>
    <d v="2018-08-09T00:00:00"/>
    <s v="001-00013084"/>
    <n v="803.83794"/>
    <n v="0"/>
    <n v="0"/>
    <n v="0"/>
    <n v="0"/>
    <n v="58.5"/>
    <n v="123.955"/>
    <n v="0"/>
    <n v="182.45499999999998"/>
    <n v="621.38293999999996"/>
    <n v="0.77302016871709234"/>
    <x v="1"/>
    <s v="LEVE"/>
    <x v="4"/>
    <x v="1"/>
    <n v="9"/>
    <n v="1"/>
    <d v="2018-07-31T00:00:00"/>
    <s v="JAC"/>
    <s v="S5"/>
    <n v="1036.75"/>
    <d v="2018-08-01T00:00:00"/>
    <n v="4"/>
    <x v="1"/>
  </r>
  <r>
    <d v="2018-08-07T00:00:00"/>
    <s v="001-00013086"/>
    <n v="399.05085299999996"/>
    <n v="0"/>
    <n v="0"/>
    <n v="0"/>
    <n v="0"/>
    <n v="204.75"/>
    <n v="340.87625000000003"/>
    <n v="0"/>
    <n v="545.62625000000003"/>
    <n v="-146.57539700000007"/>
    <n v="-0.36731007062901849"/>
    <x v="1"/>
    <s v="MEDIANO"/>
    <x v="4"/>
    <x v="1"/>
    <n v="7"/>
    <n v="1"/>
    <d v="2018-07-31T00:00:00"/>
    <s v="S/MARCA"/>
    <s v="S/MODELO"/>
    <n v="0"/>
    <s v="F/Fecha"/>
    <n v="0"/>
    <x v="1103"/>
  </r>
  <r>
    <d v="2018-08-04T00:00:00"/>
    <s v="001-00013087"/>
    <n v="660"/>
    <n v="0"/>
    <n v="0"/>
    <n v="0"/>
    <n v="0"/>
    <n v="87.75"/>
    <n v="123.955"/>
    <n v="0"/>
    <n v="211.70499999999998"/>
    <n v="448.29500000000002"/>
    <n v="0.6792348484848485"/>
    <x v="0"/>
    <s v="LEVE"/>
    <x v="4"/>
    <x v="1"/>
    <n v="5"/>
    <n v="1"/>
    <d v="2018-07-30T00:00:00"/>
    <s v="KIA"/>
    <s v="CERATO"/>
    <n v="0"/>
    <d v="2018-07-31T00:00:00"/>
    <n v="6"/>
    <x v="1104"/>
  </r>
  <r>
    <d v="2018-08-17T00:00:00"/>
    <s v="001-00013088"/>
    <n v="5572"/>
    <n v="1555.6230983000003"/>
    <n v="300.83999999999997"/>
    <n v="245.76000000000002"/>
    <n v="0"/>
    <n v="0"/>
    <n v="0"/>
    <n v="0"/>
    <n v="2102.2230983000004"/>
    <n v="3469.7769016999996"/>
    <n v="0.62271660116654692"/>
    <x v="0"/>
    <s v="MECANICA"/>
    <x v="4"/>
    <x v="1"/>
    <n v="18"/>
    <n v="1"/>
    <d v="2018-07-30T00:00:00"/>
    <s v="S/MARCA"/>
    <s v="S/MODELO"/>
    <n v="0"/>
    <s v="F/Fecha"/>
    <n v="0"/>
    <x v="871"/>
  </r>
  <r>
    <d v="2018-08-20T00:00:00"/>
    <s v="001-00013089"/>
    <n v="135.09164538880012"/>
    <n v="83.14029699999999"/>
    <n v="0"/>
    <n v="0"/>
    <n v="0"/>
    <n v="0"/>
    <n v="0"/>
    <n v="0"/>
    <n v="83.14029699999999"/>
    <n v="51.951348388800128"/>
    <n v="0.38456373996542642"/>
    <x v="0"/>
    <s v="MECANICA"/>
    <x v="4"/>
    <x v="1"/>
    <n v="20"/>
    <n v="1"/>
    <d v="2018-07-31T00:00:00"/>
    <s v="S/MARCA"/>
    <s v="S/MODELO"/>
    <n v="0"/>
    <s v="F/Fecha"/>
    <n v="0"/>
    <x v="1105"/>
  </r>
  <r>
    <d v="2018-08-21T00:00:00"/>
    <s v="001-00013090"/>
    <n v="134.8475773828001"/>
    <n v="83.14029699999999"/>
    <n v="0"/>
    <n v="0"/>
    <n v="0"/>
    <n v="0"/>
    <n v="0"/>
    <n v="0"/>
    <n v="83.14029699999999"/>
    <n v="51.707280382800107"/>
    <n v="0.38344982821616053"/>
    <x v="0"/>
    <s v="MECANICA"/>
    <x v="4"/>
    <x v="1"/>
    <n v="21"/>
    <n v="1"/>
    <d v="2018-07-31T00:00:00"/>
    <s v="S/MARCA"/>
    <s v="S/MODELO"/>
    <n v="0"/>
    <s v="F/Fecha"/>
    <n v="0"/>
    <x v="967"/>
  </r>
  <r>
    <d v="2018-08-15T00:00:00"/>
    <s v="001-00013091"/>
    <n v="952.74447105000013"/>
    <n v="0"/>
    <n v="0"/>
    <n v="20"/>
    <n v="0"/>
    <n v="58.5"/>
    <n v="185.9325"/>
    <n v="0"/>
    <n v="264.4325"/>
    <n v="688.31197105000012"/>
    <n v="0.72245181364466549"/>
    <x v="1"/>
    <s v="LEVE"/>
    <x v="4"/>
    <x v="1"/>
    <n v="15"/>
    <n v="1"/>
    <d v="2018-07-31T00:00:00"/>
    <s v="MAZDA"/>
    <s v="CX-5"/>
    <n v="728.8125"/>
    <d v="2018-08-01T00:00:00"/>
    <n v="4"/>
    <x v="1106"/>
  </r>
  <r>
    <d v="2018-08-09T00:00:00"/>
    <s v="001-00013093"/>
    <n v="784.41218127000013"/>
    <n v="0"/>
    <n v="0"/>
    <n v="51.313559322033896"/>
    <n v="0"/>
    <n v="87.75"/>
    <n v="77.471874999999997"/>
    <n v="0"/>
    <n v="216.53543432203389"/>
    <n v="567.87674694796624"/>
    <n v="0.72395197385709531"/>
    <x v="1"/>
    <s v="LEVE"/>
    <x v="4"/>
    <x v="1"/>
    <n v="9"/>
    <n v="1"/>
    <d v="2018-07-31T00:00:00"/>
    <s v="HONDA"/>
    <s v="HR-V"/>
    <n v="84.240000000000009"/>
    <d v="2018-08-01T00:00:00"/>
    <n v="6"/>
    <x v="1"/>
  </r>
  <r>
    <d v="2018-08-11T00:00:00"/>
    <s v="001-00013094"/>
    <n v="455.22520294200001"/>
    <n v="0"/>
    <n v="0"/>
    <n v="61.313559322033896"/>
    <n v="0"/>
    <n v="32.175000000000004"/>
    <n v="61.977499999999999"/>
    <n v="0"/>
    <n v="155.46605932203389"/>
    <n v="299.75914361996615"/>
    <n v="0.65848538631583253"/>
    <x v="1"/>
    <s v="LEVE"/>
    <x v="4"/>
    <x v="1"/>
    <n v="10"/>
    <n v="1"/>
    <d v="2018-08-01T00:00:00"/>
    <s v="HYUNDAI"/>
    <s v="ELANTRA"/>
    <n v="810.58249999999998"/>
    <d v="2018-08-02T00:00:00"/>
    <n v="2.2000000000000002"/>
    <x v="1"/>
  </r>
  <r>
    <d v="2018-08-10T00:00:00"/>
    <s v="001-00013095"/>
    <n v="1333.55848743"/>
    <n v="0"/>
    <n v="0"/>
    <n v="174.77966101694915"/>
    <n v="0"/>
    <n v="73.125"/>
    <n v="170.43812500000001"/>
    <n v="0"/>
    <n v="418.34278601694916"/>
    <n v="915.21570141305085"/>
    <n v="0.68629588431237931"/>
    <x v="1"/>
    <s v="LEVE"/>
    <x v="4"/>
    <x v="1"/>
    <n v="9"/>
    <n v="1"/>
    <d v="2018-08-01T00:00:00"/>
    <s v="HYUNDAI"/>
    <s v="ELANTRA"/>
    <n v="654.61500000000001"/>
    <d v="2018-07-19T00:00:00"/>
    <n v="5"/>
    <x v="1"/>
  </r>
  <r>
    <d v="2018-08-20T00:00:00"/>
    <s v="001-00013096"/>
    <n v="2158.2840907889799"/>
    <n v="0"/>
    <n v="0"/>
    <n v="0"/>
    <n v="0"/>
    <n v="234"/>
    <n v="309.88749999999999"/>
    <n v="0"/>
    <n v="543.88750000000005"/>
    <n v="1614.3965907889799"/>
    <n v="0.74800004210697901"/>
    <x v="1"/>
    <s v="MEDIANO"/>
    <x v="4"/>
    <x v="1"/>
    <n v="19"/>
    <n v="1"/>
    <d v="2018-08-01T00:00:00"/>
    <s v="HYUNDAI"/>
    <s v="ELANTRA"/>
    <n v="1413.9125000000001"/>
    <d v="2018-08-02T00:00:00"/>
    <n v="16"/>
    <x v="1"/>
  </r>
  <r>
    <d v="2018-08-01T00:00:00"/>
    <s v="001-00013097"/>
    <n v="436.62710200000004"/>
    <n v="155.05474899999999"/>
    <n v="0"/>
    <n v="0"/>
    <n v="39.048749999999998"/>
    <n v="0"/>
    <n v="0"/>
    <n v="0"/>
    <n v="194.103499"/>
    <n v="242.52360300000004"/>
    <n v="0.55544789109311865"/>
    <x v="0"/>
    <s v="MECANICA"/>
    <x v="4"/>
    <x v="1"/>
    <n v="1"/>
    <n v="1"/>
    <d v="2018-07-31T00:00:00"/>
    <s v="GREAT W."/>
    <s v="WINGLE"/>
    <n v="30.0625"/>
    <d v="2018-08-01T00:00:00"/>
    <n v="0"/>
    <x v="1107"/>
  </r>
  <r>
    <d v="2018-08-24T00:00:00"/>
    <s v="001-00013098"/>
    <n v="2720.1218582400002"/>
    <n v="0"/>
    <n v="0"/>
    <n v="131.35474576271187"/>
    <n v="0"/>
    <n v="351"/>
    <n v="242.33202499999999"/>
    <n v="0"/>
    <n v="724.68677076271183"/>
    <n v="1995.4350874772883"/>
    <n v="0.73358297586285137"/>
    <x v="1"/>
    <s v="GRAVE"/>
    <x v="4"/>
    <x v="1"/>
    <n v="23"/>
    <n v="1"/>
    <d v="2018-08-01T00:00:00"/>
    <s v="HYUNDAI"/>
    <s v="VELOSTER"/>
    <n v="1045.1025"/>
    <d v="2018-08-10T00:00:00"/>
    <n v="24"/>
    <x v="1108"/>
  </r>
  <r>
    <d v="2018-08-15T00:00:00"/>
    <s v="001-00013099"/>
    <n v="1736.114045056609"/>
    <n v="0"/>
    <n v="0"/>
    <n v="0"/>
    <n v="0"/>
    <n v="263.25"/>
    <n v="182.83362500000001"/>
    <n v="0"/>
    <n v="446.08362499999998"/>
    <n v="1290.030420056609"/>
    <n v="0.74305626622273269"/>
    <x v="1"/>
    <s v="MEDIANO"/>
    <x v="4"/>
    <x v="1"/>
    <n v="14"/>
    <n v="1"/>
    <d v="2018-08-01T00:00:00"/>
    <s v="HYUNDAI"/>
    <s v="I10"/>
    <n v="1582.88"/>
    <d v="2018-08-02T00:00:00"/>
    <n v="18"/>
    <x v="1"/>
  </r>
  <r>
    <d v="2018-08-17T00:00:00"/>
    <s v="001-00013100"/>
    <n v="1392.0223391999998"/>
    <n v="0"/>
    <n v="0"/>
    <n v="20"/>
    <n v="0"/>
    <n v="73.125"/>
    <n v="247.91"/>
    <n v="0"/>
    <n v="341.03499999999997"/>
    <n v="1050.9873392"/>
    <n v="0.75500752366086743"/>
    <x v="1"/>
    <s v="LEVE"/>
    <x v="4"/>
    <x v="1"/>
    <n v="16"/>
    <n v="1"/>
    <d v="2018-08-01T00:00:00"/>
    <s v="MAZDA"/>
    <s v="CX-5"/>
    <n v="6569.0950000000003"/>
    <d v="2018-08-01T00:00:00"/>
    <n v="5"/>
    <x v="1"/>
  </r>
  <r>
    <d v="2018-08-14T00:00:00"/>
    <s v="001-00013101"/>
    <n v="952.71434496468009"/>
    <n v="0"/>
    <n v="0"/>
    <n v="20"/>
    <n v="15.502500000000001"/>
    <n v="87.75"/>
    <n v="123.955"/>
    <n v="0"/>
    <n v="247.20749999999998"/>
    <n v="705.50684496468011"/>
    <n v="0.74052295810748536"/>
    <x v="1"/>
    <s v="LEVE"/>
    <x v="4"/>
    <x v="1"/>
    <n v="13"/>
    <n v="1"/>
    <d v="2018-08-01T00:00:00"/>
    <s v="MAZDA"/>
    <s v="MAZDA 3"/>
    <n v="1924.5849999999998"/>
    <d v="2018-08-02T00:00:00"/>
    <n v="6"/>
    <x v="1"/>
  </r>
  <r>
    <d v="2018-08-14T00:00:00"/>
    <s v="001-00013102"/>
    <n v="736.76163428559016"/>
    <n v="1.01660002"/>
    <n v="0"/>
    <n v="41.313559322033896"/>
    <n v="0"/>
    <n v="58.5"/>
    <n v="123.33522500000001"/>
    <n v="0"/>
    <n v="224.16538434203392"/>
    <n v="512.59624994355624"/>
    <n v="0.69574232165414174"/>
    <x v="1"/>
    <s v="LEVE"/>
    <x v="4"/>
    <x v="1"/>
    <n v="13"/>
    <n v="1"/>
    <d v="2018-08-01T00:00:00"/>
    <s v="RENAULT"/>
    <s v="LOGAN"/>
    <n v="253.5"/>
    <d v="2018-08-03T00:00:00"/>
    <n v="4"/>
    <x v="1"/>
  </r>
  <r>
    <d v="2018-08-11T00:00:00"/>
    <s v="001-00013103"/>
    <n v="764.25715490999994"/>
    <n v="0"/>
    <n v="0"/>
    <n v="0"/>
    <n v="0"/>
    <n v="58.5"/>
    <n v="139.449375"/>
    <n v="0"/>
    <n v="197.949375"/>
    <n v="566.30777990999991"/>
    <n v="0.74099113926737026"/>
    <x v="1"/>
    <s v="LEVE"/>
    <x v="4"/>
    <x v="1"/>
    <n v="10"/>
    <n v="1"/>
    <d v="2018-08-01T00:00:00"/>
    <s v="MITSUBISHI"/>
    <s v="ASX"/>
    <n v="345.3775"/>
    <d v="2018-08-03T00:00:00"/>
    <n v="4"/>
    <x v="1"/>
  </r>
  <r>
    <d v="2018-08-07T00:00:00"/>
    <s v="001-00013104"/>
    <n v="315.55500000000001"/>
    <n v="1.0172000000000001"/>
    <n v="0"/>
    <n v="20.656779661016948"/>
    <n v="0"/>
    <n v="21.9375"/>
    <n v="61.977499999999999"/>
    <n v="0"/>
    <n v="105.58897966101694"/>
    <n v="209.96602033898307"/>
    <n v="0.66538644717714213"/>
    <x v="1"/>
    <s v="LEVE"/>
    <x v="4"/>
    <x v="1"/>
    <n v="6"/>
    <n v="1"/>
    <d v="2018-08-01T00:00:00"/>
    <s v="KIA"/>
    <s v="SORENTO"/>
    <n v="732.38749999999993"/>
    <d v="2018-08-01T00:00:00"/>
    <n v="1.5"/>
    <x v="1"/>
  </r>
  <r>
    <d v="2018-08-16T00:00:00"/>
    <s v="001-00013105"/>
    <n v="737.87238703000025"/>
    <n v="1.3558999799999998"/>
    <n v="0"/>
    <n v="12"/>
    <n v="0"/>
    <n v="43.875"/>
    <n v="181.594075"/>
    <n v="0"/>
    <n v="238.82497498000001"/>
    <n v="499.04741205000028"/>
    <n v="0.67633295515869485"/>
    <x v="1"/>
    <s v="LEVE"/>
    <x v="4"/>
    <x v="1"/>
    <n v="14"/>
    <n v="1"/>
    <d v="2018-08-02T00:00:00"/>
    <s v="HYUNDAI"/>
    <s v="ELANTRA"/>
    <n v="1855.75"/>
    <d v="2018-08-03T00:00:00"/>
    <n v="3"/>
    <x v="1109"/>
  </r>
  <r>
    <d v="2018-08-06T00:00:00"/>
    <s v="001-00013106"/>
    <n v="2158"/>
    <n v="1022.0200049999999"/>
    <n v="0"/>
    <n v="42.37"/>
    <n v="0"/>
    <n v="0"/>
    <n v="0"/>
    <n v="0"/>
    <n v="1064.3900049999997"/>
    <n v="1093.6099950000003"/>
    <n v="0.50677015523633007"/>
    <x v="0"/>
    <s v="MECANICA"/>
    <x v="4"/>
    <x v="1"/>
    <n v="5"/>
    <n v="1"/>
    <d v="2018-08-01T00:00:00"/>
    <s v="KIA"/>
    <s v="SPORTAGE"/>
    <n v="1723.28"/>
    <d v="2018-08-02T00:00:00"/>
    <n v="0"/>
    <x v="901"/>
  </r>
  <r>
    <d v="2018-08-10T00:00:00"/>
    <s v="001-00013107"/>
    <n v="476.27681370000005"/>
    <n v="0"/>
    <n v="0"/>
    <n v="0"/>
    <n v="0"/>
    <n v="43.875"/>
    <n v="92.966250000000002"/>
    <n v="0"/>
    <n v="136.84125"/>
    <n v="339.43556370000005"/>
    <n v="0.7126854676444645"/>
    <x v="1"/>
    <s v="LEVE"/>
    <x v="4"/>
    <x v="1"/>
    <n v="8"/>
    <n v="1"/>
    <d v="2018-08-02T00:00:00"/>
    <s v="CHEVROLET"/>
    <s v="N300"/>
    <n v="237.1525"/>
    <d v="2018-08-03T00:00:00"/>
    <n v="3"/>
    <x v="1"/>
  </r>
  <r>
    <d v="2018-08-27T00:00:00"/>
    <s v="001-00013109"/>
    <n v="1830.65427922458"/>
    <n v="0"/>
    <n v="0"/>
    <n v="0"/>
    <n v="0"/>
    <n v="204.75"/>
    <n v="263.40437500000002"/>
    <n v="0"/>
    <n v="468.15437500000002"/>
    <n v="1362.49990422458"/>
    <n v="0.74426936843678715"/>
    <x v="1"/>
    <s v="MEDIANO"/>
    <x v="4"/>
    <x v="1"/>
    <n v="25"/>
    <n v="1"/>
    <d v="2018-08-02T00:00:00"/>
    <s v="HYUNDAI"/>
    <s v="CRETA"/>
    <n v="1277.25"/>
    <d v="2018-08-07T00:00:00"/>
    <n v="14"/>
    <x v="1"/>
  </r>
  <r>
    <d v="2018-08-11T00:00:00"/>
    <s v="001-00013110"/>
    <n v="367.24799999999999"/>
    <n v="0"/>
    <n v="0"/>
    <n v="0"/>
    <n v="0"/>
    <n v="29.25"/>
    <n v="30.98875"/>
    <n v="0"/>
    <n v="60.238749999999996"/>
    <n v="307.00925000000001"/>
    <n v="0.83597255805341353"/>
    <x v="1"/>
    <s v="LEVE"/>
    <x v="4"/>
    <x v="1"/>
    <n v="9"/>
    <n v="1"/>
    <d v="2018-08-02T00:00:00"/>
    <s v="KIA"/>
    <s v="SPORTAGE"/>
    <n v="1722.4675"/>
    <d v="2018-08-03T00:00:00"/>
    <n v="2"/>
    <x v="1"/>
  </r>
  <r>
    <d v="2018-08-18T00:00:00"/>
    <s v="001-00013112"/>
    <n v="1577.4750475000001"/>
    <n v="0"/>
    <n v="0"/>
    <n v="61.313559322033896"/>
    <n v="0"/>
    <n v="102.375"/>
    <n v="309.88749999999999"/>
    <n v="0"/>
    <n v="473.57605932203387"/>
    <n v="1103.8989881779662"/>
    <n v="0.69978855762405723"/>
    <x v="1"/>
    <s v="LEVE"/>
    <x v="4"/>
    <x v="1"/>
    <n v="16"/>
    <n v="1"/>
    <d v="2018-08-02T00:00:00"/>
    <s v="SUZUKI"/>
    <s v="GRAND N."/>
    <n v="1968.1675"/>
    <d v="2018-08-03T00:00:00"/>
    <n v="7"/>
    <x v="999"/>
  </r>
  <r>
    <d v="2018-08-09T00:00:00"/>
    <s v="001-00013113"/>
    <n v="670.35"/>
    <n v="0"/>
    <n v="0"/>
    <n v="0"/>
    <n v="0"/>
    <n v="58.5"/>
    <n v="123.955"/>
    <n v="0"/>
    <n v="182.45499999999998"/>
    <n v="487.89500000000004"/>
    <n v="0.72782128738718588"/>
    <x v="0"/>
    <s v="MEDIANO"/>
    <x v="4"/>
    <x v="1"/>
    <n v="7"/>
    <n v="1"/>
    <d v="2018-08-02T00:00:00"/>
    <s v="KIA"/>
    <s v="SORENTO"/>
    <n v="0"/>
    <d v="2018-08-02T00:00:00"/>
    <n v="4"/>
    <x v="1095"/>
  </r>
  <r>
    <d v="2018-08-02T00:00:00"/>
    <s v="001-00013114"/>
    <n v="150"/>
    <n v="39.472599000000002"/>
    <n v="0"/>
    <n v="0"/>
    <n v="29.25"/>
    <n v="0"/>
    <n v="0"/>
    <n v="0"/>
    <n v="68.722599000000002"/>
    <n v="81.277400999999998"/>
    <n v="0.54184933999999996"/>
    <x v="0"/>
    <s v="MECANICA"/>
    <x v="4"/>
    <x v="1"/>
    <n v="1"/>
    <n v="1"/>
    <d v="2018-08-01T00:00:00"/>
    <s v="FORD"/>
    <s v="FIESTA"/>
    <n v="150.4425"/>
    <d v="2018-08-02T00:00:00"/>
    <n v="0"/>
    <x v="1023"/>
  </r>
  <r>
    <d v="2018-08-18T00:00:00"/>
    <s v="001-00013115"/>
    <n v="1494.3938868883092"/>
    <n v="0"/>
    <n v="0"/>
    <n v="47.542372881355931"/>
    <n v="0"/>
    <n v="175.5"/>
    <n v="201.426875"/>
    <n v="0"/>
    <n v="424.46924788135595"/>
    <n v="1069.9246390069534"/>
    <n v="0.7159589238114431"/>
    <x v="1"/>
    <s v="MEDIANO"/>
    <x v="4"/>
    <x v="1"/>
    <n v="16"/>
    <n v="1"/>
    <d v="2018-08-02T00:00:00"/>
    <s v="SUZUKI"/>
    <s v="G. NOMADE"/>
    <n v="561.07999999999993"/>
    <d v="2018-08-03T00:00:00"/>
    <n v="12"/>
    <x v="999"/>
  </r>
  <r>
    <d v="2018-08-18T00:00:00"/>
    <s v="001-00013116"/>
    <n v="1235.3558790883094"/>
    <n v="0"/>
    <n v="0"/>
    <n v="0"/>
    <n v="0"/>
    <n v="87.75"/>
    <n v="199.56755000000001"/>
    <n v="0"/>
    <n v="287.31754999999998"/>
    <n v="948.03832908830941"/>
    <n v="0.76742123070475865"/>
    <x v="1"/>
    <s v="MEDIANO"/>
    <x v="4"/>
    <x v="1"/>
    <n v="16"/>
    <n v="1"/>
    <d v="2018-08-02T00:00:00"/>
    <s v="SUZUKI"/>
    <s v="G. NOMADE"/>
    <n v="982.73500000000001"/>
    <d v="2018-08-03T00:00:00"/>
    <n v="6"/>
    <x v="999"/>
  </r>
  <r>
    <d v="2018-08-03T00:00:00"/>
    <s v="001-00013117"/>
    <n v="349"/>
    <n v="89.025299999999987"/>
    <n v="0"/>
    <n v="0"/>
    <n v="39.048749999999998"/>
    <n v="0"/>
    <n v="0"/>
    <n v="0"/>
    <n v="128.07405"/>
    <n v="220.92595"/>
    <n v="0.63302564469914036"/>
    <x v="0"/>
    <s v="MECANICA"/>
    <x v="4"/>
    <x v="1"/>
    <n v="2"/>
    <n v="1"/>
    <d v="2018-08-01T00:00:00"/>
    <s v="HYUNDAI"/>
    <s v="I10"/>
    <n v="0"/>
    <d v="2018-08-02T00:00:00"/>
    <n v="0"/>
    <x v="1110"/>
  </r>
  <r>
    <d v="2018-08-16T00:00:00"/>
    <s v="001-00013118"/>
    <n v="1013.8339897000001"/>
    <n v="129.51900000000001"/>
    <n v="0"/>
    <n v="0"/>
    <n v="0"/>
    <n v="58.5"/>
    <n v="108.46062500000001"/>
    <n v="0"/>
    <n v="296.479625"/>
    <n v="717.35436470000013"/>
    <n v="0.70756590525463625"/>
    <x v="1"/>
    <s v="LEVE"/>
    <x v="4"/>
    <x v="1"/>
    <n v="14"/>
    <n v="1"/>
    <d v="2018-08-02T00:00:00"/>
    <s v="SUZUKI"/>
    <s v="SWIFT"/>
    <n v="620.19749999999999"/>
    <d v="2018-08-10T00:00:00"/>
    <n v="4"/>
    <x v="1"/>
  </r>
  <r>
    <d v="2018-08-03T00:00:00"/>
    <s v="001-00013120"/>
    <n v="4670.5615700379713"/>
    <n v="3040.6420760000001"/>
    <n v="0"/>
    <n v="0"/>
    <n v="43.875"/>
    <n v="73.125"/>
    <n v="92.966250000000002"/>
    <n v="0"/>
    <n v="3250.608326"/>
    <n v="1419.9532440379712"/>
    <n v="0.30402195169572022"/>
    <x v="0"/>
    <s v="LEVE"/>
    <x v="4"/>
    <x v="1"/>
    <n v="1"/>
    <n v="1"/>
    <d v="2018-08-02T00:00:00"/>
    <s v="GREAT W."/>
    <s v="HAVAL H3"/>
    <n v="4069"/>
    <d v="2018-08-03T00:00:00"/>
    <n v="5"/>
    <x v="1111"/>
  </r>
  <r>
    <d v="2018-08-04T00:00:00"/>
    <s v="001-00013122"/>
    <n v="235.8389715746103"/>
    <n v="127.569"/>
    <n v="0"/>
    <n v="0"/>
    <n v="0"/>
    <n v="0"/>
    <n v="0"/>
    <n v="0"/>
    <n v="127.569"/>
    <n v="108.2699715746103"/>
    <n v="0.45908431016185075"/>
    <x v="0"/>
    <s v="MECANICA"/>
    <x v="4"/>
    <x v="1"/>
    <n v="1"/>
    <n v="1"/>
    <d v="2018-08-03T00:00:00"/>
    <s v="HYUNDAI"/>
    <s v="CRETA"/>
    <n v="234"/>
    <d v="2018-08-03T00:00:00"/>
    <n v="0"/>
    <x v="1112"/>
  </r>
  <r>
    <d v="2018-08-07T00:00:00"/>
    <s v="001-00013124"/>
    <n v="255"/>
    <n v="25.42"/>
    <n v="0"/>
    <n v="55.08"/>
    <n v="39.048749999999998"/>
    <n v="0"/>
    <n v="0"/>
    <n v="0"/>
    <n v="119.54875"/>
    <n v="135.45125000000002"/>
    <n v="0.53118137254901965"/>
    <x v="0"/>
    <s v="MECANICA"/>
    <x v="4"/>
    <x v="1"/>
    <n v="4"/>
    <n v="1"/>
    <d v="2018-08-03T00:00:00"/>
    <s v="FORD"/>
    <s v="ECOSPORT"/>
    <n v="0"/>
    <d v="2018-08-03T00:00:00"/>
    <n v="0"/>
    <x v="182"/>
  </r>
  <r>
    <d v="2018-08-11T00:00:00"/>
    <s v="001-00013125"/>
    <n v="983.92228340999975"/>
    <n v="0"/>
    <n v="0"/>
    <n v="0"/>
    <n v="0"/>
    <n v="73.125"/>
    <n v="139.449375"/>
    <n v="0"/>
    <n v="212.574375"/>
    <n v="771.34790840999972"/>
    <n v="0.78395206757257629"/>
    <x v="1"/>
    <s v="LEVE"/>
    <x v="4"/>
    <x v="1"/>
    <n v="8"/>
    <n v="1"/>
    <d v="2018-08-03T00:00:00"/>
    <s v="KIA"/>
    <s v="SORENTO"/>
    <n v="1826.8575000000001"/>
    <d v="2018-08-04T00:00:00"/>
    <n v="5"/>
    <x v="831"/>
  </r>
  <r>
    <d v="2018-08-17T00:00:00"/>
    <s v="001-00013126"/>
    <n v="662.4"/>
    <n v="0"/>
    <n v="0"/>
    <n v="169.48999999999998"/>
    <n v="0"/>
    <n v="0"/>
    <n v="0"/>
    <n v="0"/>
    <n v="169.48999999999998"/>
    <n v="492.90999999999997"/>
    <n v="0.74412741545893712"/>
    <x v="1"/>
    <s v="MEDIANO"/>
    <x v="4"/>
    <x v="1"/>
    <n v="14"/>
    <n v="1"/>
    <d v="2018-08-03T00:00:00"/>
    <s v="RENAULT"/>
    <s v="STEPWAY"/>
    <n v="0"/>
    <d v="2018-08-09T00:00:00"/>
    <n v="0"/>
    <x v="999"/>
  </r>
  <r>
    <d v="2018-08-15T00:00:00"/>
    <s v="001-00013127"/>
    <n v="1168.3049644999999"/>
    <n v="1.01660002"/>
    <n v="0"/>
    <n v="18"/>
    <n v="0"/>
    <n v="87.75"/>
    <n v="247.91"/>
    <n v="0"/>
    <n v="354.67660002000002"/>
    <n v="813.62836447999985"/>
    <n v="0.69641779261650993"/>
    <x v="2"/>
    <s v="MEDIANO"/>
    <x v="4"/>
    <x v="1"/>
    <n v="12"/>
    <n v="1"/>
    <d v="2018-08-03T00:00:00"/>
    <s v="KIA"/>
    <s v="CERATO"/>
    <n v="2478.58"/>
    <d v="2018-08-07T00:00:00"/>
    <n v="6"/>
    <x v="2"/>
  </r>
  <r>
    <d v="2018-08-17T00:00:00"/>
    <s v="001-00013128"/>
    <n v="1812.5340624"/>
    <n v="0"/>
    <n v="0"/>
    <n v="0"/>
    <n v="14.625"/>
    <n v="146.25"/>
    <n v="232.41562500000001"/>
    <n v="0"/>
    <n v="393.29062499999998"/>
    <n v="1419.2434373999999"/>
    <n v="0.78301614675354636"/>
    <x v="1"/>
    <s v="MEDIANO"/>
    <x v="4"/>
    <x v="1"/>
    <n v="13"/>
    <n v="1"/>
    <d v="2018-08-04T00:00:00"/>
    <s v="TOYOTA"/>
    <s v="ETIOS"/>
    <n v="1355.64"/>
    <d v="2018-08-07T00:00:00"/>
    <n v="10"/>
    <x v="1"/>
  </r>
  <r>
    <d v="2018-08-18T00:00:00"/>
    <s v="001-00013129"/>
    <n v="2249.7242086523711"/>
    <n v="0"/>
    <n v="0"/>
    <n v="81.56"/>
    <n v="73.125"/>
    <n v="234"/>
    <n v="216.92125000000001"/>
    <n v="0"/>
    <n v="605.60625000000005"/>
    <n v="1644.117958652371"/>
    <n v="0.73080867082691436"/>
    <x v="1"/>
    <s v="MEDIANO"/>
    <x v="4"/>
    <x v="1"/>
    <n v="12"/>
    <n v="1"/>
    <d v="2018-08-06T00:00:00"/>
    <s v="HYUNDAI"/>
    <s v="ACCENT"/>
    <n v="3092.1475"/>
    <d v="2018-08-07T00:00:00"/>
    <n v="16"/>
    <x v="1"/>
  </r>
  <r>
    <d v="2018-08-18T00:00:00"/>
    <s v="001-00013130"/>
    <n v="920.31093152186077"/>
    <n v="0"/>
    <n v="0"/>
    <n v="20"/>
    <n v="0"/>
    <n v="73.125"/>
    <n v="123.955"/>
    <n v="0"/>
    <n v="217.07999999999998"/>
    <n v="703.23093152186084"/>
    <n v="0.76412319731872758"/>
    <x v="1"/>
    <s v="LEVE"/>
    <x v="4"/>
    <x v="1"/>
    <n v="12"/>
    <n v="1"/>
    <d v="2018-08-06T00:00:00"/>
    <s v="VW"/>
    <s v="CROSSFOX"/>
    <n v="1684.2474999999999"/>
    <d v="2018-08-08T00:00:00"/>
    <n v="5"/>
    <x v="1"/>
  </r>
  <r>
    <d v="2018-08-09T00:00:00"/>
    <s v="001-00013131"/>
    <n v="498"/>
    <n v="149.15199200000001"/>
    <n v="0"/>
    <n v="101.7"/>
    <n v="29.25"/>
    <n v="0"/>
    <n v="0"/>
    <n v="0"/>
    <n v="280.101992"/>
    <n v="217.898008"/>
    <n v="0.43754620080321288"/>
    <x v="0"/>
    <s v="MECANICA"/>
    <x v="4"/>
    <x v="1"/>
    <n v="3"/>
    <n v="1"/>
    <d v="2018-08-06T00:00:00"/>
    <s v="MAHINDRA"/>
    <s v="PIKUP"/>
    <n v="0"/>
    <d v="2018-08-06T00:00:00"/>
    <n v="0"/>
    <x v="871"/>
  </r>
  <r>
    <d v="2018-08-07T00:00:00"/>
    <s v="001-00013132"/>
    <n v="349"/>
    <n v="105.69749999999999"/>
    <n v="0"/>
    <n v="0"/>
    <n v="39.048749999999998"/>
    <n v="0"/>
    <n v="0"/>
    <n v="0"/>
    <n v="144.74624999999997"/>
    <n v="204.25375000000003"/>
    <n v="0.58525429799426942"/>
    <x v="0"/>
    <s v="MECANICA"/>
    <x v="4"/>
    <x v="1"/>
    <n v="3"/>
    <n v="1"/>
    <d v="2018-08-04T00:00:00"/>
    <s v="SUZUKI"/>
    <s v="SWIFT"/>
    <n v="0"/>
    <d v="2018-08-06T00:00:00"/>
    <n v="0"/>
    <x v="1113"/>
  </r>
  <r>
    <d v="2018-08-16T00:00:00"/>
    <s v="001-00013133"/>
    <n v="947.5740228300001"/>
    <n v="0"/>
    <n v="0"/>
    <n v="0"/>
    <n v="0"/>
    <n v="58.5"/>
    <n v="139.449375"/>
    <n v="0"/>
    <n v="197.949375"/>
    <n v="749.62464783000007"/>
    <n v="0.79109877410019158"/>
    <x v="1"/>
    <s v="LEVE"/>
    <x v="4"/>
    <x v="1"/>
    <n v="10"/>
    <n v="1"/>
    <d v="2018-08-06T00:00:00"/>
    <s v="KIA"/>
    <s v="RIO"/>
    <n v="1289.1125"/>
    <d v="2018-08-07T00:00:00"/>
    <n v="4"/>
    <x v="1"/>
  </r>
  <r>
    <d v="2018-08-11T00:00:00"/>
    <s v="001-00013135"/>
    <n v="1511.6190000000001"/>
    <n v="0"/>
    <n v="0"/>
    <n v="20"/>
    <n v="0"/>
    <n v="234"/>
    <n v="154.94374999999999"/>
    <n v="0"/>
    <n v="408.94375000000002"/>
    <n v="1102.6752500000002"/>
    <n v="0.72946638670194019"/>
    <x v="1"/>
    <s v="MEDIANO"/>
    <x v="4"/>
    <x v="1"/>
    <n v="5"/>
    <n v="1"/>
    <d v="2018-08-06T00:00:00"/>
    <s v="SUZUKI"/>
    <s v="S-CROSS"/>
    <n v="1614.405"/>
    <d v="2018-07-27T00:00:00"/>
    <n v="16"/>
    <x v="1"/>
  </r>
  <r>
    <d v="2018-08-20T00:00:00"/>
    <s v="001-00013137"/>
    <n v="3561.7541999999999"/>
    <n v="1.3725000000000001"/>
    <n v="0"/>
    <n v="0"/>
    <n v="100.76625"/>
    <n v="643.5"/>
    <n v="325.38187500000004"/>
    <n v="0"/>
    <n v="1071.0206250000001"/>
    <n v="2490.7335749999997"/>
    <n v="0.69929968075843074"/>
    <x v="0"/>
    <s v="GRAVE"/>
    <x v="4"/>
    <x v="1"/>
    <n v="16"/>
    <n v="1"/>
    <d v="2018-08-04T00:00:00"/>
    <s v="NISSAN"/>
    <s v="URBAN"/>
    <n v="0"/>
    <d v="2018-08-06T00:00:00"/>
    <n v="44"/>
    <x v="22"/>
  </r>
  <r>
    <d v="2018-08-27T00:00:00"/>
    <s v="001-00013138"/>
    <n v="1902.2849422500001"/>
    <n v="0"/>
    <n v="0"/>
    <n v="0"/>
    <n v="0"/>
    <n v="204.75"/>
    <n v="294.393125"/>
    <n v="0"/>
    <n v="499.143125"/>
    <n v="1403.14181725"/>
    <n v="0.73760864426040218"/>
    <x v="1"/>
    <s v="MEDIANO"/>
    <x v="4"/>
    <x v="1"/>
    <n v="21"/>
    <n v="1"/>
    <d v="2018-08-06T00:00:00"/>
    <s v="SSANYONG"/>
    <s v="KORANDO"/>
    <n v="4681.0725000000002"/>
    <d v="2018-08-07T00:00:00"/>
    <n v="14"/>
    <x v="1114"/>
  </r>
  <r>
    <d v="2018-08-11T00:00:00"/>
    <s v="001-00013139"/>
    <n v="287.88505140000001"/>
    <n v="0"/>
    <n v="0"/>
    <n v="0"/>
    <n v="0"/>
    <n v="0"/>
    <n v="61.977499999999999"/>
    <n v="0"/>
    <n v="61.977499999999999"/>
    <n v="225.90755140000002"/>
    <n v="0.78471442091695909"/>
    <x v="0"/>
    <s v="LEVE"/>
    <x v="4"/>
    <x v="1"/>
    <n v="5"/>
    <n v="1"/>
    <d v="2018-08-06T00:00:00"/>
    <s v="MITSUBISHI"/>
    <s v="ASX"/>
    <n v="0"/>
    <d v="2018-08-06T00:00:00"/>
    <n v="0"/>
    <x v="1115"/>
  </r>
  <r>
    <d v="2018-08-07T00:00:00"/>
    <s v="001-00013140"/>
    <n v="370"/>
    <n v="118.64"/>
    <n v="0"/>
    <n v="50.85"/>
    <n v="43.875"/>
    <n v="0"/>
    <n v="0"/>
    <n v="0"/>
    <n v="213.36500000000001"/>
    <n v="156.63499999999999"/>
    <n v="0.42333783783783779"/>
    <x v="0"/>
    <s v="MECANICA"/>
    <x v="4"/>
    <x v="1"/>
    <n v="3"/>
    <n v="1"/>
    <d v="2018-08-04T00:00:00"/>
    <s v="CHEVROLET"/>
    <s v="TRACKER"/>
    <n v="230.685"/>
    <d v="2018-08-06T00:00:00"/>
    <n v="0"/>
    <x v="1116"/>
  </r>
  <r>
    <d v="2018-08-24T00:00:00"/>
    <s v="001-00013141"/>
    <n v="1160.192"/>
    <n v="0"/>
    <n v="0"/>
    <n v="12"/>
    <n v="0"/>
    <n v="146.25"/>
    <n v="118.99679999999999"/>
    <n v="0"/>
    <n v="277.24680000000001"/>
    <n v="882.9452"/>
    <n v="0.76103369097528684"/>
    <x v="1"/>
    <s v="MEDIANO"/>
    <x v="4"/>
    <x v="1"/>
    <n v="18"/>
    <n v="1"/>
    <d v="2018-08-06T00:00:00"/>
    <s v="MAZDA"/>
    <s v="CX-5"/>
    <n v="51.1875"/>
    <d v="2018-08-07T00:00:00"/>
    <n v="10"/>
    <x v="1117"/>
  </r>
  <r>
    <d v="2018-08-07T00:00:00"/>
    <s v="001-00013143"/>
    <n v="549"/>
    <n v="146.18710155000002"/>
    <n v="0"/>
    <n v="0"/>
    <n v="39.048749999999998"/>
    <n v="0"/>
    <n v="0"/>
    <n v="0"/>
    <n v="185.23585155000001"/>
    <n v="363.76414844999999"/>
    <n v="0.66259407732240438"/>
    <x v="0"/>
    <s v="MECANICA"/>
    <x v="4"/>
    <x v="1"/>
    <n v="1"/>
    <n v="1"/>
    <d v="2018-08-06T00:00:00"/>
    <s v="KIA"/>
    <s v="SORENTO"/>
    <n v="0"/>
    <d v="2018-08-06T00:00:00"/>
    <n v="0"/>
    <x v="1056"/>
  </r>
  <r>
    <d v="2018-08-17T00:00:00"/>
    <s v="001-00013146"/>
    <n v="84.737297000000012"/>
    <n v="0"/>
    <n v="15.25"/>
    <n v="0"/>
    <n v="29.25"/>
    <n v="0"/>
    <n v="0"/>
    <n v="0"/>
    <n v="44.5"/>
    <n v="40.237297000000012"/>
    <n v="0.47484753968491594"/>
    <x v="0"/>
    <s v="MECANICA"/>
    <x v="4"/>
    <x v="1"/>
    <n v="11"/>
    <n v="1"/>
    <d v="2018-08-06T00:00:00"/>
    <s v="HYUNDAI"/>
    <s v="ACCENT"/>
    <n v="84.987499999999997"/>
    <d v="2018-08-08T00:00:00"/>
    <n v="0"/>
    <x v="871"/>
  </r>
  <r>
    <d v="2018-08-18T00:00:00"/>
    <s v="001-00013147"/>
    <n v="345.38401040000002"/>
    <n v="0"/>
    <n v="0"/>
    <n v="0"/>
    <n v="0"/>
    <n v="43.875"/>
    <n v="61.977499999999999"/>
    <n v="0"/>
    <n v="105.85249999999999"/>
    <n v="239.53151040000003"/>
    <n v="0.69352229167352331"/>
    <x v="1"/>
    <s v="LEVE"/>
    <x v="4"/>
    <x v="1"/>
    <n v="12"/>
    <n v="1"/>
    <d v="2018-08-06T00:00:00"/>
    <s v="HYUNDAI"/>
    <s v="ACCENT"/>
    <n v="952.80250000000001"/>
    <d v="2018-08-09T00:00:00"/>
    <n v="3"/>
    <x v="1"/>
  </r>
  <r>
    <d v="2018-08-17T00:00:00"/>
    <s v="001-00013148"/>
    <n v="960.03089279999972"/>
    <n v="0"/>
    <n v="0"/>
    <n v="20"/>
    <n v="0"/>
    <n v="87.75"/>
    <n v="180.35452500000002"/>
    <n v="0"/>
    <n v="288.10452500000002"/>
    <n v="671.92636779999975"/>
    <n v="0.69990077698466324"/>
    <x v="1"/>
    <s v="LEVE"/>
    <x v="4"/>
    <x v="1"/>
    <n v="11"/>
    <n v="1"/>
    <d v="2018-08-06T00:00:00"/>
    <s v="KIA"/>
    <s v="CARENS"/>
    <n v="0"/>
    <d v="2018-07-03T00:00:00"/>
    <n v="6"/>
    <x v="508"/>
  </r>
  <r>
    <d v="2018-08-14T00:00:00"/>
    <s v="001-00013151"/>
    <n v="1525.5"/>
    <n v="0"/>
    <n v="0"/>
    <n v="0"/>
    <n v="0"/>
    <n v="394.875"/>
    <n v="123.955"/>
    <n v="0"/>
    <n v="518.83000000000004"/>
    <n v="1006.67"/>
    <n v="0.6598951163552933"/>
    <x v="0"/>
    <s v="MEDIANO"/>
    <x v="4"/>
    <x v="1"/>
    <n v="8"/>
    <n v="1"/>
    <d v="2018-08-06T00:00:00"/>
    <s v="HYUNDAI"/>
    <s v="TUCSON"/>
    <n v="0"/>
    <d v="2018-08-07T00:00:00"/>
    <n v="27"/>
    <x v="1044"/>
  </r>
  <r>
    <d v="2018-08-17T00:00:00"/>
    <s v="001-00013154"/>
    <n v="3300"/>
    <n v="1817.15"/>
    <n v="0"/>
    <n v="16.95"/>
    <n v="39.048749999999998"/>
    <n v="0"/>
    <n v="0"/>
    <n v="0"/>
    <n v="1873.1487500000001"/>
    <n v="1426.8512499999999"/>
    <n v="0.43237916666666665"/>
    <x v="0"/>
    <s v="MECANICA"/>
    <x v="4"/>
    <x v="1"/>
    <n v="11"/>
    <n v="1"/>
    <d v="2018-08-06T00:00:00"/>
    <s v="KIA"/>
    <s v="CARENS"/>
    <n v="1335.1000000000001"/>
    <d v="2018-07-07T00:00:00"/>
    <n v="0"/>
    <x v="508"/>
  </r>
  <r>
    <d v="2018-08-16T00:00:00"/>
    <s v="001-00013155"/>
    <n v="2114.8171070000003"/>
    <n v="0"/>
    <n v="0"/>
    <n v="20"/>
    <n v="0"/>
    <n v="263.25"/>
    <n v="247.91"/>
    <n v="0"/>
    <n v="531.16"/>
    <n v="1583.6571070000005"/>
    <n v="0.74883880112286239"/>
    <x v="1"/>
    <s v="MEDIANO"/>
    <x v="4"/>
    <x v="1"/>
    <n v="9"/>
    <n v="1"/>
    <d v="2018-08-07T00:00:00"/>
    <s v="SUZUKI"/>
    <s v="S-CROSS"/>
    <n v="1440.9525000000001"/>
    <d v="2018-08-08T00:00:00"/>
    <n v="18"/>
    <x v="1"/>
  </r>
  <r>
    <d v="2018-08-07T00:00:00"/>
    <s v="001-00013156"/>
    <n v="349"/>
    <n v="127.28989909999999"/>
    <n v="0"/>
    <n v="0"/>
    <n v="39.048749999999998"/>
    <n v="0"/>
    <n v="0"/>
    <n v="0"/>
    <n v="166.3386491"/>
    <n v="182.6613509"/>
    <n v="0.52338495959885389"/>
    <x v="0"/>
    <s v="MECANICA"/>
    <x v="4"/>
    <x v="1"/>
    <n v="0"/>
    <n v="1"/>
    <d v="2018-08-07T00:00:00"/>
    <s v="HYUNDAI"/>
    <s v="ELANTRA"/>
    <n v="0"/>
    <d v="2018-08-07T00:00:00"/>
    <n v="0"/>
    <x v="27"/>
  </r>
  <r>
    <d v="2018-08-16T00:00:00"/>
    <s v="001-00013159"/>
    <n v="916.29728190000014"/>
    <n v="0"/>
    <n v="0"/>
    <n v="0"/>
    <n v="0"/>
    <n v="73.125"/>
    <n v="123.955"/>
    <n v="0"/>
    <n v="197.07999999999998"/>
    <n v="719.21728190000022"/>
    <n v="0.78491696538557643"/>
    <x v="1"/>
    <s v="MEDIANO"/>
    <x v="4"/>
    <x v="1"/>
    <n v="9"/>
    <n v="1"/>
    <d v="2018-08-07T00:00:00"/>
    <s v="KIA"/>
    <s v="CERATO"/>
    <n v="0"/>
    <d v="2018-08-08T00:00:00"/>
    <n v="5"/>
    <x v="1"/>
  </r>
  <r>
    <d v="2018-08-14T00:00:00"/>
    <s v="001-00013160"/>
    <n v="349"/>
    <n v="71.910901300000006"/>
    <n v="0"/>
    <n v="0"/>
    <n v="0"/>
    <n v="0"/>
    <n v="0"/>
    <n v="0"/>
    <n v="71.910901300000006"/>
    <n v="277.08909870000002"/>
    <n v="0.79395157220630375"/>
    <x v="0"/>
    <s v="MECANICA"/>
    <x v="4"/>
    <x v="1"/>
    <n v="7"/>
    <n v="1"/>
    <d v="2018-08-07T00:00:00"/>
    <s v="S/MARCA"/>
    <s v="S/MODELO"/>
    <n v="0"/>
    <s v="F/Fecha"/>
    <n v="0"/>
    <x v="972"/>
  </r>
  <r>
    <d v="2018-08-16T00:00:00"/>
    <s v="001-00013161"/>
    <n v="1645.80295247"/>
    <n v="0"/>
    <n v="0"/>
    <n v="0"/>
    <n v="0"/>
    <n v="175.5"/>
    <n v="247.91"/>
    <n v="0"/>
    <n v="423.40999999999997"/>
    <n v="1222.3929524700002"/>
    <n v="0.74273347889882468"/>
    <x v="1"/>
    <s v="MEDIANO"/>
    <x v="4"/>
    <x v="1"/>
    <n v="9"/>
    <n v="1"/>
    <d v="2018-08-07T00:00:00"/>
    <s v="KIA"/>
    <s v="CERATO"/>
    <n v="685.97749999999996"/>
    <d v="2018-08-08T00:00:00"/>
    <n v="12"/>
    <x v="1"/>
  </r>
  <r>
    <d v="2018-08-20T00:00:00"/>
    <s v="001-00013162"/>
    <n v="1554.9317999311911"/>
    <n v="0"/>
    <n v="0"/>
    <n v="0"/>
    <n v="0"/>
    <n v="117"/>
    <n v="281.99762500000003"/>
    <n v="0"/>
    <n v="398.99762500000003"/>
    <n v="1155.9341749311911"/>
    <n v="0.74339863329204769"/>
    <x v="1"/>
    <s v="MEDIANO"/>
    <x v="4"/>
    <x v="1"/>
    <n v="13"/>
    <n v="1"/>
    <d v="2018-08-07T00:00:00"/>
    <s v="NISSAN"/>
    <s v="VERSA"/>
    <n v="1290.3800000000001"/>
    <d v="2018-08-09T00:00:00"/>
    <n v="8"/>
    <x v="1"/>
  </r>
  <r>
    <d v="2018-08-17T00:00:00"/>
    <s v="001-00013163"/>
    <n v="868.78264319999994"/>
    <n v="0"/>
    <n v="0"/>
    <n v="0"/>
    <n v="0"/>
    <n v="43.875"/>
    <n v="123.955"/>
    <n v="0"/>
    <n v="167.82999999999998"/>
    <n v="700.95264320000001"/>
    <n v="0.80682164714775007"/>
    <x v="1"/>
    <s v="LEVE"/>
    <x v="4"/>
    <x v="1"/>
    <n v="10"/>
    <n v="1"/>
    <d v="2018-08-07T00:00:00"/>
    <s v="KIA"/>
    <s v="SPORTAGE"/>
    <n v="21.254999999999999"/>
    <d v="2018-08-08T00:00:00"/>
    <n v="3"/>
    <x v="1"/>
  </r>
  <r>
    <d v="2018-08-23T00:00:00"/>
    <s v="001-00013165"/>
    <n v="1458.3971524313599"/>
    <n v="0"/>
    <n v="0"/>
    <n v="20"/>
    <n v="14.625"/>
    <n v="102.375"/>
    <n v="211.96304999999998"/>
    <n v="0"/>
    <n v="348.96304999999995"/>
    <n v="1109.4341024313599"/>
    <n v="0.76072152265366955"/>
    <x v="1"/>
    <s v="MEDIANO"/>
    <x v="4"/>
    <x v="1"/>
    <n v="16"/>
    <n v="1"/>
    <d v="2018-08-07T00:00:00"/>
    <s v="TOYOTA"/>
    <s v="ETIOS"/>
    <n v="2197.13"/>
    <d v="2018-08-08T00:00:00"/>
    <n v="7"/>
    <x v="1"/>
  </r>
  <r>
    <d v="2018-08-08T00:00:00"/>
    <s v="001-00013167"/>
    <n v="314.10169999999999"/>
    <n v="126.25730099999997"/>
    <n v="0"/>
    <n v="0"/>
    <n v="39.048749999999998"/>
    <n v="0"/>
    <n v="0"/>
    <n v="0"/>
    <n v="165.30605099999997"/>
    <n v="148.79564900000003"/>
    <n v="0.47371806328969257"/>
    <x v="0"/>
    <s v="MECANICA"/>
    <x v="4"/>
    <x v="1"/>
    <n v="0"/>
    <n v="1"/>
    <d v="2018-08-08T00:00:00"/>
    <s v="HYUNDAI"/>
    <s v="ACCENT"/>
    <n v="0"/>
    <d v="2018-08-08T00:00:00"/>
    <n v="0"/>
    <x v="195"/>
  </r>
  <r>
    <d v="2018-08-21T00:00:00"/>
    <s v="001-00013168"/>
    <n v="502.89678617034002"/>
    <n v="0"/>
    <n v="0"/>
    <n v="0"/>
    <n v="0"/>
    <n v="58.5"/>
    <n v="77.471874999999997"/>
    <n v="0"/>
    <n v="135.97187500000001"/>
    <n v="366.92491117034001"/>
    <n v="0.72962270044425392"/>
    <x v="1"/>
    <s v="LEVE"/>
    <x v="4"/>
    <x v="1"/>
    <n v="13"/>
    <n v="1"/>
    <d v="2018-08-08T00:00:00"/>
    <s v="CHEVROLET"/>
    <s v="CRUZE"/>
    <n v="460.2"/>
    <d v="2018-08-09T00:00:00"/>
    <n v="4"/>
    <x v="1"/>
  </r>
  <r>
    <d v="2018-08-09T00:00:00"/>
    <s v="001-00013171"/>
    <n v="349"/>
    <n v="70.148401100000001"/>
    <n v="0"/>
    <n v="0"/>
    <n v="39.048749999999998"/>
    <n v="0"/>
    <n v="0"/>
    <n v="0"/>
    <n v="109.1971511"/>
    <n v="239.80284890000001"/>
    <n v="0.68711418022922643"/>
    <x v="0"/>
    <s v="MECANICA"/>
    <x v="4"/>
    <x v="1"/>
    <n v="1"/>
    <n v="1"/>
    <d v="2018-08-08T00:00:00"/>
    <s v="KIA"/>
    <s v="SOUL"/>
    <n v="0"/>
    <d v="2018-08-08T00:00:00"/>
    <n v="0"/>
    <x v="673"/>
  </r>
  <r>
    <d v="2018-08-29T00:00:00"/>
    <s v="001-00013173"/>
    <n v="2712.7485503057615"/>
    <n v="0.84739999999999993"/>
    <n v="0"/>
    <n v="118.64474576271186"/>
    <n v="0"/>
    <n v="351"/>
    <n v="308.02817500000003"/>
    <n v="0"/>
    <n v="778.52032076271189"/>
    <n v="1934.2282295430496"/>
    <n v="0.71301419710464409"/>
    <x v="1"/>
    <s v="MEDIANO"/>
    <x v="4"/>
    <x v="1"/>
    <n v="21"/>
    <n v="1"/>
    <d v="2018-08-08T00:00:00"/>
    <s v="HYUNDAI"/>
    <s v="ACCENT"/>
    <n v="3552.6725000000006"/>
    <d v="2018-08-11T00:00:00"/>
    <n v="24"/>
    <x v="638"/>
  </r>
  <r>
    <d v="2018-08-08T00:00:00"/>
    <s v="001-00013174"/>
    <n v="80"/>
    <n v="0"/>
    <n v="0"/>
    <n v="0"/>
    <n v="0"/>
    <n v="0"/>
    <n v="0"/>
    <n v="0"/>
    <n v="0"/>
    <n v="80"/>
    <n v="1"/>
    <x v="0"/>
    <s v="MECANICA"/>
    <x v="4"/>
    <x v="1"/>
    <n v="0"/>
    <n v="1"/>
    <d v="2018-08-08T00:00:00"/>
    <s v="S/MARCA"/>
    <s v="S/MODELO"/>
    <n v="0"/>
    <s v="F/Fecha"/>
    <n v="0"/>
    <x v="939"/>
  </r>
  <r>
    <d v="2018-08-10T00:00:00"/>
    <s v="001-00013176"/>
    <n v="194.16090272700001"/>
    <n v="0"/>
    <n v="0"/>
    <n v="0"/>
    <n v="0"/>
    <n v="292.5"/>
    <n v="324.14232500000003"/>
    <n v="0"/>
    <n v="616.64232500000003"/>
    <n v="-422.48142227300002"/>
    <n v="-2.1759345797182976"/>
    <x v="1"/>
    <s v="MEDIANO"/>
    <x v="4"/>
    <x v="1"/>
    <n v="2"/>
    <n v="1"/>
    <d v="2018-08-08T00:00:00"/>
    <s v="S/MARCA"/>
    <s v="S/MODELO"/>
    <n v="0"/>
    <s v="F/Fecha"/>
    <n v="0"/>
    <x v="1118"/>
  </r>
  <r>
    <d v="2018-08-10T00:00:00"/>
    <s v="001-00013177"/>
    <n v="1425"/>
    <n v="932.36800000000005"/>
    <n v="0"/>
    <n v="0"/>
    <n v="39.048749999999998"/>
    <n v="0"/>
    <n v="0"/>
    <n v="0"/>
    <n v="971.41675000000009"/>
    <n v="453.58324999999991"/>
    <n v="0.31830403508771921"/>
    <x v="0"/>
    <s v="MECANICA"/>
    <x v="4"/>
    <x v="1"/>
    <n v="2"/>
    <n v="1"/>
    <d v="2018-08-08T00:00:00"/>
    <s v="SUZUKI"/>
    <s v="SX4"/>
    <n v="1053"/>
    <d v="2018-08-08T00:00:00"/>
    <n v="0"/>
    <x v="1119"/>
  </r>
  <r>
    <d v="2018-08-10T00:00:00"/>
    <s v="001-00013178"/>
    <n v="984"/>
    <n v="196.77140319999998"/>
    <n v="0"/>
    <n v="0"/>
    <n v="78.097499999999997"/>
    <n v="0"/>
    <n v="0"/>
    <n v="0"/>
    <n v="274.86890319999998"/>
    <n v="709.13109680000002"/>
    <n v="0.72066168373983741"/>
    <x v="0"/>
    <s v="MECANICA"/>
    <x v="4"/>
    <x v="1"/>
    <n v="2"/>
    <n v="1"/>
    <d v="2018-08-08T00:00:00"/>
    <s v="TOYOTA"/>
    <s v="YARIS"/>
    <n v="396.20749999999998"/>
    <d v="2018-08-08T00:00:00"/>
    <n v="0"/>
    <x v="318"/>
  </r>
  <r>
    <d v="2018-08-09T00:00:00"/>
    <s v="001-00013181"/>
    <n v="224.10169999999999"/>
    <n v="54.821400299999986"/>
    <n v="0"/>
    <n v="0"/>
    <n v="39.048749999999998"/>
    <n v="0"/>
    <n v="0"/>
    <n v="0"/>
    <n v="93.870150299999978"/>
    <n v="130.23154970000002"/>
    <n v="0.58112700483753588"/>
    <x v="0"/>
    <s v="MECANICA"/>
    <x v="4"/>
    <x v="1"/>
    <n v="0"/>
    <n v="1"/>
    <d v="2018-08-09T00:00:00"/>
    <s v="SUZUKI"/>
    <s v="SX4"/>
    <n v="0"/>
    <d v="2018-08-09T00:00:00"/>
    <n v="0"/>
    <x v="350"/>
  </r>
  <r>
    <d v="2018-08-25T00:00:00"/>
    <s v="001-00013183"/>
    <n v="551.04698796518994"/>
    <n v="0"/>
    <n v="0"/>
    <n v="0"/>
    <n v="0"/>
    <n v="29.25"/>
    <n v="61.977499999999999"/>
    <n v="0"/>
    <n v="91.227499999999992"/>
    <n v="459.81948796518998"/>
    <n v="0.83444696733237045"/>
    <x v="1"/>
    <s v="LEVE"/>
    <x v="4"/>
    <x v="1"/>
    <n v="16"/>
    <n v="1"/>
    <d v="2018-08-09T00:00:00"/>
    <s v="KIA"/>
    <s v="SPORTAGE"/>
    <n v="2226.4124999999999"/>
    <d v="2018-08-10T00:00:00"/>
    <n v="2"/>
    <x v="1"/>
  </r>
  <r>
    <d v="2018-08-10T00:00:00"/>
    <s v="001-00013184"/>
    <n v="549"/>
    <n v="129.52090129999999"/>
    <n v="0"/>
    <n v="0"/>
    <n v="39.048749999999998"/>
    <n v="0"/>
    <n v="0"/>
    <n v="0"/>
    <n v="168.56965129999998"/>
    <n v="380.43034870000002"/>
    <n v="0.69295145482695819"/>
    <x v="0"/>
    <s v="MECANICA"/>
    <x v="4"/>
    <x v="1"/>
    <n v="1"/>
    <n v="1"/>
    <d v="2018-08-09T00:00:00"/>
    <s v="SUZUKI"/>
    <s v="VITARA"/>
    <n v="0"/>
    <d v="2018-08-09T00:00:00"/>
    <n v="0"/>
    <x v="1120"/>
  </r>
  <r>
    <d v="2018-08-23T00:00:00"/>
    <s v="001-00013185"/>
    <n v="1265.6898805940702"/>
    <n v="0"/>
    <n v="0"/>
    <n v="96.27"/>
    <n v="0"/>
    <n v="73.125"/>
    <n v="185.9325"/>
    <n v="0"/>
    <n v="355.32749999999999"/>
    <n v="910.36238059407026"/>
    <n v="0.71926179908049692"/>
    <x v="1"/>
    <s v="LEVE"/>
    <x v="4"/>
    <x v="1"/>
    <n v="14"/>
    <n v="1"/>
    <d v="2018-08-09T00:00:00"/>
    <s v="TOYOTA"/>
    <s v="COROLLA"/>
    <n v="1214.5249999999999"/>
    <d v="2018-08-11T00:00:00"/>
    <n v="5"/>
    <x v="1"/>
  </r>
  <r>
    <d v="2018-08-28T00:00:00"/>
    <s v="001-00013186"/>
    <n v="1348.250224122201"/>
    <n v="231.45"/>
    <n v="231.45"/>
    <n v="0"/>
    <n v="0"/>
    <n v="175.5"/>
    <n v="135.11095"/>
    <n v="0"/>
    <n v="773.51094999999998"/>
    <n v="574.73927412220098"/>
    <n v="0.42628531695323385"/>
    <x v="1"/>
    <s v="MEDIANO"/>
    <x v="4"/>
    <x v="1"/>
    <n v="19"/>
    <n v="1"/>
    <d v="2018-08-09T00:00:00"/>
    <s v="HYUNDAI"/>
    <s v="CRETA"/>
    <n v="647.4325"/>
    <d v="2018-08-15T00:00:00"/>
    <n v="12"/>
    <x v="1"/>
  </r>
  <r>
    <d v="2018-08-17T00:00:00"/>
    <s v="001-00013187"/>
    <n v="397.44"/>
    <n v="0"/>
    <n v="0"/>
    <n v="0"/>
    <n v="0"/>
    <n v="43.875"/>
    <n v="61.977499999999999"/>
    <n v="0"/>
    <n v="105.85249999999999"/>
    <n v="291.58749999999998"/>
    <n v="0.73366420088566819"/>
    <x v="0"/>
    <s v="LEVE"/>
    <x v="4"/>
    <x v="1"/>
    <n v="8"/>
    <n v="1"/>
    <d v="2018-08-09T00:00:00"/>
    <s v="MAZDA"/>
    <s v="CX-5"/>
    <n v="0"/>
    <d v="2018-08-09T00:00:00"/>
    <n v="3"/>
    <x v="1121"/>
  </r>
  <r>
    <d v="2018-08-25T00:00:00"/>
    <s v="001-00013188"/>
    <n v="650"/>
    <n v="0"/>
    <n v="0"/>
    <n v="0"/>
    <n v="73.125"/>
    <n v="0"/>
    <n v="0"/>
    <n v="0"/>
    <n v="73.125"/>
    <n v="576.875"/>
    <n v="0.88749999999999996"/>
    <x v="0"/>
    <s v="MECANICA"/>
    <x v="4"/>
    <x v="1"/>
    <n v="16"/>
    <n v="1"/>
    <d v="2018-08-09T00:00:00"/>
    <s v="SUZUKI"/>
    <s v="VITARA"/>
    <n v="581.75"/>
    <d v="2018-08-09T00:00:00"/>
    <n v="0"/>
    <x v="1"/>
  </r>
  <r>
    <d v="2018-08-15T00:00:00"/>
    <s v="001-00013189"/>
    <n v="131.639996"/>
    <n v="0"/>
    <n v="0"/>
    <n v="55.084745762711869"/>
    <n v="0"/>
    <n v="0"/>
    <n v="0"/>
    <n v="0"/>
    <n v="55.084745762711869"/>
    <n v="76.555250237288135"/>
    <n v="0.58155008024527843"/>
    <x v="1"/>
    <s v="MEDIANO"/>
    <x v="4"/>
    <x v="1"/>
    <n v="6"/>
    <n v="1"/>
    <d v="2018-08-09T00:00:00"/>
    <s v="MAZDA"/>
    <s v="CX-5"/>
    <n v="3193.2224999999999"/>
    <d v="2018-08-08T00:00:00"/>
    <n v="0"/>
    <x v="1"/>
  </r>
  <r>
    <d v="2018-08-17T00:00:00"/>
    <s v="001-00013190"/>
    <n v="1263"/>
    <n v="543.370002"/>
    <n v="0"/>
    <n v="50.85"/>
    <n v="29.25"/>
    <n v="0"/>
    <n v="0"/>
    <n v="0"/>
    <n v="623.47000200000002"/>
    <n v="639.52999799999998"/>
    <n v="0.50635787648456054"/>
    <x v="0"/>
    <s v="MECANICA"/>
    <x v="4"/>
    <x v="1"/>
    <n v="8"/>
    <n v="1"/>
    <d v="2018-08-09T00:00:00"/>
    <s v="HYUNDAI"/>
    <s v="ACCENT"/>
    <n v="242.97000000000003"/>
    <d v="2018-08-09T00:00:00"/>
    <n v="0"/>
    <x v="871"/>
  </r>
  <r>
    <d v="2018-08-20T00:00:00"/>
    <s v="001-00013191"/>
    <n v="1631.5677960188095"/>
    <n v="0"/>
    <n v="0"/>
    <n v="0"/>
    <n v="0"/>
    <n v="117"/>
    <n v="278.89875000000001"/>
    <n v="0"/>
    <n v="395.89875000000001"/>
    <n v="1235.6690460188095"/>
    <n v="0.75735072059767727"/>
    <x v="1"/>
    <s v="MEDIANO"/>
    <x v="4"/>
    <x v="1"/>
    <n v="11"/>
    <n v="1"/>
    <d v="2018-08-09T00:00:00"/>
    <s v="DFSK"/>
    <s v="GLORY"/>
    <n v="0"/>
    <d v="2018-08-10T00:00:00"/>
    <n v="8"/>
    <x v="1"/>
  </r>
  <r>
    <d v="2018-08-18T00:00:00"/>
    <s v="001-00013192"/>
    <n v="199.260006"/>
    <n v="0"/>
    <n v="0"/>
    <n v="0"/>
    <n v="0"/>
    <n v="0"/>
    <n v="0"/>
    <n v="0"/>
    <n v="0"/>
    <n v="199.260006"/>
    <n v="1"/>
    <x v="0"/>
    <s v="LEVE"/>
    <x v="4"/>
    <x v="1"/>
    <n v="9"/>
    <n v="1"/>
    <d v="2018-08-09T00:00:00"/>
    <s v="SUZUKI"/>
    <s v="GRAND N."/>
    <n v="0"/>
    <d v="2018-08-10T00:00:00"/>
    <n v="0"/>
    <x v="999"/>
  </r>
  <r>
    <d v="2018-08-10T00:00:00"/>
    <s v="001-00013193"/>
    <n v="432.62710200000004"/>
    <n v="74.567299999999989"/>
    <n v="0"/>
    <n v="0"/>
    <n v="39.048749999999998"/>
    <n v="0"/>
    <n v="0"/>
    <n v="0"/>
    <n v="113.61604999999999"/>
    <n v="319.01105200000006"/>
    <n v="0.73738110840776694"/>
    <x v="0"/>
    <s v="MECANICA"/>
    <x v="4"/>
    <x v="1"/>
    <n v="0"/>
    <n v="1"/>
    <d v="2018-08-10T00:00:00"/>
    <s v="KIA"/>
    <s v="RIO"/>
    <n v="0"/>
    <d v="2018-08-10T00:00:00"/>
    <n v="0"/>
    <x v="354"/>
  </r>
  <r>
    <d v="2018-08-20T00:00:00"/>
    <s v="001-00013194"/>
    <n v="2457"/>
    <n v="908.46052939999981"/>
    <n v="0"/>
    <n v="0"/>
    <n v="43.875"/>
    <n v="0"/>
    <n v="0"/>
    <n v="0"/>
    <n v="952.33552939999981"/>
    <n v="1504.6644706000002"/>
    <n v="0.61239905193325206"/>
    <x v="0"/>
    <s v="MECANICA"/>
    <x v="4"/>
    <x v="1"/>
    <n v="11"/>
    <n v="1"/>
    <d v="2018-08-09T00:00:00"/>
    <s v="NISSAN"/>
    <s v="FRONTIER"/>
    <n v="1922.895"/>
    <d v="2018-08-10T00:00:00"/>
    <n v="0"/>
    <x v="157"/>
  </r>
  <r>
    <d v="2018-08-18T00:00:00"/>
    <s v="001-00013195"/>
    <n v="705.85332169123956"/>
    <n v="0"/>
    <n v="0"/>
    <n v="20"/>
    <n v="0"/>
    <n v="43.875"/>
    <n v="92.966250000000002"/>
    <n v="0"/>
    <n v="156.84125"/>
    <n v="549.0120716912395"/>
    <n v="0.77779909057563812"/>
    <x v="1"/>
    <s v="LEVE"/>
    <x v="4"/>
    <x v="1"/>
    <n v="8"/>
    <n v="1"/>
    <d v="2018-08-10T00:00:00"/>
    <s v="VW"/>
    <s v="CROSSFOX"/>
    <n v="769.01499999999999"/>
    <d v="2018-08-11T00:00:00"/>
    <n v="3"/>
    <x v="1"/>
  </r>
  <r>
    <d v="2018-08-20T00:00:00"/>
    <s v="001-00013196"/>
    <n v="1068.770927392201"/>
    <n v="0"/>
    <n v="0"/>
    <n v="18"/>
    <n v="0"/>
    <n v="102.375"/>
    <n v="108.46062500000001"/>
    <n v="0"/>
    <n v="228.83562499999999"/>
    <n v="839.93530239220104"/>
    <n v="0.7858889878691232"/>
    <x v="1"/>
    <s v="MEDIANO"/>
    <x v="4"/>
    <x v="1"/>
    <n v="10"/>
    <n v="1"/>
    <d v="2018-08-10T00:00:00"/>
    <s v="MAZDA"/>
    <s v="MAZDA 2"/>
    <n v="1755"/>
    <d v="2018-08-11T00:00:00"/>
    <n v="7"/>
    <x v="1"/>
  </r>
  <r>
    <d v="2018-08-10T00:00:00"/>
    <s v="001-00013197"/>
    <n v="306.62710200000004"/>
    <n v="70.148401100000001"/>
    <n v="0"/>
    <n v="0"/>
    <n v="39.048749999999998"/>
    <n v="0"/>
    <n v="0"/>
    <n v="0"/>
    <n v="109.1971511"/>
    <n v="197.42995090000005"/>
    <n v="0.64387638800434555"/>
    <x v="0"/>
    <s v="MECANICA"/>
    <x v="4"/>
    <x v="1"/>
    <n v="1"/>
    <n v="1"/>
    <d v="2018-08-09T00:00:00"/>
    <s v="HYUNDAI"/>
    <s v="ELANTRA"/>
    <n v="0"/>
    <d v="2018-08-10T00:00:00"/>
    <n v="0"/>
    <x v="1122"/>
  </r>
  <r>
    <d v="2018-08-27T00:00:00"/>
    <s v="001-00013199"/>
    <n v="1989.799239853221"/>
    <n v="0.61"/>
    <n v="0"/>
    <n v="46.610169491525426"/>
    <n v="0"/>
    <n v="292.5"/>
    <n v="185.9325"/>
    <n v="0"/>
    <n v="525.65266949152544"/>
    <n v="1464.1465703616955"/>
    <n v="0.7358262788710781"/>
    <x v="1"/>
    <s v="MEDIANO"/>
    <x v="4"/>
    <x v="1"/>
    <n v="17"/>
    <n v="1"/>
    <d v="2018-08-10T00:00:00"/>
    <s v="TOYOTA"/>
    <s v="AVANZA"/>
    <n v="1055.1775"/>
    <d v="2018-08-13T00:00:00"/>
    <n v="20"/>
    <x v="1"/>
  </r>
  <r>
    <d v="2018-08-18T00:00:00"/>
    <s v="001-00013200"/>
    <n v="694.08902090000015"/>
    <n v="0.30499999999999999"/>
    <n v="0"/>
    <n v="18"/>
    <n v="0"/>
    <n v="43.875"/>
    <n v="92.966250000000002"/>
    <n v="0"/>
    <n v="155.14625000000001"/>
    <n v="538.94277090000014"/>
    <n v="0.77647499769002615"/>
    <x v="2"/>
    <s v="LEVE"/>
    <x v="4"/>
    <x v="1"/>
    <n v="8"/>
    <n v="1"/>
    <d v="2018-08-10T00:00:00"/>
    <s v="TOYOTA"/>
    <s v="RAV4"/>
    <n v="0"/>
    <d v="2018-08-13T00:00:00"/>
    <n v="3"/>
    <x v="35"/>
  </r>
  <r>
    <d v="2018-08-31T00:00:00"/>
    <s v="001-00013201"/>
    <n v="732.49627742271105"/>
    <n v="0"/>
    <n v="0"/>
    <n v="20"/>
    <n v="0"/>
    <n v="146.25"/>
    <n v="201.426875"/>
    <n v="0"/>
    <n v="367.676875"/>
    <n v="364.81940242271105"/>
    <n v="0.49804949686069194"/>
    <x v="1"/>
    <s v="MEDIANO"/>
    <x v="4"/>
    <x v="1"/>
    <n v="21"/>
    <n v="1"/>
    <d v="2018-08-10T00:00:00"/>
    <s v="CHEVROLET"/>
    <s v="N300"/>
    <n v="739.47249999999997"/>
    <d v="2018-08-11T00:00:00"/>
    <n v="10"/>
    <x v="1"/>
  </r>
  <r>
    <d v="2018-08-25T00:00:00"/>
    <s v="001-00013202"/>
    <n v="479.52832423036978"/>
    <n v="0"/>
    <n v="0"/>
    <n v="0"/>
    <n v="0"/>
    <n v="43.875"/>
    <n v="61.977499999999999"/>
    <n v="0"/>
    <n v="105.85249999999999"/>
    <n v="373.67582423036981"/>
    <n v="0.77925704353357972"/>
    <x v="1"/>
    <s v="LEVE"/>
    <x v="4"/>
    <x v="1"/>
    <n v="15"/>
    <n v="1"/>
    <d v="2018-08-10T00:00:00"/>
    <s v="HYUNDAI"/>
    <s v="SANTA FE"/>
    <n v="2193.6525000000001"/>
    <d v="2018-08-14T00:00:00"/>
    <n v="3"/>
    <x v="1"/>
  </r>
  <r>
    <d v="2018-08-17T00:00:00"/>
    <s v="001-00013204"/>
    <n v="1066.576273488"/>
    <n v="0"/>
    <n v="0"/>
    <n v="0"/>
    <n v="0"/>
    <n v="58.5"/>
    <n v="247.91"/>
    <n v="0"/>
    <n v="306.40999999999997"/>
    <n v="760.166273488"/>
    <n v="0.71271627954187056"/>
    <x v="0"/>
    <s v="LEVE"/>
    <x v="4"/>
    <x v="1"/>
    <n v="8"/>
    <n v="1"/>
    <d v="2018-08-09T00:00:00"/>
    <s v="HYUNDAI"/>
    <s v="SANTA FE"/>
    <n v="0"/>
    <d v="2018-08-10T00:00:00"/>
    <n v="4"/>
    <x v="1123"/>
  </r>
  <r>
    <d v="2018-08-20T00:00:00"/>
    <s v="001-00013205"/>
    <n v="718.32103022965998"/>
    <n v="0"/>
    <n v="0"/>
    <n v="18"/>
    <n v="0"/>
    <n v="58.5"/>
    <n v="138.209825"/>
    <n v="0"/>
    <n v="214.709825"/>
    <n v="503.61120522965996"/>
    <n v="0.70109489216631526"/>
    <x v="1"/>
    <s v="LEVE"/>
    <x v="4"/>
    <x v="1"/>
    <n v="10"/>
    <n v="1"/>
    <d v="2018-08-10T00:00:00"/>
    <s v="SUZUKI"/>
    <s v="CELERIO"/>
    <n v="1187.875"/>
    <d v="2018-08-14T00:00:00"/>
    <n v="4"/>
    <x v="1"/>
  </r>
  <r>
    <d v="2018-08-21T00:00:00"/>
    <s v="001-00013206"/>
    <n v="136.50507080279988"/>
    <n v="0"/>
    <n v="0"/>
    <n v="0"/>
    <n v="0"/>
    <n v="5.1187499999999995"/>
    <n v="15.494375"/>
    <n v="0"/>
    <n v="20.613125"/>
    <n v="115.89194580279988"/>
    <n v="0.84899370493145665"/>
    <x v="1"/>
    <s v="LEVE"/>
    <x v="4"/>
    <x v="1"/>
    <n v="11"/>
    <n v="1"/>
    <d v="2018-08-10T00:00:00"/>
    <s v="CHEVROLET"/>
    <s v="CRUZE"/>
    <n v="700.82999999999993"/>
    <d v="2018-08-10T00:00:00"/>
    <n v="0.35"/>
    <x v="1"/>
  </r>
  <r>
    <d v="2018-08-16T00:00:00"/>
    <s v="001-00013207"/>
    <n v="430.69000000000005"/>
    <n v="0"/>
    <n v="0"/>
    <n v="16.95"/>
    <n v="0"/>
    <n v="73.125"/>
    <n v="61.977499999999999"/>
    <n v="0"/>
    <n v="152.05250000000001"/>
    <n v="278.63750000000005"/>
    <n v="0.64695604727298062"/>
    <x v="0"/>
    <s v="LEVE"/>
    <x v="4"/>
    <x v="1"/>
    <n v="6"/>
    <n v="1"/>
    <d v="2018-08-10T00:00:00"/>
    <s v="KIA"/>
    <s v="RIO"/>
    <n v="0"/>
    <d v="2018-08-10T00:00:00"/>
    <n v="5"/>
    <x v="1124"/>
  </r>
  <r>
    <d v="2018-08-11T00:00:00"/>
    <s v="001-00013208"/>
    <n v="306.62710200000004"/>
    <n v="85.857101350000008"/>
    <n v="0"/>
    <n v="0"/>
    <n v="39.048749999999998"/>
    <n v="0"/>
    <n v="0"/>
    <n v="0"/>
    <n v="124.90585135000001"/>
    <n v="181.72125065000003"/>
    <n v="0.59264575591886204"/>
    <x v="0"/>
    <s v="MECANICA"/>
    <x v="4"/>
    <x v="1"/>
    <n v="0"/>
    <n v="1"/>
    <d v="2018-08-11T00:00:00"/>
    <s v="HYUNDAI"/>
    <s v="TUCSON"/>
    <n v="0"/>
    <d v="2018-08-11T00:00:00"/>
    <n v="0"/>
    <x v="179"/>
  </r>
  <r>
    <d v="2018-08-29T00:00:00"/>
    <s v="001-00013211"/>
    <n v="1730.9969474500001"/>
    <n v="5.4759001999999999"/>
    <n v="0"/>
    <n v="104.75"/>
    <n v="29.25"/>
    <n v="146.25"/>
    <n v="278.89875000000001"/>
    <n v="0"/>
    <n v="564.62465020000002"/>
    <n v="1166.37229725"/>
    <n v="0.67381534032641077"/>
    <x v="2"/>
    <s v="MEDIANO"/>
    <x v="4"/>
    <x v="1"/>
    <n v="18"/>
    <n v="1"/>
    <d v="2018-08-11T00:00:00"/>
    <s v="HYUNDAI"/>
    <s v="ACCENT"/>
    <n v="1786.9475000000002"/>
    <d v="2018-08-14T00:00:00"/>
    <n v="10"/>
    <x v="2"/>
  </r>
  <r>
    <d v="2018-08-31T00:00:00"/>
    <s v="001-00013213"/>
    <n v="1226.3726558274993"/>
    <n v="0"/>
    <n v="0"/>
    <n v="0"/>
    <n v="0"/>
    <n v="234"/>
    <n v="92.966250000000002"/>
    <n v="0"/>
    <n v="326.96625"/>
    <n v="899.40640582749938"/>
    <n v="0.73338752421923636"/>
    <x v="1"/>
    <s v="MEDIANO"/>
    <x v="4"/>
    <x v="1"/>
    <n v="18"/>
    <n v="1"/>
    <d v="2018-08-13T00:00:00"/>
    <s v="HYUNDAI"/>
    <s v="CRETA"/>
    <n v="1447.3225"/>
    <d v="2018-08-15T00:00:00"/>
    <n v="16"/>
    <x v="1"/>
  </r>
  <r>
    <d v="2018-08-17T00:00:00"/>
    <s v="001-00013214"/>
    <n v="1664"/>
    <n v="203.22520120000001"/>
    <n v="0"/>
    <n v="0"/>
    <n v="82.923749999999998"/>
    <n v="58.5"/>
    <n v="123.955"/>
    <n v="0"/>
    <n v="468.60395119999998"/>
    <n v="1195.3960488"/>
    <n v="0.71838704855769231"/>
    <x v="0"/>
    <s v="LEVE"/>
    <x v="4"/>
    <x v="1"/>
    <n v="4"/>
    <n v="1"/>
    <d v="2018-08-13T00:00:00"/>
    <s v="SUZUKI"/>
    <s v="SWIFT"/>
    <n v="255.77500000000001"/>
    <d v="2018-08-13T00:00:00"/>
    <n v="4"/>
    <x v="258"/>
  </r>
  <r>
    <d v="2018-08-23T00:00:00"/>
    <s v="001-00013216"/>
    <n v="1272.0410218008501"/>
    <n v="0.9320000100000001"/>
    <n v="0"/>
    <n v="0"/>
    <n v="0"/>
    <n v="146.25"/>
    <n v="154.94374999999999"/>
    <n v="0"/>
    <n v="302.12575000999999"/>
    <n v="969.91527179085006"/>
    <n v="0.76248741602509373"/>
    <x v="1"/>
    <s v="MEDIANO"/>
    <x v="4"/>
    <x v="1"/>
    <n v="10"/>
    <n v="1"/>
    <d v="2018-08-13T00:00:00"/>
    <s v="HYUNDAI"/>
    <s v="ELANTRA"/>
    <n v="2347.8325"/>
    <d v="2018-08-14T00:00:00"/>
    <n v="10"/>
    <x v="1"/>
  </r>
  <r>
    <d v="2018-08-13T00:00:00"/>
    <s v="001-00013217"/>
    <n v="230"/>
    <n v="93.654204000000007"/>
    <n v="0"/>
    <n v="0"/>
    <n v="39.048749999999998"/>
    <n v="0"/>
    <n v="0"/>
    <n v="0"/>
    <n v="132.70295400000001"/>
    <n v="97.297045999999995"/>
    <n v="0.42303063478260866"/>
    <x v="0"/>
    <s v="MECANICA"/>
    <x v="4"/>
    <x v="1"/>
    <n v="2"/>
    <n v="1"/>
    <d v="2018-08-11T00:00:00"/>
    <s v="HONDA"/>
    <s v="CR-V"/>
    <n v="179.98500000000001"/>
    <d v="2018-08-13T00:00:00"/>
    <n v="0"/>
    <x v="1125"/>
  </r>
  <r>
    <d v="2018-08-13T00:00:00"/>
    <s v="001-00013218"/>
    <n v="249"/>
    <n v="68.201624999999979"/>
    <n v="0"/>
    <n v="0"/>
    <n v="39.048749999999998"/>
    <n v="0"/>
    <n v="0"/>
    <n v="0"/>
    <n v="107.25037499999998"/>
    <n v="141.74962500000004"/>
    <n v="0.5692756024096387"/>
    <x v="0"/>
    <s v="MECANICA"/>
    <x v="4"/>
    <x v="1"/>
    <n v="2"/>
    <n v="1"/>
    <d v="2018-08-11T00:00:00"/>
    <s v="TOYOTA"/>
    <s v="COROLLA"/>
    <n v="0"/>
    <d v="2018-08-13T00:00:00"/>
    <n v="0"/>
    <x v="1126"/>
  </r>
  <r>
    <d v="2018-08-13T00:00:00"/>
    <s v="001-00013219"/>
    <n v="499"/>
    <n v="143.7180985"/>
    <n v="0"/>
    <n v="0"/>
    <n v="39.048749999999998"/>
    <n v="0"/>
    <n v="0"/>
    <n v="0"/>
    <n v="182.76684849999998"/>
    <n v="316.23315150000002"/>
    <n v="0.63373377054108215"/>
    <x v="0"/>
    <s v="MECANICA"/>
    <x v="4"/>
    <x v="1"/>
    <n v="2"/>
    <n v="1"/>
    <d v="2018-08-11T00:00:00"/>
    <s v="HYUNDAI"/>
    <s v="ACCENT"/>
    <n v="149.98749999999998"/>
    <d v="2018-08-13T00:00:00"/>
    <n v="0"/>
    <x v="978"/>
  </r>
  <r>
    <d v="2018-08-23T00:00:00"/>
    <s v="001-00013220"/>
    <n v="2082.3144366500001"/>
    <n v="0"/>
    <n v="0"/>
    <n v="20"/>
    <n v="0"/>
    <n v="292.5"/>
    <n v="247.91"/>
    <n v="0"/>
    <n v="560.41"/>
    <n v="1521.9044366500002"/>
    <n v="0.73087157725248253"/>
    <x v="1"/>
    <s v="MEDIANO"/>
    <x v="4"/>
    <x v="1"/>
    <n v="10"/>
    <n v="1"/>
    <d v="2018-08-13T00:00:00"/>
    <s v="TOYOTA"/>
    <s v="YARIS"/>
    <n v="39"/>
    <d v="2018-08-14T00:00:00"/>
    <n v="20"/>
    <x v="1"/>
  </r>
  <r>
    <d v="2018-08-23T00:00:00"/>
    <s v="001-00013221"/>
    <n v="551.65883014295036"/>
    <n v="0"/>
    <n v="0"/>
    <n v="0"/>
    <n v="0"/>
    <n v="29.25"/>
    <n v="60.737950000000005"/>
    <n v="0"/>
    <n v="89.987950000000012"/>
    <n v="461.67088014295035"/>
    <n v="0.83687753175874735"/>
    <x v="1"/>
    <s v="LEVE"/>
    <x v="4"/>
    <x v="1"/>
    <n v="10"/>
    <n v="1"/>
    <d v="2018-08-13T00:00:00"/>
    <s v="HONDA"/>
    <s v="FIT"/>
    <n v="2719.0149999999999"/>
    <d v="2018-08-14T00:00:00"/>
    <n v="2"/>
    <x v="1017"/>
  </r>
  <r>
    <d v="2018-08-23T00:00:00"/>
    <s v="001-00013222"/>
    <n v="847.45759999999996"/>
    <n v="0"/>
    <n v="0"/>
    <n v="0"/>
    <n v="0"/>
    <n v="102.375"/>
    <n v="123.955"/>
    <n v="0"/>
    <n v="226.32999999999998"/>
    <n v="621.12760000000003"/>
    <n v="0.73293059145377903"/>
    <x v="0"/>
    <s v="LEVE"/>
    <x v="4"/>
    <x v="1"/>
    <n v="12"/>
    <n v="1"/>
    <d v="2018-08-11T00:00:00"/>
    <s v="MAZDA"/>
    <s v="MAZDA 2"/>
    <n v="0"/>
    <d v="2018-08-13T00:00:00"/>
    <n v="7"/>
    <x v="1127"/>
  </r>
  <r>
    <d v="2018-08-29T00:00:00"/>
    <s v="001-00013223"/>
    <n v="717.28231302458005"/>
    <n v="1.01660002"/>
    <n v="0"/>
    <n v="0"/>
    <n v="0"/>
    <n v="58.5"/>
    <n v="139.449375"/>
    <n v="0"/>
    <n v="198.96597502"/>
    <n v="518.31633800458007"/>
    <n v="0.7226113464571351"/>
    <x v="1"/>
    <s v="LEVE"/>
    <x v="4"/>
    <x v="1"/>
    <n v="16"/>
    <n v="1"/>
    <d v="2018-08-13T00:00:00"/>
    <s v="HYUNDAI"/>
    <s v="I30"/>
    <n v="3354.2275"/>
    <d v="2018-08-14T00:00:00"/>
    <n v="4"/>
    <x v="431"/>
  </r>
  <r>
    <d v="2018-08-22T00:00:00"/>
    <s v="001-00013224"/>
    <n v="1296.4816534754198"/>
    <n v="0"/>
    <n v="0"/>
    <n v="20"/>
    <n v="0"/>
    <n v="146.25"/>
    <n v="154.94374999999999"/>
    <n v="0"/>
    <n v="321.19375000000002"/>
    <n v="975.28790347541974"/>
    <n v="0.75225738895803851"/>
    <x v="1"/>
    <s v="MEDIANO"/>
    <x v="4"/>
    <x v="1"/>
    <n v="9"/>
    <n v="1"/>
    <d v="2018-08-13T00:00:00"/>
    <s v="CHEVROLET"/>
    <s v="PRISMA"/>
    <n v="869.82999999999993"/>
    <d v="2018-08-14T00:00:00"/>
    <n v="10"/>
    <x v="1"/>
  </r>
  <r>
    <d v="2018-08-28T00:00:00"/>
    <s v="001-00013229"/>
    <n v="1327.5837649601701"/>
    <n v="1.22"/>
    <n v="0"/>
    <n v="20"/>
    <n v="7.3125"/>
    <n v="117"/>
    <n v="193.989575"/>
    <n v="0"/>
    <n v="339.52207499999997"/>
    <n v="988.06168996017016"/>
    <n v="0.74425562893940167"/>
    <x v="1"/>
    <s v="MEDIANO"/>
    <x v="4"/>
    <x v="1"/>
    <n v="15"/>
    <n v="1"/>
    <d v="2018-08-13T00:00:00"/>
    <s v="HYUNDAI"/>
    <s v="ACCENT"/>
    <n v="1129.7650000000001"/>
    <d v="2018-08-15T00:00:00"/>
    <n v="8"/>
    <x v="1128"/>
  </r>
  <r>
    <d v="2018-08-20T00:00:00"/>
    <s v="001-00013235"/>
    <n v="1340"/>
    <n v="7.6300001000000011"/>
    <n v="0"/>
    <n v="0"/>
    <n v="58.5"/>
    <n v="131.625"/>
    <n v="185.9325"/>
    <n v="0"/>
    <n v="383.68750010000002"/>
    <n v="956.31249989999992"/>
    <n v="0.71366604470149253"/>
    <x v="0"/>
    <s v="MEDIANO"/>
    <x v="4"/>
    <x v="1"/>
    <n v="8"/>
    <n v="1"/>
    <d v="2018-08-12T00:00:00"/>
    <s v="CHEVROLET"/>
    <s v="SONIC"/>
    <n v="30.0625"/>
    <d v="2018-08-14T00:00:00"/>
    <n v="9"/>
    <x v="1129"/>
  </r>
  <r>
    <d v="2018-08-14T00:00:00"/>
    <s v="001-00013236"/>
    <n v="306.62710200000004"/>
    <n v="72.604801500000008"/>
    <n v="0"/>
    <n v="0"/>
    <n v="39.048749999999998"/>
    <n v="0"/>
    <n v="0"/>
    <n v="0"/>
    <n v="111.65355150000001"/>
    <n v="194.97355050000004"/>
    <n v="0.63586535315459503"/>
    <x v="0"/>
    <s v="MECANICA"/>
    <x v="4"/>
    <x v="1"/>
    <n v="2"/>
    <n v="1"/>
    <d v="2018-08-12T00:00:00"/>
    <s v="MAZDA"/>
    <s v="MAZDA 2"/>
    <n v="0"/>
    <d v="2018-08-14T00:00:00"/>
    <n v="0"/>
    <x v="1130"/>
  </r>
  <r>
    <d v="2018-08-28T00:00:00"/>
    <s v="001-00013238"/>
    <n v="1265.3894615500001"/>
    <n v="0"/>
    <n v="0"/>
    <n v="20"/>
    <n v="0"/>
    <n v="117"/>
    <n v="185.9325"/>
    <n v="0"/>
    <n v="322.9325"/>
    <n v="942.45696155000007"/>
    <n v="0.74479596218192479"/>
    <x v="1"/>
    <s v="MEDIANO"/>
    <x v="4"/>
    <x v="1"/>
    <n v="14"/>
    <n v="1"/>
    <d v="2018-08-14T00:00:00"/>
    <s v="DFSK"/>
    <s v="GLORY"/>
    <n v="2080"/>
    <d v="2018-08-16T00:00:00"/>
    <n v="8"/>
    <x v="1"/>
  </r>
  <r>
    <d v="2018-08-18T00:00:00"/>
    <s v="001-00013239"/>
    <n v="332.10001"/>
    <n v="0"/>
    <n v="0"/>
    <n v="0"/>
    <n v="0"/>
    <n v="14.625"/>
    <n v="61.977499999999999"/>
    <n v="0"/>
    <n v="76.602499999999992"/>
    <n v="255.49751000000001"/>
    <n v="0.76933906144718278"/>
    <x v="0"/>
    <s v="LEVE"/>
    <x v="4"/>
    <x v="1"/>
    <n v="4"/>
    <n v="1"/>
    <d v="2018-08-14T00:00:00"/>
    <s v="CHERY"/>
    <s v="FULWIN"/>
    <n v="0"/>
    <d v="2018-08-14T00:00:00"/>
    <n v="1"/>
    <x v="194"/>
  </r>
  <r>
    <d v="2018-08-24T00:00:00"/>
    <s v="001-00013240"/>
    <n v="1441.4693440000001"/>
    <n v="0"/>
    <n v="0"/>
    <n v="0"/>
    <n v="0"/>
    <n v="146.25"/>
    <n v="242.95180000000002"/>
    <n v="0"/>
    <n v="389.20180000000005"/>
    <n v="1052.267544"/>
    <n v="0.72999647781618027"/>
    <x v="1"/>
    <s v="MEDIANO"/>
    <x v="4"/>
    <x v="1"/>
    <n v="10"/>
    <n v="1"/>
    <d v="2018-08-14T00:00:00"/>
    <s v="CHEVROLET"/>
    <s v="SPIN"/>
    <n v="0"/>
    <d v="2018-08-15T00:00:00"/>
    <n v="10"/>
    <x v="1131"/>
  </r>
  <r>
    <d v="2018-08-17T00:00:00"/>
    <s v="001-00013244"/>
    <n v="165.6"/>
    <n v="0"/>
    <n v="0"/>
    <n v="18"/>
    <n v="0"/>
    <n v="146.25"/>
    <n v="154.94374999999999"/>
    <n v="0"/>
    <n v="319.19375000000002"/>
    <n v="-153.59375000000003"/>
    <n v="-0.92749849033816445"/>
    <x v="1"/>
    <s v="MEDIANO"/>
    <x v="4"/>
    <x v="1"/>
    <n v="3"/>
    <n v="1"/>
    <d v="2018-08-14T00:00:00"/>
    <s v="SSANYONG"/>
    <s v="KORANDO"/>
    <n v="1340.4949999999999"/>
    <d v="2018-08-16T00:00:00"/>
    <n v="10"/>
    <x v="1132"/>
  </r>
  <r>
    <d v="2018-08-21T00:00:00"/>
    <s v="001-00013245"/>
    <n v="1254.7275378499999"/>
    <n v="0"/>
    <n v="0"/>
    <n v="0"/>
    <n v="0"/>
    <n v="204.75"/>
    <n v="154.94374999999999"/>
    <n v="0"/>
    <n v="359.69375000000002"/>
    <n v="895.03378784999984"/>
    <n v="0.71332919765486114"/>
    <x v="1"/>
    <s v="MEDIANO"/>
    <x v="4"/>
    <x v="1"/>
    <n v="6"/>
    <n v="1"/>
    <d v="2018-08-15T00:00:00"/>
    <s v="KIA"/>
    <s v="RIO"/>
    <n v="0"/>
    <d v="2018-08-14T00:00:00"/>
    <n v="14"/>
    <x v="1"/>
  </r>
  <r>
    <d v="2018-08-24T00:00:00"/>
    <s v="001-00013246"/>
    <n v="900.53410550399997"/>
    <n v="5.4759001999999999"/>
    <n v="0"/>
    <n v="84.75"/>
    <n v="11.700000000000001"/>
    <n v="58.5"/>
    <n v="61.977499999999999"/>
    <n v="0"/>
    <n v="222.40340019999999"/>
    <n v="678.130705304"/>
    <n v="0.75303167438003038"/>
    <x v="1"/>
    <s v="LEVE"/>
    <x v="4"/>
    <x v="1"/>
    <n v="9"/>
    <n v="1"/>
    <d v="2018-08-15T00:00:00"/>
    <s v="KIA"/>
    <s v="RIO"/>
    <n v="6172.27"/>
    <d v="2018-08-16T00:00:00"/>
    <n v="4"/>
    <x v="1"/>
  </r>
  <r>
    <d v="2018-08-23T00:00:00"/>
    <s v="001-00013249"/>
    <n v="899"/>
    <n v="317.01998999999995"/>
    <n v="0"/>
    <n v="0"/>
    <n v="0"/>
    <n v="29.25"/>
    <n v="61.977499999999999"/>
    <n v="0"/>
    <n v="408.24748999999997"/>
    <n v="490.75251000000003"/>
    <n v="0.54588710789766415"/>
    <x v="0"/>
    <s v="LEVE"/>
    <x v="4"/>
    <x v="1"/>
    <n v="8"/>
    <n v="1"/>
    <d v="2018-08-15T00:00:00"/>
    <s v="TOYOTA"/>
    <s v="COROLLA"/>
    <n v="509.98999999999995"/>
    <d v="2018-08-15T00:00:00"/>
    <n v="2"/>
    <x v="1133"/>
  </r>
  <r>
    <d v="2018-08-29T00:00:00"/>
    <s v="001-00013250"/>
    <n v="1861.5846088855901"/>
    <n v="0"/>
    <n v="0"/>
    <n v="76.27"/>
    <n v="2.9250000000000003"/>
    <n v="204.75"/>
    <n v="201.426875"/>
    <n v="0"/>
    <n v="485.37187499999999"/>
    <n v="1376.2127338855901"/>
    <n v="0.73926950583752371"/>
    <x v="1"/>
    <s v="MEDIANO"/>
    <x v="4"/>
    <x v="1"/>
    <n v="14"/>
    <n v="1"/>
    <d v="2018-08-15T00:00:00"/>
    <s v="HYUNDAI"/>
    <s v="CRETA"/>
    <n v="651.85249999999996"/>
    <d v="2018-08-16T00:00:00"/>
    <n v="14"/>
    <x v="1"/>
  </r>
  <r>
    <d v="2018-08-20T00:00:00"/>
    <s v="001-00013251"/>
    <n v="773.72882199999992"/>
    <n v="252.26350125000005"/>
    <n v="0"/>
    <n v="50.85"/>
    <n v="78.097499999999997"/>
    <n v="0"/>
    <n v="0"/>
    <n v="0"/>
    <n v="381.21100125000009"/>
    <n v="392.51782074999983"/>
    <n v="0.50730670693562441"/>
    <x v="0"/>
    <s v="MECANICA"/>
    <x v="4"/>
    <x v="1"/>
    <n v="4"/>
    <n v="1"/>
    <d v="2018-08-16T00:00:00"/>
    <s v="FORD"/>
    <s v="ECOSPORT"/>
    <n v="189.995"/>
    <d v="2018-08-16T00:00:00"/>
    <n v="0"/>
    <x v="182"/>
  </r>
  <r>
    <d v="2018-08-18T00:00:00"/>
    <s v="001-00013253"/>
    <n v="332.10001"/>
    <n v="0"/>
    <n v="0"/>
    <n v="0"/>
    <n v="0"/>
    <n v="43.875"/>
    <n v="61.977499999999999"/>
    <n v="0"/>
    <n v="105.85249999999999"/>
    <n v="226.24751000000001"/>
    <n v="0.68126318334046421"/>
    <x v="0"/>
    <s v="LEVE"/>
    <x v="4"/>
    <x v="1"/>
    <n v="2"/>
    <n v="1"/>
    <d v="2018-08-16T00:00:00"/>
    <s v="KIA"/>
    <s v="CERATO"/>
    <n v="0"/>
    <d v="2018-08-16T00:00:00"/>
    <n v="3"/>
    <x v="616"/>
  </r>
  <r>
    <d v="2018-08-24T00:00:00"/>
    <s v="001-00013254"/>
    <n v="1465.4629385600001"/>
    <n v="4.4637000000000002"/>
    <n v="0"/>
    <n v="20"/>
    <n v="0"/>
    <n v="175.5"/>
    <n v="213.20260000000002"/>
    <n v="0"/>
    <n v="413.16629999999998"/>
    <n v="1052.2966385600002"/>
    <n v="0.71806431324289433"/>
    <x v="1"/>
    <s v="MEDIANO"/>
    <x v="4"/>
    <x v="1"/>
    <n v="8"/>
    <n v="1"/>
    <d v="2018-08-16T00:00:00"/>
    <s v="CHEVROLET"/>
    <s v="N300"/>
    <n v="200.16750000000002"/>
    <d v="2018-08-17T00:00:00"/>
    <n v="12"/>
    <x v="1"/>
  </r>
  <r>
    <d v="2018-08-31T00:00:00"/>
    <s v="001-00013255"/>
    <n v="2250.9465966652506"/>
    <n v="1.44030002"/>
    <n v="0"/>
    <n v="96.27"/>
    <n v="0"/>
    <n v="117"/>
    <n v="340.87625000000003"/>
    <n v="0"/>
    <n v="555.58655002"/>
    <n v="1695.3600466452506"/>
    <n v="0.75317648546478422"/>
    <x v="1"/>
    <s v="MEDIANO"/>
    <x v="4"/>
    <x v="1"/>
    <n v="15"/>
    <n v="1"/>
    <d v="2018-08-16T00:00:00"/>
    <s v="MAZDA"/>
    <s v="CX-3"/>
    <n v="3630.3474999999999"/>
    <d v="2018-08-18T00:00:00"/>
    <n v="8"/>
    <x v="1"/>
  </r>
  <r>
    <d v="2018-08-17T00:00:00"/>
    <s v="001-00013256"/>
    <n v="1122.768"/>
    <n v="844.33112000000006"/>
    <n v="0"/>
    <n v="0"/>
    <n v="0"/>
    <n v="0"/>
    <n v="0"/>
    <n v="0"/>
    <n v="844.33112000000006"/>
    <n v="278.43687999999997"/>
    <n v="0.24799146395337235"/>
    <x v="0"/>
    <s v="MECANICA"/>
    <x v="4"/>
    <x v="1"/>
    <n v="1"/>
    <n v="1"/>
    <d v="2018-08-16T00:00:00"/>
    <s v="GREAT W."/>
    <s v="HAVAL H3"/>
    <n v="0"/>
    <d v="2018-08-16T00:00:00"/>
    <n v="0"/>
    <x v="1111"/>
  </r>
  <r>
    <d v="2018-08-17T00:00:00"/>
    <s v="001-00013258"/>
    <n v="91.08"/>
    <n v="0"/>
    <n v="0"/>
    <n v="0"/>
    <n v="0"/>
    <n v="0"/>
    <n v="30.98875"/>
    <n v="0"/>
    <n v="30.98875"/>
    <n v="60.091250000000002"/>
    <n v="0.65976339481774271"/>
    <x v="0"/>
    <s v="LEVE"/>
    <x v="4"/>
    <x v="1"/>
    <n v="1"/>
    <n v="1"/>
    <d v="2018-08-16T00:00:00"/>
    <s v="KIA"/>
    <s v="SPORTAGE"/>
    <n v="0"/>
    <d v="2018-08-16T00:00:00"/>
    <n v="0"/>
    <x v="1134"/>
  </r>
  <r>
    <d v="2018-08-16T00:00:00"/>
    <s v="001-00013259"/>
    <n v="314.10169999999999"/>
    <n v="74.845499499999988"/>
    <n v="0"/>
    <n v="0"/>
    <n v="39.048749999999998"/>
    <n v="0"/>
    <n v="0"/>
    <n v="0"/>
    <n v="113.89424949999999"/>
    <n v="200.20745049999999"/>
    <n v="0.63739690202249777"/>
    <x v="0"/>
    <s v="MECANICA"/>
    <x v="4"/>
    <x v="1"/>
    <n v="0"/>
    <n v="1"/>
    <d v="2018-08-16T00:00:00"/>
    <s v="HYUNDAI"/>
    <s v="I10"/>
    <n v="0"/>
    <d v="2018-08-16T00:00:00"/>
    <n v="0"/>
    <x v="586"/>
  </r>
  <r>
    <d v="2018-08-17T00:00:00"/>
    <s v="001-00013261"/>
    <n v="306.77968999999996"/>
    <n v="83.40180079999999"/>
    <n v="0"/>
    <n v="0"/>
    <n v="39.048749999999998"/>
    <n v="0"/>
    <n v="0"/>
    <n v="0"/>
    <n v="122.45055079999999"/>
    <n v="184.32913919999999"/>
    <n v="0.60085183344438486"/>
    <x v="0"/>
    <s v="MECANICA"/>
    <x v="4"/>
    <x v="1"/>
    <n v="1"/>
    <n v="1"/>
    <d v="2018-08-16T00:00:00"/>
    <s v="TOYOTA"/>
    <s v="YARIS"/>
    <n v="0"/>
    <d v="2018-08-16T00:00:00"/>
    <n v="0"/>
    <x v="1097"/>
  </r>
  <r>
    <d v="2018-08-20T00:00:00"/>
    <s v="001-00013263"/>
    <n v="348.70501050000001"/>
    <n v="0"/>
    <n v="0"/>
    <n v="0"/>
    <n v="0"/>
    <n v="14.625"/>
    <n v="61.977499999999999"/>
    <n v="0"/>
    <n v="76.602499999999992"/>
    <n v="272.10251049999999"/>
    <n v="0.78032291566398349"/>
    <x v="0"/>
    <s v="LEVE"/>
    <x v="4"/>
    <x v="1"/>
    <n v="4"/>
    <n v="1"/>
    <d v="2018-08-16T00:00:00"/>
    <s v="HYUNDAI"/>
    <s v="ACCENT"/>
    <n v="0"/>
    <d v="2018-08-16T00:00:00"/>
    <n v="1"/>
    <x v="544"/>
  </r>
  <r>
    <d v="2018-08-20T00:00:00"/>
    <s v="001-00013264"/>
    <n v="1444"/>
    <n v="501.37951150000015"/>
    <n v="0"/>
    <n v="59.319999999999993"/>
    <n v="39.048749999999998"/>
    <n v="0"/>
    <n v="0"/>
    <n v="0"/>
    <n v="599.74826150000024"/>
    <n v="844.25173849999976"/>
    <n v="0.58466186876731285"/>
    <x v="0"/>
    <s v="MECANICA"/>
    <x v="4"/>
    <x v="1"/>
    <n v="3"/>
    <n v="1"/>
    <d v="2018-08-17T00:00:00"/>
    <s v="SUBARU"/>
    <s v="NEW XV"/>
    <n v="554.97"/>
    <d v="2018-08-17T00:00:00"/>
    <n v="0"/>
    <x v="476"/>
  </r>
  <r>
    <d v="2018-08-31T00:00:00"/>
    <s v="001-00013266"/>
    <n v="1748.6949830527192"/>
    <n v="0"/>
    <n v="0"/>
    <n v="55.084745762711869"/>
    <n v="0"/>
    <n v="117"/>
    <n v="247.91"/>
    <n v="0"/>
    <n v="419.99474576271189"/>
    <n v="1328.7002372900074"/>
    <n v="0.75982389734456635"/>
    <x v="1"/>
    <s v="MEDIANO"/>
    <x v="4"/>
    <x v="1"/>
    <n v="14"/>
    <n v="1"/>
    <d v="2018-08-17T00:00:00"/>
    <s v="HYUNDAI"/>
    <s v="H1"/>
    <n v="3241.9074999999998"/>
    <d v="2018-08-17T00:00:00"/>
    <n v="8"/>
    <x v="1"/>
  </r>
  <r>
    <d v="2018-08-18T00:00:00"/>
    <s v="001-00013268"/>
    <n v="789"/>
    <n v="208.20350224999999"/>
    <n v="0"/>
    <n v="38.14"/>
    <n v="39.048749999999998"/>
    <n v="0"/>
    <n v="0"/>
    <n v="0"/>
    <n v="285.39225224999996"/>
    <n v="503.60774775000004"/>
    <n v="0.63828611882129282"/>
    <x v="0"/>
    <s v="MECANICA"/>
    <x v="4"/>
    <x v="1"/>
    <n v="2"/>
    <n v="1"/>
    <d v="2018-08-16T00:00:00"/>
    <s v="PEUGEOT"/>
    <n v="208"/>
    <n v="188.5"/>
    <d v="2018-08-17T00:00:00"/>
    <n v="0"/>
    <x v="1135"/>
  </r>
  <r>
    <d v="2018-08-31T00:00:00"/>
    <s v="001-00013269"/>
    <n v="1928.9999402389803"/>
    <n v="0.88550000999999989"/>
    <n v="0"/>
    <n v="0"/>
    <n v="39.048749999999998"/>
    <n v="117"/>
    <n v="371.86500000000001"/>
    <n v="0"/>
    <n v="528.79925001000004"/>
    <n v="1400.2006902289804"/>
    <n v="0.72586870586191521"/>
    <x v="1"/>
    <s v="MEDIANO"/>
    <x v="4"/>
    <x v="1"/>
    <n v="14"/>
    <n v="1"/>
    <d v="2018-08-17T00:00:00"/>
    <s v="NISSAN"/>
    <s v="VERSA"/>
    <n v="2130.0825"/>
    <d v="2018-08-20T00:00:00"/>
    <n v="8"/>
    <x v="1"/>
  </r>
  <r>
    <d v="2018-08-29T00:00:00"/>
    <s v="001-00013272"/>
    <n v="2798.4482492440698"/>
    <n v="0"/>
    <n v="0"/>
    <n v="0"/>
    <n v="2.9250000000000003"/>
    <n v="219.375"/>
    <n v="420.827225"/>
    <n v="0"/>
    <n v="643.12722499999995"/>
    <n v="2155.32102424407"/>
    <n v="0.7701843422783593"/>
    <x v="1"/>
    <s v="MEDIANO"/>
    <x v="4"/>
    <x v="1"/>
    <n v="12"/>
    <n v="1"/>
    <d v="2018-08-17T00:00:00"/>
    <s v="KIA"/>
    <s v="RIO"/>
    <n v="2018.4449999999997"/>
    <d v="2018-08-18T00:00:00"/>
    <n v="15"/>
    <x v="1"/>
  </r>
  <r>
    <d v="2018-08-18T00:00:00"/>
    <s v="001-00013275"/>
    <n v="349"/>
    <n v="155.45762714999998"/>
    <n v="0"/>
    <n v="0"/>
    <n v="39.048749999999998"/>
    <n v="0"/>
    <n v="0"/>
    <n v="0"/>
    <n v="194.50637714999999"/>
    <n v="154.49362285000001"/>
    <n v="0.44267513710601719"/>
    <x v="0"/>
    <s v="MECANICA"/>
    <x v="4"/>
    <x v="1"/>
    <n v="2"/>
    <n v="1"/>
    <d v="2018-08-16T00:00:00"/>
    <s v="SUZUKI"/>
    <s v="SWIFT"/>
    <n v="0"/>
    <d v="2018-08-17T00:00:00"/>
    <n v="0"/>
    <x v="341"/>
  </r>
  <r>
    <d v="2018-08-24T00:00:00"/>
    <s v="001-00013276"/>
    <n v="476.99810550400002"/>
    <n v="0"/>
    <n v="0"/>
    <n v="20"/>
    <n v="0"/>
    <n v="58.5"/>
    <n v="60.118175000000008"/>
    <n v="0"/>
    <n v="138.61817500000001"/>
    <n v="338.37993050400001"/>
    <n v="0.70939470534472049"/>
    <x v="1"/>
    <s v="LEVE"/>
    <x v="4"/>
    <x v="1"/>
    <n v="6"/>
    <n v="1"/>
    <d v="2018-08-18T00:00:00"/>
    <s v="SUZUKI"/>
    <s v="VITARA"/>
    <n v="0"/>
    <d v="2018-08-20T00:00:00"/>
    <n v="4"/>
    <x v="1"/>
  </r>
  <r>
    <d v="2018-08-21T00:00:00"/>
    <s v="001-00013280"/>
    <n v="378.27532441102005"/>
    <n v="0"/>
    <n v="0"/>
    <n v="20"/>
    <n v="0"/>
    <n v="43.875"/>
    <n v="123.955"/>
    <n v="0"/>
    <n v="187.82999999999998"/>
    <n v="190.44532441102007"/>
    <n v="0.50345690591250192"/>
    <x v="1"/>
    <s v="MEDIANO"/>
    <x v="4"/>
    <x v="1"/>
    <n v="1"/>
    <n v="1"/>
    <d v="2018-08-20T00:00:00"/>
    <s v="S/MARCA"/>
    <s v="S/MODELO"/>
    <n v="0"/>
    <s v="F/Fecha"/>
    <n v="0"/>
    <x v="1136"/>
  </r>
  <r>
    <d v="2018-08-24T00:00:00"/>
    <s v="001-00013283"/>
    <n v="724.5"/>
    <n v="271.19"/>
    <n v="0"/>
    <n v="0"/>
    <n v="0"/>
    <n v="29.25"/>
    <n v="61.977499999999999"/>
    <n v="0"/>
    <n v="362.41750000000002"/>
    <n v="362.08249999999998"/>
    <n v="0.49976880607315388"/>
    <x v="0"/>
    <s v="GRAVE"/>
    <x v="4"/>
    <x v="1"/>
    <n v="5"/>
    <n v="1"/>
    <d v="2018-08-19T00:00:00"/>
    <s v="HYUNDAI"/>
    <s v="VELOSTER"/>
    <n v="381.16"/>
    <d v="2018-08-20T00:00:00"/>
    <n v="2"/>
    <x v="1108"/>
  </r>
  <r>
    <d v="2018-08-31T00:00:00"/>
    <s v="001-00013286"/>
    <n v="473.63799031518994"/>
    <n v="0"/>
    <n v="0"/>
    <n v="0"/>
    <n v="0"/>
    <n v="29.25"/>
    <n v="61.977499999999999"/>
    <n v="0"/>
    <n v="91.227499999999992"/>
    <n v="382.41049031518992"/>
    <n v="0.80738981697964884"/>
    <x v="1"/>
    <s v="LEVE"/>
    <x v="4"/>
    <x v="1"/>
    <n v="11"/>
    <n v="1"/>
    <d v="2018-08-20T00:00:00"/>
    <s v="CHEVROLET"/>
    <s v="PRISMA"/>
    <n v="934.82999999999993"/>
    <d v="2018-08-21T00:00:00"/>
    <n v="2"/>
    <x v="1"/>
  </r>
  <r>
    <d v="2018-08-28T00:00:00"/>
    <s v="001-00013287"/>
    <n v="615.22182500592999"/>
    <n v="0.84739999999999993"/>
    <n v="0"/>
    <n v="0"/>
    <n v="0"/>
    <n v="43.875"/>
    <n v="123.955"/>
    <n v="0"/>
    <n v="168.67740000000001"/>
    <n v="446.54442500592995"/>
    <n v="0.72582669673922218"/>
    <x v="1"/>
    <s v="LEVE"/>
    <x v="4"/>
    <x v="1"/>
    <n v="8"/>
    <n v="1"/>
    <d v="2018-08-20T00:00:00"/>
    <s v="KIA"/>
    <s v="RIO"/>
    <n v="2022.605"/>
    <d v="2018-08-21T00:00:00"/>
    <n v="3"/>
    <x v="1"/>
  </r>
  <r>
    <d v="2018-08-29T00:00:00"/>
    <s v="001-00013289"/>
    <n v="710.02431364492008"/>
    <n v="0"/>
    <n v="0"/>
    <n v="0"/>
    <n v="0"/>
    <n v="43.875"/>
    <n v="123.955"/>
    <n v="0"/>
    <n v="167.82999999999998"/>
    <n v="542.19431364492016"/>
    <n v="0.76362781277384406"/>
    <x v="1"/>
    <s v="LEVE"/>
    <x v="4"/>
    <x v="1"/>
    <n v="9"/>
    <n v="1"/>
    <d v="2018-08-20T00:00:00"/>
    <s v="CHEVROLET"/>
    <s v="PRISMA"/>
    <n v="732.81"/>
    <d v="2018-08-21T00:00:00"/>
    <n v="3"/>
    <x v="1"/>
  </r>
  <r>
    <d v="2018-08-21T00:00:00"/>
    <s v="001-00013291"/>
    <n v="84.223541225679909"/>
    <n v="0"/>
    <n v="0"/>
    <n v="20"/>
    <n v="5.8500000000000005"/>
    <n v="146.25"/>
    <n v="321.66322500000001"/>
    <n v="0"/>
    <n v="493.76322500000003"/>
    <n v="-409.53968377432011"/>
    <n v="-4.8625322304715768"/>
    <x v="1"/>
    <s v="MEDIANO"/>
    <x v="4"/>
    <x v="1"/>
    <n v="1"/>
    <n v="1"/>
    <d v="2018-08-20T00:00:00"/>
    <s v="TOYOTA"/>
    <s v="AVANZA"/>
    <n v="574.37249999999995"/>
    <d v="2018-08-21T00:00:00"/>
    <n v="10"/>
    <x v="1137"/>
  </r>
  <r>
    <d v="2018-08-24T00:00:00"/>
    <s v="001-00013295"/>
    <n v="527.36"/>
    <n v="0"/>
    <n v="0"/>
    <n v="338.98"/>
    <n v="0"/>
    <n v="0"/>
    <n v="0"/>
    <n v="0"/>
    <n v="338.98"/>
    <n v="188.38"/>
    <n v="0.35721328883495146"/>
    <x v="0"/>
    <s v="MECANICA"/>
    <x v="4"/>
    <x v="1"/>
    <n v="5"/>
    <n v="1"/>
    <d v="2018-08-19T00:00:00"/>
    <s v="AUDI"/>
    <s v="A6"/>
    <n v="0"/>
    <d v="2018-08-20T00:00:00"/>
    <n v="0"/>
    <x v="1138"/>
  </r>
  <r>
    <d v="2018-08-20T00:00:00"/>
    <s v="001-00013297"/>
    <n v="204.49150000000006"/>
    <n v="154.13929999999999"/>
    <n v="0"/>
    <n v="0"/>
    <n v="0"/>
    <n v="0"/>
    <n v="0"/>
    <n v="0"/>
    <n v="154.13929999999999"/>
    <n v="50.352200000000067"/>
    <n v="0.24623126144607504"/>
    <x v="0"/>
    <s v="MECANICA"/>
    <x v="4"/>
    <x v="1"/>
    <n v="0"/>
    <n v="1"/>
    <d v="2018-08-20T00:00:00"/>
    <s v="NISSAN"/>
    <s v="TIIDA"/>
    <n v="0"/>
    <d v="2018-08-20T00:00:00"/>
    <n v="0"/>
    <x v="235"/>
  </r>
  <r>
    <d v="2018-08-31T00:00:00"/>
    <s v="001-00013298"/>
    <n v="511.74231906440991"/>
    <n v="0"/>
    <n v="0"/>
    <n v="20"/>
    <n v="0"/>
    <n v="58.5"/>
    <n v="123.955"/>
    <n v="0"/>
    <n v="202.45499999999998"/>
    <n v="309.28731906440993"/>
    <n v="0.60438096976201372"/>
    <x v="1"/>
    <s v="LEVE"/>
    <x v="4"/>
    <x v="1"/>
    <n v="11"/>
    <n v="1"/>
    <d v="2018-08-20T00:00:00"/>
    <s v="NISSAN"/>
    <s v="QASHQAI"/>
    <n v="795.50250000000005"/>
    <d v="2018-08-21T00:00:00"/>
    <n v="4"/>
    <x v="1"/>
  </r>
  <r>
    <d v="2018-08-28T00:00:00"/>
    <s v="001-00013299"/>
    <n v="254.38310287034"/>
    <n v="5.4759001999999999"/>
    <n v="0"/>
    <n v="117.94"/>
    <n v="23.400000000000002"/>
    <n v="117"/>
    <n v="254.72752500000001"/>
    <n v="0"/>
    <n v="518.5434252"/>
    <n v="-264.16032232966"/>
    <n v="-1.0384350192642453"/>
    <x v="1"/>
    <s v="MEDIANO"/>
    <x v="4"/>
    <x v="1"/>
    <n v="8"/>
    <n v="1"/>
    <d v="2018-08-20T00:00:00"/>
    <s v="S/MARCA"/>
    <s v="S/MODELO"/>
    <n v="0"/>
    <s v="F/Fecha"/>
    <n v="0"/>
    <x v="1139"/>
  </r>
  <r>
    <d v="2018-08-23T00:00:00"/>
    <s v="001-00013301"/>
    <n v="272.98797129491999"/>
    <n v="0"/>
    <n v="0"/>
    <n v="0"/>
    <n v="0"/>
    <n v="21.9375"/>
    <n v="46.483125000000001"/>
    <n v="0"/>
    <n v="68.420625000000001"/>
    <n v="204.56734629491999"/>
    <n v="0.74936395667748146"/>
    <x v="0"/>
    <s v="LEVE"/>
    <x v="4"/>
    <x v="1"/>
    <n v="4"/>
    <n v="1"/>
    <d v="2018-08-19T00:00:00"/>
    <s v="MAZDA"/>
    <s v="MAZDA 3"/>
    <n v="0"/>
    <d v="2018-08-20T00:00:00"/>
    <n v="1.5"/>
    <x v="997"/>
  </r>
  <r>
    <d v="2018-08-24T00:00:00"/>
    <s v="001-00013303"/>
    <n v="1006.2034"/>
    <n v="0"/>
    <n v="0"/>
    <n v="0"/>
    <n v="0"/>
    <n v="102.375"/>
    <n v="247.91"/>
    <n v="0"/>
    <n v="350.28499999999997"/>
    <n v="655.91840000000002"/>
    <n v="0.6518745613461453"/>
    <x v="0"/>
    <s v="LEVE"/>
    <x v="4"/>
    <x v="1"/>
    <n v="5"/>
    <n v="1"/>
    <d v="2018-08-19T00:00:00"/>
    <s v="KIA"/>
    <s v="CERATO"/>
    <n v="0"/>
    <d v="1900-08-05T00:00:00"/>
    <n v="7"/>
    <x v="1140"/>
  </r>
  <r>
    <d v="2018-08-22T00:00:00"/>
    <s v="001-00013305"/>
    <n v="1259.1016999999999"/>
    <n v="476.78260309999996"/>
    <n v="0"/>
    <n v="16.95"/>
    <n v="78.097499999999997"/>
    <n v="0"/>
    <n v="0"/>
    <n v="0"/>
    <n v="571.83010309999997"/>
    <n v="687.27159689999996"/>
    <n v="0.54584279959275728"/>
    <x v="0"/>
    <s v="MECANICA"/>
    <x v="4"/>
    <x v="1"/>
    <n v="2"/>
    <n v="1"/>
    <d v="2018-08-20T00:00:00"/>
    <s v="HYUNDAI"/>
    <s v="ELANTRA"/>
    <n v="862.64750000000004"/>
    <d v="2018-08-21T00:00:00"/>
    <n v="0"/>
    <x v="0"/>
  </r>
  <r>
    <d v="2018-08-28T00:00:00"/>
    <s v="001-00013306"/>
    <n v="1041.043676776949"/>
    <n v="0"/>
    <n v="0"/>
    <n v="0"/>
    <n v="0"/>
    <n v="117"/>
    <n v="139.449375"/>
    <n v="0"/>
    <n v="256.44937500000003"/>
    <n v="784.59430177694901"/>
    <n v="0.75366127212456413"/>
    <x v="1"/>
    <s v="MEDIANO"/>
    <x v="4"/>
    <x v="1"/>
    <n v="7"/>
    <n v="1"/>
    <d v="2018-08-21T00:00:00"/>
    <s v="MITSUBISHI"/>
    <s v="OUTLANDER"/>
    <n v="0"/>
    <d v="2018-08-15T00:00:00"/>
    <n v="8"/>
    <x v="1"/>
  </r>
  <r>
    <d v="2018-08-25T00:00:00"/>
    <s v="001-00013309"/>
    <n v="395.279988"/>
    <n v="0"/>
    <n v="0"/>
    <n v="0"/>
    <n v="0"/>
    <n v="29.25"/>
    <n v="61.977499999999999"/>
    <n v="0"/>
    <n v="91.227499999999992"/>
    <n v="304.05248800000004"/>
    <n v="0.76920789625201069"/>
    <x v="0"/>
    <s v="LEVE"/>
    <x v="4"/>
    <x v="1"/>
    <n v="5"/>
    <n v="1"/>
    <d v="2018-08-20T00:00:00"/>
    <s v="FORD"/>
    <s v="ECOSPORT"/>
    <n v="0"/>
    <d v="2018-08-21T00:00:00"/>
    <n v="2"/>
    <x v="1141"/>
  </r>
  <r>
    <d v="2018-08-25T00:00:00"/>
    <s v="001-00013314"/>
    <n v="1478.7542000000001"/>
    <n v="1270.1479963000004"/>
    <n v="0"/>
    <n v="29.66"/>
    <n v="68.298749999999998"/>
    <n v="43.875"/>
    <n v="123.955"/>
    <n v="0"/>
    <n v="1535.9367463000003"/>
    <n v="-57.18254630000024"/>
    <n v="-3.8669405841755336E-2"/>
    <x v="0"/>
    <s v="MECANICA"/>
    <x v="4"/>
    <x v="1"/>
    <n v="4"/>
    <n v="1"/>
    <d v="2018-08-21T00:00:00"/>
    <s v="VW"/>
    <s v="GO"/>
    <n v="2274.9675000000002"/>
    <d v="2018-08-23T00:00:00"/>
    <n v="3"/>
    <x v="1142"/>
  </r>
  <r>
    <d v="2018-08-24T00:00:00"/>
    <s v="001-00013324"/>
    <n v="414.10169999999999"/>
    <n v="120.9983991"/>
    <n v="0"/>
    <n v="0"/>
    <n v="39.048749999999998"/>
    <n v="0"/>
    <n v="0"/>
    <n v="0"/>
    <n v="160.04714910000001"/>
    <n v="254.05455089999998"/>
    <n v="0.61350762602520104"/>
    <x v="0"/>
    <s v="MECANICA"/>
    <x v="4"/>
    <x v="1"/>
    <n v="1"/>
    <n v="1"/>
    <d v="2018-08-23T00:00:00"/>
    <s v="KIA"/>
    <s v="RIO"/>
    <n v="100.295"/>
    <d v="2018-08-24T00:00:00"/>
    <n v="0"/>
    <x v="342"/>
  </r>
  <r>
    <d v="2018-08-24T00:00:00"/>
    <s v="001-00013327"/>
    <n v="369"/>
    <n v="69.862202409999981"/>
    <n v="0"/>
    <n v="0"/>
    <n v="39.048749999999998"/>
    <n v="0"/>
    <n v="0"/>
    <n v="0"/>
    <n v="108.91095240999998"/>
    <n v="260.08904759000001"/>
    <n v="0.70484836745257451"/>
    <x v="0"/>
    <s v="MECANICA"/>
    <x v="4"/>
    <x v="1"/>
    <n v="1"/>
    <n v="1"/>
    <d v="2018-08-23T00:00:00"/>
    <s v="TOYOTA"/>
    <s v="YARIS"/>
    <n v="120.3475"/>
    <d v="2018-08-24T00:00:00"/>
    <n v="0"/>
    <x v="165"/>
  </r>
  <r>
    <d v="2018-08-24T00:00:00"/>
    <s v="001-00013329"/>
    <n v="98.88"/>
    <n v="0"/>
    <n v="0"/>
    <n v="0"/>
    <n v="0"/>
    <n v="29.25"/>
    <n v="0"/>
    <n v="0"/>
    <n v="29.25"/>
    <n v="69.63"/>
    <n v="0.7041868932038835"/>
    <x v="0"/>
    <s v="LEVE"/>
    <x v="4"/>
    <x v="1"/>
    <n v="1"/>
    <n v="1"/>
    <d v="2018-08-23T00:00:00"/>
    <s v="VW"/>
    <s v="UP"/>
    <n v="0"/>
    <d v="2018-08-24T00:00:00"/>
    <n v="2"/>
    <x v="1143"/>
  </r>
  <r>
    <d v="2018-08-25T00:00:00"/>
    <s v="001-00013331"/>
    <n v="249"/>
    <n v="50.661001099999993"/>
    <n v="0"/>
    <n v="0"/>
    <n v="0"/>
    <n v="0"/>
    <n v="0"/>
    <n v="0"/>
    <n v="50.661001099999993"/>
    <n v="198.33899890000001"/>
    <n v="0.79654216425702817"/>
    <x v="0"/>
    <s v="MECANICA"/>
    <x v="4"/>
    <x v="1"/>
    <n v="2"/>
    <n v="1"/>
    <d v="2018-08-23T00:00:00"/>
    <s v="S/MARCA"/>
    <s v="S/MODELO"/>
    <n v="0"/>
    <s v="F/Fecha"/>
    <n v="0"/>
    <x v="167"/>
  </r>
  <r>
    <d v="2018-08-25T00:00:00"/>
    <s v="001-00013332"/>
    <n v="249"/>
    <n v="55.20740099999999"/>
    <n v="0"/>
    <n v="0"/>
    <n v="0"/>
    <n v="0"/>
    <n v="0"/>
    <n v="0"/>
    <n v="55.20740099999999"/>
    <n v="193.792599"/>
    <n v="0.7782835301204819"/>
    <x v="0"/>
    <s v="MECANICA"/>
    <x v="4"/>
    <x v="1"/>
    <n v="1"/>
    <n v="1"/>
    <d v="2018-08-24T00:00:00"/>
    <s v="VW"/>
    <s v="GOL"/>
    <n v="0"/>
    <d v="2018-08-25T00:00:00"/>
    <n v="0"/>
    <x v="775"/>
  </r>
  <r>
    <d v="2018-08-31T00:00:00"/>
    <s v="001-00013339"/>
    <n v="279.12464784427038"/>
    <n v="196.17119999999994"/>
    <n v="0"/>
    <n v="0"/>
    <n v="0"/>
    <n v="0"/>
    <n v="0"/>
    <n v="0"/>
    <n v="196.17119999999994"/>
    <n v="82.953447844270443"/>
    <n v="0.29719141066521632"/>
    <x v="0"/>
    <s v="LEVE"/>
    <x v="4"/>
    <x v="1"/>
    <n v="7"/>
    <n v="1"/>
    <d v="2018-08-24T00:00:00"/>
    <s v="CHEVROLET"/>
    <s v="PRISMA"/>
    <n v="0"/>
    <d v="2018-08-28T00:00:00"/>
    <n v="0"/>
    <x v="1098"/>
  </r>
  <r>
    <d v="2018-08-27T00:00:00"/>
    <s v="001-00013342"/>
    <n v="631"/>
    <n v="248.79921271000001"/>
    <n v="0"/>
    <n v="0"/>
    <n v="39.048749999999998"/>
    <n v="0"/>
    <n v="0"/>
    <n v="0"/>
    <n v="287.84796270999999"/>
    <n v="343.15203729000001"/>
    <n v="0.54382256305863708"/>
    <x v="0"/>
    <s v="MECANICA"/>
    <x v="4"/>
    <x v="1"/>
    <n v="2"/>
    <n v="1"/>
    <d v="2018-08-25T00:00:00"/>
    <s v="SUZUKI"/>
    <s v="SWIFT"/>
    <n v="0"/>
    <d v="2018-08-27T00:00:00"/>
    <n v="0"/>
    <x v="1144"/>
  </r>
  <r>
    <d v="2018-08-27T00:00:00"/>
    <s v="001-00013344"/>
    <n v="426.62710200000004"/>
    <n v="136.247602"/>
    <n v="0"/>
    <n v="0"/>
    <n v="39.048749999999998"/>
    <n v="0"/>
    <n v="0"/>
    <n v="0"/>
    <n v="175.29635200000001"/>
    <n v="251.33075000000002"/>
    <n v="0.58911107339823898"/>
    <x v="0"/>
    <s v="MECANICA"/>
    <x v="4"/>
    <x v="1"/>
    <n v="2"/>
    <n v="1"/>
    <d v="2018-08-25T00:00:00"/>
    <s v="HYUNDAI"/>
    <s v="ELANTRA"/>
    <n v="120.25"/>
    <d v="2018-08-27T00:00:00"/>
    <n v="0"/>
    <x v="1109"/>
  </r>
  <r>
    <d v="2018-08-29T00:00:00"/>
    <s v="001-00013351"/>
    <n v="306.77968999999996"/>
    <n v="61.49845114999998"/>
    <n v="0"/>
    <n v="0"/>
    <n v="39.048749999999998"/>
    <n v="0"/>
    <n v="0"/>
    <n v="0"/>
    <n v="100.54720114999998"/>
    <n v="206.23248884999998"/>
    <n v="0.6722494857791923"/>
    <x v="0"/>
    <s v="LEVE"/>
    <x v="4"/>
    <x v="1"/>
    <n v="2"/>
    <n v="1"/>
    <d v="2018-08-27T00:00:00"/>
    <s v="HYUNDAI"/>
    <s v="SANTA FE"/>
    <n v="0"/>
    <d v="2018-08-27T00:00:00"/>
    <n v="0"/>
    <x v="1145"/>
  </r>
  <r>
    <d v="2018-08-28T00:00:00"/>
    <s v="001-00013359"/>
    <n v="574"/>
    <n v="189.17450091999999"/>
    <n v="0"/>
    <n v="0"/>
    <n v="78.097499999999997"/>
    <n v="0"/>
    <n v="0"/>
    <n v="0"/>
    <n v="267.27200091999998"/>
    <n v="306.72799908000002"/>
    <n v="0.53436933637630668"/>
    <x v="0"/>
    <s v="MECANICA"/>
    <x v="4"/>
    <x v="1"/>
    <n v="2"/>
    <n v="1"/>
    <d v="2018-08-26T00:00:00"/>
    <s v="KIA"/>
    <s v="CERATO"/>
    <n v="225.19249999999997"/>
    <d v="2018-08-28T00:00:00"/>
    <n v="0"/>
    <x v="414"/>
  </r>
  <r>
    <d v="2018-08-29T00:00:00"/>
    <s v="001-00013361"/>
    <n v="150"/>
    <n v="0"/>
    <n v="0"/>
    <n v="50.85"/>
    <n v="0"/>
    <n v="0"/>
    <n v="0"/>
    <n v="0"/>
    <n v="50.85"/>
    <n v="99.15"/>
    <n v="0.66100000000000003"/>
    <x v="0"/>
    <s v="MECANICA"/>
    <x v="4"/>
    <x v="1"/>
    <n v="3"/>
    <n v="1"/>
    <d v="2018-08-26T00:00:00"/>
    <s v="FORD"/>
    <s v="ECOSPORT"/>
    <n v="0"/>
    <d v="2018-08-28T00:00:00"/>
    <n v="0"/>
    <x v="1146"/>
  </r>
  <r>
    <d v="2018-08-31T00:00:00"/>
    <s v="001-00013362"/>
    <n v="493.59765001525011"/>
    <n v="0"/>
    <n v="0"/>
    <n v="0"/>
    <n v="0"/>
    <n v="51.1875"/>
    <n v="92.966250000000002"/>
    <n v="0"/>
    <n v="144.15375"/>
    <n v="349.44390001525011"/>
    <n v="0.70795292482541949"/>
    <x v="0"/>
    <s v="LEVE"/>
    <x v="4"/>
    <x v="1"/>
    <n v="5"/>
    <n v="1"/>
    <d v="2018-08-26T00:00:00"/>
    <s v="CHANGAN"/>
    <s v="CS15"/>
    <n v="0"/>
    <d v="2018-08-28T00:00:00"/>
    <n v="3.5"/>
    <x v="1147"/>
  </r>
  <r>
    <d v="2018-08-29T00:00:00"/>
    <s v="001-00013367"/>
    <n v="306.62710200000004"/>
    <n v="99.010403099999991"/>
    <n v="0"/>
    <n v="0"/>
    <n v="0"/>
    <n v="0"/>
    <n v="0"/>
    <n v="0"/>
    <n v="99.010403099999991"/>
    <n v="207.61669890000005"/>
    <n v="0.67709833066223879"/>
    <x v="0"/>
    <s v="MECANICA"/>
    <x v="4"/>
    <x v="1"/>
    <n v="2"/>
    <n v="1"/>
    <d v="2018-08-27T00:00:00"/>
    <s v="SUZUKI"/>
    <s v="CELERIO"/>
    <n v="0"/>
    <d v="2018-08-29T00:00:00"/>
    <n v="0"/>
    <x v="204"/>
  </r>
  <r>
    <d v="2018-08-29T00:00:00"/>
    <s v="001-00013368"/>
    <n v="186"/>
    <n v="131"/>
    <n v="0"/>
    <n v="0"/>
    <n v="39.048749999999998"/>
    <n v="0"/>
    <n v="0"/>
    <n v="0"/>
    <n v="170.04874999999998"/>
    <n v="15.951250000000016"/>
    <n v="8.5759408602150616E-2"/>
    <x v="0"/>
    <s v="MECANICA"/>
    <x v="4"/>
    <x v="1"/>
    <n v="2"/>
    <n v="1"/>
    <d v="2018-08-27T00:00:00"/>
    <s v="HYUNDAI"/>
    <s v="ACCENT"/>
    <n v="171.5025"/>
    <d v="2018-08-29T00:00:00"/>
    <n v="0"/>
    <x v="195"/>
  </r>
  <r>
    <d v="2018-08-31T00:00:00"/>
    <s v="001-00013379"/>
    <n v="206.62710200000001"/>
    <n v="63.954251749999983"/>
    <n v="0"/>
    <n v="0"/>
    <n v="39.048749999999998"/>
    <n v="0"/>
    <n v="0"/>
    <n v="0"/>
    <n v="103.00300174999998"/>
    <n v="103.62410025000003"/>
    <n v="0.5015029453880645"/>
    <x v="0"/>
    <s v="MECANICA"/>
    <x v="4"/>
    <x v="1"/>
    <n v="0"/>
    <n v="1"/>
    <d v="2018-08-31T00:00:00"/>
    <s v="NISSAN"/>
    <s v="VERSA"/>
    <n v="0"/>
    <d v="2018-08-31T00:00:00"/>
    <n v="0"/>
    <x v="1148"/>
  </r>
  <r>
    <d v="2018-08-31T00:00:00"/>
    <s v="001-00013380"/>
    <n v="494.10169999999999"/>
    <n v="129.39360005"/>
    <n v="0"/>
    <n v="0"/>
    <n v="39.048749999999998"/>
    <n v="0"/>
    <n v="0"/>
    <n v="0"/>
    <n v="168.44235005000002"/>
    <n v="325.65934994999998"/>
    <n v="0.65909376541307185"/>
    <x v="0"/>
    <s v="MECANICA"/>
    <x v="4"/>
    <x v="1"/>
    <n v="0"/>
    <n v="1"/>
    <d v="2018-08-31T00:00:00"/>
    <s v="MAZDA"/>
    <s v="MAZDA 5"/>
    <n v="0"/>
    <d v="2018-08-31T00:00:00"/>
    <n v="0"/>
    <x v="707"/>
  </r>
  <r>
    <d v="2018-09-25T00:00:00"/>
    <s v="001-00010375"/>
    <n v="422.17626329999996"/>
    <n v="0"/>
    <n v="0"/>
    <n v="0"/>
    <n v="0"/>
    <n v="58.5"/>
    <n v="30.98875"/>
    <n v="0"/>
    <n v="89.488749999999996"/>
    <n v="332.68751329999998"/>
    <n v="0.78802988756284253"/>
    <x v="1"/>
    <s v="LEVE"/>
    <x v="5"/>
    <x v="1"/>
    <n v="377"/>
    <n v="1"/>
    <d v="2017-09-13T00:00:00"/>
    <s v="CITROEN"/>
    <s v="BERLINGO"/>
    <n v="3307.395"/>
    <d v="2018-09-13T00:00:00"/>
    <n v="4"/>
    <x v="1"/>
  </r>
  <r>
    <d v="2018-09-01T00:00:00"/>
    <s v="001-00012142"/>
    <n v="6472.7035645999986"/>
    <n v="6.9162001800000006"/>
    <n v="0"/>
    <n v="451.52711864406774"/>
    <n v="78.536249999999995"/>
    <n v="833.625"/>
    <n v="681.75250000000005"/>
    <n v="0"/>
    <n v="2052.3570688240679"/>
    <n v="4420.3464957759306"/>
    <n v="0.68292120157507941"/>
    <x v="1"/>
    <s v="GRAVE"/>
    <x v="5"/>
    <x v="1"/>
    <n v="135"/>
    <n v="1"/>
    <d v="2018-04-19T00:00:00"/>
    <s v="KIA"/>
    <s v="RIO"/>
    <n v="15821.91"/>
    <d v="2018-04-27T00:00:00"/>
    <n v="57"/>
    <x v="1"/>
  </r>
  <r>
    <d v="2018-09-25T00:00:00"/>
    <s v="001-00012238"/>
    <n v="1394.305803"/>
    <n v="0"/>
    <n v="0"/>
    <n v="0"/>
    <n v="0"/>
    <n v="117"/>
    <n v="250.38909999999998"/>
    <n v="0"/>
    <n v="367.38909999999998"/>
    <n v="1026.9167029999999"/>
    <n v="0.73650751563285277"/>
    <x v="1"/>
    <s v="MEDIANO"/>
    <x v="5"/>
    <x v="1"/>
    <n v="145"/>
    <n v="1"/>
    <d v="2018-05-03T00:00:00"/>
    <s v="BAIC"/>
    <s v="X35"/>
    <n v="6457.75"/>
    <d v="2018-05-05T00:00:00"/>
    <n v="8"/>
    <x v="922"/>
  </r>
  <r>
    <d v="2018-09-28T00:00:00"/>
    <s v="001-00012269"/>
    <n v="3988.4845707899999"/>
    <n v="0.84660000000000024"/>
    <n v="8.4700000000000006"/>
    <n v="118.08474576271186"/>
    <n v="32.175000000000004"/>
    <n v="585"/>
    <n v="536.10537499999998"/>
    <n v="0"/>
    <n v="1280.6817207627118"/>
    <n v="2707.8028500272881"/>
    <n v="0.67890518365248509"/>
    <x v="1"/>
    <s v="GRAVE"/>
    <x v="5"/>
    <x v="1"/>
    <n v="143"/>
    <n v="1"/>
    <d v="2018-05-08T00:00:00"/>
    <s v="SUZUKI"/>
    <s v="CIAZ"/>
    <n v="10985.584999999999"/>
    <d v="2018-05-10T00:00:00"/>
    <n v="40"/>
    <x v="930"/>
  </r>
  <r>
    <d v="2018-09-05T00:00:00"/>
    <s v="001-00012612"/>
    <n v="1780.8293247203399"/>
    <n v="0"/>
    <n v="0"/>
    <n v="0"/>
    <n v="0"/>
    <n v="14.625"/>
    <n v="61.977499999999999"/>
    <n v="0"/>
    <n v="76.602499999999992"/>
    <n v="1704.2268247203399"/>
    <n v="0.9569849289111243"/>
    <x v="1"/>
    <s v="MEDIANO"/>
    <x v="5"/>
    <x v="1"/>
    <n v="84"/>
    <n v="1"/>
    <d v="2018-06-13T00:00:00"/>
    <s v="KIA"/>
    <s v="CERATO"/>
    <n v="793.87750000000005"/>
    <d v="2018-06-14T00:00:00"/>
    <n v="1"/>
    <x v="1"/>
  </r>
  <r>
    <d v="2018-09-03T00:00:00"/>
    <s v="001-00012692"/>
    <n v="2029.1039384000001"/>
    <n v="6.0859002000000002"/>
    <n v="0"/>
    <n v="84.75"/>
    <n v="23.400000000000002"/>
    <n v="117"/>
    <n v="309.88749999999999"/>
    <n v="0"/>
    <n v="541.12340019999999"/>
    <n v="1487.9805382"/>
    <n v="0.73331903311631752"/>
    <x v="1"/>
    <s v="MEDIANO"/>
    <x v="5"/>
    <x v="1"/>
    <n v="73"/>
    <n v="1"/>
    <d v="2018-06-22T00:00:00"/>
    <s v="TOYOTA"/>
    <s v="COROLLA"/>
    <n v="5084.43"/>
    <d v="2018-08-21T00:00:00"/>
    <n v="8"/>
    <x v="1"/>
  </r>
  <r>
    <d v="2018-09-04T00:00:00"/>
    <s v="001-00012718"/>
    <n v="3116.6793770850809"/>
    <n v="0"/>
    <n v="0"/>
    <n v="151.48305084745763"/>
    <n v="0"/>
    <n v="351"/>
    <n v="371.86500000000001"/>
    <n v="0"/>
    <n v="874.34805084745767"/>
    <n v="2242.3313262376232"/>
    <n v="0.7194616625386715"/>
    <x v="1"/>
    <s v="MEDIANO"/>
    <x v="5"/>
    <x v="1"/>
    <n v="71"/>
    <n v="1"/>
    <d v="2018-06-25T00:00:00"/>
    <s v="TOYOTA"/>
    <s v="RAV 4"/>
    <n v="8079.5325000000012"/>
    <d v="2018-06-30T00:00:00"/>
    <n v="24"/>
    <x v="1"/>
  </r>
  <r>
    <d v="2018-09-04T00:00:00"/>
    <s v="001-00012799"/>
    <n v="5109.314845500001"/>
    <n v="602.37907999999993"/>
    <n v="0"/>
    <n v="33.9"/>
    <n v="0"/>
    <n v="219.375"/>
    <n v="929.66250000000002"/>
    <n v="0"/>
    <n v="1785.3165799999999"/>
    <n v="3323.9982655000013"/>
    <n v="0.65057612733096559"/>
    <x v="0"/>
    <s v="MEDIANO"/>
    <x v="5"/>
    <x v="1"/>
    <n v="62"/>
    <n v="1"/>
    <d v="2018-07-04T00:00:00"/>
    <s v="TOYOTA"/>
    <s v="RAV 4"/>
    <n v="633.75"/>
    <d v="2018-07-04T00:00:00"/>
    <n v="15"/>
    <x v="1149"/>
  </r>
  <r>
    <d v="2018-09-08T00:00:00"/>
    <s v="001-00012840"/>
    <n v="2180.3827150000002"/>
    <n v="5.4759001999999999"/>
    <n v="0"/>
    <n v="99.75"/>
    <n v="49.724999999999994"/>
    <n v="190.125"/>
    <n v="263.40437500000002"/>
    <n v="0"/>
    <n v="608.48027520000005"/>
    <n v="1571.9024398000001"/>
    <n v="0.72092960056326627"/>
    <x v="1"/>
    <s v="MEDIANO"/>
    <x v="5"/>
    <x v="1"/>
    <n v="61"/>
    <n v="1"/>
    <d v="2018-07-09T00:00:00"/>
    <s v="NISSAN"/>
    <s v="NP300"/>
    <n v="7211.3274999999994"/>
    <d v="2018-07-27T00:00:00"/>
    <n v="13"/>
    <x v="999"/>
  </r>
  <r>
    <d v="2018-09-26T00:00:00"/>
    <s v="001-00012852"/>
    <n v="3762.0319541999997"/>
    <n v="0.50830001000000002"/>
    <n v="0"/>
    <n v="105.08474576271186"/>
    <n v="99.449999999999989"/>
    <n v="468"/>
    <n v="418.34812499999998"/>
    <n v="0"/>
    <n v="1091.3911707727118"/>
    <n v="2670.6407834272877"/>
    <n v="0.70989316835699301"/>
    <x v="1"/>
    <s v="GRAVE"/>
    <x v="5"/>
    <x v="1"/>
    <n v="79"/>
    <n v="1"/>
    <d v="2018-07-09T00:00:00"/>
    <s v="NISSAN"/>
    <s v="VERSA"/>
    <n v="8842.5025000000023"/>
    <d v="2018-07-11T00:00:00"/>
    <n v="32"/>
    <x v="1"/>
  </r>
  <r>
    <d v="2018-09-22T00:00:00"/>
    <s v="001-00012906"/>
    <n v="751.780690628"/>
    <n v="0"/>
    <n v="0"/>
    <n v="0"/>
    <n v="0"/>
    <n v="117"/>
    <n v="167.33925000000002"/>
    <n v="0"/>
    <n v="284.33924999999999"/>
    <n v="467.44144062800001"/>
    <n v="0.62177899280376936"/>
    <x v="1"/>
    <s v="MEDIANO"/>
    <x v="5"/>
    <x v="1"/>
    <n v="70"/>
    <n v="1"/>
    <d v="2018-07-14T00:00:00"/>
    <s v="NISSAN"/>
    <s v="MARCH"/>
    <n v="4671.5824999999995"/>
    <d v="2018-07-16T00:00:00"/>
    <n v="8"/>
    <x v="1065"/>
  </r>
  <r>
    <d v="2018-09-14T00:00:00"/>
    <s v="001-00012933"/>
    <n v="483.05500582499985"/>
    <n v="0"/>
    <n v="0"/>
    <n v="0"/>
    <n v="0"/>
    <n v="73.125"/>
    <n v="91.726700000000008"/>
    <n v="0"/>
    <n v="164.85169999999999"/>
    <n v="318.20330582499986"/>
    <n v="0.65873099748039432"/>
    <x v="1"/>
    <s v="MEDIANO"/>
    <x v="5"/>
    <x v="1"/>
    <n v="59"/>
    <n v="1"/>
    <d v="2018-07-17T00:00:00"/>
    <s v="NISSAN"/>
    <s v="NP300"/>
    <n v="426.92000000000007"/>
    <d v="2018-07-18T00:00:00"/>
    <n v="5"/>
    <x v="1071"/>
  </r>
  <r>
    <d v="2018-09-21T00:00:00"/>
    <s v="001-00012939"/>
    <n v="3254.6388929999998"/>
    <n v="0.61"/>
    <n v="0"/>
    <n v="114.40677966101696"/>
    <n v="0"/>
    <n v="409.5"/>
    <n v="387.359375"/>
    <n v="0"/>
    <n v="911.87615466101693"/>
    <n v="2342.7627383389827"/>
    <n v="0.71982263328129614"/>
    <x v="1"/>
    <s v="GRAVE"/>
    <x v="5"/>
    <x v="1"/>
    <n v="66"/>
    <n v="1"/>
    <d v="2018-07-17T00:00:00"/>
    <s v="FORD"/>
    <s v="FIESTA"/>
    <n v="11528.855"/>
    <d v="2018-07-20T00:00:00"/>
    <n v="28"/>
    <x v="1"/>
  </r>
  <r>
    <d v="2018-09-07T00:00:00"/>
    <s v="001-00013027"/>
    <n v="580.94384130169124"/>
    <n v="0"/>
    <n v="0"/>
    <n v="181.54796610169493"/>
    <n v="17.549999999999997"/>
    <n v="146.25"/>
    <n v="247.91"/>
    <n v="0"/>
    <n v="593.25796610169493"/>
    <n v="-12.314124800003697"/>
    <n v="-2.1196755907442043E-2"/>
    <x v="1"/>
    <s v="MEDIANO"/>
    <x v="5"/>
    <x v="1"/>
    <n v="44"/>
    <n v="1"/>
    <d v="2018-07-25T00:00:00"/>
    <s v="SUZUKI"/>
    <s v="GRAND N."/>
    <n v="4695.6324999999997"/>
    <d v="2018-07-26T00:00:00"/>
    <n v="10"/>
    <x v="1"/>
  </r>
  <r>
    <d v="2018-09-13T00:00:00"/>
    <s v="001-00013080"/>
    <n v="1141.5450596703397"/>
    <n v="0"/>
    <n v="0"/>
    <n v="20"/>
    <n v="0"/>
    <n v="102.375"/>
    <n v="214.44215000000003"/>
    <n v="0"/>
    <n v="336.81715000000003"/>
    <n v="804.72790967033961"/>
    <n v="0.70494625056914739"/>
    <x v="1"/>
    <s v="MEDIANO"/>
    <x v="5"/>
    <x v="1"/>
    <n v="45"/>
    <n v="1"/>
    <d v="2018-07-30T00:00:00"/>
    <s v="HYUNDAI"/>
    <s v="I10"/>
    <n v="555.45749999999998"/>
    <d v="2018-07-31T00:00:00"/>
    <n v="7"/>
    <x v="1101"/>
  </r>
  <r>
    <d v="2018-09-03T00:00:00"/>
    <s v="001-00013082"/>
    <n v="1891.593310314579"/>
    <n v="1.01660002"/>
    <n v="0"/>
    <n v="20"/>
    <n v="43.875"/>
    <n v="204.75"/>
    <n v="247.91"/>
    <n v="0"/>
    <n v="517.55160002000002"/>
    <n v="1374.0417102945789"/>
    <n v="0.72639383042968719"/>
    <x v="1"/>
    <s v="MEDIANO"/>
    <x v="5"/>
    <x v="1"/>
    <n v="35"/>
    <n v="1"/>
    <d v="2018-07-30T00:00:00"/>
    <s v="KIA"/>
    <s v="RIO"/>
    <n v="1929.0049999999999"/>
    <d v="2018-07-31T00:00:00"/>
    <n v="14"/>
    <x v="1"/>
  </r>
  <r>
    <d v="2018-09-06T00:00:00"/>
    <s v="001-00013121"/>
    <n v="1024.27829132034"/>
    <n v="0"/>
    <n v="0"/>
    <n v="0"/>
    <n v="0"/>
    <n v="102.375"/>
    <n v="198.328"/>
    <n v="0"/>
    <n v="300.70299999999997"/>
    <n v="723.57529132034006"/>
    <n v="0.70642451124061167"/>
    <x v="1"/>
    <s v="LEVE"/>
    <x v="5"/>
    <x v="1"/>
    <n v="34"/>
    <n v="1"/>
    <d v="2018-08-03T00:00:00"/>
    <s v="BMW"/>
    <s v="X5"/>
    <n v="5436.2750000000005"/>
    <d v="2018-08-06T00:00:00"/>
    <n v="7"/>
    <x v="1150"/>
  </r>
  <r>
    <d v="2018-09-03T00:00:00"/>
    <s v="001-00013142"/>
    <n v="3278.0045658855902"/>
    <n v="5.4759001999999999"/>
    <n v="0"/>
    <n v="210.68474576271186"/>
    <n v="0"/>
    <n v="292.5"/>
    <n v="371.245225"/>
    <n v="0"/>
    <n v="879.9058709627119"/>
    <n v="2398.0986949228782"/>
    <n v="0.73157271343671981"/>
    <x v="1"/>
    <s v="MEDIANO"/>
    <x v="5"/>
    <x v="1"/>
    <n v="28"/>
    <n v="1"/>
    <d v="2018-08-06T00:00:00"/>
    <s v="HYUNDAI"/>
    <s v="CRETA"/>
    <n v="11156.795"/>
    <d v="2018-08-09T00:00:00"/>
    <n v="20"/>
    <x v="1"/>
  </r>
  <r>
    <d v="2018-09-04T00:00:00"/>
    <s v="001-00013149"/>
    <n v="2028.2558588077979"/>
    <n v="5.4759001999999999"/>
    <n v="0"/>
    <n v="84.75"/>
    <n v="0"/>
    <n v="321.75"/>
    <n v="376.82319999999999"/>
    <n v="0"/>
    <n v="788.7991002"/>
    <n v="1239.4567586077978"/>
    <n v="0.61109487406403762"/>
    <x v="1"/>
    <s v="MEDIANO"/>
    <x v="5"/>
    <x v="1"/>
    <n v="29"/>
    <n v="1"/>
    <d v="2018-08-06T00:00:00"/>
    <s v="TOYOTA"/>
    <s v="ETIOS"/>
    <n v="11249.484999999999"/>
    <d v="2018-08-09T00:00:00"/>
    <n v="22"/>
    <x v="1151"/>
  </r>
  <r>
    <d v="2018-09-04T00:00:00"/>
    <s v="001-00013180"/>
    <n v="1285.2459998355901"/>
    <n v="0"/>
    <n v="0"/>
    <n v="0"/>
    <n v="0"/>
    <n v="73.125"/>
    <n v="261.54505"/>
    <n v="0"/>
    <n v="334.67005"/>
    <n v="950.57594983559011"/>
    <n v="0.73960623099172351"/>
    <x v="1"/>
    <s v="MEDIANO"/>
    <x v="5"/>
    <x v="1"/>
    <n v="26"/>
    <n v="1"/>
    <d v="2018-08-09T00:00:00"/>
    <s v="SUZUKI"/>
    <s v="ERTIGA"/>
    <n v="0"/>
    <d v="2018-08-10T00:00:00"/>
    <n v="5"/>
    <x v="1"/>
  </r>
  <r>
    <d v="2018-09-05T00:00:00"/>
    <s v="001-00013201"/>
    <n v="663.00001999999995"/>
    <n v="0"/>
    <n v="0"/>
    <n v="20"/>
    <n v="0"/>
    <n v="146.25"/>
    <n v="201.426875"/>
    <n v="0"/>
    <n v="367.676875"/>
    <n v="295.32314499999995"/>
    <n v="0.4454345944061962"/>
    <x v="1"/>
    <s v="MEDIANO"/>
    <x v="5"/>
    <x v="1"/>
    <n v="26"/>
    <n v="1"/>
    <d v="2018-08-10T00:00:00"/>
    <s v="CHEVROLET"/>
    <s v="N300"/>
    <n v="739.47249999999997"/>
    <d v="2018-08-11T00:00:00"/>
    <n v="10"/>
    <x v="1"/>
  </r>
  <r>
    <d v="2018-09-03T00:00:00"/>
    <s v="001-00013212"/>
    <n v="2236.6259321000002"/>
    <n v="0"/>
    <n v="0"/>
    <n v="20"/>
    <n v="0"/>
    <n v="175.5"/>
    <n v="371.86500000000001"/>
    <n v="0"/>
    <n v="567.36500000000001"/>
    <n v="1669.2609321000002"/>
    <n v="0.74632995537734248"/>
    <x v="1"/>
    <s v="MEDIANO"/>
    <x v="5"/>
    <x v="1"/>
    <n v="23"/>
    <n v="1"/>
    <d v="2018-08-11T00:00:00"/>
    <s v="KIA"/>
    <s v="CERATO"/>
    <n v="53.332500000000003"/>
    <d v="2018-08-14T00:00:00"/>
    <n v="12"/>
    <x v="1"/>
  </r>
  <r>
    <d v="2018-09-04T00:00:00"/>
    <s v="001-00013226"/>
    <n v="1366.9120316661001"/>
    <n v="0"/>
    <n v="0"/>
    <n v="76.27"/>
    <n v="0"/>
    <n v="102.375"/>
    <n v="185.9325"/>
    <n v="0"/>
    <n v="364.57749999999999"/>
    <n v="1002.3345316661001"/>
    <n v="0.73328386058931372"/>
    <x v="1"/>
    <s v="MEDIANO"/>
    <x v="5"/>
    <x v="1"/>
    <n v="22"/>
    <n v="1"/>
    <d v="2018-08-13T00:00:00"/>
    <s v="SUZUKI"/>
    <s v="ERTIGA"/>
    <n v="0"/>
    <d v="2018-08-10T00:00:00"/>
    <n v="7"/>
    <x v="1"/>
  </r>
  <r>
    <d v="2018-09-03T00:00:00"/>
    <s v="001-00013228"/>
    <n v="449"/>
    <n v="119.18840109999999"/>
    <n v="0"/>
    <n v="0"/>
    <n v="39.048749999999998"/>
    <n v="0"/>
    <n v="0"/>
    <n v="0"/>
    <n v="158.23715110000001"/>
    <n v="290.76284889999999"/>
    <n v="0.64757872806236083"/>
    <x v="0"/>
    <s v="MECANICA"/>
    <x v="5"/>
    <x v="1"/>
    <n v="23"/>
    <n v="1"/>
    <d v="2018-08-11T00:00:00"/>
    <s v="KIA"/>
    <s v="CERATO"/>
    <n v="0"/>
    <d v="2018-08-13T00:00:00"/>
    <n v="0"/>
    <x v="1152"/>
  </r>
  <r>
    <d v="2018-09-06T00:00:00"/>
    <s v="001-00013231"/>
    <n v="1747.243661894579"/>
    <n v="0"/>
    <n v="0"/>
    <n v="63.56"/>
    <n v="0"/>
    <n v="146.25"/>
    <n v="284.47672499999999"/>
    <n v="0"/>
    <n v="494.28672499999999"/>
    <n v="1252.956936894579"/>
    <n v="0.7171048687828504"/>
    <x v="1"/>
    <s v="MEDIANO"/>
    <x v="5"/>
    <x v="1"/>
    <n v="23"/>
    <n v="1"/>
    <d v="2018-08-14T00:00:00"/>
    <s v="NISSAN"/>
    <s v="VERSA"/>
    <n v="4238.1949999999997"/>
    <d v="2018-08-14T00:00:00"/>
    <n v="10"/>
    <x v="1"/>
  </r>
  <r>
    <d v="2018-09-07T00:00:00"/>
    <s v="001-00013244"/>
    <n v="1042.9019737872893"/>
    <n v="0"/>
    <n v="0"/>
    <n v="18"/>
    <n v="0"/>
    <n v="146.25"/>
    <n v="154.94374999999999"/>
    <n v="0"/>
    <n v="319.19375000000002"/>
    <n v="723.70822378728928"/>
    <n v="0.69393695858024818"/>
    <x v="1"/>
    <s v="MEDIANO"/>
    <x v="5"/>
    <x v="1"/>
    <n v="24"/>
    <n v="1"/>
    <d v="2018-08-14T00:00:00"/>
    <s v="SSANYONG"/>
    <s v="KORANDO"/>
    <n v="1340.4949999999999"/>
    <d v="2018-08-16T00:00:00"/>
    <n v="10"/>
    <x v="1132"/>
  </r>
  <r>
    <d v="2018-09-05T00:00:00"/>
    <s v="001-00013260"/>
    <n v="1413.70698664576"/>
    <n v="3.9571000199999999"/>
    <n v="0"/>
    <n v="0"/>
    <n v="0"/>
    <n v="175.5"/>
    <n v="198.94777500000001"/>
    <n v="0"/>
    <n v="378.40487502000002"/>
    <n v="1035.3021116257601"/>
    <n v="0.73233146713250352"/>
    <x v="1"/>
    <s v="MEDIANO"/>
    <x v="5"/>
    <x v="1"/>
    <n v="20"/>
    <n v="1"/>
    <d v="2018-08-16T00:00:00"/>
    <s v="NISSAN"/>
    <s v="SENTRA"/>
    <n v="553.11749999999995"/>
    <d v="2018-08-17T00:00:00"/>
    <n v="12"/>
    <x v="1"/>
  </r>
  <r>
    <d v="2018-09-28T00:00:00"/>
    <s v="001-00013262"/>
    <n v="176.5704528"/>
    <n v="0"/>
    <n v="0"/>
    <n v="0"/>
    <n v="0"/>
    <n v="8.7749999999999986"/>
    <n v="15.494375"/>
    <n v="0"/>
    <n v="24.269374999999997"/>
    <n v="152.3010778"/>
    <n v="0.86255132376259047"/>
    <x v="1"/>
    <s v="LEVE"/>
    <x v="5"/>
    <x v="1"/>
    <n v="43"/>
    <n v="1"/>
    <d v="2018-08-16T00:00:00"/>
    <s v="NISSAN"/>
    <s v="X-TRAIL"/>
    <n v="1311.115"/>
    <d v="2018-08-17T00:00:00"/>
    <n v="0.6"/>
    <x v="1"/>
  </r>
  <r>
    <d v="2018-09-11T00:00:00"/>
    <s v="001-00013267"/>
    <n v="818.3495669898299"/>
    <n v="0"/>
    <n v="0"/>
    <n v="0"/>
    <n v="0"/>
    <n v="73.125"/>
    <n v="118.37702499999999"/>
    <n v="0"/>
    <n v="191.502025"/>
    <n v="626.84754198982989"/>
    <n v="0.7659899476645291"/>
    <x v="1"/>
    <s v="LEVE"/>
    <x v="5"/>
    <x v="1"/>
    <n v="25"/>
    <n v="1"/>
    <d v="2018-08-17T00:00:00"/>
    <s v="FORD"/>
    <s v="FIESTA"/>
    <n v="2380.17"/>
    <d v="2018-08-17T00:00:00"/>
    <n v="5"/>
    <x v="1"/>
  </r>
  <r>
    <d v="2018-09-14T00:00:00"/>
    <s v="001-00013271"/>
    <n v="2742.3077482499993"/>
    <n v="5.4759001999999999"/>
    <n v="0"/>
    <n v="116.7"/>
    <n v="13.1625"/>
    <n v="292.5"/>
    <n v="325.38187500000004"/>
    <n v="0"/>
    <n v="753.22027520000006"/>
    <n v="1989.0874730499993"/>
    <n v="0.72533342558629066"/>
    <x v="1"/>
    <s v="MEDIANO"/>
    <x v="5"/>
    <x v="1"/>
    <n v="28"/>
    <n v="1"/>
    <d v="2018-08-17T00:00:00"/>
    <s v="SUZUKI"/>
    <s v="VITARA"/>
    <n v="16728.205000000002"/>
    <d v="2018-08-18T00:00:00"/>
    <n v="20"/>
    <x v="1"/>
  </r>
  <r>
    <d v="2018-09-03T00:00:00"/>
    <s v="001-00013273"/>
    <n v="1380.8559576796599"/>
    <n v="0"/>
    <n v="0"/>
    <n v="96.27"/>
    <n v="0"/>
    <n v="117"/>
    <n v="195.84890000000001"/>
    <n v="0"/>
    <n v="409.1189"/>
    <n v="971.73705767965998"/>
    <n v="0.70372079888226113"/>
    <x v="1"/>
    <s v="MEDIANO"/>
    <x v="5"/>
    <x v="1"/>
    <n v="17"/>
    <n v="1"/>
    <d v="2018-08-17T00:00:00"/>
    <s v="GREAT W."/>
    <s v="VOLEEX"/>
    <n v="1296.75"/>
    <d v="2018-08-20T00:00:00"/>
    <n v="8"/>
    <x v="1153"/>
  </r>
  <r>
    <d v="2018-09-06T00:00:00"/>
    <s v="001-00013277"/>
    <n v="900.56547284999999"/>
    <n v="0.42369999999999997"/>
    <n v="0"/>
    <n v="0"/>
    <n v="0"/>
    <n v="102.375"/>
    <n v="154.94374999999999"/>
    <n v="0"/>
    <n v="257.74244999999996"/>
    <n v="642.82302285000003"/>
    <n v="0.71379932079304786"/>
    <x v="2"/>
    <s v="LEVE"/>
    <x v="5"/>
    <x v="1"/>
    <n v="19"/>
    <n v="1"/>
    <d v="2018-08-18T00:00:00"/>
    <s v="SUZUKI"/>
    <s v="SWIFT"/>
    <n v="1437.345"/>
    <d v="2018-08-20T00:00:00"/>
    <n v="7"/>
    <x v="2"/>
  </r>
  <r>
    <d v="2018-09-14T00:00:00"/>
    <s v="001-00013278"/>
    <n v="2094.75"/>
    <n v="1.5249999999999999"/>
    <n v="0"/>
    <n v="168.30508474576271"/>
    <n v="0"/>
    <n v="292.5"/>
    <n v="247.91"/>
    <n v="0"/>
    <n v="710.24008474576272"/>
    <n v="1384.5099152542373"/>
    <n v="0.66094279281739454"/>
    <x v="2"/>
    <s v="MEDIANO"/>
    <x v="5"/>
    <x v="1"/>
    <n v="27"/>
    <n v="1"/>
    <d v="2018-08-18T00:00:00"/>
    <s v="HYUNDAI"/>
    <s v="H1"/>
    <n v="1337.5375000000001"/>
    <d v="2018-08-20T00:00:00"/>
    <n v="20"/>
    <x v="1154"/>
  </r>
  <r>
    <d v="2018-09-01T00:00:00"/>
    <s v="001-00013279"/>
    <n v="1492.78371242"/>
    <n v="0.50849997999999996"/>
    <n v="0"/>
    <n v="20"/>
    <n v="11.700000000000001"/>
    <n v="146.25"/>
    <n v="201.426875"/>
    <n v="0"/>
    <n v="379.88537497999999"/>
    <n v="1112.89833744"/>
    <n v="0.74551881038134082"/>
    <x v="1"/>
    <s v="MEDIANO"/>
    <x v="5"/>
    <x v="1"/>
    <n v="14"/>
    <n v="1"/>
    <d v="2018-08-18T00:00:00"/>
    <s v="SUZUKI"/>
    <s v="CELERIO"/>
    <n v="584.80499999999995"/>
    <d v="2018-08-20T00:00:00"/>
    <n v="10"/>
    <x v="1"/>
  </r>
  <r>
    <d v="2018-09-04T00:00:00"/>
    <s v="001-00013281"/>
    <n v="1586.9677748818594"/>
    <n v="1.01660002"/>
    <n v="0"/>
    <n v="20"/>
    <n v="0"/>
    <n v="146.25"/>
    <n v="278.89875000000001"/>
    <n v="0"/>
    <n v="446.16535002000001"/>
    <n v="1140.8024248618594"/>
    <n v="0.71885670453943884"/>
    <x v="1"/>
    <s v="MEDIANO"/>
    <x v="5"/>
    <x v="1"/>
    <n v="15"/>
    <n v="1"/>
    <d v="2018-08-20T00:00:00"/>
    <s v="HYUNDAI"/>
    <s v="ACCENT"/>
    <n v="2243.54"/>
    <d v="2018-08-22T00:00:00"/>
    <n v="10"/>
    <x v="1"/>
  </r>
  <r>
    <d v="2018-09-12T00:00:00"/>
    <s v="001-00013285"/>
    <n v="1639.9326034481394"/>
    <n v="0"/>
    <n v="0"/>
    <n v="0"/>
    <n v="0"/>
    <n v="175.5"/>
    <n v="234.27494999999999"/>
    <n v="0"/>
    <n v="409.77494999999999"/>
    <n v="1230.1576534481394"/>
    <n v="0.75012695696249776"/>
    <x v="1"/>
    <s v="MEDIANO"/>
    <x v="5"/>
    <x v="1"/>
    <n v="23"/>
    <n v="1"/>
    <d v="2018-08-20T00:00:00"/>
    <s v="MITSUBISHI"/>
    <s v="ASX"/>
    <n v="399.29500000000002"/>
    <d v="2018-08-21T00:00:00"/>
    <n v="12"/>
    <x v="1155"/>
  </r>
  <r>
    <d v="2018-09-08T00:00:00"/>
    <s v="001-00013288"/>
    <n v="2039.9436925"/>
    <n v="5.4759001999999999"/>
    <n v="0"/>
    <n v="99.75"/>
    <n v="14.625"/>
    <n v="102.375"/>
    <n v="309.26772499999998"/>
    <n v="0"/>
    <n v="531.4936252"/>
    <n v="1508.4500673"/>
    <n v="0.73945671777408628"/>
    <x v="1"/>
    <s v="LEVE"/>
    <x v="5"/>
    <x v="1"/>
    <n v="19"/>
    <n v="1"/>
    <d v="2018-08-20T00:00:00"/>
    <s v="TOYOTA"/>
    <s v="RAV4"/>
    <n v="6657.69"/>
    <d v="2018-08-21T00:00:00"/>
    <n v="7"/>
    <x v="1"/>
  </r>
  <r>
    <d v="2018-09-03T00:00:00"/>
    <s v="001-00013290"/>
    <n v="220.69799330000001"/>
    <n v="0"/>
    <n v="0"/>
    <n v="0"/>
    <n v="0"/>
    <n v="0"/>
    <n v="30.98875"/>
    <n v="0"/>
    <n v="30.98875"/>
    <n v="189.7092433"/>
    <n v="0.85958753164612478"/>
    <x v="1"/>
    <s v="MEDIANO"/>
    <x v="5"/>
    <x v="1"/>
    <n v="14"/>
    <n v="1"/>
    <d v="2018-08-20T00:00:00"/>
    <s v="KIA"/>
    <s v="CERATO"/>
    <n v="1330.5825"/>
    <d v="2018-08-15T00:00:00"/>
    <n v="0"/>
    <x v="1"/>
  </r>
  <r>
    <d v="2018-09-04T00:00:00"/>
    <s v="001-00013291"/>
    <n v="1760.9212310587"/>
    <n v="0"/>
    <n v="0"/>
    <n v="20"/>
    <n v="5.8500000000000005"/>
    <n v="146.25"/>
    <n v="321.66322500000001"/>
    <n v="0"/>
    <n v="493.76322500000003"/>
    <n v="1267.1580060586998"/>
    <n v="0.71959948219652048"/>
    <x v="1"/>
    <s v="MEDIANO"/>
    <x v="5"/>
    <x v="1"/>
    <n v="15"/>
    <n v="1"/>
    <d v="2018-08-20T00:00:00"/>
    <s v="TOYOTA"/>
    <s v="AVANZA"/>
    <n v="574.37249999999995"/>
    <d v="2018-08-21T00:00:00"/>
    <n v="10"/>
    <x v="1137"/>
  </r>
  <r>
    <d v="2018-09-01T00:00:00"/>
    <s v="001-00013294"/>
    <n v="843.12937800000009"/>
    <n v="0"/>
    <n v="0"/>
    <n v="0"/>
    <n v="0"/>
    <n v="58.5"/>
    <n v="114.65837499999999"/>
    <n v="0"/>
    <n v="173.15837499999998"/>
    <n v="669.97100300000011"/>
    <n v="0.79462419467490086"/>
    <x v="1"/>
    <s v="LEVE"/>
    <x v="5"/>
    <x v="1"/>
    <n v="12"/>
    <n v="1"/>
    <d v="2018-08-20T00:00:00"/>
    <s v="JEEP"/>
    <s v="CHEROOKE"/>
    <n v="1137.0775000000001"/>
    <d v="2018-08-21T00:00:00"/>
    <n v="4"/>
    <x v="1"/>
  </r>
  <r>
    <d v="2018-09-05T00:00:00"/>
    <s v="001-00013298"/>
    <n v="331.50000999999997"/>
    <n v="0"/>
    <n v="0"/>
    <n v="20"/>
    <n v="0"/>
    <n v="58.5"/>
    <n v="123.955"/>
    <n v="0"/>
    <n v="202.45499999999998"/>
    <n v="129.04500999999999"/>
    <n v="0.38927603652259318"/>
    <x v="1"/>
    <s v="LEVE"/>
    <x v="5"/>
    <x v="1"/>
    <n v="16"/>
    <n v="1"/>
    <d v="2018-08-20T00:00:00"/>
    <s v="NISSAN"/>
    <s v="QASHQAI"/>
    <n v="795.50250000000005"/>
    <d v="2018-08-21T00:00:00"/>
    <n v="4"/>
    <x v="1"/>
  </r>
  <r>
    <d v="2018-09-29T00:00:00"/>
    <s v="001-00013299"/>
    <n v="1479.9956938"/>
    <n v="5.4759001999999999"/>
    <n v="0"/>
    <n v="117.94"/>
    <n v="23.400000000000002"/>
    <n v="117"/>
    <n v="254.72752500000001"/>
    <n v="0"/>
    <n v="518.5434252"/>
    <n v="961.45226860000002"/>
    <n v="0.64963180138139398"/>
    <x v="1"/>
    <s v="MEDIANO"/>
    <x v="5"/>
    <x v="1"/>
    <n v="40"/>
    <n v="1"/>
    <d v="2018-08-20T00:00:00"/>
    <s v="HYUNDAI"/>
    <s v="I20"/>
    <n v="4983.5174999999999"/>
    <d v="2018-08-21T00:00:00"/>
    <n v="8"/>
    <x v="1139"/>
  </r>
  <r>
    <d v="2018-09-21T00:00:00"/>
    <s v="001-00013304"/>
    <n v="1820.2856099999999"/>
    <n v="0"/>
    <n v="0"/>
    <n v="0"/>
    <n v="2.9250000000000003"/>
    <n v="146.25"/>
    <n v="259.06594999999999"/>
    <n v="0"/>
    <n v="408.24095"/>
    <n v="1412.04466"/>
    <n v="0.7757269805588366"/>
    <x v="1"/>
    <s v="MEDIANO"/>
    <x v="5"/>
    <x v="1"/>
    <n v="31"/>
    <n v="1"/>
    <d v="2018-08-21T00:00:00"/>
    <s v="MITSUBISHI"/>
    <s v="MIRAGE"/>
    <n v="4234.2950000000001"/>
    <d v="2018-08-22T00:00:00"/>
    <n v="10"/>
    <x v="1"/>
  </r>
  <r>
    <d v="2018-09-04T00:00:00"/>
    <s v="001-00013307"/>
    <n v="1516.5957760398298"/>
    <n v="0"/>
    <n v="0"/>
    <n v="55.084745762711869"/>
    <n v="0"/>
    <n v="146.25"/>
    <n v="216.92125000000001"/>
    <n v="0"/>
    <n v="418.2559957627119"/>
    <n v="1098.3397802771178"/>
    <n v="0.72421392544368557"/>
    <x v="1"/>
    <s v="MEDIANO"/>
    <x v="5"/>
    <x v="1"/>
    <n v="14"/>
    <n v="1"/>
    <d v="2018-08-21T00:00:00"/>
    <s v="HYUNDAI"/>
    <s v="H1"/>
    <n v="3229.1350000000002"/>
    <d v="2018-08-22T00:00:00"/>
    <n v="10"/>
    <x v="999"/>
  </r>
  <r>
    <d v="2018-09-13T00:00:00"/>
    <s v="001-00013308"/>
    <n v="739.48202219999996"/>
    <n v="2.7495000300000001"/>
    <n v="0"/>
    <n v="0"/>
    <n v="0"/>
    <n v="87.75"/>
    <n v="123.955"/>
    <n v="0"/>
    <n v="214.45450003000002"/>
    <n v="525.02752216999988"/>
    <n v="0.70999362581934577"/>
    <x v="0"/>
    <s v="LEVE"/>
    <x v="5"/>
    <x v="1"/>
    <n v="23"/>
    <n v="1"/>
    <d v="2018-08-21T00:00:00"/>
    <s v="NISSAN"/>
    <s v="VERSA"/>
    <n v="0"/>
    <d v="2018-08-23T00:00:00"/>
    <n v="6"/>
    <x v="146"/>
  </r>
  <r>
    <d v="2018-09-05T00:00:00"/>
    <s v="001-00013311"/>
    <n v="1244.1082665296599"/>
    <n v="0"/>
    <n v="0"/>
    <n v="73.084745762711862"/>
    <n v="0"/>
    <n v="73.125"/>
    <n v="154.94374999999999"/>
    <n v="0"/>
    <n v="301.15349576271183"/>
    <n v="942.95477076694806"/>
    <n v="0.7579362633746054"/>
    <x v="1"/>
    <s v="LEVE"/>
    <x v="5"/>
    <x v="1"/>
    <n v="14"/>
    <n v="1"/>
    <d v="2018-08-22T00:00:00"/>
    <s v="KIA"/>
    <s v="SPORTAGE"/>
    <n v="3844.5225"/>
    <d v="2018-08-23T00:00:00"/>
    <n v="5"/>
    <x v="1"/>
  </r>
  <r>
    <d v="2018-09-03T00:00:00"/>
    <s v="001-00013312"/>
    <n v="1571.2379523"/>
    <n v="5.4759001999999999"/>
    <n v="0"/>
    <n v="84.75"/>
    <n v="21.9375"/>
    <n v="146.25"/>
    <n v="154.94374999999999"/>
    <n v="0"/>
    <n v="413.35715019999998"/>
    <n v="1157.8808021"/>
    <n v="0.73692262868592118"/>
    <x v="1"/>
    <s v="MEDIANO"/>
    <x v="5"/>
    <x v="1"/>
    <n v="12"/>
    <n v="1"/>
    <d v="2018-08-22T00:00:00"/>
    <s v="HYUNDAI"/>
    <s v="H1"/>
    <n v="4368.6500000000005"/>
    <d v="2018-08-23T00:00:00"/>
    <n v="10"/>
    <x v="999"/>
  </r>
  <r>
    <d v="2018-09-21T00:00:00"/>
    <s v="001-00013313"/>
    <n v="8686"/>
    <n v="3867.1349344099995"/>
    <n v="305.08"/>
    <n v="449.16"/>
    <n v="0"/>
    <n v="0"/>
    <n v="0"/>
    <n v="0"/>
    <n v="4621.3749344099997"/>
    <n v="4064.6250655900003"/>
    <n v="0.46795130849527977"/>
    <x v="4"/>
    <s v="S/TIPO"/>
    <x v="5"/>
    <x v="1"/>
    <n v="31"/>
    <n v="1"/>
    <d v="2018-08-21T00:00:00"/>
    <s v="S/MARCA"/>
    <s v="S/MODELO"/>
    <n v="0"/>
    <s v="F/Fecha"/>
    <n v="0"/>
    <x v="871"/>
  </r>
  <r>
    <d v="2018-09-01T00:00:00"/>
    <s v="001-00013314"/>
    <n v="1632.7457999999999"/>
    <n v="1270.1479963000004"/>
    <n v="0"/>
    <n v="29.66"/>
    <n v="68.298749999999998"/>
    <n v="43.875"/>
    <n v="123.955"/>
    <n v="0"/>
    <n v="1535.9367463000003"/>
    <n v="96.809053699999595"/>
    <n v="5.9292177447340305E-2"/>
    <x v="0"/>
    <s v="MECANICA"/>
    <x v="5"/>
    <x v="1"/>
    <n v="11"/>
    <n v="1"/>
    <d v="2018-08-21T00:00:00"/>
    <s v="VW"/>
    <s v="GO"/>
    <n v="2274.9675000000002"/>
    <d v="2018-08-23T00:00:00"/>
    <n v="3"/>
    <x v="1142"/>
  </r>
  <r>
    <d v="2018-09-01T00:00:00"/>
    <s v="001-00013315"/>
    <n v="835.79765021999992"/>
    <n v="0"/>
    <n v="0"/>
    <n v="0"/>
    <n v="0"/>
    <n v="80.4375"/>
    <n v="123.955"/>
    <n v="0"/>
    <n v="204.39249999999998"/>
    <n v="631.40515022"/>
    <n v="0.75545217201053461"/>
    <x v="1"/>
    <s v="LEVE"/>
    <x v="5"/>
    <x v="1"/>
    <n v="10"/>
    <n v="1"/>
    <d v="2018-08-22T00:00:00"/>
    <s v="KIA"/>
    <s v="RIO"/>
    <n v="2947.7175000000002"/>
    <d v="2018-08-23T00:00:00"/>
    <n v="5.5"/>
    <x v="1"/>
  </r>
  <r>
    <d v="2018-09-01T00:00:00"/>
    <s v="001-00013318"/>
    <n v="877.18455500000005"/>
    <n v="0"/>
    <n v="46.61"/>
    <n v="0"/>
    <n v="0"/>
    <n v="117"/>
    <n v="123.955"/>
    <n v="0"/>
    <n v="287.565"/>
    <n v="589.61955499999999"/>
    <n v="0.67217275046526548"/>
    <x v="1"/>
    <s v="MEDIANO"/>
    <x v="5"/>
    <x v="1"/>
    <n v="9"/>
    <n v="1"/>
    <d v="2018-08-23T00:00:00"/>
    <s v="KIA"/>
    <s v="RIO"/>
    <n v="0"/>
    <d v="2018-08-23T00:00:00"/>
    <n v="8"/>
    <x v="1"/>
  </r>
  <r>
    <d v="2018-09-06T00:00:00"/>
    <s v="001-00013319"/>
    <n v="2206.198296518141"/>
    <n v="0"/>
    <n v="0"/>
    <n v="15"/>
    <n v="0"/>
    <n v="146.25"/>
    <n v="433.84250000000003"/>
    <n v="0"/>
    <n v="595.09249999999997"/>
    <n v="1611.105796518141"/>
    <n v="0.73026336710567452"/>
    <x v="1"/>
    <s v="MEDIANO"/>
    <x v="5"/>
    <x v="1"/>
    <n v="14"/>
    <n v="1"/>
    <d v="2018-08-23T00:00:00"/>
    <s v="TOYOTA"/>
    <s v="ETIOS"/>
    <n v="1750.1575"/>
    <d v="2018-08-24T00:00:00"/>
    <n v="10"/>
    <x v="1"/>
  </r>
  <r>
    <d v="2018-09-08T00:00:00"/>
    <s v="001-00013320"/>
    <n v="1210.1590200000003"/>
    <n v="1.8643999599999999"/>
    <n v="0"/>
    <n v="0"/>
    <n v="0"/>
    <n v="102.375"/>
    <n v="154.94374999999999"/>
    <n v="0"/>
    <n v="259.18314995999998"/>
    <n v="950.97587004000025"/>
    <n v="0.78582719652827115"/>
    <x v="1"/>
    <s v="MEDIANO"/>
    <x v="5"/>
    <x v="1"/>
    <n v="16"/>
    <n v="1"/>
    <d v="2018-08-23T00:00:00"/>
    <s v="PEUGEOT"/>
    <s v="BIPPER"/>
    <n v="0"/>
    <d v="2018-08-28T00:00:00"/>
    <n v="7"/>
    <x v="1"/>
  </r>
  <r>
    <d v="2018-09-04T00:00:00"/>
    <s v="001-00013321"/>
    <n v="709.74372180813896"/>
    <n v="0"/>
    <n v="0"/>
    <n v="0"/>
    <n v="0"/>
    <n v="43.875"/>
    <n v="135.11095"/>
    <n v="0"/>
    <n v="178.98595"/>
    <n v="530.75777180813895"/>
    <n v="0.74781608558083978"/>
    <x v="1"/>
    <s v="MEDIANO"/>
    <x v="5"/>
    <x v="1"/>
    <n v="12"/>
    <n v="1"/>
    <d v="2018-08-23T00:00:00"/>
    <s v="FORD"/>
    <s v="ESCAPE"/>
    <n v="2957.5"/>
    <d v="2018-07-20T00:00:00"/>
    <n v="3"/>
    <x v="1"/>
  </r>
  <r>
    <d v="2018-09-04T00:00:00"/>
    <s v="001-00013322"/>
    <n v="406.77969000000007"/>
    <n v="120.20110239999998"/>
    <n v="0"/>
    <n v="0"/>
    <n v="39.048749999999998"/>
    <n v="0"/>
    <n v="0"/>
    <n v="0"/>
    <n v="159.24985239999998"/>
    <n v="247.52983760000009"/>
    <n v="0.60851080741027175"/>
    <x v="0"/>
    <s v="MECANICA"/>
    <x v="5"/>
    <x v="1"/>
    <n v="12"/>
    <n v="1"/>
    <d v="2018-08-23T00:00:00"/>
    <s v="SUZUKI"/>
    <s v="ERTIGA"/>
    <n v="0"/>
    <d v="2018-08-24T00:00:00"/>
    <n v="0"/>
    <x v="1156"/>
  </r>
  <r>
    <d v="2018-09-07T00:00:00"/>
    <s v="001-00013323"/>
    <n v="867.95487785678006"/>
    <n v="0"/>
    <n v="0"/>
    <n v="0"/>
    <n v="0"/>
    <n v="102.375"/>
    <n v="123.955"/>
    <n v="0"/>
    <n v="226.32999999999998"/>
    <n v="641.62487785678013"/>
    <n v="0.73923759659157495"/>
    <x v="1"/>
    <s v="MEDIANO"/>
    <x v="5"/>
    <x v="1"/>
    <n v="14"/>
    <n v="1"/>
    <d v="2018-08-24T00:00:00"/>
    <s v="JEEP"/>
    <s v="GRAND C."/>
    <n v="0"/>
    <d v="2018-08-24T00:00:00"/>
    <n v="7"/>
    <x v="624"/>
  </r>
  <r>
    <d v="2018-09-07T00:00:00"/>
    <s v="001-00013325"/>
    <n v="540.73801835270979"/>
    <n v="0"/>
    <n v="0"/>
    <n v="0"/>
    <n v="0"/>
    <n v="36.5625"/>
    <n v="61.977499999999999"/>
    <n v="0"/>
    <n v="98.539999999999992"/>
    <n v="442.19801835270982"/>
    <n v="0.81776757569184866"/>
    <x v="1"/>
    <s v="MEDIANO"/>
    <x v="5"/>
    <x v="1"/>
    <n v="14"/>
    <n v="1"/>
    <d v="2018-08-24T00:00:00"/>
    <s v="JEEP"/>
    <s v="GRAND C."/>
    <n v="0"/>
    <d v="2018-08-24T00:00:00"/>
    <n v="2.5"/>
    <x v="624"/>
  </r>
  <r>
    <d v="2018-09-07T00:00:00"/>
    <s v="001-00013326"/>
    <n v="331.99999000000003"/>
    <n v="0"/>
    <n v="0"/>
    <n v="20"/>
    <n v="0"/>
    <n v="43.875"/>
    <n v="61.977499999999999"/>
    <n v="0"/>
    <n v="125.85249999999999"/>
    <n v="206.14749000000003"/>
    <n v="0.62092619340139144"/>
    <x v="0"/>
    <s v="MEDIANO"/>
    <x v="5"/>
    <x v="1"/>
    <n v="14"/>
    <n v="1"/>
    <d v="2018-08-24T00:00:00"/>
    <s v="JEEP"/>
    <s v="GRAND C."/>
    <n v="0"/>
    <d v="2018-08-24T00:00:00"/>
    <n v="3"/>
    <x v="624"/>
  </r>
  <r>
    <d v="2018-09-20T00:00:00"/>
    <s v="001-00013328"/>
    <n v="2647.3609676516899"/>
    <n v="0"/>
    <n v="0"/>
    <n v="96.27"/>
    <n v="0"/>
    <n v="292.5"/>
    <n v="355.75085000000001"/>
    <n v="0"/>
    <n v="744.52085"/>
    <n v="1902.84011765169"/>
    <n v="0.71876866845988963"/>
    <x v="1"/>
    <s v="MEDIANO"/>
    <x v="5"/>
    <x v="1"/>
    <n v="27"/>
    <n v="1"/>
    <d v="2018-08-24T00:00:00"/>
    <s v="KIA"/>
    <s v="RIO"/>
    <n v="176.345"/>
    <d v="2018-08-31T00:00:00"/>
    <n v="20"/>
    <x v="1"/>
  </r>
  <r>
    <d v="2018-09-01T00:00:00"/>
    <s v="001-00013330"/>
    <n v="1970.5"/>
    <n v="859.07001700000001"/>
    <n v="0"/>
    <n v="0"/>
    <n v="0"/>
    <n v="117"/>
    <n v="185.9325"/>
    <n v="0"/>
    <n v="1162.0025169999999"/>
    <n v="808.4974830000001"/>
    <n v="0.4103006764780513"/>
    <x v="0"/>
    <s v="MEDIANO"/>
    <x v="5"/>
    <x v="1"/>
    <n v="9"/>
    <n v="1"/>
    <d v="2018-08-23T00:00:00"/>
    <s v="KIA"/>
    <s v="RIO"/>
    <n v="1163.5650000000001"/>
    <d v="2018-08-24T00:00:00"/>
    <n v="8"/>
    <x v="603"/>
  </r>
  <r>
    <d v="2018-09-06T00:00:00"/>
    <s v="001-00013333"/>
    <n v="1887.6539593315281"/>
    <n v="0"/>
    <n v="0"/>
    <n v="0"/>
    <n v="0"/>
    <n v="204.75"/>
    <n v="278.89875000000001"/>
    <n v="0"/>
    <n v="483.64875000000001"/>
    <n v="1404.005209331528"/>
    <n v="0.74378315071514811"/>
    <x v="1"/>
    <s v="LEVE"/>
    <x v="5"/>
    <x v="1"/>
    <n v="12"/>
    <n v="1"/>
    <d v="2018-08-25T00:00:00"/>
    <s v="NISSAN"/>
    <s v="VERSA"/>
    <n v="946.79"/>
    <d v="2018-08-28T00:00:00"/>
    <n v="14"/>
    <x v="1157"/>
  </r>
  <r>
    <d v="2018-09-06T00:00:00"/>
    <s v="001-00013335"/>
    <n v="960.27147105000006"/>
    <n v="0"/>
    <n v="0"/>
    <n v="0"/>
    <n v="0"/>
    <n v="58.5"/>
    <n v="185.9325"/>
    <n v="0"/>
    <n v="244.4325"/>
    <n v="715.83897105000005"/>
    <n v="0.74545479339011544"/>
    <x v="1"/>
    <s v="MEDIANO"/>
    <x v="5"/>
    <x v="1"/>
    <n v="12"/>
    <n v="1"/>
    <d v="2018-08-25T00:00:00"/>
    <s v="DFSK"/>
    <s v="GLORY"/>
    <n v="1673.75"/>
    <d v="2018-08-27T00:00:00"/>
    <n v="4"/>
    <x v="1"/>
  </r>
  <r>
    <d v="2018-09-08T00:00:00"/>
    <s v="001-00013336"/>
    <n v="1356.9381524999999"/>
    <n v="0"/>
    <n v="0"/>
    <n v="18"/>
    <n v="0"/>
    <n v="117"/>
    <n v="185.9325"/>
    <n v="0"/>
    <n v="320.9325"/>
    <n v="1036.0056525"/>
    <n v="0.76348774672690922"/>
    <x v="1"/>
    <s v="MEDIANO"/>
    <x v="5"/>
    <x v="1"/>
    <n v="14"/>
    <n v="1"/>
    <d v="2018-08-25T00:00:00"/>
    <s v="TOYOTA"/>
    <s v="RAV4"/>
    <n v="457.37249999999995"/>
    <d v="2018-08-27T00:00:00"/>
    <n v="8"/>
    <x v="1158"/>
  </r>
  <r>
    <d v="2018-09-15T00:00:00"/>
    <s v="001-00013337"/>
    <n v="523.36593136800002"/>
    <n v="0"/>
    <n v="0"/>
    <n v="0"/>
    <n v="0"/>
    <n v="29.25"/>
    <n v="77.471874999999997"/>
    <n v="0"/>
    <n v="106.721875"/>
    <n v="416.64405636800001"/>
    <n v="0.79608555199409892"/>
    <x v="1"/>
    <s v="LEVE"/>
    <x v="5"/>
    <x v="1"/>
    <n v="21"/>
    <n v="1"/>
    <d v="2018-08-25T00:00:00"/>
    <s v="SUZUKI"/>
    <s v="VITARA"/>
    <n v="3296.8975"/>
    <d v="2018-08-28T00:00:00"/>
    <n v="2"/>
    <x v="1"/>
  </r>
  <r>
    <d v="2018-09-22T00:00:00"/>
    <s v="001-00013338"/>
    <n v="1622.6395806"/>
    <n v="5.4759001999999999"/>
    <n v="42.37"/>
    <n v="84.75"/>
    <n v="27.787499999999998"/>
    <n v="117"/>
    <n v="241.09247499999998"/>
    <n v="0"/>
    <n v="518.47587520000002"/>
    <n v="1104.1637054"/>
    <n v="0.68047379011407805"/>
    <x v="1"/>
    <s v="MEDIANO"/>
    <x v="5"/>
    <x v="1"/>
    <n v="28"/>
    <n v="1"/>
    <d v="2018-08-25T00:00:00"/>
    <s v="HYUNDAI"/>
    <s v="ELANTRA"/>
    <n v="7590.0175000000008"/>
    <d v="2018-08-27T00:00:00"/>
    <n v="8"/>
    <x v="1"/>
  </r>
  <r>
    <d v="2018-09-07T00:00:00"/>
    <s v="001-00013340"/>
    <n v="1461.5313851779695"/>
    <n v="1.3092000099999999"/>
    <n v="0"/>
    <n v="20"/>
    <n v="0"/>
    <n v="102.375"/>
    <n v="268.36257499999999"/>
    <n v="0"/>
    <n v="392.04677500999998"/>
    <n v="1069.4846101679695"/>
    <n v="0.73175617096839785"/>
    <x v="1"/>
    <s v="MEDIANO"/>
    <x v="5"/>
    <x v="1"/>
    <n v="13"/>
    <n v="1"/>
    <d v="2018-08-25T00:00:00"/>
    <s v="KIA"/>
    <s v="RIO"/>
    <n v="3347.2725"/>
    <d v="2018-08-27T00:00:00"/>
    <n v="7"/>
    <x v="1"/>
  </r>
  <r>
    <d v="2018-09-04T00:00:00"/>
    <s v="001-00013341"/>
    <n v="283.44924142181009"/>
    <n v="0"/>
    <n v="0"/>
    <n v="0"/>
    <n v="0"/>
    <n v="14.625"/>
    <n v="30.98875"/>
    <n v="0"/>
    <n v="45.613749999999996"/>
    <n v="237.8354914218101"/>
    <n v="0.83907612604219084"/>
    <x v="1"/>
    <s v="LEVE"/>
    <x v="5"/>
    <x v="1"/>
    <n v="8"/>
    <n v="1"/>
    <d v="2018-08-27T00:00:00"/>
    <s v="KIA"/>
    <s v="SPORTAGE"/>
    <n v="2285.14"/>
    <d v="2018-08-28T00:00:00"/>
    <n v="1"/>
    <x v="1"/>
  </r>
  <r>
    <d v="2018-09-08T00:00:00"/>
    <s v="001-00013345"/>
    <n v="123.870215"/>
    <n v="0"/>
    <n v="0"/>
    <n v="0"/>
    <n v="0"/>
    <n v="7.3125"/>
    <n v="15.494375"/>
    <n v="0"/>
    <n v="22.806874999999998"/>
    <n v="101.06334000000001"/>
    <n v="0.815880879838628"/>
    <x v="1"/>
    <s v="LEVE"/>
    <x v="5"/>
    <x v="1"/>
    <n v="12"/>
    <n v="1"/>
    <d v="2018-08-27T00:00:00"/>
    <s v="HYUNDAI"/>
    <s v="ACCENT"/>
    <n v="502.57999999999993"/>
    <d v="2018-08-28T00:00:00"/>
    <n v="0.5"/>
    <x v="1"/>
  </r>
  <r>
    <d v="2018-09-05T00:00:00"/>
    <s v="001-00013346"/>
    <n v="2148.8982999999998"/>
    <n v="880.75860075000003"/>
    <n v="0"/>
    <n v="300"/>
    <n v="87.75"/>
    <n v="0"/>
    <n v="0"/>
    <n v="0"/>
    <n v="1268.5086007499999"/>
    <n v="880.38969924999992"/>
    <n v="0.40969351562612338"/>
    <x v="0"/>
    <s v="MECANICA"/>
    <x v="5"/>
    <x v="1"/>
    <n v="11"/>
    <n v="1"/>
    <d v="2018-08-25T00:00:00"/>
    <s v="TOYOTA"/>
    <s v="HILUX"/>
    <n v="1215.7275"/>
    <d v="2018-08-28T00:00:00"/>
    <n v="0"/>
    <x v="906"/>
  </r>
  <r>
    <d v="2018-09-06T00:00:00"/>
    <s v="001-00013347"/>
    <n v="1896.9023189427112"/>
    <n v="0"/>
    <n v="0"/>
    <n v="0"/>
    <n v="5.8500000000000005"/>
    <n v="234"/>
    <n v="201.426875"/>
    <n v="0"/>
    <n v="441.27687500000002"/>
    <n v="1455.6254439427112"/>
    <n v="0.76736974245149459"/>
    <x v="1"/>
    <s v="MEDIANO"/>
    <x v="5"/>
    <x v="1"/>
    <n v="10"/>
    <n v="1"/>
    <d v="2018-08-27T00:00:00"/>
    <s v="TOYOTA"/>
    <s v="YARIS"/>
    <n v="222.7225"/>
    <d v="2018-08-28T00:00:00"/>
    <n v="16"/>
    <x v="1"/>
  </r>
  <r>
    <d v="2018-09-08T00:00:00"/>
    <s v="001-00013348"/>
    <n v="338.983001"/>
    <n v="0"/>
    <n v="0"/>
    <n v="0"/>
    <n v="0"/>
    <n v="58.5"/>
    <n v="61.977499999999999"/>
    <n v="0"/>
    <n v="120.47749999999999"/>
    <n v="218.50550100000001"/>
    <n v="0.64459132273715403"/>
    <x v="0"/>
    <s v="MEDIANO"/>
    <x v="5"/>
    <x v="1"/>
    <n v="14"/>
    <n v="1"/>
    <d v="2018-08-25T00:00:00"/>
    <s v="TOYOTA"/>
    <s v="RAV4"/>
    <n v="0"/>
    <d v="2018-08-27T00:00:00"/>
    <n v="4"/>
    <x v="1159"/>
  </r>
  <r>
    <d v="2018-09-06T00:00:00"/>
    <s v="001-00013349"/>
    <n v="677.96608999999989"/>
    <n v="0"/>
    <n v="0"/>
    <n v="0"/>
    <n v="0"/>
    <n v="95.0625"/>
    <n v="123.955"/>
    <n v="0"/>
    <n v="219.01749999999998"/>
    <n v="458.94858999999991"/>
    <n v="0.67694918192737341"/>
    <x v="0"/>
    <s v="MEDIANO"/>
    <x v="5"/>
    <x v="1"/>
    <n v="12"/>
    <n v="1"/>
    <d v="2018-08-25T00:00:00"/>
    <s v="DFSK"/>
    <s v="GLORY"/>
    <n v="0"/>
    <d v="2018-08-27T00:00:00"/>
    <n v="6.5"/>
    <x v="1160"/>
  </r>
  <r>
    <d v="2018-09-04T00:00:00"/>
    <s v="001-00013350"/>
    <n v="639.44920300000001"/>
    <n v="0"/>
    <n v="0"/>
    <n v="0"/>
    <n v="0"/>
    <n v="80.4375"/>
    <n v="123.955"/>
    <n v="0"/>
    <n v="204.39249999999998"/>
    <n v="435.05670300000003"/>
    <n v="0.68036163147739515"/>
    <x v="0"/>
    <s v="LEVE"/>
    <x v="5"/>
    <x v="1"/>
    <n v="10"/>
    <n v="1"/>
    <d v="2018-08-25T00:00:00"/>
    <s v="KIA"/>
    <s v="SPORTAGE"/>
    <n v="0"/>
    <d v="2018-08-29T00:00:00"/>
    <n v="5.5"/>
    <x v="1161"/>
  </r>
  <r>
    <d v="2018-09-24T00:00:00"/>
    <s v="001-00013352"/>
    <n v="4302.3045000000002"/>
    <n v="22.030000999999992"/>
    <n v="0"/>
    <n v="210.68474576271186"/>
    <n v="58.5"/>
    <n v="424.125"/>
    <n v="495.82"/>
    <n v="0"/>
    <n v="1211.1597467627118"/>
    <n v="3091.1447532372886"/>
    <n v="0.71848581457618554"/>
    <x v="1"/>
    <s v="MEDIANO"/>
    <x v="5"/>
    <x v="1"/>
    <n v="28"/>
    <n v="1"/>
    <d v="2018-08-27T00:00:00"/>
    <s v="CHEVROLET"/>
    <s v="PRISMA"/>
    <n v="3886.9025000000001"/>
    <d v="2018-08-28T00:00:00"/>
    <n v="29"/>
    <x v="1"/>
  </r>
  <r>
    <d v="2018-09-07T00:00:00"/>
    <s v="001-00013353"/>
    <n v="1993.4912839550802"/>
    <n v="0"/>
    <n v="0"/>
    <n v="0"/>
    <n v="0"/>
    <n v="263.25"/>
    <n v="258.44617499999998"/>
    <n v="0"/>
    <n v="521.69617500000004"/>
    <n v="1471.7951089550802"/>
    <n v="0.73830024781199122"/>
    <x v="1"/>
    <s v="MEDIANO"/>
    <x v="5"/>
    <x v="1"/>
    <n v="11"/>
    <n v="1"/>
    <d v="2018-08-27T00:00:00"/>
    <s v="KIA"/>
    <s v="RIO"/>
    <n v="2035.5074999999997"/>
    <d v="2018-08-28T00:00:00"/>
    <n v="18"/>
    <x v="1"/>
  </r>
  <r>
    <d v="2018-09-12T00:00:00"/>
    <s v="001-00013354"/>
    <n v="1215.2430364499999"/>
    <n v="0"/>
    <n v="0"/>
    <n v="0"/>
    <n v="0"/>
    <n v="146.25"/>
    <n v="185.9325"/>
    <n v="0"/>
    <n v="332.1825"/>
    <n v="883.06053644999986"/>
    <n v="0.72665344294390666"/>
    <x v="1"/>
    <s v="MEDIANO"/>
    <x v="5"/>
    <x v="1"/>
    <n v="16"/>
    <n v="1"/>
    <d v="2018-08-27T00:00:00"/>
    <s v="DFSK"/>
    <s v="GLORY"/>
    <n v="650"/>
    <d v="2018-08-28T00:00:00"/>
    <n v="10"/>
    <x v="1"/>
  </r>
  <r>
    <d v="2018-09-05T00:00:00"/>
    <s v="001-00013356"/>
    <n v="941.48820590084983"/>
    <n v="0"/>
    <n v="0"/>
    <n v="0"/>
    <n v="39.048749999999998"/>
    <n v="87.75"/>
    <n v="123.955"/>
    <n v="0"/>
    <n v="250.75375"/>
    <n v="690.73445590084987"/>
    <n v="0.73366235665154222"/>
    <x v="1"/>
    <s v="MEDIANO"/>
    <x v="5"/>
    <x v="1"/>
    <n v="9"/>
    <n v="1"/>
    <d v="2018-08-27T00:00:00"/>
    <s v="MITSUBISHI"/>
    <s v="OUTLANDER"/>
    <n v="4509.6350000000002"/>
    <d v="2018-08-28T00:00:00"/>
    <n v="6"/>
    <x v="1"/>
  </r>
  <r>
    <d v="2018-09-19T00:00:00"/>
    <s v="001-00013357"/>
    <n v="1091.8642823267787"/>
    <n v="0"/>
    <n v="0"/>
    <n v="0"/>
    <n v="0"/>
    <n v="43.875"/>
    <n v="123.955"/>
    <n v="0"/>
    <n v="167.82999999999998"/>
    <n v="924.03428232677879"/>
    <n v="0.84629042023212653"/>
    <x v="1"/>
    <s v="LEVE"/>
    <x v="5"/>
    <x v="1"/>
    <n v="23"/>
    <n v="1"/>
    <d v="2018-08-27T00:00:00"/>
    <s v="NISSAN"/>
    <s v="X-TRAIL"/>
    <n v="2522.2275"/>
    <d v="2018-08-28T00:00:00"/>
    <n v="3"/>
    <x v="1162"/>
  </r>
  <r>
    <d v="2018-09-10T00:00:00"/>
    <s v="001-00013363"/>
    <n v="708.02782750000006"/>
    <n v="0"/>
    <n v="0"/>
    <n v="20"/>
    <n v="0"/>
    <n v="58.5"/>
    <n v="108.46062500000001"/>
    <n v="0"/>
    <n v="186.96062499999999"/>
    <n v="521.06720250000012"/>
    <n v="0.7359416992688752"/>
    <x v="1"/>
    <s v="LEVE"/>
    <x v="5"/>
    <x v="1"/>
    <n v="13"/>
    <n v="1"/>
    <d v="2018-08-28T00:00:00"/>
    <s v="SUZUKI"/>
    <s v="VITARA"/>
    <n v="3306.6800000000003"/>
    <d v="2018-08-31T00:00:00"/>
    <n v="4"/>
    <x v="1"/>
  </r>
  <r>
    <d v="2018-09-27T00:00:00"/>
    <s v="001-00013364"/>
    <n v="2157.165"/>
    <n v="5.4759001999999999"/>
    <n v="0"/>
    <n v="84.75"/>
    <n v="14.625"/>
    <n v="234"/>
    <n v="340.87625000000003"/>
    <n v="0"/>
    <n v="679.7271502000001"/>
    <n v="1477.4378497999999"/>
    <n v="0.68489793307419689"/>
    <x v="2"/>
    <s v="MEDIANO"/>
    <x v="5"/>
    <x v="1"/>
    <n v="30"/>
    <n v="1"/>
    <d v="2018-08-28T00:00:00"/>
    <s v="KIA"/>
    <s v="PICANTO"/>
    <n v="3444.1875"/>
    <d v="2018-08-29T00:00:00"/>
    <n v="16"/>
    <x v="2"/>
  </r>
  <r>
    <d v="2018-09-11T00:00:00"/>
    <s v="001-00013365"/>
    <n v="885.75553330324942"/>
    <n v="0"/>
    <n v="0"/>
    <n v="0"/>
    <n v="0"/>
    <n v="146.25"/>
    <n v="61.977499999999999"/>
    <n v="0"/>
    <n v="208.22749999999999"/>
    <n v="677.52803330324946"/>
    <n v="0.76491538334120612"/>
    <x v="1"/>
    <s v="MEDIANO"/>
    <x v="5"/>
    <x v="1"/>
    <n v="14"/>
    <n v="1"/>
    <d v="2018-08-28T00:00:00"/>
    <s v="HYUNDAI"/>
    <s v="TUCSON"/>
    <n v="120.67250000000001"/>
    <d v="2018-08-31T00:00:00"/>
    <n v="10"/>
    <x v="1"/>
  </r>
  <r>
    <d v="2018-09-04T00:00:00"/>
    <s v="001-00013369"/>
    <n v="4105"/>
    <n v="181.97190425000002"/>
    <n v="0"/>
    <n v="2203.4"/>
    <n v="82.923749999999998"/>
    <n v="0"/>
    <n v="0"/>
    <n v="0"/>
    <n v="2468.2956542500001"/>
    <n v="1636.7043457499999"/>
    <n v="0.39870995024360534"/>
    <x v="0"/>
    <s v="MECANICA"/>
    <x v="5"/>
    <x v="1"/>
    <n v="8"/>
    <n v="1"/>
    <d v="2018-08-27T00:00:00"/>
    <s v="MG"/>
    <s v="MG3"/>
    <n v="80.242500000000007"/>
    <d v="2018-08-29T00:00:00"/>
    <n v="0"/>
    <x v="201"/>
  </r>
  <r>
    <d v="2018-09-05T00:00:00"/>
    <s v="001-00013371"/>
    <n v="994.50002999999981"/>
    <n v="0"/>
    <n v="0"/>
    <n v="0"/>
    <n v="0"/>
    <n v="131.625"/>
    <n v="201.426875"/>
    <n v="0"/>
    <n v="333.051875"/>
    <n v="661.44815499999982"/>
    <n v="0.66510621925270319"/>
    <x v="0"/>
    <s v="MEDIANO"/>
    <x v="5"/>
    <x v="1"/>
    <n v="7"/>
    <n v="1"/>
    <d v="2018-08-29T00:00:00"/>
    <s v="MITSUBISHI"/>
    <s v="OUTLANDER"/>
    <n v="0"/>
    <d v="2018-08-29T00:00:00"/>
    <n v="9"/>
    <x v="735"/>
  </r>
  <r>
    <d v="2018-09-13T00:00:00"/>
    <s v="001-00013373"/>
    <n v="774.3725960714504"/>
    <n v="0"/>
    <n v="0"/>
    <n v="0"/>
    <n v="0"/>
    <n v="73.125"/>
    <n v="132.63185000000001"/>
    <n v="0"/>
    <n v="205.75685000000001"/>
    <n v="568.61574607145042"/>
    <n v="0.73429218564313059"/>
    <x v="1"/>
    <s v="LEVE"/>
    <x v="5"/>
    <x v="1"/>
    <n v="15"/>
    <n v="1"/>
    <d v="2018-08-29T00:00:00"/>
    <s v="RENAULT"/>
    <s v="LOGAN"/>
    <n v="2451.15"/>
    <d v="2018-08-31T00:00:00"/>
    <n v="5"/>
    <x v="999"/>
  </r>
  <r>
    <d v="2018-09-08T00:00:00"/>
    <s v="001-00013374"/>
    <n v="802.81858999999997"/>
    <n v="0"/>
    <n v="0"/>
    <n v="0"/>
    <n v="0"/>
    <n v="73.125"/>
    <n v="123.955"/>
    <n v="0"/>
    <n v="197.07999999999998"/>
    <n v="605.73858999999993"/>
    <n v="0.75451490230190099"/>
    <x v="1"/>
    <s v="LEVE"/>
    <x v="5"/>
    <x v="1"/>
    <n v="8"/>
    <n v="1"/>
    <d v="2018-08-31T00:00:00"/>
    <s v="KIA"/>
    <s v="SPORTAGE"/>
    <n v="391.78749999999997"/>
    <d v="2018-08-31T00:00:00"/>
    <n v="5"/>
    <x v="1"/>
  </r>
  <r>
    <d v="2018-09-10T00:00:00"/>
    <s v="001-00013377"/>
    <n v="1632.80040175"/>
    <n v="0"/>
    <n v="0"/>
    <n v="76.27"/>
    <n v="16.087500000000002"/>
    <n v="175.5"/>
    <n v="198.328"/>
    <n v="0"/>
    <n v="466.18550000000005"/>
    <n v="1166.6149017499999"/>
    <n v="0.71448714766339316"/>
    <x v="1"/>
    <s v="MEDIANO"/>
    <x v="5"/>
    <x v="1"/>
    <n v="10"/>
    <n v="1"/>
    <d v="2018-08-31T00:00:00"/>
    <s v="HYUNDAI"/>
    <s v="ACCENT"/>
    <n v="1226.875"/>
    <d v="2018-08-31T00:00:00"/>
    <n v="12"/>
    <x v="1"/>
  </r>
  <r>
    <d v="2018-09-15T00:00:00"/>
    <s v="001-00013378"/>
    <n v="1217.3934967599998"/>
    <n v="0"/>
    <n v="0"/>
    <n v="93.22"/>
    <n v="14.625"/>
    <n v="73.125"/>
    <n v="139.449375"/>
    <n v="0"/>
    <n v="320.419375"/>
    <n v="896.97412175999989"/>
    <n v="0.73679884453730715"/>
    <x v="1"/>
    <s v="LEVE"/>
    <x v="5"/>
    <x v="1"/>
    <n v="15"/>
    <n v="1"/>
    <d v="2018-08-31T00:00:00"/>
    <s v="SUZUKI"/>
    <s v="SWIFT"/>
    <n v="1631.6625000000001"/>
    <d v="2018-08-31T00:00:00"/>
    <n v="5"/>
    <x v="1"/>
  </r>
  <r>
    <d v="2018-09-21T00:00:00"/>
    <s v="001-00013381"/>
    <n v="2458.5"/>
    <n v="21.575900700000005"/>
    <n v="0"/>
    <n v="0"/>
    <n v="27.787499999999998"/>
    <n v="219.375"/>
    <n v="402.85374999999999"/>
    <n v="0"/>
    <n v="671.59215070000005"/>
    <n v="1786.9078493"/>
    <n v="0.72682849269880001"/>
    <x v="1"/>
    <s v="MEDIANO"/>
    <x v="5"/>
    <x v="1"/>
    <n v="21"/>
    <n v="1"/>
    <d v="2018-08-31T00:00:00"/>
    <s v="CHEVROLET"/>
    <s v="SAIL"/>
    <n v="5057.4225000000006"/>
    <d v="2018-09-03T00:00:00"/>
    <n v="15"/>
    <x v="1"/>
  </r>
  <r>
    <d v="2018-09-27T00:00:00"/>
    <s v="001-00013383"/>
    <n v="134.481471306"/>
    <n v="84.063904000000022"/>
    <n v="0"/>
    <n v="0"/>
    <n v="0"/>
    <n v="0"/>
    <n v="0"/>
    <n v="0"/>
    <n v="84.063904000000022"/>
    <n v="50.417567305999981"/>
    <n v="0.37490344815814458"/>
    <x v="0"/>
    <s v="MEDIANO"/>
    <x v="5"/>
    <x v="1"/>
    <n v="27"/>
    <n v="1"/>
    <d v="2018-08-31T00:00:00"/>
    <s v="KIA"/>
    <s v="PICANTO"/>
    <n v="0"/>
    <d v="2018-08-31T00:00:00"/>
    <n v="0"/>
    <x v="1163"/>
  </r>
  <r>
    <d v="2018-09-15T00:00:00"/>
    <s v="001-00013384"/>
    <n v="354.84018268399996"/>
    <n v="0.42330000000000012"/>
    <n v="0"/>
    <n v="0"/>
    <n v="0"/>
    <n v="10.237499999999999"/>
    <n v="61.977499999999999"/>
    <n v="0"/>
    <n v="72.638300000000001"/>
    <n v="282.20188268399994"/>
    <n v="0.79529291341649588"/>
    <x v="1"/>
    <s v="LEVE"/>
    <x v="5"/>
    <x v="1"/>
    <n v="15"/>
    <n v="1"/>
    <d v="2018-08-31T00:00:00"/>
    <s v="VW"/>
    <s v="GOL"/>
    <n v="328.185"/>
    <d v="2018-09-03T00:00:00"/>
    <n v="0.7"/>
    <x v="1"/>
  </r>
  <r>
    <d v="2018-09-08T00:00:00"/>
    <s v="001-00013386"/>
    <n v="1712.375"/>
    <n v="0"/>
    <n v="0"/>
    <n v="0"/>
    <n v="0"/>
    <n v="131.625"/>
    <n v="247.91"/>
    <n v="0"/>
    <n v="379.53499999999997"/>
    <n v="1332.8400000000001"/>
    <n v="0.77835754434630278"/>
    <x v="0"/>
    <s v="MEDIANO"/>
    <x v="5"/>
    <x v="1"/>
    <n v="8"/>
    <n v="1"/>
    <d v="2018-08-31T00:00:00"/>
    <s v="MAZDA"/>
    <s v="MAZDA 3"/>
    <n v="0"/>
    <d v="2018-09-03T00:00:00"/>
    <n v="9"/>
    <x v="1164"/>
  </r>
  <r>
    <d v="2018-09-13T00:00:00"/>
    <s v="001-00013387"/>
    <n v="1102.815155097629"/>
    <n v="0"/>
    <n v="0"/>
    <n v="0"/>
    <n v="0"/>
    <n v="73.125"/>
    <n v="198.94777500000001"/>
    <n v="0"/>
    <n v="272.07277499999998"/>
    <n v="830.74238009762905"/>
    <n v="0.75329249535393428"/>
    <x v="1"/>
    <s v="LEVE"/>
    <x v="5"/>
    <x v="1"/>
    <n v="12"/>
    <n v="1"/>
    <d v="2018-09-01T00:00:00"/>
    <s v="TOYOTA"/>
    <s v="ETIOS"/>
    <n v="948.61"/>
    <d v="2018-09-06T00:00:00"/>
    <n v="5"/>
    <x v="1"/>
  </r>
  <r>
    <d v="2018-09-01T00:00:00"/>
    <s v="001-00013388"/>
    <n v="99.06"/>
    <n v="0"/>
    <n v="0"/>
    <n v="0"/>
    <n v="29.25"/>
    <n v="0"/>
    <n v="0"/>
    <n v="0"/>
    <n v="29.25"/>
    <n v="69.81"/>
    <n v="0.70472440944881887"/>
    <x v="0"/>
    <s v="MECANICA"/>
    <x v="5"/>
    <x v="1"/>
    <n v="1"/>
    <n v="1"/>
    <d v="2018-08-31T00:00:00"/>
    <s v="CHEVROLET"/>
    <s v="TRAIL"/>
    <n v="0"/>
    <d v="2018-09-01T00:00:00"/>
    <n v="0"/>
    <x v="1165"/>
  </r>
  <r>
    <d v="2018-09-13T00:00:00"/>
    <s v="001-00013389"/>
    <n v="1457.566665747629"/>
    <n v="131.14710998000001"/>
    <n v="0"/>
    <n v="0"/>
    <n v="0"/>
    <n v="146.25"/>
    <n v="139.449375"/>
    <n v="0"/>
    <n v="416.84648498000001"/>
    <n v="1040.720180767629"/>
    <n v="0.714012062174743"/>
    <x v="1"/>
    <s v="MEDIANO"/>
    <x v="5"/>
    <x v="1"/>
    <n v="12"/>
    <n v="1"/>
    <d v="2018-09-01T00:00:00"/>
    <s v="SUZUKI"/>
    <s v="SWIFT"/>
    <n v="633.65250000000003"/>
    <d v="2018-09-03T00:00:00"/>
    <n v="10"/>
    <x v="1"/>
  </r>
  <r>
    <d v="2018-09-14T00:00:00"/>
    <s v="001-00013391"/>
    <n v="530.53468247499995"/>
    <n v="0"/>
    <n v="0"/>
    <n v="0"/>
    <n v="0"/>
    <n v="20.474999999999998"/>
    <n v="74.992774999999995"/>
    <n v="0"/>
    <n v="95.467774999999989"/>
    <n v="435.06690747499999"/>
    <n v="0.82005365878318681"/>
    <x v="1"/>
    <s v="LEVE"/>
    <x v="5"/>
    <x v="1"/>
    <n v="13"/>
    <n v="1"/>
    <d v="2018-09-01T00:00:00"/>
    <s v="MAZDA"/>
    <s v="MAZDA 3"/>
    <n v="197.79499999999999"/>
    <d v="2018-09-03T00:00:00"/>
    <n v="1.4"/>
    <x v="1"/>
  </r>
  <r>
    <d v="2018-09-14T00:00:00"/>
    <s v="001-00013392"/>
    <n v="897.75"/>
    <n v="0"/>
    <n v="0"/>
    <n v="0"/>
    <n v="0"/>
    <n v="87.75"/>
    <n v="185.9325"/>
    <n v="0"/>
    <n v="273.6825"/>
    <n v="624.0675"/>
    <n v="0.6951461988304094"/>
    <x v="1"/>
    <s v="LEVE"/>
    <x v="5"/>
    <x v="1"/>
    <n v="11"/>
    <n v="1"/>
    <d v="2018-09-03T00:00:00"/>
    <s v="NISSAN"/>
    <s v="VERSA"/>
    <n v="5291.7150000000001"/>
    <d v="2018-09-03T00:00:00"/>
    <n v="6"/>
    <x v="1"/>
  </r>
  <r>
    <d v="2018-09-03T00:00:00"/>
    <s v="001-00013395"/>
    <n v="830.5"/>
    <n v="206.59350165000001"/>
    <n v="0"/>
    <n v="38.14"/>
    <n v="39.048749999999998"/>
    <n v="0"/>
    <n v="0"/>
    <n v="0"/>
    <n v="283.78225164999998"/>
    <n v="546.71774834999997"/>
    <n v="0.6582995163756773"/>
    <x v="0"/>
    <s v="MECANICA"/>
    <x v="5"/>
    <x v="1"/>
    <n v="2"/>
    <n v="1"/>
    <d v="2018-09-01T00:00:00"/>
    <s v="NISSAN"/>
    <s v="JUKE"/>
    <n v="232.21250000000001"/>
    <d v="2018-09-03T00:00:00"/>
    <n v="0"/>
    <x v="1166"/>
  </r>
  <r>
    <d v="2018-09-06T00:00:00"/>
    <s v="001-00013396"/>
    <n v="314.10169999999999"/>
    <n v="99.701600899999988"/>
    <n v="0"/>
    <n v="0"/>
    <n v="39.048749999999998"/>
    <n v="0"/>
    <n v="0"/>
    <n v="0"/>
    <n v="138.7503509"/>
    <n v="175.35134909999999"/>
    <n v="0.55826297374385425"/>
    <x v="0"/>
    <s v="MECANICA"/>
    <x v="5"/>
    <x v="1"/>
    <n v="5"/>
    <n v="1"/>
    <d v="2018-09-01T00:00:00"/>
    <s v="HYUNDAI"/>
    <s v="ELANTRA"/>
    <n v="0"/>
    <d v="2018-09-03T00:00:00"/>
    <n v="0"/>
    <x v="234"/>
  </r>
  <r>
    <d v="2018-09-18T00:00:00"/>
    <s v="001-00013398"/>
    <n v="2946.77169"/>
    <n v="0"/>
    <n v="0"/>
    <n v="55.084745762711869"/>
    <n v="0"/>
    <n v="351"/>
    <n v="433.84250000000003"/>
    <n v="0"/>
    <n v="839.92724576271189"/>
    <n v="2106.8444442372884"/>
    <n v="0.71496697602564807"/>
    <x v="1"/>
    <s v="MEDIANO"/>
    <x v="5"/>
    <x v="1"/>
    <n v="15"/>
    <n v="1"/>
    <d v="2018-09-03T00:00:00"/>
    <s v="CHEVROLET"/>
    <s v="N300"/>
    <n v="287.78749999999997"/>
    <d v="2018-09-04T00:00:00"/>
    <n v="24"/>
    <x v="1"/>
  </r>
  <r>
    <d v="2018-09-13T00:00:00"/>
    <s v="001-00013400"/>
    <n v="1965.1771047866089"/>
    <n v="0.42330000000000012"/>
    <n v="0"/>
    <n v="0"/>
    <n v="0"/>
    <n v="234"/>
    <n v="278.89875000000001"/>
    <n v="0"/>
    <n v="513.32204999999999"/>
    <n v="1451.8550547866089"/>
    <n v="0.73879094726389061"/>
    <x v="1"/>
    <s v="MEDIANO"/>
    <x v="5"/>
    <x v="1"/>
    <n v="9"/>
    <n v="1"/>
    <d v="2018-09-04T00:00:00"/>
    <s v="NISSAN"/>
    <s v="NAVARA"/>
    <n v="1403.1224999999999"/>
    <d v="2018-09-05T00:00:00"/>
    <n v="16"/>
    <x v="1"/>
  </r>
  <r>
    <d v="2018-09-13T00:00:00"/>
    <s v="001-00013401"/>
    <n v="1529.6348848211901"/>
    <n v="0"/>
    <n v="0"/>
    <n v="0"/>
    <n v="0"/>
    <n v="117"/>
    <n v="242.33202499999999"/>
    <n v="0"/>
    <n v="359.33202499999999"/>
    <n v="1170.3028598211902"/>
    <n v="0.76508640815811102"/>
    <x v="1"/>
    <s v="MEDIANO"/>
    <x v="5"/>
    <x v="1"/>
    <n v="9"/>
    <n v="1"/>
    <d v="2018-09-04T00:00:00"/>
    <s v="CHEVROLET"/>
    <s v="PRISMA"/>
    <n v="0"/>
    <d v="2018-09-04T00:00:00"/>
    <n v="8"/>
    <x v="1"/>
  </r>
  <r>
    <d v="2018-09-17T00:00:00"/>
    <s v="001-00013402"/>
    <n v="1086.9174520399997"/>
    <n v="0"/>
    <n v="0"/>
    <n v="0"/>
    <n v="0"/>
    <n v="117"/>
    <n v="154.94374999999999"/>
    <n v="0"/>
    <n v="271.94375000000002"/>
    <n v="814.97370203999969"/>
    <n v="0.74980275687946885"/>
    <x v="1"/>
    <s v="MEDIANO"/>
    <x v="5"/>
    <x v="1"/>
    <n v="13"/>
    <n v="1"/>
    <d v="2018-09-04T00:00:00"/>
    <s v="KIA"/>
    <s v="SPORTAGE"/>
    <n v="382.26499999999999"/>
    <d v="2018-09-05T00:00:00"/>
    <n v="8"/>
    <x v="1167"/>
  </r>
  <r>
    <d v="2018-09-05T00:00:00"/>
    <s v="001-00013403"/>
    <n v="406.62710200000004"/>
    <n v="115.44220249999999"/>
    <n v="0"/>
    <n v="0"/>
    <n v="39.048749999999998"/>
    <n v="0"/>
    <n v="0"/>
    <n v="0"/>
    <n v="154.49095249999999"/>
    <n v="252.13614950000004"/>
    <n v="0.62006725144454344"/>
    <x v="0"/>
    <s v="MECANICA"/>
    <x v="5"/>
    <x v="1"/>
    <n v="1"/>
    <n v="1"/>
    <d v="2018-09-04T00:00:00"/>
    <s v="JEEP"/>
    <s v="GRAND C."/>
    <n v="0"/>
    <d v="2018-09-04T00:00:00"/>
    <n v="0"/>
    <x v="624"/>
  </r>
  <r>
    <d v="2018-09-04T00:00:00"/>
    <s v="001-00013404"/>
    <n v="509"/>
    <n v="97.609401799999986"/>
    <n v="0"/>
    <n v="0"/>
    <n v="39.048749999999998"/>
    <n v="0"/>
    <n v="0"/>
    <n v="0"/>
    <n v="136.65815179999998"/>
    <n v="372.34184820000002"/>
    <n v="0.73151640117878192"/>
    <x v="0"/>
    <s v="MECANICA"/>
    <x v="5"/>
    <x v="1"/>
    <n v="0"/>
    <n v="1"/>
    <d v="2018-09-04T00:00:00"/>
    <s v="HYUNDAI"/>
    <s v="I10"/>
    <n v="0"/>
    <d v="2018-09-04T00:00:00"/>
    <n v="0"/>
    <x v="672"/>
  </r>
  <r>
    <d v="2018-09-04T00:00:00"/>
    <s v="001-00013405"/>
    <n v="83"/>
    <n v="0"/>
    <n v="0"/>
    <n v="0"/>
    <n v="29.25"/>
    <n v="0"/>
    <n v="0"/>
    <n v="0"/>
    <n v="29.25"/>
    <n v="53.75"/>
    <n v="0.64759036144578308"/>
    <x v="0"/>
    <s v="MECANICA"/>
    <x v="5"/>
    <x v="1"/>
    <n v="0"/>
    <n v="1"/>
    <d v="2018-09-04T00:00:00"/>
    <s v="HYUNDAI"/>
    <s v="SANTA FE"/>
    <n v="0"/>
    <d v="2018-09-04T00:00:00"/>
    <n v="0"/>
    <x v="118"/>
  </r>
  <r>
    <d v="2018-09-14T00:00:00"/>
    <s v="001-00013406"/>
    <n v="1146.3359775000001"/>
    <n v="0"/>
    <n v="0"/>
    <n v="0"/>
    <n v="4.3874999999999993"/>
    <n v="117"/>
    <n v="154.94374999999999"/>
    <n v="0"/>
    <n v="276.33125000000001"/>
    <n v="870.00472750000017"/>
    <n v="0.75894392619287754"/>
    <x v="1"/>
    <s v="MEDIANO"/>
    <x v="5"/>
    <x v="1"/>
    <n v="10"/>
    <n v="1"/>
    <d v="2018-09-04T00:00:00"/>
    <s v="TOYOTA"/>
    <s v="FORTUNER"/>
    <n v="1019.525"/>
    <d v="2018-09-05T00:00:00"/>
    <n v="8"/>
    <x v="1168"/>
  </r>
  <r>
    <d v="2018-09-14T00:00:00"/>
    <s v="001-00013407"/>
    <n v="482.54760750000003"/>
    <n v="0"/>
    <n v="0"/>
    <n v="0"/>
    <n v="0"/>
    <n v="26.324999999999999"/>
    <n v="77.471874999999997"/>
    <n v="0"/>
    <n v="103.796875"/>
    <n v="378.75073250000003"/>
    <n v="0.78489816675756707"/>
    <x v="1"/>
    <s v="LEVE"/>
    <x v="5"/>
    <x v="1"/>
    <n v="10"/>
    <n v="1"/>
    <d v="2018-09-04T00:00:00"/>
    <s v="MAZDA"/>
    <s v="MAZDA 3"/>
    <n v="2546.5050000000001"/>
    <d v="2018-09-03T00:00:00"/>
    <n v="1.8"/>
    <x v="1"/>
  </r>
  <r>
    <d v="2018-09-15T00:00:00"/>
    <s v="001-00013408"/>
    <n v="3590"/>
    <n v="1648.9237011"/>
    <n v="0"/>
    <n v="254.24"/>
    <n v="68.298749999999998"/>
    <n v="0"/>
    <n v="0"/>
    <n v="0"/>
    <n v="1971.4624511"/>
    <n v="1618.5375489"/>
    <n v="0.45084611389972146"/>
    <x v="0"/>
    <s v="MECANICA"/>
    <x v="5"/>
    <x v="1"/>
    <n v="11"/>
    <n v="1"/>
    <d v="2018-09-04T00:00:00"/>
    <s v="CHEVROLET"/>
    <s v="PRISMA"/>
    <n v="745.97249999999997"/>
    <d v="2018-09-04T00:00:00"/>
    <n v="0"/>
    <x v="1169"/>
  </r>
  <r>
    <d v="2018-09-14T00:00:00"/>
    <s v="001-00013409"/>
    <n v="328.47043582500004"/>
    <n v="0"/>
    <n v="0"/>
    <n v="0"/>
    <n v="0"/>
    <n v="14.625"/>
    <n v="61.977499999999999"/>
    <n v="0"/>
    <n v="76.602499999999992"/>
    <n v="251.86793582500005"/>
    <n v="0.76679027502855179"/>
    <x v="1"/>
    <s v="LEVE"/>
    <x v="5"/>
    <x v="1"/>
    <n v="10"/>
    <n v="1"/>
    <d v="2018-09-04T00:00:00"/>
    <s v="TOYOTA"/>
    <s v="COROLLA"/>
    <n v="622.14750000000004"/>
    <d v="2018-09-05T00:00:00"/>
    <n v="1"/>
    <x v="1"/>
  </r>
  <r>
    <d v="2018-09-15T00:00:00"/>
    <s v="001-00013410"/>
    <n v="2033.0453035200001"/>
    <n v="0"/>
    <n v="0"/>
    <n v="0"/>
    <n v="0"/>
    <n v="263.25"/>
    <n v="268.98235"/>
    <n v="0"/>
    <n v="532.23235"/>
    <n v="1500.8129535200001"/>
    <n v="0.73820930154458597"/>
    <x v="1"/>
    <s v="MEDIANO"/>
    <x v="5"/>
    <x v="1"/>
    <n v="11"/>
    <n v="1"/>
    <d v="2018-09-04T00:00:00"/>
    <s v="HYUNDAI"/>
    <s v="ACCENT"/>
    <n v="446.35500000000002"/>
    <d v="2018-09-05T00:00:00"/>
    <n v="18"/>
    <x v="1"/>
  </r>
  <r>
    <d v="2018-09-05T00:00:00"/>
    <s v="001-00013412"/>
    <n v="315"/>
    <n v="68.3674015"/>
    <n v="15.25"/>
    <n v="0"/>
    <n v="0"/>
    <n v="0"/>
    <n v="0"/>
    <n v="0"/>
    <n v="83.6174015"/>
    <n v="231.3825985"/>
    <n v="0.73454793174603172"/>
    <x v="0"/>
    <s v="MECANICA"/>
    <x v="5"/>
    <x v="1"/>
    <n v="0"/>
    <n v="1"/>
    <d v="2018-09-05T00:00:00"/>
    <s v="NISSAN"/>
    <s v="TIIDA"/>
    <n v="0"/>
    <d v="2018-09-05T00:00:00"/>
    <n v="0"/>
    <x v="157"/>
  </r>
  <r>
    <d v="2018-09-18T00:00:00"/>
    <s v="001-00013413"/>
    <n v="562.03381400000012"/>
    <n v="355.43040999999994"/>
    <n v="0"/>
    <n v="0"/>
    <n v="0"/>
    <n v="0"/>
    <n v="0"/>
    <n v="0"/>
    <n v="355.43040999999994"/>
    <n v="206.60340400000018"/>
    <n v="0.36759959784199059"/>
    <x v="0"/>
    <s v="MEDIANO"/>
    <x v="5"/>
    <x v="1"/>
    <n v="13"/>
    <n v="1"/>
    <d v="2018-09-05T00:00:00"/>
    <s v="CHEVROLET"/>
    <s v="N300"/>
    <n v="0"/>
    <d v="2018-09-05T00:00:00"/>
    <n v="0"/>
    <x v="1170"/>
  </r>
  <r>
    <d v="2018-09-25T00:00:00"/>
    <s v="001-00013414"/>
    <n v="476.29213907377988"/>
    <n v="0"/>
    <n v="0"/>
    <n v="76.27"/>
    <n v="5.8500000000000005"/>
    <n v="24.862499999999997"/>
    <n v="61.977499999999999"/>
    <n v="0"/>
    <n v="168.95999999999998"/>
    <n v="307.3321390737799"/>
    <n v="0.64525973422830885"/>
    <x v="1"/>
    <s v="LEVE"/>
    <x v="5"/>
    <x v="1"/>
    <n v="20"/>
    <n v="1"/>
    <d v="2018-09-05T00:00:00"/>
    <s v="HYUNDAI"/>
    <s v="ELANTRA"/>
    <n v="1134.0874999999999"/>
    <d v="2018-09-04T00:00:00"/>
    <n v="1.7"/>
    <x v="1"/>
  </r>
  <r>
    <d v="2018-09-06T00:00:00"/>
    <s v="001-00013415"/>
    <n v="1212.6271019999999"/>
    <n v="633.12199179999993"/>
    <n v="112.72"/>
    <n v="50.85"/>
    <n v="39.048749999999998"/>
    <n v="0"/>
    <n v="0"/>
    <n v="0"/>
    <n v="835.74074180000002"/>
    <n v="376.8863601999999"/>
    <n v="0.31080153130207699"/>
    <x v="0"/>
    <s v="MECANICA"/>
    <x v="5"/>
    <x v="1"/>
    <n v="1"/>
    <n v="1"/>
    <d v="2018-09-05T00:00:00"/>
    <s v="JEEP"/>
    <s v="GRAND C."/>
    <n v="947.8950000000001"/>
    <d v="2018-09-05T00:00:00"/>
    <n v="0"/>
    <x v="624"/>
  </r>
  <r>
    <d v="2018-09-14T00:00:00"/>
    <s v="001-00013418"/>
    <n v="4207"/>
    <n v="2001.8493841999998"/>
    <n v="0"/>
    <n v="88.69"/>
    <n v="78.097499999999997"/>
    <n v="0"/>
    <n v="0"/>
    <n v="0"/>
    <n v="2168.6368841999997"/>
    <n v="2038.3631158000003"/>
    <n v="0.48451702300927035"/>
    <x v="0"/>
    <s v="MECANICA"/>
    <x v="5"/>
    <x v="1"/>
    <n v="9"/>
    <n v="1"/>
    <d v="2018-09-05T00:00:00"/>
    <s v="SUZUKI"/>
    <s v="CELERIO"/>
    <n v="3141.645"/>
    <d v="2018-09-05T00:00:00"/>
    <n v="0"/>
    <x v="973"/>
  </r>
  <r>
    <d v="2018-09-19T00:00:00"/>
    <s v="001-00013419"/>
    <n v="1202.4861543508498"/>
    <n v="0"/>
    <n v="0"/>
    <n v="0"/>
    <n v="0"/>
    <n v="58.5"/>
    <n v="239.852925"/>
    <n v="0"/>
    <n v="298.35292500000003"/>
    <n v="904.13322935084977"/>
    <n v="0.75188660266856633"/>
    <x v="1"/>
    <s v="LEVE"/>
    <x v="5"/>
    <x v="1"/>
    <n v="14"/>
    <n v="1"/>
    <d v="2018-09-05T00:00:00"/>
    <s v="HYUNDAI"/>
    <s v="ELANTRA"/>
    <n v="46.344999999999999"/>
    <d v="2018-09-06T00:00:00"/>
    <n v="4"/>
    <x v="1"/>
  </r>
  <r>
    <d v="2018-09-06T00:00:00"/>
    <s v="001-00013420"/>
    <n v="306.62710200000004"/>
    <n v="94.773101399999987"/>
    <n v="0"/>
    <n v="0"/>
    <n v="39.048749999999998"/>
    <n v="0"/>
    <n v="0"/>
    <n v="0"/>
    <n v="133.82185139999999"/>
    <n v="172.80525060000005"/>
    <n v="0.56356809125111196"/>
    <x v="0"/>
    <s v="MECANICA"/>
    <x v="5"/>
    <x v="1"/>
    <n v="1"/>
    <n v="1"/>
    <d v="2018-09-05T00:00:00"/>
    <s v="SUZUKI"/>
    <s v="CELERIO"/>
    <n v="0"/>
    <d v="2018-09-05T00:00:00"/>
    <n v="0"/>
    <x v="1171"/>
  </r>
  <r>
    <d v="2018-09-14T00:00:00"/>
    <s v="001-00013421"/>
    <n v="492.1"/>
    <n v="0"/>
    <n v="0"/>
    <n v="0"/>
    <n v="0"/>
    <n v="29.25"/>
    <n v="123.955"/>
    <n v="0"/>
    <n v="153.20499999999998"/>
    <n v="338.89500000000004"/>
    <n v="0.68867100182889662"/>
    <x v="0"/>
    <s v="LEVE"/>
    <x v="5"/>
    <x v="1"/>
    <n v="9"/>
    <n v="1"/>
    <d v="2018-09-05T00:00:00"/>
    <s v="MAZDA"/>
    <s v="MAZDA 3"/>
    <n v="0"/>
    <d v="2018-09-05T00:00:00"/>
    <n v="2"/>
    <x v="1172"/>
  </r>
  <r>
    <d v="2018-09-12T00:00:00"/>
    <s v="001-00013422"/>
    <n v="282.51417000773012"/>
    <n v="0"/>
    <n v="0"/>
    <n v="0"/>
    <n v="0"/>
    <n v="24.131249999999998"/>
    <n v="61.977499999999999"/>
    <n v="0"/>
    <n v="86.108750000000001"/>
    <n v="196.40542000773013"/>
    <n v="0.69520555376870519"/>
    <x v="0"/>
    <s v="LEVE"/>
    <x v="5"/>
    <x v="1"/>
    <n v="7"/>
    <n v="1"/>
    <d v="2018-09-05T00:00:00"/>
    <s v="MITSUBISHI"/>
    <s v="ASX"/>
    <n v="0"/>
    <d v="2018-09-05T00:00:00"/>
    <n v="1.65"/>
    <x v="1155"/>
  </r>
  <r>
    <d v="2018-09-18T00:00:00"/>
    <s v="001-00013424"/>
    <n v="1335.7859711600001"/>
    <n v="0"/>
    <n v="0"/>
    <n v="0"/>
    <n v="0"/>
    <n v="146.25"/>
    <n v="154.94374999999999"/>
    <n v="0"/>
    <n v="301.19375000000002"/>
    <n v="1034.59222116"/>
    <n v="0.77451945408706258"/>
    <x v="1"/>
    <s v="MEDIANO"/>
    <x v="5"/>
    <x v="1"/>
    <n v="12"/>
    <n v="1"/>
    <d v="2018-09-06T00:00:00"/>
    <s v="KIA"/>
    <s v="CERATO"/>
    <n v="0"/>
    <d v="2018-09-10T00:00:00"/>
    <n v="10"/>
    <x v="1"/>
  </r>
  <r>
    <d v="2018-09-06T00:00:00"/>
    <s v="001-00013425"/>
    <n v="646.56192657762904"/>
    <n v="532.5312471499999"/>
    <n v="0"/>
    <n v="0"/>
    <n v="39.048749999999998"/>
    <n v="0"/>
    <n v="0"/>
    <n v="0"/>
    <n v="571.57999714999994"/>
    <n v="74.981929427629098"/>
    <n v="0.11597022086426"/>
    <x v="0"/>
    <s v="MECANICA"/>
    <x v="5"/>
    <x v="1"/>
    <n v="0"/>
    <n v="1"/>
    <d v="2018-09-06T00:00:00"/>
    <s v="HYUNDAI"/>
    <s v="SANTA FE"/>
    <n v="0"/>
    <d v="2018-09-06T00:00:00"/>
    <n v="0"/>
    <x v="1173"/>
  </r>
  <r>
    <d v="2018-09-07T00:00:00"/>
    <s v="001-00013427"/>
    <n v="196.94903406780003"/>
    <n v="0"/>
    <n v="0"/>
    <n v="0"/>
    <n v="0"/>
    <n v="21.9375"/>
    <n v="61.977499999999999"/>
    <n v="0"/>
    <n v="83.914999999999992"/>
    <n v="113.03403406780004"/>
    <n v="0.57392530307555545"/>
    <x v="0"/>
    <s v="LEVE"/>
    <x v="5"/>
    <x v="1"/>
    <n v="1"/>
    <n v="1"/>
    <d v="2018-09-06T00:00:00"/>
    <s v="TOYOTA"/>
    <s v="YARIS"/>
    <n v="0"/>
    <d v="2018-09-06T00:00:00"/>
    <n v="1.5"/>
    <x v="1097"/>
  </r>
  <r>
    <d v="2018-09-17T00:00:00"/>
    <s v="001-00013428"/>
    <n v="927.86189760000002"/>
    <n v="0"/>
    <n v="0"/>
    <n v="93.75"/>
    <n v="7.3125"/>
    <n v="43.875"/>
    <n v="123.955"/>
    <n v="0"/>
    <n v="268.89249999999998"/>
    <n v="658.96939760000009"/>
    <n v="0.7102020239267125"/>
    <x v="1"/>
    <s v="MEDIANO"/>
    <x v="5"/>
    <x v="1"/>
    <n v="11"/>
    <n v="1"/>
    <d v="2018-09-06T00:00:00"/>
    <s v="KIA"/>
    <s v="SPORTAGE"/>
    <n v="3133.7474999999999"/>
    <d v="2018-09-05T00:00:00"/>
    <n v="3"/>
    <x v="1167"/>
  </r>
  <r>
    <d v="2018-09-07T00:00:00"/>
    <s v="001-00013429"/>
    <n v="249"/>
    <n v="52.399601299999986"/>
    <n v="0"/>
    <n v="0"/>
    <n v="39.048749999999998"/>
    <n v="0"/>
    <n v="0"/>
    <n v="0"/>
    <n v="91.448351299999985"/>
    <n v="157.55164870000002"/>
    <n v="0.63273754497991974"/>
    <x v="0"/>
    <s v="MECANICA"/>
    <x v="5"/>
    <x v="1"/>
    <n v="1"/>
    <n v="1"/>
    <d v="2018-09-06T00:00:00"/>
    <s v="SUZUKI"/>
    <s v="SWIFT"/>
    <n v="0"/>
    <d v="2018-09-06T00:00:00"/>
    <n v="0"/>
    <x v="497"/>
  </r>
  <r>
    <d v="2018-09-12T00:00:00"/>
    <s v="001-00013430"/>
    <n v="684.23283972288004"/>
    <n v="0.88550000999999989"/>
    <n v="0"/>
    <n v="20"/>
    <n v="0"/>
    <n v="43.875"/>
    <n v="123.955"/>
    <n v="0"/>
    <n v="188.71550001"/>
    <n v="495.51733971288002"/>
    <n v="0.72419403300427476"/>
    <x v="1"/>
    <s v="LEVE"/>
    <x v="5"/>
    <x v="1"/>
    <n v="6"/>
    <n v="1"/>
    <d v="2018-09-06T00:00:00"/>
    <s v="TOYOTA"/>
    <s v="RAV4"/>
    <n v="298.08999999999997"/>
    <d v="2018-09-06T00:00:00"/>
    <n v="3"/>
    <x v="999"/>
  </r>
  <r>
    <d v="2018-09-15T00:00:00"/>
    <s v="001-00013432"/>
    <n v="488.18251480000004"/>
    <n v="0"/>
    <n v="0"/>
    <n v="0"/>
    <n v="0"/>
    <n v="29.25"/>
    <n v="108.46062500000001"/>
    <n v="0"/>
    <n v="137.71062499999999"/>
    <n v="350.47188980000004"/>
    <n v="0.71791159899199242"/>
    <x v="1"/>
    <s v="LEVE"/>
    <x v="5"/>
    <x v="1"/>
    <n v="9"/>
    <n v="1"/>
    <d v="2018-09-06T00:00:00"/>
    <s v="CHEVROLET"/>
    <s v="N300"/>
    <n v="237.64000000000001"/>
    <d v="2018-09-06T00:00:00"/>
    <n v="2"/>
    <x v="1"/>
  </r>
  <r>
    <d v="2018-09-15T00:00:00"/>
    <s v="001-00013434"/>
    <n v="904"/>
    <n v="269.7481075"/>
    <n v="0"/>
    <n v="0"/>
    <n v="78.097499999999997"/>
    <n v="0"/>
    <n v="0"/>
    <n v="0"/>
    <n v="347.84560750000003"/>
    <n v="556.15439249999997"/>
    <n v="0.61521503595132743"/>
    <x v="0"/>
    <s v="MECANICA"/>
    <x v="5"/>
    <x v="1"/>
    <n v="9"/>
    <n v="1"/>
    <d v="2018-09-06T00:00:00"/>
    <s v="HYUNDAI"/>
    <s v="I10"/>
    <n v="494.97500000000002"/>
    <d v="2018-09-06T00:00:00"/>
    <n v="0"/>
    <x v="423"/>
  </r>
  <r>
    <d v="2018-09-15T00:00:00"/>
    <s v="001-00013435"/>
    <n v="829.16845280000007"/>
    <n v="0"/>
    <n v="0"/>
    <n v="0"/>
    <n v="0"/>
    <n v="54.112500000000004"/>
    <n v="139.449375"/>
    <n v="0"/>
    <n v="193.56187500000001"/>
    <n v="635.60657780000008"/>
    <n v="0.7665590455758835"/>
    <x v="1"/>
    <s v="LEVE"/>
    <x v="5"/>
    <x v="1"/>
    <n v="9"/>
    <n v="1"/>
    <d v="2018-09-06T00:00:00"/>
    <s v="HYUNDAI"/>
    <s v="ACCENT"/>
    <n v="533.74749999999995"/>
    <d v="2018-09-07T00:00:00"/>
    <n v="3.7"/>
    <x v="1"/>
  </r>
  <r>
    <d v="2018-09-07T00:00:00"/>
    <s v="001-00013436"/>
    <n v="1296"/>
    <n v="610.39845315000002"/>
    <n v="0"/>
    <n v="16.95"/>
    <n v="39.048749999999998"/>
    <n v="0"/>
    <n v="0"/>
    <n v="0"/>
    <n v="666.39720315000011"/>
    <n v="629.60279684999989"/>
    <n v="0.48580462719907397"/>
    <x v="0"/>
    <s v="MECANICA"/>
    <x v="5"/>
    <x v="1"/>
    <n v="0"/>
    <n v="1"/>
    <d v="2018-09-07T00:00:00"/>
    <s v="KIA"/>
    <s v="SORENTO"/>
    <n v="713.18"/>
    <d v="2018-09-07T00:00:00"/>
    <n v="0"/>
    <x v="157"/>
  </r>
  <r>
    <d v="2018-09-07T00:00:00"/>
    <s v="001-00013437"/>
    <n v="919"/>
    <n v="244.22531040000001"/>
    <n v="0"/>
    <n v="38.14"/>
    <n v="78.097499999999997"/>
    <n v="0"/>
    <n v="0"/>
    <n v="0"/>
    <n v="360.46281039999997"/>
    <n v="558.53718960000003"/>
    <n v="0.60776625636561488"/>
    <x v="0"/>
    <s v="MECANICA"/>
    <x v="5"/>
    <x v="1"/>
    <n v="0"/>
    <n v="1"/>
    <d v="2018-09-07T00:00:00"/>
    <s v="KIA"/>
    <s v="RIO"/>
    <n v="411.255"/>
    <d v="2018-09-07T00:00:00"/>
    <n v="0"/>
    <x v="1174"/>
  </r>
  <r>
    <d v="2018-09-20T00:00:00"/>
    <s v="001-00013439"/>
    <n v="1110.7040795567787"/>
    <n v="0"/>
    <n v="0"/>
    <n v="18"/>
    <n v="0"/>
    <n v="35.099999999999994"/>
    <n v="123.955"/>
    <n v="0"/>
    <n v="177.05500000000001"/>
    <n v="933.64907955677859"/>
    <n v="0.84059210436081855"/>
    <x v="1"/>
    <s v="LEVE"/>
    <x v="5"/>
    <x v="1"/>
    <n v="13"/>
    <n v="1"/>
    <d v="2018-09-07T00:00:00"/>
    <s v="MAZDA"/>
    <s v="CX-5"/>
    <n v="94.477500000000006"/>
    <d v="2018-09-07T00:00:00"/>
    <n v="2.4"/>
    <x v="1"/>
  </r>
  <r>
    <d v="2018-09-19T00:00:00"/>
    <s v="001-00013442"/>
    <n v="969.63639119186087"/>
    <n v="0"/>
    <n v="0"/>
    <n v="15"/>
    <n v="0"/>
    <n v="58.5"/>
    <n v="216.92125000000001"/>
    <n v="0"/>
    <n v="290.42124999999999"/>
    <n v="679.21514119186088"/>
    <n v="0.70048437472213787"/>
    <x v="1"/>
    <s v="LEVE"/>
    <x v="5"/>
    <x v="1"/>
    <n v="12"/>
    <n v="1"/>
    <d v="2018-09-07T00:00:00"/>
    <s v="VW"/>
    <s v="GOL"/>
    <n v="2375.4899999999998"/>
    <d v="2018-09-07T00:00:00"/>
    <n v="4"/>
    <x v="967"/>
  </r>
  <r>
    <d v="2018-09-15T00:00:00"/>
    <s v="001-00013445"/>
    <n v="1219.0514967599997"/>
    <n v="0"/>
    <n v="0"/>
    <n v="152.54"/>
    <n v="2.9250000000000003"/>
    <n v="58.5"/>
    <n v="228.69697500000001"/>
    <n v="0"/>
    <n v="442.66197499999998"/>
    <n v="776.38952175999975"/>
    <n v="0.63688000369425835"/>
    <x v="1"/>
    <s v="LEVE"/>
    <x v="5"/>
    <x v="1"/>
    <n v="8"/>
    <n v="1"/>
    <d v="2018-09-07T00:00:00"/>
    <s v="KIA"/>
    <s v="RIO"/>
    <n v="1333.28"/>
    <d v="2018-09-07T00:00:00"/>
    <n v="4"/>
    <x v="1"/>
  </r>
  <r>
    <d v="2018-09-07T00:00:00"/>
    <s v="001-00013448"/>
    <n v="1186.4407000000001"/>
    <n v="0"/>
    <n v="0"/>
    <n v="0"/>
    <n v="0"/>
    <n v="0"/>
    <n v="0"/>
    <n v="0"/>
    <n v="0"/>
    <n v="1186.4407000000001"/>
    <n v="1"/>
    <x v="4"/>
    <s v="S/TIPO"/>
    <x v="5"/>
    <x v="1"/>
    <n v="0"/>
    <n v="1"/>
    <d v="2018-09-07T00:00:00"/>
    <s v="S/MARCA"/>
    <s v="S/MODELO"/>
    <n v="0"/>
    <s v="F/Fecha"/>
    <n v="0"/>
    <x v="1175"/>
  </r>
  <r>
    <d v="2018-09-10T00:00:00"/>
    <s v="001-00013451"/>
    <n v="206.62710200000001"/>
    <n v="52.399601299999986"/>
    <n v="0"/>
    <n v="0"/>
    <n v="39.048749999999998"/>
    <n v="0"/>
    <n v="0"/>
    <n v="0"/>
    <n v="91.448351299999985"/>
    <n v="115.17875070000002"/>
    <n v="0.55742324983099278"/>
    <x v="0"/>
    <s v="MECANICA"/>
    <x v="5"/>
    <x v="1"/>
    <n v="2"/>
    <n v="1"/>
    <d v="2018-09-08T00:00:00"/>
    <s v="SUZUKI"/>
    <s v="SWIFT"/>
    <n v="0"/>
    <d v="2018-09-08T00:00:00"/>
    <n v="0"/>
    <x v="1176"/>
  </r>
  <r>
    <d v="2018-09-18T00:00:00"/>
    <s v="001-00013452"/>
    <n v="1554.8106892400001"/>
    <n v="0"/>
    <n v="0"/>
    <n v="10"/>
    <n v="0"/>
    <n v="234"/>
    <n v="185.9325"/>
    <n v="0"/>
    <n v="429.9325"/>
    <n v="1124.8781892400002"/>
    <n v="0.72348241301958549"/>
    <x v="1"/>
    <s v="MEDIANO"/>
    <x v="5"/>
    <x v="1"/>
    <n v="10"/>
    <n v="1"/>
    <d v="2018-09-08T00:00:00"/>
    <s v="KIA"/>
    <s v="CERATO"/>
    <n v="343.16750000000002"/>
    <d v="2018-09-10T00:00:00"/>
    <n v="16"/>
    <x v="1"/>
  </r>
  <r>
    <d v="2018-09-14T00:00:00"/>
    <s v="001-00013453"/>
    <n v="7213.8973933249999"/>
    <n v="3290.9360070000002"/>
    <n v="0"/>
    <n v="84.75"/>
    <n v="29.25"/>
    <n v="438.75"/>
    <n v="433.84250000000003"/>
    <n v="0"/>
    <n v="4277.528507"/>
    <n v="2936.3688863249999"/>
    <n v="0.40704333957425209"/>
    <x v="0"/>
    <s v="MEDIANO"/>
    <x v="5"/>
    <x v="1"/>
    <n v="6"/>
    <n v="1"/>
    <d v="2018-09-08T00:00:00"/>
    <s v="KIA"/>
    <s v="RIO"/>
    <n v="3866.1674999999996"/>
    <d v="2018-09-10T00:00:00"/>
    <n v="30"/>
    <x v="1177"/>
  </r>
  <r>
    <d v="2018-09-15T00:00:00"/>
    <s v="001-00013455"/>
    <n v="190.69785440000004"/>
    <n v="0"/>
    <n v="0"/>
    <n v="18"/>
    <n v="0"/>
    <n v="18.28125"/>
    <n v="46.483125000000001"/>
    <n v="0"/>
    <n v="82.764375000000001"/>
    <n v="107.93347940000004"/>
    <n v="0.56599210169194236"/>
    <x v="2"/>
    <s v="LEVE"/>
    <x v="5"/>
    <x v="1"/>
    <n v="7"/>
    <n v="1"/>
    <d v="2018-09-08T00:00:00"/>
    <s v="TOYOTA"/>
    <s v="LAND C."/>
    <n v="4268.9075000000003"/>
    <d v="2018-08-29T00:00:00"/>
    <n v="1.25"/>
    <x v="2"/>
  </r>
  <r>
    <d v="2018-09-22T00:00:00"/>
    <s v="001-00013457"/>
    <n v="2815.5149999999994"/>
    <n v="0"/>
    <n v="0"/>
    <n v="0"/>
    <n v="0"/>
    <n v="234"/>
    <n v="495.82"/>
    <n v="0"/>
    <n v="729.81999999999994"/>
    <n v="2085.6949999999997"/>
    <n v="0.74078632150778811"/>
    <x v="1"/>
    <s v="MEDIANO"/>
    <x v="5"/>
    <x v="1"/>
    <n v="14"/>
    <n v="1"/>
    <d v="2018-09-08T00:00:00"/>
    <s v="NISSAN"/>
    <s v="VERSA"/>
    <n v="2538.5100000000002"/>
    <d v="2018-09-10T00:00:00"/>
    <n v="16"/>
    <x v="1"/>
  </r>
  <r>
    <d v="2018-09-17T00:00:00"/>
    <s v="001-00013458"/>
    <n v="1312.3491165159996"/>
    <n v="0"/>
    <n v="0"/>
    <n v="0"/>
    <n v="0"/>
    <n v="131.625"/>
    <n v="201.426875"/>
    <n v="0"/>
    <n v="333.051875"/>
    <n v="979.29724151599964"/>
    <n v="0.74621701587746714"/>
    <x v="0"/>
    <s v="MEDIANO"/>
    <x v="5"/>
    <x v="1"/>
    <n v="9"/>
    <n v="1"/>
    <d v="2018-09-08T00:00:00"/>
    <s v="HYUNDAI"/>
    <s v="I10"/>
    <n v="0"/>
    <d v="2018-09-10T00:00:00"/>
    <n v="9"/>
    <x v="1178"/>
  </r>
  <r>
    <d v="2018-09-22T00:00:00"/>
    <s v="001-00013460"/>
    <n v="482.28488667900007"/>
    <n v="0"/>
    <n v="0"/>
    <n v="12"/>
    <n v="0"/>
    <n v="58.5"/>
    <n v="77.471874999999997"/>
    <n v="0"/>
    <n v="147.97187500000001"/>
    <n v="334.31301167900006"/>
    <n v="0.69318575164374296"/>
    <x v="1"/>
    <s v="LEVE"/>
    <x v="5"/>
    <x v="1"/>
    <n v="12"/>
    <n v="1"/>
    <d v="2018-09-10T00:00:00"/>
    <s v="TOYOTA"/>
    <s v="RAV4"/>
    <n v="1515.0525"/>
    <d v="2018-09-10T00:00:00"/>
    <n v="4"/>
    <x v="1"/>
  </r>
  <r>
    <d v="2018-09-10T00:00:00"/>
    <s v="001-00013462"/>
    <n v="549"/>
    <n v="173.14970015000003"/>
    <n v="0"/>
    <n v="0"/>
    <n v="39.048749999999998"/>
    <n v="0"/>
    <n v="0"/>
    <n v="0"/>
    <n v="212.19845015000004"/>
    <n v="336.80154984999996"/>
    <n v="0.61348187586520941"/>
    <x v="0"/>
    <s v="MECANICA"/>
    <x v="5"/>
    <x v="1"/>
    <n v="2"/>
    <n v="1"/>
    <d v="2018-09-08T00:00:00"/>
    <s v="HYUNDAI"/>
    <s v="TUCSON"/>
    <n v="0"/>
    <d v="2018-09-10T00:00:00"/>
    <n v="0"/>
    <x v="1179"/>
  </r>
  <r>
    <d v="2018-09-22T00:00:00"/>
    <s v="001-00013466"/>
    <n v="658.26510189999999"/>
    <n v="0"/>
    <n v="0"/>
    <n v="20"/>
    <n v="0"/>
    <n v="36.5625"/>
    <n v="123.955"/>
    <n v="0"/>
    <n v="180.51749999999998"/>
    <n v="477.74760190000001"/>
    <n v="0.72576778036848866"/>
    <x v="1"/>
    <s v="LEVE"/>
    <x v="5"/>
    <x v="1"/>
    <n v="12"/>
    <n v="1"/>
    <d v="2018-09-10T00:00:00"/>
    <s v="SUZUKI"/>
    <s v="GRAND N."/>
    <n v="2450.4349999999999"/>
    <d v="2018-09-10T00:00:00"/>
    <n v="2.5"/>
    <x v="999"/>
  </r>
  <r>
    <d v="2018-09-17T00:00:00"/>
    <s v="001-00013467"/>
    <n v="737.81"/>
    <n v="0"/>
    <n v="0"/>
    <n v="0"/>
    <n v="0"/>
    <n v="58.5"/>
    <n v="154.94374999999999"/>
    <n v="0"/>
    <n v="213.44374999999999"/>
    <n v="524.36624999999992"/>
    <n v="0.71070634716254855"/>
    <x v="1"/>
    <s v="LEVE"/>
    <x v="5"/>
    <x v="1"/>
    <n v="7"/>
    <n v="1"/>
    <d v="2018-09-10T00:00:00"/>
    <s v="MITSUBISHI"/>
    <s v="MONTERO"/>
    <n v="2614.2350000000001"/>
    <d v="2018-09-11T00:00:00"/>
    <n v="4"/>
    <x v="1"/>
  </r>
  <r>
    <d v="2018-09-21T00:00:00"/>
    <s v="001-00013469"/>
    <n v="839.23487999999986"/>
    <n v="0"/>
    <n v="0"/>
    <n v="76.27"/>
    <n v="0"/>
    <n v="36.5625"/>
    <n v="122.71545"/>
    <n v="0"/>
    <n v="235.54795000000001"/>
    <n v="603.68692999999985"/>
    <n v="0.71933012364786353"/>
    <x v="1"/>
    <s v="LEVE"/>
    <x v="5"/>
    <x v="1"/>
    <n v="11"/>
    <n v="1"/>
    <d v="2018-09-10T00:00:00"/>
    <s v="SUZUKI"/>
    <s v="SWIFT"/>
    <n v="26.52"/>
    <d v="2018-09-10T00:00:00"/>
    <n v="2.5"/>
    <x v="1"/>
  </r>
  <r>
    <d v="2018-09-19T00:00:00"/>
    <s v="001-00013470"/>
    <n v="1735.1019907316909"/>
    <n v="0"/>
    <n v="0"/>
    <n v="76.27"/>
    <n v="5.8500000000000005"/>
    <n v="146.25"/>
    <n v="295.0129"/>
    <n v="0"/>
    <n v="523.38290000000006"/>
    <n v="1211.7190907316908"/>
    <n v="0.69835611808658582"/>
    <x v="1"/>
    <s v="MEDIANO"/>
    <x v="5"/>
    <x v="1"/>
    <n v="9"/>
    <n v="1"/>
    <d v="2018-09-10T00:00:00"/>
    <s v="VW"/>
    <s v="JETTA"/>
    <n v="207.3175"/>
    <d v="2018-09-10T00:00:00"/>
    <n v="10"/>
    <x v="1"/>
  </r>
  <r>
    <d v="2018-09-13T00:00:00"/>
    <s v="001-00013471"/>
    <n v="3170"/>
    <n v="1610.855483"/>
    <n v="0"/>
    <n v="88.99"/>
    <n v="29.25"/>
    <n v="0"/>
    <n v="0"/>
    <n v="0"/>
    <n v="1729.0954830000001"/>
    <n v="1440.9045169999999"/>
    <n v="0.45454401167192426"/>
    <x v="0"/>
    <s v="MECANICA"/>
    <x v="5"/>
    <x v="1"/>
    <n v="3"/>
    <n v="1"/>
    <d v="2018-09-10T00:00:00"/>
    <s v="HYUNDAI"/>
    <s v="I10"/>
    <n v="0"/>
    <d v="2018-09-04T00:00:00"/>
    <n v="0"/>
    <x v="672"/>
  </r>
  <r>
    <d v="2018-09-25T00:00:00"/>
    <s v="001-00013472"/>
    <n v="2068.31691"/>
    <n v="1.1869999999999998"/>
    <n v="0"/>
    <n v="55.084745762711869"/>
    <n v="0"/>
    <n v="234"/>
    <n v="227.45742500000003"/>
    <n v="0"/>
    <n v="517.72917076271187"/>
    <n v="1550.5877392372881"/>
    <n v="0.74968576224486227"/>
    <x v="1"/>
    <s v="MEDIANO"/>
    <x v="5"/>
    <x v="1"/>
    <n v="15"/>
    <n v="1"/>
    <d v="2018-09-10T00:00:00"/>
    <s v="KIA"/>
    <s v="RIO"/>
    <n v="1972.2950000000001"/>
    <d v="2018-09-12T00:00:00"/>
    <n v="16"/>
    <x v="1"/>
  </r>
  <r>
    <d v="2018-09-13T00:00:00"/>
    <s v="001-00013473"/>
    <n v="99.930002999999999"/>
    <n v="0"/>
    <n v="0"/>
    <n v="0"/>
    <n v="0"/>
    <n v="0"/>
    <n v="0"/>
    <n v="0"/>
    <n v="0"/>
    <n v="99.930002999999999"/>
    <n v="1"/>
    <x v="0"/>
    <s v="LEVE"/>
    <x v="5"/>
    <x v="1"/>
    <n v="3"/>
    <n v="1"/>
    <d v="2018-09-10T00:00:00"/>
    <s v="HYUNDAI"/>
    <s v="I10"/>
    <n v="0"/>
    <d v="2018-09-10T00:00:00"/>
    <n v="0"/>
    <x v="1101"/>
  </r>
  <r>
    <d v="2018-09-19T00:00:00"/>
    <s v="001-00013475"/>
    <n v="1483.2456829581392"/>
    <n v="22.030000999999992"/>
    <n v="0"/>
    <n v="0"/>
    <n v="0"/>
    <n v="146.25"/>
    <n v="185.9325"/>
    <n v="0"/>
    <n v="354.21250099999997"/>
    <n v="1129.0331819581393"/>
    <n v="0.7611909442449416"/>
    <x v="1"/>
    <s v="MEDIANO"/>
    <x v="5"/>
    <x v="1"/>
    <n v="9"/>
    <n v="1"/>
    <d v="2018-09-10T00:00:00"/>
    <s v="KIA"/>
    <s v="RIO"/>
    <n v="1377.9025000000001"/>
    <d v="2018-09-12T00:00:00"/>
    <n v="10"/>
    <x v="1"/>
  </r>
  <r>
    <d v="2018-09-12T00:00:00"/>
    <s v="001-00013476"/>
    <n v="494.10171999999989"/>
    <n v="218.37350325000003"/>
    <n v="0"/>
    <n v="0"/>
    <n v="39.048749999999998"/>
    <n v="0"/>
    <n v="0"/>
    <n v="0"/>
    <n v="257.42225325000004"/>
    <n v="236.67946674999985"/>
    <n v="0.47900959897488293"/>
    <x v="0"/>
    <s v="MECANICA"/>
    <x v="5"/>
    <x v="1"/>
    <n v="2"/>
    <n v="1"/>
    <d v="2018-09-10T00:00:00"/>
    <s v="TOYOTA"/>
    <s v="RAV4"/>
    <n v="0"/>
    <d v="2018-09-10T00:00:00"/>
    <n v="0"/>
    <x v="999"/>
  </r>
  <r>
    <d v="2018-09-21T00:00:00"/>
    <s v="001-00013477"/>
    <n v="738.86438999999996"/>
    <n v="0"/>
    <n v="0"/>
    <n v="0"/>
    <n v="0"/>
    <n v="43.875"/>
    <n v="123.955"/>
    <n v="0"/>
    <n v="167.82999999999998"/>
    <n v="571.03439000000003"/>
    <n v="0.77285412279782495"/>
    <x v="1"/>
    <s v="LEVE"/>
    <x v="5"/>
    <x v="1"/>
    <n v="11"/>
    <n v="1"/>
    <d v="2018-09-10T00:00:00"/>
    <s v="NISSAN"/>
    <s v="VERSA"/>
    <n v="1532.3425"/>
    <d v="2018-09-11T00:00:00"/>
    <n v="3"/>
    <x v="1"/>
  </r>
  <r>
    <d v="2018-09-21T00:00:00"/>
    <s v="001-00013478"/>
    <n v="2189.521917"/>
    <n v="0"/>
    <n v="0"/>
    <n v="76.27"/>
    <n v="7.3125"/>
    <n v="204.75"/>
    <n v="263.40437500000002"/>
    <n v="0"/>
    <n v="551.73687500000005"/>
    <n v="1637.785042"/>
    <n v="0.74801034384895815"/>
    <x v="1"/>
    <s v="MEDIANO"/>
    <x v="5"/>
    <x v="1"/>
    <n v="11"/>
    <n v="1"/>
    <d v="2018-09-10T00:00:00"/>
    <s v="SUZUKI"/>
    <s v="VITARA"/>
    <n v="411.32"/>
    <d v="2018-09-11T00:00:00"/>
    <n v="14"/>
    <x v="1"/>
  </r>
  <r>
    <d v="2018-09-22T00:00:00"/>
    <s v="001-00013479"/>
    <n v="879.23099999999999"/>
    <n v="0"/>
    <n v="0"/>
    <n v="0"/>
    <n v="0"/>
    <n v="73.125"/>
    <n v="185.9325"/>
    <n v="0"/>
    <n v="259.0575"/>
    <n v="620.17349999999999"/>
    <n v="0.7053590012181099"/>
    <x v="1"/>
    <s v="LEVE"/>
    <x v="5"/>
    <x v="1"/>
    <n v="12"/>
    <n v="1"/>
    <d v="2018-09-10T00:00:00"/>
    <s v="CITROEN"/>
    <s v="C-ELYSE"/>
    <n v="1448.46"/>
    <d v="2018-09-12T00:00:00"/>
    <n v="5"/>
    <x v="1"/>
  </r>
  <r>
    <d v="2018-09-22T00:00:00"/>
    <s v="001-00013480"/>
    <n v="560.00528477900002"/>
    <n v="0"/>
    <n v="0"/>
    <n v="0"/>
    <n v="0"/>
    <n v="30.712500000000002"/>
    <n v="61.977499999999999"/>
    <n v="0"/>
    <n v="92.69"/>
    <n v="467.31528477900002"/>
    <n v="0.83448370485185852"/>
    <x v="1"/>
    <s v="LEVE"/>
    <x v="5"/>
    <x v="1"/>
    <n v="12"/>
    <n v="1"/>
    <d v="2018-09-10T00:00:00"/>
    <s v="MAZDA"/>
    <s v="CX-5"/>
    <n v="346.58"/>
    <d v="2018-09-11T00:00:00"/>
    <n v="2.1"/>
    <x v="1"/>
  </r>
  <r>
    <d v="2018-09-18T00:00:00"/>
    <s v="001-00013483"/>
    <n v="1084.3319999999999"/>
    <n v="0"/>
    <n v="0"/>
    <n v="0"/>
    <n v="0"/>
    <n v="102.375"/>
    <n v="185.9325"/>
    <n v="0"/>
    <n v="288.3075"/>
    <n v="796.02449999999988"/>
    <n v="0.73411510496785115"/>
    <x v="1"/>
    <s v="MEDIANO"/>
    <x v="5"/>
    <x v="1"/>
    <n v="8"/>
    <n v="1"/>
    <d v="2018-09-10T00:00:00"/>
    <s v="HYUNDAI"/>
    <s v="CRETA"/>
    <n v="2341.9825000000001"/>
    <d v="2018-09-12T00:00:00"/>
    <n v="7"/>
    <x v="1"/>
  </r>
  <r>
    <d v="2018-09-17T00:00:00"/>
    <s v="001-00013484"/>
    <n v="2748"/>
    <n v="1434.39951425"/>
    <n v="0"/>
    <n v="55.09"/>
    <n v="78.097499999999997"/>
    <n v="0"/>
    <n v="0"/>
    <n v="0"/>
    <n v="1567.58701425"/>
    <n v="1180.41298575"/>
    <n v="0.42955348826419215"/>
    <x v="0"/>
    <s v="MECANICA"/>
    <x v="5"/>
    <x v="1"/>
    <n v="7"/>
    <n v="1"/>
    <d v="2018-09-10T00:00:00"/>
    <s v="MG"/>
    <s v="MG350"/>
    <n v="1698.97"/>
    <d v="2018-09-10T00:00:00"/>
    <n v="0"/>
    <x v="896"/>
  </r>
  <r>
    <d v="2018-09-21T00:00:00"/>
    <s v="001-00013485"/>
    <n v="937.39568999999995"/>
    <n v="0"/>
    <n v="0"/>
    <n v="0"/>
    <n v="0"/>
    <n v="73.125"/>
    <n v="154.94374999999999"/>
    <n v="0"/>
    <n v="228.06874999999999"/>
    <n v="709.32693999999992"/>
    <n v="0.75669959609052606"/>
    <x v="1"/>
    <s v="LEVE"/>
    <x v="5"/>
    <x v="1"/>
    <n v="11"/>
    <n v="1"/>
    <d v="2018-09-10T00:00:00"/>
    <s v="HYUNDAI"/>
    <s v="TUCSON"/>
    <n v="2056.7625000000003"/>
    <d v="2018-09-11T00:00:00"/>
    <n v="5"/>
    <x v="1"/>
  </r>
  <r>
    <d v="2018-09-11T00:00:00"/>
    <s v="001-00013486"/>
    <n v="249"/>
    <n v="52.087600999999992"/>
    <n v="0"/>
    <n v="0"/>
    <n v="39.048749999999998"/>
    <n v="0"/>
    <n v="0"/>
    <n v="0"/>
    <n v="91.136350999999991"/>
    <n v="157.86364900000001"/>
    <n v="0.63399055823293171"/>
    <x v="0"/>
    <s v="MECANICA"/>
    <x v="5"/>
    <x v="1"/>
    <n v="2"/>
    <n v="1"/>
    <d v="2018-09-09T00:00:00"/>
    <s v="HYUNDAI"/>
    <s v="ACCENT"/>
    <n v="0"/>
    <d v="2018-09-11T00:00:00"/>
    <n v="0"/>
    <x v="195"/>
  </r>
  <r>
    <d v="2018-09-28T00:00:00"/>
    <s v="001-00013489"/>
    <n v="1584.9281556300002"/>
    <n v="0"/>
    <n v="0"/>
    <n v="88.27"/>
    <n v="0"/>
    <n v="73.125"/>
    <n v="325.38187500000004"/>
    <n v="0"/>
    <n v="486.77687500000002"/>
    <n v="1098.1512806300002"/>
    <n v="0.69287133093644304"/>
    <x v="1"/>
    <s v="LEVE"/>
    <x v="5"/>
    <x v="1"/>
    <n v="17"/>
    <n v="1"/>
    <d v="2018-09-11T00:00:00"/>
    <s v="SUZUKI"/>
    <s v="BALENO"/>
    <n v="1583.9525000000001"/>
    <d v="2018-09-12T00:00:00"/>
    <n v="5"/>
    <x v="1"/>
  </r>
  <r>
    <d v="2018-09-26T00:00:00"/>
    <s v="001-00013491"/>
    <n v="1031.472"/>
    <n v="0"/>
    <n v="0"/>
    <n v="0"/>
    <n v="0"/>
    <n v="102.375"/>
    <n v="185.9325"/>
    <n v="0"/>
    <n v="288.3075"/>
    <n v="743.16449999999998"/>
    <n v="0.72048926194797336"/>
    <x v="1"/>
    <s v="MEDIANO"/>
    <x v="5"/>
    <x v="1"/>
    <n v="15"/>
    <n v="1"/>
    <d v="2018-09-11T00:00:00"/>
    <s v="SUZUKI"/>
    <s v="SWIFT"/>
    <n v="0"/>
    <d v="2018-09-15T00:00:00"/>
    <n v="7"/>
    <x v="1"/>
  </r>
  <r>
    <d v="2018-09-14T00:00:00"/>
    <s v="001-00013493"/>
    <n v="643.38750000000005"/>
    <n v="0"/>
    <n v="0"/>
    <n v="0"/>
    <n v="0"/>
    <n v="73.125"/>
    <n v="92.966250000000002"/>
    <n v="0"/>
    <n v="166.09125"/>
    <n v="477.29625000000004"/>
    <n v="0.7418488080666783"/>
    <x v="1"/>
    <s v="MEDIANO"/>
    <x v="5"/>
    <x v="1"/>
    <n v="3"/>
    <n v="1"/>
    <d v="2018-09-11T00:00:00"/>
    <s v="NISSAN"/>
    <s v="NP300"/>
    <n v="377.22749999999996"/>
    <d v="2018-08-03T00:00:00"/>
    <n v="5"/>
    <x v="1071"/>
  </r>
  <r>
    <d v="2018-09-19T00:00:00"/>
    <s v="001-00013496"/>
    <n v="1375.3149351754196"/>
    <n v="0"/>
    <n v="0"/>
    <n v="0"/>
    <n v="0"/>
    <n v="102.375"/>
    <n v="263.40437500000002"/>
    <n v="0"/>
    <n v="365.77937500000002"/>
    <n v="1009.5355601754195"/>
    <n v="0.73403955294548928"/>
    <x v="1"/>
    <s v="MEDIANO"/>
    <x v="5"/>
    <x v="1"/>
    <n v="8"/>
    <n v="1"/>
    <d v="2018-09-11T00:00:00"/>
    <s v="KIA"/>
    <s v="RIO"/>
    <n v="806"/>
    <d v="2018-09-12T00:00:00"/>
    <n v="7"/>
    <x v="1"/>
  </r>
  <r>
    <d v="2018-09-22T00:00:00"/>
    <s v="001-00013497"/>
    <n v="296.37"/>
    <n v="0"/>
    <n v="0"/>
    <n v="0"/>
    <n v="0"/>
    <n v="29.25"/>
    <n v="61.977499999999999"/>
    <n v="0"/>
    <n v="91.227499999999992"/>
    <n v="205.14250000000001"/>
    <n v="0.69218375679049837"/>
    <x v="0"/>
    <s v="LEVE"/>
    <x v="5"/>
    <x v="1"/>
    <n v="11"/>
    <n v="1"/>
    <d v="2018-09-11T00:00:00"/>
    <s v="TOYOTA"/>
    <s v="RAV4"/>
    <n v="0"/>
    <d v="2018-09-11T00:00:00"/>
    <n v="2"/>
    <x v="1180"/>
  </r>
  <r>
    <d v="2018-09-20T00:00:00"/>
    <s v="001-00013498"/>
    <n v="393.29501189999996"/>
    <n v="0"/>
    <n v="0"/>
    <n v="20"/>
    <n v="0"/>
    <n v="51.1875"/>
    <n v="61.977499999999999"/>
    <n v="0"/>
    <n v="133.16499999999999"/>
    <n v="260.1300119"/>
    <n v="0.6614119275078455"/>
    <x v="1"/>
    <s v="LEVE"/>
    <x v="5"/>
    <x v="1"/>
    <n v="9"/>
    <n v="1"/>
    <d v="2018-09-11T00:00:00"/>
    <s v="HYUNDAI"/>
    <s v="CRETA"/>
    <n v="1431.3325"/>
    <d v="2018-09-12T00:00:00"/>
    <n v="3.5"/>
    <x v="1"/>
  </r>
  <r>
    <d v="2018-09-15T00:00:00"/>
    <s v="001-00013499"/>
    <n v="720.33898999999997"/>
    <n v="0"/>
    <n v="0"/>
    <n v="0"/>
    <n v="0"/>
    <n v="73.125"/>
    <n v="123.955"/>
    <n v="0"/>
    <n v="197.07999999999998"/>
    <n v="523.25899000000004"/>
    <n v="0.72640659087466597"/>
    <x v="0"/>
    <s v="LEVE"/>
    <x v="5"/>
    <x v="1"/>
    <n v="4"/>
    <n v="1"/>
    <d v="2018-09-11T00:00:00"/>
    <s v="HYUNDAI"/>
    <s v="ACCENT"/>
    <n v="0"/>
    <d v="2018-09-11T00:00:00"/>
    <n v="5"/>
    <x v="1181"/>
  </r>
  <r>
    <d v="2018-09-21T00:00:00"/>
    <s v="001-00013500"/>
    <n v="818.4"/>
    <n v="0"/>
    <n v="0"/>
    <n v="0"/>
    <n v="0"/>
    <n v="102.375"/>
    <n v="123.955"/>
    <n v="0"/>
    <n v="226.32999999999998"/>
    <n v="592.06999999999994"/>
    <n v="0.72344819159335283"/>
    <x v="1"/>
    <s v="LEVE"/>
    <x v="5"/>
    <x v="1"/>
    <n v="10"/>
    <n v="1"/>
    <d v="2018-09-11T00:00:00"/>
    <s v="MAZDA"/>
    <s v="CX-3"/>
    <n v="851.82500000000005"/>
    <d v="2018-09-12T00:00:00"/>
    <n v="7"/>
    <x v="1"/>
  </r>
  <r>
    <d v="2018-09-24T00:00:00"/>
    <s v="001-00013501"/>
    <n v="1935.16536"/>
    <n v="0"/>
    <n v="0"/>
    <n v="55.084745762711869"/>
    <n v="0"/>
    <n v="234"/>
    <n v="185.9325"/>
    <n v="0"/>
    <n v="475.01724576271187"/>
    <n v="1460.1481142372882"/>
    <n v="0.75453402816040904"/>
    <x v="1"/>
    <s v="MEDIANO"/>
    <x v="5"/>
    <x v="1"/>
    <n v="13"/>
    <n v="1"/>
    <d v="2018-09-11T00:00:00"/>
    <s v="HYUNDAI"/>
    <s v="I10"/>
    <n v="2672.6374999999998"/>
    <d v="2018-09-12T00:00:00"/>
    <n v="16"/>
    <x v="1182"/>
  </r>
  <r>
    <d v="2018-09-27T00:00:00"/>
    <s v="001-00013502"/>
    <n v="581.04338519999988"/>
    <n v="0"/>
    <n v="0"/>
    <n v="0"/>
    <n v="0"/>
    <n v="51.1875"/>
    <n v="108.46062500000001"/>
    <n v="0"/>
    <n v="159.64812499999999"/>
    <n v="421.39526019999988"/>
    <n v="0.72523889081871606"/>
    <x v="1"/>
    <s v="LEVE"/>
    <x v="5"/>
    <x v="1"/>
    <n v="16"/>
    <n v="1"/>
    <d v="2018-09-11T00:00:00"/>
    <s v="KIA"/>
    <s v="PICANTO"/>
    <n v="1343.0625"/>
    <d v="2018-09-12T00:00:00"/>
    <n v="3.5"/>
    <x v="1183"/>
  </r>
  <r>
    <d v="2018-09-29T00:00:00"/>
    <s v="001-00013504"/>
    <n v="2095.95840142"/>
    <n v="0"/>
    <n v="0"/>
    <n v="0"/>
    <n v="0"/>
    <n v="175.5"/>
    <n v="325.38187500000004"/>
    <n v="0"/>
    <n v="500.88187500000004"/>
    <n v="1595.0765264199999"/>
    <n v="0.76102489693466469"/>
    <x v="1"/>
    <s v="MEDIANO"/>
    <x v="5"/>
    <x v="1"/>
    <n v="17"/>
    <n v="1"/>
    <d v="2018-09-12T00:00:00"/>
    <s v="TOYOTA"/>
    <s v="COROLLA"/>
    <n v="1144.3575000000001"/>
    <d v="2018-09-13T00:00:00"/>
    <n v="12"/>
    <x v="1"/>
  </r>
  <r>
    <d v="2018-09-13T00:00:00"/>
    <s v="001-00013505"/>
    <n v="448.52749096524997"/>
    <n v="2.7969999699999999"/>
    <n v="0"/>
    <n v="65.084745762711862"/>
    <n v="0"/>
    <n v="146.25"/>
    <n v="201.426875"/>
    <n v="0"/>
    <n v="415.55862073271186"/>
    <n v="32.968870232538109"/>
    <n v="7.3504681199334551E-2"/>
    <x v="1"/>
    <s v="MEDIANO"/>
    <x v="5"/>
    <x v="1"/>
    <n v="1"/>
    <n v="1"/>
    <d v="2018-09-12T00:00:00"/>
    <s v="MITSUBISHI"/>
    <s v="MIRAGE"/>
    <n v="0"/>
    <s v="F/Fecha"/>
    <n v="0"/>
    <x v="302"/>
  </r>
  <r>
    <d v="2018-09-13T00:00:00"/>
    <s v="001-00013508"/>
    <n v="349"/>
    <n v="72.935751549999978"/>
    <n v="0"/>
    <n v="0"/>
    <n v="39.048749999999998"/>
    <n v="0"/>
    <n v="0"/>
    <n v="0"/>
    <n v="111.98450154999998"/>
    <n v="237.01549845000002"/>
    <n v="0.67912750272206313"/>
    <x v="0"/>
    <s v="MECANICA"/>
    <x v="5"/>
    <x v="1"/>
    <n v="1"/>
    <n v="1"/>
    <d v="2018-09-12T00:00:00"/>
    <s v="NISSAN"/>
    <s v="TIIDA"/>
    <n v="0"/>
    <d v="2018-09-12T00:00:00"/>
    <n v="0"/>
    <x v="932"/>
  </r>
  <r>
    <d v="2018-09-20T00:00:00"/>
    <s v="001-00013510"/>
    <n v="525.4950159"/>
    <n v="0"/>
    <n v="0"/>
    <n v="64.610169491525426"/>
    <n v="0"/>
    <n v="58.5"/>
    <n v="61.977499999999999"/>
    <n v="0"/>
    <n v="185.08766949152542"/>
    <n v="340.40734640847461"/>
    <n v="0.6477841580009448"/>
    <x v="1"/>
    <s v="LEVE"/>
    <x v="5"/>
    <x v="1"/>
    <n v="8"/>
    <n v="1"/>
    <d v="2018-09-12T00:00:00"/>
    <s v="RENAULT"/>
    <s v="KOLEOS"/>
    <n v="0"/>
    <d v="2018-09-13T00:00:00"/>
    <n v="4"/>
    <x v="1184"/>
  </r>
  <r>
    <d v="2018-09-14T00:00:00"/>
    <s v="001-00013514"/>
    <n v="549"/>
    <n v="125.72910035000001"/>
    <n v="0"/>
    <n v="0"/>
    <n v="39.048749999999998"/>
    <n v="0"/>
    <n v="0"/>
    <n v="0"/>
    <n v="164.77785034999999"/>
    <n v="384.22214965000001"/>
    <n v="0.69985819608378874"/>
    <x v="0"/>
    <s v="MECANICA"/>
    <x v="5"/>
    <x v="1"/>
    <n v="1"/>
    <n v="1"/>
    <d v="2018-09-13T00:00:00"/>
    <s v="SUZUKI"/>
    <s v="GRAND N."/>
    <n v="0"/>
    <d v="2018-09-13T00:00:00"/>
    <n v="0"/>
    <x v="1185"/>
  </r>
  <r>
    <d v="2018-09-24T00:00:00"/>
    <s v="001-00013519"/>
    <n v="586.154"/>
    <n v="0"/>
    <n v="0"/>
    <n v="0"/>
    <n v="0"/>
    <n v="58.5"/>
    <n v="123.955"/>
    <n v="0"/>
    <n v="182.45499999999998"/>
    <n v="403.69900000000001"/>
    <n v="0.68872514731623435"/>
    <x v="1"/>
    <s v="LEVE"/>
    <x v="5"/>
    <x v="1"/>
    <n v="11"/>
    <n v="1"/>
    <d v="2018-09-13T00:00:00"/>
    <s v="NISSAN"/>
    <s v="VERSA"/>
    <n v="2322.645"/>
    <d v="2018-09-14T00:00:00"/>
    <n v="4"/>
    <x v="1"/>
  </r>
  <r>
    <d v="2018-09-26T00:00:00"/>
    <s v="001-00013520"/>
    <n v="370.51900000000001"/>
    <n v="0"/>
    <n v="0"/>
    <n v="21"/>
    <n v="0"/>
    <n v="21.9375"/>
    <n v="61.977499999999999"/>
    <n v="0"/>
    <n v="104.91499999999999"/>
    <n v="265.60400000000004"/>
    <n v="0.71684313085158935"/>
    <x v="1"/>
    <s v="LEVE"/>
    <x v="5"/>
    <x v="1"/>
    <n v="13"/>
    <n v="1"/>
    <d v="2018-09-13T00:00:00"/>
    <s v="CHEVROLET"/>
    <s v="PRISMA"/>
    <n v="730.79500000000007"/>
    <d v="2018-09-13T00:00:00"/>
    <n v="1.5"/>
    <x v="1"/>
  </r>
  <r>
    <d v="2018-09-28T00:00:00"/>
    <s v="001-00013522"/>
    <n v="1454.9715000000001"/>
    <n v="0"/>
    <n v="0"/>
    <n v="23"/>
    <n v="0"/>
    <n v="102.375"/>
    <n v="278.89875000000001"/>
    <n v="0"/>
    <n v="404.27375000000001"/>
    <n v="1050.69775"/>
    <n v="0.72214318287334145"/>
    <x v="1"/>
    <s v="MEDIANO"/>
    <x v="5"/>
    <x v="1"/>
    <n v="15"/>
    <n v="1"/>
    <d v="2018-09-13T00:00:00"/>
    <s v="MAZDA"/>
    <s v="BT-50"/>
    <n v="2589.34"/>
    <d v="2018-09-14T00:00:00"/>
    <n v="7"/>
    <x v="999"/>
  </r>
  <r>
    <d v="2018-09-14T00:00:00"/>
    <s v="001-00013524"/>
    <n v="239.512707525"/>
    <n v="0"/>
    <n v="0"/>
    <n v="0"/>
    <n v="0"/>
    <n v="0"/>
    <n v="0"/>
    <n v="0"/>
    <n v="0"/>
    <n v="239.512707525"/>
    <n v="1"/>
    <x v="0"/>
    <s v="MECANICA"/>
    <x v="5"/>
    <x v="1"/>
    <n v="1"/>
    <n v="1"/>
    <d v="2018-09-13T00:00:00"/>
    <s v="CHANGAN"/>
    <s v="CS35"/>
    <n v="0"/>
    <d v="2018-09-14T00:00:00"/>
    <n v="0"/>
    <x v="1186"/>
  </r>
  <r>
    <d v="2018-09-14T00:00:00"/>
    <s v="001-00013526"/>
    <n v="349"/>
    <n v="80.627400999999992"/>
    <n v="0"/>
    <n v="0"/>
    <n v="39.048749999999998"/>
    <n v="0"/>
    <n v="0"/>
    <n v="0"/>
    <n v="119.67615099999999"/>
    <n v="229.323849"/>
    <n v="0.65708839255014329"/>
    <x v="0"/>
    <s v="MECANICA"/>
    <x v="5"/>
    <x v="1"/>
    <n v="0"/>
    <n v="1"/>
    <d v="2018-09-14T00:00:00"/>
    <s v="CHEVROLET"/>
    <s v="PRISMA"/>
    <n v="0"/>
    <d v="2018-09-14T00:00:00"/>
    <n v="0"/>
    <x v="961"/>
  </r>
  <r>
    <d v="2018-09-29T00:00:00"/>
    <s v="001-00013528"/>
    <n v="359.91799999999989"/>
    <n v="0"/>
    <n v="0"/>
    <n v="12.5"/>
    <n v="0"/>
    <n v="29.25"/>
    <n v="61.977499999999999"/>
    <n v="0"/>
    <n v="103.72749999999999"/>
    <n v="256.19049999999993"/>
    <n v="0.71180241054906956"/>
    <x v="1"/>
    <s v="LEVE"/>
    <x v="5"/>
    <x v="1"/>
    <n v="15"/>
    <n v="1"/>
    <d v="2018-09-14T00:00:00"/>
    <s v="MITSUBISHI"/>
    <s v="OUTLANDER"/>
    <n v="3308.5974999999999"/>
    <d v="2018-09-18T00:00:00"/>
    <n v="2"/>
    <x v="1187"/>
  </r>
  <r>
    <d v="2018-09-14T00:00:00"/>
    <s v="001-00013529"/>
    <n v="1319"/>
    <n v="391.71170115000001"/>
    <n v="0"/>
    <n v="101.69"/>
    <n v="78.097499999999997"/>
    <n v="0"/>
    <n v="0"/>
    <n v="0"/>
    <n v="571.49920114999998"/>
    <n v="747.50079885000002"/>
    <n v="0.56671781565579982"/>
    <x v="0"/>
    <s v="MECANICA"/>
    <x v="5"/>
    <x v="1"/>
    <n v="0"/>
    <n v="1"/>
    <d v="2018-09-14T00:00:00"/>
    <s v="NISSAN"/>
    <s v="X-TRAIL"/>
    <n v="409.98750000000001"/>
    <d v="2018-09-14T00:00:00"/>
    <n v="0"/>
    <x v="1188"/>
  </r>
  <r>
    <d v="2018-09-24T00:00:00"/>
    <s v="001-00013530"/>
    <n v="2792.6271019999999"/>
    <n v="959.1459084999999"/>
    <n v="0"/>
    <n v="203.39"/>
    <n v="58.5"/>
    <n v="0"/>
    <n v="0"/>
    <n v="0"/>
    <n v="1221.0359085"/>
    <n v="1571.5911934999999"/>
    <n v="0.56276442793757575"/>
    <x v="0"/>
    <s v="MECANICA"/>
    <x v="5"/>
    <x v="1"/>
    <n v="10"/>
    <n v="1"/>
    <d v="2018-09-14T00:00:00"/>
    <s v="HYUNDAI"/>
    <s v="ELANTRA"/>
    <n v="0"/>
    <d v="2018-09-14T00:00:00"/>
    <n v="0"/>
    <x v="1189"/>
  </r>
  <r>
    <d v="2018-09-26T00:00:00"/>
    <s v="001-00013531"/>
    <n v="1080.2493851999998"/>
    <n v="0"/>
    <n v="0"/>
    <n v="30"/>
    <n v="0"/>
    <n v="102.375"/>
    <n v="201.426875"/>
    <n v="0"/>
    <n v="333.801875"/>
    <n v="746.44751019999978"/>
    <n v="0.69099554272072172"/>
    <x v="1"/>
    <s v="MEDIANO"/>
    <x v="5"/>
    <x v="1"/>
    <n v="12"/>
    <n v="1"/>
    <d v="2018-09-14T00:00:00"/>
    <s v="RENAULT"/>
    <s v="STEPWAY"/>
    <n v="562.34749999999997"/>
    <d v="2018-09-14T00:00:00"/>
    <n v="7"/>
    <x v="999"/>
  </r>
  <r>
    <d v="2018-09-19T00:00:00"/>
    <s v="001-00013532"/>
    <n v="628.52001900000005"/>
    <n v="0"/>
    <n v="0"/>
    <n v="0"/>
    <n v="0"/>
    <n v="29.25"/>
    <n v="123.955"/>
    <n v="0"/>
    <n v="153.20499999999998"/>
    <n v="475.31501900000006"/>
    <n v="0.75624483649103946"/>
    <x v="0"/>
    <s v="LEVE"/>
    <x v="5"/>
    <x v="1"/>
    <n v="5"/>
    <n v="1"/>
    <d v="2018-09-14T00:00:00"/>
    <s v="CHERY"/>
    <s v="FULWIN"/>
    <n v="0"/>
    <d v="2018-09-14T00:00:00"/>
    <n v="2"/>
    <x v="194"/>
  </r>
  <r>
    <d v="2018-09-14T00:00:00"/>
    <s v="001-00013533"/>
    <n v="319"/>
    <n v="82.087600999999992"/>
    <n v="0"/>
    <n v="0"/>
    <n v="39.048749999999998"/>
    <n v="0"/>
    <n v="0"/>
    <n v="0"/>
    <n v="121.13635099999999"/>
    <n v="197.86364900000001"/>
    <n v="0.62026222257053298"/>
    <x v="0"/>
    <s v="MECANICA"/>
    <x v="5"/>
    <x v="1"/>
    <n v="0"/>
    <n v="1"/>
    <d v="2018-09-14T00:00:00"/>
    <s v="HYUNDAI"/>
    <s v="ACCENT"/>
    <n v="69.972499999999997"/>
    <d v="2018-09-14T00:00:00"/>
    <n v="0"/>
    <x v="978"/>
  </r>
  <r>
    <d v="2018-09-27T00:00:00"/>
    <s v="001-00013535"/>
    <n v="666.49522019999995"/>
    <n v="0"/>
    <n v="0"/>
    <n v="22.5"/>
    <n v="0"/>
    <n v="58.5"/>
    <n v="139.449375"/>
    <n v="0"/>
    <n v="220.449375"/>
    <n v="446.04584519999992"/>
    <n v="0.66924087627537943"/>
    <x v="1"/>
    <s v="LEVE"/>
    <x v="5"/>
    <x v="1"/>
    <n v="12"/>
    <n v="1"/>
    <d v="2018-09-15T00:00:00"/>
    <s v="NISSAN"/>
    <s v="SENTRA"/>
    <n v="1528.1175000000001"/>
    <d v="2018-09-15T00:00:00"/>
    <n v="4"/>
    <x v="999"/>
  </r>
  <r>
    <d v="2018-09-17T00:00:00"/>
    <s v="001-00013536"/>
    <n v="363.10199999999998"/>
    <n v="1.3559999200000001"/>
    <n v="0"/>
    <n v="21.5"/>
    <n v="0"/>
    <n v="29.25"/>
    <n v="77.471874999999997"/>
    <n v="0"/>
    <n v="129.57787492"/>
    <n v="233.52412507999998"/>
    <n v="0.64313643295823208"/>
    <x v="1"/>
    <s v="MEDIANO"/>
    <x v="5"/>
    <x v="1"/>
    <n v="2"/>
    <n v="1"/>
    <d v="2018-09-15T00:00:00"/>
    <s v="RENAULT"/>
    <s v="DUSTER"/>
    <n v="0"/>
    <s v="F/Fecha"/>
    <n v="0"/>
    <x v="1190"/>
  </r>
  <r>
    <d v="2018-09-15T00:00:00"/>
    <s v="001-00013537"/>
    <n v="449"/>
    <n v="80.933000800000002"/>
    <n v="0"/>
    <n v="0"/>
    <n v="39.048749999999998"/>
    <n v="0"/>
    <n v="0"/>
    <n v="0"/>
    <n v="119.9817508"/>
    <n v="329.01824920000001"/>
    <n v="0.73278006503340765"/>
    <x v="0"/>
    <s v="MECANICA"/>
    <x v="5"/>
    <x v="1"/>
    <n v="0"/>
    <n v="1"/>
    <d v="2018-09-15T00:00:00"/>
    <s v="NISSAN"/>
    <s v="VERSA"/>
    <n v="0"/>
    <d v="2018-09-15T00:00:00"/>
    <n v="0"/>
    <x v="1191"/>
  </r>
  <r>
    <d v="2018-09-18T00:00:00"/>
    <s v="001-00013538"/>
    <n v="165.79999999999998"/>
    <n v="0"/>
    <n v="0"/>
    <n v="0"/>
    <n v="0"/>
    <n v="26.324999999999999"/>
    <n v="123.33522500000001"/>
    <n v="0"/>
    <n v="149.660225"/>
    <n v="16.139774999999986"/>
    <n v="9.7344843184559632E-2"/>
    <x v="1"/>
    <s v="MEDIANO"/>
    <x v="5"/>
    <x v="1"/>
    <n v="3"/>
    <n v="1"/>
    <d v="2018-09-15T00:00:00"/>
    <s v="NISSAN"/>
    <s v="VERSA"/>
    <n v="0"/>
    <s v="F/Fecha"/>
    <n v="0"/>
    <x v="1192"/>
  </r>
  <r>
    <d v="2018-09-21T00:00:00"/>
    <s v="001-00013539"/>
    <n v="396"/>
    <n v="0"/>
    <n v="0"/>
    <n v="0"/>
    <n v="0"/>
    <n v="58.5"/>
    <n v="61.977499999999999"/>
    <n v="0"/>
    <n v="120.47749999999999"/>
    <n v="275.52250000000004"/>
    <n v="0.69576388888888896"/>
    <x v="0"/>
    <s v="LEVE"/>
    <x v="5"/>
    <x v="1"/>
    <n v="4"/>
    <n v="1"/>
    <d v="2018-09-17T00:00:00"/>
    <s v="SUZUKI"/>
    <s v="SWIFT"/>
    <n v="0"/>
    <d v="2018-09-17T00:00:00"/>
    <n v="4"/>
    <x v="1193"/>
  </r>
  <r>
    <d v="2018-09-29T00:00:00"/>
    <s v="001-00013540"/>
    <n v="1559.6914449999999"/>
    <n v="0"/>
    <n v="0"/>
    <n v="0"/>
    <n v="0"/>
    <n v="146.25"/>
    <n v="242.33202499999999"/>
    <n v="0"/>
    <n v="388.58202499999999"/>
    <n v="1171.10942"/>
    <n v="0.75085968045429652"/>
    <x v="1"/>
    <s v="MEDIANO"/>
    <x v="5"/>
    <x v="1"/>
    <n v="12"/>
    <n v="1"/>
    <d v="2018-09-17T00:00:00"/>
    <s v="KIA"/>
    <s v="SOUL"/>
    <n v="1804.3675000000003"/>
    <d v="2018-09-17T00:00:00"/>
    <n v="10"/>
    <x v="21"/>
  </r>
  <r>
    <d v="2018-09-17T00:00:00"/>
    <s v="001-00013541"/>
    <n v="225"/>
    <n v="53.11560089999999"/>
    <n v="0"/>
    <n v="0"/>
    <n v="39.048749999999998"/>
    <n v="0"/>
    <n v="0"/>
    <n v="0"/>
    <n v="92.164350899999988"/>
    <n v="132.83564910000001"/>
    <n v="0.59038066266666667"/>
    <x v="0"/>
    <s v="MECANICA"/>
    <x v="5"/>
    <x v="1"/>
    <n v="0"/>
    <n v="1"/>
    <d v="2018-09-17T00:00:00"/>
    <s v="NISSAN"/>
    <s v="TIIDA"/>
    <n v="0"/>
    <d v="2018-09-17T00:00:00"/>
    <n v="0"/>
    <x v="157"/>
  </r>
  <r>
    <d v="2018-09-25T00:00:00"/>
    <s v="001-00013543"/>
    <n v="6126.5895900000005"/>
    <n v="3362.7803129999993"/>
    <n v="0"/>
    <n v="0"/>
    <n v="0"/>
    <n v="58.5"/>
    <n v="139.449375"/>
    <n v="0"/>
    <n v="3560.7296879999994"/>
    <n v="2565.8599020000011"/>
    <n v="0.41880721146852612"/>
    <x v="0"/>
    <s v="LEVE"/>
    <x v="5"/>
    <x v="1"/>
    <n v="8"/>
    <n v="1"/>
    <d v="2018-09-17T00:00:00"/>
    <s v="PEUGEOT"/>
    <n v="207"/>
    <n v="5277.3175000000001"/>
    <d v="2018-09-20T00:00:00"/>
    <n v="4"/>
    <x v="1194"/>
  </r>
  <r>
    <d v="2018-09-17T00:00:00"/>
    <s v="001-00013544"/>
    <n v="571.5"/>
    <n v="155.01260416000002"/>
    <n v="0"/>
    <n v="0"/>
    <n v="39.048749999999998"/>
    <n v="0"/>
    <n v="0"/>
    <n v="0"/>
    <n v="194.06135416000001"/>
    <n v="377.43864583999999"/>
    <n v="0.66043507583552052"/>
    <x v="0"/>
    <s v="MECANICA"/>
    <x v="5"/>
    <x v="1"/>
    <n v="0"/>
    <n v="1"/>
    <d v="2018-09-17T00:00:00"/>
    <s v="HYUNDAI"/>
    <s v="TUCSON"/>
    <n v="125.97"/>
    <d v="2018-09-17T00:00:00"/>
    <n v="0"/>
    <x v="4"/>
  </r>
  <r>
    <d v="2018-09-17T00:00:00"/>
    <s v="001-00013545"/>
    <n v="349"/>
    <n v="87.422502199999983"/>
    <n v="0"/>
    <n v="0"/>
    <n v="39.048749999999998"/>
    <n v="0"/>
    <n v="0"/>
    <n v="0"/>
    <n v="126.47125219999998"/>
    <n v="222.52874780000002"/>
    <n v="0.63761818853868202"/>
    <x v="0"/>
    <s v="MECANICA"/>
    <x v="5"/>
    <x v="1"/>
    <n v="0"/>
    <n v="1"/>
    <d v="2018-09-17T00:00:00"/>
    <s v="SUZUKI"/>
    <s v="SX-4"/>
    <n v="0"/>
    <d v="2018-09-17T00:00:00"/>
    <n v="0"/>
    <x v="671"/>
  </r>
  <r>
    <d v="2018-09-29T00:00:00"/>
    <s v="001-00013553"/>
    <n v="2710.942"/>
    <n v="0"/>
    <n v="0"/>
    <n v="0"/>
    <n v="0"/>
    <n v="117"/>
    <n v="619.77499999999998"/>
    <n v="0"/>
    <n v="736.77499999999998"/>
    <n v="1974.1669999999999"/>
    <n v="0.72822177678460109"/>
    <x v="2"/>
    <s v="MEDIANO"/>
    <x v="5"/>
    <x v="1"/>
    <n v="12"/>
    <n v="1"/>
    <d v="2018-09-17T00:00:00"/>
    <s v="HYUNDAI"/>
    <s v="TUCSON"/>
    <n v="0"/>
    <d v="2018-09-19T00:00:00"/>
    <n v="8"/>
    <x v="1195"/>
  </r>
  <r>
    <d v="2018-09-18T00:00:00"/>
    <s v="001-00013557"/>
    <n v="406.62710200000004"/>
    <n v="131.35215414999999"/>
    <n v="0"/>
    <n v="0"/>
    <n v="39.048749999999998"/>
    <n v="0"/>
    <n v="0"/>
    <n v="0"/>
    <n v="170.40090414999997"/>
    <n v="236.22619785000006"/>
    <n v="0.580940612881234"/>
    <x v="0"/>
    <s v="MECANICA"/>
    <x v="5"/>
    <x v="1"/>
    <n v="0"/>
    <n v="1"/>
    <d v="2018-09-18T00:00:00"/>
    <s v="KIA"/>
    <s v="SPORTAGE"/>
    <n v="0"/>
    <d v="2018-09-18T00:00:00"/>
    <n v="0"/>
    <x v="837"/>
  </r>
  <r>
    <d v="2018-09-18T00:00:00"/>
    <s v="001-00013558"/>
    <n v="549"/>
    <n v="129.96410234999999"/>
    <n v="0"/>
    <n v="0"/>
    <n v="39.048749999999998"/>
    <n v="0"/>
    <n v="0"/>
    <n v="0"/>
    <n v="169.01285235"/>
    <n v="379.98714765"/>
    <n v="0.69214416693989067"/>
    <x v="0"/>
    <s v="MECANICA"/>
    <x v="5"/>
    <x v="1"/>
    <n v="0"/>
    <n v="1"/>
    <d v="2018-09-18T00:00:00"/>
    <s v="SUZUKI"/>
    <s v="G. VITARA"/>
    <n v="0"/>
    <d v="2018-09-18T00:00:00"/>
    <n v="0"/>
    <x v="311"/>
  </r>
  <r>
    <d v="2018-09-26T00:00:00"/>
    <s v="001-00013562"/>
    <n v="1248.0431010000002"/>
    <n v="0"/>
    <n v="0"/>
    <n v="0"/>
    <n v="0"/>
    <n v="73.125"/>
    <n v="257.20662500000003"/>
    <n v="0"/>
    <n v="330.33162500000003"/>
    <n v="917.71147600000018"/>
    <n v="0.73532033890871207"/>
    <x v="1"/>
    <s v="MEDIANO"/>
    <x v="5"/>
    <x v="1"/>
    <n v="8"/>
    <n v="1"/>
    <d v="2018-09-18T00:00:00"/>
    <s v="NISSAN"/>
    <s v="VERSA"/>
    <n v="822.96500000000003"/>
    <d v="2018-09-18T00:00:00"/>
    <n v="5"/>
    <x v="1"/>
  </r>
  <r>
    <d v="2018-09-27T00:00:00"/>
    <s v="001-00013563"/>
    <n v="330.6"/>
    <n v="0"/>
    <n v="0"/>
    <n v="0"/>
    <n v="0"/>
    <n v="58.5"/>
    <n v="123.955"/>
    <n v="0"/>
    <n v="182.45499999999998"/>
    <n v="148.14500000000004"/>
    <n v="0.44810949788263771"/>
    <x v="1"/>
    <s v="LEVE"/>
    <x v="5"/>
    <x v="1"/>
    <n v="9"/>
    <n v="1"/>
    <d v="2018-09-18T00:00:00"/>
    <s v="KIA"/>
    <s v="SPORTAGE"/>
    <n v="43.42"/>
    <d v="2018-09-18T00:00:00"/>
    <n v="4"/>
    <x v="1196"/>
  </r>
  <r>
    <d v="2018-09-19T00:00:00"/>
    <s v="001-00013569"/>
    <n v="1142.1016999999999"/>
    <n v="359.11041139999998"/>
    <n v="0"/>
    <n v="0"/>
    <n v="78.097499999999997"/>
    <n v="0"/>
    <n v="0"/>
    <n v="0"/>
    <n v="437.20791139999994"/>
    <n v="704.89378859999999"/>
    <n v="0.61719003535324402"/>
    <x v="0"/>
    <s v="MECANICA"/>
    <x v="5"/>
    <x v="1"/>
    <n v="0"/>
    <n v="1"/>
    <d v="2018-09-19T00:00:00"/>
    <s v="HONDA"/>
    <s v="CR-V"/>
    <n v="539.98750000000007"/>
    <d v="2018-09-19T00:00:00"/>
    <n v="0"/>
    <x v="113"/>
  </r>
  <r>
    <d v="2018-09-21T00:00:00"/>
    <s v="001-00013571"/>
    <n v="2958"/>
    <n v="1690.8419927500001"/>
    <n v="0"/>
    <n v="50.85"/>
    <n v="39.048749999999998"/>
    <n v="0"/>
    <n v="0"/>
    <n v="0"/>
    <n v="1780.74074275"/>
    <n v="1177.25925725"/>
    <n v="0.39799163531102094"/>
    <x v="0"/>
    <s v="MECANICA"/>
    <x v="5"/>
    <x v="1"/>
    <n v="2"/>
    <n v="1"/>
    <d v="2018-09-19T00:00:00"/>
    <s v="KIA"/>
    <s v="SPORTAGE"/>
    <n v="2497.9825000000001"/>
    <d v="2018-09-25T00:00:00"/>
    <n v="0"/>
    <x v="837"/>
  </r>
  <r>
    <d v="2018-09-27T00:00:00"/>
    <s v="001-00013572"/>
    <n v="984.33417453000027"/>
    <n v="0"/>
    <n v="0"/>
    <n v="22"/>
    <n v="0"/>
    <n v="58.5"/>
    <n v="185.9325"/>
    <n v="0"/>
    <n v="266.4325"/>
    <n v="717.90167453000026"/>
    <n v="0.72932718695130527"/>
    <x v="1"/>
    <s v="LEVE"/>
    <x v="5"/>
    <x v="1"/>
    <n v="8"/>
    <n v="1"/>
    <d v="2018-09-19T00:00:00"/>
    <s v="NISSAN"/>
    <s v="NP300"/>
    <n v="2015.845"/>
    <d v="2018-09-19T00:00:00"/>
    <n v="4"/>
    <x v="999"/>
  </r>
  <r>
    <d v="2018-09-24T00:00:00"/>
    <s v="001-00013575"/>
    <n v="500.5"/>
    <n v="0"/>
    <n v="0"/>
    <n v="0"/>
    <n v="0"/>
    <n v="16.087500000000002"/>
    <n v="61.977499999999999"/>
    <n v="0"/>
    <n v="78.064999999999998"/>
    <n v="422.435"/>
    <n v="0.84402597402597401"/>
    <x v="0"/>
    <s v="LEVE"/>
    <x v="5"/>
    <x v="1"/>
    <n v="5"/>
    <n v="1"/>
    <d v="2018-09-19T00:00:00"/>
    <s v="KIA"/>
    <s v="RIO"/>
    <n v="0"/>
    <d v="2018-09-19T00:00:00"/>
    <n v="1.1000000000000001"/>
    <x v="425"/>
  </r>
  <r>
    <d v="2018-09-28T00:00:00"/>
    <s v="001-00013577"/>
    <n v="615.84171750900009"/>
    <n v="0"/>
    <n v="0"/>
    <n v="24"/>
    <n v="0"/>
    <n v="58.5"/>
    <n v="123.955"/>
    <n v="0"/>
    <n v="206.45499999999998"/>
    <n v="409.38671750900011"/>
    <n v="0.66475963850730402"/>
    <x v="0"/>
    <s v="LEVE"/>
    <x v="5"/>
    <x v="1"/>
    <n v="9"/>
    <n v="1"/>
    <d v="2018-09-19T00:00:00"/>
    <s v="JAC"/>
    <s v="S2"/>
    <n v="0"/>
    <d v="2018-09-20T00:00:00"/>
    <n v="4"/>
    <x v="1197"/>
  </r>
  <r>
    <d v="2018-09-26T00:00:00"/>
    <s v="001-00013579"/>
    <n v="350.211856506"/>
    <n v="0"/>
    <n v="0"/>
    <n v="0"/>
    <n v="0"/>
    <n v="43.875"/>
    <n v="61.977499999999999"/>
    <n v="0"/>
    <n v="105.85249999999999"/>
    <n v="244.35935650600001"/>
    <n v="0.69774724061009485"/>
    <x v="0"/>
    <s v="MEDIANO"/>
    <x v="5"/>
    <x v="1"/>
    <n v="7"/>
    <n v="1"/>
    <d v="2018-09-19T00:00:00"/>
    <s v="NISSAN"/>
    <s v="VERSA"/>
    <n v="0"/>
    <d v="2018-09-19T00:00:00"/>
    <n v="3"/>
    <x v="1198"/>
  </r>
  <r>
    <d v="2018-09-22T00:00:00"/>
    <s v="001-00013581"/>
    <n v="16.949200000000001"/>
    <n v="0"/>
    <n v="16.95"/>
    <n v="0"/>
    <n v="0"/>
    <n v="0"/>
    <n v="0"/>
    <n v="0"/>
    <n v="16.95"/>
    <n v="-7.9999999999813554E-4"/>
    <n v="-4.7199867840260043E-5"/>
    <x v="0"/>
    <s v="MEDIANO"/>
    <x v="5"/>
    <x v="1"/>
    <n v="2"/>
    <n v="1"/>
    <d v="2018-09-20T00:00:00"/>
    <s v="HYUNDAI"/>
    <s v="ACCENT"/>
    <n v="0"/>
    <d v="2018-09-20T00:00:00"/>
    <n v="0"/>
    <x v="1199"/>
  </r>
  <r>
    <d v="2018-09-22T00:00:00"/>
    <s v="001-00013583"/>
    <n v="333.37442890000005"/>
    <n v="0"/>
    <n v="0"/>
    <n v="0"/>
    <n v="0"/>
    <n v="17.549999999999997"/>
    <n v="61.977499999999999"/>
    <n v="0"/>
    <n v="79.527500000000003"/>
    <n v="253.84692890000005"/>
    <n v="0.76144691042318879"/>
    <x v="1"/>
    <s v="LEVE"/>
    <x v="5"/>
    <x v="1"/>
    <n v="2"/>
    <n v="1"/>
    <d v="2018-09-20T00:00:00"/>
    <s v="NISSAN"/>
    <s v="SENTRA"/>
    <n v="0"/>
    <s v="F/Fecha"/>
    <n v="0"/>
    <x v="1200"/>
  </r>
  <r>
    <d v="2018-09-27T00:00:00"/>
    <s v="001-00013584"/>
    <n v="520"/>
    <n v="254.24001000000001"/>
    <n v="0"/>
    <n v="0"/>
    <n v="29.25"/>
    <n v="0"/>
    <n v="0"/>
    <n v="0"/>
    <n v="283.49000999999998"/>
    <n v="236.50999000000002"/>
    <n v="0.45482690384615387"/>
    <x v="0"/>
    <s v="MECANICA"/>
    <x v="5"/>
    <x v="1"/>
    <n v="7"/>
    <n v="1"/>
    <d v="2018-09-20T00:00:00"/>
    <s v="KIA"/>
    <s v="PICANTO"/>
    <n v="429.97500000000002"/>
    <d v="2018-09-20T00:00:00"/>
    <n v="0"/>
    <x v="1163"/>
  </r>
  <r>
    <d v="2018-09-20T00:00:00"/>
    <s v="001-00013585"/>
    <n v="306.62710200000004"/>
    <n v="103.69420103999998"/>
    <n v="0"/>
    <n v="0"/>
    <n v="39.048749999999998"/>
    <n v="0"/>
    <n v="0"/>
    <n v="0"/>
    <n v="142.74295103999998"/>
    <n v="163.88415096000006"/>
    <n v="0.5344737953398524"/>
    <x v="0"/>
    <s v="MECANICA"/>
    <x v="5"/>
    <x v="1"/>
    <n v="0"/>
    <n v="1"/>
    <d v="2018-09-20T00:00:00"/>
    <s v="KIA"/>
    <s v="RIO"/>
    <n v="0"/>
    <d v="2018-09-20T00:00:00"/>
    <n v="0"/>
    <x v="1201"/>
  </r>
  <r>
    <d v="2018-09-29T00:00:00"/>
    <s v="001-00013586"/>
    <n v="3132"/>
    <n v="1465.8960400000003"/>
    <n v="0"/>
    <n v="127.12"/>
    <n v="73.125"/>
    <n v="0"/>
    <n v="0"/>
    <n v="0"/>
    <n v="1666.1410400000004"/>
    <n v="1465.8589599999996"/>
    <n v="0.46802648786717738"/>
    <x v="0"/>
    <s v="MECANICA"/>
    <x v="5"/>
    <x v="1"/>
    <n v="9"/>
    <n v="1"/>
    <d v="2018-09-20T00:00:00"/>
    <s v="MAZDA"/>
    <s v="MAZDA 5"/>
    <n v="2288.9749999999999"/>
    <d v="2018-09-22T00:00:00"/>
    <n v="0"/>
    <x v="1202"/>
  </r>
  <r>
    <d v="2018-09-29T00:00:00"/>
    <s v="001-00013589"/>
    <n v="564.02650719999986"/>
    <n v="0"/>
    <n v="0"/>
    <n v="14"/>
    <n v="0"/>
    <n v="29.25"/>
    <n v="77.471874999999997"/>
    <n v="0"/>
    <n v="120.721875"/>
    <n v="443.30463219999984"/>
    <n v="0.7859641817202877"/>
    <x v="1"/>
    <s v="LEVE"/>
    <x v="5"/>
    <x v="1"/>
    <n v="9"/>
    <n v="1"/>
    <d v="2018-09-20T00:00:00"/>
    <s v="KIA"/>
    <s v="SORENTO"/>
    <n v="4300.0749999999998"/>
    <d v="2018-09-21T00:00:00"/>
    <n v="2"/>
    <x v="1"/>
  </r>
  <r>
    <d v="2018-09-21T00:00:00"/>
    <s v="001-00013592"/>
    <n v="306.62710200000004"/>
    <n v="88.311701150000005"/>
    <n v="0"/>
    <n v="0"/>
    <n v="39.048749999999998"/>
    <n v="0"/>
    <n v="0"/>
    <n v="0"/>
    <n v="127.36045115"/>
    <n v="179.26665085000002"/>
    <n v="0.58464059334846397"/>
    <x v="0"/>
    <s v="MECANICA"/>
    <x v="5"/>
    <x v="1"/>
    <n v="0"/>
    <n v="1"/>
    <d v="2018-09-21T00:00:00"/>
    <s v="MAZDA"/>
    <s v="MAZDA 2"/>
    <n v="0"/>
    <d v="2018-09-21T00:00:00"/>
    <n v="0"/>
    <x v="1203"/>
  </r>
  <r>
    <d v="2018-09-21T00:00:00"/>
    <s v="001-00013593"/>
    <n v="249"/>
    <n v="51.169900909999988"/>
    <n v="0"/>
    <n v="0"/>
    <n v="39.048749999999998"/>
    <n v="0"/>
    <n v="0"/>
    <n v="0"/>
    <n v="90.21865090999998"/>
    <n v="158.78134909000002"/>
    <n v="0.63767610076305226"/>
    <x v="0"/>
    <s v="MECANICA"/>
    <x v="5"/>
    <x v="1"/>
    <n v="0"/>
    <n v="1"/>
    <d v="2018-09-21T00:00:00"/>
    <s v="HYUNDAI"/>
    <s v="ACCENT"/>
    <n v="0"/>
    <d v="2018-09-21T00:00:00"/>
    <n v="0"/>
    <x v="871"/>
  </r>
  <r>
    <d v="2018-09-29T00:00:00"/>
    <s v="001-00013595"/>
    <n v="1839.5778804000001"/>
    <n v="0"/>
    <n v="0"/>
    <n v="0"/>
    <n v="35.099999999999994"/>
    <n v="175.5"/>
    <n v="185.9325"/>
    <n v="0"/>
    <n v="396.53250000000003"/>
    <n v="1443.0453804000001"/>
    <n v="0.78444375515442843"/>
    <x v="1"/>
    <s v="MEDIANO"/>
    <x v="5"/>
    <x v="1"/>
    <n v="8"/>
    <n v="1"/>
    <d v="2018-09-21T00:00:00"/>
    <s v="KIA"/>
    <s v="RIO"/>
    <n v="1660.4575"/>
    <d v="2018-09-24T00:00:00"/>
    <n v="12"/>
    <x v="1"/>
  </r>
  <r>
    <d v="2018-09-21T00:00:00"/>
    <s v="001-00013598"/>
    <n v="349"/>
    <n v="71.575001"/>
    <n v="0"/>
    <n v="0"/>
    <n v="39.048749999999998"/>
    <n v="0"/>
    <n v="0"/>
    <n v="0"/>
    <n v="110.623751"/>
    <n v="238.376249"/>
    <n v="0.68302650143266475"/>
    <x v="0"/>
    <s v="MECANICA"/>
    <x v="5"/>
    <x v="1"/>
    <n v="0"/>
    <n v="1"/>
    <d v="2018-09-21T00:00:00"/>
    <s v="HYUNDAI"/>
    <s v="I20"/>
    <n v="0"/>
    <d v="2018-09-21T00:00:00"/>
    <n v="0"/>
    <x v="1033"/>
  </r>
  <r>
    <d v="2018-09-29T00:00:00"/>
    <s v="001-00013604"/>
    <n v="790"/>
    <n v="0"/>
    <n v="0"/>
    <n v="0"/>
    <n v="0"/>
    <n v="102.375"/>
    <n v="123.955"/>
    <n v="0"/>
    <n v="226.32999999999998"/>
    <n v="563.67000000000007"/>
    <n v="0.7135063291139242"/>
    <x v="0"/>
    <s v="LEVE"/>
    <x v="5"/>
    <x v="1"/>
    <n v="7"/>
    <n v="1"/>
    <d v="2018-09-22T00:00:00"/>
    <s v="KIA"/>
    <s v="RIO"/>
    <n v="0"/>
    <d v="2018-09-24T00:00:00"/>
    <n v="7"/>
    <x v="1204"/>
  </r>
  <r>
    <d v="2018-09-25T00:00:00"/>
    <s v="001-00013606"/>
    <n v="469"/>
    <n v="103.91045034999999"/>
    <n v="0"/>
    <n v="0"/>
    <n v="39.048749999999998"/>
    <n v="0"/>
    <n v="0"/>
    <n v="0"/>
    <n v="142.95920035"/>
    <n v="326.04079965"/>
    <n v="0.69518294168443495"/>
    <x v="0"/>
    <s v="MECANICA"/>
    <x v="5"/>
    <x v="1"/>
    <n v="1"/>
    <n v="1"/>
    <d v="2018-09-24T00:00:00"/>
    <s v="SUZUKI"/>
    <s v="GRAND N."/>
    <n v="0"/>
    <d v="2018-09-24T00:00:00"/>
    <n v="0"/>
    <x v="832"/>
  </r>
  <r>
    <d v="2018-09-24T00:00:00"/>
    <s v="001-00013607"/>
    <n v="549"/>
    <n v="125.72970035"/>
    <n v="0"/>
    <n v="0"/>
    <n v="39.048749999999998"/>
    <n v="0"/>
    <n v="0"/>
    <n v="0"/>
    <n v="164.77845035000001"/>
    <n v="384.22154964999999"/>
    <n v="0.69985710318761385"/>
    <x v="0"/>
    <s v="MECANICA"/>
    <x v="5"/>
    <x v="1"/>
    <n v="0"/>
    <n v="1"/>
    <d v="2018-09-24T00:00:00"/>
    <s v="SUZUKI"/>
    <s v="GRAND V."/>
    <n v="0"/>
    <d v="2018-09-24T00:00:00"/>
    <n v="0"/>
    <x v="787"/>
  </r>
  <r>
    <d v="2018-09-28T00:00:00"/>
    <s v="001-00013613"/>
    <n v="2529"/>
    <n v="1006.6057732699999"/>
    <n v="0"/>
    <n v="55.09"/>
    <n v="39.048749999999998"/>
    <n v="0"/>
    <n v="0"/>
    <n v="0"/>
    <n v="1100.7445232699997"/>
    <n v="1428.2554767300003"/>
    <n v="0.56475107818505355"/>
    <x v="0"/>
    <s v="MECANICA"/>
    <x v="5"/>
    <x v="1"/>
    <n v="4"/>
    <n v="1"/>
    <d v="2018-09-24T00:00:00"/>
    <s v="FORD"/>
    <s v="ECOSPORT"/>
    <n v="0"/>
    <d v="2018-09-25T00:00:00"/>
    <n v="0"/>
    <x v="642"/>
  </r>
  <r>
    <d v="2018-09-25T00:00:00"/>
    <s v="001-00013615"/>
    <n v="306.62710200000004"/>
    <n v="87.594101350000003"/>
    <n v="0"/>
    <n v="0"/>
    <n v="39.048749999999998"/>
    <n v="0"/>
    <n v="0"/>
    <n v="0"/>
    <n v="126.64285135"/>
    <n v="179.98425065000004"/>
    <n v="0.58698089463076886"/>
    <x v="0"/>
    <s v="MECANICA"/>
    <x v="5"/>
    <x v="1"/>
    <n v="0"/>
    <n v="1"/>
    <d v="2018-09-25T00:00:00"/>
    <s v="SUZUKI"/>
    <s v="S-CROSS"/>
    <n v="0"/>
    <d v="2018-09-25T00:00:00"/>
    <n v="0"/>
    <x v="947"/>
  </r>
  <r>
    <d v="2018-09-26T00:00:00"/>
    <s v="001-00013619"/>
    <n v="1176.7118201400001"/>
    <n v="0"/>
    <n v="0"/>
    <n v="0"/>
    <n v="0"/>
    <n v="0"/>
    <n v="0"/>
    <n v="0"/>
    <n v="0"/>
    <n v="1176.7118201400001"/>
    <n v="1"/>
    <x v="0"/>
    <s v="MECANICA"/>
    <x v="5"/>
    <x v="1"/>
    <n v="2"/>
    <n v="1"/>
    <d v="2018-09-24T00:00:00"/>
    <s v="KIA"/>
    <s v="SPORTAGE"/>
    <n v="0"/>
    <d v="2018-09-25T00:00:00"/>
    <n v="0"/>
    <x v="837"/>
  </r>
  <r>
    <d v="2018-09-26T00:00:00"/>
    <s v="001-00013622"/>
    <n v="660"/>
    <n v="238.98559999999998"/>
    <n v="0"/>
    <n v="38.14"/>
    <n v="39.048749999999998"/>
    <n v="0"/>
    <n v="0"/>
    <n v="0"/>
    <n v="316.17434999999995"/>
    <n v="343.82565000000005"/>
    <n v="0.52094795454545462"/>
    <x v="0"/>
    <s v="MECANICA"/>
    <x v="5"/>
    <x v="1"/>
    <n v="2"/>
    <n v="1"/>
    <d v="2018-09-24T00:00:00"/>
    <s v="SUZUKI"/>
    <s v="SX-4"/>
    <n v="479.99250000000001"/>
    <d v="2018-09-25T00:00:00"/>
    <n v="0"/>
    <x v="671"/>
  </r>
  <r>
    <d v="2018-09-29T00:00:00"/>
    <s v="001-00013623"/>
    <n v="1259.2094450000002"/>
    <n v="5.4759001999999999"/>
    <n v="0"/>
    <n v="102.25"/>
    <n v="11.700000000000001"/>
    <n v="204.75"/>
    <n v="325.38187500000004"/>
    <n v="0"/>
    <n v="649.55777520000004"/>
    <n v="609.65166980000015"/>
    <n v="0.48415430190805159"/>
    <x v="1"/>
    <s v="MEDIANO"/>
    <x v="5"/>
    <x v="1"/>
    <n v="4"/>
    <n v="1"/>
    <d v="2018-09-25T00:00:00"/>
    <s v="KIA"/>
    <s v="RIO"/>
    <n v="2879.76"/>
    <d v="2018-09-26T00:00:00"/>
    <n v="14"/>
    <x v="1205"/>
  </r>
  <r>
    <d v="2018-09-29T00:00:00"/>
    <s v="001-00013626"/>
    <n v="429.26"/>
    <n v="0"/>
    <n v="0"/>
    <n v="0"/>
    <n v="0"/>
    <n v="73.125"/>
    <n v="61.977499999999999"/>
    <n v="0"/>
    <n v="135.10249999999999"/>
    <n v="294.15750000000003"/>
    <n v="0.68526650514839504"/>
    <x v="0"/>
    <s v="LEVE"/>
    <x v="5"/>
    <x v="1"/>
    <n v="4"/>
    <n v="1"/>
    <d v="2018-09-25T00:00:00"/>
    <s v="DFSK"/>
    <s v="GLORY"/>
    <n v="0"/>
    <d v="2018-09-25T00:00:00"/>
    <n v="5"/>
    <x v="498"/>
  </r>
  <r>
    <d v="2018-09-26T00:00:00"/>
    <s v="001-00013628"/>
    <n v="349"/>
    <n v="70.149000900000004"/>
    <n v="0"/>
    <n v="0"/>
    <n v="39.048749999999998"/>
    <n v="0"/>
    <n v="0"/>
    <n v="0"/>
    <n v="109.1977509"/>
    <n v="239.80224909999998"/>
    <n v="0.6871124616045845"/>
    <x v="0"/>
    <s v="MECANICA"/>
    <x v="5"/>
    <x v="1"/>
    <n v="0"/>
    <n v="1"/>
    <d v="2018-09-26T00:00:00"/>
    <s v="KIA"/>
    <s v="RIO"/>
    <n v="0"/>
    <d v="2018-09-26T00:00:00"/>
    <n v="0"/>
    <x v="708"/>
  </r>
  <r>
    <d v="2018-09-26T00:00:00"/>
    <s v="001-00013629"/>
    <n v="249"/>
    <n v="10.17"/>
    <n v="0"/>
    <n v="0"/>
    <n v="0"/>
    <n v="0"/>
    <n v="0"/>
    <n v="0"/>
    <n v="10.17"/>
    <n v="238.83"/>
    <n v="0.95915662650602418"/>
    <x v="0"/>
    <s v="MECANICA"/>
    <x v="5"/>
    <x v="1"/>
    <n v="0"/>
    <n v="1"/>
    <d v="2018-09-26T00:00:00"/>
    <s v="RENAULT"/>
    <s v="SANDERO"/>
    <n v="0"/>
    <s v="F/Fecha"/>
    <n v="0"/>
    <x v="877"/>
  </r>
  <r>
    <d v="2018-09-27T00:00:00"/>
    <s v="001-00013630"/>
    <n v="93.220298999999997"/>
    <n v="67.800003000000004"/>
    <n v="0"/>
    <n v="0"/>
    <n v="0"/>
    <n v="0"/>
    <n v="0"/>
    <n v="0"/>
    <n v="67.800003000000004"/>
    <n v="25.420295999999993"/>
    <n v="0.27269056495946226"/>
    <x v="0"/>
    <s v="MEDIANO"/>
    <x v="5"/>
    <x v="1"/>
    <n v="1"/>
    <n v="1"/>
    <d v="2018-09-26T00:00:00"/>
    <s v="KIA"/>
    <s v="PICANTO"/>
    <n v="93.21"/>
    <d v="2018-09-26T00:00:00"/>
    <n v="0"/>
    <x v="1183"/>
  </r>
  <r>
    <d v="2018-09-27T00:00:00"/>
    <s v="001-00013635"/>
    <n v="213.89830000000001"/>
    <n v="71.410004000000015"/>
    <n v="0"/>
    <n v="0"/>
    <n v="29.25"/>
    <n v="0"/>
    <n v="0"/>
    <n v="0"/>
    <n v="100.66000400000001"/>
    <n v="113.23829599999999"/>
    <n v="0.52940250577026549"/>
    <x v="0"/>
    <s v="MECANICA"/>
    <x v="5"/>
    <x v="1"/>
    <n v="0"/>
    <n v="1"/>
    <d v="2018-09-27T00:00:00"/>
    <s v="SUZUKI"/>
    <s v="S-CROSS"/>
    <n v="130"/>
    <d v="2018-09-27T00:00:00"/>
    <n v="0"/>
    <x v="947"/>
  </r>
  <r>
    <d v="2018-09-28T00:00:00"/>
    <s v="001-00013638"/>
    <n v="919"/>
    <n v="232.38170115"/>
    <n v="0"/>
    <n v="38.14"/>
    <n v="78.097499999999997"/>
    <n v="0"/>
    <n v="0"/>
    <n v="0"/>
    <n v="348.61920114999998"/>
    <n v="570.38079885000002"/>
    <n v="0.62065375282916213"/>
    <x v="0"/>
    <s v="MECANICA"/>
    <x v="5"/>
    <x v="1"/>
    <n v="1"/>
    <n v="1"/>
    <d v="2018-09-27T00:00:00"/>
    <s v="MITSUBISHI"/>
    <s v="ASX"/>
    <n v="189.995"/>
    <d v="2018-09-27T00:00:00"/>
    <n v="0"/>
    <x v="1115"/>
  </r>
  <r>
    <d v="2018-09-29T00:00:00"/>
    <s v="001-00013639"/>
    <n v="349"/>
    <n v="81.097400899999997"/>
    <n v="0"/>
    <n v="0"/>
    <n v="39.048749999999998"/>
    <n v="0"/>
    <n v="0"/>
    <n v="0"/>
    <n v="120.14615089999999"/>
    <n v="228.85384909999999"/>
    <n v="0.65574168796561605"/>
    <x v="0"/>
    <s v="MECANICA"/>
    <x v="5"/>
    <x v="1"/>
    <n v="1"/>
    <n v="1"/>
    <d v="2018-09-28T00:00:00"/>
    <s v="NISSAN"/>
    <s v="SENTRA"/>
    <n v="0"/>
    <d v="2018-09-28T00:00:00"/>
    <n v="0"/>
    <x v="1206"/>
  </r>
  <r>
    <d v="2018-09-28T00:00:00"/>
    <s v="001-00013645"/>
    <n v="691"/>
    <n v="322.19998999999996"/>
    <n v="0"/>
    <n v="0"/>
    <n v="39.048749999999998"/>
    <n v="0"/>
    <n v="0"/>
    <n v="0"/>
    <n v="361.24873999999994"/>
    <n v="329.75126000000006"/>
    <n v="0.47720876989869765"/>
    <x v="0"/>
    <s v="MECANICA"/>
    <x v="5"/>
    <x v="1"/>
    <n v="0"/>
    <n v="1"/>
    <d v="2018-09-28T00:00:00"/>
    <s v="RENAULT"/>
    <s v="SANDERO"/>
    <n v="510.99749999999995"/>
    <d v="2018-09-28T00:00:00"/>
    <n v="0"/>
    <x v="877"/>
  </r>
  <r>
    <d v="2018-09-28T00:00:00"/>
    <s v="001-00013647"/>
    <n v="884.39212259999999"/>
    <n v="0"/>
    <n v="0"/>
    <n v="0"/>
    <n v="0"/>
    <n v="0"/>
    <n v="0"/>
    <n v="0"/>
    <n v="0"/>
    <n v="884.39212259999999"/>
    <n v="1"/>
    <x v="1"/>
    <s v="MEDIANO"/>
    <x v="5"/>
    <x v="1"/>
    <n v="0"/>
    <n v="1"/>
    <d v="2018-09-28T00:00:00"/>
    <s v="RENAULT"/>
    <s v="DUSTER"/>
    <n v="0"/>
    <s v="F/Fecha"/>
    <n v="0"/>
    <x v="999"/>
  </r>
  <r>
    <d v="2018-09-29T00:00:00"/>
    <s v="001-00013649"/>
    <n v="449"/>
    <n v="126.394801"/>
    <n v="0"/>
    <n v="0"/>
    <n v="39.048749999999998"/>
    <n v="0"/>
    <n v="0"/>
    <n v="0"/>
    <n v="165.44355100000001"/>
    <n v="283.55644899999999"/>
    <n v="0.63152883964365258"/>
    <x v="0"/>
    <s v="MECANICA"/>
    <x v="5"/>
    <x v="1"/>
    <n v="0"/>
    <n v="1"/>
    <d v="2018-09-29T00:00:00"/>
    <s v="RENAULT"/>
    <s v="SANDERO"/>
    <n v="0"/>
    <d v="2018-09-29T00:00:00"/>
    <n v="0"/>
    <x v="1207"/>
  </r>
  <r>
    <d v="2018-09-29T00:00:00"/>
    <s v="001-00013650"/>
    <n v="449"/>
    <n v="161.22640501000001"/>
    <n v="0"/>
    <n v="0"/>
    <n v="39.048749999999998"/>
    <n v="0"/>
    <n v="0"/>
    <n v="0"/>
    <n v="200.27515500999999"/>
    <n v="248.72484499000001"/>
    <n v="0.5539528841648107"/>
    <x v="0"/>
    <s v="MECANICA"/>
    <x v="5"/>
    <x v="1"/>
    <n v="0"/>
    <n v="1"/>
    <d v="2018-09-29T00:00:00"/>
    <s v="VW"/>
    <s v="VOYAGE"/>
    <n v="0"/>
    <d v="2018-09-29T00:00:00"/>
    <n v="0"/>
    <x v="1208"/>
  </r>
  <r>
    <d v="2018-10-22T00:00:00"/>
    <s v="001-00010731"/>
    <n v="5467.4448136000001"/>
    <n v="93.124699199999995"/>
    <n v="58.47"/>
    <n v="161.01999999999998"/>
    <n v="248.625"/>
    <n v="409.5"/>
    <n v="464.83125000000001"/>
    <n v="0"/>
    <n v="1435.5709491999999"/>
    <n v="4031.8738644000005"/>
    <n v="0.73743293290696099"/>
    <x v="1"/>
    <s v="GRAVE"/>
    <x v="6"/>
    <x v="1"/>
    <n v="362"/>
    <n v="1"/>
    <d v="2017-10-25T00:00:00"/>
    <s v="HYUNDAI"/>
    <s v="I10"/>
    <n v="17386.6875"/>
    <d v="2018-02-13T00:00:00"/>
    <n v="28"/>
    <x v="905"/>
  </r>
  <r>
    <d v="2018-10-23T00:00:00"/>
    <s v="001-00012204"/>
    <n v="4345.0496664654211"/>
    <n v="68.028299000000004"/>
    <n v="0"/>
    <n v="114.41"/>
    <n v="59.962499999999999"/>
    <n v="526.5"/>
    <n v="449.33687499999996"/>
    <n v="0"/>
    <n v="1218.237674"/>
    <n v="3126.8119924654211"/>
    <n v="0.71962629486097385"/>
    <x v="1"/>
    <s v="GRAVE"/>
    <x v="6"/>
    <x v="1"/>
    <n v="176"/>
    <n v="1"/>
    <d v="2018-04-30T00:00:00"/>
    <s v="CHEVROLET"/>
    <s v="PRISMA"/>
    <n v="6122.1549999999997"/>
    <d v="2018-05-04T00:00:00"/>
    <n v="36"/>
    <x v="1"/>
  </r>
  <r>
    <d v="2018-10-12T00:00:00"/>
    <s v="001-00012666"/>
    <n v="3346.6498995000006"/>
    <n v="34.570899699999991"/>
    <n v="0"/>
    <n v="84.75"/>
    <n v="102.375"/>
    <n v="321.75"/>
    <n v="433.84250000000003"/>
    <n v="0"/>
    <n v="977.2883996999999"/>
    <n v="2369.3614998000007"/>
    <n v="0.70798009082276292"/>
    <x v="1"/>
    <s v="MEDIANO"/>
    <x v="6"/>
    <x v="1"/>
    <n v="115"/>
    <n v="1"/>
    <d v="2018-06-19T00:00:00"/>
    <s v="NISSAN"/>
    <s v="NP300"/>
    <n v="37907.122499999998"/>
    <d v="2018-06-28T00:00:00"/>
    <n v="22"/>
    <x v="1"/>
  </r>
  <r>
    <d v="2018-10-27T00:00:00"/>
    <s v="001-00012724"/>
    <n v="5153.2167635347505"/>
    <n v="1.5622000199999997"/>
    <n v="0"/>
    <n v="163.22033898305085"/>
    <n v="21.9375"/>
    <n v="819"/>
    <n v="480.32562499999995"/>
    <n v="0"/>
    <n v="1486.0456640030507"/>
    <n v="3667.1710995316998"/>
    <n v="0.71162756542309191"/>
    <x v="1"/>
    <s v="GRAVE"/>
    <x v="6"/>
    <x v="1"/>
    <n v="123"/>
    <n v="1"/>
    <d v="2018-06-26T00:00:00"/>
    <s v="SUZUKI"/>
    <s v="CIAZ"/>
    <n v="12959.895"/>
    <d v="2018-07-04T00:00:00"/>
    <n v="56"/>
    <x v="1"/>
  </r>
  <r>
    <d v="2018-10-31T00:00:00"/>
    <s v="001-00012889"/>
    <n v="3186.988196349158"/>
    <n v="5.4759001999999999"/>
    <n v="0"/>
    <n v="84.75"/>
    <n v="21.9375"/>
    <n v="234"/>
    <n v="480.32562499999995"/>
    <n v="0"/>
    <n v="826.48902520000001"/>
    <n v="2360.499171149158"/>
    <n v="0.74066768551362028"/>
    <x v="1"/>
    <s v="MEDIANO"/>
    <x v="6"/>
    <x v="1"/>
    <n v="111"/>
    <n v="1"/>
    <d v="2018-07-12T00:00:00"/>
    <s v="SUZUKI"/>
    <s v="SWIFT"/>
    <n v="5078.9049999999997"/>
    <d v="2018-07-13T00:00:00"/>
    <n v="16"/>
    <x v="1"/>
  </r>
  <r>
    <d v="2018-10-25T00:00:00"/>
    <s v="001-00012969"/>
    <n v="870.47218445424005"/>
    <n v="0"/>
    <n v="0"/>
    <n v="76.27"/>
    <n v="0"/>
    <n v="87.75"/>
    <n v="185.9325"/>
    <n v="0"/>
    <n v="349.95249999999999"/>
    <n v="520.51968445424006"/>
    <n v="0.59797394305090901"/>
    <x v="1"/>
    <s v="MEDIANO"/>
    <x v="6"/>
    <x v="1"/>
    <n v="98"/>
    <n v="1"/>
    <d v="2018-07-19T00:00:00"/>
    <s v="RENAULT"/>
    <s v="CAPTUR"/>
    <n v="3360.7924999999996"/>
    <d v="2018-07-20T00:00:00"/>
    <n v="6"/>
    <x v="1077"/>
  </r>
  <r>
    <d v="2018-10-11T00:00:00"/>
    <s v="001-00013067"/>
    <n v="1444.1756686313597"/>
    <n v="0"/>
    <n v="0"/>
    <n v="0"/>
    <n v="0"/>
    <n v="204.75"/>
    <n v="238.61337499999999"/>
    <n v="0"/>
    <n v="443.36337500000002"/>
    <n v="1000.8122936313597"/>
    <n v="0.69299899961604117"/>
    <x v="1"/>
    <s v="MEDIANO"/>
    <x v="6"/>
    <x v="1"/>
    <n v="73"/>
    <n v="1"/>
    <d v="2018-07-30T00:00:00"/>
    <s v="SUZUKI"/>
    <s v="CIAZ"/>
    <n v="0"/>
    <d v="2018-07-31T00:00:00"/>
    <n v="14"/>
    <x v="1"/>
  </r>
  <r>
    <d v="2018-10-06T00:00:00"/>
    <s v="001-00013083"/>
    <n v="1645.5205556957701"/>
    <n v="0"/>
    <n v="0"/>
    <n v="76.27"/>
    <n v="0"/>
    <n v="234"/>
    <n v="247.91"/>
    <n v="0"/>
    <n v="558.17999999999995"/>
    <n v="1087.34055569577"/>
    <n v="0.66078819370081543"/>
    <x v="1"/>
    <s v="MEDIANO"/>
    <x v="6"/>
    <x v="1"/>
    <n v="68"/>
    <n v="1"/>
    <d v="2018-07-30T00:00:00"/>
    <s v="VW"/>
    <s v="GOL"/>
    <n v="3712.54"/>
    <d v="2018-07-31T00:00:00"/>
    <n v="16"/>
    <x v="1102"/>
  </r>
  <r>
    <d v="2018-10-04T00:00:00"/>
    <s v="001-00013149"/>
    <n v="1147.5426558928823"/>
    <n v="5.4759001999999999"/>
    <n v="0"/>
    <n v="84.75"/>
    <n v="0"/>
    <n v="321.75"/>
    <n v="376.82319999999999"/>
    <n v="0"/>
    <n v="788.7991002"/>
    <n v="358.7435556928823"/>
    <n v="0.31261892867394142"/>
    <x v="1"/>
    <s v="MEDIANO"/>
    <x v="6"/>
    <x v="1"/>
    <n v="59"/>
    <n v="1"/>
    <d v="2018-08-06T00:00:00"/>
    <s v="TOYOTA"/>
    <s v="ETIOS"/>
    <n v="11249.484999999999"/>
    <d v="2018-08-09T00:00:00"/>
    <n v="22"/>
    <x v="1151"/>
  </r>
  <r>
    <d v="2018-10-26T00:00:00"/>
    <s v="001-00013152"/>
    <n v="481.10401440000004"/>
    <n v="0"/>
    <n v="0"/>
    <n v="0"/>
    <n v="0"/>
    <n v="58.5"/>
    <n v="30.98875"/>
    <n v="0"/>
    <n v="89.488749999999996"/>
    <n v="391.61526440000006"/>
    <n v="0.81399292601703976"/>
    <x v="1"/>
    <s v="LEVE"/>
    <x v="6"/>
    <x v="1"/>
    <n v="81"/>
    <n v="1"/>
    <d v="2018-08-06T00:00:00"/>
    <s v="JAC"/>
    <s v="S3"/>
    <n v="1177.7025000000001"/>
    <d v="2018-08-09T00:00:00"/>
    <n v="4"/>
    <x v="1"/>
  </r>
  <r>
    <d v="2018-10-04T00:00:00"/>
    <s v="001-00013153"/>
    <n v="349"/>
    <n v="86.987300099999985"/>
    <n v="0"/>
    <n v="0"/>
    <n v="39.048749999999998"/>
    <n v="0"/>
    <n v="0"/>
    <n v="0"/>
    <n v="126.03605009999998"/>
    <n v="222.96394990000002"/>
    <n v="0.6388651859598854"/>
    <x v="0"/>
    <s v="MECANICA"/>
    <x v="6"/>
    <x v="1"/>
    <n v="59"/>
    <n v="1"/>
    <d v="2018-08-06T00:00:00"/>
    <s v="HYUNDAI"/>
    <s v="ACCENT"/>
    <n v="0"/>
    <d v="2018-08-07T00:00:00"/>
    <n v="0"/>
    <x v="871"/>
  </r>
  <r>
    <d v="2018-10-31T00:00:00"/>
    <s v="001-00013176"/>
    <n v="2675.3286547771213"/>
    <n v="0"/>
    <n v="0"/>
    <n v="0"/>
    <n v="0"/>
    <n v="292.5"/>
    <n v="324.14232500000003"/>
    <n v="0"/>
    <n v="616.64232500000003"/>
    <n v="2058.6863297771215"/>
    <n v="0.76950782331026479"/>
    <x v="1"/>
    <s v="MEDIANO"/>
    <x v="6"/>
    <x v="1"/>
    <n v="84"/>
    <n v="1"/>
    <d v="2018-08-08T00:00:00"/>
    <s v="SUZUKI"/>
    <s v="BALENO"/>
    <n v="1450.8325"/>
    <d v="2018-08-09T00:00:00"/>
    <n v="20"/>
    <x v="1118"/>
  </r>
  <r>
    <d v="2018-10-19T00:00:00"/>
    <s v="001-00013227"/>
    <n v="1546.257814102881"/>
    <n v="1.7710000199999998"/>
    <n v="0"/>
    <n v="76.27"/>
    <n v="0"/>
    <n v="146.25"/>
    <n v="198.328"/>
    <n v="0"/>
    <n v="422.61900002000004"/>
    <n v="1123.6388140828808"/>
    <n v="0.72668270700691762"/>
    <x v="1"/>
    <s v="MEDIANO"/>
    <x v="6"/>
    <x v="1"/>
    <n v="67"/>
    <n v="1"/>
    <d v="2018-08-13T00:00:00"/>
    <s v="VW"/>
    <s v="TIGUAN"/>
    <n v="4366.9599999999991"/>
    <d v="2018-08-14T00:00:00"/>
    <n v="10"/>
    <x v="1"/>
  </r>
  <r>
    <d v="2018-10-19T00:00:00"/>
    <s v="001-00013280"/>
    <n v="474.024090118841"/>
    <n v="0"/>
    <n v="0"/>
    <n v="20"/>
    <n v="0"/>
    <n v="43.875"/>
    <n v="123.955"/>
    <n v="0"/>
    <n v="187.82999999999998"/>
    <n v="286.19409011884102"/>
    <n v="0.60375431562368542"/>
    <x v="1"/>
    <s v="LEVE"/>
    <x v="6"/>
    <x v="1"/>
    <n v="60"/>
    <n v="1"/>
    <d v="2018-08-20T00:00:00"/>
    <s v="FORD"/>
    <s v="ESCAPE"/>
    <n v="4663.62"/>
    <d v="2018-08-21T00:00:00"/>
    <n v="3"/>
    <x v="1136"/>
  </r>
  <r>
    <d v="2018-10-10T00:00:00"/>
    <s v="001-00013296"/>
    <n v="1374.9581633199998"/>
    <n v="0.42379998999999996"/>
    <n v="0"/>
    <n v="118.65"/>
    <n v="106.7625"/>
    <n v="117"/>
    <n v="326.62142499999999"/>
    <n v="0"/>
    <n v="669.45772499000009"/>
    <n v="705.50043832999972"/>
    <n v="0.51310684001212448"/>
    <x v="1"/>
    <s v="MEDIANO"/>
    <x v="6"/>
    <x v="1"/>
    <n v="51"/>
    <n v="1"/>
    <d v="2018-08-20T00:00:00"/>
    <s v="TOYOTA"/>
    <s v="YARIS"/>
    <n v="3213.47"/>
    <d v="2018-09-06T00:00:00"/>
    <n v="8"/>
    <x v="1"/>
  </r>
  <r>
    <d v="2018-10-06T00:00:00"/>
    <s v="001-00013376"/>
    <n v="3248.3928963145786"/>
    <n v="5.4759001999999999"/>
    <n v="0"/>
    <n v="84.75"/>
    <n v="17.549999999999997"/>
    <n v="351"/>
    <n v="418.34812499999998"/>
    <n v="0"/>
    <n v="877.12402520000001"/>
    <n v="2371.2688711145784"/>
    <n v="0.72998216250407089"/>
    <x v="1"/>
    <s v="MEDIANO"/>
    <x v="6"/>
    <x v="1"/>
    <n v="36"/>
    <n v="1"/>
    <d v="2018-08-31T00:00:00"/>
    <s v="RENAULT"/>
    <s v="SANDERO"/>
    <n v="9686.3974999999991"/>
    <d v="2018-09-06T00:00:00"/>
    <n v="24"/>
    <x v="1"/>
  </r>
  <r>
    <d v="2018-10-04T00:00:00"/>
    <s v="001-00013390"/>
    <n v="5276.6461502571174"/>
    <n v="5.4759001999999999"/>
    <n v="0"/>
    <n v="233.05508474576271"/>
    <n v="29.25"/>
    <n v="614.25"/>
    <n v="743.73"/>
    <n v="0"/>
    <n v="1625.7609849457626"/>
    <n v="3650.8851653113547"/>
    <n v="0.69189501462656477"/>
    <x v="1"/>
    <s v="GRAVE"/>
    <x v="6"/>
    <x v="1"/>
    <n v="33"/>
    <n v="1"/>
    <d v="2018-09-01T00:00:00"/>
    <s v="CHEVROLET"/>
    <s v="SAIL"/>
    <n v="7745.2375000000002"/>
    <d v="2018-09-04T00:00:00"/>
    <n v="42"/>
    <x v="1"/>
  </r>
  <r>
    <d v="2018-10-10T00:00:00"/>
    <s v="001-00013408"/>
    <n v="142.37289799999999"/>
    <n v="1648.9237011"/>
    <n v="0"/>
    <n v="254.24"/>
    <n v="68.298749999999998"/>
    <n v="0"/>
    <n v="0"/>
    <n v="0"/>
    <n v="1971.4624511"/>
    <n v="-1829.0895530999999"/>
    <n v="-12.847175121068338"/>
    <x v="0"/>
    <s v="MECANICA"/>
    <x v="6"/>
    <x v="1"/>
    <n v="36"/>
    <n v="1"/>
    <d v="2018-09-04T00:00:00"/>
    <s v="CHEVROLET"/>
    <s v="PRISMA"/>
    <n v="745.97249999999997"/>
    <d v="2018-09-04T00:00:00"/>
    <n v="0"/>
    <x v="1169"/>
  </r>
  <r>
    <d v="2018-10-04T00:00:00"/>
    <s v="001-00013416"/>
    <n v="377.10169999999999"/>
    <n v="61.49845114999998"/>
    <n v="0"/>
    <n v="0"/>
    <n v="43.875"/>
    <n v="0"/>
    <n v="0"/>
    <n v="0"/>
    <n v="105.37345114999998"/>
    <n v="271.72824885"/>
    <n v="0.72057020387338488"/>
    <x v="0"/>
    <s v="MECANICA"/>
    <x v="6"/>
    <x v="1"/>
    <n v="29"/>
    <n v="1"/>
    <d v="2018-09-05T00:00:00"/>
    <s v="HYUNDAI"/>
    <s v="TUCSON"/>
    <n v="0"/>
    <d v="2018-09-05T00:00:00"/>
    <n v="0"/>
    <x v="28"/>
  </r>
  <r>
    <d v="2018-10-10T00:00:00"/>
    <s v="001-00013431"/>
    <n v="3534.4330277199997"/>
    <n v="7.7622002100000005"/>
    <n v="0"/>
    <n v="134.41"/>
    <n v="125.77499999999999"/>
    <n v="263.25"/>
    <n v="340.87625000000003"/>
    <n v="0"/>
    <n v="872.07345021000003"/>
    <n v="2662.3595775099998"/>
    <n v="0.75326355221036423"/>
    <x v="1"/>
    <s v="MEDIANO"/>
    <x v="6"/>
    <x v="1"/>
    <n v="34"/>
    <n v="1"/>
    <d v="2018-09-06T00:00:00"/>
    <s v="CHEVROLET"/>
    <s v="SAIL"/>
    <n v="9345.7325000000001"/>
    <d v="2018-09-13T00:00:00"/>
    <n v="18"/>
    <x v="1209"/>
  </r>
  <r>
    <d v="2018-10-30T00:00:00"/>
    <s v="001-00013441"/>
    <n v="1763.152"/>
    <n v="0"/>
    <n v="0"/>
    <n v="0"/>
    <n v="0"/>
    <n v="146.25"/>
    <n v="278.89875000000001"/>
    <n v="0"/>
    <n v="425.14875000000001"/>
    <n v="1338.00325"/>
    <n v="0.75887005204315905"/>
    <x v="1"/>
    <s v="MEDIANO"/>
    <x v="6"/>
    <x v="1"/>
    <n v="53"/>
    <n v="1"/>
    <d v="2018-09-07T00:00:00"/>
    <s v="MITSUBISHI"/>
    <s v="LANCER"/>
    <n v="8742.0450000000001"/>
    <d v="2018-09-11T00:00:00"/>
    <n v="10"/>
    <x v="1"/>
  </r>
  <r>
    <d v="2018-10-12T00:00:00"/>
    <s v="001-00013444"/>
    <n v="1001.7655349169501"/>
    <n v="0"/>
    <n v="0"/>
    <n v="100.51"/>
    <n v="35.099999999999994"/>
    <n v="73.125"/>
    <n v="108.46062500000001"/>
    <n v="0"/>
    <n v="317.19562500000001"/>
    <n v="684.56990991695011"/>
    <n v="0.68336340795923212"/>
    <x v="1"/>
    <s v="LEVE"/>
    <x v="6"/>
    <x v="1"/>
    <n v="35"/>
    <n v="1"/>
    <d v="2018-09-07T00:00:00"/>
    <s v="CHEVROLET"/>
    <s v="N300"/>
    <n v="913.02250000000004"/>
    <d v="2018-09-10T00:00:00"/>
    <n v="5"/>
    <x v="999"/>
  </r>
  <r>
    <d v="2018-10-27T00:00:00"/>
    <s v="001-00013456"/>
    <n v="2906.0467540445793"/>
    <n v="9.4941001500000013"/>
    <n v="0"/>
    <n v="84.75"/>
    <n v="58.5"/>
    <n v="175.5"/>
    <n v="402.85374999999999"/>
    <n v="0"/>
    <n v="731.09785015"/>
    <n v="2174.9489038945794"/>
    <n v="0.74842185552160434"/>
    <x v="1"/>
    <s v="MEDIANO"/>
    <x v="6"/>
    <x v="1"/>
    <n v="49"/>
    <n v="1"/>
    <d v="2018-09-08T00:00:00"/>
    <s v="KIA"/>
    <s v="RIO"/>
    <n v="9226.067500000001"/>
    <d v="2018-09-12T00:00:00"/>
    <n v="12"/>
    <x v="1"/>
  </r>
  <r>
    <d v="2018-10-20T00:00:00"/>
    <s v="001-00013461"/>
    <n v="4040.05"/>
    <n v="60.167601979999979"/>
    <n v="42.37"/>
    <n v="18"/>
    <n v="19.012500000000003"/>
    <n v="438.75"/>
    <n v="557.79750000000001"/>
    <n v="0"/>
    <n v="1136.09760198"/>
    <n v="2903.9523980200001"/>
    <n v="0.71879120258907692"/>
    <x v="1"/>
    <s v="GRAVE"/>
    <x v="6"/>
    <x v="1"/>
    <n v="40"/>
    <n v="1"/>
    <d v="2018-09-10T00:00:00"/>
    <s v="SUZUKI"/>
    <s v="CIAZ"/>
    <n v="5782.5950000000003"/>
    <d v="2018-09-11T00:00:00"/>
    <n v="30"/>
    <x v="1"/>
  </r>
  <r>
    <d v="2018-10-04T00:00:00"/>
    <s v="001-00013464"/>
    <n v="1515.2280616179692"/>
    <n v="1.1869999999999998"/>
    <n v="0"/>
    <n v="55.084745762711869"/>
    <n v="0"/>
    <n v="117"/>
    <n v="216.92125000000001"/>
    <n v="0"/>
    <n v="390.19299576271192"/>
    <n v="1125.0350658552572"/>
    <n v="0.7424856325944349"/>
    <x v="1"/>
    <s v="MEDIANO"/>
    <x v="6"/>
    <x v="1"/>
    <n v="24"/>
    <n v="1"/>
    <d v="2018-09-10T00:00:00"/>
    <s v="KIA"/>
    <s v="SPORTAGE"/>
    <n v="4935.5149999999994"/>
    <d v="2018-09-12T00:00:00"/>
    <n v="8"/>
    <x v="1"/>
  </r>
  <r>
    <d v="2018-10-02T00:00:00"/>
    <s v="001-00013465"/>
    <n v="2313.83218089"/>
    <n v="0"/>
    <n v="0"/>
    <n v="55.084745762711869"/>
    <n v="0"/>
    <n v="204.75"/>
    <n v="356.37062500000002"/>
    <n v="0"/>
    <n v="616.20537076271194"/>
    <n v="1697.6268101272881"/>
    <n v="0.73368623020633561"/>
    <x v="1"/>
    <s v="MEDIANO"/>
    <x v="6"/>
    <x v="1"/>
    <n v="22"/>
    <n v="1"/>
    <d v="2018-09-10T00:00:00"/>
    <s v="KIA"/>
    <s v="RIO"/>
    <n v="2958.7674999999999"/>
    <d v="2018-09-12T00:00:00"/>
    <n v="14"/>
    <x v="1"/>
  </r>
  <r>
    <d v="2018-10-02T00:00:00"/>
    <s v="001-00013468"/>
    <n v="3201.4574999999995"/>
    <n v="1.7782000100000004"/>
    <n v="0"/>
    <n v="0"/>
    <n v="29.25"/>
    <n v="321.75"/>
    <n v="433.84250000000003"/>
    <n v="0"/>
    <n v="786.62070001000006"/>
    <n v="2414.8367999899992"/>
    <n v="0.75429294313293227"/>
    <x v="1"/>
    <s v="MEDIANO"/>
    <x v="6"/>
    <x v="1"/>
    <n v="22"/>
    <n v="1"/>
    <d v="2018-09-10T00:00:00"/>
    <s v="HYUNDAI"/>
    <s v="ACCENT"/>
    <n v="3057.2750000000001"/>
    <d v="2018-09-12T00:00:00"/>
    <n v="22"/>
    <x v="1"/>
  </r>
  <r>
    <d v="2018-10-06T00:00:00"/>
    <s v="001-00013482"/>
    <n v="2040.6733108383089"/>
    <n v="49.246601199999986"/>
    <n v="0"/>
    <n v="135.6"/>
    <n v="73.125"/>
    <n v="117"/>
    <n v="185.9325"/>
    <n v="0"/>
    <n v="560.90410120000001"/>
    <n v="1479.7692096383089"/>
    <n v="0.72513772869917115"/>
    <x v="1"/>
    <s v="MEDIANO"/>
    <x v="6"/>
    <x v="1"/>
    <n v="26"/>
    <n v="1"/>
    <d v="2018-09-10T00:00:00"/>
    <s v="HYUNDAI"/>
    <s v="ACCENT"/>
    <n v="7738.38"/>
    <d v="2018-09-12T00:00:00"/>
    <n v="8"/>
    <x v="1"/>
  </r>
  <r>
    <d v="2018-10-12T00:00:00"/>
    <s v="001-00013492"/>
    <n v="998.80250100593003"/>
    <n v="0"/>
    <n v="0"/>
    <n v="0"/>
    <n v="0"/>
    <n v="87.75"/>
    <n v="123.955"/>
    <n v="0"/>
    <n v="211.70499999999998"/>
    <n v="787.0975010059301"/>
    <n v="0.78804117952569785"/>
    <x v="1"/>
    <s v="LEVE"/>
    <x v="6"/>
    <x v="1"/>
    <n v="31"/>
    <n v="1"/>
    <d v="2018-09-11T00:00:00"/>
    <s v="NISSAN"/>
    <s v="KICKS"/>
    <n v="5707.0325000000003"/>
    <d v="2018-09-11T00:00:00"/>
    <n v="6"/>
    <x v="1"/>
  </r>
  <r>
    <d v="2018-10-15T00:00:00"/>
    <s v="001-00013495"/>
    <n v="13774"/>
    <n v="4846.238156200001"/>
    <n v="25.42"/>
    <n v="877.12000000000012"/>
    <n v="117"/>
    <n v="0"/>
    <n v="0"/>
    <n v="0"/>
    <n v="5865.7781562000009"/>
    <n v="7908.2218437999991"/>
    <n v="0.57414126933352683"/>
    <x v="0"/>
    <s v="MECANICA"/>
    <x v="6"/>
    <x v="1"/>
    <n v="36"/>
    <n v="1"/>
    <d v="2018-09-09T00:00:00"/>
    <s v="TOYOTA"/>
    <s v="HILUX"/>
    <n v="10043.995000000001"/>
    <d v="2018-09-19T00:00:00"/>
    <n v="0"/>
    <x v="871"/>
  </r>
  <r>
    <d v="2018-10-02T00:00:00"/>
    <s v="001-00013503"/>
    <n v="613.81950000000006"/>
    <n v="0"/>
    <n v="0"/>
    <n v="0"/>
    <n v="0"/>
    <n v="58.5"/>
    <n v="123.955"/>
    <n v="0"/>
    <n v="182.45499999999998"/>
    <n v="431.36450000000008"/>
    <n v="0.70275463715310449"/>
    <x v="1"/>
    <s v="LEVE"/>
    <x v="6"/>
    <x v="1"/>
    <n v="21"/>
    <n v="1"/>
    <d v="2018-09-11T00:00:00"/>
    <s v="HYUNDAI"/>
    <s v="ELANTRA"/>
    <n v="276.25"/>
    <d v="2018-09-14T00:00:00"/>
    <n v="4"/>
    <x v="1"/>
  </r>
  <r>
    <d v="2018-10-18T00:00:00"/>
    <s v="001-00013505"/>
    <n v="1242.0755118101697"/>
    <n v="2.7969999699999999"/>
    <n v="0"/>
    <n v="65.084745762711862"/>
    <n v="0"/>
    <n v="146.25"/>
    <n v="201.426875"/>
    <n v="0"/>
    <n v="415.55862073271186"/>
    <n v="826.51689107745779"/>
    <n v="0.66543207978789698"/>
    <x v="1"/>
    <s v="MEDIANO"/>
    <x v="6"/>
    <x v="1"/>
    <n v="36"/>
    <n v="1"/>
    <d v="2018-09-12T00:00:00"/>
    <s v="MITSUBISHI"/>
    <s v="MIRAGE"/>
    <n v="5271.24"/>
    <d v="2018-09-12T00:00:00"/>
    <n v="10"/>
    <x v="302"/>
  </r>
  <r>
    <d v="2018-10-10T00:00:00"/>
    <s v="001-00013506"/>
    <n v="2448.2010277199997"/>
    <n v="0"/>
    <n v="0"/>
    <n v="20"/>
    <n v="0"/>
    <n v="234"/>
    <n v="325.38187500000004"/>
    <n v="0"/>
    <n v="579.38187500000004"/>
    <n v="1868.8191527199997"/>
    <n v="0.763343831474666"/>
    <x v="1"/>
    <s v="MEDIANO"/>
    <x v="6"/>
    <x v="1"/>
    <n v="28"/>
    <n v="1"/>
    <d v="2018-09-12T00:00:00"/>
    <s v="NISSAN"/>
    <s v="SENTRA"/>
    <n v="942.24"/>
    <d v="2018-09-13T00:00:00"/>
    <n v="16"/>
    <x v="1"/>
  </r>
  <r>
    <d v="2018-10-02T00:00:00"/>
    <s v="001-00013512"/>
    <n v="356.98510251124969"/>
    <n v="0"/>
    <n v="0"/>
    <n v="0"/>
    <n v="0"/>
    <n v="29.25"/>
    <n v="61.977499999999999"/>
    <n v="0"/>
    <n v="91.227499999999992"/>
    <n v="265.75760251124973"/>
    <n v="0.74445012030403956"/>
    <x v="1"/>
    <s v="LEVE"/>
    <x v="6"/>
    <x v="1"/>
    <n v="19"/>
    <n v="1"/>
    <d v="2018-09-13T00:00:00"/>
    <s v="HYUNDAI"/>
    <s v="SANTA FE"/>
    <n v="1140.2950000000001"/>
    <d v="2018-09-13T00:00:00"/>
    <n v="2"/>
    <x v="1210"/>
  </r>
  <r>
    <d v="2018-10-01T00:00:00"/>
    <s v="001-00013513"/>
    <n v="395.43699999999995"/>
    <n v="0"/>
    <n v="0"/>
    <n v="0"/>
    <n v="0"/>
    <n v="29.25"/>
    <n v="61.977499999999999"/>
    <n v="0"/>
    <n v="91.227499999999992"/>
    <n v="304.20949999999993"/>
    <n v="0.76929953443911414"/>
    <x v="1"/>
    <s v="LEVE"/>
    <x v="6"/>
    <x v="1"/>
    <n v="18"/>
    <n v="1"/>
    <d v="2018-09-13T00:00:00"/>
    <s v="SUZUKI"/>
    <s v="APV"/>
    <n v="36.465000000000003"/>
    <d v="2018-09-13T00:00:00"/>
    <n v="2"/>
    <x v="1"/>
  </r>
  <r>
    <d v="2018-10-01T00:00:00"/>
    <s v="001-00013516"/>
    <n v="3663.6075000000001"/>
    <n v="0"/>
    <n v="0"/>
    <n v="84.75"/>
    <n v="102.375"/>
    <n v="380.25"/>
    <n v="464.83125000000001"/>
    <n v="0"/>
    <n v="1032.20625"/>
    <n v="2631.4012499999999"/>
    <n v="0.71825413885084577"/>
    <x v="1"/>
    <s v="MEDIANO"/>
    <x v="6"/>
    <x v="1"/>
    <n v="18"/>
    <n v="1"/>
    <d v="2018-09-13T00:00:00"/>
    <s v="TOYOTA"/>
    <s v="YARIS"/>
    <n v="10151.797500000001"/>
    <d v="2018-09-14T00:00:00"/>
    <n v="26"/>
    <x v="1"/>
  </r>
  <r>
    <d v="2018-10-04T00:00:00"/>
    <s v="001-00013517"/>
    <n v="6679.0931"/>
    <n v="1550.6842963000001"/>
    <n v="33.9"/>
    <n v="948.31000000000006"/>
    <n v="58.5"/>
    <n v="0"/>
    <n v="0"/>
    <n v="0"/>
    <n v="2591.3942963000004"/>
    <n v="4087.6988036999996"/>
    <n v="0.61201404779041024"/>
    <x v="0"/>
    <s v="MECANICA"/>
    <x v="6"/>
    <x v="1"/>
    <n v="21"/>
    <n v="1"/>
    <d v="2018-09-13T00:00:00"/>
    <s v="HYUNDAI"/>
    <s v="ACCENT"/>
    <n v="5015.4000000000005"/>
    <d v="2018-09-13T00:00:00"/>
    <n v="0"/>
    <x v="871"/>
  </r>
  <r>
    <d v="2018-10-11T00:00:00"/>
    <s v="001-00013518"/>
    <n v="1734.9299478999999"/>
    <n v="0"/>
    <n v="0"/>
    <n v="22"/>
    <n v="0"/>
    <n v="175.5"/>
    <n v="247.91"/>
    <n v="0"/>
    <n v="445.40999999999997"/>
    <n v="1289.5199478999998"/>
    <n v="0.74326917317950802"/>
    <x v="1"/>
    <s v="MEDIANO"/>
    <x v="6"/>
    <x v="1"/>
    <n v="28"/>
    <n v="1"/>
    <d v="2018-09-13T00:00:00"/>
    <s v="CHEVROLET"/>
    <s v="SAIL"/>
    <n v="1560.7474999999999"/>
    <d v="2018-09-13T00:00:00"/>
    <n v="12"/>
    <x v="1"/>
  </r>
  <r>
    <d v="2018-10-20T00:00:00"/>
    <s v="001-00013521"/>
    <n v="3055.4439999999995"/>
    <n v="0"/>
    <n v="0"/>
    <n v="21.5"/>
    <n v="0"/>
    <n v="351"/>
    <n v="495.82"/>
    <n v="0"/>
    <n v="868.31999999999994"/>
    <n v="2187.1239999999998"/>
    <n v="0.71581217001522535"/>
    <x v="1"/>
    <s v="MEDIANO"/>
    <x v="6"/>
    <x v="1"/>
    <n v="37"/>
    <n v="1"/>
    <d v="2018-09-13T00:00:00"/>
    <s v="NISSAN"/>
    <s v="SENTRA"/>
    <n v="5106.1724999999997"/>
    <d v="2018-09-14T00:00:00"/>
    <n v="24"/>
    <x v="999"/>
  </r>
  <r>
    <d v="2018-10-04T00:00:00"/>
    <s v="001-00013534"/>
    <n v="2103.5753884645787"/>
    <n v="0"/>
    <n v="0"/>
    <n v="0"/>
    <n v="14.625"/>
    <n v="175.5"/>
    <n v="325.38187500000004"/>
    <n v="0"/>
    <n v="515.50687500000004"/>
    <n v="1588.0685134645787"/>
    <n v="0.75493777031862219"/>
    <x v="1"/>
    <s v="MEDIANO"/>
    <x v="6"/>
    <x v="1"/>
    <n v="20"/>
    <n v="1"/>
    <d v="2018-09-14T00:00:00"/>
    <s v="KIA"/>
    <s v="SPORTAGE"/>
    <n v="6423.1049999999996"/>
    <d v="2018-09-12T00:00:00"/>
    <n v="12"/>
    <x v="1"/>
  </r>
  <r>
    <d v="2018-10-05T00:00:00"/>
    <s v="001-00013542"/>
    <n v="559.85612817000003"/>
    <n v="0"/>
    <n v="0"/>
    <n v="0"/>
    <n v="0"/>
    <n v="58.5"/>
    <n v="92.966250000000002"/>
    <n v="0"/>
    <n v="151.46625"/>
    <n v="408.38987817000003"/>
    <n v="0.72945504679015083"/>
    <x v="1"/>
    <s v="LEVE"/>
    <x v="6"/>
    <x v="1"/>
    <n v="18"/>
    <n v="1"/>
    <d v="2018-09-17T00:00:00"/>
    <s v="SUZUKI"/>
    <s v="SWIFT"/>
    <n v="741.32499999999993"/>
    <d v="2018-09-17T00:00:00"/>
    <n v="4"/>
    <x v="1"/>
  </r>
  <r>
    <d v="2018-10-06T00:00:00"/>
    <s v="001-00013546"/>
    <n v="1808.42480479492"/>
    <n v="0.84660000000000024"/>
    <n v="0"/>
    <n v="67.8"/>
    <n v="81.899999999999991"/>
    <n v="138.9375"/>
    <n v="216.92125000000001"/>
    <n v="0"/>
    <n v="506.40535"/>
    <n v="1302.01945479492"/>
    <n v="0.71997433973627245"/>
    <x v="1"/>
    <s v="MEDIANO"/>
    <x v="6"/>
    <x v="1"/>
    <n v="19"/>
    <n v="1"/>
    <d v="2018-09-17T00:00:00"/>
    <s v="CHEVROLET"/>
    <s v="AVEO"/>
    <n v="4947.4425000000001"/>
    <d v="2018-09-18T00:00:00"/>
    <n v="9.5"/>
    <x v="1"/>
  </r>
  <r>
    <d v="2018-10-03T00:00:00"/>
    <s v="001-00013550"/>
    <n v="610.33770458305014"/>
    <n v="0"/>
    <n v="0"/>
    <n v="0"/>
    <n v="0"/>
    <n v="58.5"/>
    <n v="123.955"/>
    <n v="0"/>
    <n v="182.45499999999998"/>
    <n v="427.88270458305016"/>
    <n v="0.70105894059970719"/>
    <x v="1"/>
    <s v="LEVE"/>
    <x v="6"/>
    <x v="1"/>
    <n v="16"/>
    <n v="1"/>
    <d v="2018-09-17T00:00:00"/>
    <s v="TOYOTA"/>
    <s v="COROLLA"/>
    <n v="575.25"/>
    <d v="2018-09-18T00:00:00"/>
    <n v="4"/>
    <x v="1"/>
  </r>
  <r>
    <d v="2018-10-25T00:00:00"/>
    <s v="001-00013551"/>
    <n v="1657.9853318254195"/>
    <n v="0"/>
    <n v="0"/>
    <n v="98.77"/>
    <n v="0"/>
    <n v="146.25"/>
    <n v="232.41562500000001"/>
    <n v="0"/>
    <n v="477.43562499999996"/>
    <n v="1180.5497068254194"/>
    <n v="0.71203869187772018"/>
    <x v="1"/>
    <s v="MEDIANO"/>
    <x v="6"/>
    <x v="1"/>
    <n v="38"/>
    <n v="1"/>
    <d v="2018-09-17T00:00:00"/>
    <s v="FORD"/>
    <s v="ECOSPORT"/>
    <n v="3869.4824999999996"/>
    <d v="2018-10-04T00:00:00"/>
    <n v="10"/>
    <x v="999"/>
  </r>
  <r>
    <d v="2018-10-01T00:00:00"/>
    <s v="001-00013552"/>
    <n v="1653.6713442999999"/>
    <n v="0.83089999999999975"/>
    <n v="0"/>
    <n v="76.27"/>
    <n v="8.7749999999999986"/>
    <n v="204.75"/>
    <n v="200.18732499999999"/>
    <n v="0"/>
    <n v="490.81322499999999"/>
    <n v="1162.8581193"/>
    <n v="0.70319784116005146"/>
    <x v="1"/>
    <s v="MEDIANO"/>
    <x v="6"/>
    <x v="1"/>
    <n v="14"/>
    <n v="1"/>
    <d v="2018-09-17T00:00:00"/>
    <s v="HYUNDAI"/>
    <s v="ELANTRA"/>
    <n v="2229.11"/>
    <d v="2018-09-18T00:00:00"/>
    <n v="14"/>
    <x v="1"/>
  </r>
  <r>
    <d v="2018-10-02T00:00:00"/>
    <s v="001-00013563"/>
    <n v="430.33809720000005"/>
    <n v="0"/>
    <n v="0"/>
    <n v="0"/>
    <n v="0"/>
    <n v="58.5"/>
    <n v="123.955"/>
    <n v="0"/>
    <n v="182.45499999999998"/>
    <n v="247.88309720000007"/>
    <n v="0.57601941081408869"/>
    <x v="1"/>
    <s v="LEVE"/>
    <x v="6"/>
    <x v="1"/>
    <n v="14"/>
    <n v="1"/>
    <d v="2018-09-18T00:00:00"/>
    <s v="KIA"/>
    <s v="SPORTAGE"/>
    <n v="43.42"/>
    <d v="2018-09-18T00:00:00"/>
    <n v="4"/>
    <x v="1196"/>
  </r>
  <r>
    <d v="2018-10-03T00:00:00"/>
    <s v="001-00013567"/>
    <n v="3825.1704657754203"/>
    <n v="0"/>
    <n v="0"/>
    <n v="0"/>
    <n v="0"/>
    <n v="263.25"/>
    <n v="898.67374999999993"/>
    <n v="0"/>
    <n v="1161.9237499999999"/>
    <n v="2663.2467157754204"/>
    <n v="0.69624262228416522"/>
    <x v="0"/>
    <s v="MEDIANO"/>
    <x v="6"/>
    <x v="1"/>
    <n v="15"/>
    <n v="1"/>
    <d v="2018-09-18T00:00:00"/>
    <s v="HYUNDAI"/>
    <s v="TUCSON"/>
    <n v="0"/>
    <d v="2018-09-19T00:00:00"/>
    <n v="18"/>
    <x v="492"/>
  </r>
  <r>
    <d v="2018-10-01T00:00:00"/>
    <s v="001-00013574"/>
    <n v="818.30271989199991"/>
    <n v="0"/>
    <n v="0"/>
    <n v="17.5"/>
    <n v="0"/>
    <n v="131.625"/>
    <n v="61.977499999999999"/>
    <n v="0"/>
    <n v="211.10249999999999"/>
    <n v="607.20021989199995"/>
    <n v="0.7420239541329382"/>
    <x v="1"/>
    <s v="MEDIANO"/>
    <x v="6"/>
    <x v="1"/>
    <n v="12"/>
    <n v="1"/>
    <d v="2018-09-19T00:00:00"/>
    <s v="MITSUBISHI"/>
    <s v="MONTERO"/>
    <n v="1052.6424999999999"/>
    <d v="2018-09-19T00:00:00"/>
    <n v="9"/>
    <x v="999"/>
  </r>
  <r>
    <d v="2018-10-04T00:00:00"/>
    <s v="001-00013580"/>
    <n v="685"/>
    <n v="420.16160389999999"/>
    <n v="0"/>
    <n v="0"/>
    <n v="0"/>
    <n v="0"/>
    <n v="0"/>
    <n v="0"/>
    <n v="420.16160389999999"/>
    <n v="264.83839610000001"/>
    <n v="0.38662539576642335"/>
    <x v="0"/>
    <s v="MECANICA"/>
    <x v="6"/>
    <x v="1"/>
    <n v="15"/>
    <n v="1"/>
    <d v="2018-09-19T00:00:00"/>
    <s v="S/MARCA"/>
    <s v="S/MODELO"/>
    <n v="0"/>
    <s v="F/Fecha"/>
    <n v="0"/>
    <x v="871"/>
  </r>
  <r>
    <d v="2018-10-11T00:00:00"/>
    <s v="001-00013587"/>
    <n v="1142.6977906847499"/>
    <n v="0.71219999999999983"/>
    <n v="0"/>
    <n v="28.5"/>
    <n v="0"/>
    <n v="102.375"/>
    <n v="154.94374999999999"/>
    <n v="0"/>
    <n v="286.53094999999996"/>
    <n v="856.1668406847499"/>
    <n v="0.74925045595100059"/>
    <x v="1"/>
    <s v="MEDIANO"/>
    <x v="6"/>
    <x v="1"/>
    <n v="21"/>
    <n v="1"/>
    <d v="2018-09-20T00:00:00"/>
    <s v="RENAULT"/>
    <s v="LOGAN"/>
    <n v="1901.25"/>
    <d v="2018-09-21T00:00:00"/>
    <n v="7"/>
    <x v="999"/>
  </r>
  <r>
    <d v="2018-10-04T00:00:00"/>
    <s v="001-00013588"/>
    <n v="447.95171611104985"/>
    <n v="0"/>
    <n v="0"/>
    <n v="0"/>
    <n v="0"/>
    <n v="23.400000000000002"/>
    <n v="61.977499999999999"/>
    <n v="0"/>
    <n v="85.377499999999998"/>
    <n v="362.57421611104985"/>
    <n v="0.80940468151073131"/>
    <x v="1"/>
    <s v="LEVE"/>
    <x v="6"/>
    <x v="1"/>
    <n v="14"/>
    <n v="1"/>
    <d v="2018-09-20T00:00:00"/>
    <s v="MAZDA"/>
    <s v="CX-5"/>
    <n v="621.6925"/>
    <d v="2018-09-21T00:00:00"/>
    <n v="1.6"/>
    <x v="1"/>
  </r>
  <r>
    <d v="2018-10-06T00:00:00"/>
    <s v="001-00013590"/>
    <n v="1617.9709121245801"/>
    <n v="0"/>
    <n v="0"/>
    <n v="25.5"/>
    <n v="0"/>
    <n v="175.5"/>
    <n v="232.41562500000001"/>
    <n v="0"/>
    <n v="433.41562499999998"/>
    <n v="1184.55528712458"/>
    <n v="0.73212396974994065"/>
    <x v="1"/>
    <s v="MEDIANO"/>
    <x v="6"/>
    <x v="1"/>
    <n v="16"/>
    <n v="1"/>
    <d v="2018-09-20T00:00:00"/>
    <s v="KIA"/>
    <s v="PICANTO"/>
    <n v="1900.4375"/>
    <d v="2018-09-24T00:00:00"/>
    <n v="12"/>
    <x v="999"/>
  </r>
  <r>
    <d v="2018-10-03T00:00:00"/>
    <s v="001-00013591"/>
    <n v="956.31362720322124"/>
    <n v="3.3866000000000005"/>
    <n v="0"/>
    <n v="0"/>
    <n v="0"/>
    <n v="58.5"/>
    <n v="139.449375"/>
    <n v="0"/>
    <n v="201.33597500000002"/>
    <n v="754.97765220322117"/>
    <n v="0.7894665836888517"/>
    <x v="1"/>
    <s v="LEVE"/>
    <x v="6"/>
    <x v="1"/>
    <n v="12"/>
    <n v="1"/>
    <d v="2018-09-21T00:00:00"/>
    <s v="SUZUKI"/>
    <s v="SX-4"/>
    <n v="1033.24"/>
    <d v="2018-09-22T00:00:00"/>
    <n v="4"/>
    <x v="1"/>
  </r>
  <r>
    <d v="2018-10-16T00:00:00"/>
    <s v="001-00013594"/>
    <n v="1851.7696084554211"/>
    <n v="0.84759997999999992"/>
    <n v="0"/>
    <n v="13.5"/>
    <n v="0"/>
    <n v="117"/>
    <n v="309.88749999999999"/>
    <n v="0"/>
    <n v="441.23509997999997"/>
    <n v="1410.5345084754213"/>
    <n v="0.76172246376370856"/>
    <x v="1"/>
    <s v="MEDIANO"/>
    <x v="6"/>
    <x v="1"/>
    <n v="25"/>
    <n v="1"/>
    <d v="2018-09-21T00:00:00"/>
    <s v="MITSUBISHI"/>
    <s v="LANCER"/>
    <n v="4848.22"/>
    <d v="2018-09-24T00:00:00"/>
    <n v="8"/>
    <x v="1211"/>
  </r>
  <r>
    <d v="2018-10-10T00:00:00"/>
    <s v="001-00013596"/>
    <n v="1173.9089152000001"/>
    <n v="0"/>
    <n v="0"/>
    <n v="18.5"/>
    <n v="0"/>
    <n v="117"/>
    <n v="176.635875"/>
    <n v="0"/>
    <n v="312.135875"/>
    <n v="861.7730402000002"/>
    <n v="0.73410554178573473"/>
    <x v="1"/>
    <s v="MEDIANO"/>
    <x v="6"/>
    <x v="1"/>
    <n v="19"/>
    <n v="1"/>
    <d v="2018-09-21T00:00:00"/>
    <s v="NISSAN"/>
    <s v="URBAN"/>
    <n v="2123.5825"/>
    <d v="2018-09-22T00:00:00"/>
    <n v="8"/>
    <x v="999"/>
  </r>
  <r>
    <d v="2018-10-05T00:00:00"/>
    <s v="001-00013597"/>
    <n v="2222.7775000000001"/>
    <n v="311.08519699999999"/>
    <n v="0"/>
    <n v="90.77"/>
    <n v="0"/>
    <n v="138.9375"/>
    <n v="309.88749999999999"/>
    <n v="0"/>
    <n v="850.68019699999991"/>
    <n v="1372.0973030000002"/>
    <n v="0.61728954112591128"/>
    <x v="0"/>
    <s v="MEDIANO"/>
    <x v="6"/>
    <x v="1"/>
    <n v="14"/>
    <n v="1"/>
    <d v="2018-09-21T00:00:00"/>
    <s v="NISSAN"/>
    <s v="SENTRA"/>
    <n v="432.25"/>
    <d v="2018-09-25T00:00:00"/>
    <n v="9.5"/>
    <x v="999"/>
  </r>
  <r>
    <d v="2018-10-13T00:00:00"/>
    <s v="001-00013600"/>
    <n v="1039.58533320932"/>
    <n v="0"/>
    <n v="0"/>
    <n v="76.27"/>
    <n v="7.3125"/>
    <n v="73.125"/>
    <n v="139.449375"/>
    <n v="0"/>
    <n v="296.15687500000001"/>
    <n v="743.42845820931996"/>
    <n v="0.71512018730994453"/>
    <x v="1"/>
    <s v="LEVE"/>
    <x v="6"/>
    <x v="1"/>
    <n v="21"/>
    <n v="1"/>
    <d v="2018-09-22T00:00:00"/>
    <s v="MAZDA"/>
    <s v="CX-9"/>
    <n v="6277.57"/>
    <d v="2018-09-24T00:00:00"/>
    <n v="5"/>
    <x v="1"/>
  </r>
  <r>
    <d v="2018-10-02T00:00:00"/>
    <s v="001-00013603"/>
    <n v="871.16436771000008"/>
    <n v="0"/>
    <n v="0"/>
    <n v="76.27"/>
    <n v="2.9250000000000003"/>
    <n v="43.875"/>
    <n v="123.955"/>
    <n v="0"/>
    <n v="247.02499999999998"/>
    <n v="624.1393677100001"/>
    <n v="0.71644271832496298"/>
    <x v="1"/>
    <s v="LEVE"/>
    <x v="6"/>
    <x v="1"/>
    <n v="10"/>
    <n v="1"/>
    <d v="2018-09-22T00:00:00"/>
    <s v="KIA"/>
    <s v="CERATO"/>
    <n v="46.085000000000001"/>
    <d v="2018-09-24T00:00:00"/>
    <n v="3"/>
    <x v="1"/>
  </r>
  <r>
    <d v="2018-10-05T00:00:00"/>
    <s v="001-00013605"/>
    <n v="1155.7469180000001"/>
    <n v="0"/>
    <n v="0"/>
    <n v="0"/>
    <n v="14.625"/>
    <n v="73.125"/>
    <n v="138.209825"/>
    <n v="0"/>
    <n v="225.959825"/>
    <n v="929.78709300000003"/>
    <n v="0.80449022058304986"/>
    <x v="1"/>
    <s v="LEVE"/>
    <x v="6"/>
    <x v="1"/>
    <n v="11"/>
    <n v="1"/>
    <d v="2018-09-24T00:00:00"/>
    <s v="NISSAN"/>
    <s v="TIIDA"/>
    <n v="2045.03"/>
    <d v="2018-09-24T00:00:00"/>
    <n v="5"/>
    <x v="1212"/>
  </r>
  <r>
    <d v="2018-10-11T00:00:00"/>
    <s v="001-00013608"/>
    <n v="1075.4770474033908"/>
    <n v="0"/>
    <n v="0"/>
    <n v="0"/>
    <n v="0"/>
    <n v="73.125"/>
    <n v="185.9325"/>
    <n v="0"/>
    <n v="259.0575"/>
    <n v="816.41954740339077"/>
    <n v="0.75912317178180322"/>
    <x v="1"/>
    <s v="LEVE"/>
    <x v="6"/>
    <x v="1"/>
    <n v="17"/>
    <n v="1"/>
    <d v="2018-09-24T00:00:00"/>
    <s v="MAZDA"/>
    <s v="MAZDA 2"/>
    <n v="3665.09"/>
    <d v="2018-09-24T00:00:00"/>
    <n v="5"/>
    <x v="1"/>
  </r>
  <r>
    <d v="2018-10-06T00:00:00"/>
    <s v="001-00013610"/>
    <n v="799.42197595000005"/>
    <n v="0"/>
    <n v="0"/>
    <n v="0"/>
    <n v="0"/>
    <n v="73.125"/>
    <n v="123.955"/>
    <n v="0"/>
    <n v="197.07999999999998"/>
    <n v="602.34197595000001"/>
    <n v="0.75347187601917209"/>
    <x v="2"/>
    <s v="LEVE"/>
    <x v="6"/>
    <x v="1"/>
    <n v="12"/>
    <n v="1"/>
    <d v="2018-09-24T00:00:00"/>
    <s v="NISSAN"/>
    <s v="TIIDA"/>
    <n v="533"/>
    <d v="2018-09-26T00:00:00"/>
    <n v="5"/>
    <x v="2"/>
  </r>
  <r>
    <d v="2018-10-04T00:00:00"/>
    <s v="001-00013611"/>
    <n v="634.68698744830999"/>
    <n v="0"/>
    <n v="0"/>
    <n v="0"/>
    <n v="0"/>
    <n v="43.875"/>
    <n v="92.966250000000002"/>
    <n v="0"/>
    <n v="136.84125"/>
    <n v="497.84573744830999"/>
    <n v="0.78439568999176212"/>
    <x v="1"/>
    <s v="LEVE"/>
    <x v="6"/>
    <x v="1"/>
    <n v="10"/>
    <n v="1"/>
    <d v="2018-09-24T00:00:00"/>
    <s v="NISSAN"/>
    <s v="SENTRA"/>
    <n v="1359.8"/>
    <d v="2018-09-25T00:00:00"/>
    <n v="3"/>
    <x v="1"/>
  </r>
  <r>
    <d v="2018-10-06T00:00:00"/>
    <s v="001-00013614"/>
    <n v="132.95999599999999"/>
    <n v="0"/>
    <n v="0"/>
    <n v="0"/>
    <n v="0"/>
    <n v="14.625"/>
    <n v="0"/>
    <n v="0"/>
    <n v="14.625"/>
    <n v="118.33499599999999"/>
    <n v="0.89000450932624875"/>
    <x v="0"/>
    <s v="MEDIANO"/>
    <x v="6"/>
    <x v="1"/>
    <n v="11"/>
    <n v="1"/>
    <d v="2018-09-25T00:00:00"/>
    <s v="RENAULT"/>
    <s v="DUSTER"/>
    <n v="0"/>
    <d v="2018-09-25T00:00:00"/>
    <n v="1"/>
    <x v="999"/>
  </r>
  <r>
    <d v="2018-10-06T00:00:00"/>
    <s v="001-00013616"/>
    <n v="460.26131252538971"/>
    <n v="0"/>
    <n v="0"/>
    <n v="0"/>
    <n v="0"/>
    <n v="16.087500000000002"/>
    <n v="61.977499999999999"/>
    <n v="0"/>
    <n v="78.064999999999998"/>
    <n v="382.19631252538971"/>
    <n v="0.83038982883078261"/>
    <x v="1"/>
    <s v="LEVE"/>
    <x v="6"/>
    <x v="1"/>
    <n v="11"/>
    <n v="1"/>
    <d v="2018-09-25T00:00:00"/>
    <s v="KIA"/>
    <s v="SPORTAGE"/>
    <n v="58.825000000000003"/>
    <d v="2018-09-25T00:00:00"/>
    <n v="1.1000000000000001"/>
    <x v="1"/>
  </r>
  <r>
    <d v="2018-10-06T00:00:00"/>
    <s v="001-00013617"/>
    <n v="987.22797030000004"/>
    <n v="0"/>
    <n v="0"/>
    <n v="17"/>
    <n v="0"/>
    <n v="73.125"/>
    <n v="185.9325"/>
    <n v="0"/>
    <n v="276.0575"/>
    <n v="711.17047030000003"/>
    <n v="0.72037107101401177"/>
    <x v="1"/>
    <s v="LEVE"/>
    <x v="6"/>
    <x v="1"/>
    <n v="11"/>
    <n v="1"/>
    <d v="2018-09-25T00:00:00"/>
    <s v="FORD"/>
    <s v="ECOSPORT"/>
    <n v="4688.6450000000004"/>
    <d v="2018-09-25T00:00:00"/>
    <n v="5"/>
    <x v="1"/>
  </r>
  <r>
    <d v="2018-10-06T00:00:00"/>
    <s v="001-00013618"/>
    <n v="1291.9655998922008"/>
    <n v="0"/>
    <n v="0"/>
    <n v="0"/>
    <n v="0"/>
    <n v="102.375"/>
    <n v="198.328"/>
    <n v="0"/>
    <n v="300.70299999999997"/>
    <n v="991.2625998922008"/>
    <n v="0.76725154290091768"/>
    <x v="1"/>
    <s v="LEVE"/>
    <x v="6"/>
    <x v="1"/>
    <n v="11"/>
    <n v="1"/>
    <d v="2018-09-25T00:00:00"/>
    <s v="TOYOTA"/>
    <s v="RAV4"/>
    <n v="2051.7249999999999"/>
    <d v="2018-09-26T00:00:00"/>
    <n v="7"/>
    <x v="96"/>
  </r>
  <r>
    <d v="2018-10-18T00:00:00"/>
    <s v="001-00013620"/>
    <n v="912.05672879999997"/>
    <n v="0"/>
    <n v="0"/>
    <n v="11.5"/>
    <n v="0"/>
    <n v="87.75"/>
    <n v="123.955"/>
    <n v="0"/>
    <n v="223.20499999999998"/>
    <n v="688.85172880000005"/>
    <n v="0.75527289810835296"/>
    <x v="1"/>
    <s v="LEVE"/>
    <x v="6"/>
    <x v="1"/>
    <n v="23"/>
    <n v="1"/>
    <d v="2018-09-25T00:00:00"/>
    <s v="MITSUBISHI"/>
    <s v="MIRAGE"/>
    <n v="1828.7750000000001"/>
    <d v="2018-09-25T00:00:00"/>
    <n v="6"/>
    <x v="1"/>
  </r>
  <r>
    <d v="2018-10-04T00:00:00"/>
    <s v="001-00013621"/>
    <n v="1483.6326848313597"/>
    <n v="0"/>
    <n v="0"/>
    <n v="55.084745762711869"/>
    <n v="0"/>
    <n v="131.625"/>
    <n v="209.48394999999999"/>
    <n v="0"/>
    <n v="396.19369576271185"/>
    <n v="1087.438989068648"/>
    <n v="0.73295701839586669"/>
    <x v="1"/>
    <s v="MEDIANO"/>
    <x v="6"/>
    <x v="1"/>
    <n v="9"/>
    <n v="1"/>
    <d v="2018-09-25T00:00:00"/>
    <s v="KIA"/>
    <s v="PICANTO"/>
    <n v="983.09249999999997"/>
    <d v="2018-09-25T00:00:00"/>
    <n v="9"/>
    <x v="1"/>
  </r>
  <r>
    <d v="2018-10-09T00:00:00"/>
    <s v="001-00013623"/>
    <n v="1161.3434727418685"/>
    <n v="5.4759001999999999"/>
    <n v="0"/>
    <n v="102.25"/>
    <n v="11.700000000000001"/>
    <n v="204.75"/>
    <n v="325.38187500000004"/>
    <n v="0"/>
    <n v="649.55777520000004"/>
    <n v="511.78569754186844"/>
    <n v="0.44068418134177856"/>
    <x v="1"/>
    <s v="MEDIANO"/>
    <x v="6"/>
    <x v="1"/>
    <n v="14"/>
    <n v="1"/>
    <d v="2018-09-25T00:00:00"/>
    <s v="KIA"/>
    <s v="RIO"/>
    <n v="2879.76"/>
    <d v="2018-09-26T00:00:00"/>
    <n v="14"/>
    <x v="1205"/>
  </r>
  <r>
    <d v="2018-10-13T00:00:00"/>
    <s v="001-00013624"/>
    <n v="751.93044353982998"/>
    <n v="0"/>
    <n v="0"/>
    <n v="0"/>
    <n v="0"/>
    <n v="43.875"/>
    <n v="139.449375"/>
    <n v="0"/>
    <n v="183.324375"/>
    <n v="568.60606853982995"/>
    <n v="0.75619503562460921"/>
    <x v="1"/>
    <s v="LEVE"/>
    <x v="6"/>
    <x v="1"/>
    <n v="18"/>
    <n v="1"/>
    <d v="2018-09-25T00:00:00"/>
    <s v="MAZDA"/>
    <s v="CX-9"/>
    <n v="5982.5675000000001"/>
    <d v="2018-09-24T00:00:00"/>
    <n v="3"/>
    <x v="1"/>
  </r>
  <r>
    <d v="2018-10-06T00:00:00"/>
    <s v="001-00013627"/>
    <n v="270.93424252515007"/>
    <n v="0"/>
    <n v="0"/>
    <n v="0"/>
    <n v="1.4625000000000001"/>
    <n v="13.1625"/>
    <n v="61.977499999999999"/>
    <n v="0"/>
    <n v="76.602499999999992"/>
    <n v="194.33174252515008"/>
    <n v="0.71726534347946369"/>
    <x v="1"/>
    <s v="LEVE"/>
    <x v="6"/>
    <x v="1"/>
    <n v="11"/>
    <n v="1"/>
    <d v="2018-09-25T00:00:00"/>
    <s v="HYUNDAI"/>
    <s v="I10"/>
    <n v="890.43500000000006"/>
    <d v="2018-09-26T00:00:00"/>
    <n v="0.9"/>
    <x v="1"/>
  </r>
  <r>
    <d v="2018-10-13T00:00:00"/>
    <s v="001-00013632"/>
    <n v="1906.4759427999998"/>
    <n v="0.59349999999999992"/>
    <n v="0"/>
    <n v="55.084745762711869"/>
    <n v="0"/>
    <n v="292.5"/>
    <n v="185.9325"/>
    <n v="0"/>
    <n v="534.11074576271187"/>
    <n v="1372.365197037288"/>
    <n v="0.7198439624796551"/>
    <x v="1"/>
    <s v="MEDIANO"/>
    <x v="6"/>
    <x v="1"/>
    <n v="17"/>
    <n v="1"/>
    <d v="2018-09-26T00:00:00"/>
    <s v="RENAULT"/>
    <s v="SANDERO"/>
    <n v="628.94000000000005"/>
    <d v="2018-09-28T00:00:00"/>
    <n v="20"/>
    <x v="1"/>
  </r>
  <r>
    <d v="2018-10-02T00:00:00"/>
    <s v="001-00013633"/>
    <n v="1786.8600000000001"/>
    <n v="0"/>
    <n v="0"/>
    <n v="10"/>
    <n v="0"/>
    <n v="117"/>
    <n v="433.84250000000003"/>
    <n v="0"/>
    <n v="560.84249999999997"/>
    <n v="1226.0175000000002"/>
    <n v="0.68612957926194562"/>
    <x v="0"/>
    <s v="LEVE"/>
    <x v="6"/>
    <x v="1"/>
    <n v="6"/>
    <n v="1"/>
    <d v="2018-09-26T00:00:00"/>
    <s v="TOYOTA"/>
    <s v="COROLLA"/>
    <n v="0"/>
    <d v="2018-09-26T00:00:00"/>
    <n v="8"/>
    <x v="133"/>
  </r>
  <r>
    <d v="2018-10-18T00:00:00"/>
    <s v="001-00013634"/>
    <n v="836.99672880000003"/>
    <n v="0"/>
    <n v="0"/>
    <n v="0"/>
    <n v="0"/>
    <n v="73.125"/>
    <n v="123.955"/>
    <n v="0"/>
    <n v="197.07999999999998"/>
    <n v="639.9167288000001"/>
    <n v="0.76453910365629152"/>
    <x v="1"/>
    <s v="LEVE"/>
    <x v="6"/>
    <x v="1"/>
    <n v="22"/>
    <n v="1"/>
    <d v="2018-09-26T00:00:00"/>
    <s v="MITSUBISHI"/>
    <s v="MIRAGE"/>
    <n v="0"/>
    <d v="2018-09-25T00:00:00"/>
    <n v="5"/>
    <x v="1"/>
  </r>
  <r>
    <d v="2018-10-18T00:00:00"/>
    <s v="001-00013636"/>
    <n v="1961.5963893599996"/>
    <n v="60.336801989999984"/>
    <n v="0"/>
    <n v="0"/>
    <n v="29.25"/>
    <n v="175.5"/>
    <n v="294.393125"/>
    <n v="0"/>
    <n v="559.47992698999997"/>
    <n v="1402.1164623699997"/>
    <n v="0.71478336215099847"/>
    <x v="1"/>
    <s v="MEDIANO"/>
    <x v="6"/>
    <x v="1"/>
    <n v="21"/>
    <n v="1"/>
    <d v="2018-09-27T00:00:00"/>
    <s v="HYUNDAI"/>
    <s v="ELANTRA"/>
    <n v="4027.6275000000001"/>
    <d v="2018-09-28T00:00:00"/>
    <n v="12"/>
    <x v="1"/>
  </r>
  <r>
    <d v="2018-10-13T00:00:00"/>
    <s v="001-00013637"/>
    <n v="560.79124510657971"/>
    <n v="0"/>
    <n v="0"/>
    <n v="0"/>
    <n v="0"/>
    <n v="58.5"/>
    <n v="77.471874999999997"/>
    <n v="0"/>
    <n v="135.97187500000001"/>
    <n v="424.8193701065797"/>
    <n v="0.75753566735130073"/>
    <x v="2"/>
    <s v="LEVE"/>
    <x v="6"/>
    <x v="1"/>
    <n v="16"/>
    <n v="1"/>
    <d v="2018-09-27T00:00:00"/>
    <s v="TOYOTA"/>
    <s v="URBAN C."/>
    <n v="732.48500000000001"/>
    <d v="2018-09-28T00:00:00"/>
    <n v="4"/>
    <x v="1213"/>
  </r>
  <r>
    <d v="2018-10-04T00:00:00"/>
    <s v="001-00013640"/>
    <n v="981.28100418983013"/>
    <n v="0"/>
    <n v="0"/>
    <n v="0"/>
    <n v="0"/>
    <n v="204.75"/>
    <n v="123.955"/>
    <n v="0"/>
    <n v="328.70499999999998"/>
    <n v="652.5760041898302"/>
    <n v="0.66502459683158044"/>
    <x v="0"/>
    <s v="MEDIANO"/>
    <x v="6"/>
    <x v="1"/>
    <n v="6"/>
    <n v="1"/>
    <d v="2018-09-28T00:00:00"/>
    <s v="MAZDA"/>
    <s v="MAZDA 3"/>
    <n v="0"/>
    <d v="2018-09-28T00:00:00"/>
    <n v="14"/>
    <x v="709"/>
  </r>
  <r>
    <d v="2018-10-20T00:00:00"/>
    <s v="001-00013641"/>
    <n v="988.19219827999996"/>
    <n v="0"/>
    <n v="0"/>
    <n v="18.5"/>
    <n v="0"/>
    <n v="73.125"/>
    <n v="148.74600000000001"/>
    <n v="0"/>
    <n v="240.37100000000001"/>
    <n v="747.82119827999998"/>
    <n v="0.75675683291329532"/>
    <x v="1"/>
    <s v="LEVE"/>
    <x v="6"/>
    <x v="1"/>
    <n v="22"/>
    <n v="1"/>
    <d v="2018-09-28T00:00:00"/>
    <s v="TOYOTA"/>
    <s v="RAV4"/>
    <n v="4615.26"/>
    <d v="2018-10-01T00:00:00"/>
    <n v="5"/>
    <x v="1"/>
  </r>
  <r>
    <d v="2018-10-10T00:00:00"/>
    <s v="001-00013643"/>
    <n v="1716.6860507999997"/>
    <n v="0"/>
    <n v="0"/>
    <n v="0"/>
    <n v="0"/>
    <n v="146.25"/>
    <n v="238.61337499999999"/>
    <n v="0"/>
    <n v="384.86337500000002"/>
    <n v="1331.8226757999996"/>
    <n v="0.7758102742078854"/>
    <x v="1"/>
    <s v="MEDIANO"/>
    <x v="6"/>
    <x v="1"/>
    <n v="12"/>
    <n v="1"/>
    <d v="2018-09-28T00:00:00"/>
    <s v="KIA"/>
    <s v="CERATO"/>
    <n v="1065.2525000000001"/>
    <d v="2018-10-01T00:00:00"/>
    <n v="10"/>
    <x v="1"/>
  </r>
  <r>
    <d v="2018-10-15T00:00:00"/>
    <s v="001-00013644"/>
    <n v="1008.2324697499998"/>
    <n v="0.35609999999999992"/>
    <n v="0"/>
    <n v="18"/>
    <n v="0"/>
    <n v="87.75"/>
    <n v="154.94374999999999"/>
    <n v="0"/>
    <n v="261.04984999999999"/>
    <n v="747.18261974999984"/>
    <n v="0.74108168717802791"/>
    <x v="1"/>
    <s v="LEVE"/>
    <x v="6"/>
    <x v="1"/>
    <n v="17"/>
    <n v="1"/>
    <d v="2018-09-28T00:00:00"/>
    <s v="CHEVROLET"/>
    <s v="N300"/>
    <n v="0"/>
    <d v="2018-10-01T00:00:00"/>
    <n v="6"/>
    <x v="999"/>
  </r>
  <r>
    <d v="2018-10-04T00:00:00"/>
    <s v="001-00013646"/>
    <n v="222.03799330000004"/>
    <n v="0"/>
    <n v="0"/>
    <n v="18.5"/>
    <n v="0"/>
    <n v="7.3125"/>
    <n v="30.98875"/>
    <n v="0"/>
    <n v="56.801249999999996"/>
    <n v="165.23674330000006"/>
    <n v="0.7441822944091615"/>
    <x v="1"/>
    <s v="LEVE"/>
    <x v="6"/>
    <x v="1"/>
    <n v="6"/>
    <n v="1"/>
    <d v="2018-09-28T00:00:00"/>
    <s v="KIA"/>
    <s v="SPORTAGE"/>
    <n v="1864.2650000000001"/>
    <d v="2018-09-28T00:00:00"/>
    <n v="0.5"/>
    <x v="1"/>
  </r>
  <r>
    <d v="2018-10-02T00:00:00"/>
    <s v="001-00013648"/>
    <n v="170"/>
    <n v="28.207399709999997"/>
    <n v="0"/>
    <n v="0"/>
    <n v="29.25"/>
    <n v="0"/>
    <n v="0"/>
    <n v="0"/>
    <n v="57.457399709999997"/>
    <n v="112.54260029"/>
    <n v="0.66201529582352936"/>
    <x v="0"/>
    <s v="MECANICA"/>
    <x v="6"/>
    <x v="1"/>
    <n v="4"/>
    <n v="1"/>
    <d v="2018-09-28T00:00:00"/>
    <s v="HYUNDAI"/>
    <s v="ELANTRA"/>
    <n v="59.995000000000005"/>
    <d v="2018-09-29T00:00:00"/>
    <n v="0"/>
    <x v="1214"/>
  </r>
  <r>
    <d v="2018-10-09T00:00:00"/>
    <s v="001-00013652"/>
    <n v="892.49397314999987"/>
    <n v="0"/>
    <n v="0"/>
    <n v="63.56"/>
    <n v="2.9250000000000003"/>
    <n v="43.875"/>
    <n v="123.955"/>
    <n v="0"/>
    <n v="234.315"/>
    <n v="658.17897314999982"/>
    <n v="0.73746041200367951"/>
    <x v="1"/>
    <s v="LEVE"/>
    <x v="6"/>
    <x v="1"/>
    <n v="10"/>
    <n v="1"/>
    <d v="2018-09-29T00:00:00"/>
    <s v="KIA"/>
    <s v="RIO"/>
    <n v="1215.5974999999999"/>
    <d v="2018-10-02T00:00:00"/>
    <n v="3"/>
    <x v="1"/>
  </r>
  <r>
    <d v="2018-10-13T00:00:00"/>
    <s v="001-00013653"/>
    <n v="906.51964510168989"/>
    <n v="0"/>
    <n v="0"/>
    <n v="0"/>
    <n v="0"/>
    <n v="102.375"/>
    <n v="123.955"/>
    <n v="0"/>
    <n v="226.32999999999998"/>
    <n v="680.18964510168985"/>
    <n v="0.75033083814238666"/>
    <x v="1"/>
    <s v="MEDIANO"/>
    <x v="6"/>
    <x v="1"/>
    <n v="14"/>
    <n v="1"/>
    <d v="2018-09-29T00:00:00"/>
    <s v="VW"/>
    <s v="SPACEFOX"/>
    <n v="110.37"/>
    <d v="2018-10-01T00:00:00"/>
    <n v="7"/>
    <x v="1"/>
  </r>
  <r>
    <d v="2018-10-12T00:00:00"/>
    <s v="001-00013654"/>
    <n v="345.50148894457953"/>
    <n v="0"/>
    <n v="0"/>
    <n v="18"/>
    <n v="0"/>
    <n v="29.25"/>
    <n v="61.977499999999999"/>
    <n v="0"/>
    <n v="109.22749999999999"/>
    <n v="236.27398894457954"/>
    <n v="0.68385809180254875"/>
    <x v="1"/>
    <s v="LEVE"/>
    <x v="6"/>
    <x v="1"/>
    <n v="11"/>
    <n v="1"/>
    <d v="2018-10-01T00:00:00"/>
    <s v="MAZDA"/>
    <s v="CX-5"/>
    <n v="3288.3824999999997"/>
    <d v="2018-10-01T00:00:00"/>
    <n v="2"/>
    <x v="1"/>
  </r>
  <r>
    <d v="2018-10-18T00:00:00"/>
    <s v="001-00013655"/>
    <n v="1916.5319999999999"/>
    <n v="0"/>
    <n v="0"/>
    <n v="55.084745762711869"/>
    <n v="7.3125"/>
    <n v="204.75"/>
    <n v="185.9325"/>
    <n v="0"/>
    <n v="453.07974576271187"/>
    <n v="1463.4522542372881"/>
    <n v="0.76359395733402213"/>
    <x v="1"/>
    <s v="MEDIANO"/>
    <x v="6"/>
    <x v="1"/>
    <n v="17"/>
    <n v="1"/>
    <d v="2018-10-01T00:00:00"/>
    <s v="HYUNDAI"/>
    <s v="I20"/>
    <n v="1340.9825000000001"/>
    <d v="2018-10-01T00:00:00"/>
    <n v="14"/>
    <x v="1"/>
  </r>
  <r>
    <d v="2018-10-04T00:00:00"/>
    <s v="001-00013656"/>
    <n v="596.51998200000003"/>
    <n v="0"/>
    <n v="0"/>
    <n v="0"/>
    <n v="0"/>
    <n v="29.25"/>
    <n v="123.955"/>
    <n v="0"/>
    <n v="153.20499999999998"/>
    <n v="443.31498200000004"/>
    <n v="0.74316870411224556"/>
    <x v="0"/>
    <s v="LEVE"/>
    <x v="6"/>
    <x v="1"/>
    <n v="3"/>
    <n v="1"/>
    <d v="2018-10-01T00:00:00"/>
    <s v="NISSAN"/>
    <s v="X-TRAIL"/>
    <n v="0"/>
    <d v="2018-10-01T00:00:00"/>
    <n v="2"/>
    <x v="1215"/>
  </r>
  <r>
    <d v="2018-10-20T00:00:00"/>
    <s v="001-00013657"/>
    <n v="593.096"/>
    <n v="0"/>
    <n v="0"/>
    <n v="0"/>
    <n v="0"/>
    <n v="58.5"/>
    <n v="123.955"/>
    <n v="0"/>
    <n v="182.45499999999998"/>
    <n v="410.64100000000002"/>
    <n v="0.69236852044188468"/>
    <x v="1"/>
    <s v="LEVE"/>
    <x v="6"/>
    <x v="1"/>
    <n v="19"/>
    <n v="1"/>
    <d v="2018-10-01T00:00:00"/>
    <s v="TOYOTA"/>
    <s v="RAV4"/>
    <n v="1130.9675"/>
    <d v="2018-10-11T00:00:00"/>
    <n v="4"/>
    <x v="1"/>
  </r>
  <r>
    <d v="2018-10-11T00:00:00"/>
    <s v="001-00013659"/>
    <n v="517.81498445"/>
    <n v="0"/>
    <n v="0"/>
    <n v="0"/>
    <n v="0"/>
    <n v="29.25"/>
    <n v="123.955"/>
    <n v="0"/>
    <n v="153.20499999999998"/>
    <n v="364.60998445000001"/>
    <n v="0.70413177563270501"/>
    <x v="1"/>
    <s v="LEVE"/>
    <x v="6"/>
    <x v="1"/>
    <n v="10"/>
    <n v="1"/>
    <d v="2018-10-01T00:00:00"/>
    <s v="HYUNDAI"/>
    <s v="ACCENT"/>
    <n v="1744.47"/>
    <d v="2018-10-02T00:00:00"/>
    <n v="2"/>
    <x v="1"/>
  </r>
  <r>
    <d v="2018-10-23T00:00:00"/>
    <s v="001-00013660"/>
    <n v="2412.1490723500001"/>
    <n v="0"/>
    <n v="0"/>
    <n v="50.85"/>
    <n v="2.9250000000000003"/>
    <n v="146.25"/>
    <n v="418.34812499999998"/>
    <n v="0"/>
    <n v="618.37312499999996"/>
    <n v="1793.77594735"/>
    <n v="0.74364224330565132"/>
    <x v="1"/>
    <s v="MEDIANO"/>
    <x v="6"/>
    <x v="1"/>
    <n v="22"/>
    <n v="1"/>
    <d v="2018-10-01T00:00:00"/>
    <s v="KIA"/>
    <s v="RIO"/>
    <n v="2233.0100000000002"/>
    <d v="2018-10-06T00:00:00"/>
    <n v="10"/>
    <x v="1"/>
  </r>
  <r>
    <d v="2018-10-12T00:00:00"/>
    <s v="001-00013661"/>
    <n v="2381.7964477745786"/>
    <n v="0"/>
    <n v="0"/>
    <n v="0"/>
    <n v="0"/>
    <n v="175.5"/>
    <n v="278.89875000000001"/>
    <n v="0"/>
    <n v="454.39875000000001"/>
    <n v="1927.3976977745785"/>
    <n v="0.80922015799269265"/>
    <x v="1"/>
    <s v="MEDIANO"/>
    <x v="6"/>
    <x v="1"/>
    <n v="11"/>
    <n v="1"/>
    <d v="2018-10-01T00:00:00"/>
    <s v="NISSAN"/>
    <s v="X-TRAIL"/>
    <n v="2808.78"/>
    <d v="2018-10-02T00:00:00"/>
    <n v="12"/>
    <x v="1"/>
  </r>
  <r>
    <d v="2018-10-10T00:00:00"/>
    <s v="001-00013663"/>
    <n v="1521.058"/>
    <n v="0"/>
    <n v="0"/>
    <n v="0"/>
    <n v="0"/>
    <n v="131.625"/>
    <n v="216.92125000000001"/>
    <n v="0"/>
    <n v="348.54624999999999"/>
    <n v="1172.5117500000001"/>
    <n v="0.77085275512176399"/>
    <x v="1"/>
    <s v="MEDIANO"/>
    <x v="6"/>
    <x v="1"/>
    <n v="9"/>
    <n v="1"/>
    <d v="2018-10-01T00:00:00"/>
    <s v="HYUNDAI"/>
    <s v="TUCSON"/>
    <n v="256.62"/>
    <d v="2018-10-02T00:00:00"/>
    <n v="9"/>
    <x v="1"/>
  </r>
  <r>
    <d v="2018-10-13T00:00:00"/>
    <s v="001-00013664"/>
    <n v="1410.7062062745799"/>
    <n v="0"/>
    <n v="0"/>
    <n v="21"/>
    <n v="0"/>
    <n v="73.125"/>
    <n v="263.40437500000002"/>
    <n v="0"/>
    <n v="357.52937500000002"/>
    <n v="1053.1768312745799"/>
    <n v="0.74656000419522461"/>
    <x v="1"/>
    <s v="LEVE"/>
    <x v="6"/>
    <x v="1"/>
    <n v="12"/>
    <n v="1"/>
    <d v="2018-10-01T00:00:00"/>
    <s v="KIA"/>
    <s v="RIO"/>
    <n v="876.36249999999995"/>
    <d v="2018-10-02T00:00:00"/>
    <n v="5"/>
    <x v="1"/>
  </r>
  <r>
    <d v="2018-10-12T00:00:00"/>
    <s v="001-00013665"/>
    <n v="611.90148094457959"/>
    <n v="0"/>
    <n v="0"/>
    <n v="55.084745762711869"/>
    <n v="0"/>
    <n v="58.5"/>
    <n v="61.977499999999999"/>
    <n v="0"/>
    <n v="175.56224576271185"/>
    <n v="436.33923518186771"/>
    <n v="0.71308739849477065"/>
    <x v="1"/>
    <s v="LEVE"/>
    <x v="6"/>
    <x v="1"/>
    <n v="11"/>
    <n v="1"/>
    <d v="2018-10-01T00:00:00"/>
    <s v="KIA"/>
    <s v="SPORTAGE"/>
    <n v="685.84749999999997"/>
    <d v="2018-10-02T00:00:00"/>
    <n v="4"/>
    <x v="1"/>
  </r>
  <r>
    <d v="2018-10-12T00:00:00"/>
    <s v="001-00013666"/>
    <n v="1041.4714547245799"/>
    <n v="0"/>
    <n v="0"/>
    <n v="0"/>
    <n v="0"/>
    <n v="117"/>
    <n v="123.955"/>
    <n v="0"/>
    <n v="240.95499999999998"/>
    <n v="800.51645472457994"/>
    <n v="0.7686398423049231"/>
    <x v="1"/>
    <s v="MEDIANO"/>
    <x v="6"/>
    <x v="1"/>
    <n v="11"/>
    <n v="1"/>
    <d v="2018-10-01T00:00:00"/>
    <s v="KIA"/>
    <s v="CERATO"/>
    <n v="1377.2525000000001"/>
    <d v="2018-10-02T00:00:00"/>
    <n v="8"/>
    <x v="1"/>
  </r>
  <r>
    <d v="2018-10-02T00:00:00"/>
    <s v="001-00013667"/>
    <n v="449"/>
    <n v="144.54849850000002"/>
    <n v="0"/>
    <n v="0"/>
    <n v="39.048749999999998"/>
    <n v="0"/>
    <n v="0"/>
    <n v="0"/>
    <n v="183.59724850000003"/>
    <n v="265.40275149999997"/>
    <n v="0.59109744209354109"/>
    <x v="0"/>
    <s v="MECANICA"/>
    <x v="6"/>
    <x v="1"/>
    <n v="0"/>
    <n v="1"/>
    <d v="2018-10-02T00:00:00"/>
    <s v="KIA"/>
    <s v="CERATO"/>
    <n v="0"/>
    <d v="2018-10-02T00:00:00"/>
    <n v="0"/>
    <x v="947"/>
  </r>
  <r>
    <d v="2018-10-02T00:00:00"/>
    <s v="001-00013669"/>
    <n v="349"/>
    <n v="72.600900899999999"/>
    <n v="0"/>
    <n v="0"/>
    <n v="39.048749999999998"/>
    <n v="0"/>
    <n v="0"/>
    <n v="0"/>
    <n v="111.6496509"/>
    <n v="237.35034910000002"/>
    <n v="0.68008696017191983"/>
    <x v="0"/>
    <s v="MECANICA"/>
    <x v="6"/>
    <x v="1"/>
    <n v="0"/>
    <n v="1"/>
    <d v="2018-10-02T00:00:00"/>
    <s v="NISSAN"/>
    <s v="VERSA"/>
    <n v="0"/>
    <d v="2018-10-02T00:00:00"/>
    <n v="0"/>
    <x v="403"/>
  </r>
  <r>
    <d v="2018-10-16T00:00:00"/>
    <s v="001-00013670"/>
    <n v="1448.6920433999999"/>
    <n v="0"/>
    <n v="0"/>
    <n v="76.27"/>
    <n v="5.8500000000000005"/>
    <n v="146.25"/>
    <n v="154.94374999999999"/>
    <n v="0"/>
    <n v="383.31375000000003"/>
    <n v="1065.3782933999998"/>
    <n v="0.73540701645576523"/>
    <x v="1"/>
    <s v="MEDIANO"/>
    <x v="6"/>
    <x v="1"/>
    <n v="14"/>
    <n v="1"/>
    <d v="2018-10-02T00:00:00"/>
    <s v="SUZUKI"/>
    <s v="SWIFT"/>
    <n v="730.92500000000007"/>
    <d v="2018-10-02T00:00:00"/>
    <n v="10"/>
    <x v="1"/>
  </r>
  <r>
    <d v="2018-10-15T00:00:00"/>
    <s v="001-00013671"/>
    <n v="1506.5159548000001"/>
    <n v="0.42379998999999996"/>
    <n v="0"/>
    <n v="0"/>
    <n v="0"/>
    <n v="146.25"/>
    <n v="185.9325"/>
    <n v="0"/>
    <n v="332.60629999000002"/>
    <n v="1173.9096548100001"/>
    <n v="0.77922152173014614"/>
    <x v="1"/>
    <s v="MEDIANO"/>
    <x v="6"/>
    <x v="1"/>
    <n v="13"/>
    <n v="1"/>
    <d v="2018-10-02T00:00:00"/>
    <s v="SUZUKI"/>
    <s v="CIAZ"/>
    <n v="253.5"/>
    <d v="2018-10-03T00:00:00"/>
    <n v="10"/>
    <x v="1"/>
  </r>
  <r>
    <d v="2018-10-12T00:00:00"/>
    <s v="001-00013672"/>
    <n v="717.61497844999997"/>
    <n v="0"/>
    <n v="0"/>
    <n v="76.27"/>
    <n v="0"/>
    <n v="43.875"/>
    <n v="123.955"/>
    <n v="0"/>
    <n v="244.1"/>
    <n v="473.51497844999994"/>
    <n v="0.65984545009464601"/>
    <x v="1"/>
    <s v="LEVE"/>
    <x v="6"/>
    <x v="1"/>
    <n v="10"/>
    <n v="1"/>
    <d v="2018-10-02T00:00:00"/>
    <s v="KIA"/>
    <s v="CERATO"/>
    <n v="1000.1225000000001"/>
    <d v="2018-10-03T00:00:00"/>
    <n v="3"/>
    <x v="1"/>
  </r>
  <r>
    <d v="2018-10-06T00:00:00"/>
    <s v="001-00013673"/>
    <n v="403.86598784999995"/>
    <n v="0"/>
    <n v="0"/>
    <n v="19"/>
    <n v="0"/>
    <n v="21.9375"/>
    <n v="61.977499999999999"/>
    <n v="0"/>
    <n v="102.91499999999999"/>
    <n v="300.95098784999993"/>
    <n v="0.74517537228655228"/>
    <x v="1"/>
    <s v="LEVE"/>
    <x v="6"/>
    <x v="1"/>
    <n v="4"/>
    <n v="1"/>
    <d v="2018-10-02T00:00:00"/>
    <s v="HYUNDAI"/>
    <s v="ELANTRA"/>
    <n v="552.66250000000002"/>
    <d v="2018-10-03T00:00:00"/>
    <n v="1.5"/>
    <x v="1"/>
  </r>
  <r>
    <d v="2018-10-15T00:00:00"/>
    <s v="001-00013674"/>
    <n v="296.63699109999999"/>
    <n v="0.42379998999999996"/>
    <n v="0"/>
    <n v="0"/>
    <n v="0"/>
    <n v="29.25"/>
    <n v="61.977499999999999"/>
    <n v="0"/>
    <n v="91.651299989999998"/>
    <n v="204.98569111"/>
    <n v="0.69103212768530542"/>
    <x v="1"/>
    <s v="LEVE"/>
    <x v="6"/>
    <x v="1"/>
    <n v="13"/>
    <n v="1"/>
    <d v="2018-10-02T00:00:00"/>
    <s v="HYUNDAI"/>
    <s v="ACCENT"/>
    <n v="783.34749999999997"/>
    <d v="2018-10-03T00:00:00"/>
    <n v="2"/>
    <x v="1"/>
  </r>
  <r>
    <d v="2018-10-11T00:00:00"/>
    <s v="001-00013675"/>
    <n v="742.58997769999996"/>
    <n v="0"/>
    <n v="0"/>
    <n v="0"/>
    <n v="0"/>
    <n v="58.5"/>
    <n v="123.955"/>
    <n v="0"/>
    <n v="182.45499999999998"/>
    <n v="560.13497770000004"/>
    <n v="0.75429913481311461"/>
    <x v="1"/>
    <s v="LEVE"/>
    <x v="6"/>
    <x v="1"/>
    <n v="9"/>
    <n v="1"/>
    <d v="2018-10-02T00:00:00"/>
    <s v="KIA"/>
    <s v="SPORTAGE"/>
    <n v="1102.1400000000001"/>
    <d v="2018-10-03T00:00:00"/>
    <n v="4"/>
    <x v="1216"/>
  </r>
  <r>
    <d v="2018-10-13T00:00:00"/>
    <s v="001-00013676"/>
    <n v="679.11274155657952"/>
    <n v="0"/>
    <n v="0"/>
    <n v="0"/>
    <n v="0"/>
    <n v="73.125"/>
    <n v="77.471874999999997"/>
    <n v="0"/>
    <n v="150.59687500000001"/>
    <n v="528.51586655657957"/>
    <n v="0.77824466280102456"/>
    <x v="1"/>
    <s v="LEVE"/>
    <x v="6"/>
    <x v="1"/>
    <n v="11"/>
    <n v="1"/>
    <d v="2018-10-02T00:00:00"/>
    <s v="KIA"/>
    <s v="SORENTO"/>
    <n v="435.66250000000002"/>
    <d v="2018-10-03T00:00:00"/>
    <n v="5"/>
    <x v="1"/>
  </r>
  <r>
    <d v="2018-10-09T00:00:00"/>
    <s v="001-00013677"/>
    <n v="169.49150000000006"/>
    <n v="0"/>
    <n v="0"/>
    <n v="0"/>
    <n v="0"/>
    <n v="0"/>
    <n v="0"/>
    <n v="0"/>
    <n v="0"/>
    <n v="169.49150000000006"/>
    <n v="1"/>
    <x v="0"/>
    <s v="MECANICA"/>
    <x v="6"/>
    <x v="1"/>
    <n v="6"/>
    <n v="1"/>
    <d v="2018-10-03T00:00:00"/>
    <s v="MG"/>
    <s v="MG3"/>
    <n v="0"/>
    <d v="2018-10-03T00:00:00"/>
    <n v="0"/>
    <x v="29"/>
  </r>
  <r>
    <d v="2018-10-10T00:00:00"/>
    <s v="001-00013679"/>
    <n v="990.4509943999999"/>
    <n v="0"/>
    <n v="0"/>
    <n v="0"/>
    <n v="0"/>
    <n v="73.125"/>
    <n v="154.94374999999999"/>
    <n v="0"/>
    <n v="228.06874999999999"/>
    <n v="762.38224439999988"/>
    <n v="0.7697324236236841"/>
    <x v="1"/>
    <s v="LEVE"/>
    <x v="6"/>
    <x v="1"/>
    <n v="7"/>
    <n v="1"/>
    <d v="2018-10-03T00:00:00"/>
    <s v="KIA"/>
    <s v="SPORTAGE"/>
    <n v="1441.0174999999999"/>
    <d v="2018-10-04T00:00:00"/>
    <n v="5"/>
    <x v="1"/>
  </r>
  <r>
    <d v="2018-10-06T00:00:00"/>
    <s v="001-00013681"/>
    <n v="4375.9610349159411"/>
    <n v="2332.3899620000002"/>
    <n v="0"/>
    <n v="0"/>
    <n v="0"/>
    <n v="263.25"/>
    <n v="185.9325"/>
    <n v="0"/>
    <n v="2781.5724620000001"/>
    <n v="1594.388572915941"/>
    <n v="0.36435163846164548"/>
    <x v="0"/>
    <s v="MEDIANO"/>
    <x v="6"/>
    <x v="1"/>
    <n v="3"/>
    <n v="1"/>
    <d v="2018-10-03T00:00:00"/>
    <s v="HYUNDAI"/>
    <s v="TUCSON"/>
    <n v="3178.5"/>
    <d v="2018-10-06T00:00:00"/>
    <n v="18"/>
    <x v="1217"/>
  </r>
  <r>
    <d v="2018-10-24T00:00:00"/>
    <s v="001-00013683"/>
    <n v="2249.1379325999997"/>
    <n v="5.4759001999999999"/>
    <n v="0"/>
    <n v="103.25"/>
    <n v="14.625"/>
    <n v="146.25"/>
    <n v="371.86500000000001"/>
    <n v="0"/>
    <n v="641.46590020000008"/>
    <n v="1607.6720323999996"/>
    <n v="0.71479477051971352"/>
    <x v="1"/>
    <s v="MEDIANO"/>
    <x v="6"/>
    <x v="1"/>
    <n v="21"/>
    <n v="1"/>
    <d v="2018-10-03T00:00:00"/>
    <s v="NISSAN"/>
    <s v="SENTRA"/>
    <n v="10630.717499999999"/>
    <d v="2018-10-04T00:00:00"/>
    <n v="10"/>
    <x v="1"/>
  </r>
  <r>
    <d v="2018-10-11T00:00:00"/>
    <s v="001-00013684"/>
    <n v="919.07997240000009"/>
    <n v="0"/>
    <n v="0"/>
    <n v="76.27"/>
    <n v="0"/>
    <n v="58.5"/>
    <n v="123.955"/>
    <n v="0"/>
    <n v="258.72499999999997"/>
    <n v="660.35497240000018"/>
    <n v="0.71849566112904251"/>
    <x v="1"/>
    <s v="LEVE"/>
    <x v="6"/>
    <x v="1"/>
    <n v="8"/>
    <n v="1"/>
    <d v="2018-10-03T00:00:00"/>
    <s v="TOYOTA"/>
    <s v="YARIS"/>
    <n v="150.28"/>
    <d v="2018-10-04T00:00:00"/>
    <n v="4"/>
    <x v="1"/>
  </r>
  <r>
    <d v="2018-10-12T00:00:00"/>
    <s v="001-00013686"/>
    <n v="792.53997619999996"/>
    <n v="0"/>
    <n v="0"/>
    <n v="0"/>
    <n v="0"/>
    <n v="58.5"/>
    <n v="123.955"/>
    <n v="0"/>
    <n v="182.45499999999998"/>
    <n v="610.08497620000003"/>
    <n v="0.76978448345934691"/>
    <x v="1"/>
    <s v="LEVE"/>
    <x v="6"/>
    <x v="1"/>
    <n v="9"/>
    <n v="1"/>
    <d v="2018-10-03T00:00:00"/>
    <s v="FORD"/>
    <s v="FIESTA"/>
    <n v="90.674999999999997"/>
    <d v="2018-10-04T00:00:00"/>
    <n v="4"/>
    <x v="1"/>
  </r>
  <r>
    <d v="2018-10-18T00:00:00"/>
    <s v="001-00013687"/>
    <n v="786.98508479999998"/>
    <n v="0"/>
    <n v="0"/>
    <n v="0"/>
    <n v="0"/>
    <n v="51.1875"/>
    <n v="123.955"/>
    <n v="0"/>
    <n v="175.14249999999998"/>
    <n v="611.84258479999994"/>
    <n v="0.77745130958293851"/>
    <x v="1"/>
    <s v="LEVE"/>
    <x v="6"/>
    <x v="1"/>
    <n v="15"/>
    <n v="1"/>
    <d v="2018-10-03T00:00:00"/>
    <s v="MITSUBISHI"/>
    <s v="MIRAGE"/>
    <n v="737.13250000000005"/>
    <d v="2018-09-25T00:00:00"/>
    <n v="3.5"/>
    <x v="1"/>
  </r>
  <r>
    <d v="2018-10-04T00:00:00"/>
    <s v="001-00013691"/>
    <n v="249"/>
    <n v="50.657400899999992"/>
    <n v="0"/>
    <n v="0"/>
    <n v="39.048749999999998"/>
    <n v="0"/>
    <n v="0"/>
    <n v="0"/>
    <n v="89.706150899999983"/>
    <n v="159.29384910000002"/>
    <n v="0.63973433373493982"/>
    <x v="0"/>
    <s v="MECANICA"/>
    <x v="6"/>
    <x v="1"/>
    <n v="0"/>
    <n v="1"/>
    <d v="2018-10-04T00:00:00"/>
    <s v="HYUNDAI"/>
    <s v="ELANTRA"/>
    <n v="0"/>
    <d v="2018-10-04T00:00:00"/>
    <n v="0"/>
    <x v="27"/>
  </r>
  <r>
    <d v="2018-10-20T00:00:00"/>
    <s v="001-00013692"/>
    <n v="1898.4210277199998"/>
    <n v="0"/>
    <n v="0"/>
    <n v="84.75"/>
    <n v="14.625"/>
    <n v="117"/>
    <n v="325.38187500000004"/>
    <n v="0"/>
    <n v="541.75687500000004"/>
    <n v="1356.6641527199997"/>
    <n v="0.71462764735036199"/>
    <x v="1"/>
    <s v="MEDIANO"/>
    <x v="6"/>
    <x v="1"/>
    <n v="16"/>
    <n v="1"/>
    <d v="2018-10-04T00:00:00"/>
    <s v="HYUNDAI"/>
    <s v="ELANTRA"/>
    <n v="5523.0825000000004"/>
    <d v="2018-10-05T00:00:00"/>
    <n v="8"/>
    <x v="1"/>
  </r>
  <r>
    <d v="2018-10-05T00:00:00"/>
    <s v="001-00013693"/>
    <n v="449"/>
    <n v="87.594101350000003"/>
    <n v="0"/>
    <n v="0"/>
    <n v="39.048749999999998"/>
    <n v="0"/>
    <n v="0"/>
    <n v="0"/>
    <n v="126.64285135"/>
    <n v="322.35714865"/>
    <n v="0.71794465178173716"/>
    <x v="0"/>
    <s v="MECANICA"/>
    <x v="6"/>
    <x v="1"/>
    <n v="1"/>
    <n v="1"/>
    <d v="2018-10-04T00:00:00"/>
    <s v="TOYOTA"/>
    <s v="RAV4"/>
    <n v="0"/>
    <d v="2018-10-04T00:00:00"/>
    <n v="0"/>
    <x v="942"/>
  </r>
  <r>
    <d v="2018-10-09T00:00:00"/>
    <s v="001-00013696"/>
    <n v="1271.5134026820308"/>
    <n v="128.30700000000002"/>
    <n v="0"/>
    <n v="0"/>
    <n v="0"/>
    <n v="0"/>
    <n v="0"/>
    <n v="0"/>
    <n v="128.30700000000002"/>
    <n v="1143.2064026820308"/>
    <n v="0.89909111478545234"/>
    <x v="0"/>
    <s v="MEDIANO"/>
    <x v="6"/>
    <x v="1"/>
    <n v="5"/>
    <n v="1"/>
    <d v="2018-10-04T00:00:00"/>
    <s v="TOYOTA"/>
    <s v="YARIS"/>
    <n v="509.53500000000003"/>
    <d v="2018-10-05T00:00:00"/>
    <n v="0"/>
    <x v="1218"/>
  </r>
  <r>
    <d v="2018-10-15T00:00:00"/>
    <s v="001-00013698"/>
    <n v="3291"/>
    <n v="1152.44649927"/>
    <n v="0"/>
    <n v="184.75"/>
    <n v="0"/>
    <n v="0"/>
    <n v="0"/>
    <n v="0"/>
    <n v="1337.19649927"/>
    <n v="1953.80350073"/>
    <n v="0.59368079633242177"/>
    <x v="0"/>
    <s v="MECANICA"/>
    <x v="6"/>
    <x v="1"/>
    <n v="11"/>
    <n v="1"/>
    <d v="2018-10-04T00:00:00"/>
    <s v="MITSUBISHI"/>
    <s v="L200"/>
    <n v="0"/>
    <d v="2018-10-05T00:00:00"/>
    <n v="0"/>
    <x v="871"/>
  </r>
  <r>
    <d v="2018-10-22T00:00:00"/>
    <s v="001-00013699"/>
    <n v="1017.9259999999998"/>
    <n v="0"/>
    <n v="0"/>
    <n v="76.27"/>
    <n v="2.9250000000000003"/>
    <n v="58.5"/>
    <n v="154.94374999999999"/>
    <n v="0"/>
    <n v="292.63874999999996"/>
    <n v="725.28724999999986"/>
    <n v="0.71251471128549615"/>
    <x v="1"/>
    <s v="LEVE"/>
    <x v="6"/>
    <x v="1"/>
    <n v="17"/>
    <n v="1"/>
    <d v="2018-10-05T00:00:00"/>
    <s v="CHEVROLET"/>
    <s v="CAPTIVA"/>
    <n v="651.755"/>
    <d v="2018-10-05T00:00:00"/>
    <n v="4"/>
    <x v="1"/>
  </r>
  <r>
    <d v="2018-10-26T00:00:00"/>
    <s v="001-00013700"/>
    <n v="694.9280207999999"/>
    <n v="0"/>
    <n v="0"/>
    <n v="24.5"/>
    <n v="0"/>
    <n v="58.5"/>
    <n v="123.955"/>
    <n v="0"/>
    <n v="206.95499999999998"/>
    <n v="487.97302079999992"/>
    <n v="0.70219217846223303"/>
    <x v="1"/>
    <s v="LEVE"/>
    <x v="6"/>
    <x v="1"/>
    <n v="21"/>
    <n v="1"/>
    <d v="2018-10-05T00:00:00"/>
    <s v="HYUNDAI"/>
    <s v="ACCENT"/>
    <n v="725.36749999999995"/>
    <d v="2018-10-09T00:00:00"/>
    <n v="4"/>
    <x v="1219"/>
  </r>
  <r>
    <d v="2018-10-31T00:00:00"/>
    <s v="001-00013701"/>
    <n v="1651.4399508500001"/>
    <n v="22.423799989999999"/>
    <n v="0"/>
    <n v="50.85"/>
    <n v="29.25"/>
    <n v="102.375"/>
    <n v="216.92125000000001"/>
    <n v="0"/>
    <n v="421.82004999000003"/>
    <n v="1229.6199008600001"/>
    <n v="0.74457439413834692"/>
    <x v="1"/>
    <s v="MEDIANO"/>
    <x v="6"/>
    <x v="1"/>
    <n v="26"/>
    <n v="1"/>
    <d v="2018-10-05T00:00:00"/>
    <s v="TOYOTA"/>
    <s v="ETIOS"/>
    <n v="5243.29"/>
    <d v="2018-10-05T00:00:00"/>
    <n v="7"/>
    <x v="1"/>
  </r>
  <r>
    <d v="2018-10-06T00:00:00"/>
    <s v="001-00013703"/>
    <n v="349"/>
    <n v="118.07740149999998"/>
    <n v="0"/>
    <n v="13"/>
    <n v="0"/>
    <n v="0"/>
    <n v="0"/>
    <n v="0"/>
    <n v="131.07740149999998"/>
    <n v="217.92259850000002"/>
    <n v="0.62442005300859604"/>
    <x v="0"/>
    <s v="MECANICA"/>
    <x v="6"/>
    <x v="1"/>
    <n v="2"/>
    <n v="1"/>
    <d v="2018-10-04T00:00:00"/>
    <s v="KIA"/>
    <s v="RIO"/>
    <n v="0"/>
    <d v="2018-10-05T00:00:00"/>
    <n v="0"/>
    <x v="167"/>
  </r>
  <r>
    <d v="2018-10-22T00:00:00"/>
    <s v="001-00013704"/>
    <n v="1893.5642711999999"/>
    <n v="0"/>
    <n v="0"/>
    <n v="0"/>
    <n v="0"/>
    <n v="117"/>
    <n v="371.86500000000001"/>
    <n v="0"/>
    <n v="488.86500000000001"/>
    <n v="1404.6992711999999"/>
    <n v="0.74182814524156937"/>
    <x v="1"/>
    <s v="MEDIANO"/>
    <x v="6"/>
    <x v="1"/>
    <n v="17"/>
    <n v="1"/>
    <d v="2018-10-05T00:00:00"/>
    <s v="TOYOTA"/>
    <s v="RAV4"/>
    <n v="3022.3050000000003"/>
    <d v="2018-10-09T00:00:00"/>
    <n v="8"/>
    <x v="1"/>
  </r>
  <r>
    <d v="2018-10-26T00:00:00"/>
    <s v="001-00013705"/>
    <n v="1800.7990539"/>
    <n v="0.71219999999999983"/>
    <n v="0"/>
    <n v="0"/>
    <n v="0"/>
    <n v="234"/>
    <n v="309.88749999999999"/>
    <n v="0"/>
    <n v="544.59969999999998"/>
    <n v="1256.1993539"/>
    <n v="0.6975788615500671"/>
    <x v="2"/>
    <s v="MEDIANO"/>
    <x v="6"/>
    <x v="1"/>
    <n v="21"/>
    <n v="1"/>
    <d v="2018-10-05T00:00:00"/>
    <s v="TOYOTA"/>
    <s v="HILUX"/>
    <n v="1782.0074999999997"/>
    <d v="2018-10-09T00:00:00"/>
    <n v="16"/>
    <x v="1220"/>
  </r>
  <r>
    <d v="2018-10-25T00:00:00"/>
    <s v="001-00013706"/>
    <n v="904.42008647034004"/>
    <n v="0"/>
    <n v="0"/>
    <n v="20"/>
    <n v="0"/>
    <n v="58.5"/>
    <n v="142.54825"/>
    <n v="0"/>
    <n v="221.04825"/>
    <n v="683.37183647033999"/>
    <n v="0.7555911757083148"/>
    <x v="1"/>
    <s v="LEVE"/>
    <x v="6"/>
    <x v="1"/>
    <n v="20"/>
    <n v="1"/>
    <d v="2018-10-05T00:00:00"/>
    <s v="RENAULT"/>
    <s v="STEPWAY"/>
    <n v="4777.5325000000003"/>
    <d v="2018-10-09T00:00:00"/>
    <n v="4"/>
    <x v="999"/>
  </r>
  <r>
    <d v="2018-10-20T00:00:00"/>
    <s v="001-00013708"/>
    <n v="1241.5088644"/>
    <n v="0"/>
    <n v="0"/>
    <n v="0"/>
    <n v="0"/>
    <n v="102.375"/>
    <n v="185.9325"/>
    <n v="0"/>
    <n v="288.3075"/>
    <n v="953.20136439999999"/>
    <n v="0.76777652720237799"/>
    <x v="1"/>
    <s v="MEDIANO"/>
    <x v="6"/>
    <x v="1"/>
    <n v="14"/>
    <n v="1"/>
    <d v="2018-10-06T00:00:00"/>
    <s v="MAZDA"/>
    <s v="MAZDA 3"/>
    <n v="44.07"/>
    <d v="2018-10-09T00:00:00"/>
    <n v="7"/>
    <x v="1"/>
  </r>
  <r>
    <d v="2018-10-23T00:00:00"/>
    <s v="001-00013709"/>
    <n v="2330.4660699000001"/>
    <n v="59.320001999999981"/>
    <n v="0"/>
    <n v="0"/>
    <n v="0"/>
    <n v="190.125"/>
    <n v="371.86500000000001"/>
    <n v="0"/>
    <n v="621.31000199999994"/>
    <n v="1709.1560679000002"/>
    <n v="0.73339667544412679"/>
    <x v="1"/>
    <s v="MEDIANO"/>
    <x v="6"/>
    <x v="1"/>
    <n v="17"/>
    <n v="1"/>
    <d v="2018-10-06T00:00:00"/>
    <s v="VW"/>
    <s v="GOL"/>
    <n v="3781.2125000000001"/>
    <d v="2018-10-09T00:00:00"/>
    <n v="13"/>
    <x v="1"/>
  </r>
  <r>
    <d v="2018-10-09T00:00:00"/>
    <s v="001-00013710"/>
    <n v="332.39999"/>
    <n v="0"/>
    <n v="0"/>
    <n v="0"/>
    <n v="0"/>
    <n v="29.25"/>
    <n v="123.955"/>
    <n v="0"/>
    <n v="153.20499999999998"/>
    <n v="179.19499000000002"/>
    <n v="0.53909445063461048"/>
    <x v="1"/>
    <s v="LEVE"/>
    <x v="6"/>
    <x v="1"/>
    <n v="3"/>
    <n v="1"/>
    <d v="2018-10-06T00:00:00"/>
    <s v="SUZUKI"/>
    <s v="CIAZ"/>
    <n v="0"/>
    <d v="2018-10-09T00:00:00"/>
    <n v="2"/>
    <x v="1221"/>
  </r>
  <r>
    <d v="2018-10-06T00:00:00"/>
    <s v="001-00013711"/>
    <n v="1039.59492952458"/>
    <n v="0"/>
    <n v="0"/>
    <n v="0"/>
    <n v="0"/>
    <n v="29.25"/>
    <n v="0"/>
    <n v="0"/>
    <n v="29.25"/>
    <n v="1010.34492952458"/>
    <n v="0.97186404130176318"/>
    <x v="1"/>
    <s v="MEDIANO"/>
    <x v="6"/>
    <x v="1"/>
    <n v="0"/>
    <n v="1"/>
    <d v="2018-10-06T00:00:00"/>
    <s v="RENAULT"/>
    <s v="DUSTER"/>
    <n v="0"/>
    <d v="2018-10-03T00:00:00"/>
    <n v="2"/>
    <x v="999"/>
  </r>
  <r>
    <d v="2018-10-19T00:00:00"/>
    <s v="001-00013712"/>
    <n v="446.47154632742036"/>
    <n v="0"/>
    <n v="0"/>
    <n v="0"/>
    <n v="0"/>
    <n v="43.875"/>
    <n v="77.471874999999997"/>
    <n v="0"/>
    <n v="121.346875"/>
    <n v="325.12467132742034"/>
    <n v="0.72820916361149213"/>
    <x v="1"/>
    <s v="LEVE"/>
    <x v="6"/>
    <x v="1"/>
    <n v="13"/>
    <n v="1"/>
    <d v="2018-10-06T00:00:00"/>
    <s v="SUZUKI"/>
    <s v="ERTIGA"/>
    <n v="893.81499999999994"/>
    <d v="2018-10-09T00:00:00"/>
    <n v="3"/>
    <x v="1"/>
  </r>
  <r>
    <d v="2018-10-24T00:00:00"/>
    <s v="001-00013714"/>
    <n v="2117.3264365499999"/>
    <n v="0"/>
    <n v="0"/>
    <n v="0"/>
    <n v="0"/>
    <n v="175.5"/>
    <n v="325.38187500000004"/>
    <n v="0"/>
    <n v="500.88187500000004"/>
    <n v="1616.4445615499999"/>
    <n v="0.76343663104866166"/>
    <x v="1"/>
    <s v="MEDIANO"/>
    <x v="6"/>
    <x v="1"/>
    <n v="15"/>
    <n v="1"/>
    <d v="2018-10-09T00:00:00"/>
    <s v="HYUNDAI"/>
    <s v="I10"/>
    <n v="1584.0174999999999"/>
    <d v="2018-10-09T00:00:00"/>
    <n v="12"/>
    <x v="1222"/>
  </r>
  <r>
    <d v="2018-10-09T00:00:00"/>
    <s v="001-00013715"/>
    <n v="315"/>
    <n v="105.90379989"/>
    <n v="0"/>
    <n v="0"/>
    <n v="39.048749999999998"/>
    <n v="0"/>
    <n v="0"/>
    <n v="0"/>
    <n v="144.95254989"/>
    <n v="170.04745011"/>
    <n v="0.53983317495238092"/>
    <x v="0"/>
    <s v="MECANICA"/>
    <x v="6"/>
    <x v="1"/>
    <n v="0"/>
    <n v="1"/>
    <d v="2018-10-09T00:00:00"/>
    <s v="NISSAN"/>
    <s v="FRONTIER"/>
    <n v="0"/>
    <d v="2018-10-09T00:00:00"/>
    <n v="0"/>
    <x v="157"/>
  </r>
  <r>
    <d v="2018-10-09T00:00:00"/>
    <s v="001-00013716"/>
    <n v="809"/>
    <n v="174.62330102999996"/>
    <n v="0"/>
    <n v="38.14"/>
    <n v="39.048749999999998"/>
    <n v="0"/>
    <n v="0"/>
    <n v="0"/>
    <n v="251.81205102999996"/>
    <n v="557.18794896999998"/>
    <n v="0.68873664891223729"/>
    <x v="0"/>
    <s v="MECANICA"/>
    <x v="6"/>
    <x v="1"/>
    <n v="0"/>
    <n v="1"/>
    <d v="2018-10-09T00:00:00"/>
    <s v="KIA"/>
    <s v="RIO"/>
    <n v="219.92750000000001"/>
    <d v="2018-10-09T00:00:00"/>
    <n v="0"/>
    <x v="96"/>
  </r>
  <r>
    <d v="2018-10-17T00:00:00"/>
    <s v="001-00013718"/>
    <n v="890.17802669999992"/>
    <n v="0"/>
    <n v="0"/>
    <n v="0"/>
    <n v="0"/>
    <n v="58.5"/>
    <n v="185.9325"/>
    <n v="0"/>
    <n v="244.4325"/>
    <n v="645.74552669999991"/>
    <n v="0.72541166747718822"/>
    <x v="1"/>
    <s v="MEDIANO"/>
    <x v="6"/>
    <x v="1"/>
    <n v="8"/>
    <n v="1"/>
    <d v="2018-10-09T00:00:00"/>
    <s v="HYUNDAI"/>
    <s v="ELANTRA"/>
    <n v="2586.5774999999999"/>
    <d v="2018-10-09T00:00:00"/>
    <n v="4"/>
    <x v="1"/>
  </r>
  <r>
    <d v="2018-10-20T00:00:00"/>
    <s v="001-00013720"/>
    <n v="1742"/>
    <n v="219.33925475999999"/>
    <n v="0"/>
    <n v="101.7"/>
    <n v="39.048749999999998"/>
    <n v="131.625"/>
    <n v="61.977499999999999"/>
    <n v="0"/>
    <n v="553.69050475999995"/>
    <n v="1188.3094952400002"/>
    <n v="0.68215240828932266"/>
    <x v="0"/>
    <s v="MEDIANO"/>
    <x v="6"/>
    <x v="1"/>
    <n v="11"/>
    <n v="1"/>
    <d v="2018-10-09T00:00:00"/>
    <s v="KIA"/>
    <s v="SPORTAGE"/>
    <n v="258.99250000000001"/>
    <d v="2018-10-09T00:00:00"/>
    <n v="9"/>
    <x v="1223"/>
  </r>
  <r>
    <d v="2018-10-10T00:00:00"/>
    <s v="001-00013721"/>
    <n v="404.10169999999999"/>
    <n v="112.65425125"/>
    <n v="0"/>
    <n v="0"/>
    <n v="39.048749999999998"/>
    <n v="0"/>
    <n v="0"/>
    <n v="0"/>
    <n v="151.70300125"/>
    <n v="252.39869874999999"/>
    <n v="0.62459202411175208"/>
    <x v="0"/>
    <s v="MECANICA"/>
    <x v="6"/>
    <x v="1"/>
    <n v="1"/>
    <n v="1"/>
    <d v="2018-10-09T00:00:00"/>
    <s v="GREAT W."/>
    <s v="WINGLE"/>
    <n v="0"/>
    <d v="2018-10-09T00:00:00"/>
    <n v="0"/>
    <x v="1107"/>
  </r>
  <r>
    <d v="2018-10-13T00:00:00"/>
    <s v="001-00013725"/>
    <n v="532"/>
    <n v="103.119801"/>
    <n v="0"/>
    <n v="42.37"/>
    <n v="0"/>
    <n v="0"/>
    <n v="0"/>
    <n v="0"/>
    <n v="145.489801"/>
    <n v="386.510199"/>
    <n v="0.72652293045112781"/>
    <x v="0"/>
    <s v="MECANICA"/>
    <x v="6"/>
    <x v="1"/>
    <n v="4"/>
    <n v="1"/>
    <d v="2018-10-09T00:00:00"/>
    <s v="NISSAN"/>
    <s v="URBAN"/>
    <n v="182"/>
    <d v="2018-10-11T00:00:00"/>
    <n v="0"/>
    <x v="22"/>
  </r>
  <r>
    <d v="2018-10-19T00:00:00"/>
    <s v="001-00013726"/>
    <n v="3217"/>
    <n v="687.3914125"/>
    <n v="0"/>
    <n v="50.85"/>
    <n v="39.048749999999998"/>
    <n v="87.75"/>
    <n v="185.9325"/>
    <n v="0"/>
    <n v="1050.9726625000001"/>
    <n v="2166.0273374999997"/>
    <n v="0.67330660164749756"/>
    <x v="0"/>
    <s v="LEVE"/>
    <x v="6"/>
    <x v="1"/>
    <n v="10"/>
    <n v="1"/>
    <d v="2018-10-09T00:00:00"/>
    <s v="FORD"/>
    <s v="ESCAPE"/>
    <n v="832.97500000000002"/>
    <d v="2018-10-09T00:00:00"/>
    <n v="6"/>
    <x v="1136"/>
  </r>
  <r>
    <d v="2018-10-17T00:00:00"/>
    <s v="001-00013727"/>
    <n v="846.83602539999993"/>
    <n v="0"/>
    <n v="0"/>
    <n v="203.39"/>
    <n v="0"/>
    <n v="73.125"/>
    <n v="61.977499999999999"/>
    <n v="0"/>
    <n v="338.49250000000001"/>
    <n v="508.34352539999992"/>
    <n v="0.60028566352014334"/>
    <x v="1"/>
    <s v="LEVE"/>
    <x v="6"/>
    <x v="1"/>
    <n v="8"/>
    <n v="1"/>
    <d v="2018-10-09T00:00:00"/>
    <s v="KIA"/>
    <s v="CERATO"/>
    <n v="1033.5"/>
    <d v="2018-10-10T00:00:00"/>
    <n v="5"/>
    <x v="1"/>
  </r>
  <r>
    <d v="2018-10-20T00:00:00"/>
    <s v="001-00013730"/>
    <n v="1338.6449943999996"/>
    <n v="0"/>
    <n v="0"/>
    <n v="16.5"/>
    <n v="0"/>
    <n v="131.625"/>
    <n v="201.426875"/>
    <n v="0"/>
    <n v="349.551875"/>
    <n v="989.09311939999964"/>
    <n v="0.73887634401779967"/>
    <x v="1"/>
    <s v="MEDIANO"/>
    <x v="6"/>
    <x v="1"/>
    <n v="11"/>
    <n v="1"/>
    <d v="2018-10-09T00:00:00"/>
    <s v="HYUNDAI"/>
    <s v="ELANTRA"/>
    <n v="4024.3775000000001"/>
    <d v="2018-10-11T00:00:00"/>
    <n v="9"/>
    <x v="1"/>
  </r>
  <r>
    <d v="2018-10-20T00:00:00"/>
    <s v="001-00013731"/>
    <n v="8696.2965999999997"/>
    <n v="5568.1498700000002"/>
    <n v="0"/>
    <n v="279.66000000000003"/>
    <n v="58.5"/>
    <n v="29.25"/>
    <n v="61.977499999999999"/>
    <n v="0"/>
    <n v="5997.53737"/>
    <n v="2698.7592299999997"/>
    <n v="0.31033431288440644"/>
    <x v="0"/>
    <s v="MECANICA"/>
    <x v="6"/>
    <x v="1"/>
    <n v="11"/>
    <n v="1"/>
    <d v="2018-10-09T00:00:00"/>
    <s v="KIA"/>
    <s v="PICANTO"/>
    <n v="7603.9925000000003"/>
    <d v="2018-10-12T00:00:00"/>
    <n v="2"/>
    <x v="1224"/>
  </r>
  <r>
    <d v="2018-10-11T00:00:00"/>
    <s v="001-00013733"/>
    <n v="141.10174610271014"/>
    <n v="22"/>
    <n v="0"/>
    <n v="55.084745762711869"/>
    <n v="0"/>
    <n v="131.625"/>
    <n v="247.91"/>
    <n v="0"/>
    <n v="456.61974576271189"/>
    <n v="-315.51799966000175"/>
    <n v="-2.2361027299430534"/>
    <x v="1"/>
    <s v="MEDIANO"/>
    <x v="6"/>
    <x v="1"/>
    <n v="2"/>
    <n v="1"/>
    <d v="2018-10-09T00:00:00"/>
    <s v="S/MARCA"/>
    <s v="S/MODELO"/>
    <n v="0"/>
    <s v="F/Fecha"/>
    <n v="0"/>
    <x v="1101"/>
  </r>
  <r>
    <d v="2018-10-12T00:00:00"/>
    <s v="001-00013735"/>
    <n v="225.76267122033997"/>
    <n v="0"/>
    <n v="0"/>
    <n v="0"/>
    <n v="0"/>
    <n v="0"/>
    <n v="123.955"/>
    <n v="0"/>
    <n v="123.955"/>
    <n v="101.80767122033997"/>
    <n v="0.45094997622958521"/>
    <x v="0"/>
    <s v="MEDIANO"/>
    <x v="6"/>
    <x v="1"/>
    <n v="2"/>
    <n v="1"/>
    <d v="2018-10-10T00:00:00"/>
    <s v="MAZDA "/>
    <s v="CX-5"/>
    <n v="0"/>
    <d v="2018-10-10T00:00:00"/>
    <n v="0"/>
    <x v="1225"/>
  </r>
  <r>
    <d v="2018-10-17T00:00:00"/>
    <s v="001-00013736"/>
    <n v="1314.27417502034"/>
    <n v="0"/>
    <n v="0"/>
    <n v="0"/>
    <n v="0"/>
    <n v="168.1875"/>
    <n v="278.89875000000001"/>
    <n v="0"/>
    <n v="447.08625000000001"/>
    <n v="867.18792502033989"/>
    <n v="0.65982269263330773"/>
    <x v="0"/>
    <s v="MEDIANO"/>
    <x v="6"/>
    <x v="1"/>
    <n v="7"/>
    <n v="1"/>
    <d v="2018-10-10T00:00:00"/>
    <s v="HYUNDAI"/>
    <s v="ELANTRA"/>
    <n v="0"/>
    <d v="2018-10-10T00:00:00"/>
    <n v="11.5"/>
    <x v="1226"/>
  </r>
  <r>
    <d v="2018-10-12T00:00:00"/>
    <s v="001-00013737"/>
    <n v="11411.2361615144"/>
    <n v="6107.4659221999991"/>
    <n v="0"/>
    <n v="139.83474576271186"/>
    <n v="67.274999999999991"/>
    <n v="263.25"/>
    <n v="464.83125000000001"/>
    <n v="0"/>
    <n v="7042.6569179627104"/>
    <n v="4368.5792435516896"/>
    <n v="0.38283137617335317"/>
    <x v="0"/>
    <s v="MEDIANO"/>
    <x v="6"/>
    <x v="1"/>
    <n v="2"/>
    <n v="1"/>
    <d v="2018-10-10T00:00:00"/>
    <s v="HYUNDAI"/>
    <s v="ELANTRA"/>
    <n v="8859.5"/>
    <d v="2018-10-10T00:00:00"/>
    <n v="18"/>
    <x v="22"/>
  </r>
  <r>
    <d v="2018-10-13T00:00:00"/>
    <s v="001-00013738"/>
    <n v="766.58997699999998"/>
    <n v="0"/>
    <n v="0"/>
    <n v="55.084745762711869"/>
    <n v="43.875"/>
    <n v="0"/>
    <n v="0"/>
    <n v="0"/>
    <n v="98.959745762711862"/>
    <n v="667.63023123728817"/>
    <n v="0.87090915778734246"/>
    <x v="1"/>
    <s v="LEVE"/>
    <x v="6"/>
    <x v="1"/>
    <n v="3"/>
    <n v="1"/>
    <d v="2018-10-10T00:00:00"/>
    <s v="MAZDA"/>
    <s v="MAZDA 2"/>
    <n v="1632.4425000000001"/>
    <d v="2018-10-11T00:00:00"/>
    <n v="0"/>
    <x v="1227"/>
  </r>
  <r>
    <d v="2018-10-24T00:00:00"/>
    <s v="001-00013739"/>
    <n v="1655.1519504000003"/>
    <n v="0"/>
    <n v="0"/>
    <n v="0"/>
    <n v="43.875"/>
    <n v="87.75"/>
    <n v="216.92125000000001"/>
    <n v="0"/>
    <n v="348.54624999999999"/>
    <n v="1306.6057004000004"/>
    <n v="0.78941737046210969"/>
    <x v="1"/>
    <s v="LEVE"/>
    <x v="6"/>
    <x v="1"/>
    <n v="14"/>
    <n v="1"/>
    <d v="2018-10-10T00:00:00"/>
    <s v="KIA"/>
    <s v="RIO"/>
    <n v="3881.7024999999994"/>
    <d v="2018-10-13T00:00:00"/>
    <n v="6"/>
    <x v="1"/>
  </r>
  <r>
    <d v="2018-10-25T00:00:00"/>
    <s v="001-00013740"/>
    <n v="844.45180747541974"/>
    <n v="0"/>
    <n v="0"/>
    <n v="18.5"/>
    <n v="0"/>
    <n v="73.125"/>
    <n v="167.33925000000002"/>
    <n v="0"/>
    <n v="258.96424999999999"/>
    <n v="585.48755747541975"/>
    <n v="0.69333448314332857"/>
    <x v="1"/>
    <s v="LEVE"/>
    <x v="6"/>
    <x v="1"/>
    <n v="15"/>
    <n v="1"/>
    <d v="2018-10-10T00:00:00"/>
    <s v="CHEVROLET"/>
    <s v="N300"/>
    <n v="1294.4099999999999"/>
    <d v="2018-10-12T00:00:00"/>
    <n v="5"/>
    <x v="999"/>
  </r>
  <r>
    <d v="2018-10-15T00:00:00"/>
    <s v="001-00013741"/>
    <n v="641"/>
    <n v="403.95000199999998"/>
    <n v="0"/>
    <n v="0"/>
    <n v="0"/>
    <n v="0"/>
    <n v="0"/>
    <n v="0"/>
    <n v="403.95000199999998"/>
    <n v="237.04999800000002"/>
    <n v="0.36981278939157569"/>
    <x v="0"/>
    <s v="MECANICA"/>
    <x v="6"/>
    <x v="1"/>
    <n v="5"/>
    <n v="1"/>
    <d v="2018-10-10T00:00:00"/>
    <s v="TOYOTA"/>
    <s v="HILUX"/>
    <n v="640.99749999999995"/>
    <d v="2018-10-11T00:00:00"/>
    <n v="0"/>
    <x v="871"/>
  </r>
  <r>
    <d v="2018-10-20T00:00:00"/>
    <s v="001-00013742"/>
    <n v="282.3730056"/>
    <n v="0"/>
    <n v="0"/>
    <n v="0"/>
    <n v="0"/>
    <n v="43.875"/>
    <n v="30.98875"/>
    <n v="0"/>
    <n v="74.863749999999996"/>
    <n v="207.50925560000002"/>
    <n v="0.73487639216459155"/>
    <x v="0"/>
    <s v="MEDIANO"/>
    <x v="6"/>
    <x v="1"/>
    <n v="9"/>
    <n v="1"/>
    <d v="2018-10-11T00:00:00"/>
    <s v="MAZDA"/>
    <s v="MAZDA 3"/>
    <n v="0"/>
    <d v="2018-10-11T00:00:00"/>
    <n v="3"/>
    <x v="1228"/>
  </r>
  <r>
    <d v="2018-10-24T00:00:00"/>
    <s v="001-00013743"/>
    <n v="1093.2632688081389"/>
    <n v="0"/>
    <n v="0"/>
    <n v="12.5"/>
    <n v="0"/>
    <n v="102.375"/>
    <n v="154.94374999999999"/>
    <n v="0"/>
    <n v="269.81875000000002"/>
    <n v="823.44451880813892"/>
    <n v="0.75319874206132176"/>
    <x v="1"/>
    <s v="MEDIANO"/>
    <x v="6"/>
    <x v="1"/>
    <n v="13"/>
    <n v="1"/>
    <d v="2018-10-11T00:00:00"/>
    <s v="JEEP"/>
    <s v="PATRIOT"/>
    <n v="163.79999999999998"/>
    <d v="2018-09-03T00:00:00"/>
    <n v="7"/>
    <x v="1229"/>
  </r>
  <r>
    <d v="2018-10-24T00:00:00"/>
    <s v="001-00013744"/>
    <n v="1001.09997"/>
    <n v="0"/>
    <n v="0"/>
    <n v="0"/>
    <n v="0"/>
    <n v="117"/>
    <n v="185.9325"/>
    <n v="0"/>
    <n v="302.9325"/>
    <n v="698.16746999999998"/>
    <n v="0.69740035053642047"/>
    <x v="0"/>
    <s v="MEDIANO"/>
    <x v="6"/>
    <x v="1"/>
    <n v="13"/>
    <n v="1"/>
    <d v="2018-10-11T00:00:00"/>
    <s v="JEEP"/>
    <s v="PATRIOT"/>
    <n v="0"/>
    <d v="2018-10-10T00:00:00"/>
    <n v="8"/>
    <x v="1229"/>
  </r>
  <r>
    <d v="2018-10-22T00:00:00"/>
    <s v="001-00013745"/>
    <n v="1501.9129943999997"/>
    <n v="0"/>
    <n v="0"/>
    <n v="0"/>
    <n v="0"/>
    <n v="102.375"/>
    <n v="263.40437500000002"/>
    <n v="0"/>
    <n v="365.77937500000002"/>
    <n v="1136.1336193999996"/>
    <n v="0.75645768006280178"/>
    <x v="1"/>
    <s v="MEDIANO"/>
    <x v="6"/>
    <x v="1"/>
    <n v="11"/>
    <n v="1"/>
    <d v="2018-10-11T00:00:00"/>
    <s v="TOYOTA"/>
    <s v="ETIOS"/>
    <n v="0"/>
    <d v="2018-10-12T00:00:00"/>
    <n v="7"/>
    <x v="1"/>
  </r>
  <r>
    <d v="2018-10-22T00:00:00"/>
    <s v="001-00013746"/>
    <n v="892.1569943999998"/>
    <n v="0"/>
    <n v="0"/>
    <n v="0"/>
    <n v="0"/>
    <n v="87.75"/>
    <n v="139.449375"/>
    <n v="0"/>
    <n v="227.199375"/>
    <n v="664.95761939999977"/>
    <n v="0.74533700186613694"/>
    <x v="1"/>
    <s v="MEDIANO"/>
    <x v="6"/>
    <x v="1"/>
    <n v="11"/>
    <n v="1"/>
    <d v="2018-10-11T00:00:00"/>
    <s v="HYUNDAI"/>
    <s v="I10"/>
    <n v="119.21"/>
    <d v="2018-10-12T00:00:00"/>
    <n v="6"/>
    <x v="1"/>
  </r>
  <r>
    <d v="2018-10-23T00:00:00"/>
    <s v="001-00013747"/>
    <n v="50.847499999999997"/>
    <n v="37.29000099999999"/>
    <n v="0"/>
    <n v="50.85"/>
    <n v="0"/>
    <n v="0"/>
    <n v="0"/>
    <n v="0"/>
    <n v="88.140000999999984"/>
    <n v="-37.292500999999987"/>
    <n v="-0.73341857515118714"/>
    <x v="0"/>
    <s v="GRAVE"/>
    <x v="6"/>
    <x v="1"/>
    <n v="12"/>
    <n v="1"/>
    <d v="2018-10-11T00:00:00"/>
    <s v="CHEVROLET"/>
    <s v="PRISMA"/>
    <n v="0"/>
    <d v="2018-10-11T00:00:00"/>
    <n v="0"/>
    <x v="1230"/>
  </r>
  <r>
    <d v="2018-10-27T00:00:00"/>
    <s v="001-00013748"/>
    <n v="42.372897999999985"/>
    <n v="0"/>
    <n v="0"/>
    <n v="42.37"/>
    <n v="0"/>
    <n v="0"/>
    <n v="0"/>
    <n v="0"/>
    <n v="42.37"/>
    <n v="2.8979999999876327E-3"/>
    <n v="6.839277313502687E-5"/>
    <x v="0"/>
    <s v="MECANICA"/>
    <x v="6"/>
    <x v="1"/>
    <n v="16"/>
    <n v="1"/>
    <d v="2018-10-11T00:00:00"/>
    <s v="S/MARCA"/>
    <s v="S/MODELO"/>
    <n v="0"/>
    <s v="F/Fecha"/>
    <n v="0"/>
    <x v="1231"/>
  </r>
  <r>
    <d v="2018-10-24T00:00:00"/>
    <s v="001-00013749"/>
    <n v="894.31597320000014"/>
    <n v="0"/>
    <n v="0"/>
    <n v="0"/>
    <n v="0"/>
    <n v="73.125"/>
    <n v="123.955"/>
    <n v="0"/>
    <n v="197.07999999999998"/>
    <n v="697.23597320000022"/>
    <n v="0.7796304595848631"/>
    <x v="1"/>
    <s v="LEVE"/>
    <x v="6"/>
    <x v="1"/>
    <n v="13"/>
    <n v="1"/>
    <d v="2018-10-11T00:00:00"/>
    <s v="MAZDA"/>
    <s v="CX-5"/>
    <n v="5172.9274999999998"/>
    <d v="2018-10-12T00:00:00"/>
    <n v="5"/>
    <x v="1"/>
  </r>
  <r>
    <d v="2018-10-25T00:00:00"/>
    <s v="001-00013750"/>
    <n v="613.92281393942028"/>
    <n v="0"/>
    <n v="0"/>
    <n v="67.584745762711862"/>
    <n v="0"/>
    <n v="58.5"/>
    <n v="61.977499999999999"/>
    <n v="0"/>
    <n v="188.06224576271185"/>
    <n v="425.8605681767084"/>
    <n v="0.69367118879985257"/>
    <x v="1"/>
    <s v="LEVE"/>
    <x v="6"/>
    <x v="1"/>
    <n v="14"/>
    <n v="1"/>
    <d v="2018-10-11T00:00:00"/>
    <s v="KIA"/>
    <s v="SPORTAGE"/>
    <n v="201.20749999999998"/>
    <d v="2018-10-12T00:00:00"/>
    <n v="4"/>
    <x v="1232"/>
  </r>
  <r>
    <d v="2018-10-16T00:00:00"/>
    <s v="001-00013751"/>
    <n v="400.56001200000003"/>
    <n v="0"/>
    <n v="0"/>
    <n v="0"/>
    <n v="0"/>
    <n v="43.875"/>
    <n v="77.471874999999997"/>
    <n v="0"/>
    <n v="121.346875"/>
    <n v="279.21313700000002"/>
    <n v="0.69705694186967415"/>
    <x v="0"/>
    <s v="LEVE"/>
    <x v="6"/>
    <x v="1"/>
    <n v="5"/>
    <n v="1"/>
    <d v="2018-10-11T00:00:00"/>
    <s v="HYUNDAI"/>
    <s v="SANTA FE"/>
    <n v="0"/>
    <d v="2018-10-12T00:00:00"/>
    <n v="3"/>
    <x v="875"/>
  </r>
  <r>
    <d v="2018-10-20T00:00:00"/>
    <s v="001-00013752"/>
    <n v="1091.23"/>
    <n v="0.85000001999999986"/>
    <n v="0"/>
    <n v="0"/>
    <n v="0"/>
    <n v="102.375"/>
    <n v="154.94374999999999"/>
    <n v="0"/>
    <n v="258.16875002"/>
    <n v="833.06124997999996"/>
    <n v="0.763414907929584"/>
    <x v="1"/>
    <s v="MEDIANO"/>
    <x v="6"/>
    <x v="1"/>
    <n v="9"/>
    <n v="1"/>
    <d v="2018-10-11T00:00:00"/>
    <s v="HYUNDAI"/>
    <s v="ACCENT"/>
    <n v="468.52"/>
    <d v="2018-10-12T00:00:00"/>
    <n v="7"/>
    <x v="1"/>
  </r>
  <r>
    <d v="2018-10-26T00:00:00"/>
    <s v="001-00013753"/>
    <n v="2203.3895659499999"/>
    <n v="0"/>
    <n v="0"/>
    <n v="89.27"/>
    <n v="0"/>
    <n v="146.25"/>
    <n v="340.87625000000003"/>
    <n v="0"/>
    <n v="576.39625000000001"/>
    <n v="1626.9933159499999"/>
    <n v="0.73840474743671369"/>
    <x v="1"/>
    <s v="MEDIANO"/>
    <x v="6"/>
    <x v="1"/>
    <n v="15"/>
    <n v="1"/>
    <d v="2018-10-11T00:00:00"/>
    <s v="KIA"/>
    <s v="CERATO"/>
    <n v="2719.665"/>
    <d v="2018-10-13T00:00:00"/>
    <n v="10"/>
    <x v="1233"/>
  </r>
  <r>
    <d v="2018-10-12T00:00:00"/>
    <s v="001-00013754"/>
    <n v="549"/>
    <n v="133.62350125"/>
    <n v="0"/>
    <n v="0"/>
    <n v="39.048749999999998"/>
    <n v="0"/>
    <n v="0"/>
    <n v="0"/>
    <n v="172.67225124999999"/>
    <n v="376.32774875000001"/>
    <n v="0.68547859517304188"/>
    <x v="0"/>
    <s v="MECANICA"/>
    <x v="6"/>
    <x v="1"/>
    <n v="0"/>
    <n v="1"/>
    <d v="2018-10-12T00:00:00"/>
    <s v="SSANYONG"/>
    <s v="KYRON"/>
    <n v="0"/>
    <d v="2018-10-12T00:00:00"/>
    <n v="0"/>
    <x v="1234"/>
  </r>
  <r>
    <d v="2018-10-15T00:00:00"/>
    <s v="001-00013756"/>
    <n v="449"/>
    <n v="113.89945114999999"/>
    <n v="0"/>
    <n v="0"/>
    <n v="39.048749999999998"/>
    <n v="0"/>
    <n v="0"/>
    <n v="0"/>
    <n v="152.94820114999999"/>
    <n v="296.05179885000001"/>
    <n v="0.65935812661469939"/>
    <x v="0"/>
    <s v="MECANICA"/>
    <x v="6"/>
    <x v="1"/>
    <n v="3"/>
    <n v="1"/>
    <d v="2018-10-12T00:00:00"/>
    <s v="KIA"/>
    <s v="SPORTAGE"/>
    <n v="0"/>
    <d v="2018-10-12T00:00:00"/>
    <n v="0"/>
    <x v="933"/>
  </r>
  <r>
    <d v="2018-10-26T00:00:00"/>
    <s v="001-00013757"/>
    <n v="850.99248337119002"/>
    <n v="0"/>
    <n v="0"/>
    <n v="76.27"/>
    <n v="0"/>
    <n v="43.875"/>
    <n v="123.955"/>
    <n v="0"/>
    <n v="244.1"/>
    <n v="606.89248337119"/>
    <n v="0.71315845348832851"/>
    <x v="1"/>
    <s v="LEVE"/>
    <x v="6"/>
    <x v="1"/>
    <n v="14"/>
    <n v="1"/>
    <d v="2018-10-12T00:00:00"/>
    <s v="CHEVROLET"/>
    <s v="PRISMA"/>
    <n v="1135.8425"/>
    <d v="2018-10-13T00:00:00"/>
    <n v="3"/>
    <x v="1"/>
  </r>
  <r>
    <d v="2018-10-16T00:00:00"/>
    <s v="001-00013758"/>
    <n v="2779"/>
    <n v="1289.7710051999998"/>
    <n v="0"/>
    <n v="50.85"/>
    <n v="97.548749999999998"/>
    <n v="0"/>
    <n v="0"/>
    <n v="0"/>
    <n v="1438.1697551999996"/>
    <n v="1340.8302448000004"/>
    <n v="0.48248659402662841"/>
    <x v="0"/>
    <s v="MECANICA"/>
    <x v="6"/>
    <x v="1"/>
    <n v="4"/>
    <n v="1"/>
    <d v="2018-10-12T00:00:00"/>
    <s v="HYUNDAI"/>
    <s v="I10"/>
    <n v="1719.9974999999999"/>
    <d v="2018-10-12T00:00:00"/>
    <n v="0"/>
    <x v="96"/>
  </r>
  <r>
    <d v="2018-10-12T00:00:00"/>
    <s v="001-00013759"/>
    <n v="636.02998089999994"/>
    <n v="402.21889999999996"/>
    <n v="0"/>
    <n v="0"/>
    <n v="0"/>
    <n v="0"/>
    <n v="0"/>
    <n v="0"/>
    <n v="402.21889999999996"/>
    <n v="233.81108089999998"/>
    <n v="0.36761015662996083"/>
    <x v="0"/>
    <s v="MECANICA"/>
    <x v="6"/>
    <x v="1"/>
    <n v="1"/>
    <n v="1"/>
    <d v="2018-10-11T00:00:00"/>
    <s v="KIA"/>
    <s v="CERATO"/>
    <n v="523.25"/>
    <d v="2018-10-12T00:00:00"/>
    <n v="0"/>
    <x v="637"/>
  </r>
  <r>
    <d v="2018-10-18T00:00:00"/>
    <s v="001-00013760"/>
    <n v="425.34"/>
    <n v="0"/>
    <n v="0"/>
    <n v="0"/>
    <n v="0"/>
    <n v="29.25"/>
    <n v="61.977499999999999"/>
    <n v="0"/>
    <n v="91.227499999999992"/>
    <n v="334.11249999999995"/>
    <n v="0.78551864390840265"/>
    <x v="2"/>
    <s v="LEVE"/>
    <x v="6"/>
    <x v="1"/>
    <n v="6"/>
    <n v="1"/>
    <d v="2018-10-12T00:00:00"/>
    <s v="SUZUKI"/>
    <s v="SWIFT"/>
    <n v="1257.9125000000001"/>
    <d v="2018-10-15T00:00:00"/>
    <n v="2"/>
    <x v="2"/>
  </r>
  <r>
    <d v="2018-10-30T00:00:00"/>
    <s v="001-00013761"/>
    <n v="895.83607839999979"/>
    <n v="0.84759997999999992"/>
    <n v="0"/>
    <n v="34.5"/>
    <n v="0"/>
    <n v="73.125"/>
    <n v="114.65837499999999"/>
    <n v="0"/>
    <n v="223.13097497999999"/>
    <n v="672.70510341999977"/>
    <n v="0.75092432604576365"/>
    <x v="1"/>
    <s v="LEVE"/>
    <x v="6"/>
    <x v="1"/>
    <n v="18"/>
    <n v="1"/>
    <d v="2018-10-12T00:00:00"/>
    <s v="RENAULT"/>
    <s v="STEPWAY"/>
    <n v="5575.1149999999998"/>
    <d v="2018-10-13T00:00:00"/>
    <n v="5"/>
    <x v="999"/>
  </r>
  <r>
    <d v="2018-10-24T00:00:00"/>
    <s v="001-00013762"/>
    <n v="969.56799054492012"/>
    <n v="0"/>
    <n v="0"/>
    <n v="13.5"/>
    <n v="0"/>
    <n v="73.125"/>
    <n v="123.955"/>
    <n v="0"/>
    <n v="210.57999999999998"/>
    <n v="758.98799054492019"/>
    <n v="0.7828104866770107"/>
    <x v="1"/>
    <s v="LEVE"/>
    <x v="6"/>
    <x v="1"/>
    <n v="12"/>
    <n v="1"/>
    <d v="2018-10-12T00:00:00"/>
    <s v="KIA"/>
    <s v="SPORTAGE"/>
    <n v="96.427500000000009"/>
    <d v="2018-10-13T00:00:00"/>
    <n v="5"/>
    <x v="1"/>
  </r>
  <r>
    <d v="2018-10-19T00:00:00"/>
    <s v="001-00013763"/>
    <n v="339.45758970749"/>
    <n v="0"/>
    <n v="0"/>
    <n v="0"/>
    <n v="0"/>
    <n v="43.875"/>
    <n v="61.977499999999999"/>
    <n v="0"/>
    <n v="105.85249999999999"/>
    <n v="233.60508970749001"/>
    <n v="0.68817165027533223"/>
    <x v="0"/>
    <s v="LEVE"/>
    <x v="6"/>
    <x v="1"/>
    <n v="7"/>
    <n v="1"/>
    <d v="2018-10-12T00:00:00"/>
    <s v="HYUNDAI"/>
    <s v="ACCENT"/>
    <n v="0"/>
    <d v="2018-10-12T00:00:00"/>
    <n v="3"/>
    <x v="1235"/>
  </r>
  <r>
    <d v="2018-10-18T00:00:00"/>
    <s v="001-00013766"/>
    <n v="1086.7443675335999"/>
    <n v="0"/>
    <n v="0"/>
    <n v="0"/>
    <n v="0"/>
    <n v="117"/>
    <n v="216.92125000000001"/>
    <n v="0"/>
    <n v="333.92124999999999"/>
    <n v="752.82311753359988"/>
    <n v="0.69273247695054119"/>
    <x v="0"/>
    <s v="LEVE"/>
    <x v="6"/>
    <x v="1"/>
    <n v="5"/>
    <n v="1"/>
    <d v="2018-10-13T00:00:00"/>
    <s v="HYUNDAI"/>
    <s v="ELANTRA"/>
    <n v="0"/>
    <d v="2018-10-13T00:00:00"/>
    <n v="8"/>
    <x v="1236"/>
  </r>
  <r>
    <d v="2018-10-16T00:00:00"/>
    <s v="001-00013769"/>
    <n v="1650.6016999999999"/>
    <n v="482.88559979999997"/>
    <n v="0"/>
    <n v="38.14"/>
    <n v="82.923749999999998"/>
    <n v="0"/>
    <n v="0"/>
    <n v="0"/>
    <n v="603.94934980000005"/>
    <n v="1046.6523502"/>
    <n v="0.63410352127954317"/>
    <x v="0"/>
    <s v="MECANICA"/>
    <x v="6"/>
    <x v="1"/>
    <n v="1"/>
    <n v="1"/>
    <d v="2018-10-15T00:00:00"/>
    <s v="KIA"/>
    <s v="SORENTO"/>
    <n v="694.98"/>
    <d v="2018-10-15T00:00:00"/>
    <n v="0"/>
    <x v="1237"/>
  </r>
  <r>
    <d v="2018-10-25T00:00:00"/>
    <s v="001-00013770"/>
    <n v="407.63040735984987"/>
    <n v="0"/>
    <n v="0"/>
    <n v="0"/>
    <n v="0"/>
    <n v="43.875"/>
    <n v="61.977499999999999"/>
    <n v="0"/>
    <n v="105.85249999999999"/>
    <n v="301.77790735984991"/>
    <n v="0.74032236533680618"/>
    <x v="1"/>
    <s v="LEVE"/>
    <x v="6"/>
    <x v="1"/>
    <n v="10"/>
    <n v="1"/>
    <d v="2018-10-15T00:00:00"/>
    <s v="RENAULT"/>
    <s v="STEPWAY"/>
    <n v="3630.0875000000001"/>
    <d v="2018-10-16T00:00:00"/>
    <n v="3"/>
    <x v="1"/>
  </r>
  <r>
    <d v="2018-10-15T00:00:00"/>
    <s v="001-00013771"/>
    <n v="368.10169999999999"/>
    <n v="110.33010121999999"/>
    <n v="0"/>
    <n v="25.42"/>
    <n v="39.048749999999998"/>
    <n v="0"/>
    <n v="0"/>
    <n v="0"/>
    <n v="174.79885121999996"/>
    <n v="193.30284878000003"/>
    <n v="0.52513435493506289"/>
    <x v="0"/>
    <s v="MECANICA"/>
    <x v="6"/>
    <x v="1"/>
    <n v="1"/>
    <n v="1"/>
    <d v="2018-10-14T00:00:00"/>
    <s v="HYUNDAI"/>
    <s v="ACCENT"/>
    <n v="0"/>
    <d v="2018-10-15T00:00:00"/>
    <n v="0"/>
    <x v="978"/>
  </r>
  <r>
    <d v="2018-10-15T00:00:00"/>
    <s v="001-00013772"/>
    <n v="549"/>
    <n v="171.76349925"/>
    <n v="0"/>
    <n v="0"/>
    <n v="39.048749999999998"/>
    <n v="0"/>
    <n v="0"/>
    <n v="0"/>
    <n v="210.81224924999998"/>
    <n v="338.18775075000002"/>
    <n v="0.61600683196721318"/>
    <x v="0"/>
    <s v="MECANICA"/>
    <x v="6"/>
    <x v="1"/>
    <n v="1"/>
    <n v="1"/>
    <d v="2018-10-14T00:00:00"/>
    <s v="FORD"/>
    <s v="ECOSPORT"/>
    <n v="0"/>
    <d v="2018-10-15T00:00:00"/>
    <n v="0"/>
    <x v="468"/>
  </r>
  <r>
    <d v="2018-10-24T00:00:00"/>
    <s v="001-00013773"/>
    <n v="1139.5854658500002"/>
    <n v="0"/>
    <n v="0"/>
    <n v="0"/>
    <n v="0"/>
    <n v="87.75"/>
    <n v="216.92125000000001"/>
    <n v="0"/>
    <n v="304.67124999999999"/>
    <n v="834.91421585000023"/>
    <n v="0.73264730103173947"/>
    <x v="1"/>
    <s v="LEVE"/>
    <x v="6"/>
    <x v="1"/>
    <n v="9"/>
    <n v="1"/>
    <d v="2018-10-15T00:00:00"/>
    <s v="HYUNDAI"/>
    <s v="ACCENT"/>
    <n v="2189.6550000000002"/>
    <d v="2018-10-17T00:00:00"/>
    <n v="6"/>
    <x v="1"/>
  </r>
  <r>
    <d v="2018-10-27T00:00:00"/>
    <s v="001-00013774"/>
    <n v="765.64029791257951"/>
    <n v="5.4759001999999999"/>
    <n v="0"/>
    <n v="0"/>
    <n v="14.625"/>
    <n v="58.5"/>
    <n v="61.977499999999999"/>
    <n v="0"/>
    <n v="140.5784002"/>
    <n v="625.06189771257948"/>
    <n v="0.81639106433756281"/>
    <x v="1"/>
    <s v="MEDIANO"/>
    <x v="6"/>
    <x v="1"/>
    <n v="12"/>
    <n v="1"/>
    <d v="2018-10-15T00:00:00"/>
    <s v="HYUNDAI"/>
    <s v="ELANTRA"/>
    <n v="5131.6850000000004"/>
    <d v="2018-10-16T00:00:00"/>
    <n v="4"/>
    <x v="1"/>
  </r>
  <r>
    <d v="2018-10-29T00:00:00"/>
    <s v="001-00013775"/>
    <n v="1701.94944915"/>
    <n v="5.0823998000000001"/>
    <n v="0"/>
    <n v="0"/>
    <n v="0"/>
    <n v="146.25"/>
    <n v="340.87625000000003"/>
    <n v="0"/>
    <n v="492.20864979999999"/>
    <n v="1209.7407993500001"/>
    <n v="0.71079713910079856"/>
    <x v="1"/>
    <s v="MEDIANO"/>
    <x v="6"/>
    <x v="1"/>
    <n v="14"/>
    <n v="1"/>
    <d v="2018-10-15T00:00:00"/>
    <s v="TOYOTA"/>
    <s v="RAV4"/>
    <n v="2227.7449999999999"/>
    <d v="2018-10-16T00:00:00"/>
    <n v="10"/>
    <x v="1"/>
  </r>
  <r>
    <d v="2018-10-26T00:00:00"/>
    <s v="001-00013776"/>
    <n v="644.98274210507998"/>
    <n v="0"/>
    <n v="0"/>
    <n v="0"/>
    <n v="0"/>
    <n v="29.25"/>
    <n v="123.955"/>
    <n v="0"/>
    <n v="153.20499999999998"/>
    <n v="491.77774210507999"/>
    <n v="0.76246651266982279"/>
    <x v="1"/>
    <s v="LEVE"/>
    <x v="6"/>
    <x v="1"/>
    <n v="11"/>
    <n v="1"/>
    <d v="2018-10-15T00:00:00"/>
    <s v="CHEVROLET"/>
    <s v="PRISMA"/>
    <n v="718.64"/>
    <d v="2018-10-13T00:00:00"/>
    <n v="2"/>
    <x v="1"/>
  </r>
  <r>
    <d v="2018-10-18T00:00:00"/>
    <s v="001-00013779"/>
    <n v="381.35589999999996"/>
    <n v="70.063501899999991"/>
    <n v="0"/>
    <n v="0"/>
    <n v="39.048749999999998"/>
    <n v="0"/>
    <n v="0"/>
    <n v="0"/>
    <n v="109.11225189999999"/>
    <n v="272.24364809999997"/>
    <n v="0.71388340419015417"/>
    <x v="0"/>
    <s v="LEVE"/>
    <x v="6"/>
    <x v="1"/>
    <n v="3"/>
    <n v="1"/>
    <d v="2018-10-15T00:00:00"/>
    <s v="MITSUBISHI"/>
    <s v="MIRAGE"/>
    <n v="0"/>
    <d v="2018-10-15T00:00:00"/>
    <n v="0"/>
    <x v="1238"/>
  </r>
  <r>
    <d v="2018-10-20T00:00:00"/>
    <s v="001-00013780"/>
    <n v="1032.3269373200001"/>
    <n v="348.608"/>
    <n v="0"/>
    <n v="0"/>
    <n v="0"/>
    <n v="29.25"/>
    <n v="61.977499999999999"/>
    <n v="0"/>
    <n v="439.83550000000002"/>
    <n v="592.49143732000005"/>
    <n v="0.573937786471167"/>
    <x v="0"/>
    <s v="LEVE"/>
    <x v="6"/>
    <x v="1"/>
    <n v="5"/>
    <n v="1"/>
    <d v="2018-10-15T00:00:00"/>
    <s v="MAZDA"/>
    <s v="CX-5"/>
    <n v="0"/>
    <d v="2018-10-16T00:00:00"/>
    <n v="2"/>
    <x v="1239"/>
  </r>
  <r>
    <d v="2018-10-15T00:00:00"/>
    <s v="001-00013781"/>
    <n v="117.50224507458"/>
    <n v="0"/>
    <n v="0"/>
    <n v="0"/>
    <n v="0"/>
    <n v="0"/>
    <n v="15.494375"/>
    <n v="0"/>
    <n v="15.494375"/>
    <n v="102.00787007458"/>
    <n v="0.86813549826077319"/>
    <x v="2"/>
    <s v="LEVE"/>
    <x v="6"/>
    <x v="1"/>
    <n v="0"/>
    <n v="1"/>
    <d v="2018-10-15T00:00:00"/>
    <s v="HYUNDAI"/>
    <s v="ACCENT"/>
    <n v="1628.4125000000001"/>
    <d v="2018-10-03T00:00:00"/>
    <n v="0"/>
    <x v="2"/>
  </r>
  <r>
    <d v="2018-10-25T00:00:00"/>
    <s v="001-00013782"/>
    <n v="1064.9578140754199"/>
    <n v="0"/>
    <n v="0"/>
    <n v="0"/>
    <n v="0"/>
    <n v="43.875"/>
    <n v="232.41562500000001"/>
    <n v="0"/>
    <n v="276.29062499999998"/>
    <n v="788.66718907541997"/>
    <n v="0.74056190644521325"/>
    <x v="1"/>
    <s v="LEVE"/>
    <x v="6"/>
    <x v="1"/>
    <n v="10"/>
    <n v="1"/>
    <d v="2018-10-15T00:00:00"/>
    <s v="HYUNDAI"/>
    <s v="TUCSON"/>
    <n v="150.93"/>
    <d v="2018-10-16T00:00:00"/>
    <n v="3"/>
    <x v="1"/>
  </r>
  <r>
    <d v="2018-10-31T00:00:00"/>
    <s v="001-00013783"/>
    <n v="964.31997129999991"/>
    <n v="91.250001000000012"/>
    <n v="0"/>
    <n v="0"/>
    <n v="0"/>
    <n v="58.5"/>
    <n v="154.94374999999999"/>
    <n v="0"/>
    <n v="304.69375100000002"/>
    <n v="659.62622029999989"/>
    <n v="0.68403252025441064"/>
    <x v="0"/>
    <s v="LEVE"/>
    <x v="6"/>
    <x v="1"/>
    <n v="16"/>
    <n v="1"/>
    <d v="2018-10-15T00:00:00"/>
    <s v="SUZUKI"/>
    <s v="BALENO"/>
    <n v="152.75"/>
    <d v="2018-10-16T00:00:00"/>
    <n v="4"/>
    <x v="1118"/>
  </r>
  <r>
    <d v="2018-10-16T00:00:00"/>
    <s v="001-00013784"/>
    <n v="520"/>
    <n v="228.72000080000001"/>
    <n v="0"/>
    <n v="0"/>
    <n v="39.048749999999998"/>
    <n v="0"/>
    <n v="0"/>
    <n v="0"/>
    <n v="267.76875080000002"/>
    <n v="252.23124919999998"/>
    <n v="0.48506009461538457"/>
    <x v="0"/>
    <s v="MECANICA"/>
    <x v="6"/>
    <x v="1"/>
    <n v="0"/>
    <n v="1"/>
    <d v="2018-10-16T00:00:00"/>
    <s v="NISSAN"/>
    <s v="NAVARA"/>
    <n v="69.875"/>
    <d v="2018-10-16T00:00:00"/>
    <n v="0"/>
    <x v="157"/>
  </r>
  <r>
    <d v="2018-10-17T00:00:00"/>
    <s v="001-00013786"/>
    <n v="500.10001499999998"/>
    <n v="0"/>
    <n v="169.49"/>
    <n v="0"/>
    <n v="29.25"/>
    <n v="0"/>
    <n v="0"/>
    <n v="0"/>
    <n v="198.74"/>
    <n v="301.36001499999998"/>
    <n v="0.60259949202361052"/>
    <x v="0"/>
    <s v="MECANICA"/>
    <x v="6"/>
    <x v="1"/>
    <n v="1"/>
    <n v="1"/>
    <d v="2018-10-16T00:00:00"/>
    <s v="NISSAN"/>
    <s v="URBAN"/>
    <n v="390"/>
    <d v="2018-10-16T00:00:00"/>
    <n v="0"/>
    <x v="999"/>
  </r>
  <r>
    <d v="2018-10-17T00:00:00"/>
    <s v="001-00013787"/>
    <n v="349"/>
    <n v="88.309601150000006"/>
    <n v="0"/>
    <n v="0"/>
    <n v="39.048749999999998"/>
    <n v="0"/>
    <n v="0"/>
    <n v="0"/>
    <n v="127.35835115"/>
    <n v="221.64164885"/>
    <n v="0.63507635773638971"/>
    <x v="0"/>
    <s v="MECANICA"/>
    <x v="6"/>
    <x v="1"/>
    <n v="1"/>
    <n v="1"/>
    <d v="2018-10-16T00:00:00"/>
    <s v="MAZDA"/>
    <s v="MAZDA 3"/>
    <n v="0"/>
    <d v="2018-10-16T00:00:00"/>
    <n v="0"/>
    <x v="221"/>
  </r>
  <r>
    <d v="2018-10-25T00:00:00"/>
    <s v="001-00013789"/>
    <n v="694.92802080000001"/>
    <n v="2.5411999000000001"/>
    <n v="0"/>
    <n v="0"/>
    <n v="0"/>
    <n v="58.5"/>
    <n v="123.955"/>
    <n v="0"/>
    <n v="184.99619989999999"/>
    <n v="509.93182090000005"/>
    <n v="0.73379084687500062"/>
    <x v="1"/>
    <s v="LEVE"/>
    <x v="6"/>
    <x v="1"/>
    <n v="9"/>
    <n v="1"/>
    <d v="2018-10-16T00:00:00"/>
    <s v="VW"/>
    <s v="UP"/>
    <n v="11.244999999999999"/>
    <d v="2018-10-16T00:00:00"/>
    <n v="4"/>
    <x v="1"/>
  </r>
  <r>
    <d v="2018-10-25T00:00:00"/>
    <s v="001-00013790"/>
    <n v="124.46628592542001"/>
    <n v="0"/>
    <n v="0"/>
    <n v="0"/>
    <n v="0"/>
    <n v="0"/>
    <n v="15.494375"/>
    <n v="0"/>
    <n v="15.494375"/>
    <n v="108.97191092542"/>
    <n v="0.87551347833031501"/>
    <x v="1"/>
    <s v="LEVE"/>
    <x v="6"/>
    <x v="1"/>
    <n v="9"/>
    <n v="1"/>
    <d v="2018-10-16T00:00:00"/>
    <s v="KIA"/>
    <s v="SORENTO"/>
    <n v="798.52499999999998"/>
    <d v="2018-10-16T00:00:00"/>
    <n v="0"/>
    <x v="1"/>
  </r>
  <r>
    <d v="2018-10-23T00:00:00"/>
    <s v="001-00013791"/>
    <n v="1240.2480372"/>
    <n v="0"/>
    <n v="0"/>
    <n v="127.12"/>
    <n v="0"/>
    <n v="73.125"/>
    <n v="185.9325"/>
    <n v="0"/>
    <n v="386.17750000000001"/>
    <n v="854.07053719999999"/>
    <n v="0.68862881583603286"/>
    <x v="1"/>
    <s v="LEVE"/>
    <x v="6"/>
    <x v="1"/>
    <n v="7"/>
    <n v="1"/>
    <d v="2018-10-16T00:00:00"/>
    <s v="TOYOTA"/>
    <s v="YARIS"/>
    <n v="179.88750000000002"/>
    <d v="2018-10-17T00:00:00"/>
    <n v="5"/>
    <x v="1"/>
  </r>
  <r>
    <d v="2018-10-31T00:00:00"/>
    <s v="001-00013793"/>
    <n v="1968.1340534245801"/>
    <n v="37.299999"/>
    <n v="0"/>
    <n v="20"/>
    <n v="0"/>
    <n v="234"/>
    <n v="247.91"/>
    <n v="0"/>
    <n v="539.20999900000004"/>
    <n v="1428.9240544245799"/>
    <n v="0.72602984127947612"/>
    <x v="1"/>
    <s v="MEDIANO"/>
    <x v="6"/>
    <x v="1"/>
    <n v="15"/>
    <n v="1"/>
    <d v="2018-10-16T00:00:00"/>
    <s v="RENAULT"/>
    <s v="LOGAN"/>
    <n v="2948.9524999999999"/>
    <d v="2018-10-17T00:00:00"/>
    <n v="16"/>
    <x v="999"/>
  </r>
  <r>
    <d v="2018-10-24T00:00:00"/>
    <s v="001-00013794"/>
    <n v="496.39276387257962"/>
    <n v="0"/>
    <n v="0"/>
    <n v="0"/>
    <n v="0"/>
    <n v="29.25"/>
    <n v="61.977499999999999"/>
    <n v="0"/>
    <n v="91.227499999999992"/>
    <n v="405.16526387257966"/>
    <n v="0.816219117925302"/>
    <x v="1"/>
    <s v="LEVE"/>
    <x v="6"/>
    <x v="1"/>
    <n v="8"/>
    <n v="1"/>
    <d v="2018-10-16T00:00:00"/>
    <s v="MAZDA "/>
    <s v="CX-5"/>
    <n v="947.96"/>
    <d v="2018-10-17T00:00:00"/>
    <n v="2"/>
    <x v="1"/>
  </r>
  <r>
    <d v="2018-10-27T00:00:00"/>
    <s v="001-00013795"/>
    <n v="894.49978067458005"/>
    <n v="0"/>
    <n v="0"/>
    <n v="0"/>
    <n v="0"/>
    <n v="73.125"/>
    <n v="154.94374999999999"/>
    <n v="0"/>
    <n v="228.06874999999999"/>
    <n v="666.43103067458003"/>
    <n v="0.74503207834438623"/>
    <x v="1"/>
    <s v="MEDIANO"/>
    <x v="6"/>
    <x v="1"/>
    <n v="11"/>
    <n v="1"/>
    <d v="2018-10-16T00:00:00"/>
    <s v="HYUNDAI"/>
    <s v="ELANTRA"/>
    <n v="1444.1374999999998"/>
    <d v="2018-10-16T00:00:00"/>
    <n v="5"/>
    <x v="1"/>
  </r>
  <r>
    <d v="2018-10-25T00:00:00"/>
    <s v="001-00013797"/>
    <n v="1459.1958258754203"/>
    <n v="0"/>
    <n v="0"/>
    <n v="84.75"/>
    <n v="0"/>
    <n v="87.75"/>
    <n v="185.9325"/>
    <n v="0"/>
    <n v="358.4325"/>
    <n v="1100.7633258754204"/>
    <n v="0.75436298977557437"/>
    <x v="1"/>
    <s v="LEVE"/>
    <x v="6"/>
    <x v="1"/>
    <n v="9"/>
    <n v="1"/>
    <d v="2018-10-16T00:00:00"/>
    <s v="KIA"/>
    <s v="SPORTAGE"/>
    <n v="2080.3250000000003"/>
    <d v="2018-10-17T00:00:00"/>
    <n v="6"/>
    <x v="1"/>
  </r>
  <r>
    <d v="2018-10-26T00:00:00"/>
    <s v="001-00013798"/>
    <n v="1590.3160476000003"/>
    <n v="0"/>
    <n v="0"/>
    <n v="0"/>
    <n v="0"/>
    <n v="190.125"/>
    <n v="247.91"/>
    <n v="0"/>
    <n v="438.03499999999997"/>
    <n v="1152.2810476000004"/>
    <n v="0.7245610388821434"/>
    <x v="1"/>
    <s v="MEDIANO"/>
    <x v="6"/>
    <x v="1"/>
    <n v="9"/>
    <n v="1"/>
    <d v="2018-10-17T00:00:00"/>
    <s v="MAZDA"/>
    <s v="CX-5"/>
    <n v="1567.3125"/>
    <d v="2018-10-17T00:00:00"/>
    <n v="13"/>
    <x v="1"/>
  </r>
  <r>
    <d v="2018-10-18T00:00:00"/>
    <s v="001-00013804"/>
    <n v="810.01691000000005"/>
    <n v="310.23960115"/>
    <n v="0"/>
    <n v="0"/>
    <n v="39.048749999999998"/>
    <n v="0"/>
    <n v="0"/>
    <n v="0"/>
    <n v="349.28835114999998"/>
    <n v="460.72855885000007"/>
    <n v="0.56878881559398564"/>
    <x v="0"/>
    <s v="MECANICA"/>
    <x v="6"/>
    <x v="1"/>
    <n v="0"/>
    <n v="1"/>
    <d v="2018-10-18T00:00:00"/>
    <s v="MAZDA"/>
    <s v="CX-5"/>
    <n v="260.97499999999997"/>
    <d v="2018-10-18T00:00:00"/>
    <n v="0"/>
    <x v="259"/>
  </r>
  <r>
    <d v="2018-10-25T00:00:00"/>
    <s v="001-00013805"/>
    <n v="743.37252224999997"/>
    <n v="0"/>
    <n v="0"/>
    <n v="14.5"/>
    <n v="0"/>
    <n v="43.875"/>
    <n v="154.94374999999999"/>
    <n v="0"/>
    <n v="213.31874999999999"/>
    <n v="530.05377224999995"/>
    <n v="0.71303923185869411"/>
    <x v="1"/>
    <s v="LEVE"/>
    <x v="6"/>
    <x v="1"/>
    <n v="7"/>
    <n v="1"/>
    <d v="2018-10-18T00:00:00"/>
    <s v="HYUNDAI"/>
    <s v="TUCSON"/>
    <n v="100.62"/>
    <d v="2018-10-16T00:00:00"/>
    <n v="3"/>
    <x v="1"/>
  </r>
  <r>
    <d v="2018-10-18T00:00:00"/>
    <s v="001-00013806"/>
    <n v="315"/>
    <n v="108.77970189999999"/>
    <n v="78.744"/>
    <n v="0"/>
    <n v="39.048749999999998"/>
    <n v="0"/>
    <n v="0"/>
    <n v="0"/>
    <n v="226.57245189999998"/>
    <n v="88.427548100000024"/>
    <n v="0.28072237492063501"/>
    <x v="0"/>
    <s v="MECANICA"/>
    <x v="6"/>
    <x v="1"/>
    <n v="1"/>
    <n v="1"/>
    <d v="2018-10-17T00:00:00"/>
    <s v="KIA"/>
    <s v="RIO"/>
    <n v="0"/>
    <d v="2018-10-18T00:00:00"/>
    <n v="0"/>
    <x v="157"/>
  </r>
  <r>
    <d v="2018-10-27T00:00:00"/>
    <s v="001-00013810"/>
    <n v="873.56697389999999"/>
    <n v="0"/>
    <n v="0"/>
    <n v="76.27"/>
    <n v="2.9250000000000003"/>
    <n v="58.5"/>
    <n v="123.955"/>
    <n v="0"/>
    <n v="261.64999999999998"/>
    <n v="611.91697390000002"/>
    <n v="0.7004808929166868"/>
    <x v="1"/>
    <s v="LEVE"/>
    <x v="6"/>
    <x v="1"/>
    <n v="9"/>
    <n v="1"/>
    <d v="2018-10-18T00:00:00"/>
    <s v="SUZUKI"/>
    <s v="VITARA"/>
    <n v="346.22250000000003"/>
    <d v="2018-10-19T00:00:00"/>
    <n v="4"/>
    <x v="1"/>
  </r>
  <r>
    <d v="2018-10-18T00:00:00"/>
    <s v="001-00013811"/>
    <n v="70"/>
    <n v="0"/>
    <n v="0"/>
    <n v="0"/>
    <n v="0"/>
    <n v="0"/>
    <n v="0"/>
    <n v="0"/>
    <n v="0"/>
    <n v="70"/>
    <n v="1"/>
    <x v="0"/>
    <s v="MECANICA"/>
    <x v="6"/>
    <x v="1"/>
    <n v="1"/>
    <n v="1"/>
    <d v="2018-10-17T00:00:00"/>
    <s v="TOYOTA"/>
    <s v="HILUX"/>
    <n v="69.972499999999997"/>
    <d v="2018-10-18T00:00:00"/>
    <n v="0"/>
    <x v="871"/>
  </r>
  <r>
    <d v="2018-10-24T00:00:00"/>
    <s v="001-00013815"/>
    <n v="347.04798960000005"/>
    <n v="0"/>
    <n v="0"/>
    <n v="0"/>
    <n v="0"/>
    <n v="43.875"/>
    <n v="61.977499999999999"/>
    <n v="0"/>
    <n v="105.85249999999999"/>
    <n v="241.19548960000006"/>
    <n v="0.69499174992483526"/>
    <x v="1"/>
    <s v="LEVE"/>
    <x v="6"/>
    <x v="1"/>
    <n v="6"/>
    <n v="1"/>
    <d v="2018-10-18T00:00:00"/>
    <s v="MAZDA"/>
    <s v="CX-5"/>
    <n v="0"/>
    <d v="2018-10-17T00:00:00"/>
    <n v="3"/>
    <x v="1"/>
  </r>
  <r>
    <d v="2018-10-20T00:00:00"/>
    <s v="001-00013816"/>
    <n v="449"/>
    <n v="138.5816026"/>
    <n v="0"/>
    <n v="0"/>
    <n v="39.048749999999998"/>
    <n v="0"/>
    <n v="0"/>
    <n v="0"/>
    <n v="177.63035259999998"/>
    <n v="271.36964740000002"/>
    <n v="0.60438674253897551"/>
    <x v="0"/>
    <s v="MECANICA"/>
    <x v="6"/>
    <x v="1"/>
    <n v="2"/>
    <n v="1"/>
    <d v="2018-10-18T00:00:00"/>
    <s v="SUZUKI"/>
    <s v="CIAZ"/>
    <n v="0"/>
    <d v="2018-10-17T00:00:00"/>
    <n v="0"/>
    <x v="1240"/>
  </r>
  <r>
    <d v="2018-10-30T00:00:00"/>
    <s v="001-00013817"/>
    <n v="897.51207839999984"/>
    <n v="0"/>
    <n v="0"/>
    <n v="13.5"/>
    <n v="0"/>
    <n v="87.75"/>
    <n v="139.449375"/>
    <n v="0"/>
    <n v="240.699375"/>
    <n v="656.8127033999998"/>
    <n v="0.73181489052593451"/>
    <x v="1"/>
    <s v="MEDIANO"/>
    <x v="6"/>
    <x v="1"/>
    <n v="11"/>
    <n v="1"/>
    <d v="2018-10-19T00:00:00"/>
    <s v="KIA"/>
    <s v="RIO"/>
    <n v="1998.9775000000002"/>
    <d v="2018-10-22T00:00:00"/>
    <n v="6"/>
    <x v="1"/>
  </r>
  <r>
    <d v="2018-10-29T00:00:00"/>
    <s v="001-00013818"/>
    <n v="836.40958511016993"/>
    <n v="0"/>
    <n v="0"/>
    <n v="0"/>
    <n v="0"/>
    <n v="58.5"/>
    <n v="123.955"/>
    <n v="0"/>
    <n v="182.45499999999998"/>
    <n v="653.95458511017"/>
    <n v="0.78185926698106001"/>
    <x v="0"/>
    <s v="LEVE"/>
    <x v="6"/>
    <x v="1"/>
    <n v="10"/>
    <n v="1"/>
    <d v="2018-10-19T00:00:00"/>
    <s v="TOYOTA"/>
    <s v="RAV4"/>
    <n v="0"/>
    <d v="2018-10-19T00:00:00"/>
    <n v="4"/>
    <x v="1241"/>
  </r>
  <r>
    <d v="2018-10-29T00:00:00"/>
    <s v="001-00013819"/>
    <n v="1559.7019534000001"/>
    <n v="1.01660002"/>
    <n v="0"/>
    <n v="0"/>
    <n v="0"/>
    <n v="102.375"/>
    <n v="247.91"/>
    <n v="0"/>
    <n v="351.30160002000002"/>
    <n v="1208.4003533800001"/>
    <n v="0.77476363400443504"/>
    <x v="1"/>
    <s v="MEDIANO"/>
    <x v="6"/>
    <x v="1"/>
    <n v="10"/>
    <n v="1"/>
    <d v="2018-10-19T00:00:00"/>
    <s v="KIA"/>
    <s v="CERATO"/>
    <n v="74.587499999999991"/>
    <d v="2018-10-22T00:00:00"/>
    <n v="7"/>
    <x v="1"/>
  </r>
  <r>
    <d v="2018-10-29T00:00:00"/>
    <s v="001-00013820"/>
    <n v="1464.31245625"/>
    <n v="0.84759997999999992"/>
    <n v="0"/>
    <n v="70.584745762711862"/>
    <n v="0"/>
    <n v="175.5"/>
    <n v="154.94374999999999"/>
    <n v="0"/>
    <n v="401.87609574271187"/>
    <n v="1062.4363605072881"/>
    <n v="0.72555304434690948"/>
    <x v="1"/>
    <s v="MEDIANO"/>
    <x v="6"/>
    <x v="1"/>
    <n v="10"/>
    <n v="1"/>
    <d v="2018-10-19T00:00:00"/>
    <s v="CHEVROLET"/>
    <s v="N300"/>
    <n v="292.17500000000001"/>
    <d v="2018-10-22T00:00:00"/>
    <n v="12"/>
    <x v="999"/>
  </r>
  <r>
    <d v="2018-10-20T00:00:00"/>
    <s v="001-00013823"/>
    <n v="249"/>
    <n v="56.334901899999998"/>
    <n v="0"/>
    <n v="0"/>
    <n v="39.048749999999998"/>
    <n v="0"/>
    <n v="0"/>
    <n v="0"/>
    <n v="95.38365189999999"/>
    <n v="153.61634810000001"/>
    <n v="0.6169331248995984"/>
    <x v="0"/>
    <s v="MECANICA"/>
    <x v="6"/>
    <x v="1"/>
    <n v="0"/>
    <n v="1"/>
    <d v="2018-10-20T00:00:00"/>
    <s v="NISSAN"/>
    <s v="TIIDA"/>
    <n v="0"/>
    <d v="2018-10-20T00:00:00"/>
    <n v="0"/>
    <x v="1022"/>
  </r>
  <r>
    <d v="2018-10-31T00:00:00"/>
    <s v="001-00013824"/>
    <n v="849.25408672457991"/>
    <n v="21.190000999999992"/>
    <n v="0"/>
    <n v="0"/>
    <n v="0"/>
    <n v="58.5"/>
    <n v="139.449375"/>
    <n v="0"/>
    <n v="219.139376"/>
    <n v="630.11471072457994"/>
    <n v="0.74196252991235978"/>
    <x v="1"/>
    <s v="LEVE"/>
    <x v="6"/>
    <x v="1"/>
    <n v="11"/>
    <n v="1"/>
    <d v="2018-10-20T00:00:00"/>
    <s v="TOYOTA"/>
    <s v="FORTUNER"/>
    <n v="1786.2"/>
    <d v="2018-10-23T00:00:00"/>
    <n v="4"/>
    <x v="1"/>
  </r>
  <r>
    <d v="2018-10-27T00:00:00"/>
    <s v="001-00013825"/>
    <n v="793.2389763000001"/>
    <n v="0"/>
    <n v="0"/>
    <n v="0"/>
    <n v="0"/>
    <n v="43.875"/>
    <n v="185.9325"/>
    <n v="0"/>
    <n v="229.8075"/>
    <n v="563.4314763000001"/>
    <n v="0.71029222357186894"/>
    <x v="1"/>
    <s v="LEVE"/>
    <x v="6"/>
    <x v="1"/>
    <n v="7"/>
    <n v="1"/>
    <d v="2018-10-20T00:00:00"/>
    <s v="SUZUKI"/>
    <s v="VITARA"/>
    <n v="0"/>
    <d v="2018-10-19T00:00:00"/>
    <n v="3"/>
    <x v="1"/>
  </r>
  <r>
    <d v="2018-10-27T00:00:00"/>
    <s v="001-00013826"/>
    <n v="696.17597920000003"/>
    <n v="0"/>
    <n v="0"/>
    <n v="0"/>
    <n v="0"/>
    <n v="73.125"/>
    <n v="123.955"/>
    <n v="0"/>
    <n v="197.07999999999998"/>
    <n v="499.09597920000004"/>
    <n v="0.7169106578102975"/>
    <x v="1"/>
    <s v="LEVE"/>
    <x v="6"/>
    <x v="1"/>
    <n v="7"/>
    <n v="1"/>
    <d v="2018-10-20T00:00:00"/>
    <s v="SUZUKI"/>
    <s v="VITARA"/>
    <n v="365.72250000000003"/>
    <d v="2018-10-19T00:00:00"/>
    <n v="5"/>
    <x v="1"/>
  </r>
  <r>
    <d v="2018-10-27T00:00:00"/>
    <s v="001-00013828"/>
    <n v="812.49828312457998"/>
    <n v="0"/>
    <n v="0"/>
    <n v="9"/>
    <n v="0"/>
    <n v="73.125"/>
    <n v="139.449375"/>
    <n v="0"/>
    <n v="221.574375"/>
    <n v="590.92390812457995"/>
    <n v="0.72729250067101237"/>
    <x v="1"/>
    <s v="LEVE"/>
    <x v="6"/>
    <x v="1"/>
    <n v="7"/>
    <n v="1"/>
    <d v="2018-10-20T00:00:00"/>
    <s v="TOYOTA"/>
    <s v="COROLLA"/>
    <n v="2261.4475000000002"/>
    <d v="2018-10-23T00:00:00"/>
    <n v="5"/>
    <x v="1"/>
  </r>
  <r>
    <d v="2018-10-20T00:00:00"/>
    <s v="001-00013830"/>
    <n v="8471.1861695999996"/>
    <n v="7731.3061112000014"/>
    <n v="0"/>
    <n v="84.75"/>
    <n v="38.025000000000006"/>
    <n v="292.5"/>
    <n v="371.86500000000001"/>
    <n v="0"/>
    <n v="8518.4461112000008"/>
    <n v="-47.259941600001184"/>
    <n v="-5.5789048491933623E-3"/>
    <x v="0"/>
    <s v="MEDIANO"/>
    <x v="6"/>
    <x v="1"/>
    <n v="1"/>
    <n v="1"/>
    <d v="2018-10-19T00:00:00"/>
    <s v="SUZUKI"/>
    <s v="G. NOMADE"/>
    <n v="11608.317499999999"/>
    <d v="2018-10-20T00:00:00"/>
    <n v="20"/>
    <x v="1217"/>
  </r>
  <r>
    <d v="2018-10-31T00:00:00"/>
    <s v="001-00013831"/>
    <n v="1750.5599479000002"/>
    <n v="0"/>
    <n v="0"/>
    <n v="0"/>
    <n v="14.625"/>
    <n v="146.25"/>
    <n v="247.91"/>
    <n v="0"/>
    <n v="408.78499999999997"/>
    <n v="1341.7749479000004"/>
    <n v="0.76648328982370195"/>
    <x v="1"/>
    <s v="MEDIANO"/>
    <x v="6"/>
    <x v="1"/>
    <n v="11"/>
    <n v="1"/>
    <d v="2018-10-20T00:00:00"/>
    <s v="VW"/>
    <s v="GOL"/>
    <n v="650.52"/>
    <d v="2018-10-23T00:00:00"/>
    <n v="10"/>
    <x v="1"/>
  </r>
  <r>
    <d v="2018-10-25T00:00:00"/>
    <s v="001-00013835"/>
    <n v="625.72956082880989"/>
    <n v="0"/>
    <n v="0"/>
    <n v="0"/>
    <n v="0"/>
    <n v="58.5"/>
    <n v="61.977499999999999"/>
    <n v="0"/>
    <n v="120.47749999999999"/>
    <n v="505.25206082880993"/>
    <n v="0.80746075055105027"/>
    <x v="0"/>
    <s v="LEVE"/>
    <x v="6"/>
    <x v="1"/>
    <n v="4"/>
    <n v="1"/>
    <d v="2018-10-21T00:00:00"/>
    <s v="VW"/>
    <s v="GOL"/>
    <n v="0"/>
    <d v="2018-10-22T00:00:00"/>
    <n v="4"/>
    <x v="1242"/>
  </r>
  <r>
    <d v="2018-10-30T00:00:00"/>
    <s v="001-00013838"/>
    <n v="2285.2259999999997"/>
    <n v="0"/>
    <n v="0"/>
    <n v="16"/>
    <n v="0"/>
    <n v="153.5625"/>
    <n v="356.37062500000002"/>
    <n v="0"/>
    <n v="525.93312500000002"/>
    <n v="1759.2928749999996"/>
    <n v="0.76985509310676492"/>
    <x v="1"/>
    <s v="MEDIANO"/>
    <x v="6"/>
    <x v="1"/>
    <n v="8"/>
    <n v="1"/>
    <d v="2018-10-22T00:00:00"/>
    <s v="FORD"/>
    <s v="ESCAPE"/>
    <n v="4557.8975"/>
    <d v="2018-10-23T00:00:00"/>
    <n v="10.5"/>
    <x v="1"/>
  </r>
  <r>
    <d v="2018-10-27T00:00:00"/>
    <s v="001-00013840"/>
    <n v="651.01959534916011"/>
    <n v="0"/>
    <n v="0"/>
    <n v="0"/>
    <n v="0"/>
    <n v="43.875"/>
    <n v="92.966250000000002"/>
    <n v="0"/>
    <n v="136.84125"/>
    <n v="514.17834534916005"/>
    <n v="0.78980471405533004"/>
    <x v="1"/>
    <s v="LEVE"/>
    <x v="6"/>
    <x v="1"/>
    <n v="5"/>
    <n v="1"/>
    <d v="2018-10-22T00:00:00"/>
    <s v="HYUNDAI"/>
    <s v="SANTA FE"/>
    <n v="2290.1774999999998"/>
    <d v="2018-10-23T00:00:00"/>
    <n v="3"/>
    <x v="1"/>
  </r>
  <r>
    <d v="2018-10-23T00:00:00"/>
    <s v="001-00013844"/>
    <n v="16.949200000000001"/>
    <n v="0"/>
    <n v="0"/>
    <n v="16.95"/>
    <n v="0"/>
    <n v="0"/>
    <n v="0"/>
    <n v="0"/>
    <n v="16.95"/>
    <n v="-7.9999999999813554E-4"/>
    <n v="-4.7199867840260043E-5"/>
    <x v="0"/>
    <s v="MECANICA"/>
    <x v="6"/>
    <x v="1"/>
    <n v="1"/>
    <n v="1"/>
    <d v="2018-10-22T00:00:00"/>
    <s v="S/MARCA"/>
    <s v="S/MODELO"/>
    <n v="0"/>
    <s v="F/Fecha"/>
    <n v="0"/>
    <x v="1243"/>
  </r>
  <r>
    <d v="2018-10-26T00:00:00"/>
    <s v="001-00013849"/>
    <n v="1470"/>
    <n v="205.27252575"/>
    <n v="0"/>
    <n v="0"/>
    <n v="58.5"/>
    <n v="0"/>
    <n v="0"/>
    <n v="0"/>
    <n v="263.77252575"/>
    <n v="1206.2274742499999"/>
    <n v="0.82056290765306117"/>
    <x v="0"/>
    <s v="MECANICA"/>
    <x v="6"/>
    <x v="1"/>
    <n v="4"/>
    <n v="1"/>
    <d v="2018-10-22T00:00:00"/>
    <s v="NISSAN"/>
    <s v="FRONTIER"/>
    <n v="1218.75"/>
    <d v="2018-10-22T00:00:00"/>
    <n v="0"/>
    <x v="157"/>
  </r>
  <r>
    <d v="2018-10-26T00:00:00"/>
    <s v="001-00013853"/>
    <n v="417.62501249999997"/>
    <n v="0"/>
    <n v="0"/>
    <n v="0"/>
    <n v="0"/>
    <n v="29.25"/>
    <n v="77.471874999999997"/>
    <n v="0"/>
    <n v="106.721875"/>
    <n v="310.90313749999996"/>
    <n v="0.74445526056703792"/>
    <x v="0"/>
    <s v="LEVE"/>
    <x v="6"/>
    <x v="1"/>
    <n v="4"/>
    <n v="1"/>
    <d v="2018-10-22T00:00:00"/>
    <s v="KIA"/>
    <s v="SPORTAGE"/>
    <n v="0"/>
    <d v="2018-10-23T00:00:00"/>
    <n v="2"/>
    <x v="878"/>
  </r>
  <r>
    <d v="2018-10-31T00:00:00"/>
    <s v="001-00013858"/>
    <n v="2558.6399238500003"/>
    <n v="0"/>
    <n v="0"/>
    <n v="55.084745762711869"/>
    <n v="0"/>
    <n v="146.25"/>
    <n v="511.31437500000004"/>
    <n v="0"/>
    <n v="712.64912076271185"/>
    <n v="1845.9908030872884"/>
    <n v="0.7214734616935139"/>
    <x v="1"/>
    <s v="MEDIANO"/>
    <x v="6"/>
    <x v="1"/>
    <n v="8"/>
    <n v="1"/>
    <d v="2018-10-23T00:00:00"/>
    <s v="TOYOTA"/>
    <s v="YARIS"/>
    <n v="1676.4150000000002"/>
    <d v="2018-10-24T00:00:00"/>
    <n v="10"/>
    <x v="1"/>
  </r>
  <r>
    <d v="2018-10-26T00:00:00"/>
    <s v="001-00013859"/>
    <n v="1000"/>
    <n v="346.95460460000004"/>
    <n v="0"/>
    <n v="0"/>
    <n v="78.097499999999997"/>
    <n v="0"/>
    <n v="0"/>
    <n v="0"/>
    <n v="425.05210460000001"/>
    <n v="574.94789539999999"/>
    <n v="0.57494789540000002"/>
    <x v="0"/>
    <s v="MECANICA"/>
    <x v="6"/>
    <x v="1"/>
    <n v="3"/>
    <n v="1"/>
    <d v="2018-10-23T00:00:00"/>
    <s v="HONDA"/>
    <s v="PILOT"/>
    <n v="199.9725"/>
    <d v="2018-10-23T00:00:00"/>
    <n v="0"/>
    <x v="1244"/>
  </r>
  <r>
    <d v="2018-10-31T00:00:00"/>
    <s v="001-00013861"/>
    <n v="1068.4799681999998"/>
    <n v="0"/>
    <n v="0"/>
    <n v="91.77"/>
    <n v="0"/>
    <n v="102.375"/>
    <n v="123.955"/>
    <n v="0"/>
    <n v="318.09999999999997"/>
    <n v="750.37996819999989"/>
    <n v="0.70228735262497921"/>
    <x v="1"/>
    <s v="MEDIANO"/>
    <x v="6"/>
    <x v="1"/>
    <n v="8"/>
    <n v="1"/>
    <d v="2018-10-23T00:00:00"/>
    <s v="SUZUKI"/>
    <s v="VITARA"/>
    <n v="3895.2224999999999"/>
    <d v="2018-10-24T00:00:00"/>
    <n v="7"/>
    <x v="1"/>
  </r>
  <r>
    <d v="2018-10-30T00:00:00"/>
    <s v="001-00013862"/>
    <n v="998.0720783999999"/>
    <n v="0"/>
    <n v="0"/>
    <n v="16.5"/>
    <n v="0"/>
    <n v="102.375"/>
    <n v="139.449375"/>
    <n v="0"/>
    <n v="258.32437500000003"/>
    <n v="739.74770339999986"/>
    <n v="0.74117663384179888"/>
    <x v="1"/>
    <s v="LEVE"/>
    <x v="6"/>
    <x v="1"/>
    <n v="7"/>
    <n v="1"/>
    <d v="2018-10-23T00:00:00"/>
    <s v="HONDA"/>
    <s v="PILOT"/>
    <n v="0"/>
    <d v="2018-10-24T00:00:00"/>
    <n v="7"/>
    <x v="1"/>
  </r>
  <r>
    <d v="2018-10-24T00:00:00"/>
    <s v="001-00013863"/>
    <n v="314.10169999999999"/>
    <n v="107.12030222"/>
    <n v="0"/>
    <n v="0"/>
    <n v="39.048749999999998"/>
    <n v="0"/>
    <n v="0"/>
    <n v="0"/>
    <n v="146.16905222"/>
    <n v="167.93264778"/>
    <n v="0.53464418619829179"/>
    <x v="0"/>
    <s v="MECANICA"/>
    <x v="6"/>
    <x v="1"/>
    <n v="0"/>
    <n v="1"/>
    <d v="2018-10-24T00:00:00"/>
    <s v="HYUNDAI"/>
    <s v="ACCENT"/>
    <n v="0"/>
    <d v="2018-10-24T00:00:00"/>
    <n v="0"/>
    <x v="195"/>
  </r>
  <r>
    <d v="2018-10-24T00:00:00"/>
    <s v="001-00013865"/>
    <n v="506.62710200000004"/>
    <n v="112.13350215"/>
    <n v="0"/>
    <n v="0"/>
    <n v="39.048749999999998"/>
    <n v="0"/>
    <n v="0"/>
    <n v="0"/>
    <n v="151.18225215000001"/>
    <n v="355.44484985000003"/>
    <n v="0.70159067378515416"/>
    <x v="0"/>
    <s v="MECANICA"/>
    <x v="6"/>
    <x v="1"/>
    <n v="1"/>
    <n v="1"/>
    <d v="2018-10-23T00:00:00"/>
    <s v="HYUNDAI"/>
    <s v="TUCSON"/>
    <n v="0"/>
    <d v="2018-10-24T00:00:00"/>
    <n v="0"/>
    <x v="1245"/>
  </r>
  <r>
    <d v="2018-10-29T00:00:00"/>
    <s v="001-00013867"/>
    <n v="602.45998200000008"/>
    <n v="0"/>
    <n v="0"/>
    <n v="0"/>
    <n v="0"/>
    <n v="87.75"/>
    <n v="92.966250000000002"/>
    <n v="0"/>
    <n v="180.71625"/>
    <n v="421.74373200000008"/>
    <n v="0.70003609301970204"/>
    <x v="0"/>
    <s v="LEVE"/>
    <x v="6"/>
    <x v="1"/>
    <n v="5"/>
    <n v="1"/>
    <d v="2018-10-24T00:00:00"/>
    <s v="TOYOTA"/>
    <s v="HILUX"/>
    <n v="0"/>
    <d v="2018-10-24T00:00:00"/>
    <n v="6"/>
    <x v="999"/>
  </r>
  <r>
    <d v="2018-10-24T00:00:00"/>
    <s v="001-00013871"/>
    <n v="100.10999700000001"/>
    <n v="0"/>
    <n v="0"/>
    <n v="0"/>
    <n v="29.25"/>
    <n v="0"/>
    <n v="0"/>
    <n v="0"/>
    <n v="29.25"/>
    <n v="70.859997000000007"/>
    <n v="0.70782138770816272"/>
    <x v="0"/>
    <s v="MECANICA"/>
    <x v="6"/>
    <x v="1"/>
    <n v="0"/>
    <n v="1"/>
    <d v="2018-10-24T00:00:00"/>
    <s v="VW"/>
    <s v="BORA"/>
    <n v="0"/>
    <d v="2018-10-24T00:00:00"/>
    <n v="0"/>
    <x v="1246"/>
  </r>
  <r>
    <d v="2018-10-31T00:00:00"/>
    <s v="001-00013872"/>
    <n v="4163.0398760999997"/>
    <n v="2045.379989"/>
    <n v="0"/>
    <n v="96.271186440677965"/>
    <n v="0"/>
    <n v="292.5"/>
    <n v="77.471874999999997"/>
    <n v="0"/>
    <n v="2511.6230504406781"/>
    <n v="1651.4168256593216"/>
    <n v="0.39668532486083091"/>
    <x v="0"/>
    <s v="MEDIANO"/>
    <x v="6"/>
    <x v="1"/>
    <n v="8"/>
    <n v="1"/>
    <d v="2018-10-23T00:00:00"/>
    <s v="HYUNDAI"/>
    <s v="SANTA FE"/>
    <n v="0"/>
    <d v="2018-10-26T00:00:00"/>
    <n v="20"/>
    <x v="999"/>
  </r>
  <r>
    <d v="2018-10-25T00:00:00"/>
    <s v="001-00013873"/>
    <n v="1034.1524999999999"/>
    <n v="318.97850149999999"/>
    <n v="0"/>
    <n v="0"/>
    <n v="68.298749999999998"/>
    <n v="0"/>
    <n v="0"/>
    <n v="0"/>
    <n v="387.27725149999998"/>
    <n v="646.8752485"/>
    <n v="0.62551243506156007"/>
    <x v="0"/>
    <s v="MECANICA"/>
    <x v="6"/>
    <x v="1"/>
    <n v="0"/>
    <n v="1"/>
    <d v="2018-10-25T00:00:00"/>
    <s v="TOYOTA"/>
    <s v="RAV4"/>
    <n v="524.97249999999997"/>
    <d v="2018-10-25T00:00:00"/>
    <n v="0"/>
    <x v="96"/>
  </r>
  <r>
    <d v="2018-10-26T00:00:00"/>
    <s v="001-00013880"/>
    <n v="150"/>
    <n v="0"/>
    <n v="0"/>
    <n v="0"/>
    <n v="0"/>
    <n v="0"/>
    <n v="0"/>
    <n v="0"/>
    <n v="0"/>
    <n v="150"/>
    <n v="1"/>
    <x v="0"/>
    <s v="MECANICA"/>
    <x v="6"/>
    <x v="1"/>
    <n v="2"/>
    <n v="1"/>
    <d v="2018-10-24T00:00:00"/>
    <s v="S/MARCA"/>
    <s v="S/MODELO"/>
    <n v="0"/>
    <s v="F/Fecha"/>
    <n v="0"/>
    <x v="1247"/>
  </r>
  <r>
    <d v="2018-10-25T00:00:00"/>
    <s v="001-00013882"/>
    <n v="1340"/>
    <n v="736.73102240000026"/>
    <n v="0"/>
    <n v="0"/>
    <n v="39.048749999999998"/>
    <n v="0"/>
    <n v="0"/>
    <n v="0"/>
    <n v="775.7797724000003"/>
    <n v="564.2202275999997"/>
    <n v="0.42105987134328338"/>
    <x v="0"/>
    <s v="MECANICA"/>
    <x v="6"/>
    <x v="1"/>
    <n v="0"/>
    <n v="1"/>
    <d v="2018-10-25T00:00:00"/>
    <s v="KIA"/>
    <s v="SORENTO"/>
    <n v="890.98749999999995"/>
    <d v="2018-10-25T00:00:00"/>
    <n v="0"/>
    <x v="69"/>
  </r>
  <r>
    <d v="2018-10-26T00:00:00"/>
    <s v="001-00013886"/>
    <n v="100.230003"/>
    <n v="0"/>
    <n v="0"/>
    <n v="0"/>
    <n v="0"/>
    <n v="29.25"/>
    <n v="0"/>
    <n v="0"/>
    <n v="29.25"/>
    <n v="70.980002999999996"/>
    <n v="0.70817121496045454"/>
    <x v="0"/>
    <s v="MEDIANO"/>
    <x v="6"/>
    <x v="1"/>
    <n v="1"/>
    <n v="1"/>
    <d v="2018-10-25T00:00:00"/>
    <s v="MAZDA"/>
    <s v="CX-5"/>
    <n v="0"/>
    <d v="2018-10-25T00:00:00"/>
    <n v="2"/>
    <x v="1248"/>
  </r>
  <r>
    <d v="2018-10-27T00:00:00"/>
    <s v="001-00013891"/>
    <n v="855.89830000000006"/>
    <n v="169.74880100000001"/>
    <n v="0"/>
    <n v="50.85"/>
    <n v="78.097499999999997"/>
    <n v="43.875"/>
    <n v="0"/>
    <n v="0"/>
    <n v="342.57130100000001"/>
    <n v="513.32699900000011"/>
    <n v="0.59975232921948796"/>
    <x v="0"/>
    <s v="MECANICA"/>
    <x v="6"/>
    <x v="1"/>
    <n v="1"/>
    <n v="1"/>
    <d v="2018-10-26T00:00:00"/>
    <s v="CHEVROLET"/>
    <s v="SAIL"/>
    <n v="677.755"/>
    <d v="2018-10-26T00:00:00"/>
    <n v="3"/>
    <x v="315"/>
  </r>
  <r>
    <d v="2018-10-26T00:00:00"/>
    <s v="001-00013894"/>
    <n v="100.230003"/>
    <n v="0"/>
    <n v="0"/>
    <n v="0"/>
    <n v="0"/>
    <n v="29.25"/>
    <n v="0"/>
    <n v="0"/>
    <n v="29.25"/>
    <n v="70.980002999999996"/>
    <n v="0.70817121496045454"/>
    <x v="0"/>
    <s v="MEDIANO"/>
    <x v="6"/>
    <x v="1"/>
    <n v="0"/>
    <n v="1"/>
    <d v="2018-10-26T00:00:00"/>
    <s v="TOYOTA"/>
    <s v="HILUX"/>
    <n v="0"/>
    <d v="2018-10-26T00:00:00"/>
    <n v="2"/>
    <x v="1220"/>
  </r>
  <r>
    <d v="2018-10-31T00:00:00"/>
    <s v="001-00013898"/>
    <n v="598"/>
    <n v="120.34"/>
    <n v="0"/>
    <n v="28.47"/>
    <n v="39.048749999999998"/>
    <n v="0"/>
    <n v="0"/>
    <n v="0"/>
    <n v="187.85874999999999"/>
    <n v="410.14125000000001"/>
    <n v="0.68585493311036794"/>
    <x v="0"/>
    <s v="MECANICA"/>
    <x v="6"/>
    <x v="1"/>
    <n v="6"/>
    <n v="1"/>
    <d v="2018-10-25T00:00:00"/>
    <s v="TOYOTA"/>
    <s v="HILUX"/>
    <n v="0"/>
    <d v="2018-10-26T00:00:00"/>
    <n v="0"/>
    <x v="871"/>
  </r>
  <r>
    <d v="2018-10-31T00:00:00"/>
    <s v="001-00013899"/>
    <n v="268.79999199999997"/>
    <n v="0"/>
    <n v="0"/>
    <n v="0"/>
    <n v="0"/>
    <n v="0"/>
    <n v="0"/>
    <n v="0"/>
    <n v="0"/>
    <n v="268.79999199999997"/>
    <n v="1"/>
    <x v="1"/>
    <s v="LEVE"/>
    <x v="6"/>
    <x v="1"/>
    <n v="5"/>
    <n v="1"/>
    <d v="2018-10-26T00:00:00"/>
    <s v="S/MARCA"/>
    <s v="S/MODELO"/>
    <n v="0"/>
    <s v="F/Fecha"/>
    <n v="0"/>
    <x v="1"/>
  </r>
  <r>
    <d v="2018-10-26T00:00:00"/>
    <s v="001-00013901"/>
    <n v="226.50844737966"/>
    <n v="184.62820000000002"/>
    <n v="0"/>
    <n v="0"/>
    <n v="0"/>
    <n v="0"/>
    <n v="0"/>
    <n v="0"/>
    <n v="184.62820000000002"/>
    <n v="41.880247379659977"/>
    <n v="0.18489485873108652"/>
    <x v="0"/>
    <s v="MECANICA"/>
    <x v="6"/>
    <x v="1"/>
    <n v="0"/>
    <n v="1"/>
    <d v="2018-10-26T00:00:00"/>
    <s v="HYUNDAI"/>
    <s v="SANTA FE"/>
    <n v="0"/>
    <d v="2018-10-26T00:00:00"/>
    <n v="0"/>
    <x v="1173"/>
  </r>
  <r>
    <d v="2018-10-27T00:00:00"/>
    <s v="001-00013907"/>
    <n v="25.423700000000004"/>
    <n v="0"/>
    <n v="0"/>
    <n v="0"/>
    <n v="0"/>
    <n v="0"/>
    <n v="0"/>
    <n v="0"/>
    <n v="0"/>
    <n v="25.423700000000004"/>
    <n v="1"/>
    <x v="0"/>
    <s v="MEDIANO"/>
    <x v="6"/>
    <x v="1"/>
    <n v="0"/>
    <n v="1"/>
    <d v="2018-10-27T00:00:00"/>
    <s v="SUZUKI"/>
    <s v="VITARA"/>
    <n v="0"/>
    <d v="2018-10-27T00:00:00"/>
    <n v="0"/>
    <x v="1249"/>
  </r>
  <r>
    <d v="2018-10-30T00:00:00"/>
    <s v="001-00013909"/>
    <n v="1016.627102"/>
    <n v="247.28180301999998"/>
    <n v="0"/>
    <n v="55.09"/>
    <n v="39.048749999999998"/>
    <n v="0"/>
    <n v="0"/>
    <n v="0"/>
    <n v="341.42055302"/>
    <n v="675.20654897999998"/>
    <n v="0.66416343578847459"/>
    <x v="0"/>
    <s v="MECANICA"/>
    <x v="6"/>
    <x v="1"/>
    <n v="3"/>
    <n v="1"/>
    <d v="2018-10-27T00:00:00"/>
    <s v="RENAULT"/>
    <s v="LOGAN"/>
    <n v="188.5"/>
    <d v="2018-10-27T00:00:00"/>
    <n v="0"/>
    <x v="557"/>
  </r>
  <r>
    <d v="2018-10-31T00:00:00"/>
    <s v="001-00013912"/>
    <n v="2410"/>
    <n v="796.13245599999993"/>
    <n v="0"/>
    <n v="50.85"/>
    <n v="39.048749999999998"/>
    <n v="0"/>
    <n v="0"/>
    <n v="0"/>
    <n v="886.031206"/>
    <n v="1523.9687939999999"/>
    <n v="0.63235219668049791"/>
    <x v="0"/>
    <s v="MECANICA"/>
    <x v="6"/>
    <x v="1"/>
    <n v="2"/>
    <n v="1"/>
    <d v="2018-10-29T00:00:00"/>
    <s v="NISSAN"/>
    <s v="NAVARA"/>
    <n v="1719.9974999999999"/>
    <d v="2018-10-29T00:00:00"/>
    <n v="0"/>
    <x v="157"/>
  </r>
  <r>
    <d v="2018-10-31T00:00:00"/>
    <s v="001-00013915"/>
    <n v="142.37293976271002"/>
    <n v="0"/>
    <n v="0"/>
    <n v="0"/>
    <n v="0"/>
    <n v="0"/>
    <n v="61.977499999999999"/>
    <n v="0"/>
    <n v="61.977499999999999"/>
    <n v="80.395439762710026"/>
    <n v="0.56468202382210697"/>
    <x v="0"/>
    <s v="LEVE"/>
    <x v="6"/>
    <x v="1"/>
    <n v="3"/>
    <n v="1"/>
    <d v="2018-10-28T00:00:00"/>
    <s v="TOYOTA"/>
    <s v="YARIS"/>
    <n v="0"/>
    <d v="2018-10-29T00:00:00"/>
    <n v="0"/>
    <x v="940"/>
  </r>
  <r>
    <d v="2018-10-31T00:00:00"/>
    <s v="001-00013932"/>
    <n v="42.372897999999985"/>
    <n v="1.6951999599999998"/>
    <n v="0"/>
    <n v="42.37"/>
    <n v="0"/>
    <n v="0"/>
    <n v="0"/>
    <n v="0"/>
    <n v="44.065199959999994"/>
    <n v="-1.6923019600000089"/>
    <n v="-3.9938310568231834E-2"/>
    <x v="0"/>
    <s v="MEDIANO"/>
    <x v="6"/>
    <x v="1"/>
    <n v="1"/>
    <n v="1"/>
    <d v="2018-10-30T00:00:00"/>
    <s v="SUZUKI"/>
    <s v="SWIFT"/>
    <n v="0"/>
    <d v="2018-10-30T00:00:00"/>
    <n v="0"/>
    <x v="1250"/>
  </r>
  <r>
    <d v="2018-10-31T00:00:00"/>
    <s v="001-00013947"/>
    <n v="549"/>
    <n v="162.3434068"/>
    <n v="0"/>
    <n v="0"/>
    <n v="39.048749999999998"/>
    <n v="0"/>
    <n v="0"/>
    <n v="0"/>
    <n v="201.39215680000001"/>
    <n v="347.60784319999999"/>
    <n v="0.63316547030965387"/>
    <x v="0"/>
    <s v="MECANICA"/>
    <x v="6"/>
    <x v="1"/>
    <n v="0"/>
    <n v="1"/>
    <d v="2018-10-31T00:00:00"/>
    <s v="TOYOTA"/>
    <s v="HILUX"/>
    <n v="0"/>
    <d v="2018-10-31T00:00:00"/>
    <n v="0"/>
    <x v="1251"/>
  </r>
  <r>
    <d v="2018-10-31T00:00:00"/>
    <s v="001-00013948"/>
    <n v="549"/>
    <n v="162.3434068"/>
    <n v="0"/>
    <n v="0"/>
    <n v="39.048749999999998"/>
    <n v="0"/>
    <n v="0"/>
    <n v="0"/>
    <n v="201.39215680000001"/>
    <n v="347.60784319999999"/>
    <n v="0.63316547030965387"/>
    <x v="0"/>
    <s v="MECANICA"/>
    <x v="6"/>
    <x v="1"/>
    <n v="0"/>
    <n v="1"/>
    <d v="2018-10-31T00:00:00"/>
    <s v="TOYOTA"/>
    <s v="HILUX"/>
    <n v="0"/>
    <d v="2018-10-31T00:00:00"/>
    <n v="0"/>
    <x v="1251"/>
  </r>
  <r>
    <d v="2018-11-10T00:00:00"/>
    <s v="001-00011992"/>
    <n v="3213.2587501199991"/>
    <n v="80.854702199999991"/>
    <n v="33.9"/>
    <n v="139.83474576271186"/>
    <n v="0"/>
    <n v="43.875"/>
    <n v="30.98875"/>
    <n v="0"/>
    <n v="329.45319796271184"/>
    <n v="2883.8055521572874"/>
    <n v="0.89747069141244595"/>
    <x v="1"/>
    <s v="LEVE"/>
    <x v="8"/>
    <x v="1"/>
    <n v="221"/>
    <n v="1"/>
    <d v="2018-04-03T00:00:00"/>
    <s v="CHEVROLET"/>
    <s v="SAIL"/>
    <n v="397.05250000000001"/>
    <d v="2018-10-04T00:00:00"/>
    <n v="3"/>
    <x v="1252"/>
  </r>
  <r>
    <d v="2018-11-05T00:00:00"/>
    <s v="001-00012250"/>
    <n v="1182.3022198144099"/>
    <n v="0"/>
    <n v="0"/>
    <n v="76.27"/>
    <n v="0"/>
    <n v="73.125"/>
    <n v="185.9325"/>
    <n v="0"/>
    <n v="335.32749999999999"/>
    <n v="846.97471981440992"/>
    <n v="0.71637750959087476"/>
    <x v="1"/>
    <s v="MEDIANO"/>
    <x v="8"/>
    <x v="1"/>
    <n v="184"/>
    <n v="1"/>
    <d v="2018-05-05T00:00:00"/>
    <s v="KIA"/>
    <s v="CERATO"/>
    <n v="60.092499999999994"/>
    <d v="2018-05-07T00:00:00"/>
    <n v="5"/>
    <x v="1"/>
  </r>
  <r>
    <d v="2018-11-30T00:00:00"/>
    <s v="001-00013001"/>
    <n v="1383.643320161691"/>
    <n v="0"/>
    <n v="0"/>
    <n v="20"/>
    <n v="14.625"/>
    <n v="131.625"/>
    <n v="154.94374999999999"/>
    <n v="0"/>
    <n v="321.19375000000002"/>
    <n v="1062.4495701616911"/>
    <n v="0.76786376566869452"/>
    <x v="1"/>
    <s v="MEDIANO"/>
    <x v="8"/>
    <x v="1"/>
    <n v="130"/>
    <n v="1"/>
    <d v="2018-07-23T00:00:00"/>
    <s v="JEEP"/>
    <s v="COMPASS"/>
    <n v="3003.3575000000001"/>
    <d v="2018-07-24T00:00:00"/>
    <n v="9"/>
    <x v="457"/>
  </r>
  <r>
    <d v="2018-11-30T00:00:00"/>
    <s v="001-00013086"/>
    <n v="1907.388034341699"/>
    <n v="0"/>
    <n v="0"/>
    <n v="0"/>
    <n v="0"/>
    <n v="204.75"/>
    <n v="340.87625000000003"/>
    <n v="0"/>
    <n v="545.62625000000003"/>
    <n v="1361.761784341699"/>
    <n v="0.71394061398297848"/>
    <x v="1"/>
    <s v="MEDIANO"/>
    <x v="8"/>
    <x v="1"/>
    <n v="122"/>
    <n v="1"/>
    <d v="2018-07-31T00:00:00"/>
    <s v="SUZUKI "/>
    <s v="AERIO"/>
    <n v="5699.1025"/>
    <d v="2018-08-01T00:00:00"/>
    <n v="14"/>
    <x v="1103"/>
  </r>
  <r>
    <d v="2018-11-10T00:00:00"/>
    <s v="001-00013241"/>
    <n v="643.70906760000003"/>
    <n v="0"/>
    <n v="0"/>
    <n v="38"/>
    <n v="0"/>
    <n v="58.5"/>
    <n v="123.955"/>
    <n v="0"/>
    <n v="220.45499999999998"/>
    <n v="423.25406760000004"/>
    <n v="0.65752385495835453"/>
    <x v="1"/>
    <s v="LEVE"/>
    <x v="8"/>
    <x v="1"/>
    <n v="88"/>
    <n v="1"/>
    <d v="2018-08-14T00:00:00"/>
    <s v="RENAULT"/>
    <s v="OROCH"/>
    <n v="1434.355"/>
    <d v="2018-08-15T00:00:00"/>
    <n v="4"/>
    <x v="1"/>
  </r>
  <r>
    <d v="2018-11-28T00:00:00"/>
    <s v="001-00013284"/>
    <n v="3856.5910966708507"/>
    <n v="5.4759001999999999"/>
    <n v="0"/>
    <n v="159.83474576271186"/>
    <n v="144.78750000000002"/>
    <n v="321.75"/>
    <n v="371.86500000000001"/>
    <n v="0"/>
    <n v="1003.7131459627119"/>
    <n v="2852.877950708139"/>
    <n v="0.73974084345391111"/>
    <x v="1"/>
    <s v="MEDIANO"/>
    <x v="8"/>
    <x v="1"/>
    <n v="100"/>
    <n v="1"/>
    <d v="2018-08-20T00:00:00"/>
    <s v="KIA"/>
    <s v="CERATO"/>
    <n v="13526.922500000001"/>
    <d v="2018-09-06T00:00:00"/>
    <n v="22"/>
    <x v="1"/>
  </r>
  <r>
    <d v="2018-11-29T00:00:00"/>
    <s v="001-00013399"/>
    <n v="2785.2633606042391"/>
    <n v="5.4759001999999999"/>
    <n v="0"/>
    <n v="84.75"/>
    <n v="46.800000000000004"/>
    <n v="146.25"/>
    <n v="387.359375"/>
    <n v="0"/>
    <n v="670.63527520000002"/>
    <n v="2114.6280854042388"/>
    <n v="0.75922015681328192"/>
    <x v="1"/>
    <s v="MEDIANO"/>
    <x v="8"/>
    <x v="1"/>
    <n v="87"/>
    <n v="1"/>
    <d v="2018-09-03T00:00:00"/>
    <s v="HYUNDAI"/>
    <s v="ELANTRA"/>
    <n v="17259.9375"/>
    <d v="2018-10-17T00:00:00"/>
    <n v="10"/>
    <x v="1"/>
  </r>
  <r>
    <d v="2018-11-21T00:00:00"/>
    <s v="001-00013443"/>
    <n v="4445.2618686000005"/>
    <n v="0"/>
    <n v="278.64"/>
    <n v="237.28949152542373"/>
    <n v="58.5"/>
    <n v="438.75"/>
    <n v="588.78625"/>
    <n v="0"/>
    <n v="1601.9657415254237"/>
    <n v="2843.2961270745768"/>
    <n v="0.63962398866954717"/>
    <x v="1"/>
    <s v="GRAVE"/>
    <x v="8"/>
    <x v="1"/>
    <n v="75"/>
    <n v="1"/>
    <d v="2018-09-07T00:00:00"/>
    <s v="HYUNDAI"/>
    <s v="I10"/>
    <n v="4015.2125000000001"/>
    <d v="2018-09-10T00:00:00"/>
    <n v="30"/>
    <x v="1"/>
  </r>
  <r>
    <d v="2018-11-23T00:00:00"/>
    <s v="001-00013536"/>
    <n v="485.71198559999993"/>
    <n v="1.3559999200000001"/>
    <n v="0"/>
    <n v="21.5"/>
    <n v="0"/>
    <n v="29.25"/>
    <n v="77.471874999999997"/>
    <n v="0"/>
    <n v="129.57787492"/>
    <n v="356.13411067999994"/>
    <n v="0.73322075888258664"/>
    <x v="1"/>
    <s v="LEVE"/>
    <x v="8"/>
    <x v="1"/>
    <n v="69"/>
    <n v="1"/>
    <d v="2018-09-15T00:00:00"/>
    <s v="RENAULT"/>
    <s v="DUSTER"/>
    <n v="5360.16"/>
    <d v="2018-09-15T00:00:00"/>
    <n v="2"/>
    <x v="1190"/>
  </r>
  <r>
    <d v="2018-11-21T00:00:00"/>
    <s v="001-00013538"/>
    <n v="319.9516134423701"/>
    <n v="0"/>
    <n v="0"/>
    <n v="0"/>
    <n v="0"/>
    <n v="26.324999999999999"/>
    <n v="123.33522500000001"/>
    <n v="0"/>
    <n v="149.660225"/>
    <n v="170.29138844237011"/>
    <n v="0.53224106798587256"/>
    <x v="1"/>
    <s v="LEVE"/>
    <x v="8"/>
    <x v="1"/>
    <n v="67"/>
    <n v="1"/>
    <d v="2018-09-15T00:00:00"/>
    <s v="NISSAN"/>
    <s v="VERSA"/>
    <n v="2275.4225000000001"/>
    <d v="2018-09-17T00:00:00"/>
    <n v="1.8"/>
    <x v="1192"/>
  </r>
  <r>
    <d v="2018-11-17T00:00:00"/>
    <s v="001-00013583"/>
    <n v="5.3834158826801968"/>
    <n v="0"/>
    <n v="0"/>
    <n v="0"/>
    <n v="0"/>
    <n v="17.549999999999997"/>
    <n v="61.977499999999999"/>
    <n v="0"/>
    <n v="79.527500000000003"/>
    <n v="-74.144084117319807"/>
    <n v="-13.772683688782058"/>
    <x v="1"/>
    <s v="LEVE"/>
    <x v="8"/>
    <x v="1"/>
    <n v="58"/>
    <n v="1"/>
    <d v="2018-09-20T00:00:00"/>
    <s v="NISSAN"/>
    <s v="SENTRA"/>
    <n v="1377.9349999999999"/>
    <d v="2018-09-29T00:00:00"/>
    <n v="1.2"/>
    <x v="1200"/>
  </r>
  <r>
    <d v="2018-11-29T00:00:00"/>
    <s v="001-00013631"/>
    <n v="10082.5402983"/>
    <n v="5126.8022799999999"/>
    <n v="0"/>
    <n v="127.11"/>
    <n v="0"/>
    <n v="58.5"/>
    <n v="61.977499999999999"/>
    <n v="0"/>
    <n v="5374.3897799999995"/>
    <n v="4708.1505183000008"/>
    <n v="0.46696074392024339"/>
    <x v="0"/>
    <s v="MEDIANO"/>
    <x v="8"/>
    <x v="1"/>
    <n v="65"/>
    <n v="1"/>
    <d v="2018-09-25T00:00:00"/>
    <s v="NISSAN"/>
    <s v="FRONTIER"/>
    <n v="7696"/>
    <d v="2018-11-16T00:00:00"/>
    <n v="4"/>
    <x v="999"/>
  </r>
  <r>
    <d v="2018-11-09T00:00:00"/>
    <s v="001-00013678"/>
    <n v="535.00165160457948"/>
    <n v="0"/>
    <n v="0"/>
    <n v="0"/>
    <n v="0"/>
    <n v="58.5"/>
    <n v="77.471874999999997"/>
    <n v="0"/>
    <n v="135.97187500000001"/>
    <n v="399.02977660457947"/>
    <n v="0.74584774721313007"/>
    <x v="1"/>
    <s v="LEVE"/>
    <x v="8"/>
    <x v="1"/>
    <n v="37"/>
    <n v="1"/>
    <d v="2018-10-03T00:00:00"/>
    <s v="TOYOTA"/>
    <s v="HILUX"/>
    <n v="1336.92"/>
    <d v="2018-10-04T00:00:00"/>
    <n v="4"/>
    <x v="1"/>
  </r>
  <r>
    <d v="2018-11-15T00:00:00"/>
    <s v="001-00013680"/>
    <n v="4998.3998276645789"/>
    <n v="0.50830001000000002"/>
    <n v="0"/>
    <n v="251.12474576271185"/>
    <n v="5.8500000000000005"/>
    <n v="555.75"/>
    <n v="712.74125000000004"/>
    <n v="0"/>
    <n v="1525.9742957727119"/>
    <n v="3472.4255318918667"/>
    <n v="0.69470743670265789"/>
    <x v="1"/>
    <s v="GRAVE"/>
    <x v="8"/>
    <x v="1"/>
    <n v="43"/>
    <n v="1"/>
    <d v="2018-10-03T00:00:00"/>
    <s v="SUZUKI"/>
    <s v="APV"/>
    <n v="2921.9124999999999"/>
    <d v="2018-10-04T00:00:00"/>
    <n v="38"/>
    <x v="1"/>
  </r>
  <r>
    <d v="2018-11-07T00:00:00"/>
    <s v="001-00013697"/>
    <n v="2027.8278406650809"/>
    <n v="22.332799959999999"/>
    <n v="0"/>
    <n v="0"/>
    <n v="0"/>
    <n v="117"/>
    <n v="337.77737500000001"/>
    <n v="0"/>
    <n v="477.11017495999999"/>
    <n v="1550.7176657050809"/>
    <n v="0.76471859918664553"/>
    <x v="1"/>
    <s v="MEDIANO"/>
    <x v="8"/>
    <x v="1"/>
    <n v="34"/>
    <n v="1"/>
    <d v="2018-10-04T00:00:00"/>
    <s v="TOYOTA"/>
    <s v="YARIS"/>
    <n v="4069.78"/>
    <d v="2018-10-18T00:00:00"/>
    <n v="8"/>
    <x v="1"/>
  </r>
  <r>
    <d v="2018-11-03T00:00:00"/>
    <s v="001-00013710"/>
    <n v="275.26639957541994"/>
    <n v="0"/>
    <n v="0"/>
    <n v="0"/>
    <n v="0"/>
    <n v="29.25"/>
    <n v="123.955"/>
    <n v="0"/>
    <n v="153.20499999999998"/>
    <n v="122.06139957541995"/>
    <n v="0.44343007269936152"/>
    <x v="1"/>
    <s v="LEVE"/>
    <x v="8"/>
    <x v="1"/>
    <n v="28"/>
    <n v="1"/>
    <d v="2018-10-06T00:00:00"/>
    <s v="SUZUKI"/>
    <s v="CIAZ"/>
    <n v="0"/>
    <d v="2018-10-09T00:00:00"/>
    <n v="2"/>
    <x v="1221"/>
  </r>
  <r>
    <d v="2018-11-06T00:00:00"/>
    <s v="001-00013713"/>
    <n v="598.25801780000006"/>
    <n v="0"/>
    <n v="0"/>
    <n v="17.5"/>
    <n v="0"/>
    <n v="43.875"/>
    <n v="123.955"/>
    <n v="0"/>
    <n v="185.32999999999998"/>
    <n v="412.92801780000008"/>
    <n v="0.69021727334048621"/>
    <x v="1"/>
    <s v="LEVE"/>
    <x v="8"/>
    <x v="1"/>
    <n v="31"/>
    <n v="1"/>
    <d v="2018-10-06T00:00:00"/>
    <s v="MAZDA "/>
    <s v="MAZDA 3"/>
    <n v="2982.0050000000001"/>
    <d v="2018-10-09T00:00:00"/>
    <n v="3"/>
    <x v="999"/>
  </r>
  <r>
    <d v="2018-11-14T00:00:00"/>
    <s v="001-00013717"/>
    <n v="1623.6094519499998"/>
    <n v="0"/>
    <n v="0"/>
    <n v="0"/>
    <n v="14.625"/>
    <n v="117"/>
    <n v="278.89875000000001"/>
    <n v="0"/>
    <n v="410.52375000000001"/>
    <n v="1213.0857019499997"/>
    <n v="0.74715363383297029"/>
    <x v="1"/>
    <s v="MEDIANO"/>
    <x v="8"/>
    <x v="1"/>
    <n v="36"/>
    <n v="1"/>
    <d v="2018-10-09T00:00:00"/>
    <s v="NISSAN"/>
    <s v="VERSA"/>
    <n v="4463.68"/>
    <d v="2018-10-11T00:00:00"/>
    <n v="8"/>
    <x v="1253"/>
  </r>
  <r>
    <d v="2018-11-05T00:00:00"/>
    <s v="001-00013729"/>
    <n v="2889.7278358249996"/>
    <n v="8.781200179999999"/>
    <n v="0"/>
    <n v="0"/>
    <n v="14.625"/>
    <n v="277.875"/>
    <n v="418.34812499999998"/>
    <n v="0"/>
    <n v="719.62932518000002"/>
    <n v="2170.0985106449998"/>
    <n v="0.75096986080886396"/>
    <x v="1"/>
    <s v="MEDIANO"/>
    <x v="8"/>
    <x v="1"/>
    <n v="27"/>
    <n v="1"/>
    <d v="2018-10-09T00:00:00"/>
    <s v="NISSAN"/>
    <s v="FRONTIER"/>
    <n v="7295.4700000000012"/>
    <d v="2018-10-11T00:00:00"/>
    <n v="19"/>
    <x v="885"/>
  </r>
  <r>
    <d v="2018-11-15T00:00:00"/>
    <s v="001-00013733"/>
    <n v="1608.4039524"/>
    <n v="22"/>
    <n v="0"/>
    <n v="55.084745762711869"/>
    <n v="0"/>
    <n v="131.625"/>
    <n v="247.91"/>
    <n v="0"/>
    <n v="456.61974576271189"/>
    <n v="1151.7842066372882"/>
    <n v="0.71610381516324872"/>
    <x v="1"/>
    <s v="MEDIANO"/>
    <x v="8"/>
    <x v="1"/>
    <n v="37"/>
    <n v="1"/>
    <d v="2018-10-09T00:00:00"/>
    <s v="HYUNDAI"/>
    <s v="I10"/>
    <n v="1677.4224999999999"/>
    <d v="2018-10-11T00:00:00"/>
    <n v="9"/>
    <x v="1101"/>
  </r>
  <r>
    <d v="2018-11-06T00:00:00"/>
    <s v="001-00013778"/>
    <n v="1839.9196789432199"/>
    <n v="0.84759997999999992"/>
    <n v="0"/>
    <n v="0"/>
    <n v="0"/>
    <n v="336.375"/>
    <n v="185.9325"/>
    <n v="0"/>
    <n v="523.15509997999993"/>
    <n v="1316.7645789632199"/>
    <n v="0.71566416405716127"/>
    <x v="0"/>
    <s v="MEDIANO"/>
    <x v="8"/>
    <x v="1"/>
    <n v="22"/>
    <n v="1"/>
    <d v="2018-10-15T00:00:00"/>
    <s v="SUZUKI"/>
    <s v="CIAZ"/>
    <n v="0"/>
    <d v="2018-10-15T00:00:00"/>
    <n v="23"/>
    <x v="644"/>
  </r>
  <r>
    <d v="2018-11-23T00:00:00"/>
    <s v="001-00013792"/>
    <n v="2867.0499150000001"/>
    <n v="5.4759001999999999"/>
    <n v="0"/>
    <n v="84.75"/>
    <n v="36.5625"/>
    <n v="204.75"/>
    <n v="464.83125000000001"/>
    <n v="0"/>
    <n v="796.36965020000002"/>
    <n v="2070.6802648000003"/>
    <n v="0.72223376857392463"/>
    <x v="1"/>
    <s v="MEDIANO"/>
    <x v="8"/>
    <x v="1"/>
    <n v="38"/>
    <n v="1"/>
    <d v="2018-10-16T00:00:00"/>
    <s v="FORD"/>
    <s v="FIESTA"/>
    <n v="12756.9"/>
    <d v="2018-10-18T00:00:00"/>
    <n v="14"/>
    <x v="1"/>
  </r>
  <r>
    <d v="2018-11-14T00:00:00"/>
    <s v="001-00013801"/>
    <n v="718.89642052457998"/>
    <n v="0"/>
    <n v="0"/>
    <n v="55.084745762711869"/>
    <n v="0"/>
    <n v="43.875"/>
    <n v="139.449375"/>
    <n v="0"/>
    <n v="238.40912076271186"/>
    <n v="480.48729976186814"/>
    <n v="0.66836791232213355"/>
    <x v="1"/>
    <s v="LEVE"/>
    <x v="8"/>
    <x v="1"/>
    <n v="28"/>
    <n v="1"/>
    <d v="2018-10-17T00:00:00"/>
    <s v="MITSUBISHI"/>
    <s v="OUTLANDER"/>
    <n v="4925.1149999999998"/>
    <d v="2018-10-17T00:00:00"/>
    <n v="3"/>
    <x v="1254"/>
  </r>
  <r>
    <d v="2018-11-03T00:00:00"/>
    <s v="001-00013812"/>
    <n v="732"/>
    <n v="322.02999999999997"/>
    <n v="0"/>
    <n v="0"/>
    <n v="29.25"/>
    <n v="0"/>
    <n v="0"/>
    <n v="0"/>
    <n v="351.28"/>
    <n v="380.72"/>
    <n v="0.52010928961748637"/>
    <x v="0"/>
    <s v="MECANICA"/>
    <x v="8"/>
    <x v="1"/>
    <n v="16"/>
    <n v="1"/>
    <d v="2018-10-18T00:00:00"/>
    <s v="HYUNDAI"/>
    <s v="ACCENT"/>
    <n v="0"/>
    <d v="2018-10-18T00:00:00"/>
    <n v="0"/>
    <x v="871"/>
  </r>
  <r>
    <d v="2018-11-02T00:00:00"/>
    <s v="001-00013821"/>
    <n v="1301.34553865"/>
    <n v="0.42379998999999996"/>
    <n v="0"/>
    <n v="0"/>
    <n v="0"/>
    <n v="117"/>
    <n v="216.92125000000001"/>
    <n v="0"/>
    <n v="334.34504999000001"/>
    <n v="967.00048865999997"/>
    <n v="0.7430774225138963"/>
    <x v="1"/>
    <s v="MEDIANO"/>
    <x v="8"/>
    <x v="1"/>
    <n v="14"/>
    <n v="1"/>
    <d v="2018-10-19T00:00:00"/>
    <s v="VW"/>
    <s v="GOL"/>
    <n v="2148.9324999999999"/>
    <d v="2018-10-23T00:00:00"/>
    <n v="8"/>
    <x v="1"/>
  </r>
  <r>
    <d v="2018-11-03T00:00:00"/>
    <s v="001-00013827"/>
    <n v="961.19195020942027"/>
    <n v="0"/>
    <n v="0"/>
    <n v="73.584745762711862"/>
    <n v="0"/>
    <n v="43.875"/>
    <n v="61.977499999999999"/>
    <n v="0"/>
    <n v="179.43724576271185"/>
    <n v="781.75470444670839"/>
    <n v="0.81331798947794254"/>
    <x v="1"/>
    <s v="LEVE"/>
    <x v="8"/>
    <x v="1"/>
    <n v="14"/>
    <n v="1"/>
    <d v="2018-10-20T00:00:00"/>
    <s v="KIA"/>
    <s v="SPORTAGE"/>
    <n v="2097.0625"/>
    <d v="2018-10-23T00:00:00"/>
    <n v="3"/>
    <x v="1255"/>
  </r>
  <r>
    <d v="2018-11-05T00:00:00"/>
    <s v="001-00013829"/>
    <n v="1202.0190356999999"/>
    <n v="1.0168000399999999"/>
    <n v="0"/>
    <n v="107.77"/>
    <n v="0"/>
    <n v="87.75"/>
    <n v="185.9325"/>
    <n v="0"/>
    <n v="382.46930004000001"/>
    <n v="819.5497356599999"/>
    <n v="0.68181094584973212"/>
    <x v="1"/>
    <s v="LEVE"/>
    <x v="8"/>
    <x v="1"/>
    <n v="16"/>
    <n v="1"/>
    <d v="2018-10-20T00:00:00"/>
    <s v="CITROEN"/>
    <s v="E-LYSSE"/>
    <n v="0"/>
    <d v="2018-10-23T00:00:00"/>
    <n v="6"/>
    <x v="999"/>
  </r>
  <r>
    <d v="2018-11-10T00:00:00"/>
    <s v="001-00013830"/>
    <n v="6949.549364399998"/>
    <n v="7731.3061112000014"/>
    <n v="0"/>
    <n v="84.75"/>
    <n v="38.025000000000006"/>
    <n v="292.5"/>
    <n v="371.86500000000001"/>
    <n v="0"/>
    <n v="8518.4461112000008"/>
    <n v="-1568.8967468000028"/>
    <n v="-0.22575517699563191"/>
    <x v="0"/>
    <s v="MEDIANO"/>
    <x v="8"/>
    <x v="1"/>
    <n v="22"/>
    <n v="1"/>
    <d v="2018-10-19T00:00:00"/>
    <s v="SUZUKI"/>
    <s v="G. NOMADE"/>
    <n v="11608.317499999999"/>
    <d v="2018-10-20T00:00:00"/>
    <n v="20"/>
    <x v="1217"/>
  </r>
  <r>
    <d v="2018-11-06T00:00:00"/>
    <s v="001-00013832"/>
    <n v="1582.20491327542"/>
    <n v="0"/>
    <n v="0"/>
    <n v="0"/>
    <n v="0"/>
    <n v="146.25"/>
    <n v="247.91"/>
    <n v="0"/>
    <n v="394.15999999999997"/>
    <n v="1188.0449132754202"/>
    <n v="0.75087929718027169"/>
    <x v="1"/>
    <s v="MEDIANO"/>
    <x v="8"/>
    <x v="1"/>
    <n v="15"/>
    <n v="1"/>
    <d v="2018-10-22T00:00:00"/>
    <s v="CITROEN"/>
    <s v="C-ELYSSE"/>
    <n v="4836.3899999999994"/>
    <d v="2018-10-23T00:00:00"/>
    <n v="10"/>
    <x v="1"/>
  </r>
  <r>
    <d v="2018-11-30T00:00:00"/>
    <s v="001-00013833"/>
    <n v="735.79142002457991"/>
    <n v="0"/>
    <n v="0"/>
    <n v="0"/>
    <n v="0"/>
    <n v="43.875"/>
    <n v="123.955"/>
    <n v="0"/>
    <n v="167.82999999999998"/>
    <n v="567.96142002457987"/>
    <n v="0.77190546745653343"/>
    <x v="1"/>
    <s v="LEVE"/>
    <x v="8"/>
    <x v="1"/>
    <n v="39"/>
    <n v="1"/>
    <d v="2018-10-22T00:00:00"/>
    <s v="RENAULT"/>
    <s v="KOLEOS"/>
    <n v="7498.2375000000002"/>
    <d v="2018-10-23T00:00:00"/>
    <n v="3"/>
    <x v="1"/>
  </r>
  <r>
    <d v="2018-11-12T00:00:00"/>
    <s v="001-00013836"/>
    <n v="899.4951623999998"/>
    <n v="0.42369999999999997"/>
    <n v="0"/>
    <n v="18.5"/>
    <n v="0"/>
    <n v="58.5"/>
    <n v="185.9325"/>
    <n v="0"/>
    <n v="263.3562"/>
    <n v="636.13896239999985"/>
    <n v="0.70721776946823967"/>
    <x v="1"/>
    <s v="LEVE"/>
    <x v="8"/>
    <x v="1"/>
    <n v="21"/>
    <n v="1"/>
    <d v="2018-10-22T00:00:00"/>
    <s v="SUZUKI"/>
    <s v="APV"/>
    <n v="2431.7150000000001"/>
    <d v="2018-10-23T00:00:00"/>
    <n v="4"/>
    <x v="1"/>
  </r>
  <r>
    <d v="2018-11-07T00:00:00"/>
    <s v="001-00013837"/>
    <n v="656.63613937542004"/>
    <n v="0"/>
    <n v="0"/>
    <n v="0"/>
    <n v="0"/>
    <n v="58.5"/>
    <n v="123.955"/>
    <n v="0"/>
    <n v="182.45499999999998"/>
    <n v="474.18113937542006"/>
    <n v="0.72213682881732988"/>
    <x v="1"/>
    <s v="LEVE"/>
    <x v="8"/>
    <x v="1"/>
    <n v="16"/>
    <n v="1"/>
    <d v="2018-10-22T00:00:00"/>
    <s v="SUBARU"/>
    <s v="IMPREZA"/>
    <n v="3748.4524999999994"/>
    <d v="2018-10-24T00:00:00"/>
    <n v="4"/>
    <x v="1"/>
  </r>
  <r>
    <d v="2018-11-06T00:00:00"/>
    <s v="001-00013839"/>
    <n v="1935.1099237754199"/>
    <n v="0"/>
    <n v="0"/>
    <n v="76.27"/>
    <n v="0"/>
    <n v="234"/>
    <n v="263.40437500000002"/>
    <n v="0"/>
    <n v="573.67437500000005"/>
    <n v="1361.4355487754199"/>
    <n v="0.70354429588126177"/>
    <x v="1"/>
    <s v="MEDIANO"/>
    <x v="8"/>
    <x v="1"/>
    <n v="15"/>
    <n v="1"/>
    <d v="2018-10-22T00:00:00"/>
    <s v="MAZDA"/>
    <s v="CX-5"/>
    <n v="5002.0424999999996"/>
    <d v="2018-10-23T00:00:00"/>
    <n v="16"/>
    <x v="1"/>
  </r>
  <r>
    <d v="2018-11-21T00:00:00"/>
    <s v="001-00013841"/>
    <n v="2025.483927394409"/>
    <n v="0"/>
    <n v="0"/>
    <n v="148.30508474576271"/>
    <n v="0"/>
    <n v="204.75"/>
    <n v="278.89875000000001"/>
    <n v="0"/>
    <n v="631.95383474576272"/>
    <n v="1393.5300926486461"/>
    <n v="0.68799859322571333"/>
    <x v="2"/>
    <s v="MEDIANO"/>
    <x v="8"/>
    <x v="1"/>
    <n v="30"/>
    <n v="1"/>
    <d v="2018-10-22T00:00:00"/>
    <s v="KIA"/>
    <s v="SORENTO"/>
    <n v="7021.3649999999998"/>
    <d v="2018-10-30T00:00:00"/>
    <n v="14"/>
    <x v="2"/>
  </r>
  <r>
    <d v="2018-11-20T00:00:00"/>
    <s v="001-00013842"/>
    <n v="137.41028737800002"/>
    <n v="85.995903000000013"/>
    <n v="0"/>
    <n v="0"/>
    <n v="0"/>
    <n v="0"/>
    <n v="0"/>
    <n v="0"/>
    <n v="85.995903000000013"/>
    <n v="51.414384378000008"/>
    <n v="0.37416692271783775"/>
    <x v="0"/>
    <s v="MEDIANO"/>
    <x v="8"/>
    <x v="1"/>
    <n v="29"/>
    <n v="1"/>
    <d v="2018-10-22T00:00:00"/>
    <s v="KIA"/>
    <s v="SORENTO"/>
    <n v="0"/>
    <d v="2018-10-31T00:00:00"/>
    <n v="0"/>
    <x v="1256"/>
  </r>
  <r>
    <d v="2018-11-19T00:00:00"/>
    <s v="001-00013843"/>
    <n v="2191.3098525391588"/>
    <n v="0"/>
    <n v="0"/>
    <n v="0"/>
    <n v="0"/>
    <n v="204.75"/>
    <n v="325.38187500000004"/>
    <n v="0"/>
    <n v="530.13187500000004"/>
    <n v="1661.1779775391587"/>
    <n v="0.75807534731534432"/>
    <x v="1"/>
    <s v="MEDIANO"/>
    <x v="8"/>
    <x v="1"/>
    <n v="28"/>
    <n v="1"/>
    <d v="2018-10-22T00:00:00"/>
    <s v="KIA"/>
    <s v="RIO"/>
    <n v="2503.7999999999997"/>
    <d v="2018-10-23T00:00:00"/>
    <n v="14"/>
    <x v="1"/>
  </r>
  <r>
    <d v="2018-11-10T00:00:00"/>
    <s v="001-00013845"/>
    <n v="186.44070000000002"/>
    <n v="0"/>
    <n v="0"/>
    <n v="186.44"/>
    <n v="0"/>
    <n v="0"/>
    <n v="0"/>
    <n v="0"/>
    <n v="186.44"/>
    <n v="7.0000000002323759E-4"/>
    <n v="3.7545450109511361E-6"/>
    <x v="0"/>
    <s v="GRAVE"/>
    <x v="8"/>
    <x v="1"/>
    <n v="20"/>
    <n v="1"/>
    <d v="2018-10-21T00:00:00"/>
    <s v="RENAULT"/>
    <s v="DUSTER"/>
    <n v="186.42"/>
    <d v="2018-10-23T00:00:00"/>
    <n v="0"/>
    <x v="1257"/>
  </r>
  <r>
    <d v="2018-11-10T00:00:00"/>
    <s v="001-00013846"/>
    <n v="6489.4424293319989"/>
    <n v="950.53700590000005"/>
    <n v="0"/>
    <n v="101.69491525423729"/>
    <n v="25.59375"/>
    <n v="614.25"/>
    <n v="412.15037500000005"/>
    <n v="0"/>
    <n v="2104.2260461542373"/>
    <n v="4385.2163831777616"/>
    <n v="0.67574624953243645"/>
    <x v="0"/>
    <s v="GRAVE"/>
    <x v="8"/>
    <x v="1"/>
    <n v="20"/>
    <n v="1"/>
    <d v="2018-10-21T00:00:00"/>
    <s v="RENAULT"/>
    <s v="DUSTER"/>
    <n v="2347.54"/>
    <d v="2018-10-23T00:00:00"/>
    <n v="42"/>
    <x v="1257"/>
  </r>
  <r>
    <d v="2018-11-24T00:00:00"/>
    <s v="001-00013847"/>
    <n v="1506.2033972245799"/>
    <n v="0.59349999999999992"/>
    <n v="0"/>
    <n v="0"/>
    <n v="0"/>
    <n v="102.375"/>
    <n v="263.40437500000002"/>
    <n v="0"/>
    <n v="366.37287500000002"/>
    <n v="1139.8305222245799"/>
    <n v="0.7567573704354269"/>
    <x v="1"/>
    <s v="MEDIANO"/>
    <x v="8"/>
    <x v="1"/>
    <n v="33"/>
    <n v="1"/>
    <d v="2018-10-22T00:00:00"/>
    <s v="NISSAN"/>
    <s v="SENTRA"/>
    <n v="4499.43"/>
    <d v="2018-10-24T00:00:00"/>
    <n v="7"/>
    <x v="1"/>
  </r>
  <r>
    <d v="2018-11-03T00:00:00"/>
    <s v="001-00013848"/>
    <n v="7617"/>
    <n v="2464.4606483499997"/>
    <n v="0"/>
    <n v="25.42"/>
    <n v="117"/>
    <n v="0"/>
    <n v="0"/>
    <n v="0"/>
    <n v="2606.8806483499998"/>
    <n v="5010.1193516500007"/>
    <n v="0.65775493654325856"/>
    <x v="0"/>
    <s v="MECANICA"/>
    <x v="8"/>
    <x v="1"/>
    <n v="13"/>
    <n v="1"/>
    <d v="2018-10-21T00:00:00"/>
    <s v="HYUNDAI"/>
    <s v="ACCENT"/>
    <n v="5336.9875000000002"/>
    <d v="2018-10-19T00:00:00"/>
    <n v="0"/>
    <x v="871"/>
  </r>
  <r>
    <d v="2018-11-09T00:00:00"/>
    <s v="001-00013850"/>
    <n v="1440.67495725"/>
    <n v="0"/>
    <n v="0"/>
    <n v="131.35474576271187"/>
    <n v="0"/>
    <n v="146.25"/>
    <n v="154.94374999999999"/>
    <n v="0"/>
    <n v="432.54849576271192"/>
    <n v="1008.1264614872881"/>
    <n v="0.69975982883163845"/>
    <x v="1"/>
    <s v="MEDIANO"/>
    <x v="8"/>
    <x v="1"/>
    <n v="18"/>
    <n v="1"/>
    <d v="2018-10-22T00:00:00"/>
    <s v="SUZUKI"/>
    <s v="ERTIGA"/>
    <n v="213.85"/>
    <d v="2018-10-24T00:00:00"/>
    <n v="10"/>
    <x v="1"/>
  </r>
  <r>
    <d v="2018-11-09T00:00:00"/>
    <s v="001-00013851"/>
    <n v="505.49998499999992"/>
    <n v="134.21001000000001"/>
    <n v="0"/>
    <n v="0"/>
    <n v="14.625"/>
    <n v="0"/>
    <n v="0"/>
    <n v="0"/>
    <n v="148.83501000000001"/>
    <n v="356.66497499999991"/>
    <n v="0.70556871529877485"/>
    <x v="0"/>
    <s v="LEVE"/>
    <x v="8"/>
    <x v="1"/>
    <n v="19"/>
    <n v="1"/>
    <d v="2018-10-21T00:00:00"/>
    <s v="CHEVROLET"/>
    <s v="N300"/>
    <n v="357.5"/>
    <d v="2018-10-29T00:00:00"/>
    <n v="0"/>
    <x v="999"/>
  </r>
  <r>
    <d v="2018-11-09T00:00:00"/>
    <s v="001-00013854"/>
    <n v="1637.8199514"/>
    <n v="0"/>
    <n v="0"/>
    <n v="0"/>
    <n v="0"/>
    <n v="146.25"/>
    <n v="247.91"/>
    <n v="0"/>
    <n v="394.15999999999997"/>
    <n v="1243.6599514"/>
    <n v="0.759338625919733"/>
    <x v="1"/>
    <s v="MEDIANO"/>
    <x v="8"/>
    <x v="1"/>
    <n v="17"/>
    <n v="1"/>
    <d v="2018-10-23T00:00:00"/>
    <s v="TOYOTA"/>
    <s v="HILUX"/>
    <n v="884.94250000000011"/>
    <d v="2018-10-24T00:00:00"/>
    <n v="10"/>
    <x v="1"/>
  </r>
  <r>
    <d v="2018-11-10T00:00:00"/>
    <s v="001-00013855"/>
    <n v="42.372897999999985"/>
    <n v="0"/>
    <n v="0"/>
    <n v="42.37"/>
    <n v="0"/>
    <n v="0"/>
    <n v="0"/>
    <n v="0"/>
    <n v="42.37"/>
    <n v="2.8979999999876327E-3"/>
    <n v="6.839277313502687E-5"/>
    <x v="0"/>
    <s v="MEDIANO"/>
    <x v="8"/>
    <x v="1"/>
    <n v="18"/>
    <n v="1"/>
    <d v="2018-10-23T00:00:00"/>
    <s v="CHEVROLET"/>
    <s v="SAIL"/>
    <n v="0"/>
    <d v="2018-10-23T00:00:00"/>
    <n v="0"/>
    <x v="1252"/>
  </r>
  <r>
    <d v="2018-11-03T00:00:00"/>
    <s v="001-00013856"/>
    <n v="1499.170969595421"/>
    <n v="2.0344000000000002"/>
    <n v="0"/>
    <n v="0"/>
    <n v="0"/>
    <n v="58.5"/>
    <n v="294.393125"/>
    <n v="0"/>
    <n v="354.927525"/>
    <n v="1144.2434445954209"/>
    <n v="0.76325080181096105"/>
    <x v="1"/>
    <s v="LEVE"/>
    <x v="8"/>
    <x v="1"/>
    <n v="11"/>
    <n v="1"/>
    <d v="2018-10-23T00:00:00"/>
    <s v="HYUNDAI"/>
    <s v="TUCSON"/>
    <n v="145.4375"/>
    <d v="2018-10-24T00:00:00"/>
    <n v="4"/>
    <x v="1258"/>
  </r>
  <r>
    <d v="2018-11-09T00:00:00"/>
    <s v="001-00013857"/>
    <n v="567.37959314999989"/>
    <n v="0"/>
    <n v="0"/>
    <n v="0"/>
    <n v="0"/>
    <n v="29.25"/>
    <n v="92.966250000000002"/>
    <n v="0"/>
    <n v="122.21625"/>
    <n v="445.16334314999989"/>
    <n v="0.78459526659837175"/>
    <x v="1"/>
    <s v="MEDIANO"/>
    <x v="8"/>
    <x v="1"/>
    <n v="17"/>
    <n v="1"/>
    <d v="2018-10-23T00:00:00"/>
    <s v="FORD"/>
    <s v="ECOSPORT"/>
    <n v="131.625"/>
    <d v="2018-10-25T00:00:00"/>
    <n v="2"/>
    <x v="1"/>
  </r>
  <r>
    <d v="2018-11-10T00:00:00"/>
    <s v="001-00013864"/>
    <n v="1001.4839999999999"/>
    <n v="0"/>
    <n v="0"/>
    <n v="0"/>
    <n v="0"/>
    <n v="73.125"/>
    <n v="185.9325"/>
    <n v="0"/>
    <n v="259.0575"/>
    <n v="742.42649999999992"/>
    <n v="0.74132637166444992"/>
    <x v="1"/>
    <s v="LEVE"/>
    <x v="8"/>
    <x v="1"/>
    <n v="17"/>
    <n v="1"/>
    <d v="2018-10-24T00:00:00"/>
    <s v="SUZUKI "/>
    <s v="VITARA"/>
    <n v="365.72250000000003"/>
    <d v="2018-10-25T00:00:00"/>
    <n v="5"/>
    <x v="1"/>
  </r>
  <r>
    <d v="2018-11-30T00:00:00"/>
    <s v="001-00013866"/>
    <n v="790.6859766"/>
    <n v="5.9843002199999997"/>
    <n v="0"/>
    <n v="84.75"/>
    <n v="14.625"/>
    <n v="73.125"/>
    <n v="61.977499999999999"/>
    <n v="0"/>
    <n v="240.46180021999999"/>
    <n v="550.22417638000002"/>
    <n v="0.69588204756836458"/>
    <x v="1"/>
    <s v="LEVE"/>
    <x v="8"/>
    <x v="1"/>
    <n v="37"/>
    <n v="1"/>
    <d v="2018-10-24T00:00:00"/>
    <s v="HYUNDAI"/>
    <s v="ELANTRA"/>
    <n v="4585.75"/>
    <d v="2018-10-26T00:00:00"/>
    <n v="5"/>
    <x v="1"/>
  </r>
  <r>
    <d v="2018-11-05T00:00:00"/>
    <s v="001-00013869"/>
    <n v="843.43352504999996"/>
    <n v="0.84739999999999993"/>
    <n v="0"/>
    <n v="0"/>
    <n v="7.3125"/>
    <n v="87.75"/>
    <n v="123.955"/>
    <n v="0"/>
    <n v="219.86489999999998"/>
    <n v="623.56862505000004"/>
    <n v="0.73932160215357101"/>
    <x v="1"/>
    <s v="LEVE"/>
    <x v="8"/>
    <x v="1"/>
    <n v="12"/>
    <n v="1"/>
    <d v="2018-10-24T00:00:00"/>
    <s v="HYUNDAI"/>
    <s v="I10"/>
    <n v="528.41750000000002"/>
    <d v="2018-10-25T00:00:00"/>
    <n v="6"/>
    <x v="1"/>
  </r>
  <r>
    <d v="2018-11-05T00:00:00"/>
    <s v="001-00013874"/>
    <n v="1202.0190357000001"/>
    <n v="0"/>
    <n v="0"/>
    <n v="0"/>
    <n v="0"/>
    <n v="102.375"/>
    <n v="185.9325"/>
    <n v="0"/>
    <n v="288.3075"/>
    <n v="913.71153570000013"/>
    <n v="0.76014730928774099"/>
    <x v="1"/>
    <s v="MEDIANO"/>
    <x v="8"/>
    <x v="1"/>
    <n v="11"/>
    <n v="1"/>
    <d v="2018-10-25T00:00:00"/>
    <s v="NISSAN"/>
    <s v="VERSA"/>
    <n v="298.80500000000001"/>
    <d v="2018-10-25T00:00:00"/>
    <n v="7"/>
    <x v="1"/>
  </r>
  <r>
    <d v="2018-11-09T00:00:00"/>
    <s v="001-00013878"/>
    <n v="1803.8349464499997"/>
    <n v="2.6278999999999995"/>
    <n v="0"/>
    <n v="0"/>
    <n v="0"/>
    <n v="146.25"/>
    <n v="278.89875000000001"/>
    <n v="0"/>
    <n v="427.77665000000002"/>
    <n v="1376.0582964499997"/>
    <n v="0.76285155643431957"/>
    <x v="1"/>
    <s v="MEDIANO"/>
    <x v="8"/>
    <x v="1"/>
    <n v="15"/>
    <n v="1"/>
    <d v="2018-10-25T00:00:00"/>
    <s v="MITSUBISHI"/>
    <s v="L200"/>
    <n v="3171.7075"/>
    <d v="2018-10-26T00:00:00"/>
    <n v="10"/>
    <x v="1"/>
  </r>
  <r>
    <d v="2018-11-05T00:00:00"/>
    <s v="001-00013879"/>
    <n v="916.67991862541999"/>
    <n v="0"/>
    <n v="0"/>
    <n v="0"/>
    <n v="0"/>
    <n v="73.125"/>
    <n v="154.94374999999999"/>
    <n v="0"/>
    <n v="228.06874999999999"/>
    <n v="688.61116862541996"/>
    <n v="0.75120132407613582"/>
    <x v="1"/>
    <s v="MEDIANO"/>
    <x v="8"/>
    <x v="1"/>
    <n v="11"/>
    <n v="1"/>
    <d v="2018-10-25T00:00:00"/>
    <s v="KIA"/>
    <s v="CERATO"/>
    <n v="2924.1550000000002"/>
    <d v="2018-10-25T00:00:00"/>
    <n v="5"/>
    <x v="1"/>
  </r>
  <r>
    <d v="2018-11-03T00:00:00"/>
    <s v="001-00013881"/>
    <n v="499.99951484999997"/>
    <n v="0"/>
    <n v="0"/>
    <n v="0"/>
    <n v="0"/>
    <n v="29.25"/>
    <n v="92.966250000000002"/>
    <n v="0"/>
    <n v="122.21625"/>
    <n v="377.78326484999997"/>
    <n v="0.75556726282691511"/>
    <x v="1"/>
    <s v="LEVE"/>
    <x v="8"/>
    <x v="1"/>
    <n v="9"/>
    <n v="1"/>
    <d v="2018-10-25T00:00:00"/>
    <s v="HYUNDAI"/>
    <s v="ACCENT"/>
    <n v="1001.975"/>
    <d v="2018-10-26T00:00:00"/>
    <n v="2"/>
    <x v="1"/>
  </r>
  <r>
    <d v="2018-11-16T00:00:00"/>
    <s v="001-00013883"/>
    <n v="352.14398959999988"/>
    <n v="0"/>
    <n v="0"/>
    <n v="48.5"/>
    <n v="0"/>
    <n v="14.625"/>
    <n v="61.977499999999999"/>
    <n v="0"/>
    <n v="125.10249999999999"/>
    <n v="227.04148959999989"/>
    <n v="0.64474049339276285"/>
    <x v="1"/>
    <s v="LEVE"/>
    <x v="8"/>
    <x v="1"/>
    <n v="22"/>
    <n v="1"/>
    <d v="2018-10-25T00:00:00"/>
    <s v="MAZDA"/>
    <s v="CX-5"/>
    <n v="7.4099999999999993"/>
    <d v="2018-10-26T00:00:00"/>
    <n v="1"/>
    <x v="999"/>
  </r>
  <r>
    <d v="2018-11-17T00:00:00"/>
    <s v="001-00013885"/>
    <n v="2168.4731858249997"/>
    <n v="5.4759001999999999"/>
    <n v="0"/>
    <n v="188"/>
    <n v="14.625"/>
    <n v="168.1875"/>
    <n v="356.37062500000002"/>
    <n v="0"/>
    <n v="732.65902520000009"/>
    <n v="1435.8141606249997"/>
    <n v="0.66213138811709193"/>
    <x v="1"/>
    <s v="MEDIANO"/>
    <x v="8"/>
    <x v="1"/>
    <n v="23"/>
    <n v="1"/>
    <d v="2018-10-25T00:00:00"/>
    <s v="CHEVROLET"/>
    <s v="AVEO"/>
    <n v="1851.7525000000001"/>
    <d v="2018-10-26T00:00:00"/>
    <n v="11.5"/>
    <x v="1"/>
  </r>
  <r>
    <d v="2018-11-07T00:00:00"/>
    <s v="001-00013887"/>
    <n v="1168.9084428754197"/>
    <n v="0.42369999999999997"/>
    <n v="0"/>
    <n v="103.72"/>
    <n v="0"/>
    <n v="73.125"/>
    <n v="201.426875"/>
    <n v="0"/>
    <n v="378.69557499999996"/>
    <n v="790.21286787541976"/>
    <n v="0.67602631556972959"/>
    <x v="1"/>
    <s v="LEVE"/>
    <x v="8"/>
    <x v="1"/>
    <n v="13"/>
    <n v="1"/>
    <d v="2018-10-25T00:00:00"/>
    <s v="SUZUKI"/>
    <s v="SWIFT"/>
    <n v="4337.2550000000001"/>
    <d v="2018-10-26T00:00:00"/>
    <n v="5"/>
    <x v="1"/>
  </r>
  <r>
    <d v="2018-11-09T00:00:00"/>
    <s v="001-00013888"/>
    <n v="1219.5399637999999"/>
    <n v="0"/>
    <n v="0"/>
    <n v="0"/>
    <n v="0"/>
    <n v="117"/>
    <n v="185.9325"/>
    <n v="0"/>
    <n v="302.9325"/>
    <n v="916.60746379999989"/>
    <n v="0.7516010061235846"/>
    <x v="1"/>
    <s v="MEDIANO"/>
    <x v="8"/>
    <x v="1"/>
    <n v="15"/>
    <n v="1"/>
    <d v="2018-10-25T00:00:00"/>
    <s v="NISSAN"/>
    <s v="SENTRA"/>
    <n v="1566.37"/>
    <d v="2018-10-26T00:00:00"/>
    <n v="8"/>
    <x v="1"/>
  </r>
  <r>
    <d v="2018-11-06T00:00:00"/>
    <s v="001-00013889"/>
    <n v="248.71400740000001"/>
    <n v="0"/>
    <n v="0"/>
    <n v="18.5"/>
    <n v="0"/>
    <n v="14.625"/>
    <n v="61.977499999999999"/>
    <n v="0"/>
    <n v="95.102499999999992"/>
    <n v="153.61150740000002"/>
    <n v="0.61762306436143255"/>
    <x v="1"/>
    <s v="LEVE"/>
    <x v="8"/>
    <x v="1"/>
    <n v="12"/>
    <n v="1"/>
    <d v="2018-10-25T00:00:00"/>
    <s v="VW"/>
    <s v="GOL"/>
    <n v="808.47"/>
    <d v="2018-10-27T00:00:00"/>
    <n v="1"/>
    <x v="1"/>
  </r>
  <r>
    <d v="2018-11-26T00:00:00"/>
    <s v="001-00013890"/>
    <n v="1053.4174106245798"/>
    <n v="0"/>
    <n v="0"/>
    <n v="0"/>
    <n v="0"/>
    <n v="73.125"/>
    <n v="201.426875"/>
    <n v="0"/>
    <n v="274.551875"/>
    <n v="778.86553562457982"/>
    <n v="0.73937028927857196"/>
    <x v="1"/>
    <s v="LEVE"/>
    <x v="8"/>
    <x v="1"/>
    <n v="32"/>
    <n v="1"/>
    <d v="2018-10-25T00:00:00"/>
    <s v="NISSAN"/>
    <s v="VERSA"/>
    <n v="377.8775"/>
    <d v="2018-10-26T00:00:00"/>
    <n v="5"/>
    <x v="48"/>
  </r>
  <r>
    <d v="2018-11-06T00:00:00"/>
    <s v="001-00013893"/>
    <n v="1068.7980318"/>
    <n v="0.85000001999999986"/>
    <n v="0"/>
    <n v="93.22"/>
    <n v="0"/>
    <n v="73.125"/>
    <n v="123.955"/>
    <n v="0"/>
    <n v="291.15000001999999"/>
    <n v="777.64803178"/>
    <n v="0.7275911899560068"/>
    <x v="1"/>
    <s v="LEVE"/>
    <x v="8"/>
    <x v="1"/>
    <n v="11"/>
    <n v="1"/>
    <d v="2018-10-26T00:00:00"/>
    <s v="KIA"/>
    <s v="RIO"/>
    <n v="225.28999999999996"/>
    <d v="2018-10-26T00:00:00"/>
    <n v="5"/>
    <x v="1"/>
  </r>
  <r>
    <d v="2018-11-09T00:00:00"/>
    <s v="001-00013897"/>
    <n v="370.30941261599997"/>
    <n v="0"/>
    <n v="0"/>
    <n v="149.62"/>
    <n v="43.875"/>
    <n v="0"/>
    <n v="0"/>
    <n v="0"/>
    <n v="193.495"/>
    <n v="176.81441261599997"/>
    <n v="0.47747750014486223"/>
    <x v="1"/>
    <s v="LEVE"/>
    <x v="8"/>
    <x v="1"/>
    <n v="14"/>
    <n v="1"/>
    <d v="2018-10-26T00:00:00"/>
    <s v="KIA"/>
    <s v="RIO"/>
    <n v="1822.4375"/>
    <d v="2018-10-29T00:00:00"/>
    <n v="0"/>
    <x v="1"/>
  </r>
  <r>
    <d v="2018-11-13T00:00:00"/>
    <s v="001-00013898"/>
    <n v="598"/>
    <n v="120.34"/>
    <n v="0"/>
    <n v="28.47"/>
    <n v="39.048749999999998"/>
    <n v="0"/>
    <n v="0"/>
    <n v="0"/>
    <n v="187.85874999999999"/>
    <n v="410.14125000000001"/>
    <n v="0.68585493311036794"/>
    <x v="0"/>
    <s v="MECANICA"/>
    <x v="8"/>
    <x v="1"/>
    <n v="19"/>
    <n v="1"/>
    <d v="2018-10-25T00:00:00"/>
    <s v="TOYOTA"/>
    <s v="HILUX"/>
    <n v="0"/>
    <d v="2018-10-26T00:00:00"/>
    <n v="0"/>
    <x v="871"/>
  </r>
  <r>
    <d v="2018-11-07T00:00:00"/>
    <s v="001-00013904"/>
    <n v="1229.5864446754199"/>
    <n v="0"/>
    <n v="0"/>
    <n v="0"/>
    <n v="0"/>
    <n v="117"/>
    <n v="170.43812500000001"/>
    <n v="0"/>
    <n v="287.43812500000001"/>
    <n v="942.14831967541988"/>
    <n v="0.76623186906075846"/>
    <x v="1"/>
    <s v="MEDIANO"/>
    <x v="8"/>
    <x v="1"/>
    <n v="11"/>
    <n v="1"/>
    <d v="2018-10-27T00:00:00"/>
    <s v="JEEP"/>
    <s v="CHEEROKE"/>
    <n v="3253.64"/>
    <d v="2018-10-29T00:00:00"/>
    <n v="8"/>
    <x v="1"/>
  </r>
  <r>
    <d v="2018-11-07T00:00:00"/>
    <s v="001-00013906"/>
    <n v="350.58401040000001"/>
    <n v="0"/>
    <n v="0"/>
    <n v="0"/>
    <n v="0"/>
    <n v="29.25"/>
    <n v="61.977499999999999"/>
    <n v="0"/>
    <n v="91.227499999999992"/>
    <n v="259.35651040000005"/>
    <n v="0.73978419638729775"/>
    <x v="1"/>
    <s v="LEVE"/>
    <x v="8"/>
    <x v="1"/>
    <n v="11"/>
    <n v="1"/>
    <d v="2018-10-27T00:00:00"/>
    <s v="HYUNDAI"/>
    <s v="ACCENT"/>
    <n v="2047.0775000000001"/>
    <d v="2018-10-29T00:00:00"/>
    <n v="2"/>
    <x v="1"/>
  </r>
  <r>
    <d v="2018-11-09T00:00:00"/>
    <s v="001-00013908"/>
    <n v="1303.7899613"/>
    <n v="0"/>
    <n v="0"/>
    <n v="0"/>
    <n v="0"/>
    <n v="175.5"/>
    <n v="185.9325"/>
    <n v="0"/>
    <n v="361.4325"/>
    <n v="942.35746129999995"/>
    <n v="0.72278318538392627"/>
    <x v="1"/>
    <s v="MEDIANO"/>
    <x v="8"/>
    <x v="1"/>
    <n v="13"/>
    <n v="1"/>
    <d v="2018-10-27T00:00:00"/>
    <s v="MITSUBISHI"/>
    <s v="LANCER"/>
    <n v="2687.0675000000001"/>
    <d v="2018-10-29T00:00:00"/>
    <n v="12"/>
    <x v="1"/>
  </r>
  <r>
    <d v="2018-11-07T00:00:00"/>
    <s v="001-00013910"/>
    <n v="637.97592712542007"/>
    <n v="0"/>
    <n v="0"/>
    <n v="0"/>
    <n v="0"/>
    <n v="43.875"/>
    <n v="123.955"/>
    <n v="0"/>
    <n v="167.82999999999998"/>
    <n v="470.14592712542009"/>
    <n v="0.73693364770641856"/>
    <x v="1"/>
    <s v="LEVE"/>
    <x v="8"/>
    <x v="1"/>
    <n v="11"/>
    <n v="1"/>
    <d v="2018-10-27T00:00:00"/>
    <s v="HONDA"/>
    <s v="HR-V"/>
    <n v="3959.41"/>
    <d v="2018-10-30T00:00:00"/>
    <n v="3"/>
    <x v="1"/>
  </r>
  <r>
    <d v="2018-11-10T00:00:00"/>
    <s v="001-00013911"/>
    <n v="1773.6719999999996"/>
    <n v="0"/>
    <n v="0"/>
    <n v="92.77"/>
    <n v="0"/>
    <n v="146.25"/>
    <n v="247.91"/>
    <n v="0"/>
    <n v="486.92999999999995"/>
    <n v="1286.7419999999997"/>
    <n v="0.72546784298337008"/>
    <x v="1"/>
    <s v="MEDIANO"/>
    <x v="8"/>
    <x v="1"/>
    <n v="14"/>
    <n v="1"/>
    <d v="2018-10-27T00:00:00"/>
    <s v="KIA"/>
    <s v="SOUL"/>
    <n v="1696.6299999999999"/>
    <d v="2018-10-30T00:00:00"/>
    <n v="10"/>
    <x v="1"/>
  </r>
  <r>
    <d v="2018-11-03T00:00:00"/>
    <s v="001-00013916"/>
    <n v="193.60250574999998"/>
    <n v="0"/>
    <n v="0"/>
    <n v="12.5"/>
    <n v="0"/>
    <n v="21.9375"/>
    <n v="0"/>
    <n v="0"/>
    <n v="34.4375"/>
    <n v="159.16500574999998"/>
    <n v="0.82212265349256719"/>
    <x v="1"/>
    <s v="LEVE"/>
    <x v="8"/>
    <x v="1"/>
    <n v="5"/>
    <n v="1"/>
    <d v="2018-10-29T00:00:00"/>
    <s v="HYUNDAI"/>
    <s v="TUCSON"/>
    <n v="429.45499999999993"/>
    <d v="2018-10-30T00:00:00"/>
    <n v="1.5"/>
    <x v="1"/>
  </r>
  <r>
    <d v="2018-11-14T00:00:00"/>
    <s v="001-00013918"/>
    <n v="1503.9944541113607"/>
    <n v="0.84739999999999993"/>
    <n v="0"/>
    <n v="0"/>
    <n v="0"/>
    <n v="117"/>
    <n v="263.40437500000002"/>
    <n v="0"/>
    <n v="381.25177500000001"/>
    <n v="1122.7426791113608"/>
    <n v="0.74650719358851381"/>
    <x v="1"/>
    <s v="MEDIANO"/>
    <x v="8"/>
    <x v="1"/>
    <n v="16"/>
    <n v="1"/>
    <d v="2018-10-29T00:00:00"/>
    <s v="RENAULT"/>
    <s v="DUSTER"/>
    <n v="4491.7924999999996"/>
    <d v="2018-10-30T00:00:00"/>
    <n v="8"/>
    <x v="1"/>
  </r>
  <r>
    <d v="2018-11-06T00:00:00"/>
    <s v="001-00013919"/>
    <n v="984.77302929999996"/>
    <n v="0"/>
    <n v="0"/>
    <n v="0"/>
    <n v="0"/>
    <n v="117"/>
    <n v="123.955"/>
    <n v="0"/>
    <n v="240.95499999999998"/>
    <n v="743.81802930000003"/>
    <n v="0.75531925344129658"/>
    <x v="1"/>
    <s v="MEDIANO"/>
    <x v="8"/>
    <x v="1"/>
    <n v="8"/>
    <n v="1"/>
    <d v="2018-10-29T00:00:00"/>
    <s v="NISSAN"/>
    <s v="SENTRA"/>
    <n v="68.25"/>
    <d v="2018-10-30T00:00:00"/>
    <n v="8"/>
    <x v="1"/>
  </r>
  <r>
    <d v="2018-11-05T00:00:00"/>
    <s v="001-00013920"/>
    <n v="404.04001199999999"/>
    <n v="0"/>
    <n v="0"/>
    <n v="0"/>
    <n v="0"/>
    <n v="29.25"/>
    <n v="61.977499999999999"/>
    <n v="0"/>
    <n v="91.227499999999992"/>
    <n v="312.81251199999997"/>
    <n v="0.77421171841763037"/>
    <x v="0"/>
    <s v="LEVE"/>
    <x v="8"/>
    <x v="1"/>
    <n v="8"/>
    <n v="1"/>
    <d v="2018-10-28T00:00:00"/>
    <s v="NISSAN"/>
    <s v="MURANO"/>
    <n v="0"/>
    <d v="2018-10-29T00:00:00"/>
    <n v="2"/>
    <x v="1259"/>
  </r>
  <r>
    <d v="2018-11-09T00:00:00"/>
    <s v="001-00013922"/>
    <n v="3783.7388283528803"/>
    <n v="1282.92230202"/>
    <n v="0"/>
    <n v="0"/>
    <n v="0"/>
    <n v="168.1875"/>
    <n v="309.88749999999999"/>
    <n v="0"/>
    <n v="1760.99730202"/>
    <n v="2022.7415263328803"/>
    <n v="0.53458804058455878"/>
    <x v="0"/>
    <s v="LEVE"/>
    <x v="8"/>
    <x v="1"/>
    <n v="11"/>
    <n v="1"/>
    <d v="2018-10-29T00:00:00"/>
    <s v="KIA"/>
    <s v="SORENTO"/>
    <n v="1764.75"/>
    <d v="2018-10-29T00:00:00"/>
    <n v="11.5"/>
    <x v="1260"/>
  </r>
  <r>
    <d v="2018-11-05T00:00:00"/>
    <s v="001-00013925"/>
    <n v="2494.9470741"/>
    <n v="0"/>
    <n v="0"/>
    <n v="10.5"/>
    <n v="0"/>
    <n v="292.5"/>
    <n v="371.86500000000001"/>
    <n v="0"/>
    <n v="674.86500000000001"/>
    <n v="1820.0820741"/>
    <n v="0.72950728814820909"/>
    <x v="2"/>
    <s v="MEDIANO"/>
    <x v="8"/>
    <x v="1"/>
    <n v="7"/>
    <n v="1"/>
    <d v="2018-10-29T00:00:00"/>
    <s v="MITSUBISHI"/>
    <s v="MONTERO"/>
    <n v="1745.4775000000002"/>
    <d v="2018-06-06T00:00:00"/>
    <n v="20"/>
    <x v="2"/>
  </r>
  <r>
    <d v="2018-11-17T00:00:00"/>
    <s v="001-00013926"/>
    <n v="1977.5739170645791"/>
    <n v="0"/>
    <n v="0"/>
    <n v="0"/>
    <n v="0"/>
    <n v="146.25"/>
    <n v="294.393125"/>
    <n v="0"/>
    <n v="440.643125"/>
    <n v="1536.930792064579"/>
    <n v="0.77717994700594017"/>
    <x v="1"/>
    <s v="MEDIANO"/>
    <x v="8"/>
    <x v="1"/>
    <n v="19"/>
    <n v="1"/>
    <d v="2018-10-29T00:00:00"/>
    <s v="NISSAN"/>
    <s v="SENTRA"/>
    <n v="1929.4274999999998"/>
    <d v="2018-10-31T00:00:00"/>
    <n v="10"/>
    <x v="1"/>
  </r>
  <r>
    <d v="2018-11-09T00:00:00"/>
    <s v="001-00013930"/>
    <n v="1185.1298220125798"/>
    <n v="0"/>
    <n v="0"/>
    <n v="0"/>
    <n v="0"/>
    <n v="87.75"/>
    <n v="201.426875"/>
    <n v="0"/>
    <n v="289.176875"/>
    <n v="895.95294701257978"/>
    <n v="0.75599561362069034"/>
    <x v="1"/>
    <s v="MEDIANO"/>
    <x v="8"/>
    <x v="1"/>
    <n v="11"/>
    <n v="1"/>
    <d v="2018-10-29T00:00:00"/>
    <s v="FORD"/>
    <s v="ECOSPORT"/>
    <n v="3056.625"/>
    <d v="2018-10-25T00:00:00"/>
    <n v="6"/>
    <x v="1"/>
  </r>
  <r>
    <d v="2018-11-02T00:00:00"/>
    <s v="001-00013931"/>
    <n v="1045.45353105"/>
    <n v="0"/>
    <n v="0"/>
    <n v="0"/>
    <n v="0"/>
    <n v="73.125"/>
    <n v="247.91"/>
    <n v="0"/>
    <n v="321.03499999999997"/>
    <n v="724.41853105000007"/>
    <n v="0.69292274552120092"/>
    <x v="0"/>
    <s v="LEVE"/>
    <x v="8"/>
    <x v="1"/>
    <n v="3"/>
    <n v="1"/>
    <d v="2018-10-30T00:00:00"/>
    <s v="SUZUKI"/>
    <s v="VITARA"/>
    <n v="0"/>
    <d v="2018-10-30T00:00:00"/>
    <n v="5"/>
    <x v="1261"/>
  </r>
  <r>
    <d v="2018-11-06T00:00:00"/>
    <s v="001-00013933"/>
    <n v="1462.063309510841"/>
    <n v="0"/>
    <n v="0"/>
    <n v="0"/>
    <n v="0"/>
    <n v="292.5"/>
    <n v="139.449375"/>
    <n v="0"/>
    <n v="431.94937500000003"/>
    <n v="1030.1139345108409"/>
    <n v="0.70456178457517249"/>
    <x v="0"/>
    <s v="MEDIANO"/>
    <x v="8"/>
    <x v="1"/>
    <n v="7"/>
    <n v="1"/>
    <d v="2018-10-30T00:00:00"/>
    <s v="KIA"/>
    <s v="CERATO"/>
    <n v="0"/>
    <d v="2018-10-30T00:00:00"/>
    <n v="20"/>
    <x v="1262"/>
  </r>
  <r>
    <d v="2018-11-06T00:00:00"/>
    <s v="001-00013934"/>
    <n v="786.47402339999996"/>
    <n v="48.84"/>
    <n v="0"/>
    <n v="0"/>
    <n v="0"/>
    <n v="87.75"/>
    <n v="123.955"/>
    <n v="0"/>
    <n v="260.54500000000002"/>
    <n v="525.92902340000001"/>
    <n v="0.6687176025552124"/>
    <x v="0"/>
    <s v="LEVE"/>
    <x v="8"/>
    <x v="1"/>
    <n v="7"/>
    <n v="1"/>
    <d v="2018-10-30T00:00:00"/>
    <s v="MAZDA"/>
    <s v="MAZDA 3"/>
    <n v="78"/>
    <d v="2018-10-30T00:00:00"/>
    <n v="6"/>
    <x v="999"/>
  </r>
  <r>
    <d v="2018-11-29T00:00:00"/>
    <s v="001-00013936"/>
    <n v="955.10763157762153"/>
    <n v="0"/>
    <n v="0"/>
    <n v="79.584745762711862"/>
    <n v="0"/>
    <n v="73.125"/>
    <n v="154.94374999999999"/>
    <n v="0"/>
    <n v="307.65349576271183"/>
    <n v="647.45413581490971"/>
    <n v="0.67788604593752655"/>
    <x v="1"/>
    <s v="LEVE"/>
    <x v="8"/>
    <x v="1"/>
    <n v="30"/>
    <n v="1"/>
    <d v="2018-10-30T00:00:00"/>
    <s v="BMW"/>
    <s v="X3"/>
    <n v="10793.12"/>
    <d v="2018-11-05T00:00:00"/>
    <n v="5"/>
    <x v="1"/>
  </r>
  <r>
    <d v="2018-11-23T00:00:00"/>
    <s v="001-00013937"/>
    <n v="5304.04234275"/>
    <n v="5.8996002000000001"/>
    <n v="150"/>
    <n v="253.29"/>
    <n v="73.125"/>
    <n v="438.75"/>
    <n v="619.77499999999998"/>
    <n v="0"/>
    <n v="1540.8396001999999"/>
    <n v="3763.20274255"/>
    <n v="0.70949711547718963"/>
    <x v="1"/>
    <s v="GRAVE"/>
    <x v="8"/>
    <x v="1"/>
    <n v="24"/>
    <n v="1"/>
    <d v="2018-10-30T00:00:00"/>
    <s v="KIA"/>
    <s v="CERATO"/>
    <n v="13234.91"/>
    <d v="2018-10-31T00:00:00"/>
    <n v="30"/>
    <x v="1"/>
  </r>
  <r>
    <d v="2018-11-09T00:00:00"/>
    <s v="001-00013939"/>
    <n v="1236.3379633"/>
    <n v="0"/>
    <n v="0"/>
    <n v="0"/>
    <n v="0"/>
    <n v="102.375"/>
    <n v="170.43812500000001"/>
    <n v="0"/>
    <n v="272.81312500000001"/>
    <n v="963.52483829999994"/>
    <n v="0.77933774332075467"/>
    <x v="1"/>
    <s v="MEDIANO"/>
    <x v="8"/>
    <x v="1"/>
    <n v="10"/>
    <n v="1"/>
    <d v="2018-10-30T00:00:00"/>
    <s v="VOLVO"/>
    <s v="CX-60"/>
    <n v="4167.8975"/>
    <d v="2018-10-31T00:00:00"/>
    <n v="7"/>
    <x v="1"/>
  </r>
  <r>
    <d v="2018-11-09T00:00:00"/>
    <s v="001-00013940"/>
    <n v="401.02998809999997"/>
    <n v="0"/>
    <n v="0"/>
    <n v="0"/>
    <n v="0"/>
    <n v="29.25"/>
    <n v="61.977499999999999"/>
    <n v="0"/>
    <n v="91.227499999999992"/>
    <n v="309.80248810000001"/>
    <n v="0.77251701192666999"/>
    <x v="1"/>
    <s v="LEVE"/>
    <x v="8"/>
    <x v="1"/>
    <n v="10"/>
    <n v="1"/>
    <d v="2018-10-30T00:00:00"/>
    <s v="MAZDA"/>
    <s v="MAZDA 3"/>
    <n v="1930.5"/>
    <d v="2018-10-31T00:00:00"/>
    <n v="2"/>
    <x v="1"/>
  </r>
  <r>
    <d v="2018-11-15T00:00:00"/>
    <s v="001-00013943"/>
    <n v="2335.7478726745803"/>
    <n v="193.43999910000002"/>
    <n v="0"/>
    <n v="18.5"/>
    <n v="0"/>
    <n v="263.25"/>
    <n v="232.41562500000001"/>
    <n v="0"/>
    <n v="707.6056241"/>
    <n v="1628.1422485745802"/>
    <n v="0.69705393618115707"/>
    <x v="1"/>
    <s v="MEDIANO"/>
    <x v="8"/>
    <x v="1"/>
    <n v="15"/>
    <n v="1"/>
    <d v="2018-10-31T00:00:00"/>
    <s v="MAZDA"/>
    <s v="MAZDA 2"/>
    <n v="3464.37"/>
    <d v="2018-11-02T00:00:00"/>
    <n v="18"/>
    <x v="1"/>
  </r>
  <r>
    <d v="2018-11-13T00:00:00"/>
    <s v="001-00013945"/>
    <n v="1777.1604860254199"/>
    <n v="0"/>
    <n v="0"/>
    <n v="0"/>
    <n v="14.625"/>
    <n v="146.25"/>
    <n v="232.41562500000001"/>
    <n v="0"/>
    <n v="393.29062499999998"/>
    <n v="1383.8698610254201"/>
    <n v="0.77869718120979292"/>
    <x v="1"/>
    <s v="MEDIANO"/>
    <x v="8"/>
    <x v="1"/>
    <n v="13"/>
    <n v="1"/>
    <d v="2018-10-31T00:00:00"/>
    <s v="HYUNDAI"/>
    <s v="SANTA FE"/>
    <n v="5489.9000000000005"/>
    <d v="2018-11-02T00:00:00"/>
    <n v="10"/>
    <x v="1"/>
  </r>
  <r>
    <d v="2018-11-30T00:00:00"/>
    <s v="001-00013949"/>
    <n v="270.31999200000001"/>
    <n v="0"/>
    <n v="0"/>
    <n v="152.54237288135593"/>
    <n v="0"/>
    <n v="0"/>
    <n v="0"/>
    <n v="0"/>
    <n v="152.54237288135593"/>
    <n v="117.77761911864408"/>
    <n v="0.43569703538110521"/>
    <x v="1"/>
    <s v="LEVE"/>
    <x v="8"/>
    <x v="1"/>
    <n v="30"/>
    <n v="1"/>
    <d v="2018-10-31T00:00:00"/>
    <s v="MERCEDES"/>
    <s v="C-180"/>
    <n v="2437.5"/>
    <d v="2018-11-02T00:00:00"/>
    <n v="0"/>
    <x v="1"/>
  </r>
  <r>
    <d v="2018-11-10T00:00:00"/>
    <s v="001-00013950"/>
    <n v="600.21599999999989"/>
    <n v="0"/>
    <n v="0"/>
    <n v="0"/>
    <n v="0"/>
    <n v="58.5"/>
    <n v="123.955"/>
    <n v="0"/>
    <n v="182.45499999999998"/>
    <n v="417.76099999999991"/>
    <n v="0.69601776693723594"/>
    <x v="1"/>
    <s v="LEVE"/>
    <x v="8"/>
    <x v="1"/>
    <n v="10"/>
    <n v="1"/>
    <d v="2018-10-31T00:00:00"/>
    <s v="MAZDA"/>
    <s v="CX-5"/>
    <n v="6888.83"/>
    <d v="2018-11-02T00:00:00"/>
    <n v="4"/>
    <x v="1"/>
  </r>
  <r>
    <d v="2018-11-02T00:00:00"/>
    <s v="001-00013951"/>
    <n v="349"/>
    <n v="96.801202020000005"/>
    <n v="0"/>
    <n v="0"/>
    <n v="39.048749999999998"/>
    <n v="0"/>
    <n v="0"/>
    <n v="0"/>
    <n v="135.84995201999999"/>
    <n v="213.15004798000001"/>
    <n v="0.61074512315186247"/>
    <x v="0"/>
    <s v="MECANICA"/>
    <x v="8"/>
    <x v="1"/>
    <n v="2"/>
    <n v="1"/>
    <d v="2018-10-31T00:00:00"/>
    <s v="SUZUKI"/>
    <s v="SX4"/>
    <n v="0"/>
    <d v="2018-10-31T00:00:00"/>
    <n v="0"/>
    <x v="713"/>
  </r>
  <r>
    <d v="2018-11-21T00:00:00"/>
    <s v="001-00013952"/>
    <n v="1962.1399420000002"/>
    <n v="0"/>
    <n v="0"/>
    <n v="0"/>
    <n v="0"/>
    <n v="175.5"/>
    <n v="309.88749999999999"/>
    <n v="0"/>
    <n v="485.38749999999999"/>
    <n v="1476.7524420000002"/>
    <n v="0.75262340386117066"/>
    <x v="1"/>
    <s v="MEDIANO"/>
    <x v="8"/>
    <x v="1"/>
    <n v="19"/>
    <n v="1"/>
    <d v="2018-11-02T00:00:00"/>
    <s v="NISSAN"/>
    <s v="TIIDA"/>
    <n v="2401.6849999999999"/>
    <d v="2018-11-02T00:00:00"/>
    <n v="12"/>
    <x v="1263"/>
  </r>
  <r>
    <d v="2018-11-28T00:00:00"/>
    <s v="001-00013953"/>
    <n v="503.23545725657959"/>
    <n v="0"/>
    <n v="0"/>
    <n v="0"/>
    <n v="0"/>
    <n v="58.5"/>
    <n v="77.471874999999997"/>
    <n v="0"/>
    <n v="135.97187500000001"/>
    <n v="367.26358225657958"/>
    <n v="0.72980466094090546"/>
    <x v="1"/>
    <s v="LEVE"/>
    <x v="8"/>
    <x v="1"/>
    <n v="28"/>
    <n v="1"/>
    <d v="2018-10-31T00:00:00"/>
    <s v="HYUNDAI"/>
    <s v="I10"/>
    <n v="1585.0249999999999"/>
    <d v="2018-11-02T00:00:00"/>
    <n v="4"/>
    <x v="1"/>
  </r>
  <r>
    <d v="2018-11-27T00:00:00"/>
    <s v="001-00013954"/>
    <n v="1054.8719999999998"/>
    <n v="0"/>
    <n v="0"/>
    <n v="0"/>
    <n v="0"/>
    <n v="102.375"/>
    <n v="185.9325"/>
    <n v="0"/>
    <n v="288.3075"/>
    <n v="766.56449999999984"/>
    <n v="0.72668958887902979"/>
    <x v="1"/>
    <s v="MEDIANO"/>
    <x v="8"/>
    <x v="1"/>
    <n v="27"/>
    <n v="1"/>
    <d v="2018-10-31T00:00:00"/>
    <s v="BMW"/>
    <s v="X1"/>
    <n v="7254.9750000000004"/>
    <d v="2018-11-02T00:00:00"/>
    <n v="7"/>
    <x v="1"/>
  </r>
  <r>
    <d v="2018-11-19T00:00:00"/>
    <s v="001-00013955"/>
    <n v="2645.7569217"/>
    <n v="6.7470002000000004"/>
    <n v="0"/>
    <n v="16"/>
    <n v="14.625"/>
    <n v="175.5"/>
    <n v="418.34812499999998"/>
    <n v="0"/>
    <n v="631.22012519999998"/>
    <n v="2014.5367965"/>
    <n v="0.76142172396003149"/>
    <x v="1"/>
    <s v="MEDIANO"/>
    <x v="8"/>
    <x v="1"/>
    <n v="17"/>
    <n v="1"/>
    <d v="2018-11-02T00:00:00"/>
    <s v="KIA"/>
    <s v="CERATO"/>
    <n v="3569.15"/>
    <d v="2018-11-02T00:00:00"/>
    <n v="12"/>
    <x v="1"/>
  </r>
  <r>
    <d v="2018-11-13T00:00:00"/>
    <s v="001-00013957"/>
    <n v="1606.6219809754198"/>
    <n v="0"/>
    <n v="0"/>
    <n v="0"/>
    <n v="0"/>
    <n v="102.375"/>
    <n v="263.40437500000002"/>
    <n v="0"/>
    <n v="365.77937500000002"/>
    <n v="1240.8426059754197"/>
    <n v="0.77233015648277981"/>
    <x v="1"/>
    <s v="LEVE"/>
    <x v="8"/>
    <x v="1"/>
    <n v="11"/>
    <n v="1"/>
    <d v="2018-11-02T00:00:00"/>
    <s v="NISSAN"/>
    <s v="QASHQAI"/>
    <n v="6870.37"/>
    <d v="2018-11-02T00:00:00"/>
    <n v="7"/>
    <x v="1"/>
  </r>
  <r>
    <d v="2018-11-06T00:00:00"/>
    <s v="001-00013958"/>
    <n v="587.98310100000003"/>
    <n v="53.989502099999996"/>
    <n v="0"/>
    <n v="0"/>
    <n v="39.048749999999998"/>
    <n v="14.625"/>
    <n v="61.977499999999999"/>
    <n v="0"/>
    <n v="169.64075209999999"/>
    <n v="418.34234890000005"/>
    <n v="0.71148702775388106"/>
    <x v="0"/>
    <s v="MECANICA"/>
    <x v="8"/>
    <x v="1"/>
    <n v="4"/>
    <n v="1"/>
    <d v="2018-11-02T00:00:00"/>
    <s v="KIA"/>
    <s v="RIO"/>
    <n v="0"/>
    <d v="2018-11-02T00:00:00"/>
    <n v="1"/>
    <x v="334"/>
  </r>
  <r>
    <d v="2018-11-17T00:00:00"/>
    <s v="001-00013959"/>
    <n v="1797.6279467999998"/>
    <n v="0"/>
    <n v="0"/>
    <n v="55.084745762711869"/>
    <n v="14.625"/>
    <n v="175.5"/>
    <n v="185.9325"/>
    <n v="0"/>
    <n v="431.14224576271187"/>
    <n v="1366.485701037288"/>
    <n v="0.76016046783751978"/>
    <x v="1"/>
    <s v="MEDIANO"/>
    <x v="8"/>
    <x v="1"/>
    <n v="15"/>
    <n v="1"/>
    <d v="2018-11-02T00:00:00"/>
    <s v="KIA"/>
    <s v="CERATO"/>
    <n v="1252.3225"/>
    <d v="2018-11-06T00:00:00"/>
    <n v="12"/>
    <x v="1"/>
  </r>
  <r>
    <d v="2018-11-30T00:00:00"/>
    <s v="001-00013960"/>
    <n v="1776.5233892245801"/>
    <n v="0"/>
    <n v="0"/>
    <n v="84.75"/>
    <n v="14.625"/>
    <n v="146.25"/>
    <n v="263.40437500000002"/>
    <n v="0"/>
    <n v="509.02937500000002"/>
    <n v="1267.49401422458"/>
    <n v="0.71346880199411167"/>
    <x v="1"/>
    <s v="MEDIANO"/>
    <x v="8"/>
    <x v="1"/>
    <n v="28"/>
    <n v="1"/>
    <d v="2018-11-02T00:00:00"/>
    <s v="HYUNDAI"/>
    <s v="AVANTE"/>
    <n v="3393"/>
    <d v="2018-11-05T00:00:00"/>
    <n v="10"/>
    <x v="1"/>
  </r>
  <r>
    <d v="2018-11-19T00:00:00"/>
    <s v="001-00013961"/>
    <n v="3593.5663936500005"/>
    <n v="0"/>
    <n v="0"/>
    <n v="75.56"/>
    <n v="0"/>
    <n v="438.75"/>
    <n v="402.85374999999999"/>
    <n v="0"/>
    <n v="917.16374999999994"/>
    <n v="2676.4026436500008"/>
    <n v="0.74477617788816397"/>
    <x v="1"/>
    <s v="GRAVE"/>
    <x v="8"/>
    <x v="1"/>
    <n v="17"/>
    <n v="1"/>
    <d v="2018-11-02T00:00:00"/>
    <s v="KIA"/>
    <s v="RIO"/>
    <n v="2045.42"/>
    <d v="2018-11-05T00:00:00"/>
    <n v="30"/>
    <x v="1"/>
  </r>
  <r>
    <d v="2018-11-02T00:00:00"/>
    <s v="001-00013963"/>
    <n v="249"/>
    <n v="58.428801999999997"/>
    <n v="0"/>
    <n v="0"/>
    <n v="39.048749999999998"/>
    <n v="0"/>
    <n v="0"/>
    <n v="0"/>
    <n v="97.477552000000003"/>
    <n v="151.522448"/>
    <n v="0.60852388755020081"/>
    <x v="0"/>
    <s v="MECANICA"/>
    <x v="8"/>
    <x v="1"/>
    <n v="0"/>
    <n v="1"/>
    <d v="2018-11-02T00:00:00"/>
    <s v="CHEVROLET"/>
    <s v="SAIL"/>
    <n v="0"/>
    <d v="2018-11-02T00:00:00"/>
    <n v="0"/>
    <x v="739"/>
  </r>
  <r>
    <d v="2018-11-07T00:00:00"/>
    <s v="001-00013969"/>
    <n v="1142.59778709492"/>
    <n v="0"/>
    <n v="0"/>
    <n v="0"/>
    <n v="0"/>
    <n v="102.375"/>
    <n v="247.91"/>
    <n v="0"/>
    <n v="350.28499999999997"/>
    <n v="792.31278709492005"/>
    <n v="0.69343105338002864"/>
    <x v="0"/>
    <s v="LEVE"/>
    <x v="8"/>
    <x v="1"/>
    <n v="5"/>
    <n v="1"/>
    <d v="2018-11-02T00:00:00"/>
    <s v="MAZDA"/>
    <s v="CX-9"/>
    <n v="0"/>
    <d v="2018-11-02T00:00:00"/>
    <n v="7"/>
    <x v="450"/>
  </r>
  <r>
    <d v="2018-11-10T00:00:00"/>
    <s v="001-00013970"/>
    <n v="683.51586480000003"/>
    <n v="0"/>
    <n v="0"/>
    <n v="0"/>
    <n v="0"/>
    <n v="43.875"/>
    <n v="123.955"/>
    <n v="0"/>
    <n v="167.82999999999998"/>
    <n v="515.68586479999999"/>
    <n v="0.75446071021466654"/>
    <x v="1"/>
    <s v="LEVE"/>
    <x v="8"/>
    <x v="1"/>
    <n v="8"/>
    <n v="1"/>
    <d v="2018-11-02T00:00:00"/>
    <s v="VW"/>
    <s v="GOL"/>
    <n v="18.72"/>
    <d v="2018-11-05T00:00:00"/>
    <n v="3"/>
    <x v="1"/>
  </r>
  <r>
    <d v="2018-11-30T00:00:00"/>
    <s v="001-00013972"/>
    <n v="4205.5660911481409"/>
    <n v="1.0168000399999999"/>
    <n v="0"/>
    <n v="292.92135593220337"/>
    <n v="20.474999999999998"/>
    <n v="585"/>
    <n v="464.83125000000001"/>
    <n v="0"/>
    <n v="1364.2444059722034"/>
    <n v="2841.3216851759375"/>
    <n v="0.67560980462448095"/>
    <x v="1"/>
    <s v="GRAVE"/>
    <x v="8"/>
    <x v="1"/>
    <n v="27"/>
    <n v="1"/>
    <d v="2018-11-03T00:00:00"/>
    <s v="SUZUKI "/>
    <s v="APV"/>
    <n v="2648.8474999999999"/>
    <d v="2018-11-06T00:00:00"/>
    <n v="40"/>
    <x v="1"/>
  </r>
  <r>
    <d v="2018-11-13T00:00:00"/>
    <s v="001-00013973"/>
    <n v="455.78054332761036"/>
    <n v="0"/>
    <n v="0"/>
    <n v="0"/>
    <n v="0"/>
    <n v="32.175000000000004"/>
    <n v="61.977499999999999"/>
    <n v="0"/>
    <n v="94.152500000000003"/>
    <n v="361.62804332761038"/>
    <n v="0.79342580244298822"/>
    <x v="1"/>
    <s v="LEVE"/>
    <x v="8"/>
    <x v="1"/>
    <n v="10"/>
    <n v="1"/>
    <d v="2018-11-03T00:00:00"/>
    <s v="KIA"/>
    <s v="CERATO"/>
    <n v="2888.0149999999999"/>
    <d v="2018-11-05T00:00:00"/>
    <n v="2.2000000000000002"/>
    <x v="1"/>
  </r>
  <r>
    <d v="2018-11-24T00:00:00"/>
    <s v="001-00013974"/>
    <n v="2838.3599159999999"/>
    <n v="1.6949999000000002"/>
    <n v="0"/>
    <n v="118.64474576271186"/>
    <n v="55.574999999999996"/>
    <n v="292.5"/>
    <n v="294.393125"/>
    <n v="0"/>
    <n v="762.80787066271182"/>
    <n v="2075.5520453372883"/>
    <n v="0.73125047800924781"/>
    <x v="1"/>
    <s v="MEDIANO"/>
    <x v="8"/>
    <x v="1"/>
    <n v="21"/>
    <n v="1"/>
    <d v="2018-11-03T00:00:00"/>
    <s v="TOYOTA"/>
    <s v="ETIOS"/>
    <n v="6524.0824999999995"/>
    <d v="2018-11-05T00:00:00"/>
    <n v="20"/>
    <x v="1"/>
  </r>
  <r>
    <d v="2018-11-03T00:00:00"/>
    <s v="001-00013975"/>
    <n v="60"/>
    <n v="0"/>
    <n v="0"/>
    <n v="0"/>
    <n v="0"/>
    <n v="0"/>
    <n v="0"/>
    <n v="0"/>
    <n v="0"/>
    <n v="60"/>
    <n v="1"/>
    <x v="0"/>
    <s v="MECANICA"/>
    <x v="8"/>
    <x v="1"/>
    <n v="0"/>
    <n v="1"/>
    <d v="2018-11-03T00:00:00"/>
    <s v="SUZUKI "/>
    <s v="GRAND N."/>
    <n v="0"/>
    <d v="2018-11-03T00:00:00"/>
    <n v="0"/>
    <x v="814"/>
  </r>
  <r>
    <d v="2018-11-13T00:00:00"/>
    <s v="001-00013976"/>
    <n v="650.33018435763006"/>
    <n v="0"/>
    <n v="0"/>
    <n v="18.5"/>
    <n v="0"/>
    <n v="43.875"/>
    <n v="123.33522500000001"/>
    <n v="0"/>
    <n v="185.71022500000001"/>
    <n v="464.61995935763002"/>
    <n v="0.71443702065984049"/>
    <x v="1"/>
    <s v="LEVE"/>
    <x v="8"/>
    <x v="1"/>
    <n v="10"/>
    <n v="1"/>
    <d v="2018-11-03T00:00:00"/>
    <s v="NISSAN"/>
    <s v="VERSA"/>
    <n v="36.497500000000002"/>
    <d v="2018-11-05T00:00:00"/>
    <n v="3"/>
    <x v="1"/>
  </r>
  <r>
    <d v="2018-11-24T00:00:00"/>
    <s v="001-00013977"/>
    <n v="2337.0079355272892"/>
    <n v="1.52520006"/>
    <n v="0"/>
    <n v="0"/>
    <n v="14.625"/>
    <n v="204.75"/>
    <n v="371.86500000000001"/>
    <n v="0"/>
    <n v="592.76520005999998"/>
    <n v="1744.2427354672891"/>
    <n v="0.74635721554524503"/>
    <x v="1"/>
    <s v="LEVE"/>
    <x v="8"/>
    <x v="1"/>
    <n v="21"/>
    <n v="1"/>
    <d v="2018-11-03T00:00:00"/>
    <s v="CHEVROLET"/>
    <s v="SAIL"/>
    <n v="1353.2674999999999"/>
    <d v="2018-11-05T00:00:00"/>
    <n v="14"/>
    <x v="1"/>
  </r>
  <r>
    <d v="2018-11-14T00:00:00"/>
    <s v="001-00013978"/>
    <n v="285.5542096701501"/>
    <n v="0"/>
    <n v="0"/>
    <n v="13"/>
    <n v="0"/>
    <n v="17.549999999999997"/>
    <n v="61.977499999999999"/>
    <n v="0"/>
    <n v="92.527500000000003"/>
    <n v="193.0267096701501"/>
    <n v="0.67597220819514259"/>
    <x v="1"/>
    <s v="LEVE"/>
    <x v="8"/>
    <x v="1"/>
    <n v="11"/>
    <n v="1"/>
    <d v="2018-11-03T00:00:00"/>
    <s v="HYUNDAI"/>
    <s v="I10"/>
    <n v="2089.6849999999999"/>
    <d v="2018-11-05T00:00:00"/>
    <n v="1.2"/>
    <x v="1"/>
  </r>
  <r>
    <d v="2018-11-05T00:00:00"/>
    <s v="001-00013979"/>
    <n v="549"/>
    <n v="127.83390034999999"/>
    <n v="0"/>
    <n v="0"/>
    <n v="39.048749999999998"/>
    <n v="0"/>
    <n v="0"/>
    <n v="0"/>
    <n v="166.88265035000001"/>
    <n v="382.11734964999999"/>
    <n v="0.69602431630236794"/>
    <x v="0"/>
    <s v="MECANICA"/>
    <x v="8"/>
    <x v="1"/>
    <n v="1"/>
    <n v="1"/>
    <d v="2018-11-04T00:00:00"/>
    <s v="NISSAN"/>
    <s v="KICKS"/>
    <n v="0"/>
    <d v="2018-11-05T00:00:00"/>
    <n v="0"/>
    <x v="1264"/>
  </r>
  <r>
    <d v="2018-11-07T00:00:00"/>
    <s v="001-00013980"/>
    <n v="1199"/>
    <n v="409.66171159999999"/>
    <n v="0"/>
    <n v="59.319999999999993"/>
    <n v="68.298749999999998"/>
    <n v="0"/>
    <n v="0"/>
    <n v="0"/>
    <n v="537.28046159999997"/>
    <n v="661.71953840000003"/>
    <n v="0.55189285938281907"/>
    <x v="0"/>
    <s v="MECANICA"/>
    <x v="8"/>
    <x v="1"/>
    <n v="2"/>
    <n v="1"/>
    <d v="2018-11-05T00:00:00"/>
    <s v="KIA"/>
    <s v="SPORTAGE"/>
    <n v="429"/>
    <d v="2018-11-05T00:00:00"/>
    <n v="0"/>
    <x v="223"/>
  </r>
  <r>
    <d v="2018-11-13T00:00:00"/>
    <s v="001-00013982"/>
    <n v="1345.41980344068"/>
    <n v="0"/>
    <n v="0"/>
    <n v="0"/>
    <n v="11.700000000000001"/>
    <n v="87.75"/>
    <n v="216.92125000000001"/>
    <n v="0"/>
    <n v="316.37125000000003"/>
    <n v="1029.0485534406798"/>
    <n v="0.76485313417348622"/>
    <x v="1"/>
    <s v="LEVE"/>
    <x v="8"/>
    <x v="1"/>
    <n v="8"/>
    <n v="1"/>
    <d v="2018-11-05T00:00:00"/>
    <s v="CHEVROLET"/>
    <s v="PRISMA"/>
    <n v="2047.8575000000001"/>
    <d v="2018-11-05T00:00:00"/>
    <n v="6"/>
    <x v="1"/>
  </r>
  <r>
    <d v="2018-11-06T00:00:00"/>
    <s v="001-00013983"/>
    <n v="42.372897999999985"/>
    <n v="0"/>
    <n v="0"/>
    <n v="0"/>
    <n v="29.25"/>
    <n v="0"/>
    <n v="0"/>
    <n v="0"/>
    <n v="29.25"/>
    <n v="13.122897999999985"/>
    <n v="0.30970027114973325"/>
    <x v="0"/>
    <s v="MECANICA"/>
    <x v="8"/>
    <x v="1"/>
    <n v="2"/>
    <n v="1"/>
    <d v="2018-11-04T00:00:00"/>
    <s v="SUZUKI "/>
    <s v="GRAND V."/>
    <n v="0"/>
    <d v="2018-11-05T00:00:00"/>
    <n v="0"/>
    <x v="1261"/>
  </r>
  <r>
    <d v="2018-11-12T00:00:00"/>
    <s v="001-00013984"/>
    <n v="1414.1824055999998"/>
    <n v="0"/>
    <n v="0"/>
    <n v="76.27"/>
    <n v="0"/>
    <n v="73.125"/>
    <n v="247.91"/>
    <n v="0"/>
    <n v="397.30499999999995"/>
    <n v="1016.8774055999999"/>
    <n v="0.71905675079344944"/>
    <x v="1"/>
    <s v="LEVE"/>
    <x v="8"/>
    <x v="1"/>
    <n v="7"/>
    <n v="1"/>
    <d v="2018-11-05T00:00:00"/>
    <s v="SUZUKI "/>
    <s v="SWIFT"/>
    <n v="0"/>
    <d v="2018-11-05T00:00:00"/>
    <n v="5"/>
    <x v="1"/>
  </r>
  <r>
    <d v="2018-11-16T00:00:00"/>
    <s v="001-00013985"/>
    <n v="1058.6128913355901"/>
    <n v="0"/>
    <n v="0"/>
    <n v="0"/>
    <n v="11.700000000000001"/>
    <n v="73.125"/>
    <n v="123.955"/>
    <n v="0"/>
    <n v="208.78"/>
    <n v="849.83289133559015"/>
    <n v="0.80277965466999512"/>
    <x v="1"/>
    <s v="LEVE"/>
    <x v="8"/>
    <x v="1"/>
    <n v="11"/>
    <n v="1"/>
    <d v="2018-11-05T00:00:00"/>
    <s v="CHEVROLET"/>
    <s v="PRISMA"/>
    <n v="5607.3874999999998"/>
    <d v="2018-11-07T00:00:00"/>
    <n v="5"/>
    <x v="1"/>
  </r>
  <r>
    <d v="2018-11-09T00:00:00"/>
    <s v="001-00013987"/>
    <n v="251.06499255"/>
    <n v="0"/>
    <n v="0"/>
    <n v="0"/>
    <n v="0"/>
    <n v="43.875"/>
    <n v="30.98875"/>
    <n v="0"/>
    <n v="74.863749999999996"/>
    <n v="176.20124255000002"/>
    <n v="0.70181525811452683"/>
    <x v="1"/>
    <s v="LEVE"/>
    <x v="8"/>
    <x v="1"/>
    <n v="4"/>
    <n v="1"/>
    <d v="2018-11-05T00:00:00"/>
    <s v="SUZUKI "/>
    <s v="SWIFT"/>
    <n v="0"/>
    <d v="2018-11-06T00:00:00"/>
    <n v="3"/>
    <x v="1"/>
  </r>
  <r>
    <d v="2018-11-14T00:00:00"/>
    <s v="001-00013988"/>
    <n v="506.849985"/>
    <n v="0"/>
    <n v="0"/>
    <n v="0"/>
    <n v="0"/>
    <n v="190.125"/>
    <n v="617.29590000000007"/>
    <n v="0"/>
    <n v="807.42090000000007"/>
    <n v="-300.57091500000007"/>
    <n v="-0.59301750793185892"/>
    <x v="1"/>
    <s v="MEDIANO"/>
    <x v="8"/>
    <x v="1"/>
    <n v="9"/>
    <n v="1"/>
    <d v="2018-11-05T00:00:00"/>
    <s v="CHEVROLET"/>
    <s v="PRISMA"/>
    <n v="985.43249999999989"/>
    <d v="2018-11-05T00:00:00"/>
    <n v="6"/>
    <x v="1098"/>
  </r>
  <r>
    <d v="2018-11-17T00:00:00"/>
    <s v="001-00013989"/>
    <n v="1085.63245777119"/>
    <n v="0"/>
    <n v="0"/>
    <n v="0"/>
    <n v="0"/>
    <n v="58.5"/>
    <n v="139.449375"/>
    <n v="0"/>
    <n v="197.949375"/>
    <n v="887.68308277119002"/>
    <n v="0.81766446500098999"/>
    <x v="1"/>
    <s v="LEVE"/>
    <x v="8"/>
    <x v="1"/>
    <n v="12"/>
    <n v="1"/>
    <d v="2018-11-05T00:00:00"/>
    <s v="HYUNDAI"/>
    <s v="TUCSON"/>
    <n v="1111.8575000000001"/>
    <d v="2018-11-05T00:00:00"/>
    <n v="4"/>
    <x v="1"/>
  </r>
  <r>
    <d v="2018-11-15T00:00:00"/>
    <s v="001-00013990"/>
    <n v="555.27273630895024"/>
    <n v="1.8642000399999998"/>
    <n v="0"/>
    <n v="0"/>
    <n v="0"/>
    <n v="21.9375"/>
    <n v="61.977499999999999"/>
    <n v="0"/>
    <n v="85.779200040000006"/>
    <n v="469.49353626895027"/>
    <n v="0.84551879746483183"/>
    <x v="1"/>
    <s v="LEVE"/>
    <x v="8"/>
    <x v="1"/>
    <n v="10"/>
    <n v="1"/>
    <d v="2018-11-05T00:00:00"/>
    <s v="KIA"/>
    <s v="RIO"/>
    <n v="313.13749999999999"/>
    <d v="2018-11-05T00:00:00"/>
    <n v="1.5"/>
    <x v="1"/>
  </r>
  <r>
    <d v="2018-11-15T00:00:00"/>
    <s v="001-00013991"/>
    <n v="816.0568594491599"/>
    <n v="0"/>
    <n v="0"/>
    <n v="22"/>
    <n v="0"/>
    <n v="102.375"/>
    <n v="139.449375"/>
    <n v="0"/>
    <n v="263.82437500000003"/>
    <n v="552.23248444915987"/>
    <n v="0.67670834213919595"/>
    <x v="0"/>
    <s v="LEVE"/>
    <x v="8"/>
    <x v="1"/>
    <n v="10"/>
    <n v="1"/>
    <d v="2018-11-05T00:00:00"/>
    <s v="FORD"/>
    <s v="ECOSPORT"/>
    <n v="0"/>
    <d v="2018-11-09T00:00:00"/>
    <n v="7"/>
    <x v="1265"/>
  </r>
  <r>
    <d v="2018-11-08T00:00:00"/>
    <s v="001-00013992"/>
    <n v="1464.2099565000001"/>
    <n v="0"/>
    <n v="0"/>
    <n v="0"/>
    <n v="0"/>
    <n v="58.5"/>
    <n v="387.359375"/>
    <n v="0"/>
    <n v="445.859375"/>
    <n v="1018.3505815000001"/>
    <n v="0.69549491654477769"/>
    <x v="0"/>
    <s v="LEVE"/>
    <x v="8"/>
    <x v="1"/>
    <n v="3"/>
    <n v="1"/>
    <d v="2018-11-05T00:00:00"/>
    <s v="VOLVO"/>
    <s v="CX-60"/>
    <n v="0"/>
    <d v="2018-11-05T00:00:00"/>
    <n v="4"/>
    <x v="719"/>
  </r>
  <r>
    <d v="2018-11-15T00:00:00"/>
    <s v="001-00013993"/>
    <n v="500.43562948982992"/>
    <n v="0"/>
    <n v="0"/>
    <n v="0"/>
    <n v="0"/>
    <n v="43.875"/>
    <n v="68.175250000000005"/>
    <n v="0"/>
    <n v="112.05025000000001"/>
    <n v="388.38537948982992"/>
    <n v="0.7760945796081109"/>
    <x v="1"/>
    <s v="LEVE"/>
    <x v="8"/>
    <x v="1"/>
    <n v="10"/>
    <n v="1"/>
    <d v="2018-11-05T00:00:00"/>
    <s v="KIA"/>
    <s v="PICANTO"/>
    <n v="1704.9825000000001"/>
    <d v="2018-11-07T00:00:00"/>
    <n v="3"/>
    <x v="1"/>
  </r>
  <r>
    <d v="2018-11-05T00:00:00"/>
    <s v="001-00013994"/>
    <n v="349"/>
    <n v="104.82500210000001"/>
    <n v="0"/>
    <n v="0"/>
    <n v="39.048749999999998"/>
    <n v="0"/>
    <n v="0"/>
    <n v="0"/>
    <n v="143.87375209999999"/>
    <n v="205.12624790000001"/>
    <n v="0.5877542919770774"/>
    <x v="0"/>
    <s v="MECANICA"/>
    <x v="8"/>
    <x v="1"/>
    <n v="1"/>
    <n v="1"/>
    <d v="2018-11-04T00:00:00"/>
    <s v="KIA"/>
    <s v="RIO"/>
    <n v="0"/>
    <d v="2018-11-05T00:00:00"/>
    <n v="0"/>
    <x v="1205"/>
  </r>
  <r>
    <d v="2018-11-23T00:00:00"/>
    <s v="001-00013995"/>
    <n v="894.10233339236993"/>
    <n v="0"/>
    <n v="0"/>
    <n v="96.27"/>
    <n v="2.9250000000000003"/>
    <n v="51.1875"/>
    <n v="123.955"/>
    <n v="0"/>
    <n v="274.33749999999998"/>
    <n v="619.76483339236995"/>
    <n v="0.69316990935576828"/>
    <x v="1"/>
    <s v="GRAVE"/>
    <x v="8"/>
    <x v="1"/>
    <n v="18"/>
    <n v="1"/>
    <d v="2018-11-05T00:00:00"/>
    <s v="RENAULT"/>
    <s v="LOGAN"/>
    <n v="306.76749999999998"/>
    <d v="2018-11-07T00:00:00"/>
    <n v="3.5"/>
    <x v="999"/>
  </r>
  <r>
    <d v="2018-11-23T00:00:00"/>
    <s v="001-00013996"/>
    <n v="3165.6174435783078"/>
    <n v="0"/>
    <n v="0"/>
    <n v="22.5"/>
    <n v="0"/>
    <n v="263.25"/>
    <n v="495.82"/>
    <n v="0"/>
    <n v="781.56999999999994"/>
    <n v="2384.047443578308"/>
    <n v="0.75310661697752734"/>
    <x v="1"/>
    <s v="MEDIANO"/>
    <x v="8"/>
    <x v="1"/>
    <n v="18"/>
    <n v="1"/>
    <d v="2018-11-05T00:00:00"/>
    <s v="NISSAN"/>
    <s v="SENTRA"/>
    <n v="7006.9024999999992"/>
    <d v="2018-11-07T00:00:00"/>
    <n v="18"/>
    <x v="999"/>
  </r>
  <r>
    <d v="2018-11-15T00:00:00"/>
    <s v="001-00013997"/>
    <n v="1278.9656539495802"/>
    <n v="0"/>
    <n v="0"/>
    <n v="0"/>
    <n v="0"/>
    <n v="58.5"/>
    <n v="247.91"/>
    <n v="0"/>
    <n v="306.40999999999997"/>
    <n v="972.55565394958023"/>
    <n v="0.76042358991128989"/>
    <x v="1"/>
    <s v="LEVE"/>
    <x v="8"/>
    <x v="1"/>
    <n v="10"/>
    <n v="1"/>
    <d v="2018-11-05T00:00:00"/>
    <s v="TOYOTA"/>
    <s v="YARIS"/>
    <n v="1553.4025000000001"/>
    <d v="2018-11-07T00:00:00"/>
    <n v="4"/>
    <x v="1"/>
  </r>
  <r>
    <d v="2018-11-20T00:00:00"/>
    <s v="001-00013999"/>
    <n v="1647.4046592"/>
    <n v="0"/>
    <n v="0"/>
    <n v="76.27"/>
    <n v="0"/>
    <n v="87.75"/>
    <n v="247.91"/>
    <n v="0"/>
    <n v="411.92999999999995"/>
    <n v="1235.4746592000001"/>
    <n v="0.74995214581945024"/>
    <x v="1"/>
    <s v="MEDIANO"/>
    <x v="8"/>
    <x v="1"/>
    <n v="15"/>
    <n v="1"/>
    <d v="2018-11-05T00:00:00"/>
    <s v="CHEVROLET"/>
    <s v="SPIN"/>
    <n v="1589.1849999999999"/>
    <d v="2018-11-07T00:00:00"/>
    <n v="6"/>
    <x v="1"/>
  </r>
  <r>
    <d v="2018-11-20T00:00:00"/>
    <s v="001-00014000"/>
    <n v="555.10842224399994"/>
    <n v="0"/>
    <n v="0"/>
    <n v="18.5"/>
    <n v="0"/>
    <n v="43.875"/>
    <n v="88.627825000000001"/>
    <n v="0"/>
    <n v="151.002825"/>
    <n v="404.10559724399991"/>
    <n v="0.7279759791977608"/>
    <x v="1"/>
    <s v="LEVE"/>
    <x v="8"/>
    <x v="1"/>
    <n v="15"/>
    <n v="1"/>
    <d v="2018-11-05T00:00:00"/>
    <s v="NISSAN"/>
    <s v="X-TRAIL"/>
    <n v="1967.4525000000001"/>
    <d v="2018-11-07T00:00:00"/>
    <n v="3"/>
    <x v="999"/>
  </r>
  <r>
    <d v="2018-11-26T00:00:00"/>
    <s v="001-00014001"/>
    <n v="1227.7224446661003"/>
    <n v="0"/>
    <n v="0"/>
    <n v="68.084745762711862"/>
    <n v="0"/>
    <n v="73.125"/>
    <n v="170.43812500000001"/>
    <n v="0"/>
    <n v="311.64787076271188"/>
    <n v="916.07457390338845"/>
    <n v="0.74615771494878091"/>
    <x v="1"/>
    <s v="LEVE"/>
    <x v="8"/>
    <x v="1"/>
    <n v="21"/>
    <n v="1"/>
    <d v="2018-11-05T00:00:00"/>
    <s v="MITSUBISHI"/>
    <s v="OUTLANDER"/>
    <n v="8430.8249999999989"/>
    <d v="2018-11-07T00:00:00"/>
    <n v="5"/>
    <x v="1"/>
  </r>
  <r>
    <d v="2018-11-08T00:00:00"/>
    <s v="001-00014003"/>
    <n v="1354"/>
    <n v="584.74309960000005"/>
    <n v="0"/>
    <n v="93.22"/>
    <n v="78.097499999999997"/>
    <n v="0"/>
    <n v="0"/>
    <n v="0"/>
    <n v="756.06059960000005"/>
    <n v="597.93940039999995"/>
    <n v="0.44160960147710482"/>
    <x v="0"/>
    <s v="MECANICA"/>
    <x v="8"/>
    <x v="1"/>
    <n v="2"/>
    <n v="1"/>
    <d v="2018-11-06T00:00:00"/>
    <s v="SUZUKI "/>
    <s v="SX4"/>
    <n v="763.75"/>
    <d v="2018-11-06T00:00:00"/>
    <n v="0"/>
    <x v="926"/>
  </r>
  <r>
    <d v="2018-11-15T00:00:00"/>
    <s v="001-00014005"/>
    <n v="2053.7446506203401"/>
    <n v="5.2534001999999997"/>
    <n v="0"/>
    <n v="15.5"/>
    <n v="0"/>
    <n v="204.75"/>
    <n v="294.393125"/>
    <n v="0"/>
    <n v="519.89652520000004"/>
    <n v="1533.84812542034"/>
    <n v="0.74685434966661335"/>
    <x v="1"/>
    <s v="MEDIANO"/>
    <x v="8"/>
    <x v="1"/>
    <n v="9"/>
    <n v="1"/>
    <d v="2018-11-06T00:00:00"/>
    <s v="SUZUKI "/>
    <s v="GRAND N."/>
    <n v="3202.29"/>
    <d v="2018-11-07T00:00:00"/>
    <n v="14"/>
    <x v="1"/>
  </r>
  <r>
    <d v="2018-11-06T00:00:00"/>
    <s v="001-00014006"/>
    <n v="506.62710200000004"/>
    <n v="142.70780250000001"/>
    <n v="0"/>
    <n v="0"/>
    <n v="39.048749999999998"/>
    <n v="0"/>
    <n v="0"/>
    <n v="0"/>
    <n v="181.7565525"/>
    <n v="324.87054950000004"/>
    <n v="0.64124194741559648"/>
    <x v="0"/>
    <s v="MECANICA"/>
    <x v="8"/>
    <x v="1"/>
    <n v="0"/>
    <n v="1"/>
    <d v="2018-11-06T00:00:00"/>
    <s v="TOYOTA"/>
    <s v="LAND C."/>
    <n v="0"/>
    <d v="2018-11-06T00:00:00"/>
    <n v="0"/>
    <x v="830"/>
  </r>
  <r>
    <d v="2018-11-29T00:00:00"/>
    <s v="001-00014008"/>
    <n v="11039.080326600002"/>
    <n v="0"/>
    <n v="0"/>
    <n v="650.85"/>
    <n v="351"/>
    <n v="146.25"/>
    <n v="247.91"/>
    <n v="0"/>
    <n v="1396.01"/>
    <n v="9643.0703266000019"/>
    <n v="0.87353928418872495"/>
    <x v="0"/>
    <s v="MEDIANO"/>
    <x v="8"/>
    <x v="1"/>
    <n v="23"/>
    <n v="1"/>
    <d v="2018-11-06T00:00:00"/>
    <s v="NISSAN"/>
    <s v="FRONTIER"/>
    <n v="1157"/>
    <d v="2018-11-16T00:00:00"/>
    <n v="10"/>
    <x v="999"/>
  </r>
  <r>
    <d v="2018-11-29T00:00:00"/>
    <s v="001-00014009"/>
    <n v="4128.6701221500007"/>
    <n v="5.4759001999999999"/>
    <n v="0"/>
    <n v="148.31"/>
    <n v="95.0625"/>
    <n v="321.75"/>
    <n v="433.84250000000003"/>
    <n v="0"/>
    <n v="1004.4409002"/>
    <n v="3124.2292219500005"/>
    <n v="0.75671563227799399"/>
    <x v="1"/>
    <s v="MEDIANO"/>
    <x v="8"/>
    <x v="1"/>
    <n v="23"/>
    <n v="1"/>
    <d v="2018-11-06T00:00:00"/>
    <s v="TOYOTA"/>
    <s v="YARIS"/>
    <n v="7954.2124999999996"/>
    <d v="2018-11-09T00:00:00"/>
    <n v="22"/>
    <x v="1"/>
  </r>
  <r>
    <d v="2018-11-15T00:00:00"/>
    <s v="001-00014010"/>
    <n v="337.89999"/>
    <n v="0"/>
    <n v="0"/>
    <n v="0"/>
    <n v="0"/>
    <n v="58.5"/>
    <n v="216.92125000000001"/>
    <n v="0"/>
    <n v="275.42124999999999"/>
    <n v="62.478740000000016"/>
    <n v="0.18490305371124757"/>
    <x v="1"/>
    <s v="LEVE"/>
    <x v="8"/>
    <x v="1"/>
    <n v="9"/>
    <n v="1"/>
    <d v="2018-11-06T00:00:00"/>
    <s v="VOLKSWAGEN"/>
    <s v="CADDY"/>
    <n v="0"/>
    <s v="F/Fecha"/>
    <n v="0"/>
    <x v="1266"/>
  </r>
  <r>
    <d v="2018-11-24T00:00:00"/>
    <s v="001-00014012"/>
    <n v="3325.3654062772894"/>
    <n v="7.0011002599999994"/>
    <n v="0"/>
    <n v="135.6"/>
    <n v="67.274999999999991"/>
    <n v="234"/>
    <n v="386.7396"/>
    <n v="0"/>
    <n v="830.61570026000004"/>
    <n v="2494.7497060172891"/>
    <n v="0.75021821701397151"/>
    <x v="1"/>
    <s v="MEDIANO"/>
    <x v="8"/>
    <x v="1"/>
    <n v="18"/>
    <n v="1"/>
    <d v="2018-11-06T00:00:00"/>
    <s v="KIA"/>
    <s v="RIO"/>
    <n v="8740.5174999999999"/>
    <d v="2018-11-08T00:00:00"/>
    <n v="16"/>
    <x v="1"/>
  </r>
  <r>
    <d v="2018-11-16T00:00:00"/>
    <s v="001-00014015"/>
    <n v="1035"/>
    <n v="12.71"/>
    <n v="0"/>
    <n v="288.13"/>
    <n v="58.5"/>
    <n v="0"/>
    <n v="0"/>
    <n v="0"/>
    <n v="359.34"/>
    <n v="675.66000000000008"/>
    <n v="0.65281159420289858"/>
    <x v="0"/>
    <s v="MECANICA"/>
    <x v="8"/>
    <x v="1"/>
    <n v="9"/>
    <n v="1"/>
    <d v="2018-11-07T00:00:00"/>
    <s v="CHEVROLET"/>
    <s v="CAPTIVA"/>
    <n v="74.977500000000006"/>
    <d v="2018-11-07T00:00:00"/>
    <n v="0"/>
    <x v="236"/>
  </r>
  <r>
    <d v="2018-11-07T00:00:00"/>
    <s v="001-00014016"/>
    <n v="249"/>
    <n v="55.434802199999993"/>
    <n v="0"/>
    <n v="0"/>
    <n v="39.048749999999998"/>
    <n v="0"/>
    <n v="0"/>
    <n v="0"/>
    <n v="94.483552199999991"/>
    <n v="154.51644780000001"/>
    <n v="0.62054798313253012"/>
    <x v="0"/>
    <s v="MECANICA"/>
    <x v="8"/>
    <x v="1"/>
    <n v="0"/>
    <n v="1"/>
    <d v="2018-11-07T00:00:00"/>
    <s v="HYUNDAI"/>
    <s v="ACCENT"/>
    <n v="0"/>
    <d v="2018-11-07T00:00:00"/>
    <n v="0"/>
    <x v="110"/>
  </r>
  <r>
    <d v="2018-11-28T00:00:00"/>
    <s v="001-00014017"/>
    <n v="2521.1949179045791"/>
    <n v="63.68690269999999"/>
    <n v="0"/>
    <n v="240.25"/>
    <n v="23.400000000000002"/>
    <n v="234"/>
    <n v="278.89875000000001"/>
    <n v="0"/>
    <n v="840.23565269999995"/>
    <n v="1680.9592652045792"/>
    <n v="0.6667311810233465"/>
    <x v="1"/>
    <s v="MEDIANO"/>
    <x v="8"/>
    <x v="1"/>
    <n v="21"/>
    <n v="1"/>
    <d v="2018-11-07T00:00:00"/>
    <s v="RENAULT"/>
    <s v="LOGAN"/>
    <n v="5287.4575000000004"/>
    <d v="2018-11-09T00:00:00"/>
    <n v="16"/>
    <x v="999"/>
  </r>
  <r>
    <d v="2018-11-14T00:00:00"/>
    <s v="001-00014021"/>
    <n v="783.0403135262701"/>
    <n v="0"/>
    <n v="0"/>
    <n v="10.5"/>
    <n v="0"/>
    <n v="43.875"/>
    <n v="123.955"/>
    <n v="0"/>
    <n v="178.32999999999998"/>
    <n v="604.71031352627006"/>
    <n v="0.77225949045084863"/>
    <x v="1"/>
    <s v="LEVE"/>
    <x v="8"/>
    <x v="1"/>
    <n v="7"/>
    <n v="1"/>
    <d v="2018-11-07T00:00:00"/>
    <s v="HYUNDAI"/>
    <s v="ACCENT"/>
    <n v="32.402500000000003"/>
    <d v="2018-11-08T00:00:00"/>
    <n v="3"/>
    <x v="1"/>
  </r>
  <r>
    <d v="2018-11-12T00:00:00"/>
    <s v="001-00014022"/>
    <n v="1192.40195292"/>
    <n v="395.19"/>
    <n v="0"/>
    <n v="0"/>
    <n v="0"/>
    <n v="43.875"/>
    <n v="123.955"/>
    <n v="0"/>
    <n v="563.02"/>
    <n v="629.38195292"/>
    <n v="0.52782700613559475"/>
    <x v="0"/>
    <s v="LEVE"/>
    <x v="8"/>
    <x v="1"/>
    <n v="5"/>
    <n v="1"/>
    <d v="2018-11-07T00:00:00"/>
    <s v="SUZUKI "/>
    <s v="APV"/>
    <n v="613.01499999999999"/>
    <d v="2018-11-07T00:00:00"/>
    <n v="3"/>
    <x v="1267"/>
  </r>
  <r>
    <d v="2018-11-15T00:00:00"/>
    <s v="001-00014023"/>
    <n v="925.73139071339108"/>
    <n v="0"/>
    <n v="0"/>
    <n v="0"/>
    <n v="0"/>
    <n v="73.125"/>
    <n v="154.94374999999999"/>
    <n v="0"/>
    <n v="228.06874999999999"/>
    <n v="697.66264071339106"/>
    <n v="0.75363398898654099"/>
    <x v="1"/>
    <s v="LEVE"/>
    <x v="8"/>
    <x v="1"/>
    <n v="8"/>
    <n v="1"/>
    <d v="2018-11-07T00:00:00"/>
    <s v="KIA"/>
    <s v="RIO"/>
    <n v="0"/>
    <d v="2018-11-05T00:00:00"/>
    <n v="5"/>
    <x v="1"/>
  </r>
  <r>
    <d v="2018-11-30T00:00:00"/>
    <s v="001-00014025"/>
    <n v="364.41519"/>
    <n v="0"/>
    <n v="0"/>
    <n v="0"/>
    <n v="39.048749999999998"/>
    <n v="0"/>
    <n v="0"/>
    <n v="0"/>
    <n v="39.048749999999998"/>
    <n v="325.36644000000001"/>
    <n v="0.8928454381937263"/>
    <x v="0"/>
    <s v="MEDIANO"/>
    <x v="8"/>
    <x v="1"/>
    <n v="23"/>
    <n v="1"/>
    <d v="2018-11-07T00:00:00"/>
    <s v="HYUNDAI"/>
    <s v="ELANTRA"/>
    <n v="0"/>
    <d v="2018-11-30T00:00:00"/>
    <n v="0"/>
    <x v="1268"/>
  </r>
  <r>
    <d v="2018-11-28T00:00:00"/>
    <s v="001-00014026"/>
    <n v="4143.2193555769363"/>
    <n v="0"/>
    <n v="0"/>
    <n v="139.83474576271186"/>
    <n v="73.125"/>
    <n v="292.5"/>
    <n v="604.28062499999999"/>
    <n v="0"/>
    <n v="1109.7403707627118"/>
    <n v="3033.4789848142245"/>
    <n v="0.73215505250308377"/>
    <x v="1"/>
    <s v="MEDIANO"/>
    <x v="8"/>
    <x v="1"/>
    <n v="21"/>
    <n v="1"/>
    <d v="2018-11-07T00:00:00"/>
    <s v="TOYOTA"/>
    <s v="RAV 4"/>
    <n v="10477.3825"/>
    <d v="2018-11-09T00:00:00"/>
    <n v="20"/>
    <x v="31"/>
  </r>
  <r>
    <d v="2018-11-14T00:00:00"/>
    <s v="001-00014027"/>
    <n v="1263.0299525211899"/>
    <n v="0"/>
    <n v="0"/>
    <n v="0"/>
    <n v="0"/>
    <n v="175.5"/>
    <n v="123.955"/>
    <n v="0"/>
    <n v="299.45499999999998"/>
    <n v="963.57495252118997"/>
    <n v="0.76290744380032749"/>
    <x v="1"/>
    <s v="MEDIANO"/>
    <x v="8"/>
    <x v="1"/>
    <n v="7"/>
    <n v="1"/>
    <d v="2018-11-07T00:00:00"/>
    <s v="KIA"/>
    <s v="CERATO"/>
    <n v="69.517499999999998"/>
    <d v="2018-11-09T00:00:00"/>
    <n v="12"/>
    <x v="1"/>
  </r>
  <r>
    <d v="2018-11-14T00:00:00"/>
    <s v="001-00014028"/>
    <n v="449"/>
    <n v="121.7159011"/>
    <n v="0"/>
    <n v="0"/>
    <n v="0"/>
    <n v="0"/>
    <n v="0"/>
    <n v="0"/>
    <n v="121.7159011"/>
    <n v="327.2840989"/>
    <n v="0.72891781492204899"/>
    <x v="0"/>
    <s v="MECANICA"/>
    <x v="8"/>
    <x v="1"/>
    <n v="7"/>
    <n v="1"/>
    <d v="2018-11-07T00:00:00"/>
    <s v="KIA"/>
    <s v="CERATO"/>
    <n v="0"/>
    <s v="F/Fecha"/>
    <n v="0"/>
    <x v="1269"/>
  </r>
  <r>
    <d v="2018-11-21T00:00:00"/>
    <s v="001-00014029"/>
    <n v="1609.67736121864"/>
    <n v="1.2711000000000001"/>
    <n v="0"/>
    <n v="0"/>
    <n v="0"/>
    <n v="146.25"/>
    <n v="216.92125000000001"/>
    <n v="0"/>
    <n v="364.44235000000003"/>
    <n v="1245.23501121864"/>
    <n v="0.77359292068064411"/>
    <x v="1"/>
    <s v="MEDIANO"/>
    <x v="8"/>
    <x v="1"/>
    <n v="14"/>
    <n v="1"/>
    <d v="2018-11-07T00:00:00"/>
    <s v="NISSAN"/>
    <s v="SENTRA"/>
    <n v="1392.2349999999999"/>
    <d v="2018-11-09T00:00:00"/>
    <n v="10"/>
    <x v="1"/>
  </r>
  <r>
    <d v="2018-11-12T00:00:00"/>
    <s v="001-00014030"/>
    <n v="657.54"/>
    <n v="0"/>
    <n v="0"/>
    <n v="22.5"/>
    <n v="0"/>
    <n v="29.25"/>
    <n v="154.94374999999999"/>
    <n v="0"/>
    <n v="206.69374999999999"/>
    <n v="450.84624999999994"/>
    <n v="0.68565600571828322"/>
    <x v="0"/>
    <s v="LEVE"/>
    <x v="8"/>
    <x v="1"/>
    <n v="4"/>
    <n v="1"/>
    <d v="2018-11-08T00:00:00"/>
    <s v="NISSAN"/>
    <s v="FRONTIER"/>
    <n v="0"/>
    <d v="2018-11-08T00:00:00"/>
    <n v="2"/>
    <x v="999"/>
  </r>
  <r>
    <d v="2018-11-08T00:00:00"/>
    <s v="001-00014032"/>
    <n v="550.92370200000005"/>
    <n v="71.485901100000007"/>
    <n v="0"/>
    <n v="0"/>
    <n v="39.048749999999998"/>
    <n v="0"/>
    <n v="0"/>
    <n v="0"/>
    <n v="110.5346511"/>
    <n v="440.38905090000003"/>
    <n v="0.79936486540925766"/>
    <x v="0"/>
    <s v="MECANICA"/>
    <x v="8"/>
    <x v="1"/>
    <n v="0"/>
    <n v="1"/>
    <d v="2018-11-08T00:00:00"/>
    <s v="KIA"/>
    <s v="CERATO"/>
    <n v="0"/>
    <d v="2018-11-08T00:00:00"/>
    <n v="0"/>
    <x v="1270"/>
  </r>
  <r>
    <d v="2018-11-17T00:00:00"/>
    <s v="001-00014033"/>
    <n v="1060.2899585211899"/>
    <n v="0"/>
    <n v="0"/>
    <n v="0"/>
    <n v="0"/>
    <n v="102.375"/>
    <n v="123.955"/>
    <n v="0"/>
    <n v="226.32999999999998"/>
    <n v="833.95995852118995"/>
    <n v="0.78653952328694365"/>
    <x v="1"/>
    <s v="MEDIANO"/>
    <x v="8"/>
    <x v="1"/>
    <n v="9"/>
    <n v="1"/>
    <d v="2018-11-08T00:00:00"/>
    <s v="KIA"/>
    <s v="CERATO"/>
    <n v="343.91499999999996"/>
    <d v="2018-11-09T00:00:00"/>
    <n v="7"/>
    <x v="1"/>
  </r>
  <r>
    <d v="2018-11-28T00:00:00"/>
    <s v="001-00014034"/>
    <n v="2182.5881385115217"/>
    <n v="0"/>
    <n v="0"/>
    <n v="55.084745762711869"/>
    <n v="23.400000000000002"/>
    <n v="146.25"/>
    <n v="340.87625000000003"/>
    <n v="0"/>
    <n v="565.61099576271192"/>
    <n v="1616.9771427488099"/>
    <n v="0.74085307906582576"/>
    <x v="1"/>
    <s v="MEDIANO"/>
    <x v="8"/>
    <x v="1"/>
    <n v="20"/>
    <n v="1"/>
    <d v="2018-11-08T00:00:00"/>
    <s v="TOYOTA"/>
    <s v="YARIS"/>
    <n v="4820.3024999999998"/>
    <d v="2018-11-14T00:00:00"/>
    <n v="10"/>
    <x v="1271"/>
  </r>
  <r>
    <d v="2018-11-13T00:00:00"/>
    <s v="001-00014036"/>
    <n v="192.48900570000001"/>
    <n v="0"/>
    <n v="0"/>
    <n v="0"/>
    <n v="0"/>
    <n v="11.700000000000001"/>
    <n v="0"/>
    <n v="0"/>
    <n v="11.700000000000001"/>
    <n v="180.78900570000002"/>
    <n v="0.93921730772387702"/>
    <x v="1"/>
    <s v="LEVE"/>
    <x v="8"/>
    <x v="1"/>
    <n v="5"/>
    <n v="1"/>
    <d v="2018-11-08T00:00:00"/>
    <s v="MAZDA"/>
    <s v="CX3"/>
    <n v="0"/>
    <d v="2018-11-09T00:00:00"/>
    <n v="0.8"/>
    <x v="1"/>
  </r>
  <r>
    <d v="2018-11-21T00:00:00"/>
    <s v="001-00014037"/>
    <n v="1821.7454461500001"/>
    <n v="0.33899998000000003"/>
    <n v="0"/>
    <n v="0"/>
    <n v="0"/>
    <n v="175.5"/>
    <n v="278.89875000000001"/>
    <n v="0"/>
    <n v="454.73774997999999"/>
    <n v="1367.0076961700001"/>
    <n v="0.75038348472832828"/>
    <x v="1"/>
    <s v="MEDIANO"/>
    <x v="8"/>
    <x v="1"/>
    <n v="13"/>
    <n v="1"/>
    <d v="2018-11-08T00:00:00"/>
    <s v="MITSUBISHI"/>
    <s v="L200"/>
    <n v="2765.0675000000001"/>
    <d v="2018-11-06T00:00:00"/>
    <n v="12"/>
    <x v="999"/>
  </r>
  <r>
    <d v="2018-11-08T00:00:00"/>
    <s v="001-00014038"/>
    <n v="306.62710200000004"/>
    <n v="78.878801100000004"/>
    <n v="0"/>
    <n v="0"/>
    <n v="39.048749999999998"/>
    <n v="0"/>
    <n v="0"/>
    <n v="0"/>
    <n v="117.9275511"/>
    <n v="188.69955090000002"/>
    <n v="0.61540401898329256"/>
    <x v="0"/>
    <s v="MECANICA"/>
    <x v="8"/>
    <x v="1"/>
    <n v="0"/>
    <n v="1"/>
    <d v="2018-11-08T00:00:00"/>
    <s v="NISSAN"/>
    <s v="VERSA"/>
    <n v="0"/>
    <d v="2018-11-08T00:00:00"/>
    <n v="0"/>
    <x v="300"/>
  </r>
  <r>
    <d v="2018-11-24T00:00:00"/>
    <s v="001-00014040"/>
    <n v="3304"/>
    <n v="1779.6667989999996"/>
    <n v="0"/>
    <n v="0"/>
    <n v="58.5"/>
    <n v="0"/>
    <n v="0"/>
    <n v="0"/>
    <n v="1838.1667989999996"/>
    <n v="1465.8332010000004"/>
    <n v="0.44365411652542386"/>
    <x v="0"/>
    <s v="MECANICA"/>
    <x v="8"/>
    <x v="1"/>
    <n v="16"/>
    <n v="1"/>
    <d v="2018-11-08T00:00:00"/>
    <s v="HYUNDAI"/>
    <s v="ELANTRA"/>
    <n v="2753.9850000000001"/>
    <d v="2018-11-12T00:00:00"/>
    <n v="0"/>
    <x v="871"/>
  </r>
  <r>
    <d v="2018-11-19T00:00:00"/>
    <s v="001-00014041"/>
    <n v="1182.9077826923703"/>
    <n v="0"/>
    <n v="0"/>
    <n v="0"/>
    <n v="0"/>
    <n v="175.5"/>
    <n v="123.955"/>
    <n v="0"/>
    <n v="299.45499999999998"/>
    <n v="883.45278269237042"/>
    <n v="0.74684839817485849"/>
    <x v="1"/>
    <s v="LEVE"/>
    <x v="8"/>
    <x v="1"/>
    <n v="11"/>
    <n v="1"/>
    <d v="2018-11-08T00:00:00"/>
    <s v="MITSUBISHI"/>
    <s v="MIRAGE"/>
    <n v="0"/>
    <d v="2018-11-09T00:00:00"/>
    <n v="12"/>
    <x v="1"/>
  </r>
  <r>
    <d v="2018-11-27T00:00:00"/>
    <s v="001-00014042"/>
    <n v="1895.0217276899998"/>
    <n v="0"/>
    <n v="0"/>
    <n v="0"/>
    <n v="2.9250000000000003"/>
    <n v="190.125"/>
    <n v="216.92125000000001"/>
    <n v="0"/>
    <n v="409.97125000000005"/>
    <n v="1485.0504776899998"/>
    <n v="0.78365881297849382"/>
    <x v="1"/>
    <s v="MEDIANO"/>
    <x v="8"/>
    <x v="1"/>
    <n v="19"/>
    <n v="1"/>
    <d v="2018-11-08T00:00:00"/>
    <s v="KIA"/>
    <s v="CERATO"/>
    <n v="1940.77"/>
    <d v="2018-11-09T00:00:00"/>
    <n v="13"/>
    <x v="1"/>
  </r>
  <r>
    <d v="2018-11-14T00:00:00"/>
    <s v="001-00014043"/>
    <n v="500"/>
    <n v="0"/>
    <n v="0"/>
    <n v="0"/>
    <n v="0"/>
    <n v="29.25"/>
    <n v="92.966250000000002"/>
    <n v="0"/>
    <n v="122.21625"/>
    <n v="377.78375"/>
    <n v="0.75556749999999995"/>
    <x v="0"/>
    <s v="LEVE"/>
    <x v="8"/>
    <x v="1"/>
    <n v="6"/>
    <n v="1"/>
    <d v="2018-11-08T00:00:00"/>
    <s v="MITSUBISHI"/>
    <s v="OUTLANDER"/>
    <n v="0"/>
    <d v="2018-11-08T00:00:00"/>
    <n v="2"/>
    <x v="1254"/>
  </r>
  <r>
    <d v="2018-11-10T00:00:00"/>
    <s v="001-00014046"/>
    <n v="744"/>
    <n v="96.333204219999985"/>
    <n v="0"/>
    <n v="0"/>
    <n v="39.048749999999998"/>
    <n v="14.625"/>
    <n v="61.977499999999999"/>
    <n v="0"/>
    <n v="211.98445421999998"/>
    <n v="532.01554578000002"/>
    <n v="0.71507465830645167"/>
    <x v="0"/>
    <s v="LEVE"/>
    <x v="8"/>
    <x v="1"/>
    <n v="1"/>
    <n v="1"/>
    <d v="2018-11-09T00:00:00"/>
    <s v="HYUNDAI"/>
    <s v="ELANTRA"/>
    <n v="164.97"/>
    <d v="2018-11-09T00:00:00"/>
    <n v="1"/>
    <x v="1272"/>
  </r>
  <r>
    <d v="2018-11-30T00:00:00"/>
    <s v="001-00014047"/>
    <n v="3149.2279068000007"/>
    <n v="0"/>
    <n v="0"/>
    <n v="55.084745762711869"/>
    <n v="33.637499999999996"/>
    <n v="438.75"/>
    <n v="340.87625000000003"/>
    <n v="0"/>
    <n v="868.34849576271188"/>
    <n v="2280.8794110372887"/>
    <n v="0.72426622605251212"/>
    <x v="1"/>
    <s v="GRAVE"/>
    <x v="8"/>
    <x v="1"/>
    <n v="21"/>
    <n v="1"/>
    <d v="2018-11-09T00:00:00"/>
    <s v="HYUNDAI"/>
    <s v="ACCENT"/>
    <n v="4707.1374999999998"/>
    <d v="2018-11-12T00:00:00"/>
    <n v="30"/>
    <x v="1"/>
  </r>
  <r>
    <d v="2018-11-27T00:00:00"/>
    <s v="001-00014048"/>
    <n v="2657.0650472100001"/>
    <n v="0"/>
    <n v="0"/>
    <n v="73.084745762711862"/>
    <n v="0"/>
    <n v="204.75"/>
    <n v="309.88749999999999"/>
    <n v="0"/>
    <n v="587.72224576271185"/>
    <n v="2069.3428014472884"/>
    <n v="0.77880773134258108"/>
    <x v="1"/>
    <s v="MEDIANO"/>
    <x v="8"/>
    <x v="1"/>
    <n v="18"/>
    <n v="1"/>
    <d v="2018-11-09T00:00:00"/>
    <s v="TOYOTA"/>
    <s v="RAV4"/>
    <n v="3952.78"/>
    <d v="2018-11-12T00:00:00"/>
    <n v="14"/>
    <x v="96"/>
  </r>
  <r>
    <d v="2018-11-23T00:00:00"/>
    <s v="001-00014049"/>
    <n v="735.31397819999995"/>
    <n v="2.71160004"/>
    <n v="0"/>
    <n v="0"/>
    <n v="0"/>
    <n v="43.875"/>
    <n v="123.955"/>
    <n v="0"/>
    <n v="170.54160003999999"/>
    <n v="564.77237816000002"/>
    <n v="0.76806968846495416"/>
    <x v="1"/>
    <s v="LEVE"/>
    <x v="8"/>
    <x v="1"/>
    <n v="14"/>
    <n v="1"/>
    <d v="2018-11-09T00:00:00"/>
    <s v="HYUNDAI"/>
    <s v="ELANTRA"/>
    <n v="3774.03"/>
    <d v="2018-10-23T00:00:00"/>
    <n v="3"/>
    <x v="1"/>
  </r>
  <r>
    <d v="2018-11-13T00:00:00"/>
    <s v="001-00014050"/>
    <n v="2707"/>
    <n v="900.95531615000016"/>
    <n v="0"/>
    <n v="88.990000000000009"/>
    <n v="68.298749999999998"/>
    <n v="0"/>
    <n v="0"/>
    <n v="0"/>
    <n v="1058.2440661500002"/>
    <n v="1648.7559338499998"/>
    <n v="0.60907127220169921"/>
    <x v="0"/>
    <s v="MECANICA"/>
    <x v="8"/>
    <x v="1"/>
    <n v="4"/>
    <n v="1"/>
    <d v="2018-11-09T00:00:00"/>
    <s v="RENAULT"/>
    <s v="LOGAN"/>
    <n v="217.97749999999996"/>
    <d v="2018-11-09T00:00:00"/>
    <n v="0"/>
    <x v="1273"/>
  </r>
  <r>
    <d v="2018-11-27T00:00:00"/>
    <s v="001-00014051"/>
    <n v="600.98695019999991"/>
    <n v="0"/>
    <n v="0"/>
    <n v="15"/>
    <n v="0"/>
    <n v="29.25"/>
    <n v="123.955"/>
    <n v="0"/>
    <n v="168.20499999999998"/>
    <n v="432.78195019999993"/>
    <n v="0.72011871481731216"/>
    <x v="1"/>
    <s v="LEVE"/>
    <x v="8"/>
    <x v="1"/>
    <n v="18"/>
    <n v="1"/>
    <d v="2018-11-09T00:00:00"/>
    <s v="RENAULT"/>
    <s v="KOLEOS"/>
    <n v="3635.6775000000002"/>
    <d v="2018-11-10T00:00:00"/>
    <n v="2"/>
    <x v="1"/>
  </r>
  <r>
    <d v="2018-11-09T00:00:00"/>
    <s v="001-00014052"/>
    <n v="349"/>
    <n v="89.121501250000023"/>
    <n v="0"/>
    <n v="0"/>
    <n v="39.048749999999998"/>
    <n v="0"/>
    <n v="0"/>
    <n v="0"/>
    <n v="128.17025125000004"/>
    <n v="220.82974874999996"/>
    <n v="0.63274999641833796"/>
    <x v="0"/>
    <s v="MECANICA"/>
    <x v="8"/>
    <x v="1"/>
    <n v="0"/>
    <n v="1"/>
    <d v="2018-11-09T00:00:00"/>
    <s v="MAZDA"/>
    <s v="MAZDA 3"/>
    <n v="0"/>
    <d v="2018-11-09T00:00:00"/>
    <n v="0"/>
    <x v="921"/>
  </r>
  <r>
    <d v="2018-11-09T00:00:00"/>
    <s v="001-00014053"/>
    <n v="50.839001000000017"/>
    <n v="0"/>
    <n v="0"/>
    <n v="0"/>
    <n v="39.048749999999998"/>
    <n v="0"/>
    <n v="0"/>
    <n v="0"/>
    <n v="39.048749999999998"/>
    <n v="11.790251000000019"/>
    <n v="0.23191350671898558"/>
    <x v="0"/>
    <s v="MECANICA"/>
    <x v="8"/>
    <x v="1"/>
    <n v="0"/>
    <n v="1"/>
    <d v="2018-11-09T00:00:00"/>
    <s v="HYUNDAI"/>
    <s v="ACCENT"/>
    <n v="0"/>
    <d v="2018-11-09T00:00:00"/>
    <n v="0"/>
    <x v="836"/>
  </r>
  <r>
    <d v="2018-11-16T00:00:00"/>
    <s v="001-00014054"/>
    <n v="449"/>
    <n v="141.34005300000001"/>
    <n v="0"/>
    <n v="0"/>
    <n v="39.048749999999998"/>
    <n v="0"/>
    <n v="0"/>
    <n v="0"/>
    <n v="180.388803"/>
    <n v="268.611197"/>
    <n v="0.59824320044543433"/>
    <x v="0"/>
    <s v="MECANICA"/>
    <x v="8"/>
    <x v="1"/>
    <n v="7"/>
    <n v="1"/>
    <d v="2018-11-09T00:00:00"/>
    <s v="HYUNDAI"/>
    <s v="H1"/>
    <n v="0"/>
    <d v="2018-11-09T00:00:00"/>
    <n v="0"/>
    <x v="1274"/>
  </r>
  <r>
    <d v="2018-11-13T00:00:00"/>
    <s v="001-00014055"/>
    <n v="374.4237"/>
    <n v="92.852802399999987"/>
    <n v="0"/>
    <n v="0"/>
    <n v="39.048749999999998"/>
    <n v="0"/>
    <n v="0"/>
    <n v="0"/>
    <n v="131.90155239999999"/>
    <n v="242.52214760000001"/>
    <n v="0.64772114478864451"/>
    <x v="0"/>
    <s v="MECANICA"/>
    <x v="8"/>
    <x v="1"/>
    <n v="4"/>
    <n v="1"/>
    <d v="2018-11-09T00:00:00"/>
    <s v="CHEVROLET"/>
    <s v="AVEO"/>
    <n v="25.349999999999998"/>
    <d v="2018-11-09T00:00:00"/>
    <n v="0"/>
    <x v="465"/>
  </r>
  <r>
    <d v="2018-11-09T00:00:00"/>
    <s v="001-00014058"/>
    <n v="455.37756299099993"/>
    <n v="0"/>
    <n v="0"/>
    <n v="0"/>
    <n v="0"/>
    <n v="14.625"/>
    <n v="61.977499999999999"/>
    <n v="0"/>
    <n v="76.602499999999992"/>
    <n v="378.77506299099991"/>
    <n v="0.8317824455450521"/>
    <x v="0"/>
    <s v="LEVE"/>
    <x v="8"/>
    <x v="1"/>
    <n v="0"/>
    <n v="1"/>
    <d v="2018-11-09T00:00:00"/>
    <s v="KIA"/>
    <s v="SORENTO"/>
    <n v="0"/>
    <d v="2018-11-09T00:00:00"/>
    <n v="1"/>
    <x v="1275"/>
  </r>
  <r>
    <d v="2018-11-20T00:00:00"/>
    <s v="001-00014059"/>
    <n v="1104.606"/>
    <n v="0"/>
    <n v="0"/>
    <n v="0"/>
    <n v="0"/>
    <n v="73.125"/>
    <n v="185.9325"/>
    <n v="0"/>
    <n v="259.0575"/>
    <n v="845.54849999999999"/>
    <n v="0.76547520111243283"/>
    <x v="1"/>
    <s v="LEVE"/>
    <x v="8"/>
    <x v="1"/>
    <n v="11"/>
    <n v="1"/>
    <d v="2018-11-09T00:00:00"/>
    <s v="KIA"/>
    <s v="RIO"/>
    <n v="627.25"/>
    <d v="2018-11-10T00:00:00"/>
    <n v="5"/>
    <x v="1"/>
  </r>
  <r>
    <d v="2018-11-16T00:00:00"/>
    <s v="001-00014061"/>
    <n v="482.07459130271104"/>
    <n v="296.20308999999992"/>
    <n v="0"/>
    <n v="0"/>
    <n v="39.048749999999998"/>
    <n v="0"/>
    <n v="0"/>
    <n v="0"/>
    <n v="335.2518399999999"/>
    <n v="146.82275130271114"/>
    <n v="0.30456438474791164"/>
    <x v="0"/>
    <s v="MECANICA"/>
    <x v="8"/>
    <x v="1"/>
    <n v="6"/>
    <n v="1"/>
    <d v="2018-11-10T00:00:00"/>
    <s v="CHEVROLET"/>
    <s v="CAPTIVA"/>
    <n v="462.70249999999999"/>
    <d v="2018-11-12T00:00:00"/>
    <n v="0"/>
    <x v="236"/>
  </r>
  <r>
    <d v="2018-11-12T00:00:00"/>
    <s v="001-00014063"/>
    <n v="315"/>
    <n v="107.92560189999998"/>
    <n v="0"/>
    <n v="0"/>
    <n v="0"/>
    <n v="0"/>
    <n v="0"/>
    <n v="0"/>
    <n v="107.92560189999998"/>
    <n v="207.07439810000002"/>
    <n v="0.65737904158730165"/>
    <x v="0"/>
    <s v="MECANICA"/>
    <x v="8"/>
    <x v="1"/>
    <n v="0"/>
    <n v="1"/>
    <d v="2018-11-12T00:00:00"/>
    <s v="KIA"/>
    <s v="RIO"/>
    <n v="0"/>
    <d v="2018-11-12T00:00:00"/>
    <n v="0"/>
    <x v="157"/>
  </r>
  <r>
    <d v="2018-11-27T00:00:00"/>
    <s v="001-00014064"/>
    <n v="1082.2638477"/>
    <n v="0"/>
    <n v="0"/>
    <n v="0"/>
    <n v="0"/>
    <n v="73.125"/>
    <n v="185.9325"/>
    <n v="0"/>
    <n v="259.0575"/>
    <n v="823.20634770000004"/>
    <n v="0.76063369339136433"/>
    <x v="1"/>
    <s v="LEVE"/>
    <x v="8"/>
    <x v="1"/>
    <n v="17"/>
    <n v="1"/>
    <d v="2018-11-10T00:00:00"/>
    <s v="NISSAN"/>
    <s v="QASHQAI"/>
    <n v="1299.0900000000001"/>
    <d v="2018-11-12T00:00:00"/>
    <n v="5"/>
    <x v="1"/>
  </r>
  <r>
    <d v="2018-11-13T00:00:00"/>
    <s v="001-00014065"/>
    <n v="4238.1355000000003"/>
    <n v="4542.3372034499998"/>
    <n v="0"/>
    <n v="131.36000000000001"/>
    <n v="87.75"/>
    <n v="0"/>
    <n v="0"/>
    <n v="0"/>
    <n v="4761.4472034499995"/>
    <n v="-523.31170344999919"/>
    <n v="-0.12347686935681956"/>
    <x v="0"/>
    <s v="MECANICA"/>
    <x v="8"/>
    <x v="1"/>
    <n v="1"/>
    <n v="1"/>
    <d v="2018-11-12T00:00:00"/>
    <s v="KIA"/>
    <s v="SPORTAGE"/>
    <n v="2106"/>
    <d v="2018-11-13T00:00:00"/>
    <n v="0"/>
    <x v="1276"/>
  </r>
  <r>
    <d v="2018-11-14T00:00:00"/>
    <s v="001-00014066"/>
    <n v="1169.1016999999999"/>
    <n v="402.04590315000002"/>
    <n v="0"/>
    <n v="0"/>
    <n v="68.298749999999998"/>
    <n v="0"/>
    <n v="0"/>
    <n v="0"/>
    <n v="470.34465315"/>
    <n v="698.75704684999994"/>
    <n v="0.59768713607207991"/>
    <x v="0"/>
    <s v="MECANICA"/>
    <x v="8"/>
    <x v="1"/>
    <n v="2"/>
    <n v="1"/>
    <d v="2018-11-12T00:00:00"/>
    <s v="KIA"/>
    <s v="SPORTAGE"/>
    <n v="589.97249999999997"/>
    <d v="2018-11-12T00:00:00"/>
    <n v="0"/>
    <x v="1277"/>
  </r>
  <r>
    <d v="2018-11-19T00:00:00"/>
    <s v="001-00014067"/>
    <n v="168.949995"/>
    <n v="0"/>
    <n v="0"/>
    <n v="0"/>
    <n v="0"/>
    <n v="73.125"/>
    <n v="201.426875"/>
    <n v="0"/>
    <n v="274.551875"/>
    <n v="-105.60187999999999"/>
    <n v="-0.62504813924380398"/>
    <x v="1"/>
    <s v="MEDIANO"/>
    <x v="8"/>
    <x v="1"/>
    <n v="7"/>
    <n v="1"/>
    <d v="2018-11-12T00:00:00"/>
    <s v="JEEP"/>
    <s v="CHEEROKE"/>
    <n v="0"/>
    <s v="F/Fecha"/>
    <n v="0"/>
    <x v="1278"/>
  </r>
  <r>
    <d v="2018-11-30T00:00:00"/>
    <s v="001-00014069"/>
    <n v="771.32805786288918"/>
    <n v="0"/>
    <n v="0"/>
    <n v="0"/>
    <n v="0"/>
    <n v="43.875"/>
    <n v="123.955"/>
    <n v="0"/>
    <n v="167.82999999999998"/>
    <n v="603.49805786288925"/>
    <n v="0.78241424217731059"/>
    <x v="1"/>
    <s v="LEVE"/>
    <x v="8"/>
    <x v="1"/>
    <n v="18"/>
    <n v="1"/>
    <d v="2018-11-12T00:00:00"/>
    <s v="TOYOTA"/>
    <s v="RAV4"/>
    <n v="524.12749999999994"/>
    <d v="2018-11-12T00:00:00"/>
    <n v="3"/>
    <x v="1"/>
  </r>
  <r>
    <d v="2018-11-24T00:00:00"/>
    <s v="001-00014070"/>
    <n v="1622.77889377458"/>
    <n v="0"/>
    <n v="0"/>
    <n v="76.27118644067798"/>
    <n v="7.3125"/>
    <n v="146.25"/>
    <n v="216.92125000000001"/>
    <n v="0"/>
    <n v="446.75493644067797"/>
    <n v="1176.023957333902"/>
    <n v="0.72469759241104803"/>
    <x v="1"/>
    <s v="MEDIANO"/>
    <x v="8"/>
    <x v="1"/>
    <n v="12"/>
    <n v="1"/>
    <d v="2018-11-12T00:00:00"/>
    <s v="NISSAN"/>
    <s v="VERSA"/>
    <n v="1705.7950000000001"/>
    <d v="2018-11-12T00:00:00"/>
    <n v="10"/>
    <x v="1"/>
  </r>
  <r>
    <d v="2018-11-23T00:00:00"/>
    <s v="001-00014071"/>
    <n v="1332.3349605000001"/>
    <n v="85.995903000000013"/>
    <n v="0"/>
    <n v="22.5"/>
    <n v="0"/>
    <n v="117"/>
    <n v="154.94374999999999"/>
    <n v="0"/>
    <n v="380.43965300000002"/>
    <n v="951.89530750000006"/>
    <n v="0.71445645105850242"/>
    <x v="1"/>
    <s v="MEDIANO"/>
    <x v="8"/>
    <x v="1"/>
    <n v="11"/>
    <n v="1"/>
    <d v="2018-11-12T00:00:00"/>
    <s v="HYUNDAI"/>
    <s v="H1"/>
    <n v="0"/>
    <d v="2018-11-14T00:00:00"/>
    <n v="8"/>
    <x v="1"/>
  </r>
  <r>
    <d v="2018-11-14T00:00:00"/>
    <s v="001-00014072"/>
    <n v="304.10999100000004"/>
    <n v="0"/>
    <n v="0"/>
    <n v="0"/>
    <n v="0"/>
    <n v="58.5"/>
    <n v="30.98875"/>
    <n v="0"/>
    <n v="89.488749999999996"/>
    <n v="214.62124100000005"/>
    <n v="0.70573558038742645"/>
    <x v="0"/>
    <s v="LEVE"/>
    <x v="8"/>
    <x v="1"/>
    <n v="2"/>
    <n v="1"/>
    <d v="2018-11-12T00:00:00"/>
    <s v="KIA"/>
    <s v="CERATO"/>
    <n v="0"/>
    <d v="2018-11-12T00:00:00"/>
    <n v="4"/>
    <x v="1279"/>
  </r>
  <r>
    <d v="2018-11-23T00:00:00"/>
    <s v="001-00014073"/>
    <n v="744.68987229203083"/>
    <n v="0"/>
    <n v="0"/>
    <n v="22.5"/>
    <n v="0"/>
    <n v="43.875"/>
    <n v="154.94374999999999"/>
    <n v="0"/>
    <n v="221.31874999999999"/>
    <n v="523.3711222920308"/>
    <n v="0.70280413601058123"/>
    <x v="1"/>
    <s v="LEVE"/>
    <x v="8"/>
    <x v="1"/>
    <n v="11"/>
    <n v="1"/>
    <d v="2018-11-12T00:00:00"/>
    <s v="MITSUBISHI"/>
    <s v="OUTLANDER"/>
    <n v="2545.0750000000003"/>
    <d v="2018-11-13T00:00:00"/>
    <n v="3"/>
    <x v="1"/>
  </r>
  <r>
    <d v="2018-11-21T00:00:00"/>
    <s v="001-00014077"/>
    <n v="1168.8548826491599"/>
    <n v="0"/>
    <n v="0"/>
    <n v="0"/>
    <n v="0"/>
    <n v="87.75"/>
    <n v="201.426875"/>
    <n v="0"/>
    <n v="289.176875"/>
    <n v="879.67800764915989"/>
    <n v="0.75259813746545434"/>
    <x v="1"/>
    <s v="MEDIANO"/>
    <x v="8"/>
    <x v="1"/>
    <n v="9"/>
    <n v="1"/>
    <d v="2018-11-12T00:00:00"/>
    <s v="KIA"/>
    <s v="RIO"/>
    <n v="58.825000000000003"/>
    <d v="2018-11-14T00:00:00"/>
    <n v="6"/>
    <x v="1"/>
  </r>
  <r>
    <d v="2018-11-27T00:00:00"/>
    <s v="001-00014079"/>
    <n v="871.62710200000004"/>
    <n v="184.59730116999998"/>
    <n v="0"/>
    <n v="50.85"/>
    <n v="39.048749999999998"/>
    <n v="0"/>
    <n v="0"/>
    <n v="0"/>
    <n v="274.49605116999999"/>
    <n v="597.13105083000005"/>
    <n v="0.68507627798613357"/>
    <x v="0"/>
    <s v="LEVE"/>
    <x v="8"/>
    <x v="1"/>
    <n v="14"/>
    <n v="1"/>
    <d v="2018-11-13T00:00:00"/>
    <s v="RENAULT"/>
    <s v="KOLEOS"/>
    <n v="0"/>
    <d v="2018-11-13T00:00:00"/>
    <n v="0"/>
    <x v="915"/>
  </r>
  <r>
    <d v="2018-11-13T00:00:00"/>
    <s v="001-00014080"/>
    <n v="306.62710200000004"/>
    <n v="73.316901999999999"/>
    <n v="0"/>
    <n v="0"/>
    <n v="39.048749999999998"/>
    <n v="0"/>
    <n v="0"/>
    <n v="0"/>
    <n v="112.365652"/>
    <n v="194.26145000000002"/>
    <n v="0.63354298668615405"/>
    <x v="0"/>
    <s v="MECANICA"/>
    <x v="8"/>
    <x v="1"/>
    <n v="0"/>
    <n v="1"/>
    <d v="2018-11-13T00:00:00"/>
    <s v="NISSAN"/>
    <s v="VERSA"/>
    <n v="0"/>
    <d v="2018-11-13T00:00:00"/>
    <n v="0"/>
    <x v="484"/>
  </r>
  <r>
    <d v="2018-11-29T00:00:00"/>
    <s v="001-00014081"/>
    <n v="576.29001704999996"/>
    <n v="0"/>
    <n v="0"/>
    <n v="0"/>
    <n v="0"/>
    <n v="43.875"/>
    <n v="123.955"/>
    <n v="0"/>
    <n v="167.82999999999998"/>
    <n v="408.46001704999998"/>
    <n v="0.70877510448799119"/>
    <x v="1"/>
    <s v="LEVE"/>
    <x v="8"/>
    <x v="1"/>
    <n v="16"/>
    <n v="1"/>
    <d v="2018-11-13T00:00:00"/>
    <s v="MAZDA"/>
    <s v="MAZDA 3"/>
    <n v="4995.12"/>
    <d v="2018-11-13T00:00:00"/>
    <n v="3"/>
    <x v="1"/>
  </r>
  <r>
    <d v="2018-11-22T00:00:00"/>
    <s v="001-00014083"/>
    <n v="947.52900000000011"/>
    <n v="0"/>
    <n v="0"/>
    <n v="0"/>
    <n v="0"/>
    <n v="87.75"/>
    <n v="123.955"/>
    <n v="0"/>
    <n v="211.70499999999998"/>
    <n v="735.82400000000007"/>
    <n v="0.7765714822448706"/>
    <x v="1"/>
    <s v="LEVE"/>
    <x v="8"/>
    <x v="1"/>
    <n v="9"/>
    <n v="1"/>
    <d v="2018-11-13T00:00:00"/>
    <s v="CHEVROLET"/>
    <s v="TRACKER"/>
    <n v="89.667500000000004"/>
    <d v="2018-11-14T00:00:00"/>
    <n v="6"/>
    <x v="1"/>
  </r>
  <r>
    <d v="2018-11-15T00:00:00"/>
    <s v="001-00014085"/>
    <n v="354.79498950000004"/>
    <n v="0"/>
    <n v="0"/>
    <n v="0"/>
    <n v="0"/>
    <n v="14.625"/>
    <n v="61.977499999999999"/>
    <n v="0"/>
    <n v="76.602499999999992"/>
    <n v="278.19248950000008"/>
    <n v="0.78409362514404968"/>
    <x v="0"/>
    <s v="LEVE"/>
    <x v="8"/>
    <x v="1"/>
    <n v="2"/>
    <n v="1"/>
    <d v="2018-11-13T00:00:00"/>
    <s v="HYUNDAI"/>
    <s v="I10"/>
    <n v="0"/>
    <d v="2018-11-13T00:00:00"/>
    <n v="1"/>
    <x v="376"/>
  </r>
  <r>
    <d v="2018-11-22T00:00:00"/>
    <s v="001-00014086"/>
    <n v="1448.3317213800001"/>
    <n v="0"/>
    <n v="0"/>
    <n v="22.5"/>
    <n v="0"/>
    <n v="204.75"/>
    <n v="154.94374999999999"/>
    <n v="0"/>
    <n v="382.19375000000002"/>
    <n v="1066.1379713800002"/>
    <n v="0.73611449341464541"/>
    <x v="1"/>
    <s v="MEDIANO"/>
    <x v="8"/>
    <x v="1"/>
    <n v="9"/>
    <n v="1"/>
    <d v="2018-11-13T00:00:00"/>
    <s v="MAZDA"/>
    <s v="MAZDA 2"/>
    <n v="0"/>
    <d v="2018-11-14T00:00:00"/>
    <n v="14"/>
    <x v="1"/>
  </r>
  <r>
    <d v="2018-11-24T00:00:00"/>
    <s v="001-00014090"/>
    <n v="2157.4914361500005"/>
    <n v="0"/>
    <n v="0"/>
    <n v="0"/>
    <n v="0"/>
    <n v="102.375"/>
    <n v="402.85374999999999"/>
    <n v="0"/>
    <n v="505.22874999999999"/>
    <n v="1652.2626861500005"/>
    <n v="0.76582583757478528"/>
    <x v="1"/>
    <s v="MEDIANO"/>
    <x v="8"/>
    <x v="1"/>
    <n v="11"/>
    <n v="1"/>
    <d v="2018-11-13T00:00:00"/>
    <s v="KIA"/>
    <s v="CERATO"/>
    <n v="1292.0050000000001"/>
    <d v="2018-11-14T00:00:00"/>
    <n v="7"/>
    <x v="1"/>
  </r>
  <r>
    <d v="2018-11-15T00:00:00"/>
    <s v="001-00014091"/>
    <n v="858.60169999999994"/>
    <n v="210.431106"/>
    <n v="0"/>
    <n v="50.85"/>
    <n v="68.298749999999998"/>
    <n v="0"/>
    <n v="0"/>
    <n v="0"/>
    <n v="329.57985600000001"/>
    <n v="529.02184399999987"/>
    <n v="0.6161434853902571"/>
    <x v="0"/>
    <s v="MECANICA"/>
    <x v="8"/>
    <x v="1"/>
    <n v="1"/>
    <n v="1"/>
    <d v="2018-11-14T00:00:00"/>
    <s v="MITSUBISHI"/>
    <s v="L200"/>
    <n v="234.97499999999999"/>
    <d v="2018-11-14T00:00:00"/>
    <n v="0"/>
    <x v="1280"/>
  </r>
  <r>
    <d v="2018-11-14T00:00:00"/>
    <s v="001-00014092"/>
    <n v="249"/>
    <n v="54.144601899999998"/>
    <n v="0"/>
    <n v="0"/>
    <n v="39.048749999999998"/>
    <n v="0"/>
    <n v="0"/>
    <n v="0"/>
    <n v="93.193351899999996"/>
    <n v="155.80664810000002"/>
    <n v="0.62572951044176717"/>
    <x v="0"/>
    <s v="MECANICA"/>
    <x v="8"/>
    <x v="1"/>
    <n v="1"/>
    <n v="1"/>
    <d v="2018-11-13T00:00:00"/>
    <s v="HYUNDAI"/>
    <s v="ELANTRA"/>
    <n v="0"/>
    <d v="2018-11-14T00:00:00"/>
    <n v="0"/>
    <x v="0"/>
  </r>
  <r>
    <d v="2018-11-21T00:00:00"/>
    <s v="001-00014093"/>
    <n v="343.94790156705017"/>
    <n v="0"/>
    <n v="0"/>
    <n v="0"/>
    <n v="0"/>
    <n v="43.875"/>
    <n v="54.540200000000006"/>
    <n v="0"/>
    <n v="98.415199999999999"/>
    <n v="245.53270156705017"/>
    <n v="0.71386596763168608"/>
    <x v="1"/>
    <s v="LEVE"/>
    <x v="8"/>
    <x v="1"/>
    <n v="7"/>
    <n v="1"/>
    <d v="2018-11-14T00:00:00"/>
    <s v="SSANYONG"/>
    <s v="TIROLI"/>
    <n v="0"/>
    <d v="2018-11-14T00:00:00"/>
    <n v="3"/>
    <x v="1"/>
  </r>
  <r>
    <d v="2018-11-15T00:00:00"/>
    <s v="001-00014095"/>
    <n v="589"/>
    <n v="108.08100090000002"/>
    <n v="0"/>
    <n v="0"/>
    <n v="68.298749999999998"/>
    <n v="0"/>
    <n v="0"/>
    <n v="0"/>
    <n v="176.37975090000003"/>
    <n v="412.62024909999997"/>
    <n v="0.70054371663837012"/>
    <x v="0"/>
    <s v="MECANICA"/>
    <x v="8"/>
    <x v="1"/>
    <n v="1"/>
    <n v="1"/>
    <d v="2018-11-14T00:00:00"/>
    <s v="KIA"/>
    <s v="CERATO"/>
    <n v="79.982500000000002"/>
    <d v="2018-11-14T00:00:00"/>
    <n v="0"/>
    <x v="685"/>
  </r>
  <r>
    <d v="2018-11-30T00:00:00"/>
    <s v="001-00014096"/>
    <n v="761.01936779897028"/>
    <n v="0"/>
    <n v="0"/>
    <n v="76.27"/>
    <n v="0"/>
    <n v="73.125"/>
    <n v="61.977499999999999"/>
    <n v="0"/>
    <n v="211.37249999999997"/>
    <n v="549.64686779897033"/>
    <n v="0.72225082705669619"/>
    <x v="1"/>
    <s v="LEVE"/>
    <x v="8"/>
    <x v="1"/>
    <n v="16"/>
    <n v="1"/>
    <d v="2018-11-14T00:00:00"/>
    <s v="KIA"/>
    <s v="SPORTAGE"/>
    <n v="1682.5575000000001"/>
    <d v="2018-11-14T00:00:00"/>
    <n v="5"/>
    <x v="1"/>
  </r>
  <r>
    <d v="2018-11-24T00:00:00"/>
    <s v="001-00014097"/>
    <n v="1084.6589679000001"/>
    <n v="0"/>
    <n v="0"/>
    <n v="0"/>
    <n v="0"/>
    <n v="43.875"/>
    <n v="247.91"/>
    <n v="0"/>
    <n v="291.78499999999997"/>
    <n v="792.87396790000014"/>
    <n v="0.73098917850195566"/>
    <x v="1"/>
    <s v="LEVE"/>
    <x v="8"/>
    <x v="1"/>
    <n v="10"/>
    <n v="1"/>
    <d v="2018-11-14T00:00:00"/>
    <s v="TOYOTA"/>
    <s v="YARIS"/>
    <n v="1855.2950000000001"/>
    <d v="2018-11-15T00:00:00"/>
    <n v="3"/>
    <x v="1"/>
  </r>
  <r>
    <d v="2018-11-14T00:00:00"/>
    <s v="001-00014098"/>
    <n v="530"/>
    <n v="126.23090075000002"/>
    <n v="0"/>
    <n v="0"/>
    <n v="39.048749999999998"/>
    <n v="0"/>
    <n v="0"/>
    <n v="0"/>
    <n v="165.27965075000003"/>
    <n v="364.72034924999997"/>
    <n v="0.68815160235849049"/>
    <x v="0"/>
    <s v="MECANICA"/>
    <x v="8"/>
    <x v="1"/>
    <n v="0"/>
    <n v="1"/>
    <d v="2018-11-14T00:00:00"/>
    <s v="KIA"/>
    <s v="SPORTAGE"/>
    <n v="0"/>
    <d v="2018-11-14T00:00:00"/>
    <n v="0"/>
    <x v="359"/>
  </r>
  <r>
    <d v="2018-11-20T00:00:00"/>
    <s v="001-00014099"/>
    <n v="304.02"/>
    <n v="0"/>
    <n v="0"/>
    <n v="0"/>
    <n v="0"/>
    <n v="29.25"/>
    <n v="61.977499999999999"/>
    <n v="0"/>
    <n v="91.227499999999992"/>
    <n v="212.79249999999999"/>
    <n v="0.69992928096835738"/>
    <x v="0"/>
    <s v="LEVE"/>
    <x v="8"/>
    <x v="1"/>
    <n v="6"/>
    <n v="1"/>
    <d v="2018-11-14T00:00:00"/>
    <s v="KIA"/>
    <s v="RIO"/>
    <n v="0"/>
    <d v="2018-11-14T00:00:00"/>
    <n v="2"/>
    <x v="1281"/>
  </r>
  <r>
    <d v="2018-11-28T00:00:00"/>
    <s v="001-00014100"/>
    <n v="2847.6544082545793"/>
    <n v="0"/>
    <n v="0"/>
    <n v="38"/>
    <n v="0"/>
    <n v="292.5"/>
    <n v="356.37062500000002"/>
    <n v="0"/>
    <n v="686.87062500000002"/>
    <n v="2160.7837832545792"/>
    <n v="0.7587942472903495"/>
    <x v="1"/>
    <s v="MEDIANO"/>
    <x v="8"/>
    <x v="1"/>
    <n v="14"/>
    <n v="1"/>
    <d v="2018-11-14T00:00:00"/>
    <s v="TOYOTA"/>
    <s v="HILUX"/>
    <n v="2246.79"/>
    <d v="2018-11-15T00:00:00"/>
    <n v="20"/>
    <x v="1"/>
  </r>
  <r>
    <d v="2018-11-28T00:00:00"/>
    <s v="001-00014101"/>
    <n v="386.35009077966009"/>
    <n v="0"/>
    <n v="0"/>
    <n v="15"/>
    <n v="0"/>
    <n v="29.25"/>
    <n v="61.977499999999999"/>
    <n v="0"/>
    <n v="106.22749999999999"/>
    <n v="280.12259077966007"/>
    <n v="0.72504859572924807"/>
    <x v="1"/>
    <s v="LEVE"/>
    <x v="8"/>
    <x v="1"/>
    <n v="14"/>
    <n v="1"/>
    <d v="2018-11-14T00:00:00"/>
    <s v="MAZDA"/>
    <s v="CX-5"/>
    <n v="3072.8425000000002"/>
    <d v="2018-11-15T00:00:00"/>
    <n v="2"/>
    <x v="566"/>
  </r>
  <r>
    <d v="2018-11-22T00:00:00"/>
    <s v="001-00014102"/>
    <n v="1192.4623751999998"/>
    <n v="0"/>
    <n v="0"/>
    <n v="0"/>
    <n v="0"/>
    <n v="87.75"/>
    <n v="154.94374999999999"/>
    <n v="0"/>
    <n v="242.69374999999999"/>
    <n v="949.76862519999975"/>
    <n v="0.79647680711159086"/>
    <x v="1"/>
    <s v="MEDIANO"/>
    <x v="8"/>
    <x v="1"/>
    <n v="8"/>
    <n v="1"/>
    <d v="2018-11-14T00:00:00"/>
    <s v="MAZDA"/>
    <s v="MAZDA 3"/>
    <n v="0"/>
    <d v="2018-11-15T00:00:00"/>
    <n v="6"/>
    <x v="1"/>
  </r>
  <r>
    <d v="2018-11-30T00:00:00"/>
    <s v="001-00014103"/>
    <n v="1975.8844171145793"/>
    <n v="0"/>
    <n v="0"/>
    <n v="85.084745762711862"/>
    <n v="0"/>
    <n v="234"/>
    <n v="247.91"/>
    <n v="0"/>
    <n v="566.99474576271189"/>
    <n v="1408.8896713518675"/>
    <n v="0.71304255408284223"/>
    <x v="1"/>
    <s v="MEDIANO"/>
    <x v="8"/>
    <x v="1"/>
    <n v="16"/>
    <n v="1"/>
    <d v="2018-11-14T00:00:00"/>
    <s v="FORD"/>
    <s v="ECOSPORT"/>
    <n v="3753.7824999999998"/>
    <d v="2018-11-15T00:00:00"/>
    <n v="16"/>
    <x v="1"/>
  </r>
  <r>
    <d v="2018-11-27T00:00:00"/>
    <s v="001-00014104"/>
    <n v="695.45445689999997"/>
    <n v="0"/>
    <n v="0"/>
    <n v="0"/>
    <n v="0"/>
    <n v="43.875"/>
    <n v="123.955"/>
    <n v="0"/>
    <n v="167.82999999999998"/>
    <n v="527.62445690000004"/>
    <n v="0.75867578626484755"/>
    <x v="1"/>
    <s v="LEVE"/>
    <x v="8"/>
    <x v="1"/>
    <n v="13"/>
    <n v="1"/>
    <d v="2018-11-14T00:00:00"/>
    <s v="SUZUKI "/>
    <s v="BALENO"/>
    <n v="747.07749999999999"/>
    <d v="2018-11-16T00:00:00"/>
    <n v="3"/>
    <x v="1"/>
  </r>
  <r>
    <d v="2018-11-30T00:00:00"/>
    <s v="001-00014105"/>
    <n v="1380.32145915"/>
    <n v="0"/>
    <n v="0"/>
    <n v="0"/>
    <n v="0"/>
    <n v="102.375"/>
    <n v="247.91"/>
    <n v="0"/>
    <n v="350.28499999999997"/>
    <n v="1030.0364591500002"/>
    <n v="0.74622940353640166"/>
    <x v="1"/>
    <s v="MEDIANO"/>
    <x v="8"/>
    <x v="1"/>
    <n v="16"/>
    <n v="1"/>
    <d v="2018-11-14T00:00:00"/>
    <s v="KIA"/>
    <s v="CERATO"/>
    <n v="557.05000000000007"/>
    <d v="2018-11-16T00:00:00"/>
    <n v="7"/>
    <x v="1"/>
  </r>
  <r>
    <d v="2018-11-17T00:00:00"/>
    <s v="001-00014107"/>
    <n v="200"/>
    <n v="0"/>
    <n v="0"/>
    <n v="114.41"/>
    <n v="0"/>
    <n v="0"/>
    <n v="0"/>
    <n v="0"/>
    <n v="114.41"/>
    <n v="85.59"/>
    <n v="0.42795"/>
    <x v="0"/>
    <s v="MECANICA"/>
    <x v="8"/>
    <x v="1"/>
    <n v="3"/>
    <n v="1"/>
    <d v="2018-11-14T00:00:00"/>
    <s v="CHEVROLET"/>
    <s v="AVEO"/>
    <n v="0"/>
    <s v="F/Fecha"/>
    <n v="0"/>
    <x v="1282"/>
  </r>
  <r>
    <d v="2018-11-24T00:00:00"/>
    <s v="001-00014111"/>
    <n v="484.88648565000005"/>
    <n v="0"/>
    <n v="0"/>
    <n v="152.54"/>
    <n v="2.9250000000000003"/>
    <n v="0"/>
    <n v="0"/>
    <n v="0"/>
    <n v="155.465"/>
    <n v="329.42148565000002"/>
    <n v="0.67937856673485941"/>
    <x v="1"/>
    <s v="MEDIANO"/>
    <x v="8"/>
    <x v="1"/>
    <n v="10"/>
    <n v="1"/>
    <d v="2018-11-14T00:00:00"/>
    <s v="HONDA"/>
    <s v="CR-V"/>
    <n v="775.97"/>
    <d v="2018-10-17T00:00:00"/>
    <n v="0"/>
    <x v="1"/>
  </r>
  <r>
    <d v="2018-11-23T00:00:00"/>
    <s v="001-00014113"/>
    <n v="1569.3026028115733"/>
    <n v="1381.0807999399997"/>
    <n v="0"/>
    <n v="0"/>
    <n v="0"/>
    <n v="0"/>
    <n v="0"/>
    <n v="0"/>
    <n v="1381.0807999399997"/>
    <n v="188.22180287157357"/>
    <n v="0.11993977613645329"/>
    <x v="0"/>
    <s v="MECANICA"/>
    <x v="8"/>
    <x v="1"/>
    <n v="8"/>
    <n v="1"/>
    <d v="2018-11-15T00:00:00"/>
    <s v="HYUNDAI"/>
    <s v="H1"/>
    <n v="0"/>
    <s v="F/Fecha"/>
    <n v="0"/>
    <x v="1283"/>
  </r>
  <r>
    <d v="2018-11-21T00:00:00"/>
    <s v="001-00014116"/>
    <n v="1105.13853184915"/>
    <n v="0"/>
    <n v="0"/>
    <n v="0"/>
    <n v="0"/>
    <n v="102.375"/>
    <n v="185.9325"/>
    <n v="0"/>
    <n v="288.3075"/>
    <n v="816.83103184915001"/>
    <n v="0.7391209412293358"/>
    <x v="1"/>
    <s v="MEDIANO"/>
    <x v="8"/>
    <x v="1"/>
    <n v="6"/>
    <n v="1"/>
    <d v="2018-11-15T00:00:00"/>
    <s v="NISSAN"/>
    <s v="VERSA"/>
    <n v="0"/>
    <d v="2018-11-16T00:00:00"/>
    <n v="7"/>
    <x v="1284"/>
  </r>
  <r>
    <d v="2018-11-21T00:00:00"/>
    <s v="001-00014117"/>
    <n v="1606.9249525"/>
    <n v="0"/>
    <n v="0"/>
    <n v="0"/>
    <n v="0"/>
    <n v="146.25"/>
    <n v="402.85374999999999"/>
    <n v="0"/>
    <n v="549.10374999999999"/>
    <n v="1057.8212025"/>
    <n v="0.65828911353593533"/>
    <x v="0"/>
    <s v="MEDIANO"/>
    <x v="8"/>
    <x v="1"/>
    <n v="6"/>
    <n v="1"/>
    <d v="2018-11-15T00:00:00"/>
    <s v="DODGE"/>
    <s v="JOURNEY"/>
    <n v="0"/>
    <d v="2018-11-15T00:00:00"/>
    <n v="10"/>
    <x v="1285"/>
  </r>
  <r>
    <d v="2018-11-24T00:00:00"/>
    <s v="001-00014119"/>
    <n v="886.98747375000005"/>
    <n v="0"/>
    <n v="0"/>
    <n v="0"/>
    <n v="0"/>
    <n v="43.875"/>
    <n v="154.94374999999999"/>
    <n v="0"/>
    <n v="198.81874999999999"/>
    <n v="688.16872375000003"/>
    <n v="0.77584942754666497"/>
    <x v="1"/>
    <s v="LEVE"/>
    <x v="8"/>
    <x v="1"/>
    <n v="9"/>
    <n v="1"/>
    <d v="2018-11-15T00:00:00"/>
    <s v="HYUNDAI"/>
    <s v="SANTA FE"/>
    <n v="1636.635"/>
    <d v="2018-11-16T00:00:00"/>
    <n v="3"/>
    <x v="1"/>
  </r>
  <r>
    <d v="2018-11-17T00:00:00"/>
    <s v="001-00014120"/>
    <n v="792.22030999999993"/>
    <n v="399.61520870000004"/>
    <n v="0"/>
    <n v="0"/>
    <n v="39.048749999999998"/>
    <n v="0"/>
    <n v="0"/>
    <n v="0"/>
    <n v="438.66395870000002"/>
    <n v="353.5563512999999"/>
    <n v="0.44628539162294378"/>
    <x v="0"/>
    <s v="MECANICA"/>
    <x v="8"/>
    <x v="1"/>
    <n v="1"/>
    <n v="1"/>
    <d v="2018-11-16T00:00:00"/>
    <s v="VW"/>
    <s v="GOL"/>
    <n v="338"/>
    <d v="2018-11-16T00:00:00"/>
    <n v="0"/>
    <x v="1286"/>
  </r>
  <r>
    <d v="2018-11-16T00:00:00"/>
    <s v="001-00014121"/>
    <n v="406.62710200000004"/>
    <n v="123.5574009"/>
    <n v="0"/>
    <n v="0"/>
    <n v="39.048749999999998"/>
    <n v="0"/>
    <n v="0"/>
    <n v="0"/>
    <n v="162.60615089999999"/>
    <n v="244.02095110000005"/>
    <n v="0.60010990388928875"/>
    <x v="0"/>
    <s v="MECANICA"/>
    <x v="8"/>
    <x v="1"/>
    <n v="1"/>
    <n v="1"/>
    <d v="2018-11-15T00:00:00"/>
    <s v="KIA"/>
    <s v="RIO"/>
    <n v="0"/>
    <d v="2018-11-16T00:00:00"/>
    <n v="0"/>
    <x v="1287"/>
  </r>
  <r>
    <d v="2018-11-29T00:00:00"/>
    <s v="001-00014122"/>
    <n v="995.41002945000014"/>
    <n v="0.50840001999999995"/>
    <n v="0"/>
    <n v="35.5"/>
    <n v="0"/>
    <n v="43.875"/>
    <n v="185.9325"/>
    <n v="0"/>
    <n v="265.81590002000002"/>
    <n v="729.59412943000007"/>
    <n v="0.73295838683997094"/>
    <x v="1"/>
    <s v="LEVE"/>
    <x v="8"/>
    <x v="1"/>
    <n v="13"/>
    <n v="1"/>
    <d v="2018-11-16T00:00:00"/>
    <s v="RENAULT"/>
    <s v="LOGAN"/>
    <n v="1511.4449999999999"/>
    <d v="2018-11-17T00:00:00"/>
    <n v="3"/>
    <x v="999"/>
  </r>
  <r>
    <d v="2018-11-17T00:00:00"/>
    <s v="001-00014123"/>
    <n v="549"/>
    <n v="118.78150125000002"/>
    <n v="0"/>
    <n v="0"/>
    <n v="39.048749999999998"/>
    <n v="0"/>
    <n v="0"/>
    <n v="0"/>
    <n v="157.83025125"/>
    <n v="391.16974875"/>
    <n v="0.71251320355191261"/>
    <x v="0"/>
    <s v="MECANICA"/>
    <x v="8"/>
    <x v="1"/>
    <n v="2"/>
    <n v="1"/>
    <d v="2018-11-15T00:00:00"/>
    <s v="NISSAN"/>
    <s v="QASHQAI"/>
    <n v="0"/>
    <d v="2018-11-16T00:00:00"/>
    <n v="0"/>
    <x v="1018"/>
  </r>
  <r>
    <d v="2018-11-29T00:00:00"/>
    <s v="001-00014125"/>
    <n v="4242.7593215254201"/>
    <n v="1261.8319879999999"/>
    <n v="0"/>
    <n v="110.75"/>
    <n v="29.25"/>
    <n v="117"/>
    <n v="123.955"/>
    <n v="0"/>
    <n v="1642.7869879999998"/>
    <n v="2599.9723335254203"/>
    <n v="0.61280222055835099"/>
    <x v="0"/>
    <s v="LEVE"/>
    <x v="8"/>
    <x v="1"/>
    <n v="13"/>
    <n v="1"/>
    <d v="2018-11-16T00:00:00"/>
    <s v="MAZDA"/>
    <s v="MAZDA 2"/>
    <n v="2223"/>
    <d v="2018-11-22T00:00:00"/>
    <n v="8"/>
    <x v="999"/>
  </r>
  <r>
    <d v="2018-11-28T00:00:00"/>
    <s v="001-00014128"/>
    <n v="424.42304825424009"/>
    <n v="0"/>
    <n v="0"/>
    <n v="0"/>
    <n v="0"/>
    <n v="18.28125"/>
    <n v="61.977499999999999"/>
    <n v="0"/>
    <n v="80.258749999999992"/>
    <n v="344.16429825424007"/>
    <n v="0.81089917163988934"/>
    <x v="1"/>
    <s v="LEVE"/>
    <x v="8"/>
    <x v="1"/>
    <n v="12"/>
    <n v="1"/>
    <d v="2018-11-16T00:00:00"/>
    <s v="MAZDA"/>
    <s v="CX-5"/>
    <n v="1394.25"/>
    <d v="2018-11-15T00:00:00"/>
    <n v="1.25"/>
    <x v="566"/>
  </r>
  <r>
    <d v="2018-11-27T00:00:00"/>
    <s v="001-00014129"/>
    <n v="1313.2030526999997"/>
    <n v="0"/>
    <n v="0"/>
    <n v="22.5"/>
    <n v="0"/>
    <n v="102.375"/>
    <n v="232.41562500000001"/>
    <n v="0"/>
    <n v="357.29062499999998"/>
    <n v="955.91242769999974"/>
    <n v="0.72792431127433366"/>
    <x v="1"/>
    <s v="MEDIANO"/>
    <x v="8"/>
    <x v="1"/>
    <n v="11"/>
    <n v="1"/>
    <d v="2018-11-16T00:00:00"/>
    <s v="SUZUKI "/>
    <s v="GRAND N."/>
    <n v="432.60750000000007"/>
    <d v="2018-11-17T00:00:00"/>
    <n v="7"/>
    <x v="999"/>
  </r>
  <r>
    <d v="2018-11-28T00:00:00"/>
    <s v="001-00014131"/>
    <n v="992.93888784915976"/>
    <n v="0"/>
    <n v="0"/>
    <n v="0"/>
    <n v="0"/>
    <n v="87.75"/>
    <n v="170.43812500000001"/>
    <n v="0"/>
    <n v="258.18812500000001"/>
    <n v="734.75076284915974"/>
    <n v="0.73997581506826615"/>
    <x v="1"/>
    <s v="LEVE"/>
    <x v="8"/>
    <x v="1"/>
    <n v="12"/>
    <n v="1"/>
    <d v="2018-11-16T00:00:00"/>
    <s v="SUZUKI "/>
    <s v="APV"/>
    <n v="1194.6675"/>
    <d v="2018-11-19T00:00:00"/>
    <n v="6"/>
    <x v="1"/>
  </r>
  <r>
    <d v="2018-11-29T00:00:00"/>
    <s v="001-00014132"/>
    <n v="1043.5892268754199"/>
    <n v="0"/>
    <n v="0"/>
    <n v="0"/>
    <n v="0"/>
    <n v="102.375"/>
    <n v="154.94374999999999"/>
    <n v="0"/>
    <n v="257.31875000000002"/>
    <n v="786.27047687541983"/>
    <n v="0.75342908553164101"/>
    <x v="1"/>
    <s v="LEVE"/>
    <x v="8"/>
    <x v="1"/>
    <n v="12"/>
    <n v="1"/>
    <d v="2018-11-17T00:00:00"/>
    <s v="HYUNDAI"/>
    <s v="I10"/>
    <n v="169"/>
    <d v="2018-11-20T00:00:00"/>
    <n v="7"/>
    <x v="1"/>
  </r>
  <r>
    <d v="2018-11-23T00:00:00"/>
    <s v="001-00014133"/>
    <n v="505.94998500000003"/>
    <n v="320.60001"/>
    <n v="0"/>
    <n v="0"/>
    <n v="0"/>
    <n v="0"/>
    <n v="30.98875"/>
    <n v="0"/>
    <n v="351.58875999999998"/>
    <n v="154.36122500000005"/>
    <n v="0.30509186594797516"/>
    <x v="0"/>
    <s v="LEVE"/>
    <x v="8"/>
    <x v="1"/>
    <n v="6"/>
    <n v="1"/>
    <d v="2018-11-17T00:00:00"/>
    <s v="RENAULT"/>
    <s v="LOGAN"/>
    <n v="390"/>
    <d v="2018-11-17T00:00:00"/>
    <n v="0"/>
    <x v="999"/>
  </r>
  <r>
    <d v="2018-11-29T00:00:00"/>
    <s v="001-00014134"/>
    <n v="1046.6829071669492"/>
    <n v="0"/>
    <n v="0"/>
    <n v="0"/>
    <n v="0"/>
    <n v="73.125"/>
    <n v="198.94777500000001"/>
    <n v="0"/>
    <n v="272.07277499999998"/>
    <n v="774.61013216694926"/>
    <n v="0.74006189158432156"/>
    <x v="1"/>
    <s v="LEVE"/>
    <x v="8"/>
    <x v="1"/>
    <n v="12"/>
    <n v="1"/>
    <d v="2018-11-17T00:00:00"/>
    <s v="HYUNDAI"/>
    <s v="ACCENT"/>
    <n v="0"/>
    <d v="2018-11-19T00:00:00"/>
    <n v="5"/>
    <x v="1"/>
  </r>
  <r>
    <d v="2018-11-21T00:00:00"/>
    <s v="001-00014135"/>
    <n v="84.574997500000009"/>
    <n v="0"/>
    <n v="0"/>
    <n v="0"/>
    <n v="0"/>
    <n v="0"/>
    <n v="0"/>
    <n v="0"/>
    <n v="0"/>
    <n v="84.574997500000009"/>
    <n v="1"/>
    <x v="0"/>
    <s v="MECANICA"/>
    <x v="8"/>
    <x v="1"/>
    <n v="2"/>
    <n v="1"/>
    <d v="2018-11-19T00:00:00"/>
    <s v="CHEVROLET"/>
    <s v="CAPTIVA"/>
    <n v="0"/>
    <s v="F/Fecha"/>
    <n v="0"/>
    <x v="1288"/>
  </r>
  <r>
    <d v="2018-11-19T00:00:00"/>
    <s v="001-00014136"/>
    <n v="309.29302880961029"/>
    <n v="243.67749300000003"/>
    <n v="0"/>
    <n v="0"/>
    <n v="0"/>
    <n v="0"/>
    <n v="0"/>
    <n v="0"/>
    <n v="243.67749300000003"/>
    <n v="65.615535809610265"/>
    <n v="0.21214683066782225"/>
    <x v="0"/>
    <s v="MEDIANO"/>
    <x v="8"/>
    <x v="1"/>
    <n v="0"/>
    <n v="1"/>
    <d v="2018-11-19T00:00:00"/>
    <s v="KIA"/>
    <s v="RIO"/>
    <n v="0"/>
    <d v="2018-11-19T00:00:00"/>
    <n v="0"/>
    <x v="1289"/>
  </r>
  <r>
    <d v="2018-11-19T00:00:00"/>
    <s v="001-00014137"/>
    <n v="315"/>
    <n v="108.01030191999997"/>
    <n v="0"/>
    <n v="0"/>
    <n v="39.048749999999998"/>
    <n v="0"/>
    <n v="0"/>
    <n v="0"/>
    <n v="147.05905191999997"/>
    <n v="167.94094808000003"/>
    <n v="0.53314586692063504"/>
    <x v="0"/>
    <s v="MECANICA"/>
    <x v="8"/>
    <x v="1"/>
    <n v="0"/>
    <n v="1"/>
    <d v="2018-11-19T00:00:00"/>
    <s v="KIA"/>
    <s v="RIO"/>
    <n v="0"/>
    <d v="2018-11-19T00:00:00"/>
    <n v="0"/>
    <x v="157"/>
  </r>
  <r>
    <d v="2018-11-27T00:00:00"/>
    <s v="001-00014138"/>
    <n v="1436.925"/>
    <n v="0"/>
    <n v="0"/>
    <n v="0"/>
    <n v="0"/>
    <n v="204.75"/>
    <n v="154.94374999999999"/>
    <n v="0"/>
    <n v="359.69375000000002"/>
    <n v="1077.2312499999998"/>
    <n v="0.74967813212241408"/>
    <x v="1"/>
    <s v="MEDIANO"/>
    <x v="8"/>
    <x v="1"/>
    <n v="8"/>
    <n v="1"/>
    <d v="2018-11-19T00:00:00"/>
    <s v="MAHINDRA"/>
    <s v="XUV500"/>
    <n v="185.25"/>
    <d v="2018-11-20T00:00:00"/>
    <n v="14"/>
    <x v="1"/>
  </r>
  <r>
    <d v="2018-11-28T00:00:00"/>
    <s v="001-00014139"/>
    <n v="855.06743332457995"/>
    <n v="0"/>
    <n v="0"/>
    <n v="17"/>
    <n v="0"/>
    <n v="73.125"/>
    <n v="139.449375"/>
    <n v="0"/>
    <n v="229.574375"/>
    <n v="625.49305832457992"/>
    <n v="0.73151313445842048"/>
    <x v="1"/>
    <s v="LEVE"/>
    <x v="8"/>
    <x v="1"/>
    <n v="9"/>
    <n v="1"/>
    <d v="2018-11-19T00:00:00"/>
    <s v="SUZUKI "/>
    <s v="SWIFT"/>
    <n v="1244.6525000000001"/>
    <d v="2018-11-20T00:00:00"/>
    <n v="5"/>
    <x v="1"/>
  </r>
  <r>
    <d v="2018-11-30T00:00:00"/>
    <s v="001-00014142"/>
    <n v="1349.0799018745799"/>
    <n v="0"/>
    <n v="0"/>
    <n v="0"/>
    <n v="0"/>
    <n v="87.75"/>
    <n v="201.426875"/>
    <n v="0"/>
    <n v="289.176875"/>
    <n v="1059.9030268745801"/>
    <n v="0.78564881546439058"/>
    <x v="1"/>
    <s v="MEDIANO"/>
    <x v="8"/>
    <x v="1"/>
    <n v="-19"/>
    <n v="1"/>
    <d v="2018-12-19T00:00:00"/>
    <s v="MAZDA"/>
    <s v="CX-3"/>
    <n v="1377.8050000000001"/>
    <d v="2018-11-20T00:00:00"/>
    <n v="6"/>
    <x v="1"/>
  </r>
  <r>
    <d v="2018-11-28T00:00:00"/>
    <s v="001-00014144"/>
    <n v="729.03647845"/>
    <n v="0"/>
    <n v="0"/>
    <n v="0"/>
    <n v="0"/>
    <n v="73.125"/>
    <n v="123.955"/>
    <n v="0"/>
    <n v="197.07999999999998"/>
    <n v="531.95647845000008"/>
    <n v="0.72967059149219737"/>
    <x v="1"/>
    <s v="LEVE"/>
    <x v="8"/>
    <x v="1"/>
    <n v="9"/>
    <n v="1"/>
    <d v="2018-11-19T00:00:00"/>
    <s v="BYD"/>
    <s v="NEW F3"/>
    <n v="0"/>
    <d v="2018-11-19T00:00:00"/>
    <n v="5"/>
    <x v="1"/>
  </r>
  <r>
    <d v="2018-11-20T00:00:00"/>
    <s v="001-00014145"/>
    <n v="1417.04225322"/>
    <n v="1132.425"/>
    <n v="0"/>
    <n v="0"/>
    <n v="0"/>
    <n v="0"/>
    <n v="0"/>
    <n v="0"/>
    <n v="1132.425"/>
    <n v="284.61725322000007"/>
    <n v="0.20085304624703551"/>
    <x v="0"/>
    <s v="MECANICA"/>
    <x v="8"/>
    <x v="1"/>
    <n v="1"/>
    <n v="1"/>
    <d v="2018-11-19T00:00:00"/>
    <s v="CHEVROLET"/>
    <s v="CAPTIVA"/>
    <n v="0"/>
    <d v="2018-11-19T00:00:00"/>
    <n v="0"/>
    <x v="236"/>
  </r>
  <r>
    <d v="2018-11-30T00:00:00"/>
    <s v="001-00014148"/>
    <n v="761.01937117797002"/>
    <n v="0"/>
    <n v="0"/>
    <n v="0"/>
    <n v="0"/>
    <n v="73.125"/>
    <n v="123.955"/>
    <n v="0"/>
    <n v="197.07999999999998"/>
    <n v="563.93937117797009"/>
    <n v="0.74103155916393704"/>
    <x v="1"/>
    <s v="LEVE"/>
    <x v="8"/>
    <x v="1"/>
    <n v="11"/>
    <n v="1"/>
    <d v="2018-11-19T00:00:00"/>
    <s v="KIA"/>
    <s v="SPORTAGE"/>
    <n v="0"/>
    <d v="2018-11-14T00:00:00"/>
    <n v="5"/>
    <x v="1"/>
  </r>
  <r>
    <d v="2018-11-30T00:00:00"/>
    <s v="001-00014149"/>
    <n v="354.79498950000004"/>
    <n v="0"/>
    <n v="0"/>
    <n v="0"/>
    <n v="0"/>
    <n v="14.625"/>
    <n v="61.977499999999999"/>
    <n v="0"/>
    <n v="76.602499999999992"/>
    <n v="278.19248950000008"/>
    <n v="0.78409362514404968"/>
    <x v="0"/>
    <s v="LEVE"/>
    <x v="8"/>
    <x v="1"/>
    <n v="11"/>
    <n v="1"/>
    <d v="2018-11-19T00:00:00"/>
    <s v="KIA"/>
    <s v="SPORTAGE"/>
    <n v="0"/>
    <d v="2018-11-19T00:00:00"/>
    <n v="1"/>
    <x v="1290"/>
  </r>
  <r>
    <d v="2018-11-27T00:00:00"/>
    <s v="001-00014151"/>
    <n v="605.19899999999996"/>
    <n v="0"/>
    <n v="0"/>
    <n v="7"/>
    <n v="0"/>
    <n v="14.625"/>
    <n v="123.955"/>
    <n v="0"/>
    <n v="145.57999999999998"/>
    <n v="459.61899999999997"/>
    <n v="0.7594510235476265"/>
    <x v="1"/>
    <s v="LEVE"/>
    <x v="8"/>
    <x v="1"/>
    <n v="8"/>
    <n v="1"/>
    <d v="2018-11-19T00:00:00"/>
    <s v="SUZUKI "/>
    <s v="BALENO"/>
    <n v="0"/>
    <d v="2018-11-16T00:00:00"/>
    <n v="1"/>
    <x v="1"/>
  </r>
  <r>
    <d v="2018-11-30T00:00:00"/>
    <s v="001-00014153"/>
    <n v="1860.9983867245801"/>
    <n v="0"/>
    <n v="0"/>
    <n v="0"/>
    <n v="0"/>
    <n v="190.125"/>
    <n v="263.40437500000002"/>
    <n v="0"/>
    <n v="453.52937500000002"/>
    <n v="1407.46901172458"/>
    <n v="0.75629781399315066"/>
    <x v="1"/>
    <s v="MEDIANO"/>
    <x v="8"/>
    <x v="1"/>
    <n v="11"/>
    <n v="1"/>
    <d v="2018-11-19T00:00:00"/>
    <s v="TOYOTA"/>
    <s v="ETIOS"/>
    <n v="1519.57"/>
    <d v="2018-11-20T00:00:00"/>
    <n v="13"/>
    <x v="1"/>
  </r>
  <r>
    <d v="2018-11-30T00:00:00"/>
    <s v="001-00014156"/>
    <n v="979.90997100000004"/>
    <n v="0"/>
    <n v="0"/>
    <n v="0"/>
    <n v="0"/>
    <n v="102.375"/>
    <n v="154.94374999999999"/>
    <n v="0"/>
    <n v="257.31875000000002"/>
    <n v="722.59122100000002"/>
    <n v="0.73740572336721333"/>
    <x v="1"/>
    <s v="MEDIANO"/>
    <x v="8"/>
    <x v="1"/>
    <n v="11"/>
    <n v="1"/>
    <d v="2018-11-19T00:00:00"/>
    <s v="KIA"/>
    <s v="RIO"/>
    <n v="1457.7224999999999"/>
    <d v="2018-11-21T00:00:00"/>
    <n v="7"/>
    <x v="1"/>
  </r>
  <r>
    <d v="2018-11-30T00:00:00"/>
    <s v="001-00014157"/>
    <n v="1123.3741971542404"/>
    <n v="0"/>
    <n v="0"/>
    <n v="7"/>
    <n v="0"/>
    <n v="87.75"/>
    <n v="182.21385000000001"/>
    <n v="0"/>
    <n v="276.96384999999998"/>
    <n v="846.41034715424041"/>
    <n v="0.75345361260601162"/>
    <x v="1"/>
    <s v="MEDIANO"/>
    <x v="8"/>
    <x v="1"/>
    <n v="11"/>
    <n v="1"/>
    <d v="2018-11-19T00:00:00"/>
    <s v="JEEP"/>
    <s v="COMPASS"/>
    <n v="877.92250000000001"/>
    <d v="2018-07-24T00:00:00"/>
    <n v="6"/>
    <x v="457"/>
  </r>
  <r>
    <d v="2018-11-26T00:00:00"/>
    <s v="001-00014162"/>
    <n v="1134.3417550296599"/>
    <n v="0"/>
    <n v="0"/>
    <n v="0"/>
    <n v="0"/>
    <n v="175.5"/>
    <n v="263.40437500000002"/>
    <n v="0"/>
    <n v="438.90437500000002"/>
    <n v="695.43738002965983"/>
    <n v="0.6130757128053318"/>
    <x v="1"/>
    <s v="MEDIANO"/>
    <x v="8"/>
    <x v="1"/>
    <n v="6"/>
    <n v="1"/>
    <d v="2018-11-20T00:00:00"/>
    <s v="DFSK"/>
    <s v="GLORY"/>
    <n v="0"/>
    <s v="F/Fecha"/>
    <n v="0"/>
    <x v="1291"/>
  </r>
  <r>
    <d v="2018-11-20T00:00:00"/>
    <s v="001-00014163"/>
    <n v="249"/>
    <n v="56.685302"/>
    <n v="0"/>
    <n v="0"/>
    <n v="39.048749999999998"/>
    <n v="0"/>
    <n v="0"/>
    <n v="0"/>
    <n v="95.734051999999991"/>
    <n v="153.26594800000001"/>
    <n v="0.6155258955823294"/>
    <x v="0"/>
    <s v="MECANICA"/>
    <x v="8"/>
    <x v="1"/>
    <n v="0"/>
    <n v="1"/>
    <d v="2018-11-20T00:00:00"/>
    <s v="NISSAN"/>
    <s v="TIIDA"/>
    <n v="0"/>
    <d v="2018-11-20T00:00:00"/>
    <n v="0"/>
    <x v="932"/>
  </r>
  <r>
    <d v="2018-11-28T00:00:00"/>
    <s v="001-00014165"/>
    <n v="25.423700000000004"/>
    <n v="0"/>
    <n v="0"/>
    <n v="25.42"/>
    <n v="0"/>
    <n v="0"/>
    <n v="0"/>
    <n v="0"/>
    <n v="25.42"/>
    <n v="3.700000000002035E-3"/>
    <n v="1.4553349827137806E-4"/>
    <x v="0"/>
    <s v="MEDIANO"/>
    <x v="8"/>
    <x v="1"/>
    <n v="8"/>
    <n v="1"/>
    <d v="2018-11-20T00:00:00"/>
    <s v="KIA"/>
    <s v="CERATO"/>
    <n v="0"/>
    <d v="2018-11-20T00:00:00"/>
    <n v="0"/>
    <x v="1292"/>
  </r>
  <r>
    <d v="2018-11-27T00:00:00"/>
    <s v="001-00014168"/>
    <n v="847.45758000000012"/>
    <n v="568.28159800000003"/>
    <n v="0"/>
    <n v="0"/>
    <n v="87.75"/>
    <n v="0"/>
    <n v="0"/>
    <n v="0"/>
    <n v="656.03159800000003"/>
    <n v="191.42598200000009"/>
    <n v="0.22588267131907661"/>
    <x v="0"/>
    <s v="MECANICA"/>
    <x v="8"/>
    <x v="1"/>
    <n v="7"/>
    <n v="1"/>
    <d v="2018-11-20T00:00:00"/>
    <s v="HYUNDAI"/>
    <s v="TUCSON"/>
    <n v="880.75"/>
    <d v="2018-11-26T00:00:00"/>
    <n v="0"/>
    <x v="215"/>
  </r>
  <r>
    <d v="2018-11-30T00:00:00"/>
    <s v="001-00014169"/>
    <n v="1300.0844033245799"/>
    <n v="0"/>
    <n v="0"/>
    <n v="0"/>
    <n v="0"/>
    <n v="102.375"/>
    <n v="170.43812500000001"/>
    <n v="0"/>
    <n v="272.81312500000001"/>
    <n v="1027.2712783245797"/>
    <n v="0.79015737416558374"/>
    <x v="1"/>
    <s v="MEDIANO"/>
    <x v="8"/>
    <x v="1"/>
    <n v="10"/>
    <n v="1"/>
    <d v="2018-11-20T00:00:00"/>
    <s v="TOYOTA"/>
    <s v="ETIOS"/>
    <n v="870.96749999999997"/>
    <d v="2018-11-20T00:00:00"/>
    <n v="7"/>
    <x v="1"/>
  </r>
  <r>
    <d v="2018-11-20T00:00:00"/>
    <s v="001-00014170"/>
    <n v="1940.0600875800001"/>
    <n v="592.83540489999996"/>
    <n v="0"/>
    <n v="0"/>
    <n v="0"/>
    <n v="0"/>
    <n v="0"/>
    <n v="0"/>
    <n v="592.83540489999996"/>
    <n v="1347.2246826800001"/>
    <n v="0.69442420433508667"/>
    <x v="0"/>
    <s v="MECANICA"/>
    <x v="8"/>
    <x v="1"/>
    <n v="0"/>
    <n v="1"/>
    <d v="2018-11-20T00:00:00"/>
    <s v="KIA"/>
    <s v="CERATO"/>
    <n v="0"/>
    <s v="F/Fecha"/>
    <n v="0"/>
    <x v="637"/>
  </r>
  <r>
    <d v="2018-11-29T00:00:00"/>
    <s v="001-00014171"/>
    <n v="854.30922127541999"/>
    <n v="0"/>
    <n v="0"/>
    <n v="19.5"/>
    <n v="0"/>
    <n v="73.125"/>
    <n v="139.449375"/>
    <n v="0"/>
    <n v="232.074375"/>
    <n v="622.23484627541995"/>
    <n v="0.72834850751870583"/>
    <x v="1"/>
    <s v="LEVE"/>
    <x v="8"/>
    <x v="1"/>
    <n v="9"/>
    <n v="1"/>
    <d v="2018-11-20T00:00:00"/>
    <s v="NISSAN"/>
    <s v="VERSA"/>
    <n v="0"/>
    <d v="2018-11-21T00:00:00"/>
    <n v="5"/>
    <x v="1"/>
  </r>
  <r>
    <d v="2018-11-21T00:00:00"/>
    <s v="001-00014173"/>
    <n v="1727.0214489499999"/>
    <n v="0"/>
    <n v="0"/>
    <n v="0"/>
    <n v="0"/>
    <n v="146.25"/>
    <n v="278.89875000000001"/>
    <n v="0"/>
    <n v="425.14875000000001"/>
    <n v="1301.8726989499999"/>
    <n v="0.75382543728192641"/>
    <x v="1"/>
    <s v="MEDIANO"/>
    <x v="8"/>
    <x v="1"/>
    <n v="0"/>
    <n v="1"/>
    <d v="2018-11-21T00:00:00"/>
    <s v="DODGE"/>
    <s v="JOURNEY"/>
    <n v="0"/>
    <d v="2018-11-13T00:00:00"/>
    <n v="10"/>
    <x v="1285"/>
  </r>
  <r>
    <d v="2018-11-21T00:00:00"/>
    <s v="001-00014174"/>
    <n v="249"/>
    <n v="55.434802199999993"/>
    <n v="0"/>
    <n v="0"/>
    <n v="39.048749999999998"/>
    <n v="0"/>
    <n v="0"/>
    <n v="0"/>
    <n v="94.483552199999991"/>
    <n v="154.51644780000001"/>
    <n v="0.62054798313253012"/>
    <x v="0"/>
    <s v="MECANICA"/>
    <x v="8"/>
    <x v="1"/>
    <n v="0"/>
    <n v="1"/>
    <d v="2018-11-21T00:00:00"/>
    <s v="HYUNDAI"/>
    <s v="ACCENT"/>
    <n v="0"/>
    <d v="2018-11-21T00:00:00"/>
    <n v="0"/>
    <x v="195"/>
  </r>
  <r>
    <d v="2018-11-21T00:00:00"/>
    <s v="001-00014181"/>
    <n v="249"/>
    <n v="54.144601899999998"/>
    <n v="0"/>
    <n v="0"/>
    <n v="39.048749999999998"/>
    <n v="0"/>
    <n v="0"/>
    <n v="0"/>
    <n v="93.193351899999996"/>
    <n v="155.80664810000002"/>
    <n v="0.62572951044176717"/>
    <x v="0"/>
    <s v="MECANICA"/>
    <x v="8"/>
    <x v="1"/>
    <n v="0"/>
    <n v="1"/>
    <d v="2018-11-21T00:00:00"/>
    <s v="KIA"/>
    <s v="RIO"/>
    <n v="0"/>
    <d v="2018-11-21T00:00:00"/>
    <n v="0"/>
    <x v="167"/>
  </r>
  <r>
    <d v="2018-11-26T00:00:00"/>
    <s v="001-00014184"/>
    <n v="1469.8649565000001"/>
    <n v="0"/>
    <n v="0"/>
    <n v="200"/>
    <n v="0"/>
    <n v="175.5"/>
    <n v="61.977499999999999"/>
    <n v="0"/>
    <n v="437.47750000000002"/>
    <n v="1032.3874565000001"/>
    <n v="0.70236891622907405"/>
    <x v="0"/>
    <s v="MEDIANO"/>
    <x v="8"/>
    <x v="1"/>
    <n v="5"/>
    <n v="1"/>
    <d v="2018-11-21T00:00:00"/>
    <s v="MITSUBISHI"/>
    <s v="L200"/>
    <n v="0"/>
    <d v="2018-11-22T00:00:00"/>
    <n v="12"/>
    <x v="999"/>
  </r>
  <r>
    <d v="2018-11-23T00:00:00"/>
    <s v="001-00014185"/>
    <n v="60"/>
    <n v="0"/>
    <n v="0"/>
    <n v="0"/>
    <n v="29.25"/>
    <n v="0"/>
    <n v="0"/>
    <n v="0"/>
    <n v="29.25"/>
    <n v="30.75"/>
    <n v="0.51249999999999996"/>
    <x v="0"/>
    <s v="MECANICA"/>
    <x v="8"/>
    <x v="1"/>
    <n v="2"/>
    <n v="1"/>
    <d v="2018-11-21T00:00:00"/>
    <s v="SUZUKI "/>
    <s v="CELERIO"/>
    <n v="0"/>
    <d v="2018-11-22T00:00:00"/>
    <n v="0"/>
    <x v="204"/>
  </r>
  <r>
    <d v="2018-11-27T00:00:00"/>
    <s v="001-00014186"/>
    <n v="1100"/>
    <n v="93.220000999999968"/>
    <n v="0"/>
    <n v="177.98000000000002"/>
    <n v="58.5"/>
    <n v="0"/>
    <n v="0"/>
    <n v="0"/>
    <n v="329.70000099999999"/>
    <n v="770.29999900000007"/>
    <n v="0.70027272636363647"/>
    <x v="0"/>
    <s v="MECANICA"/>
    <x v="8"/>
    <x v="1"/>
    <n v="5"/>
    <n v="1"/>
    <d v="2018-11-22T00:00:00"/>
    <s v="NISSAN"/>
    <s v="TIIDA"/>
    <n v="177.255"/>
    <d v="2018-11-22T00:00:00"/>
    <n v="0"/>
    <x v="932"/>
  </r>
  <r>
    <d v="2018-11-26T00:00:00"/>
    <s v="001-00014188"/>
    <n v="867"/>
    <n v="117.31730115000002"/>
    <n v="0"/>
    <n v="156.78474576271188"/>
    <n v="39.048749999999998"/>
    <n v="0"/>
    <n v="0"/>
    <n v="0"/>
    <n v="313.15079691271188"/>
    <n v="553.84920308728806"/>
    <n v="0.6388110762252458"/>
    <x v="0"/>
    <s v="MECANICA"/>
    <x v="8"/>
    <x v="1"/>
    <n v="4"/>
    <n v="1"/>
    <d v="2018-11-22T00:00:00"/>
    <s v="KIA"/>
    <s v="SPORTAGE"/>
    <n v="0"/>
    <d v="2018-11-22T00:00:00"/>
    <n v="0"/>
    <x v="1293"/>
  </r>
  <r>
    <d v="2018-11-30T00:00:00"/>
    <s v="001-00014190"/>
    <n v="816.88741762457994"/>
    <n v="0"/>
    <n v="0"/>
    <n v="0"/>
    <n v="0"/>
    <n v="87.75"/>
    <n v="123.955"/>
    <n v="0"/>
    <n v="211.70499999999998"/>
    <n v="605.18241762458001"/>
    <n v="0.74083944074494978"/>
    <x v="1"/>
    <s v="LEVE"/>
    <x v="8"/>
    <x v="1"/>
    <n v="8"/>
    <n v="1"/>
    <d v="2018-11-22T00:00:00"/>
    <s v="TOYOTA"/>
    <s v="YARIS"/>
    <n v="0"/>
    <d v="2018-11-23T00:00:00"/>
    <n v="6"/>
    <x v="1"/>
  </r>
  <r>
    <d v="2018-11-20T00:00:00"/>
    <s v="001-00014192"/>
    <n v="1779.6271019999999"/>
    <n v="1050.3945067500001"/>
    <n v="0"/>
    <n v="0"/>
    <n v="43.875"/>
    <n v="0"/>
    <n v="0"/>
    <n v="0"/>
    <n v="1094.2695067500001"/>
    <n v="685.3575952499998"/>
    <n v="0.38511303546668502"/>
    <x v="0"/>
    <s v="MECANICA"/>
    <x v="8"/>
    <x v="1"/>
    <n v="0"/>
    <n v="1"/>
    <d v="2018-11-20T00:00:00"/>
    <s v="HYUNDAI"/>
    <s v="ACCENT"/>
    <n v="1735.5"/>
    <d v="2018-11-22T00:00:00"/>
    <n v="0"/>
    <x v="836"/>
  </r>
  <r>
    <d v="2018-11-24T00:00:00"/>
    <s v="001-00014194"/>
    <n v="1228"/>
    <n v="352.22320193999997"/>
    <n v="0"/>
    <n v="50.85"/>
    <n v="39.048749999999998"/>
    <n v="0"/>
    <n v="0"/>
    <n v="0"/>
    <n v="442.12195193999997"/>
    <n v="785.87804806000008"/>
    <n v="0.63996583718241051"/>
    <x v="0"/>
    <s v="MECANICA"/>
    <x v="8"/>
    <x v="1"/>
    <n v="2"/>
    <n v="1"/>
    <d v="2018-11-22T00:00:00"/>
    <s v="HYUNDAI"/>
    <s v="ELANTRA"/>
    <n v="550.51749999999993"/>
    <d v="2018-11-22T00:00:00"/>
    <n v="0"/>
    <x v="871"/>
  </r>
  <r>
    <d v="2018-11-23T00:00:00"/>
    <s v="001-00014196"/>
    <n v="449"/>
    <n v="86.91680125000002"/>
    <n v="0"/>
    <n v="0"/>
    <n v="39.048749999999998"/>
    <n v="0"/>
    <n v="0"/>
    <n v="0"/>
    <n v="125.96555125000002"/>
    <n v="323.03444874999997"/>
    <n v="0.71945311525612465"/>
    <x v="0"/>
    <s v="MECANICA"/>
    <x v="8"/>
    <x v="1"/>
    <n v="1"/>
    <n v="1"/>
    <d v="2018-11-22T00:00:00"/>
    <s v="CHEVROLET"/>
    <s v="CAPTIVA"/>
    <n v="0"/>
    <d v="2018-11-22T00:00:00"/>
    <n v="0"/>
    <x v="1294"/>
  </r>
  <r>
    <d v="2018-11-24T00:00:00"/>
    <s v="001-00014197"/>
    <n v="939"/>
    <n v="219.01730115000004"/>
    <n v="0"/>
    <n v="84.75"/>
    <n v="68.298749999999998"/>
    <n v="0"/>
    <n v="0"/>
    <n v="0"/>
    <n v="372.06605115000002"/>
    <n v="566.93394884999998"/>
    <n v="0.60376352380191689"/>
    <x v="0"/>
    <s v="MECANICA"/>
    <x v="8"/>
    <x v="1"/>
    <n v="2"/>
    <n v="1"/>
    <d v="2018-11-22T00:00:00"/>
    <s v="HYUNDAI"/>
    <s v="SANTA FE"/>
    <n v="137.86500000000001"/>
    <d v="2018-11-23T00:00:00"/>
    <n v="0"/>
    <x v="1145"/>
  </r>
  <r>
    <d v="2018-11-23T00:00:00"/>
    <s v="001-00014202"/>
    <n v="549"/>
    <n v="145.27800325000004"/>
    <n v="0"/>
    <n v="0"/>
    <n v="39.048749999999998"/>
    <n v="0"/>
    <n v="0"/>
    <n v="0"/>
    <n v="184.32675325000002"/>
    <n v="364.67324674999998"/>
    <n v="0.66424999408014562"/>
    <x v="0"/>
    <s v="MECANICA"/>
    <x v="8"/>
    <x v="1"/>
    <n v="0"/>
    <n v="1"/>
    <d v="2018-11-23T00:00:00"/>
    <s v="MITSUBISHI"/>
    <s v="ASX"/>
    <n v="0"/>
    <d v="2018-11-23T00:00:00"/>
    <n v="0"/>
    <x v="1295"/>
  </r>
  <r>
    <d v="2018-11-23T00:00:00"/>
    <s v="001-00014206"/>
    <n v="196"/>
    <n v="122.88"/>
    <n v="0"/>
    <n v="0"/>
    <n v="29.25"/>
    <n v="0"/>
    <n v="0"/>
    <n v="0"/>
    <n v="152.13"/>
    <n v="43.870000000000005"/>
    <n v="0.22382653061224492"/>
    <x v="0"/>
    <s v="MECANICA"/>
    <x v="8"/>
    <x v="1"/>
    <n v="0"/>
    <n v="1"/>
    <d v="2018-11-23T00:00:00"/>
    <s v="HYUNDAI"/>
    <s v="ELANTRA"/>
    <n v="193.01750000000001"/>
    <d v="2018-11-23T00:00:00"/>
    <n v="0"/>
    <x v="27"/>
  </r>
  <r>
    <d v="2018-11-28T00:00:00"/>
    <s v="001-00014214"/>
    <n v="1370.1149594999999"/>
    <n v="0"/>
    <n v="0"/>
    <n v="0"/>
    <n v="0"/>
    <n v="175.5"/>
    <n v="247.91"/>
    <n v="0"/>
    <n v="423.40999999999997"/>
    <n v="946.70495949999997"/>
    <n v="0.69096753738495331"/>
    <x v="0"/>
    <s v="MEDIANO"/>
    <x v="8"/>
    <x v="1"/>
    <n v="5"/>
    <n v="1"/>
    <d v="2018-11-23T00:00:00"/>
    <s v="TOYOTA"/>
    <s v="YARIS"/>
    <n v="0"/>
    <d v="2018-11-23T00:00:00"/>
    <n v="12"/>
    <x v="1296"/>
  </r>
  <r>
    <d v="2018-11-27T00:00:00"/>
    <s v="001-00014228"/>
    <n v="225"/>
    <n v="57.956401999999997"/>
    <n v="0"/>
    <n v="0"/>
    <n v="39.048749999999998"/>
    <n v="0"/>
    <n v="0"/>
    <n v="0"/>
    <n v="97.005151999999995"/>
    <n v="127.994848"/>
    <n v="0.56886599111111114"/>
    <x v="0"/>
    <s v="MECANICA"/>
    <x v="8"/>
    <x v="1"/>
    <n v="1"/>
    <n v="1"/>
    <d v="2018-11-26T00:00:00"/>
    <s v="NISSAN"/>
    <s v="TIIDA"/>
    <n v="0"/>
    <d v="2018-11-26T00:00:00"/>
    <n v="0"/>
    <x v="157"/>
  </r>
  <r>
    <d v="2018-11-29T00:00:00"/>
    <s v="001-00014232"/>
    <n v="388.70001149999996"/>
    <n v="0"/>
    <n v="0"/>
    <n v="0"/>
    <n v="0"/>
    <n v="14.625"/>
    <n v="61.977499999999999"/>
    <n v="0"/>
    <n v="76.602499999999992"/>
    <n v="312.0975115"/>
    <n v="0.80292642723526142"/>
    <x v="0"/>
    <s v="LEVE"/>
    <x v="8"/>
    <x v="1"/>
    <n v="3"/>
    <n v="1"/>
    <d v="2018-11-26T00:00:00"/>
    <s v="HYUNDAI"/>
    <s v="ELANTRA"/>
    <n v="0"/>
    <d v="2018-11-27T00:00:00"/>
    <n v="1"/>
    <x v="1297"/>
  </r>
  <r>
    <d v="2018-11-26T00:00:00"/>
    <s v="001-00014240"/>
    <n v="152.05499550000002"/>
    <n v="0"/>
    <n v="0"/>
    <n v="55.084745762711869"/>
    <n v="0"/>
    <n v="0"/>
    <n v="0"/>
    <n v="0"/>
    <n v="55.084745762711869"/>
    <n v="96.970249737288157"/>
    <n v="0.63773143012120337"/>
    <x v="1"/>
    <s v="MEDIANO"/>
    <x v="8"/>
    <x v="1"/>
    <n v="0"/>
    <n v="1"/>
    <d v="2018-11-26T00:00:00"/>
    <s v="TOYOTA"/>
    <s v="YARIS"/>
    <n v="0"/>
    <s v="F/Fecha"/>
    <n v="0"/>
    <x v="1"/>
  </r>
  <r>
    <d v="2018-11-29T00:00:00"/>
    <s v="001-00014242"/>
    <n v="1859"/>
    <n v="606.97861140000009"/>
    <n v="0"/>
    <n v="0"/>
    <n v="97.548749999999998"/>
    <n v="0"/>
    <n v="0"/>
    <n v="0"/>
    <n v="704.52736140000013"/>
    <n v="1154.4726385999998"/>
    <n v="0.6210180949973102"/>
    <x v="0"/>
    <s v="MECANICA"/>
    <x v="8"/>
    <x v="1"/>
    <n v="2"/>
    <n v="1"/>
    <d v="2018-11-27T00:00:00"/>
    <s v="HYUNDAI"/>
    <s v="TUCSON"/>
    <n v="1014.39"/>
    <d v="2018-11-27T00:00:00"/>
    <n v="0"/>
    <x v="28"/>
  </r>
  <r>
    <d v="2018-11-30T00:00:00"/>
    <s v="001-00014243"/>
    <n v="2624"/>
    <n v="926.63968949999992"/>
    <n v="0"/>
    <n v="0"/>
    <n v="97.548749999999998"/>
    <n v="0"/>
    <n v="0"/>
    <n v="0"/>
    <n v="1024.1884395"/>
    <n v="1599.8115605"/>
    <n v="0.60968428372713412"/>
    <x v="0"/>
    <s v="MECANICA"/>
    <x v="8"/>
    <x v="1"/>
    <n v="4"/>
    <n v="1"/>
    <d v="2018-11-26T00:00:00"/>
    <s v="GEAT W"/>
    <s v="H6"/>
    <n v="1472.3474999999999"/>
    <d v="2018-11-27T00:00:00"/>
    <n v="0"/>
    <x v="96"/>
  </r>
  <r>
    <d v="2018-11-27T00:00:00"/>
    <s v="001-00014244"/>
    <n v="449"/>
    <n v="71.768402499999979"/>
    <n v="0"/>
    <n v="0"/>
    <n v="39.048749999999998"/>
    <n v="0"/>
    <n v="0"/>
    <n v="0"/>
    <n v="110.81715249999998"/>
    <n v="338.18284750000004"/>
    <n v="0.75319119710467719"/>
    <x v="0"/>
    <s v="MECANICA"/>
    <x v="8"/>
    <x v="1"/>
    <n v="1"/>
    <n v="1"/>
    <d v="2018-11-26T00:00:00"/>
    <s v="DAIHATISU"/>
    <s v="TERIOS"/>
    <n v="0"/>
    <d v="2018-11-27T00:00:00"/>
    <n v="0"/>
    <x v="734"/>
  </r>
  <r>
    <d v="2018-11-27T00:00:00"/>
    <s v="001-00014248"/>
    <n v="449.84475479999998"/>
    <n v="322.02999999999997"/>
    <n v="0"/>
    <n v="0"/>
    <n v="0"/>
    <n v="0"/>
    <n v="0"/>
    <n v="0"/>
    <n v="322.02999999999997"/>
    <n v="127.8147548"/>
    <n v="0.28413081054335326"/>
    <x v="0"/>
    <s v="MECANICA"/>
    <x v="8"/>
    <x v="1"/>
    <n v="0"/>
    <n v="1"/>
    <d v="2018-11-27T00:00:00"/>
    <s v="KIA"/>
    <s v="CERATO"/>
    <n v="432.41250000000002"/>
    <d v="2018-11-28T00:00:00"/>
    <n v="0"/>
    <x v="637"/>
  </r>
  <r>
    <d v="2018-11-28T00:00:00"/>
    <s v="001-00014258"/>
    <n v="549"/>
    <n v="125.50550225000003"/>
    <n v="0"/>
    <n v="0"/>
    <n v="39.048749999999998"/>
    <n v="0"/>
    <n v="0"/>
    <n v="0"/>
    <n v="164.55425225000005"/>
    <n v="384.44574774999995"/>
    <n v="0.70026547859744981"/>
    <x v="0"/>
    <s v="MECANICA"/>
    <x v="8"/>
    <x v="1"/>
    <n v="0"/>
    <n v="1"/>
    <d v="2018-11-28T00:00:00"/>
    <s v="SUZUKI "/>
    <s v="G. NOMADE"/>
    <n v="0"/>
    <d v="2018-11-28T00:00:00"/>
    <n v="0"/>
    <x v="1185"/>
  </r>
  <r>
    <d v="2018-11-30T00:00:00"/>
    <s v="001-00014264"/>
    <n v="298.92695319038972"/>
    <n v="0"/>
    <n v="0"/>
    <n v="0"/>
    <n v="0"/>
    <n v="16.087500000000002"/>
    <n v="61.977499999999999"/>
    <n v="0"/>
    <n v="78.064999999999998"/>
    <n v="220.86195319038973"/>
    <n v="0.73884924337926938"/>
    <x v="1"/>
    <s v="LEVE"/>
    <x v="8"/>
    <x v="1"/>
    <n v="1"/>
    <n v="1"/>
    <d v="2018-11-29T00:00:00"/>
    <s v="HYUNDAI"/>
    <s v="I20"/>
    <n v="618.41"/>
    <d v="2018-11-07T00:00:00"/>
    <n v="1.1000000000000001"/>
    <x v="1"/>
  </r>
  <r>
    <d v="2018-11-30T00:00:00"/>
    <s v="001-00014269"/>
    <n v="326.62710200000004"/>
    <n v="56.267201620000002"/>
    <n v="0"/>
    <n v="0"/>
    <n v="39.048749999999998"/>
    <n v="0"/>
    <n v="0"/>
    <n v="0"/>
    <n v="95.315951619999993"/>
    <n v="231.31115038000004"/>
    <n v="0.70818113060317944"/>
    <x v="0"/>
    <s v="MECANICA"/>
    <x v="8"/>
    <x v="1"/>
    <n v="1"/>
    <n v="1"/>
    <d v="2018-11-29T00:00:00"/>
    <s v="SUZUKI "/>
    <s v="CELERIO"/>
    <n v="0"/>
    <d v="2018-11-30T00:00:00"/>
    <n v="0"/>
    <x v="204"/>
  </r>
  <r>
    <d v="2018-11-30T00:00:00"/>
    <s v="001-00014272"/>
    <n v="236.52999300000002"/>
    <n v="0"/>
    <n v="0"/>
    <n v="152.54237288135593"/>
    <n v="0"/>
    <n v="0"/>
    <n v="0"/>
    <n v="0"/>
    <n v="152.54237288135593"/>
    <n v="83.987620118644088"/>
    <n v="0.35508232614983454"/>
    <x v="0"/>
    <s v="MECANICA"/>
    <x v="8"/>
    <x v="1"/>
    <n v="0"/>
    <n v="1"/>
    <d v="2018-11-30T00:00:00"/>
    <s v="MERCEDES"/>
    <s v="C180"/>
    <n v="0"/>
    <d v="1899-12-30T00:00:00"/>
    <n v="0"/>
    <x v="1298"/>
  </r>
  <r>
    <d v="2018-12-15T00:00:00"/>
    <s v="001-00011992"/>
    <n v="1301.0860434000006"/>
    <n v="80.854702199999991"/>
    <n v="33.9"/>
    <n v="139.83474576271186"/>
    <n v="0"/>
    <n v="43.875"/>
    <n v="30.98875"/>
    <n v="0"/>
    <n v="329.45319796271184"/>
    <n v="971.63284543728878"/>
    <n v="0.74678600263685557"/>
    <x v="1"/>
    <s v="LEVE"/>
    <x v="9"/>
    <x v="1"/>
    <n v="256"/>
    <n v="1"/>
    <d v="2018-04-03T00:00:00"/>
    <s v="CHEVROLET"/>
    <s v="SAIL"/>
    <n v="397.05250000000001"/>
    <d v="2018-10-04T00:00:00"/>
    <n v="3"/>
    <x v="1252"/>
  </r>
  <r>
    <d v="2018-12-19T00:00:00"/>
    <s v="001-00012421"/>
    <n v="444.70615280000004"/>
    <n v="0"/>
    <n v="0"/>
    <n v="0"/>
    <n v="0"/>
    <n v="87.75"/>
    <n v="121.47590000000001"/>
    <n v="0"/>
    <n v="209.22590000000002"/>
    <n v="235.48025280000002"/>
    <n v="0.52951876495827066"/>
    <x v="1"/>
    <s v="LEVE"/>
    <x v="9"/>
    <x v="1"/>
    <n v="209"/>
    <n v="1"/>
    <d v="2018-05-24T00:00:00"/>
    <s v="HONDA"/>
    <s v="WR-V"/>
    <n v="2672.605"/>
    <d v="2018-05-26T00:00:00"/>
    <n v="6"/>
    <x v="1"/>
  </r>
  <r>
    <d v="2018-12-31T00:00:00"/>
    <s v="001-00012648"/>
    <n v="249.37999259999998"/>
    <n v="0"/>
    <n v="0"/>
    <n v="0"/>
    <n v="0"/>
    <n v="160.875"/>
    <n v="263.40437500000002"/>
    <n v="0"/>
    <n v="424.27937500000002"/>
    <n v="-174.89938240000004"/>
    <n v="-0.7013368657867225"/>
    <x v="1"/>
    <s v="MEDIANO"/>
    <x v="9"/>
    <x v="1"/>
    <n v="196"/>
    <n v="1"/>
    <d v="2018-06-18T00:00:00"/>
    <s v="KIA"/>
    <s v="CERATO"/>
    <n v="1651.9099999999999"/>
    <d v="2018-06-15T00:00:00"/>
    <n v="11"/>
    <x v="1"/>
  </r>
  <r>
    <d v="2018-12-31T00:00:00"/>
    <s v="001-00013145"/>
    <n v="3430.4886685050806"/>
    <n v="1.6951999600000001"/>
    <n v="0"/>
    <n v="360.16949152542378"/>
    <n v="10.237499999999999"/>
    <n v="321.75"/>
    <n v="274.56032499999998"/>
    <n v="0"/>
    <n v="968.41251648542379"/>
    <n v="2462.0761520196565"/>
    <n v="0.71770420774850319"/>
    <x v="1"/>
    <s v="MEDIANO"/>
    <x v="9"/>
    <x v="1"/>
    <n v="147"/>
    <n v="1"/>
    <d v="2018-08-06T00:00:00"/>
    <s v="RENAULT"/>
    <s v="STEPWAY"/>
    <n v="13324.414999999999"/>
    <d v="2018-08-09T00:00:00"/>
    <n v="22"/>
    <x v="999"/>
  </r>
  <r>
    <d v="2018-12-19T00:00:00"/>
    <s v="001-00013547"/>
    <n v="6923.7245866599997"/>
    <n v="9.3739001999999996"/>
    <n v="0"/>
    <n v="224.5801694915254"/>
    <n v="58.5"/>
    <n v="702"/>
    <n v="976.14562500000011"/>
    <n v="0"/>
    <n v="1970.5996946915257"/>
    <n v="4953.124891968474"/>
    <n v="0.71538444806307033"/>
    <x v="1"/>
    <s v="GRAVE"/>
    <x v="9"/>
    <x v="1"/>
    <n v="93"/>
    <n v="1"/>
    <d v="2018-09-17T00:00:00"/>
    <s v="SUZUKI"/>
    <s v="G. NOMADE"/>
    <n v="23122.157500000001"/>
    <d v="2018-10-18T00:00:00"/>
    <n v="48"/>
    <x v="1"/>
  </r>
  <r>
    <d v="2018-12-12T00:00:00"/>
    <s v="001-00013723"/>
    <n v="2740.6666063745793"/>
    <n v="7.6793001200000006"/>
    <n v="0"/>
    <n v="84.75"/>
    <n v="14.625"/>
    <n v="234"/>
    <n v="418.34812499999998"/>
    <n v="0"/>
    <n v="759.40242511999998"/>
    <n v="1981.2641812545794"/>
    <n v="0.72291324185375616"/>
    <x v="1"/>
    <s v="MEDIANO"/>
    <x v="9"/>
    <x v="1"/>
    <n v="64"/>
    <n v="1"/>
    <d v="2018-10-09T00:00:00"/>
    <s v="VW"/>
    <s v="VOYAGE"/>
    <n v="8063.0550000000003"/>
    <d v="2018-11-07T00:00:00"/>
    <n v="16"/>
    <x v="1"/>
  </r>
  <r>
    <d v="2018-12-28T00:00:00"/>
    <s v="001-00013732"/>
    <n v="3662.9598914999997"/>
    <n v="59.320001999999981"/>
    <n v="0"/>
    <n v="118.64"/>
    <n v="51.1875"/>
    <n v="351"/>
    <n v="464.83125000000001"/>
    <n v="0"/>
    <n v="1044.978752"/>
    <n v="2617.9811394999997"/>
    <n v="0.7147173916850954"/>
    <x v="1"/>
    <s v="MEDIANO"/>
    <x v="9"/>
    <x v="1"/>
    <n v="80"/>
    <n v="1"/>
    <d v="2018-10-09T00:00:00"/>
    <s v="KIA"/>
    <s v="CERATO"/>
    <n v="9144.4274999999998"/>
    <d v="2018-10-11T00:00:00"/>
    <n v="24"/>
    <x v="1299"/>
  </r>
  <r>
    <d v="2018-12-14T00:00:00"/>
    <s v="001-00013768"/>
    <n v="2464.8625000000002"/>
    <n v="0"/>
    <n v="0"/>
    <n v="76.27"/>
    <n v="131.625"/>
    <n v="351"/>
    <n v="216.92125000000001"/>
    <n v="0"/>
    <n v="775.81624999999997"/>
    <n v="1689.0462500000003"/>
    <n v="0.68524968431301958"/>
    <x v="2"/>
    <s v="MEDIANO"/>
    <x v="9"/>
    <x v="1"/>
    <n v="60"/>
    <n v="1"/>
    <d v="2018-10-15T00:00:00"/>
    <s v="KIA"/>
    <s v="SPORTAGE"/>
    <n v="5023.72"/>
    <d v="2018-10-16T00:00:00"/>
    <n v="24"/>
    <x v="2"/>
  </r>
  <r>
    <d v="2018-12-14T00:00:00"/>
    <s v="001-00013802"/>
    <n v="570.33890086500003"/>
    <n v="0"/>
    <n v="0"/>
    <n v="0"/>
    <n v="0"/>
    <n v="43.875"/>
    <n v="123.955"/>
    <n v="0"/>
    <n v="167.82999999999998"/>
    <n v="402.50890086500004"/>
    <n v="0.70573636175708521"/>
    <x v="0"/>
    <s v="LEVE"/>
    <x v="9"/>
    <x v="1"/>
    <n v="58"/>
    <n v="1"/>
    <d v="2018-10-17T00:00:00"/>
    <s v="KIA"/>
    <s v="SPORTAGE"/>
    <n v="0"/>
    <d v="2018-10-17T00:00:00"/>
    <n v="3"/>
    <x v="331"/>
  </r>
  <r>
    <d v="2018-12-05T00:00:00"/>
    <s v="001-00013870"/>
    <n v="3324.93050085"/>
    <n v="5.4759001999999999"/>
    <n v="0"/>
    <n v="84.75"/>
    <n v="73.125"/>
    <n v="204.75"/>
    <n v="480.32562499999995"/>
    <n v="0"/>
    <n v="848.42652520000001"/>
    <n v="2476.50397565"/>
    <n v="0.74482879417085424"/>
    <x v="1"/>
    <s v="MEDIANO"/>
    <x v="9"/>
    <x v="1"/>
    <n v="42"/>
    <n v="1"/>
    <d v="2018-10-24T00:00:00"/>
    <s v="TOYOTA"/>
    <s v="ETIOS"/>
    <n v="25454.682499999999"/>
    <d v="2018-10-26T00:00:00"/>
    <n v="14"/>
    <x v="1"/>
  </r>
  <r>
    <d v="2018-12-22T00:00:00"/>
    <s v="001-00013929"/>
    <n v="2876.9806371799996"/>
    <n v="5.4759001999999999"/>
    <n v="0"/>
    <n v="0"/>
    <n v="21.9375"/>
    <n v="292.5"/>
    <n v="356.37062500000002"/>
    <n v="0"/>
    <n v="676.28402520000009"/>
    <n v="2200.6966119799995"/>
    <n v="0.7649327157575555"/>
    <x v="1"/>
    <s v="MEDIANO"/>
    <x v="9"/>
    <x v="1"/>
    <n v="54"/>
    <n v="1"/>
    <d v="2018-10-29T00:00:00"/>
    <s v="HYUNDAI"/>
    <s v="VELOSTER"/>
    <n v="7832.37"/>
    <d v="2018-12-06T00:00:00"/>
    <n v="20"/>
    <x v="1"/>
  </r>
  <r>
    <d v="2018-12-12T00:00:00"/>
    <s v="001-00013944"/>
    <n v="3535.9295960762697"/>
    <n v="64.397400000000005"/>
    <n v="0"/>
    <n v="103.25"/>
    <n v="36.5625"/>
    <n v="234"/>
    <n v="387.359375"/>
    <n v="0"/>
    <n v="825.56927500000006"/>
    <n v="2710.3603210762694"/>
    <n v="0.76651987756879736"/>
    <x v="1"/>
    <s v="MEDIANO"/>
    <x v="9"/>
    <x v="1"/>
    <n v="42"/>
    <n v="1"/>
    <d v="2018-10-31T00:00:00"/>
    <s v="SUZUKI "/>
    <s v="G. NOMADE"/>
    <n v="23541.212499999998"/>
    <d v="2018-11-15T00:00:00"/>
    <n v="16"/>
    <x v="999"/>
  </r>
  <r>
    <d v="2018-12-15T00:00:00"/>
    <s v="001-00013967"/>
    <n v="2975.8849999999998"/>
    <n v="1.6949999000000002"/>
    <n v="0"/>
    <n v="84.75"/>
    <n v="73.125"/>
    <n v="263.25"/>
    <n v="418.34812499999998"/>
    <n v="0"/>
    <n v="841.16812489999995"/>
    <n v="2134.7168750999999"/>
    <n v="0.71733849765699953"/>
    <x v="2"/>
    <s v="MEDIANO"/>
    <x v="9"/>
    <x v="1"/>
    <n v="43"/>
    <n v="1"/>
    <d v="2018-11-02T00:00:00"/>
    <s v="VW"/>
    <s v="POLO"/>
    <n v="3649.9775"/>
    <d v="2018-11-05T00:00:00"/>
    <n v="18"/>
    <x v="2"/>
  </r>
  <r>
    <d v="2018-12-12T00:00:00"/>
    <s v="001-00013971"/>
    <n v="3631.3747332440698"/>
    <n v="1.4409000000000001"/>
    <n v="0"/>
    <n v="55.084745762711869"/>
    <n v="0"/>
    <n v="438.75"/>
    <n v="418.34812499999998"/>
    <n v="0"/>
    <n v="913.62377076271184"/>
    <n v="2717.7509624813579"/>
    <n v="0.74840829220989513"/>
    <x v="1"/>
    <s v="GRAVE"/>
    <x v="9"/>
    <x v="1"/>
    <n v="40"/>
    <n v="1"/>
    <d v="2018-11-02T00:00:00"/>
    <s v="HYUNDAI"/>
    <s v="ACCENT"/>
    <n v="4675.5475000000006"/>
    <d v="2018-11-06T00:00:00"/>
    <n v="30"/>
    <x v="1"/>
  </r>
  <r>
    <d v="2018-12-03T00:00:00"/>
    <s v="001-00014002"/>
    <n v="4998.5959999999995"/>
    <n v="1146.472"/>
    <n v="0"/>
    <n v="84.75"/>
    <n v="29.25"/>
    <n v="424.125"/>
    <n v="309.88749999999999"/>
    <n v="0"/>
    <n v="1994.4845"/>
    <n v="3004.1114999999995"/>
    <n v="0.60099105828916755"/>
    <x v="0"/>
    <s v="MEDIANO"/>
    <x v="9"/>
    <x v="1"/>
    <n v="28"/>
    <n v="1"/>
    <d v="2018-11-05T00:00:00"/>
    <s v="KIA"/>
    <s v="CERATO"/>
    <n v="1504.75"/>
    <d v="2018-11-06T00:00:00"/>
    <n v="29"/>
    <x v="1300"/>
  </r>
  <r>
    <d v="2018-12-20T00:00:00"/>
    <s v="001-00014031"/>
    <n v="884.12451538389985"/>
    <n v="0"/>
    <n v="0"/>
    <n v="25"/>
    <n v="0"/>
    <n v="109.6875"/>
    <n v="139.449375"/>
    <n v="0"/>
    <n v="274.13687500000003"/>
    <n v="609.98764038389982"/>
    <n v="0.68993408707712878"/>
    <x v="1"/>
    <s v="LEVE"/>
    <x v="9"/>
    <x v="1"/>
    <n v="42"/>
    <n v="1"/>
    <d v="2018-11-08T00:00:00"/>
    <s v="MAZDA"/>
    <s v="CX-3"/>
    <n v="7502.3649999999998"/>
    <d v="2018-11-09T00:00:00"/>
    <n v="7.5"/>
    <x v="999"/>
  </r>
  <r>
    <d v="2018-12-19T00:00:00"/>
    <s v="001-00014035"/>
    <n v="2056.9675866600005"/>
    <n v="0"/>
    <n v="0"/>
    <n v="35.5"/>
    <n v="0"/>
    <n v="175.5"/>
    <n v="356.37062500000002"/>
    <n v="0"/>
    <n v="567.37062500000002"/>
    <n v="1489.5969616600005"/>
    <n v="0.72417133421082847"/>
    <x v="1"/>
    <s v="MEDIANO"/>
    <x v="9"/>
    <x v="1"/>
    <n v="41"/>
    <n v="1"/>
    <d v="2018-11-08T00:00:00"/>
    <s v="RENAULT"/>
    <s v="LOGAN"/>
    <n v="5076.3050000000003"/>
    <d v="2018-11-09T00:00:00"/>
    <n v="12"/>
    <x v="999"/>
  </r>
  <r>
    <d v="2018-12-05T00:00:00"/>
    <s v="001-00014039"/>
    <n v="4719.47"/>
    <n v="0"/>
    <n v="0"/>
    <n v="0"/>
    <n v="14.625"/>
    <n v="672.75"/>
    <n v="681.75250000000005"/>
    <n v="0"/>
    <n v="1369.1275000000001"/>
    <n v="3350.3425000000002"/>
    <n v="0.70989803939849183"/>
    <x v="2"/>
    <s v="GRAVE"/>
    <x v="9"/>
    <x v="1"/>
    <n v="27"/>
    <n v="1"/>
    <d v="2018-11-08T00:00:00"/>
    <s v="NISSAN"/>
    <s v="FRONTIER"/>
    <n v="5179.2"/>
    <d v="2018-11-09T00:00:00"/>
    <n v="46"/>
    <x v="1301"/>
  </r>
  <r>
    <d v="2018-12-04T00:00:00"/>
    <s v="001-00014056"/>
    <n v="624.93000000000006"/>
    <n v="131.93700000000001"/>
    <n v="0"/>
    <n v="178"/>
    <n v="0"/>
    <n v="0"/>
    <n v="0"/>
    <n v="0"/>
    <n v="309.93700000000001"/>
    <n v="314.99300000000005"/>
    <n v="0.50404525306834369"/>
    <x v="0"/>
    <s v="MECANICA"/>
    <x v="9"/>
    <x v="1"/>
    <n v="25"/>
    <n v="1"/>
    <d v="2018-11-09T00:00:00"/>
    <s v="NISSAN"/>
    <s v="SENTRA"/>
    <n v="370.5"/>
    <d v="2018-11-13T00:00:00"/>
    <n v="0"/>
    <x v="999"/>
  </r>
  <r>
    <d v="2018-12-12T00:00:00"/>
    <s v="001-00014060"/>
    <n v="2935.2699129000002"/>
    <n v="38.134898"/>
    <n v="0"/>
    <n v="55.084745762711869"/>
    <n v="33.637499999999996"/>
    <n v="263.25"/>
    <n v="402.85374999999999"/>
    <n v="0"/>
    <n v="792.96089376271186"/>
    <n v="2142.3090191372885"/>
    <n v="0.72985077444572077"/>
    <x v="1"/>
    <s v="MEDIANO"/>
    <x v="9"/>
    <x v="1"/>
    <n v="32"/>
    <n v="1"/>
    <d v="2018-11-10T00:00:00"/>
    <s v="NISSAN"/>
    <s v="TIIDA"/>
    <n v="493777.34249999997"/>
    <d v="2018-11-12T00:00:00"/>
    <n v="18"/>
    <x v="1"/>
  </r>
  <r>
    <d v="2018-12-01T00:00:00"/>
    <s v="001-00014065"/>
    <n v="5748.7545000300006"/>
    <n v="4542.3372034499998"/>
    <n v="0"/>
    <n v="131.36000000000001"/>
    <n v="87.75"/>
    <n v="0"/>
    <n v="0"/>
    <n v="0"/>
    <n v="4761.4472034499995"/>
    <n v="987.30729658000109"/>
    <n v="0.17174281778337355"/>
    <x v="0"/>
    <s v="MECANICA"/>
    <x v="9"/>
    <x v="1"/>
    <n v="19"/>
    <n v="1"/>
    <d v="2018-11-12T00:00:00"/>
    <s v="KIA"/>
    <s v="SPORTAGE"/>
    <n v="2106"/>
    <d v="2018-11-13T00:00:00"/>
    <n v="0"/>
    <x v="1276"/>
  </r>
  <r>
    <d v="2018-12-22T00:00:00"/>
    <s v="001-00014067"/>
    <n v="816.0222071999998"/>
    <n v="0"/>
    <n v="0"/>
    <n v="0"/>
    <n v="0"/>
    <n v="73.125"/>
    <n v="201.426875"/>
    <n v="0"/>
    <n v="274.551875"/>
    <n v="541.4703321999998"/>
    <n v="0.66354852530047659"/>
    <x v="1"/>
    <s v="LEVE"/>
    <x v="9"/>
    <x v="1"/>
    <n v="40"/>
    <n v="1"/>
    <d v="2018-11-12T00:00:00"/>
    <s v="JEEP"/>
    <s v="CHEROOKE"/>
    <n v="1771.4449999999997"/>
    <d v="2018-11-13T00:00:00"/>
    <n v="5"/>
    <x v="1278"/>
  </r>
  <r>
    <d v="2018-12-11T00:00:00"/>
    <s v="001-00014074"/>
    <n v="2619.7759224000001"/>
    <n v="0"/>
    <n v="0"/>
    <n v="0"/>
    <n v="58.5"/>
    <n v="321.75"/>
    <n v="278.89875000000001"/>
    <n v="0"/>
    <n v="659.14875000000006"/>
    <n v="1960.6271724000001"/>
    <n v="0.74839498891334644"/>
    <x v="2"/>
    <s v="MEDIANO"/>
    <x v="9"/>
    <x v="1"/>
    <n v="29"/>
    <n v="1"/>
    <d v="2018-11-12T00:00:00"/>
    <s v="NISSAN"/>
    <s v="QASHQAI"/>
    <n v="3579.4850000000006"/>
    <d v="2018-11-13T00:00:00"/>
    <n v="22"/>
    <x v="2"/>
  </r>
  <r>
    <d v="2018-12-29T00:00:00"/>
    <s v="001-00014075"/>
    <n v="2476.3214215186504"/>
    <n v="1.01699994"/>
    <n v="0"/>
    <n v="99.01"/>
    <n v="58.5"/>
    <n v="117"/>
    <n v="417.10857500000003"/>
    <n v="0"/>
    <n v="692.63557493999997"/>
    <n v="1783.6858465786504"/>
    <n v="0.72029657825468063"/>
    <x v="1"/>
    <s v="MEDIANO"/>
    <x v="9"/>
    <x v="1"/>
    <n v="47"/>
    <n v="1"/>
    <d v="2018-11-12T00:00:00"/>
    <s v="NISSAN"/>
    <s v="VERSA"/>
    <n v="7766.07"/>
    <d v="2018-11-13T00:00:00"/>
    <n v="8"/>
    <x v="1302"/>
  </r>
  <r>
    <d v="2018-12-05T00:00:00"/>
    <s v="001-00014076"/>
    <n v="1712.8099999999997"/>
    <n v="0.84740000000000004"/>
    <n v="0"/>
    <n v="84.75"/>
    <n v="29.25"/>
    <n v="102.375"/>
    <n v="247.91"/>
    <n v="0"/>
    <n v="465.13239999999996"/>
    <n v="1247.6775999999998"/>
    <n v="0.728438997904029"/>
    <x v="1"/>
    <s v="MEDIANO"/>
    <x v="9"/>
    <x v="1"/>
    <n v="23"/>
    <n v="1"/>
    <d v="2018-11-12T00:00:00"/>
    <s v="MAZDA"/>
    <s v="MAZDA 3"/>
    <n v="5517.2649999999994"/>
    <d v="2018-11-14T00:00:00"/>
    <n v="7"/>
    <x v="1"/>
  </r>
  <r>
    <d v="2018-12-14T00:00:00"/>
    <s v="001-00014084"/>
    <n v="3444.9329166500002"/>
    <n v="0"/>
    <n v="0"/>
    <n v="230.09593220338982"/>
    <n v="14.625"/>
    <n v="351"/>
    <n v="371.86500000000001"/>
    <n v="0"/>
    <n v="967.5859322033898"/>
    <n v="2477.3469844466103"/>
    <n v="0.71912778692239043"/>
    <x v="1"/>
    <s v="GRAVE"/>
    <x v="9"/>
    <x v="1"/>
    <n v="31"/>
    <n v="1"/>
    <d v="2018-11-13T00:00:00"/>
    <s v="HYUNDAI"/>
    <s v="ELANTRA"/>
    <n v="5168.7024999999994"/>
    <d v="2018-11-14T00:00:00"/>
    <n v="24"/>
    <x v="1"/>
  </r>
  <r>
    <d v="2018-12-04T00:00:00"/>
    <s v="001-00014087"/>
    <n v="219.57"/>
    <n v="131.93700000000001"/>
    <n v="0"/>
    <n v="0"/>
    <n v="0"/>
    <n v="0"/>
    <n v="0"/>
    <n v="0"/>
    <n v="131.93700000000001"/>
    <n v="87.632999999999981"/>
    <n v="0.39911190053285961"/>
    <x v="0"/>
    <s v="MECANICA"/>
    <x v="9"/>
    <x v="1"/>
    <n v="21"/>
    <n v="1"/>
    <d v="2018-11-13T00:00:00"/>
    <s v="NISSAN"/>
    <s v="SENTRA"/>
    <n v="211.25"/>
    <d v="2018-11-13T00:00:00"/>
    <n v="0"/>
    <x v="999"/>
  </r>
  <r>
    <d v="2018-12-14T00:00:00"/>
    <s v="001-00014106"/>
    <n v="2552.3525"/>
    <n v="0"/>
    <n v="0"/>
    <n v="84.75"/>
    <n v="29.25"/>
    <n v="234"/>
    <n v="356.37062500000002"/>
    <n v="0"/>
    <n v="704.37062500000002"/>
    <n v="1847.9818749999999"/>
    <n v="0.72403082058610635"/>
    <x v="1"/>
    <s v="MEDIANO"/>
    <x v="9"/>
    <x v="1"/>
    <n v="30"/>
    <n v="1"/>
    <d v="2018-11-14T00:00:00"/>
    <s v="MAZDA"/>
    <s v="MAZDA 3"/>
    <n v="12262.022499999999"/>
    <d v="2018-11-15T00:00:00"/>
    <n v="16"/>
    <x v="2"/>
  </r>
  <r>
    <d v="2018-12-05T00:00:00"/>
    <s v="001-00014110"/>
    <n v="792.11844754000003"/>
    <n v="0"/>
    <n v="0"/>
    <n v="23"/>
    <n v="0"/>
    <n v="58.5"/>
    <n v="139.449375"/>
    <n v="0"/>
    <n v="220.949375"/>
    <n v="571.16907254"/>
    <n v="0.72106523249625165"/>
    <x v="1"/>
    <s v="LEVE"/>
    <x v="9"/>
    <x v="1"/>
    <n v="21"/>
    <n v="1"/>
    <d v="2018-11-14T00:00:00"/>
    <s v="RENAULT"/>
    <s v="LOGAN"/>
    <n v="1518.855"/>
    <d v="2018-11-16T00:00:00"/>
    <n v="4"/>
    <x v="999"/>
  </r>
  <r>
    <d v="2018-12-01T00:00:00"/>
    <s v="001-00014114"/>
    <n v="940.19599999999991"/>
    <n v="0"/>
    <n v="0"/>
    <n v="0"/>
    <n v="0"/>
    <n v="73.125"/>
    <n v="123.955"/>
    <n v="0"/>
    <n v="197.07999999999998"/>
    <n v="743.11599999999999"/>
    <n v="0.79038413267020924"/>
    <x v="1"/>
    <s v="LEVE"/>
    <x v="9"/>
    <x v="1"/>
    <n v="16"/>
    <n v="1"/>
    <d v="2018-11-15T00:00:00"/>
    <s v="KIA"/>
    <s v="RIO"/>
    <n v="1404.13"/>
    <d v="2018-11-16T00:00:00"/>
    <n v="5"/>
    <x v="1"/>
  </r>
  <r>
    <d v="2018-12-14T00:00:00"/>
    <s v="001-00014115"/>
    <n v="1726.2449999999997"/>
    <n v="0"/>
    <n v="0"/>
    <n v="23"/>
    <n v="0"/>
    <n v="146.25"/>
    <n v="278.89875000000001"/>
    <n v="0"/>
    <n v="448.14875000000001"/>
    <n v="1278.0962499999996"/>
    <n v="0.74039099316725021"/>
    <x v="1"/>
    <s v="MEDIANO"/>
    <x v="9"/>
    <x v="1"/>
    <n v="29"/>
    <n v="1"/>
    <d v="2018-11-15T00:00:00"/>
    <s v="NISSAN"/>
    <s v="NP300"/>
    <n v="5543.0050000000001"/>
    <d v="2018-11-19T00:00:00"/>
    <n v="10"/>
    <x v="999"/>
  </r>
  <r>
    <d v="2018-12-07T00:00:00"/>
    <s v="001-00014124"/>
    <n v="1245.0674501999999"/>
    <n v="0"/>
    <n v="0"/>
    <n v="0"/>
    <n v="0"/>
    <n v="0"/>
    <n v="0"/>
    <n v="0"/>
    <n v="0"/>
    <n v="1245.0674501999999"/>
    <n v="1"/>
    <x v="2"/>
    <s v="S/TIPO"/>
    <x v="9"/>
    <x v="1"/>
    <n v="21"/>
    <n v="1"/>
    <d v="2018-11-16T00:00:00"/>
    <s v="KIA"/>
    <s v="CERATO"/>
    <n v="0"/>
    <s v="F/Fecha"/>
    <n v="0"/>
    <x v="2"/>
  </r>
  <r>
    <d v="2018-12-21T00:00:00"/>
    <s v="001-00014127"/>
    <n v="1080.6387582745801"/>
    <n v="1.8643999400000002"/>
    <n v="0"/>
    <n v="34.5"/>
    <n v="0"/>
    <n v="102.375"/>
    <n v="185.9325"/>
    <n v="0"/>
    <n v="324.67189994"/>
    <n v="755.96685833458014"/>
    <n v="0.69955556613720504"/>
    <x v="1"/>
    <s v="MEDIANO"/>
    <x v="9"/>
    <x v="1"/>
    <n v="35"/>
    <n v="1"/>
    <d v="2018-11-16T00:00:00"/>
    <s v="RENAULT"/>
    <s v="LOGAN"/>
    <n v="2929.1275000000001"/>
    <d v="2018-11-17T00:00:00"/>
    <n v="7"/>
    <x v="999"/>
  </r>
  <r>
    <d v="2018-12-21T00:00:00"/>
    <s v="001-00014141"/>
    <n v="4726.8"/>
    <n v="59.320001999999981"/>
    <n v="0"/>
    <n v="80.504745762711877"/>
    <n v="51.1875"/>
    <n v="658.125"/>
    <n v="464.83125000000001"/>
    <n v="0"/>
    <n v="1313.9684977627119"/>
    <n v="3412.8315022372881"/>
    <n v="0.7220173272059931"/>
    <x v="1"/>
    <s v="GRAVE"/>
    <x v="9"/>
    <x v="1"/>
    <n v="2"/>
    <n v="1"/>
    <d v="2018-12-19T00:00:00"/>
    <s v="CHEVROLET"/>
    <s v="SAIL"/>
    <n v="5954.9749999999995"/>
    <d v="2018-11-20T00:00:00"/>
    <n v="45"/>
    <x v="1"/>
  </r>
  <r>
    <d v="2018-12-19T00:00:00"/>
    <s v="001-00014143"/>
    <n v="3861.3121733200001"/>
    <n v="33.014400199999997"/>
    <n v="42.37"/>
    <n v="103.25"/>
    <n v="114.075"/>
    <n v="292.5"/>
    <n v="387.359375"/>
    <n v="0"/>
    <n v="972.5687752"/>
    <n v="2888.7433981200002"/>
    <n v="0.7481248001857943"/>
    <x v="1"/>
    <s v="GRAVE"/>
    <x v="9"/>
    <x v="1"/>
    <n v="0"/>
    <n v="1"/>
    <d v="2018-12-19T00:00:00"/>
    <s v="KIA"/>
    <s v="CERATO"/>
    <n v="4759.95"/>
    <d v="2018-11-21T00:00:00"/>
    <n v="20"/>
    <x v="1"/>
  </r>
  <r>
    <d v="2018-12-19T00:00:00"/>
    <s v="001-00014146"/>
    <n v="349.91230649200003"/>
    <n v="5.4759001999999999"/>
    <n v="0"/>
    <n v="19"/>
    <n v="0"/>
    <n v="29.25"/>
    <n v="61.977499999999999"/>
    <n v="0"/>
    <n v="115.7034002"/>
    <n v="234.20890629200002"/>
    <n v="0.66933600775585955"/>
    <x v="1"/>
    <s v="LEVE"/>
    <x v="9"/>
    <x v="1"/>
    <n v="30"/>
    <n v="1"/>
    <d v="2018-11-19T00:00:00"/>
    <s v="MAZDA"/>
    <s v="CX-5"/>
    <n v="1110.5249999999999"/>
    <d v="2018-11-19T00:00:00"/>
    <n v="2"/>
    <x v="1"/>
  </r>
  <r>
    <d v="2018-12-01T00:00:00"/>
    <s v="001-00014147"/>
    <n v="2058.8067382199997"/>
    <n v="0"/>
    <n v="0"/>
    <n v="0"/>
    <n v="0"/>
    <n v="175.5"/>
    <n v="371.86500000000001"/>
    <n v="0"/>
    <n v="547.36500000000001"/>
    <n v="1511.4417382199997"/>
    <n v="0.73413483167767357"/>
    <x v="1"/>
    <s v="MEDIANO"/>
    <x v="9"/>
    <x v="1"/>
    <n v="12"/>
    <n v="1"/>
    <d v="2018-11-19T00:00:00"/>
    <s v="TOYOTA"/>
    <s v="ETIOS"/>
    <n v="2488.4274999999998"/>
    <d v="2018-11-20T00:00:00"/>
    <n v="12"/>
    <x v="1"/>
  </r>
  <r>
    <d v="2018-12-04T00:00:00"/>
    <s v="001-00014150"/>
    <n v="851.25600000000009"/>
    <n v="0"/>
    <n v="0"/>
    <n v="0"/>
    <n v="0"/>
    <n v="43.875"/>
    <n v="154.94374999999999"/>
    <n v="0"/>
    <n v="198.81874999999999"/>
    <n v="652.43725000000006"/>
    <n v="0.76644070643848616"/>
    <x v="1"/>
    <s v="LEVE"/>
    <x v="9"/>
    <x v="1"/>
    <n v="15"/>
    <n v="1"/>
    <d v="2018-11-19T00:00:00"/>
    <s v="HYUNDAI"/>
    <s v="TUCSON"/>
    <n v="172.08750000000001"/>
    <d v="2018-11-19T00:00:00"/>
    <n v="3"/>
    <x v="1"/>
  </r>
  <r>
    <d v="2018-12-03T00:00:00"/>
    <s v="001-00014154"/>
    <n v="2455.4466396540001"/>
    <n v="130.96200999999999"/>
    <n v="0"/>
    <n v="0"/>
    <n v="43.875"/>
    <n v="117"/>
    <n v="371.86500000000001"/>
    <n v="0"/>
    <n v="663.70200999999997"/>
    <n v="1791.7446296540002"/>
    <n v="0.72970212454157712"/>
    <x v="1"/>
    <s v="MEDIANO"/>
    <x v="9"/>
    <x v="1"/>
    <n v="14"/>
    <n v="1"/>
    <d v="2018-11-19T00:00:00"/>
    <s v="KIA"/>
    <s v="RIO"/>
    <n v="2316.5025000000001"/>
    <d v="2018-11-21T00:00:00"/>
    <n v="8"/>
    <x v="1"/>
  </r>
  <r>
    <d v="2018-12-07T00:00:00"/>
    <s v="001-00014155"/>
    <n v="1444.5464501999998"/>
    <n v="1.6948999500000002"/>
    <n v="0"/>
    <n v="0"/>
    <n v="0"/>
    <n v="102.375"/>
    <n v="247.91"/>
    <n v="0"/>
    <n v="351.97989995"/>
    <n v="1092.5665502499996"/>
    <n v="0.75633881492611887"/>
    <x v="1"/>
    <s v="MEDIANO"/>
    <x v="9"/>
    <x v="1"/>
    <n v="18"/>
    <n v="1"/>
    <d v="2018-11-19T00:00:00"/>
    <s v="SUZUKI "/>
    <s v="SX4"/>
    <n v="50.504999999999995"/>
    <d v="2018-11-21T00:00:00"/>
    <n v="7"/>
    <x v="1"/>
  </r>
  <r>
    <d v="2018-12-07T00:00:00"/>
    <s v="001-00014158"/>
    <n v="3211.95"/>
    <n v="0"/>
    <n v="0"/>
    <n v="0"/>
    <n v="0"/>
    <n v="234"/>
    <n v="619.77499999999998"/>
    <n v="0"/>
    <n v="853.77499999999998"/>
    <n v="2358.1749999999997"/>
    <n v="0.73418795435794448"/>
    <x v="1"/>
    <s v="MEDIANO"/>
    <x v="9"/>
    <x v="1"/>
    <n v="17"/>
    <n v="1"/>
    <d v="2018-11-20T00:00:00"/>
    <s v="NISSAN"/>
    <s v="VERSA"/>
    <n v="0"/>
    <d v="2018-11-22T00:00:00"/>
    <n v="16"/>
    <x v="1"/>
  </r>
  <r>
    <d v="2018-12-04T00:00:00"/>
    <s v="001-00014159"/>
    <n v="891.82037519999994"/>
    <n v="0"/>
    <n v="0"/>
    <n v="0"/>
    <n v="0"/>
    <n v="73.125"/>
    <n v="139.449375"/>
    <n v="0"/>
    <n v="212.574375"/>
    <n v="679.24600019999991"/>
    <n v="0.76163992109697198"/>
    <x v="1"/>
    <s v="LEVE"/>
    <x v="9"/>
    <x v="1"/>
    <n v="14"/>
    <n v="1"/>
    <d v="2018-11-20T00:00:00"/>
    <s v="RENAULT"/>
    <s v="DUSTER"/>
    <n v="1459.8025"/>
    <d v="2018-11-21T00:00:00"/>
    <n v="5"/>
    <x v="1303"/>
  </r>
  <r>
    <d v="2018-12-04T00:00:00"/>
    <s v="001-00014161"/>
    <n v="1593.5856875999998"/>
    <n v="0"/>
    <n v="0"/>
    <n v="0"/>
    <n v="0"/>
    <n v="117"/>
    <n v="278.89875000000001"/>
    <n v="0"/>
    <n v="395.89875000000001"/>
    <n v="1197.6869375999997"/>
    <n v="0.75156732827072603"/>
    <x v="1"/>
    <s v="MEDIANO"/>
    <x v="9"/>
    <x v="1"/>
    <n v="14"/>
    <n v="1"/>
    <d v="2018-11-20T00:00:00"/>
    <s v="SUZUKI "/>
    <s v="CIAZ"/>
    <n v="1026.3824999999999"/>
    <d v="2018-11-21T00:00:00"/>
    <n v="8"/>
    <x v="1"/>
  </r>
  <r>
    <d v="2018-12-06T00:00:00"/>
    <s v="001-00014166"/>
    <n v="700.72645019999982"/>
    <n v="0"/>
    <n v="0"/>
    <n v="0"/>
    <n v="0"/>
    <n v="43.875"/>
    <n v="170.43812500000001"/>
    <n v="0"/>
    <n v="214.31312500000001"/>
    <n v="486.4133251999998"/>
    <n v="0.6941557936926297"/>
    <x v="1"/>
    <s v="LEVE"/>
    <x v="9"/>
    <x v="1"/>
    <n v="16"/>
    <n v="1"/>
    <d v="2018-11-20T00:00:00"/>
    <s v="FORD"/>
    <s v="EXPLORER"/>
    <n v="2018.25"/>
    <d v="2018-11-22T00:00:00"/>
    <n v="3"/>
    <x v="1"/>
  </r>
  <r>
    <d v="2018-12-01T00:00:00"/>
    <s v="001-00014168"/>
    <n v="998.54241999999999"/>
    <n v="568.28159800000003"/>
    <n v="0"/>
    <n v="0"/>
    <n v="87.75"/>
    <n v="0"/>
    <n v="0"/>
    <n v="0"/>
    <n v="656.03159800000003"/>
    <n v="342.51082199999996"/>
    <n v="0.3430107876638831"/>
    <x v="0"/>
    <s v="MECANICA"/>
    <x v="9"/>
    <x v="1"/>
    <n v="11"/>
    <n v="1"/>
    <d v="2018-11-20T00:00:00"/>
    <s v="HYUNDAI"/>
    <s v="TUCSON"/>
    <n v="880.75"/>
    <d v="2018-11-26T00:00:00"/>
    <n v="0"/>
    <x v="215"/>
  </r>
  <r>
    <d v="2018-12-01T00:00:00"/>
    <s v="001-00014172"/>
    <n v="1435.6874087999997"/>
    <n v="0.84739999999999993"/>
    <n v="0"/>
    <n v="95.27"/>
    <n v="0"/>
    <n v="73.125"/>
    <n v="263.40437500000002"/>
    <n v="0"/>
    <n v="432.64677499999999"/>
    <n v="1003.0406337999998"/>
    <n v="0.69864834618726512"/>
    <x v="1"/>
    <s v="LEVE"/>
    <x v="9"/>
    <x v="1"/>
    <n v="10"/>
    <n v="1"/>
    <d v="2018-11-21T00:00:00"/>
    <s v="MAZDA"/>
    <s v="CX-5"/>
    <n v="8709.5125000000007"/>
    <d v="2018-11-22T00:00:00"/>
    <n v="5"/>
    <x v="1"/>
  </r>
  <r>
    <d v="2018-12-05T00:00:00"/>
    <s v="001-00014175"/>
    <n v="2333.9859678499997"/>
    <n v="0"/>
    <n v="0"/>
    <n v="95.06"/>
    <n v="0"/>
    <n v="175.5"/>
    <n v="418.34812499999998"/>
    <n v="0"/>
    <n v="688.90812499999993"/>
    <n v="1645.0778428499998"/>
    <n v="0.70483621817375275"/>
    <x v="1"/>
    <s v="MEDIANO"/>
    <x v="9"/>
    <x v="1"/>
    <n v="14"/>
    <n v="1"/>
    <d v="2018-11-21T00:00:00"/>
    <s v="HYUNDAI"/>
    <s v="ACCENT"/>
    <n v="1225.8999999999999"/>
    <d v="2018-11-21T00:00:00"/>
    <n v="12"/>
    <x v="1"/>
  </r>
  <r>
    <d v="2018-12-06T00:00:00"/>
    <s v="001-00014177"/>
    <n v="748.54765229999998"/>
    <n v="0.93210002000000003"/>
    <n v="0"/>
    <n v="0"/>
    <n v="0"/>
    <n v="73.125"/>
    <n v="123.955"/>
    <n v="0"/>
    <n v="198.01210001999999"/>
    <n v="550.53555228000005"/>
    <n v="0.73547161705526076"/>
    <x v="1"/>
    <s v="LEVE"/>
    <x v="9"/>
    <x v="1"/>
    <n v="15"/>
    <n v="1"/>
    <d v="2018-11-21T00:00:00"/>
    <s v="KIA"/>
    <s v="PICANTO"/>
    <n v="1284.3999999999999"/>
    <d v="2018-11-22T00:00:00"/>
    <n v="5"/>
    <x v="552"/>
  </r>
  <r>
    <d v="2018-12-21T00:00:00"/>
    <s v="001-00014179"/>
    <n v="945.24726232458011"/>
    <n v="0"/>
    <n v="0"/>
    <n v="0"/>
    <n v="0"/>
    <n v="102.375"/>
    <n v="139.449375"/>
    <n v="0"/>
    <n v="241.824375"/>
    <n v="703.42288732458007"/>
    <n v="0.74416812971740498"/>
    <x v="1"/>
    <s v="MEDIANO"/>
    <x v="9"/>
    <x v="1"/>
    <n v="30"/>
    <n v="1"/>
    <d v="2018-11-21T00:00:00"/>
    <s v="VW"/>
    <s v="GOL"/>
    <n v="1579.175"/>
    <d v="2018-11-29T00:00:00"/>
    <n v="7"/>
    <x v="1"/>
  </r>
  <r>
    <d v="2018-12-05T00:00:00"/>
    <s v="001-00014180"/>
    <n v="1353.1680008499998"/>
    <n v="0"/>
    <n v="0"/>
    <n v="0"/>
    <n v="0"/>
    <n v="73.125"/>
    <n v="325.38187500000004"/>
    <n v="0"/>
    <n v="398.50687500000004"/>
    <n v="954.66112584999973"/>
    <n v="0.70550081383119034"/>
    <x v="1"/>
    <s v="LEVE"/>
    <x v="9"/>
    <x v="1"/>
    <n v="14"/>
    <n v="1"/>
    <d v="2018-11-21T00:00:00"/>
    <s v="TOYOTA"/>
    <s v="ETIOS"/>
    <n v="874.96500000000015"/>
    <d v="2018-11-21T00:00:00"/>
    <n v="5"/>
    <x v="1"/>
  </r>
  <r>
    <d v="2018-12-11T00:00:00"/>
    <s v="001-00014182"/>
    <n v="1249.348822033221"/>
    <n v="0"/>
    <n v="0"/>
    <n v="22.5"/>
    <n v="0"/>
    <n v="87.75"/>
    <n v="139.449375"/>
    <n v="0"/>
    <n v="249.699375"/>
    <n v="999.64944703322101"/>
    <n v="0.80013638257277653"/>
    <x v="1"/>
    <s v="MEDIANO"/>
    <x v="9"/>
    <x v="1"/>
    <n v="20"/>
    <n v="1"/>
    <d v="2018-11-21T00:00:00"/>
    <s v="SUZUKI "/>
    <s v="G. NOMADE"/>
    <n v="2285.8875000000003"/>
    <d v="2018-11-23T00:00:00"/>
    <n v="6"/>
    <x v="999"/>
  </r>
  <r>
    <d v="2018-12-17T00:00:00"/>
    <s v="001-00014187"/>
    <n v="2877.7653745500006"/>
    <n v="7.5946001000000001"/>
    <n v="0"/>
    <n v="84.75"/>
    <n v="43.875"/>
    <n v="234"/>
    <n v="449.33687499999996"/>
    <n v="0"/>
    <n v="819.55647509999994"/>
    <n v="2058.2088994500009"/>
    <n v="0.71521080823757055"/>
    <x v="2"/>
    <s v="MEDIANO"/>
    <x v="9"/>
    <x v="1"/>
    <n v="25"/>
    <n v="1"/>
    <d v="2018-11-22T00:00:00"/>
    <s v="HYUNDAI"/>
    <s v="ACCENT"/>
    <n v="2875.3074999999999"/>
    <d v="2018-11-23T00:00:00"/>
    <n v="16"/>
    <x v="1304"/>
  </r>
  <r>
    <d v="2018-12-01T00:00:00"/>
    <s v="001-00014189"/>
    <n v="1158.335"/>
    <n v="1.0168000399999999"/>
    <n v="0"/>
    <n v="0"/>
    <n v="0"/>
    <n v="102.375"/>
    <n v="154.94374999999999"/>
    <n v="0"/>
    <n v="258.33555003999999"/>
    <n v="899.99944995999999"/>
    <n v="0.77697682445924532"/>
    <x v="1"/>
    <s v="MEDIANO"/>
    <x v="9"/>
    <x v="1"/>
    <n v="9"/>
    <n v="1"/>
    <d v="2018-11-22T00:00:00"/>
    <s v="KIA"/>
    <s v="CERATO"/>
    <n v="0"/>
    <d v="2018-11-23T00:00:00"/>
    <n v="7"/>
    <x v="1"/>
  </r>
  <r>
    <d v="2018-12-05T00:00:00"/>
    <s v="001-00014191"/>
    <n v="1370.0929669999996"/>
    <n v="1.35580002"/>
    <n v="0"/>
    <n v="0"/>
    <n v="0"/>
    <n v="73.125"/>
    <n v="247.91"/>
    <n v="0"/>
    <n v="322.39080002000003"/>
    <n v="1047.7021669799997"/>
    <n v="0.76469421580499219"/>
    <x v="1"/>
    <s v="LEVE"/>
    <x v="9"/>
    <x v="1"/>
    <n v="13"/>
    <n v="1"/>
    <d v="2018-11-22T00:00:00"/>
    <s v="NISSAN"/>
    <s v="VERSA"/>
    <n v="0"/>
    <d v="2018-11-23T00:00:00"/>
    <n v="5"/>
    <x v="1"/>
  </r>
  <r>
    <d v="2018-12-01T00:00:00"/>
    <s v="001-00014195"/>
    <n v="987.54399999999987"/>
    <n v="0"/>
    <n v="0"/>
    <n v="18.5"/>
    <n v="0"/>
    <n v="58.5"/>
    <n v="185.9325"/>
    <n v="0"/>
    <n v="262.9325"/>
    <n v="724.61149999999986"/>
    <n v="0.73375110374828867"/>
    <x v="1"/>
    <s v="LEVE"/>
    <x v="9"/>
    <x v="1"/>
    <n v="9"/>
    <n v="1"/>
    <d v="2018-11-22T00:00:00"/>
    <s v="HYUNDAI"/>
    <s v="TUCSON"/>
    <n v="1204.8400000000001"/>
    <d v="2018-11-23T00:00:00"/>
    <n v="4"/>
    <x v="1"/>
  </r>
  <r>
    <d v="2018-12-06T00:00:00"/>
    <s v="001-00014198"/>
    <n v="854.56195019999996"/>
    <n v="0"/>
    <n v="0"/>
    <n v="66.584745762711862"/>
    <n v="0"/>
    <n v="117"/>
    <n v="61.977499999999999"/>
    <n v="0"/>
    <n v="245.56224576271185"/>
    <n v="608.99970443728807"/>
    <n v="0.7126454720980252"/>
    <x v="1"/>
    <s v="MEDIANO"/>
    <x v="9"/>
    <x v="1"/>
    <n v="14"/>
    <n v="1"/>
    <d v="2018-11-22T00:00:00"/>
    <s v="NISSAN"/>
    <s v="QASHQAI"/>
    <n v="1989.5849999999998"/>
    <d v="2018-11-23T00:00:00"/>
    <n v="8"/>
    <x v="1"/>
  </r>
  <r>
    <d v="2018-12-19T00:00:00"/>
    <s v="001-00014199"/>
    <n v="736.12"/>
    <n v="0"/>
    <n v="0"/>
    <n v="15"/>
    <n v="0"/>
    <n v="29.25"/>
    <n v="123.955"/>
    <n v="0"/>
    <n v="168.20499999999998"/>
    <n v="567.91499999999996"/>
    <n v="0.77149785361082424"/>
    <x v="0"/>
    <s v="LEVE"/>
    <x v="9"/>
    <x v="1"/>
    <n v="27"/>
    <n v="1"/>
    <d v="2018-11-22T00:00:00"/>
    <s v="AUDI"/>
    <s v="A4"/>
    <n v="0"/>
    <d v="2018-12-03T00:00:00"/>
    <n v="2"/>
    <x v="999"/>
  </r>
  <r>
    <d v="2018-12-11T00:00:00"/>
    <s v="001-00014200"/>
    <n v="538.90108038928975"/>
    <n v="0"/>
    <n v="0"/>
    <n v="0"/>
    <n v="0"/>
    <n v="43.875"/>
    <n v="77.471874999999997"/>
    <n v="0"/>
    <n v="121.346875"/>
    <n v="417.55420538928973"/>
    <n v="0.77482532617611044"/>
    <x v="1"/>
    <s v="LEVE"/>
    <x v="9"/>
    <x v="1"/>
    <n v="19"/>
    <n v="1"/>
    <d v="2018-11-22T00:00:00"/>
    <s v="NISSAN"/>
    <s v="X-TRAIL"/>
    <n v="1349.335"/>
    <d v="2018-11-23T00:00:00"/>
    <n v="3"/>
    <x v="1162"/>
  </r>
  <r>
    <d v="2018-12-28T00:00:00"/>
    <s v="001-00014201"/>
    <n v="1638.2181306745799"/>
    <n v="0"/>
    <n v="0"/>
    <n v="0"/>
    <n v="0"/>
    <n v="204.75"/>
    <n v="216.92125000000001"/>
    <n v="0"/>
    <n v="421.67124999999999"/>
    <n v="1216.5468806745798"/>
    <n v="0.74260372162627342"/>
    <x v="1"/>
    <s v="MEDIANO"/>
    <x v="9"/>
    <x v="1"/>
    <n v="35"/>
    <n v="1"/>
    <d v="2018-11-23T00:00:00"/>
    <s v="HYUNDAI"/>
    <s v="H1-"/>
    <n v="1477.5474999999999"/>
    <d v="2018-11-23T00:00:00"/>
    <n v="14"/>
    <x v="1305"/>
  </r>
  <r>
    <d v="2018-12-12T00:00:00"/>
    <s v="001-00014207"/>
    <n v="1012.7132779491596"/>
    <n v="0"/>
    <n v="0"/>
    <n v="0"/>
    <n v="0"/>
    <n v="117"/>
    <n v="139.449375"/>
    <n v="0"/>
    <n v="256.44937500000003"/>
    <n v="756.26390294915961"/>
    <n v="0.74677000826992779"/>
    <x v="1"/>
    <s v="MEDIANO"/>
    <x v="9"/>
    <x v="1"/>
    <n v="19"/>
    <n v="1"/>
    <d v="2018-11-23T00:00:00"/>
    <s v="KIA"/>
    <s v="RIO"/>
    <n v="918.57999999999993"/>
    <d v="2018-11-28T00:00:00"/>
    <n v="8"/>
    <x v="1"/>
  </r>
  <r>
    <d v="2018-12-18T00:00:00"/>
    <s v="001-00014208"/>
    <n v="1426.6727647745799"/>
    <n v="37.287497999999999"/>
    <n v="0"/>
    <n v="76.27"/>
    <n v="0"/>
    <n v="131.625"/>
    <n v="154.94374999999999"/>
    <n v="0"/>
    <n v="400.12624800000003"/>
    <n v="1026.5465167745799"/>
    <n v="0.71953887543145079"/>
    <x v="1"/>
    <s v="MEDIANO"/>
    <x v="9"/>
    <x v="1"/>
    <n v="25"/>
    <n v="1"/>
    <d v="2018-11-23T00:00:00"/>
    <s v="KIA"/>
    <s v="RIO"/>
    <n v="0"/>
    <d v="2018-11-23T00:00:00"/>
    <n v="9"/>
    <x v="1306"/>
  </r>
  <r>
    <d v="2018-12-14T00:00:00"/>
    <s v="001-00014209"/>
    <n v="1100.355"/>
    <n v="0"/>
    <n v="0"/>
    <n v="0"/>
    <n v="0"/>
    <n v="87.75"/>
    <n v="185.9325"/>
    <n v="0"/>
    <n v="273.6825"/>
    <n v="826.67250000000001"/>
    <n v="0.75127799664653683"/>
    <x v="1"/>
    <s v="LEVE"/>
    <x v="9"/>
    <x v="1"/>
    <n v="21"/>
    <n v="1"/>
    <d v="2018-11-23T00:00:00"/>
    <s v="SUBEAST"/>
    <s v="DX3"/>
    <n v="295.75"/>
    <d v="2018-11-27T00:00:00"/>
    <n v="6"/>
    <x v="1307"/>
  </r>
  <r>
    <d v="2018-12-31T00:00:00"/>
    <s v="001-00014210"/>
    <n v="1254.74"/>
    <n v="0"/>
    <n v="0"/>
    <n v="0"/>
    <n v="0"/>
    <n v="146.25"/>
    <n v="185.9325"/>
    <n v="0"/>
    <n v="332.1825"/>
    <n v="922.5575"/>
    <n v="0.73525790203548147"/>
    <x v="1"/>
    <s v="MEDIANO"/>
    <x v="9"/>
    <x v="1"/>
    <n v="38"/>
    <n v="1"/>
    <d v="2018-11-23T00:00:00"/>
    <s v="JAC"/>
    <s v="S3"/>
    <n v="747.5"/>
    <d v="2018-11-27T00:00:00"/>
    <n v="10"/>
    <x v="1"/>
  </r>
  <r>
    <d v="2018-12-13T00:00:00"/>
    <s v="001-00014212"/>
    <n v="849.827"/>
    <n v="0"/>
    <n v="0"/>
    <n v="0"/>
    <n v="0"/>
    <n v="102.375"/>
    <n v="123.955"/>
    <n v="0"/>
    <n v="226.32999999999998"/>
    <n v="623.49700000000007"/>
    <n v="0.73367520683621501"/>
    <x v="1"/>
    <s v="MEDIANO"/>
    <x v="9"/>
    <x v="1"/>
    <n v="20"/>
    <n v="1"/>
    <d v="2018-11-23T00:00:00"/>
    <s v="JEEP"/>
    <s v="CHEROOKE"/>
    <n v="103.48"/>
    <d v="2018-11-26T00:00:00"/>
    <n v="7"/>
    <x v="1"/>
  </r>
  <r>
    <d v="2018-12-20T00:00:00"/>
    <s v="001-00014213"/>
    <n v="1371.6099145313601"/>
    <n v="0"/>
    <n v="0"/>
    <n v="78.56"/>
    <n v="0"/>
    <n v="102.375"/>
    <n v="185.9325"/>
    <n v="0"/>
    <n v="366.86750000000001"/>
    <n v="1004.7424145313601"/>
    <n v="0.73252781558862656"/>
    <x v="1"/>
    <s v="MEDIANO"/>
    <x v="9"/>
    <x v="1"/>
    <n v="27"/>
    <n v="1"/>
    <d v="2018-11-23T00:00:00"/>
    <s v="CHEVROLET"/>
    <s v="N300"/>
    <n v="444.92500000000001"/>
    <d v="2018-11-26T00:00:00"/>
    <n v="7"/>
    <x v="999"/>
  </r>
  <r>
    <d v="2018-12-15T00:00:00"/>
    <s v="001-00014216"/>
    <n v="969.9076859999999"/>
    <n v="0"/>
    <n v="0"/>
    <n v="0"/>
    <n v="0"/>
    <n v="73.125"/>
    <n v="145.64712500000002"/>
    <n v="0"/>
    <n v="218.77212500000002"/>
    <n v="751.13556099999983"/>
    <n v="0.77444026049299697"/>
    <x v="1"/>
    <s v="LEVE"/>
    <x v="9"/>
    <x v="1"/>
    <n v="21"/>
    <n v="1"/>
    <d v="2018-11-24T00:00:00"/>
    <s v="SUZUKI "/>
    <s v="G. NOMADE"/>
    <n v="2054.0650000000001"/>
    <d v="2018-11-26T00:00:00"/>
    <n v="5"/>
    <x v="1"/>
  </r>
  <r>
    <d v="2018-12-04T00:00:00"/>
    <s v="001-00014217"/>
    <n v="484.59978293400007"/>
    <n v="0"/>
    <n v="0"/>
    <n v="0"/>
    <n v="0"/>
    <n v="43.875"/>
    <n v="76.232325000000003"/>
    <n v="0"/>
    <n v="120.107325"/>
    <n v="364.49245793400007"/>
    <n v="0.75215150887436943"/>
    <x v="1"/>
    <s v="LEVE"/>
    <x v="9"/>
    <x v="1"/>
    <n v="10"/>
    <n v="1"/>
    <d v="2018-11-24T00:00:00"/>
    <s v="TOYOTA"/>
    <s v="ETIOS"/>
    <n v="390.48750000000001"/>
    <d v="2018-11-26T00:00:00"/>
    <n v="3"/>
    <x v="1"/>
  </r>
  <r>
    <d v="2018-12-07T00:00:00"/>
    <s v="001-00014218"/>
    <n v="1043.0097615"/>
    <n v="0"/>
    <n v="0"/>
    <n v="0"/>
    <n v="0"/>
    <n v="87.75"/>
    <n v="123.955"/>
    <n v="0"/>
    <n v="211.70499999999998"/>
    <n v="831.30476150000004"/>
    <n v="0.79702491020262622"/>
    <x v="1"/>
    <s v="LEVE"/>
    <x v="9"/>
    <x v="1"/>
    <n v="13"/>
    <n v="1"/>
    <d v="2018-11-24T00:00:00"/>
    <s v="HONDA"/>
    <s v="PILOT"/>
    <n v="2122.1849999999999"/>
    <d v="2018-11-26T00:00:00"/>
    <n v="6"/>
    <x v="1"/>
  </r>
  <r>
    <d v="2018-12-07T00:00:00"/>
    <s v="001-00014219"/>
    <n v="791.18241392399977"/>
    <n v="0"/>
    <n v="0"/>
    <n v="0"/>
    <n v="0"/>
    <n v="58.5"/>
    <n v="139.449375"/>
    <n v="0"/>
    <n v="197.949375"/>
    <n v="593.23303892399974"/>
    <n v="0.74980564340625644"/>
    <x v="1"/>
    <s v="MEDIANO"/>
    <x v="9"/>
    <x v="1"/>
    <n v="13"/>
    <n v="1"/>
    <d v="2018-11-24T00:00:00"/>
    <s v="SUZUKI "/>
    <s v="SX4"/>
    <n v="47.677500000000002"/>
    <d v="2018-11-21T00:00:00"/>
    <n v="4"/>
    <x v="1"/>
  </r>
  <r>
    <d v="2018-12-15T00:00:00"/>
    <s v="001-00014220"/>
    <n v="949.46500000000003"/>
    <n v="0"/>
    <n v="0"/>
    <n v="0"/>
    <n v="0"/>
    <n v="87.75"/>
    <n v="123.955"/>
    <n v="0"/>
    <n v="211.70499999999998"/>
    <n v="737.76"/>
    <n v="0.77702706260894294"/>
    <x v="1"/>
    <s v="MEDIANO"/>
    <x v="9"/>
    <x v="1"/>
    <n v="21"/>
    <n v="1"/>
    <d v="2018-11-24T00:00:00"/>
    <s v="HONDA"/>
    <s v="WR-V"/>
    <n v="1405.3"/>
    <d v="2018-11-27T00:00:00"/>
    <n v="6"/>
    <x v="1"/>
  </r>
  <r>
    <d v="2018-12-11T00:00:00"/>
    <s v="001-00014221"/>
    <n v="1606.9759524000001"/>
    <n v="1.77950002"/>
    <n v="0"/>
    <n v="14"/>
    <n v="0"/>
    <n v="146.25"/>
    <n v="247.91"/>
    <n v="0"/>
    <n v="409.93950001999997"/>
    <n v="1197.0364523800001"/>
    <n v="0.74490004072073379"/>
    <x v="1"/>
    <s v="MEDIANO"/>
    <x v="9"/>
    <x v="1"/>
    <n v="17"/>
    <n v="1"/>
    <d v="2018-11-24T00:00:00"/>
    <s v="RENAULT"/>
    <s v="LOGAN"/>
    <n v="0"/>
    <d v="2018-11-26T00:00:00"/>
    <n v="10"/>
    <x v="999"/>
  </r>
  <r>
    <d v="2018-12-22T00:00:00"/>
    <s v="001-00014222"/>
    <n v="832.78399999999999"/>
    <n v="0"/>
    <n v="0"/>
    <n v="0"/>
    <n v="0"/>
    <n v="58.5"/>
    <n v="123.955"/>
    <n v="0"/>
    <n v="182.45499999999998"/>
    <n v="650.32899999999995"/>
    <n v="0.7809095755922304"/>
    <x v="1"/>
    <s v="LEVE"/>
    <x v="9"/>
    <x v="1"/>
    <n v="28"/>
    <n v="1"/>
    <d v="2018-11-24T00:00:00"/>
    <s v="NISSAN"/>
    <s v="VERSA"/>
    <n v="3153.3775000000001"/>
    <d v="2018-11-26T00:00:00"/>
    <n v="4"/>
    <x v="1308"/>
  </r>
  <r>
    <d v="2018-12-14T00:00:00"/>
    <s v="001-00014224"/>
    <n v="3354.0779166500001"/>
    <n v="63.048802039999977"/>
    <n v="0"/>
    <n v="66.084745762711862"/>
    <n v="0"/>
    <n v="321.75"/>
    <n v="511.31437500000004"/>
    <n v="0"/>
    <n v="962.1979228027119"/>
    <n v="2391.8799938472885"/>
    <n v="0.71312594796135809"/>
    <x v="1"/>
    <s v="MEDIANO"/>
    <x v="9"/>
    <x v="1"/>
    <n v="18"/>
    <n v="1"/>
    <d v="2018-11-26T00:00:00"/>
    <s v="SUZUKI "/>
    <s v="SWIFT"/>
    <n v="2992.3074999999999"/>
    <d v="2018-11-27T00:00:00"/>
    <n v="22"/>
    <x v="1"/>
  </r>
  <r>
    <d v="2018-12-07T00:00:00"/>
    <s v="001-00014225"/>
    <n v="1058.2529999999999"/>
    <n v="0"/>
    <n v="0"/>
    <n v="0"/>
    <n v="0"/>
    <n v="146.25"/>
    <n v="123.955"/>
    <n v="0"/>
    <n v="270.20499999999998"/>
    <n v="788.048"/>
    <n v="0.74466880793156276"/>
    <x v="1"/>
    <s v="MEDIANO"/>
    <x v="9"/>
    <x v="1"/>
    <n v="11"/>
    <n v="1"/>
    <d v="2018-11-26T00:00:00"/>
    <s v="NISSAN"/>
    <s v="XTRAIL"/>
    <n v="501.8"/>
    <d v="2018-11-26T00:00:00"/>
    <n v="10"/>
    <x v="1"/>
  </r>
  <r>
    <d v="2018-12-07T00:00:00"/>
    <s v="001-00014226"/>
    <n v="1423.4009999999998"/>
    <n v="0.50840001999999995"/>
    <n v="0"/>
    <n v="76.27"/>
    <n v="0"/>
    <n v="117"/>
    <n v="247.91"/>
    <n v="0"/>
    <n v="441.68840002000002"/>
    <n v="981.71259997999982"/>
    <n v="0.68969503321973213"/>
    <x v="1"/>
    <s v="MEDIANO"/>
    <x v="9"/>
    <x v="1"/>
    <n v="11"/>
    <n v="1"/>
    <d v="2018-11-26T00:00:00"/>
    <s v="KIA"/>
    <s v="SORENTO"/>
    <n v="2727.9850000000001"/>
    <d v="2018-11-26T00:00:00"/>
    <n v="8"/>
    <x v="1108"/>
  </r>
  <r>
    <d v="2018-12-17T00:00:00"/>
    <s v="001-00014227"/>
    <n v="548.54250000000002"/>
    <n v="0"/>
    <n v="0"/>
    <n v="16"/>
    <n v="0"/>
    <n v="43.875"/>
    <n v="92.966250000000002"/>
    <n v="0"/>
    <n v="152.84125"/>
    <n v="395.70125000000002"/>
    <n v="0.7213684445599019"/>
    <x v="1"/>
    <s v="LEVE"/>
    <x v="9"/>
    <x v="1"/>
    <n v="21"/>
    <n v="1"/>
    <d v="2018-11-26T00:00:00"/>
    <s v="CHEVROLET"/>
    <s v="N300"/>
    <n v="368.875"/>
    <d v="2018-11-26T00:00:00"/>
    <n v="3"/>
    <x v="1"/>
  </r>
  <r>
    <d v="2018-12-06T00:00:00"/>
    <s v="001-00014229"/>
    <n v="1173.2069999999999"/>
    <n v="0"/>
    <n v="0"/>
    <n v="0"/>
    <n v="0"/>
    <n v="102.375"/>
    <n v="185.9325"/>
    <n v="0"/>
    <n v="288.3075"/>
    <n v="884.89949999999988"/>
    <n v="0.75425692141284528"/>
    <x v="1"/>
    <s v="MEDIANO"/>
    <x v="9"/>
    <x v="1"/>
    <n v="10"/>
    <n v="1"/>
    <d v="2018-11-26T00:00:00"/>
    <s v="HYUNDAI"/>
    <s v="I20"/>
    <n v="164.125"/>
    <d v="2018-11-26T00:00:00"/>
    <n v="7"/>
    <x v="1"/>
  </r>
  <r>
    <d v="2018-12-03T00:00:00"/>
    <s v="001-00014230"/>
    <n v="25.364999999999998"/>
    <n v="0"/>
    <n v="0"/>
    <n v="0"/>
    <n v="0"/>
    <n v="0"/>
    <n v="0"/>
    <n v="0"/>
    <n v="0"/>
    <n v="25.364999999999998"/>
    <n v="1"/>
    <x v="1"/>
    <s v="LEVE"/>
    <x v="9"/>
    <x v="1"/>
    <n v="7"/>
    <n v="1"/>
    <d v="2018-11-26T00:00:00"/>
    <s v="MITSUBISHI"/>
    <s v="OUTLANDER"/>
    <n v="1488.7925"/>
    <d v="2018-11-26T00:00:00"/>
    <n v="0"/>
    <x v="1"/>
  </r>
  <r>
    <d v="2018-12-04T00:00:00"/>
    <s v="001-00014231"/>
    <n v="275.30700000000002"/>
    <n v="0"/>
    <n v="0"/>
    <n v="0"/>
    <n v="0"/>
    <n v="21.9375"/>
    <n v="61.977499999999999"/>
    <n v="0"/>
    <n v="83.914999999999992"/>
    <n v="191.39200000000002"/>
    <n v="0.69519481887492873"/>
    <x v="1"/>
    <s v="LEVE"/>
    <x v="9"/>
    <x v="1"/>
    <n v="8"/>
    <n v="1"/>
    <d v="2018-11-26T00:00:00"/>
    <s v="SUZUKI "/>
    <s v="D-ZIRE"/>
    <n v="845.90999999999985"/>
    <d v="2018-11-26T00:00:00"/>
    <n v="1.5"/>
    <x v="1"/>
  </r>
  <r>
    <d v="2018-12-11T00:00:00"/>
    <s v="001-00014235"/>
    <n v="2259.4021460345793"/>
    <n v="0"/>
    <n v="0"/>
    <n v="0"/>
    <n v="0"/>
    <n v="175.5"/>
    <n v="356.37062500000002"/>
    <n v="0"/>
    <n v="531.87062500000002"/>
    <n v="1727.5315210345793"/>
    <n v="0.76459674257923804"/>
    <x v="1"/>
    <s v="MEDIANO"/>
    <x v="9"/>
    <x v="1"/>
    <n v="15"/>
    <n v="1"/>
    <d v="2018-11-26T00:00:00"/>
    <s v="NISSAN"/>
    <s v="VERSA"/>
    <n v="1518.335"/>
    <d v="2018-11-27T00:00:00"/>
    <n v="12"/>
    <x v="1"/>
  </r>
  <r>
    <d v="2018-12-13T00:00:00"/>
    <s v="001-00014237"/>
    <n v="1116.8674999999998"/>
    <n v="0"/>
    <n v="0"/>
    <n v="104.25"/>
    <n v="14.625"/>
    <n v="87.75"/>
    <n v="154.94374999999999"/>
    <n v="0"/>
    <n v="361.56875000000002"/>
    <n v="755.29874999999981"/>
    <n v="0.67626531347720287"/>
    <x v="1"/>
    <s v="LEVE"/>
    <x v="9"/>
    <x v="1"/>
    <n v="17"/>
    <n v="1"/>
    <d v="2018-11-26T00:00:00"/>
    <s v="KIA"/>
    <s v="PICANTO"/>
    <n v="2392.4225000000001"/>
    <d v="2018-11-27T00:00:00"/>
    <n v="6"/>
    <x v="999"/>
  </r>
  <r>
    <d v="2018-12-13T00:00:00"/>
    <s v="001-00014238"/>
    <n v="1237.07"/>
    <n v="0"/>
    <n v="0"/>
    <n v="0"/>
    <n v="0"/>
    <n v="102.375"/>
    <n v="260.30550000000005"/>
    <n v="0"/>
    <n v="362.68050000000005"/>
    <n v="874.38949999999988"/>
    <n v="0.70682297687277185"/>
    <x v="1"/>
    <s v="LEVE"/>
    <x v="9"/>
    <x v="1"/>
    <n v="17"/>
    <n v="1"/>
    <d v="2018-11-26T00:00:00"/>
    <s v="KIA"/>
    <s v="RIO"/>
    <n v="1931.28"/>
    <d v="2018-11-27T00:00:00"/>
    <n v="7"/>
    <x v="1"/>
  </r>
  <r>
    <d v="2018-12-07T00:00:00"/>
    <s v="001-00014239"/>
    <n v="2919.4934999999996"/>
    <n v="0"/>
    <n v="0"/>
    <n v="228.81"/>
    <n v="5.8500000000000005"/>
    <n v="204.75"/>
    <n v="464.83125000000001"/>
    <n v="0"/>
    <n v="904.24125000000004"/>
    <n v="2015.2522499999995"/>
    <n v="0.69027461441513738"/>
    <x v="1"/>
    <s v="MEDIANO"/>
    <x v="9"/>
    <x v="1"/>
    <n v="11"/>
    <n v="1"/>
    <d v="2018-11-26T00:00:00"/>
    <s v="VW"/>
    <s v="GOL"/>
    <n v="1757.145"/>
    <d v="2018-11-27T00:00:00"/>
    <n v="14"/>
    <x v="564"/>
  </r>
  <r>
    <d v="2018-12-11T00:00:00"/>
    <s v="001-00014246"/>
    <n v="651.56798070000002"/>
    <n v="0"/>
    <n v="0"/>
    <n v="0"/>
    <n v="0"/>
    <n v="43.875"/>
    <n v="123.955"/>
    <n v="0"/>
    <n v="167.82999999999998"/>
    <n v="483.73798070000004"/>
    <n v="0.74242135130751064"/>
    <x v="1"/>
    <s v="LEVE"/>
    <x v="9"/>
    <x v="1"/>
    <n v="14"/>
    <n v="1"/>
    <d v="2018-11-27T00:00:00"/>
    <s v="NISSAN"/>
    <s v="SENTRA"/>
    <n v="0"/>
    <d v="2018-11-27T00:00:00"/>
    <n v="3"/>
    <x v="1"/>
  </r>
  <r>
    <d v="2018-12-11T00:00:00"/>
    <s v="001-00014249"/>
    <n v="1017.5206306601699"/>
    <n v="0.84740000000000004"/>
    <n v="0"/>
    <n v="0"/>
    <n v="0"/>
    <n v="87.75"/>
    <n v="123.955"/>
    <n v="0"/>
    <n v="212.55239999999998"/>
    <n v="804.96823066016987"/>
    <n v="0.79110752785219152"/>
    <x v="1"/>
    <s v="LEVE"/>
    <x v="9"/>
    <x v="1"/>
    <n v="14"/>
    <n v="1"/>
    <d v="2018-11-27T00:00:00"/>
    <s v="SUZUKI "/>
    <s v="G. VITARA"/>
    <n v="3534.1800000000003"/>
    <d v="2018-11-28T00:00:00"/>
    <n v="6"/>
    <x v="1"/>
  </r>
  <r>
    <d v="2018-12-17T00:00:00"/>
    <s v="001-00014252"/>
    <n v="284.35035442000003"/>
    <n v="0"/>
    <n v="0"/>
    <n v="0"/>
    <n v="0"/>
    <n v="0"/>
    <n v="0"/>
    <n v="0"/>
    <n v="0"/>
    <n v="284.35035442000003"/>
    <n v="1"/>
    <x v="1"/>
    <s v="LEVE"/>
    <x v="9"/>
    <x v="1"/>
    <n v="20"/>
    <n v="1"/>
    <d v="2018-11-27T00:00:00"/>
    <s v="HYUNDAI"/>
    <s v="I20"/>
    <n v="0"/>
    <s v="F/Fecha"/>
    <n v="0"/>
    <x v="1094"/>
  </r>
  <r>
    <d v="2018-12-07T00:00:00"/>
    <s v="001-00014254"/>
    <n v="749.00614970999993"/>
    <n v="0"/>
    <n v="0"/>
    <n v="0"/>
    <n v="0"/>
    <n v="36.5625"/>
    <n v="77.471874999999997"/>
    <n v="0"/>
    <n v="114.034375"/>
    <n v="634.97177470999998"/>
    <n v="0.84775241826231762"/>
    <x v="1"/>
    <s v="LEVE"/>
    <x v="9"/>
    <x v="1"/>
    <n v="9"/>
    <n v="1"/>
    <d v="2018-11-28T00:00:00"/>
    <s v="KIA"/>
    <s v="RIO"/>
    <n v="0"/>
    <d v="2018-11-28T00:00:00"/>
    <n v="2.5"/>
    <x v="1"/>
  </r>
  <r>
    <d v="2018-12-07T00:00:00"/>
    <s v="001-00014255"/>
    <n v="1305.0659999999998"/>
    <n v="0"/>
    <n v="0"/>
    <n v="0"/>
    <n v="0"/>
    <n v="102.375"/>
    <n v="247.91"/>
    <n v="0"/>
    <n v="350.28499999999997"/>
    <n v="954.78099999999984"/>
    <n v="0.73159594993663157"/>
    <x v="1"/>
    <s v="MEDIANO"/>
    <x v="9"/>
    <x v="1"/>
    <n v="9"/>
    <n v="1"/>
    <d v="2018-11-28T00:00:00"/>
    <s v="SUZUKI"/>
    <s v="SWIFT"/>
    <n v="0"/>
    <d v="2018-11-29T00:00:00"/>
    <n v="7"/>
    <x v="1"/>
  </r>
  <r>
    <d v="2018-12-11T00:00:00"/>
    <s v="001-00014256"/>
    <n v="1201.8559644000002"/>
    <n v="0"/>
    <n v="0"/>
    <n v="0"/>
    <n v="0"/>
    <n v="58.5"/>
    <n v="247.91"/>
    <n v="0"/>
    <n v="306.40999999999997"/>
    <n v="895.44596440000021"/>
    <n v="0.74505264434663909"/>
    <x v="1"/>
    <s v="LEVE"/>
    <x v="9"/>
    <x v="1"/>
    <n v="13"/>
    <n v="1"/>
    <d v="2018-11-28T00:00:00"/>
    <s v="JEEP"/>
    <s v="CHEROOKE"/>
    <n v="3661.5474999999997"/>
    <d v="2018-11-29T00:00:00"/>
    <n v="4"/>
    <x v="1"/>
  </r>
  <r>
    <d v="2018-12-14T00:00:00"/>
    <s v="001-00014257"/>
    <n v="1040.55494565"/>
    <n v="0"/>
    <n v="0"/>
    <n v="0"/>
    <n v="0"/>
    <n v="117"/>
    <n v="139.449375"/>
    <n v="0"/>
    <n v="256.44937500000003"/>
    <n v="784.10557065"/>
    <n v="0.7535455709743375"/>
    <x v="1"/>
    <s v="MEDIANO"/>
    <x v="9"/>
    <x v="1"/>
    <n v="16"/>
    <n v="1"/>
    <d v="2018-11-28T00:00:00"/>
    <s v="SUZUKI"/>
    <s v="ALTO"/>
    <n v="654.58249999999998"/>
    <d v="2018-11-28T00:00:00"/>
    <n v="8"/>
    <x v="1"/>
  </r>
  <r>
    <d v="2018-12-13T00:00:00"/>
    <s v="001-00014259"/>
    <n v="1600.5635"/>
    <n v="0"/>
    <n v="0"/>
    <n v="0"/>
    <n v="0"/>
    <n v="204.75"/>
    <n v="216.92125000000001"/>
    <n v="0"/>
    <n v="421.67124999999999"/>
    <n v="1178.8922499999999"/>
    <n v="0.73654825316208938"/>
    <x v="1"/>
    <s v="MEDIANO"/>
    <x v="9"/>
    <x v="1"/>
    <n v="15"/>
    <n v="1"/>
    <d v="2018-11-28T00:00:00"/>
    <s v="TOYOTA"/>
    <s v="COROLLA"/>
    <n v="0"/>
    <d v="2018-11-29T00:00:00"/>
    <n v="14"/>
    <x v="1"/>
  </r>
  <r>
    <d v="2018-12-17T00:00:00"/>
    <s v="001-00014260"/>
    <n v="1446.0050000000006"/>
    <n v="0"/>
    <n v="0"/>
    <n v="0"/>
    <n v="0"/>
    <n v="117"/>
    <n v="247.91"/>
    <n v="0"/>
    <n v="364.90999999999997"/>
    <n v="1081.0950000000007"/>
    <n v="0.74764264300607552"/>
    <x v="1"/>
    <s v="MEDIANO"/>
    <x v="9"/>
    <x v="1"/>
    <n v="19"/>
    <n v="1"/>
    <d v="2018-11-28T00:00:00"/>
    <s v="RENAULT"/>
    <s v="STEPWAY"/>
    <n v="5442.3850000000002"/>
    <d v="2018-11-29T00:00:00"/>
    <n v="8"/>
    <x v="999"/>
  </r>
  <r>
    <d v="2018-12-12T00:00:00"/>
    <s v="001-00014261"/>
    <n v="826.50662947458"/>
    <n v="0"/>
    <n v="0"/>
    <n v="0"/>
    <n v="0"/>
    <n v="43.875"/>
    <n v="139.449375"/>
    <n v="0"/>
    <n v="183.324375"/>
    <n v="643.18225447457996"/>
    <n v="0.77819370291495238"/>
    <x v="1"/>
    <s v="LEVE"/>
    <x v="9"/>
    <x v="1"/>
    <n v="14"/>
    <n v="1"/>
    <d v="2018-11-28T00:00:00"/>
    <s v="HYUNDAI"/>
    <s v="ELANTRA"/>
    <n v="1852.5"/>
    <d v="2018-11-29T00:00:00"/>
    <n v="3"/>
    <x v="1"/>
  </r>
  <r>
    <d v="2018-12-17T00:00:00"/>
    <s v="001-00014262"/>
    <n v="1466.135"/>
    <n v="0"/>
    <n v="0"/>
    <n v="0"/>
    <n v="0"/>
    <n v="146.25"/>
    <n v="185.9325"/>
    <n v="0"/>
    <n v="332.1825"/>
    <n v="1133.9524999999999"/>
    <n v="0.77342980012072549"/>
    <x v="1"/>
    <s v="MEDIANO"/>
    <x v="9"/>
    <x v="1"/>
    <n v="18"/>
    <n v="1"/>
    <d v="2018-11-29T00:00:00"/>
    <s v="TOYOTA"/>
    <s v="RAV4"/>
    <n v="1088.3599999999999"/>
    <d v="2018-11-30T00:00:00"/>
    <n v="10"/>
    <x v="1309"/>
  </r>
  <r>
    <d v="2018-12-15T00:00:00"/>
    <s v="001-00014263"/>
    <n v="1961.8503745499997"/>
    <n v="0"/>
    <n v="0"/>
    <n v="84.75"/>
    <n v="14.625"/>
    <n v="117"/>
    <n v="325.38187500000004"/>
    <n v="0"/>
    <n v="541.75687500000004"/>
    <n v="1420.0934995499997"/>
    <n v="0.7238541317788999"/>
    <x v="1"/>
    <s v="MEDIANO"/>
    <x v="9"/>
    <x v="1"/>
    <n v="16"/>
    <n v="1"/>
    <d v="2018-11-29T00:00:00"/>
    <s v="MAZDA"/>
    <s v="MAZDA 3"/>
    <n v="2307.5"/>
    <d v="2018-11-30T00:00:00"/>
    <n v="8"/>
    <x v="1"/>
  </r>
  <r>
    <d v="2018-12-22T00:00:00"/>
    <s v="001-00014265"/>
    <n v="324.04700000000003"/>
    <n v="0"/>
    <n v="0"/>
    <n v="0"/>
    <n v="0"/>
    <n v="36.5625"/>
    <n v="61.977499999999999"/>
    <n v="0"/>
    <n v="98.539999999999992"/>
    <n v="225.50700000000003"/>
    <n v="0.69590830959706462"/>
    <x v="1"/>
    <s v="LEVE"/>
    <x v="9"/>
    <x v="1"/>
    <n v="23"/>
    <n v="1"/>
    <d v="2018-11-29T00:00:00"/>
    <s v="HONDA"/>
    <s v="CR-V"/>
    <n v="2753.14"/>
    <d v="2018-11-30T00:00:00"/>
    <n v="2.5"/>
    <x v="1"/>
  </r>
  <r>
    <d v="2018-12-22T00:00:00"/>
    <s v="001-00014268"/>
    <n v="1349.0906036000001"/>
    <n v="0"/>
    <n v="0"/>
    <n v="0"/>
    <n v="0"/>
    <n v="146.25"/>
    <n v="154.94374999999999"/>
    <n v="0"/>
    <n v="301.19375000000002"/>
    <n v="1047.8968536000002"/>
    <n v="0.77674312666897605"/>
    <x v="1"/>
    <s v="MEDIANO"/>
    <x v="9"/>
    <x v="1"/>
    <n v="23"/>
    <n v="1"/>
    <d v="2018-11-29T00:00:00"/>
    <s v="CHEVROLET"/>
    <s v="TRACKER"/>
    <n v="1419.3074999999999"/>
    <d v="2018-11-30T00:00:00"/>
    <n v="10"/>
    <x v="1"/>
  </r>
  <r>
    <d v="2018-12-03T00:00:00"/>
    <s v="001-00014273"/>
    <n v="349"/>
    <n v="107.24030190000001"/>
    <n v="0"/>
    <n v="0"/>
    <n v="39.048749999999998"/>
    <n v="0"/>
    <n v="0"/>
    <n v="0"/>
    <n v="146.2890519"/>
    <n v="202.7109481"/>
    <n v="0.58083366217765042"/>
    <x v="0"/>
    <s v="MECANICA"/>
    <x v="9"/>
    <x v="1"/>
    <n v="3"/>
    <n v="1"/>
    <d v="2018-11-30T00:00:00"/>
    <s v="HYUNDAI"/>
    <s v="ACCENT"/>
    <n v="0"/>
    <d v="2018-12-01T00:00:00"/>
    <n v="0"/>
    <x v="871"/>
  </r>
  <r>
    <d v="2018-12-15T00:00:00"/>
    <s v="001-00014274"/>
    <n v="998.11250000000007"/>
    <n v="1.1864999300000001"/>
    <n v="0"/>
    <n v="0"/>
    <n v="0"/>
    <n v="102.375"/>
    <n v="154.94374999999999"/>
    <n v="0"/>
    <n v="258.50524992999999"/>
    <n v="739.60725007000008"/>
    <n v="0.7410058987038034"/>
    <x v="1"/>
    <s v="MEDIANO"/>
    <x v="9"/>
    <x v="1"/>
    <n v="15"/>
    <n v="1"/>
    <d v="2018-11-30T00:00:00"/>
    <s v="RENAULT"/>
    <s v="SANDERO"/>
    <n v="4193.2150000000001"/>
    <d v="2018-12-05T00:00:00"/>
    <n v="7"/>
    <x v="1"/>
  </r>
  <r>
    <d v="2018-12-07T00:00:00"/>
    <s v="001-00014275"/>
    <n v="42.372897999999985"/>
    <n v="0"/>
    <n v="0"/>
    <n v="0"/>
    <n v="0"/>
    <n v="0"/>
    <n v="0"/>
    <n v="0"/>
    <n v="0"/>
    <n v="42.372897999999985"/>
    <n v="1"/>
    <x v="0"/>
    <s v="MEDIANO"/>
    <x v="9"/>
    <x v="1"/>
    <n v="6"/>
    <n v="1"/>
    <d v="2018-12-01T00:00:00"/>
    <s v="VW"/>
    <s v="VOYAGE"/>
    <n v="0"/>
    <d v="2018-12-01T00:00:00"/>
    <n v="0"/>
    <x v="1310"/>
  </r>
  <r>
    <d v="2018-12-01T00:00:00"/>
    <s v="001-00014276"/>
    <n v="406.62710200000004"/>
    <n v="16.950001"/>
    <n v="0"/>
    <n v="0"/>
    <n v="39.048749999999998"/>
    <n v="0"/>
    <n v="0"/>
    <n v="0"/>
    <n v="55.998750999999999"/>
    <n v="350.62835100000007"/>
    <n v="0.86228475493992041"/>
    <x v="0"/>
    <s v="MECANICA"/>
    <x v="9"/>
    <x v="1"/>
    <n v="0"/>
    <n v="1"/>
    <d v="2018-12-01T00:00:00"/>
    <s v="HYUNDAI"/>
    <s v="ACCENT"/>
    <n v="0"/>
    <d v="2018-12-01T00:00:00"/>
    <n v="0"/>
    <x v="1079"/>
  </r>
  <r>
    <d v="2018-12-14T00:00:00"/>
    <s v="001-00014277"/>
    <n v="477.57325050000009"/>
    <n v="0"/>
    <n v="0"/>
    <n v="0"/>
    <n v="0"/>
    <n v="21.9375"/>
    <n v="123.955"/>
    <n v="0"/>
    <n v="145.89249999999998"/>
    <n v="331.6807505000001"/>
    <n v="0.69451283159754784"/>
    <x v="1"/>
    <s v="LEVE"/>
    <x v="9"/>
    <x v="1"/>
    <n v="13"/>
    <n v="1"/>
    <d v="2018-12-01T00:00:00"/>
    <s v="CHEVROLET"/>
    <s v="PRISMA"/>
    <n v="1154.6275000000001"/>
    <d v="2018-12-03T00:00:00"/>
    <n v="1.5"/>
    <x v="1"/>
  </r>
  <r>
    <d v="2018-12-18T00:00:00"/>
    <s v="001-00014278"/>
    <n v="1338.7999600000001"/>
    <n v="0"/>
    <n v="0"/>
    <n v="0"/>
    <n v="0"/>
    <n v="102.375"/>
    <n v="216.92125000000001"/>
    <n v="0"/>
    <n v="319.29624999999999"/>
    <n v="1019.5037100000001"/>
    <n v="0.761505632252932"/>
    <x v="1"/>
    <s v="LEVE"/>
    <x v="9"/>
    <x v="1"/>
    <n v="17"/>
    <n v="1"/>
    <d v="2018-12-01T00:00:00"/>
    <s v="TOYOTA"/>
    <s v="YARIS"/>
    <n v="714.77250000000004"/>
    <d v="2018-12-03T00:00:00"/>
    <n v="7"/>
    <x v="1"/>
  </r>
  <r>
    <d v="2018-12-17T00:00:00"/>
    <s v="001-00014279"/>
    <n v="1400.542066"/>
    <n v="0"/>
    <n v="0"/>
    <n v="93.22"/>
    <n v="2.9250000000000003"/>
    <n v="102.375"/>
    <n v="185.9325"/>
    <n v="0"/>
    <n v="384.45249999999999"/>
    <n v="1016.089566"/>
    <n v="0.72549735610726029"/>
    <x v="1"/>
    <s v="MEDIANO"/>
    <x v="9"/>
    <x v="1"/>
    <n v="16"/>
    <n v="1"/>
    <d v="2018-12-01T00:00:00"/>
    <s v="KIA"/>
    <s v="RIO"/>
    <n v="471.25"/>
    <d v="2018-12-03T00:00:00"/>
    <n v="7"/>
    <x v="1"/>
  </r>
  <r>
    <d v="2018-12-31T00:00:00"/>
    <s v="001-00014280"/>
    <n v="2982.3070572042393"/>
    <n v="6.8319001200000002"/>
    <n v="0"/>
    <n v="139.83474576271186"/>
    <n v="26.324999999999999"/>
    <n v="204.75"/>
    <n v="356.37062500000002"/>
    <n v="0"/>
    <n v="734.11227088271187"/>
    <n v="2248.1947863215273"/>
    <n v="0.75384416936232423"/>
    <x v="1"/>
    <s v="MEDIANO"/>
    <x v="9"/>
    <x v="1"/>
    <n v="28"/>
    <n v="1"/>
    <d v="2018-12-03T00:00:00"/>
    <s v="TOYOTA"/>
    <s v="RAV4"/>
    <n v="9011.8274999999994"/>
    <d v="2018-12-03T00:00:00"/>
    <n v="14"/>
    <x v="1311"/>
  </r>
  <r>
    <d v="2018-12-19T00:00:00"/>
    <s v="001-00014282"/>
    <n v="1692.2535531999997"/>
    <n v="0"/>
    <n v="0"/>
    <n v="0"/>
    <n v="0"/>
    <n v="117"/>
    <n v="263.40437500000002"/>
    <n v="0"/>
    <n v="380.40437500000002"/>
    <n v="1311.8491781999996"/>
    <n v="0.77520840521760637"/>
    <x v="1"/>
    <s v="MEDIANO"/>
    <x v="9"/>
    <x v="1"/>
    <n v="16"/>
    <n v="1"/>
    <d v="2018-12-03T00:00:00"/>
    <s v="PEUGEOT"/>
    <n v="307"/>
    <n v="1495.26"/>
    <d v="2018-12-04T00:00:00"/>
    <n v="8"/>
    <x v="1"/>
  </r>
  <r>
    <d v="2018-12-03T00:00:00"/>
    <s v="001-00014283"/>
    <n v="329"/>
    <n v="74.932202099999998"/>
    <n v="0"/>
    <n v="0"/>
    <n v="39.048749999999998"/>
    <n v="0"/>
    <n v="0"/>
    <n v="0"/>
    <n v="113.9809521"/>
    <n v="215.0190479"/>
    <n v="0.65355333708206687"/>
    <x v="0"/>
    <s v="MECANICA"/>
    <x v="9"/>
    <x v="1"/>
    <n v="1"/>
    <n v="1"/>
    <d v="2018-12-02T00:00:00"/>
    <s v="HYUNDAI"/>
    <s v="ACCENT"/>
    <n v="0"/>
    <d v="2018-12-03T00:00:00"/>
    <n v="0"/>
    <x v="978"/>
  </r>
  <r>
    <d v="2018-12-03T00:00:00"/>
    <s v="001-00014284"/>
    <n v="50.73"/>
    <n v="0"/>
    <n v="0"/>
    <n v="0"/>
    <n v="0"/>
    <n v="0"/>
    <n v="0"/>
    <n v="0"/>
    <n v="0"/>
    <n v="50.73"/>
    <n v="1"/>
    <x v="0"/>
    <s v="MEDIANO"/>
    <x v="9"/>
    <x v="1"/>
    <n v="0"/>
    <n v="1"/>
    <d v="2018-12-03T00:00:00"/>
    <s v="KIA"/>
    <s v="CERATO"/>
    <n v="0"/>
    <d v="2018-12-03T00:00:00"/>
    <n v="0"/>
    <x v="1300"/>
  </r>
  <r>
    <d v="2018-12-03T00:00:00"/>
    <s v="001-00014287"/>
    <n v="449"/>
    <n v="129.85820105000002"/>
    <n v="0"/>
    <n v="0"/>
    <n v="39.048749999999998"/>
    <n v="0"/>
    <n v="0"/>
    <n v="0"/>
    <n v="168.90695105000003"/>
    <n v="280.09304894999997"/>
    <n v="0.62381525378619151"/>
    <x v="0"/>
    <s v="MECANICA"/>
    <x v="9"/>
    <x v="1"/>
    <n v="1"/>
    <n v="1"/>
    <d v="2018-12-02T00:00:00"/>
    <s v="CHEVROLET"/>
    <s v="N300"/>
    <n v="0"/>
    <d v="2018-12-03T00:00:00"/>
    <n v="0"/>
    <x v="1312"/>
  </r>
  <r>
    <d v="2018-12-12T00:00:00"/>
    <s v="001-00014288"/>
    <n v="1598.8937565550798"/>
    <n v="1.0168000399999999"/>
    <n v="0"/>
    <n v="0"/>
    <n v="0"/>
    <n v="146.25"/>
    <n v="247.91"/>
    <n v="0"/>
    <n v="395.17680003999999"/>
    <n v="1203.7169565150798"/>
    <n v="0.75284361551862333"/>
    <x v="1"/>
    <s v="MEDIANO"/>
    <x v="9"/>
    <x v="1"/>
    <n v="9"/>
    <n v="1"/>
    <d v="2018-12-03T00:00:00"/>
    <s v="SUZUKI"/>
    <s v="CIAZ"/>
    <n v="0"/>
    <d v="2018-12-03T00:00:00"/>
    <n v="10"/>
    <x v="1"/>
  </r>
  <r>
    <d v="2018-12-05T00:00:00"/>
    <s v="001-00014289"/>
    <n v="1276.1449999999998"/>
    <n v="775.46072400000014"/>
    <n v="0"/>
    <n v="0"/>
    <n v="58.5"/>
    <n v="0"/>
    <n v="0"/>
    <n v="0"/>
    <n v="833.96072400000014"/>
    <n v="442.18427599999961"/>
    <n v="0.34650002625093518"/>
    <x v="0"/>
    <s v="MECANICA"/>
    <x v="9"/>
    <x v="1"/>
    <n v="2"/>
    <n v="1"/>
    <d v="2018-12-03T00:00:00"/>
    <s v="CHEVROLET"/>
    <s v="CRUZE"/>
    <n v="1030.25"/>
    <d v="2018-12-03T00:00:00"/>
    <n v="0"/>
    <x v="1313"/>
  </r>
  <r>
    <d v="2018-12-17T00:00:00"/>
    <s v="001-00014290"/>
    <n v="818.39253099999996"/>
    <n v="0"/>
    <n v="0"/>
    <n v="0"/>
    <n v="0"/>
    <n v="102.375"/>
    <n v="123.955"/>
    <n v="0"/>
    <n v="226.32999999999998"/>
    <n v="592.06253100000004"/>
    <n v="0.72344566766335761"/>
    <x v="1"/>
    <s v="LEVE"/>
    <x v="9"/>
    <x v="1"/>
    <n v="14"/>
    <n v="1"/>
    <d v="2018-12-03T00:00:00"/>
    <s v="NISSAN"/>
    <s v="KICKS"/>
    <n v="643.33749999999998"/>
    <d v="2018-12-04T00:00:00"/>
    <n v="7"/>
    <x v="1"/>
  </r>
  <r>
    <d v="2018-12-13T00:00:00"/>
    <s v="001-00014291"/>
    <n v="1396.8599680999998"/>
    <n v="0"/>
    <n v="0"/>
    <n v="0"/>
    <n v="0"/>
    <n v="117"/>
    <n v="231.17607500000003"/>
    <n v="0"/>
    <n v="348.17607500000003"/>
    <n v="1048.6838930999998"/>
    <n v="0.7507437517351242"/>
    <x v="1"/>
    <s v="MEDIANO"/>
    <x v="9"/>
    <x v="1"/>
    <n v="10"/>
    <n v="1"/>
    <d v="2018-12-03T00:00:00"/>
    <s v="KIA"/>
    <s v="RIO"/>
    <n v="1533.9025000000001"/>
    <d v="2018-12-03T00:00:00"/>
    <n v="8"/>
    <x v="1314"/>
  </r>
  <r>
    <d v="2018-12-21T00:00:00"/>
    <s v="001-00014292"/>
    <n v="1441.3427643847501"/>
    <n v="0.84739999999999993"/>
    <n v="0"/>
    <n v="0"/>
    <n v="0"/>
    <n v="117"/>
    <n v="232.41562500000001"/>
    <n v="0"/>
    <n v="350.26302499999997"/>
    <n v="1091.0797393847502"/>
    <n v="0.75698839050993338"/>
    <x v="1"/>
    <s v="MEDIANO"/>
    <x v="9"/>
    <x v="1"/>
    <n v="18"/>
    <n v="1"/>
    <d v="2018-12-03T00:00:00"/>
    <s v="NISSAN"/>
    <s v="VERSA"/>
    <n v="823.29"/>
    <d v="2018-12-09T00:00:00"/>
    <n v="8"/>
    <x v="1"/>
  </r>
  <r>
    <d v="2018-12-10T00:00:00"/>
    <s v="001-00014294"/>
    <n v="1325.0029396059299"/>
    <n v="0"/>
    <n v="0"/>
    <n v="0"/>
    <n v="0"/>
    <n v="175.5"/>
    <n v="123.955"/>
    <n v="0"/>
    <n v="299.45499999999998"/>
    <n v="1025.54793960593"/>
    <n v="0.77399672781928996"/>
    <x v="1"/>
    <s v="MEDIANO"/>
    <x v="9"/>
    <x v="1"/>
    <n v="7"/>
    <n v="1"/>
    <d v="2018-12-03T00:00:00"/>
    <s v="TOYOTA"/>
    <s v="RAV4"/>
    <n v="28.47"/>
    <d v="2018-12-04T00:00:00"/>
    <n v="12"/>
    <x v="1"/>
  </r>
  <r>
    <d v="2018-12-03T00:00:00"/>
    <s v="001-00014296"/>
    <n v="909"/>
    <n v="314.15830129000005"/>
    <n v="0"/>
    <n v="0"/>
    <n v="68.298749999999998"/>
    <n v="0"/>
    <n v="0"/>
    <n v="0"/>
    <n v="382.45705129000004"/>
    <n v="526.54294871000002"/>
    <n v="0.57925516909790986"/>
    <x v="0"/>
    <s v="MECANICA"/>
    <x v="9"/>
    <x v="1"/>
    <n v="1"/>
    <n v="1"/>
    <d v="2018-12-02T00:00:00"/>
    <s v="FORD"/>
    <s v="ECOSPORT"/>
    <n v="177.255"/>
    <d v="2018-12-03T00:00:00"/>
    <n v="0"/>
    <x v="1315"/>
  </r>
  <r>
    <d v="2018-12-04T00:00:00"/>
    <s v="001-00014297"/>
    <n v="349"/>
    <n v="73.43960122"/>
    <n v="0"/>
    <n v="0"/>
    <n v="39.048749999999998"/>
    <n v="0"/>
    <n v="0"/>
    <n v="0"/>
    <n v="112.48835122"/>
    <n v="236.51164878"/>
    <n v="0.67768380739255019"/>
    <x v="0"/>
    <s v="MECANICA"/>
    <x v="9"/>
    <x v="1"/>
    <n v="2"/>
    <n v="1"/>
    <d v="2018-12-02T00:00:00"/>
    <s v="KIA"/>
    <s v="RIO"/>
    <n v="0"/>
    <d v="2018-12-03T00:00:00"/>
    <n v="0"/>
    <x v="861"/>
  </r>
  <r>
    <d v="2018-12-18T00:00:00"/>
    <s v="001-00014298"/>
    <n v="2037.98254921017"/>
    <n v="0"/>
    <n v="0"/>
    <n v="0"/>
    <n v="0"/>
    <n v="292.5"/>
    <n v="207.62462500000001"/>
    <n v="0"/>
    <n v="500.12462500000004"/>
    <n v="1537.85792421017"/>
    <n v="0.75459818083632479"/>
    <x v="1"/>
    <s v="MEDIANO"/>
    <x v="9"/>
    <x v="1"/>
    <n v="15"/>
    <n v="1"/>
    <d v="2018-12-03T00:00:00"/>
    <s v="SUZUKI"/>
    <s v="SWIFT"/>
    <n v="0"/>
    <d v="2018-12-04T00:00:00"/>
    <n v="20"/>
    <x v="1316"/>
  </r>
  <r>
    <d v="2018-12-06T00:00:00"/>
    <s v="001-00014299"/>
    <n v="421.24962272399995"/>
    <n v="0.84740000000000004"/>
    <n v="0"/>
    <n v="0"/>
    <n v="0"/>
    <n v="76.78125"/>
    <n v="61.977499999999999"/>
    <n v="0"/>
    <n v="139.60614999999999"/>
    <n v="281.64347272399993"/>
    <n v="0.66859044502582488"/>
    <x v="0"/>
    <s v="LEVE"/>
    <x v="9"/>
    <x v="1"/>
    <n v="3"/>
    <n v="1"/>
    <d v="2018-12-03T00:00:00"/>
    <s v="KIA"/>
    <s v="RIO"/>
    <n v="0"/>
    <d v="2018-12-03T00:00:00"/>
    <n v="5.25"/>
    <x v="1317"/>
  </r>
  <r>
    <d v="2018-12-22T00:00:00"/>
    <s v="001-00014300"/>
    <n v="450"/>
    <n v="161.35540180000001"/>
    <n v="0"/>
    <n v="0"/>
    <n v="39.048749999999998"/>
    <n v="0"/>
    <n v="0"/>
    <n v="0"/>
    <n v="200.40415180000002"/>
    <n v="249.59584819999998"/>
    <n v="0.55465744044444443"/>
    <x v="0"/>
    <s v="MECANICA"/>
    <x v="9"/>
    <x v="1"/>
    <n v="19"/>
    <n v="1"/>
    <d v="2018-12-03T00:00:00"/>
    <s v="NISSAN"/>
    <s v="FRONTIER"/>
    <n v="0"/>
    <d v="2018-12-03T00:00:00"/>
    <n v="0"/>
    <x v="157"/>
  </r>
  <r>
    <d v="2018-12-19T00:00:00"/>
    <s v="001-00014301"/>
    <n v="2334.9408864600005"/>
    <n v="0"/>
    <n v="0"/>
    <n v="84.75"/>
    <n v="5.8500000000000005"/>
    <n v="175.5"/>
    <n v="325.38187500000004"/>
    <n v="0"/>
    <n v="591.48187500000006"/>
    <n v="1743.4590114600005"/>
    <n v="0.74668229143190668"/>
    <x v="1"/>
    <s v="MEDIANO"/>
    <x v="9"/>
    <x v="1"/>
    <n v="16"/>
    <n v="1"/>
    <d v="2018-12-03T00:00:00"/>
    <s v="TOYOTA"/>
    <s v="ETIOS"/>
    <n v="2683.0699999999997"/>
    <d v="2018-12-05T00:00:00"/>
    <n v="12"/>
    <x v="1"/>
  </r>
  <r>
    <d v="2018-12-05T00:00:00"/>
    <s v="001-00014302"/>
    <n v="150"/>
    <n v="0"/>
    <n v="0"/>
    <n v="0"/>
    <n v="29.25"/>
    <n v="0"/>
    <n v="0"/>
    <n v="0"/>
    <n v="29.25"/>
    <n v="120.75"/>
    <n v="0.80500000000000005"/>
    <x v="0"/>
    <s v="MECANICA"/>
    <x v="9"/>
    <x v="1"/>
    <n v="2"/>
    <n v="1"/>
    <d v="2018-12-03T00:00:00"/>
    <s v="MAZDA"/>
    <s v="MAZDA 2"/>
    <n v="0"/>
    <d v="2018-12-03T00:00:00"/>
    <n v="0"/>
    <x v="1318"/>
  </r>
  <r>
    <d v="2018-12-03T00:00:00"/>
    <s v="001-00014303"/>
    <n v="782.10170440000002"/>
    <n v="0"/>
    <n v="0"/>
    <n v="0"/>
    <n v="0"/>
    <n v="43.875"/>
    <n v="30.98875"/>
    <n v="0"/>
    <n v="74.863749999999996"/>
    <n v="707.23795440000004"/>
    <n v="0.90427875354467779"/>
    <x v="1"/>
    <s v="LEVE"/>
    <x v="9"/>
    <x v="1"/>
    <n v="0"/>
    <n v="1"/>
    <d v="2018-12-03T00:00:00"/>
    <s v="RENAULT"/>
    <s v="STEPWAY"/>
    <n v="1178.6125"/>
    <d v="2018-12-01T00:00:00"/>
    <n v="3"/>
    <x v="1319"/>
  </r>
  <r>
    <d v="2018-12-17T00:00:00"/>
    <s v="001-00014306"/>
    <n v="449.56999999999994"/>
    <n v="0"/>
    <n v="0"/>
    <n v="0"/>
    <n v="0"/>
    <n v="29.25"/>
    <n v="61.977499999999999"/>
    <n v="0"/>
    <n v="91.227499999999992"/>
    <n v="358.34249999999997"/>
    <n v="0.79707831928287032"/>
    <x v="1"/>
    <s v="MEDIANO"/>
    <x v="9"/>
    <x v="1"/>
    <n v="14"/>
    <n v="1"/>
    <d v="2018-12-03T00:00:00"/>
    <s v="TOYOTA"/>
    <s v="RAV4"/>
    <n v="0"/>
    <d v="2018-11-30T00:00:00"/>
    <n v="2"/>
    <x v="1309"/>
  </r>
  <r>
    <d v="2018-12-11T00:00:00"/>
    <s v="001-00014307"/>
    <n v="2053.2946175796601"/>
    <n v="0"/>
    <n v="0"/>
    <n v="16.95"/>
    <n v="0"/>
    <n v="160.875"/>
    <n v="300.59087499999998"/>
    <n v="0"/>
    <n v="478.41587499999997"/>
    <n v="1574.8787425796602"/>
    <n v="0.76700086246564214"/>
    <x v="1"/>
    <s v="MEDIANO"/>
    <x v="9"/>
    <x v="1"/>
    <n v="7"/>
    <n v="1"/>
    <d v="2018-12-04T00:00:00"/>
    <s v="SUZUKI"/>
    <s v="CIAZ"/>
    <n v="640.54250000000002"/>
    <d v="2018-12-05T00:00:00"/>
    <n v="11"/>
    <x v="1"/>
  </r>
  <r>
    <d v="2018-12-14T00:00:00"/>
    <s v="001-00014309"/>
    <n v="436.93685096000013"/>
    <n v="0"/>
    <n v="0"/>
    <n v="0"/>
    <n v="0"/>
    <n v="29.25"/>
    <n v="91.726700000000008"/>
    <n v="0"/>
    <n v="120.97670000000001"/>
    <n v="315.96015096000014"/>
    <n v="0.7231254362404993"/>
    <x v="1"/>
    <s v="LEVE"/>
    <x v="9"/>
    <x v="1"/>
    <n v="10"/>
    <n v="1"/>
    <d v="2018-12-04T00:00:00"/>
    <s v="SUZUKI"/>
    <s v="ALTO"/>
    <n v="785.36250000000007"/>
    <d v="2018-11-28T00:00:00"/>
    <n v="2"/>
    <x v="1"/>
  </r>
  <r>
    <d v="2018-12-19T00:00:00"/>
    <s v="001-00014310"/>
    <n v="735.58128396200004"/>
    <n v="0"/>
    <n v="0"/>
    <n v="148.30508474576271"/>
    <n v="0"/>
    <n v="43.875"/>
    <n v="61.977499999999999"/>
    <n v="0"/>
    <n v="254.1575847457627"/>
    <n v="481.42369921623731"/>
    <n v="0.65448062602026125"/>
    <x v="1"/>
    <s v="LEVE"/>
    <x v="9"/>
    <x v="1"/>
    <n v="15"/>
    <n v="1"/>
    <d v="2018-12-04T00:00:00"/>
    <s v="SUZUKI"/>
    <s v="SCROSS"/>
    <n v="3838.8675000000003"/>
    <d v="2018-12-05T00:00:00"/>
    <n v="3"/>
    <x v="1"/>
  </r>
  <r>
    <d v="2018-12-22T00:00:00"/>
    <s v="001-00014311"/>
    <n v="2000.4005937800002"/>
    <n v="0"/>
    <n v="0"/>
    <n v="55.084745762711869"/>
    <n v="0"/>
    <n v="175.5"/>
    <n v="325.38187500000004"/>
    <n v="0"/>
    <n v="555.96662076271195"/>
    <n v="1444.4339730172883"/>
    <n v="0.7220723576610496"/>
    <x v="1"/>
    <s v="MEDIANO"/>
    <x v="9"/>
    <x v="1"/>
    <n v="18"/>
    <n v="1"/>
    <d v="2018-12-04T00:00:00"/>
    <s v="SUZUKI"/>
    <s v="CIAZ"/>
    <n v="3573.4074999999998"/>
    <d v="2018-12-05T00:00:00"/>
    <n v="12"/>
    <x v="1"/>
  </r>
  <r>
    <d v="2018-12-14T00:00:00"/>
    <s v="001-00014313"/>
    <n v="729.06426499999998"/>
    <n v="0"/>
    <n v="0"/>
    <n v="0"/>
    <n v="0"/>
    <n v="73.125"/>
    <n v="117.13747499999999"/>
    <n v="0"/>
    <n v="190.26247499999999"/>
    <n v="538.80178999999998"/>
    <n v="0.73903195625697005"/>
    <x v="1"/>
    <s v="LEVE"/>
    <x v="9"/>
    <x v="1"/>
    <n v="10"/>
    <n v="1"/>
    <d v="2018-12-04T00:00:00"/>
    <s v="TOYOTA"/>
    <s v="COROLLA"/>
    <n v="0"/>
    <d v="2018-12-05T00:00:00"/>
    <n v="5"/>
    <x v="1320"/>
  </r>
  <r>
    <d v="2018-12-21T00:00:00"/>
    <s v="001-00014314"/>
    <n v="622.39303538219997"/>
    <n v="0"/>
    <n v="0"/>
    <n v="0"/>
    <n v="0"/>
    <n v="29.25"/>
    <n v="123.955"/>
    <n v="0"/>
    <n v="153.20499999999998"/>
    <n v="469.18803538219998"/>
    <n v="0.75384525325557405"/>
    <x v="1"/>
    <s v="LEVE"/>
    <x v="9"/>
    <x v="1"/>
    <n v="17"/>
    <n v="1"/>
    <d v="2018-12-04T00:00:00"/>
    <s v="KIA"/>
    <s v="CERATO"/>
    <n v="500.63"/>
    <d v="2018-12-05T00:00:00"/>
    <n v="2"/>
    <x v="1321"/>
  </r>
  <r>
    <d v="2018-12-21T00:00:00"/>
    <s v="001-00014316"/>
    <n v="359.9107222628997"/>
    <n v="0"/>
    <n v="0"/>
    <n v="0"/>
    <n v="0"/>
    <n v="8.7749999999999986"/>
    <n v="61.977499999999999"/>
    <n v="0"/>
    <n v="70.752499999999998"/>
    <n v="289.1582222628997"/>
    <n v="0.80341652631199389"/>
    <x v="1"/>
    <s v="LEVE"/>
    <x v="9"/>
    <x v="1"/>
    <n v="17"/>
    <n v="1"/>
    <d v="2018-12-04T00:00:00"/>
    <s v="CHEVROLET"/>
    <s v="SAIL"/>
    <n v="320.41750000000002"/>
    <d v="2018-12-05T00:00:00"/>
    <n v="0.6"/>
    <x v="1"/>
  </r>
  <r>
    <d v="2018-12-28T00:00:00"/>
    <s v="001-00014318"/>
    <n v="1493.8799557500001"/>
    <n v="0.84749995000000011"/>
    <n v="0"/>
    <n v="84.75"/>
    <n v="14.625"/>
    <n v="146.25"/>
    <n v="154.94374999999999"/>
    <n v="0"/>
    <n v="401.41624994999995"/>
    <n v="1092.4637058000003"/>
    <n v="0.73129283353395724"/>
    <x v="1"/>
    <s v="MEDIANO"/>
    <x v="9"/>
    <x v="1"/>
    <n v="24"/>
    <n v="1"/>
    <d v="2018-12-04T00:00:00"/>
    <s v="MITSUBISHI"/>
    <s v="MONTERO"/>
    <n v="1981.7525000000001"/>
    <d v="2018-12-05T00:00:00"/>
    <n v="10"/>
    <x v="1322"/>
  </r>
  <r>
    <d v="2018-12-18T00:00:00"/>
    <s v="001-00014320"/>
    <n v="1679.3712572245799"/>
    <n v="0"/>
    <n v="0"/>
    <n v="152.54"/>
    <n v="0"/>
    <n v="146.25"/>
    <n v="201.426875"/>
    <n v="0"/>
    <n v="500.21687499999996"/>
    <n v="1179.1543822245799"/>
    <n v="0.70214038566630843"/>
    <x v="1"/>
    <s v="MEDIANO"/>
    <x v="9"/>
    <x v="1"/>
    <n v="14"/>
    <n v="1"/>
    <d v="2018-12-04T00:00:00"/>
    <s v="KIA"/>
    <s v="RIO"/>
    <n v="131.20249999999999"/>
    <d v="2018-12-05T00:00:00"/>
    <n v="10"/>
    <x v="1"/>
  </r>
  <r>
    <d v="2018-12-11T00:00:00"/>
    <s v="001-00014321"/>
    <n v="388.23998849999998"/>
    <n v="0"/>
    <n v="0"/>
    <n v="0"/>
    <n v="0"/>
    <n v="14.625"/>
    <n v="61.977499999999999"/>
    <n v="0"/>
    <n v="76.602499999999992"/>
    <n v="311.63748850000002"/>
    <n v="0.80269291605957283"/>
    <x v="0"/>
    <s v="LEVE"/>
    <x v="9"/>
    <x v="1"/>
    <n v="7"/>
    <n v="1"/>
    <d v="2018-12-04T00:00:00"/>
    <s v="NISSAN"/>
    <s v="SENTRA"/>
    <n v="0"/>
    <d v="2018-12-04T00:00:00"/>
    <n v="1"/>
    <x v="999"/>
  </r>
  <r>
    <d v="2018-12-15T00:00:00"/>
    <s v="001-00014322"/>
    <n v="150"/>
    <n v="0"/>
    <n v="0"/>
    <n v="76.27"/>
    <n v="0"/>
    <n v="0"/>
    <n v="0"/>
    <n v="0"/>
    <n v="76.27"/>
    <n v="73.73"/>
    <n v="0.49153333333333338"/>
    <x v="0"/>
    <s v="MECANICA"/>
    <x v="9"/>
    <x v="1"/>
    <n v="11"/>
    <n v="1"/>
    <d v="2018-12-04T00:00:00"/>
    <s v="VW"/>
    <s v="POLO"/>
    <n v="0"/>
    <d v="2018-12-04T00:00:00"/>
    <n v="0"/>
    <x v="1323"/>
  </r>
  <r>
    <d v="2018-12-13T00:00:00"/>
    <s v="001-00014323"/>
    <n v="569.35050000000001"/>
    <n v="0"/>
    <n v="0"/>
    <n v="0"/>
    <n v="0"/>
    <n v="51.1875"/>
    <n v="123.955"/>
    <n v="0"/>
    <n v="175.14249999999998"/>
    <n v="394.20800000000003"/>
    <n v="0.692381933448728"/>
    <x v="0"/>
    <s v="LEVE"/>
    <x v="9"/>
    <x v="1"/>
    <n v="9"/>
    <n v="1"/>
    <d v="2018-12-04T00:00:00"/>
    <s v="KIA"/>
    <s v="RIO"/>
    <n v="0"/>
    <d v="2018-12-04T00:00:00"/>
    <n v="3.5"/>
    <x v="1314"/>
  </r>
  <r>
    <d v="2018-12-20T00:00:00"/>
    <s v="001-00014324"/>
    <n v="979.34385342541998"/>
    <n v="0"/>
    <n v="0"/>
    <n v="0"/>
    <n v="0"/>
    <n v="73.125"/>
    <n v="170.43812500000001"/>
    <n v="0"/>
    <n v="243.56312500000001"/>
    <n v="735.78072842541997"/>
    <n v="0.75129968483684562"/>
    <x v="1"/>
    <s v="LEVE"/>
    <x v="9"/>
    <x v="1"/>
    <n v="16"/>
    <n v="1"/>
    <d v="2018-12-04T00:00:00"/>
    <s v="CHEVROLET"/>
    <s v="N300"/>
    <n v="747.17500000000007"/>
    <d v="2018-12-06T00:00:00"/>
    <n v="5"/>
    <x v="999"/>
  </r>
  <r>
    <d v="2018-12-05T00:00:00"/>
    <s v="001-00014325"/>
    <n v="549"/>
    <n v="131.02200099999999"/>
    <n v="0"/>
    <n v="0"/>
    <n v="39.048749999999998"/>
    <n v="0"/>
    <n v="0"/>
    <n v="0"/>
    <n v="170.07075099999997"/>
    <n v="378.92924900000003"/>
    <n v="0.69021721129326052"/>
    <x v="0"/>
    <s v="MECANICA"/>
    <x v="9"/>
    <x v="1"/>
    <n v="0"/>
    <n v="1"/>
    <d v="2018-12-05T00:00:00"/>
    <s v="HONDA"/>
    <s v="WR-V"/>
    <n v="0"/>
    <d v="2018-12-05T00:00:00"/>
    <n v="0"/>
    <x v="1324"/>
  </r>
  <r>
    <d v="2018-12-20T00:00:00"/>
    <s v="001-00014327"/>
    <n v="1641.1664066854205"/>
    <n v="0"/>
    <n v="0"/>
    <n v="0"/>
    <n v="0"/>
    <n v="117"/>
    <n v="325.38187500000004"/>
    <n v="0"/>
    <n v="442.38187500000004"/>
    <n v="1198.7845316854205"/>
    <n v="0.73044666695715765"/>
    <x v="1"/>
    <s v="MEDIANO"/>
    <x v="9"/>
    <x v="1"/>
    <n v="15"/>
    <n v="1"/>
    <d v="2018-12-05T00:00:00"/>
    <s v="KIA"/>
    <s v="RIO"/>
    <n v="1839.2399999999998"/>
    <d v="2018-12-06T00:00:00"/>
    <n v="8"/>
    <x v="1"/>
  </r>
  <r>
    <d v="2018-12-20T00:00:00"/>
    <s v="001-00014328"/>
    <n v="499.29901489999997"/>
    <n v="0"/>
    <n v="0"/>
    <n v="0"/>
    <n v="0"/>
    <n v="43.875"/>
    <n v="61.977499999999999"/>
    <n v="0"/>
    <n v="105.85249999999999"/>
    <n v="393.44651490000001"/>
    <n v="0.7879977792041104"/>
    <x v="1"/>
    <s v="LEVE"/>
    <x v="9"/>
    <x v="1"/>
    <n v="15"/>
    <n v="1"/>
    <d v="2018-12-05T00:00:00"/>
    <s v="RENAULT"/>
    <s v="OROCH"/>
    <n v="928.78499999999985"/>
    <d v="2018-12-06T00:00:00"/>
    <n v="3"/>
    <x v="1"/>
  </r>
  <r>
    <d v="2018-12-13T00:00:00"/>
    <s v="001-00014329"/>
    <n v="302.31"/>
    <n v="0"/>
    <n v="0"/>
    <n v="0"/>
    <n v="0"/>
    <n v="29.25"/>
    <n v="61.977499999999999"/>
    <n v="0"/>
    <n v="91.227499999999992"/>
    <n v="211.08250000000001"/>
    <n v="0.69823194733882443"/>
    <x v="0"/>
    <s v="MEDIANO"/>
    <x v="9"/>
    <x v="1"/>
    <n v="9"/>
    <n v="1"/>
    <d v="2018-12-04T00:00:00"/>
    <s v="TOYOTA"/>
    <s v="COROLLA"/>
    <n v="0"/>
    <d v="2018-12-05T00:00:00"/>
    <n v="2"/>
    <x v="1325"/>
  </r>
  <r>
    <d v="2018-12-28T00:00:00"/>
    <s v="001-00014330"/>
    <n v="278.51999174999997"/>
    <n v="0"/>
    <n v="0"/>
    <n v="139.14474576271186"/>
    <n v="14.625"/>
    <n v="0"/>
    <n v="0"/>
    <n v="0"/>
    <n v="153.76974576271186"/>
    <n v="124.75024598728811"/>
    <n v="0.44790409910418261"/>
    <x v="1"/>
    <s v="LEVE"/>
    <x v="9"/>
    <x v="1"/>
    <n v="23"/>
    <n v="1"/>
    <d v="2018-12-05T00:00:00"/>
    <s v="NISSAN"/>
    <s v="NP 300"/>
    <n v="689.39"/>
    <d v="2018-12-06T00:00:00"/>
    <n v="0"/>
    <x v="1"/>
  </r>
  <r>
    <d v="2018-12-31T00:00:00"/>
    <s v="001-00014331"/>
    <n v="42.372897999999985"/>
    <n v="0"/>
    <n v="0"/>
    <n v="42.37"/>
    <n v="0"/>
    <n v="0"/>
    <n v="0"/>
    <n v="0"/>
    <n v="42.37"/>
    <n v="2.8979999999876327E-3"/>
    <n v="6.839277313502687E-5"/>
    <x v="0"/>
    <s v="MECANICA"/>
    <x v="9"/>
    <x v="1"/>
    <n v="26"/>
    <n v="1"/>
    <d v="2018-12-05T00:00:00"/>
    <s v="RENAULT"/>
    <s v="STEPWAY"/>
    <n v="0"/>
    <s v="F/Fecha"/>
    <n v="0"/>
    <x v="999"/>
  </r>
  <r>
    <d v="2018-12-31T00:00:00"/>
    <s v="001-00014332"/>
    <n v="1434.1061534449198"/>
    <n v="0"/>
    <n v="0"/>
    <n v="0"/>
    <n v="0"/>
    <n v="102.375"/>
    <n v="247.91"/>
    <n v="0"/>
    <n v="350.28499999999997"/>
    <n v="1083.8211534449197"/>
    <n v="0.75574681193678206"/>
    <x v="1"/>
    <s v="MEDIANO"/>
    <x v="9"/>
    <x v="1"/>
    <n v="26"/>
    <n v="1"/>
    <d v="2018-12-05T00:00:00"/>
    <s v="TOYOTA"/>
    <s v="RAV4"/>
    <n v="2756.7150000000001"/>
    <d v="2018-12-03T00:00:00"/>
    <n v="7"/>
    <x v="1311"/>
  </r>
  <r>
    <d v="2018-12-21T00:00:00"/>
    <s v="001-00014333"/>
    <n v="333.47828062458007"/>
    <n v="0"/>
    <n v="0"/>
    <n v="55.084745762711869"/>
    <n v="0"/>
    <n v="14.625"/>
    <n v="15.494375"/>
    <n v="0"/>
    <n v="85.204120762711867"/>
    <n v="248.27415986186821"/>
    <n v="0.74449874035834995"/>
    <x v="1"/>
    <s v="LEVE"/>
    <x v="9"/>
    <x v="1"/>
    <n v="15"/>
    <n v="1"/>
    <d v="2018-12-06T00:00:00"/>
    <s v="HONDA"/>
    <s v="CR-V"/>
    <n v="1144.52"/>
    <d v="2018-12-06T00:00:00"/>
    <n v="1"/>
    <x v="1"/>
  </r>
  <r>
    <d v="2018-12-06T00:00:00"/>
    <s v="001-00014334"/>
    <n v="506.62710200000004"/>
    <n v="139.89520299999998"/>
    <n v="0"/>
    <n v="0"/>
    <n v="39.048749999999998"/>
    <n v="0"/>
    <n v="0"/>
    <n v="0"/>
    <n v="178.94395299999996"/>
    <n v="327.68314900000007"/>
    <n v="0.64679356415480527"/>
    <x v="0"/>
    <s v="MECANICA"/>
    <x v="9"/>
    <x v="1"/>
    <n v="0"/>
    <n v="1"/>
    <d v="2018-12-06T00:00:00"/>
    <s v="RENAULT"/>
    <s v="DUSTER"/>
    <n v="0"/>
    <d v="2018-12-06T00:00:00"/>
    <n v="0"/>
    <x v="1326"/>
  </r>
  <r>
    <d v="2018-12-06T00:00:00"/>
    <s v="001-00014335"/>
    <n v="202.85999999999999"/>
    <n v="0"/>
    <n v="0"/>
    <n v="50.85"/>
    <n v="29.25"/>
    <n v="0"/>
    <n v="0"/>
    <n v="0"/>
    <n v="80.099999999999994"/>
    <n v="122.75999999999999"/>
    <n v="0.60514640638864237"/>
    <x v="1"/>
    <s v="MEDIANO"/>
    <x v="9"/>
    <x v="1"/>
    <n v="0"/>
    <n v="1"/>
    <d v="2018-12-06T00:00:00"/>
    <s v="CHEVROLET"/>
    <s v="SPIN"/>
    <n v="1357.395"/>
    <d v="2018-11-23T00:00:00"/>
    <n v="0"/>
    <x v="1"/>
  </r>
  <r>
    <d v="2018-12-11T00:00:00"/>
    <s v="001-00014336"/>
    <n v="849"/>
    <n v="0"/>
    <n v="0"/>
    <n v="0"/>
    <n v="0"/>
    <n v="58.5"/>
    <n v="123.955"/>
    <n v="0"/>
    <n v="182.45499999999998"/>
    <n v="666.54500000000007"/>
    <n v="0.78509422850412258"/>
    <x v="0"/>
    <s v="LEVE"/>
    <x v="9"/>
    <x v="1"/>
    <n v="5"/>
    <n v="1"/>
    <d v="2018-12-06T00:00:00"/>
    <s v="DODGE"/>
    <s v="DURANDO"/>
    <n v="0"/>
    <d v="2018-12-06T00:00:00"/>
    <n v="4"/>
    <x v="1327"/>
  </r>
  <r>
    <d v="2018-12-14T00:00:00"/>
    <s v="001-00014337"/>
    <n v="1734.6575"/>
    <n v="0"/>
    <n v="0"/>
    <n v="152.54"/>
    <n v="0"/>
    <n v="117"/>
    <n v="278.89875000000001"/>
    <n v="0"/>
    <n v="548.43875000000003"/>
    <n v="1186.21875"/>
    <n v="0.68383456100123508"/>
    <x v="1"/>
    <s v="MEDIANO"/>
    <x v="9"/>
    <x v="1"/>
    <n v="8"/>
    <n v="1"/>
    <d v="2018-12-06T00:00:00"/>
    <s v="TOYOTA"/>
    <s v="YARIS"/>
    <n v="0"/>
    <d v="2018-12-06T00:00:00"/>
    <n v="8"/>
    <x v="1"/>
  </r>
  <r>
    <d v="2018-12-07T00:00:00"/>
    <s v="001-00014338"/>
    <n v="349"/>
    <n v="106.95550319999998"/>
    <n v="0"/>
    <n v="0"/>
    <n v="39.048749999999998"/>
    <n v="0"/>
    <n v="0"/>
    <n v="0"/>
    <n v="146.00425319999999"/>
    <n v="202.99574680000001"/>
    <n v="0.58164970429799434"/>
    <x v="0"/>
    <s v="MECANICA"/>
    <x v="9"/>
    <x v="1"/>
    <n v="1"/>
    <n v="1"/>
    <d v="2018-12-06T00:00:00"/>
    <s v="SUZUKI"/>
    <s v="SWIFT"/>
    <n v="0"/>
    <d v="2018-12-06T00:00:00"/>
    <n v="0"/>
    <x v="497"/>
  </r>
  <r>
    <d v="2018-12-22T00:00:00"/>
    <s v="001-00014341"/>
    <n v="415.56661703199995"/>
    <n v="0"/>
    <n v="0"/>
    <n v="0"/>
    <n v="0"/>
    <n v="29.25"/>
    <n v="77.471874999999997"/>
    <n v="0"/>
    <n v="106.721875"/>
    <n v="308.84474203199994"/>
    <n v="0.74318948966061416"/>
    <x v="1"/>
    <s v="LEVE"/>
    <x v="9"/>
    <x v="1"/>
    <n v="16"/>
    <n v="1"/>
    <d v="2018-12-06T00:00:00"/>
    <s v="HYUNDAI"/>
    <s v="ELANTRA"/>
    <n v="763.75"/>
    <d v="2018-12-10T00:00:00"/>
    <n v="2"/>
    <x v="1"/>
  </r>
  <r>
    <d v="2018-12-07T00:00:00"/>
    <s v="001-00014343"/>
    <n v="549"/>
    <n v="162.15899977999999"/>
    <n v="0"/>
    <n v="0"/>
    <n v="39.048749999999998"/>
    <n v="0"/>
    <n v="0"/>
    <n v="0"/>
    <n v="201.20774977999997"/>
    <n v="347.79225022000003"/>
    <n v="0.63350136652094724"/>
    <x v="0"/>
    <s v="MECANICA"/>
    <x v="9"/>
    <x v="1"/>
    <n v="0"/>
    <n v="1"/>
    <d v="2018-12-07T00:00:00"/>
    <s v="NISSAN"/>
    <s v="FRONTIER"/>
    <n v="0"/>
    <d v="2018-12-07T00:00:00"/>
    <n v="0"/>
    <x v="1328"/>
  </r>
  <r>
    <d v="2018-12-07T00:00:00"/>
    <s v="001-00014345"/>
    <n v="349"/>
    <n v="109.9478015"/>
    <n v="0"/>
    <n v="0"/>
    <n v="39.048749999999998"/>
    <n v="0"/>
    <n v="0"/>
    <n v="0"/>
    <n v="148.99655150000001"/>
    <n v="200.00344849999999"/>
    <n v="0.5730757836676218"/>
    <x v="0"/>
    <s v="MECANICA"/>
    <x v="9"/>
    <x v="1"/>
    <n v="1"/>
    <n v="1"/>
    <d v="2018-12-06T00:00:00"/>
    <s v="CHERY"/>
    <s v="TIGGO"/>
    <n v="0"/>
    <d v="2018-12-07T00:00:00"/>
    <n v="0"/>
    <x v="839"/>
  </r>
  <r>
    <d v="2018-12-14T00:00:00"/>
    <s v="001-00014346"/>
    <n v="911.91500000000019"/>
    <n v="0"/>
    <n v="0"/>
    <n v="0"/>
    <n v="2.9250000000000003"/>
    <n v="87.75"/>
    <n v="123.955"/>
    <n v="0"/>
    <n v="214.63"/>
    <n v="697.2850000000002"/>
    <n v="0.76463815158211024"/>
    <x v="1"/>
    <s v="MEDIANO"/>
    <x v="9"/>
    <x v="1"/>
    <n v="7"/>
    <n v="1"/>
    <d v="2018-12-07T00:00:00"/>
    <s v="TOYOTA"/>
    <s v="YARIS"/>
    <n v="0"/>
    <d v="2018-12-06T00:00:00"/>
    <n v="6"/>
    <x v="1"/>
  </r>
  <r>
    <d v="2018-12-27T00:00:00"/>
    <s v="001-00014347"/>
    <n v="2472.0179334899999"/>
    <n v="0"/>
    <n v="0"/>
    <n v="76.27"/>
    <n v="0"/>
    <n v="175.5"/>
    <n v="387.359375"/>
    <n v="0"/>
    <n v="639.12937499999998"/>
    <n v="1832.8885584899999"/>
    <n v="0.74145439386126299"/>
    <x v="1"/>
    <s v="MEDIANO"/>
    <x v="9"/>
    <x v="1"/>
    <n v="20"/>
    <n v="1"/>
    <d v="2018-12-07T00:00:00"/>
    <s v="KIA"/>
    <s v="RIO"/>
    <n v="2505.4900000000002"/>
    <d v="2018-12-10T00:00:00"/>
    <n v="12"/>
    <x v="1"/>
  </r>
  <r>
    <d v="2018-12-20T00:00:00"/>
    <s v="001-00014348"/>
    <n v="273.10650814999997"/>
    <n v="3.9832000399999998"/>
    <n v="0"/>
    <n v="0"/>
    <n v="0"/>
    <n v="21.9375"/>
    <n v="61.977499999999999"/>
    <n v="0"/>
    <n v="87.898200040000006"/>
    <n v="185.20830810999996"/>
    <n v="0.67815413614485109"/>
    <x v="1"/>
    <s v="MEDIANO"/>
    <x v="9"/>
    <x v="1"/>
    <n v="13"/>
    <n v="1"/>
    <d v="2018-12-07T00:00:00"/>
    <s v="KIA"/>
    <s v="RIO"/>
    <n v="782.27499999999998"/>
    <d v="2018-12-06T00:00:00"/>
    <n v="1.5"/>
    <x v="1"/>
  </r>
  <r>
    <d v="2018-12-07T00:00:00"/>
    <s v="001-00014349"/>
    <n v="253.38979999999995"/>
    <n v="74.574995999999999"/>
    <n v="0"/>
    <n v="0"/>
    <n v="29.25"/>
    <n v="0"/>
    <n v="0"/>
    <n v="0"/>
    <n v="103.824996"/>
    <n v="149.56480399999995"/>
    <n v="0.59025581929501492"/>
    <x v="0"/>
    <s v="MECANICA"/>
    <x v="9"/>
    <x v="1"/>
    <n v="1"/>
    <n v="1"/>
    <d v="2018-12-06T00:00:00"/>
    <s v="HYUNDAI"/>
    <s v="ELANTRA"/>
    <n v="0"/>
    <d v="2018-12-07T00:00:00"/>
    <n v="0"/>
    <x v="1329"/>
  </r>
  <r>
    <d v="2018-12-20T00:00:00"/>
    <s v="001-00014351"/>
    <n v="450"/>
    <n v="158.13999869999998"/>
    <n v="0"/>
    <n v="0"/>
    <n v="39.048749999999998"/>
    <n v="0"/>
    <n v="0"/>
    <n v="0"/>
    <n v="197.18874869999996"/>
    <n v="252.81125130000004"/>
    <n v="0.56180278066666678"/>
    <x v="0"/>
    <s v="MECANICA"/>
    <x v="9"/>
    <x v="1"/>
    <n v="14"/>
    <n v="1"/>
    <d v="2018-12-06T00:00:00"/>
    <s v="NISSAN"/>
    <s v="FRONTIER"/>
    <n v="0"/>
    <d v="2018-12-07T00:00:00"/>
    <n v="0"/>
    <x v="157"/>
  </r>
  <r>
    <d v="2018-12-07T00:00:00"/>
    <s v="001-00014352"/>
    <n v="160"/>
    <n v="48.1"/>
    <n v="0"/>
    <n v="0"/>
    <n v="0"/>
    <n v="0"/>
    <n v="0"/>
    <n v="0"/>
    <n v="48.1"/>
    <n v="111.9"/>
    <n v="0.69937500000000008"/>
    <x v="0"/>
    <s v="MECANICA"/>
    <x v="9"/>
    <x v="1"/>
    <n v="1"/>
    <n v="1"/>
    <d v="2018-12-06T00:00:00"/>
    <s v="NISSAN"/>
    <s v="VERSA"/>
    <n v="0"/>
    <s v="F/Fecha"/>
    <n v="0"/>
    <x v="484"/>
  </r>
  <r>
    <d v="2018-12-22T00:00:00"/>
    <s v="001-00014353"/>
    <n v="1145.078"/>
    <n v="2.7116000399999995"/>
    <n v="0"/>
    <n v="0"/>
    <n v="0"/>
    <n v="73.125"/>
    <n v="247.91"/>
    <n v="0"/>
    <n v="323.74660003999998"/>
    <n v="821.33139996"/>
    <n v="0.71727113782641883"/>
    <x v="1"/>
    <s v="LEVE"/>
    <x v="9"/>
    <x v="1"/>
    <n v="15"/>
    <n v="1"/>
    <d v="2018-12-07T00:00:00"/>
    <s v="MG"/>
    <s v="MG3"/>
    <n v="1403.5450000000001"/>
    <d v="2018-12-11T00:00:00"/>
    <n v="5"/>
    <x v="1"/>
  </r>
  <r>
    <d v="2018-12-31T00:00:00"/>
    <s v="001-00014354"/>
    <n v="1381.699959"/>
    <n v="0"/>
    <n v="0"/>
    <n v="0"/>
    <n v="0"/>
    <n v="204.75"/>
    <n v="185.9325"/>
    <n v="0"/>
    <n v="390.6825"/>
    <n v="991.01745900000003"/>
    <n v="0.7172450520424456"/>
    <x v="0"/>
    <s v="MEDIANO"/>
    <x v="9"/>
    <x v="1"/>
    <n v="24"/>
    <n v="1"/>
    <d v="2018-12-07T00:00:00"/>
    <s v="TOYOTA"/>
    <s v="RAV4"/>
    <n v="0"/>
    <d v="2018-12-10T00:00:00"/>
    <n v="14"/>
    <x v="1311"/>
  </r>
  <r>
    <d v="2018-12-17T00:00:00"/>
    <s v="001-00014355"/>
    <n v="503.25"/>
    <n v="0"/>
    <n v="0"/>
    <n v="0"/>
    <n v="0"/>
    <n v="29.25"/>
    <n v="123.955"/>
    <n v="0"/>
    <n v="153.20499999999998"/>
    <n v="350.04500000000002"/>
    <n v="0.69556880278191757"/>
    <x v="0"/>
    <s v="LEVE"/>
    <x v="9"/>
    <x v="1"/>
    <n v="7"/>
    <n v="1"/>
    <d v="2018-12-10T00:00:00"/>
    <s v="TOYOTA"/>
    <s v="RAV4"/>
    <n v="0"/>
    <d v="2018-12-10T00:00:00"/>
    <n v="2"/>
    <x v="1309"/>
  </r>
  <r>
    <d v="2018-12-12T00:00:00"/>
    <s v="001-00014356"/>
    <n v="25.423700000000004"/>
    <n v="0"/>
    <n v="0"/>
    <n v="25.42"/>
    <n v="0"/>
    <n v="0"/>
    <n v="0"/>
    <n v="0"/>
    <n v="25.42"/>
    <n v="3.700000000002035E-3"/>
    <n v="1.4553349827137806E-4"/>
    <x v="0"/>
    <s v="MECANICA"/>
    <x v="9"/>
    <x v="1"/>
    <n v="2"/>
    <n v="1"/>
    <d v="2018-12-10T00:00:00"/>
    <s v="SUZUKI"/>
    <s v="GRAND N."/>
    <n v="0"/>
    <d v="2018-12-10T00:00:00"/>
    <n v="0"/>
    <x v="999"/>
  </r>
  <r>
    <d v="2018-12-22T00:00:00"/>
    <s v="001-00014357"/>
    <n v="1263.4616036"/>
    <n v="1.3559999200000001"/>
    <n v="0"/>
    <n v="84.75"/>
    <n v="14.625"/>
    <n v="58.5"/>
    <n v="232.41562500000001"/>
    <n v="0"/>
    <n v="391.64662492000002"/>
    <n v="871.81497867999997"/>
    <n v="0.69002095211751946"/>
    <x v="1"/>
    <s v="LEVE"/>
    <x v="9"/>
    <x v="1"/>
    <n v="12"/>
    <n v="1"/>
    <d v="2018-12-10T00:00:00"/>
    <s v="SUZUKI"/>
    <s v="SWIFT"/>
    <n v="6369.74"/>
    <d v="2018-12-10T00:00:00"/>
    <n v="4"/>
    <x v="1330"/>
  </r>
  <r>
    <d v="2018-12-20T00:00:00"/>
    <s v="001-00014358"/>
    <n v="1397.3670416999998"/>
    <n v="0"/>
    <n v="0"/>
    <n v="0"/>
    <n v="0"/>
    <n v="175.5"/>
    <n v="185.9325"/>
    <n v="0"/>
    <n v="361.4325"/>
    <n v="1035.9345417"/>
    <n v="0.74134748479519696"/>
    <x v="1"/>
    <s v="MEDIANO"/>
    <x v="9"/>
    <x v="1"/>
    <n v="10"/>
    <n v="1"/>
    <d v="2018-12-10T00:00:00"/>
    <s v="KIA"/>
    <s v="CERATO"/>
    <n v="0"/>
    <d v="2018-12-10T00:00:00"/>
    <n v="12"/>
    <x v="1"/>
  </r>
  <r>
    <d v="2018-12-21T00:00:00"/>
    <s v="001-00014359"/>
    <n v="1240.2529629000003"/>
    <n v="0"/>
    <n v="0"/>
    <n v="9.5"/>
    <n v="0"/>
    <n v="73.125"/>
    <n v="247.91"/>
    <n v="0"/>
    <n v="330.53499999999997"/>
    <n v="909.71796290000032"/>
    <n v="0.73349388399997684"/>
    <x v="1"/>
    <s v="LEVE"/>
    <x v="9"/>
    <x v="1"/>
    <n v="11"/>
    <n v="1"/>
    <d v="2018-12-10T00:00:00"/>
    <s v="MITSUBISHI"/>
    <s v="ASX"/>
    <n v="3261.5374999999999"/>
    <d v="2018-12-11T00:00:00"/>
    <n v="5"/>
    <x v="1"/>
  </r>
  <r>
    <d v="2018-12-29T00:00:00"/>
    <s v="001-00014360"/>
    <n v="922.55164010457952"/>
    <n v="0.84749995000000011"/>
    <n v="0"/>
    <n v="55.084745762711869"/>
    <n v="0"/>
    <n v="117"/>
    <n v="77.471874999999997"/>
    <n v="0"/>
    <n v="250.40412071271186"/>
    <n v="672.14751939186772"/>
    <n v="0.72857441271870027"/>
    <x v="1"/>
    <s v="MEDIANO"/>
    <x v="9"/>
    <x v="1"/>
    <n v="19"/>
    <n v="1"/>
    <d v="2018-12-10T00:00:00"/>
    <s v="KIA"/>
    <s v="SORENTO"/>
    <n v="740.93499999999995"/>
    <d v="2018-12-11T00:00:00"/>
    <n v="8"/>
    <x v="1"/>
  </r>
  <r>
    <d v="2018-12-19T00:00:00"/>
    <s v="001-00014362"/>
    <n v="2268.5880000000002"/>
    <n v="0"/>
    <n v="0"/>
    <n v="0"/>
    <n v="0"/>
    <n v="117"/>
    <n v="433.84250000000003"/>
    <n v="0"/>
    <n v="550.84249999999997"/>
    <n v="1717.7455000000002"/>
    <n v="0.75718706966624172"/>
    <x v="1"/>
    <s v="MEDIANO"/>
    <x v="9"/>
    <x v="1"/>
    <n v="9"/>
    <n v="1"/>
    <d v="2018-12-10T00:00:00"/>
    <s v="MITSUBISHI"/>
    <s v="LANCER"/>
    <n v="0"/>
    <d v="2018-12-11T00:00:00"/>
    <n v="8"/>
    <x v="1331"/>
  </r>
  <r>
    <d v="2018-12-21T00:00:00"/>
    <s v="001-00014363"/>
    <n v="486.62710200000004"/>
    <n v="144.43150145000001"/>
    <n v="0"/>
    <n v="0"/>
    <n v="39.048749999999998"/>
    <n v="0"/>
    <n v="0"/>
    <n v="0"/>
    <n v="183.48025145000003"/>
    <n v="303.14685055000001"/>
    <n v="0.62295513197701013"/>
    <x v="0"/>
    <s v="MECANICA"/>
    <x v="9"/>
    <x v="1"/>
    <n v="11"/>
    <n v="1"/>
    <d v="2018-12-10T00:00:00"/>
    <s v="MITSUBISHI"/>
    <s v="ASX"/>
    <n v="0"/>
    <d v="2018-12-10T00:00:00"/>
    <n v="0"/>
    <x v="654"/>
  </r>
  <r>
    <d v="2018-12-22T00:00:00"/>
    <s v="001-00014364"/>
    <n v="949.48860359999981"/>
    <n v="0"/>
    <n v="0"/>
    <n v="55.084745762711869"/>
    <n v="0"/>
    <n v="58.5"/>
    <n v="139.449375"/>
    <n v="0"/>
    <n v="253.03412076271186"/>
    <n v="696.45448283728797"/>
    <n v="0.73350483638947395"/>
    <x v="1"/>
    <s v="LEVE"/>
    <x v="9"/>
    <x v="1"/>
    <n v="12"/>
    <n v="1"/>
    <d v="2018-12-10T00:00:00"/>
    <s v="KIA"/>
    <s v="CERATO"/>
    <n v="2364.0500000000002"/>
    <d v="2018-12-11T00:00:00"/>
    <n v="4"/>
    <x v="1"/>
  </r>
  <r>
    <d v="2018-12-18T00:00:00"/>
    <s v="001-00014365"/>
    <n v="795.76328362458003"/>
    <n v="0"/>
    <n v="0"/>
    <n v="18.5"/>
    <n v="0"/>
    <n v="43.875"/>
    <n v="139.449375"/>
    <n v="0"/>
    <n v="201.824375"/>
    <n v="593.93890862457999"/>
    <n v="0.74637636700109999"/>
    <x v="1"/>
    <s v="LEVE"/>
    <x v="9"/>
    <x v="1"/>
    <n v="8"/>
    <n v="1"/>
    <d v="2018-12-10T00:00:00"/>
    <s v="TOYOTA"/>
    <s v="COROLLA"/>
    <n v="2801.24"/>
    <d v="2018-12-11T00:00:00"/>
    <n v="3"/>
    <x v="1"/>
  </r>
  <r>
    <d v="2018-12-29T00:00:00"/>
    <s v="001-00014366"/>
    <n v="2134.2542039999998"/>
    <n v="286.18520090000004"/>
    <n v="0"/>
    <n v="305.08"/>
    <n v="0"/>
    <n v="21.9375"/>
    <n v="61.977499999999999"/>
    <n v="0"/>
    <n v="675.18020090000005"/>
    <n v="1459.0740030999998"/>
    <n v="0.68364583767267106"/>
    <x v="0"/>
    <s v="LEVE"/>
    <x v="9"/>
    <x v="1"/>
    <n v="19"/>
    <n v="1"/>
    <d v="2018-12-10T00:00:00"/>
    <s v="KIA"/>
    <s v="SORENTO"/>
    <n v="137.86500000000001"/>
    <d v="2018-12-10T00:00:00"/>
    <n v="1.5"/>
    <x v="794"/>
  </r>
  <r>
    <d v="2018-12-10T00:00:00"/>
    <s v="001-00014367"/>
    <n v="449"/>
    <n v="126.0020038"/>
    <n v="0"/>
    <n v="0"/>
    <n v="39.048749999999998"/>
    <n v="0"/>
    <n v="0"/>
    <n v="0"/>
    <n v="165.0507538"/>
    <n v="283.9492462"/>
    <n v="0.63240366636971046"/>
    <x v="0"/>
    <s v="MECANICA"/>
    <x v="9"/>
    <x v="1"/>
    <n v="0"/>
    <n v="1"/>
    <d v="2018-12-10T00:00:00"/>
    <s v="RENAULT"/>
    <s v="LOGAN"/>
    <n v="0"/>
    <d v="2018-12-10T00:00:00"/>
    <n v="0"/>
    <x v="1332"/>
  </r>
  <r>
    <d v="2018-12-11T00:00:00"/>
    <s v="001-00014368"/>
    <n v="569"/>
    <n v="159.96200014999999"/>
    <n v="0"/>
    <n v="0"/>
    <n v="39.048749999999998"/>
    <n v="0"/>
    <n v="0"/>
    <n v="0"/>
    <n v="199.01075014999998"/>
    <n v="369.98924985000002"/>
    <n v="0.6502447273286468"/>
    <x v="0"/>
    <s v="MECANICA"/>
    <x v="9"/>
    <x v="1"/>
    <n v="1"/>
    <n v="1"/>
    <d v="2018-12-10T00:00:00"/>
    <s v="KIA"/>
    <s v="CERATO"/>
    <n v="118.17"/>
    <d v="2018-12-10T00:00:00"/>
    <n v="0"/>
    <x v="1333"/>
  </r>
  <r>
    <d v="2018-12-29T00:00:00"/>
    <s v="001-00014369"/>
    <n v="1775.9899473"/>
    <n v="0"/>
    <n v="0"/>
    <n v="0"/>
    <n v="102.375"/>
    <n v="73.125"/>
    <n v="185.9325"/>
    <n v="0"/>
    <n v="361.4325"/>
    <n v="1414.5574473000001"/>
    <n v="0.79648955752847694"/>
    <x v="1"/>
    <s v="LEVE"/>
    <x v="9"/>
    <x v="1"/>
    <n v="19"/>
    <n v="1"/>
    <d v="2018-12-10T00:00:00"/>
    <s v="KIA"/>
    <s v="RIO"/>
    <n v="1081.5025000000001"/>
    <d v="2018-12-11T00:00:00"/>
    <n v="5"/>
    <x v="1"/>
  </r>
  <r>
    <d v="2018-12-28T00:00:00"/>
    <s v="001-00014370"/>
    <n v="2033.0673202556102"/>
    <n v="0"/>
    <n v="0"/>
    <n v="0"/>
    <n v="0"/>
    <n v="175.5"/>
    <n v="433.84250000000003"/>
    <n v="0"/>
    <n v="609.34249999999997"/>
    <n v="1423.7248202556102"/>
    <n v="0.70028414999883548"/>
    <x v="0"/>
    <s v="MEDIANO"/>
    <x v="9"/>
    <x v="1"/>
    <n v="18"/>
    <n v="1"/>
    <d v="2018-12-10T00:00:00"/>
    <s v="BMW"/>
    <s v="316I"/>
    <n v="0"/>
    <d v="2018-12-10T00:00:00"/>
    <n v="12"/>
    <x v="1334"/>
  </r>
  <r>
    <d v="2018-12-10T00:00:00"/>
    <s v="001-00014371"/>
    <n v="449"/>
    <n v="0"/>
    <n v="0"/>
    <n v="0"/>
    <n v="39.048749999999998"/>
    <n v="0"/>
    <n v="0"/>
    <n v="0"/>
    <n v="39.048749999999998"/>
    <n v="409.95125000000002"/>
    <n v="0.91303173719376396"/>
    <x v="0"/>
    <s v="MECANICA"/>
    <x v="9"/>
    <x v="1"/>
    <n v="0"/>
    <n v="1"/>
    <d v="2018-12-10T00:00:00"/>
    <s v="NISSAN"/>
    <s v="QASHQAI"/>
    <n v="0"/>
    <d v="2018-12-10T00:00:00"/>
    <n v="0"/>
    <x v="805"/>
  </r>
  <r>
    <d v="2018-12-22T00:00:00"/>
    <s v="001-00014372"/>
    <n v="748.0086035999999"/>
    <n v="0"/>
    <n v="0"/>
    <n v="0"/>
    <n v="0"/>
    <n v="58.5"/>
    <n v="139.449375"/>
    <n v="0"/>
    <n v="197.949375"/>
    <n v="550.05922859999987"/>
    <n v="0.73536484199872365"/>
    <x v="1"/>
    <s v="LEVE"/>
    <x v="9"/>
    <x v="1"/>
    <n v="12"/>
    <n v="1"/>
    <d v="2018-12-10T00:00:00"/>
    <s v="TOYOTA"/>
    <s v="RAV4"/>
    <n v="4056.4874999999997"/>
    <d v="2018-12-11T00:00:00"/>
    <n v="4"/>
    <x v="1"/>
  </r>
  <r>
    <d v="2018-12-20T00:00:00"/>
    <s v="001-00014373"/>
    <n v="340.12651015"/>
    <n v="0"/>
    <n v="0"/>
    <n v="0"/>
    <n v="0"/>
    <n v="102.375"/>
    <n v="0"/>
    <n v="0"/>
    <n v="102.375"/>
    <n v="237.75151015"/>
    <n v="0.69900905414620174"/>
    <x v="0"/>
    <s v="MEDIANO"/>
    <x v="9"/>
    <x v="1"/>
    <n v="10"/>
    <n v="1"/>
    <d v="2018-12-10T00:00:00"/>
    <s v="KIA"/>
    <s v="RIO"/>
    <n v="0"/>
    <d v="2018-12-10T00:00:00"/>
    <n v="7"/>
    <x v="1335"/>
  </r>
  <r>
    <d v="2018-12-21T00:00:00"/>
    <s v="001-00014374"/>
    <n v="1195.1224642500001"/>
    <n v="1.0172000000000001"/>
    <n v="0"/>
    <n v="0"/>
    <n v="0"/>
    <n v="146.25"/>
    <n v="154.94374999999999"/>
    <n v="0"/>
    <n v="302.21095000000003"/>
    <n v="892.9115142500001"/>
    <n v="0.74712972181503368"/>
    <x v="1"/>
    <s v="MEDIANO"/>
    <x v="9"/>
    <x v="1"/>
    <n v="11"/>
    <n v="1"/>
    <d v="2018-12-10T00:00:00"/>
    <s v="KIA"/>
    <s v="PICANTO"/>
    <n v="642.19999999999993"/>
    <d v="2018-12-11T00:00:00"/>
    <n v="10"/>
    <x v="1"/>
  </r>
  <r>
    <d v="2018-12-12T00:00:00"/>
    <s v="001-00014376"/>
    <n v="1304"/>
    <n v="321.60192899999998"/>
    <n v="0"/>
    <n v="38.14"/>
    <n v="97.548749999999998"/>
    <n v="0"/>
    <n v="0"/>
    <n v="0"/>
    <n v="457.29067899999995"/>
    <n v="846.70932100000005"/>
    <n v="0.64931696395705529"/>
    <x v="0"/>
    <s v="MECANICA"/>
    <x v="9"/>
    <x v="1"/>
    <n v="1"/>
    <n v="1"/>
    <d v="2018-12-11T00:00:00"/>
    <s v="MAZDA"/>
    <s v="MAZDA 3"/>
    <n v="477.62"/>
    <d v="2018-12-11T00:00:00"/>
    <n v="0"/>
    <x v="1336"/>
  </r>
  <r>
    <d v="2018-12-11T00:00:00"/>
    <s v="001-00014377"/>
    <n v="669"/>
    <n v="227.45780450000001"/>
    <n v="0"/>
    <n v="0"/>
    <n v="53.673749999999998"/>
    <n v="0"/>
    <n v="0"/>
    <n v="0"/>
    <n v="281.13155449999999"/>
    <n v="387.86844550000001"/>
    <n v="0.5797734611360239"/>
    <x v="0"/>
    <s v="MECANICA"/>
    <x v="9"/>
    <x v="1"/>
    <n v="1"/>
    <n v="1"/>
    <d v="2018-12-10T00:00:00"/>
    <s v="TOYOTA"/>
    <s v="FORTUNER"/>
    <n v="118.17"/>
    <d v="2018-12-11T00:00:00"/>
    <n v="0"/>
    <x v="1337"/>
  </r>
  <r>
    <d v="2018-12-20T00:00:00"/>
    <s v="001-00014378"/>
    <n v="1517.1793694754201"/>
    <n v="0.84749995000000011"/>
    <n v="0"/>
    <n v="86.27"/>
    <n v="0"/>
    <n v="204.75"/>
    <n v="139.449375"/>
    <n v="0"/>
    <n v="431.31687495000006"/>
    <n v="1085.8624945254201"/>
    <n v="0.71571134987214324"/>
    <x v="1"/>
    <s v="MEDIANO"/>
    <x v="9"/>
    <x v="1"/>
    <n v="9"/>
    <n v="1"/>
    <d v="2018-12-11T00:00:00"/>
    <s v="KIA"/>
    <s v="SPORTAGE"/>
    <n v="2208.2125000000001"/>
    <d v="2018-12-11T00:00:00"/>
    <n v="14"/>
    <x v="1"/>
  </r>
  <r>
    <d v="2018-12-18T00:00:00"/>
    <s v="001-00014379"/>
    <n v="749.72797760000003"/>
    <n v="0"/>
    <n v="0"/>
    <n v="0"/>
    <n v="0"/>
    <n v="117"/>
    <n v="61.977499999999999"/>
    <n v="0"/>
    <n v="178.97749999999999"/>
    <n v="570.75047760000007"/>
    <n v="0.76127674923785593"/>
    <x v="1"/>
    <s v="MEDIANO"/>
    <x v="9"/>
    <x v="1"/>
    <n v="7"/>
    <n v="1"/>
    <d v="2018-12-11T00:00:00"/>
    <s v="NISSAN"/>
    <s v="X-TRAIL"/>
    <n v="0"/>
    <d v="2018-12-11T00:00:00"/>
    <n v="8"/>
    <x v="1"/>
  </r>
  <r>
    <d v="2018-12-12T00:00:00"/>
    <s v="001-00014381"/>
    <n v="349"/>
    <n v="73.25140110000001"/>
    <n v="0"/>
    <n v="0"/>
    <n v="39.048749999999998"/>
    <n v="0"/>
    <n v="0"/>
    <n v="0"/>
    <n v="112.30015110000001"/>
    <n v="236.69984890000001"/>
    <n v="0.67822306275071631"/>
    <x v="0"/>
    <s v="MECANICA"/>
    <x v="9"/>
    <x v="1"/>
    <n v="1"/>
    <n v="1"/>
    <d v="2018-12-11T00:00:00"/>
    <s v="HYUNDAI"/>
    <s v="I10"/>
    <n v="0"/>
    <d v="2018-12-11T00:00:00"/>
    <n v="0"/>
    <x v="96"/>
  </r>
  <r>
    <d v="2018-12-20T00:00:00"/>
    <s v="001-00014382"/>
    <n v="814.29302429999984"/>
    <n v="0"/>
    <n v="0"/>
    <n v="0"/>
    <n v="0"/>
    <n v="43.875"/>
    <n v="123.955"/>
    <n v="0"/>
    <n v="167.82999999999998"/>
    <n v="646.46302429999992"/>
    <n v="0.79389483270561778"/>
    <x v="1"/>
    <s v="LEVE"/>
    <x v="9"/>
    <x v="1"/>
    <n v="9"/>
    <n v="1"/>
    <d v="2018-12-11T00:00:00"/>
    <s v="SUZUKI"/>
    <s v="VITARA"/>
    <n v="4050.41"/>
    <d v="2018-12-11T00:00:00"/>
    <n v="3"/>
    <x v="1338"/>
  </r>
  <r>
    <d v="2018-12-13T00:00:00"/>
    <s v="001-00014383"/>
    <n v="1980"/>
    <n v="823.26033624999991"/>
    <n v="0"/>
    <n v="0"/>
    <n v="97.548749999999998"/>
    <n v="0"/>
    <n v="0"/>
    <n v="0"/>
    <n v="920.80908624999995"/>
    <n v="1059.1909137500002"/>
    <n v="0.53494490593434352"/>
    <x v="0"/>
    <s v="MECANICA"/>
    <x v="9"/>
    <x v="1"/>
    <n v="2"/>
    <n v="1"/>
    <d v="2018-12-11T00:00:00"/>
    <s v="TOYOTA"/>
    <s v="RAV4"/>
    <n v="1256.645"/>
    <d v="2018-12-11T00:00:00"/>
    <n v="0"/>
    <x v="906"/>
  </r>
  <r>
    <d v="2018-12-21T00:00:00"/>
    <s v="001-00014384"/>
    <n v="1556.1664534500003"/>
    <n v="0"/>
    <n v="0"/>
    <n v="15"/>
    <n v="0"/>
    <n v="102.375"/>
    <n v="278.89875000000001"/>
    <n v="0"/>
    <n v="396.27375000000001"/>
    <n v="1159.8927034500002"/>
    <n v="0.74535259443392676"/>
    <x v="1"/>
    <s v="MEDIANO"/>
    <x v="9"/>
    <x v="1"/>
    <n v="10"/>
    <n v="1"/>
    <d v="2018-12-11T00:00:00"/>
    <s v="DAIHATSU"/>
    <s v="TERIORS"/>
    <n v="1355.12"/>
    <d v="2018-12-12T00:00:00"/>
    <n v="7"/>
    <x v="1"/>
  </r>
  <r>
    <d v="2018-12-27T00:00:00"/>
    <s v="001-00014385"/>
    <n v="1299.6058997999999"/>
    <n v="0.84739999999999993"/>
    <n v="0"/>
    <n v="13"/>
    <n v="0"/>
    <n v="87.75"/>
    <n v="263.40437500000002"/>
    <n v="0"/>
    <n v="365.00177500000001"/>
    <n v="934.60412479999991"/>
    <n v="0.71914426130554565"/>
    <x v="1"/>
    <s v="LEVE"/>
    <x v="9"/>
    <x v="1"/>
    <n v="16"/>
    <n v="1"/>
    <d v="2018-12-11T00:00:00"/>
    <s v="MAZDA"/>
    <s v="CX-3"/>
    <n v="6067.9124999999995"/>
    <d v="2018-12-12T00:00:00"/>
    <n v="6"/>
    <x v="1339"/>
  </r>
  <r>
    <d v="2018-12-29T00:00:00"/>
    <s v="001-00014388"/>
    <n v="550.16663767457999"/>
    <n v="0"/>
    <n v="0"/>
    <n v="0"/>
    <n v="0"/>
    <n v="29.25"/>
    <n v="108.46062500000001"/>
    <n v="0"/>
    <n v="137.71062499999999"/>
    <n v="412.45601267457999"/>
    <n v="0.74969288290168012"/>
    <x v="1"/>
    <s v="LEVE"/>
    <x v="9"/>
    <x v="1"/>
    <n v="18"/>
    <n v="1"/>
    <d v="2018-12-11T00:00:00"/>
    <s v="HYUNDAI"/>
    <s v="SANTA FE"/>
    <n v="1281.2150000000001"/>
    <d v="2018-12-12T00:00:00"/>
    <n v="2"/>
    <x v="1"/>
  </r>
  <r>
    <d v="2018-12-19T00:00:00"/>
    <s v="001-00014389"/>
    <n v="845.71555319999993"/>
    <n v="0.84739999999999993"/>
    <n v="0"/>
    <n v="0"/>
    <n v="0"/>
    <n v="58.5"/>
    <n v="139.449375"/>
    <n v="0"/>
    <n v="198.796775"/>
    <n v="646.91877819999991"/>
    <n v="0.7649365980703593"/>
    <x v="1"/>
    <s v="LEVE"/>
    <x v="9"/>
    <x v="1"/>
    <n v="8"/>
    <n v="1"/>
    <d v="2018-12-11T00:00:00"/>
    <s v="KIA"/>
    <s v="SPORTAGE"/>
    <n v="2204.4749999999999"/>
    <d v="2018-12-12T00:00:00"/>
    <n v="4"/>
    <x v="1"/>
  </r>
  <r>
    <d v="2018-12-22T00:00:00"/>
    <s v="001-00014390"/>
    <n v="1616.0516035999999"/>
    <n v="0"/>
    <n v="0"/>
    <n v="76.27"/>
    <n v="0"/>
    <n v="117"/>
    <n v="232.41562500000001"/>
    <n v="0"/>
    <n v="425.68562499999996"/>
    <n v="1190.3659785999998"/>
    <n v="0.73658908907876408"/>
    <x v="1"/>
    <s v="MEDIANO"/>
    <x v="9"/>
    <x v="1"/>
    <n v="11"/>
    <n v="1"/>
    <d v="2018-12-11T00:00:00"/>
    <s v="TOYOTA"/>
    <s v="YARIS"/>
    <n v="2088.58"/>
    <d v="2018-12-12T00:00:00"/>
    <n v="8"/>
    <x v="1"/>
  </r>
  <r>
    <d v="2018-12-27T00:00:00"/>
    <s v="001-00014394"/>
    <n v="505.35"/>
    <n v="0"/>
    <n v="0"/>
    <n v="0"/>
    <n v="0"/>
    <n v="219.375"/>
    <n v="272.70100000000002"/>
    <n v="0"/>
    <n v="492.07600000000002"/>
    <n v="13.274000000000001"/>
    <n v="2.6266943702384488E-2"/>
    <x v="1"/>
    <s v="MEDIANO"/>
    <x v="9"/>
    <x v="1"/>
    <n v="16"/>
    <n v="1"/>
    <d v="2018-12-11T00:00:00"/>
    <s v="HYUNDAI"/>
    <s v="ACCENT"/>
    <n v="0"/>
    <s v="F/Fecha"/>
    <n v="0"/>
    <x v="777"/>
  </r>
  <r>
    <d v="2018-12-29T00:00:00"/>
    <s v="001-00014395"/>
    <n v="2731.3849189500002"/>
    <n v="0"/>
    <n v="0"/>
    <n v="76.27"/>
    <n v="0"/>
    <n v="292.5"/>
    <n v="278.89875000000001"/>
    <n v="0"/>
    <n v="647.66875000000005"/>
    <n v="2083.7161689499999"/>
    <n v="0.76287899024902817"/>
    <x v="1"/>
    <s v="MEDIANO"/>
    <x v="9"/>
    <x v="1"/>
    <n v="18"/>
    <n v="1"/>
    <d v="2018-12-11T00:00:00"/>
    <s v="FORD"/>
    <s v="ECOSPORT"/>
    <n v="65.8125"/>
    <d v="2018-12-12T00:00:00"/>
    <n v="20"/>
    <x v="1"/>
  </r>
  <r>
    <d v="2018-12-14T00:00:00"/>
    <s v="001-00014398"/>
    <n v="1513.7373400000001"/>
    <n v="804.18419999999992"/>
    <n v="0"/>
    <n v="76.27"/>
    <n v="58.5"/>
    <n v="0"/>
    <n v="0"/>
    <n v="0"/>
    <n v="938.9541999999999"/>
    <n v="574.78314000000023"/>
    <n v="0.37971127804774912"/>
    <x v="0"/>
    <s v="MECANICA"/>
    <x v="9"/>
    <x v="1"/>
    <n v="2"/>
    <n v="1"/>
    <d v="2018-12-12T00:00:00"/>
    <s v="CHEVROLET"/>
    <s v="CRUZE"/>
    <n v="1126.3525"/>
    <d v="2018-12-12T00:00:00"/>
    <n v="0"/>
    <x v="1313"/>
  </r>
  <r>
    <d v="2018-12-12T00:00:00"/>
    <s v="001-00014399"/>
    <n v="449"/>
    <n v="136.52889999999999"/>
    <n v="0"/>
    <n v="0"/>
    <n v="39.048749999999998"/>
    <n v="0"/>
    <n v="0"/>
    <n v="0"/>
    <n v="175.57765000000001"/>
    <n v="273.42234999999999"/>
    <n v="0.60895846325167036"/>
    <x v="0"/>
    <s v="MECANICA"/>
    <x v="9"/>
    <x v="1"/>
    <n v="0"/>
    <n v="1"/>
    <d v="2018-12-12T00:00:00"/>
    <s v="VW"/>
    <s v="GOL"/>
    <n v="0"/>
    <d v="2018-12-12T00:00:00"/>
    <n v="0"/>
    <x v="1142"/>
  </r>
  <r>
    <d v="2018-12-22T00:00:00"/>
    <s v="001-00014402"/>
    <n v="1169.9214914000001"/>
    <n v="0"/>
    <n v="0"/>
    <n v="76.27"/>
    <n v="0"/>
    <n v="58.5"/>
    <n v="123.955"/>
    <n v="0"/>
    <n v="258.72499999999997"/>
    <n v="911.19649140000024"/>
    <n v="0.77885268208006542"/>
    <x v="1"/>
    <s v="LEVE"/>
    <x v="9"/>
    <x v="1"/>
    <n v="10"/>
    <n v="1"/>
    <d v="2018-12-12T00:00:00"/>
    <s v="SUZUKI"/>
    <s v="ERTIGA"/>
    <n v="666.57499999999993"/>
    <d v="2018-12-13T00:00:00"/>
    <n v="4"/>
    <x v="1"/>
  </r>
  <r>
    <d v="2018-12-18T00:00:00"/>
    <s v="001-00014404"/>
    <n v="301.22999100000004"/>
    <n v="0"/>
    <n v="0"/>
    <n v="0"/>
    <n v="0"/>
    <n v="29.25"/>
    <n v="61.977499999999999"/>
    <n v="0"/>
    <n v="91.227499999999992"/>
    <n v="210.00249100000005"/>
    <n v="0.69715000921007242"/>
    <x v="0"/>
    <s v="MEDIANO"/>
    <x v="9"/>
    <x v="1"/>
    <n v="6"/>
    <n v="1"/>
    <d v="2018-12-12T00:00:00"/>
    <s v="NISSAN"/>
    <s v="X-TRAIL"/>
    <n v="0"/>
    <d v="2018-12-12T00:00:00"/>
    <n v="2"/>
    <x v="1340"/>
  </r>
  <r>
    <d v="2018-12-29T00:00:00"/>
    <s v="001-00014405"/>
    <n v="751.50997770000004"/>
    <n v="0"/>
    <n v="0"/>
    <n v="0"/>
    <n v="0"/>
    <n v="73.125"/>
    <n v="123.955"/>
    <n v="0"/>
    <n v="197.07999999999998"/>
    <n v="554.42997770000011"/>
    <n v="0.7377546461815927"/>
    <x v="1"/>
    <s v="MEDIANO"/>
    <x v="9"/>
    <x v="1"/>
    <n v="17"/>
    <n v="1"/>
    <d v="2018-12-12T00:00:00"/>
    <s v="KIA"/>
    <s v="SORENTO"/>
    <n v="308.55500000000001"/>
    <d v="2018-12-11T00:00:00"/>
    <n v="5"/>
    <x v="1"/>
  </r>
  <r>
    <d v="2018-12-12T00:00:00"/>
    <s v="001-00014406"/>
    <n v="29.660999000000007"/>
    <n v="19.556800800000001"/>
    <n v="0"/>
    <n v="0"/>
    <n v="0"/>
    <n v="0"/>
    <n v="0"/>
    <n v="0"/>
    <n v="19.556800800000001"/>
    <n v="10.104198200000006"/>
    <n v="0.34065603117413557"/>
    <x v="0"/>
    <s v="MECANICA"/>
    <x v="9"/>
    <x v="1"/>
    <n v="0"/>
    <n v="1"/>
    <d v="2018-12-12T00:00:00"/>
    <s v="CHEVROLET"/>
    <s v="SONIC"/>
    <n v="29.185000000000002"/>
    <d v="2018-12-12T00:00:00"/>
    <n v="0"/>
    <x v="417"/>
  </r>
  <r>
    <d v="2018-12-14T00:00:00"/>
    <s v="001-00014407"/>
    <n v="16.949200000000001"/>
    <n v="0"/>
    <n v="0"/>
    <n v="16.95"/>
    <n v="0"/>
    <n v="0"/>
    <n v="0"/>
    <n v="0"/>
    <n v="16.95"/>
    <n v="-7.9999999999813554E-4"/>
    <n v="-4.7199867840260043E-5"/>
    <x v="0"/>
    <s v="MECANICA"/>
    <x v="9"/>
    <x v="1"/>
    <n v="2"/>
    <n v="1"/>
    <d v="2018-12-12T00:00:00"/>
    <s v="HYUNDAI"/>
    <s v="ELANTRA"/>
    <n v="0"/>
    <s v="F/Fecha"/>
    <n v="0"/>
    <x v="1341"/>
  </r>
  <r>
    <d v="2018-12-24T00:00:00"/>
    <s v="001-00014408"/>
    <n v="967.10400000000004"/>
    <n v="0"/>
    <n v="0"/>
    <n v="91.27"/>
    <n v="0"/>
    <n v="58.5"/>
    <n v="123.955"/>
    <n v="0"/>
    <n v="273.72499999999997"/>
    <n v="693.37900000000013"/>
    <n v="0.71696425617100135"/>
    <x v="1"/>
    <s v="LEVE"/>
    <x v="9"/>
    <x v="1"/>
    <n v="12"/>
    <n v="1"/>
    <d v="2018-12-12T00:00:00"/>
    <s v="HYUNDAI"/>
    <s v="SANTA FE"/>
    <n v="3900.4550000000004"/>
    <d v="2018-12-13T00:00:00"/>
    <n v="4"/>
    <x v="1342"/>
  </r>
  <r>
    <d v="2018-12-13T00:00:00"/>
    <s v="001-00014410"/>
    <n v="100"/>
    <n v="0"/>
    <n v="0"/>
    <n v="0"/>
    <n v="39.048749999999998"/>
    <n v="0"/>
    <n v="0"/>
    <n v="0"/>
    <n v="39.048749999999998"/>
    <n v="60.951250000000002"/>
    <n v="0.60951250000000001"/>
    <x v="0"/>
    <s v="MECANICA"/>
    <x v="9"/>
    <x v="1"/>
    <n v="0"/>
    <n v="1"/>
    <d v="2018-12-13T00:00:00"/>
    <s v="HYUNDAI"/>
    <s v="ACCENT"/>
    <n v="0"/>
    <d v="2018-12-13T00:00:00"/>
    <n v="0"/>
    <x v="195"/>
  </r>
  <r>
    <d v="2018-12-14T00:00:00"/>
    <s v="001-00014411"/>
    <n v="1549"/>
    <n v="285.23210310000002"/>
    <n v="0"/>
    <n v="0"/>
    <n v="68.298749999999998"/>
    <n v="0"/>
    <n v="0"/>
    <n v="0"/>
    <n v="353.5308531"/>
    <n v="1195.4691468999999"/>
    <n v="0.77176833240800513"/>
    <x v="0"/>
    <s v="MECANICA"/>
    <x v="9"/>
    <x v="1"/>
    <n v="1"/>
    <n v="1"/>
    <d v="2018-12-13T00:00:00"/>
    <s v="HYUNDAI"/>
    <s v="H100"/>
    <n v="650"/>
    <d v="2018-12-13T00:00:00"/>
    <n v="0"/>
    <x v="1343"/>
  </r>
  <r>
    <d v="2018-12-13T00:00:00"/>
    <s v="001-00014414"/>
    <n v="1609"/>
    <n v="460.45751002000003"/>
    <n v="0"/>
    <n v="0"/>
    <n v="43.875"/>
    <n v="73.125"/>
    <n v="0"/>
    <n v="0"/>
    <n v="577.45751001999997"/>
    <n v="1031.54248998"/>
    <n v="0.64110782472343075"/>
    <x v="0"/>
    <s v="LEVE"/>
    <x v="9"/>
    <x v="1"/>
    <n v="0"/>
    <n v="1"/>
    <d v="2018-12-13T00:00:00"/>
    <s v="NISSAN"/>
    <s v="FRONTIER"/>
    <n v="551.49249999999995"/>
    <d v="2018-12-13T00:00:00"/>
    <n v="5"/>
    <x v="1344"/>
  </r>
  <r>
    <d v="2018-12-24T00:00:00"/>
    <s v="001-00014415"/>
    <n v="273.67700000000002"/>
    <n v="0"/>
    <n v="0"/>
    <n v="22.5"/>
    <n v="0"/>
    <n v="21.9375"/>
    <n v="61.977499999999999"/>
    <n v="0"/>
    <n v="106.41499999999999"/>
    <n v="167.26200000000003"/>
    <n v="0.61116571725062763"/>
    <x v="1"/>
    <s v="LEVE"/>
    <x v="9"/>
    <x v="1"/>
    <n v="11"/>
    <n v="1"/>
    <d v="2018-12-13T00:00:00"/>
    <s v="NISSAN"/>
    <s v="NP300"/>
    <n v="674.14750000000004"/>
    <d v="2018-12-11T00:00:00"/>
    <n v="1.5"/>
    <x v="1"/>
  </r>
  <r>
    <d v="2018-12-14T00:00:00"/>
    <s v="001-00014419"/>
    <n v="449"/>
    <n v="102.03100319999999"/>
    <n v="0"/>
    <n v="0"/>
    <n v="39.048749999999998"/>
    <n v="0"/>
    <n v="0"/>
    <n v="0"/>
    <n v="141.07975319999997"/>
    <n v="307.92024680000003"/>
    <n v="0.68579119554565704"/>
    <x v="0"/>
    <s v="MECANICA"/>
    <x v="9"/>
    <x v="1"/>
    <n v="0"/>
    <n v="1"/>
    <d v="2018-12-14T00:00:00"/>
    <s v="KIA"/>
    <s v="CARENS"/>
    <n v="0"/>
    <d v="2018-12-14T00:00:00"/>
    <n v="0"/>
    <x v="884"/>
  </r>
  <r>
    <d v="2018-12-14T00:00:00"/>
    <s v="001-00014422"/>
    <n v="404.10169999999999"/>
    <n v="99.844001150000011"/>
    <n v="0"/>
    <n v="12"/>
    <n v="39.048749999999998"/>
    <n v="0"/>
    <n v="0"/>
    <n v="0"/>
    <n v="150.89275115000001"/>
    <n v="253.20894884999998"/>
    <n v="0.62659708892588173"/>
    <x v="0"/>
    <s v="MECANICA"/>
    <x v="9"/>
    <x v="1"/>
    <n v="0"/>
    <n v="1"/>
    <d v="2018-12-14T00:00:00"/>
    <s v="HYUNDAI"/>
    <s v="TUCSON"/>
    <n v="0"/>
    <d v="2018-12-14T00:00:00"/>
    <n v="0"/>
    <x v="4"/>
  </r>
  <r>
    <d v="2018-12-18T00:00:00"/>
    <s v="001-00014423"/>
    <n v="2550"/>
    <n v="1584.76"/>
    <n v="0"/>
    <n v="0"/>
    <n v="126.79875"/>
    <n v="0"/>
    <n v="0"/>
    <n v="0"/>
    <n v="1711.5587499999999"/>
    <n v="838.44125000000008"/>
    <n v="0.32880049019607849"/>
    <x v="0"/>
    <s v="MECANICA"/>
    <x v="9"/>
    <x v="1"/>
    <n v="4"/>
    <n v="1"/>
    <d v="2018-12-14T00:00:00"/>
    <s v="KIA"/>
    <s v="SPORTAGE"/>
    <n v="2215.8824999999997"/>
    <d v="2018-12-14T00:00:00"/>
    <n v="0"/>
    <x v="1345"/>
  </r>
  <r>
    <d v="2018-12-15T00:00:00"/>
    <s v="001-00014427"/>
    <n v="349"/>
    <n v="73.25140110000001"/>
    <n v="0"/>
    <n v="0"/>
    <n v="39.048749999999998"/>
    <n v="0"/>
    <n v="0"/>
    <n v="0"/>
    <n v="112.30015110000001"/>
    <n v="236.69984890000001"/>
    <n v="0.67822306275071631"/>
    <x v="0"/>
    <s v="MECANICA"/>
    <x v="9"/>
    <x v="1"/>
    <n v="0"/>
    <n v="1"/>
    <d v="2018-12-15T00:00:00"/>
    <s v="HYUNDAI"/>
    <s v="I10"/>
    <n v="0"/>
    <d v="2018-12-15T00:00:00"/>
    <n v="0"/>
    <x v="239"/>
  </r>
  <r>
    <d v="2018-12-22T00:00:00"/>
    <s v="001-00014429"/>
    <n v="1595.9036371799998"/>
    <n v="0"/>
    <n v="0"/>
    <n v="0"/>
    <n v="0"/>
    <n v="87.75"/>
    <n v="294.393125"/>
    <n v="0"/>
    <n v="382.143125"/>
    <n v="1213.7605121799998"/>
    <n v="0.76054749416120371"/>
    <x v="1"/>
    <s v="LEVE"/>
    <x v="9"/>
    <x v="1"/>
    <n v="7"/>
    <n v="1"/>
    <d v="2018-12-15T00:00:00"/>
    <s v="FORD"/>
    <s v="ECOSPORT"/>
    <n v="1764.8799999999999"/>
    <d v="2018-12-17T00:00:00"/>
    <n v="6"/>
    <x v="1346"/>
  </r>
  <r>
    <d v="2018-12-17T00:00:00"/>
    <s v="001-00014432"/>
    <n v="349"/>
    <n v="82.721002699999985"/>
    <n v="0"/>
    <n v="0"/>
    <n v="39.048749999999998"/>
    <n v="0"/>
    <n v="0"/>
    <n v="0"/>
    <n v="121.76975269999998"/>
    <n v="227.23024730000003"/>
    <n v="0.6510895338108883"/>
    <x v="0"/>
    <s v="MECANICA"/>
    <x v="9"/>
    <x v="1"/>
    <n v="3"/>
    <n v="1"/>
    <d v="2018-12-14T00:00:00"/>
    <s v="NISSAN"/>
    <s v="TIIDA"/>
    <n v="0"/>
    <d v="2018-12-15T00:00:00"/>
    <n v="0"/>
    <x v="1263"/>
  </r>
  <r>
    <d v="2018-12-29T00:00:00"/>
    <s v="001-00014433"/>
    <n v="1101.1616213245798"/>
    <n v="0"/>
    <n v="0"/>
    <n v="0"/>
    <n v="0"/>
    <n v="73.125"/>
    <n v="201.426875"/>
    <n v="0"/>
    <n v="274.551875"/>
    <n v="826.60974632457976"/>
    <n v="0.75067068295592843"/>
    <x v="1"/>
    <s v="LEVE"/>
    <x v="9"/>
    <x v="1"/>
    <n v="14"/>
    <n v="1"/>
    <d v="2018-12-15T00:00:00"/>
    <s v="SUZUKI"/>
    <s v="SX4"/>
    <n v="1568.5474999999999"/>
    <d v="2018-12-17T00:00:00"/>
    <n v="5"/>
    <x v="1"/>
  </r>
  <r>
    <d v="2018-12-21T00:00:00"/>
    <s v="001-00014434"/>
    <n v="283.30520092542008"/>
    <n v="0"/>
    <n v="0"/>
    <n v="0"/>
    <n v="0"/>
    <n v="14.625"/>
    <n v="61.977499999999999"/>
    <n v="0"/>
    <n v="76.602499999999992"/>
    <n v="206.70270092542009"/>
    <n v="0.72961138817862525"/>
    <x v="0"/>
    <s v="LEVE"/>
    <x v="9"/>
    <x v="1"/>
    <n v="6"/>
    <n v="1"/>
    <d v="2018-12-15T00:00:00"/>
    <s v="MITSUBISHI"/>
    <s v="ASX"/>
    <n v="0"/>
    <d v="2018-12-15T00:00:00"/>
    <n v="1"/>
    <x v="654"/>
  </r>
  <r>
    <d v="2018-12-15T00:00:00"/>
    <s v="001-00014435"/>
    <n v="1440.678001"/>
    <n v="2.2030001000000001"/>
    <n v="0"/>
    <n v="0"/>
    <n v="0"/>
    <n v="175.5"/>
    <n v="247.91"/>
    <n v="0"/>
    <n v="425.61300010000002"/>
    <n v="1015.0650009"/>
    <n v="0.70457451296918916"/>
    <x v="0"/>
    <s v="MEDIANO"/>
    <x v="9"/>
    <x v="1"/>
    <n v="0"/>
    <n v="1"/>
    <d v="2018-12-15T00:00:00"/>
    <s v="NISSAN"/>
    <s v="SENTRA"/>
    <n v="0"/>
    <d v="2018-12-15T00:00:00"/>
    <n v="12"/>
    <x v="1347"/>
  </r>
  <r>
    <d v="2018-12-21T00:00:00"/>
    <s v="001-00014436"/>
    <n v="1355.93219"/>
    <n v="0"/>
    <n v="0"/>
    <n v="0"/>
    <n v="0"/>
    <n v="204.75"/>
    <n v="247.91"/>
    <n v="0"/>
    <n v="452.65999999999997"/>
    <n v="903.27219000000002"/>
    <n v="0.66616324670336213"/>
    <x v="0"/>
    <s v="MEDIANO"/>
    <x v="9"/>
    <x v="1"/>
    <n v="6"/>
    <n v="1"/>
    <d v="2018-12-15T00:00:00"/>
    <s v="TOYOTA"/>
    <s v="COROLLA"/>
    <n v="0"/>
    <d v="2018-12-15T00:00:00"/>
    <n v="14"/>
    <x v="823"/>
  </r>
  <r>
    <d v="2018-12-29T00:00:00"/>
    <s v="001-00014437"/>
    <n v="1918.3866307745789"/>
    <n v="0"/>
    <n v="0"/>
    <n v="94.77"/>
    <n v="0"/>
    <n v="102.375"/>
    <n v="356.37062500000002"/>
    <n v="0"/>
    <n v="553.515625"/>
    <n v="1364.8710057745789"/>
    <n v="0.71146815969181909"/>
    <x v="1"/>
    <s v="MEDIANO"/>
    <x v="9"/>
    <x v="1"/>
    <n v="14"/>
    <n v="1"/>
    <d v="2018-12-15T00:00:00"/>
    <s v="MAZDA"/>
    <s v="MAZDA 3"/>
    <n v="6903.4549999999999"/>
    <d v="2018-12-17T00:00:00"/>
    <n v="7"/>
    <x v="1348"/>
  </r>
  <r>
    <d v="2018-12-27T00:00:00"/>
    <s v="001-00014438"/>
    <n v="549.14700000000005"/>
    <n v="0"/>
    <n v="0"/>
    <n v="0"/>
    <n v="0"/>
    <n v="43.875"/>
    <n v="123.955"/>
    <n v="0"/>
    <n v="167.82999999999998"/>
    <n v="381.31700000000006"/>
    <n v="0.69438055748278704"/>
    <x v="1"/>
    <s v="LEVE"/>
    <x v="9"/>
    <x v="1"/>
    <n v="6204"/>
    <n v="1"/>
    <d v="2002-01-01T00:00:00"/>
    <s v="TOYOTA"/>
    <s v="ETIOS"/>
    <n v="1331.8824999999999"/>
    <d v="2018-12-18T00:00:00"/>
    <n v="3"/>
    <x v="1"/>
  </r>
  <r>
    <d v="2018-12-22T00:00:00"/>
    <s v="001-00014440"/>
    <n v="1299.546"/>
    <n v="0"/>
    <n v="0"/>
    <n v="16.95"/>
    <n v="0"/>
    <n v="117"/>
    <n v="185.9325"/>
    <n v="0"/>
    <n v="319.88249999999999"/>
    <n v="979.66350000000011"/>
    <n v="0.75385057550867773"/>
    <x v="1"/>
    <s v="MEDIANO"/>
    <x v="9"/>
    <x v="1"/>
    <n v="5"/>
    <n v="1"/>
    <d v="2018-12-17T00:00:00"/>
    <s v="HYUNDAI"/>
    <s v="ELANTRA"/>
    <n v="0"/>
    <d v="2018-12-10T00:00:00"/>
    <n v="8"/>
    <x v="1"/>
  </r>
  <r>
    <d v="2018-12-22T00:00:00"/>
    <s v="001-00014441"/>
    <n v="635.57620999999995"/>
    <n v="0"/>
    <n v="0"/>
    <n v="0"/>
    <n v="0"/>
    <n v="58.5"/>
    <n v="154.94374999999999"/>
    <n v="0"/>
    <n v="213.44374999999999"/>
    <n v="422.13245999999992"/>
    <n v="0.66417284561358891"/>
    <x v="0"/>
    <s v="LEVE"/>
    <x v="9"/>
    <x v="1"/>
    <n v="5"/>
    <n v="1"/>
    <d v="2018-12-17T00:00:00"/>
    <s v="MAZDA"/>
    <s v="MAZDA 5"/>
    <n v="0"/>
    <d v="2018-12-17T00:00:00"/>
    <n v="4"/>
    <x v="707"/>
  </r>
  <r>
    <d v="2018-12-29T00:00:00"/>
    <s v="001-00014442"/>
    <n v="1471.8616103245799"/>
    <n v="0"/>
    <n v="0"/>
    <n v="76.27"/>
    <n v="0"/>
    <n v="117"/>
    <n v="201.426875"/>
    <n v="0"/>
    <n v="394.69687499999998"/>
    <n v="1077.1647353245799"/>
    <n v="0.73183832485925071"/>
    <x v="1"/>
    <s v="MEDIANO"/>
    <x v="9"/>
    <x v="1"/>
    <n v="12"/>
    <n v="1"/>
    <d v="2018-12-17T00:00:00"/>
    <s v="HYUNDAI"/>
    <s v="ELANTRA"/>
    <n v="2707.38"/>
    <d v="2018-12-18T00:00:00"/>
    <n v="8"/>
    <x v="1"/>
  </r>
  <r>
    <d v="2018-12-29T00:00:00"/>
    <s v="001-00014445"/>
    <n v="254.23730000000003"/>
    <n v="0"/>
    <n v="0"/>
    <n v="16"/>
    <n v="0"/>
    <n v="43.875"/>
    <n v="30.98875"/>
    <n v="0"/>
    <n v="90.863749999999996"/>
    <n v="163.37355000000002"/>
    <n v="0.64260260001187863"/>
    <x v="0"/>
    <s v="LEVE"/>
    <x v="9"/>
    <x v="1"/>
    <n v="12"/>
    <n v="1"/>
    <d v="2018-12-17T00:00:00"/>
    <s v="HYUNDAI"/>
    <s v="ELANTRA"/>
    <n v="0"/>
    <d v="2018-12-17T00:00:00"/>
    <n v="3"/>
    <x v="1349"/>
  </r>
  <r>
    <d v="2018-12-27T00:00:00"/>
    <s v="001-00014448"/>
    <n v="1050.2998998"/>
    <n v="0"/>
    <n v="0"/>
    <n v="0"/>
    <n v="0"/>
    <n v="73.125"/>
    <n v="201.426875"/>
    <n v="0"/>
    <n v="274.551875"/>
    <n v="775.74802480000005"/>
    <n v="0.73859668552545743"/>
    <x v="1"/>
    <s v="MEDIANO"/>
    <x v="9"/>
    <x v="1"/>
    <n v="10"/>
    <n v="1"/>
    <d v="2018-12-17T00:00:00"/>
    <s v="HYUNDAI"/>
    <s v="CRETA"/>
    <n v="3520.4974999999999"/>
    <d v="2018-12-19T00:00:00"/>
    <n v="5"/>
    <x v="1"/>
  </r>
  <r>
    <d v="2018-12-19T00:00:00"/>
    <s v="001-00014451"/>
    <n v="349"/>
    <n v="107.80930189999999"/>
    <n v="0"/>
    <n v="0"/>
    <n v="39.048749999999998"/>
    <n v="0"/>
    <n v="0"/>
    <n v="0"/>
    <n v="146.85805189999999"/>
    <n v="202.14194810000001"/>
    <n v="0.57920328968481383"/>
    <x v="0"/>
    <s v="MECANICA"/>
    <x v="9"/>
    <x v="1"/>
    <n v="1"/>
    <n v="1"/>
    <d v="2018-12-18T00:00:00"/>
    <s v="KIA"/>
    <s v="CERATO"/>
    <n v="0"/>
    <d v="2018-12-18T00:00:00"/>
    <n v="0"/>
    <x v="266"/>
  </r>
  <r>
    <d v="2018-12-18T00:00:00"/>
    <s v="001-00014452"/>
    <n v="609"/>
    <n v="132.90189980000002"/>
    <n v="0"/>
    <n v="0"/>
    <n v="68.298749999999998"/>
    <n v="0"/>
    <n v="0"/>
    <n v="0"/>
    <n v="201.20064980000001"/>
    <n v="407.79935019999999"/>
    <n v="0.6696212646962233"/>
    <x v="0"/>
    <s v="MECANICA"/>
    <x v="9"/>
    <x v="1"/>
    <n v="0"/>
    <n v="1"/>
    <d v="2018-12-18T00:00:00"/>
    <s v="SUZUKI"/>
    <s v="SWIFT"/>
    <n v="0"/>
    <d v="2018-12-18T00:00:00"/>
    <n v="0"/>
    <x v="263"/>
  </r>
  <r>
    <d v="2018-12-31T00:00:00"/>
    <s v="001-00014453"/>
    <n v="1221.6249637499998"/>
    <n v="0"/>
    <n v="0"/>
    <n v="0"/>
    <n v="0"/>
    <n v="102.375"/>
    <n v="154.94374999999999"/>
    <n v="0"/>
    <n v="257.31875000000002"/>
    <n v="964.30621374999976"/>
    <n v="0.78936354639470252"/>
    <x v="1"/>
    <s v="MEDIANO"/>
    <x v="9"/>
    <x v="1"/>
    <n v="13"/>
    <n v="1"/>
    <d v="2018-12-18T00:00:00"/>
    <s v="KIA"/>
    <s v="RIO"/>
    <n v="575.9325"/>
    <d v="2018-12-19T00:00:00"/>
    <n v="7"/>
    <x v="1"/>
  </r>
  <r>
    <d v="2018-12-18T00:00:00"/>
    <s v="001-00014454"/>
    <n v="349"/>
    <n v="111.63340211999999"/>
    <n v="0"/>
    <n v="0"/>
    <n v="39.048749999999998"/>
    <n v="0"/>
    <n v="0"/>
    <n v="0"/>
    <n v="150.68215211999998"/>
    <n v="198.31784788000002"/>
    <n v="0.56824598246418345"/>
    <x v="0"/>
    <s v="MECANICA"/>
    <x v="9"/>
    <x v="1"/>
    <n v="0"/>
    <n v="1"/>
    <d v="2018-12-18T00:00:00"/>
    <s v="KIA"/>
    <s v="RIO"/>
    <n v="0"/>
    <d v="2018-12-18T00:00:00"/>
    <n v="0"/>
    <x v="25"/>
  </r>
  <r>
    <d v="2018-12-18T00:00:00"/>
    <s v="001-00014456"/>
    <n v="2269.1525693133872"/>
    <n v="1812.4800099999998"/>
    <n v="0"/>
    <n v="0"/>
    <n v="29.25"/>
    <n v="0"/>
    <n v="0"/>
    <n v="0"/>
    <n v="1841.7300099999998"/>
    <n v="427.42255931338741"/>
    <n v="0.18836219525014986"/>
    <x v="0"/>
    <s v="MECANICA"/>
    <x v="9"/>
    <x v="1"/>
    <n v="0"/>
    <n v="1"/>
    <d v="2018-12-18T00:00:00"/>
    <s v="KIA"/>
    <s v="RIO"/>
    <n v="0"/>
    <d v="2018-12-18T00:00:00"/>
    <n v="0"/>
    <x v="25"/>
  </r>
  <r>
    <d v="2018-12-18T00:00:00"/>
    <s v="001-00014457"/>
    <n v="349"/>
    <n v="115.4457979"/>
    <n v="0"/>
    <n v="0"/>
    <n v="39.048749999999998"/>
    <n v="0"/>
    <n v="0"/>
    <n v="0"/>
    <n v="154.49454789999999"/>
    <n v="194.50545210000001"/>
    <n v="0.55732221232091694"/>
    <x v="0"/>
    <s v="MECANICA"/>
    <x v="9"/>
    <x v="1"/>
    <n v="0"/>
    <n v="1"/>
    <d v="2018-12-18T00:00:00"/>
    <s v="SUZUKI"/>
    <s v="SX4"/>
    <n v="0"/>
    <d v="2018-12-18T00:00:00"/>
    <n v="0"/>
    <x v="350"/>
  </r>
  <r>
    <d v="2018-12-22T00:00:00"/>
    <s v="001-00014459"/>
    <n v="2740"/>
    <n v="905.45660400000008"/>
    <n v="0"/>
    <n v="0"/>
    <n v="117"/>
    <n v="0"/>
    <n v="0"/>
    <n v="0"/>
    <n v="1022.4566040000001"/>
    <n v="1717.543396"/>
    <n v="0.62684065547445256"/>
    <x v="0"/>
    <s v="MECANICA"/>
    <x v="9"/>
    <x v="1"/>
    <n v="4"/>
    <n v="1"/>
    <d v="2018-12-18T00:00:00"/>
    <s v="NISSAN"/>
    <s v="FRONTIER"/>
    <n v="1654.25"/>
    <d v="2018-12-18T00:00:00"/>
    <n v="0"/>
    <x v="157"/>
  </r>
  <r>
    <d v="2018-12-29T00:00:00"/>
    <s v="001-00014460"/>
    <n v="1302.50496135"/>
    <n v="0"/>
    <n v="0"/>
    <n v="10"/>
    <n v="0"/>
    <n v="146.25"/>
    <n v="216.92125000000001"/>
    <n v="0"/>
    <n v="373.17124999999999"/>
    <n v="929.33371135000004"/>
    <n v="0.7134972525454174"/>
    <x v="1"/>
    <s v="MEDIANO"/>
    <x v="9"/>
    <x v="1"/>
    <n v="11"/>
    <n v="1"/>
    <d v="2018-12-18T00:00:00"/>
    <s v="MAZDA"/>
    <s v="MAZDA 3"/>
    <n v="280.27999999999997"/>
    <d v="2018-12-19T00:00:00"/>
    <n v="10"/>
    <x v="1"/>
  </r>
  <r>
    <d v="2018-12-19T00:00:00"/>
    <s v="001-00014465"/>
    <n v="137.88980000000004"/>
    <n v="0"/>
    <n v="0"/>
    <n v="0"/>
    <n v="0"/>
    <n v="0"/>
    <n v="0"/>
    <n v="0"/>
    <n v="0"/>
    <n v="137.88980000000004"/>
    <n v="1"/>
    <x v="0"/>
    <s v="MECANICA"/>
    <x v="9"/>
    <x v="1"/>
    <n v="0"/>
    <n v="1"/>
    <d v="2018-12-19T00:00:00"/>
    <s v="HYUNDAI"/>
    <s v="I30"/>
    <n v="0"/>
    <s v="F/Fecha"/>
    <n v="0"/>
    <x v="1139"/>
  </r>
  <r>
    <d v="2018-12-22T00:00:00"/>
    <s v="001-00014467"/>
    <n v="1448.9770000000001"/>
    <n v="0"/>
    <n v="0"/>
    <n v="15"/>
    <n v="0"/>
    <n v="146.25"/>
    <n v="216.92125000000001"/>
    <n v="0"/>
    <n v="378.17124999999999"/>
    <n v="1070.80575"/>
    <n v="0.73900810709900844"/>
    <x v="1"/>
    <s v="MEDIANO"/>
    <x v="9"/>
    <x v="1"/>
    <n v="3"/>
    <n v="1"/>
    <d v="2018-12-19T00:00:00"/>
    <s v="TOYOTA"/>
    <s v="COROLLA"/>
    <n v="0"/>
    <d v="2018-12-19T00:00:00"/>
    <n v="10"/>
    <x v="1"/>
  </r>
  <r>
    <d v="2018-12-28T00:00:00"/>
    <s v="001-00014473"/>
    <n v="1882.1199442500001"/>
    <n v="2.2030001000000001"/>
    <n v="0"/>
    <n v="95.27"/>
    <n v="0"/>
    <n v="234"/>
    <n v="154.94374999999999"/>
    <n v="0"/>
    <n v="486.41675009999994"/>
    <n v="1395.7031941500002"/>
    <n v="0.74155911179516742"/>
    <x v="1"/>
    <s v="MEDIANO"/>
    <x v="9"/>
    <x v="1"/>
    <n v="9"/>
    <n v="1"/>
    <d v="2018-12-19T00:00:00"/>
    <s v="JEEP"/>
    <s v="CHEROOKE"/>
    <n v="1962.48"/>
    <d v="2018-12-20T00:00:00"/>
    <n v="16"/>
    <x v="1"/>
  </r>
  <r>
    <d v="2018-12-20T00:00:00"/>
    <s v="001-00014474"/>
    <n v="349"/>
    <n v="125.83309709999999"/>
    <n v="0"/>
    <n v="0"/>
    <n v="39.048749999999998"/>
    <n v="0"/>
    <n v="0"/>
    <n v="0"/>
    <n v="164.88184709999999"/>
    <n v="184.11815290000001"/>
    <n v="0.5275591773638969"/>
    <x v="0"/>
    <s v="MECANICA"/>
    <x v="9"/>
    <x v="1"/>
    <n v="0"/>
    <n v="1"/>
    <d v="2018-12-20T00:00:00"/>
    <s v="HYUNDAI"/>
    <s v="ACCENT"/>
    <n v="0"/>
    <d v="2018-12-20T00:00:00"/>
    <n v="0"/>
    <x v="206"/>
  </r>
  <r>
    <d v="2018-12-21T00:00:00"/>
    <s v="001-00014480"/>
    <n v="203.39830000000001"/>
    <n v="0"/>
    <n v="0"/>
    <n v="0"/>
    <n v="0"/>
    <n v="29.25"/>
    <n v="0"/>
    <n v="0"/>
    <n v="29.25"/>
    <n v="174.14830000000001"/>
    <n v="0.85619348834282294"/>
    <x v="0"/>
    <s v="LEVE"/>
    <x v="9"/>
    <x v="1"/>
    <n v="2"/>
    <n v="1"/>
    <d v="2018-12-19T00:00:00"/>
    <s v="SUBARU"/>
    <s v="FORESTER"/>
    <n v="0"/>
    <d v="2018-12-21T00:00:00"/>
    <n v="2"/>
    <x v="999"/>
  </r>
  <r>
    <d v="2018-12-28T00:00:00"/>
    <s v="001-00014482"/>
    <n v="429.15238426413993"/>
    <n v="0"/>
    <n v="0"/>
    <n v="0"/>
    <n v="0"/>
    <n v="14.625"/>
    <n v="92.966250000000002"/>
    <n v="0"/>
    <n v="107.59125"/>
    <n v="321.56113426413992"/>
    <n v="0.74929359839283005"/>
    <x v="0"/>
    <s v="MEDIANO"/>
    <x v="9"/>
    <x v="1"/>
    <n v="7"/>
    <n v="1"/>
    <d v="2018-12-21T00:00:00"/>
    <s v="JEEP"/>
    <s v="CHEROOKE"/>
    <n v="0"/>
    <d v="2018-12-20T00:00:00"/>
    <n v="1"/>
    <x v="1350"/>
  </r>
  <r>
    <d v="2018-12-21T00:00:00"/>
    <s v="001-00014483"/>
    <n v="349"/>
    <n v="93.141995000000009"/>
    <n v="0"/>
    <n v="0"/>
    <n v="39.048749999999998"/>
    <n v="0"/>
    <n v="0"/>
    <n v="0"/>
    <n v="132.19074499999999"/>
    <n v="216.80925500000001"/>
    <n v="0.62122995702005734"/>
    <x v="0"/>
    <s v="MECANICA"/>
    <x v="9"/>
    <x v="1"/>
    <n v="1"/>
    <n v="1"/>
    <d v="2018-12-20T00:00:00"/>
    <s v="VW"/>
    <s v="CROSSFOX"/>
    <n v="0"/>
    <d v="2018-12-21T00:00:00"/>
    <n v="0"/>
    <x v="1351"/>
  </r>
  <r>
    <d v="2018-12-26T00:00:00"/>
    <s v="001-00014489"/>
    <n v="294.50801720000004"/>
    <n v="0"/>
    <n v="0"/>
    <n v="0"/>
    <n v="0"/>
    <n v="29.25"/>
    <n v="61.977499999999999"/>
    <n v="0"/>
    <n v="91.227499999999992"/>
    <n v="203.28051720000005"/>
    <n v="0.69023763472609467"/>
    <x v="0"/>
    <s v="LEVE"/>
    <x v="9"/>
    <x v="1"/>
    <n v="4"/>
    <n v="1"/>
    <d v="2018-12-22T00:00:00"/>
    <s v="KIA"/>
    <s v="PICANTO"/>
    <n v="0"/>
    <d v="2018-12-21T00:00:00"/>
    <n v="2"/>
    <x v="1352"/>
  </r>
  <r>
    <d v="2018-12-22T00:00:00"/>
    <s v="001-00014490"/>
    <n v="42.372897999999985"/>
    <n v="0"/>
    <n v="0"/>
    <n v="0"/>
    <n v="29.25"/>
    <n v="0"/>
    <n v="0"/>
    <n v="0"/>
    <n v="29.25"/>
    <n v="13.122897999999985"/>
    <n v="0.30970027114973325"/>
    <x v="0"/>
    <s v="MECANICA"/>
    <x v="9"/>
    <x v="1"/>
    <n v="0"/>
    <n v="1"/>
    <d v="2018-12-22T00:00:00"/>
    <s v="KIA"/>
    <s v="RIO"/>
    <n v="0"/>
    <d v="2018-12-22T00:00:00"/>
    <n v="0"/>
    <x v="1335"/>
  </r>
  <r>
    <d v="2018-12-22T00:00:00"/>
    <s v="001-00014492"/>
    <n v="2411.0439999999999"/>
    <n v="1084.75"/>
    <n v="0"/>
    <n v="0"/>
    <n v="0"/>
    <n v="175.5"/>
    <n v="139.449375"/>
    <n v="0"/>
    <n v="1399.6993749999999"/>
    <n v="1011.344625"/>
    <n v="0.41946336317379523"/>
    <x v="0"/>
    <s v="MEDIANO"/>
    <x v="9"/>
    <x v="1"/>
    <n v="0"/>
    <n v="1"/>
    <d v="2018-12-22T00:00:00"/>
    <s v="KIA"/>
    <s v="SOUL"/>
    <n v="1261"/>
    <d v="2018-12-22T00:00:00"/>
    <n v="12"/>
    <x v="1353"/>
  </r>
  <r>
    <d v="2018-12-22T00:00:00"/>
    <s v="001-00014493"/>
    <n v="349"/>
    <n v="103.46292460000001"/>
    <n v="0"/>
    <n v="0"/>
    <n v="39.048749999999998"/>
    <n v="0"/>
    <n v="0"/>
    <n v="0"/>
    <n v="142.51167459999999"/>
    <n v="206.48832540000001"/>
    <n v="0.59165709283667622"/>
    <x v="0"/>
    <s v="MECANICA"/>
    <x v="9"/>
    <x v="1"/>
    <n v="0"/>
    <n v="1"/>
    <d v="2018-12-22T00:00:00"/>
    <s v="CHEVROLET"/>
    <s v="AVEO"/>
    <n v="0"/>
    <d v="2018-12-22T00:00:00"/>
    <n v="0"/>
    <x v="1354"/>
  </r>
  <r>
    <d v="2018-12-29T00:00:00"/>
    <s v="001-00014495"/>
    <n v="306.62710200000004"/>
    <n v="88.0819951"/>
    <n v="0"/>
    <n v="0"/>
    <n v="39.048749999999998"/>
    <n v="0"/>
    <n v="0"/>
    <n v="0"/>
    <n v="127.1307451"/>
    <n v="179.49635690000002"/>
    <n v="0.58538973146607243"/>
    <x v="0"/>
    <s v="MECANICA"/>
    <x v="9"/>
    <x v="1"/>
    <n v="7"/>
    <n v="1"/>
    <d v="2018-12-22T00:00:00"/>
    <s v="CHEVROLET"/>
    <s v="TRACKER"/>
    <n v="0"/>
    <d v="2018-12-22T00:00:00"/>
    <n v="0"/>
    <x v="1355"/>
  </r>
  <r>
    <d v="2018-12-29T00:00:00"/>
    <s v="001-00014499"/>
    <n v="706.87163302457998"/>
    <n v="0"/>
    <n v="0"/>
    <n v="0"/>
    <n v="0"/>
    <n v="47.53125"/>
    <n v="123.955"/>
    <n v="0"/>
    <n v="171.48624999999998"/>
    <n v="535.38538302458005"/>
    <n v="0.75740114330767483"/>
    <x v="0"/>
    <s v="LEVE"/>
    <x v="9"/>
    <x v="1"/>
    <n v="8"/>
    <n v="1"/>
    <d v="2018-12-21T00:00:00"/>
    <s v="KIA"/>
    <s v="SOUL"/>
    <n v="0"/>
    <d v="2018-12-24T00:00:00"/>
    <n v="3.25"/>
    <x v="1356"/>
  </r>
  <r>
    <d v="2018-12-26T00:00:00"/>
    <s v="001-00014500"/>
    <n v="325"/>
    <n v="75.220498200000009"/>
    <n v="0"/>
    <n v="0"/>
    <n v="39.048749999999998"/>
    <n v="0"/>
    <n v="0"/>
    <n v="0"/>
    <n v="114.26924820000001"/>
    <n v="210.73075180000001"/>
    <n v="0.64840231323076924"/>
    <x v="0"/>
    <s v="MECANICA"/>
    <x v="9"/>
    <x v="1"/>
    <n v="0"/>
    <n v="1"/>
    <d v="2018-12-26T00:00:00"/>
    <s v="NISSAN"/>
    <s v="TIIDA"/>
    <n v="0"/>
    <d v="2018-12-26T00:00:00"/>
    <n v="0"/>
    <x v="157"/>
  </r>
  <r>
    <d v="2018-12-29T00:00:00"/>
    <s v="001-00014502"/>
    <n v="711.92663287458004"/>
    <n v="0"/>
    <n v="0"/>
    <n v="0"/>
    <n v="0"/>
    <n v="36.5625"/>
    <n v="123.955"/>
    <n v="0"/>
    <n v="160.51749999999998"/>
    <n v="551.40913287458011"/>
    <n v="0.77453083985372095"/>
    <x v="0"/>
    <s v="LEVE"/>
    <x v="9"/>
    <x v="1"/>
    <n v="5"/>
    <n v="1"/>
    <d v="2018-12-24T00:00:00"/>
    <s v="TOYOTA"/>
    <s v="COROLLA"/>
    <n v="0"/>
    <d v="2018-12-26T00:00:00"/>
    <n v="2.5"/>
    <x v="133"/>
  </r>
  <r>
    <d v="2018-12-28T00:00:00"/>
    <s v="001-00014508"/>
    <n v="5997.2352671567687"/>
    <n v="4040.95001"/>
    <n v="0"/>
    <n v="0"/>
    <n v="58.5"/>
    <n v="0"/>
    <n v="0"/>
    <n v="0"/>
    <n v="4099.4500100000005"/>
    <n v="1897.7852571567682"/>
    <n v="0.31644335641621241"/>
    <x v="0"/>
    <s v="MECANICA"/>
    <x v="9"/>
    <x v="1"/>
    <n v="4"/>
    <n v="1"/>
    <d v="2018-12-24T00:00:00"/>
    <s v="GREAT W."/>
    <s v="HAVAL"/>
    <n v="5415.8975"/>
    <d v="2018-12-26T00:00:00"/>
    <n v="0"/>
    <x v="96"/>
  </r>
  <r>
    <d v="2018-12-28T00:00:00"/>
    <s v="001-00014514"/>
    <n v="934"/>
    <n v="271.25479500000006"/>
    <n v="0"/>
    <n v="59.32"/>
    <n v="82.923749999999998"/>
    <n v="0"/>
    <n v="0"/>
    <n v="0"/>
    <n v="413.49854500000004"/>
    <n v="520.50145499999996"/>
    <n v="0.5572820717344753"/>
    <x v="0"/>
    <s v="MECANICA"/>
    <x v="9"/>
    <x v="1"/>
    <n v="4"/>
    <n v="1"/>
    <d v="2018-12-24T00:00:00"/>
    <s v="DODGE"/>
    <s v="JOURNEY"/>
    <n v="83.6875"/>
    <d v="2018-12-27T00:00:00"/>
    <n v="0"/>
    <x v="1285"/>
  </r>
  <r>
    <d v="2018-12-28T00:00:00"/>
    <s v="001-00014515"/>
    <n v="979"/>
    <n v="226.37549599999997"/>
    <n v="0"/>
    <n v="0"/>
    <n v="82.923749999999998"/>
    <n v="0"/>
    <n v="0"/>
    <n v="0"/>
    <n v="309.29924599999998"/>
    <n v="669.70075399999996"/>
    <n v="0.68406614300306434"/>
    <x v="0"/>
    <s v="MECANICA"/>
    <x v="9"/>
    <x v="1"/>
    <n v="1"/>
    <n v="1"/>
    <d v="2018-12-27T00:00:00"/>
    <s v="FORD"/>
    <s v="FIESTA"/>
    <n v="265.88249999999999"/>
    <d v="2018-12-27T00:00:00"/>
    <n v="0"/>
    <x v="1023"/>
  </r>
  <r>
    <d v="2018-12-27T00:00:00"/>
    <s v="001-00014517"/>
    <n v="101.07000000000001"/>
    <n v="0"/>
    <n v="0"/>
    <n v="0"/>
    <n v="14.625"/>
    <n v="0"/>
    <n v="0"/>
    <n v="0"/>
    <n v="14.625"/>
    <n v="86.445000000000007"/>
    <n v="0.85529830810329477"/>
    <x v="0"/>
    <s v="MECANICA"/>
    <x v="9"/>
    <x v="1"/>
    <n v="1"/>
    <n v="1"/>
    <d v="2018-12-26T00:00:00"/>
    <s v="KIA"/>
    <s v="SPORTAGE"/>
    <n v="0"/>
    <d v="2018-12-27T00:00:00"/>
    <n v="0"/>
    <x v="223"/>
  </r>
  <r>
    <d v="2018-12-31T00:00:00"/>
    <s v="001-00014519"/>
    <n v="1925.1265968745799"/>
    <n v="0"/>
    <n v="0"/>
    <n v="0"/>
    <n v="0"/>
    <n v="175.5"/>
    <n v="232.41562500000001"/>
    <n v="0"/>
    <n v="407.91562499999998"/>
    <n v="1517.2109718745801"/>
    <n v="0.78810971410283037"/>
    <x v="1"/>
    <s v="MEDIANO"/>
    <x v="9"/>
    <x v="1"/>
    <n v="4"/>
    <n v="1"/>
    <d v="2018-12-27T00:00:00"/>
    <s v="TOYOTA"/>
    <s v="ETIOS"/>
    <n v="0"/>
    <d v="2018-12-27T00:00:00"/>
    <n v="12"/>
    <x v="1"/>
  </r>
  <r>
    <d v="2018-12-31T00:00:00"/>
    <s v="001-00014521"/>
    <n v="3538.6427829957602"/>
    <n v="600.0199990000001"/>
    <n v="0"/>
    <n v="0"/>
    <n v="0"/>
    <n v="190.125"/>
    <n v="495.82"/>
    <n v="0"/>
    <n v="1285.964999"/>
    <n v="2252.6777839957604"/>
    <n v="0.63659372311343565"/>
    <x v="0"/>
    <s v="MEDIANO"/>
    <x v="9"/>
    <x v="1"/>
    <n v="5"/>
    <n v="1"/>
    <d v="2018-12-26T00:00:00"/>
    <s v="TOYOTA"/>
    <s v="HILUX"/>
    <n v="828.88"/>
    <d v="2018-12-27T00:00:00"/>
    <n v="13"/>
    <x v="1357"/>
  </r>
  <r>
    <d v="2018-12-28T00:00:00"/>
    <s v="001-00014522"/>
    <n v="771"/>
    <n v="91.899822700000001"/>
    <n v="0"/>
    <n v="0"/>
    <n v="39.048749999999998"/>
    <n v="0"/>
    <n v="0"/>
    <n v="0"/>
    <n v="130.9485727"/>
    <n v="640.0514273"/>
    <n v="0.83015749325551236"/>
    <x v="0"/>
    <s v="MECANICA"/>
    <x v="9"/>
    <x v="1"/>
    <n v="2"/>
    <n v="1"/>
    <d v="2018-12-26T00:00:00"/>
    <s v="NISSAN"/>
    <s v="VERSA"/>
    <n v="317.10249999999996"/>
    <d v="2018-12-27T00:00:00"/>
    <n v="0"/>
    <x v="1358"/>
  </r>
  <r>
    <d v="2018-12-29T00:00:00"/>
    <s v="001-00014523"/>
    <n v="649"/>
    <n v="105.94499500000001"/>
    <n v="0"/>
    <n v="0"/>
    <n v="39.048749999999998"/>
    <n v="0"/>
    <n v="0"/>
    <n v="0"/>
    <n v="144.99374499999999"/>
    <n v="504.00625500000001"/>
    <n v="0.77658899075500776"/>
    <x v="0"/>
    <s v="MECANICA"/>
    <x v="9"/>
    <x v="1"/>
    <n v="3"/>
    <n v="1"/>
    <d v="2018-12-26T00:00:00"/>
    <s v="MAZDA"/>
    <s v="CX-5"/>
    <n v="0"/>
    <d v="2018-12-27T00:00:00"/>
    <n v="0"/>
    <x v="862"/>
  </r>
  <r>
    <d v="2018-12-27T00:00:00"/>
    <s v="001-00014528"/>
    <n v="90.134899799999999"/>
    <n v="0"/>
    <n v="0"/>
    <n v="0"/>
    <n v="0"/>
    <n v="0"/>
    <n v="15.494375"/>
    <n v="0"/>
    <n v="15.494375"/>
    <n v="74.640524799999994"/>
    <n v="0.82809793948425725"/>
    <x v="2"/>
    <s v="LEVE"/>
    <x v="9"/>
    <x v="1"/>
    <n v="0"/>
    <n v="1"/>
    <d v="2018-12-27T00:00:00"/>
    <s v="MITSUBISHI"/>
    <s v="MONTERO"/>
    <n v="2466.1"/>
    <d v="2018-12-14T00:00:00"/>
    <n v="0"/>
    <x v="2"/>
  </r>
  <r>
    <d v="2018-12-29T00:00:00"/>
    <s v="001-00014529"/>
    <n v="1533.2966000000001"/>
    <n v="344.37959599999999"/>
    <n v="0"/>
    <n v="67.8"/>
    <n v="82.923749999999998"/>
    <n v="0"/>
    <n v="0"/>
    <n v="0"/>
    <n v="495.10334599999999"/>
    <n v="1038.1932540000003"/>
    <n v="0.6770987778881139"/>
    <x v="0"/>
    <s v="MECANICA"/>
    <x v="9"/>
    <x v="1"/>
    <n v="2"/>
    <n v="1"/>
    <d v="2018-12-27T00:00:00"/>
    <s v="MITSUBISHI"/>
    <s v="OUTLANDER"/>
    <n v="566.24750000000006"/>
    <d v="2018-12-28T00:00:00"/>
    <n v="0"/>
    <x v="327"/>
  </r>
  <r>
    <d v="2018-12-28T00:00:00"/>
    <s v="001-00014533"/>
    <n v="4661.0171"/>
    <n v="0"/>
    <n v="0"/>
    <n v="0"/>
    <n v="0"/>
    <n v="0"/>
    <n v="0"/>
    <n v="0"/>
    <n v="0"/>
    <n v="4661.0171"/>
    <n v="1"/>
    <x v="0"/>
    <s v="MECANICA"/>
    <x v="9"/>
    <x v="1"/>
    <n v="0"/>
    <n v="1"/>
    <d v="2018-12-28T00:00:00"/>
    <s v="NISSAN"/>
    <s v="FRONTIER"/>
    <n v="0"/>
    <s v="F/Fecha"/>
    <n v="0"/>
    <x v="1359"/>
  </r>
  <r>
    <d v="2018-12-29T00:00:00"/>
    <s v="001-00014534"/>
    <n v="466.62710200000004"/>
    <n v="148.57379533999998"/>
    <n v="0"/>
    <n v="0"/>
    <n v="39.048749999999998"/>
    <n v="0"/>
    <n v="0"/>
    <n v="0"/>
    <n v="187.62254533999999"/>
    <n v="279.00455666000005"/>
    <n v="0.59791759943681977"/>
    <x v="0"/>
    <s v="MECANICA"/>
    <x v="9"/>
    <x v="1"/>
    <n v="0"/>
    <n v="1"/>
    <d v="2018-12-29T00:00:00"/>
    <s v="SUZUKI"/>
    <s v="VITARA"/>
    <n v="0"/>
    <d v="2018-12-29T00:00:00"/>
    <n v="0"/>
    <x v="865"/>
  </r>
  <r>
    <d v="2018-12-29T00:00:00"/>
    <s v="001-00014536"/>
    <n v="150"/>
    <n v="0"/>
    <n v="0"/>
    <n v="0"/>
    <n v="0"/>
    <n v="0"/>
    <n v="0"/>
    <n v="0"/>
    <n v="0"/>
    <n v="150"/>
    <n v="1"/>
    <x v="0"/>
    <s v="MECANICA"/>
    <x v="9"/>
    <x v="1"/>
    <n v="0"/>
    <n v="1"/>
    <d v="2018-12-29T00:00:00"/>
    <s v="SUZUKI"/>
    <s v="SX4"/>
    <n v="0"/>
    <s v="F/Fecha"/>
    <n v="0"/>
    <x v="1360"/>
  </r>
  <r>
    <d v="2018-12-29T00:00:00"/>
    <s v="001-00014537"/>
    <n v="449"/>
    <n v="135.47699610000001"/>
    <n v="0"/>
    <n v="0"/>
    <n v="39.048749999999998"/>
    <n v="0"/>
    <n v="0"/>
    <n v="0"/>
    <n v="174.52574609999999"/>
    <n v="274.47425390000001"/>
    <n v="0.61130123363028954"/>
    <x v="0"/>
    <s v="MECANICA"/>
    <x v="9"/>
    <x v="1"/>
    <n v="0"/>
    <n v="1"/>
    <d v="2018-12-29T00:00:00"/>
    <s v="SUZUKI"/>
    <s v="S-CROSS"/>
    <n v="0"/>
    <d v="2018-12-29T00:00:00"/>
    <n v="0"/>
    <x v="947"/>
  </r>
  <r>
    <d v="2018-12-29T00:00:00"/>
    <s v="001-00014539"/>
    <n v="59.321998999999998"/>
    <n v="41.490001999999983"/>
    <n v="0"/>
    <n v="0"/>
    <n v="0"/>
    <n v="0"/>
    <n v="0"/>
    <n v="0"/>
    <n v="41.490001999999983"/>
    <n v="17.831997000000015"/>
    <n v="0.30059669769388614"/>
    <x v="0"/>
    <s v="MECANICA"/>
    <x v="9"/>
    <x v="1"/>
    <n v="3"/>
    <n v="1"/>
    <d v="2018-12-26T00:00:00"/>
    <s v="TOYOTA"/>
    <s v="COROLLA"/>
    <n v="58.402499999999996"/>
    <d v="2018-12-29T00:00:00"/>
    <n v="0"/>
    <x v="133"/>
  </r>
  <r>
    <d v="2018-12-31T00:00:00"/>
    <s v="001-00014618"/>
    <n v="593.04241999999999"/>
    <n v="0"/>
    <n v="0"/>
    <n v="0"/>
    <n v="0"/>
    <n v="0"/>
    <n v="0"/>
    <n v="0"/>
    <n v="0"/>
    <n v="593.04241999999999"/>
    <n v="1"/>
    <x v="5"/>
    <s v="MECANICA"/>
    <x v="9"/>
    <x v="1"/>
    <n v="-8"/>
    <n v="1"/>
    <d v="2019-01-08T00:00:00"/>
    <s v="S/MARCA"/>
    <s v="S/MODELO"/>
    <n v="0"/>
    <s v="F/Fecha"/>
    <n v="0"/>
    <x v="1361"/>
  </r>
  <r>
    <d v="2018-12-31T00:00:00"/>
    <s v="001-00014619"/>
    <n v="593.04241999999999"/>
    <n v="0"/>
    <n v="0"/>
    <n v="0"/>
    <n v="0"/>
    <n v="0"/>
    <n v="0"/>
    <n v="0"/>
    <n v="0"/>
    <n v="593.04241999999999"/>
    <n v="1"/>
    <x v="5"/>
    <s v="MECANICA"/>
    <x v="9"/>
    <x v="1"/>
    <n v="-8"/>
    <n v="1"/>
    <d v="2019-01-08T00:00:00"/>
    <s v="S/MARCA"/>
    <s v="S/MODELO"/>
    <n v="0"/>
    <s v="F/Fecha"/>
    <n v="0"/>
    <x v="1361"/>
  </r>
  <r>
    <d v="2018-12-31T00:00:00"/>
    <s v="001-00014621"/>
    <n v="508.32198999999991"/>
    <n v="0"/>
    <n v="0"/>
    <n v="0"/>
    <n v="0"/>
    <n v="0"/>
    <n v="0"/>
    <n v="0"/>
    <n v="0"/>
    <n v="508.32198999999991"/>
    <n v="1"/>
    <x v="5"/>
    <s v="MECANICA"/>
    <x v="9"/>
    <x v="1"/>
    <n v="-8"/>
    <n v="1"/>
    <d v="2019-01-08T00:00:00"/>
    <s v="S/MARCA"/>
    <s v="S/MODELO"/>
    <n v="0"/>
    <s v="F/Fecha"/>
    <n v="0"/>
    <x v="1362"/>
  </r>
  <r>
    <d v="2018-12-31T00:00:00"/>
    <s v="001-00014622"/>
    <n v="474.60171999999989"/>
    <n v="0"/>
    <n v="0"/>
    <n v="0"/>
    <n v="0"/>
    <n v="0"/>
    <n v="0"/>
    <n v="0"/>
    <n v="0"/>
    <n v="474.60171999999989"/>
    <n v="1"/>
    <x v="5"/>
    <s v="MECANICA"/>
    <x v="9"/>
    <x v="1"/>
    <n v="-8"/>
    <n v="1"/>
    <d v="2019-01-08T00:00:00"/>
    <s v="S/MARCA"/>
    <s v="S/MODELO"/>
    <n v="0"/>
    <s v="F/Fecha"/>
    <n v="0"/>
    <x v="1363"/>
  </r>
  <r>
    <d v="2018-12-31T00:00:00"/>
    <s v="001-00014623"/>
    <n v="203.39830000000001"/>
    <n v="0"/>
    <n v="0"/>
    <n v="0"/>
    <n v="0"/>
    <n v="0"/>
    <n v="0"/>
    <n v="0"/>
    <n v="0"/>
    <n v="203.39830000000001"/>
    <n v="1"/>
    <x v="5"/>
    <s v="MECANICA"/>
    <x v="9"/>
    <x v="1"/>
    <n v="-8"/>
    <n v="1"/>
    <d v="2019-01-08T00:00:00"/>
    <s v="S/MARCA"/>
    <s v="S/MODELO"/>
    <n v="0"/>
    <s v="F/Fecha"/>
    <n v="0"/>
    <x v="1363"/>
  </r>
  <r>
    <d v="2018-12-31T00:00:00"/>
    <s v="001-00014624"/>
    <n v="253.81360000000001"/>
    <n v="0"/>
    <n v="0"/>
    <n v="0"/>
    <n v="0"/>
    <n v="0"/>
    <n v="0"/>
    <n v="0"/>
    <n v="0"/>
    <n v="253.81360000000001"/>
    <n v="1"/>
    <x v="5"/>
    <s v="MECANICA"/>
    <x v="9"/>
    <x v="1"/>
    <n v="-8"/>
    <n v="1"/>
    <d v="2019-01-08T00:00:00"/>
    <s v="S/MARCA"/>
    <s v="S/MODELO"/>
    <n v="0"/>
    <s v="F/Fecha"/>
    <n v="0"/>
    <x v="1362"/>
  </r>
  <r>
    <d v="2019-01-29T00:00:00"/>
    <s v="001-00014010"/>
    <n v="819.56971303559044"/>
    <n v="0"/>
    <n v="0"/>
    <n v="0"/>
    <n v="0"/>
    <n v="58.5"/>
    <n v="216.92125000000001"/>
    <n v="0"/>
    <n v="275.42124999999999"/>
    <n v="544.14846303559045"/>
    <n v="0.66394408478093725"/>
    <x v="1"/>
    <s v="LEVE"/>
    <x v="10"/>
    <x v="2"/>
    <n v="84"/>
    <n v="1"/>
    <d v="2018-11-06T00:00:00"/>
    <s v="VW"/>
    <s v="CADDY"/>
    <n v="0"/>
    <s v="F/Fecha"/>
    <n v="0"/>
    <x v="1266"/>
  </r>
  <r>
    <d v="2019-01-17T00:00:00"/>
    <s v="001-00014162"/>
    <n v="979.25206894949861"/>
    <n v="0"/>
    <n v="0"/>
    <n v="0"/>
    <n v="0"/>
    <n v="175.5"/>
    <n v="263.40437500000002"/>
    <n v="0"/>
    <n v="438.90437500000002"/>
    <n v="540.34769394949853"/>
    <n v="0.55179632607686124"/>
    <x v="1"/>
    <s v="MEDIANO"/>
    <x v="10"/>
    <x v="2"/>
    <n v="58"/>
    <n v="1"/>
    <d v="2018-11-20T00:00:00"/>
    <s v="DFSK"/>
    <s v="GLORY"/>
    <n v="0"/>
    <s v="F/Fecha"/>
    <n v="0"/>
    <x v="1291"/>
  </r>
  <r>
    <d v="2019-01-02T00:00:00"/>
    <s v="001-00014446"/>
    <n v="1151"/>
    <n v="377.33571039999998"/>
    <n v="0"/>
    <n v="0"/>
    <n v="78.097499999999997"/>
    <n v="0"/>
    <n v="0"/>
    <n v="0"/>
    <n v="455.43321040000001"/>
    <n v="695.56678959999999"/>
    <n v="0.60431519513466547"/>
    <x v="0"/>
    <s v="MEDIANO"/>
    <x v="10"/>
    <x v="2"/>
    <n v="16"/>
    <n v="1"/>
    <d v="2018-12-17T00:00:00"/>
    <s v="KIA"/>
    <s v="RIO"/>
    <n v="533.78"/>
    <d v="2018-12-17T00:00:00"/>
    <n v="0"/>
    <x v="954"/>
  </r>
  <r>
    <d v="2019-01-02T00:00:00"/>
    <s v="001-00013809"/>
    <n v="2934.6614131499996"/>
    <n v="0.42369999999999997"/>
    <n v="0"/>
    <n v="77.584745762711862"/>
    <n v="0"/>
    <n v="351"/>
    <n v="402.85374999999999"/>
    <n v="0"/>
    <n v="831.86219576271185"/>
    <n v="2102.7992173872876"/>
    <n v="0.71653895334051165"/>
    <x v="1"/>
    <s v="MEDIANO"/>
    <x v="10"/>
    <x v="2"/>
    <n v="76"/>
    <n v="1"/>
    <d v="2018-10-18T00:00:00"/>
    <s v="NISSAN"/>
    <s v="VERSA"/>
    <n v="4424.3549999999996"/>
    <d v="2018-10-18T00:00:00"/>
    <n v="24"/>
    <x v="1364"/>
  </r>
  <r>
    <d v="2019-01-02T00:00:00"/>
    <s v="001-00014555"/>
    <n v="206.62710200000001"/>
    <n v="55.488197939999999"/>
    <n v="0"/>
    <n v="0"/>
    <n v="39.048749999999998"/>
    <n v="0"/>
    <n v="0"/>
    <n v="0"/>
    <n v="94.536947940000005"/>
    <n v="112.09015406"/>
    <n v="0.54247556576581135"/>
    <x v="0"/>
    <s v="MECANICA"/>
    <x v="10"/>
    <x v="2"/>
    <n v="0"/>
    <n v="1"/>
    <d v="2019-01-02T00:00:00"/>
    <s v="HYUNDAI"/>
    <s v="ELANTRA"/>
    <n v="0"/>
    <s v="F/Fecha"/>
    <n v="0"/>
    <x v="705"/>
  </r>
  <r>
    <d v="2019-01-02T00:00:00"/>
    <s v="001-00014400"/>
    <n v="1023.8369697000001"/>
    <n v="0"/>
    <n v="0"/>
    <n v="76.27"/>
    <n v="0"/>
    <n v="73.125"/>
    <n v="123.955"/>
    <n v="0"/>
    <n v="273.34999999999997"/>
    <n v="750.48696970000015"/>
    <n v="0.73301413399821291"/>
    <x v="2"/>
    <s v="LEVE"/>
    <x v="10"/>
    <x v="2"/>
    <n v="21"/>
    <n v="1"/>
    <d v="2018-12-12T00:00:00"/>
    <s v="KIA"/>
    <s v="RIO"/>
    <n v="1047.67"/>
    <d v="2018-12-14T00:00:00"/>
    <n v="5"/>
    <x v="2"/>
  </r>
  <r>
    <d v="2019-01-02T00:00:00"/>
    <s v="001-00014546"/>
    <n v="215"/>
    <n v="54.895097899999996"/>
    <n v="0"/>
    <n v="0"/>
    <n v="39.048749999999998"/>
    <n v="0"/>
    <n v="0"/>
    <n v="0"/>
    <n v="93.943847899999994"/>
    <n v="121.05615210000001"/>
    <n v="0.5630518702325582"/>
    <x v="0"/>
    <s v="MECANICA"/>
    <x v="10"/>
    <x v="2"/>
    <n v="0"/>
    <n v="1"/>
    <d v="2019-01-02T00:00:00"/>
    <s v="KIA"/>
    <s v="RIO"/>
    <n v="0"/>
    <s v="F/Fecha"/>
    <n v="0"/>
    <x v="157"/>
  </r>
  <r>
    <d v="2019-01-03T00:00:00"/>
    <s v="001-00014554"/>
    <n v="4795"/>
    <n v="2667.2472210000001"/>
    <n v="0"/>
    <n v="194.91"/>
    <n v="146.25"/>
    <n v="0"/>
    <n v="0"/>
    <n v="0"/>
    <n v="3008.4072209999999"/>
    <n v="1786.5927790000001"/>
    <n v="0.3725949486965589"/>
    <x v="0"/>
    <s v="MECANICA"/>
    <x v="10"/>
    <x v="2"/>
    <n v="1"/>
    <n v="1"/>
    <d v="2019-01-02T00:00:00"/>
    <s v="SUZUKI"/>
    <s v="G. NOMADE"/>
    <n v="0"/>
    <s v="F/Fecha"/>
    <n v="0"/>
    <x v="1365"/>
  </r>
  <r>
    <d v="2019-01-03T00:00:00"/>
    <s v="001-00014510"/>
    <n v="418.25198759999989"/>
    <n v="0"/>
    <n v="0"/>
    <n v="0"/>
    <n v="0"/>
    <n v="29.25"/>
    <n v="61.977499999999999"/>
    <n v="0"/>
    <n v="91.227499999999992"/>
    <n v="327.02448759999993"/>
    <n v="0.78188388171571244"/>
    <x v="1"/>
    <s v="LEVE"/>
    <x v="10"/>
    <x v="2"/>
    <n v="8"/>
    <n v="1"/>
    <d v="2018-12-26T00:00:00"/>
    <s v="TOYOTA"/>
    <s v="RAV4"/>
    <n v="1306.1424999999999"/>
    <d v="2018-12-27T00:00:00"/>
    <n v="2"/>
    <x v="999"/>
  </r>
  <r>
    <d v="2019-01-03T00:00:00"/>
    <s v="001-00014569"/>
    <n v="1320"/>
    <n v="386.06702342000006"/>
    <n v="0"/>
    <n v="101.69"/>
    <n v="68.298749999999998"/>
    <n v="0"/>
    <n v="0"/>
    <n v="0"/>
    <n v="556.05577342000004"/>
    <n v="763.94422657999996"/>
    <n v="0.57874562619696968"/>
    <x v="0"/>
    <s v="MECANICA"/>
    <x v="10"/>
    <x v="2"/>
    <n v="0"/>
    <n v="1"/>
    <d v="2019-01-03T00:00:00"/>
    <s v="KIA"/>
    <s v="SORENTO"/>
    <n v="0"/>
    <s v="F/Fecha"/>
    <n v="0"/>
    <x v="157"/>
  </r>
  <r>
    <d v="2019-01-03T00:00:00"/>
    <s v="001-00014443"/>
    <n v="602.08048215000008"/>
    <n v="0"/>
    <n v="0"/>
    <n v="0"/>
    <n v="0"/>
    <n v="73.125"/>
    <n v="92.966250000000002"/>
    <n v="0"/>
    <n v="166.09125"/>
    <n v="435.98923215000008"/>
    <n v="0.72413779399243061"/>
    <x v="1"/>
    <s v="LEVE"/>
    <x v="10"/>
    <x v="2"/>
    <n v="17"/>
    <n v="1"/>
    <d v="2018-12-17T00:00:00"/>
    <s v="HYUNDAI"/>
    <s v="I20"/>
    <n v="872.07249999999999"/>
    <d v="2018-12-18T00:00:00"/>
    <n v="5"/>
    <x v="1"/>
  </r>
  <r>
    <d v="2019-01-04T00:00:00"/>
    <s v="001-00014580"/>
    <n v="469"/>
    <n v="123.4863989"/>
    <n v="0"/>
    <n v="0"/>
    <n v="39.048749999999998"/>
    <n v="0"/>
    <n v="0"/>
    <n v="0"/>
    <n v="162.5351489"/>
    <n v="306.46485110000003"/>
    <n v="0.65344317931769724"/>
    <x v="0"/>
    <s v="MECANICA"/>
    <x v="10"/>
    <x v="2"/>
    <n v="0"/>
    <n v="1"/>
    <d v="2019-01-04T00:00:00"/>
    <s v="HYUNDAI"/>
    <s v="ELANTRA"/>
    <n v="0"/>
    <s v="F/Fecha"/>
    <n v="0"/>
    <x v="27"/>
  </r>
  <r>
    <d v="2019-01-04T00:00:00"/>
    <s v="001-00014582"/>
    <n v="370.81001099999997"/>
    <n v="0"/>
    <n v="0"/>
    <n v="97.457627118644069"/>
    <n v="0"/>
    <n v="73.125"/>
    <n v="0"/>
    <n v="0"/>
    <n v="170.58262711864407"/>
    <n v="200.22738388135591"/>
    <n v="0.53997297252407761"/>
    <x v="1"/>
    <s v="LEVE"/>
    <x v="10"/>
    <x v="2"/>
    <n v="0"/>
    <n v="1"/>
    <d v="2019-01-04T00:00:00"/>
    <s v="CHEVROLET"/>
    <s v="N300"/>
    <n v="0"/>
    <s v="F/Fecha"/>
    <n v="0"/>
    <x v="1"/>
  </r>
  <r>
    <d v="2019-01-04T00:00:00"/>
    <s v="001-00014511"/>
    <n v="550.32992452541998"/>
    <n v="0"/>
    <n v="0"/>
    <n v="0"/>
    <n v="0"/>
    <n v="43.875"/>
    <n v="108.46062500000001"/>
    <n v="0"/>
    <n v="152.33562499999999"/>
    <n v="397.99429952541999"/>
    <n v="0.72319218306842492"/>
    <x v="1"/>
    <s v="LEVE"/>
    <x v="10"/>
    <x v="2"/>
    <n v="9"/>
    <n v="1"/>
    <d v="2018-12-26T00:00:00"/>
    <s v="TOYOTA"/>
    <s v="YARIS"/>
    <n v="438.75"/>
    <d v="2018-12-27T00:00:00"/>
    <n v="3"/>
    <x v="1"/>
  </r>
  <r>
    <d v="2019-01-04T00:00:00"/>
    <s v="001-00014403"/>
    <n v="1222.84444447542"/>
    <n v="0"/>
    <n v="0"/>
    <n v="109.72"/>
    <n v="0"/>
    <n v="102.375"/>
    <n v="139.449375"/>
    <n v="0"/>
    <n v="351.544375"/>
    <n v="871.30006947542006"/>
    <n v="0.71251913799158106"/>
    <x v="1"/>
    <s v="MEDIANO"/>
    <x v="10"/>
    <x v="2"/>
    <n v="23"/>
    <n v="1"/>
    <d v="2018-12-12T00:00:00"/>
    <s v="HYUNDAI"/>
    <s v="ACCENT"/>
    <n v="870.64249999999993"/>
    <d v="2018-12-12T00:00:00"/>
    <n v="7"/>
    <x v="1"/>
  </r>
  <r>
    <d v="2019-01-04T00:00:00"/>
    <s v="001-00014439"/>
    <n v="2058.8524692754199"/>
    <n v="0"/>
    <n v="0"/>
    <n v="233.04474576271184"/>
    <n v="29.25"/>
    <n v="117"/>
    <n v="263.40437500000002"/>
    <n v="0"/>
    <n v="642.6991207627118"/>
    <n v="1416.1533485127081"/>
    <n v="0.68783624356100681"/>
    <x v="1"/>
    <s v="MEDIANO"/>
    <x v="10"/>
    <x v="2"/>
    <n v="6212"/>
    <n v="1"/>
    <d v="2002-01-01T00:00:00"/>
    <s v="TOYOTA"/>
    <s v="AVANZA"/>
    <n v="3668.34"/>
    <d v="2018-12-18T00:00:00"/>
    <n v="8"/>
    <x v="1"/>
  </r>
  <r>
    <d v="2019-01-04T00:00:00"/>
    <s v="001-00014340"/>
    <n v="1803.4850535"/>
    <n v="0"/>
    <n v="8.4700000000000006"/>
    <n v="20"/>
    <n v="0"/>
    <n v="146.25"/>
    <n v="309.88749999999999"/>
    <n v="0"/>
    <n v="484.60749999999996"/>
    <n v="1318.8775535"/>
    <n v="0.7312938640331238"/>
    <x v="1"/>
    <s v="MEDIANO"/>
    <x v="10"/>
    <x v="2"/>
    <n v="29"/>
    <n v="1"/>
    <d v="2018-12-06T00:00:00"/>
    <s v="HYUNDAI"/>
    <s v="TUCSON"/>
    <n v="809.51"/>
    <d v="2018-12-10T00:00:00"/>
    <n v="10"/>
    <x v="1"/>
  </r>
  <r>
    <d v="2019-01-05T00:00:00"/>
    <s v="001-00014428"/>
    <n v="2567.0399235999998"/>
    <n v="20.84710012"/>
    <n v="0"/>
    <n v="96.75"/>
    <n v="29.25"/>
    <n v="146.25"/>
    <n v="371.86500000000001"/>
    <n v="0"/>
    <n v="664.96210012000006"/>
    <n v="1902.0778234799998"/>
    <n v="0.74096152770874646"/>
    <x v="1"/>
    <s v="MEDIANO"/>
    <x v="10"/>
    <x v="2"/>
    <n v="21"/>
    <n v="1"/>
    <d v="2018-12-15T00:00:00"/>
    <s v="NISSAN"/>
    <s v="VERSA"/>
    <n v="5116.3774999999996"/>
    <d v="2018-12-17T00:00:00"/>
    <n v="10"/>
    <x v="1"/>
  </r>
  <r>
    <d v="2019-01-05T00:00:00"/>
    <s v="001-00014471"/>
    <n v="393.11998830000005"/>
    <n v="1.2711000000000001"/>
    <n v="0"/>
    <n v="0"/>
    <n v="0"/>
    <n v="58.5"/>
    <n v="61.977499999999999"/>
    <n v="0"/>
    <n v="121.7486"/>
    <n v="271.37138830000004"/>
    <n v="0.6903016798344771"/>
    <x v="2"/>
    <s v="LEVE"/>
    <x v="10"/>
    <x v="2"/>
    <n v="17"/>
    <n v="1"/>
    <d v="2018-12-19T00:00:00"/>
    <s v="NISSAN"/>
    <s v="VERSA"/>
    <n v="1524.9324999999999"/>
    <d v="2018-12-21T00:00:00"/>
    <n v="4"/>
    <x v="2"/>
  </r>
  <r>
    <d v="2019-01-05T00:00:00"/>
    <s v="001-00014444"/>
    <n v="2402.3999285"/>
    <n v="0.42369999999999997"/>
    <n v="0"/>
    <n v="0"/>
    <n v="29.25"/>
    <n v="234"/>
    <n v="309.88749999999999"/>
    <n v="0"/>
    <n v="573.56119999999999"/>
    <n v="1828.8387284999999"/>
    <n v="0.76125490464940293"/>
    <x v="1"/>
    <s v="MEDIANO"/>
    <x v="10"/>
    <x v="2"/>
    <n v="19"/>
    <n v="1"/>
    <d v="2018-12-17T00:00:00"/>
    <s v="RENAULT"/>
    <s v="LOGAN"/>
    <n v="1977.3325"/>
    <d v="2018-12-18T00:00:00"/>
    <n v="16"/>
    <x v="1"/>
  </r>
  <r>
    <d v="2019-01-05T00:00:00"/>
    <s v="001-00014304"/>
    <n v="440.15998690000004"/>
    <n v="160.25"/>
    <n v="0"/>
    <n v="76.27"/>
    <n v="0"/>
    <n v="0"/>
    <n v="15.494375"/>
    <n v="0"/>
    <n v="252.01437499999997"/>
    <n v="188.14561190000006"/>
    <n v="0.42744824041160484"/>
    <x v="0"/>
    <s v="LEVE"/>
    <x v="10"/>
    <x v="2"/>
    <n v="33"/>
    <n v="1"/>
    <d v="2018-12-03T00:00:00"/>
    <s v="RENAULT"/>
    <s v="LOGAN"/>
    <n v="247"/>
    <d v="2018-12-04T00:00:00"/>
    <n v="0"/>
    <x v="999"/>
  </r>
  <r>
    <d v="2019-01-05T00:00:00"/>
    <s v="001-00014545"/>
    <n v="374.63998884999995"/>
    <n v="0"/>
    <n v="0"/>
    <n v="13"/>
    <n v="0"/>
    <n v="29.25"/>
    <n v="123.955"/>
    <n v="0"/>
    <n v="166.20499999999998"/>
    <n v="208.43498884999997"/>
    <n v="0.55636075980520627"/>
    <x v="1"/>
    <s v="LEVE"/>
    <x v="10"/>
    <x v="2"/>
    <n v="3"/>
    <n v="1"/>
    <d v="2019-01-02T00:00:00"/>
    <s v="MITSUBISHI"/>
    <s v="MONTERO"/>
    <n v="0"/>
    <s v="F/Fecha"/>
    <n v="0"/>
    <x v="1"/>
  </r>
  <r>
    <d v="2019-01-05T00:00:00"/>
    <s v="001-00014505"/>
    <n v="1382.6399588499999"/>
    <n v="0"/>
    <n v="0"/>
    <n v="0"/>
    <n v="0"/>
    <n v="131.625"/>
    <n v="216.92125000000001"/>
    <n v="0"/>
    <n v="348.54624999999999"/>
    <n v="1034.09370885"/>
    <n v="0.74791250045319058"/>
    <x v="1"/>
    <s v="MEDIANO"/>
    <x v="10"/>
    <x v="2"/>
    <n v="10"/>
    <n v="1"/>
    <d v="2018-12-26T00:00:00"/>
    <s v="NISSAN"/>
    <s v="URBAN"/>
    <n v="0"/>
    <d v="2018-10-17T00:00:00"/>
    <n v="9"/>
    <x v="999"/>
  </r>
  <r>
    <d v="2019-01-07T00:00:00"/>
    <s v="001-00014424"/>
    <n v="799.67997620000006"/>
    <n v="0"/>
    <n v="0"/>
    <n v="0"/>
    <n v="0"/>
    <n v="87.75"/>
    <n v="123.955"/>
    <n v="0"/>
    <n v="211.70499999999998"/>
    <n v="587.97497620000013"/>
    <n v="0.73526284726297497"/>
    <x v="1"/>
    <s v="LEVE"/>
    <x v="10"/>
    <x v="2"/>
    <n v="24"/>
    <n v="1"/>
    <d v="2018-12-14T00:00:00"/>
    <s v="NISSAN"/>
    <s v="SENTRA"/>
    <n v="314.24250000000001"/>
    <d v="2018-12-15T00:00:00"/>
    <n v="6"/>
    <x v="30"/>
  </r>
  <r>
    <d v="2019-01-07T00:00:00"/>
    <s v="001-00014587"/>
    <n v="5830.4"/>
    <n v="728.81999000000008"/>
    <n v="0"/>
    <n v="0"/>
    <n v="0"/>
    <n v="336.375"/>
    <n v="1239.55"/>
    <n v="0"/>
    <n v="2304.7449900000001"/>
    <n v="3525.6550099999995"/>
    <n v="0.60470208047475293"/>
    <x v="0"/>
    <s v="MEDIANO"/>
    <x v="10"/>
    <x v="2"/>
    <n v="3"/>
    <n v="1"/>
    <d v="2019-01-04T00:00:00"/>
    <s v="TOYOTA"/>
    <s v="HILUX"/>
    <n v="0"/>
    <s v="F/Fecha"/>
    <n v="0"/>
    <x v="1366"/>
  </r>
  <r>
    <d v="2019-01-07T00:00:00"/>
    <s v="001-00014501"/>
    <n v="576.92340682966005"/>
    <n v="0"/>
    <n v="0"/>
    <n v="76.27"/>
    <n v="0"/>
    <n v="29.25"/>
    <n v="61.977499999999999"/>
    <n v="0"/>
    <n v="167.4975"/>
    <n v="409.42590682966005"/>
    <n v="0.70967116602108227"/>
    <x v="1"/>
    <s v="LEVE"/>
    <x v="10"/>
    <x v="2"/>
    <n v="12"/>
    <n v="1"/>
    <d v="2018-12-26T00:00:00"/>
    <s v="MAZDA"/>
    <s v="CX-3"/>
    <n v="0"/>
    <s v="F/Fecha"/>
    <n v="0"/>
    <x v="1"/>
  </r>
  <r>
    <d v="2019-01-07T00:00:00"/>
    <s v="001-00013895"/>
    <n v="648.47998069999994"/>
    <n v="0"/>
    <n v="0"/>
    <n v="0"/>
    <n v="0"/>
    <n v="43.875"/>
    <n v="123.955"/>
    <n v="0"/>
    <n v="167.82999999999998"/>
    <n v="480.64998069999996"/>
    <n v="0.7411947862772319"/>
    <x v="1"/>
    <s v="LEVE"/>
    <x v="10"/>
    <x v="2"/>
    <n v="73"/>
    <n v="1"/>
    <d v="2018-10-26T00:00:00"/>
    <s v="HYUNDAI"/>
    <s v="ACCENT"/>
    <n v="0"/>
    <s v="F/Fecha"/>
    <n v="0"/>
    <x v="1"/>
  </r>
  <r>
    <d v="2019-01-07T00:00:00"/>
    <s v="001-00014550"/>
    <n v="749.27997770000002"/>
    <n v="0"/>
    <n v="0"/>
    <n v="0"/>
    <n v="0"/>
    <n v="73.125"/>
    <n v="123.955"/>
    <n v="0"/>
    <n v="197.07999999999998"/>
    <n v="552.19997770000009"/>
    <n v="0.73697415403390421"/>
    <x v="1"/>
    <s v="LEVE"/>
    <x v="10"/>
    <x v="2"/>
    <n v="5"/>
    <n v="1"/>
    <d v="2019-01-02T00:00:00"/>
    <s v="KIA"/>
    <s v="CERATO"/>
    <n v="0"/>
    <s v="F/Fecha"/>
    <n v="0"/>
    <x v="1"/>
  </r>
  <r>
    <d v="2019-01-07T00:00:00"/>
    <s v="001-00014425"/>
    <n v="1257.3802041779691"/>
    <n v="0"/>
    <n v="0"/>
    <n v="10"/>
    <n v="0"/>
    <n v="117"/>
    <n v="108.46062500000001"/>
    <n v="0"/>
    <n v="235.46062499999999"/>
    <n v="1021.9195791779691"/>
    <n v="0.81273713056908203"/>
    <x v="1"/>
    <s v="MEDIANO"/>
    <x v="10"/>
    <x v="2"/>
    <n v="24"/>
    <n v="1"/>
    <d v="2018-12-14T00:00:00"/>
    <s v="HONDA"/>
    <s v="HR-V"/>
    <n v="2342.0149999999999"/>
    <d v="2018-12-15T00:00:00"/>
    <n v="8"/>
    <x v="1"/>
  </r>
  <r>
    <d v="2019-01-07T00:00:00"/>
    <s v="001-00014211"/>
    <n v="6378.4473093652523"/>
    <n v="62.370801919999977"/>
    <n v="0"/>
    <n v="233.88949152542372"/>
    <n v="0"/>
    <n v="702"/>
    <n v="805.70749999999998"/>
    <n v="0"/>
    <n v="1803.9677934454237"/>
    <n v="4574.4795159198284"/>
    <n v="0.71717759731326447"/>
    <x v="1"/>
    <s v="GRAVE"/>
    <x v="10"/>
    <x v="2"/>
    <n v="45"/>
    <n v="1"/>
    <d v="2018-11-23T00:00:00"/>
    <s v="NISSAN"/>
    <s v="FRONTIER"/>
    <n v="11709.977500000001"/>
    <d v="2018-11-28T00:00:00"/>
    <n v="48"/>
    <x v="999"/>
  </r>
  <r>
    <d v="2019-01-07T00:00:00"/>
    <s v="001-00014463"/>
    <n v="904.69408507458002"/>
    <n v="0"/>
    <n v="0"/>
    <n v="22.5"/>
    <n v="0"/>
    <n v="58.5"/>
    <n v="201.426875"/>
    <n v="0"/>
    <n v="282.426875"/>
    <n v="622.26721007458002"/>
    <n v="0.68782057973030997"/>
    <x v="1"/>
    <s v="LEVE"/>
    <x v="10"/>
    <x v="2"/>
    <n v="20"/>
    <n v="1"/>
    <d v="2018-12-18T00:00:00"/>
    <s v="HYUNDAI"/>
    <s v="TUCSON"/>
    <n v="2752.2625000000003"/>
    <d v="2018-12-19T00:00:00"/>
    <n v="4"/>
    <x v="999"/>
  </r>
  <r>
    <d v="2019-01-07T00:00:00"/>
    <s v="001-00014178"/>
    <n v="2768.668208799158"/>
    <n v="34.408200020000002"/>
    <n v="0"/>
    <n v="145.66949152542372"/>
    <n v="0"/>
    <n v="321.75"/>
    <n v="294.393125"/>
    <n v="0"/>
    <n v="796.22081654542376"/>
    <n v="1972.4473922537343"/>
    <n v="0.71241739475501653"/>
    <x v="1"/>
    <s v="GRAVE"/>
    <x v="10"/>
    <x v="2"/>
    <n v="47"/>
    <n v="1"/>
    <d v="2018-11-21T00:00:00"/>
    <s v="PEUGEOT"/>
    <s v="PARTNER"/>
    <n v="719.03"/>
    <d v="2018-12-14T00:00:00"/>
    <n v="22"/>
    <x v="999"/>
  </r>
  <r>
    <d v="2019-01-07T00:00:00"/>
    <s v="001-00014392"/>
    <n v="349.43998959999988"/>
    <n v="0"/>
    <n v="0"/>
    <n v="22.5"/>
    <n v="0"/>
    <n v="14.625"/>
    <n v="61.977499999999999"/>
    <n v="0"/>
    <n v="99.102499999999992"/>
    <n v="250.33748959999988"/>
    <n v="0.71639622553377036"/>
    <x v="1"/>
    <s v="LEVE"/>
    <x v="10"/>
    <x v="2"/>
    <n v="27"/>
    <n v="1"/>
    <d v="2018-12-11T00:00:00"/>
    <s v="CITROEN"/>
    <s v="C-ELYSSE"/>
    <n v="416"/>
    <d v="2018-12-14T00:00:00"/>
    <n v="1"/>
    <x v="999"/>
  </r>
  <r>
    <d v="2019-01-08T00:00:00"/>
    <s v="001-00014588"/>
    <n v="1101.9436344355902"/>
    <n v="283.45001000000002"/>
    <n v="0"/>
    <n v="0"/>
    <n v="0"/>
    <n v="87.75"/>
    <n v="123.955"/>
    <n v="0"/>
    <n v="495.15501"/>
    <n v="606.78862443559024"/>
    <n v="0.55065305109401919"/>
    <x v="0"/>
    <s v="LEVE"/>
    <x v="10"/>
    <x v="2"/>
    <n v="4"/>
    <n v="1"/>
    <d v="2019-01-04T00:00:00"/>
    <s v="TOYOTA"/>
    <s v="HILUX"/>
    <n v="0"/>
    <s v="F/Fecha"/>
    <n v="0"/>
    <x v="1367"/>
  </r>
  <r>
    <d v="2019-01-08T00:00:00"/>
    <s v="001-00014481"/>
    <n v="1245.6394628500002"/>
    <n v="0"/>
    <n v="0"/>
    <n v="0"/>
    <n v="0"/>
    <n v="102.375"/>
    <n v="216.92125000000001"/>
    <n v="0"/>
    <n v="319.29624999999999"/>
    <n v="926.34321285000021"/>
    <n v="0.74366880664694424"/>
    <x v="1"/>
    <s v="MEDIANO"/>
    <x v="10"/>
    <x v="2"/>
    <n v="18"/>
    <n v="1"/>
    <d v="2018-12-21T00:00:00"/>
    <s v="HYUNDAI"/>
    <s v="ELANTRA"/>
    <n v="5465.6875"/>
    <d v="2018-12-21T00:00:00"/>
    <n v="7"/>
    <x v="1368"/>
  </r>
  <r>
    <d v="2019-01-08T00:00:00"/>
    <s v="001-00014627"/>
    <n v="406.62710200000004"/>
    <n v="130.96649692"/>
    <n v="0"/>
    <n v="0"/>
    <n v="39.048749999999998"/>
    <n v="0"/>
    <n v="0"/>
    <n v="0"/>
    <n v="170.01524691999998"/>
    <n v="236.61185508000005"/>
    <n v="0.5818890426049369"/>
    <x v="0"/>
    <s v="MEDIANO"/>
    <x v="10"/>
    <x v="2"/>
    <n v="0"/>
    <n v="1"/>
    <d v="2019-01-08T00:00:00"/>
    <s v="HYUNDAI"/>
    <s v="ELANTRA"/>
    <n v="0"/>
    <s v="F/Fecha"/>
    <n v="0"/>
    <x v="1368"/>
  </r>
  <r>
    <d v="2019-01-08T00:00:00"/>
    <s v="001-00014586"/>
    <n v="2131.17243653983"/>
    <n v="449.14999000000006"/>
    <n v="0"/>
    <n v="0"/>
    <n v="0"/>
    <n v="117"/>
    <n v="247.91"/>
    <n v="0"/>
    <n v="814.05999000000008"/>
    <n v="1317.1124465398298"/>
    <n v="0.61802246686255602"/>
    <x v="0"/>
    <s v="LEVE"/>
    <x v="10"/>
    <x v="2"/>
    <n v="4"/>
    <n v="1"/>
    <d v="2019-01-04T00:00:00"/>
    <s v="NISSAN"/>
    <s v="X-TRAIL"/>
    <n v="0"/>
    <s v="F/Fecha"/>
    <n v="0"/>
    <x v="1369"/>
  </r>
  <r>
    <d v="2019-01-08T00:00:00"/>
    <s v="001-00014507"/>
    <n v="764.48397720000003"/>
    <n v="0"/>
    <n v="0"/>
    <n v="16.95"/>
    <n v="0"/>
    <n v="29.25"/>
    <n v="123.955"/>
    <n v="0"/>
    <n v="170.155"/>
    <n v="594.32897720000005"/>
    <n v="0.77742502776420519"/>
    <x v="1"/>
    <s v="LEVE"/>
    <x v="10"/>
    <x v="2"/>
    <n v="13"/>
    <n v="1"/>
    <d v="2018-12-26T00:00:00"/>
    <s v="HYUNDAI"/>
    <s v="ACCENT"/>
    <n v="1304.3875"/>
    <d v="2018-12-27T00:00:00"/>
    <n v="2"/>
    <x v="1"/>
  </r>
  <r>
    <d v="2019-01-08T00:00:00"/>
    <s v="001-00014350"/>
    <n v="548.2154836499999"/>
    <n v="0"/>
    <n v="0"/>
    <n v="0"/>
    <n v="0"/>
    <n v="29.25"/>
    <n v="92.966250000000002"/>
    <n v="0"/>
    <n v="122.21625"/>
    <n v="425.99923364999989"/>
    <n v="0.7770653079947899"/>
    <x v="1"/>
    <s v="LEVE"/>
    <x v="10"/>
    <x v="2"/>
    <n v="32"/>
    <n v="1"/>
    <d v="2018-12-07T00:00:00"/>
    <s v="MAZDA"/>
    <s v="MAZDA 2"/>
    <n v="391.95"/>
    <d v="2018-12-10T00:00:00"/>
    <n v="2"/>
    <x v="1"/>
  </r>
  <r>
    <d v="2019-01-08T00:00:00"/>
    <s v="001-00014532"/>
    <n v="457.68448635000004"/>
    <n v="0"/>
    <n v="0"/>
    <n v="18"/>
    <n v="0"/>
    <n v="21.9375"/>
    <n v="61.977499999999999"/>
    <n v="0"/>
    <n v="101.91499999999999"/>
    <n v="355.76948635000008"/>
    <n v="0.7773247662100925"/>
    <x v="1"/>
    <s v="LEVE"/>
    <x v="10"/>
    <x v="2"/>
    <n v="11"/>
    <n v="1"/>
    <d v="2018-12-28T00:00:00"/>
    <s v="MAZDA"/>
    <s v="MAZDA 2"/>
    <n v="0"/>
    <d v="2018-12-24T00:00:00"/>
    <n v="1.5"/>
    <x v="1"/>
  </r>
  <r>
    <d v="2019-01-08T00:00:00"/>
    <s v="001-00014520"/>
    <n v="697.42397920000008"/>
    <n v="0"/>
    <n v="0"/>
    <n v="9"/>
    <n v="0"/>
    <n v="58.5"/>
    <n v="123.955"/>
    <n v="0"/>
    <n v="191.45499999999998"/>
    <n v="505.96897920000009"/>
    <n v="0.72548262504593852"/>
    <x v="1"/>
    <s v="LEVE"/>
    <x v="10"/>
    <x v="2"/>
    <n v="12"/>
    <n v="1"/>
    <d v="2018-12-27T00:00:00"/>
    <s v="HYUNDAI"/>
    <s v="TUCSON"/>
    <n v="238.90750000000003"/>
    <d v="2018-12-27T00:00:00"/>
    <n v="4"/>
    <x v="1"/>
  </r>
  <r>
    <d v="2019-01-08T00:00:00"/>
    <s v="001-00014488"/>
    <n v="1882.7094438499998"/>
    <n v="0"/>
    <n v="0"/>
    <n v="0"/>
    <n v="0"/>
    <n v="234"/>
    <n v="216.92125000000001"/>
    <n v="0"/>
    <n v="450.92124999999999"/>
    <n v="1431.78819385"/>
    <n v="0.76049344657351925"/>
    <x v="1"/>
    <s v="MEDIANO"/>
    <x v="10"/>
    <x v="2"/>
    <n v="18"/>
    <n v="1"/>
    <d v="2018-12-21T00:00:00"/>
    <s v="NISSAN"/>
    <s v="URBAN"/>
    <n v="0"/>
    <d v="2018-12-24T00:00:00"/>
    <n v="16"/>
    <x v="1"/>
  </r>
  <r>
    <d v="2019-01-08T00:00:00"/>
    <s v="001-00014525"/>
    <n v="168"/>
    <n v="101.22000200000001"/>
    <n v="0"/>
    <n v="0"/>
    <n v="0"/>
    <n v="0"/>
    <n v="0"/>
    <n v="0"/>
    <n v="101.22000200000001"/>
    <n v="66.779997999999992"/>
    <n v="0.39749998809523807"/>
    <x v="0"/>
    <s v="MECANICA"/>
    <x v="10"/>
    <x v="2"/>
    <n v="13"/>
    <n v="1"/>
    <d v="2018-12-26T00:00:00"/>
    <s v="MAZDA"/>
    <s v="MAZDA 3"/>
    <n v="0"/>
    <s v="F/Fecha"/>
    <n v="0"/>
    <x v="999"/>
  </r>
  <r>
    <d v="2019-01-09T00:00:00"/>
    <s v="001-00014626"/>
    <n v="549"/>
    <n v="109.058696"/>
    <n v="0"/>
    <n v="0"/>
    <n v="39.048749999999998"/>
    <n v="0"/>
    <n v="0"/>
    <n v="0"/>
    <n v="148.10744599999998"/>
    <n v="400.89255400000002"/>
    <n v="0.73022323132969036"/>
    <x v="0"/>
    <s v="MECANICA"/>
    <x v="10"/>
    <x v="2"/>
    <n v="1"/>
    <n v="1"/>
    <d v="2019-01-08T00:00:00"/>
    <s v="MITSUBISHI"/>
    <s v="OUTLANDER"/>
    <n v="0"/>
    <s v="F/Fecha"/>
    <n v="0"/>
    <x v="1370"/>
  </r>
  <r>
    <d v="2019-01-09T00:00:00"/>
    <s v="001-00014487"/>
    <n v="2044.3515089745797"/>
    <n v="0.50849997000000002"/>
    <n v="0"/>
    <n v="0"/>
    <n v="0"/>
    <n v="234"/>
    <n v="294.393125"/>
    <n v="0"/>
    <n v="528.90162497000006"/>
    <n v="1515.4498840045796"/>
    <n v="0.74128635772852469"/>
    <x v="1"/>
    <s v="MEDIANO"/>
    <x v="10"/>
    <x v="2"/>
    <n v="19"/>
    <n v="1"/>
    <d v="2018-12-21T00:00:00"/>
    <s v="KIA"/>
    <s v="RIO"/>
    <n v="3268.6875"/>
    <d v="2018-12-24T00:00:00"/>
    <n v="16"/>
    <x v="1"/>
  </r>
  <r>
    <d v="2019-01-09T00:00:00"/>
    <s v="001-00014475"/>
    <n v="2096.2765074245799"/>
    <n v="0"/>
    <n v="0"/>
    <n v="0"/>
    <n v="0"/>
    <n v="263.25"/>
    <n v="263.40437500000002"/>
    <n v="0"/>
    <n v="526.65437500000007"/>
    <n v="1569.6221324245798"/>
    <n v="0.74876674277715816"/>
    <x v="1"/>
    <s v="MEDIANO"/>
    <x v="10"/>
    <x v="2"/>
    <n v="20"/>
    <n v="1"/>
    <d v="2018-12-20T00:00:00"/>
    <s v="TOYOTA"/>
    <s v="COROLLA"/>
    <n v="1616.6475"/>
    <d v="2018-12-20T00:00:00"/>
    <n v="16"/>
    <x v="1"/>
  </r>
  <r>
    <d v="2019-01-09T00:00:00"/>
    <s v="001-00014449"/>
    <n v="846.72654472457987"/>
    <n v="0"/>
    <n v="0"/>
    <n v="0"/>
    <n v="0"/>
    <n v="87.75"/>
    <n v="139.449375"/>
    <n v="0"/>
    <n v="227.199375"/>
    <n v="619.52716972457984"/>
    <n v="0.7316732581309322"/>
    <x v="1"/>
    <s v="LEVE"/>
    <x v="10"/>
    <x v="2"/>
    <n v="23"/>
    <n v="1"/>
    <d v="2018-12-17T00:00:00"/>
    <s v="RENAULT"/>
    <s v="FLUENCE"/>
    <n v="0"/>
    <s v="F/Fecha"/>
    <n v="0"/>
    <x v="1"/>
  </r>
  <r>
    <d v="2019-01-09T00:00:00"/>
    <s v="001-00014558"/>
    <n v="1463.12652632458"/>
    <n v="0"/>
    <n v="0"/>
    <n v="89.77"/>
    <n v="0"/>
    <n v="117"/>
    <n v="201.426875"/>
    <n v="0"/>
    <n v="408.19687499999998"/>
    <n v="1054.9296513245799"/>
    <n v="0.72101054306943402"/>
    <x v="1"/>
    <s v="MEDIANO"/>
    <x v="10"/>
    <x v="2"/>
    <n v="7"/>
    <n v="1"/>
    <d v="2019-01-02T00:00:00"/>
    <s v="NISSAN"/>
    <s v="SENTRA"/>
    <n v="0"/>
    <s v="F/Fecha"/>
    <n v="0"/>
    <x v="1"/>
  </r>
  <r>
    <d v="2019-01-10T00:00:00"/>
    <s v="001-00014416"/>
    <n v="1722.5274999999997"/>
    <n v="5.4759001999999999"/>
    <n v="0"/>
    <n v="84.75"/>
    <n v="14.625"/>
    <n v="117"/>
    <n v="216.92125000000001"/>
    <n v="0"/>
    <n v="438.77215020000006"/>
    <n v="1283.7553497999997"/>
    <n v="0.74527422627505224"/>
    <x v="1"/>
    <s v="MEDIANO"/>
    <x v="10"/>
    <x v="2"/>
    <n v="28"/>
    <n v="1"/>
    <d v="2018-12-13T00:00:00"/>
    <s v="DFSK"/>
    <s v="GLORY"/>
    <n v="2297.75"/>
    <d v="2018-12-13T00:00:00"/>
    <n v="8"/>
    <x v="1371"/>
  </r>
  <r>
    <d v="2019-01-10T00:00:00"/>
    <s v="001-00014543"/>
    <n v="1904.2849999999999"/>
    <n v="0"/>
    <n v="0"/>
    <n v="152.54"/>
    <n v="43.875"/>
    <n v="131.625"/>
    <n v="247.91"/>
    <n v="0"/>
    <n v="575.94999999999993"/>
    <n v="1328.335"/>
    <n v="0.69755052421249975"/>
    <x v="1"/>
    <s v="MEDIANO"/>
    <x v="10"/>
    <x v="2"/>
    <n v="10"/>
    <n v="1"/>
    <d v="2018-12-31T00:00:00"/>
    <s v="HYUNDAI"/>
    <s v="ACCENT"/>
    <n v="0"/>
    <s v="F/Fecha"/>
    <n v="0"/>
    <x v="1372"/>
  </r>
  <r>
    <d v="2019-01-10T00:00:00"/>
    <s v="001-00014647"/>
    <n v="549"/>
    <n v="129.01839409999999"/>
    <n v="0"/>
    <n v="0"/>
    <n v="0"/>
    <n v="0"/>
    <n v="0"/>
    <n v="0"/>
    <n v="129.01839409999999"/>
    <n v="419.98160589999998"/>
    <n v="0.76499381766848806"/>
    <x v="0"/>
    <s v="MECANICA"/>
    <x v="10"/>
    <x v="2"/>
    <n v="0"/>
    <n v="1"/>
    <d v="2019-01-10T00:00:00"/>
    <s v="SUBARU"/>
    <s v="FORESTER"/>
    <n v="0"/>
    <s v="F/Fecha"/>
    <n v="0"/>
    <x v="1373"/>
  </r>
  <r>
    <d v="2019-01-10T00:00:00"/>
    <s v="001-00014648"/>
    <n v="621.77973450000002"/>
    <n v="423.73000999999988"/>
    <n v="0"/>
    <n v="0"/>
    <n v="0"/>
    <n v="0"/>
    <n v="0"/>
    <n v="0"/>
    <n v="423.73000999999988"/>
    <n v="198.04972450000014"/>
    <n v="0.31852071322211956"/>
    <x v="0"/>
    <s v="MECANICA"/>
    <x v="10"/>
    <x v="2"/>
    <n v="0"/>
    <n v="1"/>
    <d v="2019-01-10T00:00:00"/>
    <s v="SUBARU"/>
    <s v="FORESTER"/>
    <n v="0"/>
    <s v="F/Fecha"/>
    <n v="0"/>
    <x v="1373"/>
  </r>
  <r>
    <d v="2019-01-10T00:00:00"/>
    <s v="001-00014574"/>
    <n v="1736.7152569999998"/>
    <n v="0"/>
    <n v="0"/>
    <n v="76.27"/>
    <n v="0"/>
    <n v="117"/>
    <n v="263.40437500000002"/>
    <n v="0"/>
    <n v="456.674375"/>
    <n v="1280.0408819999998"/>
    <n v="0.73704706447454205"/>
    <x v="2"/>
    <s v="MEDIANO"/>
    <x v="10"/>
    <x v="2"/>
    <n v="7"/>
    <n v="1"/>
    <d v="2019-01-03T00:00:00"/>
    <s v="HYUNDAI"/>
    <s v="TUCSON"/>
    <n v="0"/>
    <s v="F/Fecha"/>
    <n v="0"/>
    <x v="2"/>
  </r>
  <r>
    <d v="2019-01-10T00:00:00"/>
    <s v="001-00014496"/>
    <n v="1589.9752569999998"/>
    <n v="0.42370000000000002"/>
    <n v="0"/>
    <n v="0"/>
    <n v="0"/>
    <n v="146.25"/>
    <n v="201.426875"/>
    <n v="0"/>
    <n v="348.10057499999999"/>
    <n v="1241.8746819999999"/>
    <n v="0.78106541377454908"/>
    <x v="1"/>
    <s v="MEDIANO"/>
    <x v="10"/>
    <x v="2"/>
    <n v="17"/>
    <n v="1"/>
    <d v="2018-12-24T00:00:00"/>
    <s v="KIA"/>
    <s v="RIO"/>
    <n v="1395.81"/>
    <d v="2018-12-26T00:00:00"/>
    <n v="10"/>
    <x v="1"/>
  </r>
  <r>
    <d v="2019-01-10T00:00:00"/>
    <s v="001-00014552"/>
    <n v="793.73"/>
    <n v="0"/>
    <n v="0"/>
    <n v="0"/>
    <n v="0"/>
    <n v="73.125"/>
    <n v="123.955"/>
    <n v="0"/>
    <n v="197.07999999999998"/>
    <n v="596.65000000000009"/>
    <n v="0.7517039799428018"/>
    <x v="1"/>
    <s v="LEVE"/>
    <x v="10"/>
    <x v="2"/>
    <n v="8"/>
    <n v="1"/>
    <d v="2019-01-02T00:00:00"/>
    <s v="NISSAN"/>
    <s v="KICKS"/>
    <n v="0"/>
    <s v="F/Fecha"/>
    <n v="0"/>
    <x v="1"/>
  </r>
  <r>
    <d v="2019-01-10T00:00:00"/>
    <s v="001-00014567"/>
    <n v="891.29275699999994"/>
    <n v="0"/>
    <n v="0"/>
    <n v="14.5"/>
    <n v="0"/>
    <n v="73.125"/>
    <n v="170.43812500000001"/>
    <n v="0"/>
    <n v="258.06312500000001"/>
    <n v="633.22963199999992"/>
    <n v="0.71046199694406353"/>
    <x v="1"/>
    <s v="LEVE"/>
    <x v="10"/>
    <x v="2"/>
    <n v="8"/>
    <n v="1"/>
    <d v="2019-01-02T00:00:00"/>
    <s v="TOYOTA"/>
    <s v="YARIS"/>
    <n v="0"/>
    <s v="F/Fecha"/>
    <n v="0"/>
    <x v="1"/>
  </r>
  <r>
    <d v="2019-01-10T00:00:00"/>
    <s v="001-00014527"/>
    <n v="1272.3025000000002"/>
    <n v="0"/>
    <n v="0"/>
    <n v="0"/>
    <n v="0"/>
    <n v="73.125"/>
    <n v="216.92125000000001"/>
    <n v="0"/>
    <n v="290.04624999999999"/>
    <n v="982.25625000000025"/>
    <n v="0.77203043301416141"/>
    <x v="1"/>
    <s v="MEDIANO"/>
    <x v="10"/>
    <x v="2"/>
    <n v="14"/>
    <n v="1"/>
    <d v="2018-12-27T00:00:00"/>
    <s v="TOYOTA"/>
    <s v="YARIS"/>
    <n v="901.22500000000002"/>
    <d v="2018-12-27T00:00:00"/>
    <n v="5"/>
    <x v="1"/>
  </r>
  <r>
    <d v="2019-01-11T00:00:00"/>
    <s v="001-00014589"/>
    <n v="1228.5524632500003"/>
    <n v="0"/>
    <n v="0"/>
    <n v="16.95"/>
    <n v="0"/>
    <n v="102.375"/>
    <n v="154.94374999999999"/>
    <n v="0"/>
    <n v="274.26875000000001"/>
    <n v="954.28371325000035"/>
    <n v="0.77675454797066446"/>
    <x v="1"/>
    <s v="MEDIANO"/>
    <x v="10"/>
    <x v="2"/>
    <n v="7"/>
    <n v="1"/>
    <d v="2019-01-04T00:00:00"/>
    <s v="KIA"/>
    <s v="SOUL"/>
    <n v="0"/>
    <s v="F/Fecha"/>
    <n v="0"/>
    <x v="1"/>
  </r>
  <r>
    <d v="2019-01-11T00:00:00"/>
    <s v="001-00014583"/>
    <n v="1607.1612425245803"/>
    <n v="0"/>
    <n v="0"/>
    <n v="0"/>
    <n v="0"/>
    <n v="87.75"/>
    <n v="263.40437500000002"/>
    <n v="0"/>
    <n v="351.15437500000002"/>
    <n v="1256.0068675245802"/>
    <n v="0.78150644396551305"/>
    <x v="1"/>
    <s v="MEDIANO"/>
    <x v="10"/>
    <x v="2"/>
    <n v="7"/>
    <n v="1"/>
    <d v="2019-01-04T00:00:00"/>
    <s v="KIA"/>
    <s v="SPORTAGE"/>
    <n v="0"/>
    <s v="F/Fecha"/>
    <n v="0"/>
    <x v="1"/>
  </r>
  <r>
    <d v="2019-01-11T00:00:00"/>
    <s v="001-00014559"/>
    <n v="1184.27175517458"/>
    <n v="0"/>
    <n v="0"/>
    <n v="0"/>
    <n v="0"/>
    <n v="73.125"/>
    <n v="201.426875"/>
    <n v="0"/>
    <n v="274.551875"/>
    <n v="909.71988017458"/>
    <n v="0.76816818116250118"/>
    <x v="1"/>
    <s v="LEVE"/>
    <x v="10"/>
    <x v="2"/>
    <n v="9"/>
    <n v="1"/>
    <d v="2019-01-02T00:00:00"/>
    <s v="NISSAN"/>
    <s v="QASHQAI"/>
    <n v="0"/>
    <s v="F/Fecha"/>
    <n v="0"/>
    <x v="1"/>
  </r>
  <r>
    <d v="2019-01-12T00:00:00"/>
    <s v="001-00014665"/>
    <n v="449"/>
    <n v="103.40419500000002"/>
    <n v="0"/>
    <n v="0"/>
    <n v="39.048749999999998"/>
    <n v="0"/>
    <n v="0"/>
    <n v="0"/>
    <n v="142.452945"/>
    <n v="306.547055"/>
    <n v="0.68273286191536753"/>
    <x v="0"/>
    <s v="MECANICA"/>
    <x v="10"/>
    <x v="2"/>
    <n v="0"/>
    <n v="1"/>
    <d v="2019-01-12T00:00:00"/>
    <s v="NISSAN"/>
    <s v="VERSA"/>
    <n v="0"/>
    <s v="F/Fecha"/>
    <n v="0"/>
    <x v="798"/>
  </r>
  <r>
    <d v="2019-01-12T00:00:00"/>
    <s v="001-00014602"/>
    <n v="694.52226982457989"/>
    <n v="0"/>
    <n v="0"/>
    <n v="17"/>
    <n v="0"/>
    <n v="43.875"/>
    <n v="139.449375"/>
    <n v="0"/>
    <n v="200.324375"/>
    <n v="494.19789482457986"/>
    <n v="0.71156522446631221"/>
    <x v="1"/>
    <s v="LEVE"/>
    <x v="10"/>
    <x v="2"/>
    <n v="5"/>
    <n v="1"/>
    <d v="2019-01-07T00:00:00"/>
    <s v="KIA"/>
    <s v="SPORTAGE"/>
    <n v="0"/>
    <s v="F/Fecha"/>
    <n v="0"/>
    <x v="1"/>
  </r>
  <r>
    <d v="2019-01-12T00:00:00"/>
    <s v="001-00014597"/>
    <n v="895.10226382458006"/>
    <n v="0"/>
    <n v="0"/>
    <n v="9.5"/>
    <n v="0"/>
    <n v="73.125"/>
    <n v="139.449375"/>
    <n v="0"/>
    <n v="222.074375"/>
    <n v="673.02788882458003"/>
    <n v="0.75190055485825291"/>
    <x v="1"/>
    <s v="LEVE"/>
    <x v="10"/>
    <x v="2"/>
    <n v="7"/>
    <n v="1"/>
    <d v="2019-01-05T00:00:00"/>
    <s v="CHERY"/>
    <s v="ARRIZO"/>
    <n v="0"/>
    <s v="F/Fecha"/>
    <n v="0"/>
    <x v="1"/>
  </r>
  <r>
    <d v="2019-01-12T00:00:00"/>
    <s v="001-00014566"/>
    <n v="1759.2677379745803"/>
    <n v="0"/>
    <n v="0"/>
    <n v="86.27"/>
    <n v="0"/>
    <n v="175.5"/>
    <n v="232.41562500000001"/>
    <n v="0"/>
    <n v="494.18562499999996"/>
    <n v="1265.0821129745805"/>
    <n v="0.7190958406541641"/>
    <x v="1"/>
    <s v="MEDIANO"/>
    <x v="10"/>
    <x v="2"/>
    <n v="10"/>
    <n v="1"/>
    <d v="2019-01-02T00:00:00"/>
    <s v="KIA"/>
    <s v="CERATO"/>
    <n v="0"/>
    <s v="F/Fecha"/>
    <n v="0"/>
    <x v="1"/>
  </r>
  <r>
    <d v="2019-01-12T00:00:00"/>
    <s v="001-00014613"/>
    <n v="1541.9727444745802"/>
    <n v="0"/>
    <n v="0"/>
    <n v="0"/>
    <n v="0"/>
    <n v="146.25"/>
    <n v="232.41562500000001"/>
    <n v="0"/>
    <n v="378.66562499999998"/>
    <n v="1163.3071194745803"/>
    <n v="0.75442780920941088"/>
    <x v="1"/>
    <s v="MEDIANO"/>
    <x v="10"/>
    <x v="2"/>
    <n v="5"/>
    <n v="1"/>
    <d v="2019-01-07T00:00:00"/>
    <s v="BRILLANCE"/>
    <s v="H530"/>
    <n v="0"/>
    <s v="F/Fecha"/>
    <n v="0"/>
    <x v="1"/>
  </r>
  <r>
    <d v="2019-01-14T00:00:00"/>
    <s v="001-00014548"/>
    <n v="3958.1118816000012"/>
    <n v="60.591101999999978"/>
    <n v="0"/>
    <n v="55.084745762711869"/>
    <n v="7.3125"/>
    <n v="468"/>
    <n v="526.80875000000003"/>
    <n v="0"/>
    <n v="1117.7970977627119"/>
    <n v="2840.3147838372893"/>
    <n v="0.7175933548116733"/>
    <x v="1"/>
    <s v="GRAVE"/>
    <x v="10"/>
    <x v="2"/>
    <n v="12"/>
    <n v="1"/>
    <d v="2019-01-02T00:00:00"/>
    <s v="SUZUKI"/>
    <s v="SWIFT"/>
    <n v="0"/>
    <s v="F/Fecha"/>
    <n v="0"/>
    <x v="1374"/>
  </r>
  <r>
    <d v="2019-01-14T00:00:00"/>
    <s v="001-00014615"/>
    <n v="16.949200000000001"/>
    <n v="0"/>
    <n v="16.95"/>
    <n v="0"/>
    <n v="0"/>
    <n v="0"/>
    <n v="0"/>
    <n v="0"/>
    <n v="16.95"/>
    <n v="-7.9999999999813554E-4"/>
    <n v="-4.7199867840260043E-5"/>
    <x v="0"/>
    <s v="LEVE"/>
    <x v="10"/>
    <x v="2"/>
    <n v="7"/>
    <n v="1"/>
    <d v="2019-01-07T00:00:00"/>
    <s v="SOVEAST"/>
    <s v="DX3"/>
    <n v="0"/>
    <s v="F/Fecha"/>
    <n v="0"/>
    <x v="1307"/>
  </r>
  <r>
    <d v="2019-01-14T00:00:00"/>
    <s v="001-00014468"/>
    <n v="595.90378614657982"/>
    <n v="1.0168000399999999"/>
    <n v="0"/>
    <n v="0"/>
    <n v="0"/>
    <n v="58.5"/>
    <n v="77.471874999999997"/>
    <n v="0"/>
    <n v="136.98867504"/>
    <n v="458.91511110657984"/>
    <n v="0.77011611903686805"/>
    <x v="1"/>
    <s v="LEVE"/>
    <x v="10"/>
    <x v="2"/>
    <n v="26"/>
    <n v="1"/>
    <d v="2018-12-19T00:00:00"/>
    <s v="SOVEAST"/>
    <s v="DX3"/>
    <n v="0"/>
    <s v="F/Fecha"/>
    <n v="0"/>
    <x v="1307"/>
  </r>
  <r>
    <d v="2019-01-14T00:00:00"/>
    <s v="001-00014607"/>
    <n v="1061.4024682500003"/>
    <n v="0"/>
    <n v="0"/>
    <n v="76.27"/>
    <n v="0"/>
    <n v="87.75"/>
    <n v="154.94374999999999"/>
    <n v="0"/>
    <n v="318.96375"/>
    <n v="742.43871825000031"/>
    <n v="0.69948840374764232"/>
    <x v="1"/>
    <s v="MEDIANO"/>
    <x v="10"/>
    <x v="2"/>
    <n v="7"/>
    <n v="1"/>
    <d v="2019-01-07T00:00:00"/>
    <s v="HYUNDAI"/>
    <s v="I30"/>
    <n v="0"/>
    <s v="F/Fecha"/>
    <n v="0"/>
    <x v="1"/>
  </r>
  <r>
    <d v="2019-01-15T00:00:00"/>
    <s v="001-00014551"/>
    <n v="1557.0975000000001"/>
    <n v="0"/>
    <n v="0"/>
    <n v="76.27"/>
    <n v="0"/>
    <n v="102.375"/>
    <n v="278.89875000000001"/>
    <n v="0"/>
    <n v="457.54374999999999"/>
    <n v="1099.55375"/>
    <n v="0.70615600500289799"/>
    <x v="1"/>
    <s v="MEDIANO"/>
    <x v="10"/>
    <x v="2"/>
    <n v="13"/>
    <n v="1"/>
    <d v="2019-01-02T00:00:00"/>
    <s v="SUZUKI"/>
    <s v="BALENO"/>
    <n v="0"/>
    <s v="F/Fecha"/>
    <n v="0"/>
    <x v="1"/>
  </r>
  <r>
    <d v="2019-01-15T00:00:00"/>
    <s v="001-00014620"/>
    <n v="1120.9151864999999"/>
    <n v="0"/>
    <n v="0"/>
    <n v="0"/>
    <n v="0"/>
    <n v="58.5"/>
    <n v="185.9325"/>
    <n v="0"/>
    <n v="244.4325"/>
    <n v="876.48268649999989"/>
    <n v="0.78193488415191525"/>
    <x v="1"/>
    <s v="LEVE"/>
    <x v="10"/>
    <x v="2"/>
    <n v="7"/>
    <n v="1"/>
    <d v="2019-01-08T00:00:00"/>
    <s v="MITSUBISHI"/>
    <s v="MIRAGE"/>
    <n v="0"/>
    <s v="F/Fecha"/>
    <n v="0"/>
    <x v="1"/>
  </r>
  <r>
    <d v="2019-01-15T00:00:00"/>
    <s v="001-00014584"/>
    <n v="1644.9177989999998"/>
    <n v="0"/>
    <n v="0"/>
    <n v="15.5"/>
    <n v="0"/>
    <n v="175.5"/>
    <n v="201.426875"/>
    <n v="0"/>
    <n v="392.426875"/>
    <n v="1252.4909239999997"/>
    <n v="0.76143070782104161"/>
    <x v="1"/>
    <s v="MEDIANO"/>
    <x v="10"/>
    <x v="2"/>
    <n v="11"/>
    <n v="1"/>
    <d v="2019-01-04T00:00:00"/>
    <s v="KIA"/>
    <s v="CERATO"/>
    <n v="0"/>
    <s v="F/Fecha"/>
    <n v="0"/>
    <x v="1"/>
  </r>
  <r>
    <d v="2019-01-15T00:00:00"/>
    <s v="001-00014469"/>
    <n v="1029.437799"/>
    <n v="0"/>
    <n v="0"/>
    <n v="16.5"/>
    <n v="0"/>
    <n v="117"/>
    <n v="139.449375"/>
    <n v="0"/>
    <n v="272.94937500000003"/>
    <n v="756.48842400000001"/>
    <n v="0.73485588418732617"/>
    <x v="1"/>
    <s v="MEDIANO"/>
    <x v="10"/>
    <x v="2"/>
    <n v="27"/>
    <n v="1"/>
    <d v="2018-12-19T00:00:00"/>
    <s v="CHEVROLET"/>
    <s v="N300"/>
    <n v="1342.0225"/>
    <d v="2018-12-20T00:00:00"/>
    <n v="8"/>
    <x v="999"/>
  </r>
  <r>
    <d v="2019-01-15T00:00:00"/>
    <s v="001-00014612"/>
    <n v="681.55781237999997"/>
    <n v="0"/>
    <n v="0"/>
    <n v="0"/>
    <n v="0"/>
    <n v="73.125"/>
    <n v="77.471874999999997"/>
    <n v="0"/>
    <n v="150.59687500000001"/>
    <n v="530.9609373799999"/>
    <n v="0.7790402042724508"/>
    <x v="1"/>
    <s v="LEVE"/>
    <x v="10"/>
    <x v="2"/>
    <n v="8"/>
    <n v="1"/>
    <d v="2019-01-07T00:00:00"/>
    <s v="CHEVROLET"/>
    <s v="TRACKER"/>
    <n v="0"/>
    <s v="F/Fecha"/>
    <n v="0"/>
    <x v="1"/>
  </r>
  <r>
    <d v="2019-01-15T00:00:00"/>
    <s v="001-00014592"/>
    <n v="1240.9950000000001"/>
    <n v="0"/>
    <n v="0"/>
    <n v="0"/>
    <n v="0"/>
    <n v="73.125"/>
    <n v="247.91"/>
    <n v="0"/>
    <n v="321.03499999999997"/>
    <n v="919.96000000000015"/>
    <n v="0.74130838560993406"/>
    <x v="1"/>
    <s v="MEDIANO"/>
    <x v="10"/>
    <x v="2"/>
    <n v="11"/>
    <n v="1"/>
    <d v="2019-01-04T00:00:00"/>
    <s v="SUZUKI"/>
    <s v="CELERIO"/>
    <n v="0"/>
    <s v="F/Fecha"/>
    <n v="0"/>
    <x v="1"/>
  </r>
  <r>
    <d v="2019-01-15T00:00:00"/>
    <s v="001-00014572"/>
    <n v="995.13750000000005"/>
    <n v="0"/>
    <n v="0"/>
    <n v="0"/>
    <n v="0"/>
    <n v="102.375"/>
    <n v="154.94374999999999"/>
    <n v="0"/>
    <n v="257.31875000000002"/>
    <n v="737.81875000000002"/>
    <n v="0.74142392382962152"/>
    <x v="1"/>
    <s v="MEDIANO"/>
    <x v="10"/>
    <x v="2"/>
    <n v="12"/>
    <n v="1"/>
    <d v="2019-01-03T00:00:00"/>
    <s v="TOYOTA"/>
    <s v="YARIS"/>
    <n v="0"/>
    <s v="F/Fecha"/>
    <n v="0"/>
    <x v="1"/>
  </r>
  <r>
    <d v="2019-01-16T00:00:00"/>
    <s v="001-00014312"/>
    <n v="3244.2438062669498"/>
    <n v="7.6793001199999997"/>
    <n v="0"/>
    <n v="0"/>
    <n v="102.375"/>
    <n v="263.25"/>
    <n v="387.359375"/>
    <n v="0"/>
    <n v="760.66367511999999"/>
    <n v="2483.58013114695"/>
    <n v="0.76553436777759565"/>
    <x v="1"/>
    <s v="MEDIANO"/>
    <x v="10"/>
    <x v="2"/>
    <n v="43"/>
    <n v="1"/>
    <d v="2018-12-04T00:00:00"/>
    <s v="HYUNDAI"/>
    <s v="I10"/>
    <n v="9030.84"/>
    <d v="2018-12-06T00:00:00"/>
    <n v="18"/>
    <x v="1375"/>
  </r>
  <r>
    <d v="2019-01-16T00:00:00"/>
    <s v="001-00014704"/>
    <n v="1091.1016999999999"/>
    <n v="421.32199199999997"/>
    <n v="0"/>
    <n v="0"/>
    <n v="78.097499999999997"/>
    <n v="0"/>
    <n v="0"/>
    <n v="0"/>
    <n v="499.41949199999999"/>
    <n v="591.68220799999995"/>
    <n v="0.54227961334859986"/>
    <x v="0"/>
    <s v="MECANICA"/>
    <x v="10"/>
    <x v="2"/>
    <n v="1"/>
    <n v="1"/>
    <d v="2019-01-15T00:00:00"/>
    <s v="TOYOTA"/>
    <s v="RAV4"/>
    <n v="0"/>
    <s v="F/Fecha"/>
    <n v="0"/>
    <x v="96"/>
  </r>
  <r>
    <d v="2019-01-16T00:00:00"/>
    <s v="001-00014616"/>
    <n v="1359.3799593000001"/>
    <n v="0"/>
    <n v="0"/>
    <n v="86.27"/>
    <n v="0"/>
    <n v="131.625"/>
    <n v="185.9325"/>
    <n v="0"/>
    <n v="403.82749999999999"/>
    <n v="955.55245930000012"/>
    <n v="0.70293257802038867"/>
    <x v="1"/>
    <s v="MEDIANO"/>
    <x v="10"/>
    <x v="2"/>
    <n v="9"/>
    <n v="1"/>
    <d v="2019-01-07T00:00:00"/>
    <s v="KIA"/>
    <s v="RIO"/>
    <n v="0"/>
    <s v="F/Fecha"/>
    <n v="0"/>
    <x v="1"/>
  </r>
  <r>
    <d v="2019-01-16T00:00:00"/>
    <s v="001-00014718"/>
    <n v="969.05287832644012"/>
    <n v="0"/>
    <n v="0"/>
    <n v="0"/>
    <n v="0"/>
    <n v="0"/>
    <n v="0"/>
    <n v="0"/>
    <n v="0"/>
    <n v="969.05287832644012"/>
    <n v="1"/>
    <x v="0"/>
    <s v="LEVE"/>
    <x v="10"/>
    <x v="2"/>
    <n v="0"/>
    <n v="1"/>
    <d v="2019-01-16T00:00:00"/>
    <s v="TOYOTA"/>
    <s v="HILUX"/>
    <n v="0"/>
    <s v="F/Fecha"/>
    <n v="0"/>
    <x v="999"/>
  </r>
  <r>
    <d v="2019-01-16T00:00:00"/>
    <s v="001-00014417"/>
    <n v="3097.0149072749996"/>
    <n v="1.6948999499999999"/>
    <n v="0"/>
    <n v="101.25"/>
    <n v="14.625"/>
    <n v="321.75"/>
    <n v="480.32562499999995"/>
    <n v="0"/>
    <n v="919.64552494999998"/>
    <n v="2177.3693823249996"/>
    <n v="0.70305421430496851"/>
    <x v="1"/>
    <s v="MEDIANO"/>
    <x v="10"/>
    <x v="2"/>
    <n v="34"/>
    <n v="1"/>
    <d v="2018-12-13T00:00:00"/>
    <s v="TOYOTA"/>
    <s v="HILUX"/>
    <n v="6032.0975000000008"/>
    <d v="2018-12-15T00:00:00"/>
    <n v="22"/>
    <x v="999"/>
  </r>
  <r>
    <d v="2019-01-16T00:00:00"/>
    <s v="001-00014685"/>
    <n v="1179"/>
    <n v="327.86379792000002"/>
    <n v="0"/>
    <n v="160"/>
    <n v="39.048749999999998"/>
    <n v="0"/>
    <n v="0"/>
    <n v="0"/>
    <n v="526.91254792000007"/>
    <n v="652.08745207999993"/>
    <n v="0.55308520108566572"/>
    <x v="0"/>
    <s v="MECANICA"/>
    <x v="10"/>
    <x v="2"/>
    <n v="2"/>
    <n v="1"/>
    <d v="2019-01-14T00:00:00"/>
    <s v="HYUNDAI"/>
    <s v="ACCENT"/>
    <n v="0"/>
    <s v="F/Fecha"/>
    <n v="0"/>
    <x v="871"/>
  </r>
  <r>
    <d v="2019-01-16T00:00:00"/>
    <s v="001-00014540"/>
    <n v="1742.23"/>
    <n v="0"/>
    <n v="0"/>
    <n v="76.27"/>
    <n v="0"/>
    <n v="117"/>
    <n v="278.89875000000001"/>
    <n v="0"/>
    <n v="472.16874999999999"/>
    <n v="1270.06125"/>
    <n v="0.72898598348094112"/>
    <x v="1"/>
    <s v="MEDIANO"/>
    <x v="10"/>
    <x v="2"/>
    <n v="18"/>
    <n v="1"/>
    <d v="2018-12-29T00:00:00"/>
    <s v="SUZUKI"/>
    <s v="BALENO"/>
    <n v="0"/>
    <s v="F/Fecha"/>
    <n v="0"/>
    <x v="1"/>
  </r>
  <r>
    <d v="2019-01-16T00:00:00"/>
    <s v="001-00014506"/>
    <n v="3269.0389635245792"/>
    <n v="0"/>
    <n v="0"/>
    <n v="216.10474576271184"/>
    <n v="14.625"/>
    <n v="234"/>
    <n v="387.359375"/>
    <n v="0"/>
    <n v="852.0891207627119"/>
    <n v="2416.9498427618673"/>
    <n v="0.7393456822417267"/>
    <x v="1"/>
    <s v="MEDIANO"/>
    <x v="10"/>
    <x v="2"/>
    <n v="21"/>
    <n v="1"/>
    <d v="2018-12-26T00:00:00"/>
    <s v="HYUNDAI"/>
    <s v="I10"/>
    <n v="0"/>
    <s v="F/Fecha"/>
    <n v="0"/>
    <x v="1"/>
  </r>
  <r>
    <d v="2019-01-16T00:00:00"/>
    <s v="001-00014538"/>
    <n v="1415.2541496271201"/>
    <n v="0"/>
    <n v="0"/>
    <n v="22.5"/>
    <n v="0"/>
    <n v="219.375"/>
    <n v="185.9325"/>
    <n v="0"/>
    <n v="427.8075"/>
    <n v="987.44664962712011"/>
    <n v="0.69771683756397018"/>
    <x v="0"/>
    <s v="MEDIANO"/>
    <x v="10"/>
    <x v="2"/>
    <n v="18"/>
    <n v="1"/>
    <d v="2018-12-29T00:00:00"/>
    <s v="TOYOTA"/>
    <s v="HILUX"/>
    <n v="0"/>
    <s v="F/Fecha"/>
    <n v="0"/>
    <x v="999"/>
  </r>
  <r>
    <d v="2019-01-16T00:00:00"/>
    <s v="001-00014088"/>
    <n v="897.58252172627147"/>
    <n v="0"/>
    <n v="0"/>
    <n v="35.5"/>
    <n v="0"/>
    <n v="43.875"/>
    <n v="216.92125000000001"/>
    <n v="0"/>
    <n v="296.29624999999999"/>
    <n v="601.28627172627148"/>
    <n v="0.66989525438825437"/>
    <x v="1"/>
    <s v="LEVE"/>
    <x v="10"/>
    <x v="2"/>
    <n v="64"/>
    <n v="1"/>
    <d v="2018-11-13T00:00:00"/>
    <s v="BMW"/>
    <s v="M240I"/>
    <n v="0"/>
    <s v="F/Fecha"/>
    <n v="0"/>
    <x v="999"/>
  </r>
  <r>
    <d v="2019-01-16T00:00:00"/>
    <s v="001-00014645"/>
    <n v="434.19998700000008"/>
    <n v="0"/>
    <n v="0"/>
    <n v="30"/>
    <n v="0"/>
    <n v="29.25"/>
    <n v="77.471874999999997"/>
    <n v="0"/>
    <n v="136.72187500000001"/>
    <n v="297.47811200000007"/>
    <n v="0.68511773585106073"/>
    <x v="0"/>
    <s v="LEVE"/>
    <x v="10"/>
    <x v="2"/>
    <n v="6"/>
    <n v="1"/>
    <d v="2019-01-10T00:00:00"/>
    <s v="BMW"/>
    <s v="240I"/>
    <n v="0"/>
    <s v="F/Fecha"/>
    <n v="0"/>
    <x v="999"/>
  </r>
  <r>
    <d v="2019-01-17T00:00:00"/>
    <s v="001-00014642"/>
    <n v="300"/>
    <n v="0"/>
    <n v="0"/>
    <n v="84.75"/>
    <n v="0"/>
    <n v="65.8125"/>
    <n v="0"/>
    <n v="0"/>
    <n v="150.5625"/>
    <n v="149.4375"/>
    <n v="0.49812499999999998"/>
    <x v="0"/>
    <s v="MEDIANO"/>
    <x v="10"/>
    <x v="2"/>
    <n v="8"/>
    <n v="1"/>
    <d v="2019-01-09T00:00:00"/>
    <s v="NISSAN"/>
    <s v="VERSA"/>
    <n v="0"/>
    <s v="F/Fecha"/>
    <n v="0"/>
    <x v="1376"/>
  </r>
  <r>
    <d v="2019-01-17T00:00:00"/>
    <s v="001-00014672"/>
    <n v="1453"/>
    <n v="754.73681003999991"/>
    <n v="0"/>
    <n v="38.14"/>
    <n v="39.048749999999998"/>
    <n v="0"/>
    <n v="0"/>
    <n v="0"/>
    <n v="831.92556003999994"/>
    <n v="621.07443996000006"/>
    <n v="0.42744283548520307"/>
    <x v="0"/>
    <s v="MECANICA"/>
    <x v="10"/>
    <x v="2"/>
    <n v="5"/>
    <n v="1"/>
    <d v="2019-01-12T00:00:00"/>
    <s v="NISSAN"/>
    <s v="TIIDA"/>
    <n v="0"/>
    <s v="F/Fecha"/>
    <n v="0"/>
    <x v="157"/>
  </r>
  <r>
    <d v="2019-01-17T00:00:00"/>
    <s v="001-00014486"/>
    <n v="1286.5379614000001"/>
    <n v="0"/>
    <n v="0"/>
    <n v="0"/>
    <n v="0"/>
    <n v="102.375"/>
    <n v="247.91"/>
    <n v="0"/>
    <n v="350.28499999999997"/>
    <n v="936.25296140000012"/>
    <n v="0.72773053690633216"/>
    <x v="1"/>
    <s v="MEDIANO"/>
    <x v="10"/>
    <x v="2"/>
    <n v="27"/>
    <n v="1"/>
    <d v="2018-12-21T00:00:00"/>
    <s v="NISSAN"/>
    <s v="VERSA"/>
    <n v="4136.5999999999995"/>
    <d v="2018-12-24T00:00:00"/>
    <n v="7"/>
    <x v="1"/>
  </r>
  <r>
    <d v="2019-01-17T00:00:00"/>
    <s v="001-00014447"/>
    <n v="1981.46844055"/>
    <n v="0"/>
    <n v="0"/>
    <n v="12"/>
    <n v="0"/>
    <n v="175.5"/>
    <n v="340.87625000000003"/>
    <n v="0"/>
    <n v="528.37625000000003"/>
    <n v="1453.0921905499999"/>
    <n v="0.73334107211248967"/>
    <x v="1"/>
    <s v="MEDIANO"/>
    <x v="10"/>
    <x v="2"/>
    <n v="31"/>
    <n v="1"/>
    <d v="2018-12-17T00:00:00"/>
    <s v="HYUNDAI"/>
    <s v="ACCENT"/>
    <n v="699.23750000000007"/>
    <d v="2018-12-19T00:00:00"/>
    <n v="10"/>
    <x v="1"/>
  </r>
  <r>
    <d v="2019-01-17T00:00:00"/>
    <s v="001-00014641"/>
    <n v="1089.8909672999998"/>
    <n v="0"/>
    <n v="0"/>
    <n v="9"/>
    <n v="0"/>
    <n v="87.75"/>
    <n v="185.9325"/>
    <n v="0"/>
    <n v="282.6825"/>
    <n v="807.20846729999982"/>
    <n v="0.7406323123309364"/>
    <x v="1"/>
    <s v="LEVE"/>
    <x v="10"/>
    <x v="2"/>
    <n v="8"/>
    <n v="1"/>
    <d v="2019-01-09T00:00:00"/>
    <s v="SUBARU"/>
    <s v="IMPREZA"/>
    <n v="0"/>
    <s v="F/Fecha"/>
    <n v="0"/>
    <x v="1"/>
  </r>
  <r>
    <d v="2019-01-17T00:00:00"/>
    <s v="001-00013923"/>
    <n v="5087.0051293045781"/>
    <n v="2.6274000200000005"/>
    <n v="0"/>
    <n v="105.93474576271187"/>
    <n v="87.75"/>
    <n v="702"/>
    <n v="526.18897500000003"/>
    <n v="0"/>
    <n v="1424.501120782712"/>
    <n v="3662.5040085218661"/>
    <n v="0.71997254090100571"/>
    <x v="1"/>
    <s v="GRAVE"/>
    <x v="10"/>
    <x v="2"/>
    <n v="80"/>
    <n v="1"/>
    <d v="2018-10-29T00:00:00"/>
    <s v="HYUNDAI"/>
    <s v="ACCENT"/>
    <n v="9515.0575000000008"/>
    <d v="2018-10-30T00:00:00"/>
    <n v="48"/>
    <x v="1"/>
  </r>
  <r>
    <d v="2019-01-17T00:00:00"/>
    <s v="001-00014655"/>
    <n v="3336.3328999000005"/>
    <n v="558.85998999999993"/>
    <n v="0"/>
    <n v="0"/>
    <n v="0"/>
    <n v="146.25"/>
    <n v="495.82"/>
    <n v="0"/>
    <n v="1200.9299899999999"/>
    <n v="2135.4029099000009"/>
    <n v="0.64004491577084677"/>
    <x v="0"/>
    <s v="MEDIANO"/>
    <x v="10"/>
    <x v="2"/>
    <n v="6"/>
    <n v="1"/>
    <d v="2019-01-11T00:00:00"/>
    <s v="TOYOTA"/>
    <s v="HILUX"/>
    <n v="0"/>
    <s v="F/Fecha"/>
    <n v="0"/>
    <x v="999"/>
  </r>
  <r>
    <d v="2019-01-18T00:00:00"/>
    <s v="001-00014553"/>
    <n v="1207.3932123745797"/>
    <n v="0"/>
    <n v="0"/>
    <n v="63.56"/>
    <n v="29.25"/>
    <n v="58.5"/>
    <n v="170.43812500000001"/>
    <n v="0"/>
    <n v="321.74812500000002"/>
    <n v="885.64508737457959"/>
    <n v="0.73351835864041492"/>
    <x v="1"/>
    <s v="LEVE"/>
    <x v="10"/>
    <x v="2"/>
    <n v="16"/>
    <n v="1"/>
    <d v="2019-01-02T00:00:00"/>
    <s v="TOYOTA"/>
    <s v="ETIOS"/>
    <n v="0"/>
    <s v="F/Fecha"/>
    <n v="0"/>
    <x v="1"/>
  </r>
  <r>
    <d v="2019-01-18T00:00:00"/>
    <s v="001-00014644"/>
    <n v="768.31280464831002"/>
    <n v="0"/>
    <n v="0"/>
    <n v="0"/>
    <n v="0"/>
    <n v="73.125"/>
    <n v="120.23635000000002"/>
    <n v="0"/>
    <n v="193.36135000000002"/>
    <n v="574.95145464831"/>
    <n v="0.74832991350637468"/>
    <x v="1"/>
    <s v="LEVE"/>
    <x v="10"/>
    <x v="2"/>
    <n v="8"/>
    <n v="1"/>
    <d v="2019-01-10T00:00:00"/>
    <s v="TOYOTA"/>
    <s v="RAV4"/>
    <n v="0"/>
    <s v="F/Fecha"/>
    <n v="0"/>
    <x v="1377"/>
  </r>
  <r>
    <d v="2019-01-18T00:00:00"/>
    <s v="001-00014466"/>
    <n v="1286.5379613999999"/>
    <n v="0"/>
    <n v="0"/>
    <n v="0"/>
    <n v="0"/>
    <n v="73.125"/>
    <n v="247.91"/>
    <n v="0"/>
    <n v="321.03499999999997"/>
    <n v="965.50296139999989"/>
    <n v="0.7504659717536416"/>
    <x v="1"/>
    <s v="LEVE"/>
    <x v="10"/>
    <x v="2"/>
    <n v="30"/>
    <n v="1"/>
    <d v="2018-12-19T00:00:00"/>
    <s v="SUZUKI"/>
    <s v="APV"/>
    <n v="0"/>
    <s v="F/Fecha"/>
    <n v="0"/>
    <x v="1378"/>
  </r>
  <r>
    <d v="2019-01-18T00:00:00"/>
    <s v="001-00014712"/>
    <n v="399.95998800000001"/>
    <n v="0"/>
    <n v="0"/>
    <n v="0"/>
    <n v="0"/>
    <n v="14.625"/>
    <n v="61.977499999999999"/>
    <n v="0"/>
    <n v="76.602499999999992"/>
    <n v="323.35748799999999"/>
    <n v="0.80847459171340907"/>
    <x v="0"/>
    <s v="LEVE"/>
    <x v="10"/>
    <x v="2"/>
    <n v="2"/>
    <n v="1"/>
    <d v="2019-01-16T00:00:00"/>
    <s v="TOYOTA"/>
    <s v="COROLLA"/>
    <n v="0"/>
    <s v="F/Fecha"/>
    <n v="0"/>
    <x v="697"/>
  </r>
  <r>
    <d v="2019-01-18T00:00:00"/>
    <s v="001-00014476"/>
    <n v="1441.5224567499999"/>
    <n v="0"/>
    <n v="0"/>
    <n v="0"/>
    <n v="0"/>
    <n v="175.5"/>
    <n v="170.43812500000001"/>
    <n v="0"/>
    <n v="345.93812500000001"/>
    <n v="1095.5843317499998"/>
    <n v="0.76001891376708852"/>
    <x v="1"/>
    <s v="MEDIANO"/>
    <x v="10"/>
    <x v="2"/>
    <n v="29"/>
    <n v="1"/>
    <d v="2018-12-20T00:00:00"/>
    <s v="HONDA"/>
    <s v="CR-V"/>
    <n v="0"/>
    <s v="F/Fecha"/>
    <n v="0"/>
    <x v="1"/>
  </r>
  <r>
    <d v="2019-01-18T00:00:00"/>
    <s v="001-00014568"/>
    <n v="271.63949185000001"/>
    <n v="0"/>
    <n v="0"/>
    <n v="0"/>
    <n v="0"/>
    <n v="21.9375"/>
    <n v="61.977499999999999"/>
    <n v="0"/>
    <n v="83.914999999999992"/>
    <n v="187.72449185000002"/>
    <n v="0.69107952813305196"/>
    <x v="1"/>
    <s v="LEVE"/>
    <x v="10"/>
    <x v="2"/>
    <n v="15"/>
    <n v="1"/>
    <d v="2019-01-03T00:00:00"/>
    <s v="JEEP"/>
    <s v="COMPASS"/>
    <n v="0"/>
    <s v="F/Fecha"/>
    <n v="0"/>
    <x v="1"/>
  </r>
  <r>
    <d v="2019-01-18T00:00:00"/>
    <s v="001-00014734"/>
    <n v="449"/>
    <n v="105.25512430000002"/>
    <n v="0"/>
    <n v="0"/>
    <n v="39.048749999999998"/>
    <n v="0"/>
    <n v="0"/>
    <n v="0"/>
    <n v="144.30387430000002"/>
    <n v="304.69612569999998"/>
    <n v="0.67861052494432073"/>
    <x v="0"/>
    <s v="MECANICA"/>
    <x v="10"/>
    <x v="2"/>
    <n v="1"/>
    <n v="1"/>
    <d v="2019-01-17T00:00:00"/>
    <s v="MAZDA"/>
    <s v="MAZDA 3"/>
    <n v="0"/>
    <s v="F/Fecha"/>
    <n v="0"/>
    <x v="747"/>
  </r>
  <r>
    <d v="2019-01-18T00:00:00"/>
    <s v="001-00014632"/>
    <n v="743.25897769999995"/>
    <n v="0"/>
    <n v="0"/>
    <n v="12"/>
    <n v="0"/>
    <n v="58.5"/>
    <n v="123.955"/>
    <n v="0"/>
    <n v="194.45499999999998"/>
    <n v="548.8039776999999"/>
    <n v="0.73837517496023097"/>
    <x v="1"/>
    <s v="LEVE"/>
    <x v="10"/>
    <x v="2"/>
    <n v="10"/>
    <n v="1"/>
    <d v="2019-01-08T00:00:00"/>
    <s v="KIA"/>
    <s v="RIO"/>
    <n v="0"/>
    <s v="F/Fecha"/>
    <n v="0"/>
    <x v="1"/>
  </r>
  <r>
    <d v="2019-01-19T00:00:00"/>
    <s v="001-00014666"/>
    <n v="838.89118979999978"/>
    <n v="0"/>
    <n v="0"/>
    <n v="17.8"/>
    <n v="0"/>
    <n v="73.125"/>
    <n v="139.449375"/>
    <n v="0"/>
    <n v="230.37437499999999"/>
    <n v="608.51681479999979"/>
    <n v="0.72538229295872858"/>
    <x v="1"/>
    <s v="LEVE"/>
    <x v="10"/>
    <x v="2"/>
    <n v="7"/>
    <n v="1"/>
    <d v="2019-01-12T00:00:00"/>
    <s v="PEUGEOT"/>
    <n v="308"/>
    <n v="0"/>
    <s v="F/Fecha"/>
    <n v="0"/>
    <x v="1379"/>
  </r>
  <r>
    <d v="2019-01-19T00:00:00"/>
    <s v="001-00014745"/>
    <n v="579"/>
    <n v="149.20602350000001"/>
    <n v="0"/>
    <n v="0"/>
    <n v="39.048749999999998"/>
    <n v="0"/>
    <n v="0"/>
    <n v="0"/>
    <n v="188.2547735"/>
    <n v="390.7452265"/>
    <n v="0.67486222193436962"/>
    <x v="0"/>
    <s v="MECANICA"/>
    <x v="10"/>
    <x v="2"/>
    <n v="0"/>
    <n v="1"/>
    <d v="2019-01-19T00:00:00"/>
    <s v="JEEP"/>
    <s v="PATRIOT"/>
    <n v="0"/>
    <s v="F/Fecha"/>
    <n v="0"/>
    <x v="1229"/>
  </r>
  <r>
    <d v="2019-01-19T00:00:00"/>
    <s v="001-00014599"/>
    <n v="2631.1512229899995"/>
    <n v="1.0168000399999999"/>
    <n v="0"/>
    <n v="99.75"/>
    <n v="14.625"/>
    <n v="204.75"/>
    <n v="449.33687499999996"/>
    <n v="0"/>
    <n v="769.47867503999998"/>
    <n v="1861.6725479499996"/>
    <n v="0.70755057013956946"/>
    <x v="1"/>
    <s v="MEDIANO"/>
    <x v="10"/>
    <x v="2"/>
    <n v="14"/>
    <n v="1"/>
    <d v="2019-01-05T00:00:00"/>
    <s v="TOYOTA"/>
    <s v="YARIS"/>
    <n v="0"/>
    <s v="F/Fecha"/>
    <n v="0"/>
    <x v="1380"/>
  </r>
  <r>
    <d v="2019-01-19T00:00:00"/>
    <s v="001-00014659"/>
    <n v="502.01270307599998"/>
    <n v="0"/>
    <n v="0"/>
    <n v="0"/>
    <n v="0"/>
    <n v="21.9375"/>
    <n v="61.977499999999999"/>
    <n v="0"/>
    <n v="83.914999999999992"/>
    <n v="418.09770307600002"/>
    <n v="0.83284287531804546"/>
    <x v="1"/>
    <s v="LEVE"/>
    <x v="10"/>
    <x v="2"/>
    <n v="8"/>
    <n v="1"/>
    <d v="2019-01-11T00:00:00"/>
    <s v="HYUNDAI"/>
    <s v="SANTA FE"/>
    <n v="0"/>
    <s v="F/Fecha"/>
    <n v="0"/>
    <x v="1"/>
  </r>
  <r>
    <d v="2019-01-19T00:00:00"/>
    <s v="001-00014717"/>
    <n v="820.91814099999976"/>
    <n v="0"/>
    <n v="0"/>
    <n v="0"/>
    <n v="0"/>
    <n v="87.75"/>
    <n v="123.955"/>
    <n v="0"/>
    <n v="211.70499999999998"/>
    <n v="609.21314099999972"/>
    <n v="0.74211192392202219"/>
    <x v="1"/>
    <s v="LEVE"/>
    <x v="10"/>
    <x v="2"/>
    <n v="3"/>
    <n v="1"/>
    <d v="2019-01-16T00:00:00"/>
    <s v="SUZUKI"/>
    <s v="VITARA"/>
    <n v="0"/>
    <s v="F/Fecha"/>
    <n v="0"/>
    <x v="48"/>
  </r>
  <r>
    <d v="2019-01-19T00:00:00"/>
    <s v="001-00014563"/>
    <n v="1081.9940000000001"/>
    <n v="1.44069994"/>
    <n v="0"/>
    <n v="33.5"/>
    <n v="0"/>
    <n v="58.5"/>
    <n v="247.91"/>
    <n v="0"/>
    <n v="341.35069994000003"/>
    <n v="740.64330006000012"/>
    <n v="0.68451701216457761"/>
    <x v="1"/>
    <s v="LEVE"/>
    <x v="10"/>
    <x v="2"/>
    <n v="17"/>
    <n v="1"/>
    <d v="2019-01-02T00:00:00"/>
    <s v="CHEVROLET"/>
    <s v="SAIL"/>
    <n v="0"/>
    <s v="F/Fecha"/>
    <n v="0"/>
    <x v="999"/>
  </r>
  <r>
    <d v="2019-01-19T00:00:00"/>
    <s v="001-00014565"/>
    <n v="2894.1679999999997"/>
    <n v="59.320001999999981"/>
    <n v="0"/>
    <n v="12"/>
    <n v="36.5625"/>
    <n v="234"/>
    <n v="340.87625000000003"/>
    <n v="0"/>
    <n v="682.75875199999996"/>
    <n v="2211.4092479999999"/>
    <n v="0.76409152751326126"/>
    <x v="1"/>
    <s v="MEDIANO"/>
    <x v="10"/>
    <x v="2"/>
    <n v="17"/>
    <n v="1"/>
    <d v="2019-01-02T00:00:00"/>
    <s v="KIA"/>
    <s v="RIO"/>
    <n v="0"/>
    <s v="F/Fecha"/>
    <n v="0"/>
    <x v="1"/>
  </r>
  <r>
    <d v="2019-01-19T00:00:00"/>
    <s v="001-00014726"/>
    <n v="730.18"/>
    <n v="516.94998999999996"/>
    <n v="0"/>
    <n v="296.61"/>
    <n v="0"/>
    <n v="14.625"/>
    <n v="0"/>
    <n v="0"/>
    <n v="828.18498999999997"/>
    <n v="-98.004990000000021"/>
    <n v="-0.13422031553863434"/>
    <x v="0"/>
    <s v="LEVE"/>
    <x v="10"/>
    <x v="2"/>
    <n v="2"/>
    <n v="1"/>
    <d v="2019-01-17T00:00:00"/>
    <s v="NISSAN"/>
    <s v="NP300"/>
    <n v="0"/>
    <s v="F/Fecha"/>
    <n v="0"/>
    <x v="999"/>
  </r>
  <r>
    <d v="2019-01-19T00:00:00"/>
    <s v="001-00014633"/>
    <n v="886.173"/>
    <n v="1.6948000000000001"/>
    <n v="0"/>
    <n v="0"/>
    <n v="0"/>
    <n v="43.875"/>
    <n v="185.9325"/>
    <n v="0"/>
    <n v="231.50229999999999"/>
    <n v="654.67070000000001"/>
    <n v="0.73876173162576608"/>
    <x v="1"/>
    <s v="LEVE"/>
    <x v="10"/>
    <x v="2"/>
    <n v="11"/>
    <n v="1"/>
    <d v="2019-01-08T00:00:00"/>
    <s v="SUZUKI"/>
    <s v="SX4"/>
    <n v="0"/>
    <s v="F/Fecha"/>
    <n v="0"/>
    <x v="1"/>
  </r>
  <r>
    <d v="2019-01-21T00:00:00"/>
    <s v="001-00014604"/>
    <n v="1827.1094999999996"/>
    <n v="39.832700999999986"/>
    <n v="0"/>
    <n v="0"/>
    <n v="0"/>
    <n v="175.5"/>
    <n v="278.89875000000001"/>
    <n v="0"/>
    <n v="494.23145099999999"/>
    <n v="1332.8780489999995"/>
    <n v="0.72950091332785461"/>
    <x v="1"/>
    <s v="MEDIANO"/>
    <x v="10"/>
    <x v="2"/>
    <n v="14"/>
    <n v="1"/>
    <d v="2019-01-07T00:00:00"/>
    <s v="NISSAN"/>
    <s v="VERSA"/>
    <n v="0"/>
    <s v="F/Fecha"/>
    <n v="0"/>
    <x v="1381"/>
  </r>
  <r>
    <d v="2019-01-21T00:00:00"/>
    <s v="001-00014682"/>
    <n v="419.03770307599996"/>
    <n v="0"/>
    <n v="0"/>
    <n v="8"/>
    <n v="0"/>
    <n v="21.9375"/>
    <n v="77.471874999999997"/>
    <n v="0"/>
    <n v="107.409375"/>
    <n v="311.62832807599995"/>
    <n v="0.74367610787395089"/>
    <x v="1"/>
    <s v="LEVE"/>
    <x v="10"/>
    <x v="2"/>
    <n v="7"/>
    <n v="1"/>
    <d v="2019-01-14T00:00:00"/>
    <s v="HONDA"/>
    <s v="CR-V"/>
    <n v="0"/>
    <s v="F/Fecha"/>
    <n v="0"/>
    <x v="1"/>
  </r>
  <r>
    <d v="2019-01-21T00:00:00"/>
    <s v="001-00014598"/>
    <n v="1629.54"/>
    <n v="0.42369999999999997"/>
    <n v="0"/>
    <n v="0"/>
    <n v="0"/>
    <n v="146.25"/>
    <n v="294.393125"/>
    <n v="0"/>
    <n v="441.06682499999999"/>
    <n v="1188.4731750000001"/>
    <n v="0.72933047056224465"/>
    <x v="1"/>
    <s v="MEDIANO"/>
    <x v="10"/>
    <x v="2"/>
    <n v="16"/>
    <n v="1"/>
    <d v="2019-01-05T00:00:00"/>
    <s v="KIA"/>
    <s v="RIO"/>
    <n v="0"/>
    <s v="F/Fecha"/>
    <n v="0"/>
    <x v="1"/>
  </r>
  <r>
    <d v="2019-01-21T00:00:00"/>
    <s v="001-00014470"/>
    <n v="3054.3237229900001"/>
    <n v="0.84739999999999993"/>
    <n v="0"/>
    <n v="55.084745762711869"/>
    <n v="43.875"/>
    <n v="365.625"/>
    <n v="294.393125"/>
    <n v="0"/>
    <n v="759.82527076271185"/>
    <n v="2294.498452227288"/>
    <n v="0.75122962080165867"/>
    <x v="1"/>
    <s v="GRAVE"/>
    <x v="10"/>
    <x v="2"/>
    <n v="33"/>
    <n v="1"/>
    <d v="2018-12-19T00:00:00"/>
    <s v="HYUNDAI"/>
    <s v="ACCENT"/>
    <n v="3932.5650000000001"/>
    <d v="2018-12-20T00:00:00"/>
    <n v="25"/>
    <x v="1"/>
  </r>
  <r>
    <d v="2019-01-21T00:00:00"/>
    <s v="001-00013877"/>
    <n v="1377.3850000000002"/>
    <n v="0"/>
    <n v="0"/>
    <n v="0"/>
    <n v="0"/>
    <n v="58.5"/>
    <n v="309.88749999999999"/>
    <n v="0"/>
    <n v="368.38749999999999"/>
    <n v="1008.9975000000002"/>
    <n v="0.73254572977054344"/>
    <x v="1"/>
    <s v="LEVE"/>
    <x v="10"/>
    <x v="2"/>
    <n v="89"/>
    <n v="1"/>
    <d v="2018-10-24T00:00:00"/>
    <s v="TOYOTA"/>
    <s v="COROLLA"/>
    <n v="0"/>
    <s v="F/Fecha"/>
    <n v="0"/>
    <x v="1"/>
  </r>
  <r>
    <d v="2019-01-21T00:00:00"/>
    <s v="001-00014680"/>
    <n v="402.44270307599993"/>
    <n v="0"/>
    <n v="0"/>
    <n v="0"/>
    <n v="0"/>
    <n v="29.25"/>
    <n v="77.471874999999997"/>
    <n v="0"/>
    <n v="106.721875"/>
    <n v="295.72082807599992"/>
    <n v="0.73481473465839942"/>
    <x v="1"/>
    <s v="LEVE"/>
    <x v="10"/>
    <x v="2"/>
    <n v="7"/>
    <n v="1"/>
    <d v="2019-01-14T00:00:00"/>
    <s v="TOYOTA"/>
    <s v="COROLLA"/>
    <n v="0"/>
    <s v="F/Fecha"/>
    <n v="0"/>
    <x v="1"/>
  </r>
  <r>
    <d v="2019-01-22T00:00:00"/>
    <s v="001-00014504"/>
    <n v="500"/>
    <n v="135.45334779999999"/>
    <n v="0"/>
    <n v="0"/>
    <n v="39.048749999999998"/>
    <n v="0"/>
    <n v="0"/>
    <n v="0"/>
    <n v="174.5020978"/>
    <n v="325.4979022"/>
    <n v="0.65099580440000004"/>
    <x v="0"/>
    <s v="MECANICA"/>
    <x v="10"/>
    <x v="2"/>
    <n v="29"/>
    <n v="1"/>
    <d v="2018-12-24T00:00:00"/>
    <s v="TOYOTA"/>
    <s v="HILUX"/>
    <n v="0"/>
    <d v="2018-12-26T00:00:00"/>
    <n v="0"/>
    <x v="871"/>
  </r>
  <r>
    <d v="2019-01-22T00:00:00"/>
    <s v="001-00014751"/>
    <n v="755.90997730000004"/>
    <n v="187.89"/>
    <n v="0"/>
    <n v="0"/>
    <n v="0"/>
    <n v="73.125"/>
    <n v="61.977499999999999"/>
    <n v="0"/>
    <n v="322.99250000000001"/>
    <n v="432.91747730000003"/>
    <n v="0.57271036274229103"/>
    <x v="0"/>
    <s v="LEVE"/>
    <x v="10"/>
    <x v="2"/>
    <n v="3"/>
    <n v="1"/>
    <d v="2019-01-19T00:00:00"/>
    <s v="TOYOTA"/>
    <s v="HILUX"/>
    <n v="0"/>
    <s v="F/Fecha"/>
    <n v="0"/>
    <x v="1357"/>
  </r>
  <r>
    <d v="2019-01-22T00:00:00"/>
    <s v="001-00014700"/>
    <n v="1803.1949458499998"/>
    <n v="0"/>
    <n v="0"/>
    <n v="0"/>
    <n v="0"/>
    <n v="175.5"/>
    <n v="216.92125000000001"/>
    <n v="0"/>
    <n v="392.42124999999999"/>
    <n v="1410.77369585"/>
    <n v="0.78237447320759979"/>
    <x v="1"/>
    <s v="MEDIANO"/>
    <x v="10"/>
    <x v="2"/>
    <n v="7"/>
    <n v="1"/>
    <d v="2019-01-15T00:00:00"/>
    <s v="KIA"/>
    <s v="RIO"/>
    <n v="0"/>
    <s v="F/Fecha"/>
    <n v="0"/>
    <x v="1"/>
  </r>
  <r>
    <d v="2019-01-22T00:00:00"/>
    <s v="001-00014614"/>
    <n v="2497.4999249999996"/>
    <n v="0"/>
    <n v="9.42"/>
    <n v="63.56"/>
    <n v="0"/>
    <n v="292.5"/>
    <n v="309.88749999999999"/>
    <n v="0"/>
    <n v="675.36750000000006"/>
    <n v="1822.1324249999996"/>
    <n v="0.72958257446193908"/>
    <x v="1"/>
    <s v="MEDIANO"/>
    <x v="10"/>
    <x v="2"/>
    <n v="15"/>
    <n v="1"/>
    <d v="2019-01-07T00:00:00"/>
    <s v="HYUNDAI"/>
    <s v="I10"/>
    <n v="0"/>
    <s v="F/Fecha"/>
    <n v="0"/>
    <x v="1"/>
  </r>
  <r>
    <d v="2019-01-22T00:00:00"/>
    <s v="001-00014391"/>
    <n v="2477.5199256000001"/>
    <n v="5.8996002000000001"/>
    <n v="93.2"/>
    <n v="84.75"/>
    <n v="14.625"/>
    <n v="175.5"/>
    <n v="371.86500000000001"/>
    <n v="0"/>
    <n v="745.83960019999995"/>
    <n v="1731.6803254000001"/>
    <n v="0.69895717386839007"/>
    <x v="1"/>
    <s v="MEDIANO"/>
    <x v="10"/>
    <x v="2"/>
    <n v="42"/>
    <n v="1"/>
    <d v="2018-12-11T00:00:00"/>
    <s v="SUZUKI"/>
    <s v="SWIFT"/>
    <n v="6844.9549999999999"/>
    <d v="2018-12-18T00:00:00"/>
    <n v="12"/>
    <x v="1"/>
  </r>
  <r>
    <d v="2019-01-22T00:00:00"/>
    <s v="001-00014649"/>
    <n v="1028.0386014279688"/>
    <n v="0"/>
    <n v="0"/>
    <n v="0"/>
    <n v="0"/>
    <n v="58.5"/>
    <n v="139.449375"/>
    <n v="0"/>
    <n v="197.949375"/>
    <n v="830.08922642796881"/>
    <n v="0.8074494724954453"/>
    <x v="1"/>
    <s v="LEVE"/>
    <x v="10"/>
    <x v="2"/>
    <n v="12"/>
    <n v="1"/>
    <d v="2019-01-10T00:00:00"/>
    <s v="NISSAN"/>
    <s v="VERSA"/>
    <n v="0"/>
    <s v="F/Fecha"/>
    <n v="0"/>
    <x v="1"/>
  </r>
  <r>
    <d v="2019-01-22T00:00:00"/>
    <s v="001-00014653"/>
    <n v="645.20147994457955"/>
    <n v="0.84739999999999993"/>
    <n v="0"/>
    <n v="0"/>
    <n v="0"/>
    <n v="87.75"/>
    <n v="77.471874999999997"/>
    <n v="0"/>
    <n v="166.069275"/>
    <n v="479.13220494457954"/>
    <n v="0.74260865766416906"/>
    <x v="1"/>
    <s v="LEVE"/>
    <x v="10"/>
    <x v="2"/>
    <n v="11"/>
    <n v="1"/>
    <d v="2019-01-11T00:00:00"/>
    <s v="CHEVROLET"/>
    <s v="N300"/>
    <n v="0"/>
    <s v="F/Fecha"/>
    <n v="0"/>
    <x v="1"/>
  </r>
  <r>
    <d v="2019-01-23T00:00:00"/>
    <s v="001-00014744"/>
    <n v="550"/>
    <n v="0"/>
    <n v="0"/>
    <n v="0"/>
    <n v="39.048749999999998"/>
    <n v="0"/>
    <n v="0"/>
    <n v="0"/>
    <n v="39.048749999999998"/>
    <n v="510.95125000000002"/>
    <n v="0.92900227272727276"/>
    <x v="0"/>
    <s v="MECANICA"/>
    <x v="10"/>
    <x v="2"/>
    <n v="5"/>
    <n v="1"/>
    <d v="2019-01-18T00:00:00"/>
    <s v="VW"/>
    <s v="BORA"/>
    <n v="0"/>
    <s v="F/Fecha"/>
    <n v="0"/>
    <x v="932"/>
  </r>
  <r>
    <d v="2019-01-23T00:00:00"/>
    <s v="001-00014730"/>
    <n v="349"/>
    <n v="123.71889899999999"/>
    <n v="0"/>
    <n v="0"/>
    <n v="39.048749999999998"/>
    <n v="0"/>
    <n v="0"/>
    <n v="0"/>
    <n v="162.76764900000001"/>
    <n v="186.23235099999999"/>
    <n v="0.5336170515759312"/>
    <x v="0"/>
    <s v="MECANICA"/>
    <x v="10"/>
    <x v="2"/>
    <n v="6"/>
    <n v="1"/>
    <d v="2019-01-17T00:00:00"/>
    <s v="VW"/>
    <s v="BORA"/>
    <n v="0"/>
    <s v="F/Fecha"/>
    <n v="0"/>
    <x v="932"/>
  </r>
  <r>
    <d v="2019-01-23T00:00:00"/>
    <s v="001-00014590"/>
    <n v="2158.2187007245798"/>
    <n v="22.877400999999992"/>
    <n v="0"/>
    <n v="55.084745762711869"/>
    <n v="14.625"/>
    <n v="292.5"/>
    <n v="201.426875"/>
    <n v="0"/>
    <n v="586.51402176271188"/>
    <n v="1571.704678961868"/>
    <n v="0.72824161816140265"/>
    <x v="1"/>
    <s v="MEDIANO"/>
    <x v="10"/>
    <x v="2"/>
    <n v="19"/>
    <n v="1"/>
    <d v="2019-01-04T00:00:00"/>
    <s v="KIA"/>
    <s v="RIO"/>
    <n v="0"/>
    <s v="F/Fecha"/>
    <n v="0"/>
    <x v="1"/>
  </r>
  <r>
    <d v="2019-01-23T00:00:00"/>
    <s v="001-00014643"/>
    <n v="1592.5408223762702"/>
    <n v="235.46370860000002"/>
    <n v="0"/>
    <n v="99.75"/>
    <n v="26.324999999999999"/>
    <n v="117"/>
    <n v="216.92125000000001"/>
    <n v="0"/>
    <n v="695.45995860000005"/>
    <n v="897.08086377627012"/>
    <n v="0.5633016442477834"/>
    <x v="1"/>
    <s v="MEDIANO"/>
    <x v="10"/>
    <x v="2"/>
    <n v="14"/>
    <n v="1"/>
    <d v="2019-01-09T00:00:00"/>
    <s v="VW"/>
    <s v="GOL"/>
    <n v="0"/>
    <s v="F/Fecha"/>
    <n v="0"/>
    <x v="1"/>
  </r>
  <r>
    <d v="2019-01-23T00:00:00"/>
    <s v="001-00014610"/>
    <n v="942.7024717500002"/>
    <n v="0"/>
    <n v="0"/>
    <n v="21.5"/>
    <n v="0"/>
    <n v="73.125"/>
    <n v="154.94374999999999"/>
    <n v="0"/>
    <n v="249.56874999999999"/>
    <n v="693.13372175000018"/>
    <n v="0.73526244230938609"/>
    <x v="1"/>
    <s v="LEVE"/>
    <x v="10"/>
    <x v="2"/>
    <n v="16"/>
    <n v="1"/>
    <d v="2019-01-07T00:00:00"/>
    <s v="CHEVROLET"/>
    <s v="N300"/>
    <n v="0"/>
    <s v="F/Fecha"/>
    <n v="0"/>
    <x v="999"/>
  </r>
  <r>
    <d v="2019-01-24T00:00:00"/>
    <s v="001-00014706"/>
    <n v="669.26902004999999"/>
    <n v="0"/>
    <n v="0"/>
    <n v="12"/>
    <n v="0"/>
    <n v="29.25"/>
    <n v="123.955"/>
    <n v="0"/>
    <n v="165.20499999999998"/>
    <n v="504.06402005000001"/>
    <n v="0.75315606273295332"/>
    <x v="1"/>
    <s v="LEVE"/>
    <x v="10"/>
    <x v="2"/>
    <n v="8"/>
    <n v="1"/>
    <d v="2019-01-16T00:00:00"/>
    <s v="KIA"/>
    <s v="RIO"/>
    <n v="0"/>
    <s v="F/Fecha"/>
    <n v="0"/>
    <x v="1"/>
  </r>
  <r>
    <d v="2019-01-24T00:00:00"/>
    <s v="001-00014609"/>
    <n v="2231.4530668500001"/>
    <n v="0"/>
    <n v="0"/>
    <n v="0"/>
    <n v="0"/>
    <n v="146.25"/>
    <n v="402.85374999999999"/>
    <n v="0"/>
    <n v="549.10374999999999"/>
    <n v="1682.3493168500002"/>
    <n v="0.75392547656172093"/>
    <x v="1"/>
    <s v="MEDIANO"/>
    <x v="10"/>
    <x v="2"/>
    <n v="17"/>
    <n v="1"/>
    <d v="2019-01-07T00:00:00"/>
    <s v="KIA"/>
    <s v="RIO"/>
    <n v="0"/>
    <s v="F/Fecha"/>
    <n v="0"/>
    <x v="1"/>
  </r>
  <r>
    <d v="2019-01-24T00:00:00"/>
    <s v="001-00013927"/>
    <n v="3401.4221019000015"/>
    <n v="5.4759001999999999"/>
    <n v="0"/>
    <n v="0"/>
    <n v="29.25"/>
    <n v="468"/>
    <n v="371.86500000000001"/>
    <n v="0"/>
    <n v="874.59090020000008"/>
    <n v="2526.8312017000017"/>
    <n v="0.74287492878009409"/>
    <x v="1"/>
    <s v="GRAVE"/>
    <x v="10"/>
    <x v="2"/>
    <n v="87"/>
    <n v="1"/>
    <d v="2018-10-29T00:00:00"/>
    <s v="CHEVROLET"/>
    <s v="N300"/>
    <n v="2592.1675"/>
    <d v="2018-12-27T00:00:00"/>
    <n v="32"/>
    <x v="999"/>
  </r>
  <r>
    <d v="2019-01-24T00:00:00"/>
    <s v="001-00014689"/>
    <n v="1161.6240347999999"/>
    <n v="0"/>
    <n v="0"/>
    <n v="14"/>
    <n v="0"/>
    <n v="73.125"/>
    <n v="123.955"/>
    <n v="0"/>
    <n v="211.07999999999998"/>
    <n v="950.54403479999996"/>
    <n v="0.8182888837726725"/>
    <x v="1"/>
    <s v="MEDIANO"/>
    <x v="10"/>
    <x v="2"/>
    <n v="9"/>
    <n v="1"/>
    <d v="2019-01-15T00:00:00"/>
    <s v="KIA"/>
    <s v="PICANTO"/>
    <n v="0"/>
    <s v="F/Fecha"/>
    <n v="0"/>
    <x v="1"/>
  </r>
  <r>
    <d v="2019-01-24T00:00:00"/>
    <s v="001-00014677"/>
    <n v="1339.3865597254198"/>
    <n v="0"/>
    <n v="0"/>
    <n v="0"/>
    <n v="0"/>
    <n v="87.75"/>
    <n v="216.92125000000001"/>
    <n v="0"/>
    <n v="304.67124999999999"/>
    <n v="1034.71530972542"/>
    <n v="0.77252926140870126"/>
    <x v="1"/>
    <s v="MEDIANO"/>
    <x v="10"/>
    <x v="2"/>
    <n v="10"/>
    <n v="1"/>
    <d v="2019-01-14T00:00:00"/>
    <s v="TOYOTA"/>
    <s v="ETIOS"/>
    <n v="0"/>
    <s v="F/Fecha"/>
    <n v="0"/>
    <x v="1"/>
  </r>
  <r>
    <d v="2019-01-24T00:00:00"/>
    <s v="001-00014795"/>
    <n v="549"/>
    <n v="159.90519479999998"/>
    <n v="0"/>
    <n v="0"/>
    <n v="39.048749999999998"/>
    <n v="0"/>
    <n v="0"/>
    <n v="0"/>
    <n v="198.95394479999999"/>
    <n v="350.04605520000001"/>
    <n v="0.63760665792349724"/>
    <x v="0"/>
    <s v="MECANICA"/>
    <x v="10"/>
    <x v="2"/>
    <n v="1"/>
    <n v="1"/>
    <d v="2019-01-23T00:00:00"/>
    <s v="JEEP"/>
    <s v="COMPASS"/>
    <n v="0"/>
    <s v="F/Fecha"/>
    <n v="0"/>
    <x v="441"/>
  </r>
  <r>
    <d v="2019-01-24T00:00:00"/>
    <s v="001-00014793"/>
    <n v="549"/>
    <n v="117.721996"/>
    <n v="0"/>
    <n v="0"/>
    <n v="39.048749999999998"/>
    <n v="0"/>
    <n v="0"/>
    <n v="0"/>
    <n v="156.770746"/>
    <n v="392.22925399999997"/>
    <n v="0.71444308561020031"/>
    <x v="0"/>
    <s v="MECANICA"/>
    <x v="10"/>
    <x v="2"/>
    <n v="2"/>
    <n v="1"/>
    <d v="2019-01-22T00:00:00"/>
    <s v="NISSAN"/>
    <s v="X-TRAIL"/>
    <n v="0"/>
    <s v="F/Fecha"/>
    <n v="0"/>
    <x v="1162"/>
  </r>
  <r>
    <d v="2019-01-24T00:00:00"/>
    <s v="001-00014796"/>
    <n v="375"/>
    <n v="24.898401040000007"/>
    <n v="0"/>
    <n v="135.6"/>
    <n v="39.048749999999998"/>
    <n v="0"/>
    <n v="0"/>
    <n v="0"/>
    <n v="199.54715104000002"/>
    <n v="175.45284895999998"/>
    <n v="0.46787426389333331"/>
    <x v="0"/>
    <s v="MECANICA"/>
    <x v="10"/>
    <x v="2"/>
    <n v="1"/>
    <n v="1"/>
    <d v="2019-01-23T00:00:00"/>
    <s v="NISSAN"/>
    <s v="TIIDA"/>
    <n v="0"/>
    <s v="F/Fecha"/>
    <n v="0"/>
    <x v="157"/>
  </r>
  <r>
    <d v="2019-01-25T00:00:00"/>
    <s v="001-00014742"/>
    <n v="1400.3010000000004"/>
    <n v="0"/>
    <n v="0"/>
    <n v="0"/>
    <n v="0"/>
    <n v="131.625"/>
    <n v="309.88749999999999"/>
    <n v="0"/>
    <n v="441.51249999999999"/>
    <n v="958.78850000000034"/>
    <n v="0.68470171770212263"/>
    <x v="0"/>
    <s v="MEDIANO"/>
    <x v="10"/>
    <x v="2"/>
    <n v="7"/>
    <n v="1"/>
    <d v="2019-01-18T00:00:00"/>
    <s v="MITSUBISHI"/>
    <s v="L200"/>
    <n v="0"/>
    <s v="F/Fecha"/>
    <n v="0"/>
    <x v="1382"/>
  </r>
  <r>
    <d v="2019-01-25T00:00:00"/>
    <s v="001-00014729"/>
    <n v="1043.952"/>
    <n v="0"/>
    <n v="0"/>
    <n v="0"/>
    <n v="0"/>
    <n v="73.125"/>
    <n v="185.9325"/>
    <n v="0"/>
    <n v="259.0575"/>
    <n v="784.89449999999999"/>
    <n v="0.75184922295277945"/>
    <x v="1"/>
    <s v="MEDIANO"/>
    <x v="10"/>
    <x v="2"/>
    <n v="8"/>
    <n v="1"/>
    <d v="2019-01-17T00:00:00"/>
    <s v="SUZUKI"/>
    <s v="VITARA"/>
    <n v="0"/>
    <s v="F/Fecha"/>
    <n v="0"/>
    <x v="1266"/>
  </r>
  <r>
    <d v="2019-01-25T00:00:00"/>
    <s v="001-00014714"/>
    <n v="1045.625"/>
    <n v="0"/>
    <n v="0"/>
    <n v="0"/>
    <n v="0"/>
    <n v="87.75"/>
    <n v="170.43812500000001"/>
    <n v="0"/>
    <n v="258.18812500000001"/>
    <n v="787.43687499999999"/>
    <n v="0.75307770472205615"/>
    <x v="1"/>
    <s v="MEDIANO"/>
    <x v="10"/>
    <x v="2"/>
    <n v="9"/>
    <n v="1"/>
    <d v="2019-01-16T00:00:00"/>
    <s v="HYUNDAI"/>
    <s v="ELANTRA"/>
    <n v="0"/>
    <s v="F/Fecha"/>
    <n v="0"/>
    <x v="1383"/>
  </r>
  <r>
    <d v="2019-01-25T00:00:00"/>
    <s v="001-00014673"/>
    <n v="1558.4135531999998"/>
    <n v="0"/>
    <n v="0"/>
    <n v="93.22"/>
    <n v="0"/>
    <n v="58.5"/>
    <n v="263.40437500000002"/>
    <n v="0"/>
    <n v="415.12437499999999"/>
    <n v="1143.2891781999997"/>
    <n v="0.73362373925226965"/>
    <x v="1"/>
    <s v="LEVE"/>
    <x v="10"/>
    <x v="2"/>
    <n v="11"/>
    <n v="1"/>
    <d v="2019-01-14T00:00:00"/>
    <s v="SUZUKI"/>
    <s v="VITARA"/>
    <n v="0"/>
    <s v="F/Fecha"/>
    <n v="0"/>
    <x v="1"/>
  </r>
  <r>
    <d v="2019-01-25T00:00:00"/>
    <s v="001-00014715"/>
    <n v="1043.952"/>
    <n v="0.84739999999999993"/>
    <n v="0"/>
    <n v="0"/>
    <n v="0"/>
    <n v="43.875"/>
    <n v="185.9325"/>
    <n v="0"/>
    <n v="230.6549"/>
    <n v="813.2971"/>
    <n v="0.7790560293959875"/>
    <x v="1"/>
    <s v="LEVE"/>
    <x v="10"/>
    <x v="2"/>
    <n v="9"/>
    <n v="1"/>
    <d v="2019-01-16T00:00:00"/>
    <s v="CHEVROLET"/>
    <s v="SAIL"/>
    <n v="0"/>
    <s v="F/Fecha"/>
    <n v="0"/>
    <x v="1"/>
  </r>
  <r>
    <d v="2019-01-25T00:00:00"/>
    <s v="001-00014724"/>
    <n v="1913.0895532"/>
    <n v="0.42369999999999997"/>
    <n v="0"/>
    <n v="0"/>
    <n v="0"/>
    <n v="146.25"/>
    <n v="201.426875"/>
    <n v="0"/>
    <n v="348.10057499999999"/>
    <n v="1564.9889782"/>
    <n v="0.81804271816876706"/>
    <x v="1"/>
    <s v="MEDIANO"/>
    <x v="10"/>
    <x v="2"/>
    <n v="8"/>
    <n v="1"/>
    <d v="2019-01-17T00:00:00"/>
    <s v="NISSAN"/>
    <s v="QASHQAI"/>
    <n v="0"/>
    <s v="F/Fecha"/>
    <n v="0"/>
    <x v="1"/>
  </r>
  <r>
    <d v="2019-01-25T00:00:00"/>
    <s v="001-00014675"/>
    <n v="564.65156658399997"/>
    <n v="0"/>
    <n v="0"/>
    <n v="0"/>
    <n v="0"/>
    <n v="29.25"/>
    <n v="77.471874999999997"/>
    <n v="0"/>
    <n v="106.721875"/>
    <n v="457.92969158399995"/>
    <n v="0.81099516708039876"/>
    <x v="1"/>
    <s v="LEVE"/>
    <x v="10"/>
    <x v="2"/>
    <n v="11"/>
    <n v="1"/>
    <d v="2019-01-14T00:00:00"/>
    <s v="TOYOTA"/>
    <s v="HILUX"/>
    <n v="0"/>
    <s v="F/Fecha"/>
    <n v="0"/>
    <x v="1"/>
  </r>
  <r>
    <d v="2019-01-25T00:00:00"/>
    <s v="001-00014512"/>
    <n v="942.74955320000004"/>
    <n v="0"/>
    <n v="0"/>
    <n v="0"/>
    <n v="0"/>
    <n v="58.5"/>
    <n v="201.426875"/>
    <n v="0"/>
    <n v="259.926875"/>
    <n v="682.82267820000004"/>
    <n v="0.72428851955673357"/>
    <x v="1"/>
    <s v="LEVE"/>
    <x v="10"/>
    <x v="2"/>
    <n v="30"/>
    <n v="1"/>
    <d v="2018-12-26T00:00:00"/>
    <s v="TOYOTA"/>
    <s v="HILUX"/>
    <n v="1547.1625000000001"/>
    <d v="2018-12-27T00:00:00"/>
    <n v="4"/>
    <x v="999"/>
  </r>
  <r>
    <d v="2019-01-25T00:00:00"/>
    <s v="001-00014671"/>
    <n v="771.25300000000004"/>
    <n v="0"/>
    <n v="0"/>
    <n v="0"/>
    <n v="0"/>
    <n v="29.25"/>
    <n v="123.955"/>
    <n v="0"/>
    <n v="153.20499999999998"/>
    <n v="618.048"/>
    <n v="0.80135571595831712"/>
    <x v="1"/>
    <s v="LEVE"/>
    <x v="10"/>
    <x v="2"/>
    <n v="13"/>
    <n v="1"/>
    <d v="2019-01-12T00:00:00"/>
    <s v="MITSUBISHI"/>
    <s v="MIRAGE"/>
    <n v="0"/>
    <s v="F/Fecha"/>
    <n v="0"/>
    <x v="1"/>
  </r>
  <r>
    <d v="2019-01-25T00:00:00"/>
    <s v="001-00014651"/>
    <n v="888.67484720000004"/>
    <n v="0"/>
    <n v="0"/>
    <n v="16.95"/>
    <n v="0"/>
    <n v="58.5"/>
    <n v="154.94374999999999"/>
    <n v="0"/>
    <n v="230.39375000000001"/>
    <n v="658.28109719999998"/>
    <n v="0.74074460335417935"/>
    <x v="1"/>
    <s v="LEVE"/>
    <x v="10"/>
    <x v="2"/>
    <n v="15"/>
    <n v="1"/>
    <d v="2019-01-10T00:00:00"/>
    <s v="TOYOTA"/>
    <s v="YARIS"/>
    <n v="0"/>
    <s v="F/Fecha"/>
    <n v="0"/>
    <x v="1"/>
  </r>
  <r>
    <d v="2019-01-25T00:00:00"/>
    <s v="001-00014738"/>
    <n v="797.19855319999999"/>
    <n v="0"/>
    <n v="0"/>
    <n v="0"/>
    <n v="0"/>
    <n v="58.5"/>
    <n v="108.46062500000001"/>
    <n v="0"/>
    <n v="166.96062499999999"/>
    <n v="630.23792819999994"/>
    <n v="0.79056582035954448"/>
    <x v="1"/>
    <s v="LEVE"/>
    <x v="10"/>
    <x v="2"/>
    <n v="7"/>
    <n v="1"/>
    <d v="2019-01-18T00:00:00"/>
    <s v="KIA"/>
    <s v="PICANTO"/>
    <n v="0"/>
    <s v="F/Fecha"/>
    <n v="0"/>
    <x v="1"/>
  </r>
  <r>
    <d v="2019-01-25T00:00:00"/>
    <s v="001-00014660"/>
    <n v="1013.0155531999999"/>
    <n v="0"/>
    <n v="0"/>
    <n v="55.084745762711869"/>
    <n v="0"/>
    <n v="58.5"/>
    <n v="123.955"/>
    <n v="0"/>
    <n v="237.53974576271185"/>
    <n v="775.47580743728804"/>
    <n v="0.76551224212466329"/>
    <x v="1"/>
    <s v="LEVE"/>
    <x v="10"/>
    <x v="2"/>
    <n v="14"/>
    <n v="1"/>
    <d v="2019-01-11T00:00:00"/>
    <s v="KIA"/>
    <s v="SORENTO"/>
    <n v="0"/>
    <s v="F/Fecha"/>
    <n v="0"/>
    <x v="1"/>
  </r>
  <r>
    <d v="2019-01-26T00:00:00"/>
    <s v="001-00014797"/>
    <n v="705"/>
    <n v="374.04000399999995"/>
    <n v="0"/>
    <n v="0"/>
    <n v="39.048749999999998"/>
    <n v="0"/>
    <n v="0"/>
    <n v="0"/>
    <n v="413.08875399999994"/>
    <n v="291.91124600000006"/>
    <n v="0.41405850496453911"/>
    <x v="0"/>
    <s v="MECANICA"/>
    <x v="10"/>
    <x v="2"/>
    <n v="3"/>
    <n v="1"/>
    <d v="2019-01-23T00:00:00"/>
    <s v="MG"/>
    <s v="MG3"/>
    <n v="0"/>
    <s v="F/Fecha"/>
    <n v="0"/>
    <x v="29"/>
  </r>
  <r>
    <d v="2019-01-26T00:00:00"/>
    <s v="001-00014725"/>
    <n v="2050.4850000000001"/>
    <n v="0"/>
    <n v="0"/>
    <n v="0"/>
    <n v="14.625"/>
    <n v="117"/>
    <n v="418.34812499999998"/>
    <n v="0"/>
    <n v="549.97312499999998"/>
    <n v="1500.5118750000001"/>
    <n v="0.73178388283747509"/>
    <x v="1"/>
    <s v="MEDIANO"/>
    <x v="10"/>
    <x v="2"/>
    <n v="9"/>
    <n v="1"/>
    <d v="2019-01-17T00:00:00"/>
    <s v="HYUNDAI"/>
    <s v="ACCENT"/>
    <n v="0"/>
    <s v="F/Fecha"/>
    <n v="0"/>
    <x v="1"/>
  </r>
  <r>
    <d v="2019-01-26T00:00:00"/>
    <s v="001-00014727"/>
    <n v="860.33098949999999"/>
    <n v="0"/>
    <n v="0"/>
    <n v="0"/>
    <n v="0"/>
    <n v="65.8125"/>
    <n v="123.955"/>
    <n v="0"/>
    <n v="189.76749999999998"/>
    <n v="670.56348950000006"/>
    <n v="0.77942500930916436"/>
    <x v="1"/>
    <s v="LEVE"/>
    <x v="10"/>
    <x v="2"/>
    <n v="9"/>
    <n v="1"/>
    <d v="2019-01-17T00:00:00"/>
    <s v="HONDA"/>
    <s v="HR-V"/>
    <n v="0"/>
    <s v="F/Fecha"/>
    <n v="0"/>
    <x v="1"/>
  </r>
  <r>
    <d v="2019-01-26T00:00:00"/>
    <s v="001-00014690"/>
    <n v="1391.52"/>
    <n v="0"/>
    <n v="0"/>
    <n v="0"/>
    <n v="0"/>
    <n v="102.375"/>
    <n v="247.91"/>
    <n v="0"/>
    <n v="350.28499999999997"/>
    <n v="1041.2350000000001"/>
    <n v="0.74827167414050832"/>
    <x v="1"/>
    <s v="MEDIANO"/>
    <x v="10"/>
    <x v="2"/>
    <n v="11"/>
    <n v="1"/>
    <d v="2019-01-15T00:00:00"/>
    <s v="HONDA"/>
    <s v="WR-V"/>
    <n v="0"/>
    <s v="F/Fecha"/>
    <n v="0"/>
    <x v="1"/>
  </r>
  <r>
    <d v="2019-01-26T00:00:00"/>
    <s v="001-00014658"/>
    <n v="1110.54"/>
    <n v="0"/>
    <n v="0"/>
    <n v="0"/>
    <n v="0"/>
    <n v="58.5"/>
    <n v="185.9325"/>
    <n v="0"/>
    <n v="244.4325"/>
    <n v="866.10749999999996"/>
    <n v="0.77989761737533092"/>
    <x v="1"/>
    <s v="LEVE"/>
    <x v="10"/>
    <x v="2"/>
    <n v="15"/>
    <n v="1"/>
    <d v="2019-01-11T00:00:00"/>
    <s v="FORD"/>
    <s v="ECOSPORT"/>
    <n v="0"/>
    <s v="F/Fecha"/>
    <n v="0"/>
    <x v="1"/>
  </r>
  <r>
    <d v="2019-01-26T00:00:00"/>
    <s v="001-00014756"/>
    <n v="258.415299"/>
    <n v="0"/>
    <n v="0"/>
    <n v="55.084745762711869"/>
    <n v="0"/>
    <n v="7.3125"/>
    <n v="15.494375"/>
    <n v="0"/>
    <n v="77.891620762711867"/>
    <n v="180.52367823728815"/>
    <n v="0.69857968524258363"/>
    <x v="1"/>
    <s v="LEVE"/>
    <x v="10"/>
    <x v="2"/>
    <n v="5"/>
    <n v="1"/>
    <d v="2019-01-21T00:00:00"/>
    <s v="FORD"/>
    <s v="ECOSPORT"/>
    <n v="0"/>
    <s v="F/Fecha"/>
    <n v="0"/>
    <x v="1"/>
  </r>
  <r>
    <d v="2019-01-26T00:00:00"/>
    <s v="001-00014485"/>
    <n v="995.13750000000005"/>
    <n v="0"/>
    <n v="0"/>
    <n v="0"/>
    <n v="0"/>
    <n v="73.125"/>
    <n v="154.94374999999999"/>
    <n v="0"/>
    <n v="228.06874999999999"/>
    <n v="767.06875000000002"/>
    <n v="0.77081684691813945"/>
    <x v="1"/>
    <s v="MEDIANO"/>
    <x v="10"/>
    <x v="2"/>
    <n v="36"/>
    <n v="1"/>
    <d v="2018-12-21T00:00:00"/>
    <s v="SUZUKI"/>
    <s v="BALENO"/>
    <n v="0"/>
    <s v="F/Fecha"/>
    <n v="0"/>
    <x v="1"/>
  </r>
  <r>
    <d v="2019-01-28T00:00:00"/>
    <s v="001-00014585"/>
    <n v="501.75000000000006"/>
    <n v="0"/>
    <n v="0"/>
    <n v="16.5"/>
    <n v="14.625"/>
    <n v="131.625"/>
    <n v="356.37062500000002"/>
    <n v="0"/>
    <n v="519.12062500000002"/>
    <n v="-17.370624999999961"/>
    <n v="-3.4620079720976499E-2"/>
    <x v="1"/>
    <s v="LEVE"/>
    <x v="10"/>
    <x v="2"/>
    <n v="24"/>
    <n v="1"/>
    <d v="2019-01-04T00:00:00"/>
    <s v="TOYOTA"/>
    <s v="YARIS"/>
    <n v="0"/>
    <s v="F/Fecha"/>
    <n v="0"/>
    <x v="1384"/>
  </r>
  <r>
    <d v="2019-01-28T00:00:00"/>
    <s v="001-00014816"/>
    <n v="4443.1522306950001"/>
    <n v="1788.4540009999998"/>
    <n v="0"/>
    <n v="0"/>
    <n v="0"/>
    <n v="117"/>
    <n v="495.82"/>
    <n v="0"/>
    <n v="2401.2740009999998"/>
    <n v="2041.8782296950003"/>
    <n v="0.459556216775316"/>
    <x v="0"/>
    <s v="MEDIANO"/>
    <x v="10"/>
    <x v="2"/>
    <n v="3"/>
    <n v="1"/>
    <d v="2019-01-25T00:00:00"/>
    <s v="HONDA"/>
    <s v="CR-V"/>
    <n v="0"/>
    <s v="F/Fecha"/>
    <n v="0"/>
    <x v="1385"/>
  </r>
  <r>
    <d v="2019-01-28T00:00:00"/>
    <s v="001-00014676"/>
    <n v="1046.1627989999999"/>
    <n v="0"/>
    <n v="0"/>
    <n v="0"/>
    <n v="0"/>
    <n v="87.75"/>
    <n v="139.449375"/>
    <n v="0"/>
    <n v="227.199375"/>
    <n v="818.96342399999992"/>
    <n v="0.78282598538470871"/>
    <x v="1"/>
    <s v="MEDIANO"/>
    <x v="10"/>
    <x v="2"/>
    <n v="14"/>
    <n v="1"/>
    <d v="2019-01-14T00:00:00"/>
    <s v="NISSAN"/>
    <s v="VERSA"/>
    <n v="0"/>
    <s v="F/Fecha"/>
    <n v="0"/>
    <x v="1"/>
  </r>
  <r>
    <d v="2019-01-28T00:00:00"/>
    <s v="001-00014509"/>
    <n v="1838.0775000000001"/>
    <n v="0"/>
    <n v="0"/>
    <n v="40"/>
    <n v="14.625"/>
    <n v="117"/>
    <n v="340.87625000000003"/>
    <n v="0"/>
    <n v="512.50125000000003"/>
    <n v="1325.5762500000001"/>
    <n v="0.72117538569510808"/>
    <x v="1"/>
    <s v="MEDIANO"/>
    <x v="10"/>
    <x v="2"/>
    <n v="33"/>
    <n v="1"/>
    <d v="2018-12-26T00:00:00"/>
    <s v="SUZUKI"/>
    <s v="SWIFT"/>
    <n v="0"/>
    <s v="F/Fecha"/>
    <n v="0"/>
    <x v="1"/>
  </r>
  <r>
    <d v="2019-01-28T00:00:00"/>
    <s v="001-00014650"/>
    <n v="297.70500000000004"/>
    <n v="0.45750000000000002"/>
    <n v="0"/>
    <n v="0"/>
    <n v="0"/>
    <n v="14.625"/>
    <n v="61.977499999999999"/>
    <n v="0"/>
    <n v="77.06"/>
    <n v="220.64500000000004"/>
    <n v="0.74115315496884504"/>
    <x v="1"/>
    <s v="MEDIANO"/>
    <x v="10"/>
    <x v="2"/>
    <n v="18"/>
    <n v="1"/>
    <d v="2019-01-10T00:00:00"/>
    <s v="SUZUKI"/>
    <s v="SWIFT"/>
    <n v="0"/>
    <s v="F/Fecha"/>
    <n v="0"/>
    <x v="1"/>
  </r>
  <r>
    <d v="2019-01-28T00:00:00"/>
    <s v="001-00014011"/>
    <n v="150.52500000000001"/>
    <n v="0"/>
    <n v="0"/>
    <n v="22.5"/>
    <n v="43.875"/>
    <n v="0"/>
    <n v="0"/>
    <n v="0"/>
    <n v="66.375"/>
    <n v="84.15"/>
    <n v="0.55904334828101643"/>
    <x v="1"/>
    <s v="MEDIANO"/>
    <x v="10"/>
    <x v="2"/>
    <n v="83"/>
    <n v="1"/>
    <d v="2018-11-06T00:00:00"/>
    <s v="MITSUBISHI"/>
    <s v="L200"/>
    <n v="0"/>
    <s v="F/Fecha"/>
    <n v="0"/>
    <x v="1"/>
  </r>
  <r>
    <d v="2019-01-29T00:00:00"/>
    <s v="001-00014741"/>
    <n v="346.42"/>
    <n v="0"/>
    <n v="0"/>
    <n v="0"/>
    <n v="0"/>
    <n v="29.25"/>
    <n v="61.977499999999999"/>
    <n v="0"/>
    <n v="91.227499999999992"/>
    <n v="255.19250000000002"/>
    <n v="0.73665637087927949"/>
    <x v="1"/>
    <s v="LEVE"/>
    <x v="10"/>
    <x v="2"/>
    <n v="11"/>
    <n v="1"/>
    <d v="2019-01-18T00:00:00"/>
    <s v="SUZUKI"/>
    <s v="G. NOMADE"/>
    <n v="0"/>
    <s v="F/Fecha"/>
    <n v="0"/>
    <x v="1"/>
  </r>
  <r>
    <d v="2019-01-29T00:00:00"/>
    <s v="001-00014701"/>
    <n v="1147.0680342000001"/>
    <n v="0"/>
    <n v="0"/>
    <n v="0"/>
    <n v="0"/>
    <n v="102.375"/>
    <n v="185.9325"/>
    <n v="0"/>
    <n v="288.3075"/>
    <n v="858.76053420000005"/>
    <n v="0.74865701823774178"/>
    <x v="1"/>
    <s v="MEDIANO"/>
    <x v="10"/>
    <x v="2"/>
    <n v="14"/>
    <n v="1"/>
    <d v="2019-01-15T00:00:00"/>
    <s v="CITROEN"/>
    <s v="C-ELYSSE"/>
    <n v="0"/>
    <s v="F/Fecha"/>
    <n v="0"/>
    <x v="1"/>
  </r>
  <r>
    <d v="2019-01-29T00:00:00"/>
    <s v="001-00014674"/>
    <n v="1046.4480312000001"/>
    <n v="0.84739999999999993"/>
    <n v="0"/>
    <n v="0"/>
    <n v="0"/>
    <n v="58.5"/>
    <n v="185.9325"/>
    <n v="0"/>
    <n v="245.2799"/>
    <n v="801.16813120000006"/>
    <n v="0.76560718479375545"/>
    <x v="1"/>
    <s v="LEVE"/>
    <x v="10"/>
    <x v="2"/>
    <n v="15"/>
    <n v="1"/>
    <d v="2019-01-14T00:00:00"/>
    <s v="VW"/>
    <s v="GOL"/>
    <n v="0"/>
    <s v="F/Fecha"/>
    <n v="0"/>
    <x v="1"/>
  </r>
  <r>
    <d v="2019-01-29T00:00:00"/>
    <s v="001-00014753"/>
    <n v="747.94202229999996"/>
    <n v="1.2716000000000003"/>
    <n v="0"/>
    <n v="0"/>
    <n v="0"/>
    <n v="51.1875"/>
    <n v="123.955"/>
    <n v="0"/>
    <n v="176.41409999999999"/>
    <n v="571.5279223"/>
    <n v="0.76413399068351828"/>
    <x v="1"/>
    <s v="LEVE"/>
    <x v="10"/>
    <x v="2"/>
    <n v="8"/>
    <n v="1"/>
    <d v="2019-01-21T00:00:00"/>
    <s v="KIA"/>
    <s v="CERATO"/>
    <n v="0"/>
    <s v="F/Fecha"/>
    <n v="0"/>
    <x v="1"/>
  </r>
  <r>
    <d v="2019-01-29T00:00:00"/>
    <s v="001-00014836"/>
    <n v="16.949200000000001"/>
    <n v="0"/>
    <n v="0"/>
    <n v="0"/>
    <n v="0"/>
    <n v="0"/>
    <n v="0"/>
    <n v="0"/>
    <n v="0"/>
    <n v="16.949200000000001"/>
    <n v="1"/>
    <x v="0"/>
    <s v="MECANICA"/>
    <x v="10"/>
    <x v="2"/>
    <n v="1"/>
    <n v="1"/>
    <d v="2019-01-28T00:00:00"/>
    <s v="MITSUBISHI"/>
    <s v="L200"/>
    <n v="0"/>
    <s v="F/Fecha"/>
    <n v="0"/>
    <x v="999"/>
  </r>
  <r>
    <d v="2019-01-29T00:00:00"/>
    <s v="001-00014819"/>
    <n v="2008"/>
    <n v="660.15549699999985"/>
    <n v="0"/>
    <n v="76.27000000000001"/>
    <n v="58.5"/>
    <n v="0"/>
    <n v="0"/>
    <n v="0"/>
    <n v="794.92549699999984"/>
    <n v="1213.0745030000003"/>
    <n v="0.60412076842629492"/>
    <x v="0"/>
    <s v="MECANICA"/>
    <x v="10"/>
    <x v="2"/>
    <n v="1"/>
    <n v="1"/>
    <d v="2019-01-28T00:00:00"/>
    <s v="NISSAN"/>
    <s v="NAVARA"/>
    <n v="0"/>
    <s v="F/Fecha"/>
    <n v="0"/>
    <x v="157"/>
  </r>
  <r>
    <d v="2019-01-30T00:00:00"/>
    <s v="001-00014681"/>
    <n v="749.27997770000002"/>
    <n v="0"/>
    <n v="0"/>
    <n v="0"/>
    <n v="0"/>
    <n v="43.875"/>
    <n v="123.955"/>
    <n v="0"/>
    <n v="167.82999999999998"/>
    <n v="581.44997770000009"/>
    <n v="0.77601163117267169"/>
    <x v="1"/>
    <s v="LEVE"/>
    <x v="10"/>
    <x v="2"/>
    <n v="16"/>
    <n v="1"/>
    <d v="2019-01-14T00:00:00"/>
    <s v="KIA"/>
    <s v="SPORTAGE"/>
    <n v="0"/>
    <s v="F/Fecha"/>
    <n v="0"/>
    <x v="1386"/>
  </r>
  <r>
    <d v="2019-01-30T00:00:00"/>
    <s v="001-00013998"/>
    <n v="3911.8940291745789"/>
    <n v="5.4759001999999999"/>
    <n v="0"/>
    <n v="264.02474576271186"/>
    <n v="102.375"/>
    <n v="263.25"/>
    <n v="356.37062500000002"/>
    <n v="0"/>
    <n v="991.49627096271183"/>
    <n v="2920.3977582118669"/>
    <n v="0.74654316717983271"/>
    <x v="1"/>
    <s v="MEDIANO"/>
    <x v="10"/>
    <x v="2"/>
    <n v="86"/>
    <n v="1"/>
    <d v="2018-11-05T00:00:00"/>
    <s v="KIA"/>
    <s v="PICANTO"/>
    <n v="16482.830000000002"/>
    <d v="2018-11-19T00:00:00"/>
    <n v="18"/>
    <x v="999"/>
  </r>
  <r>
    <d v="2019-01-31T00:00:00"/>
    <s v="001-00014851"/>
    <n v="593.10169999999994"/>
    <n v="112.50702242"/>
    <n v="0"/>
    <n v="0"/>
    <n v="78.097499999999997"/>
    <n v="0"/>
    <n v="0"/>
    <n v="0"/>
    <n v="190.60452242"/>
    <n v="402.49717757999997"/>
    <n v="0.67863096258196531"/>
    <x v="0"/>
    <s v="MECANICA"/>
    <x v="10"/>
    <x v="2"/>
    <n v="1"/>
    <n v="1"/>
    <d v="2019-01-30T00:00:00"/>
    <s v="HYUNDAI"/>
    <s v="TUCSON"/>
    <n v="0"/>
    <s v="F/Fecha"/>
    <n v="0"/>
    <x v="28"/>
  </r>
  <r>
    <d v="2019-01-31T00:00:00"/>
    <s v="001-00014861"/>
    <n v="245.762699"/>
    <n v="135.55000000000001"/>
    <n v="0"/>
    <n v="0"/>
    <n v="0"/>
    <n v="0"/>
    <n v="0"/>
    <n v="0"/>
    <n v="135.55000000000001"/>
    <n v="110.21269899999999"/>
    <n v="0.44845169526723005"/>
    <x v="0"/>
    <s v="MECANICA"/>
    <x v="10"/>
    <x v="2"/>
    <n v="0"/>
    <n v="1"/>
    <d v="2019-01-31T00:00:00"/>
    <s v="SUZUKI"/>
    <s v="GRAND NOMADE"/>
    <n v="0"/>
    <s v="F/Fecha"/>
    <n v="0"/>
    <x v="1365"/>
  </r>
  <r>
    <d v="2019-01-31T00:00:00"/>
    <s v="001-00014752"/>
    <n v="572.02749999999992"/>
    <n v="0"/>
    <n v="0"/>
    <n v="0"/>
    <n v="0"/>
    <n v="51.1875"/>
    <n v="185.9325"/>
    <n v="0"/>
    <n v="237.12"/>
    <n v="334.90749999999991"/>
    <n v="0.58547447456634505"/>
    <x v="1"/>
    <s v="LEVE"/>
    <x v="10"/>
    <x v="2"/>
    <n v="10"/>
    <n v="1"/>
    <d v="2019-01-21T00:00:00"/>
    <s v="TOYOTA"/>
    <s v="YARIS"/>
    <n v="0"/>
    <s v="F/Fecha"/>
    <n v="0"/>
    <x v="1387"/>
  </r>
  <r>
    <d v="2019-01-31T00:00:00"/>
    <s v="001-00014823"/>
    <n v="550.22"/>
    <n v="0"/>
    <n v="0"/>
    <n v="0"/>
    <n v="0"/>
    <n v="58.5"/>
    <n v="61.977499999999999"/>
    <n v="0"/>
    <n v="120.47749999999999"/>
    <n v="429.74250000000006"/>
    <n v="0.78103758496601372"/>
    <x v="1"/>
    <s v="LEVE"/>
    <x v="10"/>
    <x v="2"/>
    <n v="3"/>
    <n v="1"/>
    <d v="2019-01-28T00:00:00"/>
    <s v="RENAULT"/>
    <s v="DUSTER"/>
    <n v="0"/>
    <s v="F/Fecha"/>
    <n v="0"/>
    <x v="1"/>
  </r>
  <r>
    <d v="2019-01-31T00:00:00"/>
    <s v="001-00014766"/>
    <n v="1897.2525000000001"/>
    <n v="0"/>
    <n v="0"/>
    <n v="21.19"/>
    <n v="0"/>
    <n v="146.25"/>
    <n v="278.89875000000001"/>
    <n v="0"/>
    <n v="446.33875"/>
    <n v="1450.9137500000002"/>
    <n v="0.76474467684190695"/>
    <x v="1"/>
    <s v="MEDIANO"/>
    <x v="10"/>
    <x v="2"/>
    <n v="10"/>
    <n v="1"/>
    <d v="2019-01-21T00:00:00"/>
    <s v="HYUNDAI"/>
    <s v="ACCENT"/>
    <n v="0"/>
    <s v="F/Fecha"/>
    <n v="0"/>
    <x v="1388"/>
  </r>
  <r>
    <d v="2019-01-31T00:00:00"/>
    <s v="001-00014748"/>
    <n v="1046.7600000000002"/>
    <n v="0"/>
    <n v="0"/>
    <n v="0"/>
    <n v="0"/>
    <n v="43.875"/>
    <n v="216.92125000000001"/>
    <n v="0"/>
    <n v="260.79624999999999"/>
    <n v="785.96375000000023"/>
    <n v="0.75085382513661214"/>
    <x v="1"/>
    <s v="LEVE"/>
    <x v="10"/>
    <x v="2"/>
    <n v="12"/>
    <n v="1"/>
    <d v="2019-01-19T00:00:00"/>
    <s v="SOVEAST"/>
    <s v="DX3"/>
    <n v="0"/>
    <s v="F/Fecha"/>
    <n v="0"/>
    <x v="1307"/>
  </r>
  <r>
    <d v="2019-01-31T00:00:00"/>
    <s v="001-00014755"/>
    <n v="1764.7300000000002"/>
    <n v="0"/>
    <n v="0"/>
    <n v="101.69491525423729"/>
    <n v="0"/>
    <n v="131.625"/>
    <n v="247.91"/>
    <n v="0"/>
    <n v="481.22991525423731"/>
    <n v="1283.5000847457629"/>
    <n v="0.72730677483000961"/>
    <x v="1"/>
    <s v="MEDIANO"/>
    <x v="10"/>
    <x v="2"/>
    <n v="10"/>
    <n v="1"/>
    <d v="2019-01-21T00:00:00"/>
    <s v="SUZUKI"/>
    <s v="G. NOMADE"/>
    <n v="0"/>
    <s v="F/Fecha"/>
    <n v="0"/>
    <x v="814"/>
  </r>
  <r>
    <d v="2019-01-31T00:00:00"/>
    <s v="001-00014773"/>
    <n v="273.4325"/>
    <n v="0"/>
    <n v="0"/>
    <n v="0"/>
    <n v="0"/>
    <n v="21.9375"/>
    <n v="61.977499999999999"/>
    <n v="0"/>
    <n v="83.914999999999992"/>
    <n v="189.51750000000001"/>
    <n v="0.69310524535305795"/>
    <x v="1"/>
    <s v="LEVE"/>
    <x v="10"/>
    <x v="2"/>
    <n v="9"/>
    <n v="1"/>
    <d v="2019-01-22T00:00:00"/>
    <s v="NISSAN"/>
    <s v="X-TRAIL"/>
    <n v="0"/>
    <s v="F/Fecha"/>
    <n v="0"/>
    <x v="1"/>
  </r>
  <r>
    <d v="2019-01-31T00:00:00"/>
    <s v="001-00014720"/>
    <n v="847.99034099999994"/>
    <n v="0"/>
    <n v="0"/>
    <n v="0"/>
    <n v="0"/>
    <n v="58.5"/>
    <n v="139.449375"/>
    <n v="0"/>
    <n v="197.949375"/>
    <n v="650.04096599999991"/>
    <n v="0.76656647436978287"/>
    <x v="1"/>
    <s v="LEVE"/>
    <x v="10"/>
    <x v="2"/>
    <n v="15"/>
    <n v="1"/>
    <d v="2019-01-16T00:00:00"/>
    <s v="DAIHATSU"/>
    <s v="TERIOS"/>
    <n v="0"/>
    <s v="F/Fecha"/>
    <n v="0"/>
    <x v="1"/>
  </r>
  <r>
    <d v="2019-01-31T00:00:00"/>
    <s v="001-00014784"/>
    <n v="546.86500000000001"/>
    <n v="0"/>
    <n v="0"/>
    <n v="0"/>
    <n v="0"/>
    <n v="21.9375"/>
    <n v="123.955"/>
    <n v="0"/>
    <n v="145.89249999999998"/>
    <n v="400.97250000000003"/>
    <n v="0.73322026459912415"/>
    <x v="1"/>
    <s v="MEDIANO"/>
    <x v="10"/>
    <x v="2"/>
    <n v="8"/>
    <n v="1"/>
    <d v="2019-01-23T00:00:00"/>
    <s v="KIA"/>
    <s v="SORENTO"/>
    <n v="0"/>
    <s v="F/Fecha"/>
    <n v="0"/>
    <x v="1389"/>
  </r>
  <r>
    <d v="2019-01-31T00:00:00"/>
    <s v="001-00014777"/>
    <n v="1149.0875000000001"/>
    <n v="0"/>
    <n v="0"/>
    <n v="0"/>
    <n v="0"/>
    <n v="117"/>
    <n v="154.94374999999999"/>
    <n v="0"/>
    <n v="271.94375000000002"/>
    <n v="877.14375000000007"/>
    <n v="0.76333938886290209"/>
    <x v="1"/>
    <s v="MEDIANO"/>
    <x v="10"/>
    <x v="2"/>
    <n v="9"/>
    <n v="1"/>
    <d v="2019-01-22T00:00:00"/>
    <s v="KIA"/>
    <s v="SORENTO"/>
    <n v="0"/>
    <s v="F/Fecha"/>
    <n v="0"/>
    <x v="1389"/>
  </r>
  <r>
    <d v="2019-01-31T00:00:00"/>
    <s v="001-00014789"/>
    <n v="1812.2116375000001"/>
    <n v="0"/>
    <n v="0"/>
    <n v="0"/>
    <n v="0"/>
    <n v="102.375"/>
    <n v="278.89875000000001"/>
    <n v="0"/>
    <n v="381.27375000000001"/>
    <n v="1430.9378875"/>
    <n v="0.78960859641869507"/>
    <x v="1"/>
    <s v="MEDIANO"/>
    <x v="10"/>
    <x v="2"/>
    <n v="8"/>
    <n v="1"/>
    <d v="2019-01-23T00:00:00"/>
    <s v="MAZDA"/>
    <s v="MAZDA 3"/>
    <n v="0"/>
    <s v="F/Fecha"/>
    <n v="0"/>
    <x v="1"/>
  </r>
  <r>
    <d v="2019-01-31T00:00:00"/>
    <s v="001-00014807"/>
    <n v="75.487500000000011"/>
    <n v="0"/>
    <n v="0"/>
    <n v="0"/>
    <n v="0"/>
    <n v="0"/>
    <n v="0"/>
    <n v="0"/>
    <n v="0"/>
    <n v="75.487500000000011"/>
    <n v="1"/>
    <x v="1"/>
    <s v="LEVE"/>
    <x v="10"/>
    <x v="2"/>
    <n v="7"/>
    <n v="1"/>
    <d v="2019-01-24T00:00:00"/>
    <s v="VW"/>
    <s v="AMAROK"/>
    <n v="0"/>
    <s v="F/Fecha"/>
    <n v="0"/>
    <x v="1"/>
  </r>
  <r>
    <d v="2019-01-31T00:00:00"/>
    <s v="001-00014860"/>
    <n v="215"/>
    <n v="57.4377979"/>
    <n v="0"/>
    <n v="0"/>
    <n v="34.617375000000003"/>
    <n v="0"/>
    <n v="0"/>
    <n v="0"/>
    <n v="92.055172900000002"/>
    <n v="122.9448271"/>
    <n v="0.57183640511627909"/>
    <x v="0"/>
    <s v="MECANICA"/>
    <x v="10"/>
    <x v="2"/>
    <n v="1"/>
    <n v="1"/>
    <d v="2019-01-30T00:00:00"/>
    <s v="KIA"/>
    <s v="RIO"/>
    <n v="0"/>
    <s v="F/Fecha"/>
    <n v="0"/>
    <x v="157"/>
  </r>
  <r>
    <d v="2019-01-31T00:00:00"/>
    <s v="001-00014776"/>
    <n v="374.08249999999998"/>
    <n v="0"/>
    <n v="0"/>
    <n v="0"/>
    <n v="0"/>
    <n v="0"/>
    <n v="0"/>
    <n v="0"/>
    <n v="0"/>
    <n v="374.08249999999998"/>
    <n v="1"/>
    <x v="0"/>
    <s v="LEVE"/>
    <x v="10"/>
    <x v="2"/>
    <n v="9"/>
    <n v="1"/>
    <d v="2019-01-22T00:00:00"/>
    <s v="TOYOTA"/>
    <s v="YARIS"/>
    <n v="0"/>
    <s v="F/Fecha"/>
    <n v="0"/>
    <x v="1"/>
  </r>
  <r>
    <d v="2019-01-31T00:00:00"/>
    <s v="001-00014688"/>
    <n v="2024.7425000000001"/>
    <n v="59.320001999999981"/>
    <n v="0"/>
    <n v="0"/>
    <n v="36.5625"/>
    <n v="234"/>
    <n v="247.91"/>
    <n v="0"/>
    <n v="577.79250200000001"/>
    <n v="1446.9499980000001"/>
    <n v="0.71463408211167589"/>
    <x v="1"/>
    <s v="MEDIANO"/>
    <x v="10"/>
    <x v="2"/>
    <n v="16"/>
    <n v="1"/>
    <d v="2019-01-15T00:00:00"/>
    <s v="CHEVROLET"/>
    <s v="PRISMA"/>
    <n v="0"/>
    <s v="F/Fecha"/>
    <n v="0"/>
    <x v="1"/>
  </r>
  <r>
    <d v="2019-01-02T00:00:00"/>
    <s v="001-00014557"/>
    <n v="349"/>
    <n v="114.2905976"/>
    <n v="0"/>
    <n v="0"/>
    <n v="39.048749999999998"/>
    <n v="0"/>
    <n v="0"/>
    <n v="0"/>
    <n v="153.3393476"/>
    <n v="195.6606524"/>
    <n v="0.56063224183381088"/>
    <x v="0"/>
    <s v="MECANICA"/>
    <x v="10"/>
    <x v="2"/>
    <n v="0"/>
    <n v="1"/>
    <d v="2019-01-02T00:00:00"/>
    <s v="SUZUKI"/>
    <s v="CELERIO"/>
    <n v="0"/>
    <s v="F/Fecha"/>
    <n v="0"/>
    <x v="1390"/>
  </r>
  <r>
    <d v="2019-01-03T00:00:00"/>
    <s v="001-00014541"/>
    <n v="539.84749999999997"/>
    <n v="86.711897999999991"/>
    <n v="0"/>
    <n v="110.17"/>
    <n v="68.298749999999998"/>
    <n v="0"/>
    <n v="0"/>
    <n v="0"/>
    <n v="265.18064799999996"/>
    <n v="274.66685200000001"/>
    <n v="0.50878600345467939"/>
    <x v="0"/>
    <s v="MECANICA"/>
    <x v="10"/>
    <x v="2"/>
    <n v="8"/>
    <n v="1"/>
    <d v="2018-12-26T00:00:00"/>
    <s v="NISSAN"/>
    <s v="TIIDA"/>
    <n v="0"/>
    <d v="2018-12-31T00:00:00"/>
    <n v="0"/>
    <x v="1061"/>
  </r>
  <r>
    <d v="2019-01-04T00:00:00"/>
    <s v="001-00014576"/>
    <n v="300"/>
    <n v="0"/>
    <n v="0"/>
    <n v="118.65"/>
    <n v="14.625"/>
    <n v="0"/>
    <n v="0"/>
    <n v="0"/>
    <n v="133.27500000000001"/>
    <n v="166.72499999999999"/>
    <n v="0.55574999999999997"/>
    <x v="0"/>
    <s v="MECANICA"/>
    <x v="10"/>
    <x v="2"/>
    <n v="1"/>
    <n v="1"/>
    <d v="2019-01-03T00:00:00"/>
    <s v="FORD"/>
    <s v="ECOSPORT"/>
    <n v="0"/>
    <s v="F/Fecha"/>
    <n v="0"/>
    <x v="1146"/>
  </r>
  <r>
    <d v="2019-01-05T00:00:00"/>
    <s v="001-00014564"/>
    <n v="423.72881000000007"/>
    <n v="0"/>
    <n v="0"/>
    <n v="0"/>
    <n v="0"/>
    <n v="58.5"/>
    <n v="61.977499999999999"/>
    <n v="0"/>
    <n v="120.47749999999999"/>
    <n v="303.2513100000001"/>
    <n v="0.7156730976116541"/>
    <x v="0"/>
    <s v="LEVE"/>
    <x v="10"/>
    <x v="2"/>
    <n v="3"/>
    <n v="1"/>
    <d v="2019-01-02T00:00:00"/>
    <s v="HYUNDAI"/>
    <s v="ACCENT"/>
    <n v="0"/>
    <s v="F/Fecha"/>
    <n v="0"/>
    <x v="1391"/>
  </r>
  <r>
    <d v="2019-01-05T00:00:00"/>
    <s v="001-00014549"/>
    <n v="1345.6799599500002"/>
    <n v="0"/>
    <n v="0"/>
    <n v="0"/>
    <n v="0"/>
    <n v="219.375"/>
    <n v="185.9325"/>
    <n v="0"/>
    <n v="405.3075"/>
    <n v="940.37245995000023"/>
    <n v="0.6988084001674072"/>
    <x v="0"/>
    <s v="MEDIANO"/>
    <x v="10"/>
    <x v="2"/>
    <n v="5"/>
    <n v="1"/>
    <d v="2018-12-31T00:00:00"/>
    <s v="TOYOTA"/>
    <s v="RAV4"/>
    <n v="0"/>
    <s v="F/Fecha"/>
    <n v="0"/>
    <x v="1392"/>
  </r>
  <r>
    <d v="2019-01-05T00:00:00"/>
    <s v="001-00014593"/>
    <n v="449"/>
    <n v="147.55699529999998"/>
    <n v="0"/>
    <n v="0"/>
    <n v="39.048749999999998"/>
    <n v="0"/>
    <n v="0"/>
    <n v="0"/>
    <n v="186.60574529999997"/>
    <n v="262.39425470000003"/>
    <n v="0.58439700378619164"/>
    <x v="0"/>
    <s v="MECANICA"/>
    <x v="10"/>
    <x v="2"/>
    <n v="1"/>
    <n v="1"/>
    <d v="2019-01-04T00:00:00"/>
    <s v="SUZUKI"/>
    <s v="VITARA"/>
    <n v="0"/>
    <s v="F/Fecha"/>
    <n v="0"/>
    <x v="1393"/>
  </r>
  <r>
    <d v="2019-01-05T00:00:00"/>
    <s v="001-00014472"/>
    <n v="2953.5084000000002"/>
    <n v="1.3559999200000001"/>
    <n v="0"/>
    <n v="0"/>
    <n v="0"/>
    <n v="292.5"/>
    <n v="526.80875000000003"/>
    <n v="0"/>
    <n v="820.66474992000008"/>
    <n v="2132.8436500799999"/>
    <n v="0.72213901612062448"/>
    <x v="0"/>
    <s v="MEDIANO"/>
    <x v="10"/>
    <x v="2"/>
    <n v="17"/>
    <n v="1"/>
    <d v="2018-12-19T00:00:00"/>
    <s v="NISSAN"/>
    <s v="VERSA"/>
    <n v="0"/>
    <d v="2018-12-19T00:00:00"/>
    <n v="20"/>
    <x v="545"/>
  </r>
  <r>
    <d v="2019-01-05T00:00:00"/>
    <s v="001-00014595"/>
    <n v="449"/>
    <n v="127.8169961"/>
    <n v="0"/>
    <n v="0"/>
    <n v="39.048749999999998"/>
    <n v="0"/>
    <n v="0"/>
    <n v="0"/>
    <n v="166.8657461"/>
    <n v="282.13425389999998"/>
    <n v="0.62836136726057901"/>
    <x v="0"/>
    <s v="MECANICA"/>
    <x v="10"/>
    <x v="2"/>
    <n v="0"/>
    <n v="1"/>
    <d v="2019-01-05T00:00:00"/>
    <s v="SUZUKI"/>
    <s v="SX4"/>
    <n v="0"/>
    <s v="F/Fecha"/>
    <n v="0"/>
    <x v="1394"/>
  </r>
  <r>
    <d v="2019-01-07T00:00:00"/>
    <s v="001-00014605"/>
    <n v="406.62710200000004"/>
    <n v="145.77499700000001"/>
    <n v="0"/>
    <n v="0"/>
    <n v="39.048749999999998"/>
    <n v="0"/>
    <n v="0"/>
    <n v="0"/>
    <n v="184.82374700000003"/>
    <n v="221.80335500000001"/>
    <n v="0.5454711550436695"/>
    <x v="0"/>
    <s v="MECANICA"/>
    <x v="10"/>
    <x v="2"/>
    <n v="0"/>
    <n v="1"/>
    <d v="2019-01-07T00:00:00"/>
    <s v="MITSUBISHI"/>
    <s v="LANCER"/>
    <n v="0"/>
    <s v="F/Fecha"/>
    <n v="0"/>
    <x v="1395"/>
  </r>
  <r>
    <d v="2019-01-08T00:00:00"/>
    <s v="001-00014577"/>
    <n v="206.62710200000001"/>
    <n v="54.471397899999999"/>
    <n v="0"/>
    <n v="0"/>
    <n v="39.048749999999998"/>
    <n v="0"/>
    <n v="0"/>
    <n v="0"/>
    <n v="93.520147899999998"/>
    <n v="113.10695410000001"/>
    <n v="0.54739650803407192"/>
    <x v="0"/>
    <s v="MECANICA"/>
    <x v="10"/>
    <x v="2"/>
    <n v="5"/>
    <n v="1"/>
    <d v="2019-01-03T00:00:00"/>
    <s v="KIA"/>
    <s v="CERATO"/>
    <n v="0"/>
    <s v="F/Fecha"/>
    <n v="0"/>
    <x v="1396"/>
  </r>
  <r>
    <d v="2019-01-09T00:00:00"/>
    <s v="001-00014596"/>
    <n v="290.20076963729025"/>
    <n v="0"/>
    <n v="0"/>
    <n v="0"/>
    <n v="0"/>
    <n v="0"/>
    <n v="0"/>
    <n v="0"/>
    <n v="0"/>
    <n v="290.20076963729025"/>
    <n v="1"/>
    <x v="1"/>
    <s v="MEDIANO"/>
    <x v="10"/>
    <x v="2"/>
    <n v="4"/>
    <n v="1"/>
    <d v="2019-01-05T00:00:00"/>
    <s v="HYUNDAI"/>
    <s v="I10"/>
    <n v="0"/>
    <s v="F/Fecha"/>
    <n v="0"/>
    <x v="1397"/>
  </r>
  <r>
    <d v="2019-01-09T00:00:00"/>
    <s v="001-00014635"/>
    <n v="406.62710200000004"/>
    <n v="125.70819594000001"/>
    <n v="0"/>
    <n v="0"/>
    <n v="39.048749999999998"/>
    <n v="0"/>
    <n v="0"/>
    <n v="0"/>
    <n v="164.75694594000001"/>
    <n v="241.87015606000003"/>
    <n v="0.59482054902479176"/>
    <x v="0"/>
    <s v="MECANICA"/>
    <x v="10"/>
    <x v="2"/>
    <n v="0"/>
    <n v="1"/>
    <d v="2019-01-09T00:00:00"/>
    <s v="KIA"/>
    <s v="RIO"/>
    <n v="0"/>
    <s v="F/Fecha"/>
    <n v="0"/>
    <x v="1124"/>
  </r>
  <r>
    <d v="2019-01-10T00:00:00"/>
    <s v="001-00014639"/>
    <n v="506.62710200000004"/>
    <n v="196.22499500000001"/>
    <n v="0"/>
    <n v="0"/>
    <n v="39.048749999999998"/>
    <n v="0"/>
    <n v="0"/>
    <n v="0"/>
    <n v="235.27374500000002"/>
    <n v="271.35335700000002"/>
    <n v="0.53560766079979671"/>
    <x v="0"/>
    <s v="MECANICA"/>
    <x v="10"/>
    <x v="2"/>
    <n v="1"/>
    <n v="1"/>
    <d v="2019-01-09T00:00:00"/>
    <s v="MAZDA"/>
    <s v="CX-3"/>
    <n v="0"/>
    <s v="F/Fecha"/>
    <n v="0"/>
    <x v="1398"/>
  </r>
  <r>
    <d v="2019-01-10T00:00:00"/>
    <s v="001-00014637"/>
    <n v="80"/>
    <n v="0"/>
    <n v="0"/>
    <n v="33.9"/>
    <n v="0"/>
    <n v="0"/>
    <n v="0"/>
    <n v="0"/>
    <n v="33.9"/>
    <n v="46.1"/>
    <n v="0.57625000000000004"/>
    <x v="0"/>
    <s v="MECANICA"/>
    <x v="10"/>
    <x v="2"/>
    <n v="1"/>
    <n v="1"/>
    <d v="2019-01-09T00:00:00"/>
    <s v="KIA"/>
    <s v="RIO"/>
    <n v="0"/>
    <s v="F/Fecha"/>
    <n v="0"/>
    <x v="1399"/>
  </r>
  <r>
    <d v="2019-01-10T00:00:00"/>
    <s v="001-00014594"/>
    <n v="1124"/>
    <n v="274.94669269999997"/>
    <n v="0"/>
    <n v="0"/>
    <n v="82.923749999999998"/>
    <n v="0"/>
    <n v="0"/>
    <n v="0"/>
    <n v="357.87044269999996"/>
    <n v="766.12955729999999"/>
    <n v="0.6816099264234875"/>
    <x v="0"/>
    <s v="MECANICA"/>
    <x v="10"/>
    <x v="2"/>
    <n v="6"/>
    <n v="1"/>
    <d v="2019-01-04T00:00:00"/>
    <s v="CHEVROLET"/>
    <s v="CRUZE"/>
    <n v="0"/>
    <s v="F/Fecha"/>
    <n v="0"/>
    <x v="236"/>
  </r>
  <r>
    <d v="2019-01-10T00:00:00"/>
    <s v="001-00014629"/>
    <n v="400.2"/>
    <n v="0"/>
    <n v="0"/>
    <n v="0"/>
    <n v="0"/>
    <n v="87.75"/>
    <n v="30.98875"/>
    <n v="0"/>
    <n v="118.73875"/>
    <n v="281.46125000000001"/>
    <n v="0.7033014742628686"/>
    <x v="0"/>
    <s v="LEVE"/>
    <x v="10"/>
    <x v="2"/>
    <n v="2"/>
    <n v="1"/>
    <d v="2019-01-08T00:00:00"/>
    <s v="MAZDA"/>
    <s v="MAZDA 3"/>
    <n v="0"/>
    <s v="F/Fecha"/>
    <n v="0"/>
    <x v="997"/>
  </r>
  <r>
    <d v="2019-01-11T00:00:00"/>
    <s v="001-00014561"/>
    <n v="2129"/>
    <n v="915.75598699999989"/>
    <n v="0"/>
    <n v="8"/>
    <n v="68.298749999999998"/>
    <n v="0"/>
    <n v="0"/>
    <n v="0"/>
    <n v="992.05473699999993"/>
    <n v="1136.9452630000001"/>
    <n v="0.53402783607327386"/>
    <x v="0"/>
    <s v="MECANICA"/>
    <x v="10"/>
    <x v="2"/>
    <n v="9"/>
    <n v="1"/>
    <d v="2019-01-02T00:00:00"/>
    <s v="NISSAN"/>
    <s v="QASHQAI"/>
    <n v="0"/>
    <s v="F/Fecha"/>
    <n v="0"/>
    <x v="1400"/>
  </r>
  <r>
    <d v="2019-01-12T00:00:00"/>
    <s v="001-00014663"/>
    <n v="406.62710200000004"/>
    <n v="109.30449589999999"/>
    <n v="0"/>
    <n v="0"/>
    <n v="39.048749999999998"/>
    <n v="0"/>
    <n v="0"/>
    <n v="0"/>
    <n v="148.35324589999999"/>
    <n v="258.27385610000005"/>
    <n v="0.63516144110827133"/>
    <x v="0"/>
    <s v="MECANICA"/>
    <x v="10"/>
    <x v="2"/>
    <n v="0"/>
    <n v="1"/>
    <d v="2019-01-12T00:00:00"/>
    <s v="HYUNDAI"/>
    <s v="TUCSON"/>
    <n v="0"/>
    <s v="F/Fecha"/>
    <n v="0"/>
    <x v="179"/>
  </r>
  <r>
    <d v="2019-01-14T00:00:00"/>
    <s v="001-00014646"/>
    <n v="288.63125833710035"/>
    <n v="0"/>
    <n v="0"/>
    <n v="16"/>
    <n v="0"/>
    <n v="0"/>
    <n v="0"/>
    <n v="0"/>
    <n v="16"/>
    <n v="272.63125833710035"/>
    <n v="0.94456594863570476"/>
    <x v="1"/>
    <s v="LEVE"/>
    <x v="10"/>
    <x v="2"/>
    <n v="4"/>
    <n v="1"/>
    <d v="2019-01-10T00:00:00"/>
    <s v="FORD"/>
    <s v="ECOSPORT"/>
    <n v="0"/>
    <s v="F/Fecha"/>
    <n v="0"/>
    <x v="1401"/>
  </r>
  <r>
    <d v="2019-01-15T00:00:00"/>
    <s v="001-00014630"/>
    <n v="412.20033600000016"/>
    <n v="0"/>
    <n v="0"/>
    <n v="12.8"/>
    <n v="0"/>
    <n v="0"/>
    <n v="0"/>
    <n v="0"/>
    <n v="12.8"/>
    <n v="399.40033600000015"/>
    <n v="0.9689471383642928"/>
    <x v="1"/>
    <s v="MEDIANO"/>
    <x v="10"/>
    <x v="2"/>
    <n v="7"/>
    <n v="1"/>
    <d v="2019-01-08T00:00:00"/>
    <s v="KIA"/>
    <s v="RIO"/>
    <n v="0"/>
    <s v="F/Fecha"/>
    <n v="0"/>
    <x v="1402"/>
  </r>
  <r>
    <d v="2019-01-15T00:00:00"/>
    <s v="001-00014662"/>
    <n v="249"/>
    <n v="56.3038983"/>
    <n v="0"/>
    <n v="0"/>
    <n v="39.048749999999998"/>
    <n v="0"/>
    <n v="0"/>
    <n v="0"/>
    <n v="95.352648299999998"/>
    <n v="153.6473517"/>
    <n v="0.61705763734939756"/>
    <x v="0"/>
    <s v="MECANICA"/>
    <x v="10"/>
    <x v="2"/>
    <n v="4"/>
    <n v="1"/>
    <d v="2019-01-11T00:00:00"/>
    <s v="KIA"/>
    <s v="SORENTO"/>
    <n v="0"/>
    <s v="F/Fecha"/>
    <n v="0"/>
    <x v="1403"/>
  </r>
  <r>
    <d v="2019-01-16T00:00:00"/>
    <s v="001-00014631"/>
    <n v="2166.8389631245805"/>
    <n v="0"/>
    <n v="0"/>
    <n v="0"/>
    <n v="0"/>
    <n v="288.84375"/>
    <n v="449.33687499999996"/>
    <n v="0"/>
    <n v="738.18062499999996"/>
    <n v="1428.6583381245805"/>
    <n v="0.65932834070163482"/>
    <x v="0"/>
    <s v="MEDIANO"/>
    <x v="10"/>
    <x v="2"/>
    <n v="8"/>
    <n v="1"/>
    <d v="2019-01-08T00:00:00"/>
    <s v="MITSUBISHI"/>
    <s v="OUTLANDER"/>
    <n v="0"/>
    <s v="F/Fecha"/>
    <n v="0"/>
    <x v="735"/>
  </r>
  <r>
    <d v="2019-01-16T00:00:00"/>
    <s v="001-00014652"/>
    <n v="90"/>
    <n v="47.759998000000003"/>
    <n v="0"/>
    <n v="0"/>
    <n v="0"/>
    <n v="0"/>
    <n v="0"/>
    <n v="0"/>
    <n v="47.759998000000003"/>
    <n v="42.240001999999997"/>
    <n v="0.4693333555555555"/>
    <x v="0"/>
    <s v="MEDIANO"/>
    <x v="10"/>
    <x v="2"/>
    <n v="6"/>
    <n v="1"/>
    <d v="2019-01-10T00:00:00"/>
    <s v="SUZUKI"/>
    <s v="BALENO"/>
    <n v="0"/>
    <s v="F/Fecha"/>
    <n v="0"/>
    <x v="1404"/>
  </r>
  <r>
    <d v="2019-01-17T00:00:00"/>
    <s v="001-00014531"/>
    <n v="16.949200000000001"/>
    <n v="0"/>
    <n v="0"/>
    <n v="16.95"/>
    <n v="0"/>
    <n v="0"/>
    <n v="0"/>
    <n v="0"/>
    <n v="16.95"/>
    <n v="-7.9999999999813554E-4"/>
    <n v="-4.7199867840260043E-5"/>
    <x v="0"/>
    <s v="MECANICA"/>
    <x v="10"/>
    <x v="2"/>
    <n v="20"/>
    <n v="1"/>
    <d v="2018-12-28T00:00:00"/>
    <s v="HYUNDAI"/>
    <s v="ACCENT"/>
    <n v="0"/>
    <s v="F/Fecha"/>
    <n v="0"/>
    <x v="1405"/>
  </r>
  <r>
    <d v="2019-01-17T00:00:00"/>
    <s v="001-00014713"/>
    <n v="16.949200000000001"/>
    <n v="0"/>
    <n v="0"/>
    <n v="0"/>
    <n v="0"/>
    <n v="0"/>
    <n v="0"/>
    <n v="0"/>
    <n v="0"/>
    <n v="16.949200000000001"/>
    <n v="1"/>
    <x v="0"/>
    <s v="MEDIANO"/>
    <x v="10"/>
    <x v="2"/>
    <n v="1"/>
    <n v="1"/>
    <d v="2019-01-16T00:00:00"/>
    <s v="TOYOTA"/>
    <s v="ETIOS"/>
    <n v="0"/>
    <s v="F/Fecha"/>
    <n v="0"/>
    <x v="1406"/>
  </r>
  <r>
    <d v="2019-01-18T00:00:00"/>
    <s v="001-00014669"/>
    <n v="849"/>
    <n v="285.13819599999999"/>
    <n v="0"/>
    <n v="0"/>
    <n v="68.298749999999998"/>
    <n v="0"/>
    <n v="0"/>
    <n v="0"/>
    <n v="353.43694599999998"/>
    <n v="495.56305400000002"/>
    <n v="0.58370206595995289"/>
    <x v="0"/>
    <s v="MECANICA"/>
    <x v="10"/>
    <x v="2"/>
    <n v="4"/>
    <n v="1"/>
    <d v="2019-01-14T00:00:00"/>
    <s v="JEEP"/>
    <s v="COMPASS"/>
    <n v="0"/>
    <s v="F/Fecha"/>
    <n v="0"/>
    <x v="1407"/>
  </r>
  <r>
    <d v="2019-01-18T00:00:00"/>
    <s v="001-00014731"/>
    <n v="449"/>
    <n v="132.14559500000001"/>
    <n v="0"/>
    <n v="0"/>
    <n v="39.048749999999998"/>
    <n v="0"/>
    <n v="0"/>
    <n v="0"/>
    <n v="171.194345"/>
    <n v="277.805655"/>
    <n v="0.61872083518930954"/>
    <x v="0"/>
    <s v="MECANICA"/>
    <x v="10"/>
    <x v="2"/>
    <n v="1"/>
    <n v="1"/>
    <d v="2019-01-17T00:00:00"/>
    <s v="PEUGEOT"/>
    <n v="208"/>
    <n v="0"/>
    <s v="F/Fecha"/>
    <n v="0"/>
    <x v="1075"/>
  </r>
  <r>
    <d v="2019-01-18T00:00:00"/>
    <s v="001-00014733"/>
    <n v="449"/>
    <n v="124.06139589999998"/>
    <n v="0"/>
    <n v="0"/>
    <n v="39.048749999999998"/>
    <n v="0"/>
    <n v="0"/>
    <n v="0"/>
    <n v="163.11014589999996"/>
    <n v="285.88985410000004"/>
    <n v="0.63672573296213819"/>
    <x v="0"/>
    <s v="MECANICA"/>
    <x v="10"/>
    <x v="2"/>
    <n v="1"/>
    <n v="1"/>
    <d v="2019-01-17T00:00:00"/>
    <s v="HYUNDAI"/>
    <s v="ELANTRA"/>
    <n v="0"/>
    <s v="F/Fecha"/>
    <n v="0"/>
    <x v="819"/>
  </r>
  <r>
    <d v="2019-01-18T00:00:00"/>
    <s v="001-00014732"/>
    <n v="506.62710200000004"/>
    <n v="106.96099504000001"/>
    <n v="0"/>
    <n v="0"/>
    <n v="39.048749999999998"/>
    <n v="0"/>
    <n v="0"/>
    <n v="0"/>
    <n v="146.00974504000001"/>
    <n v="360.61735696000005"/>
    <n v="0.71180036665310498"/>
    <x v="0"/>
    <s v="MECANICA"/>
    <x v="10"/>
    <x v="2"/>
    <n v="0"/>
    <n v="1"/>
    <d v="2019-01-18T00:00:00"/>
    <s v="MITSUBISHI"/>
    <s v="OUTLANDER"/>
    <n v="0"/>
    <s v="F/Fecha"/>
    <n v="0"/>
    <x v="298"/>
  </r>
  <r>
    <d v="2019-01-19T00:00:00"/>
    <s v="001-00014708"/>
    <n v="49.784999999999997"/>
    <n v="0"/>
    <n v="0"/>
    <n v="0"/>
    <n v="0"/>
    <n v="0"/>
    <n v="15.494375"/>
    <n v="0"/>
    <n v="15.494375"/>
    <n v="34.290624999999999"/>
    <n v="0.68877422918549769"/>
    <x v="0"/>
    <s v="LEVE"/>
    <x v="10"/>
    <x v="2"/>
    <n v="3"/>
    <n v="1"/>
    <d v="2019-01-16T00:00:00"/>
    <s v="PEUGEOT"/>
    <n v="308"/>
    <n v="0"/>
    <s v="F/Fecha"/>
    <n v="0"/>
    <x v="1408"/>
  </r>
  <r>
    <d v="2019-01-19T00:00:00"/>
    <s v="001-00014747"/>
    <n v="449"/>
    <n v="144.8444949"/>
    <n v="0"/>
    <n v="0"/>
    <n v="39.048749999999998"/>
    <n v="0"/>
    <n v="0"/>
    <n v="0"/>
    <n v="183.89324490000001"/>
    <n v="265.10675509999999"/>
    <n v="0.5904382073496659"/>
    <x v="0"/>
    <s v="MECANICA"/>
    <x v="10"/>
    <x v="2"/>
    <n v="0"/>
    <n v="1"/>
    <d v="2019-01-19T00:00:00"/>
    <s v="KIA"/>
    <s v="CERATO"/>
    <n v="0"/>
    <s v="F/Fecha"/>
    <n v="0"/>
    <x v="1409"/>
  </r>
  <r>
    <d v="2019-01-21T00:00:00"/>
    <s v="001-00014683"/>
    <n v="2812.7117843570004"/>
    <n v="514.52788999999984"/>
    <n v="0"/>
    <n v="0"/>
    <n v="0"/>
    <n v="168.1875"/>
    <n v="309.88749999999999"/>
    <n v="0"/>
    <n v="992.60288999999989"/>
    <n v="1820.1088943570005"/>
    <n v="0.64710110167689516"/>
    <x v="0"/>
    <s v="MEDIANO"/>
    <x v="10"/>
    <x v="2"/>
    <n v="7"/>
    <n v="1"/>
    <d v="2019-01-14T00:00:00"/>
    <s v="CHEVROLET"/>
    <s v="TRACKER"/>
    <n v="0"/>
    <s v="F/Fecha"/>
    <n v="0"/>
    <x v="1410"/>
  </r>
  <r>
    <d v="2019-01-21T00:00:00"/>
    <s v="001-00014749"/>
    <n v="449"/>
    <n v="105.4719939"/>
    <n v="0"/>
    <n v="0"/>
    <n v="39.048749999999998"/>
    <n v="0"/>
    <n v="0"/>
    <n v="0"/>
    <n v="144.52074390000001"/>
    <n v="304.47925609999999"/>
    <n v="0.67812751915367475"/>
    <x v="0"/>
    <s v="MECANICA"/>
    <x v="10"/>
    <x v="2"/>
    <n v="0"/>
    <n v="1"/>
    <d v="2019-01-21T00:00:00"/>
    <s v="SUBARU"/>
    <s v="NEW XV"/>
    <n v="0"/>
    <s v="F/Fecha"/>
    <n v="0"/>
    <x v="476"/>
  </r>
  <r>
    <d v="2019-01-21T00:00:00"/>
    <s v="001-00014684"/>
    <n v="99.57"/>
    <n v="0"/>
    <n v="0"/>
    <n v="0"/>
    <n v="0"/>
    <n v="0"/>
    <n v="0"/>
    <n v="0"/>
    <n v="0"/>
    <n v="99.57"/>
    <n v="1"/>
    <x v="0"/>
    <s v="LEVE"/>
    <x v="10"/>
    <x v="2"/>
    <n v="7"/>
    <n v="1"/>
    <d v="2019-01-14T00:00:00"/>
    <s v="TOYOTA"/>
    <s v="COROLLA"/>
    <n v="0"/>
    <s v="F/Fecha"/>
    <n v="0"/>
    <x v="1411"/>
  </r>
  <r>
    <d v="2019-01-21T00:00:00"/>
    <s v="001-00014757"/>
    <n v="406.62710200000004"/>
    <n v="140.14779489999998"/>
    <n v="0"/>
    <n v="0"/>
    <n v="39.048749999999998"/>
    <n v="0"/>
    <n v="0"/>
    <n v="0"/>
    <n v="179.19654489999999"/>
    <n v="227.43055710000004"/>
    <n v="0.55930988362895695"/>
    <x v="0"/>
    <s v="MECANICA"/>
    <x v="10"/>
    <x v="2"/>
    <n v="0"/>
    <n v="1"/>
    <d v="2019-01-21T00:00:00"/>
    <s v="KIA"/>
    <s v="CARENS"/>
    <n v="0"/>
    <s v="F/Fecha"/>
    <n v="0"/>
    <x v="508"/>
  </r>
  <r>
    <d v="2019-01-22T00:00:00"/>
    <s v="001-00014772"/>
    <n v="314.10169999999999"/>
    <n v="116.5046959"/>
    <n v="0"/>
    <n v="0"/>
    <n v="39.048749999999998"/>
    <n v="0"/>
    <n v="0"/>
    <n v="0"/>
    <n v="155.55344589999999"/>
    <n v="158.54825410000001"/>
    <n v="0.50476725882094875"/>
    <x v="0"/>
    <s v="MECANICA"/>
    <x v="10"/>
    <x v="2"/>
    <n v="0"/>
    <n v="1"/>
    <d v="2019-01-22T00:00:00"/>
    <s v="HYUNDAI"/>
    <s v="ACCENT"/>
    <n v="0"/>
    <s v="F/Fecha"/>
    <n v="0"/>
    <x v="195"/>
  </r>
  <r>
    <d v="2019-01-22T00:00:00"/>
    <s v="001-00014759"/>
    <n v="150"/>
    <n v="0"/>
    <n v="0"/>
    <n v="0"/>
    <n v="39.048749999999998"/>
    <n v="0"/>
    <n v="0"/>
    <n v="0"/>
    <n v="39.048749999999998"/>
    <n v="110.95125"/>
    <n v="0.73967499999999997"/>
    <x v="0"/>
    <s v="MECANICA"/>
    <x v="10"/>
    <x v="2"/>
    <n v="1"/>
    <n v="1"/>
    <d v="2019-01-21T00:00:00"/>
    <s v="RENAULT"/>
    <s v="FLUENCE"/>
    <n v="0"/>
    <s v="F/Fecha"/>
    <n v="0"/>
    <x v="1412"/>
  </r>
  <r>
    <d v="2019-01-23T00:00:00"/>
    <s v="001-00014703"/>
    <n v="675"/>
    <n v="269.48998999999998"/>
    <n v="0"/>
    <n v="0"/>
    <n v="39.048749999999998"/>
    <n v="0"/>
    <n v="0"/>
    <n v="0"/>
    <n v="308.53873999999996"/>
    <n v="366.46126000000004"/>
    <n v="0.54290557037037046"/>
    <x v="0"/>
    <s v="MECANICA"/>
    <x v="10"/>
    <x v="2"/>
    <n v="8"/>
    <n v="1"/>
    <d v="2019-01-15T00:00:00"/>
    <s v="TOYOTA"/>
    <s v="AVENSIS"/>
    <n v="0"/>
    <s v="F/Fecha"/>
    <n v="0"/>
    <x v="1413"/>
  </r>
  <r>
    <d v="2019-01-23T00:00:00"/>
    <s v="001-00014702"/>
    <n v="1744.6569583808002"/>
    <n v="34.57"/>
    <n v="0"/>
    <n v="7"/>
    <n v="0"/>
    <n v="87.75"/>
    <n v="247.91"/>
    <n v="0"/>
    <n v="377.23"/>
    <n v="1367.4269583808002"/>
    <n v="0.7837798438323923"/>
    <x v="0"/>
    <s v="LEVE"/>
    <x v="10"/>
    <x v="2"/>
    <n v="8"/>
    <n v="1"/>
    <d v="2019-01-15T00:00:00"/>
    <s v="TOYOTA"/>
    <s v="AVENSIS"/>
    <n v="0"/>
    <s v="F/Fecha"/>
    <n v="0"/>
    <x v="1413"/>
  </r>
  <r>
    <d v="2019-01-24T00:00:00"/>
    <s v="001-00014760"/>
    <n v="452.61011849732006"/>
    <n v="0"/>
    <n v="0"/>
    <n v="0"/>
    <n v="0"/>
    <n v="14.625"/>
    <n v="92.966250000000002"/>
    <n v="0"/>
    <n v="107.59125"/>
    <n v="345.01886849732006"/>
    <n v="0.76228713057232045"/>
    <x v="0"/>
    <s v="LEVE"/>
    <x v="10"/>
    <x v="2"/>
    <n v="3"/>
    <n v="1"/>
    <d v="2019-01-21T00:00:00"/>
    <s v="NISSAN"/>
    <s v="SENTRA"/>
    <n v="0"/>
    <s v="F/Fecha"/>
    <n v="0"/>
    <x v="893"/>
  </r>
  <r>
    <d v="2019-01-24T00:00:00"/>
    <s v="001-00014799"/>
    <n v="406.62710200000004"/>
    <n v="84.081796100000005"/>
    <n v="0"/>
    <n v="0"/>
    <n v="39.048749999999998"/>
    <n v="0"/>
    <n v="0"/>
    <n v="0"/>
    <n v="123.1305461"/>
    <n v="283.49655590000003"/>
    <n v="0.69719050822146134"/>
    <x v="0"/>
    <s v="MECANICA"/>
    <x v="10"/>
    <x v="2"/>
    <n v="0"/>
    <n v="1"/>
    <d v="2019-01-24T00:00:00"/>
    <s v="KIA"/>
    <s v="RIO"/>
    <n v="0"/>
    <s v="F/Fecha"/>
    <n v="0"/>
    <x v="1414"/>
  </r>
  <r>
    <d v="2019-01-24T00:00:00"/>
    <s v="001-00014696"/>
    <n v="423"/>
    <n v="0"/>
    <n v="0"/>
    <n v="0"/>
    <n v="0"/>
    <n v="29.25"/>
    <n v="123.955"/>
    <n v="0"/>
    <n v="153.20499999999998"/>
    <n v="269.79500000000002"/>
    <n v="0.63781323877068563"/>
    <x v="0"/>
    <s v="LEVE"/>
    <x v="10"/>
    <x v="2"/>
    <n v="9"/>
    <n v="1"/>
    <d v="2019-01-15T00:00:00"/>
    <s v="TOYOTA"/>
    <s v="ETIOS"/>
    <n v="0"/>
    <s v="F/Fecha"/>
    <n v="0"/>
    <x v="1415"/>
  </r>
  <r>
    <d v="2019-01-25T00:00:00"/>
    <s v="001-00014800"/>
    <n v="549"/>
    <n v="152.21699609999999"/>
    <n v="0"/>
    <n v="0"/>
    <n v="39.048749999999998"/>
    <n v="0"/>
    <n v="0"/>
    <n v="0"/>
    <n v="191.2657461"/>
    <n v="357.7342539"/>
    <n v="0.65161066284153002"/>
    <x v="0"/>
    <s v="MECANICA"/>
    <x v="10"/>
    <x v="2"/>
    <n v="2"/>
    <n v="1"/>
    <d v="2019-01-23T00:00:00"/>
    <s v="SUZUKI"/>
    <s v="VITARA"/>
    <n v="0"/>
    <s v="F/Fecha"/>
    <n v="0"/>
    <x v="1416"/>
  </r>
  <r>
    <d v="2019-01-25T00:00:00"/>
    <s v="001-00014661"/>
    <n v="1859"/>
    <n v="630.80699289999984"/>
    <n v="0"/>
    <n v="10"/>
    <n v="97.548749999999998"/>
    <n v="0"/>
    <n v="0"/>
    <n v="0"/>
    <n v="738.35574289999988"/>
    <n v="1120.6442571000002"/>
    <n v="0.6028210097364175"/>
    <x v="0"/>
    <s v="MEDIANO"/>
    <x v="10"/>
    <x v="2"/>
    <n v="14"/>
    <n v="1"/>
    <d v="2019-01-11T00:00:00"/>
    <s v="SUZUKI"/>
    <s v="BALENO"/>
    <n v="0"/>
    <s v="F/Fecha"/>
    <n v="0"/>
    <x v="1417"/>
  </r>
  <r>
    <d v="2019-01-25T00:00:00"/>
    <s v="001-00014739"/>
    <n v="552.09"/>
    <n v="0"/>
    <n v="0"/>
    <n v="0"/>
    <n v="0"/>
    <n v="29.25"/>
    <n v="123.955"/>
    <n v="0"/>
    <n v="153.20499999999998"/>
    <n v="398.88500000000005"/>
    <n v="0.72249995471752804"/>
    <x v="0"/>
    <s v="LEVE"/>
    <x v="10"/>
    <x v="2"/>
    <n v="7"/>
    <n v="1"/>
    <d v="2019-01-18T00:00:00"/>
    <s v="KIA"/>
    <s v="SORENTO"/>
    <n v="0"/>
    <s v="F/Fecha"/>
    <n v="0"/>
    <x v="1417"/>
  </r>
  <r>
    <d v="2019-01-26T00:00:00"/>
    <s v="001-00014746"/>
    <n v="1994"/>
    <n v="1007.9700000000001"/>
    <n v="0"/>
    <n v="0"/>
    <n v="0"/>
    <n v="0"/>
    <n v="0"/>
    <n v="0"/>
    <n v="1007.9700000000001"/>
    <n v="986.02999999999986"/>
    <n v="0.4944984954864593"/>
    <x v="0"/>
    <s v="MECANICA"/>
    <x v="10"/>
    <x v="2"/>
    <n v="7"/>
    <n v="1"/>
    <d v="2019-01-19T00:00:00"/>
    <s v="SUZUKI"/>
    <s v="G. VITARA"/>
    <n v="0"/>
    <s v="F/Fecha"/>
    <n v="0"/>
    <x v="1418"/>
  </r>
  <r>
    <d v="2019-01-26T00:00:00"/>
    <s v="001-00014817"/>
    <n v="500"/>
    <n v="185.45999499999999"/>
    <n v="0"/>
    <n v="0"/>
    <n v="39.048749999999998"/>
    <n v="0"/>
    <n v="0"/>
    <n v="0"/>
    <n v="224.50874499999998"/>
    <n v="275.49125500000002"/>
    <n v="0.55098251000000009"/>
    <x v="0"/>
    <s v="MECANICA"/>
    <x v="10"/>
    <x v="2"/>
    <n v="0"/>
    <n v="1"/>
    <d v="2019-01-26T00:00:00"/>
    <s v="FORD"/>
    <s v="ECOSPORT"/>
    <n v="0"/>
    <s v="F/Fecha"/>
    <n v="0"/>
    <x v="900"/>
  </r>
  <r>
    <d v="2019-01-28T00:00:00"/>
    <s v="001-00014805"/>
    <n v="702.45"/>
    <n v="0"/>
    <n v="0"/>
    <n v="0"/>
    <n v="29.25"/>
    <n v="87.75"/>
    <n v="123.955"/>
    <n v="0"/>
    <n v="240.95499999999998"/>
    <n v="461.49500000000006"/>
    <n v="0.65697914442309069"/>
    <x v="0"/>
    <s v="LEVE"/>
    <x v="10"/>
    <x v="2"/>
    <n v="5"/>
    <n v="1"/>
    <d v="2019-01-23T00:00:00"/>
    <s v="HYUNDAI"/>
    <s v="ACCENT"/>
    <n v="0"/>
    <s v="F/Fecha"/>
    <n v="0"/>
    <x v="1096"/>
  </r>
  <r>
    <d v="2019-01-28T00:00:00"/>
    <s v="001-00014785"/>
    <n v="1895.9492"/>
    <n v="347.5977919"/>
    <n v="0"/>
    <n v="55.084745762711869"/>
    <n v="68.298749999999998"/>
    <n v="80.4375"/>
    <n v="201.426875"/>
    <n v="0"/>
    <n v="752.84566266271179"/>
    <n v="1143.1035373372883"/>
    <n v="0.60291886372128978"/>
    <x v="0"/>
    <s v="LEVE"/>
    <x v="10"/>
    <x v="2"/>
    <n v="6"/>
    <n v="1"/>
    <d v="2019-01-22T00:00:00"/>
    <s v="KIA"/>
    <s v="SPORTAGE"/>
    <n v="0"/>
    <s v="F/Fecha"/>
    <n v="0"/>
    <x v="1419"/>
  </r>
  <r>
    <d v="2019-01-29T00:00:00"/>
    <s v="001-00014801"/>
    <n v="284.26559527542003"/>
    <n v="0"/>
    <n v="0"/>
    <n v="0"/>
    <n v="0"/>
    <n v="14.625"/>
    <n v="61.977499999999999"/>
    <n v="0"/>
    <n v="76.602499999999992"/>
    <n v="207.66309527542003"/>
    <n v="0.73052489899179973"/>
    <x v="0"/>
    <s v="LEVE"/>
    <x v="10"/>
    <x v="2"/>
    <n v="6"/>
    <n v="1"/>
    <d v="2019-01-23T00:00:00"/>
    <s v="SUZUKI"/>
    <s v="G. NOMADE"/>
    <n v="0"/>
    <s v="F/Fecha"/>
    <n v="0"/>
    <x v="1420"/>
  </r>
  <r>
    <d v="2019-01-29T00:00:00"/>
    <s v="001-00014761"/>
    <n v="449"/>
    <n v="150.23139689999999"/>
    <n v="0"/>
    <n v="0"/>
    <n v="39.048749999999998"/>
    <n v="0"/>
    <n v="0"/>
    <n v="0"/>
    <n v="189.28014689999998"/>
    <n v="259.71985310000002"/>
    <n v="0.57844065278396439"/>
    <x v="0"/>
    <s v="MECANICA"/>
    <x v="10"/>
    <x v="2"/>
    <n v="8"/>
    <n v="1"/>
    <d v="2019-01-21T00:00:00"/>
    <s v="KIA"/>
    <s v="CERATO"/>
    <n v="0"/>
    <s v="F/Fecha"/>
    <n v="0"/>
    <x v="1421"/>
  </r>
  <r>
    <d v="2019-01-30T00:00:00"/>
    <s v="001-00014850"/>
    <n v="306.62710200000004"/>
    <n v="108.41219791999997"/>
    <n v="0"/>
    <n v="0"/>
    <n v="39.048749999999998"/>
    <n v="0"/>
    <n v="0"/>
    <n v="0"/>
    <n v="147.46094791999997"/>
    <n v="159.16615408000007"/>
    <n v="0.51908703777919818"/>
    <x v="0"/>
    <s v="MECANICA"/>
    <x v="10"/>
    <x v="2"/>
    <n v="0"/>
    <n v="1"/>
    <d v="2019-01-30T00:00:00"/>
    <s v="HYUNDAI"/>
    <s v="ACCENT"/>
    <n v="0"/>
    <s v="F/Fecha"/>
    <n v="0"/>
    <x v="1422"/>
  </r>
  <r>
    <d v="2019-01-30T00:00:00"/>
    <s v="001-00014808"/>
    <n v="3147.5229210437201"/>
    <n v="344.60449489999996"/>
    <n v="0"/>
    <n v="0"/>
    <n v="78.097499999999997"/>
    <n v="160.875"/>
    <n v="247.91"/>
    <n v="0"/>
    <n v="831.4869948999999"/>
    <n v="2316.0359261437202"/>
    <n v="0.73582813667826175"/>
    <x v="0"/>
    <s v="MEDIANO"/>
    <x v="10"/>
    <x v="2"/>
    <n v="7"/>
    <n v="1"/>
    <d v="2019-01-23T00:00:00"/>
    <s v="KIA"/>
    <s v="SPORTAGE"/>
    <n v="0"/>
    <s v="F/Fecha"/>
    <n v="0"/>
    <x v="1293"/>
  </r>
  <r>
    <d v="2019-01-30T00:00:00"/>
    <s v="001-00014852"/>
    <n v="1694.9069000000004"/>
    <n v="1068.3721310200001"/>
    <n v="0"/>
    <n v="355.93"/>
    <n v="39.048749999999998"/>
    <n v="0"/>
    <n v="0"/>
    <n v="0"/>
    <n v="1463.3508810200001"/>
    <n v="231.55601898000032"/>
    <n v="0.13661872459189367"/>
    <x v="0"/>
    <s v="MECANICA"/>
    <x v="10"/>
    <x v="2"/>
    <n v="0"/>
    <n v="1"/>
    <d v="2019-01-30T00:00:00"/>
    <s v="CHANGAN"/>
    <s v="CS35"/>
    <n v="0"/>
    <s v="F/Fecha"/>
    <n v="0"/>
    <x v="201"/>
  </r>
  <r>
    <d v="2019-01-31T00:00:00"/>
    <s v="001-00014857"/>
    <n v="150"/>
    <n v="0"/>
    <n v="0"/>
    <n v="0"/>
    <n v="0"/>
    <n v="0"/>
    <n v="0"/>
    <n v="0"/>
    <n v="0"/>
    <n v="150"/>
    <n v="1"/>
    <x v="0"/>
    <s v="MECANICA"/>
    <x v="10"/>
    <x v="2"/>
    <n v="1"/>
    <n v="1"/>
    <d v="2019-01-30T00:00:00"/>
    <s v="HYUNDAI"/>
    <s v="TUCSON"/>
    <n v="0"/>
    <s v="F/Fecha"/>
    <n v="0"/>
    <x v="14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4">
  <r>
    <n v="405.36"/>
    <d v="2019-10-07T00:00:00"/>
    <s v="005-00000004"/>
    <n v="955.97400000000005"/>
    <n v="0"/>
    <n v="0"/>
    <n v="0"/>
    <n v="0"/>
    <n v="60.300000000000004"/>
    <n v="140.70000000000002"/>
    <n v="0"/>
    <n v="201.00000000000003"/>
    <x v="0"/>
    <n v="0.78974323569469462"/>
    <x v="0"/>
    <s v="LEVE"/>
    <x v="0"/>
    <x v="0"/>
    <x v="0"/>
    <n v="1"/>
    <d v="2019-10-01T00:00:00"/>
    <s v="ASW-540"/>
    <s v="KIA"/>
    <s v="RIO"/>
    <s v="FAST ENGENHARIA E MONTAGENS SA"/>
  </r>
  <r>
    <n v="253.35000000000002"/>
    <d v="2019-10-07T00:00:00"/>
    <s v="005-00000005"/>
    <n v="270.24"/>
    <n v="65.580001999999979"/>
    <n v="0"/>
    <n v="67.79661016949153"/>
    <n v="0"/>
    <n v="0"/>
    <n v="0"/>
    <n v="0"/>
    <n v="133.37661216949152"/>
    <x v="1"/>
    <n v="0.50645125751372289"/>
    <x v="0"/>
    <s v="MECANICA"/>
    <x v="0"/>
    <x v="0"/>
    <x v="1"/>
    <n v="1"/>
    <d v="2019-10-02T00:00:00"/>
    <s v="ASW-540"/>
    <s v="KIA"/>
    <s v="RIO"/>
    <s v="FAST ENGENHARIA E MONTAGENS SA"/>
  </r>
  <r>
    <n v="297.26400000000001"/>
    <d v="2019-10-11T00:00:00"/>
    <s v="005-00000023"/>
    <n v="841.87288999999998"/>
    <n v="209.40159500000004"/>
    <n v="0"/>
    <n v="115.2542372881356"/>
    <n v="40.250250000000001"/>
    <n v="0"/>
    <n v="0"/>
    <n v="0"/>
    <n v="364.90608228813562"/>
    <x v="2"/>
    <n v="0.56655442095523989"/>
    <x v="0"/>
    <s v="MECANICA"/>
    <x v="0"/>
    <x v="0"/>
    <x v="2"/>
    <n v="1"/>
    <d v="2019-10-09T00:00:00"/>
    <s v="F5B-699"/>
    <s v="NISSAN"/>
    <s v="VERSA"/>
    <s v="PACHECO PALOMINO RICARDO ALONSO"/>
  </r>
  <r>
    <n v="152.01"/>
    <d v="2019-10-12T00:00:00"/>
    <s v="005-00000022"/>
    <n v="324.33650964999998"/>
    <n v="0"/>
    <n v="0"/>
    <n v="0"/>
    <n v="0"/>
    <n v="15.075000000000001"/>
    <n v="70.350000000000009"/>
    <n v="0"/>
    <n v="85.425000000000011"/>
    <x v="3"/>
    <n v="0.73661614570563039"/>
    <x v="1"/>
    <s v="LEVE"/>
    <x v="0"/>
    <x v="0"/>
    <x v="1"/>
    <n v="1"/>
    <d v="2019-10-07T00:00:00"/>
    <s v="AHK-141"/>
    <s v="NISSAN"/>
    <s v="XTRAIL"/>
    <s v="RIMAC SEGUROS  Y REASEGUROS S.A"/>
  </r>
  <r>
    <n v="118.23"/>
    <d v="2019-10-12T00:00:00"/>
    <s v="005-00000011"/>
    <n v="302.49000899999999"/>
    <n v="0"/>
    <n v="0"/>
    <n v="0"/>
    <n v="0"/>
    <n v="0"/>
    <n v="0"/>
    <n v="0"/>
    <n v="0"/>
    <x v="4"/>
    <n v="1"/>
    <x v="0"/>
    <s v="MECANICA"/>
    <x v="0"/>
    <x v="0"/>
    <x v="3"/>
    <n v="1"/>
    <d v="2019-10-04T00:00:00"/>
    <s v="D9C-481"/>
    <s v="JEEP"/>
    <s v="COMPASS"/>
    <s v="DIGITAL CONSULTING S.A.C."/>
  </r>
  <r>
    <n v="310"/>
    <d v="2019-10-12T00:00:00"/>
    <s v="005-00000006"/>
    <n v="3293.7800979999997"/>
    <n v="1687.6875990000001"/>
    <n v="0"/>
    <n v="0"/>
    <n v="0"/>
    <n v="75.375"/>
    <n v="211.05"/>
    <n v="0"/>
    <n v="1974.112599"/>
    <x v="5"/>
    <n v="0.40065440306756017"/>
    <x v="0"/>
    <s v="LEVE"/>
    <x v="0"/>
    <x v="0"/>
    <x v="4"/>
    <n v="1"/>
    <d v="2019-10-03T00:00:00"/>
    <s v="D9C-481"/>
    <s v="JEEP"/>
    <s v="COMPASS"/>
    <s v="DIGITAL CONSULTING S.A.C."/>
  </r>
  <r>
    <n v="150"/>
    <d v="2019-10-14T00:00:00"/>
    <s v="005-00000024"/>
    <n v="1426.7250425"/>
    <n v="0"/>
    <n v="0"/>
    <n v="0"/>
    <n v="0"/>
    <n v="120.60000000000001"/>
    <n v="281.40000000000003"/>
    <n v="0"/>
    <n v="402.00000000000006"/>
    <x v="6"/>
    <n v="0.7182358281904202"/>
    <x v="0"/>
    <s v="LEVE"/>
    <x v="0"/>
    <x v="0"/>
    <x v="1"/>
    <n v="1"/>
    <d v="2019-10-09T00:00:00"/>
    <s v="B4S-030"/>
    <s v="KIA"/>
    <s v="PICANTO"/>
    <s v="FAST ENGENHARIA E MONTAGENS SA"/>
  </r>
  <r>
    <n v="211.87289000000001"/>
    <d v="2019-10-22T00:00:00"/>
    <s v="005-00000030"/>
    <n v="803.36498979746"/>
    <n v="0"/>
    <n v="0"/>
    <n v="0"/>
    <n v="0"/>
    <n v="33.918750000000003"/>
    <n v="211.05"/>
    <n v="0"/>
    <n v="244.96875"/>
    <x v="7"/>
    <n v="0.69507166342690618"/>
    <x v="0"/>
    <s v="LEVE"/>
    <x v="0"/>
    <x v="0"/>
    <x v="5"/>
    <n v="1"/>
    <d v="2019-10-09T00:00:00"/>
    <s v="AMY-524"/>
    <s v="TOYOTA"/>
    <s v="COROLLA"/>
    <s v="FAST ENGENHARIA E MONTAGENS SA"/>
  </r>
  <r>
    <n v="70"/>
    <d v="2019-10-17T00:00:00"/>
    <s v="005-00000009"/>
    <n v="1315.98496095"/>
    <n v="0"/>
    <n v="0"/>
    <n v="0"/>
    <n v="52.762500000000003"/>
    <n v="90.45"/>
    <n v="140.70000000000002"/>
    <n v="0"/>
    <n v="283.91250000000002"/>
    <x v="8"/>
    <n v="0.78425855277628265"/>
    <x v="1"/>
    <s v="LEVE"/>
    <x v="0"/>
    <x v="0"/>
    <x v="5"/>
    <n v="1"/>
    <d v="2019-10-04T00:00:00"/>
    <s v="F0Z-446"/>
    <s v="RENAULT"/>
    <s v="DUSTER"/>
    <s v="RIMAC SEGUROS  Y REASEGUROS S.A"/>
  </r>
  <r>
    <n v="100"/>
    <d v="2019-10-18T00:00:00"/>
    <s v="005-00000031"/>
    <n v="899.14"/>
    <n v="0"/>
    <n v="0"/>
    <n v="0"/>
    <n v="0"/>
    <n v="75.375"/>
    <n v="140.70000000000002"/>
    <n v="0"/>
    <n v="216.07500000000002"/>
    <x v="9"/>
    <n v="0.75968703427719819"/>
    <x v="1"/>
    <s v="LEVE"/>
    <x v="0"/>
    <x v="0"/>
    <x v="3"/>
    <n v="1"/>
    <d v="2019-10-10T00:00:00"/>
    <s v="ANX-091"/>
    <s v="TOYOTA"/>
    <s v="AVENSIS"/>
    <s v="RIMAC SEGUROS  Y REASEGUROS S.A"/>
  </r>
  <r>
    <n v="0"/>
    <d v="2019-10-19T00:00:00"/>
    <s v="005-00000039"/>
    <n v="1615"/>
    <n v="521.80870729999992"/>
    <n v="16.949152542372882"/>
    <n v="82.37"/>
    <n v="40.250250000000001"/>
    <n v="0"/>
    <n v="0"/>
    <n v="0"/>
    <n v="661.37810984237285"/>
    <x v="10"/>
    <n v="0.59047795056199825"/>
    <x v="2"/>
    <s v="MECANICA"/>
    <x v="0"/>
    <x v="0"/>
    <x v="6"/>
    <n v="1"/>
    <d v="2019-10-12T00:00:00"/>
    <s v="AHV-326"/>
    <s v="WOLKWAGEN"/>
    <s v="GOL"/>
    <s v="AUTOCLASS S.A.C."/>
  </r>
  <r>
    <n v="198.2990059"/>
    <d v="2019-10-19T00:00:00"/>
    <s v="005-00000038"/>
    <n v="1488"/>
    <n v="771.9944099999999"/>
    <n v="0"/>
    <n v="42.37"/>
    <n v="75.375"/>
    <n v="0"/>
    <n v="0"/>
    <n v="0"/>
    <n v="889.73940999999991"/>
    <x v="11"/>
    <n v="0.40205684811827963"/>
    <x v="2"/>
    <s v="MECANICA"/>
    <x v="0"/>
    <x v="0"/>
    <x v="6"/>
    <n v="1"/>
    <d v="2019-10-12T00:00:00"/>
    <s v="AJF-554"/>
    <s v="CHEVROLET"/>
    <s v="SAIL"/>
    <s v="AUTOCLASS S.A.C."/>
  </r>
  <r>
    <n v="126.03750375"/>
    <d v="2019-10-23T00:00:00"/>
    <s v="005-00000041"/>
    <n v="890"/>
    <n v="45.762699000000005"/>
    <n v="0"/>
    <n v="0"/>
    <n v="0"/>
    <n v="15.075000000000001"/>
    <n v="0"/>
    <n v="0"/>
    <n v="60.837699000000008"/>
    <x v="12"/>
    <n v="0.9316430348314606"/>
    <x v="1"/>
    <s v="LEVE"/>
    <x v="0"/>
    <x v="0"/>
    <x v="4"/>
    <n v="1"/>
    <d v="2019-10-14T00:00:00"/>
    <s v="B5M-803"/>
    <s v="NISSAN"/>
    <s v="NAVARA"/>
    <s v="INDURA PERU S.A."/>
  </r>
  <r>
    <n v="0"/>
    <d v="2019-10-19T00:00:00"/>
    <s v="005-00000045"/>
    <n v="1617.11"/>
    <n v="0"/>
    <n v="0"/>
    <n v="76.27"/>
    <n v="0"/>
    <n v="180.9"/>
    <n v="211.05"/>
    <n v="0"/>
    <n v="468.22"/>
    <x v="13"/>
    <n v="0.710458781406336"/>
    <x v="1"/>
    <s v="GRAVE"/>
    <x v="0"/>
    <x v="0"/>
    <x v="7"/>
    <n v="1"/>
    <d v="2019-10-16T00:00:00"/>
    <s v="ATZ-549"/>
    <s v="HYUNDAY"/>
    <s v="ACCENT"/>
    <s v="RIMAC SEGUROS  Y REASEGUROS S.A"/>
  </r>
  <r>
    <n v="302.49000899999999"/>
    <d v="2019-10-19T00:00:00"/>
    <s v="005-00000015"/>
    <n v="697.84000000000015"/>
    <n v="0"/>
    <n v="0"/>
    <n v="0"/>
    <n v="0"/>
    <n v="45.225000000000001"/>
    <n v="140.70000000000002"/>
    <n v="0"/>
    <n v="185.92500000000001"/>
    <x v="14"/>
    <n v="0.73357073254614247"/>
    <x v="1"/>
    <s v="LEVE"/>
    <x v="0"/>
    <x v="0"/>
    <x v="8"/>
    <n v="1"/>
    <d v="2019-10-05T00:00:00"/>
    <s v="ANE-346"/>
    <s v="RENAULT"/>
    <s v="LOGAN"/>
    <s v="RENTAEQUIPOS LEASING PERU S.A."/>
  </r>
  <r>
    <n v="604.98001799999997"/>
    <d v="2019-10-19T00:00:00"/>
    <s v="005-00000014"/>
    <n v="898.31534099999988"/>
    <n v="0"/>
    <n v="0"/>
    <n v="0"/>
    <n v="0"/>
    <n v="75.375"/>
    <n v="158.28749999999999"/>
    <n v="0"/>
    <n v="233.66249999999999"/>
    <x v="15"/>
    <n v="0.73988811129520715"/>
    <x v="1"/>
    <s v="LEVE"/>
    <x v="0"/>
    <x v="0"/>
    <x v="8"/>
    <n v="1"/>
    <d v="2019-10-05T00:00:00"/>
    <s v="ANE-346"/>
    <s v="RENAULT"/>
    <s v="LOGAN"/>
    <s v="RENTAEQUIPOS LEASING PERU S.A."/>
  </r>
  <r>
    <n v="252.0750075"/>
    <d v="2019-10-21T00:00:00"/>
    <s v="005-00000010"/>
    <n v="2076.61"/>
    <n v="0"/>
    <n v="0"/>
    <n v="84.75"/>
    <n v="30.150000000000002"/>
    <n v="120.60000000000001"/>
    <n v="351.75"/>
    <n v="0"/>
    <n v="587.25"/>
    <x v="16"/>
    <n v="0.71720737162972348"/>
    <x v="1"/>
    <s v="MEDIANO"/>
    <x v="0"/>
    <x v="0"/>
    <x v="9"/>
    <n v="1"/>
    <d v="2019-10-04T00:00:00"/>
    <s v="AMD-263"/>
    <s v="HYUNDAY"/>
    <s v="ACCENT"/>
    <s v="RIMAC SEGUROS  Y REASEGUROS S.A"/>
  </r>
  <r>
    <n v="100.830003"/>
    <d v="2019-10-21T00:00:00"/>
    <s v="005-00000043"/>
    <n v="699.52297909999993"/>
    <n v="0"/>
    <n v="0"/>
    <n v="0"/>
    <n v="0"/>
    <n v="105.52500000000001"/>
    <n v="70.350000000000009"/>
    <n v="0"/>
    <n v="175.875"/>
    <x v="17"/>
    <n v="0.74857866681337726"/>
    <x v="1"/>
    <s v="LEVE"/>
    <x v="0"/>
    <x v="0"/>
    <x v="6"/>
    <n v="1"/>
    <d v="2019-10-14T00:00:00"/>
    <s v="ANE-445"/>
    <s v="RENAULT"/>
    <s v="LOGAN"/>
    <s v="RENTAEQUIPOS LEASING PERU S.A."/>
  </r>
  <r>
    <n v="2335.8950694999999"/>
    <d v="2019-10-21T00:00:00"/>
    <s v="005-00000007"/>
    <n v="472.77780666257974"/>
    <n v="0"/>
    <n v="0"/>
    <n v="0"/>
    <n v="0"/>
    <n v="15.075000000000001"/>
    <n v="87.9375"/>
    <n v="0"/>
    <n v="103.0125"/>
    <x v="18"/>
    <n v="0.7821122342286263"/>
    <x v="1"/>
    <s v="LEVE"/>
    <x v="0"/>
    <x v="0"/>
    <x v="10"/>
    <n v="1"/>
    <d v="2019-10-03T00:00:00"/>
    <s v="AHY-439"/>
    <s v="MITSUBISHI"/>
    <s v="OUTLANDER"/>
    <s v="RENTAEQUIPOS LEASING PERU S.A."/>
  </r>
  <r>
    <n v="805.680024"/>
    <d v="2019-10-22T00:00:00"/>
    <s v="005-00000028"/>
    <n v="2167.7542000000003"/>
    <n v="97.661901199999988"/>
    <n v="0"/>
    <n v="42.37"/>
    <n v="105.52500000000001"/>
    <n v="105.52500000000001"/>
    <n v="580.38750000000005"/>
    <n v="0"/>
    <n v="931.46940119999999"/>
    <x v="19"/>
    <n v="0.57030672518129599"/>
    <x v="2"/>
    <s v="LEVE"/>
    <x v="0"/>
    <x v="0"/>
    <x v="5"/>
    <n v="1"/>
    <d v="2019-10-09T00:00:00"/>
    <s v="BBH-363"/>
    <s v="KIA"/>
    <s v="RIO"/>
    <s v="AUTOCLASS S.A.C."/>
  </r>
  <r>
    <n v="402.840012"/>
    <d v="2019-10-23T00:00:00"/>
    <s v="005-00000016"/>
    <n v="5172"/>
    <n v="2097.2683343999997"/>
    <n v="0"/>
    <n v="53.672881355932205"/>
    <n v="135.67500000000001"/>
    <n v="180.9"/>
    <n v="703.5"/>
    <n v="0"/>
    <n v="3171.0162157559321"/>
    <x v="20"/>
    <n v="0.38688781597913147"/>
    <x v="2"/>
    <s v="MEDIANO"/>
    <x v="0"/>
    <x v="0"/>
    <x v="10"/>
    <n v="1"/>
    <d v="2019-10-05T00:00:00"/>
    <s v="AUK-009"/>
    <s v="KIA"/>
    <s v="RIO"/>
    <s v="AUTOCLASS S.A.C."/>
  </r>
  <r>
    <n v="218.2050065"/>
    <d v="2019-10-23T00:00:00"/>
    <s v="005-00000026"/>
    <n v="4922.6017000000002"/>
    <n v="988.26797169999986"/>
    <n v="0"/>
    <n v="125.71000000000001"/>
    <n v="105.52500000000001"/>
    <n v="256.27500000000003"/>
    <n v="914.55000000000007"/>
    <n v="0"/>
    <n v="2390.3279717"/>
    <x v="21"/>
    <n v="0.51441775764632758"/>
    <x v="2"/>
    <s v="GRAVE"/>
    <x v="0"/>
    <x v="0"/>
    <x v="8"/>
    <n v="1"/>
    <d v="2019-10-09T00:00:00"/>
    <s v="BEN-484"/>
    <s v="CHEVROLET"/>
    <s v="SAIL"/>
    <s v="AUTOCLASS S.A.C."/>
  </r>
  <r>
    <n v="397.65998819999999"/>
    <d v="2019-10-23T00:00:00"/>
    <s v="005-00000070"/>
    <n v="100"/>
    <n v="0"/>
    <n v="0"/>
    <n v="0"/>
    <n v="15.075000000000001"/>
    <n v="0"/>
    <n v="0"/>
    <n v="0"/>
    <n v="15.075000000000001"/>
    <x v="22"/>
    <n v="0.84924999999999995"/>
    <x v="0"/>
    <s v="MECANICA"/>
    <x v="0"/>
    <x v="0"/>
    <x v="2"/>
    <n v="1"/>
    <d v="2019-10-21T00:00:00"/>
    <s v="ASN-143"/>
    <s v="NISSAN"/>
    <s v="QASHQAI"/>
    <s v="AGRIBRANDS PURINA PERU S.A"/>
  </r>
  <r>
    <n v="505.49998499999998"/>
    <d v="2019-10-23T00:00:00"/>
    <s v="005-00000060"/>
    <n v="812.10599999999999"/>
    <n v="0"/>
    <n v="0"/>
    <n v="0"/>
    <n v="105.73"/>
    <n v="0"/>
    <n v="0"/>
    <n v="0"/>
    <n v="105.73"/>
    <x v="23"/>
    <n v="0.86980763594900168"/>
    <x v="1"/>
    <s v="LEVE"/>
    <x v="0"/>
    <x v="0"/>
    <x v="0"/>
    <n v="1"/>
    <d v="2019-10-17T00:00:00"/>
    <s v="BDI-580"/>
    <s v="SUBARU"/>
    <s v="OUTBACK"/>
    <s v="RIMAC SEGUROS  Y REASEGUROS S.A"/>
  </r>
  <r>
    <n v="235.89999299999999"/>
    <d v="2019-10-23T00:00:00"/>
    <s v="005-00000040"/>
    <n v="2585.8865698200002"/>
    <n v="0"/>
    <n v="0"/>
    <n v="0"/>
    <n v="0"/>
    <n v="256.27500000000003"/>
    <n v="439.6875"/>
    <n v="0"/>
    <n v="695.96250000000009"/>
    <x v="24"/>
    <n v="0.73086116455276495"/>
    <x v="1"/>
    <s v="GRAVE"/>
    <x v="0"/>
    <x v="0"/>
    <x v="4"/>
    <n v="1"/>
    <d v="2019-10-14T00:00:00"/>
    <s v="BMA-272"/>
    <s v="GREAT WALL"/>
    <s v="H3"/>
    <s v="RIMAC SEGUROS  Y REASEGUROS S.A"/>
  </r>
  <r>
    <n v="176.92499475"/>
    <d v="2019-10-26T00:00:00"/>
    <s v="005-00000033"/>
    <n v="1083.7249676499996"/>
    <n v="0"/>
    <n v="0"/>
    <n v="76.27"/>
    <n v="0"/>
    <n v="90.45"/>
    <n v="105.52500000000001"/>
    <n v="0"/>
    <n v="272.245"/>
    <x v="25"/>
    <n v="0.74878773846989155"/>
    <x v="1"/>
    <s v="LEVE"/>
    <x v="0"/>
    <x v="0"/>
    <x v="11"/>
    <n v="1"/>
    <d v="2019-10-11T00:00:00"/>
    <s v="AZY-713"/>
    <s v="FORD"/>
    <s v="RANGER"/>
    <s v="RENTAEQUIPOS LEASING PERU S.A."/>
  </r>
  <r>
    <n v="0"/>
    <d v="2019-10-26T00:00:00"/>
    <s v="005-00000071"/>
    <n v="1415.37495775"/>
    <n v="0"/>
    <n v="0"/>
    <n v="20.100000000000001"/>
    <n v="0"/>
    <n v="180.9"/>
    <n v="175.875"/>
    <n v="0"/>
    <n v="376.875"/>
    <x v="26"/>
    <n v="0.73372780270246374"/>
    <x v="0"/>
    <s v="MEDIANO"/>
    <x v="0"/>
    <x v="0"/>
    <x v="12"/>
    <n v="1"/>
    <d v="2019-10-22T00:00:00"/>
    <s v="D9K-336"/>
    <s v="KIA"/>
    <s v="SPORTAGE"/>
    <s v="RIMAC SEGUROS  Y REASEGUROS S.A"/>
  </r>
  <r>
    <n v="395.89"/>
    <d v="2019-10-28T00:00:00"/>
    <s v="005-00000017"/>
    <n v="6205.2542000000003"/>
    <n v="951.58547179999994"/>
    <n v="0"/>
    <n v="145.59372881355932"/>
    <n v="120.60000000000001"/>
    <n v="452.25"/>
    <n v="949.72500000000002"/>
    <n v="0"/>
    <n v="2619.7542006135591"/>
    <x v="27"/>
    <n v="0.57781677975197876"/>
    <x v="2"/>
    <s v="GRAVE"/>
    <x v="0"/>
    <x v="0"/>
    <x v="13"/>
    <n v="1"/>
    <d v="2019-10-07T00:00:00"/>
    <s v="ATK-580"/>
    <s v="KIA"/>
    <s v="CERATO"/>
    <s v="AUTOCLASS S.A.C."/>
  </r>
  <r>
    <n v="503.25"/>
    <d v="2019-10-28T00:00:00"/>
    <s v="005-00000034"/>
    <n v="3649.98"/>
    <n v="0"/>
    <n v="0"/>
    <n v="0"/>
    <n v="0"/>
    <n v="361.8"/>
    <n v="545.21249999999998"/>
    <n v="0"/>
    <n v="907.01250000000005"/>
    <x v="28"/>
    <n v="0.75150206302500278"/>
    <x v="1"/>
    <s v="GRAVE"/>
    <x v="0"/>
    <x v="0"/>
    <x v="9"/>
    <n v="1"/>
    <d v="2019-10-11T00:00:00"/>
    <s v="AWL-231"/>
    <s v="KIA"/>
    <s v="RIO"/>
    <s v="RENTAEQUIPOS LEASING PERU S.A."/>
  </r>
  <r>
    <n v="-335.5"/>
    <d v="2019-10-28T00:00:00"/>
    <s v="005-00000021"/>
    <n v="1600.9543719754197"/>
    <n v="0"/>
    <n v="0"/>
    <n v="0"/>
    <n v="0"/>
    <n v="241.20000000000002"/>
    <n v="158.28749999999999"/>
    <n v="0"/>
    <n v="399.48750000000001"/>
    <x v="29"/>
    <n v="0.75046915327944552"/>
    <x v="1"/>
    <s v="GRAVE"/>
    <x v="0"/>
    <x v="0"/>
    <x v="13"/>
    <n v="1"/>
    <d v="2019-10-07T00:00:00"/>
    <s v="ATH-340"/>
    <s v="HONDA"/>
    <s v="PILOT"/>
    <s v="RENTAEQUIPOS LEASING PERU S.A."/>
  </r>
  <r>
    <n v="0"/>
    <d v="2019-10-29T00:00:00"/>
    <s v="005-00000073"/>
    <n v="777.05499999999984"/>
    <n v="0"/>
    <n v="0"/>
    <n v="25.125"/>
    <n v="0"/>
    <n v="60.300000000000004"/>
    <n v="140.70000000000002"/>
    <n v="0"/>
    <n v="226.12500000000003"/>
    <x v="30"/>
    <n v="0.70899743261416492"/>
    <x v="1"/>
    <s v="LEVE"/>
    <x v="0"/>
    <x v="0"/>
    <x v="6"/>
    <n v="1"/>
    <d v="2019-10-22T00:00:00"/>
    <s v="BCZ-165"/>
    <s v="CHEVROLET"/>
    <s v="COBALT"/>
    <s v="CORE MINERALS PERU S.A"/>
  </r>
  <r>
    <n v="200"/>
    <d v="2019-10-29T00:00:00"/>
    <s v="005-00000013"/>
    <n v="6158.5"/>
    <n v="1076.6122704000002"/>
    <n v="0"/>
    <n v="172.54237288135593"/>
    <n v="241.20000000000002"/>
    <n v="301.5"/>
    <n v="984.9"/>
    <n v="0"/>
    <n v="2776.754643281356"/>
    <x v="31"/>
    <n v="0.54911834971480777"/>
    <x v="2"/>
    <s v="GRAVE"/>
    <x v="0"/>
    <x v="0"/>
    <x v="14"/>
    <n v="1"/>
    <d v="2019-10-05T00:00:00"/>
    <s v="AYM-428"/>
    <s v="CHEVROLET"/>
    <s v="SAIL"/>
    <s v="AUTOCLASS S.A.C."/>
  </r>
  <r>
    <n v="155"/>
    <d v="2019-10-29T00:00:00"/>
    <s v="005-00000027"/>
    <n v="3044.7542000000003"/>
    <n v="439.48892599999994"/>
    <n v="0"/>
    <n v="59.324067796610173"/>
    <n v="90.45"/>
    <n v="211.05"/>
    <n v="633.15"/>
    <n v="0"/>
    <n v="1433.4629937966101"/>
    <x v="32"/>
    <n v="0.52920239216794251"/>
    <x v="2"/>
    <s v="MEDIANO"/>
    <x v="0"/>
    <x v="0"/>
    <x v="15"/>
    <n v="1"/>
    <d v="2019-10-09T00:00:00"/>
    <s v="BHA-218"/>
    <s v="CHEVROLET"/>
    <s v="SAIL"/>
    <s v="AUTOCLASS S.A.C."/>
  </r>
  <r>
    <n v="120"/>
    <d v="2019-10-29T00:00:00"/>
    <s v="005-00000018"/>
    <n v="4644.5"/>
    <n v="621.35519875"/>
    <n v="0"/>
    <n v="111.69203389830508"/>
    <n v="120.60000000000001"/>
    <n v="256.27500000000003"/>
    <n v="844.2"/>
    <n v="0"/>
    <n v="1954.1222326483053"/>
    <x v="33"/>
    <n v="0.57926101137941532"/>
    <x v="2"/>
    <s v="MEDIANO"/>
    <x v="0"/>
    <x v="0"/>
    <x v="16"/>
    <n v="1"/>
    <d v="2019-10-07T00:00:00"/>
    <s v="AWG-565"/>
    <s v="KIA"/>
    <s v="CERATO"/>
    <s v="AUTOCLASS S.A.C."/>
  </r>
  <r>
    <n v="300"/>
    <d v="2019-10-29T00:00:00"/>
    <s v="005-00000029"/>
    <n v="7582.5"/>
    <n v="2229.3106937999996"/>
    <n v="59.322033898305087"/>
    <n v="290.9571186440678"/>
    <n v="226.125"/>
    <n v="256.27500000000003"/>
    <n v="844.2"/>
    <n v="0"/>
    <n v="3906.1898463423731"/>
    <x v="34"/>
    <n v="0.48484143140885289"/>
    <x v="2"/>
    <s v="GRAVE"/>
    <x v="0"/>
    <x v="0"/>
    <x v="15"/>
    <n v="1"/>
    <d v="2019-10-09T00:00:00"/>
    <s v="BEQ-226"/>
    <s v="CHEVROLET"/>
    <s v="SAIL"/>
    <s v="AUTOCLASS S.A.C."/>
  </r>
  <r>
    <n v="120"/>
    <d v="2019-10-29T00:00:00"/>
    <s v="005-00000044"/>
    <n v="1735.04779035"/>
    <n v="0"/>
    <n v="0"/>
    <n v="0"/>
    <n v="0"/>
    <n v="150.75"/>
    <n v="334.16250000000002"/>
    <n v="0"/>
    <n v="484.91250000000002"/>
    <x v="35"/>
    <n v="0.72051922563920756"/>
    <x v="1"/>
    <s v="MEDIANO"/>
    <x v="0"/>
    <x v="0"/>
    <x v="8"/>
    <n v="1"/>
    <d v="2019-10-15T00:00:00"/>
    <s v="BLA-251"/>
    <s v="CHEVROLET"/>
    <s v="PRISMA"/>
    <s v="RENTAEQUIPOS LEASING PERU S.A."/>
  </r>
  <r>
    <n v="720"/>
    <d v="2019-10-29T00:00:00"/>
    <s v="005-00000084"/>
    <n v="1140.57"/>
    <n v="0"/>
    <n v="0"/>
    <n v="51.150000000000006"/>
    <n v="0"/>
    <n v="90.45"/>
    <n v="211.05"/>
    <n v="0"/>
    <n v="352.65000000000003"/>
    <x v="36"/>
    <n v="0.69081248849259569"/>
    <x v="1"/>
    <s v="LEVE"/>
    <x v="0"/>
    <x v="0"/>
    <x v="0"/>
    <n v="1"/>
    <d v="2019-10-23T00:00:00"/>
    <s v="BAF-310"/>
    <s v="MAZDA"/>
    <s v="MAZDA 2"/>
    <s v="RIMAC SEGUROS  Y REASEGUROS S.A"/>
  </r>
  <r>
    <n v="630"/>
    <d v="2019-10-29T00:00:00"/>
    <s v="005-00000042"/>
    <n v="350"/>
    <n v="0"/>
    <n v="0"/>
    <n v="0"/>
    <n v="15.075000000000001"/>
    <n v="15.075000000000001"/>
    <n v="70.350000000000009"/>
    <n v="0"/>
    <n v="100.50000000000001"/>
    <x v="37"/>
    <n v="0.71285714285714286"/>
    <x v="0"/>
    <s v="LEVE"/>
    <x v="0"/>
    <x v="0"/>
    <x v="11"/>
    <n v="1"/>
    <d v="2019-10-14T00:00:00"/>
    <s v="C3A-411"/>
    <s v="SUZUKI"/>
    <s v="CELERIO"/>
    <s v="FAST ENGENHARIA E MONTAGENS SA"/>
  </r>
  <r>
    <n v="260"/>
    <d v="2019-10-30T00:00:00"/>
    <s v="005-00000019"/>
    <n v="6671.5"/>
    <n v="1593.0606048"/>
    <n v="110.16949152542374"/>
    <n v="91.27118644067798"/>
    <n v="150.75"/>
    <n v="376.875"/>
    <n v="1055.25"/>
    <n v="0"/>
    <n v="3377.3762827661017"/>
    <x v="38"/>
    <n v="0.49376058116374105"/>
    <x v="2"/>
    <s v="GRAVE"/>
    <x v="0"/>
    <x v="0"/>
    <x v="17"/>
    <n v="1"/>
    <d v="2019-10-07T00:00:00"/>
    <s v="P2Y-146"/>
    <s v="KIA"/>
    <s v="RIO"/>
    <s v="AUTOCLASS S.A.C."/>
  </r>
  <r>
    <n v="598"/>
    <d v="2019-10-30T00:00:00"/>
    <s v="005-00000065"/>
    <n v="3818.7542100000001"/>
    <n v="548.89210930000002"/>
    <n v="0"/>
    <n v="41"/>
    <n v="124.36875000000001"/>
    <n v="150.75"/>
    <n v="703.5"/>
    <n v="0"/>
    <n v="1568.5108593"/>
    <x v="39"/>
    <n v="0.5892611115969153"/>
    <x v="2"/>
    <s v="MEDIANO"/>
    <x v="0"/>
    <x v="0"/>
    <x v="18"/>
    <n v="1"/>
    <d v="2019-10-19T00:00:00"/>
    <s v="APA-238"/>
    <s v="HYUNDAY"/>
    <s v="ACCENT"/>
    <s v="EDPYME ACCESO CREDITICIO SOCIEDAD ANONIMA"/>
  </r>
  <r>
    <n v="593.83500000000004"/>
    <d v="2019-10-30T00:00:00"/>
    <s v="005-00000088"/>
    <n v="637.93998090000014"/>
    <n v="0"/>
    <n v="0"/>
    <n v="65.325000000000003"/>
    <n v="0"/>
    <n v="30.150000000000002"/>
    <n v="105.52500000000001"/>
    <n v="0"/>
    <n v="201"/>
    <x v="40"/>
    <n v="0.68492333758979806"/>
    <x v="1"/>
    <s v="LEVE"/>
    <x v="0"/>
    <x v="0"/>
    <x v="0"/>
    <n v="1"/>
    <d v="2019-10-24T00:00:00"/>
    <s v="AYW-424"/>
    <s v="KIA"/>
    <s v="SPORTAGE"/>
    <s v="RIMAC SEGUROS  Y REASEGUROS S.A"/>
  </r>
  <r>
    <n v="905.85"/>
    <d v="2019-10-30T00:00:00"/>
    <s v="005-00000092"/>
    <n v="420.41548009270986"/>
    <n v="0"/>
    <n v="0"/>
    <n v="0"/>
    <n v="0"/>
    <n v="30.150000000000002"/>
    <n v="87.9375"/>
    <n v="0"/>
    <n v="118.08750000000001"/>
    <x v="41"/>
    <n v="0.71911714579596497"/>
    <x v="1"/>
    <s v="LEVE"/>
    <x v="0"/>
    <x v="0"/>
    <x v="0"/>
    <n v="1"/>
    <d v="2019-10-24T00:00:00"/>
    <s v="BDM-636"/>
    <s v="MAZDA"/>
    <s v="MAZDA 2"/>
    <s v="RIMAC SEGUROS  Y REASEGUROS S.A"/>
  </r>
  <r>
    <n v="117.425"/>
    <d v="2019-10-30T00:00:00"/>
    <s v="005-00000087"/>
    <n v="961.0989992245801"/>
    <n v="0"/>
    <n v="0"/>
    <n v="80.400000000000006"/>
    <n v="0"/>
    <n v="45.225000000000001"/>
    <n v="158.28749999999999"/>
    <n v="0"/>
    <n v="283.91250000000002"/>
    <x v="42"/>
    <n v="0.70459598831227355"/>
    <x v="1"/>
    <s v="LEVE"/>
    <x v="0"/>
    <x v="0"/>
    <x v="0"/>
    <n v="1"/>
    <d v="2019-10-24T00:00:00"/>
    <s v="AYW-424"/>
    <s v="KIA"/>
    <s v="SPORTAGE"/>
    <s v="RIMAC SEGUROS  Y REASEGUROS S.A"/>
  </r>
  <r>
    <n v="-335.5"/>
    <d v="2019-10-30T00:00:00"/>
    <s v="005-00000081"/>
    <n v="794.09900422458009"/>
    <n v="0"/>
    <n v="0"/>
    <n v="30.150000000000002"/>
    <n v="0"/>
    <n v="45.225000000000001"/>
    <n v="140.70000000000002"/>
    <n v="0"/>
    <n v="216.07500000000002"/>
    <x v="43"/>
    <n v="0.72789916767243346"/>
    <x v="1"/>
    <s v="LEVE"/>
    <x v="0"/>
    <x v="0"/>
    <x v="6"/>
    <n v="1"/>
    <d v="2019-10-23T00:00:00"/>
    <s v="ACZ-120"/>
    <s v="TOYOTA"/>
    <s v="RAV4"/>
    <s v="RIMAC SEGUROS  Y REASEGUROS S.A"/>
  </r>
  <r>
    <n v="335.5"/>
    <d v="2019-10-30T00:00:00"/>
    <s v="005-00000078"/>
    <n v="895.1199732"/>
    <n v="0"/>
    <n v="0"/>
    <n v="30.150000000000002"/>
    <n v="0"/>
    <n v="75.375"/>
    <n v="140.70000000000002"/>
    <n v="0"/>
    <n v="246.22500000000002"/>
    <x v="44"/>
    <n v="0.72492514146482456"/>
    <x v="1"/>
    <s v="LEVE"/>
    <x v="0"/>
    <x v="0"/>
    <x v="3"/>
    <n v="1"/>
    <d v="2019-10-22T00:00:00"/>
    <s v="AJB-285"/>
    <s v="MAZDA"/>
    <s v="MAZDA 3 "/>
    <s v="RIMAC SEGUROS  Y REASEGUROS S.A"/>
  </r>
  <r>
    <n v="397.99392049999994"/>
    <d v="2019-10-30T00:00:00"/>
    <s v="005-00000068"/>
    <n v="1412.8199577000003"/>
    <n v="0"/>
    <n v="0"/>
    <n v="38.190000000000005"/>
    <n v="0"/>
    <n v="180.9"/>
    <n v="140.70000000000002"/>
    <n v="0"/>
    <n v="359.79"/>
    <x v="45"/>
    <n v="0.74533910139143278"/>
    <x v="1"/>
    <s v="MEDIANO"/>
    <x v="0"/>
    <x v="0"/>
    <x v="4"/>
    <n v="1"/>
    <d v="2019-10-21T00:00:00"/>
    <s v="AWY-319"/>
    <s v="JEEP"/>
    <s v="GRAND CHEROKE"/>
    <s v="RENTAEQUIPOS LEASING PERU S.A."/>
  </r>
  <r>
    <n v="395.89"/>
    <d v="2019-10-31T00:00:00"/>
    <s v="005-00000049"/>
    <n v="6587.7542000000003"/>
    <n v="1383.0209572000003"/>
    <n v="76.271186440677965"/>
    <n v="122.32203389830509"/>
    <n v="154.51875000000001"/>
    <n v="241.20000000000002"/>
    <n v="1143.1875"/>
    <n v="0"/>
    <n v="3120.5204275389833"/>
    <x v="46"/>
    <n v="0.52631498796069487"/>
    <x v="2"/>
    <s v="GRAVE"/>
    <x v="0"/>
    <x v="0"/>
    <x v="11"/>
    <n v="1"/>
    <d v="2019-10-16T00:00:00"/>
    <s v="AKB-038"/>
    <s v="KIA"/>
    <s v="RIO"/>
    <s v="EDPYME ACCESO CREDITICIO SOCIEDAD ANONIMA"/>
  </r>
  <r>
    <n v="201.3"/>
    <d v="2019-10-31T00:00:00"/>
    <s v="005-00000055"/>
    <n v="3862.7542100000001"/>
    <n v="1296.9810060000002"/>
    <n v="0"/>
    <n v="119.37288135593221"/>
    <n v="154.51875000000001"/>
    <n v="75.375"/>
    <n v="422.1"/>
    <n v="0"/>
    <n v="2068.3476373559324"/>
    <x v="47"/>
    <n v="0.46454070724941821"/>
    <x v="2"/>
    <s v="LEVE"/>
    <x v="0"/>
    <x v="0"/>
    <x v="11"/>
    <n v="1"/>
    <d v="2019-10-16T00:00:00"/>
    <s v="AEM-292"/>
    <s v="HYUNDAY"/>
    <s v="ACCENT"/>
    <s v="EDPYME ACCESO CREDITICIO SOCIEDAD ANONIMA"/>
  </r>
  <r>
    <n v="100.65"/>
    <d v="2019-10-31T00:00:00"/>
    <s v="005-00000080"/>
    <n v="1595.7984999999999"/>
    <n v="0"/>
    <n v="0"/>
    <n v="15.075000000000001"/>
    <n v="0"/>
    <n v="180.9"/>
    <n v="246.22499999999999"/>
    <n v="0"/>
    <n v="442.2"/>
    <x v="48"/>
    <n v="0.72289734574885234"/>
    <x v="1"/>
    <s v="MEDIANO"/>
    <x v="0"/>
    <x v="0"/>
    <x v="3"/>
    <n v="1"/>
    <d v="2019-10-23T00:00:00"/>
    <s v="AFC-362"/>
    <s v="MAZDA"/>
    <s v="MAZDA 6"/>
    <s v="RIMAC SEGUROS  Y REASEGUROS S.A"/>
  </r>
  <r>
    <n v="-335.5"/>
    <d v="2019-10-07T00:00:00"/>
    <s v="005-00000020"/>
    <n v="296.61020000000002"/>
    <n v="140.75284975"/>
    <n v="0"/>
    <n v="0"/>
    <n v="40.250250000000001"/>
    <n v="0"/>
    <n v="0"/>
    <n v="0"/>
    <n v="181.00309974999999"/>
    <x v="49"/>
    <n v="0.38976104075315016"/>
    <x v="0"/>
    <s v="MECANICA"/>
    <x v="0"/>
    <x v="0"/>
    <x v="19"/>
    <n v="1"/>
    <d v="2019-10-07T00:00:00"/>
    <s v="BAZ-054"/>
    <s v="KIA"/>
    <s v="CERATO"/>
    <s v="MEZA CERNA JUNOR RAUL"/>
  </r>
  <r>
    <n v="0"/>
    <d v="2019-10-12T00:00:00"/>
    <s v="005-00000008"/>
    <n v="1041.0838971754199"/>
    <n v="0"/>
    <n v="0"/>
    <n v="0"/>
    <n v="30.150000000000002"/>
    <n v="60.300000000000004"/>
    <n v="211.05"/>
    <n v="0"/>
    <n v="301.5"/>
    <x v="50"/>
    <n v="0.71039797962680618"/>
    <x v="0"/>
    <s v="LEVE"/>
    <x v="0"/>
    <x v="0"/>
    <x v="3"/>
    <n v="1"/>
    <d v="2019-10-04T00:00:00"/>
    <s v="AHK-141"/>
    <s v="NISSAN"/>
    <s v="XTRAIL"/>
    <s v="JOSE ANTONIO MENENDEZ FERNANDEZ"/>
  </r>
  <r>
    <n v="445.39034099999992"/>
    <d v="2019-10-17T00:00:00"/>
    <s v="005-00000058"/>
    <n v="237.28810000000001"/>
    <n v="82.528698849999984"/>
    <n v="0"/>
    <n v="0"/>
    <n v="40.250250000000001"/>
    <n v="0"/>
    <n v="0"/>
    <n v="0"/>
    <n v="122.77894884999998"/>
    <x v="51"/>
    <n v="0.48257435223258155"/>
    <x v="0"/>
    <s v="MECANICA"/>
    <x v="0"/>
    <x v="0"/>
    <x v="19"/>
    <n v="1"/>
    <d v="2019-10-17T00:00:00"/>
    <s v="B3A-304"/>
    <s v="HONDA"/>
    <s v="CIVIC"/>
    <s v="RIVERA AGUILAR JULIO"/>
  </r>
  <r>
    <n v="402.6"/>
    <d v="2019-10-18T00:00:00"/>
    <s v="005-00000063"/>
    <n v="245.77129000000002"/>
    <n v="103.99239799999999"/>
    <n v="0"/>
    <n v="0"/>
    <n v="40.250250000000001"/>
    <n v="0"/>
    <n v="0"/>
    <n v="0"/>
    <n v="144.242648"/>
    <x v="52"/>
    <n v="0.41310212433681742"/>
    <x v="0"/>
    <s v="MECANICA"/>
    <x v="0"/>
    <x v="0"/>
    <x v="19"/>
    <n v="1"/>
    <d v="2019-10-18T00:00:00"/>
    <s v="BJL-074"/>
    <s v="CHERY"/>
    <s v="ARRIZO3"/>
    <s v="LONDOÑO LOPEZ JHAIR"/>
  </r>
  <r>
    <n v="50.325000000000003"/>
    <d v="2019-10-19T00:00:00"/>
    <s v="005-00000064"/>
    <n v="29.660999000000007"/>
    <n v="12.711900000000004"/>
    <n v="0"/>
    <n v="0"/>
    <n v="0"/>
    <n v="0"/>
    <n v="0"/>
    <n v="0"/>
    <n v="12.711900000000004"/>
    <x v="53"/>
    <n v="0.57142711208074948"/>
    <x v="0"/>
    <s v="MECANICA"/>
    <x v="0"/>
    <x v="0"/>
    <x v="20"/>
    <n v="1"/>
    <d v="2019-10-18T00:00:00"/>
    <s v="ATZ-549"/>
    <s v="HYUNDAY"/>
    <s v="ACCENT"/>
    <s v="GAITAN PEREDA CESAR AUGUSTO"/>
  </r>
  <r>
    <n v="-397.99392049999994"/>
    <d v="2019-10-21T00:00:00"/>
    <s v="005-00000067"/>
    <n v="331.85589999999996"/>
    <n v="134.0984981"/>
    <n v="0"/>
    <n v="0"/>
    <n v="40.250250000000001"/>
    <n v="0"/>
    <n v="0"/>
    <n v="0"/>
    <n v="174.34874809999999"/>
    <x v="54"/>
    <n v="0.47462513669336598"/>
    <x v="0"/>
    <s v="MECANICA"/>
    <x v="0"/>
    <x v="0"/>
    <x v="19"/>
    <n v="1"/>
    <d v="2019-10-21T00:00:00"/>
    <s v="ALX-585"/>
    <s v="KIA"/>
    <s v="RIO"/>
    <s v="SALAZAR OYOLA HECTOR"/>
  </r>
  <r>
    <n v="0"/>
    <d v="2019-10-22T00:00:00"/>
    <s v="005-00000074"/>
    <n v="150"/>
    <n v="57.35479879999999"/>
    <n v="0"/>
    <n v="0"/>
    <n v="79.2"/>
    <n v="0"/>
    <n v="0"/>
    <n v="0"/>
    <n v="136.55479879999999"/>
    <x v="55"/>
    <n v="8.9634674666666761E-2"/>
    <x v="0"/>
    <s v="MECANICA"/>
    <x v="0"/>
    <x v="0"/>
    <x v="19"/>
    <n v="1"/>
    <d v="2019-10-22T00:00:00"/>
    <s v="BKP389"/>
    <s v="HYUNDAI"/>
    <s v="I10"/>
    <s v="MILAN TRUGILLO FELIX"/>
  </r>
  <r>
    <n v="987.36497050000003"/>
    <d v="2019-10-23T00:00:00"/>
    <s v="005-00000061"/>
    <n v="453.15249111000003"/>
    <n v="0"/>
    <n v="0"/>
    <n v="0"/>
    <n v="0"/>
    <n v="75.375"/>
    <n v="140.70000000000002"/>
    <n v="0"/>
    <n v="216.07500000000002"/>
    <x v="56"/>
    <n v="0.5231737566514908"/>
    <x v="1"/>
    <s v="LEVE"/>
    <x v="0"/>
    <x v="0"/>
    <x v="0"/>
    <n v="1"/>
    <d v="2019-10-17T00:00:00"/>
    <s v="BDI-580"/>
    <s v="SUBARU"/>
    <s v="OUTBACK"/>
    <s v="VIALE BORDO JAVIER ALFONSO"/>
  </r>
  <r>
    <n v="702.86997900000006"/>
    <d v="2019-10-23T00:00:00"/>
    <s v="005-00000057"/>
    <n v="902.34"/>
    <n v="0"/>
    <n v="0"/>
    <n v="0"/>
    <n v="0"/>
    <n v="60.300000000000004"/>
    <n v="158.28749999999999"/>
    <n v="0"/>
    <n v="218.58750000000001"/>
    <x v="57"/>
    <n v="0.757754837422701"/>
    <x v="0"/>
    <s v="LEVE"/>
    <x v="0"/>
    <x v="0"/>
    <x v="0"/>
    <n v="1"/>
    <d v="2019-10-17T00:00:00"/>
    <s v="F5C-188"/>
    <s v="AUDI"/>
    <s v="Q5"/>
    <s v="BURGA VELASCO DIEGO ADRIAN"/>
  </r>
  <r>
    <n v="284.49499150000003"/>
    <d v="2019-10-23T00:00:00"/>
    <s v="005-00000062"/>
    <n v="83.55"/>
    <n v="0"/>
    <n v="0"/>
    <n v="0"/>
    <n v="0"/>
    <n v="45.225000000000001"/>
    <n v="0"/>
    <n v="0"/>
    <n v="45.225000000000001"/>
    <x v="58"/>
    <n v="0.45870736086175939"/>
    <x v="0"/>
    <s v="MECANICA"/>
    <x v="0"/>
    <x v="0"/>
    <x v="0"/>
    <n v="1"/>
    <d v="2019-10-17T00:00:00"/>
    <s v="BMA-272"/>
    <s v="GREAT WALL"/>
    <s v="H3"/>
    <s v="VIDANTE CHINCHAY JOAO MARTIN"/>
  </r>
  <r>
    <n v="100.409997"/>
    <d v="2019-10-26T00:00:00"/>
    <s v="005-00000066"/>
    <n v="423.72879"/>
    <n v="179.36700285000001"/>
    <n v="0"/>
    <n v="101.69491525423729"/>
    <n v="40.250250000000001"/>
    <n v="0"/>
    <n v="0"/>
    <n v="0"/>
    <n v="321.31216810423729"/>
    <x v="59"/>
    <n v="0.24170324111270022"/>
    <x v="0"/>
    <s v="MECANICA"/>
    <x v="0"/>
    <x v="0"/>
    <x v="1"/>
    <n v="1"/>
    <d v="2019-10-21T00:00:00"/>
    <s v="D9K-336"/>
    <s v="KIA"/>
    <s v="SPORTAGE"/>
    <s v="MANLIO BASSINO PINASCO"/>
  </r>
  <r>
    <n v="-613.23835924796913"/>
    <d v="2019-10-30T00:00:00"/>
    <s v="005-00000083"/>
    <n v="66.799998000000016"/>
    <n v="0"/>
    <n v="0"/>
    <n v="20.100000000000001"/>
    <n v="39.6"/>
    <n v="0"/>
    <n v="0"/>
    <n v="0"/>
    <n v="59.7"/>
    <x v="60"/>
    <n v="0.10628739839183846"/>
    <x v="1"/>
    <s v="LEVE"/>
    <x v="0"/>
    <x v="0"/>
    <x v="6"/>
    <n v="1"/>
    <d v="2019-10-23T00:00:00"/>
    <s v="AYW-424"/>
    <s v="RENAULT"/>
    <s v="LOGAN"/>
    <s v="MONCADA PIEDRA EDUARDO"/>
  </r>
  <r>
    <n v="0"/>
    <d v="2019-10-30T00:00:00"/>
    <s v="005-00000119"/>
    <n v="211.87289000000001"/>
    <n v="68.517799999999994"/>
    <n v="0"/>
    <n v="0"/>
    <n v="40.250250000000001"/>
    <n v="0"/>
    <n v="0"/>
    <n v="0"/>
    <n v="108.76804999999999"/>
    <x v="61"/>
    <n v="0.48663535953089621"/>
    <x v="0"/>
    <s v="MECANICA"/>
    <x v="0"/>
    <x v="0"/>
    <x v="19"/>
    <n v="1"/>
    <d v="2019-10-30T00:00:00"/>
    <s v="BKS-073"/>
    <s v="TOYOTA"/>
    <s v="ETIOS"/>
    <s v="CANAZA SANCHEZ VICTOR HORACIO"/>
  </r>
  <r>
    <n v="334.69999000000001"/>
    <d v="2019-10-31T00:00:00"/>
    <s v="005-00000122"/>
    <n v="211.87289000000001"/>
    <n v="68.514600000000002"/>
    <n v="0"/>
    <n v="0"/>
    <n v="40.250250000000001"/>
    <n v="0"/>
    <n v="0"/>
    <n v="0"/>
    <n v="108.76485"/>
    <x v="62"/>
    <n v="0.48665046292614411"/>
    <x v="0"/>
    <s v="MECANICA"/>
    <x v="0"/>
    <x v="0"/>
    <x v="19"/>
    <n v="1"/>
    <d v="2019-10-31T00:00:00"/>
    <s v="D2E-026"/>
    <s v="TOYOTA"/>
    <s v="COROLLA"/>
    <s v="DE LA CRUZ PESCORAN ADA VERONICA"/>
  </r>
  <r>
    <n v="334.69999000000001"/>
    <d v="2019-11-02T00:00:00"/>
    <s v="005-00000086"/>
    <n v="398.53100000000006"/>
    <n v="0"/>
    <n v="0"/>
    <n v="30.150000000000002"/>
    <n v="0"/>
    <n v="15.075000000000001"/>
    <n v="0"/>
    <n v="0"/>
    <n v="45.225000000000001"/>
    <x v="63"/>
    <n v="0.88652074744499165"/>
    <x v="1"/>
    <s v="LEVE"/>
    <x v="1"/>
    <x v="0"/>
    <x v="21"/>
    <n v="1"/>
    <d v="2019-10-23T00:00:00"/>
    <s v="APW-245"/>
    <s v="NISSAN"/>
    <s v="SENTRA"/>
    <s v="RIMAC SEGUROS  Y REASEGUROS S.A"/>
  </r>
  <r>
    <n v="197.47299409999999"/>
    <d v="2019-11-04T00:00:00"/>
    <s v="005-00000075"/>
    <n v="1725.0755932999998"/>
    <n v="0"/>
    <n v="0"/>
    <n v="0"/>
    <n v="0"/>
    <n v="211.05"/>
    <n v="158.28749999999999"/>
    <n v="0"/>
    <n v="369.33749999999998"/>
    <x v="64"/>
    <n v="0.78590068665137613"/>
    <x v="1"/>
    <s v="MEDIANO"/>
    <x v="1"/>
    <x v="0"/>
    <x v="5"/>
    <n v="1"/>
    <d v="2019-10-22T00:00:00"/>
    <s v="ACT-191"/>
    <s v="SUZUKI"/>
    <s v="SWIFT"/>
    <s v="RIMAC SEGUROS  Y REASEGUROS S.A"/>
  </r>
  <r>
    <n v="502.04998499999999"/>
    <d v="2019-11-05T00:00:00"/>
    <s v="005-00000091"/>
    <n v="2655.4560000000001"/>
    <n v="0"/>
    <n v="0"/>
    <n v="91.344999999999999"/>
    <n v="0"/>
    <n v="361.8"/>
    <n v="281.40000000000003"/>
    <n v="0"/>
    <n v="734.54500000000007"/>
    <x v="65"/>
    <n v="0.72338272598001996"/>
    <x v="1"/>
    <s v="GRAVE"/>
    <x v="1"/>
    <x v="0"/>
    <x v="22"/>
    <n v="1"/>
    <d v="2019-10-24T00:00:00"/>
    <s v="F2B-530"/>
    <s v="KIA"/>
    <s v="CERATO"/>
    <s v="RIMAC SEGUROS  Y REASEGUROS S.A"/>
  </r>
  <r>
    <n v="-334.69999000000001"/>
    <d v="2019-11-05T00:00:00"/>
    <s v="005-00000103"/>
    <n v="960.76800000000003"/>
    <n v="0"/>
    <n v="0"/>
    <n v="121.495"/>
    <n v="0"/>
    <n v="30.150000000000002"/>
    <n v="140.70000000000002"/>
    <n v="0"/>
    <n v="292.34500000000003"/>
    <x v="66"/>
    <n v="0.69571738442579267"/>
    <x v="1"/>
    <s v="LEVE"/>
    <x v="1"/>
    <x v="0"/>
    <x v="3"/>
    <n v="1"/>
    <d v="2019-10-28T00:00:00"/>
    <s v="C4A-237"/>
    <s v="KIA"/>
    <s v="RIO"/>
    <s v="RIMAC SEGUROS  Y REASEGUROS S.A"/>
  </r>
  <r>
    <n v="0"/>
    <d v="2019-11-06T00:00:00"/>
    <s v="005-00000098"/>
    <n v="1008.378"/>
    <n v="0"/>
    <n v="0"/>
    <n v="76.27"/>
    <n v="0"/>
    <n v="60.300000000000004"/>
    <n v="211.05"/>
    <n v="0"/>
    <n v="347.62"/>
    <x v="67"/>
    <n v="0.65526816332764104"/>
    <x v="1"/>
    <s v="LEVE"/>
    <x v="1"/>
    <x v="0"/>
    <x v="22"/>
    <n v="1"/>
    <d v="2019-10-25T00:00:00"/>
    <s v="A1M-006"/>
    <s v="MINI"/>
    <s v="COOPER"/>
    <s v="PATRON JORGE RICARDO GALLEGOS RIZO"/>
  </r>
  <r>
    <n v="246.85531341257956"/>
    <d v="2019-11-06T00:00:00"/>
    <s v="005-00000069"/>
    <n v="9335.7542099999991"/>
    <n v="2408.4089485200006"/>
    <n v="59.32"/>
    <n v="377.09288135593215"/>
    <n v="244.96875"/>
    <n v="527.625"/>
    <n v="1125.6000000000001"/>
    <n v="0"/>
    <n v="4743.0155798759333"/>
    <x v="68"/>
    <n v="0.49195153672796471"/>
    <x v="2"/>
    <s v="GRAVE"/>
    <x v="1"/>
    <x v="0"/>
    <x v="23"/>
    <n v="1"/>
    <d v="2019-10-21T00:00:00"/>
    <s v="ARP-079"/>
    <s v="HYUNDAY"/>
    <s v="ACCENT"/>
    <s v="EDPYME ACCESO CREDITICIO SOCIEDAD ANONIMA"/>
  </r>
  <r>
    <n v="75.30749775000001"/>
    <d v="2019-11-06T00:00:00"/>
    <s v="005-00000050"/>
    <n v="9592.2542099999991"/>
    <n v="2494.3001243000003"/>
    <n v="0"/>
    <n v="381.44237288135594"/>
    <n v="350.49375000000003"/>
    <n v="572.85"/>
    <n v="1301.4750000000001"/>
    <n v="0"/>
    <n v="5100.5612471813565"/>
    <x v="69"/>
    <n v="0.46826250269055819"/>
    <x v="2"/>
    <s v="GRAVE"/>
    <x v="1"/>
    <x v="0"/>
    <x v="13"/>
    <n v="1"/>
    <d v="2019-10-16T00:00:00"/>
    <s v="AMJ-333"/>
    <s v="CHEVROLET"/>
    <s v="SAIL"/>
    <s v="EDPYME ACCESO CREDITICIO SOCIEDAD ANONIMA"/>
  </r>
  <r>
    <n v="150.61499550000002"/>
    <d v="2019-11-06T00:00:00"/>
    <s v="005-00000085"/>
    <n v="3941.2542100000001"/>
    <n v="743.90671470000007"/>
    <n v="0"/>
    <n v="16.949152542372882"/>
    <n v="139.44374999999999"/>
    <n v="180.9"/>
    <n v="879.375"/>
    <n v="0"/>
    <n v="1960.5746172423731"/>
    <x v="70"/>
    <n v="0.50255058091206628"/>
    <x v="2"/>
    <s v="MEDIANO"/>
    <x v="1"/>
    <x v="0"/>
    <x v="8"/>
    <n v="1"/>
    <d v="2019-10-23T00:00:00"/>
    <s v="BDS-657"/>
    <s v="CHEVROLET"/>
    <s v="SAIL"/>
    <s v="EDPYME ACCESO CREDITICIO SOCIEDAD ANONIMA"/>
  </r>
  <r>
    <n v="-334.69999000000001"/>
    <d v="2019-11-06T00:00:00"/>
    <s v="005-00000090"/>
    <n v="8121.2542100000001"/>
    <n v="1140.5525563000001"/>
    <n v="25.423728813559322"/>
    <n v="164.69491525423729"/>
    <n v="305.26875000000001"/>
    <n v="301.5"/>
    <n v="1020.075"/>
    <n v="0"/>
    <n v="2957.5149503677967"/>
    <x v="71"/>
    <n v="0.6358302703139006"/>
    <x v="2"/>
    <s v="GRAVE"/>
    <x v="1"/>
    <x v="0"/>
    <x v="5"/>
    <n v="1"/>
    <d v="2019-10-24T00:00:00"/>
    <s v="ARI-452"/>
    <s v="KIA"/>
    <s v="RIO"/>
    <s v="EDPYME ACCESO CREDITICIO SOCIEDAD ANONIMA"/>
  </r>
  <r>
    <n v="0"/>
    <d v="2019-11-07T00:00:00"/>
    <s v="005-00000046"/>
    <n v="7232.7542100000001"/>
    <n v="1994.8721939000002"/>
    <n v="177.96610169491527"/>
    <n v="118.26372881355931"/>
    <n v="139.44374999999999"/>
    <n v="165.82500000000002"/>
    <n v="633.15"/>
    <n v="0"/>
    <n v="3229.5207744084746"/>
    <x v="72"/>
    <n v="0.55348672433201973"/>
    <x v="2"/>
    <s v="MEDIANO"/>
    <x v="1"/>
    <x v="0"/>
    <x v="16"/>
    <n v="1"/>
    <d v="2019-10-16T00:00:00"/>
    <s v="BEV-036"/>
    <s v="CHEVROLET"/>
    <s v="COBALT"/>
    <s v="EDPYME ACCESO CREDITICIO SOCIEDAD ANONIMA"/>
  </r>
  <r>
    <n v="652.66498050000007"/>
    <d v="2019-11-07T00:00:00"/>
    <s v="005-00000111"/>
    <n v="2358.7460705999997"/>
    <n v="0"/>
    <n v="0"/>
    <n v="106.42"/>
    <n v="0"/>
    <n v="301.5"/>
    <n v="281.40000000000003"/>
    <n v="0"/>
    <n v="689.32"/>
    <x v="73"/>
    <n v="0.70775997951120861"/>
    <x v="1"/>
    <s v="GRAVE"/>
    <x v="1"/>
    <x v="0"/>
    <x v="4"/>
    <n v="1"/>
    <d v="2019-10-29T00:00:00"/>
    <s v="ARV-341"/>
    <s v="HYUNDAY"/>
    <s v="ELANTRA"/>
    <s v="RIMAC SEGUROS  Y REASEGUROS S.A"/>
  </r>
  <r>
    <n v="112.97530402458"/>
    <d v="2019-11-08T00:00:00"/>
    <s v="005-00000146"/>
    <n v="1012.7127990000001"/>
    <n v="0"/>
    <n v="0"/>
    <n v="0"/>
    <n v="0"/>
    <n v="90.45"/>
    <n v="140.70000000000002"/>
    <n v="0"/>
    <n v="231.15000000000003"/>
    <x v="74"/>
    <n v="0.77175167507683484"/>
    <x v="1"/>
    <s v="LEVE"/>
    <x v="1"/>
    <x v="0"/>
    <x v="2"/>
    <n v="1"/>
    <d v="2019-11-06T00:00:00"/>
    <s v="BKP-647"/>
    <s v="TOYOTA"/>
    <s v="AVANZA"/>
    <s v="JUAN SMITH ORTIZ ORTIZ"/>
  </r>
  <r>
    <n v="83.674997500000003"/>
    <d v="2019-11-08T00:00:00"/>
    <s v="005-00000147"/>
    <n v="669.02842915500003"/>
    <n v="0"/>
    <n v="0"/>
    <n v="0"/>
    <n v="0"/>
    <n v="0"/>
    <n v="0"/>
    <n v="0"/>
    <n v="0"/>
    <x v="75"/>
    <n v="1"/>
    <x v="0"/>
    <s v="LEVE"/>
    <x v="1"/>
    <x v="0"/>
    <x v="2"/>
    <n v="1"/>
    <d v="2019-11-06T00:00:00"/>
    <s v="BKP647"/>
    <s v="TOYOTA"/>
    <s v="AVANZA"/>
    <s v="JUAN SMITH ORTIZ ORTIZ"/>
  </r>
  <r>
    <n v="50.204998500000002"/>
    <d v="2019-11-08T00:00:00"/>
    <s v="005-00000095"/>
    <n v="1214.2350000000001"/>
    <n v="0"/>
    <n v="0"/>
    <n v="76.27"/>
    <n v="0"/>
    <n v="120.60000000000001"/>
    <n v="140.70000000000002"/>
    <n v="0"/>
    <n v="337.57000000000005"/>
    <x v="76"/>
    <n v="0.7219895654465569"/>
    <x v="1"/>
    <s v="MEDIANO"/>
    <x v="1"/>
    <x v="0"/>
    <x v="8"/>
    <n v="1"/>
    <d v="2019-10-25T00:00:00"/>
    <s v="ASK-203"/>
    <s v="MAZDA"/>
    <s v="CX3"/>
    <s v="RIMAC SEGUROS  Y REASEGUROS S.A"/>
  </r>
  <r>
    <n v="-96.155290727120033"/>
    <d v="2019-11-09T00:00:00"/>
    <s v="005-00000089"/>
    <n v="8653.0084100000004"/>
    <n v="2320.8552497199998"/>
    <n v="504.66254237288098"/>
    <n v="302.95"/>
    <n v="244.96875"/>
    <n v="542.70000000000005"/>
    <n v="1195.95"/>
    <n v="0"/>
    <n v="5112.0865420928803"/>
    <x v="77"/>
    <n v="0.40921280786171338"/>
    <x v="2"/>
    <s v="GRAVE"/>
    <x v="1"/>
    <x v="0"/>
    <x v="23"/>
    <n v="1"/>
    <d v="2019-10-24T00:00:00"/>
    <s v="APB-579"/>
    <s v="HYUNDAY"/>
    <s v="ACCENT"/>
    <s v="EDPYME ACCESO CREDITICIO SOCIEDAD ANONIMA"/>
  </r>
  <r>
    <n v="1113.7542000000001"/>
    <d v="2019-11-09T00:00:00"/>
    <s v="005-00000100"/>
    <n v="298.41699110000002"/>
    <n v="0"/>
    <n v="0"/>
    <n v="0"/>
    <n v="0"/>
    <n v="15.075000000000001"/>
    <n v="0"/>
    <n v="0"/>
    <n v="15.075000000000001"/>
    <x v="78"/>
    <n v="0.94948343945017422"/>
    <x v="1"/>
    <s v="LEVE"/>
    <x v="1"/>
    <x v="0"/>
    <x v="8"/>
    <n v="1"/>
    <d v="2019-10-26T00:00:00"/>
    <s v="BKX-624"/>
    <s v="MAZDA"/>
    <s v="CX3"/>
    <s v="RIMAC SEGUROS  Y REASEGUROS S.A"/>
  </r>
  <r>
    <n v="350"/>
    <d v="2019-11-09T00:00:00"/>
    <s v="005-00000134"/>
    <n v="217.12082612457999"/>
    <n v="0"/>
    <n v="0"/>
    <n v="0"/>
    <n v="0"/>
    <n v="0"/>
    <n v="0"/>
    <n v="0"/>
    <n v="0"/>
    <x v="79"/>
    <n v="1"/>
    <x v="0"/>
    <s v="LEVE"/>
    <x v="1"/>
    <x v="0"/>
    <x v="1"/>
    <n v="1"/>
    <d v="2019-11-04T00:00:00"/>
    <s v="BKX624"/>
    <s v="MAZDA"/>
    <s v="CX3"/>
    <s v="RENTAEQUIPOS LEASING PERU S.A."/>
  </r>
  <r>
    <n v="230"/>
    <d v="2019-11-11T00:00:00"/>
    <s v="005-00000110"/>
    <n v="796.33747625000001"/>
    <n v="0"/>
    <n v="0"/>
    <n v="0"/>
    <n v="0"/>
    <n v="60.300000000000004"/>
    <n v="175.875"/>
    <n v="0"/>
    <n v="236.17500000000001"/>
    <x v="80"/>
    <n v="0.70342347680011008"/>
    <x v="1"/>
    <s v="LEVE"/>
    <x v="1"/>
    <x v="0"/>
    <x v="8"/>
    <n v="1"/>
    <d v="2019-10-28T00:00:00"/>
    <s v="ANJ-035"/>
    <s v="RENAULT"/>
    <s v="LOGAN"/>
    <s v="RENTAEQUIPOS LEASING PERU S.A."/>
  </r>
  <r>
    <n v="250"/>
    <d v="2019-11-11T00:00:00"/>
    <s v="005-00000118"/>
    <n v="466.06698610000001"/>
    <n v="0"/>
    <n v="0"/>
    <n v="50.25"/>
    <n v="0"/>
    <n v="15.075000000000001"/>
    <n v="70.350000000000009"/>
    <n v="0"/>
    <n v="135.67500000000001"/>
    <x v="81"/>
    <n v="0.70889377697546385"/>
    <x v="1"/>
    <s v="LEVE"/>
    <x v="1"/>
    <x v="0"/>
    <x v="5"/>
    <n v="1"/>
    <d v="2019-10-29T00:00:00"/>
    <s v="ANE-312"/>
    <s v="RENAULT"/>
    <s v="LOGAN"/>
    <s v="RIMAC SEGUROS  Y REASEGUROS S.A"/>
  </r>
  <r>
    <n v="224"/>
    <d v="2019-11-11T00:00:00"/>
    <s v="005-00000115"/>
    <n v="423.33033338657947"/>
    <n v="0"/>
    <n v="0"/>
    <n v="15.075000000000001"/>
    <n v="0"/>
    <n v="30.150000000000002"/>
    <n v="70.350000000000009"/>
    <n v="0"/>
    <n v="115.57500000000002"/>
    <x v="82"/>
    <n v="0.72698625426763708"/>
    <x v="1"/>
    <s v="LEVE"/>
    <x v="1"/>
    <x v="0"/>
    <x v="5"/>
    <n v="1"/>
    <d v="2019-10-29T00:00:00"/>
    <s v="AWV-260"/>
    <s v="MAZDA"/>
    <s v="CX9"/>
    <s v="RENTAEQUIPOS LEASING PERU S.A."/>
  </r>
  <r>
    <n v="1485"/>
    <d v="2019-11-11T00:00:00"/>
    <s v="005-00000116"/>
    <n v="3727.7117549545787"/>
    <n v="0"/>
    <n v="0"/>
    <n v="0"/>
    <n v="0"/>
    <n v="180.9"/>
    <n v="756.26250000000005"/>
    <n v="0"/>
    <n v="937.16250000000002"/>
    <x v="83"/>
    <n v="0.74859577091646157"/>
    <x v="0"/>
    <s v="LEVE"/>
    <x v="1"/>
    <x v="0"/>
    <x v="5"/>
    <n v="1"/>
    <d v="2019-10-29T00:00:00"/>
    <s v="ATF-409"/>
    <s v="BWM"/>
    <s v="520I"/>
    <s v="RENTAEQUIPOS LEASING PERU S.A."/>
  </r>
  <r>
    <n v="560"/>
    <d v="2019-11-12T00:00:00"/>
    <s v="005-00000160"/>
    <n v="520"/>
    <n v="259.91320001999998"/>
    <n v="0"/>
    <n v="0"/>
    <n v="40.250250000000001"/>
    <n v="0"/>
    <n v="0"/>
    <n v="0"/>
    <n v="300.16345001999997"/>
    <x v="84"/>
    <n v="0.42276259611538469"/>
    <x v="0"/>
    <s v="MECANICA"/>
    <x v="1"/>
    <x v="0"/>
    <x v="1"/>
    <n v="1"/>
    <d v="2019-11-07T00:00:00"/>
    <s v="AHQ-605"/>
    <s v="FORD"/>
    <s v="EXPLORER"/>
    <s v="MASEDI CONTRATISTAS GENERALES SAC"/>
  </r>
  <r>
    <n v="140"/>
    <d v="2019-11-12T00:00:00"/>
    <s v="005-00000173"/>
    <n v="350"/>
    <n v="0"/>
    <n v="0"/>
    <n v="0"/>
    <n v="15.075000000000001"/>
    <n v="0"/>
    <n v="0"/>
    <n v="0"/>
    <n v="15.075000000000001"/>
    <x v="85"/>
    <n v="0.95692857142857146"/>
    <x v="2"/>
    <s v="MEDIANO"/>
    <x v="1"/>
    <x v="0"/>
    <x v="19"/>
    <n v="1"/>
    <d v="2019-11-12T00:00:00"/>
    <s v="APB-579"/>
    <s v="HYUNDAI"/>
    <s v="ACCENT"/>
    <s v="EDPYME ACCESO CREDITICIO SOCIEDAD ANONIMA"/>
  </r>
  <r>
    <n v="255"/>
    <d v="2019-11-12T00:00:00"/>
    <s v="005-00000048"/>
    <n v="10169.50841"/>
    <n v="2652.2064507200002"/>
    <n v="0"/>
    <n v="120"/>
    <n v="124.36875000000001"/>
    <n v="1055.25"/>
    <n v="1266.3"/>
    <n v="0"/>
    <n v="5218.1252007200001"/>
    <x v="86"/>
    <n v="0.48688520719557576"/>
    <x v="2"/>
    <s v="GRAVE"/>
    <x v="1"/>
    <x v="0"/>
    <x v="24"/>
    <n v="1"/>
    <d v="2019-10-16T00:00:00"/>
    <s v="AKZ-422"/>
    <s v="HYUNDAY"/>
    <s v="ACCENT"/>
    <s v="EDPYME ACCESO CREDITICIO SOCIEDAD ANONIMA"/>
  </r>
  <r>
    <n v="2732"/>
    <d v="2019-11-12T00:00:00"/>
    <s v="005-00000162"/>
    <n v="315"/>
    <n v="97.930245999999997"/>
    <n v="0"/>
    <n v="0"/>
    <n v="45.225000000000001"/>
    <n v="0"/>
    <n v="0"/>
    <n v="0"/>
    <n v="143.15524600000001"/>
    <x v="87"/>
    <n v="0.54553890158730156"/>
    <x v="2"/>
    <s v="MEDIANO"/>
    <x v="1"/>
    <x v="0"/>
    <x v="12"/>
    <n v="1"/>
    <d v="2019-11-08T00:00:00"/>
    <s v="F0S-053"/>
    <s v="NISSAN"/>
    <s v="SENTRA"/>
    <s v="EDPYME ACCESO CREDITICIO SOCIEDAD ANONIMA"/>
  </r>
  <r>
    <n v="60"/>
    <d v="2019-11-12T00:00:00"/>
    <s v="005-00000113"/>
    <n v="2488.533236415421"/>
    <n v="0"/>
    <n v="0"/>
    <n v="99.825000000000003"/>
    <n v="0"/>
    <n v="271.35000000000002"/>
    <n v="369.33750000000003"/>
    <n v="0"/>
    <n v="740.51250000000005"/>
    <x v="88"/>
    <n v="0.70243013468180049"/>
    <x v="1"/>
    <s v="GRAVE"/>
    <x v="1"/>
    <x v="0"/>
    <x v="8"/>
    <n v="1"/>
    <d v="2019-10-29T00:00:00"/>
    <s v="BEJ-174"/>
    <s v="WOLKWAGEN"/>
    <s v="GOL"/>
    <s v="RIMAC SEGUROS  Y REASEGUROS S.A"/>
  </r>
  <r>
    <n v="320"/>
    <d v="2019-11-12T00:00:00"/>
    <s v="005-00000130"/>
    <n v="299.39600890000003"/>
    <n v="0"/>
    <n v="0"/>
    <n v="0"/>
    <n v="0"/>
    <n v="22.612500000000001"/>
    <n v="70.350000000000009"/>
    <n v="0"/>
    <n v="92.962500000000006"/>
    <x v="89"/>
    <n v="0.68949986894765181"/>
    <x v="2"/>
    <s v="LEVE"/>
    <x v="1"/>
    <x v="0"/>
    <x v="3"/>
    <n v="1"/>
    <d v="2019-11-04T00:00:00"/>
    <s v="C4W-101"/>
    <s v="CHEVROLET"/>
    <s v="CRUZE"/>
    <s v="RIMAC SEGUROS  Y REASEGUROS S.A"/>
  </r>
  <r>
    <n v="300"/>
    <d v="2019-11-12T00:00:00"/>
    <s v="005-00000155"/>
    <n v="299.39600890000003"/>
    <n v="0"/>
    <n v="0"/>
    <n v="0"/>
    <n v="0"/>
    <n v="22.612500000000001"/>
    <n v="70.350000000000009"/>
    <n v="0"/>
    <n v="92.962500000000006"/>
    <x v="89"/>
    <n v="0.68949986894765181"/>
    <x v="2"/>
    <s v="LEVE"/>
    <x v="1"/>
    <x v="0"/>
    <x v="0"/>
    <n v="1"/>
    <d v="2019-11-06T00:00:00"/>
    <s v="C4W-101"/>
    <s v="CHEVROLET"/>
    <s v="CRUZE"/>
    <s v="RIMAC SEGUROS  Y REASEGUROS S.A"/>
  </r>
  <r>
    <n v="210"/>
    <d v="2019-11-13T00:00:00"/>
    <s v="005-00000164"/>
    <n v="725"/>
    <n v="451.82970020000005"/>
    <n v="0"/>
    <n v="0"/>
    <n v="45.225000000000001"/>
    <n v="0"/>
    <n v="0"/>
    <n v="0"/>
    <n v="497.05470020000007"/>
    <x v="90"/>
    <n v="0.31440731006896544"/>
    <x v="2"/>
    <s v="MEDIANO"/>
    <x v="1"/>
    <x v="0"/>
    <x v="1"/>
    <n v="1"/>
    <d v="2019-11-08T00:00:00"/>
    <s v="F1P-230"/>
    <s v="CHEVROLET"/>
    <s v="SAIL"/>
    <s v="EDPYME ACCESO CREDITICIO SOCIEDAD ANONIMA"/>
  </r>
  <r>
    <n v="2025"/>
    <d v="2019-11-13T00:00:00"/>
    <s v="005-00000159"/>
    <n v="427.06398734999999"/>
    <n v="0"/>
    <n v="0"/>
    <n v="0"/>
    <n v="0"/>
    <n v="30.150000000000002"/>
    <n v="70.350000000000009"/>
    <n v="0"/>
    <n v="100.50000000000001"/>
    <x v="91"/>
    <n v="0.76467226697428059"/>
    <x v="1"/>
    <s v="LEVE"/>
    <x v="1"/>
    <x v="0"/>
    <x v="0"/>
    <n v="1"/>
    <d v="2019-11-07T00:00:00"/>
    <s v="AXA-172"/>
    <s v="CHEVROLET"/>
    <s v="TRAVERSE"/>
    <s v="RENTAEQUIPOS LEASING PERU S.A."/>
  </r>
  <r>
    <n v="840"/>
    <d v="2019-11-13T00:00:00"/>
    <s v="005-00000137"/>
    <n v="501.33598514999989"/>
    <n v="0"/>
    <n v="0"/>
    <n v="0"/>
    <n v="0"/>
    <n v="30.150000000000002"/>
    <n v="70.350000000000009"/>
    <n v="0"/>
    <n v="100.50000000000001"/>
    <x v="92"/>
    <n v="0.79953563482994272"/>
    <x v="1"/>
    <s v="LEVE"/>
    <x v="1"/>
    <x v="0"/>
    <x v="4"/>
    <n v="1"/>
    <d v="2019-11-04T00:00:00"/>
    <s v="AXA-172"/>
    <s v="CHEVROLET"/>
    <s v="TRAVERSE"/>
    <s v="RENTAEQUIPOS LEASING PERU S.A."/>
  </r>
  <r>
    <n v="280"/>
    <d v="2019-11-14T00:00:00"/>
    <s v="005-00000140"/>
    <n v="1109.184"/>
    <n v="0"/>
    <n v="0"/>
    <n v="0"/>
    <n v="0"/>
    <n v="0"/>
    <n v="0"/>
    <n v="0"/>
    <n v="0"/>
    <x v="93"/>
    <n v="1"/>
    <x v="1"/>
    <s v="LEVE"/>
    <x v="1"/>
    <x v="0"/>
    <x v="4"/>
    <n v="1"/>
    <d v="2019-11-05T00:00:00"/>
    <s v="B2F354"/>
    <s v="VOLKWAGEN"/>
    <s v="TIGUAN"/>
    <s v="ALVARO MARQUEZ VERTIZ"/>
  </r>
  <r>
    <n v="210"/>
    <d v="2019-11-14T00:00:00"/>
    <s v="005-00000052"/>
    <n v="9874.7542099999991"/>
    <n v="3422.1936281999997"/>
    <n v="292.37"/>
    <n v="259.61"/>
    <n v="194.76900000000001"/>
    <n v="422.1"/>
    <n v="1160.7750000000001"/>
    <n v="0"/>
    <n v="5751.8176282000004"/>
    <x v="94"/>
    <n v="0.41752295744483137"/>
    <x v="2"/>
    <s v="GRAVE"/>
    <x v="1"/>
    <x v="0"/>
    <x v="25"/>
    <n v="1"/>
    <d v="2019-10-16T00:00:00"/>
    <s v="F5O-086"/>
    <s v="NISSAN"/>
    <s v="TIIDA"/>
    <s v="EDPYME ACCESO CREDITICIO SOCIEDAD ANONIMA"/>
  </r>
  <r>
    <n v="1567.6017000000002"/>
    <d v="2019-11-14T00:00:00"/>
    <s v="005-00000051"/>
    <n v="7838.7542100000001"/>
    <n v="1181.2768385200002"/>
    <n v="55.08"/>
    <n v="362.27288135593216"/>
    <n v="169.59375"/>
    <n v="648.22500000000002"/>
    <n v="1195.95"/>
    <n v="0"/>
    <n v="3612.3984698759323"/>
    <x v="95"/>
    <n v="0.53916166101144636"/>
    <x v="2"/>
    <s v="GRAVE"/>
    <x v="1"/>
    <x v="0"/>
    <x v="25"/>
    <n v="1"/>
    <d v="2019-10-16T00:00:00"/>
    <s v="ANZ-637"/>
    <s v="CHEVROLET"/>
    <s v="SAIL"/>
    <s v="EDPYME ACCESO CREDITICIO SOCIEDAD ANONIMA"/>
  </r>
  <r>
    <n v="100"/>
    <d v="2019-11-14T00:00:00"/>
    <s v="005-00000163"/>
    <n v="1893"/>
    <n v="127.11859799999998"/>
    <n v="372.2"/>
    <n v="0"/>
    <n v="15.075000000000001"/>
    <n v="45.225000000000001"/>
    <n v="0"/>
    <n v="0"/>
    <n v="559.61859800000002"/>
    <x v="96"/>
    <n v="0.70437475013206552"/>
    <x v="2"/>
    <s v="LEVE"/>
    <x v="1"/>
    <x v="0"/>
    <x v="0"/>
    <n v="1"/>
    <d v="2019-11-08T00:00:00"/>
    <s v="F2I-424"/>
    <s v="BYD"/>
    <s v="F3"/>
    <s v="EDPYME ACCESO CREDITICIO SOCIEDAD ANONIMA"/>
  </r>
  <r>
    <n v="394.35599999999999"/>
    <d v="2019-11-14T00:00:00"/>
    <s v="005-00000151"/>
    <n v="9795.7542099999991"/>
    <n v="2058.18480142"/>
    <n v="320"/>
    <n v="0"/>
    <n v="335.41874999999999"/>
    <n v="512.55000000000007"/>
    <n v="1266.3"/>
    <n v="0"/>
    <n v="4492.4535514199997"/>
    <x v="97"/>
    <n v="0.54138768132484616"/>
    <x v="2"/>
    <s v="GRAVE"/>
    <x v="1"/>
    <x v="0"/>
    <x v="3"/>
    <n v="1"/>
    <d v="2019-11-06T00:00:00"/>
    <s v="AMD-392"/>
    <s v="HYUNDAI"/>
    <s v="ACCENT"/>
    <s v="EDPYME ACCESO CREDITICIO SOCIEDAD ANONIMA"/>
  </r>
  <r>
    <n v="250.65"/>
    <d v="2019-11-14T00:00:00"/>
    <s v="005-00000047"/>
    <n v="9086.7542099999991"/>
    <n v="2303.6169537200003"/>
    <n v="563.56474576271182"/>
    <n v="192"/>
    <n v="199.74375000000001"/>
    <n v="482.40000000000003"/>
    <n v="1266.3"/>
    <n v="0"/>
    <n v="5007.6254494827126"/>
    <x v="98"/>
    <n v="0.44890933178628223"/>
    <x v="2"/>
    <s v="GRAVE"/>
    <x v="1"/>
    <x v="0"/>
    <x v="25"/>
    <n v="1"/>
    <d v="2019-10-16T00:00:00"/>
    <s v="AXC-049"/>
    <s v="KIA"/>
    <s v="RIO"/>
    <s v="EDPYME ACCESO CREDITICIO SOCIEDAD ANONIMA"/>
  </r>
  <r>
    <n v="167.1"/>
    <d v="2019-11-14T00:00:00"/>
    <s v="005-00000141"/>
    <n v="1093.9199999999998"/>
    <n v="0"/>
    <n v="0"/>
    <n v="0"/>
    <n v="0"/>
    <n v="75.375"/>
    <n v="140.70000000000002"/>
    <n v="0"/>
    <n v="216.07500000000002"/>
    <x v="99"/>
    <n v="0.80247641509433953"/>
    <x v="1"/>
    <s v="LEVE"/>
    <x v="1"/>
    <x v="0"/>
    <x v="4"/>
    <n v="1"/>
    <d v="2019-11-05T00:00:00"/>
    <s v="AJV-347"/>
    <s v="MERCEDEZ EBNZ"/>
    <s v="E500"/>
    <s v="LUIS ALEJANDRO ARRIARAN SIERRALTA"/>
  </r>
  <r>
    <n v="-334.2"/>
    <d v="2019-11-14T00:00:00"/>
    <s v="005-00000144"/>
    <n v="1163.4559999999999"/>
    <n v="0"/>
    <n v="0"/>
    <n v="0"/>
    <n v="0"/>
    <n v="165.82500000000002"/>
    <n v="140.70000000000002"/>
    <n v="0"/>
    <n v="306.52500000000003"/>
    <x v="100"/>
    <n v="0.73653924170746454"/>
    <x v="1"/>
    <s v="MEDIANO"/>
    <x v="1"/>
    <x v="0"/>
    <x v="4"/>
    <n v="1"/>
    <d v="2019-11-05T00:00:00"/>
    <s v="AXC-070"/>
    <s v="NISSAN"/>
    <s v="KICKS"/>
    <s v="FERNANDO ANTONIO MOLINA SHULLCA"/>
  </r>
  <r>
    <n v="0"/>
    <d v="2019-11-14T00:00:00"/>
    <s v="005-00000161"/>
    <n v="339.22882860800001"/>
    <n v="0"/>
    <n v="0"/>
    <n v="0"/>
    <n v="0"/>
    <n v="30.150000000000002"/>
    <n v="70.350000000000009"/>
    <n v="0"/>
    <n v="100.50000000000001"/>
    <x v="101"/>
    <n v="0.70373980179575479"/>
    <x v="0"/>
    <s v="LEVE"/>
    <x v="1"/>
    <x v="0"/>
    <x v="6"/>
    <n v="1"/>
    <d v="2019-11-07T00:00:00"/>
    <s v="AXC-070"/>
    <s v="NISSAN"/>
    <s v="KICKS"/>
    <s v="FERNANDO ANTONIO MOLINA SHULLCA"/>
  </r>
  <r>
    <n v="1232.37656982"/>
    <d v="2019-11-14T00:00:00"/>
    <s v="005-00000150"/>
    <n v="654.65599999999995"/>
    <n v="0"/>
    <n v="0"/>
    <n v="0"/>
    <n v="0"/>
    <n v="45.225000000000001"/>
    <n v="140.70000000000002"/>
    <n v="0"/>
    <n v="185.92500000000001"/>
    <x v="102"/>
    <n v="0.71599588180662821"/>
    <x v="1"/>
    <s v="LEVE"/>
    <x v="1"/>
    <x v="0"/>
    <x v="3"/>
    <n v="1"/>
    <d v="2019-11-06T00:00:00"/>
    <s v="B8U-602"/>
    <s v="SUBARU"/>
    <s v="FORESTER"/>
    <s v="RIMAC SEGUROS  Y REASEGUROS S.A"/>
  </r>
  <r>
    <n v="1102.8600000000001"/>
    <d v="2019-11-14T00:00:00"/>
    <s v="005-00000132"/>
    <n v="1763.84"/>
    <n v="0"/>
    <n v="0"/>
    <n v="76.27"/>
    <n v="0"/>
    <n v="75.375"/>
    <n v="351.75"/>
    <n v="0"/>
    <n v="503.39499999999998"/>
    <x v="103"/>
    <n v="0.71460279843976782"/>
    <x v="1"/>
    <s v="LEVE"/>
    <x v="1"/>
    <x v="0"/>
    <x v="21"/>
    <n v="1"/>
    <d v="2019-11-04T00:00:00"/>
    <s v="AWQ-505"/>
    <s v="NISSAN"/>
    <s v="SENTRA"/>
    <s v="RIMAC SEGUROS  Y REASEGUROS S.A"/>
  </r>
  <r>
    <n v="250.65"/>
    <d v="2019-11-15T00:00:00"/>
    <s v="005-00000156"/>
    <n v="1261.4520000000002"/>
    <n v="0"/>
    <n v="0"/>
    <n v="0"/>
    <n v="0"/>
    <n v="120.60000000000001"/>
    <n v="211.05"/>
    <n v="0"/>
    <n v="331.65000000000003"/>
    <x v="104"/>
    <n v="0.73708868827351337"/>
    <x v="1"/>
    <s v="LEVE"/>
    <x v="1"/>
    <x v="0"/>
    <x v="3"/>
    <n v="1"/>
    <d v="2019-11-07T00:00:00"/>
    <s v="BKQ-223"/>
    <s v="TOYOTA"/>
    <s v="ETIOS"/>
    <s v="ECOLAB PERU HOLDINGS S.R.L."/>
  </r>
  <r>
    <n v="0"/>
    <d v="2019-11-15T00:00:00"/>
    <s v="005-00000153"/>
    <n v="1770.1019999999999"/>
    <n v="0"/>
    <n v="0"/>
    <n v="0"/>
    <n v="0"/>
    <n v="180.9"/>
    <n v="211.05"/>
    <n v="0"/>
    <n v="391.95000000000005"/>
    <x v="105"/>
    <n v="0.77857208228678343"/>
    <x v="1"/>
    <s v="MEDIANO"/>
    <x v="1"/>
    <x v="0"/>
    <x v="4"/>
    <n v="1"/>
    <d v="2019-11-06T00:00:00"/>
    <s v="AXN-474"/>
    <s v="NISSAN"/>
    <s v="VERSA"/>
    <s v="RIMAC SEGUROS  Y REASEGUROS S.A"/>
  </r>
  <r>
    <n v="-493.93623720000005"/>
    <d v="2019-11-15T00:00:00"/>
    <s v="005-00000123"/>
    <n v="2491.5515261099999"/>
    <n v="46.610001000000004"/>
    <n v="0"/>
    <n v="0"/>
    <n v="0"/>
    <n v="211.05"/>
    <n v="281.40000000000003"/>
    <n v="0"/>
    <n v="539.06000100000006"/>
    <x v="106"/>
    <n v="0.78364485126999495"/>
    <x v="1"/>
    <s v="MEDIANO"/>
    <x v="1"/>
    <x v="0"/>
    <x v="11"/>
    <n v="1"/>
    <d v="2019-10-31T00:00:00"/>
    <s v="AXX-712"/>
    <s v="CHEVROLET"/>
    <s v="N300"/>
    <s v="RIMAC SEGUROS  Y REASEGUROS S.A"/>
  </r>
  <r>
    <n v="0"/>
    <d v="2019-11-16T00:00:00"/>
    <s v="005-00000125"/>
    <n v="1494.2389556999997"/>
    <n v="0"/>
    <n v="0"/>
    <n v="0"/>
    <n v="0"/>
    <n v="241.20000000000002"/>
    <n v="140.70000000000002"/>
    <n v="0"/>
    <n v="381.90000000000003"/>
    <x v="107"/>
    <n v="0.74441838867660026"/>
    <x v="1"/>
    <s v="GRAVE"/>
    <x v="1"/>
    <x v="0"/>
    <x v="8"/>
    <n v="1"/>
    <d v="2019-11-02T00:00:00"/>
    <s v="AKY-655"/>
    <s v="HONDA"/>
    <s v="CRV"/>
    <s v="RIMAC SEGUROS  Y REASEGUROS S.A"/>
  </r>
  <r>
    <n v="669.99997999999994"/>
    <d v="2019-11-16T00:00:00"/>
    <s v="005-00000128"/>
    <n v="1293.3740795250806"/>
    <n v="0"/>
    <n v="0"/>
    <n v="0"/>
    <n v="0"/>
    <n v="45.225000000000001"/>
    <n v="246.22499999999999"/>
    <n v="0"/>
    <n v="291.45"/>
    <x v="108"/>
    <n v="0.7746591611708975"/>
    <x v="1"/>
    <s v="LEVE"/>
    <x v="1"/>
    <x v="0"/>
    <x v="22"/>
    <n v="1"/>
    <d v="2019-11-04T00:00:00"/>
    <s v="AXV-440"/>
    <s v="MAZDA"/>
    <s v="CX5"/>
    <s v="RIMAC SEGUROS  Y REASEGUROS S.A"/>
  </r>
  <r>
    <n v="296.47499114999999"/>
    <d v="2019-11-18T00:00:00"/>
    <s v="005-00000139"/>
    <n v="752.1789776999999"/>
    <n v="0"/>
    <n v="0"/>
    <n v="0"/>
    <n v="0"/>
    <n v="60.300000000000004"/>
    <n v="140.70000000000002"/>
    <n v="0"/>
    <n v="201.00000000000003"/>
    <x v="109"/>
    <n v="0.73277636578648553"/>
    <x v="1"/>
    <s v="LEVE"/>
    <x v="1"/>
    <x v="0"/>
    <x v="5"/>
    <n v="1"/>
    <d v="2019-11-05T00:00:00"/>
    <s v="ATT-292"/>
    <s v="CHEVROLET"/>
    <s v="CRUZE"/>
    <s v="RIMAC SEGUROS  Y REASEGUROS S.A"/>
  </r>
  <r>
    <n v="502.49998499999998"/>
    <d v="2019-11-18T00:00:00"/>
    <s v="005-00000135"/>
    <n v="1106.3439672"/>
    <n v="0"/>
    <n v="0"/>
    <n v="0"/>
    <n v="0"/>
    <n v="75.375"/>
    <n v="140.70000000000002"/>
    <n v="0"/>
    <n v="216.07500000000002"/>
    <x v="110"/>
    <n v="0.80469455575660132"/>
    <x v="1"/>
    <s v="LEVE"/>
    <x v="1"/>
    <x v="0"/>
    <x v="8"/>
    <n v="1"/>
    <d v="2019-11-04T00:00:00"/>
    <s v="ATF-661"/>
    <s v="HONDA"/>
    <s v="PILOT"/>
    <s v="RIMAC SEGUROS  Y REASEGUROS S.A"/>
  </r>
  <r>
    <n v="284.74999149999996"/>
    <d v="2019-11-18T00:00:00"/>
    <s v="005-00000126"/>
    <n v="1038.8839691999999"/>
    <n v="0"/>
    <n v="0"/>
    <n v="0"/>
    <n v="0"/>
    <n v="135.67500000000001"/>
    <n v="140.70000000000002"/>
    <n v="0"/>
    <n v="276.375"/>
    <x v="111"/>
    <n v="0.73396932843922447"/>
    <x v="1"/>
    <s v="MEDIANO"/>
    <x v="1"/>
    <x v="0"/>
    <x v="23"/>
    <n v="1"/>
    <d v="2019-11-02T00:00:00"/>
    <s v="ATF-661"/>
    <s v="HONDA"/>
    <s v="PILOT"/>
    <s v="RIMAC SEGUROS  Y REASEGUROS S.A"/>
  </r>
  <r>
    <n v="-669.99997999999994"/>
    <d v="2019-11-19T00:00:00"/>
    <s v="005-00000099"/>
    <n v="1507.2839999999999"/>
    <n v="0"/>
    <n v="0"/>
    <n v="0"/>
    <n v="0"/>
    <n v="120.60000000000001"/>
    <n v="211.05"/>
    <n v="0"/>
    <n v="331.65000000000003"/>
    <x v="112"/>
    <n v="0.77996847309465234"/>
    <x v="1"/>
    <s v="MEDIANO"/>
    <x v="1"/>
    <x v="0"/>
    <x v="14"/>
    <n v="1"/>
    <d v="2019-10-26T00:00:00"/>
    <s v="BLO-680"/>
    <s v="TOYOTA"/>
    <s v="RUSH"/>
    <s v="RIMAC SEGUROS  Y REASEGUROS S.A"/>
  </r>
  <r>
    <n v="0"/>
    <d v="2019-11-20T00:00:00"/>
    <s v="005-00000145"/>
    <n v="1849.21"/>
    <n v="0"/>
    <n v="0"/>
    <n v="0"/>
    <n v="0"/>
    <n v="135.67500000000001"/>
    <n v="140.70000000000002"/>
    <n v="0"/>
    <n v="276.375"/>
    <x v="113"/>
    <n v="0.85054428647909108"/>
    <x v="3"/>
    <s v="LEVE"/>
    <x v="1"/>
    <x v="0"/>
    <x v="11"/>
    <n v="1"/>
    <d v="2019-11-05T00:00:00"/>
    <s v="BCP-022"/>
    <s v="HONDA"/>
    <s v="CRV"/>
    <s v="INTEROC SOCIEDAD ANONIMA"/>
  </r>
  <r>
    <n v="395.29998819999997"/>
    <d v="2019-11-20T00:00:00"/>
    <s v="005-00000148"/>
    <n v="1557.8099501999998"/>
    <n v="0"/>
    <n v="0"/>
    <n v="0"/>
    <n v="40.250250000000001"/>
    <n v="75.375"/>
    <n v="298.98750000000001"/>
    <n v="0"/>
    <n v="414.61275000000001"/>
    <x v="114"/>
    <n v="0.73384895253315729"/>
    <x v="1"/>
    <s v="LEVE"/>
    <x v="1"/>
    <x v="0"/>
    <x v="8"/>
    <n v="1"/>
    <d v="2019-11-06T00:00:00"/>
    <s v="APU-227"/>
    <s v="HYUNDAI"/>
    <s v="I20"/>
    <s v="RIMAC SEGUROS  Y REASEGUROS S.A"/>
  </r>
  <r>
    <n v="703.49997899999994"/>
    <d v="2019-11-20T00:00:00"/>
    <s v="005-00000169"/>
    <n v="1326.2114501999999"/>
    <n v="5.4759001999999999"/>
    <n v="0"/>
    <n v="84.75"/>
    <n v="0"/>
    <n v="90.45"/>
    <n v="193.46250000000001"/>
    <n v="0"/>
    <n v="374.13840019999998"/>
    <x v="115"/>
    <n v="0.7178893304355215"/>
    <x v="1"/>
    <s v="LEVE"/>
    <x v="1"/>
    <x v="0"/>
    <x v="4"/>
    <n v="1"/>
    <d v="2019-11-11T00:00:00"/>
    <s v="BBE-558"/>
    <s v="NISSAN"/>
    <s v="VERSA"/>
    <s v="RIMAC SEGUROS  Y REASEGUROS S.A"/>
  </r>
  <r>
    <n v="66.999997999999991"/>
    <d v="2019-11-20T00:00:00"/>
    <s v="005-00000072"/>
    <n v="3041.2094999999999"/>
    <n v="0"/>
    <n v="0"/>
    <n v="0"/>
    <n v="0"/>
    <n v="422.1"/>
    <n v="386.92500000000001"/>
    <n v="0"/>
    <n v="809.02500000000009"/>
    <x v="116"/>
    <n v="0.73397919479075668"/>
    <x v="1"/>
    <s v="GRAVE"/>
    <x v="1"/>
    <x v="0"/>
    <x v="25"/>
    <n v="1"/>
    <d v="2019-10-22T00:00:00"/>
    <s v="AXJ-309"/>
    <s v="NISSAN"/>
    <s v="VERSA"/>
    <s v="RIMAC SEGUROS  Y REASEGUROS S.A"/>
  </r>
  <r>
    <n v="98.824997049999993"/>
    <d v="2019-11-20T00:00:00"/>
    <s v="005-00000171"/>
    <n v="804.67799999999988"/>
    <n v="0"/>
    <n v="0"/>
    <n v="0"/>
    <n v="0"/>
    <n v="45.225000000000001"/>
    <n v="140.70000000000002"/>
    <n v="0"/>
    <n v="185.92500000000001"/>
    <x v="117"/>
    <n v="0.76894484501875282"/>
    <x v="1"/>
    <s v="LEVE"/>
    <x v="1"/>
    <x v="0"/>
    <x v="4"/>
    <n v="1"/>
    <d v="2019-11-11T00:00:00"/>
    <s v="C3K-443"/>
    <s v="KIA"/>
    <s v="RIO"/>
    <s v="RIMAC SEGUROS  Y REASEGUROS S.A"/>
  </r>
  <r>
    <n v="150.74999549999998"/>
    <d v="2019-11-21T00:00:00"/>
    <s v="005-00000082"/>
    <n v="508.05001499999997"/>
    <n v="0"/>
    <n v="0"/>
    <n v="0"/>
    <n v="0"/>
    <n v="0"/>
    <n v="0"/>
    <n v="0"/>
    <n v="0"/>
    <x v="118"/>
    <n v="1"/>
    <x v="1"/>
    <s v="LEVE"/>
    <x v="1"/>
    <x v="0"/>
    <x v="25"/>
    <n v="1"/>
    <d v="2019-10-23T00:00:00"/>
    <s v="BFC146"/>
    <s v="SUBARU"/>
    <s v="IMPREZA"/>
    <s v="RENTAEQUIPOS LEASING PERU S.A."/>
  </r>
  <r>
    <n v="-334.99998999999997"/>
    <d v="2019-11-21T00:00:00"/>
    <s v="005-00000187"/>
    <n v="101.61000299999999"/>
    <n v="0"/>
    <n v="0"/>
    <n v="20"/>
    <n v="0"/>
    <n v="0"/>
    <n v="0"/>
    <n v="0"/>
    <n v="20"/>
    <x v="119"/>
    <n v="0.80316898524252578"/>
    <x v="0"/>
    <s v="MECANICA"/>
    <x v="1"/>
    <x v="0"/>
    <x v="19"/>
    <n v="1"/>
    <d v="2019-11-21T00:00:00"/>
    <s v="BFC146"/>
    <s v="SUBARU"/>
    <s v="IMPREZA"/>
    <s v="RENTAEQUIPOS LEASING PERU S.A."/>
  </r>
  <r>
    <n v="0"/>
    <d v="2019-11-22T00:00:00"/>
    <s v="005-00000059"/>
    <n v="468.13001385000007"/>
    <n v="0"/>
    <n v="0"/>
    <n v="0"/>
    <n v="452.25"/>
    <n v="15.075000000000001"/>
    <n v="70.350000000000009"/>
    <n v="0"/>
    <n v="537.67499999999995"/>
    <x v="120"/>
    <n v="-0.14855912693579981"/>
    <x v="1"/>
    <s v="LEVE"/>
    <x v="1"/>
    <x v="0"/>
    <x v="26"/>
    <n v="1"/>
    <d v="2019-10-17T00:00:00"/>
    <s v="F5C-188"/>
    <s v="AUDI"/>
    <s v="Q5"/>
    <s v="RIMAC SEGUROS  Y REASEGUROS S.A"/>
  </r>
  <r>
    <n v="1856.2542000000001"/>
    <d v="2019-11-22T00:00:00"/>
    <s v="005-00000189"/>
    <n v="2124"/>
    <n v="771.18348900000001"/>
    <n v="59.32"/>
    <n v="73.900000000000006"/>
    <n v="0"/>
    <n v="0"/>
    <n v="0"/>
    <n v="0"/>
    <n v="904.40348900000004"/>
    <x v="121"/>
    <n v="0.5741979806967985"/>
    <x v="2"/>
    <s v="MEDIANO"/>
    <x v="1"/>
    <x v="0"/>
    <x v="20"/>
    <n v="1"/>
    <d v="2019-11-21T00:00:00"/>
    <s v="F2I-424"/>
    <s v="BYD"/>
    <s v="F3"/>
    <s v="EDPYME ACCESO CREDITICIO SOCIEDAD ANONIMA"/>
  </r>
  <r>
    <n v="1260"/>
    <d v="2019-11-23T00:00:00"/>
    <s v="005-00000105"/>
    <n v="9457.2542099999991"/>
    <n v="3893.9877475399994"/>
    <n v="359.24"/>
    <n v="122.88203389830508"/>
    <n v="0"/>
    <n v="391.95"/>
    <n v="1090.425"/>
    <n v="0"/>
    <n v="5858.4847814383047"/>
    <x v="122"/>
    <n v="0.38053005118085903"/>
    <x v="2"/>
    <s v="GRAVE"/>
    <x v="1"/>
    <x v="0"/>
    <x v="27"/>
    <n v="1"/>
    <d v="2019-10-28T00:00:00"/>
    <s v="AZF-323"/>
    <s v="KIA"/>
    <s v="RIO"/>
    <s v="EDPYME ACCESO CREDITICIO SOCIEDAD ANONIMA"/>
  </r>
  <r>
    <n v="480"/>
    <d v="2019-11-23T00:00:00"/>
    <s v="005-00000165"/>
    <n v="9220.7542099999991"/>
    <n v="2743.3440540599991"/>
    <n v="256.38"/>
    <n v="234.57"/>
    <n v="380.64375000000001"/>
    <n v="422.1"/>
    <n v="1055.25"/>
    <n v="0"/>
    <n v="5092.287804059999"/>
    <x v="123"/>
    <n v="0.44773630355124722"/>
    <x v="2"/>
    <s v="GRAVE"/>
    <x v="1"/>
    <x v="0"/>
    <x v="11"/>
    <n v="1"/>
    <d v="2019-11-08T00:00:00"/>
    <s v="AZQ-053"/>
    <s v="CHEVROLET"/>
    <s v="SAIL"/>
    <s v="EDPYME ACCESO CREDITICIO SOCIEDAD ANONIMA"/>
  </r>
  <r>
    <n v="280"/>
    <d v="2019-11-25T00:00:00"/>
    <s v="005-00000181"/>
    <n v="321.57499999999993"/>
    <n v="0"/>
    <n v="0"/>
    <n v="76.27"/>
    <n v="0"/>
    <n v="0"/>
    <n v="0"/>
    <n v="0"/>
    <n v="76.27"/>
    <x v="124"/>
    <n v="0.76282360258104642"/>
    <x v="1"/>
    <s v="LEVE"/>
    <x v="1"/>
    <x v="0"/>
    <x v="0"/>
    <n v="1"/>
    <d v="2019-11-19T00:00:00"/>
    <s v="AYQ-451"/>
    <s v="NISSAN"/>
    <s v="SENTRA"/>
    <s v="RIMAC SEGUROS  Y REASEGUROS S.A"/>
  </r>
  <r>
    <n v="240"/>
    <d v="2019-11-25T00:00:00"/>
    <s v="005-00000107"/>
    <n v="9660.7542099999991"/>
    <n v="2156.2085459200002"/>
    <n v="262.72000000000003"/>
    <n v="360.5"/>
    <n v="425.86875000000003"/>
    <n v="271.35000000000002"/>
    <n v="1125.6000000000001"/>
    <n v="0"/>
    <n v="4602.2472959200004"/>
    <x v="125"/>
    <n v="0.52361407858238007"/>
    <x v="2"/>
    <s v="GRAVE"/>
    <x v="1"/>
    <x v="0"/>
    <x v="28"/>
    <n v="1"/>
    <d v="2019-10-28T00:00:00"/>
    <s v="AHV-171"/>
    <s v="KIA"/>
    <s v="RIO"/>
    <s v="EDPYME ACCESO CREDITICIO SOCIEDAD ANONIMA"/>
  </r>
  <r>
    <n v="2089"/>
    <d v="2019-11-26T00:00:00"/>
    <s v="005-00000117"/>
    <n v="1380.9989922"/>
    <n v="0"/>
    <n v="0"/>
    <n v="0"/>
    <n v="0"/>
    <n v="60.300000000000004"/>
    <n v="193.46250000000001"/>
    <n v="0"/>
    <n v="253.76250000000002"/>
    <x v="126"/>
    <n v="0.81624715048072283"/>
    <x v="1"/>
    <s v="LEVE"/>
    <x v="1"/>
    <x v="0"/>
    <x v="28"/>
    <n v="1"/>
    <d v="2019-10-29T00:00:00"/>
    <s v="BFM-214"/>
    <s v="JEEP"/>
    <s v="CHEROKEE"/>
    <s v="RENTAEQUIPOS LEASING PERU S.A."/>
  </r>
  <r>
    <n v="1531.350380288309"/>
    <d v="2019-11-27T00:00:00"/>
    <s v="005-00000179"/>
    <n v="1406.4674999999997"/>
    <n v="0"/>
    <n v="0"/>
    <n v="0"/>
    <n v="0"/>
    <n v="60.300000000000004"/>
    <n v="298.98750000000001"/>
    <n v="0"/>
    <n v="359.28750000000002"/>
    <x v="127"/>
    <n v="0.7445461768579793"/>
    <x v="1"/>
    <s v="LEVE"/>
    <x v="1"/>
    <x v="0"/>
    <x v="4"/>
    <n v="1"/>
    <d v="2019-11-18T00:00:00"/>
    <s v="ADY-124"/>
    <s v="NISSAN"/>
    <s v="X-TRAIL"/>
    <s v="ROBERTO CARLOS TORRES JULCA"/>
  </r>
  <r>
    <n v="335.10001"/>
    <d v="2019-11-28T00:00:00"/>
    <s v="005-00000032"/>
    <n v="814.56002399999988"/>
    <n v="76.270048499999987"/>
    <n v="0"/>
    <n v="55.08"/>
    <n v="30.150000000000002"/>
    <n v="60.300000000000004"/>
    <n v="0"/>
    <n v="0"/>
    <n v="221.8000485"/>
    <x v="128"/>
    <n v="0.72770570373583665"/>
    <x v="1"/>
    <s v="LEVE"/>
    <x v="1"/>
    <x v="0"/>
    <x v="29"/>
    <n v="1"/>
    <d v="2019-10-10T00:00:00"/>
    <s v="AFS-362"/>
    <s v="MAZDA"/>
    <s v="MAZDA5"/>
    <s v="SERVICIOS HOTELEROS LIMA S.A.C."/>
  </r>
  <r>
    <n v="444.85933747541986"/>
    <d v="2019-11-29T00:00:00"/>
    <s v="005-00000192"/>
    <n v="2373.0000700000001"/>
    <n v="0"/>
    <n v="0"/>
    <n v="0"/>
    <n v="0"/>
    <n v="211.05"/>
    <n v="351.75"/>
    <n v="0"/>
    <n v="562.79999999999995"/>
    <x v="129"/>
    <n v="0.76283186540318981"/>
    <x v="1"/>
    <s v="MEDIANO"/>
    <x v="1"/>
    <x v="0"/>
    <x v="3"/>
    <n v="1"/>
    <d v="2019-11-21T00:00:00"/>
    <s v="BBQ-678"/>
    <s v="SUZUKI"/>
    <s v="SWIFT"/>
    <s v="DARDOS COMUNICACION VISUAL SAC"/>
  </r>
  <r>
    <n v="1105.830033"/>
    <d v="2019-11-29T00:00:00"/>
    <s v="005-00000166"/>
    <n v="11290.754209999999"/>
    <n v="2426.7739409300002"/>
    <n v="264.65999999999997"/>
    <n v="93.22"/>
    <n v="290.19375000000002"/>
    <n v="633.15"/>
    <n v="1266.3"/>
    <n v="0"/>
    <n v="4974.2976909299996"/>
    <x v="130"/>
    <n v="0.5594361901418099"/>
    <x v="2"/>
    <s v="GRAVE"/>
    <x v="1"/>
    <x v="0"/>
    <x v="13"/>
    <n v="1"/>
    <d v="2019-11-08T00:00:00"/>
    <s v="ANB-605"/>
    <s v="HYUNDAI"/>
    <s v="ACCENT"/>
    <s v="AUTOCLASS S.A.C."/>
  </r>
  <r>
    <n v="50.265001499999997"/>
    <d v="2019-11-29T00:00:00"/>
    <s v="005-00000109"/>
    <n v="8205.2542099999991"/>
    <n v="2437.2557686599994"/>
    <n v="61.46"/>
    <n v="334.74203389830507"/>
    <n v="320.34375"/>
    <n v="271.35000000000002"/>
    <n v="949.72500000000002"/>
    <n v="0"/>
    <n v="4374.8765525583049"/>
    <x v="131"/>
    <n v="0.46682010811724683"/>
    <x v="2"/>
    <s v="GRAVE"/>
    <x v="1"/>
    <x v="0"/>
    <x v="30"/>
    <n v="1"/>
    <d v="2019-10-28T00:00:00"/>
    <s v="F6Q-533"/>
    <s v="CHEVROLET"/>
    <s v="SAIL"/>
    <s v="AUTOCLASS S.A.C."/>
  </r>
  <r>
    <n v="-335.10001"/>
    <d v="2019-11-29T00:00:00"/>
    <s v="005-00000152"/>
    <n v="9800.7542099999991"/>
    <n v="2134.08030164"/>
    <n v="473.15"/>
    <n v="325.25"/>
    <n v="365.56875000000002"/>
    <n v="542.70000000000005"/>
    <n v="1266.3"/>
    <n v="0"/>
    <n v="5107.0490516400005"/>
    <x v="132"/>
    <n v="0.47891264873991762"/>
    <x v="2"/>
    <s v="GRAVE"/>
    <x v="1"/>
    <x v="0"/>
    <x v="17"/>
    <n v="1"/>
    <d v="2019-11-06T00:00:00"/>
    <s v="AMZ619"/>
    <s v="CHEVROLET"/>
    <s v="SAIL"/>
    <s v="AUTOCLASS S.A.C."/>
  </r>
  <r>
    <n v="0"/>
    <d v="2019-11-29T00:00:00"/>
    <s v="005-00000036"/>
    <n v="6983.2279939949194"/>
    <n v="5608.7373900000002"/>
    <n v="0"/>
    <n v="76.27"/>
    <n v="0"/>
    <n v="0"/>
    <n v="0"/>
    <n v="0"/>
    <n v="5685.0073900000007"/>
    <x v="133"/>
    <n v="0.18590551606095296"/>
    <x v="0"/>
    <s v="MECANICA"/>
    <x v="1"/>
    <x v="0"/>
    <x v="29"/>
    <n v="1"/>
    <d v="2019-10-11T00:00:00"/>
    <s v="BFW224"/>
    <s v="JEEP"/>
    <s v="CHEROKEE"/>
    <s v="RENTAEQUIPOS LEASING PERU S.A."/>
  </r>
  <r>
    <n v="1524.94279035"/>
    <d v="2019-11-29T00:00:00"/>
    <s v="005-00000180"/>
    <n v="1027.1700303"/>
    <n v="0"/>
    <n v="0"/>
    <n v="116.27"/>
    <n v="15.075000000000001"/>
    <n v="60.300000000000004"/>
    <n v="140.70000000000002"/>
    <n v="0"/>
    <n v="332.34500000000003"/>
    <x v="134"/>
    <n v="0.67644597272475537"/>
    <x v="1"/>
    <s v="LEVE"/>
    <x v="1"/>
    <x v="0"/>
    <x v="21"/>
    <n v="1"/>
    <d v="2019-11-19T00:00:00"/>
    <s v="BED-593"/>
    <s v="CHEVROLET"/>
    <s v="PRISMA"/>
    <s v="RIMAC SEGUROS  Y REASEGUROS S.A"/>
  </r>
  <r>
    <n v="1600.8"/>
    <d v="2019-11-29T00:00:00"/>
    <s v="005-00000035"/>
    <n v="2930.65508645"/>
    <n v="0"/>
    <n v="0"/>
    <n v="824.5"/>
    <n v="0"/>
    <n v="241.20000000000002"/>
    <n v="369.33750000000003"/>
    <n v="0"/>
    <n v="1435.0375000000001"/>
    <x v="135"/>
    <n v="0.51033558789126943"/>
    <x v="1"/>
    <s v="MEDIANO"/>
    <x v="1"/>
    <x v="0"/>
    <x v="29"/>
    <n v="1"/>
    <d v="2019-10-11T00:00:00"/>
    <s v="BEQ-190"/>
    <s v="KIA"/>
    <s v="PICANTO"/>
    <s v="RENTAEQUIPOS LEASING PERU S.A."/>
  </r>
  <r>
    <n v="316.82499999999999"/>
    <d v="2019-11-30T00:00:00"/>
    <s v="005-00000199"/>
    <n v="2301.8000677"/>
    <n v="0"/>
    <n v="0"/>
    <n v="0"/>
    <n v="0"/>
    <n v="195.97499999999999"/>
    <n v="386.92500000000001"/>
    <n v="0"/>
    <n v="582.9"/>
    <x v="136"/>
    <n v="0.74676341000265756"/>
    <x v="1"/>
    <s v="MEDIANO"/>
    <x v="1"/>
    <x v="0"/>
    <x v="3"/>
    <n v="1"/>
    <d v="2019-11-22T00:00:00"/>
    <s v="C4R-002"/>
    <s v="KIA"/>
    <s v="SPORTAGE"/>
    <s v="SPRIND SAC"/>
  </r>
  <r>
    <n v="200.1"/>
    <d v="2019-11-30T00:00:00"/>
    <s v="005-00000210"/>
    <n v="153.00000450000002"/>
    <n v="0"/>
    <n v="0"/>
    <n v="0"/>
    <n v="0"/>
    <n v="0"/>
    <n v="17.587500000000002"/>
    <n v="0"/>
    <n v="17.587500000000002"/>
    <x v="137"/>
    <n v="0.88504902298875421"/>
    <x v="0"/>
    <s v="LEVE"/>
    <x v="1"/>
    <x v="0"/>
    <x v="12"/>
    <n v="1"/>
    <d v="2019-11-26T00:00:00"/>
    <s v="C4R-002"/>
    <s v="KIA"/>
    <s v="SPORTAGE"/>
    <s v="SPRIND SAC"/>
  </r>
  <r>
    <n v="-1524.03860515"/>
    <d v="2019-11-02T00:00:00"/>
    <s v="005-00000124"/>
    <n v="211.87289000000001"/>
    <n v="77.836399300000011"/>
    <n v="0"/>
    <n v="0"/>
    <n v="0"/>
    <n v="0"/>
    <n v="0"/>
    <n v="0"/>
    <n v="77.836399300000011"/>
    <x v="138"/>
    <n v="0.63262690521661358"/>
    <x v="0"/>
    <s v="MECANICA"/>
    <x v="1"/>
    <x v="0"/>
    <x v="19"/>
    <n v="1"/>
    <d v="2019-11-02T00:00:00"/>
    <s v="ADP623"/>
    <s v="HYUNDAI"/>
    <s v="ACCENT"/>
    <s v="JIMENEZ MESIA JORGE"/>
  </r>
  <r>
    <n v="0"/>
    <d v="2019-11-05T00:00:00"/>
    <s v="005-00000102"/>
    <n v="150"/>
    <n v="44.7857001"/>
    <n v="0"/>
    <n v="0"/>
    <n v="40.250250000000001"/>
    <n v="0"/>
    <n v="0"/>
    <n v="0"/>
    <n v="85.035950100000008"/>
    <x v="139"/>
    <n v="0.43309366599999993"/>
    <x v="0"/>
    <s v="MECANICA"/>
    <x v="1"/>
    <x v="0"/>
    <x v="3"/>
    <n v="1"/>
    <d v="2019-10-28T00:00:00"/>
    <s v="C4A-237"/>
    <s v="KIA"/>
    <s v="RIO"/>
    <s v="MIñAN VARGAS JULIO CESAR"/>
  </r>
  <r>
    <n v="333.5"/>
    <d v="2019-11-07T00:00:00"/>
    <s v="005-00000120"/>
    <n v="1102.4237099999998"/>
    <n v="273.30762249999998"/>
    <n v="277.96610169491527"/>
    <n v="135.59322033898306"/>
    <n v="40.250250000000001"/>
    <n v="0"/>
    <n v="0"/>
    <n v="0"/>
    <n v="727.11719453389844"/>
    <x v="140"/>
    <n v="0.34043763034278485"/>
    <x v="0"/>
    <s v="MECANICA"/>
    <x v="1"/>
    <x v="0"/>
    <x v="3"/>
    <n v="1"/>
    <d v="2019-10-30T00:00:00"/>
    <s v="AFS-436"/>
    <s v="MITSUBISHI"/>
    <s v="MIRAGE"/>
    <s v="FERNANDEZ RENGIFO ESSENIN FERNANDO"/>
  </r>
  <r>
    <n v="1957.5"/>
    <d v="2019-11-07T00:00:00"/>
    <s v="005-00000097"/>
    <n v="211.87289000000001"/>
    <n v="78.342899499999987"/>
    <n v="0"/>
    <n v="0"/>
    <n v="0"/>
    <n v="0"/>
    <n v="0"/>
    <n v="0"/>
    <n v="78.342899499999987"/>
    <x v="141"/>
    <n v="0.63023631999355845"/>
    <x v="0"/>
    <s v="MECANICA"/>
    <x v="1"/>
    <x v="0"/>
    <x v="5"/>
    <n v="1"/>
    <d v="2019-10-25T00:00:00"/>
    <s v="AFS436"/>
    <s v="MITSUBISHI"/>
    <s v="MIRAGE"/>
    <s v="FERNANDEZ RENGIFO ESSENIN FERNANDO"/>
  </r>
  <r>
    <n v="945"/>
    <d v="2019-11-12T00:00:00"/>
    <s v="005-00000154"/>
    <n v="449"/>
    <n v="82.004799999999989"/>
    <n v="12.71"/>
    <n v="0"/>
    <n v="40.250250000000001"/>
    <n v="0"/>
    <n v="0"/>
    <n v="0"/>
    <n v="134.96504999999999"/>
    <x v="142"/>
    <n v="0.69940968819599103"/>
    <x v="0"/>
    <s v="MECANICA"/>
    <x v="1"/>
    <x v="0"/>
    <x v="0"/>
    <n v="1"/>
    <d v="2019-11-06T00:00:00"/>
    <s v="C4W-101"/>
    <s v="CHEVROLET"/>
    <s v="CRUZE"/>
    <s v="MONTEZA SAAVEDRA RODOLFO"/>
  </r>
  <r>
    <n v="525"/>
    <d v="2019-11-12T00:00:00"/>
    <s v="005-00000168"/>
    <n v="867.5"/>
    <n v="822.02598999999998"/>
    <n v="0"/>
    <n v="0"/>
    <n v="40.250250000000001"/>
    <n v="0"/>
    <n v="0"/>
    <n v="0"/>
    <n v="862.27624000000003"/>
    <x v="143"/>
    <n v="6.021625360230513E-3"/>
    <x v="0"/>
    <s v="MECANICA"/>
    <x v="1"/>
    <x v="0"/>
    <x v="12"/>
    <n v="1"/>
    <d v="2019-11-08T00:00:00"/>
    <s v="C4W-101"/>
    <s v="CHEVROLET"/>
    <s v="CRUZE"/>
    <s v="MONTEZA SAAVEDRA RODOLFO"/>
  </r>
  <r>
    <n v="510"/>
    <d v="2019-11-14T00:00:00"/>
    <s v="005-00000170"/>
    <n v="287.48625996799996"/>
    <n v="0"/>
    <n v="0"/>
    <n v="0"/>
    <n v="0"/>
    <n v="15.075000000000001"/>
    <n v="70.350000000000009"/>
    <n v="0"/>
    <n v="85.425000000000011"/>
    <x v="144"/>
    <n v="0.70285536425459549"/>
    <x v="0"/>
    <s v="LEVE"/>
    <x v="1"/>
    <x v="0"/>
    <x v="7"/>
    <n v="1"/>
    <d v="2019-11-11T00:00:00"/>
    <s v="B8U-602"/>
    <s v="SUBARU"/>
    <s v="FORESTER"/>
    <s v="NUÑEZ SALINAS RAUL ENRIQUE"/>
  </r>
  <r>
    <n v="2221"/>
    <d v="2019-11-14T00:00:00"/>
    <s v="005-00000174"/>
    <n v="450"/>
    <n v="112.27309794999998"/>
    <n v="10.17"/>
    <n v="0"/>
    <n v="40.250250000000001"/>
    <n v="0"/>
    <n v="0"/>
    <n v="0"/>
    <n v="162.69334794999997"/>
    <x v="145"/>
    <n v="0.63845922677777789"/>
    <x v="0"/>
    <s v="MECANICA"/>
    <x v="1"/>
    <x v="0"/>
    <x v="19"/>
    <n v="1"/>
    <d v="2019-11-14T00:00:00"/>
    <s v="A2Q-372"/>
    <s v="FORD"/>
    <s v="EXPLORER"/>
    <s v="SALVATIERRA YARACSA KARINA"/>
  </r>
  <r>
    <n v="1248.7542000000001"/>
    <d v="2019-11-16T00:00:00"/>
    <s v="005-00000176"/>
    <n v="349"/>
    <n v="121.7889"/>
    <n v="0"/>
    <n v="0"/>
    <n v="40.250250000000001"/>
    <n v="0"/>
    <n v="0"/>
    <n v="0"/>
    <n v="162.03915000000001"/>
    <x v="146"/>
    <n v="0.53570444126074501"/>
    <x v="0"/>
    <s v="MECANICA"/>
    <x v="1"/>
    <x v="0"/>
    <x v="19"/>
    <n v="1"/>
    <d v="2019-11-16T00:00:00"/>
    <s v="APE-333"/>
    <s v="VOLKWAGEN"/>
    <s v="GOL"/>
    <s v="ALIAGA MORALES GUSTAVO"/>
  </r>
  <r>
    <n v="560"/>
    <d v="2019-11-18T00:00:00"/>
    <s v="005-00000136"/>
    <n v="1686.4999837299988"/>
    <n v="0"/>
    <n v="0"/>
    <n v="0"/>
    <n v="0"/>
    <n v="90.45"/>
    <n v="369.33750000000003"/>
    <n v="0"/>
    <n v="459.78750000000002"/>
    <x v="147"/>
    <n v="0.7273717732370818"/>
    <x v="1"/>
    <s v="LEVE"/>
    <x v="1"/>
    <x v="0"/>
    <x v="8"/>
    <n v="1"/>
    <d v="2019-11-04T00:00:00"/>
    <s v="ATF-661"/>
    <s v="HONDA"/>
    <s v="PILOT"/>
    <s v="PRIETO DUCLOS MARIA ELSA"/>
  </r>
  <r>
    <n v="190"/>
    <d v="2019-11-18T00:00:00"/>
    <s v="005-00000172"/>
    <n v="337.29998999999998"/>
    <n v="0"/>
    <n v="0"/>
    <n v="0"/>
    <n v="0"/>
    <n v="37.6875"/>
    <n v="70.350000000000009"/>
    <n v="0"/>
    <n v="108.03750000000001"/>
    <x v="148"/>
    <n v="0.6796990714408262"/>
    <x v="0"/>
    <s v="LEVE"/>
    <x v="1"/>
    <x v="0"/>
    <x v="0"/>
    <n v="1"/>
    <d v="2019-11-12T00:00:00"/>
    <s v="ATT-292"/>
    <s v="CHEVROLET"/>
    <s v="CRUZE"/>
    <s v="JAYO PACHECO JORGE LUIS"/>
  </r>
  <r>
    <n v="230"/>
    <d v="2019-11-20T00:00:00"/>
    <s v="005-00000182"/>
    <n v="260"/>
    <n v="160"/>
    <n v="0"/>
    <n v="0"/>
    <n v="0"/>
    <n v="0"/>
    <n v="0"/>
    <n v="0"/>
    <n v="160"/>
    <x v="149"/>
    <n v="0.38461538461538464"/>
    <x v="0"/>
    <s v="LEVE"/>
    <x v="1"/>
    <x v="0"/>
    <x v="20"/>
    <n v="1"/>
    <d v="2019-11-19T00:00:00"/>
    <s v="C3K443"/>
    <s v="KIA"/>
    <s v="RIO"/>
    <s v="CARRERA DONDERO JOSE ANTONIO"/>
  </r>
  <r>
    <n v="816"/>
    <d v="2019-11-20T00:00:00"/>
    <s v="005-00000185"/>
    <n v="16.949200000000001"/>
    <n v="3.8136001000000004"/>
    <n v="0"/>
    <n v="0"/>
    <n v="0"/>
    <n v="0"/>
    <n v="0"/>
    <n v="0"/>
    <n v="3.8136001000000004"/>
    <x v="150"/>
    <n v="0.77499822410497254"/>
    <x v="0"/>
    <s v="MECANICA"/>
    <x v="1"/>
    <x v="0"/>
    <x v="19"/>
    <n v="1"/>
    <d v="2019-11-20T00:00:00"/>
    <s v="BBE558"/>
    <s v="NISSAN"/>
    <s v="VERSA"/>
    <s v="SANCHEZ ALVARADO JULIO MOISES"/>
  </r>
  <r>
    <n v="1620"/>
    <d v="2019-11-30T00:00:00"/>
    <s v="005-00000220"/>
    <n v="350"/>
    <n v="75.577799099999993"/>
    <n v="0"/>
    <n v="0"/>
    <n v="40.250250000000001"/>
    <n v="0"/>
    <n v="0"/>
    <n v="0"/>
    <n v="115.82804909999999"/>
    <x v="151"/>
    <n v="0.66906271685714291"/>
    <x v="0"/>
    <s v="LEVE"/>
    <x v="1"/>
    <x v="0"/>
    <x v="19"/>
    <n v="1"/>
    <d v="2019-11-30T00:00:00"/>
    <s v="C3K-443"/>
    <s v="KIA"/>
    <s v="RIO"/>
    <s v="CARRERA DONDERO JOSE ANTONIO"/>
  </r>
  <r>
    <n v="630"/>
    <m/>
    <m/>
    <m/>
    <m/>
    <m/>
    <m/>
    <m/>
    <m/>
    <m/>
    <m/>
    <m/>
    <x v="152"/>
    <m/>
    <x v="4"/>
    <m/>
    <x v="2"/>
    <x v="1"/>
    <x v="31"/>
    <m/>
    <m/>
    <m/>
    <m/>
    <m/>
    <m/>
  </r>
  <r>
    <n v="500"/>
    <m/>
    <m/>
    <m/>
    <m/>
    <m/>
    <m/>
    <m/>
    <m/>
    <m/>
    <m/>
    <m/>
    <x v="152"/>
    <m/>
    <x v="4"/>
    <m/>
    <x v="2"/>
    <x v="1"/>
    <x v="31"/>
    <m/>
    <m/>
    <m/>
    <m/>
    <m/>
    <m/>
  </r>
  <r>
    <n v="330"/>
    <m/>
    <m/>
    <m/>
    <m/>
    <m/>
    <m/>
    <m/>
    <m/>
    <m/>
    <m/>
    <m/>
    <x v="152"/>
    <m/>
    <x v="4"/>
    <m/>
    <x v="2"/>
    <x v="1"/>
    <x v="31"/>
    <m/>
    <m/>
    <m/>
    <m/>
    <m/>
    <m/>
  </r>
  <r>
    <n v="1564.5"/>
    <m/>
    <m/>
    <m/>
    <m/>
    <m/>
    <m/>
    <m/>
    <m/>
    <m/>
    <m/>
    <m/>
    <x v="152"/>
    <m/>
    <x v="4"/>
    <m/>
    <x v="2"/>
    <x v="1"/>
    <x v="31"/>
    <m/>
    <m/>
    <m/>
    <m/>
    <m/>
    <m/>
  </r>
  <r>
    <n v="1552.5"/>
    <m/>
    <m/>
    <m/>
    <m/>
    <m/>
    <m/>
    <m/>
    <m/>
    <m/>
    <m/>
    <m/>
    <x v="152"/>
    <m/>
    <x v="4"/>
    <m/>
    <x v="2"/>
    <x v="1"/>
    <x v="31"/>
    <m/>
    <m/>
    <m/>
    <m/>
    <m/>
    <m/>
  </r>
  <r>
    <n v="735"/>
    <m/>
    <m/>
    <m/>
    <m/>
    <m/>
    <m/>
    <m/>
    <m/>
    <m/>
    <m/>
    <m/>
    <x v="152"/>
    <m/>
    <x v="4"/>
    <m/>
    <x v="2"/>
    <x v="1"/>
    <x v="31"/>
    <m/>
    <m/>
    <m/>
    <m/>
    <m/>
    <m/>
  </r>
  <r>
    <n v="930"/>
    <m/>
    <m/>
    <m/>
    <m/>
    <m/>
    <m/>
    <m/>
    <m/>
    <m/>
    <m/>
    <m/>
    <x v="152"/>
    <m/>
    <x v="4"/>
    <m/>
    <x v="2"/>
    <x v="1"/>
    <x v="31"/>
    <m/>
    <m/>
    <m/>
    <m/>
    <m/>
    <m/>
  </r>
  <r>
    <n v="495"/>
    <m/>
    <m/>
    <m/>
    <m/>
    <m/>
    <m/>
    <m/>
    <m/>
    <m/>
    <m/>
    <m/>
    <x v="152"/>
    <m/>
    <x v="4"/>
    <m/>
    <x v="2"/>
    <x v="1"/>
    <x v="31"/>
    <m/>
    <m/>
    <m/>
    <m/>
    <m/>
    <m/>
  </r>
  <r>
    <n v="135"/>
    <m/>
    <m/>
    <m/>
    <m/>
    <m/>
    <m/>
    <m/>
    <m/>
    <m/>
    <m/>
    <m/>
    <x v="152"/>
    <m/>
    <x v="4"/>
    <m/>
    <x v="2"/>
    <x v="1"/>
    <x v="31"/>
    <m/>
    <m/>
    <m/>
    <m/>
    <m/>
    <m/>
  </r>
  <r>
    <n v="380"/>
    <m/>
    <m/>
    <m/>
    <m/>
    <m/>
    <m/>
    <m/>
    <m/>
    <m/>
    <m/>
    <m/>
    <x v="152"/>
    <m/>
    <x v="4"/>
    <m/>
    <x v="2"/>
    <x v="1"/>
    <x v="31"/>
    <m/>
    <m/>
    <m/>
    <m/>
    <m/>
    <m/>
  </r>
  <r>
    <n v="80"/>
    <m/>
    <m/>
    <m/>
    <m/>
    <m/>
    <m/>
    <m/>
    <m/>
    <m/>
    <m/>
    <m/>
    <x v="152"/>
    <m/>
    <x v="4"/>
    <m/>
    <x v="2"/>
    <x v="1"/>
    <x v="31"/>
    <m/>
    <m/>
    <m/>
    <m/>
    <m/>
    <m/>
  </r>
  <r>
    <n v="3275"/>
    <m/>
    <m/>
    <m/>
    <m/>
    <m/>
    <m/>
    <m/>
    <m/>
    <m/>
    <m/>
    <m/>
    <x v="152"/>
    <m/>
    <x v="4"/>
    <m/>
    <x v="2"/>
    <x v="1"/>
    <x v="31"/>
    <m/>
    <m/>
    <m/>
    <m/>
    <m/>
    <m/>
  </r>
  <r>
    <n v="393.53"/>
    <m/>
    <m/>
    <m/>
    <m/>
    <m/>
    <m/>
    <m/>
    <m/>
    <m/>
    <m/>
    <m/>
    <x v="152"/>
    <m/>
    <x v="4"/>
    <m/>
    <x v="2"/>
    <x v="1"/>
    <x v="31"/>
    <m/>
    <m/>
    <m/>
    <m/>
    <m/>
    <m/>
  </r>
  <r>
    <n v="300.14999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83.375"/>
    <m/>
    <m/>
    <m/>
    <m/>
    <m/>
    <m/>
    <m/>
    <m/>
    <m/>
    <m/>
    <m/>
    <x v="152"/>
    <m/>
    <x v="4"/>
    <m/>
    <x v="2"/>
    <x v="1"/>
    <x v="31"/>
    <m/>
    <m/>
    <m/>
    <m/>
    <m/>
    <m/>
  </r>
  <r>
    <n v="-333.5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53.70776549999994"/>
    <m/>
    <m/>
    <m/>
    <m/>
    <m/>
    <m/>
    <m/>
    <m/>
    <m/>
    <m/>
    <m/>
    <x v="152"/>
    <m/>
    <x v="4"/>
    <m/>
    <x v="2"/>
    <x v="1"/>
    <x v="31"/>
    <m/>
    <m/>
    <m/>
    <m/>
    <m/>
    <m/>
  </r>
  <r>
    <n v="934.64779034999981"/>
    <m/>
    <m/>
    <m/>
    <m/>
    <m/>
    <m/>
    <m/>
    <m/>
    <m/>
    <m/>
    <m/>
    <x v="152"/>
    <m/>
    <x v="4"/>
    <m/>
    <x v="2"/>
    <x v="1"/>
    <x v="31"/>
    <m/>
    <m/>
    <m/>
    <m/>
    <m/>
    <m/>
  </r>
  <r>
    <n v="750.375"/>
    <m/>
    <m/>
    <m/>
    <m/>
    <m/>
    <m/>
    <m/>
    <m/>
    <m/>
    <m/>
    <m/>
    <x v="152"/>
    <m/>
    <x v="4"/>
    <m/>
    <x v="2"/>
    <x v="1"/>
    <x v="31"/>
    <m/>
    <m/>
    <m/>
    <m/>
    <m/>
    <m/>
  </r>
  <r>
    <n v="50.02499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-353.70776549999994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590.29499999999996"/>
    <m/>
    <m/>
    <m/>
    <m/>
    <m/>
    <m/>
    <m/>
    <m/>
    <m/>
    <m/>
    <m/>
    <x v="152"/>
    <m/>
    <x v="4"/>
    <m/>
    <x v="2"/>
    <x v="1"/>
    <x v="31"/>
    <m/>
    <m/>
    <m/>
    <m/>
    <m/>
    <m/>
  </r>
  <r>
    <n v="450.2250000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100.05"/>
    <m/>
    <m/>
    <m/>
    <m/>
    <m/>
    <m/>
    <m/>
    <m/>
    <m/>
    <m/>
    <m/>
    <x v="152"/>
    <m/>
    <x v="4"/>
    <m/>
    <x v="2"/>
    <x v="1"/>
    <x v="31"/>
    <m/>
    <m/>
    <m/>
    <m/>
    <m/>
    <m/>
  </r>
  <r>
    <n v="-333.5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200"/>
    <m/>
    <m/>
    <m/>
    <m/>
    <m/>
    <m/>
    <m/>
    <m/>
    <m/>
    <m/>
    <m/>
    <x v="152"/>
    <m/>
    <x v="4"/>
    <m/>
    <x v="2"/>
    <x v="1"/>
    <x v="31"/>
    <m/>
    <m/>
    <m/>
    <m/>
    <m/>
    <m/>
  </r>
  <r>
    <n v="50"/>
    <m/>
    <m/>
    <m/>
    <m/>
    <m/>
    <m/>
    <m/>
    <m/>
    <m/>
    <m/>
    <m/>
    <x v="152"/>
    <m/>
    <x v="4"/>
    <m/>
    <x v="2"/>
    <x v="1"/>
    <x v="31"/>
    <m/>
    <m/>
    <m/>
    <m/>
    <m/>
    <m/>
  </r>
  <r>
    <n v="100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2227.5"/>
    <m/>
    <m/>
    <m/>
    <m/>
    <m/>
    <m/>
    <m/>
    <m/>
    <m/>
    <m/>
    <m/>
    <x v="152"/>
    <m/>
    <x v="4"/>
    <m/>
    <x v="2"/>
    <x v="1"/>
    <x v="31"/>
    <m/>
    <m/>
    <m/>
    <m/>
    <m/>
    <m/>
  </r>
  <r>
    <n v="1155"/>
    <m/>
    <m/>
    <m/>
    <m/>
    <m/>
    <m/>
    <m/>
    <m/>
    <m/>
    <m/>
    <m/>
    <x v="152"/>
    <m/>
    <x v="4"/>
    <m/>
    <x v="2"/>
    <x v="1"/>
    <x v="31"/>
    <m/>
    <m/>
    <m/>
    <m/>
    <m/>
    <m/>
  </r>
  <r>
    <n v="275"/>
    <m/>
    <m/>
    <m/>
    <m/>
    <m/>
    <m/>
    <m/>
    <m/>
    <m/>
    <m/>
    <m/>
    <x v="152"/>
    <m/>
    <x v="4"/>
    <m/>
    <x v="2"/>
    <x v="1"/>
    <x v="31"/>
    <m/>
    <m/>
    <m/>
    <m/>
    <m/>
    <m/>
  </r>
  <r>
    <n v="225"/>
    <m/>
    <m/>
    <m/>
    <m/>
    <m/>
    <m/>
    <m/>
    <m/>
    <m/>
    <m/>
    <m/>
    <x v="152"/>
    <m/>
    <x v="4"/>
    <m/>
    <x v="2"/>
    <x v="1"/>
    <x v="31"/>
    <m/>
    <m/>
    <m/>
    <m/>
    <m/>
    <m/>
  </r>
  <r>
    <n v="370"/>
    <m/>
    <m/>
    <m/>
    <m/>
    <m/>
    <m/>
    <m/>
    <m/>
    <m/>
    <m/>
    <m/>
    <x v="152"/>
    <m/>
    <x v="4"/>
    <m/>
    <x v="2"/>
    <x v="1"/>
    <x v="31"/>
    <m/>
    <m/>
    <m/>
    <m/>
    <m/>
    <m/>
  </r>
  <r>
    <n v="2419"/>
    <m/>
    <m/>
    <m/>
    <m/>
    <m/>
    <m/>
    <m/>
    <m/>
    <m/>
    <m/>
    <m/>
    <x v="152"/>
    <m/>
    <x v="4"/>
    <m/>
    <x v="2"/>
    <x v="1"/>
    <x v="31"/>
    <m/>
    <m/>
    <m/>
    <m/>
    <m/>
    <m/>
  </r>
  <r>
    <n v="1350"/>
    <m/>
    <m/>
    <m/>
    <m/>
    <m/>
    <m/>
    <m/>
    <m/>
    <m/>
    <m/>
    <m/>
    <x v="152"/>
    <m/>
    <x v="4"/>
    <m/>
    <x v="2"/>
    <x v="1"/>
    <x v="31"/>
    <m/>
    <m/>
    <m/>
    <m/>
    <m/>
    <m/>
  </r>
  <r>
    <n v="630"/>
    <m/>
    <m/>
    <m/>
    <m/>
    <m/>
    <m/>
    <m/>
    <m/>
    <m/>
    <m/>
    <m/>
    <x v="152"/>
    <m/>
    <x v="4"/>
    <m/>
    <x v="2"/>
    <x v="1"/>
    <x v="31"/>
    <m/>
    <m/>
    <m/>
    <m/>
    <m/>
    <m/>
  </r>
  <r>
    <n v="400"/>
    <m/>
    <m/>
    <m/>
    <m/>
    <m/>
    <m/>
    <m/>
    <m/>
    <m/>
    <m/>
    <m/>
    <x v="152"/>
    <m/>
    <x v="4"/>
    <m/>
    <x v="2"/>
    <x v="1"/>
    <x v="31"/>
    <m/>
    <m/>
    <m/>
    <m/>
    <m/>
    <m/>
  </r>
  <r>
    <n v="288.75420999999994"/>
    <m/>
    <m/>
    <m/>
    <m/>
    <m/>
    <m/>
    <m/>
    <m/>
    <m/>
    <m/>
    <m/>
    <x v="152"/>
    <m/>
    <x v="4"/>
    <m/>
    <x v="2"/>
    <x v="1"/>
    <x v="31"/>
    <m/>
    <m/>
    <m/>
    <m/>
    <m/>
    <m/>
  </r>
  <r>
    <n v="1150"/>
    <m/>
    <m/>
    <m/>
    <m/>
    <m/>
    <m/>
    <m/>
    <m/>
    <m/>
    <m/>
    <m/>
    <x v="152"/>
    <m/>
    <x v="4"/>
    <m/>
    <x v="2"/>
    <x v="1"/>
    <x v="31"/>
    <m/>
    <m/>
    <m/>
    <m/>
    <m/>
    <m/>
  </r>
  <r>
    <n v="295.58999115000006"/>
    <m/>
    <m/>
    <m/>
    <m/>
    <m/>
    <m/>
    <m/>
    <m/>
    <m/>
    <m/>
    <m/>
    <x v="152"/>
    <m/>
    <x v="4"/>
    <m/>
    <x v="2"/>
    <x v="1"/>
    <x v="31"/>
    <m/>
    <m/>
    <m/>
    <m/>
    <m/>
    <m/>
  </r>
  <r>
    <n v="125.24999625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217.09999350000004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20.21548309270986"/>
    <m/>
    <m/>
    <m/>
    <m/>
    <m/>
    <m/>
    <m/>
    <m/>
    <m/>
    <m/>
    <m/>
    <x v="152"/>
    <m/>
    <x v="4"/>
    <m/>
    <x v="2"/>
    <x v="1"/>
    <x v="31"/>
    <m/>
    <m/>
    <m/>
    <m/>
    <m/>
    <m/>
  </r>
  <r>
    <n v="100.199997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443.39901472457996"/>
    <m/>
    <m/>
    <m/>
    <m/>
    <m/>
    <m/>
    <m/>
    <m/>
    <m/>
    <m/>
    <m/>
    <x v="152"/>
    <m/>
    <x v="4"/>
    <m/>
    <x v="2"/>
    <x v="1"/>
    <x v="31"/>
    <m/>
    <m/>
    <m/>
    <m/>
    <m/>
    <m/>
  </r>
  <r>
    <n v="250.49999250000005"/>
    <m/>
    <m/>
    <m/>
    <m/>
    <m/>
    <m/>
    <m/>
    <m/>
    <m/>
    <m/>
    <m/>
    <x v="152"/>
    <m/>
    <x v="4"/>
    <m/>
    <x v="2"/>
    <x v="1"/>
    <x v="31"/>
    <m/>
    <m/>
    <m/>
    <m/>
    <m/>
    <m/>
  </r>
  <r>
    <n v="267.19999200000007"/>
    <m/>
    <m/>
    <m/>
    <m/>
    <m/>
    <m/>
    <m/>
    <m/>
    <m/>
    <m/>
    <m/>
    <x v="152"/>
    <m/>
    <x v="4"/>
    <m/>
    <x v="2"/>
    <x v="1"/>
    <x v="31"/>
    <m/>
    <m/>
    <m/>
    <m/>
    <m/>
    <m/>
  </r>
  <r>
    <n v="-333.99999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443.39901472457996"/>
    <m/>
    <m/>
    <m/>
    <m/>
    <m/>
    <m/>
    <m/>
    <m/>
    <m/>
    <m/>
    <m/>
    <x v="152"/>
    <m/>
    <x v="4"/>
    <m/>
    <x v="2"/>
    <x v="1"/>
    <x v="31"/>
    <m/>
    <m/>
    <m/>
    <m/>
    <m/>
    <m/>
  </r>
  <r>
    <n v="250.49999250000005"/>
    <m/>
    <m/>
    <m/>
    <m/>
    <m/>
    <m/>
    <m/>
    <m/>
    <m/>
    <m/>
    <m/>
    <x v="152"/>
    <m/>
    <x v="4"/>
    <m/>
    <x v="2"/>
    <x v="1"/>
    <x v="31"/>
    <m/>
    <m/>
    <m/>
    <m/>
    <m/>
    <m/>
  </r>
  <r>
    <n v="100.199997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-333.99999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94.11998820000008"/>
    <m/>
    <m/>
    <m/>
    <m/>
    <m/>
    <m/>
    <m/>
    <m/>
    <m/>
    <m/>
    <m/>
    <x v="152"/>
    <m/>
    <x v="4"/>
    <m/>
    <x v="2"/>
    <x v="1"/>
    <x v="31"/>
    <m/>
    <m/>
    <m/>
    <m/>
    <m/>
    <m/>
  </r>
  <r>
    <n v="400.79998800000004"/>
    <m/>
    <m/>
    <m/>
    <m/>
    <m/>
    <m/>
    <m/>
    <m/>
    <m/>
    <m/>
    <m/>
    <x v="152"/>
    <m/>
    <x v="4"/>
    <m/>
    <x v="2"/>
    <x v="1"/>
    <x v="31"/>
    <m/>
    <m/>
    <m/>
    <m/>
    <m/>
    <m/>
  </r>
  <r>
    <n v="100.199997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-321.71546702780012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33.99999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394.11998820000008"/>
    <m/>
    <m/>
    <m/>
    <m/>
    <m/>
    <m/>
    <m/>
    <m/>
    <m/>
    <m/>
    <m/>
    <x v="152"/>
    <m/>
    <x v="4"/>
    <m/>
    <x v="2"/>
    <x v="1"/>
    <x v="31"/>
    <m/>
    <m/>
    <m/>
    <m/>
    <m/>
    <m/>
  </r>
  <r>
    <n v="901.79997300000014"/>
    <m/>
    <m/>
    <m/>
    <m/>
    <m/>
    <m/>
    <m/>
    <m/>
    <m/>
    <m/>
    <m/>
    <x v="152"/>
    <m/>
    <x v="4"/>
    <m/>
    <x v="2"/>
    <x v="1"/>
    <x v="31"/>
    <m/>
    <m/>
    <m/>
    <m/>
    <m/>
    <m/>
  </r>
  <r>
    <n v="116.8999965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-333.99999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2193.7542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1400"/>
    <m/>
    <m/>
    <m/>
    <m/>
    <m/>
    <m/>
    <m/>
    <m/>
    <m/>
    <m/>
    <m/>
    <x v="152"/>
    <m/>
    <x v="4"/>
    <m/>
    <x v="2"/>
    <x v="1"/>
    <x v="31"/>
    <m/>
    <m/>
    <m/>
    <m/>
    <m/>
    <m/>
  </r>
  <r>
    <n v="400"/>
    <m/>
    <m/>
    <m/>
    <m/>
    <m/>
    <m/>
    <m/>
    <m/>
    <m/>
    <m/>
    <m/>
    <x v="152"/>
    <m/>
    <x v="4"/>
    <m/>
    <x v="2"/>
    <x v="1"/>
    <x v="31"/>
    <m/>
    <m/>
    <m/>
    <m/>
    <m/>
    <m/>
  </r>
  <r>
    <n v="375"/>
    <m/>
    <m/>
    <m/>
    <m/>
    <m/>
    <m/>
    <m/>
    <m/>
    <m/>
    <m/>
    <m/>
    <x v="152"/>
    <m/>
    <x v="4"/>
    <m/>
    <x v="2"/>
    <x v="1"/>
    <x v="31"/>
    <m/>
    <m/>
    <m/>
    <m/>
    <m/>
    <m/>
  </r>
  <r>
    <n v="2219"/>
    <m/>
    <m/>
    <m/>
    <m/>
    <m/>
    <m/>
    <m/>
    <m/>
    <m/>
    <m/>
    <m/>
    <x v="152"/>
    <m/>
    <x v="4"/>
    <m/>
    <x v="2"/>
    <x v="1"/>
    <x v="31"/>
    <m/>
    <m/>
    <m/>
    <m/>
    <m/>
    <m/>
  </r>
  <r>
    <n v="810"/>
    <m/>
    <m/>
    <m/>
    <m/>
    <m/>
    <m/>
    <m/>
    <m/>
    <m/>
    <m/>
    <m/>
    <x v="152"/>
    <m/>
    <x v="4"/>
    <m/>
    <x v="2"/>
    <x v="1"/>
    <x v="31"/>
    <m/>
    <m/>
    <m/>
    <m/>
    <m/>
    <m/>
  </r>
  <r>
    <n v="175"/>
    <m/>
    <m/>
    <m/>
    <m/>
    <m/>
    <m/>
    <m/>
    <m/>
    <m/>
    <m/>
    <m/>
    <x v="152"/>
    <m/>
    <x v="4"/>
    <m/>
    <x v="2"/>
    <x v="1"/>
    <x v="31"/>
    <m/>
    <m/>
    <m/>
    <m/>
    <m/>
    <m/>
  </r>
  <r>
    <n v="450"/>
    <m/>
    <m/>
    <m/>
    <m/>
    <m/>
    <m/>
    <m/>
    <m/>
    <m/>
    <m/>
    <m/>
    <x v="152"/>
    <m/>
    <x v="4"/>
    <m/>
    <x v="2"/>
    <x v="1"/>
    <x v="31"/>
    <m/>
    <m/>
    <m/>
    <m/>
    <m/>
    <m/>
  </r>
  <r>
    <n v="358.75421"/>
    <m/>
    <m/>
    <m/>
    <m/>
    <m/>
    <m/>
    <m/>
    <m/>
    <m/>
    <m/>
    <m/>
    <x v="152"/>
    <m/>
    <x v="4"/>
    <m/>
    <x v="2"/>
    <x v="1"/>
    <x v="31"/>
    <m/>
    <m/>
    <m/>
    <m/>
    <m/>
    <m/>
  </r>
  <r>
    <n v="2069"/>
    <m/>
    <m/>
    <m/>
    <m/>
    <m/>
    <m/>
    <m/>
    <m/>
    <m/>
    <m/>
    <m/>
    <x v="152"/>
    <m/>
    <x v="4"/>
    <m/>
    <x v="2"/>
    <x v="1"/>
    <x v="31"/>
    <m/>
    <m/>
    <m/>
    <m/>
    <m/>
    <m/>
  </r>
  <r>
    <n v="691.56850000000009"/>
    <m/>
    <m/>
    <m/>
    <m/>
    <m/>
    <m/>
    <m/>
    <m/>
    <m/>
    <m/>
    <m/>
    <x v="152"/>
    <m/>
    <x v="4"/>
    <m/>
    <x v="2"/>
    <x v="1"/>
    <x v="31"/>
    <m/>
    <m/>
    <m/>
    <m/>
    <m/>
    <m/>
  </r>
  <r>
    <n v="803.76"/>
    <m/>
    <m/>
    <m/>
    <m/>
    <m/>
    <m/>
    <m/>
    <m/>
    <m/>
    <m/>
    <m/>
    <x v="152"/>
    <m/>
    <x v="4"/>
    <m/>
    <x v="2"/>
    <x v="1"/>
    <x v="31"/>
    <m/>
    <m/>
    <m/>
    <m/>
    <m/>
    <m/>
  </r>
  <r>
    <n v="100.47"/>
    <m/>
    <m/>
    <m/>
    <m/>
    <m/>
    <m/>
    <m/>
    <m/>
    <m/>
    <m/>
    <m/>
    <x v="152"/>
    <m/>
    <x v="4"/>
    <m/>
    <x v="2"/>
    <x v="1"/>
    <x v="31"/>
    <m/>
    <m/>
    <m/>
    <m/>
    <m/>
    <m/>
  </r>
  <r>
    <n v="-531.9518110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296.6102000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688.1788866754199"/>
    <m/>
    <m/>
    <m/>
    <m/>
    <m/>
    <m/>
    <m/>
    <m/>
    <m/>
    <m/>
    <m/>
    <x v="152"/>
    <m/>
    <x v="4"/>
    <m/>
    <x v="2"/>
    <x v="1"/>
    <x v="31"/>
    <m/>
    <m/>
    <m/>
    <m/>
    <m/>
    <m/>
  </r>
  <r>
    <n v="302.490008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50.41500150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237.288100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35.5"/>
    <m/>
    <m/>
    <m/>
    <m/>
    <m/>
    <m/>
    <m/>
    <m/>
    <m/>
    <m/>
    <m/>
    <x v="152"/>
    <m/>
    <x v="4"/>
    <m/>
    <x v="2"/>
    <x v="1"/>
    <x v="31"/>
    <m/>
    <m/>
    <m/>
    <m/>
    <m/>
    <m/>
  </r>
  <r>
    <n v="33.89840000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211.872890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614.70414005000009"/>
    <m/>
    <m/>
    <m/>
    <m/>
    <m/>
    <m/>
    <m/>
    <m/>
    <m/>
    <m/>
    <m/>
    <x v="152"/>
    <m/>
    <x v="4"/>
    <m/>
    <x v="2"/>
    <x v="1"/>
    <x v="31"/>
    <m/>
    <m/>
    <m/>
    <m/>
    <m/>
    <m/>
  </r>
  <r>
    <n v="335.5"/>
    <m/>
    <m/>
    <m/>
    <m/>
    <m/>
    <m/>
    <m/>
    <m/>
    <m/>
    <m/>
    <m/>
    <x v="152"/>
    <m/>
    <x v="4"/>
    <m/>
    <x v="2"/>
    <x v="1"/>
    <x v="31"/>
    <m/>
    <m/>
    <m/>
    <m/>
    <m/>
    <m/>
  </r>
  <r>
    <n v="29.660999000000007"/>
    <m/>
    <m/>
    <m/>
    <m/>
    <m/>
    <m/>
    <m/>
    <m/>
    <m/>
    <m/>
    <m/>
    <x v="152"/>
    <m/>
    <x v="4"/>
    <m/>
    <x v="2"/>
    <x v="1"/>
    <x v="31"/>
    <m/>
    <m/>
    <m/>
    <m/>
    <m/>
    <m/>
  </r>
  <r>
    <n v="60"/>
    <m/>
    <m/>
    <m/>
    <m/>
    <m/>
    <m/>
    <m/>
    <m/>
    <m/>
    <m/>
    <m/>
    <x v="152"/>
    <m/>
    <x v="4"/>
    <m/>
    <x v="2"/>
    <x v="1"/>
    <x v="31"/>
    <m/>
    <m/>
    <m/>
    <m/>
    <m/>
    <m/>
  </r>
  <r>
    <n v="211.85589999999996"/>
    <m/>
    <m/>
    <m/>
    <m/>
    <m/>
    <m/>
    <m/>
    <m/>
    <m/>
    <m/>
    <m/>
    <x v="152"/>
    <m/>
    <x v="4"/>
    <m/>
    <x v="2"/>
    <x v="1"/>
    <x v="31"/>
    <m/>
    <m/>
    <m/>
    <m/>
    <m/>
    <m/>
  </r>
  <r>
    <n v="60"/>
    <m/>
    <m/>
    <m/>
    <m/>
    <m/>
    <m/>
    <m/>
    <m/>
    <m/>
    <m/>
    <m/>
    <x v="152"/>
    <m/>
    <x v="4"/>
    <m/>
    <x v="2"/>
    <x v="1"/>
    <x v="31"/>
    <m/>
    <m/>
    <m/>
    <m/>
    <m/>
    <m/>
  </r>
  <r>
    <n v="150"/>
    <m/>
    <m/>
    <m/>
    <m/>
    <m/>
    <m/>
    <m/>
    <m/>
    <m/>
    <m/>
    <m/>
    <x v="152"/>
    <m/>
    <x v="4"/>
    <m/>
    <x v="2"/>
    <x v="1"/>
    <x v="31"/>
    <m/>
    <m/>
    <m/>
    <m/>
    <m/>
    <m/>
  </r>
  <r>
    <n v="334.2"/>
    <m/>
    <m/>
    <m/>
    <m/>
    <m/>
    <m/>
    <m/>
    <m/>
    <m/>
    <m/>
    <m/>
    <x v="152"/>
    <m/>
    <x v="4"/>
    <m/>
    <x v="2"/>
    <x v="1"/>
    <x v="31"/>
    <m/>
    <m/>
    <m/>
    <m/>
    <m/>
    <m/>
  </r>
  <r>
    <n v="246.486549767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89.695941342000012"/>
    <m/>
    <m/>
    <m/>
    <m/>
    <m/>
    <m/>
    <m/>
    <m/>
    <m/>
    <m/>
    <m/>
    <x v="152"/>
    <m/>
    <x v="4"/>
    <m/>
    <x v="2"/>
    <x v="1"/>
    <x v="31"/>
    <m/>
    <m/>
    <m/>
    <m/>
    <m/>
    <m/>
  </r>
  <r>
    <n v="116.97"/>
    <m/>
    <m/>
    <m/>
    <m/>
    <m/>
    <m/>
    <m/>
    <m/>
    <m/>
    <m/>
    <m/>
    <x v="152"/>
    <m/>
    <x v="4"/>
    <m/>
    <x v="2"/>
    <x v="1"/>
    <x v="31"/>
    <m/>
    <m/>
    <m/>
    <m/>
    <m/>
    <m/>
  </r>
  <r>
    <n v="551.43000000000006"/>
    <m/>
    <m/>
    <m/>
    <m/>
    <m/>
    <m/>
    <m/>
    <m/>
    <m/>
    <m/>
    <m/>
    <x v="152"/>
    <m/>
    <x v="4"/>
    <m/>
    <x v="2"/>
    <x v="1"/>
    <x v="31"/>
    <m/>
    <m/>
    <m/>
    <m/>
    <m/>
    <m/>
  </r>
  <r>
    <n v="250.65"/>
    <m/>
    <m/>
    <m/>
    <m/>
    <m/>
    <m/>
    <m/>
    <m/>
    <m/>
    <m/>
    <m/>
    <x v="152"/>
    <m/>
    <x v="4"/>
    <m/>
    <x v="2"/>
    <x v="1"/>
    <x v="31"/>
    <m/>
    <m/>
    <m/>
    <m/>
    <m/>
    <m/>
  </r>
  <r>
    <n v="100.26"/>
    <m/>
    <m/>
    <m/>
    <m/>
    <m/>
    <m/>
    <m/>
    <m/>
    <m/>
    <m/>
    <m/>
    <x v="152"/>
    <m/>
    <x v="4"/>
    <m/>
    <x v="2"/>
    <x v="1"/>
    <x v="31"/>
    <m/>
    <m/>
    <m/>
    <m/>
    <m/>
    <m/>
  </r>
  <r>
    <n v="493.93623720000005"/>
    <m/>
    <m/>
    <m/>
    <m/>
    <m/>
    <m/>
    <m/>
    <m/>
    <m/>
    <m/>
    <m/>
    <x v="152"/>
    <m/>
    <x v="4"/>
    <m/>
    <x v="2"/>
    <x v="1"/>
    <x v="31"/>
    <m/>
    <m/>
    <m/>
    <m/>
    <m/>
    <m/>
  </r>
  <r>
    <n v="83.55"/>
    <m/>
    <m/>
    <m/>
    <m/>
    <m/>
    <m/>
    <m/>
    <m/>
    <m/>
    <m/>
    <m/>
    <x v="152"/>
    <m/>
    <x v="4"/>
    <m/>
    <x v="2"/>
    <x v="1"/>
    <x v="31"/>
    <m/>
    <m/>
    <m/>
    <m/>
    <m/>
    <m/>
  </r>
  <r>
    <n v="334.9999899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423.72879"/>
    <m/>
    <m/>
    <m/>
    <m/>
    <m/>
    <m/>
    <m/>
    <m/>
    <m/>
    <m/>
    <m/>
    <x v="152"/>
    <m/>
    <x v="4"/>
    <m/>
    <x v="2"/>
    <x v="1"/>
    <x v="31"/>
    <m/>
    <m/>
    <m/>
    <m/>
    <m/>
    <m/>
  </r>
  <r>
    <n v="333.5"/>
    <m/>
    <m/>
    <m/>
    <m/>
    <m/>
    <m/>
    <m/>
    <m/>
    <m/>
    <m/>
    <m/>
    <x v="152"/>
    <m/>
    <x v="4"/>
    <m/>
    <x v="2"/>
    <x v="1"/>
    <x v="31"/>
    <m/>
    <m/>
    <m/>
    <m/>
    <m/>
    <m/>
  </r>
  <r>
    <n v="333.99999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66.799998000000016"/>
    <m/>
    <m/>
    <m/>
    <m/>
    <m/>
    <m/>
    <m/>
    <m/>
    <m/>
    <m/>
    <m/>
    <x v="152"/>
    <m/>
    <x v="4"/>
    <m/>
    <x v="2"/>
    <x v="1"/>
    <x v="31"/>
    <m/>
    <m/>
    <m/>
    <m/>
    <m/>
    <m/>
  </r>
  <r>
    <n v="333.99999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211.872890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21.71546702780012"/>
    <m/>
    <m/>
    <m/>
    <m/>
    <m/>
    <m/>
    <m/>
    <m/>
    <m/>
    <m/>
    <m/>
    <x v="152"/>
    <m/>
    <x v="4"/>
    <m/>
    <x v="2"/>
    <x v="1"/>
    <x v="31"/>
    <m/>
    <m/>
    <m/>
    <m/>
    <m/>
    <m/>
  </r>
  <r>
    <n v="211.872890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531.9518110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-654.6150195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-113.31285277542"/>
    <m/>
    <m/>
    <m/>
    <m/>
    <m/>
    <m/>
    <m/>
    <m/>
    <m/>
    <m/>
    <m/>
    <x v="152"/>
    <m/>
    <x v="4"/>
    <m/>
    <x v="2"/>
    <x v="1"/>
    <x v="31"/>
    <m/>
    <m/>
    <m/>
    <m/>
    <m/>
    <m/>
  </r>
  <r>
    <n v="-83.925002500000005"/>
    <m/>
    <m/>
    <m/>
    <m/>
    <m/>
    <m/>
    <m/>
    <m/>
    <m/>
    <m/>
    <m/>
    <x v="152"/>
    <m/>
    <x v="4"/>
    <m/>
    <x v="2"/>
    <x v="1"/>
    <x v="31"/>
    <m/>
    <m/>
    <m/>
    <m/>
    <m/>
    <m/>
  </r>
  <r>
    <n v="-50.3550015"/>
    <m/>
    <m/>
    <m/>
    <m/>
    <m/>
    <m/>
    <m/>
    <m/>
    <m/>
    <m/>
    <m/>
    <x v="152"/>
    <m/>
    <x v="4"/>
    <m/>
    <x v="2"/>
    <x v="1"/>
    <x v="31"/>
    <m/>
    <m/>
    <m/>
    <m/>
    <m/>
    <m/>
  </r>
  <r>
    <n v="96.442584472880029"/>
    <m/>
    <m/>
    <m/>
    <m/>
    <m/>
    <m/>
    <m/>
    <m/>
    <m/>
    <m/>
    <m/>
    <x v="152"/>
    <m/>
    <x v="4"/>
    <m/>
    <x v="2"/>
    <x v="1"/>
    <x v="31"/>
    <m/>
    <m/>
    <m/>
    <m/>
    <m/>
    <m/>
  </r>
  <r>
    <n v="-60"/>
    <m/>
    <m/>
    <m/>
    <m/>
    <m/>
    <m/>
    <m/>
    <m/>
    <m/>
    <m/>
    <m/>
    <x v="152"/>
    <m/>
    <x v="4"/>
    <m/>
    <x v="2"/>
    <x v="1"/>
    <x v="31"/>
    <m/>
    <m/>
    <m/>
    <m/>
    <m/>
    <m/>
  </r>
  <r>
    <n v="-330"/>
    <m/>
    <m/>
    <m/>
    <m/>
    <m/>
    <m/>
    <m/>
    <m/>
    <m/>
    <m/>
    <m/>
    <x v="152"/>
    <m/>
    <x v="4"/>
    <m/>
    <x v="2"/>
    <x v="1"/>
    <x v="31"/>
    <m/>
    <m/>
    <m/>
    <m/>
    <m/>
    <m/>
  </r>
  <r>
    <n v="-300"/>
    <m/>
    <m/>
    <m/>
    <m/>
    <m/>
    <m/>
    <m/>
    <m/>
    <m/>
    <m/>
    <m/>
    <x v="152"/>
    <m/>
    <x v="4"/>
    <m/>
    <x v="2"/>
    <x v="1"/>
    <x v="31"/>
    <m/>
    <m/>
    <m/>
    <m/>
    <m/>
    <m/>
  </r>
  <r>
    <n v="-210"/>
    <m/>
    <m/>
    <m/>
    <m/>
    <m/>
    <m/>
    <m/>
    <m/>
    <m/>
    <m/>
    <m/>
    <x v="152"/>
    <m/>
    <x v="4"/>
    <m/>
    <x v="2"/>
    <x v="1"/>
    <x v="31"/>
    <m/>
    <m/>
    <m/>
    <m/>
    <m/>
    <m/>
  </r>
  <r>
    <n v="-1532.258903435421"/>
    <m/>
    <m/>
    <m/>
    <m/>
    <m/>
    <m/>
    <m/>
    <m/>
    <m/>
    <m/>
    <m/>
    <x v="152"/>
    <m/>
    <x v="4"/>
    <m/>
    <x v="2"/>
    <x v="1"/>
    <x v="31"/>
    <m/>
    <m/>
    <m/>
    <m/>
    <m/>
    <m/>
  </r>
  <r>
    <n v="-1608.480047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-318.3450095"/>
    <m/>
    <m/>
    <m/>
    <m/>
    <m/>
    <m/>
    <m/>
    <m/>
    <m/>
    <m/>
    <m/>
    <x v="152"/>
    <m/>
    <x v="4"/>
    <m/>
    <x v="2"/>
    <x v="1"/>
    <x v="31"/>
    <m/>
    <m/>
    <m/>
    <m/>
    <m/>
    <m/>
  </r>
  <r>
    <n v="-201.060005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1531.350380288309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92.400053349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197.591000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100.47"/>
    <m/>
    <m/>
    <m/>
    <m/>
    <m/>
    <m/>
    <m/>
    <m/>
    <m/>
    <m/>
    <m/>
    <x v="152"/>
    <m/>
    <x v="4"/>
    <m/>
    <x v="2"/>
    <x v="1"/>
    <x v="31"/>
    <m/>
    <m/>
    <m/>
    <m/>
    <m/>
    <m/>
  </r>
  <r>
    <n v="100.47"/>
    <m/>
    <m/>
    <m/>
    <m/>
    <m/>
    <m/>
    <m/>
    <m/>
    <m/>
    <m/>
    <m/>
    <x v="152"/>
    <m/>
    <x v="4"/>
    <m/>
    <x v="2"/>
    <x v="1"/>
    <x v="31"/>
    <m/>
    <m/>
    <m/>
    <m/>
    <m/>
    <m/>
  </r>
  <r>
    <n v="-167.4500000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770.6105933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904.23"/>
    <m/>
    <m/>
    <m/>
    <m/>
    <m/>
    <m/>
    <m/>
    <m/>
    <m/>
    <m/>
    <m/>
    <x v="152"/>
    <m/>
    <x v="4"/>
    <m/>
    <x v="2"/>
    <x v="1"/>
    <x v="31"/>
    <m/>
    <m/>
    <m/>
    <m/>
    <m/>
    <m/>
  </r>
  <r>
    <n v="50.23499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-334.90000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787.29599999999994"/>
    <m/>
    <m/>
    <m/>
    <m/>
    <m/>
    <m/>
    <m/>
    <m/>
    <m/>
    <m/>
    <m/>
    <x v="152"/>
    <m/>
    <x v="4"/>
    <m/>
    <x v="2"/>
    <x v="1"/>
    <x v="31"/>
    <m/>
    <m/>
    <m/>
    <m/>
    <m/>
    <m/>
  </r>
  <r>
    <n v="1601.28"/>
    <m/>
    <m/>
    <m/>
    <m/>
    <m/>
    <m/>
    <m/>
    <m/>
    <m/>
    <m/>
    <m/>
    <x v="152"/>
    <m/>
    <x v="4"/>
    <m/>
    <x v="2"/>
    <x v="1"/>
    <x v="31"/>
    <m/>
    <m/>
    <m/>
    <m/>
    <m/>
    <m/>
  </r>
  <r>
    <n v="266.88"/>
    <m/>
    <m/>
    <m/>
    <m/>
    <m/>
    <m/>
    <m/>
    <m/>
    <m/>
    <m/>
    <m/>
    <x v="152"/>
    <m/>
    <x v="4"/>
    <m/>
    <x v="2"/>
    <x v="1"/>
    <x v="31"/>
    <m/>
    <m/>
    <m/>
    <m/>
    <m/>
    <m/>
  </r>
  <r>
    <n v="-500.4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93.6479999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200.16"/>
    <m/>
    <m/>
    <m/>
    <m/>
    <m/>
    <m/>
    <m/>
    <m/>
    <m/>
    <m/>
    <m/>
    <x v="152"/>
    <m/>
    <x v="4"/>
    <m/>
    <x v="2"/>
    <x v="1"/>
    <x v="31"/>
    <m/>
    <m/>
    <m/>
    <m/>
    <m/>
    <m/>
  </r>
  <r>
    <n v="366.96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33.9"/>
    <m/>
    <m/>
    <m/>
    <m/>
    <m/>
    <m/>
    <m/>
    <m/>
    <m/>
    <m/>
    <m/>
    <x v="152"/>
    <m/>
    <x v="4"/>
    <m/>
    <x v="2"/>
    <x v="1"/>
    <x v="31"/>
    <m/>
    <m/>
    <m/>
    <m/>
    <m/>
    <m/>
  </r>
  <r>
    <n v="2160"/>
    <m/>
    <m/>
    <m/>
    <m/>
    <m/>
    <m/>
    <m/>
    <m/>
    <m/>
    <m/>
    <m/>
    <x v="152"/>
    <m/>
    <x v="4"/>
    <m/>
    <x v="2"/>
    <x v="1"/>
    <x v="31"/>
    <m/>
    <m/>
    <m/>
    <m/>
    <m/>
    <m/>
  </r>
  <r>
    <n v="1575"/>
    <m/>
    <m/>
    <m/>
    <m/>
    <m/>
    <m/>
    <m/>
    <m/>
    <m/>
    <m/>
    <m/>
    <x v="152"/>
    <m/>
    <x v="4"/>
    <m/>
    <x v="2"/>
    <x v="1"/>
    <x v="31"/>
    <m/>
    <m/>
    <m/>
    <m/>
    <m/>
    <m/>
  </r>
  <r>
    <n v="820"/>
    <m/>
    <m/>
    <m/>
    <m/>
    <m/>
    <m/>
    <m/>
    <m/>
    <m/>
    <m/>
    <m/>
    <x v="152"/>
    <m/>
    <x v="4"/>
    <m/>
    <x v="2"/>
    <x v="1"/>
    <x v="31"/>
    <m/>
    <m/>
    <m/>
    <m/>
    <m/>
    <m/>
  </r>
  <r>
    <n v="568.75420999999994"/>
    <m/>
    <m/>
    <m/>
    <m/>
    <m/>
    <m/>
    <m/>
    <m/>
    <m/>
    <m/>
    <m/>
    <x v="152"/>
    <m/>
    <x v="4"/>
    <m/>
    <x v="2"/>
    <x v="1"/>
    <x v="31"/>
    <m/>
    <m/>
    <m/>
    <m/>
    <m/>
    <m/>
  </r>
  <r>
    <n v="4212"/>
    <m/>
    <m/>
    <m/>
    <m/>
    <m/>
    <m/>
    <m/>
    <m/>
    <m/>
    <m/>
    <m/>
    <x v="152"/>
    <m/>
    <x v="4"/>
    <m/>
    <x v="2"/>
    <x v="1"/>
    <x v="31"/>
    <m/>
    <m/>
    <m/>
    <m/>
    <m/>
    <m/>
  </r>
  <r>
    <n v="2497.5"/>
    <m/>
    <m/>
    <m/>
    <m/>
    <m/>
    <m/>
    <m/>
    <m/>
    <m/>
    <m/>
    <m/>
    <x v="152"/>
    <m/>
    <x v="4"/>
    <m/>
    <x v="2"/>
    <x v="1"/>
    <x v="31"/>
    <m/>
    <m/>
    <m/>
    <m/>
    <m/>
    <m/>
  </r>
  <r>
    <n v="1610"/>
    <m/>
    <m/>
    <m/>
    <m/>
    <m/>
    <m/>
    <m/>
    <m/>
    <m/>
    <m/>
    <m/>
    <x v="152"/>
    <m/>
    <x v="4"/>
    <m/>
    <x v="2"/>
    <x v="1"/>
    <x v="31"/>
    <m/>
    <m/>
    <m/>
    <m/>
    <m/>
    <m/>
  </r>
  <r>
    <n v="750"/>
    <m/>
    <m/>
    <m/>
    <m/>
    <m/>
    <m/>
    <m/>
    <m/>
    <m/>
    <m/>
    <m/>
    <x v="152"/>
    <m/>
    <x v="4"/>
    <m/>
    <x v="2"/>
    <x v="1"/>
    <x v="31"/>
    <m/>
    <m/>
    <m/>
    <m/>
    <m/>
    <m/>
  </r>
  <r>
    <n v="813.75420999999972"/>
    <m/>
    <m/>
    <m/>
    <m/>
    <m/>
    <m/>
    <m/>
    <m/>
    <m/>
    <m/>
    <m/>
    <x v="152"/>
    <m/>
    <x v="4"/>
    <m/>
    <x v="2"/>
    <x v="1"/>
    <x v="31"/>
    <m/>
    <m/>
    <m/>
    <m/>
    <m/>
    <m/>
  </r>
  <r>
    <n v="3921"/>
    <m/>
    <m/>
    <m/>
    <m/>
    <m/>
    <m/>
    <m/>
    <m/>
    <m/>
    <m/>
    <m/>
    <x v="152"/>
    <m/>
    <x v="4"/>
    <m/>
    <x v="2"/>
    <x v="1"/>
    <x v="31"/>
    <m/>
    <m/>
    <m/>
    <m/>
    <m/>
    <m/>
  </r>
  <r>
    <n v="1687.5"/>
    <m/>
    <m/>
    <m/>
    <m/>
    <m/>
    <m/>
    <m/>
    <m/>
    <m/>
    <m/>
    <m/>
    <x v="152"/>
    <m/>
    <x v="4"/>
    <m/>
    <x v="2"/>
    <x v="1"/>
    <x v="31"/>
    <m/>
    <m/>
    <m/>
    <m/>
    <m/>
    <m/>
  </r>
  <r>
    <n v="560"/>
    <m/>
    <m/>
    <m/>
    <m/>
    <m/>
    <m/>
    <m/>
    <m/>
    <m/>
    <m/>
    <m/>
    <x v="152"/>
    <m/>
    <x v="4"/>
    <m/>
    <x v="2"/>
    <x v="1"/>
    <x v="31"/>
    <m/>
    <m/>
    <m/>
    <m/>
    <m/>
    <m/>
  </r>
  <r>
    <n v="140"/>
    <m/>
    <m/>
    <m/>
    <m/>
    <m/>
    <m/>
    <m/>
    <m/>
    <m/>
    <m/>
    <m/>
    <x v="152"/>
    <m/>
    <x v="4"/>
    <m/>
    <x v="2"/>
    <x v="1"/>
    <x v="31"/>
    <m/>
    <m/>
    <m/>
    <m/>
    <m/>
    <m/>
  </r>
  <r>
    <n v="323.75420999999994"/>
    <m/>
    <m/>
    <m/>
    <m/>
    <m/>
    <m/>
    <m/>
    <m/>
    <m/>
    <m/>
    <m/>
    <x v="152"/>
    <m/>
    <x v="4"/>
    <m/>
    <x v="2"/>
    <x v="1"/>
    <x v="31"/>
    <m/>
    <m/>
    <m/>
    <m/>
    <m/>
    <m/>
  </r>
  <r>
    <n v="1230"/>
    <m/>
    <m/>
    <m/>
    <m/>
    <m/>
    <m/>
    <m/>
    <m/>
    <m/>
    <m/>
    <m/>
    <x v="152"/>
    <m/>
    <x v="4"/>
    <m/>
    <x v="2"/>
    <x v="1"/>
    <x v="31"/>
    <m/>
    <m/>
    <m/>
    <m/>
    <m/>
    <m/>
  </r>
  <r>
    <n v="1957.5"/>
    <m/>
    <m/>
    <m/>
    <m/>
    <m/>
    <m/>
    <m/>
    <m/>
    <m/>
    <m/>
    <m/>
    <x v="152"/>
    <m/>
    <x v="4"/>
    <m/>
    <x v="2"/>
    <x v="1"/>
    <x v="31"/>
    <m/>
    <m/>
    <m/>
    <m/>
    <m/>
    <m/>
  </r>
  <r>
    <n v="1085"/>
    <m/>
    <m/>
    <m/>
    <m/>
    <m/>
    <m/>
    <m/>
    <m/>
    <m/>
    <m/>
    <m/>
    <x v="152"/>
    <m/>
    <x v="4"/>
    <m/>
    <x v="2"/>
    <x v="1"/>
    <x v="31"/>
    <m/>
    <m/>
    <m/>
    <m/>
    <m/>
    <m/>
  </r>
  <r>
    <n v="870"/>
    <m/>
    <m/>
    <m/>
    <m/>
    <m/>
    <m/>
    <m/>
    <m/>
    <m/>
    <m/>
    <m/>
    <x v="152"/>
    <m/>
    <x v="4"/>
    <m/>
    <x v="2"/>
    <x v="1"/>
    <x v="31"/>
    <m/>
    <m/>
    <m/>
    <m/>
    <m/>
    <m/>
  </r>
  <r>
    <n v="708.75420999999972"/>
    <m/>
    <m/>
    <m/>
    <m/>
    <m/>
    <m/>
    <m/>
    <m/>
    <m/>
    <m/>
    <m/>
    <x v="152"/>
    <m/>
    <x v="4"/>
    <m/>
    <x v="2"/>
    <x v="1"/>
    <x v="31"/>
    <m/>
    <m/>
    <m/>
    <m/>
    <m/>
    <m/>
  </r>
  <r>
    <n v="3500"/>
    <m/>
    <m/>
    <m/>
    <m/>
    <m/>
    <m/>
    <m/>
    <m/>
    <m/>
    <m/>
    <m/>
    <x v="152"/>
    <m/>
    <x v="4"/>
    <m/>
    <x v="2"/>
    <x v="1"/>
    <x v="31"/>
    <m/>
    <m/>
    <m/>
    <m/>
    <m/>
    <m/>
  </r>
  <r>
    <n v="591.00300000000004"/>
    <m/>
    <m/>
    <m/>
    <m/>
    <m/>
    <m/>
    <m/>
    <m/>
    <m/>
    <m/>
    <m/>
    <x v="152"/>
    <m/>
    <x v="4"/>
    <m/>
    <x v="2"/>
    <x v="1"/>
    <x v="31"/>
    <m/>
    <m/>
    <m/>
    <m/>
    <m/>
    <m/>
  </r>
  <r>
    <n v="300.51"/>
    <m/>
    <m/>
    <m/>
    <m/>
    <m/>
    <m/>
    <m/>
    <m/>
    <m/>
    <m/>
    <m/>
    <x v="152"/>
    <m/>
    <x v="4"/>
    <m/>
    <x v="2"/>
    <x v="1"/>
    <x v="31"/>
    <m/>
    <m/>
    <m/>
    <m/>
    <m/>
    <m/>
  </r>
  <r>
    <n v="116.8649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-333.9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485"/>
    <m/>
    <m/>
    <m/>
    <m/>
    <m/>
    <m/>
    <m/>
    <m/>
    <m/>
    <m/>
    <m/>
    <x v="152"/>
    <m/>
    <x v="4"/>
    <m/>
    <x v="2"/>
    <x v="1"/>
    <x v="31"/>
    <m/>
    <m/>
    <m/>
    <m/>
    <m/>
    <m/>
  </r>
  <r>
    <n v="770"/>
    <m/>
    <m/>
    <m/>
    <m/>
    <m/>
    <m/>
    <m/>
    <m/>
    <m/>
    <m/>
    <m/>
    <x v="152"/>
    <m/>
    <x v="4"/>
    <m/>
    <x v="2"/>
    <x v="1"/>
    <x v="31"/>
    <m/>
    <m/>
    <m/>
    <m/>
    <m/>
    <m/>
  </r>
  <r>
    <n v="450"/>
    <m/>
    <m/>
    <m/>
    <m/>
    <m/>
    <m/>
    <m/>
    <m/>
    <m/>
    <m/>
    <m/>
    <x v="152"/>
    <m/>
    <x v="4"/>
    <m/>
    <x v="2"/>
    <x v="1"/>
    <x v="31"/>
    <m/>
    <m/>
    <m/>
    <m/>
    <m/>
    <m/>
  </r>
  <r>
    <n v="323.75420999999994"/>
    <m/>
    <m/>
    <m/>
    <m/>
    <m/>
    <m/>
    <m/>
    <m/>
    <m/>
    <m/>
    <m/>
    <x v="152"/>
    <m/>
    <x v="4"/>
    <m/>
    <x v="2"/>
    <x v="1"/>
    <x v="31"/>
    <m/>
    <m/>
    <m/>
    <m/>
    <m/>
    <m/>
  </r>
  <r>
    <n v="4204"/>
    <m/>
    <m/>
    <m/>
    <m/>
    <m/>
    <m/>
    <m/>
    <m/>
    <m/>
    <m/>
    <m/>
    <x v="152"/>
    <m/>
    <x v="4"/>
    <m/>
    <x v="2"/>
    <x v="1"/>
    <x v="31"/>
    <m/>
    <m/>
    <m/>
    <m/>
    <m/>
    <m/>
  </r>
  <r>
    <n v="788.47602359999996"/>
    <m/>
    <m/>
    <m/>
    <m/>
    <m/>
    <m/>
    <m/>
    <m/>
    <m/>
    <m/>
    <m/>
    <x v="152"/>
    <m/>
    <x v="4"/>
    <m/>
    <x v="2"/>
    <x v="1"/>
    <x v="31"/>
    <m/>
    <m/>
    <m/>
    <m/>
    <m/>
    <m/>
  </r>
  <r>
    <n v="1302.990039"/>
    <m/>
    <m/>
    <m/>
    <m/>
    <m/>
    <m/>
    <m/>
    <m/>
    <m/>
    <m/>
    <m/>
    <x v="152"/>
    <m/>
    <x v="4"/>
    <m/>
    <x v="2"/>
    <x v="1"/>
    <x v="31"/>
    <m/>
    <m/>
    <m/>
    <m/>
    <m/>
    <m/>
  </r>
  <r>
    <n v="217.1650065"/>
    <m/>
    <m/>
    <m/>
    <m/>
    <m/>
    <m/>
    <m/>
    <m/>
    <m/>
    <m/>
    <m/>
    <x v="152"/>
    <m/>
    <x v="4"/>
    <m/>
    <x v="2"/>
    <x v="1"/>
    <x v="31"/>
    <m/>
    <m/>
    <m/>
    <m/>
    <m/>
    <m/>
  </r>
  <r>
    <n v="50.1150014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-334.1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34.5"/>
    <m/>
    <m/>
    <m/>
    <m/>
    <m/>
    <m/>
    <m/>
    <m/>
    <m/>
    <m/>
    <m/>
    <x v="152"/>
    <m/>
    <x v="4"/>
    <m/>
    <x v="2"/>
    <x v="1"/>
    <x v="31"/>
    <m/>
    <m/>
    <m/>
    <m/>
    <m/>
    <m/>
  </r>
  <r>
    <n v="401.40000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267.628429154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394.71000000000004"/>
    <m/>
    <m/>
    <m/>
    <m/>
    <m/>
    <m/>
    <m/>
    <m/>
    <m/>
    <m/>
    <m/>
    <x v="152"/>
    <m/>
    <x v="4"/>
    <m/>
    <x v="2"/>
    <x v="1"/>
    <x v="31"/>
    <m/>
    <m/>
    <m/>
    <m/>
    <m/>
    <m/>
  </r>
  <r>
    <n v="702.45"/>
    <m/>
    <m/>
    <m/>
    <m/>
    <m/>
    <m/>
    <m/>
    <m/>
    <m/>
    <m/>
    <m/>
    <x v="152"/>
    <m/>
    <x v="4"/>
    <m/>
    <x v="2"/>
    <x v="1"/>
    <x v="31"/>
    <m/>
    <m/>
    <m/>
    <m/>
    <m/>
    <m/>
  </r>
  <r>
    <n v="117.075"/>
    <m/>
    <m/>
    <m/>
    <m/>
    <m/>
    <m/>
    <m/>
    <m/>
    <m/>
    <m/>
    <m/>
    <x v="152"/>
    <m/>
    <x v="4"/>
    <m/>
    <x v="2"/>
    <x v="1"/>
    <x v="31"/>
    <m/>
    <m/>
    <m/>
    <m/>
    <m/>
    <m/>
  </r>
  <r>
    <n v="-334.5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444.06279899999993"/>
    <m/>
    <m/>
    <m/>
    <m/>
    <m/>
    <m/>
    <m/>
    <m/>
    <m/>
    <m/>
    <m/>
    <x v="152"/>
    <m/>
    <x v="4"/>
    <m/>
    <x v="2"/>
    <x v="1"/>
    <x v="31"/>
    <m/>
    <m/>
    <m/>
    <m/>
    <m/>
    <m/>
  </r>
  <r>
    <n v="451.57500000000005"/>
    <m/>
    <m/>
    <m/>
    <m/>
    <m/>
    <m/>
    <m/>
    <m/>
    <m/>
    <m/>
    <m/>
    <x v="152"/>
    <m/>
    <x v="4"/>
    <m/>
    <x v="2"/>
    <x v="1"/>
    <x v="31"/>
    <m/>
    <m/>
    <m/>
    <m/>
    <m/>
    <m/>
  </r>
  <r>
    <n v="117.075"/>
    <m/>
    <m/>
    <m/>
    <m/>
    <m/>
    <m/>
    <m/>
    <m/>
    <m/>
    <m/>
    <m/>
    <x v="152"/>
    <m/>
    <x v="4"/>
    <m/>
    <x v="2"/>
    <x v="1"/>
    <x v="31"/>
    <m/>
    <m/>
    <m/>
    <m/>
    <m/>
    <m/>
  </r>
  <r>
    <n v="-334.5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2396.2542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1575"/>
    <m/>
    <m/>
    <m/>
    <m/>
    <m/>
    <m/>
    <m/>
    <m/>
    <m/>
    <m/>
    <m/>
    <x v="152"/>
    <m/>
    <x v="4"/>
    <m/>
    <x v="2"/>
    <x v="1"/>
    <x v="31"/>
    <m/>
    <m/>
    <m/>
    <m/>
    <m/>
    <m/>
  </r>
  <r>
    <n v="850"/>
    <m/>
    <m/>
    <m/>
    <m/>
    <m/>
    <m/>
    <m/>
    <m/>
    <m/>
    <m/>
    <m/>
    <x v="152"/>
    <m/>
    <x v="4"/>
    <m/>
    <x v="2"/>
    <x v="1"/>
    <x v="31"/>
    <m/>
    <m/>
    <m/>
    <m/>
    <m/>
    <m/>
  </r>
  <r>
    <n v="568.75420999999994"/>
    <m/>
    <m/>
    <m/>
    <m/>
    <m/>
    <m/>
    <m/>
    <m/>
    <m/>
    <m/>
    <m/>
    <x v="152"/>
    <m/>
    <x v="4"/>
    <m/>
    <x v="2"/>
    <x v="1"/>
    <x v="31"/>
    <m/>
    <m/>
    <m/>
    <m/>
    <m/>
    <m/>
  </r>
  <r>
    <n v="3263"/>
    <m/>
    <m/>
    <m/>
    <m/>
    <m/>
    <m/>
    <m/>
    <m/>
    <m/>
    <m/>
    <m/>
    <x v="152"/>
    <m/>
    <x v="4"/>
    <m/>
    <x v="2"/>
    <x v="1"/>
    <x v="31"/>
    <m/>
    <m/>
    <m/>
    <m/>
    <m/>
    <m/>
  </r>
  <r>
    <n v="197.8269941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100.58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49.47083112458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50.2949984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117.3549965"/>
    <m/>
    <m/>
    <m/>
    <m/>
    <m/>
    <m/>
    <m/>
    <m/>
    <m/>
    <m/>
    <m/>
    <x v="152"/>
    <m/>
    <x v="4"/>
    <m/>
    <x v="2"/>
    <x v="1"/>
    <x v="31"/>
    <m/>
    <m/>
    <m/>
    <m/>
    <m/>
    <m/>
  </r>
  <r>
    <n v="335.29998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494.56748525"/>
    <m/>
    <m/>
    <m/>
    <m/>
    <m/>
    <m/>
    <m/>
    <m/>
    <m/>
    <m/>
    <m/>
    <x v="152"/>
    <m/>
    <x v="4"/>
    <m/>
    <x v="2"/>
    <x v="1"/>
    <x v="31"/>
    <m/>
    <m/>
    <m/>
    <m/>
    <m/>
    <m/>
  </r>
  <r>
    <n v="301.769991"/>
    <m/>
    <m/>
    <m/>
    <m/>
    <m/>
    <m/>
    <m/>
    <m/>
    <m/>
    <m/>
    <m/>
    <x v="152"/>
    <m/>
    <x v="4"/>
    <m/>
    <x v="2"/>
    <x v="1"/>
    <x v="31"/>
    <m/>
    <m/>
    <m/>
    <m/>
    <m/>
    <m/>
  </r>
  <r>
    <n v="-335.29998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97.8269941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100.58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167.649994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335.29998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247.29783863657954"/>
    <m/>
    <m/>
    <m/>
    <m/>
    <m/>
    <m/>
    <m/>
    <m/>
    <m/>
    <m/>
    <m/>
    <x v="152"/>
    <m/>
    <x v="4"/>
    <m/>
    <x v="2"/>
    <x v="1"/>
    <x v="31"/>
    <m/>
    <m/>
    <m/>
    <m/>
    <m/>
    <m/>
  </r>
  <r>
    <n v="125.73749624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50.2949984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-335.29998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967.3868074545787"/>
    <m/>
    <m/>
    <m/>
    <m/>
    <m/>
    <m/>
    <m/>
    <m/>
    <m/>
    <m/>
    <m/>
    <x v="152"/>
    <m/>
    <x v="4"/>
    <m/>
    <x v="2"/>
    <x v="1"/>
    <x v="31"/>
    <m/>
    <m/>
    <m/>
    <m/>
    <m/>
    <m/>
  </r>
  <r>
    <n v="1408.259957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352.0649894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240"/>
    <m/>
    <m/>
    <m/>
    <m/>
    <m/>
    <m/>
    <m/>
    <m/>
    <m/>
    <m/>
    <m/>
    <x v="152"/>
    <m/>
    <x v="4"/>
    <m/>
    <x v="2"/>
    <x v="1"/>
    <x v="31"/>
    <m/>
    <m/>
    <m/>
    <m/>
    <m/>
    <m/>
  </r>
  <r>
    <n v="280"/>
    <m/>
    <m/>
    <m/>
    <m/>
    <m/>
    <m/>
    <m/>
    <m/>
    <m/>
    <m/>
    <m/>
    <x v="152"/>
    <m/>
    <x v="4"/>
    <m/>
    <x v="2"/>
    <x v="1"/>
    <x v="31"/>
    <m/>
    <m/>
    <m/>
    <m/>
    <m/>
    <m/>
  </r>
  <r>
    <n v="350"/>
    <m/>
    <m/>
    <m/>
    <m/>
    <m/>
    <m/>
    <m/>
    <m/>
    <m/>
    <m/>
    <m/>
    <x v="152"/>
    <m/>
    <x v="4"/>
    <m/>
    <x v="2"/>
    <x v="1"/>
    <x v="31"/>
    <m/>
    <m/>
    <m/>
    <m/>
    <m/>
    <m/>
  </r>
  <r>
    <n v="2700"/>
    <m/>
    <m/>
    <m/>
    <m/>
    <m/>
    <m/>
    <m/>
    <m/>
    <m/>
    <m/>
    <m/>
    <x v="152"/>
    <m/>
    <x v="4"/>
    <m/>
    <x v="2"/>
    <x v="1"/>
    <x v="31"/>
    <m/>
    <m/>
    <m/>
    <m/>
    <m/>
    <m/>
  </r>
  <r>
    <n v="1330"/>
    <m/>
    <m/>
    <m/>
    <m/>
    <m/>
    <m/>
    <m/>
    <m/>
    <m/>
    <m/>
    <m/>
    <x v="152"/>
    <m/>
    <x v="4"/>
    <m/>
    <x v="2"/>
    <x v="1"/>
    <x v="31"/>
    <m/>
    <m/>
    <m/>
    <m/>
    <m/>
    <m/>
  </r>
  <r>
    <n v="570"/>
    <m/>
    <m/>
    <m/>
    <m/>
    <m/>
    <m/>
    <m/>
    <m/>
    <m/>
    <m/>
    <m/>
    <x v="152"/>
    <m/>
    <x v="4"/>
    <m/>
    <x v="2"/>
    <x v="1"/>
    <x v="31"/>
    <m/>
    <m/>
    <m/>
    <m/>
    <m/>
    <m/>
  </r>
  <r>
    <n v="1680"/>
    <m/>
    <m/>
    <m/>
    <m/>
    <m/>
    <m/>
    <m/>
    <m/>
    <m/>
    <m/>
    <m/>
    <x v="152"/>
    <m/>
    <x v="4"/>
    <m/>
    <x v="2"/>
    <x v="1"/>
    <x v="31"/>
    <m/>
    <m/>
    <m/>
    <m/>
    <m/>
    <m/>
  </r>
  <r>
    <n v="1304"/>
    <m/>
    <m/>
    <m/>
    <m/>
    <m/>
    <m/>
    <m/>
    <m/>
    <m/>
    <m/>
    <m/>
    <x v="152"/>
    <m/>
    <x v="4"/>
    <m/>
    <x v="2"/>
    <x v="1"/>
    <x v="31"/>
    <m/>
    <m/>
    <m/>
    <m/>
    <m/>
    <m/>
  </r>
  <r>
    <n v="288.75420999999994"/>
    <m/>
    <m/>
    <m/>
    <m/>
    <m/>
    <m/>
    <m/>
    <m/>
    <m/>
    <m/>
    <m/>
    <x v="152"/>
    <m/>
    <x v="4"/>
    <m/>
    <x v="2"/>
    <x v="1"/>
    <x v="31"/>
    <m/>
    <m/>
    <m/>
    <m/>
    <m/>
    <m/>
  </r>
  <r>
    <n v="2296.7542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105"/>
    <m/>
    <m/>
    <m/>
    <m/>
    <m/>
    <m/>
    <m/>
    <m/>
    <m/>
    <m/>
    <m/>
    <x v="152"/>
    <m/>
    <x v="4"/>
    <m/>
    <x v="2"/>
    <x v="1"/>
    <x v="31"/>
    <m/>
    <m/>
    <m/>
    <m/>
    <m/>
    <m/>
  </r>
  <r>
    <n v="210"/>
    <m/>
    <m/>
    <m/>
    <m/>
    <m/>
    <m/>
    <m/>
    <m/>
    <m/>
    <m/>
    <m/>
    <x v="152"/>
    <m/>
    <x v="4"/>
    <m/>
    <x v="2"/>
    <x v="1"/>
    <x v="31"/>
    <m/>
    <m/>
    <m/>
    <m/>
    <m/>
    <m/>
  </r>
  <r>
    <n v="1042.0131934154208"/>
    <m/>
    <m/>
    <m/>
    <m/>
    <m/>
    <m/>
    <m/>
    <m/>
    <m/>
    <m/>
    <m/>
    <x v="152"/>
    <m/>
    <x v="4"/>
    <m/>
    <x v="2"/>
    <x v="1"/>
    <x v="31"/>
    <m/>
    <m/>
    <m/>
    <m/>
    <m/>
    <m/>
  </r>
  <r>
    <n v="1110.120033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235.480007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00.920003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-724.2008986879689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98.4760059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100.920003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98.4760059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100.920003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05"/>
    <m/>
    <m/>
    <m/>
    <m/>
    <m/>
    <m/>
    <m/>
    <m/>
    <m/>
    <m/>
    <m/>
    <x v="152"/>
    <m/>
    <x v="4"/>
    <m/>
    <x v="2"/>
    <x v="1"/>
    <x v="31"/>
    <m/>
    <m/>
    <m/>
    <m/>
    <m/>
    <m/>
  </r>
  <r>
    <n v="620"/>
    <m/>
    <m/>
    <m/>
    <m/>
    <m/>
    <m/>
    <m/>
    <m/>
    <m/>
    <m/>
    <m/>
    <x v="152"/>
    <m/>
    <x v="4"/>
    <m/>
    <x v="2"/>
    <x v="1"/>
    <x v="31"/>
    <m/>
    <m/>
    <m/>
    <m/>
    <m/>
    <m/>
  </r>
  <r>
    <n v="337.59998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199.1839941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101.279997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126.59999625"/>
    <m/>
    <m/>
    <m/>
    <m/>
    <m/>
    <m/>
    <m/>
    <m/>
    <m/>
    <m/>
    <m/>
    <x v="152"/>
    <m/>
    <x v="4"/>
    <m/>
    <x v="2"/>
    <x v="1"/>
    <x v="31"/>
    <m/>
    <m/>
    <m/>
    <m/>
    <m/>
    <m/>
  </r>
  <r>
    <n v="-337.59998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337.59998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298.77599114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101.279997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101.279997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-337.59998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339.2"/>
    <m/>
    <m/>
    <m/>
    <m/>
    <m/>
    <m/>
    <m/>
    <m/>
    <m/>
    <m/>
    <m/>
    <x v="152"/>
    <m/>
    <x v="4"/>
    <m/>
    <x v="2"/>
    <x v="1"/>
    <x v="31"/>
    <m/>
    <m/>
    <m/>
    <m/>
    <m/>
    <m/>
  </r>
  <r>
    <n v="2295"/>
    <m/>
    <m/>
    <m/>
    <m/>
    <m/>
    <m/>
    <m/>
    <m/>
    <m/>
    <m/>
    <m/>
    <x v="152"/>
    <m/>
    <x v="4"/>
    <m/>
    <x v="2"/>
    <x v="1"/>
    <x v="31"/>
    <m/>
    <m/>
    <m/>
    <m/>
    <m/>
    <m/>
  </r>
  <r>
    <n v="1225"/>
    <m/>
    <m/>
    <m/>
    <m/>
    <m/>
    <m/>
    <m/>
    <m/>
    <m/>
    <m/>
    <m/>
    <x v="152"/>
    <m/>
    <x v="4"/>
    <m/>
    <x v="2"/>
    <x v="1"/>
    <x v="31"/>
    <m/>
    <m/>
    <m/>
    <m/>
    <m/>
    <m/>
  </r>
  <r>
    <n v="380"/>
    <m/>
    <m/>
    <m/>
    <m/>
    <m/>
    <m/>
    <m/>
    <m/>
    <m/>
    <m/>
    <m/>
    <x v="152"/>
    <m/>
    <x v="4"/>
    <m/>
    <x v="2"/>
    <x v="1"/>
    <x v="31"/>
    <m/>
    <m/>
    <m/>
    <m/>
    <m/>
    <m/>
  </r>
  <r>
    <n v="310"/>
    <m/>
    <m/>
    <m/>
    <m/>
    <m/>
    <m/>
    <m/>
    <m/>
    <m/>
    <m/>
    <m/>
    <x v="152"/>
    <m/>
    <x v="4"/>
    <m/>
    <x v="2"/>
    <x v="1"/>
    <x v="31"/>
    <m/>
    <m/>
    <m/>
    <m/>
    <m/>
    <m/>
  </r>
  <r>
    <n v="1529"/>
    <m/>
    <m/>
    <m/>
    <m/>
    <m/>
    <m/>
    <m/>
    <m/>
    <m/>
    <m/>
    <m/>
    <x v="152"/>
    <m/>
    <x v="4"/>
    <m/>
    <x v="2"/>
    <x v="1"/>
    <x v="31"/>
    <m/>
    <m/>
    <m/>
    <m/>
    <m/>
    <m/>
  </r>
  <r>
    <n v="358.75421"/>
    <m/>
    <m/>
    <m/>
    <m/>
    <m/>
    <m/>
    <m/>
    <m/>
    <m/>
    <m/>
    <m/>
    <x v="152"/>
    <m/>
    <x v="4"/>
    <m/>
    <x v="2"/>
    <x v="1"/>
    <x v="31"/>
    <m/>
    <m/>
    <m/>
    <m/>
    <m/>
    <m/>
  </r>
  <r>
    <n v="3777"/>
    <m/>
    <m/>
    <m/>
    <m/>
    <m/>
    <m/>
    <m/>
    <m/>
    <m/>
    <m/>
    <m/>
    <x v="152"/>
    <m/>
    <x v="4"/>
    <m/>
    <x v="2"/>
    <x v="1"/>
    <x v="31"/>
    <m/>
    <m/>
    <m/>
    <m/>
    <m/>
    <m/>
  </r>
  <r>
    <n v="2295"/>
    <m/>
    <m/>
    <m/>
    <m/>
    <m/>
    <m/>
    <m/>
    <m/>
    <m/>
    <m/>
    <m/>
    <x v="152"/>
    <m/>
    <x v="4"/>
    <m/>
    <x v="2"/>
    <x v="1"/>
    <x v="31"/>
    <m/>
    <m/>
    <m/>
    <m/>
    <m/>
    <m/>
  </r>
  <r>
    <n v="2030"/>
    <m/>
    <m/>
    <m/>
    <m/>
    <m/>
    <m/>
    <m/>
    <m/>
    <m/>
    <m/>
    <m/>
    <x v="152"/>
    <m/>
    <x v="4"/>
    <m/>
    <x v="2"/>
    <x v="1"/>
    <x v="31"/>
    <m/>
    <m/>
    <m/>
    <m/>
    <m/>
    <m/>
  </r>
  <r>
    <n v="420"/>
    <m/>
    <m/>
    <m/>
    <m/>
    <m/>
    <m/>
    <m/>
    <m/>
    <m/>
    <m/>
    <m/>
    <x v="152"/>
    <m/>
    <x v="4"/>
    <m/>
    <x v="2"/>
    <x v="1"/>
    <x v="31"/>
    <m/>
    <m/>
    <m/>
    <m/>
    <m/>
    <m/>
  </r>
  <r>
    <n v="35"/>
    <m/>
    <m/>
    <m/>
    <m/>
    <m/>
    <m/>
    <m/>
    <m/>
    <m/>
    <m/>
    <m/>
    <x v="152"/>
    <m/>
    <x v="4"/>
    <m/>
    <x v="2"/>
    <x v="1"/>
    <x v="31"/>
    <m/>
    <m/>
    <m/>
    <m/>
    <m/>
    <m/>
  </r>
  <r>
    <n v="240"/>
    <m/>
    <m/>
    <m/>
    <m/>
    <m/>
    <m/>
    <m/>
    <m/>
    <m/>
    <m/>
    <m/>
    <x v="152"/>
    <m/>
    <x v="4"/>
    <m/>
    <x v="2"/>
    <x v="1"/>
    <x v="31"/>
    <m/>
    <m/>
    <m/>
    <m/>
    <m/>
    <m/>
  </r>
  <r>
    <n v="358.75421"/>
    <m/>
    <m/>
    <m/>
    <m/>
    <m/>
    <m/>
    <m/>
    <m/>
    <m/>
    <m/>
    <m/>
    <x v="152"/>
    <m/>
    <x v="4"/>
    <m/>
    <x v="2"/>
    <x v="1"/>
    <x v="31"/>
    <m/>
    <m/>
    <m/>
    <m/>
    <m/>
    <m/>
  </r>
  <r>
    <n v="2460"/>
    <m/>
    <m/>
    <m/>
    <m/>
    <m/>
    <m/>
    <m/>
    <m/>
    <m/>
    <m/>
    <m/>
    <x v="152"/>
    <m/>
    <x v="4"/>
    <m/>
    <x v="2"/>
    <x v="1"/>
    <x v="31"/>
    <m/>
    <m/>
    <m/>
    <m/>
    <m/>
    <m/>
  </r>
  <r>
    <n v="405"/>
    <m/>
    <m/>
    <m/>
    <m/>
    <m/>
    <m/>
    <m/>
    <m/>
    <m/>
    <m/>
    <m/>
    <x v="152"/>
    <m/>
    <x v="4"/>
    <m/>
    <x v="2"/>
    <x v="1"/>
    <x v="31"/>
    <m/>
    <m/>
    <m/>
    <m/>
    <m/>
    <m/>
  </r>
  <r>
    <n v="360"/>
    <m/>
    <m/>
    <m/>
    <m/>
    <m/>
    <m/>
    <m/>
    <m/>
    <m/>
    <m/>
    <m/>
    <x v="152"/>
    <m/>
    <x v="4"/>
    <m/>
    <x v="2"/>
    <x v="1"/>
    <x v="31"/>
    <m/>
    <m/>
    <m/>
    <m/>
    <m/>
    <m/>
  </r>
  <r>
    <n v="70"/>
    <m/>
    <m/>
    <m/>
    <m/>
    <m/>
    <m/>
    <m/>
    <m/>
    <m/>
    <m/>
    <m/>
    <x v="152"/>
    <m/>
    <x v="4"/>
    <m/>
    <x v="2"/>
    <x v="1"/>
    <x v="31"/>
    <m/>
    <m/>
    <m/>
    <m/>
    <m/>
    <m/>
  </r>
  <r>
    <n v="1058"/>
    <m/>
    <m/>
    <m/>
    <m/>
    <m/>
    <m/>
    <m/>
    <m/>
    <m/>
    <m/>
    <m/>
    <x v="152"/>
    <m/>
    <x v="4"/>
    <m/>
    <x v="2"/>
    <x v="1"/>
    <x v="31"/>
    <m/>
    <m/>
    <m/>
    <m/>
    <m/>
    <m/>
  </r>
  <r>
    <n v="2700"/>
    <m/>
    <m/>
    <m/>
    <m/>
    <m/>
    <m/>
    <m/>
    <m/>
    <m/>
    <m/>
    <m/>
    <x v="152"/>
    <m/>
    <x v="4"/>
    <m/>
    <x v="2"/>
    <x v="1"/>
    <x v="31"/>
    <m/>
    <m/>
    <m/>
    <m/>
    <m/>
    <m/>
  </r>
  <r>
    <n v="1470"/>
    <m/>
    <m/>
    <m/>
    <m/>
    <m/>
    <m/>
    <m/>
    <m/>
    <m/>
    <m/>
    <m/>
    <x v="152"/>
    <m/>
    <x v="4"/>
    <m/>
    <x v="2"/>
    <x v="1"/>
    <x v="31"/>
    <m/>
    <m/>
    <m/>
    <m/>
    <m/>
    <m/>
  </r>
  <r>
    <n v="970"/>
    <m/>
    <m/>
    <m/>
    <m/>
    <m/>
    <m/>
    <m/>
    <m/>
    <m/>
    <m/>
    <m/>
    <x v="152"/>
    <m/>
    <x v="4"/>
    <m/>
    <x v="2"/>
    <x v="1"/>
    <x v="31"/>
    <m/>
    <m/>
    <m/>
    <m/>
    <m/>
    <m/>
  </r>
  <r>
    <n v="1340"/>
    <m/>
    <m/>
    <m/>
    <m/>
    <m/>
    <m/>
    <m/>
    <m/>
    <m/>
    <m/>
    <m/>
    <x v="152"/>
    <m/>
    <x v="4"/>
    <m/>
    <x v="2"/>
    <x v="1"/>
    <x v="31"/>
    <m/>
    <m/>
    <m/>
    <m/>
    <m/>
    <m/>
  </r>
  <r>
    <n v="170"/>
    <m/>
    <m/>
    <m/>
    <m/>
    <m/>
    <m/>
    <m/>
    <m/>
    <m/>
    <m/>
    <m/>
    <x v="152"/>
    <m/>
    <x v="4"/>
    <m/>
    <x v="2"/>
    <x v="1"/>
    <x v="31"/>
    <m/>
    <m/>
    <m/>
    <m/>
    <m/>
    <m/>
  </r>
  <r>
    <n v="100"/>
    <m/>
    <m/>
    <m/>
    <m/>
    <m/>
    <m/>
    <m/>
    <m/>
    <m/>
    <m/>
    <m/>
    <x v="152"/>
    <m/>
    <x v="4"/>
    <m/>
    <x v="2"/>
    <x v="1"/>
    <x v="31"/>
    <m/>
    <m/>
    <m/>
    <m/>
    <m/>
    <m/>
  </r>
  <r>
    <n v="105"/>
    <m/>
    <m/>
    <m/>
    <m/>
    <m/>
    <m/>
    <m/>
    <m/>
    <m/>
    <m/>
    <m/>
    <x v="152"/>
    <m/>
    <x v="4"/>
    <m/>
    <x v="2"/>
    <x v="1"/>
    <x v="31"/>
    <m/>
    <m/>
    <m/>
    <m/>
    <m/>
    <m/>
  </r>
  <r>
    <n v="778.75420999999972"/>
    <m/>
    <m/>
    <m/>
    <m/>
    <m/>
    <m/>
    <m/>
    <m/>
    <m/>
    <m/>
    <m/>
    <x v="152"/>
    <m/>
    <x v="4"/>
    <m/>
    <x v="2"/>
    <x v="1"/>
    <x v="31"/>
    <m/>
    <m/>
    <m/>
    <m/>
    <m/>
    <m/>
  </r>
  <r>
    <n v="2162"/>
    <m/>
    <m/>
    <m/>
    <m/>
    <m/>
    <m/>
    <m/>
    <m/>
    <m/>
    <m/>
    <m/>
    <x v="152"/>
    <m/>
    <x v="4"/>
    <m/>
    <x v="2"/>
    <x v="1"/>
    <x v="31"/>
    <m/>
    <m/>
    <m/>
    <m/>
    <m/>
    <m/>
  </r>
  <r>
    <n v="2565"/>
    <m/>
    <m/>
    <m/>
    <m/>
    <m/>
    <m/>
    <m/>
    <m/>
    <m/>
    <m/>
    <m/>
    <x v="152"/>
    <m/>
    <x v="4"/>
    <m/>
    <x v="2"/>
    <x v="1"/>
    <x v="31"/>
    <m/>
    <m/>
    <m/>
    <m/>
    <m/>
    <m/>
  </r>
  <r>
    <n v="1540"/>
    <m/>
    <m/>
    <m/>
    <m/>
    <m/>
    <m/>
    <m/>
    <m/>
    <m/>
    <m/>
    <m/>
    <x v="152"/>
    <m/>
    <x v="4"/>
    <m/>
    <x v="2"/>
    <x v="1"/>
    <x v="31"/>
    <m/>
    <m/>
    <m/>
    <m/>
    <m/>
    <m/>
  </r>
  <r>
    <n v="480"/>
    <m/>
    <m/>
    <m/>
    <m/>
    <m/>
    <m/>
    <m/>
    <m/>
    <m/>
    <m/>
    <m/>
    <x v="152"/>
    <m/>
    <x v="4"/>
    <m/>
    <x v="2"/>
    <x v="1"/>
    <x v="31"/>
    <m/>
    <m/>
    <m/>
    <m/>
    <m/>
    <m/>
  </r>
  <r>
    <n v="658"/>
    <m/>
    <m/>
    <m/>
    <m/>
    <m/>
    <m/>
    <m/>
    <m/>
    <m/>
    <m/>
    <m/>
    <x v="152"/>
    <m/>
    <x v="4"/>
    <m/>
    <x v="2"/>
    <x v="1"/>
    <x v="31"/>
    <m/>
    <m/>
    <m/>
    <m/>
    <m/>
    <m/>
  </r>
  <r>
    <n v="260"/>
    <m/>
    <m/>
    <m/>
    <m/>
    <m/>
    <m/>
    <m/>
    <m/>
    <m/>
    <m/>
    <m/>
    <x v="152"/>
    <m/>
    <x v="4"/>
    <m/>
    <x v="2"/>
    <x v="1"/>
    <x v="31"/>
    <m/>
    <m/>
    <m/>
    <m/>
    <m/>
    <m/>
  </r>
  <r>
    <n v="463.75421"/>
    <m/>
    <m/>
    <m/>
    <m/>
    <m/>
    <m/>
    <m/>
    <m/>
    <m/>
    <m/>
    <m/>
    <x v="152"/>
    <m/>
    <x v="4"/>
    <m/>
    <x v="2"/>
    <x v="1"/>
    <x v="31"/>
    <m/>
    <m/>
    <m/>
    <m/>
    <m/>
    <m/>
  </r>
  <r>
    <n v="3120"/>
    <m/>
    <m/>
    <m/>
    <m/>
    <m/>
    <m/>
    <m/>
    <m/>
    <m/>
    <m/>
    <m/>
    <x v="152"/>
    <m/>
    <x v="4"/>
    <m/>
    <x v="2"/>
    <x v="1"/>
    <x v="31"/>
    <m/>
    <m/>
    <m/>
    <m/>
    <m/>
    <m/>
  </r>
  <r>
    <n v="339.2"/>
    <m/>
    <m/>
    <m/>
    <m/>
    <m/>
    <m/>
    <m/>
    <m/>
    <m/>
    <m/>
    <m/>
    <x v="152"/>
    <m/>
    <x v="4"/>
    <m/>
    <x v="2"/>
    <x v="1"/>
    <x v="31"/>
    <m/>
    <m/>
    <m/>
    <m/>
    <m/>
    <m/>
  </r>
  <r>
    <n v="339.2"/>
    <m/>
    <m/>
    <m/>
    <m/>
    <m/>
    <m/>
    <m/>
    <m/>
    <m/>
    <m/>
    <m/>
    <x v="152"/>
    <m/>
    <x v="4"/>
    <m/>
    <x v="2"/>
    <x v="1"/>
    <x v="31"/>
    <m/>
    <m/>
    <m/>
    <m/>
    <m/>
    <m/>
  </r>
  <r>
    <n v="203.51999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135.708828608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600.384000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407.03999999999996"/>
    <m/>
    <m/>
    <m/>
    <m/>
    <m/>
    <m/>
    <m/>
    <m/>
    <m/>
    <m/>
    <m/>
    <x v="152"/>
    <m/>
    <x v="4"/>
    <m/>
    <x v="2"/>
    <x v="1"/>
    <x v="31"/>
    <m/>
    <m/>
    <m/>
    <m/>
    <m/>
    <m/>
  </r>
  <r>
    <n v="101.7599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-339.2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400.2559999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254.4"/>
    <m/>
    <m/>
    <m/>
    <m/>
    <m/>
    <m/>
    <m/>
    <m/>
    <m/>
    <m/>
    <m/>
    <x v="152"/>
    <m/>
    <x v="4"/>
    <m/>
    <x v="2"/>
    <x v="1"/>
    <x v="31"/>
    <m/>
    <m/>
    <m/>
    <m/>
    <m/>
    <m/>
  </r>
  <r>
    <n v="-339.2"/>
    <m/>
    <m/>
    <m/>
    <m/>
    <m/>
    <m/>
    <m/>
    <m/>
    <m/>
    <m/>
    <m/>
    <x v="152"/>
    <m/>
    <x v="4"/>
    <m/>
    <x v="2"/>
    <x v="1"/>
    <x v="31"/>
    <m/>
    <m/>
    <m/>
    <m/>
    <m/>
    <m/>
  </r>
  <r>
    <n v="500.32"/>
    <m/>
    <m/>
    <m/>
    <m/>
    <m/>
    <m/>
    <m/>
    <m/>
    <m/>
    <m/>
    <m/>
    <x v="152"/>
    <m/>
    <x v="4"/>
    <m/>
    <x v="2"/>
    <x v="1"/>
    <x v="31"/>
    <m/>
    <m/>
    <m/>
    <m/>
    <m/>
    <m/>
  </r>
  <r>
    <n v="407.03999999999996"/>
    <m/>
    <m/>
    <m/>
    <m/>
    <m/>
    <m/>
    <m/>
    <m/>
    <m/>
    <m/>
    <m/>
    <x v="152"/>
    <m/>
    <x v="4"/>
    <m/>
    <x v="2"/>
    <x v="1"/>
    <x v="31"/>
    <m/>
    <m/>
    <m/>
    <m/>
    <m/>
    <m/>
  </r>
  <r>
    <n v="186.56"/>
    <m/>
    <m/>
    <m/>
    <m/>
    <m/>
    <m/>
    <m/>
    <m/>
    <m/>
    <m/>
    <m/>
    <x v="152"/>
    <m/>
    <x v="4"/>
    <m/>
    <x v="2"/>
    <x v="1"/>
    <x v="31"/>
    <m/>
    <m/>
    <m/>
    <m/>
    <m/>
    <m/>
  </r>
  <r>
    <n v="-339.2"/>
    <m/>
    <m/>
    <m/>
    <m/>
    <m/>
    <m/>
    <m/>
    <m/>
    <m/>
    <m/>
    <m/>
    <x v="152"/>
    <m/>
    <x v="4"/>
    <m/>
    <x v="2"/>
    <x v="1"/>
    <x v="31"/>
    <m/>
    <m/>
    <m/>
    <m/>
    <m/>
    <m/>
  </r>
  <r>
    <n v="400.2559999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763.19999999999993"/>
    <m/>
    <m/>
    <m/>
    <m/>
    <m/>
    <m/>
    <m/>
    <m/>
    <m/>
    <m/>
    <m/>
    <x v="152"/>
    <m/>
    <x v="4"/>
    <m/>
    <x v="2"/>
    <x v="1"/>
    <x v="31"/>
    <m/>
    <m/>
    <m/>
    <m/>
    <m/>
    <m/>
  </r>
  <r>
    <n v="-339.2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000.64"/>
    <m/>
    <m/>
    <m/>
    <m/>
    <m/>
    <m/>
    <m/>
    <m/>
    <m/>
    <m/>
    <m/>
    <x v="152"/>
    <m/>
    <x v="4"/>
    <m/>
    <x v="2"/>
    <x v="1"/>
    <x v="31"/>
    <m/>
    <m/>
    <m/>
    <m/>
    <m/>
    <m/>
  </r>
  <r>
    <n v="457.91999999999996"/>
    <m/>
    <m/>
    <m/>
    <m/>
    <m/>
    <m/>
    <m/>
    <m/>
    <m/>
    <m/>
    <m/>
    <x v="152"/>
    <m/>
    <x v="4"/>
    <m/>
    <x v="2"/>
    <x v="1"/>
    <x v="31"/>
    <m/>
    <m/>
    <m/>
    <m/>
    <m/>
    <m/>
  </r>
  <r>
    <n v="305.2799999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-373.80993280000007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39.1"/>
    <m/>
    <m/>
    <m/>
    <m/>
    <m/>
    <m/>
    <m/>
    <m/>
    <m/>
    <m/>
    <m/>
    <x v="152"/>
    <m/>
    <x v="4"/>
    <m/>
    <x v="2"/>
    <x v="1"/>
    <x v="31"/>
    <m/>
    <m/>
    <m/>
    <m/>
    <m/>
    <m/>
  </r>
  <r>
    <n v="600.2069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966.43500000000006"/>
    <m/>
    <m/>
    <m/>
    <m/>
    <m/>
    <m/>
    <m/>
    <m/>
    <m/>
    <m/>
    <m/>
    <x v="152"/>
    <m/>
    <x v="4"/>
    <m/>
    <x v="2"/>
    <x v="1"/>
    <x v="31"/>
    <m/>
    <m/>
    <m/>
    <m/>
    <m/>
    <m/>
  </r>
  <r>
    <n v="203.46"/>
    <m/>
    <m/>
    <m/>
    <m/>
    <m/>
    <m/>
    <m/>
    <m/>
    <m/>
    <m/>
    <m/>
    <x v="152"/>
    <m/>
    <x v="4"/>
    <m/>
    <x v="2"/>
    <x v="1"/>
    <x v="31"/>
    <m/>
    <m/>
    <m/>
    <m/>
    <m/>
    <m/>
  </r>
  <r>
    <n v="-339.1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600.2069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559.5149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101.73"/>
    <m/>
    <m/>
    <m/>
    <m/>
    <m/>
    <m/>
    <m/>
    <m/>
    <m/>
    <m/>
    <m/>
    <x v="152"/>
    <m/>
    <x v="4"/>
    <m/>
    <x v="2"/>
    <x v="1"/>
    <x v="31"/>
    <m/>
    <m/>
    <m/>
    <m/>
    <m/>
    <m/>
  </r>
  <r>
    <n v="-339.1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050.37652610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966.43500000000006"/>
    <m/>
    <m/>
    <m/>
    <m/>
    <m/>
    <m/>
    <m/>
    <m/>
    <m/>
    <m/>
    <m/>
    <x v="152"/>
    <m/>
    <x v="4"/>
    <m/>
    <x v="2"/>
    <x v="1"/>
    <x v="31"/>
    <m/>
    <m/>
    <m/>
    <m/>
    <m/>
    <m/>
  </r>
  <r>
    <n v="474.74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98.0139881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1011.89996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84.324997499999995"/>
    <m/>
    <m/>
    <m/>
    <m/>
    <m/>
    <m/>
    <m/>
    <m/>
    <m/>
    <m/>
    <m/>
    <x v="152"/>
    <m/>
    <x v="4"/>
    <m/>
    <x v="2"/>
    <x v="1"/>
    <x v="31"/>
    <m/>
    <m/>
    <m/>
    <m/>
    <m/>
    <m/>
  </r>
  <r>
    <n v="-337.29998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905.47909102508072"/>
    <m/>
    <m/>
    <m/>
    <m/>
    <m/>
    <m/>
    <m/>
    <m/>
    <m/>
    <m/>
    <m/>
    <x v="152"/>
    <m/>
    <x v="4"/>
    <m/>
    <x v="2"/>
    <x v="1"/>
    <x v="31"/>
    <m/>
    <m/>
    <m/>
    <m/>
    <m/>
    <m/>
  </r>
  <r>
    <n v="303.5699910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84.324997499999995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98.0139881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354.1649894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-231.93659034272972"/>
    <m/>
    <m/>
    <m/>
    <m/>
    <m/>
    <m/>
    <m/>
    <m/>
    <m/>
    <m/>
    <m/>
    <x v="152"/>
    <m/>
    <x v="4"/>
    <m/>
    <x v="2"/>
    <x v="1"/>
    <x v="31"/>
    <m/>
    <m/>
    <m/>
    <m/>
    <m/>
    <m/>
  </r>
  <r>
    <n v="398.0139881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708.329978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98.0139881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556.54498349999994"/>
    <m/>
    <m/>
    <m/>
    <m/>
    <m/>
    <m/>
    <m/>
    <m/>
    <m/>
    <m/>
    <m/>
    <x v="152"/>
    <m/>
    <x v="4"/>
    <m/>
    <x v="2"/>
    <x v="1"/>
    <x v="31"/>
    <m/>
    <m/>
    <m/>
    <m/>
    <m/>
    <m/>
  </r>
  <r>
    <n v="84.324997499999995"/>
    <m/>
    <m/>
    <m/>
    <m/>
    <m/>
    <m/>
    <m/>
    <m/>
    <m/>
    <m/>
    <m/>
    <x v="152"/>
    <m/>
    <x v="4"/>
    <m/>
    <x v="2"/>
    <x v="1"/>
    <x v="31"/>
    <m/>
    <m/>
    <m/>
    <m/>
    <m/>
    <m/>
  </r>
  <r>
    <n v="-337.29998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596.84399999999994"/>
    <m/>
    <m/>
    <m/>
    <m/>
    <m/>
    <m/>
    <m/>
    <m/>
    <m/>
    <m/>
    <m/>
    <x v="152"/>
    <m/>
    <x v="4"/>
    <m/>
    <x v="2"/>
    <x v="1"/>
    <x v="31"/>
    <m/>
    <m/>
    <m/>
    <m/>
    <m/>
    <m/>
  </r>
  <r>
    <n v="809.28"/>
    <m/>
    <m/>
    <m/>
    <m/>
    <m/>
    <m/>
    <m/>
    <m/>
    <m/>
    <m/>
    <m/>
    <x v="152"/>
    <m/>
    <x v="4"/>
    <m/>
    <x v="2"/>
    <x v="1"/>
    <x v="31"/>
    <m/>
    <m/>
    <m/>
    <m/>
    <m/>
    <m/>
  </r>
  <r>
    <n v="101.16"/>
    <m/>
    <m/>
    <m/>
    <m/>
    <m/>
    <m/>
    <m/>
    <m/>
    <m/>
    <m/>
    <m/>
    <x v="152"/>
    <m/>
    <x v="4"/>
    <m/>
    <x v="2"/>
    <x v="1"/>
    <x v="31"/>
    <m/>
    <m/>
    <m/>
    <m/>
    <m/>
    <m/>
  </r>
  <r>
    <n v="-337.2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507.15"/>
    <m/>
    <m/>
    <m/>
    <m/>
    <m/>
    <m/>
    <m/>
    <m/>
    <m/>
    <m/>
    <m/>
    <x v="152"/>
    <m/>
    <x v="4"/>
    <m/>
    <x v="2"/>
    <x v="1"/>
    <x v="31"/>
    <m/>
    <m/>
    <m/>
    <m/>
    <m/>
    <m/>
  </r>
  <r>
    <n v="847.79995019999978"/>
    <m/>
    <m/>
    <m/>
    <m/>
    <m/>
    <m/>
    <m/>
    <m/>
    <m/>
    <m/>
    <m/>
    <x v="152"/>
    <m/>
    <x v="4"/>
    <m/>
    <x v="2"/>
    <x v="1"/>
    <x v="31"/>
    <m/>
    <m/>
    <m/>
    <m/>
    <m/>
    <m/>
  </r>
  <r>
    <n v="456.43499999999995"/>
    <m/>
    <m/>
    <m/>
    <m/>
    <m/>
    <m/>
    <m/>
    <m/>
    <m/>
    <m/>
    <m/>
    <x v="152"/>
    <m/>
    <x v="4"/>
    <m/>
    <x v="2"/>
    <x v="1"/>
    <x v="31"/>
    <m/>
    <m/>
    <m/>
    <m/>
    <m/>
    <m/>
  </r>
  <r>
    <n v="101.4299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152.14499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-717.54560661000005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548.58145019999984"/>
    <m/>
    <m/>
    <m/>
    <m/>
    <m/>
    <m/>
    <m/>
    <m/>
    <m/>
    <m/>
    <m/>
    <x v="152"/>
    <m/>
    <x v="4"/>
    <m/>
    <x v="2"/>
    <x v="1"/>
    <x v="31"/>
    <m/>
    <m/>
    <m/>
    <m/>
    <m/>
    <m/>
  </r>
  <r>
    <n v="507.15"/>
    <m/>
    <m/>
    <m/>
    <m/>
    <m/>
    <m/>
    <m/>
    <m/>
    <m/>
    <m/>
    <m/>
    <x v="152"/>
    <m/>
    <x v="4"/>
    <m/>
    <x v="2"/>
    <x v="1"/>
    <x v="31"/>
    <m/>
    <m/>
    <m/>
    <m/>
    <m/>
    <m/>
  </r>
  <r>
    <n v="169.04999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101.4299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-1130.3142816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097.1344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1622.879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169.04999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152.14499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-894.21732729000018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464.8874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527.43599999999992"/>
    <m/>
    <m/>
    <m/>
    <m/>
    <m/>
    <m/>
    <m/>
    <m/>
    <m/>
    <m/>
    <m/>
    <x v="152"/>
    <m/>
    <x v="4"/>
    <m/>
    <x v="2"/>
    <x v="1"/>
    <x v="31"/>
    <m/>
    <m/>
    <m/>
    <m/>
    <m/>
    <m/>
  </r>
  <r>
    <n v="185.95499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-507.15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98.9579999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253.5749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152.14499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-338.0999999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496.22430415084995"/>
    <m/>
    <m/>
    <m/>
    <m/>
    <m/>
    <m/>
    <m/>
    <m/>
    <m/>
    <m/>
    <m/>
    <x v="152"/>
    <m/>
    <x v="4"/>
    <m/>
    <x v="2"/>
    <x v="1"/>
    <x v="31"/>
    <m/>
    <m/>
    <m/>
    <m/>
    <m/>
    <m/>
  </r>
  <r>
    <n v="101.610002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304.83000899999996"/>
    <m/>
    <m/>
    <m/>
    <m/>
    <m/>
    <m/>
    <m/>
    <m/>
    <m/>
    <m/>
    <m/>
    <x v="152"/>
    <m/>
    <x v="4"/>
    <m/>
    <x v="2"/>
    <x v="1"/>
    <x v="31"/>
    <m/>
    <m/>
    <m/>
    <m/>
    <m/>
    <m/>
  </r>
  <r>
    <n v="203.220005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-496.22430415084995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299.13000885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101.4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67.600002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270"/>
    <m/>
    <m/>
    <m/>
    <m/>
    <m/>
    <m/>
    <m/>
    <m/>
    <m/>
    <m/>
    <m/>
    <x v="152"/>
    <m/>
    <x v="4"/>
    <m/>
    <x v="2"/>
    <x v="1"/>
    <x v="31"/>
    <m/>
    <m/>
    <m/>
    <m/>
    <m/>
    <m/>
  </r>
  <r>
    <n v="210"/>
    <m/>
    <m/>
    <m/>
    <m/>
    <m/>
    <m/>
    <m/>
    <m/>
    <m/>
    <m/>
    <m/>
    <x v="152"/>
    <m/>
    <x v="4"/>
    <m/>
    <x v="2"/>
    <x v="1"/>
    <x v="31"/>
    <m/>
    <m/>
    <m/>
    <m/>
    <m/>
    <m/>
  </r>
  <r>
    <n v="1644"/>
    <m/>
    <m/>
    <m/>
    <m/>
    <m/>
    <m/>
    <m/>
    <m/>
    <m/>
    <m/>
    <m/>
    <x v="152"/>
    <m/>
    <x v="4"/>
    <m/>
    <x v="2"/>
    <x v="1"/>
    <x v="31"/>
    <m/>
    <m/>
    <m/>
    <m/>
    <m/>
    <m/>
  </r>
  <r>
    <n v="464.75001375000005"/>
    <m/>
    <m/>
    <m/>
    <m/>
    <m/>
    <m/>
    <m/>
    <m/>
    <m/>
    <m/>
    <m/>
    <x v="152"/>
    <m/>
    <x v="4"/>
    <m/>
    <x v="2"/>
    <x v="1"/>
    <x v="31"/>
    <m/>
    <m/>
    <m/>
    <m/>
    <m/>
    <m/>
  </r>
  <r>
    <n v="527.28001560000007"/>
    <m/>
    <m/>
    <m/>
    <m/>
    <m/>
    <m/>
    <m/>
    <m/>
    <m/>
    <m/>
    <m/>
    <x v="152"/>
    <m/>
    <x v="4"/>
    <m/>
    <x v="2"/>
    <x v="1"/>
    <x v="31"/>
    <m/>
    <m/>
    <m/>
    <m/>
    <m/>
    <m/>
  </r>
  <r>
    <n v="185.9000055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-507.0000150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687.5"/>
    <m/>
    <m/>
    <m/>
    <m/>
    <m/>
    <m/>
    <m/>
    <m/>
    <m/>
    <m/>
    <m/>
    <x v="152"/>
    <m/>
    <x v="4"/>
    <m/>
    <x v="2"/>
    <x v="1"/>
    <x v="31"/>
    <m/>
    <m/>
    <m/>
    <m/>
    <m/>
    <m/>
  </r>
  <r>
    <n v="910"/>
    <m/>
    <m/>
    <m/>
    <m/>
    <m/>
    <m/>
    <m/>
    <m/>
    <m/>
    <m/>
    <m/>
    <x v="152"/>
    <m/>
    <x v="4"/>
    <m/>
    <x v="2"/>
    <x v="1"/>
    <x v="31"/>
    <m/>
    <m/>
    <m/>
    <m/>
    <m/>
    <m/>
  </r>
  <r>
    <n v="1320"/>
    <m/>
    <m/>
    <m/>
    <m/>
    <m/>
    <m/>
    <m/>
    <m/>
    <m/>
    <m/>
    <m/>
    <x v="152"/>
    <m/>
    <x v="4"/>
    <m/>
    <x v="2"/>
    <x v="1"/>
    <x v="31"/>
    <m/>
    <m/>
    <m/>
    <m/>
    <m/>
    <m/>
  </r>
  <r>
    <n v="1265"/>
    <m/>
    <m/>
    <m/>
    <m/>
    <m/>
    <m/>
    <m/>
    <m/>
    <m/>
    <m/>
    <m/>
    <x v="152"/>
    <m/>
    <x v="4"/>
    <m/>
    <x v="2"/>
    <x v="1"/>
    <x v="31"/>
    <m/>
    <m/>
    <m/>
    <m/>
    <m/>
    <m/>
  </r>
  <r>
    <n v="848.75420999999972"/>
    <m/>
    <m/>
    <m/>
    <m/>
    <m/>
    <m/>
    <m/>
    <m/>
    <m/>
    <m/>
    <m/>
    <x v="152"/>
    <m/>
    <x v="4"/>
    <m/>
    <x v="2"/>
    <x v="1"/>
    <x v="31"/>
    <m/>
    <m/>
    <m/>
    <m/>
    <m/>
    <m/>
  </r>
  <r>
    <n v="3426"/>
    <m/>
    <m/>
    <m/>
    <m/>
    <m/>
    <m/>
    <m/>
    <m/>
    <m/>
    <m/>
    <m/>
    <x v="152"/>
    <m/>
    <x v="4"/>
    <m/>
    <x v="2"/>
    <x v="1"/>
    <x v="31"/>
    <m/>
    <m/>
    <m/>
    <m/>
    <m/>
    <m/>
  </r>
  <r>
    <n v="2025"/>
    <m/>
    <m/>
    <m/>
    <m/>
    <m/>
    <m/>
    <m/>
    <m/>
    <m/>
    <m/>
    <m/>
    <x v="152"/>
    <m/>
    <x v="4"/>
    <m/>
    <x v="2"/>
    <x v="1"/>
    <x v="31"/>
    <m/>
    <m/>
    <m/>
    <m/>
    <m/>
    <m/>
  </r>
  <r>
    <n v="1540"/>
    <m/>
    <m/>
    <m/>
    <m/>
    <m/>
    <m/>
    <m/>
    <m/>
    <m/>
    <m/>
    <m/>
    <x v="152"/>
    <m/>
    <x v="4"/>
    <m/>
    <x v="2"/>
    <x v="1"/>
    <x v="31"/>
    <m/>
    <m/>
    <m/>
    <m/>
    <m/>
    <m/>
  </r>
  <r>
    <n v="605"/>
    <m/>
    <m/>
    <m/>
    <m/>
    <m/>
    <m/>
    <m/>
    <m/>
    <m/>
    <m/>
    <m/>
    <x v="152"/>
    <m/>
    <x v="4"/>
    <m/>
    <x v="2"/>
    <x v="1"/>
    <x v="31"/>
    <m/>
    <m/>
    <m/>
    <m/>
    <m/>
    <m/>
  </r>
  <r>
    <n v="1495"/>
    <m/>
    <m/>
    <m/>
    <m/>
    <m/>
    <m/>
    <m/>
    <m/>
    <m/>
    <m/>
    <m/>
    <x v="152"/>
    <m/>
    <x v="4"/>
    <m/>
    <x v="2"/>
    <x v="1"/>
    <x v="31"/>
    <m/>
    <m/>
    <m/>
    <m/>
    <m/>
    <m/>
  </r>
  <r>
    <n v="883.75420999999972"/>
    <m/>
    <m/>
    <m/>
    <m/>
    <m/>
    <m/>
    <m/>
    <m/>
    <m/>
    <m/>
    <m/>
    <x v="152"/>
    <m/>
    <x v="4"/>
    <m/>
    <x v="2"/>
    <x v="1"/>
    <x v="31"/>
    <m/>
    <m/>
    <m/>
    <m/>
    <m/>
    <m/>
  </r>
  <r>
    <n v="2672"/>
    <m/>
    <m/>
    <m/>
    <m/>
    <m/>
    <m/>
    <m/>
    <m/>
    <m/>
    <m/>
    <m/>
    <x v="152"/>
    <m/>
    <x v="4"/>
    <m/>
    <x v="2"/>
    <x v="1"/>
    <x v="31"/>
    <m/>
    <m/>
    <m/>
    <m/>
    <m/>
    <m/>
  </r>
  <r>
    <n v="270.79999999999995"/>
    <m/>
    <m/>
    <m/>
    <m/>
    <m/>
    <m/>
    <m/>
    <m/>
    <m/>
    <m/>
    <m/>
    <x v="152"/>
    <m/>
    <x v="4"/>
    <m/>
    <x v="2"/>
    <x v="1"/>
    <x v="31"/>
    <m/>
    <m/>
    <m/>
    <m/>
    <m/>
    <m/>
  </r>
  <r>
    <n v="50.77499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2295"/>
    <m/>
    <m/>
    <m/>
    <m/>
    <m/>
    <m/>
    <m/>
    <m/>
    <m/>
    <m/>
    <m/>
    <x v="152"/>
    <m/>
    <x v="4"/>
    <m/>
    <x v="2"/>
    <x v="1"/>
    <x v="31"/>
    <m/>
    <m/>
    <m/>
    <m/>
    <m/>
    <m/>
  </r>
  <r>
    <n v="1015"/>
    <m/>
    <m/>
    <m/>
    <m/>
    <m/>
    <m/>
    <m/>
    <m/>
    <m/>
    <m/>
    <m/>
    <x v="152"/>
    <m/>
    <x v="4"/>
    <m/>
    <x v="2"/>
    <x v="1"/>
    <x v="31"/>
    <m/>
    <m/>
    <m/>
    <m/>
    <m/>
    <m/>
  </r>
  <r>
    <n v="1140"/>
    <m/>
    <m/>
    <m/>
    <m/>
    <m/>
    <m/>
    <m/>
    <m/>
    <m/>
    <m/>
    <m/>
    <x v="152"/>
    <m/>
    <x v="4"/>
    <m/>
    <x v="2"/>
    <x v="1"/>
    <x v="31"/>
    <m/>
    <m/>
    <m/>
    <m/>
    <m/>
    <m/>
  </r>
  <r>
    <n v="1903"/>
    <m/>
    <m/>
    <m/>
    <m/>
    <m/>
    <m/>
    <m/>
    <m/>
    <m/>
    <m/>
    <m/>
    <x v="152"/>
    <m/>
    <x v="4"/>
    <m/>
    <x v="2"/>
    <x v="1"/>
    <x v="31"/>
    <m/>
    <m/>
    <m/>
    <m/>
    <m/>
    <m/>
  </r>
  <r>
    <n v="988.75420999999972"/>
    <m/>
    <m/>
    <m/>
    <m/>
    <m/>
    <m/>
    <m/>
    <m/>
    <m/>
    <m/>
    <m/>
    <x v="152"/>
    <m/>
    <x v="4"/>
    <m/>
    <x v="2"/>
    <x v="1"/>
    <x v="31"/>
    <m/>
    <m/>
    <m/>
    <m/>
    <m/>
    <m/>
  </r>
  <r>
    <n v="2319"/>
    <m/>
    <m/>
    <m/>
    <m/>
    <m/>
    <m/>
    <m/>
    <m/>
    <m/>
    <m/>
    <m/>
    <x v="152"/>
    <m/>
    <x v="4"/>
    <m/>
    <x v="2"/>
    <x v="1"/>
    <x v="31"/>
    <m/>
    <m/>
    <m/>
    <m/>
    <m/>
    <m/>
  </r>
  <r>
    <n v="796.39635689999989"/>
    <m/>
    <m/>
    <m/>
    <m/>
    <m/>
    <m/>
    <m/>
    <m/>
    <m/>
    <m/>
    <m/>
    <x v="152"/>
    <m/>
    <x v="4"/>
    <m/>
    <x v="2"/>
    <x v="1"/>
    <x v="31"/>
    <m/>
    <m/>
    <m/>
    <m/>
    <m/>
    <m/>
  </r>
  <r>
    <n v="550.2039921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457.78500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118.685"/>
    <m/>
    <m/>
    <m/>
    <m/>
    <m/>
    <m/>
    <m/>
    <m/>
    <m/>
    <m/>
    <m/>
    <x v="152"/>
    <m/>
    <x v="4"/>
    <m/>
    <x v="2"/>
    <x v="1"/>
    <x v="31"/>
    <m/>
    <m/>
    <m/>
    <m/>
    <m/>
    <m/>
  </r>
  <r>
    <n v="152.595"/>
    <m/>
    <m/>
    <m/>
    <m/>
    <m/>
    <m/>
    <m/>
    <m/>
    <m/>
    <m/>
    <m/>
    <x v="152"/>
    <m/>
    <x v="4"/>
    <m/>
    <x v="2"/>
    <x v="1"/>
    <x v="31"/>
    <m/>
    <m/>
    <m/>
    <m/>
    <m/>
    <m/>
  </r>
  <r>
    <n v="101.73"/>
    <m/>
    <m/>
    <m/>
    <m/>
    <m/>
    <m/>
    <m/>
    <m/>
    <m/>
    <m/>
    <m/>
    <x v="152"/>
    <m/>
    <x v="4"/>
    <m/>
    <x v="2"/>
    <x v="1"/>
    <x v="31"/>
    <m/>
    <m/>
    <m/>
    <m/>
    <m/>
    <m/>
  </r>
  <r>
    <n v="-796.39635689999989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451.95474034999995"/>
    <m/>
    <m/>
    <m/>
    <m/>
    <m/>
    <m/>
    <m/>
    <m/>
    <m/>
    <m/>
    <m/>
    <x v="152"/>
    <m/>
    <x v="4"/>
    <m/>
    <x v="2"/>
    <x v="1"/>
    <x v="31"/>
    <m/>
    <m/>
    <m/>
    <m/>
    <m/>
    <m/>
  </r>
  <r>
    <n v="898.7174999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456.9749999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50.77499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-451.95474034999995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509.100014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305.460009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458.1900135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50.9100015"/>
    <m/>
    <m/>
    <m/>
    <m/>
    <m/>
    <m/>
    <m/>
    <m/>
    <m/>
    <m/>
    <m/>
    <x v="152"/>
    <m/>
    <x v="4"/>
    <m/>
    <x v="2"/>
    <x v="1"/>
    <x v="31"/>
    <m/>
    <m/>
    <m/>
    <m/>
    <m/>
    <m/>
  </r>
  <r>
    <n v="-509.100014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022.2287322542393"/>
    <m/>
    <m/>
    <m/>
    <m/>
    <m/>
    <m/>
    <m/>
    <m/>
    <m/>
    <m/>
    <m/>
    <x v="152"/>
    <m/>
    <x v="4"/>
    <m/>
    <x v="2"/>
    <x v="1"/>
    <x v="31"/>
    <m/>
    <m/>
    <m/>
    <m/>
    <m/>
    <m/>
  </r>
  <r>
    <n v="2565"/>
    <m/>
    <m/>
    <m/>
    <m/>
    <m/>
    <m/>
    <m/>
    <m/>
    <m/>
    <m/>
    <m/>
    <x v="152"/>
    <m/>
    <x v="4"/>
    <m/>
    <x v="2"/>
    <x v="1"/>
    <x v="31"/>
    <m/>
    <m/>
    <m/>
    <m/>
    <m/>
    <m/>
  </r>
  <r>
    <n v="1960"/>
    <m/>
    <m/>
    <m/>
    <m/>
    <m/>
    <m/>
    <m/>
    <m/>
    <m/>
    <m/>
    <m/>
    <x v="152"/>
    <m/>
    <x v="4"/>
    <m/>
    <x v="2"/>
    <x v="1"/>
    <x v="31"/>
    <m/>
    <m/>
    <m/>
    <m/>
    <m/>
    <m/>
  </r>
  <r>
    <n v="985"/>
    <m/>
    <m/>
    <m/>
    <m/>
    <m/>
    <m/>
    <m/>
    <m/>
    <m/>
    <m/>
    <m/>
    <x v="152"/>
    <m/>
    <x v="4"/>
    <m/>
    <x v="2"/>
    <x v="1"/>
    <x v="31"/>
    <m/>
    <m/>
    <m/>
    <m/>
    <m/>
    <m/>
  </r>
  <r>
    <n v="3070"/>
    <m/>
    <m/>
    <m/>
    <m/>
    <m/>
    <m/>
    <m/>
    <m/>
    <m/>
    <m/>
    <m/>
    <x v="152"/>
    <m/>
    <x v="4"/>
    <m/>
    <x v="2"/>
    <x v="1"/>
    <x v="31"/>
    <m/>
    <m/>
    <m/>
    <m/>
    <m/>
    <m/>
  </r>
  <r>
    <n v="70"/>
    <m/>
    <m/>
    <m/>
    <m/>
    <m/>
    <m/>
    <m/>
    <m/>
    <m/>
    <m/>
    <m/>
    <x v="152"/>
    <m/>
    <x v="4"/>
    <m/>
    <x v="2"/>
    <x v="1"/>
    <x v="31"/>
    <m/>
    <m/>
    <m/>
    <m/>
    <m/>
    <m/>
  </r>
  <r>
    <n v="673.75420999999972"/>
    <m/>
    <m/>
    <m/>
    <m/>
    <m/>
    <m/>
    <m/>
    <m/>
    <m/>
    <m/>
    <m/>
    <x v="152"/>
    <m/>
    <x v="4"/>
    <m/>
    <x v="2"/>
    <x v="1"/>
    <x v="31"/>
    <m/>
    <m/>
    <m/>
    <m/>
    <m/>
    <m/>
  </r>
  <r>
    <n v="1967"/>
    <m/>
    <m/>
    <m/>
    <m/>
    <m/>
    <m/>
    <m/>
    <m/>
    <m/>
    <m/>
    <m/>
    <x v="152"/>
    <m/>
    <x v="4"/>
    <m/>
    <x v="2"/>
    <x v="1"/>
    <x v="31"/>
    <m/>
    <m/>
    <m/>
    <m/>
    <m/>
    <m/>
  </r>
  <r>
    <n v="1822.5"/>
    <m/>
    <m/>
    <m/>
    <m/>
    <m/>
    <m/>
    <m/>
    <m/>
    <m/>
    <m/>
    <m/>
    <x v="152"/>
    <m/>
    <x v="4"/>
    <m/>
    <x v="2"/>
    <x v="1"/>
    <x v="31"/>
    <m/>
    <m/>
    <m/>
    <m/>
    <m/>
    <m/>
  </r>
  <r>
    <n v="875"/>
    <m/>
    <m/>
    <m/>
    <m/>
    <m/>
    <m/>
    <m/>
    <m/>
    <m/>
    <m/>
    <m/>
    <x v="152"/>
    <m/>
    <x v="4"/>
    <m/>
    <x v="2"/>
    <x v="1"/>
    <x v="31"/>
    <m/>
    <m/>
    <m/>
    <m/>
    <m/>
    <m/>
  </r>
  <r>
    <n v="1185"/>
    <m/>
    <m/>
    <m/>
    <m/>
    <m/>
    <m/>
    <m/>
    <m/>
    <m/>
    <m/>
    <m/>
    <x v="152"/>
    <m/>
    <x v="4"/>
    <m/>
    <x v="2"/>
    <x v="1"/>
    <x v="31"/>
    <m/>
    <m/>
    <m/>
    <m/>
    <m/>
    <m/>
  </r>
  <r>
    <n v="1512"/>
    <m/>
    <m/>
    <m/>
    <m/>
    <m/>
    <m/>
    <m/>
    <m/>
    <m/>
    <m/>
    <m/>
    <x v="152"/>
    <m/>
    <x v="4"/>
    <m/>
    <x v="2"/>
    <x v="1"/>
    <x v="31"/>
    <m/>
    <m/>
    <m/>
    <m/>
    <m/>
    <m/>
  </r>
  <r>
    <n v="110"/>
    <m/>
    <m/>
    <m/>
    <m/>
    <m/>
    <m/>
    <m/>
    <m/>
    <m/>
    <m/>
    <m/>
    <x v="152"/>
    <m/>
    <x v="4"/>
    <m/>
    <x v="2"/>
    <x v="1"/>
    <x v="31"/>
    <m/>
    <m/>
    <m/>
    <m/>
    <m/>
    <m/>
  </r>
  <r>
    <n v="210"/>
    <m/>
    <m/>
    <m/>
    <m/>
    <m/>
    <m/>
    <m/>
    <m/>
    <m/>
    <m/>
    <m/>
    <x v="152"/>
    <m/>
    <x v="4"/>
    <m/>
    <x v="2"/>
    <x v="1"/>
    <x v="31"/>
    <m/>
    <m/>
    <m/>
    <m/>
    <m/>
    <m/>
  </r>
  <r>
    <n v="140"/>
    <m/>
    <m/>
    <m/>
    <m/>
    <m/>
    <m/>
    <m/>
    <m/>
    <m/>
    <m/>
    <m/>
    <x v="152"/>
    <m/>
    <x v="4"/>
    <m/>
    <x v="2"/>
    <x v="1"/>
    <x v="31"/>
    <m/>
    <m/>
    <m/>
    <m/>
    <m/>
    <m/>
  </r>
  <r>
    <n v="743.75420999999972"/>
    <m/>
    <m/>
    <m/>
    <m/>
    <m/>
    <m/>
    <m/>
    <m/>
    <m/>
    <m/>
    <m/>
    <x v="152"/>
    <m/>
    <x v="4"/>
    <m/>
    <x v="2"/>
    <x v="1"/>
    <x v="31"/>
    <m/>
    <m/>
    <m/>
    <m/>
    <m/>
    <m/>
  </r>
  <r>
    <n v="1607"/>
    <m/>
    <m/>
    <m/>
    <m/>
    <m/>
    <m/>
    <m/>
    <m/>
    <m/>
    <m/>
    <m/>
    <x v="152"/>
    <m/>
    <x v="4"/>
    <m/>
    <x v="2"/>
    <x v="1"/>
    <x v="31"/>
    <m/>
    <m/>
    <m/>
    <m/>
    <m/>
    <m/>
  </r>
  <r>
    <n v="2700"/>
    <m/>
    <m/>
    <m/>
    <m/>
    <m/>
    <m/>
    <m/>
    <m/>
    <m/>
    <m/>
    <m/>
    <x v="152"/>
    <m/>
    <x v="4"/>
    <m/>
    <x v="2"/>
    <x v="1"/>
    <x v="31"/>
    <m/>
    <m/>
    <m/>
    <m/>
    <m/>
    <m/>
  </r>
  <r>
    <n v="1575"/>
    <m/>
    <m/>
    <m/>
    <m/>
    <m/>
    <m/>
    <m/>
    <m/>
    <m/>
    <m/>
    <m/>
    <x v="152"/>
    <m/>
    <x v="4"/>
    <m/>
    <x v="2"/>
    <x v="1"/>
    <x v="31"/>
    <m/>
    <m/>
    <m/>
    <m/>
    <m/>
    <m/>
  </r>
  <r>
    <n v="890"/>
    <m/>
    <m/>
    <m/>
    <m/>
    <m/>
    <m/>
    <m/>
    <m/>
    <m/>
    <m/>
    <m/>
    <x v="152"/>
    <m/>
    <x v="4"/>
    <m/>
    <x v="2"/>
    <x v="1"/>
    <x v="31"/>
    <m/>
    <m/>
    <m/>
    <m/>
    <m/>
    <m/>
  </r>
  <r>
    <n v="730"/>
    <m/>
    <m/>
    <m/>
    <m/>
    <m/>
    <m/>
    <m/>
    <m/>
    <m/>
    <m/>
    <m/>
    <x v="152"/>
    <m/>
    <x v="4"/>
    <m/>
    <x v="2"/>
    <x v="1"/>
    <x v="31"/>
    <m/>
    <m/>
    <m/>
    <m/>
    <m/>
    <m/>
  </r>
  <r>
    <n v="848.75420999999972"/>
    <m/>
    <m/>
    <m/>
    <m/>
    <m/>
    <m/>
    <m/>
    <m/>
    <m/>
    <m/>
    <m/>
    <x v="152"/>
    <m/>
    <x v="4"/>
    <m/>
    <x v="2"/>
    <x v="1"/>
    <x v="31"/>
    <m/>
    <m/>
    <m/>
    <m/>
    <m/>
    <m/>
  </r>
  <r>
    <n v="3057"/>
    <m/>
    <m/>
    <m/>
    <m/>
    <m/>
    <m/>
    <m/>
    <m/>
    <m/>
    <m/>
    <m/>
    <x v="152"/>
    <m/>
    <x v="4"/>
    <m/>
    <x v="2"/>
    <x v="1"/>
    <x v="31"/>
    <m/>
    <m/>
    <m/>
    <m/>
    <m/>
    <m/>
  </r>
  <r>
    <n v="440.700013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432.22501275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6110.3029682449196"/>
    <m/>
    <m/>
    <m/>
    <m/>
    <m/>
    <m/>
    <m/>
    <m/>
    <m/>
    <m/>
    <m/>
    <x v="152"/>
    <m/>
    <x v="4"/>
    <m/>
    <x v="2"/>
    <x v="1"/>
    <x v="31"/>
    <m/>
    <m/>
    <m/>
    <m/>
    <m/>
    <m/>
  </r>
  <r>
    <n v="400.0200118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305.100009"/>
    <m/>
    <m/>
    <m/>
    <m/>
    <m/>
    <m/>
    <m/>
    <m/>
    <m/>
    <m/>
    <m/>
    <x v="152"/>
    <m/>
    <x v="4"/>
    <m/>
    <x v="2"/>
    <x v="1"/>
    <x v="31"/>
    <m/>
    <m/>
    <m/>
    <m/>
    <m/>
    <m/>
  </r>
  <r>
    <n v="220.3500065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101.7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-339.0000099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799.72407559068006"/>
    <m/>
    <m/>
    <m/>
    <m/>
    <m/>
    <m/>
    <m/>
    <m/>
    <m/>
    <m/>
    <m/>
    <x v="152"/>
    <m/>
    <x v="4"/>
    <m/>
    <x v="2"/>
    <x v="1"/>
    <x v="31"/>
    <m/>
    <m/>
    <m/>
    <m/>
    <m/>
    <m/>
  </r>
  <r>
    <n v="1000.0500294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1017.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355.9500105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-1022.2287322542393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100.05503245"/>
    <m/>
    <m/>
    <m/>
    <m/>
    <m/>
    <m/>
    <m/>
    <m/>
    <m/>
    <m/>
    <m/>
    <x v="152"/>
    <m/>
    <x v="4"/>
    <m/>
    <x v="2"/>
    <x v="1"/>
    <x v="31"/>
    <m/>
    <m/>
    <m/>
    <m/>
    <m/>
    <m/>
  </r>
  <r>
    <n v="1220.400036"/>
    <m/>
    <m/>
    <m/>
    <m/>
    <m/>
    <m/>
    <m/>
    <m/>
    <m/>
    <m/>
    <m/>
    <x v="152"/>
    <m/>
    <x v="4"/>
    <m/>
    <x v="2"/>
    <x v="1"/>
    <x v="31"/>
    <m/>
    <m/>
    <m/>
    <m/>
    <m/>
    <m/>
  </r>
  <r>
    <n v="372.900011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135.600004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101.7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-799.72407559068006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40.00001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68.000002000000009"/>
    <m/>
    <m/>
    <m/>
    <m/>
    <m/>
    <m/>
    <m/>
    <m/>
    <m/>
    <m/>
    <m/>
    <x v="152"/>
    <m/>
    <x v="4"/>
    <m/>
    <x v="2"/>
    <x v="1"/>
    <x v="31"/>
    <m/>
    <m/>
    <m/>
    <m/>
    <m/>
    <m/>
  </r>
  <r>
    <n v="85.000002500000008"/>
    <m/>
    <m/>
    <m/>
    <m/>
    <m/>
    <m/>
    <m/>
    <m/>
    <m/>
    <m/>
    <m/>
    <x v="152"/>
    <m/>
    <x v="4"/>
    <m/>
    <x v="2"/>
    <x v="1"/>
    <x v="31"/>
    <m/>
    <m/>
    <m/>
    <m/>
    <m/>
    <m/>
  </r>
  <r>
    <n v="1103.30003245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994.50002925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102.000003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102.000003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-340.00001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167.4500000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211.872890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34.90000000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500.4"/>
    <m/>
    <m/>
    <m/>
    <m/>
    <m/>
    <m/>
    <m/>
    <m/>
    <m/>
    <m/>
    <m/>
    <x v="152"/>
    <m/>
    <x v="4"/>
    <m/>
    <x v="2"/>
    <x v="1"/>
    <x v="31"/>
    <m/>
    <m/>
    <m/>
    <m/>
    <m/>
    <m/>
  </r>
  <r>
    <n v="150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34.1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427"/>
    <m/>
    <m/>
    <m/>
    <m/>
    <m/>
    <m/>
    <m/>
    <m/>
    <m/>
    <m/>
    <m/>
    <x v="152"/>
    <m/>
    <x v="4"/>
    <m/>
    <x v="2"/>
    <x v="1"/>
    <x v="31"/>
    <m/>
    <m/>
    <m/>
    <m/>
    <m/>
    <m/>
  </r>
  <r>
    <n v="675.42370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211.872890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34.5"/>
    <m/>
    <m/>
    <m/>
    <m/>
    <m/>
    <m/>
    <m/>
    <m/>
    <m/>
    <m/>
    <m/>
    <x v="152"/>
    <m/>
    <x v="4"/>
    <m/>
    <x v="2"/>
    <x v="1"/>
    <x v="31"/>
    <m/>
    <m/>
    <m/>
    <m/>
    <m/>
    <m/>
  </r>
  <r>
    <n v="724.2008986879689"/>
    <m/>
    <m/>
    <m/>
    <m/>
    <m/>
    <m/>
    <m/>
    <m/>
    <m/>
    <m/>
    <m/>
    <x v="152"/>
    <m/>
    <x v="4"/>
    <m/>
    <x v="2"/>
    <x v="1"/>
    <x v="31"/>
    <m/>
    <m/>
    <m/>
    <m/>
    <m/>
    <m/>
  </r>
  <r>
    <n v="449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50"/>
    <m/>
    <m/>
    <m/>
    <m/>
    <m/>
    <m/>
    <m/>
    <m/>
    <m/>
    <m/>
    <m/>
    <x v="152"/>
    <m/>
    <x v="4"/>
    <m/>
    <x v="2"/>
    <x v="1"/>
    <x v="31"/>
    <m/>
    <m/>
    <m/>
    <m/>
    <m/>
    <m/>
  </r>
  <r>
    <n v="100"/>
    <m/>
    <m/>
    <m/>
    <m/>
    <m/>
    <m/>
    <m/>
    <m/>
    <m/>
    <m/>
    <m/>
    <x v="152"/>
    <m/>
    <x v="4"/>
    <m/>
    <x v="2"/>
    <x v="1"/>
    <x v="31"/>
    <m/>
    <m/>
    <m/>
    <m/>
    <m/>
    <m/>
  </r>
  <r>
    <n v="717.5"/>
    <m/>
    <m/>
    <m/>
    <m/>
    <m/>
    <m/>
    <m/>
    <m/>
    <m/>
    <m/>
    <m/>
    <x v="152"/>
    <m/>
    <x v="4"/>
    <m/>
    <x v="2"/>
    <x v="1"/>
    <x v="31"/>
    <m/>
    <m/>
    <m/>
    <m/>
    <m/>
    <m/>
  </r>
  <r>
    <n v="339.2"/>
    <m/>
    <m/>
    <m/>
    <m/>
    <m/>
    <m/>
    <m/>
    <m/>
    <m/>
    <m/>
    <m/>
    <x v="152"/>
    <m/>
    <x v="4"/>
    <m/>
    <x v="2"/>
    <x v="1"/>
    <x v="31"/>
    <m/>
    <m/>
    <m/>
    <m/>
    <m/>
    <m/>
  </r>
  <r>
    <n v="236.60625996799996"/>
    <m/>
    <m/>
    <m/>
    <m/>
    <m/>
    <m/>
    <m/>
    <m/>
    <m/>
    <m/>
    <m/>
    <x v="152"/>
    <m/>
    <x v="4"/>
    <m/>
    <x v="2"/>
    <x v="1"/>
    <x v="31"/>
    <m/>
    <m/>
    <m/>
    <m/>
    <m/>
    <m/>
  </r>
  <r>
    <n v="50.879999999999995"/>
    <m/>
    <m/>
    <m/>
    <m/>
    <m/>
    <m/>
    <m/>
    <m/>
    <m/>
    <m/>
    <m/>
    <x v="152"/>
    <m/>
    <x v="4"/>
    <m/>
    <x v="2"/>
    <x v="1"/>
    <x v="31"/>
    <m/>
    <m/>
    <m/>
    <m/>
    <m/>
    <m/>
  </r>
  <r>
    <n v="450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73.80993280000007"/>
    <m/>
    <m/>
    <m/>
    <m/>
    <m/>
    <m/>
    <m/>
    <m/>
    <m/>
    <m/>
    <m/>
    <x v="152"/>
    <m/>
    <x v="4"/>
    <m/>
    <x v="2"/>
    <x v="1"/>
    <x v="31"/>
    <m/>
    <m/>
    <m/>
    <m/>
    <m/>
    <m/>
  </r>
  <r>
    <n v="339.1"/>
    <m/>
    <m/>
    <m/>
    <m/>
    <m/>
    <m/>
    <m/>
    <m/>
    <m/>
    <m/>
    <m/>
    <x v="152"/>
    <m/>
    <x v="4"/>
    <m/>
    <x v="2"/>
    <x v="1"/>
    <x v="31"/>
    <m/>
    <m/>
    <m/>
    <m/>
    <m/>
    <m/>
  </r>
  <r>
    <n v="337.29998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349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337.29998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973.9679214545788"/>
    <m/>
    <m/>
    <m/>
    <m/>
    <m/>
    <m/>
    <m/>
    <m/>
    <m/>
    <m/>
    <m/>
    <x v="152"/>
    <m/>
    <x v="4"/>
    <m/>
    <x v="2"/>
    <x v="1"/>
    <x v="31"/>
    <m/>
    <m/>
    <m/>
    <m/>
    <m/>
    <m/>
  </r>
  <r>
    <n v="408.96207127541999"/>
    <m/>
    <m/>
    <m/>
    <m/>
    <m/>
    <m/>
    <m/>
    <m/>
    <m/>
    <m/>
    <m/>
    <x v="152"/>
    <m/>
    <x v="4"/>
    <m/>
    <x v="2"/>
    <x v="1"/>
    <x v="31"/>
    <m/>
    <m/>
    <m/>
    <m/>
    <m/>
    <m/>
  </r>
  <r>
    <n v="303.5699910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231.93659034272972"/>
    <m/>
    <m/>
    <m/>
    <m/>
    <m/>
    <m/>
    <m/>
    <m/>
    <m/>
    <m/>
    <m/>
    <x v="152"/>
    <m/>
    <x v="4"/>
    <m/>
    <x v="2"/>
    <x v="1"/>
    <x v="31"/>
    <m/>
    <m/>
    <m/>
    <m/>
    <m/>
    <m/>
  </r>
  <r>
    <n v="202.379994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134.919996"/>
    <m/>
    <m/>
    <m/>
    <m/>
    <m/>
    <m/>
    <m/>
    <m/>
    <m/>
    <m/>
    <m/>
    <x v="152"/>
    <m/>
    <x v="4"/>
    <m/>
    <x v="2"/>
    <x v="1"/>
    <x v="31"/>
    <m/>
    <m/>
    <m/>
    <m/>
    <m/>
    <m/>
  </r>
  <r>
    <n v="337.2"/>
    <m/>
    <m/>
    <m/>
    <m/>
    <m/>
    <m/>
    <m/>
    <m/>
    <m/>
    <m/>
    <m/>
    <x v="152"/>
    <m/>
    <x v="4"/>
    <m/>
    <x v="2"/>
    <x v="1"/>
    <x v="31"/>
    <m/>
    <m/>
    <m/>
    <m/>
    <m/>
    <m/>
  </r>
  <r>
    <n v="338.0999999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260"/>
    <m/>
    <m/>
    <m/>
    <m/>
    <m/>
    <m/>
    <m/>
    <m/>
    <m/>
    <m/>
    <m/>
    <x v="152"/>
    <m/>
    <x v="4"/>
    <m/>
    <x v="2"/>
    <x v="1"/>
    <x v="31"/>
    <m/>
    <m/>
    <m/>
    <m/>
    <m/>
    <m/>
  </r>
  <r>
    <n v="894.21732729000018"/>
    <m/>
    <m/>
    <m/>
    <m/>
    <m/>
    <m/>
    <m/>
    <m/>
    <m/>
    <m/>
    <m/>
    <x v="152"/>
    <m/>
    <x v="4"/>
    <m/>
    <x v="2"/>
    <x v="1"/>
    <x v="31"/>
    <m/>
    <m/>
    <m/>
    <m/>
    <m/>
    <m/>
  </r>
  <r>
    <n v="1130.3142816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16.949200000000001"/>
    <m/>
    <m/>
    <m/>
    <m/>
    <m/>
    <m/>
    <m/>
    <m/>
    <m/>
    <m/>
    <m/>
    <x v="152"/>
    <m/>
    <x v="4"/>
    <m/>
    <x v="2"/>
    <x v="1"/>
    <x v="31"/>
    <m/>
    <m/>
    <m/>
    <m/>
    <m/>
    <m/>
  </r>
  <r>
    <n v="717.54560661000005"/>
    <m/>
    <m/>
    <m/>
    <m/>
    <m/>
    <m/>
    <m/>
    <m/>
    <m/>
    <m/>
    <m/>
    <x v="152"/>
    <m/>
    <x v="4"/>
    <m/>
    <x v="2"/>
    <x v="1"/>
    <x v="31"/>
    <m/>
    <m/>
    <m/>
    <m/>
    <m/>
    <m/>
  </r>
  <r>
    <n v="339.00000999999997"/>
    <m/>
    <m/>
    <m/>
    <m/>
    <m/>
    <m/>
    <m/>
    <m/>
    <m/>
    <m/>
    <m/>
    <x v="152"/>
    <m/>
    <x v="4"/>
    <m/>
    <x v="2"/>
    <x v="1"/>
    <x v="31"/>
    <m/>
    <m/>
    <m/>
    <m/>
    <m/>
    <m/>
  </r>
  <r>
    <n v="350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-464.88749999999999"/>
    <m/>
    <m/>
    <m/>
    <m/>
    <m/>
    <m/>
    <m/>
    <m/>
    <m/>
    <m/>
    <m/>
    <x v="152"/>
    <m/>
    <x v="4"/>
    <m/>
    <x v="2"/>
    <x v="1"/>
    <x v="31"/>
    <m/>
    <m/>
    <m/>
    <m/>
    <m/>
    <m/>
  </r>
  <r>
    <n v="-527.43599999999992"/>
    <m/>
    <m/>
    <m/>
    <m/>
    <m/>
    <m/>
    <m/>
    <m/>
    <m/>
    <m/>
    <m/>
    <x v="152"/>
    <m/>
    <x v="4"/>
    <m/>
    <x v="2"/>
    <x v="1"/>
    <x v="31"/>
    <m/>
    <m/>
    <m/>
    <m/>
    <m/>
    <m/>
  </r>
  <r>
    <n v="-185.95499999999998"/>
    <m/>
    <m/>
    <m/>
    <m/>
    <m/>
    <m/>
    <m/>
    <m/>
    <m/>
    <m/>
    <m/>
    <x v="152"/>
    <m/>
    <x v="4"/>
    <m/>
    <x v="2"/>
    <x v="1"/>
    <x v="31"/>
    <m/>
    <m/>
    <m/>
    <m/>
    <m/>
    <m/>
  </r>
  <r>
    <n v="507.15"/>
    <m/>
    <m/>
    <m/>
    <m/>
    <m/>
    <m/>
    <m/>
    <m/>
    <m/>
    <m/>
    <m/>
    <x v="152"/>
    <m/>
    <x v="4"/>
    <m/>
    <x v="2"/>
    <x v="1"/>
    <x v="31"/>
    <m/>
    <m/>
    <m/>
    <m/>
    <m/>
    <m/>
  </r>
  <r>
    <n v="0"/>
    <m/>
    <m/>
    <m/>
    <m/>
    <m/>
    <m/>
    <m/>
    <m/>
    <m/>
    <m/>
    <m/>
    <x v="152"/>
    <m/>
    <x v="4"/>
    <m/>
    <x v="2"/>
    <x v="1"/>
    <x v="31"/>
    <m/>
    <m/>
    <m/>
    <m/>
    <m/>
    <m/>
  </r>
  <r>
    <n v="-25.319999250000002"/>
    <m/>
    <m/>
    <m/>
    <m/>
    <m/>
    <m/>
    <m/>
    <m/>
    <m/>
    <m/>
    <m/>
    <x v="152"/>
    <m/>
    <x v="4"/>
    <m/>
    <x v="2"/>
    <x v="1"/>
    <x v="31"/>
    <m/>
    <m/>
    <m/>
    <m/>
    <m/>
    <m/>
  </r>
  <r>
    <n v="-50.325441496000003"/>
    <m/>
    <m/>
    <m/>
    <m/>
    <m/>
    <m/>
    <m/>
    <m/>
    <m/>
    <m/>
    <m/>
    <x v="152"/>
    <m/>
    <x v="4"/>
    <m/>
    <x v="2"/>
    <x v="1"/>
    <x v="31"/>
    <m/>
    <m/>
    <m/>
    <m/>
    <m/>
    <m/>
  </r>
  <r>
    <n v="194.468253385"/>
    <m/>
    <m/>
    <m/>
    <m/>
    <m/>
    <m/>
    <m/>
    <m/>
    <m/>
    <m/>
    <m/>
    <x v="152"/>
    <m/>
    <x v="4"/>
    <m/>
    <x v="2"/>
    <x v="1"/>
    <x v="31"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7">
  <r>
    <e v="#VALUE!"/>
    <d v="2019-10-12T00:00:00"/>
    <s v="005-00000038"/>
    <s v="AJF-554"/>
    <s v="CHEVROLET"/>
    <s v="SAIL"/>
    <x v="0"/>
    <d v="2019-10-12T00:00:00"/>
    <m/>
    <x v="0"/>
    <n v="0"/>
    <n v="0"/>
    <m/>
    <x v="0"/>
    <n v="0"/>
    <n v="0"/>
    <m/>
    <n v="0"/>
    <s v="MECANICA"/>
    <m/>
    <m/>
    <m/>
    <m/>
    <m/>
    <m/>
    <n v="5"/>
    <m/>
    <m/>
    <n v="0"/>
  </r>
  <r>
    <e v="#VALUE!"/>
    <d v="2019-10-12T00:00:00"/>
    <s v="005-00000039"/>
    <s v="AHV-326"/>
    <s v="WOLKWAGEN"/>
    <s v="GOL"/>
    <x v="0"/>
    <d v="2019-10-12T00:00:00"/>
    <m/>
    <x v="0"/>
    <n v="0"/>
    <n v="0"/>
    <m/>
    <x v="0"/>
    <n v="0"/>
    <n v="0"/>
    <m/>
    <n v="0"/>
    <s v="MECANICA"/>
    <m/>
    <m/>
    <m/>
    <m/>
    <m/>
    <m/>
    <n v="2.67"/>
    <m/>
    <m/>
    <n v="200"/>
  </r>
  <r>
    <e v="#VALUE!"/>
    <d v="2019-10-16T00:00:00"/>
    <s v="005-00000017"/>
    <s v="ATK-580"/>
    <s v="KIA"/>
    <s v="CERATO"/>
    <x v="0"/>
    <d v="2019-10-16T00:00:00"/>
    <m/>
    <x v="0"/>
    <n v="0"/>
    <n v="0"/>
    <m/>
    <x v="0"/>
    <n v="0"/>
    <n v="0"/>
    <m/>
    <n v="280"/>
    <s v="MECANICA"/>
    <m/>
    <m/>
    <m/>
    <m/>
    <m/>
    <m/>
    <n v="0"/>
    <s v="SI"/>
    <m/>
    <n v="0"/>
  </r>
  <r>
    <e v="#VALUE!"/>
    <d v="2019-10-16T00:00:00"/>
    <s v="005-00000038"/>
    <s v="AJF-554"/>
    <s v="CHEVROLET"/>
    <s v="SAIL"/>
    <x v="0"/>
    <d v="2019-10-16T00:00:00"/>
    <m/>
    <x v="0"/>
    <n v="0"/>
    <n v="0"/>
    <m/>
    <x v="0"/>
    <n v="0"/>
    <n v="0"/>
    <m/>
    <n v="630"/>
    <s v="MECANICA"/>
    <m/>
    <m/>
    <m/>
    <m/>
    <m/>
    <m/>
    <n v="0"/>
    <s v="SI"/>
    <m/>
    <n v="0"/>
  </r>
  <r>
    <e v="#VALUE!"/>
    <d v="2019-10-16T00:00:00"/>
    <s v="005-00000039"/>
    <s v="AHV-326"/>
    <s v="WOLKWAGEN"/>
    <s v="GOL"/>
    <x v="0"/>
    <d v="2019-10-16T00:00:00"/>
    <m/>
    <x v="0"/>
    <n v="0"/>
    <n v="0"/>
    <m/>
    <x v="0"/>
    <n v="0"/>
    <n v="0"/>
    <m/>
    <n v="155"/>
    <s v="MECANICA"/>
    <m/>
    <m/>
    <m/>
    <m/>
    <m/>
    <m/>
    <n v="0"/>
    <s v="SI"/>
    <m/>
    <n v="0"/>
  </r>
  <r>
    <e v="#VALUE!"/>
    <d v="2019-10-18T00:00:00"/>
    <s v="005-00000029"/>
    <s v="BEQ-226"/>
    <s v="CHEVROLET"/>
    <s v="SAIL"/>
    <x v="0"/>
    <d v="2019-10-17T00:00:00"/>
    <m/>
    <x v="0"/>
    <n v="0"/>
    <n v="0"/>
    <m/>
    <x v="0"/>
    <n v="0"/>
    <n v="0"/>
    <s v="SI"/>
    <n v="495"/>
    <s v="MECANICA"/>
    <m/>
    <m/>
    <m/>
    <m/>
    <m/>
    <m/>
    <n v="1"/>
    <m/>
    <m/>
    <n v="0"/>
  </r>
  <r>
    <e v="#VALUE!"/>
    <d v="2019-11-07T00:00:00"/>
    <s v="005-00000157"/>
    <s v="F6N-413"/>
    <s v="BYD"/>
    <n v="3161"/>
    <x v="0"/>
    <d v="2019-11-05T00:00:00"/>
    <m/>
    <x v="0"/>
    <n v="0"/>
    <n v="0"/>
    <m/>
    <x v="0"/>
    <n v="0"/>
    <n v="0"/>
    <m/>
    <n v="0"/>
    <s v="MEDIANO"/>
    <m/>
    <m/>
    <m/>
    <m/>
    <m/>
    <m/>
    <n v="2.67"/>
    <m/>
    <m/>
    <n v="0"/>
  </r>
  <r>
    <e v="#VALUE!"/>
    <d v="2019-11-08T00:00:00"/>
    <s v="005-00000164"/>
    <s v="F1P-230"/>
    <s v="CHEVROLET"/>
    <s v="SAIL"/>
    <x v="0"/>
    <d v="2019-11-07T00:00:00"/>
    <m/>
    <x v="0"/>
    <n v="0"/>
    <n v="0"/>
    <m/>
    <x v="0"/>
    <n v="0"/>
    <n v="0"/>
    <s v="SI"/>
    <n v="185.07"/>
    <s v="MEDIANO"/>
    <n v="222.6"/>
    <n v="152"/>
    <n v="76.25"/>
    <n v="74.75"/>
    <n v="70.599999999999994"/>
    <n v="1.5"/>
    <n v="3"/>
    <m/>
    <m/>
    <n v="0"/>
  </r>
  <r>
    <e v="#VALUE!"/>
    <d v="2019-11-08T00:00:00"/>
    <s v="005-00000163"/>
    <s v="F2I-424"/>
    <s v="BYD"/>
    <s v="F3"/>
    <x v="0"/>
    <d v="2019-11-07T00:00:00"/>
    <s v="WILLIAMS"/>
    <x v="1"/>
    <n v="3"/>
    <n v="0"/>
    <m/>
    <x v="0"/>
    <n v="0"/>
    <n v="0"/>
    <s v="SI"/>
    <n v="232.238"/>
    <s v="LEVE"/>
    <m/>
    <m/>
    <m/>
    <m/>
    <m/>
    <m/>
    <n v="1"/>
    <m/>
    <m/>
    <n v="0"/>
  </r>
  <r>
    <e v="#VALUE!"/>
    <d v="2019-11-08T00:00:00"/>
    <s v="005-00000162"/>
    <s v="F0S-053"/>
    <s v="NISSAN"/>
    <s v="SENTRA"/>
    <x v="0"/>
    <d v="2019-11-07T00:00:00"/>
    <m/>
    <x v="0"/>
    <n v="0"/>
    <n v="0"/>
    <m/>
    <x v="0"/>
    <n v="0"/>
    <n v="0"/>
    <m/>
    <n v="62.686"/>
    <s v="MEDIANO"/>
    <m/>
    <m/>
    <m/>
    <m/>
    <m/>
    <m/>
    <n v="3"/>
    <m/>
    <m/>
    <n v="0"/>
  </r>
  <r>
    <e v="#VALUE!"/>
    <d v="2019-11-08T00:00:00"/>
    <s v="005-00000052"/>
    <s v="B5O-086"/>
    <s v="NISSAN"/>
    <s v="TIIDA"/>
    <x v="0"/>
    <d v="2019-11-08T00:00:00"/>
    <m/>
    <x v="0"/>
    <n v="0"/>
    <n v="0"/>
    <m/>
    <x v="0"/>
    <n v="0"/>
    <n v="0"/>
    <m/>
    <n v="0"/>
    <s v="MEDIANO"/>
    <m/>
    <m/>
    <m/>
    <m/>
    <m/>
    <m/>
    <n v="2.67"/>
    <m/>
    <m/>
    <n v="0"/>
  </r>
  <r>
    <e v="#VALUE!"/>
    <d v="2019-11-08T00:00:00"/>
    <s v="005-00000051"/>
    <s v="ANZ-637"/>
    <s v="CHEVROLET"/>
    <s v="SAIL"/>
    <x v="0"/>
    <d v="2019-11-05T00:00:00"/>
    <s v="WILLIAMS"/>
    <x v="0"/>
    <n v="0"/>
    <n v="0"/>
    <s v="PINTOR"/>
    <x v="0"/>
    <n v="0"/>
    <n v="0"/>
    <s v="SI"/>
    <n v="71.64"/>
    <s v="MEDIANO"/>
    <m/>
    <m/>
    <m/>
    <m/>
    <m/>
    <m/>
    <n v="1"/>
    <m/>
    <m/>
    <n v="0"/>
  </r>
  <r>
    <e v="#VALUE!"/>
    <d v="2019-11-12T00:00:00"/>
    <s v="005-00000151"/>
    <s v="AMD-392"/>
    <s v="HYUNDAI"/>
    <s v="ACCENT"/>
    <x v="0"/>
    <d v="2019-11-11T00:00:00"/>
    <s v="WILLIAMS"/>
    <x v="1"/>
    <n v="2"/>
    <n v="0"/>
    <m/>
    <x v="0"/>
    <n v="0"/>
    <n v="0"/>
    <s v="SI"/>
    <n v="50.746000000000002"/>
    <s v="LEVE"/>
    <m/>
    <m/>
    <m/>
    <m/>
    <m/>
    <m/>
    <n v="0"/>
    <s v="SI"/>
    <m/>
    <n v="29.85"/>
  </r>
  <r>
    <e v="#VALUE!"/>
    <d v="2019-11-12T00:00:00"/>
    <s v="005-00000173"/>
    <s v="APB-579"/>
    <s v="HYUNDAI"/>
    <s v="ACCENT"/>
    <x v="0"/>
    <d v="2019-10-11T00:00:00"/>
    <m/>
    <x v="0"/>
    <n v="0"/>
    <n v="0"/>
    <m/>
    <x v="0"/>
    <n v="0"/>
    <n v="0"/>
    <m/>
    <n v="62.984999999999999"/>
    <s v="MEDIANO"/>
    <m/>
    <m/>
    <m/>
    <m/>
    <m/>
    <m/>
    <n v="1"/>
    <s v="SI"/>
    <m/>
    <n v="0"/>
  </r>
  <r>
    <e v="#VALUE!"/>
    <d v="2019-11-13T00:00:00"/>
    <s v="005-00000189"/>
    <s v="F2I-424"/>
    <s v="BYD"/>
    <s v="F3"/>
    <x v="0"/>
    <d v="2019-11-13T00:00:00"/>
    <m/>
    <x v="0"/>
    <n v="0"/>
    <n v="0"/>
    <m/>
    <x v="0"/>
    <n v="0"/>
    <n v="0"/>
    <m/>
    <n v="83.58"/>
    <s v="MEDIANO"/>
    <m/>
    <m/>
    <m/>
    <m/>
    <m/>
    <m/>
    <n v="0"/>
    <s v="SI"/>
    <m/>
    <n v="0"/>
  </r>
  <r>
    <e v="#VALUE!"/>
    <d v="2019-11-20T00:00:00"/>
    <s v="005-00000107"/>
    <s v="AHV-171"/>
    <s v="KIA"/>
    <s v="RIO"/>
    <x v="0"/>
    <m/>
    <m/>
    <x v="0"/>
    <n v="0"/>
    <n v="0"/>
    <m/>
    <x v="0"/>
    <n v="0"/>
    <n v="0"/>
    <m/>
    <n v="0"/>
    <s v="MEDIANO"/>
    <m/>
    <m/>
    <m/>
    <m/>
    <m/>
    <m/>
    <n v="3"/>
    <m/>
    <m/>
    <n v="670"/>
  </r>
  <r>
    <e v="#VALUE!"/>
    <d v="2019-11-21T00:00:00"/>
    <s v="005-00000193"/>
    <s v="ARN-470"/>
    <s v="BYD"/>
    <s v="F3"/>
    <x v="0"/>
    <d v="2019-11-20T00:00:00"/>
    <m/>
    <x v="0"/>
    <n v="0"/>
    <n v="0"/>
    <m/>
    <x v="0"/>
    <n v="0"/>
    <n v="0"/>
    <s v="SI"/>
    <n v="411.04"/>
    <s v="MEDIANO"/>
    <m/>
    <m/>
    <m/>
    <m/>
    <m/>
    <m/>
    <n v="12.3"/>
    <m/>
    <m/>
    <n v="29.85"/>
  </r>
  <r>
    <e v="#VALUE!"/>
    <d v="2019-11-22T00:00:00"/>
    <s v="005-00000178"/>
    <s v="D9V-073"/>
    <s v="CHEVROLET"/>
    <s v="SAIL"/>
    <x v="0"/>
    <d v="2019-11-20T00:00:00"/>
    <s v="WILLIAMS"/>
    <x v="0"/>
    <n v="5"/>
    <n v="0"/>
    <m/>
    <x v="0"/>
    <n v="0"/>
    <n v="0"/>
    <m/>
    <n v="0"/>
    <s v="LEVE"/>
    <m/>
    <m/>
    <m/>
    <m/>
    <m/>
    <m/>
    <n v="0"/>
    <m/>
    <m/>
    <n v="29.85"/>
  </r>
  <r>
    <e v="#VALUE!"/>
    <d v="2019-12-02T00:00:00"/>
    <s v="005-00000222"/>
    <s v="F5O-186"/>
    <s v="NISSAN"/>
    <s v="TIIDA"/>
    <x v="0"/>
    <d v="2019-12-02T00:00:00"/>
    <m/>
    <x v="0"/>
    <n v="0"/>
    <n v="0"/>
    <m/>
    <x v="0"/>
    <n v="0"/>
    <n v="0"/>
    <m/>
    <n v="106.06"/>
    <s v="LEVE"/>
    <m/>
    <m/>
    <m/>
    <m/>
    <m/>
    <m/>
    <n v="2"/>
    <m/>
    <m/>
    <n v="93.93"/>
  </r>
  <r>
    <e v="#VALUE!"/>
    <d v="2019-12-04T00:00:00"/>
    <s v="005-00000108"/>
    <s v="ADG-324"/>
    <s v="BYD"/>
    <s v="F3"/>
    <x v="0"/>
    <d v="2019-12-03T00:00:00"/>
    <m/>
    <x v="0"/>
    <n v="0"/>
    <n v="0"/>
    <m/>
    <x v="0"/>
    <n v="0"/>
    <n v="0"/>
    <s v="SI"/>
    <n v="615.45000000000005"/>
    <s v="LEVE"/>
    <m/>
    <m/>
    <m/>
    <m/>
    <m/>
    <m/>
    <n v="8"/>
    <m/>
    <m/>
    <n v="62.2"/>
  </r>
  <r>
    <e v="#VALUE!"/>
    <d v="2019-12-06T00:00:00"/>
    <s v="005-00000244"/>
    <s v="D2X-491"/>
    <s v="CHEVROLET"/>
    <s v="CHEVROLET"/>
    <x v="0"/>
    <d v="2019-12-06T00:00:00"/>
    <m/>
    <x v="0"/>
    <n v="0"/>
    <n v="0"/>
    <m/>
    <x v="0"/>
    <n v="0"/>
    <n v="0"/>
    <s v="SI"/>
    <n v="244.45"/>
    <s v="GRAVE"/>
    <m/>
    <m/>
    <m/>
    <m/>
    <m/>
    <m/>
    <n v="1"/>
    <m/>
    <m/>
    <n v="0"/>
  </r>
  <r>
    <e v="#VALUE!"/>
    <d v="2019-12-06T00:00:00"/>
    <s v="005-00000243"/>
    <s v="AVV-131"/>
    <s v="HYUNDAI"/>
    <s v="HYUNDAI"/>
    <x v="0"/>
    <d v="2019-12-06T00:00:00"/>
    <m/>
    <x v="0"/>
    <n v="0"/>
    <n v="0"/>
    <m/>
    <x v="0"/>
    <n v="0"/>
    <n v="0"/>
    <s v="SI"/>
    <n v="378.79"/>
    <s v="GRAVE"/>
    <m/>
    <m/>
    <m/>
    <m/>
    <m/>
    <m/>
    <n v="0"/>
    <m/>
    <m/>
    <n v="21.21"/>
  </r>
  <r>
    <e v="#VALUE!"/>
    <d v="2019-12-06T00:00:00"/>
    <s v="005-00000203"/>
    <s v="ARM-473"/>
    <s v="CHEVROLET"/>
    <s v="CHEVROLET"/>
    <x v="0"/>
    <d v="2019-12-06T00:00:00"/>
    <s v="WILLIAMS"/>
    <x v="2"/>
    <n v="4"/>
    <n v="0"/>
    <m/>
    <x v="0"/>
    <n v="0"/>
    <n v="0"/>
    <s v="SI"/>
    <n v="109.09"/>
    <s v="LEVE"/>
    <m/>
    <m/>
    <m/>
    <m/>
    <m/>
    <m/>
    <n v="0"/>
    <m/>
    <m/>
    <n v="21.21"/>
  </r>
  <r>
    <e v="#VALUE!"/>
    <d v="2019-12-10T00:00:00"/>
    <s v="005-00000201"/>
    <s v="D9T-310"/>
    <s v="CHEVROLET"/>
    <s v="SAIL"/>
    <x v="0"/>
    <d v="2019-12-10T00:00:00"/>
    <s v="WILLIAMS"/>
    <x v="0"/>
    <n v="7"/>
    <n v="0"/>
    <m/>
    <x v="0"/>
    <n v="0"/>
    <n v="0"/>
    <m/>
    <n v="0"/>
    <s v="LEVE"/>
    <m/>
    <m/>
    <m/>
    <m/>
    <m/>
    <m/>
    <n v="0"/>
    <m/>
    <m/>
    <n v="0"/>
  </r>
  <r>
    <e v="#VALUE!"/>
    <d v="2019-12-10T00:00:00"/>
    <s v="005-00000190"/>
    <s v="AVV-131"/>
    <s v="HYUNDAI"/>
    <s v="ACCENT"/>
    <x v="0"/>
    <d v="2019-12-10T00:00:00"/>
    <s v="WILLIAMS"/>
    <x v="0"/>
    <n v="4"/>
    <n v="0"/>
    <m/>
    <x v="0"/>
    <n v="0"/>
    <n v="0"/>
    <m/>
    <n v="0"/>
    <s v="LEVE"/>
    <m/>
    <m/>
    <m/>
    <m/>
    <m/>
    <m/>
    <n v="0"/>
    <m/>
    <m/>
    <n v="0"/>
  </r>
  <r>
    <e v="#VALUE!"/>
    <d v="2019-12-30T00:00:00"/>
    <s v="005-00000243"/>
    <s v="AVV-131"/>
    <s v="HYUNDAI"/>
    <s v="ACCENT"/>
    <x v="0"/>
    <d v="2019-12-27T00:00:00"/>
    <s v="WILLIAMS"/>
    <x v="0"/>
    <n v="0"/>
    <n v="0"/>
    <m/>
    <x v="0"/>
    <n v="0"/>
    <n v="0"/>
    <s v="SI"/>
    <n v="106.06"/>
    <s v="MECANICA"/>
    <m/>
    <m/>
    <m/>
    <m/>
    <m/>
    <m/>
    <n v="0"/>
    <m/>
    <m/>
    <n v="0"/>
  </r>
  <r>
    <e v="#VALUE!"/>
    <d v="2019-12-31T00:00:00"/>
    <s v="005-00000275"/>
    <s v="F7Y-120"/>
    <s v="BYD"/>
    <s v="F3"/>
    <x v="0"/>
    <d v="2020-12-31T00:00:00"/>
    <m/>
    <x v="0"/>
    <n v="0"/>
    <n v="0"/>
    <m/>
    <x v="0"/>
    <n v="0"/>
    <n v="0"/>
    <s v="SI"/>
    <n v="282.72000000000003"/>
    <s v="MECANICA"/>
    <m/>
    <m/>
    <m/>
    <m/>
    <m/>
    <m/>
    <n v="0"/>
    <m/>
    <m/>
    <n v="0"/>
  </r>
  <r>
    <e v="#VALUE!"/>
    <d v="2020-01-06T00:00:00"/>
    <s v="005-00000309"/>
    <s v="BKY-290"/>
    <s v="BYD"/>
    <s v="F3"/>
    <x v="0"/>
    <d v="2020-01-06T00:00:00"/>
    <s v="WILLIAMS"/>
    <x v="3"/>
    <n v="8"/>
    <n v="0"/>
    <s v="PINTOR"/>
    <x v="0"/>
    <n v="0"/>
    <n v="0"/>
    <s v="SI"/>
    <n v="67.27"/>
    <s v="LEVE"/>
    <m/>
    <m/>
    <m/>
    <m/>
    <m/>
    <m/>
    <n v="0"/>
    <m/>
    <m/>
    <n v="90"/>
  </r>
  <r>
    <e v="#VALUE!"/>
    <d v="2020-01-06T00:00:00"/>
    <s v="005-00000308"/>
    <s v="BKD-354"/>
    <s v="CHEVROLET"/>
    <s v="SAIL"/>
    <x v="0"/>
    <d v="2020-01-06T00:00:00"/>
    <s v="WILLIAMS"/>
    <x v="4"/>
    <n v="22"/>
    <n v="0"/>
    <s v="PINTOR"/>
    <x v="0"/>
    <n v="0"/>
    <n v="0"/>
    <s v="SI"/>
    <n v="276.95999999999998"/>
    <s v="LEVE"/>
    <m/>
    <m/>
    <m/>
    <m/>
    <m/>
    <m/>
    <n v="0"/>
    <m/>
    <m/>
    <n v="90.9"/>
  </r>
  <r>
    <e v="#VALUE!"/>
    <d v="2020-01-07T00:00:00"/>
    <s v="005-00000228"/>
    <s v="D1Q-268"/>
    <s v="CHEVROLET"/>
    <s v="SAIL"/>
    <x v="0"/>
    <d v="2020-01-06T00:00:00"/>
    <m/>
    <x v="0"/>
    <n v="0"/>
    <n v="0"/>
    <m/>
    <x v="0"/>
    <n v="0"/>
    <n v="0"/>
    <s v="SI"/>
    <n v="409.09"/>
    <s v="MECANICA"/>
    <m/>
    <m/>
    <m/>
    <m/>
    <m/>
    <m/>
    <n v="2"/>
    <s v="SI"/>
    <m/>
    <n v="409.09"/>
  </r>
  <r>
    <e v="#VALUE!"/>
    <d v="2020-01-07T00:00:00"/>
    <s v="005-00000186"/>
    <s v="F9A-025"/>
    <s v="CHEVROLET"/>
    <s v="SAIL"/>
    <x v="0"/>
    <d v="2020-01-06T00:00:00"/>
    <m/>
    <x v="0"/>
    <n v="0"/>
    <n v="0"/>
    <m/>
    <x v="0"/>
    <n v="0"/>
    <n v="0"/>
    <s v="SI"/>
    <n v="653.03"/>
    <s v="MECANICA"/>
    <m/>
    <m/>
    <m/>
    <m/>
    <m/>
    <m/>
    <n v="0"/>
    <s v="SI"/>
    <m/>
    <n v="0"/>
  </r>
  <r>
    <e v="#VALUE!"/>
    <d v="2020-01-07T00:00:00"/>
    <s v="005-00000242"/>
    <s v="ARM-473"/>
    <s v="CHEVROLET"/>
    <s v="SAIL"/>
    <x v="0"/>
    <d v="2020-01-06T00:00:00"/>
    <m/>
    <x v="0"/>
    <n v="0"/>
    <n v="0"/>
    <m/>
    <x v="0"/>
    <n v="0"/>
    <n v="0"/>
    <s v="SI"/>
    <n v="109.09"/>
    <s v="MECANICA"/>
    <m/>
    <m/>
    <m/>
    <m/>
    <m/>
    <m/>
    <n v="4"/>
    <s v="SI"/>
    <m/>
    <n v="0"/>
  </r>
  <r>
    <e v="#VALUE!"/>
    <d v="2020-01-15T00:00:00"/>
    <s v="005-00000272"/>
    <s v="D2X-491"/>
    <s v="CHEVROLET"/>
    <s v="SAIL"/>
    <x v="0"/>
    <d v="2020-01-15T00:00:00"/>
    <m/>
    <x v="0"/>
    <n v="0"/>
    <n v="0"/>
    <m/>
    <x v="0"/>
    <n v="0"/>
    <n v="0"/>
    <m/>
    <n v="0"/>
    <s v="LEVE"/>
    <m/>
    <m/>
    <m/>
    <m/>
    <m/>
    <m/>
    <n v="0"/>
    <m/>
    <m/>
    <n v="6.06"/>
  </r>
  <r>
    <e v="#VALUE!"/>
    <d v="2020-01-20T00:00:00"/>
    <s v="005-00000294"/>
    <s v="AXU-411"/>
    <s v="CHEVROLET"/>
    <s v="N300"/>
    <x v="0"/>
    <d v="2020-01-20T00:00:00"/>
    <m/>
    <x v="0"/>
    <n v="0"/>
    <n v="0"/>
    <m/>
    <x v="0"/>
    <n v="0"/>
    <n v="0"/>
    <m/>
    <n v="0"/>
    <s v="LEVE"/>
    <m/>
    <m/>
    <m/>
    <m/>
    <m/>
    <m/>
    <n v="0"/>
    <s v="SI"/>
    <m/>
    <n v="4.5"/>
  </r>
  <r>
    <e v="#VALUE!"/>
    <d v="2020-01-27T00:00:00"/>
    <s v="005-00000294"/>
    <s v="AXU-411"/>
    <s v="CHEVROLET"/>
    <s v="N300"/>
    <x v="0"/>
    <d v="2020-01-27T00:00:00"/>
    <m/>
    <x v="0"/>
    <n v="0"/>
    <n v="0"/>
    <m/>
    <x v="0"/>
    <n v="0"/>
    <n v="0"/>
    <s v="SI"/>
    <n v="339.04"/>
    <s v="MECANICA"/>
    <n v="0"/>
    <n v="0"/>
    <n v="0"/>
    <n v="0"/>
    <n v="0"/>
    <n v="0"/>
    <n v="4"/>
    <s v="SI"/>
    <m/>
    <n v="0"/>
  </r>
  <r>
    <e v="#VALUE!"/>
    <d v="2020-01-27T00:00:00"/>
    <s v="005-00000310"/>
    <s v="AZN-215"/>
    <s v="CHEVROLET"/>
    <s v="SAIL"/>
    <x v="0"/>
    <d v="2020-01-27T00:00:00"/>
    <m/>
    <x v="0"/>
    <n v="0"/>
    <n v="0"/>
    <m/>
    <x v="0"/>
    <n v="0"/>
    <n v="0"/>
    <s v="SI"/>
    <n v="106.06"/>
    <s v="LEVE"/>
    <m/>
    <m/>
    <m/>
    <m/>
    <m/>
    <m/>
    <n v="0"/>
    <s v="SI"/>
    <m/>
    <n v="0"/>
  </r>
  <r>
    <e v="#VALUE!"/>
    <d v="2019-12-06T00:00:00"/>
    <s v="005-00000188"/>
    <s v="AJJ-599"/>
    <s v="KIA"/>
    <s v="RIO"/>
    <x v="0"/>
    <d v="2019-12-06T00:00:00"/>
    <m/>
    <x v="0"/>
    <n v="0"/>
    <n v="0"/>
    <s v="PINTOR"/>
    <x v="1"/>
    <n v="0.5"/>
    <n v="0"/>
    <m/>
    <n v="0"/>
    <s v="LEVE"/>
    <m/>
    <m/>
    <m/>
    <m/>
    <m/>
    <m/>
    <n v="0"/>
    <m/>
    <m/>
    <n v="0"/>
  </r>
  <r>
    <e v="#VALUE!"/>
    <d v="2019-12-30T00:00:00"/>
    <s v="005-00000293"/>
    <s v="AEM-292"/>
    <s v="HYUNDAI"/>
    <s v="ACCENT"/>
    <x v="0"/>
    <d v="2019-12-27T00:00:00"/>
    <s v="WILLIAMS"/>
    <x v="1"/>
    <n v="3"/>
    <n v="0"/>
    <s v="PINTOR"/>
    <x v="2"/>
    <n v="0.75"/>
    <n v="0"/>
    <s v="SI"/>
    <n v="263.63"/>
    <s v="LEVE"/>
    <m/>
    <m/>
    <m/>
    <m/>
    <m/>
    <m/>
    <n v="0"/>
    <m/>
    <m/>
    <n v="36.36"/>
  </r>
  <r>
    <e v="#VALUE!"/>
    <d v="2019-10-22T00:00:00"/>
    <s v="005-00000029"/>
    <s v="BEQ-226"/>
    <s v="CHEVROLET"/>
    <s v="SAIL"/>
    <x v="0"/>
    <d v="2019-10-22T00:00:00"/>
    <m/>
    <x v="0"/>
    <n v="0"/>
    <n v="0"/>
    <s v="PINTOR"/>
    <x v="3"/>
    <n v="1"/>
    <n v="0"/>
    <m/>
    <n v="0"/>
    <s v="LEVE"/>
    <m/>
    <m/>
    <m/>
    <m/>
    <m/>
    <m/>
    <n v="0"/>
    <m/>
    <m/>
    <n v="0"/>
  </r>
  <r>
    <e v="#VALUE!"/>
    <d v="2019-11-06T00:00:00"/>
    <s v="005-00000155"/>
    <s v="C4W-101"/>
    <s v="CHEVROLET"/>
    <s v="CRUZE"/>
    <x v="0"/>
    <d v="2019-11-05T00:00:00"/>
    <s v="WILLIAMS"/>
    <x v="5"/>
    <n v="1.5"/>
    <n v="0"/>
    <s v="PINTOR"/>
    <x v="3"/>
    <n v="1"/>
    <n v="0"/>
    <m/>
    <n v="0"/>
    <s v="LEVE"/>
    <m/>
    <m/>
    <m/>
    <m/>
    <m/>
    <m/>
    <n v="0"/>
    <m/>
    <m/>
    <n v="0"/>
  </r>
  <r>
    <e v="#VALUE!"/>
    <d v="2019-11-06T00:00:00"/>
    <s v="005-00000130"/>
    <s v="C4W-101"/>
    <s v="CHEVROLET"/>
    <s v="CRUZE"/>
    <x v="0"/>
    <d v="2019-11-05T00:00:00"/>
    <s v="WILLIAMS"/>
    <x v="5"/>
    <n v="1.5"/>
    <n v="0"/>
    <s v="PINTOR"/>
    <x v="3"/>
    <n v="1"/>
    <n v="0"/>
    <m/>
    <n v="0"/>
    <s v="LEVE"/>
    <m/>
    <m/>
    <m/>
    <m/>
    <m/>
    <m/>
    <n v="0"/>
    <m/>
    <m/>
    <n v="0"/>
  </r>
  <r>
    <e v="#VALUE!"/>
    <d v="2019-10-24T00:00:00"/>
    <s v="005-00000055"/>
    <s v="AEM-292"/>
    <s v="HYUNDAY"/>
    <s v="ACCENT"/>
    <x v="0"/>
    <d v="2019-10-22T00:00:00"/>
    <s v="WILLIAMS"/>
    <x v="6"/>
    <n v="5"/>
    <n v="0"/>
    <s v="PINTOR"/>
    <x v="4"/>
    <n v="6"/>
    <n v="0"/>
    <s v="SI"/>
    <n v="629.96"/>
    <s v="LEVE"/>
    <m/>
    <m/>
    <m/>
    <m/>
    <m/>
    <m/>
    <n v="10.25"/>
    <m/>
    <m/>
    <n v="136.30000000000001"/>
  </r>
  <r>
    <e v="#VALUE!"/>
    <d v="2019-12-11T00:00:00"/>
    <s v="005-00000252"/>
    <s v="BJJ-554"/>
    <s v="CHEVROLET"/>
    <s v="COBALT"/>
    <x v="0"/>
    <d v="2019-12-09T00:00:00"/>
    <s v="WILLIAMS"/>
    <x v="7"/>
    <n v="8"/>
    <n v="0"/>
    <s v="PINTOR"/>
    <x v="5"/>
    <n v="8"/>
    <n v="0"/>
    <s v="SI"/>
    <n v="150"/>
    <s v="LEVE"/>
    <m/>
    <m/>
    <m/>
    <m/>
    <m/>
    <m/>
    <n v="9.25"/>
    <m/>
    <m/>
    <n v="62.12"/>
  </r>
  <r>
    <e v="#VALUE!"/>
    <d v="2019-10-11T00:00:00"/>
    <s v="005-00000028"/>
    <s v="BBH-363"/>
    <s v="KIA"/>
    <s v="RIO"/>
    <x v="0"/>
    <d v="2019-10-10T00:00:00"/>
    <s v="WILLIAMS"/>
    <x v="8"/>
    <n v="7"/>
    <n v="0"/>
    <s v="PINTOR"/>
    <x v="6"/>
    <n v="8.25"/>
    <n v="0"/>
    <s v="SI"/>
    <n v="224"/>
    <s v="LEVE"/>
    <m/>
    <m/>
    <m/>
    <m/>
    <m/>
    <m/>
    <n v="7"/>
    <m/>
    <m/>
    <n v="230"/>
  </r>
  <r>
    <e v="#VALUE!"/>
    <d v="2019-10-23T00:00:00"/>
    <s v="005-00000046"/>
    <s v="BEV-036"/>
    <s v="CHEVROLET"/>
    <s v="COBALT"/>
    <x v="0"/>
    <d v="2019-10-22T00:00:00"/>
    <s v="WILLIAMS"/>
    <x v="9"/>
    <n v="11"/>
    <n v="0"/>
    <s v="PINTOR"/>
    <x v="7"/>
    <n v="9"/>
    <n v="0"/>
    <s v="SI"/>
    <n v="420"/>
    <s v="MEDIANO"/>
    <m/>
    <m/>
    <m/>
    <m/>
    <m/>
    <m/>
    <n v="9.25"/>
    <m/>
    <m/>
    <n v="0"/>
  </r>
  <r>
    <e v="#VALUE!"/>
    <d v="2019-10-11T00:00:00"/>
    <s v="005-00000027"/>
    <s v="BHA-218"/>
    <s v="CHEVROLET"/>
    <s v="SAIL"/>
    <x v="0"/>
    <d v="2019-10-10T00:00:00"/>
    <s v="WILLIAMS"/>
    <x v="10"/>
    <n v="14"/>
    <n v="0"/>
    <s v="PINTOR"/>
    <x v="8"/>
    <n v="9"/>
    <n v="0"/>
    <s v="SI"/>
    <n v="816"/>
    <s v="MEDIANO"/>
    <n v="201"/>
    <n v="159"/>
    <n v="111.25"/>
    <n v="105.75"/>
    <n v="42"/>
    <n v="5.5"/>
    <n v="6"/>
    <m/>
    <m/>
    <n v="230"/>
  </r>
  <r>
    <e v="#VALUE!"/>
    <d v="2019-10-21T00:00:00"/>
    <s v="005-00000065"/>
    <s v="APA-238"/>
    <s v="HYUNDAY"/>
    <s v="ACCENT"/>
    <x v="0"/>
    <d v="2019-10-21T00:00:00"/>
    <s v="WILLIAMS"/>
    <x v="11"/>
    <n v="10"/>
    <n v="0"/>
    <s v="PINTOR"/>
    <x v="9"/>
    <n v="10"/>
    <n v="0"/>
    <s v="SI"/>
    <n v="1160"/>
    <s v="MEDIANO"/>
    <m/>
    <m/>
    <m/>
    <m/>
    <m/>
    <m/>
    <n v="8.25"/>
    <m/>
    <m/>
    <n v="400"/>
  </r>
  <r>
    <e v="#VALUE!"/>
    <d v="2019-10-11T00:00:00"/>
    <s v="005-00000029"/>
    <s v="BEQ-226"/>
    <s v="CHEVROLET"/>
    <s v="SAIL"/>
    <x v="0"/>
    <d v="2019-10-10T00:00:00"/>
    <s v="WILLIAMS"/>
    <x v="12"/>
    <n v="17"/>
    <n v="0"/>
    <s v="PINTOR"/>
    <x v="10"/>
    <n v="11"/>
    <n v="0"/>
    <s v="SI"/>
    <n v="3275"/>
    <s v="GRAVE"/>
    <m/>
    <m/>
    <m/>
    <m/>
    <m/>
    <m/>
    <n v="14"/>
    <m/>
    <m/>
    <n v="930"/>
  </r>
  <r>
    <e v="#VALUE!"/>
    <d v="2019-10-11T00:00:00"/>
    <s v="005-00000016"/>
    <s v="AUK-009"/>
    <s v="KIA"/>
    <s v="RIO"/>
    <x v="0"/>
    <d v="2019-10-10T00:00:00"/>
    <s v="WILLIAMS"/>
    <x v="10"/>
    <n v="12"/>
    <n v="0"/>
    <s v="PINTOR"/>
    <x v="10"/>
    <n v="10"/>
    <n v="0"/>
    <s v="SI"/>
    <n v="2652"/>
    <s v="MEDIANO"/>
    <m/>
    <m/>
    <m/>
    <m/>
    <m/>
    <m/>
    <n v="9"/>
    <m/>
    <m/>
    <n v="140"/>
  </r>
  <r>
    <e v="#VALUE!"/>
    <d v="2019-10-11T00:00:00"/>
    <s v="005-00000018"/>
    <s v="AWG-565"/>
    <s v="KIA"/>
    <s v="CERATO"/>
    <x v="0"/>
    <d v="2019-10-10T00:00:00"/>
    <s v="WILLIAMS"/>
    <x v="11"/>
    <n v="17"/>
    <n v="0"/>
    <s v="PINTOR"/>
    <x v="11"/>
    <n v="12"/>
    <n v="0"/>
    <s v="SI"/>
    <n v="1564"/>
    <s v="MEDIANO"/>
    <m/>
    <m/>
    <m/>
    <m/>
    <m/>
    <m/>
    <n v="8"/>
    <m/>
    <m/>
    <n v="500"/>
  </r>
  <r>
    <e v="#VALUE!"/>
    <d v="2019-10-23T00:00:00"/>
    <s v="005-00000085"/>
    <s v="BDS-657"/>
    <s v="CHEVROLET"/>
    <s v="SAIL"/>
    <x v="0"/>
    <d v="2019-10-22T00:00:00"/>
    <s v="WILLIAMS"/>
    <x v="10"/>
    <n v="12"/>
    <n v="0"/>
    <s v="PINTOR"/>
    <x v="12"/>
    <n v="12.5"/>
    <n v="0"/>
    <s v="SI"/>
    <n v="372.72"/>
    <s v="MEDIANO"/>
    <m/>
    <m/>
    <m/>
    <m/>
    <m/>
    <m/>
    <n v="9.25"/>
    <m/>
    <m/>
    <n v="42.42"/>
  </r>
  <r>
    <e v="#VALUE!"/>
    <d v="2019-11-06T00:00:00"/>
    <s v="005-00000105"/>
    <s v="AZF-323"/>
    <s v="KIA"/>
    <s v="RIO"/>
    <x v="0"/>
    <d v="2019-11-05T00:00:00"/>
    <s v="WILLIAMS"/>
    <x v="13"/>
    <n v="21"/>
    <n v="0"/>
    <s v="PINTOR"/>
    <x v="12"/>
    <n v="12.5"/>
    <n v="0"/>
    <s v="SI"/>
    <n v="1483.88"/>
    <s v="GRAVE"/>
    <m/>
    <m/>
    <m/>
    <m/>
    <m/>
    <m/>
    <n v="0"/>
    <m/>
    <m/>
    <n v="310.447"/>
  </r>
  <r>
    <e v="#VALUE!"/>
    <d v="2020-01-10T00:00:00"/>
    <s v="005-00000313"/>
    <s v="AUG-197"/>
    <s v="CHEVROLET"/>
    <s v="SAIL"/>
    <x v="0"/>
    <d v="2020-01-08T00:00:00"/>
    <s v="WILLIAMS"/>
    <x v="14"/>
    <n v="33"/>
    <n v="0"/>
    <s v="PINTOR"/>
    <x v="13"/>
    <n v="13"/>
    <n v="0"/>
    <s v="SI"/>
    <n v="1965.33"/>
    <s v="GRAVE"/>
    <m/>
    <m/>
    <m/>
    <m/>
    <m/>
    <m/>
    <n v="23"/>
    <m/>
    <m/>
    <n v="374.24"/>
  </r>
  <r>
    <e v="#VALUE!"/>
    <d v="2019-11-06T00:00:00"/>
    <s v="005-00000109"/>
    <s v="F6Q-533"/>
    <s v="CHEVROLET"/>
    <s v="SAIL"/>
    <x v="0"/>
    <d v="2019-11-05T00:00:00"/>
    <s v="WILLIAMS"/>
    <x v="15"/>
    <n v="18"/>
    <n v="0"/>
    <s v="PINTOR"/>
    <x v="14"/>
    <n v="13.5"/>
    <n v="0"/>
    <s v="SI"/>
    <n v="931.04399999999998"/>
    <s v="GRAVE"/>
    <m/>
    <m/>
    <m/>
    <m/>
    <m/>
    <m/>
    <n v="21.25"/>
    <m/>
    <m/>
    <n v="1185"/>
  </r>
  <r>
    <e v="#VALUE!"/>
    <d v="2019-12-18T00:00:00"/>
    <s v="005-00000258"/>
    <s v="D3W-105"/>
    <s v="CHEVROLET"/>
    <s v="SAIL"/>
    <x v="0"/>
    <d v="2019-12-18T00:00:00"/>
    <s v="WILLIAMS"/>
    <x v="16"/>
    <n v="12"/>
    <n v="0"/>
    <s v="PINTOR"/>
    <x v="14"/>
    <n v="13.5"/>
    <n v="0"/>
    <s v="SI"/>
    <n v="1539.39"/>
    <s v="MEDIANO"/>
    <m/>
    <m/>
    <m/>
    <m/>
    <m/>
    <m/>
    <n v="0"/>
    <m/>
    <m/>
    <n v="0"/>
  </r>
  <r>
    <e v="#VALUE!"/>
    <d v="2020-01-07T00:00:00"/>
    <s v="005-00000307"/>
    <s v="BJS-447"/>
    <s v="BYD"/>
    <s v="F3"/>
    <x v="0"/>
    <d v="2020-01-06T00:00:00"/>
    <s v="WILLIAMS"/>
    <x v="17"/>
    <n v="14"/>
    <n v="0"/>
    <s v="PINTOR"/>
    <x v="14"/>
    <n v="13.5"/>
    <n v="0"/>
    <s v="SI"/>
    <n v="86.96"/>
    <s v="GRAVE"/>
    <m/>
    <m/>
    <m/>
    <m/>
    <m/>
    <m/>
    <n v="0"/>
    <m/>
    <m/>
    <n v="27.27"/>
  </r>
  <r>
    <e v="#VALUE!"/>
    <d v="2019-10-11T00:00:00"/>
    <s v="005-00000017"/>
    <s v="ATK-580"/>
    <s v="KIA"/>
    <s v="CERATO"/>
    <x v="0"/>
    <d v="2019-10-10T00:00:00"/>
    <s v="WILLIAMS"/>
    <x v="18"/>
    <n v="30"/>
    <n v="0"/>
    <s v="PINTOR"/>
    <x v="15"/>
    <n v="13.5"/>
    <n v="0"/>
    <s v="SI"/>
    <n v="2089"/>
    <s v="GRAVE"/>
    <m/>
    <m/>
    <m/>
    <m/>
    <m/>
    <m/>
    <n v="8"/>
    <m/>
    <m/>
    <n v="435"/>
  </r>
  <r>
    <e v="#VALUE!"/>
    <d v="2019-10-11T00:00:00"/>
    <s v="005-00000013"/>
    <s v="AYM-428"/>
    <s v="CHEVROLET"/>
    <s v="SAIL"/>
    <x v="0"/>
    <d v="2019-10-10T00:00:00"/>
    <s v="WILLIAMS"/>
    <x v="19"/>
    <n v="20"/>
    <n v="0"/>
    <s v="PINTOR"/>
    <x v="16"/>
    <n v="14"/>
    <n v="0"/>
    <s v="SI"/>
    <n v="2578"/>
    <s v="GRAVE"/>
    <m/>
    <m/>
    <m/>
    <m/>
    <m/>
    <m/>
    <n v="16"/>
    <m/>
    <m/>
    <n v="595"/>
  </r>
  <r>
    <e v="#VALUE!"/>
    <d v="2019-10-24T00:00:00"/>
    <s v="005-00000090"/>
    <s v="ARI-452"/>
    <s v="KIA"/>
    <s v="RIO"/>
    <x v="0"/>
    <d v="2019-10-22T00:00:00"/>
    <s v="WILLIAMS"/>
    <x v="20"/>
    <n v="20"/>
    <n v="0"/>
    <s v="PINTOR"/>
    <x v="16"/>
    <n v="14.5"/>
    <n v="0"/>
    <s v="SI"/>
    <n v="1060"/>
    <s v="GRAVE"/>
    <m/>
    <m/>
    <m/>
    <m/>
    <m/>
    <m/>
    <n v="20.25"/>
    <m/>
    <m/>
    <n v="263.63"/>
  </r>
  <r>
    <e v="#VALUE!"/>
    <d v="2019-10-11T00:00:00"/>
    <s v="005-00000026"/>
    <s v="BEN-484"/>
    <s v="CHEVROLET"/>
    <s v="SAIL"/>
    <x v="0"/>
    <d v="2019-10-10T00:00:00"/>
    <s v="WILLIAMS"/>
    <x v="4"/>
    <n v="17"/>
    <n v="0"/>
    <s v="PINTOR"/>
    <x v="17"/>
    <n v="13"/>
    <n v="0"/>
    <s v="SI"/>
    <n v="1517.6"/>
    <s v="GRAVE"/>
    <m/>
    <m/>
    <m/>
    <m/>
    <m/>
    <m/>
    <n v="7"/>
    <m/>
    <m/>
    <n v="280"/>
  </r>
  <r>
    <e v="#VALUE!"/>
    <d v="2019-11-08T00:00:00"/>
    <s v="005-00000165"/>
    <s v="AZQ-053"/>
    <s v="CHEVROLET"/>
    <s v="SAIL"/>
    <x v="0"/>
    <d v="2019-11-05T00:00:00"/>
    <s v="WILLIAMS"/>
    <x v="21"/>
    <n v="28"/>
    <n v="0"/>
    <s v="PINTOR"/>
    <x v="17"/>
    <n v="15"/>
    <n v="0"/>
    <s v="SI"/>
    <n v="1243.8800000000001"/>
    <s v="GRAVE"/>
    <m/>
    <m/>
    <m/>
    <m/>
    <m/>
    <m/>
    <n v="25.25"/>
    <m/>
    <m/>
    <n v="180.59"/>
  </r>
  <r>
    <e v="#VALUE!"/>
    <d v="2020-01-09T00:00:00"/>
    <s v="005-00000314"/>
    <s v="BCI-195"/>
    <s v="GREAT WALL"/>
    <s v="VOLEX"/>
    <x v="0"/>
    <d v="2020-09-08T00:00:00"/>
    <s v="WILLIAMS"/>
    <x v="22"/>
    <n v="20"/>
    <n v="0"/>
    <s v="PINTOR"/>
    <x v="17"/>
    <n v="15"/>
    <n v="0"/>
    <s v="SI"/>
    <n v="455.15"/>
    <s v="GRAVE"/>
    <m/>
    <m/>
    <m/>
    <m/>
    <m/>
    <m/>
    <n v="8.5"/>
    <m/>
    <m/>
    <n v="103.3"/>
  </r>
  <r>
    <e v="#VALUE!"/>
    <d v="2019-11-21T00:00:00"/>
    <s v="005-00000190"/>
    <s v="AVV-131"/>
    <s v="HYUNDAI"/>
    <s v="ACCENT"/>
    <x v="0"/>
    <d v="2019-11-20T00:00:00"/>
    <s v="WILLIAMS"/>
    <x v="23"/>
    <n v="28"/>
    <n v="0"/>
    <s v="PINTOR"/>
    <x v="18"/>
    <n v="15.5"/>
    <n v="0"/>
    <s v="SI"/>
    <n v="2529.9499999999998"/>
    <s v="GRAVE"/>
    <m/>
    <m/>
    <m/>
    <m/>
    <m/>
    <m/>
    <n v="23.25"/>
    <m/>
    <m/>
    <n v="0"/>
  </r>
  <r>
    <e v="#VALUE!"/>
    <d v="2019-10-21T00:00:00"/>
    <s v="005-00000069"/>
    <s v="ARP-079"/>
    <s v="HYUNDAY"/>
    <s v="ACCENT"/>
    <x v="0"/>
    <d v="2019-10-21T00:00:00"/>
    <s v="WILLIAMS"/>
    <x v="14"/>
    <n v="35"/>
    <n v="0"/>
    <s v="PINTOR"/>
    <x v="19"/>
    <n v="16"/>
    <n v="0"/>
    <s v="SI"/>
    <n v="0"/>
    <s v="GRAVE"/>
    <m/>
    <m/>
    <m/>
    <m/>
    <m/>
    <m/>
    <n v="16.25"/>
    <m/>
    <m/>
    <n v="0"/>
  </r>
  <r>
    <e v="#VALUE!"/>
    <d v="2019-11-08T00:00:00"/>
    <s v="005-00000107"/>
    <s v="AHV-171"/>
    <s v="KIA"/>
    <s v="RIO"/>
    <x v="0"/>
    <d v="2019-11-05T00:00:00"/>
    <s v="WILLIAMS"/>
    <x v="22"/>
    <n v="18"/>
    <n v="0"/>
    <s v="PINTOR"/>
    <x v="19"/>
    <n v="16"/>
    <n v="0"/>
    <s v="SI"/>
    <n v="1155.82"/>
    <s v="GRAVE"/>
    <m/>
    <m/>
    <m/>
    <m/>
    <m/>
    <m/>
    <n v="25.25"/>
    <m/>
    <m/>
    <n v="0"/>
  </r>
  <r>
    <e v="#VALUE!"/>
    <d v="2019-10-21T00:00:00"/>
    <s v="005-00000049"/>
    <s v="AKB-038"/>
    <s v="KIA"/>
    <s v="RIO"/>
    <x v="0"/>
    <d v="2019-10-19T00:00:00"/>
    <s v="WILLIAMS"/>
    <x v="24"/>
    <n v="16"/>
    <n v="0"/>
    <s v="PINTOR"/>
    <x v="20"/>
    <n v="16.25"/>
    <n v="0"/>
    <s v="SI"/>
    <n v="2219"/>
    <s v="GRAVE"/>
    <m/>
    <m/>
    <m/>
    <m/>
    <m/>
    <m/>
    <n v="10.25"/>
    <m/>
    <m/>
    <n v="330"/>
  </r>
  <r>
    <e v="#VALUE!"/>
    <d v="2019-10-11T00:00:00"/>
    <s v="005-00000019"/>
    <s v="P2Y-146"/>
    <s v="KIA"/>
    <s v="RIO"/>
    <x v="0"/>
    <d v="2019-10-10T00:00:00"/>
    <s v="WILLIAMS"/>
    <x v="25"/>
    <n v="25"/>
    <n v="0"/>
    <s v="PINTOR"/>
    <x v="21"/>
    <n v="15"/>
    <n v="0"/>
    <s v="SI"/>
    <n v="2419"/>
    <s v="GRAVE"/>
    <m/>
    <m/>
    <m/>
    <m/>
    <m/>
    <m/>
    <n v="10"/>
    <m/>
    <m/>
    <n v="275"/>
  </r>
  <r>
    <e v="#VALUE!"/>
    <d v="2019-10-25T00:00:00"/>
    <s v="005-00000052"/>
    <s v="F5O-086"/>
    <s v="NISSAN"/>
    <s v="TIIDA"/>
    <x v="0"/>
    <d v="2019-10-25T00:00:00"/>
    <s v="WILLIAMS"/>
    <x v="26"/>
    <n v="28"/>
    <n v="0"/>
    <s v="PINTOR"/>
    <x v="21"/>
    <n v="16.5"/>
    <n v="0"/>
    <m/>
    <n v="0"/>
    <s v="GRAVE"/>
    <m/>
    <m/>
    <m/>
    <m/>
    <m/>
    <m/>
    <n v="10.25"/>
    <m/>
    <m/>
    <n v="115.15"/>
  </r>
  <r>
    <e v="#VALUE!"/>
    <d v="2019-10-22T00:00:00"/>
    <s v="005-00000054"/>
    <s v="AMR-639"/>
    <s v="CHEVROLET"/>
    <s v="SAIL"/>
    <x v="0"/>
    <d v="2019-10-22T00:00:00"/>
    <s v="WILLIAMS"/>
    <x v="27"/>
    <n v="45"/>
    <n v="0"/>
    <s v="PINTOR"/>
    <x v="22"/>
    <n v="17"/>
    <n v="0"/>
    <m/>
    <n v="0"/>
    <s v="MEDIANO"/>
    <m/>
    <m/>
    <m/>
    <m/>
    <m/>
    <m/>
    <n v="11"/>
    <m/>
    <m/>
    <n v="880"/>
  </r>
  <r>
    <e v="#VALUE!"/>
    <d v="2019-10-23T00:00:00"/>
    <s v="005-00000051"/>
    <s v="ANZ-637"/>
    <s v="CHEVROLET"/>
    <s v="SAIL"/>
    <x v="0"/>
    <d v="2019-10-22T00:00:00"/>
    <s v="WILLIAMS"/>
    <x v="28"/>
    <n v="43"/>
    <n v="0"/>
    <s v="PINTOR"/>
    <x v="22"/>
    <n v="17"/>
    <n v="0"/>
    <s v="SI"/>
    <n v="745.45"/>
    <s v="GRAVE"/>
    <m/>
    <m/>
    <m/>
    <m/>
    <m/>
    <m/>
    <n v="10.25"/>
    <m/>
    <m/>
    <n v="127.27"/>
  </r>
  <r>
    <e v="#VALUE!"/>
    <d v="2019-10-24T00:00:00"/>
    <s v="005-00000089"/>
    <s v="APB-579"/>
    <s v="HYUNDAY"/>
    <s v="ACCENT"/>
    <x v="0"/>
    <d v="2019-10-22T00:00:00"/>
    <s v="WILLIAMS"/>
    <x v="14"/>
    <n v="36"/>
    <n v="0"/>
    <s v="PINTOR"/>
    <x v="22"/>
    <n v="17"/>
    <n v="0"/>
    <m/>
    <n v="0"/>
    <s v="GRAVE"/>
    <m/>
    <m/>
    <m/>
    <m/>
    <m/>
    <m/>
    <n v="16.25"/>
    <m/>
    <m/>
    <n v="0"/>
  </r>
  <r>
    <e v="#VALUE!"/>
    <d v="2020-01-07T00:00:00"/>
    <s v="005-00000306"/>
    <s v="BEA-419"/>
    <s v="BYD"/>
    <s v="F3"/>
    <x v="0"/>
    <d v="2020-01-06T00:00:00"/>
    <s v="WILLIAMS"/>
    <x v="29"/>
    <n v="24"/>
    <n v="0"/>
    <s v="PINTOR"/>
    <x v="22"/>
    <n v="16.5"/>
    <n v="0"/>
    <s v="SI"/>
    <n v="473.33"/>
    <s v="GRAVE"/>
    <m/>
    <m/>
    <m/>
    <m/>
    <m/>
    <m/>
    <n v="0"/>
    <m/>
    <m/>
    <n v="127.27"/>
  </r>
  <r>
    <e v="#VALUE!"/>
    <d v="2020-01-10T00:00:00"/>
    <s v="005-00000312"/>
    <s v="BKJ-027"/>
    <s v="CHEVROLET"/>
    <s v="SAIL"/>
    <x v="0"/>
    <d v="2020-01-08T00:00:00"/>
    <s v="WILLIAMS"/>
    <x v="25"/>
    <n v="24"/>
    <n v="0"/>
    <s v="PINTOR"/>
    <x v="22"/>
    <n v="17"/>
    <n v="0"/>
    <s v="SI"/>
    <n v="424.24"/>
    <s v="GRAVE"/>
    <m/>
    <m/>
    <m/>
    <m/>
    <m/>
    <m/>
    <n v="9"/>
    <m/>
    <m/>
    <n v="59.09"/>
  </r>
  <r>
    <e v="#VALUE!"/>
    <d v="2019-11-08T00:00:00"/>
    <s v="005-00000106"/>
    <s v="D2X-491"/>
    <s v="CHEVROLET"/>
    <s v="SAIL"/>
    <x v="0"/>
    <d v="2019-11-05T00:00:00"/>
    <s v="WILLIAMS"/>
    <x v="30"/>
    <n v="34"/>
    <n v="0"/>
    <s v="PINTOR"/>
    <x v="23"/>
    <n v="17.5"/>
    <n v="0"/>
    <s v="SI"/>
    <n v="166.2"/>
    <s v="GRAVE"/>
    <m/>
    <m/>
    <m/>
    <m/>
    <m/>
    <m/>
    <n v="19.25"/>
    <m/>
    <m/>
    <n v="158.208"/>
  </r>
  <r>
    <e v="#VALUE!"/>
    <d v="2020-01-09T00:00:00"/>
    <s v="005-00000310"/>
    <s v="AZN-215"/>
    <s v="CHEVROLET"/>
    <s v="SAIL"/>
    <x v="0"/>
    <d v="2020-01-08T00:00:00"/>
    <s v="WILLIAMS"/>
    <x v="24"/>
    <n v="30"/>
    <n v="0"/>
    <s v="PINTOR"/>
    <x v="23"/>
    <n v="17.5"/>
    <n v="0"/>
    <s v="SI"/>
    <n v="1476.96"/>
    <s v="GRAVE"/>
    <m/>
    <m/>
    <m/>
    <m/>
    <m/>
    <m/>
    <n v="26"/>
    <m/>
    <m/>
    <n v="216.66"/>
  </r>
  <r>
    <e v="#VALUE!"/>
    <d v="2019-10-25T00:00:00"/>
    <s v="005-00000047"/>
    <s v="AXC-049"/>
    <s v="KIA"/>
    <s v="RIO"/>
    <x v="0"/>
    <d v="2019-10-25T00:00:00"/>
    <s v="WILLIAMS"/>
    <x v="21"/>
    <n v="32"/>
    <n v="0"/>
    <s v="PINTOR"/>
    <x v="24"/>
    <n v="18"/>
    <n v="0"/>
    <m/>
    <n v="0"/>
    <s v="GRAVE"/>
    <m/>
    <m/>
    <m/>
    <m/>
    <m/>
    <m/>
    <n v="13.25"/>
    <m/>
    <m/>
    <n v="145.44999999999999"/>
  </r>
  <r>
    <e v="#VALUE!"/>
    <d v="2019-11-09T00:00:00"/>
    <s v="005-00000167"/>
    <s v="AVA-610"/>
    <s v="CHEVROLET"/>
    <s v="SAIL"/>
    <x v="0"/>
    <d v="2019-11-07T00:00:00"/>
    <s v="WILLIAMS"/>
    <x v="31"/>
    <n v="42"/>
    <n v="0"/>
    <s v="PINTOR"/>
    <x v="24"/>
    <n v="18"/>
    <n v="0"/>
    <s v="SI"/>
    <n v="1263.28"/>
    <s v="GRAVE"/>
    <n v="98"/>
    <n v="78"/>
    <n v="36"/>
    <n v="36"/>
    <n v="20"/>
    <n v="0"/>
    <n v="8.25"/>
    <m/>
    <m/>
    <n v="137.31"/>
  </r>
  <r>
    <e v="#VALUE!"/>
    <d v="2019-11-09T00:00:00"/>
    <s v="005-00000108"/>
    <s v="ADG-324"/>
    <s v="BYD"/>
    <s v="F3"/>
    <x v="0"/>
    <d v="2019-11-07T00:00:00"/>
    <s v="WILLIAMS"/>
    <x v="31"/>
    <n v="36"/>
    <n v="0"/>
    <s v="PINTOR"/>
    <x v="24"/>
    <n v="18"/>
    <n v="0"/>
    <s v="SI"/>
    <n v="155.02000000000001"/>
    <s v="GRAVE"/>
    <m/>
    <m/>
    <m/>
    <m/>
    <m/>
    <m/>
    <n v="14.25"/>
    <m/>
    <m/>
    <n v="210.04"/>
  </r>
  <r>
    <e v="#VALUE!"/>
    <d v="2019-11-16T00:00:00"/>
    <s v="005-00000178"/>
    <s v="D9V-073"/>
    <s v="CHEVROLET"/>
    <s v="SAIL"/>
    <x v="0"/>
    <d v="2019-11-16T00:00:00"/>
    <s v="WILLIAMS"/>
    <x v="21"/>
    <n v="32"/>
    <n v="0"/>
    <s v="PINTOR"/>
    <x v="24"/>
    <n v="18"/>
    <n v="0"/>
    <m/>
    <n v="0"/>
    <s v="GRAVE"/>
    <m/>
    <m/>
    <m/>
    <m/>
    <m/>
    <m/>
    <n v="6.5"/>
    <m/>
    <m/>
    <n v="0"/>
  </r>
  <r>
    <e v="#VALUE!"/>
    <d v="2019-11-21T00:00:00"/>
    <s v="005-00000056"/>
    <s v="AKY-377"/>
    <s v="KIA"/>
    <s v="RIO"/>
    <x v="0"/>
    <d v="2019-11-20T00:00:00"/>
    <s v="WILLIAMS"/>
    <x v="29"/>
    <n v="32"/>
    <n v="0"/>
    <s v="PINTOR"/>
    <x v="24"/>
    <n v="18"/>
    <n v="0"/>
    <s v="SI"/>
    <n v="2384.1129999999998"/>
    <s v="GRAVE"/>
    <m/>
    <m/>
    <m/>
    <m/>
    <m/>
    <m/>
    <n v="8"/>
    <m/>
    <m/>
    <n v="391.04"/>
  </r>
  <r>
    <e v="#VALUE!"/>
    <d v="2019-12-30T00:00:00"/>
    <s v="005-00000249"/>
    <s v="D8F-472"/>
    <s v="CHEVROLET"/>
    <s v="SAIL"/>
    <x v="0"/>
    <d v="2019-12-27T00:00:00"/>
    <s v="WILLIAMS"/>
    <x v="32"/>
    <n v="30"/>
    <n v="0"/>
    <s v="PINTOR"/>
    <x v="24"/>
    <n v="18"/>
    <n v="0"/>
    <s v="SI"/>
    <n v="1117.27"/>
    <s v="GRAVE"/>
    <m/>
    <m/>
    <m/>
    <m/>
    <m/>
    <m/>
    <n v="26.25"/>
    <m/>
    <m/>
    <n v="443.93900000000002"/>
  </r>
  <r>
    <e v="#VALUE!"/>
    <d v="2019-10-23T00:00:00"/>
    <s v="005-00000050"/>
    <s v="AMJ-333"/>
    <s v="CHEVROLET"/>
    <s v="SAIL"/>
    <x v="0"/>
    <d v="2019-10-22T00:00:00"/>
    <s v="WILLIAMS"/>
    <x v="33"/>
    <n v="38"/>
    <n v="0"/>
    <s v="PINTOR"/>
    <x v="25"/>
    <n v="18.5"/>
    <n v="0"/>
    <s v="SI"/>
    <n v="1188.18"/>
    <s v="GRAVE"/>
    <m/>
    <m/>
    <m/>
    <m/>
    <m/>
    <m/>
    <n v="23.25"/>
    <m/>
    <m/>
    <n v="227.27"/>
  </r>
  <r>
    <e v="#VALUE!"/>
    <d v="2019-12-30T00:00:00"/>
    <s v="005-00000294"/>
    <s v="AXU-411"/>
    <s v="CHEVROLET"/>
    <s v="N300"/>
    <x v="0"/>
    <d v="2019-12-27T00:00:00"/>
    <s v="WILLIAMS"/>
    <x v="21"/>
    <n v="36"/>
    <n v="0"/>
    <s v="PINTOR"/>
    <x v="25"/>
    <n v="18"/>
    <n v="0"/>
    <s v="SI"/>
    <n v="1564.96"/>
    <s v="GRAVE"/>
    <m/>
    <m/>
    <m/>
    <m/>
    <m/>
    <m/>
    <n v="15.25"/>
    <m/>
    <m/>
    <n v="195.45400000000001"/>
  </r>
  <r>
    <e v="#VALUE!"/>
    <d v="2020-01-09T00:00:00"/>
    <s v="005-00000311"/>
    <s v="AJK-417"/>
    <s v="CHEVROLET"/>
    <s v="SAIL"/>
    <x v="0"/>
    <d v="2020-01-09T00:00:00"/>
    <s v="WILLIAMS"/>
    <x v="31"/>
    <n v="35"/>
    <n v="0"/>
    <s v="PINTOR"/>
    <x v="25"/>
    <n v="18"/>
    <n v="0"/>
    <s v="SI"/>
    <n v="2031.51"/>
    <s v="GRAVE"/>
    <m/>
    <m/>
    <m/>
    <m/>
    <m/>
    <m/>
    <n v="0"/>
    <m/>
    <m/>
    <n v="303.02999999999997"/>
  </r>
  <r>
    <e v="#VALUE!"/>
    <d v="2019-10-23T00:00:00"/>
    <s v="005-00000079"/>
    <s v="AWG-333"/>
    <s v="CHEVROLET"/>
    <s v="SAIL"/>
    <x v="0"/>
    <d v="2019-10-22T00:00:00"/>
    <s v="WILLIAMS"/>
    <x v="34"/>
    <n v="30"/>
    <n v="0"/>
    <s v="PINTOR"/>
    <x v="26"/>
    <n v="18"/>
    <n v="0"/>
    <m/>
    <n v="0"/>
    <s v="GRAVE"/>
    <m/>
    <m/>
    <m/>
    <m/>
    <m/>
    <m/>
    <n v="17.25"/>
    <m/>
    <m/>
    <n v="0"/>
  </r>
  <r>
    <e v="#VALUE!"/>
    <d v="2019-11-08T00:00:00"/>
    <s v="005-00000166"/>
    <s v="ANB-605"/>
    <s v="HYUNDAI"/>
    <s v="ACCENT"/>
    <x v="0"/>
    <d v="2019-11-05T00:00:00"/>
    <s v="WILLIAMS"/>
    <x v="35"/>
    <n v="42"/>
    <n v="0"/>
    <s v="PINTOR"/>
    <x v="26"/>
    <n v="18"/>
    <n v="0"/>
    <s v="SI"/>
    <n v="1252.835"/>
    <s v="GRAVE"/>
    <m/>
    <m/>
    <m/>
    <m/>
    <m/>
    <m/>
    <n v="19.25"/>
    <m/>
    <m/>
    <n v="294.029"/>
  </r>
  <r>
    <e v="#VALUE!"/>
    <d v="2019-12-11T00:00:00"/>
    <s v="005-00000216"/>
    <s v="BFZ-575"/>
    <s v="CHEVROLET"/>
    <s v="SAIL"/>
    <x v="0"/>
    <d v="2019-12-09T00:00:00"/>
    <s v="WILLIAMS"/>
    <x v="36"/>
    <n v="21"/>
    <n v="0"/>
    <s v="PINTOR"/>
    <x v="26"/>
    <n v="18"/>
    <n v="0"/>
    <s v="SI"/>
    <n v="1182.72"/>
    <s v="GRAVE"/>
    <m/>
    <m/>
    <m/>
    <m/>
    <m/>
    <m/>
    <n v="19.25"/>
    <m/>
    <m/>
    <n v="206.06"/>
  </r>
  <r>
    <e v="#VALUE!"/>
    <d v="2019-10-23T00:00:00"/>
    <s v="005-00000048"/>
    <s v="AKZ-422"/>
    <s v="HYUNDAY"/>
    <s v="ACCENT"/>
    <x v="0"/>
    <d v="2019-10-22T00:00:00"/>
    <s v="WILLIAMS"/>
    <x v="37"/>
    <n v="70"/>
    <n v="0"/>
    <s v="PINTOR"/>
    <x v="27"/>
    <n v="18"/>
    <n v="0"/>
    <s v="SI"/>
    <n v="695.98"/>
    <s v="GRAVE"/>
    <m/>
    <m/>
    <m/>
    <m/>
    <m/>
    <m/>
    <n v="8.25"/>
    <m/>
    <m/>
    <n v="172.72"/>
  </r>
  <r>
    <e v="#VALUE!"/>
    <d v="2019-11-06T00:00:00"/>
    <s v="005-00000151"/>
    <s v="AMD-392"/>
    <s v="HYUNDAI"/>
    <s v="ACCENT"/>
    <x v="0"/>
    <d v="2019-11-05T00:00:00"/>
    <s v="WILLIAMS"/>
    <x v="24"/>
    <n v="32"/>
    <n v="0"/>
    <s v="PINTOR"/>
    <x v="27"/>
    <n v="18"/>
    <n v="0"/>
    <s v="SI"/>
    <n v="1045.3699999999999"/>
    <s v="GRAVE"/>
    <m/>
    <m/>
    <m/>
    <m/>
    <m/>
    <m/>
    <n v="22.25"/>
    <m/>
    <m/>
    <n v="970"/>
  </r>
  <r>
    <e v="#VALUE!"/>
    <d v="2019-11-06T00:00:00"/>
    <s v="005-00000152"/>
    <s v="AMZ619"/>
    <s v="CHEVROLET"/>
    <s v="SAIL"/>
    <x v="0"/>
    <d v="2019-11-05T00:00:00"/>
    <s v="WILLIAMS"/>
    <x v="14"/>
    <n v="36"/>
    <n v="0"/>
    <s v="PINTOR"/>
    <x v="27"/>
    <n v="18"/>
    <n v="0"/>
    <s v="SI"/>
    <n v="1130.4469999999999"/>
    <s v="GRAVE"/>
    <m/>
    <m/>
    <m/>
    <m/>
    <m/>
    <m/>
    <n v="24.25"/>
    <m/>
    <m/>
    <n v="890"/>
  </r>
  <r>
    <e v="#VALUE!"/>
    <d v="2019-11-21T00:00:00"/>
    <s v="005-00000188"/>
    <s v="AJJ-599"/>
    <s v="KIA"/>
    <s v="RIO"/>
    <x v="0"/>
    <d v="2019-11-20T00:00:00"/>
    <s v="WILLIAMS"/>
    <x v="38"/>
    <n v="32"/>
    <n v="0"/>
    <s v="PINTOR"/>
    <x v="27"/>
    <n v="18"/>
    <n v="0"/>
    <s v="SI"/>
    <n v="1302.08"/>
    <s v="GRAVE"/>
    <m/>
    <m/>
    <m/>
    <m/>
    <m/>
    <m/>
    <n v="18.25"/>
    <m/>
    <m/>
    <n v="149.25"/>
  </r>
  <r>
    <e v="#VALUE!"/>
    <d v="2019-11-21T00:00:00"/>
    <s v="005-00000186"/>
    <s v="F9A-025"/>
    <s v="CHEVROLET"/>
    <s v="SAIL"/>
    <x v="0"/>
    <d v="2019-11-20T00:00:00"/>
    <s v="WILLIAMS"/>
    <x v="30"/>
    <n v="39"/>
    <n v="0"/>
    <s v="PINTOR"/>
    <x v="27"/>
    <n v="18"/>
    <n v="0"/>
    <s v="SI"/>
    <n v="1021.79"/>
    <s v="GRAVE"/>
    <m/>
    <m/>
    <m/>
    <m/>
    <m/>
    <m/>
    <n v="21.25"/>
    <m/>
    <m/>
    <n v="353.73"/>
  </r>
  <r>
    <e v="#VALUE!"/>
    <d v="2019-11-21T00:00:00"/>
    <s v="005-00000194"/>
    <s v="AUN-101"/>
    <s v="CHEVROLET"/>
    <s v="SAIL"/>
    <x v="0"/>
    <d v="2019-11-20T00:00:00"/>
    <s v="WILLIAMS"/>
    <x v="29"/>
    <n v="28"/>
    <n v="0"/>
    <s v="PINTOR"/>
    <x v="27"/>
    <n v="18"/>
    <n v="0"/>
    <s v="SI"/>
    <n v="1393"/>
    <s v="GRAVE"/>
    <m/>
    <m/>
    <m/>
    <m/>
    <m/>
    <m/>
    <n v="21"/>
    <m/>
    <m/>
    <n v="283.58"/>
  </r>
  <r>
    <e v="#VALUE!"/>
    <d v="2019-11-21T00:00:00"/>
    <s v="005-00000195"/>
    <s v="AYE-380"/>
    <s v="CHEVROLET"/>
    <s v="SAIL"/>
    <x v="0"/>
    <d v="2019-11-20T00:00:00"/>
    <s v="WILLIAMS"/>
    <x v="39"/>
    <n v="40"/>
    <n v="0"/>
    <s v="PINTOR"/>
    <x v="27"/>
    <n v="18"/>
    <n v="0"/>
    <s v="SI"/>
    <n v="1967.76"/>
    <s v="GRAVE"/>
    <m/>
    <m/>
    <m/>
    <m/>
    <m/>
    <m/>
    <n v="20.25"/>
    <m/>
    <m/>
    <n v="470.149"/>
  </r>
  <r>
    <e v="#VALUE!"/>
    <d v="2019-11-21T00:00:00"/>
    <s v="005-00000196"/>
    <s v="F0B-164"/>
    <s v="CHEVROLET"/>
    <s v="SAIL"/>
    <x v="0"/>
    <d v="2019-11-20T00:00:00"/>
    <s v="WILLIAMS"/>
    <x v="40"/>
    <n v="50"/>
    <n v="0"/>
    <s v="PINTOR"/>
    <x v="27"/>
    <n v="18"/>
    <n v="0"/>
    <s v="SI"/>
    <n v="1600.298"/>
    <s v="GRAVE"/>
    <m/>
    <m/>
    <m/>
    <m/>
    <m/>
    <m/>
    <n v="18.25"/>
    <m/>
    <m/>
    <n v="179.1"/>
  </r>
  <r>
    <e v="#VALUE!"/>
    <d v="2019-11-22T00:00:00"/>
    <s v="005-00000198"/>
    <s v="F7Y-120"/>
    <s v="BYD"/>
    <s v="F3"/>
    <x v="0"/>
    <d v="2019-11-20T00:00:00"/>
    <s v="WILLIAMS"/>
    <x v="41"/>
    <n v="32"/>
    <n v="0"/>
    <s v="PINTOR"/>
    <x v="27"/>
    <n v="19.5"/>
    <n v="0"/>
    <s v="SI"/>
    <n v="2602.9850000000001"/>
    <s v="GRAVE"/>
    <m/>
    <m/>
    <m/>
    <m/>
    <m/>
    <m/>
    <n v="28.25"/>
    <m/>
    <m/>
    <n v="411.94"/>
  </r>
  <r>
    <e v="#VALUE!"/>
    <d v="2019-11-23T00:00:00"/>
    <s v="005-00000202"/>
    <s v="AYW-081"/>
    <s v="CHEVROLET"/>
    <s v="SAIL"/>
    <x v="0"/>
    <d v="2019-11-22T00:00:00"/>
    <s v="WILLIAMS"/>
    <x v="33"/>
    <n v="36"/>
    <n v="0"/>
    <s v="PINTOR"/>
    <x v="27"/>
    <n v="18"/>
    <n v="0"/>
    <s v="SI"/>
    <n v="1055.22"/>
    <s v="GRAVE"/>
    <m/>
    <m/>
    <m/>
    <m/>
    <m/>
    <m/>
    <n v="23.25"/>
    <m/>
    <m/>
    <n v="226.86500000000001"/>
  </r>
  <r>
    <e v="#VALUE!"/>
    <d v="2019-11-23T00:00:00"/>
    <s v="005-00000203"/>
    <s v="ARM-473"/>
    <s v="CHEVROLET"/>
    <s v="SAIL"/>
    <x v="0"/>
    <d v="2019-11-22T00:00:00"/>
    <s v="WILLIAMS"/>
    <x v="42"/>
    <n v="48"/>
    <n v="0"/>
    <s v="PINTOR"/>
    <x v="27"/>
    <n v="18"/>
    <n v="0"/>
    <s v="SI"/>
    <n v="1628.6559999999999"/>
    <s v="GRAVE"/>
    <m/>
    <m/>
    <m/>
    <m/>
    <m/>
    <m/>
    <n v="29.25"/>
    <m/>
    <m/>
    <n v="0"/>
  </r>
  <r>
    <e v="#VALUE!"/>
    <d v="2019-12-10T00:00:00"/>
    <s v="005-00000228"/>
    <s v="D1Q-268"/>
    <s v="CHEVROLET"/>
    <s v="SAIL"/>
    <x v="0"/>
    <d v="2019-12-06T00:00:00"/>
    <s v="WILLIAMS"/>
    <x v="31"/>
    <n v="32"/>
    <n v="0"/>
    <s v="PINTOR"/>
    <x v="27"/>
    <n v="18"/>
    <n v="0"/>
    <s v="SI"/>
    <n v="1858.18"/>
    <s v="GRAVE"/>
    <m/>
    <m/>
    <m/>
    <m/>
    <m/>
    <m/>
    <n v="26.25"/>
    <m/>
    <m/>
    <n v="296.47000000000003"/>
  </r>
  <r>
    <e v="#VALUE!"/>
    <d v="2019-12-10T00:00:00"/>
    <s v="005-00000233"/>
    <s v="AVP-525"/>
    <s v="CHEVROLET"/>
    <s v="SAIL"/>
    <x v="0"/>
    <d v="2019-12-06T00:00:00"/>
    <s v="WILLIAMS"/>
    <x v="43"/>
    <n v="48"/>
    <n v="0"/>
    <s v="PINTOR"/>
    <x v="27"/>
    <n v="18"/>
    <n v="0"/>
    <s v="SI"/>
    <n v="2223"/>
    <s v="GRAVE"/>
    <m/>
    <m/>
    <m/>
    <m/>
    <m/>
    <m/>
    <n v="29.25"/>
    <m/>
    <m/>
    <n v="401.51499999999999"/>
  </r>
  <r>
    <e v="#VALUE!"/>
    <d v="2019-11-22T00:00:00"/>
    <s v="005-00000197"/>
    <s v="F4T-034"/>
    <s v="BYD"/>
    <s v="F3"/>
    <x v="0"/>
    <d v="2019-11-20T00:00:00"/>
    <s v="WILLIAMS"/>
    <x v="21"/>
    <n v="32"/>
    <n v="0"/>
    <s v="PINTOR"/>
    <x v="28"/>
    <n v="18"/>
    <n v="0"/>
    <s v="SI"/>
    <n v="1894.925"/>
    <s v="GRAVE"/>
    <m/>
    <m/>
    <m/>
    <m/>
    <m/>
    <m/>
    <n v="23.25"/>
    <m/>
    <m/>
    <n v="352.238"/>
  </r>
  <r>
    <e v="#VALUE!"/>
    <d v="2019-11-23T00:00:00"/>
    <s v="005-00000201"/>
    <s v="D9T-310"/>
    <s v="CHEVROLET"/>
    <s v="SAIL"/>
    <x v="0"/>
    <d v="2019-11-22T00:00:00"/>
    <s v="WILLIAMS"/>
    <x v="44"/>
    <n v="48"/>
    <n v="0"/>
    <s v="PINTOR"/>
    <x v="28"/>
    <n v="19.5"/>
    <n v="0"/>
    <s v="SI"/>
    <n v="277.61"/>
    <s v="GRAVE"/>
    <m/>
    <m/>
    <m/>
    <m/>
    <m/>
    <m/>
    <n v="23.25"/>
    <m/>
    <m/>
    <n v="0"/>
  </r>
  <r>
    <n v="1"/>
    <d v="2019-10-02T00:00:00"/>
    <s v="005-00000005"/>
    <s v="ASW-540"/>
    <s v="KIA"/>
    <s v="RIO"/>
    <x v="1"/>
    <d v="2019-10-02T00:00:00"/>
    <m/>
    <x v="0"/>
    <n v="0"/>
    <n v="0"/>
    <m/>
    <x v="0"/>
    <n v="0"/>
    <n v="0"/>
    <s v="SI"/>
    <n v="35"/>
    <s v="MECANICA"/>
    <m/>
    <m/>
    <m/>
    <m/>
    <m/>
    <m/>
    <n v="0"/>
    <m/>
    <m/>
    <n v="35"/>
  </r>
  <r>
    <n v="2"/>
    <d v="2019-10-04T00:00:00"/>
    <s v="005-00000011"/>
    <s v="D9C-481"/>
    <s v="JEEP"/>
    <s v="COMPASS"/>
    <x v="1"/>
    <d v="2019-10-04T00:00:00"/>
    <m/>
    <x v="0"/>
    <n v="0"/>
    <n v="0"/>
    <m/>
    <x v="0"/>
    <n v="0"/>
    <n v="0"/>
    <m/>
    <n v="0"/>
    <s v="MECANICA"/>
    <m/>
    <m/>
    <m/>
    <m/>
    <m/>
    <m/>
    <n v="0"/>
    <m/>
    <m/>
    <n v="90"/>
  </r>
  <r>
    <n v="3"/>
    <d v="2019-10-07T00:00:00"/>
    <s v="005-00000020"/>
    <s v="BAZ-054"/>
    <s v="KIA"/>
    <s v="CERATO"/>
    <x v="1"/>
    <d v="2019-10-07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4"/>
    <d v="2019-10-09T00:00:00"/>
    <s v="005-00000023"/>
    <s v="F5B-699"/>
    <s v="NISSAN"/>
    <s v="VERSA"/>
    <x v="1"/>
    <d v="2019-10-09T00:00:00"/>
    <m/>
    <x v="0"/>
    <n v="0"/>
    <n v="0"/>
    <m/>
    <x v="0"/>
    <n v="0"/>
    <n v="0"/>
    <m/>
    <n v="0"/>
    <s v="MECANICA"/>
    <n v="22.25"/>
    <n v="18.25"/>
    <n v="11.25"/>
    <n v="11.25"/>
    <n v="4"/>
    <n v="0"/>
    <n v="2.67"/>
    <m/>
    <m/>
    <n v="0"/>
  </r>
  <r>
    <n v="5"/>
    <d v="2019-10-17T00:00:00"/>
    <s v="005-00000058"/>
    <s v="B3A-304"/>
    <s v="HONDA"/>
    <s v="CIVIC"/>
    <x v="1"/>
    <d v="2019-10-17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6"/>
    <d v="2019-10-17T00:00:00"/>
    <s v="005-00000062"/>
    <s v="BMA-272"/>
    <s v="GREAT WALL"/>
    <s v="H3"/>
    <x v="1"/>
    <d v="2019-10-17T00:00:00"/>
    <s v="WILLIAMS"/>
    <x v="1"/>
    <n v="3"/>
    <n v="0"/>
    <m/>
    <x v="0"/>
    <n v="0"/>
    <n v="0"/>
    <m/>
    <n v="0"/>
    <s v="MECANICA"/>
    <m/>
    <m/>
    <m/>
    <m/>
    <m/>
    <m/>
    <n v="0"/>
    <m/>
    <m/>
    <n v="0"/>
  </r>
  <r>
    <n v="7"/>
    <d v="2019-10-18T00:00:00"/>
    <s v="005-00000063"/>
    <s v="BJL-074"/>
    <s v="CHERY"/>
    <s v="ARRIZO3"/>
    <x v="1"/>
    <d v="2019-10-18T00:00:00"/>
    <m/>
    <x v="0"/>
    <n v="0"/>
    <n v="0"/>
    <m/>
    <x v="0"/>
    <n v="0"/>
    <n v="0"/>
    <s v="SI"/>
    <n v="33.9"/>
    <s v="MECANICA"/>
    <m/>
    <m/>
    <m/>
    <m/>
    <m/>
    <m/>
    <n v="2.67"/>
    <m/>
    <m/>
    <n v="0"/>
  </r>
  <r>
    <n v="8"/>
    <d v="2019-10-18T00:00:00"/>
    <s v="005-00000063"/>
    <s v="BJL-074"/>
    <s v="CHERY"/>
    <s v="ARRIZO3"/>
    <x v="1"/>
    <d v="2019-10-18T00:00:00"/>
    <m/>
    <x v="0"/>
    <n v="0"/>
    <n v="0"/>
    <m/>
    <x v="0"/>
    <n v="0"/>
    <n v="0"/>
    <s v="SI"/>
    <n v="33.9"/>
    <s v="MECANICA"/>
    <m/>
    <m/>
    <m/>
    <m/>
    <m/>
    <m/>
    <n v="0"/>
    <m/>
    <m/>
    <n v="0"/>
  </r>
  <r>
    <n v="9"/>
    <d v="2019-10-18T00:00:00"/>
    <s v="005-00000064"/>
    <s v="ATZ-549"/>
    <s v="HYUNDAY"/>
    <s v="ACCENT"/>
    <x v="1"/>
    <d v="2019-10-18T00:00:00"/>
    <m/>
    <x v="0"/>
    <n v="0"/>
    <n v="0"/>
    <m/>
    <x v="0"/>
    <n v="0"/>
    <n v="0"/>
    <m/>
    <n v="0"/>
    <s v="MECANICA"/>
    <m/>
    <m/>
    <m/>
    <m/>
    <m/>
    <m/>
    <n v="0"/>
    <m/>
    <m/>
    <n v="29.6"/>
  </r>
  <r>
    <n v="10"/>
    <d v="2019-10-21T00:00:00"/>
    <s v="005-00000067"/>
    <s v="ALX-585"/>
    <s v="KIA"/>
    <s v="RIO"/>
    <x v="1"/>
    <d v="2019-10-21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11"/>
    <d v="2019-10-21T00:00:00"/>
    <s v="005-00000066"/>
    <s v="D9K-336"/>
    <s v="KIA"/>
    <s v="SPORTAGE"/>
    <x v="1"/>
    <d v="2019-10-21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12"/>
    <d v="2019-10-22T00:00:00"/>
    <s v="005-00000070"/>
    <s v="ASN-143"/>
    <s v="NISSAN"/>
    <s v="QASHQAI"/>
    <x v="1"/>
    <d v="2019-10-21T00:00:00"/>
    <m/>
    <x v="0"/>
    <n v="0"/>
    <n v="0"/>
    <m/>
    <x v="0"/>
    <n v="0"/>
    <n v="0"/>
    <m/>
    <n v="0"/>
    <s v="MECANICA"/>
    <m/>
    <m/>
    <m/>
    <m/>
    <m/>
    <m/>
    <n v="1"/>
    <m/>
    <m/>
    <n v="0"/>
  </r>
  <r>
    <n v="13"/>
    <d v="2019-10-28T00:00:00"/>
    <s v="005-00000102"/>
    <s v="C4A-237"/>
    <s v="KIA"/>
    <s v="RIO"/>
    <x v="1"/>
    <d v="2019-10-28T00:00:00"/>
    <s v="WILLIAMS"/>
    <x v="0"/>
    <n v="0"/>
    <n v="0"/>
    <m/>
    <x v="0"/>
    <n v="0"/>
    <n v="0"/>
    <m/>
    <n v="0"/>
    <s v="MECANICA"/>
    <m/>
    <m/>
    <m/>
    <m/>
    <m/>
    <m/>
    <n v="2.67"/>
    <m/>
    <m/>
    <n v="0"/>
  </r>
  <r>
    <n v="14"/>
    <d v="2019-10-30T00:00:00"/>
    <s v="005-00000119"/>
    <s v="BKS-073"/>
    <s v="TOYOTA"/>
    <s v="ETIOS"/>
    <x v="1"/>
    <d v="2019-10-30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15"/>
    <d v="2019-10-30T00:00:00"/>
    <s v="005-00000120"/>
    <s v="AFS-436"/>
    <s v="MITSUBISHI"/>
    <s v="MIRAGE"/>
    <x v="1"/>
    <d v="2019-10-30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16"/>
    <d v="2019-10-31T00:00:00"/>
    <s v="005-00000122"/>
    <s v="D2E-026"/>
    <s v="TOYOTA"/>
    <s v="COROLLA"/>
    <x v="1"/>
    <d v="2019-10-31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17"/>
    <d v="2019-11-04T00:00:00"/>
    <s v="005-00000154"/>
    <s v="C4W-101"/>
    <s v="CHEVROLET"/>
    <s v="CRUZE"/>
    <x v="1"/>
    <d v="2019-11-04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18"/>
    <d v="2019-11-09T00:00:00"/>
    <s v="005-00000168"/>
    <s v="C4W-101"/>
    <s v="CHEVROLET"/>
    <s v="CRUZE"/>
    <x v="1"/>
    <d v="2019-11-08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19"/>
    <d v="2019-11-11T00:00:00"/>
    <s v="005-00000160"/>
    <s v="AHQ-605"/>
    <s v="FORD"/>
    <s v="EXPLORER"/>
    <x v="1"/>
    <d v="2019-11-11T00:00:00"/>
    <m/>
    <x v="0"/>
    <n v="0"/>
    <n v="0"/>
    <m/>
    <x v="0"/>
    <n v="0"/>
    <n v="0"/>
    <m/>
    <n v="0"/>
    <s v="MECANICA"/>
    <n v="70"/>
    <n v="48"/>
    <n v="17"/>
    <n v="16.5"/>
    <n v="22"/>
    <n v="0.5"/>
    <n v="2.67"/>
    <m/>
    <m/>
    <n v="0"/>
  </r>
  <r>
    <n v="20"/>
    <d v="2019-11-14T00:00:00"/>
    <s v="005-00000174"/>
    <s v="A2Q-372"/>
    <s v="FORD"/>
    <s v="EXPLORER"/>
    <x v="1"/>
    <d v="2019-11-12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21"/>
    <d v="2019-11-16T00:00:00"/>
    <s v="005-00000175"/>
    <s v="BFH-354"/>
    <s v="KIA"/>
    <s v="RIO"/>
    <x v="1"/>
    <d v="2019-11-16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22"/>
    <d v="2019-11-16T00:00:00"/>
    <s v="005-00000176"/>
    <s v="APE-333"/>
    <s v="VOLKWAGEN"/>
    <s v="GOL"/>
    <x v="1"/>
    <d v="2019-11-16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23"/>
    <d v="2019-11-20T00:00:00"/>
    <s v="005-00000059"/>
    <s v="AHC-399"/>
    <s v="JEEP"/>
    <s v="CHEROKEE"/>
    <x v="1"/>
    <d v="2019-11-20T00:00:00"/>
    <m/>
    <x v="0"/>
    <n v="0"/>
    <n v="0"/>
    <m/>
    <x v="0"/>
    <n v="0"/>
    <n v="0"/>
    <m/>
    <n v="0"/>
    <s v="MECANICA"/>
    <m/>
    <m/>
    <m/>
    <m/>
    <m/>
    <m/>
    <n v="0"/>
    <m/>
    <m/>
    <n v="101"/>
  </r>
  <r>
    <n v="24"/>
    <d v="2019-11-25T00:00:00"/>
    <s v="005-00000207"/>
    <s v="F6K-132"/>
    <s v="KIA"/>
    <s v="SORENTO"/>
    <x v="1"/>
    <d v="2019-11-25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25"/>
    <d v="2019-11-30T00:00:00"/>
    <s v="005-00000220"/>
    <s v="C3K-443"/>
    <s v="KIA"/>
    <s v="RIO"/>
    <x v="1"/>
    <d v="2019-11-30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26"/>
    <d v="2019-12-02T00:00:00"/>
    <s v="005-00000224"/>
    <s v="D3X-162"/>
    <s v="HONDA"/>
    <s v="CRV"/>
    <x v="1"/>
    <d v="2019-12-02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27"/>
    <d v="2019-12-02T00:00:00"/>
    <s v="005-00000225"/>
    <s v="B9L-447"/>
    <s v="DODGE"/>
    <s v="DURANTO"/>
    <x v="1"/>
    <d v="2019-12-02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28"/>
    <d v="2019-12-07T00:00:00"/>
    <s v="005-00000207"/>
    <s v="F6K-132"/>
    <s v="KIA"/>
    <s v="SORENTO"/>
    <x v="1"/>
    <d v="2019-12-07T00:00:00"/>
    <s v="WILLIAMS"/>
    <x v="5"/>
    <n v="2"/>
    <n v="0"/>
    <m/>
    <x v="0"/>
    <n v="0"/>
    <n v="0"/>
    <s v="SI"/>
    <n v="2864.55"/>
    <s v="LEVE"/>
    <m/>
    <m/>
    <m/>
    <m/>
    <m/>
    <m/>
    <n v="2.67"/>
    <m/>
    <m/>
    <n v="410.6"/>
  </r>
  <r>
    <n v="29"/>
    <d v="2019-12-07T00:00:00"/>
    <s v="005-00000225"/>
    <s v="B9L-447"/>
    <s v="DODGE"/>
    <s v="DURANTO"/>
    <x v="1"/>
    <d v="2019-12-07T00:00:00"/>
    <m/>
    <x v="0"/>
    <n v="0"/>
    <n v="0"/>
    <m/>
    <x v="0"/>
    <n v="0"/>
    <n v="0"/>
    <m/>
    <n v="0"/>
    <s v="MECANICA"/>
    <m/>
    <m/>
    <m/>
    <m/>
    <m/>
    <m/>
    <n v="0"/>
    <m/>
    <m/>
    <n v="0"/>
  </r>
  <r>
    <n v="30"/>
    <d v="2019-12-13T00:00:00"/>
    <s v="005-00000262"/>
    <s v="BFS-508"/>
    <s v="CHERY"/>
    <s v="QQ"/>
    <x v="1"/>
    <d v="2019-12-13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31"/>
    <d v="2019-12-17T00:00:00"/>
    <s v="005-00000207"/>
    <s v="F6K-132"/>
    <s v="KIA"/>
    <s v="SORENTO"/>
    <x v="1"/>
    <d v="2019-12-17T00:00:00"/>
    <m/>
    <x v="0"/>
    <n v="0"/>
    <n v="0"/>
    <m/>
    <x v="0"/>
    <n v="0"/>
    <n v="0"/>
    <m/>
    <n v="107.57"/>
    <s v="MECANICA"/>
    <m/>
    <m/>
    <m/>
    <m/>
    <m/>
    <m/>
    <n v="0"/>
    <m/>
    <m/>
    <n v="0"/>
  </r>
  <r>
    <n v="32"/>
    <d v="2019-12-18T00:00:00"/>
    <s v="005-00000272"/>
    <s v="D2X-491"/>
    <s v="CHEVROLET"/>
    <s v="SAIL"/>
    <x v="1"/>
    <d v="2019-12-18T00:00:00"/>
    <m/>
    <x v="0"/>
    <n v="0"/>
    <n v="0"/>
    <m/>
    <x v="0"/>
    <n v="0"/>
    <n v="0"/>
    <s v="SI"/>
    <n v="701.49"/>
    <s v="MECANICA"/>
    <m/>
    <m/>
    <m/>
    <m/>
    <m/>
    <m/>
    <n v="1"/>
    <m/>
    <m/>
    <n v="402"/>
  </r>
  <r>
    <n v="33"/>
    <d v="2019-12-19T00:00:00"/>
    <s v="005-00000273"/>
    <s v="A2Q-372"/>
    <s v="HYUNDAI"/>
    <s v="TUCSON"/>
    <x v="1"/>
    <d v="2019-12-19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34"/>
    <d v="2019-12-20T00:00:00"/>
    <s v="005-00000278"/>
    <s v="T2Z-271"/>
    <s v="JEEP"/>
    <s v="GRANDCHEROKE"/>
    <x v="1"/>
    <d v="2019-12-21T00:00:00"/>
    <m/>
    <x v="0"/>
    <n v="0"/>
    <n v="0"/>
    <m/>
    <x v="0"/>
    <n v="0"/>
    <n v="0"/>
    <m/>
    <n v="0"/>
    <s v="MECANICA"/>
    <m/>
    <m/>
    <m/>
    <m/>
    <m/>
    <m/>
    <n v="1"/>
    <m/>
    <m/>
    <n v="0"/>
  </r>
  <r>
    <n v="35"/>
    <d v="2019-12-23T00:00:00"/>
    <s v="005-00000285"/>
    <s v="ARQ-263"/>
    <s v="NISSAN"/>
    <s v="SUNNY"/>
    <x v="1"/>
    <d v="2019-12-23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36"/>
    <d v="2019-12-26T00:00:00"/>
    <s v="005-00000288"/>
    <s v="F8V-681"/>
    <s v="DODGE"/>
    <s v="JOURNEY SXT"/>
    <x v="1"/>
    <d v="2019-12-26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37"/>
    <d v="2019-12-27T00:00:00"/>
    <s v="005-00000290"/>
    <s v="OI6344"/>
    <s v="NISSAN"/>
    <s v="SUNNY"/>
    <x v="1"/>
    <d v="2019-12-27T00:00:00"/>
    <m/>
    <x v="0"/>
    <n v="0"/>
    <n v="0"/>
    <m/>
    <x v="0"/>
    <n v="0"/>
    <n v="0"/>
    <m/>
    <n v="0"/>
    <s v="MECANICA"/>
    <m/>
    <m/>
    <m/>
    <m/>
    <m/>
    <m/>
    <n v="1"/>
    <m/>
    <m/>
    <n v="0"/>
  </r>
  <r>
    <n v="38"/>
    <d v="2019-12-27T00:00:00"/>
    <s v="005-00000280"/>
    <s v="F2Y-614"/>
    <s v="MAZDA"/>
    <s v="MAZDA3"/>
    <x v="1"/>
    <d v="2019-12-26T00:00:00"/>
    <m/>
    <x v="0"/>
    <n v="0"/>
    <n v="0"/>
    <m/>
    <x v="0"/>
    <n v="0"/>
    <n v="0"/>
    <m/>
    <n v="0"/>
    <s v="LEVE"/>
    <m/>
    <m/>
    <m/>
    <m/>
    <m/>
    <m/>
    <n v="0"/>
    <m/>
    <m/>
    <n v="10"/>
  </r>
  <r>
    <n v="39"/>
    <d v="2019-12-28T00:00:00"/>
    <s v="005-00000295"/>
    <s v="C4S-251"/>
    <s v="KIA"/>
    <s v="SORENTO"/>
    <x v="1"/>
    <d v="2019-12-28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40"/>
    <d v="2020-01-09T00:00:00"/>
    <s v="005-00000322"/>
    <s v="C7L-474"/>
    <s v="CITROEN"/>
    <s v="NAUVELLE"/>
    <x v="1"/>
    <d v="2020-01-09T00:00:00"/>
    <m/>
    <x v="0"/>
    <n v="0"/>
    <n v="0"/>
    <m/>
    <x v="0"/>
    <n v="0"/>
    <n v="0"/>
    <m/>
    <n v="0"/>
    <s v="MECANICA"/>
    <m/>
    <m/>
    <m/>
    <m/>
    <m/>
    <m/>
    <n v="2.67"/>
    <m/>
    <m/>
    <n v="0"/>
  </r>
  <r>
    <n v="41"/>
    <d v="2020-01-11T00:00:00"/>
    <s v="005-00000322"/>
    <s v="C7L-474"/>
    <s v="CITROEN"/>
    <s v="NAUVELLE"/>
    <x v="1"/>
    <d v="2020-01-10T00:00:00"/>
    <m/>
    <x v="0"/>
    <n v="0"/>
    <n v="0"/>
    <m/>
    <x v="0"/>
    <n v="0"/>
    <n v="0"/>
    <m/>
    <n v="0"/>
    <s v="MECANICA"/>
    <m/>
    <m/>
    <m/>
    <m/>
    <m/>
    <m/>
    <n v="1"/>
    <m/>
    <m/>
    <n v="0"/>
  </r>
  <r>
    <n v="42"/>
    <d v="2020-01-13T00:00:00"/>
    <s v="005-00000093"/>
    <s v="BEJ-577"/>
    <s v="MAZDA"/>
    <s v="MAZDA3"/>
    <x v="1"/>
    <d v="2020-01-13T00:00:00"/>
    <s v="WILLIAMS"/>
    <x v="45"/>
    <n v="1"/>
    <n v="0"/>
    <m/>
    <x v="0"/>
    <n v="0"/>
    <n v="0"/>
    <s v="SI"/>
    <n v="88.5"/>
    <s v="MECÁNICA"/>
    <m/>
    <m/>
    <m/>
    <m/>
    <m/>
    <m/>
    <n v="0"/>
    <m/>
    <m/>
    <n v="0"/>
  </r>
  <r>
    <n v="43"/>
    <d v="2020-01-14T00:00:00"/>
    <s v="005-00000322"/>
    <s v="C7L-474"/>
    <s v="CITROEN"/>
    <s v="NAUVELLE"/>
    <x v="1"/>
    <d v="2020-01-14T00:00:00"/>
    <m/>
    <x v="0"/>
    <n v="0"/>
    <n v="0"/>
    <m/>
    <x v="0"/>
    <n v="0"/>
    <n v="0"/>
    <s v="SI"/>
    <n v="416.35"/>
    <s v="MECÁNICA"/>
    <m/>
    <m/>
    <m/>
    <m/>
    <m/>
    <m/>
    <n v="0"/>
    <m/>
    <m/>
    <n v="0"/>
  </r>
  <r>
    <n v="44"/>
    <d v="2020-01-16T00:00:00"/>
    <s v="005-00000333"/>
    <s v="C4S-529"/>
    <s v="KIA"/>
    <s v="SORENTO"/>
    <x v="1"/>
    <d v="2020-01-03T00:00:00"/>
    <m/>
    <x v="0"/>
    <n v="0"/>
    <n v="0"/>
    <m/>
    <x v="0"/>
    <n v="0"/>
    <n v="0"/>
    <s v="SI"/>
    <n v="727.57500000000005"/>
    <s v="MECÁNICA"/>
    <n v="43"/>
    <n v="32"/>
    <n v="14"/>
    <n v="13"/>
    <n v="11"/>
    <n v="1"/>
    <n v="1"/>
    <m/>
    <m/>
    <n v="75.5"/>
  </r>
  <r>
    <n v="45"/>
    <d v="2020-01-20T00:00:00"/>
    <s v="005-00000340"/>
    <s v="AVK-314"/>
    <s v="HONDA"/>
    <s v="PILOT"/>
    <x v="1"/>
    <d v="2020-01-20T00:00:00"/>
    <m/>
    <x v="0"/>
    <n v="0"/>
    <n v="0"/>
    <m/>
    <x v="0"/>
    <n v="0"/>
    <n v="0"/>
    <m/>
    <n v="0"/>
    <s v="LEVE"/>
    <m/>
    <m/>
    <m/>
    <m/>
    <m/>
    <m/>
    <n v="0"/>
    <m/>
    <m/>
    <n v="0"/>
  </r>
  <r>
    <n v="46"/>
    <d v="2020-01-21T00:00:00"/>
    <s v="005-00000338"/>
    <s v="ASP-160"/>
    <s v="SUZUKI"/>
    <s v="CIAZ"/>
    <x v="1"/>
    <d v="2020-01-21T00:00:00"/>
    <s v="WILLIAMS"/>
    <x v="0"/>
    <n v="0"/>
    <n v="0"/>
    <m/>
    <x v="0"/>
    <n v="0"/>
    <n v="0"/>
    <s v="SI"/>
    <n v="130.41999999999999"/>
    <s v="LEVE"/>
    <m/>
    <m/>
    <m/>
    <m/>
    <m/>
    <m/>
    <n v="0"/>
    <s v="SI"/>
    <m/>
    <n v="0"/>
  </r>
  <r>
    <n v="47"/>
    <d v="2020-01-23T00:00:00"/>
    <s v="005-00000294"/>
    <s v="AXU-411"/>
    <s v="CHEVROLET"/>
    <s v="N300"/>
    <x v="1"/>
    <d v="2020-01-23T00:00:00"/>
    <s v="WILLIAMS"/>
    <x v="0"/>
    <n v="0"/>
    <n v="0"/>
    <m/>
    <x v="0"/>
    <n v="0"/>
    <n v="0"/>
    <m/>
    <n v="0"/>
    <s v="LEVE"/>
    <m/>
    <m/>
    <m/>
    <m/>
    <m/>
    <m/>
    <n v="0"/>
    <s v="SI"/>
    <m/>
    <n v="15.15"/>
  </r>
  <r>
    <n v="48"/>
    <d v="2020-01-23T00:00:00"/>
    <s v="005-00000311"/>
    <s v="AJK-417"/>
    <s v="CHEVROLET"/>
    <s v="SAIL"/>
    <x v="1"/>
    <d v="2020-01-23T00:00:00"/>
    <s v="WILLIAMS"/>
    <x v="0"/>
    <n v="0"/>
    <n v="0"/>
    <m/>
    <x v="0"/>
    <n v="0"/>
    <n v="0"/>
    <m/>
    <n v="0"/>
    <s v="LEVE"/>
    <m/>
    <m/>
    <m/>
    <m/>
    <m/>
    <m/>
    <n v="0"/>
    <s v="SI"/>
    <m/>
    <n v="10.9"/>
  </r>
  <r>
    <n v="49"/>
    <d v="2020-01-23T00:00:00"/>
    <s v="005-00000311"/>
    <s v="AJK-417"/>
    <s v="CHEVROLET"/>
    <s v="SAIL"/>
    <x v="1"/>
    <d v="2020-01-23T00:00:00"/>
    <s v="WILLIAMS"/>
    <x v="0"/>
    <n v="0"/>
    <n v="0"/>
    <m/>
    <x v="0"/>
    <n v="0"/>
    <n v="0"/>
    <m/>
    <n v="0"/>
    <s v="LEVE"/>
    <m/>
    <m/>
    <m/>
    <m/>
    <m/>
    <m/>
    <n v="0"/>
    <s v="SI"/>
    <m/>
    <n v="6.36"/>
  </r>
  <r>
    <n v="50"/>
    <d v="2020-01-24T00:00:00"/>
    <s v="005-00000322"/>
    <s v="C7L-474"/>
    <s v="CITROEN"/>
    <s v="NAUVELLE"/>
    <x v="1"/>
    <d v="2020-01-24T00:00:00"/>
    <m/>
    <x v="0"/>
    <n v="0"/>
    <n v="0"/>
    <m/>
    <x v="0"/>
    <n v="0"/>
    <n v="0"/>
    <m/>
    <n v="77.040000000000006"/>
    <s v="MECANICA"/>
    <n v="17"/>
    <n v="10"/>
    <n v="3.5"/>
    <n v="3.5"/>
    <n v="7"/>
    <n v="0"/>
    <n v="0"/>
    <s v="SI"/>
    <m/>
    <n v="0"/>
  </r>
  <r>
    <n v="51"/>
    <d v="2020-01-24T00:00:00"/>
    <s v="005-00000351"/>
    <s v="F6L-635"/>
    <s v="KIA"/>
    <s v="RIO"/>
    <x v="1"/>
    <d v="2020-01-24T00:00:00"/>
    <s v="WILLIAMS"/>
    <x v="0"/>
    <n v="0"/>
    <n v="0"/>
    <m/>
    <x v="0"/>
    <n v="0"/>
    <n v="0"/>
    <s v="SI"/>
    <n v="104"/>
    <s v="MECANICA"/>
    <m/>
    <m/>
    <m/>
    <m/>
    <m/>
    <m/>
    <n v="1"/>
    <m/>
    <m/>
    <n v="0"/>
  </r>
  <r>
    <n v="52"/>
    <d v="2020-01-24T00:00:00"/>
    <s v="005-00000352"/>
    <s v="BEN-226"/>
    <s v="NISSAN"/>
    <s v="KICKS"/>
    <x v="1"/>
    <d v="2020-01-24T00:00:00"/>
    <s v="WILLIAMS"/>
    <x v="0"/>
    <n v="0"/>
    <n v="0"/>
    <m/>
    <x v="0"/>
    <n v="0"/>
    <n v="0"/>
    <m/>
    <n v="0"/>
    <s v="LEVE"/>
    <m/>
    <m/>
    <m/>
    <m/>
    <m/>
    <m/>
    <n v="0"/>
    <s v="SI"/>
    <m/>
    <n v="60"/>
  </r>
  <r>
    <n v="53"/>
    <d v="2020-01-30T00:00:00"/>
    <s v="005-00000378"/>
    <s v="C0X-378"/>
    <s v="MAZDA"/>
    <s v="CX5"/>
    <x v="1"/>
    <d v="2020-01-30T00:00:00"/>
    <m/>
    <x v="0"/>
    <n v="0"/>
    <n v="0"/>
    <m/>
    <x v="0"/>
    <n v="0"/>
    <n v="0"/>
    <m/>
    <n v="0"/>
    <s v="LEVE"/>
    <m/>
    <m/>
    <m/>
    <m/>
    <m/>
    <m/>
    <n v="0"/>
    <s v="SI"/>
    <m/>
    <n v="40"/>
  </r>
  <r>
    <n v="54"/>
    <d v="2020-01-30T00:00:00"/>
    <s v="005-00000345"/>
    <s v="AUO-555"/>
    <s v="HYUNDAI"/>
    <s v="TUCSON"/>
    <x v="1"/>
    <d v="2020-01-30T00:00:00"/>
    <m/>
    <x v="0"/>
    <n v="0"/>
    <n v="0"/>
    <m/>
    <x v="0"/>
    <n v="0"/>
    <n v="0"/>
    <m/>
    <n v="0"/>
    <s v="MECANICA"/>
    <m/>
    <m/>
    <m/>
    <m/>
    <m/>
    <m/>
    <n v="0"/>
    <m/>
    <m/>
    <n v="73.959999999999994"/>
  </r>
  <r>
    <n v="55"/>
    <d v="2020-01-30T00:00:00"/>
    <s v="005-00000353"/>
    <s v="F8V-681"/>
    <s v="DODGE"/>
    <s v="JOURNEY"/>
    <x v="1"/>
    <d v="1900-01-29T00:00:00"/>
    <m/>
    <x v="0"/>
    <n v="0"/>
    <n v="0"/>
    <m/>
    <x v="0"/>
    <n v="0"/>
    <n v="0"/>
    <m/>
    <n v="1757.62"/>
    <s v="MECANICA"/>
    <m/>
    <m/>
    <m/>
    <m/>
    <m/>
    <m/>
    <n v="1"/>
    <m/>
    <m/>
    <n v="28.96"/>
  </r>
  <r>
    <n v="56"/>
    <d v="2020-01-30T00:00:00"/>
    <s v="005-00000370"/>
    <s v="AHC-389"/>
    <s v="JEEP"/>
    <s v="CHEROKEE"/>
    <x v="1"/>
    <d v="1900-01-29T00:00:00"/>
    <m/>
    <x v="0"/>
    <n v="0"/>
    <n v="0"/>
    <m/>
    <x v="0"/>
    <n v="0"/>
    <n v="0"/>
    <m/>
    <n v="0"/>
    <s v="MECANICA"/>
    <m/>
    <m/>
    <m/>
    <m/>
    <m/>
    <m/>
    <n v="1"/>
    <m/>
    <m/>
    <n v="0"/>
  </r>
  <r>
    <n v="57"/>
    <d v="2019-11-26T00:00:00"/>
    <s v="005-00000210"/>
    <s v="C4R-002"/>
    <s v="KIA"/>
    <s v="SPORTAGE"/>
    <x v="1"/>
    <d v="2019-11-26T00:00:00"/>
    <s v="WILLIAMS"/>
    <x v="0"/>
    <n v="0"/>
    <n v="0"/>
    <s v="PINTOR"/>
    <x v="1"/>
    <n v="0.25"/>
    <n v="0"/>
    <m/>
    <n v="0"/>
    <s v="LEVE"/>
    <m/>
    <m/>
    <m/>
    <m/>
    <m/>
    <m/>
    <n v="0"/>
    <m/>
    <m/>
    <n v="25"/>
  </r>
  <r>
    <n v="58"/>
    <d v="2019-12-02T00:00:00"/>
    <s v="005-00000221"/>
    <s v="BDW-631"/>
    <s v="MAZDA"/>
    <s v="MAZDA3"/>
    <x v="1"/>
    <d v="2019-12-02T00:00:00"/>
    <m/>
    <x v="0"/>
    <n v="0"/>
    <n v="0"/>
    <s v="PINTOR"/>
    <x v="1"/>
    <n v="0.5"/>
    <n v="0"/>
    <m/>
    <n v="0"/>
    <s v="LEVE"/>
    <m/>
    <m/>
    <m/>
    <m/>
    <m/>
    <m/>
    <n v="0"/>
    <m/>
    <m/>
    <n v="0"/>
  </r>
  <r>
    <n v="59"/>
    <d v="2019-12-16T00:00:00"/>
    <s v="005-00000267"/>
    <s v="AKI-444"/>
    <s v="MAZDA"/>
    <s v="MAZDA3"/>
    <x v="1"/>
    <d v="2019-12-16T00:00:00"/>
    <m/>
    <x v="0"/>
    <n v="0"/>
    <n v="0"/>
    <s v="PINTOR"/>
    <x v="1"/>
    <n v="0.5"/>
    <n v="0"/>
    <m/>
    <n v="0"/>
    <s v="LEVE"/>
    <m/>
    <m/>
    <m/>
    <m/>
    <m/>
    <m/>
    <n v="0"/>
    <m/>
    <m/>
    <n v="30"/>
  </r>
  <r>
    <n v="60"/>
    <d v="2019-10-14T00:00:00"/>
    <s v="005-00000042"/>
    <s v="C3A-411"/>
    <s v="SUZUKI"/>
    <s v="CELERIO"/>
    <x v="1"/>
    <d v="2019-10-14T00:00:00"/>
    <s v="WILLIAMS"/>
    <x v="45"/>
    <n v="1"/>
    <n v="0"/>
    <s v="PINTOR"/>
    <x v="3"/>
    <n v="1"/>
    <n v="0"/>
    <m/>
    <n v="0"/>
    <s v="LEVE"/>
    <m/>
    <m/>
    <m/>
    <m/>
    <m/>
    <m/>
    <n v="1"/>
    <m/>
    <m/>
    <n v="29.56"/>
  </r>
  <r>
    <n v="61"/>
    <d v="2019-11-08T00:00:00"/>
    <s v="005-00000161"/>
    <s v="AXC-070"/>
    <s v="NISSAN"/>
    <s v="KICKS"/>
    <x v="1"/>
    <d v="2019-11-07T00:00:00"/>
    <s v="WILLIAMS"/>
    <x v="46"/>
    <n v="2"/>
    <n v="0"/>
    <s v="PINTOR"/>
    <x v="3"/>
    <n v="1"/>
    <n v="0"/>
    <m/>
    <n v="0"/>
    <s v="LEVE"/>
    <m/>
    <m/>
    <m/>
    <m/>
    <m/>
    <m/>
    <n v="0"/>
    <m/>
    <m/>
    <n v="0"/>
  </r>
  <r>
    <n v="62"/>
    <d v="2019-11-11T00:00:00"/>
    <s v="005-00000170"/>
    <s v="B8U-602"/>
    <s v="SUBARU"/>
    <s v="FORESTER"/>
    <x v="1"/>
    <d v="2019-11-11T00:00:00"/>
    <s v="WILLIAMS"/>
    <x v="45"/>
    <n v="1"/>
    <n v="0"/>
    <s v="PINTOR"/>
    <x v="3"/>
    <n v="1"/>
    <n v="0"/>
    <m/>
    <n v="0"/>
    <s v="LEVE"/>
    <m/>
    <m/>
    <m/>
    <m/>
    <m/>
    <m/>
    <n v="0"/>
    <m/>
    <m/>
    <n v="0"/>
  </r>
  <r>
    <n v="63"/>
    <d v="2019-11-12T00:00:00"/>
    <s v="005-00000172"/>
    <s v="ATT-292"/>
    <s v="CHEVROLET"/>
    <s v="CRUZE"/>
    <x v="1"/>
    <d v="2019-11-11T00:00:00"/>
    <s v="WILLIAMS"/>
    <x v="46"/>
    <n v="2.5"/>
    <n v="0"/>
    <s v="PINTOR"/>
    <x v="3"/>
    <n v="1"/>
    <n v="0"/>
    <m/>
    <n v="0"/>
    <s v="LEVE"/>
    <m/>
    <m/>
    <m/>
    <m/>
    <m/>
    <m/>
    <n v="0"/>
    <m/>
    <m/>
    <n v="0"/>
  </r>
  <r>
    <n v="64"/>
    <d v="2019-12-13T00:00:00"/>
    <s v="005-00000265"/>
    <s v="AND-446"/>
    <s v="RENAULT"/>
    <s v="RENAULT"/>
    <x v="1"/>
    <d v="2019-12-13T00:00:00"/>
    <s v="WILLIAMS"/>
    <x v="47"/>
    <n v="3.5"/>
    <n v="0"/>
    <s v="PINTOR"/>
    <x v="3"/>
    <n v="1"/>
    <n v="0"/>
    <m/>
    <n v="0"/>
    <s v="LEVE"/>
    <m/>
    <m/>
    <m/>
    <m/>
    <m/>
    <m/>
    <n v="0"/>
    <m/>
    <m/>
    <n v="0"/>
  </r>
  <r>
    <n v="65"/>
    <d v="2019-12-24T00:00:00"/>
    <s v="005-00000286"/>
    <s v="BEA-170"/>
    <s v="KIA"/>
    <s v="CERATO"/>
    <x v="1"/>
    <d v="2019-12-23T00:00:00"/>
    <m/>
    <x v="0"/>
    <n v="0"/>
    <n v="0"/>
    <s v="PINTOR"/>
    <x v="3"/>
    <n v="1"/>
    <n v="0"/>
    <m/>
    <n v="0"/>
    <s v="LEVE"/>
    <m/>
    <m/>
    <m/>
    <m/>
    <m/>
    <m/>
    <n v="0"/>
    <m/>
    <m/>
    <n v="0"/>
  </r>
  <r>
    <n v="66"/>
    <d v="2019-12-26T00:00:00"/>
    <s v="005-00000289"/>
    <s v="F7V-531"/>
    <s v="HONDA"/>
    <s v="ACCORD"/>
    <x v="1"/>
    <d v="2019-12-26T00:00:00"/>
    <s v="WILLIAMS"/>
    <x v="5"/>
    <n v="2"/>
    <n v="0"/>
    <s v="PINTOR"/>
    <x v="3"/>
    <n v="1"/>
    <n v="0"/>
    <m/>
    <n v="0"/>
    <s v="LEVE"/>
    <m/>
    <m/>
    <m/>
    <m/>
    <m/>
    <m/>
    <n v="0"/>
    <m/>
    <m/>
    <n v="0"/>
  </r>
  <r>
    <n v="67"/>
    <d v="2020-01-20T00:00:00"/>
    <s v="005-00000342"/>
    <s v="BEN-226"/>
    <s v="NISSAN"/>
    <s v="KICKS"/>
    <x v="1"/>
    <d v="2020-01-20T00:00:00"/>
    <s v="WILLIAMS"/>
    <x v="1"/>
    <n v="3"/>
    <n v="0"/>
    <s v="PINTOR"/>
    <x v="3"/>
    <n v="1"/>
    <n v="0"/>
    <m/>
    <n v="0"/>
    <s v="LEVE"/>
    <m/>
    <m/>
    <m/>
    <m/>
    <m/>
    <m/>
    <n v="0"/>
    <m/>
    <m/>
    <n v="0"/>
  </r>
  <r>
    <n v="68"/>
    <d v="2020-01-21T00:00:00"/>
    <s v="005-00000344"/>
    <s v="ASP-160"/>
    <s v="SUZUKI"/>
    <s v="CIAZ"/>
    <x v="1"/>
    <d v="2020-01-21T00:00:00"/>
    <s v="WILLIAMS"/>
    <x v="1"/>
    <n v="1"/>
    <n v="0"/>
    <s v="PINTOR"/>
    <x v="3"/>
    <n v="1"/>
    <n v="0"/>
    <m/>
    <n v="0"/>
    <s v="LEVE"/>
    <n v="3"/>
    <n v="1"/>
    <n v="1"/>
    <n v="1"/>
    <n v="2"/>
    <n v="0"/>
    <n v="0"/>
    <m/>
    <m/>
    <n v="0"/>
  </r>
  <r>
    <n v="69"/>
    <d v="2020-01-22T00:00:00"/>
    <s v="005-00000345"/>
    <s v="AUO-555"/>
    <s v="HYUNDAI"/>
    <s v="TUCSON"/>
    <x v="1"/>
    <d v="2020-01-22T00:00:00"/>
    <s v="WILLIAMS"/>
    <x v="5"/>
    <n v="1"/>
    <n v="0"/>
    <s v="PINTOR"/>
    <x v="3"/>
    <n v="1"/>
    <n v="0"/>
    <m/>
    <n v="0"/>
    <s v="LEVE"/>
    <n v="21"/>
    <n v="14"/>
    <n v="6.5"/>
    <n v="6.5"/>
    <n v="7"/>
    <n v="0"/>
    <n v="0"/>
    <m/>
    <m/>
    <n v="0"/>
  </r>
  <r>
    <n v="70"/>
    <d v="2020-01-23T00:00:00"/>
    <s v="005-00000350"/>
    <s v="D6B-575"/>
    <s v="TOYOTA"/>
    <s v="PRADO"/>
    <x v="1"/>
    <d v="2020-01-23T00:00:00"/>
    <s v="WILLIAMS"/>
    <x v="5"/>
    <n v="2"/>
    <n v="0"/>
    <s v="PINTOR"/>
    <x v="3"/>
    <n v="1"/>
    <n v="0"/>
    <m/>
    <n v="0"/>
    <s v="LEVE"/>
    <m/>
    <m/>
    <m/>
    <m/>
    <m/>
    <m/>
    <n v="0"/>
    <m/>
    <m/>
    <n v="60"/>
  </r>
  <r>
    <n v="71"/>
    <d v="2019-10-02T00:00:00"/>
    <s v="005-00000004"/>
    <s v="ASW-540"/>
    <s v="KIA"/>
    <s v="RIO"/>
    <x v="1"/>
    <d v="2019-10-02T00:00:00"/>
    <s v="WILLIAMS"/>
    <x v="6"/>
    <n v="4"/>
    <n v="0"/>
    <s v="PINTOR"/>
    <x v="29"/>
    <n v="2"/>
    <n v="0"/>
    <m/>
    <n v="0"/>
    <s v="LEVE"/>
    <n v="5"/>
    <n v="4"/>
    <n v="2"/>
    <n v="2"/>
    <n v="1"/>
    <n v="0"/>
    <n v="0"/>
    <m/>
    <m/>
    <n v="0"/>
  </r>
  <r>
    <n v="72"/>
    <d v="2019-10-22T00:00:00"/>
    <s v="005-00000071"/>
    <s v="D9K-336"/>
    <s v="KIA"/>
    <s v="SPORTAGE"/>
    <x v="1"/>
    <d v="2019-10-21T00:00:00"/>
    <s v="WILLIAMS"/>
    <x v="3"/>
    <n v="9"/>
    <n v="0"/>
    <s v="PINTOR"/>
    <x v="29"/>
    <n v="2"/>
    <n v="0"/>
    <m/>
    <n v="0"/>
    <s v="MEDIANO"/>
    <m/>
    <m/>
    <m/>
    <m/>
    <m/>
    <m/>
    <n v="0"/>
    <m/>
    <m/>
    <n v="20"/>
  </r>
  <r>
    <n v="73"/>
    <d v="2019-11-27T00:00:00"/>
    <s v="005-00000213"/>
    <s v="BDG-262"/>
    <s v="KIA"/>
    <s v="RIO"/>
    <x v="1"/>
    <d v="2019-11-28T00:00:00"/>
    <s v="WILLIAMS"/>
    <x v="48"/>
    <n v="2"/>
    <n v="0"/>
    <s v="PINTOR"/>
    <x v="29"/>
    <n v="2"/>
    <n v="0"/>
    <m/>
    <n v="0"/>
    <s v="LEVE"/>
    <m/>
    <m/>
    <m/>
    <m/>
    <m/>
    <m/>
    <n v="0"/>
    <m/>
    <m/>
    <n v="0"/>
  </r>
  <r>
    <n v="74"/>
    <d v="2020-01-22T00:00:00"/>
    <s v="005-00000349"/>
    <s v="C0X-378"/>
    <s v="MAZDA"/>
    <s v="CX-5"/>
    <x v="1"/>
    <d v="2020-01-22T00:00:00"/>
    <s v="WILLIAMS"/>
    <x v="6"/>
    <n v="3"/>
    <n v="0"/>
    <s v="PINTOR"/>
    <x v="29"/>
    <n v="2"/>
    <n v="0"/>
    <m/>
    <n v="0"/>
    <s v="LEVE"/>
    <m/>
    <m/>
    <m/>
    <m/>
    <m/>
    <m/>
    <n v="0"/>
    <m/>
    <m/>
    <n v="0"/>
  </r>
  <r>
    <n v="75"/>
    <d v="2019-11-27T00:00:00"/>
    <s v="005-00000208"/>
    <s v="BDU-537"/>
    <s v="SUBARU"/>
    <s v="FORESTER"/>
    <x v="1"/>
    <d v="2019-11-28T00:00:00"/>
    <s v="WILLIAMS"/>
    <x v="49"/>
    <n v="8"/>
    <n v="0"/>
    <s v="PINTOR"/>
    <x v="30"/>
    <n v="2.25"/>
    <n v="0"/>
    <m/>
    <n v="0"/>
    <s v="LEVE"/>
    <m/>
    <m/>
    <m/>
    <m/>
    <m/>
    <m/>
    <n v="0"/>
    <m/>
    <m/>
    <n v="60"/>
  </r>
  <r>
    <n v="76"/>
    <d v="2019-10-17T00:00:00"/>
    <s v="005-00000057"/>
    <s v="F5C-188"/>
    <s v="AUDI"/>
    <s v="Q5"/>
    <x v="1"/>
    <d v="2019-10-17T00:00:00"/>
    <s v="WILLIAMS"/>
    <x v="6"/>
    <n v="4"/>
    <n v="0"/>
    <s v="PINTOR"/>
    <x v="31"/>
    <n v="2.25"/>
    <n v="0"/>
    <m/>
    <n v="0"/>
    <s v="LEVE"/>
    <m/>
    <m/>
    <m/>
    <m/>
    <m/>
    <m/>
    <n v="0"/>
    <m/>
    <m/>
    <n v="30"/>
  </r>
  <r>
    <n v="77"/>
    <d v="2019-10-03T00:00:00"/>
    <s v="005-00000006"/>
    <s v="D9C-481"/>
    <s v="JEEP"/>
    <s v="COMPASS"/>
    <x v="1"/>
    <d v="2019-10-03T00:00:00"/>
    <s v="WILLIAMS"/>
    <x v="6"/>
    <n v="5"/>
    <n v="0"/>
    <s v="PINTOR"/>
    <x v="32"/>
    <n v="3"/>
    <n v="0"/>
    <s v="SI"/>
    <n v="695"/>
    <s v="LEVE"/>
    <n v="5"/>
    <n v="5"/>
    <n v="3"/>
    <n v="3"/>
    <n v="0"/>
    <n v="0"/>
    <n v="0"/>
    <m/>
    <m/>
    <n v="30"/>
  </r>
  <r>
    <n v="78"/>
    <d v="2019-10-04T00:00:00"/>
    <s v="005-00000008"/>
    <s v="AHK-141"/>
    <s v="NISSAN"/>
    <s v="XTRAIL"/>
    <x v="1"/>
    <d v="2019-10-04T00:00:00"/>
    <s v="WILLIAMS"/>
    <x v="50"/>
    <n v="4"/>
    <n v="0"/>
    <s v="PINTOR"/>
    <x v="32"/>
    <n v="3"/>
    <n v="0"/>
    <m/>
    <n v="0"/>
    <s v="LEVE"/>
    <n v="6"/>
    <n v="4"/>
    <n v="3"/>
    <n v="3"/>
    <n v="2"/>
    <n v="0"/>
    <n v="2"/>
    <m/>
    <m/>
    <n v="15"/>
  </r>
  <r>
    <n v="79"/>
    <d v="2019-10-09T00:00:00"/>
    <s v="005-00000030"/>
    <s v="AMY-524"/>
    <s v="TOYOTA"/>
    <s v="COROLLA"/>
    <x v="1"/>
    <d v="2019-10-09T00:00:00"/>
    <s v="WILLIAMS"/>
    <x v="51"/>
    <n v="2.25"/>
    <n v="0"/>
    <s v="PINTOR"/>
    <x v="32"/>
    <n v="3"/>
    <n v="0"/>
    <m/>
    <n v="0"/>
    <s v="LEVE"/>
    <m/>
    <m/>
    <m/>
    <m/>
    <m/>
    <m/>
    <n v="0"/>
    <m/>
    <m/>
    <n v="25"/>
  </r>
  <r>
    <n v="80"/>
    <d v="2019-12-23T00:00:00"/>
    <s v="005-00000280"/>
    <s v="F2Y-614"/>
    <s v="MAZDA"/>
    <s v="MAZDA3"/>
    <x v="1"/>
    <d v="2019-12-23T00:00:00"/>
    <s v="WILLIAMS"/>
    <x v="48"/>
    <n v="3"/>
    <n v="0"/>
    <s v="PINTOR"/>
    <x v="33"/>
    <n v="3.25"/>
    <n v="0"/>
    <m/>
    <n v="0"/>
    <s v="LEVE"/>
    <m/>
    <m/>
    <m/>
    <m/>
    <m/>
    <m/>
    <n v="0"/>
    <m/>
    <m/>
    <n v="0"/>
  </r>
  <r>
    <n v="81"/>
    <d v="2019-10-09T00:00:00"/>
    <s v="005-00000024"/>
    <s v="B4S-030"/>
    <s v="KIA"/>
    <s v="PICANTO"/>
    <x v="1"/>
    <d v="2019-10-09T00:00:00"/>
    <s v="WILLIAMS"/>
    <x v="52"/>
    <n v="8"/>
    <n v="0"/>
    <s v="PINTOR"/>
    <x v="34"/>
    <n v="4"/>
    <n v="0"/>
    <m/>
    <n v="0"/>
    <s v="LEVE"/>
    <m/>
    <m/>
    <m/>
    <m/>
    <m/>
    <m/>
    <n v="0"/>
    <m/>
    <m/>
    <n v="65"/>
  </r>
  <r>
    <n v="82"/>
    <d v="2020-01-16T00:00:00"/>
    <s v="005-00000335"/>
    <s v="AUV-610"/>
    <s v="BMW"/>
    <s v="X3"/>
    <x v="1"/>
    <d v="2020-01-16T00:00:00"/>
    <s v="WILLIAMS"/>
    <x v="53"/>
    <n v="6"/>
    <n v="0"/>
    <s v="PINTOR"/>
    <x v="35"/>
    <n v="4.5"/>
    <n v="0"/>
    <m/>
    <n v="0"/>
    <s v="LEVE"/>
    <m/>
    <m/>
    <m/>
    <m/>
    <m/>
    <m/>
    <n v="0"/>
    <m/>
    <m/>
    <n v="48.73"/>
  </r>
  <r>
    <n v="83"/>
    <d v="2019-11-05T00:00:00"/>
    <s v="005-00000116"/>
    <s v="ATF-409"/>
    <s v="BWM"/>
    <s v="520I"/>
    <x v="1"/>
    <d v="2019-11-04T00:00:00"/>
    <s v="WILLIAMS"/>
    <x v="54"/>
    <n v="12"/>
    <n v="0"/>
    <s v="PINTOR"/>
    <x v="36"/>
    <n v="10.75"/>
    <n v="0"/>
    <m/>
    <n v="0"/>
    <s v="LEVE"/>
    <m/>
    <m/>
    <m/>
    <m/>
    <m/>
    <m/>
    <n v="0"/>
    <m/>
    <m/>
    <n v="105"/>
  </r>
  <r>
    <n v="84"/>
    <d v="2019-11-08T00:00:00"/>
    <s v="005-00000145"/>
    <s v="BCP-022"/>
    <s v="HONDA"/>
    <s v="CRV"/>
    <x v="2"/>
    <d v="2019-11-07T00:00:00"/>
    <s v="WILLIAMS"/>
    <x v="55"/>
    <n v="9"/>
    <n v="0"/>
    <s v="PINTOR"/>
    <x v="37"/>
    <n v="2"/>
    <n v="0"/>
    <m/>
    <n v="0"/>
    <s v="LEVE"/>
    <m/>
    <m/>
    <m/>
    <m/>
    <m/>
    <m/>
    <n v="0"/>
    <m/>
    <m/>
    <n v="0"/>
  </r>
  <r>
    <n v="85"/>
    <d v="2019-10-15T00:00:00"/>
    <s v="005-00000041"/>
    <s v="B5M-803"/>
    <s v="NISSAN"/>
    <s v="NAVARA"/>
    <x v="3"/>
    <d v="2019-10-15T00:00:00"/>
    <s v="WILLIAMS"/>
    <x v="45"/>
    <n v="1"/>
    <n v="0"/>
    <m/>
    <x v="0"/>
    <n v="0"/>
    <n v="0"/>
    <s v="SI"/>
    <n v="62.07"/>
    <s v="LEVE"/>
    <n v="43"/>
    <n v="31"/>
    <n v="8.75"/>
    <n v="8.75"/>
    <n v="12"/>
    <n v="0"/>
    <n v="0"/>
    <m/>
    <m/>
    <n v="330"/>
  </r>
  <r>
    <n v="86"/>
    <d v="2019-11-22T00:00:00"/>
    <s v="005-00000117"/>
    <s v="BFM-214"/>
    <s v="JEEP"/>
    <s v="CHEROKEE"/>
    <x v="3"/>
    <d v="2019-09-22T00:00:00"/>
    <m/>
    <x v="0"/>
    <n v="0"/>
    <n v="0"/>
    <m/>
    <x v="0"/>
    <n v="0"/>
    <n v="0"/>
    <m/>
    <n v="0"/>
    <s v="LEVE"/>
    <m/>
    <m/>
    <m/>
    <m/>
    <m/>
    <m/>
    <n v="0"/>
    <s v="SI"/>
    <m/>
    <n v="45"/>
  </r>
  <r>
    <n v="87"/>
    <d v="2019-11-25T00:00:00"/>
    <s v="005-00000032"/>
    <s v="AFS-362"/>
    <s v="MAZDA"/>
    <s v="MAZDA5"/>
    <x v="3"/>
    <d v="2019-10-14T00:00:00"/>
    <s v="WILLIAMS"/>
    <x v="50"/>
    <n v="4"/>
    <n v="0"/>
    <m/>
    <x v="0"/>
    <n v="0"/>
    <n v="0"/>
    <m/>
    <n v="0"/>
    <s v="LEVE"/>
    <m/>
    <m/>
    <m/>
    <m/>
    <m/>
    <m/>
    <n v="2"/>
    <m/>
    <m/>
    <n v="135"/>
  </r>
  <r>
    <n v="88"/>
    <d v="2019-11-25T00:00:00"/>
    <s v="005-00000035"/>
    <s v="BEQ-190"/>
    <s v="KIA"/>
    <s v="PICANTO"/>
    <x v="3"/>
    <d v="2019-11-22T00:00:00"/>
    <s v="WILLIAMS"/>
    <x v="0"/>
    <n v="0"/>
    <n v="0"/>
    <m/>
    <x v="0"/>
    <n v="0"/>
    <n v="0"/>
    <m/>
    <n v="0"/>
    <s v="MEDIANO"/>
    <m/>
    <m/>
    <m/>
    <m/>
    <m/>
    <m/>
    <n v="0"/>
    <s v="SI"/>
    <m/>
    <n v="40"/>
  </r>
  <r>
    <n v="89"/>
    <d v="2019-11-25T00:00:00"/>
    <s v="005-00000181"/>
    <s v="AYQ-451"/>
    <s v="NISSAN"/>
    <s v="SENTRA"/>
    <x v="3"/>
    <d v="2019-11-22T00:00:00"/>
    <m/>
    <x v="0"/>
    <n v="0"/>
    <n v="0"/>
    <m/>
    <x v="0"/>
    <n v="0"/>
    <n v="0"/>
    <m/>
    <n v="0"/>
    <s v="LEVE"/>
    <m/>
    <m/>
    <m/>
    <m/>
    <m/>
    <m/>
    <n v="0"/>
    <m/>
    <m/>
    <n v="0"/>
  </r>
  <r>
    <n v="90"/>
    <d v="2019-12-18T00:00:00"/>
    <s v="005-00000206"/>
    <s v="AJD-170"/>
    <s v="NISSAN"/>
    <s v="XTRAIL"/>
    <x v="3"/>
    <d v="2019-12-18T00:00:00"/>
    <m/>
    <x v="0"/>
    <n v="0"/>
    <n v="0"/>
    <m/>
    <x v="0"/>
    <n v="0"/>
    <n v="0"/>
    <s v="SI"/>
    <n v="1061.32"/>
    <s v="LEVE"/>
    <m/>
    <m/>
    <m/>
    <m/>
    <m/>
    <m/>
    <n v="1"/>
    <m/>
    <m/>
    <n v="0"/>
  </r>
  <r>
    <n v="91"/>
    <d v="2019-12-28T00:00:00"/>
    <s v="005-00000282"/>
    <s v="F3M-334"/>
    <s v="SUZUKI"/>
    <s v="SWIFT"/>
    <x v="3"/>
    <d v="2020-12-23T00:00:00"/>
    <m/>
    <x v="56"/>
    <n v="4"/>
    <n v="0"/>
    <m/>
    <x v="0"/>
    <n v="0"/>
    <n v="0"/>
    <m/>
    <n v="0"/>
    <s v="LEVE"/>
    <m/>
    <m/>
    <m/>
    <m/>
    <m/>
    <m/>
    <n v="0"/>
    <m/>
    <m/>
    <n v="0"/>
  </r>
  <r>
    <n v="92"/>
    <d v="2020-01-02T00:00:00"/>
    <s v="005-00000282"/>
    <s v="F3M-334"/>
    <s v="SUZUKI"/>
    <s v="SWIFT"/>
    <x v="3"/>
    <d v="2020-01-02T00:00:00"/>
    <s v="WILLIAMS"/>
    <x v="57"/>
    <n v="0"/>
    <n v="0"/>
    <m/>
    <x v="0"/>
    <n v="0"/>
    <n v="0"/>
    <m/>
    <n v="0"/>
    <s v="LEVE"/>
    <m/>
    <m/>
    <m/>
    <m/>
    <m/>
    <m/>
    <n v="0"/>
    <s v="SI"/>
    <m/>
    <n v="15"/>
  </r>
  <r>
    <n v="93"/>
    <d v="2020-01-03T00:00:00"/>
    <s v="005-00000299"/>
    <s v="F2F-448"/>
    <s v="NISSAN"/>
    <s v="TIIDA"/>
    <x v="3"/>
    <d v="2020-01-03T00:00:00"/>
    <s v="WILLIAMS"/>
    <x v="0"/>
    <n v="0"/>
    <n v="0"/>
    <m/>
    <x v="0"/>
    <n v="0"/>
    <n v="0"/>
    <s v="SI"/>
    <n v="184.54"/>
    <s v="LEVE"/>
    <m/>
    <m/>
    <m/>
    <m/>
    <m/>
    <m/>
    <n v="2"/>
    <m/>
    <m/>
    <n v="0"/>
  </r>
  <r>
    <n v="94"/>
    <d v="2020-01-06T00:00:00"/>
    <s v="005-00000281"/>
    <s v="AJE-585"/>
    <s v="AUDI"/>
    <s v="Q3"/>
    <x v="3"/>
    <d v="2020-12-23T00:00:00"/>
    <s v="WILLIAMS"/>
    <x v="58"/>
    <n v="3"/>
    <n v="0"/>
    <s v="PINTOR"/>
    <x v="0"/>
    <n v="0"/>
    <n v="0"/>
    <m/>
    <n v="0"/>
    <s v="LEVE"/>
    <m/>
    <m/>
    <m/>
    <m/>
    <m/>
    <m/>
    <n v="0"/>
    <m/>
    <m/>
    <n v="15"/>
  </r>
  <r>
    <n v="95"/>
    <d v="2020-01-06T00:00:00"/>
    <s v="005-00000301"/>
    <s v="AUO-555"/>
    <s v="HYUNDAI"/>
    <s v="TUCSON"/>
    <x v="3"/>
    <d v="2020-01-03T00:00:00"/>
    <s v="WILLIAMS"/>
    <x v="48"/>
    <n v="2"/>
    <n v="0"/>
    <s v="PINTOR"/>
    <x v="0"/>
    <n v="0"/>
    <n v="0"/>
    <m/>
    <n v="0"/>
    <s v="LEVE"/>
    <m/>
    <m/>
    <m/>
    <m/>
    <m/>
    <m/>
    <n v="0"/>
    <m/>
    <m/>
    <n v="0"/>
  </r>
  <r>
    <n v="96"/>
    <d v="2020-01-07T00:00:00"/>
    <s v="005-00000301"/>
    <s v="AUO-555"/>
    <s v="HYUNDAI"/>
    <s v="TUCSON"/>
    <x v="3"/>
    <d v="2020-01-06T00:00:00"/>
    <s v="WILLIAMS"/>
    <x v="2"/>
    <n v="4"/>
    <n v="0"/>
    <m/>
    <x v="0"/>
    <n v="0"/>
    <n v="0"/>
    <m/>
    <n v="0"/>
    <s v="LEVE"/>
    <m/>
    <m/>
    <m/>
    <m/>
    <m/>
    <m/>
    <n v="0"/>
    <s v="SI"/>
    <m/>
    <n v="0"/>
  </r>
  <r>
    <n v="97"/>
    <d v="2020-01-08T00:00:00"/>
    <s v="005-00000305"/>
    <s v="BFF-666"/>
    <s v="KIA"/>
    <s v="RIO"/>
    <x v="3"/>
    <d v="2020-01-06T00:00:00"/>
    <s v="WILLIAMS"/>
    <x v="57"/>
    <n v="0.5"/>
    <n v="0"/>
    <s v="PINTOR"/>
    <x v="38"/>
    <n v="0.25"/>
    <n v="0"/>
    <s v="SI"/>
    <n v="267.41000000000003"/>
    <s v="LEVE"/>
    <m/>
    <m/>
    <m/>
    <m/>
    <m/>
    <m/>
    <n v="0"/>
    <m/>
    <m/>
    <n v="0"/>
  </r>
  <r>
    <n v="98"/>
    <d v="2019-10-23T00:00:00"/>
    <s v="005-00000071"/>
    <s v="D9K-336"/>
    <s v="KIA"/>
    <s v="SPORTAGE"/>
    <x v="3"/>
    <d v="2019-10-23T00:00:00"/>
    <s v="WILLIAMS"/>
    <x v="1"/>
    <n v="3"/>
    <n v="0"/>
    <s v="PINTOR"/>
    <x v="1"/>
    <n v="0.5"/>
    <n v="0"/>
    <m/>
    <n v="0"/>
    <s v="LEVE"/>
    <m/>
    <m/>
    <m/>
    <m/>
    <m/>
    <m/>
    <n v="0"/>
    <s v="SI"/>
    <m/>
    <n v="0"/>
  </r>
  <r>
    <n v="99"/>
    <d v="2019-10-07T00:00:00"/>
    <s v="005-00000022"/>
    <s v="AHK-141"/>
    <s v="NISSAN"/>
    <s v="XTRAIL"/>
    <x v="3"/>
    <d v="2019-10-05T00:00:00"/>
    <s v="WILLIAMS"/>
    <x v="59"/>
    <n v="1"/>
    <n v="0"/>
    <s v="PINTOR"/>
    <x v="3"/>
    <n v="1"/>
    <n v="0"/>
    <s v="SI"/>
    <n v="393.78"/>
    <s v="LEVE"/>
    <m/>
    <m/>
    <m/>
    <m/>
    <m/>
    <m/>
    <n v="0"/>
    <m/>
    <m/>
    <n v="0"/>
  </r>
  <r>
    <n v="100"/>
    <d v="2019-10-15T00:00:00"/>
    <s v="005-00000043"/>
    <s v="ANE-445"/>
    <s v="RENAULT"/>
    <s v="LOGAN"/>
    <x v="3"/>
    <d v="2019-10-15T00:00:00"/>
    <s v="WILLIAMS"/>
    <x v="8"/>
    <n v="7"/>
    <n v="0"/>
    <s v="PINTOR"/>
    <x v="3"/>
    <n v="1"/>
    <n v="0"/>
    <s v="SI"/>
    <n v="79.22"/>
    <s v="LEVE"/>
    <m/>
    <m/>
    <m/>
    <m/>
    <m/>
    <m/>
    <n v="0"/>
    <m/>
    <m/>
    <n v="0"/>
  </r>
  <r>
    <n v="101"/>
    <d v="2019-10-29T00:00:00"/>
    <s v="005-00000086"/>
    <s v="APW-245"/>
    <s v="NISSAN"/>
    <s v="SENTRA"/>
    <x v="3"/>
    <d v="2019-10-23T00:00:00"/>
    <s v="WILLIAMS"/>
    <x v="5"/>
    <n v="1"/>
    <n v="0"/>
    <s v="PINTOR"/>
    <x v="3"/>
    <n v="0"/>
    <n v="0"/>
    <m/>
    <n v="0"/>
    <s v="LEVE"/>
    <m/>
    <m/>
    <m/>
    <m/>
    <m/>
    <m/>
    <n v="0"/>
    <m/>
    <m/>
    <n v="30"/>
  </r>
  <r>
    <n v="102"/>
    <d v="2019-10-30T00:00:00"/>
    <s v="005-00000100"/>
    <s v="BKX-624"/>
    <s v="MAZDA"/>
    <s v="CX3"/>
    <x v="3"/>
    <d v="2019-10-28T00:00:00"/>
    <s v="WILLIAMS"/>
    <x v="5"/>
    <n v="1"/>
    <n v="0"/>
    <s v="PINTOR"/>
    <x v="3"/>
    <n v="0"/>
    <n v="0"/>
    <m/>
    <n v="0"/>
    <s v="LEVE"/>
    <m/>
    <m/>
    <m/>
    <m/>
    <m/>
    <m/>
    <n v="0"/>
    <m/>
    <m/>
    <n v="0"/>
  </r>
  <r>
    <n v="103"/>
    <d v="2019-11-02T00:00:00"/>
    <s v="005-00000115"/>
    <s v="AWV-260"/>
    <s v="MAZDA"/>
    <s v="CX9"/>
    <x v="3"/>
    <d v="2019-10-31T00:00:00"/>
    <s v="WILLIAMS"/>
    <x v="51"/>
    <n v="2"/>
    <n v="0"/>
    <s v="PINTOR"/>
    <x v="3"/>
    <n v="1"/>
    <n v="0"/>
    <s v="SI"/>
    <n v="957.33"/>
    <s v="LEVE"/>
    <n v="2.25"/>
    <n v="2"/>
    <n v="1"/>
    <n v="1"/>
    <n v="0.25"/>
    <n v="0"/>
    <n v="0"/>
    <m/>
    <m/>
    <n v="15"/>
  </r>
  <r>
    <n v="104"/>
    <d v="2019-11-04T00:00:00"/>
    <s v="005-00000118"/>
    <s v="ANE-312"/>
    <s v="RENAULT"/>
    <s v="LOGAN"/>
    <x v="3"/>
    <d v="2019-10-31T00:00:00"/>
    <s v="WILLIAMS"/>
    <x v="5"/>
    <n v="1"/>
    <n v="0"/>
    <s v="PINTOR"/>
    <x v="3"/>
    <n v="1"/>
    <n v="0"/>
    <m/>
    <n v="0"/>
    <s v="LEVE"/>
    <m/>
    <m/>
    <m/>
    <m/>
    <m/>
    <m/>
    <n v="0"/>
    <m/>
    <m/>
    <n v="50"/>
  </r>
  <r>
    <n v="105"/>
    <d v="2019-11-07T00:00:00"/>
    <s v="005-00000137"/>
    <s v="AXA-172"/>
    <s v="CHEVROLET"/>
    <s v="TRAVERSE"/>
    <x v="3"/>
    <d v="2019-11-06T00:00:00"/>
    <s v="WILLIAMS"/>
    <x v="5"/>
    <n v="2"/>
    <n v="0"/>
    <s v="PINTOR"/>
    <x v="3"/>
    <n v="1"/>
    <n v="0"/>
    <s v="SI"/>
    <n v="182.22"/>
    <s v="LEVE"/>
    <m/>
    <m/>
    <m/>
    <m/>
    <m/>
    <m/>
    <n v="0"/>
    <m/>
    <m/>
    <n v="30"/>
  </r>
  <r>
    <n v="106"/>
    <d v="2019-11-07T00:00:00"/>
    <s v="005-00000159"/>
    <s v="AXA-172"/>
    <s v="CHEVROLET"/>
    <s v="TRAVERSE"/>
    <x v="3"/>
    <d v="2019-11-06T00:00:00"/>
    <s v="WILLIAMS"/>
    <x v="5"/>
    <n v="2"/>
    <n v="0"/>
    <s v="PINTOR"/>
    <x v="3"/>
    <n v="1"/>
    <n v="0"/>
    <m/>
    <n v="0"/>
    <s v="LEVE"/>
    <m/>
    <m/>
    <m/>
    <m/>
    <m/>
    <m/>
    <n v="0"/>
    <m/>
    <m/>
    <n v="30"/>
  </r>
  <r>
    <n v="107"/>
    <d v="2019-11-18T00:00:00"/>
    <s v="005-00000059"/>
    <s v="F5C-188"/>
    <s v="AUDI"/>
    <s v="Q5"/>
    <x v="3"/>
    <m/>
    <s v="WILLIAMS"/>
    <x v="5"/>
    <n v="1"/>
    <n v="0"/>
    <s v="PINTOR"/>
    <x v="3"/>
    <n v="1"/>
    <n v="0"/>
    <s v="SI"/>
    <n v="2203.71"/>
    <s v="LEVE"/>
    <m/>
    <m/>
    <m/>
    <m/>
    <m/>
    <m/>
    <n v="30"/>
    <m/>
    <m/>
    <n v="0"/>
  </r>
  <r>
    <n v="108"/>
    <d v="2019-11-29T00:00:00"/>
    <s v="005-00000214"/>
    <s v="AND-446"/>
    <s v="RENAULT"/>
    <s v="LOGAN"/>
    <x v="3"/>
    <d v="2019-11-29T00:00:00"/>
    <s v="WILLIAMS"/>
    <x v="5"/>
    <n v="1"/>
    <n v="0"/>
    <s v="PINTOR"/>
    <x v="3"/>
    <n v="1"/>
    <n v="0"/>
    <m/>
    <n v="0"/>
    <s v="LEVE"/>
    <m/>
    <m/>
    <m/>
    <m/>
    <m/>
    <m/>
    <n v="0"/>
    <m/>
    <m/>
    <n v="30"/>
  </r>
  <r>
    <n v="109"/>
    <d v="2019-12-04T00:00:00"/>
    <s v="005-00000232"/>
    <s v="BFE-603"/>
    <s v="JEEP"/>
    <s v="GRANDCHEROKE"/>
    <x v="3"/>
    <d v="2019-12-04T00:00:00"/>
    <s v="WILLIAMS"/>
    <x v="5"/>
    <n v="1"/>
    <n v="0"/>
    <s v="PINTOR"/>
    <x v="3"/>
    <n v="1"/>
    <n v="0"/>
    <s v="SI"/>
    <n v="32.700000000000003"/>
    <s v="LEVE"/>
    <m/>
    <m/>
    <m/>
    <m/>
    <m/>
    <m/>
    <n v="0"/>
    <m/>
    <m/>
    <n v="0"/>
  </r>
  <r>
    <n v="110"/>
    <d v="2019-12-10T00:00:00"/>
    <s v="005-00000256"/>
    <s v="BET-306"/>
    <s v="MAZDA"/>
    <s v="MAZDA3"/>
    <x v="3"/>
    <d v="2019-12-09T00:00:00"/>
    <s v="WILLIAMS"/>
    <x v="5"/>
    <n v="1"/>
    <n v="0"/>
    <s v="PINTOR"/>
    <x v="3"/>
    <n v="1"/>
    <n v="0"/>
    <m/>
    <n v="675.72"/>
    <s v="LEVE"/>
    <m/>
    <m/>
    <m/>
    <m/>
    <m/>
    <m/>
    <n v="0"/>
    <m/>
    <m/>
    <n v="0"/>
  </r>
  <r>
    <n v="111"/>
    <d v="2019-12-16T00:00:00"/>
    <s v="005-00000263"/>
    <s v="AKI-444"/>
    <s v="MAZDA"/>
    <s v="MAZDA3"/>
    <x v="3"/>
    <d v="2019-12-13T00:00:00"/>
    <s v="WILLIAMS"/>
    <x v="60"/>
    <n v="1.5"/>
    <n v="0"/>
    <s v="PINTOR"/>
    <x v="3"/>
    <n v="1"/>
    <n v="0"/>
    <m/>
    <n v="0"/>
    <s v="LEVE"/>
    <m/>
    <m/>
    <m/>
    <m/>
    <m/>
    <m/>
    <n v="0"/>
    <m/>
    <m/>
    <n v="30"/>
  </r>
  <r>
    <n v="112"/>
    <d v="2020-01-06T00:00:00"/>
    <s v="005-00000040"/>
    <s v="BMA-272"/>
    <s v="GREAT WALL"/>
    <s v="GREAT"/>
    <x v="3"/>
    <d v="2020-10-14T00:00:00"/>
    <s v="WILLIAMS"/>
    <x v="0"/>
    <n v="0"/>
    <n v="0"/>
    <s v="PINTOR"/>
    <x v="3"/>
    <n v="0"/>
    <n v="0"/>
    <m/>
    <n v="0"/>
    <s v="LEVE"/>
    <m/>
    <m/>
    <m/>
    <m/>
    <m/>
    <m/>
    <n v="0"/>
    <m/>
    <m/>
    <n v="0"/>
  </r>
  <r>
    <n v="113"/>
    <d v="2020-01-07T00:00:00"/>
    <s v="005-00000317"/>
    <s v="BDW-301"/>
    <s v="MAZDA"/>
    <s v="MAZDA3"/>
    <x v="3"/>
    <d v="2020-01-07T00:00:00"/>
    <s v="WILLIAMS"/>
    <x v="45"/>
    <n v="1"/>
    <n v="0"/>
    <s v="PINTOR"/>
    <x v="3"/>
    <n v="1"/>
    <n v="0"/>
    <m/>
    <n v="0"/>
    <s v="LEVE"/>
    <m/>
    <m/>
    <m/>
    <m/>
    <m/>
    <m/>
    <n v="0"/>
    <m/>
    <m/>
    <n v="0"/>
  </r>
  <r>
    <n v="114"/>
    <d v="2020-01-24T00:00:00"/>
    <s v="005-00000347"/>
    <s v="AYQ-680"/>
    <s v="HYUNDAI"/>
    <s v="ACCENT"/>
    <x v="3"/>
    <d v="2020-01-23T00:00:00"/>
    <s v="WILLIAMS"/>
    <x v="1"/>
    <n v="2"/>
    <n v="0"/>
    <s v="PINTOR"/>
    <x v="3"/>
    <n v="1"/>
    <n v="0"/>
    <m/>
    <n v="0"/>
    <s v="LEVE"/>
    <m/>
    <m/>
    <m/>
    <m/>
    <m/>
    <m/>
    <n v="0"/>
    <m/>
    <m/>
    <n v="0"/>
  </r>
  <r>
    <n v="115"/>
    <d v="2020-01-29T00:00:00"/>
    <s v="005-00000365"/>
    <s v="BDG-262"/>
    <s v="KIA"/>
    <s v="RIO"/>
    <x v="3"/>
    <d v="2020-01-28T00:00:00"/>
    <s v="WILLIAMS"/>
    <x v="5"/>
    <n v="1"/>
    <n v="0"/>
    <s v="PINTOR"/>
    <x v="3"/>
    <n v="1"/>
    <n v="0"/>
    <m/>
    <n v="0"/>
    <s v="LEVE"/>
    <m/>
    <m/>
    <m/>
    <m/>
    <m/>
    <m/>
    <n v="0"/>
    <m/>
    <m/>
    <n v="0"/>
  </r>
  <r>
    <n v="116"/>
    <d v="2020-01-30T00:00:00"/>
    <s v="005-00000365"/>
    <s v="BDG-262"/>
    <s v="KIA"/>
    <s v="RIO"/>
    <x v="3"/>
    <d v="2020-01-28T00:00:00"/>
    <s v="WILLIAMS"/>
    <x v="5"/>
    <n v="1"/>
    <n v="0"/>
    <s v="PINTOR"/>
    <x v="3"/>
    <n v="1"/>
    <n v="0"/>
    <s v="SI"/>
    <n v="39.83"/>
    <s v="LEVE"/>
    <m/>
    <m/>
    <m/>
    <m/>
    <m/>
    <m/>
    <n v="0"/>
    <m/>
    <m/>
    <n v="55"/>
  </r>
  <r>
    <n v="117"/>
    <d v="2020-01-30T00:00:00"/>
    <s v="005-00000362"/>
    <s v="F1D-251"/>
    <s v="SUBARU"/>
    <s v="NEXU"/>
    <x v="3"/>
    <d v="2020-01-29T00:00:00"/>
    <s v="WILLIAMS"/>
    <x v="45"/>
    <n v="1"/>
    <n v="0"/>
    <s v="PINTOR"/>
    <x v="3"/>
    <n v="1"/>
    <n v="0"/>
    <s v="SI"/>
    <n v="549.4"/>
    <s v="LEVE"/>
    <m/>
    <m/>
    <m/>
    <m/>
    <m/>
    <m/>
    <n v="0"/>
    <m/>
    <m/>
    <n v="73.959999999999994"/>
  </r>
  <r>
    <n v="118"/>
    <d v="2019-10-07T00:00:00"/>
    <s v="005-00000007"/>
    <s v="AHY-439"/>
    <s v="MITSUBISHI"/>
    <s v="OUTLANDER"/>
    <x v="3"/>
    <d v="2019-10-05T00:00:00"/>
    <s v="WILLIAMS"/>
    <x v="60"/>
    <n v="1"/>
    <n v="0"/>
    <s v="PINTOR"/>
    <x v="39"/>
    <n v="1.25"/>
    <n v="0"/>
    <s v="SI"/>
    <n v="341.03"/>
    <s v="LEVE"/>
    <n v="28"/>
    <n v="16"/>
    <n v="9.25"/>
    <n v="9.25"/>
    <n v="12"/>
    <n v="0"/>
    <n v="0"/>
    <m/>
    <m/>
    <n v="45"/>
  </r>
  <r>
    <n v="119"/>
    <d v="2019-10-24T00:00:00"/>
    <s v="005-00000092"/>
    <s v="BDM-636"/>
    <s v="MAZDA"/>
    <s v="MAZDA 2"/>
    <x v="3"/>
    <d v="2019-10-24T00:00:00"/>
    <s v="WILLIAMS"/>
    <x v="5"/>
    <n v="2"/>
    <n v="0"/>
    <s v="PINTOR"/>
    <x v="39"/>
    <n v="1.25"/>
    <n v="0"/>
    <s v="SI"/>
    <n v="736.11"/>
    <s v="LEVE"/>
    <m/>
    <m/>
    <m/>
    <m/>
    <m/>
    <m/>
    <n v="0"/>
    <m/>
    <m/>
    <n v="0"/>
  </r>
  <r>
    <n v="120"/>
    <d v="2020-01-28T00:00:00"/>
    <s v="005-00000361"/>
    <s v="D6B-575"/>
    <s v="TOYOTA"/>
    <s v="PRADO"/>
    <x v="3"/>
    <d v="2020-01-28T00:00:00"/>
    <s v="WILLIAMS"/>
    <x v="45"/>
    <n v="1"/>
    <n v="0"/>
    <s v="PINTOR"/>
    <x v="39"/>
    <n v="1"/>
    <n v="0"/>
    <s v="SI"/>
    <n v="333.67"/>
    <s v="LEVE"/>
    <m/>
    <m/>
    <m/>
    <m/>
    <m/>
    <m/>
    <n v="0"/>
    <m/>
    <m/>
    <n v="45"/>
  </r>
  <r>
    <n v="121"/>
    <d v="2019-10-15T00:00:00"/>
    <s v="005-00000033"/>
    <s v="AZY-713"/>
    <s v="FORD"/>
    <s v="RANGER"/>
    <x v="3"/>
    <d v="2019-10-15T00:00:00"/>
    <s v="WILLIAMS"/>
    <x v="8"/>
    <n v="6"/>
    <n v="0"/>
    <s v="PINTOR"/>
    <x v="40"/>
    <n v="1.5"/>
    <n v="0"/>
    <s v="SI"/>
    <n v="50.4"/>
    <s v="LEVE"/>
    <m/>
    <m/>
    <m/>
    <m/>
    <m/>
    <m/>
    <n v="0"/>
    <m/>
    <m/>
    <n v="85"/>
  </r>
  <r>
    <n v="122"/>
    <d v="2019-10-24T00:00:00"/>
    <s v="005-00000088"/>
    <s v="AYW-424"/>
    <s v="KIA"/>
    <s v="SPORTAGE"/>
    <x v="3"/>
    <d v="2019-10-24T00:00:00"/>
    <s v="WILLIAMS"/>
    <x v="59"/>
    <n v="2"/>
    <n v="0"/>
    <s v="PINTOR"/>
    <x v="40"/>
    <n v="1.5"/>
    <n v="0"/>
    <s v="SI"/>
    <n v="183.26"/>
    <s v="LEVE"/>
    <m/>
    <m/>
    <m/>
    <m/>
    <m/>
    <m/>
    <n v="0"/>
    <m/>
    <m/>
    <n v="65"/>
  </r>
  <r>
    <n v="123"/>
    <d v="2019-12-05T00:00:00"/>
    <s v="005-00000223"/>
    <s v="AYK-320"/>
    <s v="TOYOTA"/>
    <s v="ETIOS"/>
    <x v="3"/>
    <d v="2019-12-03T00:00:00"/>
    <s v="WILLIAMS"/>
    <x v="53"/>
    <n v="4"/>
    <n v="0"/>
    <s v="PINTOR"/>
    <x v="40"/>
    <n v="1.5"/>
    <n v="0"/>
    <s v="SI"/>
    <n v="304.56"/>
    <s v="LEVE"/>
    <m/>
    <m/>
    <m/>
    <m/>
    <m/>
    <m/>
    <n v="0"/>
    <m/>
    <m/>
    <n v="0"/>
  </r>
  <r>
    <n v="124"/>
    <d v="2019-12-09T00:00:00"/>
    <s v="005-00000238"/>
    <s v="BET-590"/>
    <s v="MAZDA"/>
    <s v="MAZDA3"/>
    <x v="3"/>
    <d v="2019-12-06T00:00:00"/>
    <s v="WILLIAMS"/>
    <x v="5"/>
    <n v="1"/>
    <n v="0"/>
    <s v="PINTOR"/>
    <x v="40"/>
    <n v="1.5"/>
    <n v="0"/>
    <s v="SI"/>
    <n v="405.26"/>
    <s v="LEVE"/>
    <m/>
    <m/>
    <m/>
    <m/>
    <m/>
    <m/>
    <n v="0"/>
    <m/>
    <m/>
    <n v="25"/>
  </r>
  <r>
    <n v="125"/>
    <d v="2019-12-11T00:00:00"/>
    <s v="005-00000257"/>
    <s v="EGX-296"/>
    <s v="MAXUS"/>
    <s v="S8"/>
    <x v="3"/>
    <d v="2019-12-10T00:00:00"/>
    <s v="WILLIAMS"/>
    <x v="5"/>
    <n v="1"/>
    <n v="0"/>
    <s v="PINTOR"/>
    <x v="40"/>
    <n v="1.5"/>
    <n v="0"/>
    <m/>
    <n v="0"/>
    <s v="LEVE"/>
    <m/>
    <m/>
    <m/>
    <m/>
    <m/>
    <m/>
    <n v="0"/>
    <m/>
    <m/>
    <n v="45"/>
  </r>
  <r>
    <n v="126"/>
    <d v="2019-12-17T00:00:00"/>
    <s v="005-00000269"/>
    <s v="BEE-024"/>
    <s v="HONDA"/>
    <s v="CRV"/>
    <x v="3"/>
    <d v="2019-12-17T00:00:00"/>
    <s v="WILLIAMS"/>
    <x v="5"/>
    <n v="1.5"/>
    <n v="0"/>
    <s v="PINTOR"/>
    <x v="40"/>
    <n v="1.5"/>
    <n v="0"/>
    <s v="SI"/>
    <n v="36.36"/>
    <s v="LEVE"/>
    <m/>
    <m/>
    <m/>
    <m/>
    <m/>
    <m/>
    <n v="0"/>
    <m/>
    <m/>
    <n v="45"/>
  </r>
  <r>
    <n v="127"/>
    <d v="2020-01-13T00:00:00"/>
    <s v="005-00000318"/>
    <s v="AVL-461"/>
    <s v="HONDA"/>
    <s v="HR-V"/>
    <x v="3"/>
    <d v="2020-01-08T00:00:00"/>
    <s v="WILLIAMS"/>
    <x v="11"/>
    <n v="12"/>
    <n v="0"/>
    <s v="PINTOR"/>
    <x v="40"/>
    <n v="1.5"/>
    <n v="0"/>
    <s v="SI"/>
    <n v="765.25"/>
    <s v="MEDIANO"/>
    <m/>
    <m/>
    <m/>
    <m/>
    <m/>
    <m/>
    <n v="0"/>
    <m/>
    <m/>
    <n v="0"/>
  </r>
  <r>
    <n v="128"/>
    <d v="2019-10-07T00:00:00"/>
    <s v="005-00000009"/>
    <s v="F0Z-446"/>
    <s v="RENAULT"/>
    <s v="DUSTER"/>
    <x v="3"/>
    <d v="2019-10-07T00:00:00"/>
    <s v="WILLIAMS"/>
    <x v="8"/>
    <n v="6"/>
    <n v="0"/>
    <s v="PINTOR"/>
    <x v="29"/>
    <n v="2"/>
    <n v="0"/>
    <s v="SI"/>
    <n v="2706.42"/>
    <s v="LEVE"/>
    <m/>
    <m/>
    <m/>
    <m/>
    <m/>
    <m/>
    <n v="3.5"/>
    <m/>
    <m/>
    <n v="70"/>
  </r>
  <r>
    <n v="129"/>
    <d v="2019-10-09T00:00:00"/>
    <s v="005-00000015"/>
    <s v="ANE-346"/>
    <s v="RENAULT"/>
    <s v="LOGAN"/>
    <x v="3"/>
    <d v="2019-10-07T00:00:00"/>
    <s v="WILLIAMS"/>
    <x v="2"/>
    <n v="3"/>
    <n v="0"/>
    <s v="PINTOR"/>
    <x v="29"/>
    <n v="2"/>
    <n v="0"/>
    <s v="SI"/>
    <n v="172.48"/>
    <s v="LEVE"/>
    <m/>
    <m/>
    <m/>
    <m/>
    <m/>
    <m/>
    <n v="0"/>
    <m/>
    <m/>
    <n v="30"/>
  </r>
  <r>
    <n v="130"/>
    <d v="2019-10-14T00:00:00"/>
    <s v="005-00000031"/>
    <s v="ANX-091"/>
    <s v="TOYOTA"/>
    <s v="AVENSIS"/>
    <x v="3"/>
    <d v="2019-10-11T00:00:00"/>
    <s v="WILLIAMS"/>
    <x v="8"/>
    <n v="5"/>
    <n v="0"/>
    <s v="PINTOR"/>
    <x v="29"/>
    <n v="2"/>
    <n v="0"/>
    <s v="SI"/>
    <n v="19.940000000000001"/>
    <s v="LEVE"/>
    <m/>
    <m/>
    <m/>
    <m/>
    <m/>
    <m/>
    <n v="0"/>
    <m/>
    <m/>
    <n v="0"/>
  </r>
  <r>
    <n v="131"/>
    <d v="2019-10-19T00:00:00"/>
    <s v="005-00000061"/>
    <s v="BDI-580"/>
    <s v="SUBARU"/>
    <s v="OUTBACK"/>
    <x v="3"/>
    <d v="2019-10-18T00:00:00"/>
    <s v="WILLIAMS"/>
    <x v="6"/>
    <n v="5"/>
    <n v="0"/>
    <s v="PINTOR"/>
    <x v="29"/>
    <n v="2"/>
    <n v="0"/>
    <m/>
    <n v="0"/>
    <s v="LEVE"/>
    <m/>
    <m/>
    <m/>
    <m/>
    <m/>
    <m/>
    <n v="0"/>
    <m/>
    <m/>
    <n v="0"/>
  </r>
  <r>
    <n v="132"/>
    <d v="2019-10-23T00:00:00"/>
    <s v="005-00000068"/>
    <s v="AWY-319"/>
    <s v="JEEP"/>
    <s v="GRAND CHEROKE"/>
    <x v="3"/>
    <d v="2019-10-22T00:00:00"/>
    <s v="WILLIAMS"/>
    <x v="11"/>
    <n v="12"/>
    <n v="0"/>
    <s v="PINTOR"/>
    <x v="29"/>
    <n v="2"/>
    <n v="0"/>
    <s v="SI"/>
    <n v="236.35"/>
    <s v="MEDIANO"/>
    <m/>
    <m/>
    <m/>
    <m/>
    <m/>
    <m/>
    <n v="0"/>
    <m/>
    <m/>
    <n v="35"/>
  </r>
  <r>
    <n v="133"/>
    <d v="2019-10-23T00:00:00"/>
    <s v="005-00000073"/>
    <s v="BCZ-165"/>
    <s v="CHEVROLET"/>
    <s v="COBALT"/>
    <x v="3"/>
    <d v="2019-10-22T00:00:00"/>
    <s v="WILLIAMS"/>
    <x v="50"/>
    <n v="4"/>
    <n v="0"/>
    <s v="PINTOR"/>
    <x v="29"/>
    <n v="2"/>
    <n v="0"/>
    <s v="SI"/>
    <n v="9.51"/>
    <s v="LEVE"/>
    <m/>
    <m/>
    <m/>
    <m/>
    <m/>
    <m/>
    <n v="0"/>
    <m/>
    <m/>
    <n v="25"/>
  </r>
  <r>
    <n v="134"/>
    <d v="2019-10-24T00:00:00"/>
    <s v="005-00000078"/>
    <s v="AJB-285"/>
    <s v="MAZDA"/>
    <s v="MAZDA 3 "/>
    <x v="3"/>
    <d v="2019-10-24T00:00:00"/>
    <s v="WILLIAMS"/>
    <x v="52"/>
    <n v="5"/>
    <n v="0"/>
    <s v="PINTOR"/>
    <x v="29"/>
    <n v="2"/>
    <n v="0"/>
    <s v="SI"/>
    <n v="310"/>
    <s v="LEVE"/>
    <m/>
    <m/>
    <m/>
    <m/>
    <m/>
    <m/>
    <n v="0"/>
    <m/>
    <m/>
    <n v="30"/>
  </r>
  <r>
    <n v="135"/>
    <d v="2019-10-29T00:00:00"/>
    <s v="005-00000103"/>
    <s v="C4A-237"/>
    <s v="KIA"/>
    <s v="RIO"/>
    <x v="3"/>
    <d v="2019-10-29T00:00:00"/>
    <s v="WILLIAMS"/>
    <x v="2"/>
    <n v="2"/>
    <n v="0"/>
    <s v="PINTOR"/>
    <x v="29"/>
    <n v="2"/>
    <n v="0"/>
    <s v="SI"/>
    <n v="132.27000000000001"/>
    <s v="LEVE"/>
    <m/>
    <m/>
    <m/>
    <m/>
    <m/>
    <m/>
    <n v="0"/>
    <m/>
    <m/>
    <n v="110"/>
  </r>
  <r>
    <n v="136"/>
    <d v="2019-11-04T00:00:00"/>
    <s v="005-00000095"/>
    <s v="ASK-203"/>
    <s v="MAZDA"/>
    <s v="CX3"/>
    <x v="3"/>
    <d v="2019-10-31T00:00:00"/>
    <s v="WILLIAMS"/>
    <x v="3"/>
    <n v="8"/>
    <n v="0"/>
    <s v="PINTOR"/>
    <x v="29"/>
    <n v="2"/>
    <n v="0"/>
    <m/>
    <n v="0"/>
    <s v="MEDIANO"/>
    <m/>
    <m/>
    <m/>
    <m/>
    <m/>
    <m/>
    <n v="0"/>
    <m/>
    <m/>
    <n v="35"/>
  </r>
  <r>
    <n v="137"/>
    <d v="2019-11-07T00:00:00"/>
    <s v="005-00000126"/>
    <s v="ATF-661"/>
    <s v="HONDA"/>
    <s v="PILOT"/>
    <x v="3"/>
    <d v="2019-11-06T00:00:00"/>
    <s v="WILLIAMS"/>
    <x v="3"/>
    <n v="9"/>
    <n v="0"/>
    <s v="PINTOR"/>
    <x v="29"/>
    <n v="2"/>
    <n v="0"/>
    <m/>
    <n v="0"/>
    <s v="MEDIANO"/>
    <m/>
    <m/>
    <m/>
    <m/>
    <m/>
    <m/>
    <n v="0"/>
    <m/>
    <m/>
    <n v="0"/>
  </r>
  <r>
    <n v="138"/>
    <d v="2019-11-07T00:00:00"/>
    <s v="005-00000135"/>
    <s v="ATF-661"/>
    <s v="HONDA"/>
    <s v="PILOT"/>
    <x v="3"/>
    <d v="2019-11-06T00:00:00"/>
    <s v="WILLIAMS"/>
    <x v="7"/>
    <n v="5"/>
    <n v="0"/>
    <s v="PINTOR"/>
    <x v="29"/>
    <n v="2"/>
    <n v="0"/>
    <m/>
    <n v="0"/>
    <s v="LEVE"/>
    <m/>
    <m/>
    <m/>
    <m/>
    <m/>
    <m/>
    <n v="0"/>
    <m/>
    <m/>
    <n v="0"/>
  </r>
  <r>
    <n v="139"/>
    <d v="2019-11-08T00:00:00"/>
    <s v="005-00000144"/>
    <s v="AXC-070"/>
    <s v="NISSAN"/>
    <s v="KICKS"/>
    <x v="3"/>
    <d v="2019-11-07T00:00:00"/>
    <s v="WILLIAMS"/>
    <x v="61"/>
    <n v="11"/>
    <n v="0"/>
    <s v="PINTOR"/>
    <x v="29"/>
    <n v="2"/>
    <n v="0"/>
    <m/>
    <n v="0"/>
    <s v="MEDIANO"/>
    <m/>
    <m/>
    <m/>
    <m/>
    <m/>
    <m/>
    <n v="0"/>
    <m/>
    <m/>
    <n v="0"/>
  </r>
  <r>
    <n v="140"/>
    <d v="2019-11-11T00:00:00"/>
    <s v="005-00000150"/>
    <s v="B8U-602"/>
    <s v="SUBARU"/>
    <s v="FORESTER"/>
    <x v="3"/>
    <d v="2019-11-07T00:00:00"/>
    <s v="WILLIAMS"/>
    <x v="6"/>
    <n v="3"/>
    <n v="0"/>
    <s v="PINTOR"/>
    <x v="29"/>
    <n v="2"/>
    <n v="0"/>
    <m/>
    <n v="0"/>
    <s v="LEVE"/>
    <m/>
    <m/>
    <m/>
    <m/>
    <m/>
    <m/>
    <n v="0"/>
    <m/>
    <m/>
    <n v="0"/>
  </r>
  <r>
    <n v="141"/>
    <d v="2019-11-11T00:00:00"/>
    <s v="005-00000125"/>
    <s v="AKY-655"/>
    <s v="HONDA"/>
    <s v="CRV"/>
    <x v="3"/>
    <d v="2019-11-04T00:00:00"/>
    <s v="WILLIAMS"/>
    <x v="62"/>
    <n v="16"/>
    <n v="0"/>
    <s v="PINTOR"/>
    <x v="29"/>
    <n v="2"/>
    <n v="0"/>
    <m/>
    <n v="0"/>
    <s v="GRAVE"/>
    <m/>
    <m/>
    <m/>
    <m/>
    <m/>
    <m/>
    <n v="0"/>
    <m/>
    <m/>
    <n v="0"/>
  </r>
  <r>
    <n v="142"/>
    <d v="2019-11-12T00:00:00"/>
    <s v="005-00000139"/>
    <s v="ATT-292"/>
    <s v="CHEVROLET"/>
    <s v="CRUZE"/>
    <x v="3"/>
    <d v="2019-11-11T00:00:00"/>
    <s v="WILLIAMS"/>
    <x v="53"/>
    <n v="4"/>
    <n v="0"/>
    <s v="PINTOR"/>
    <x v="29"/>
    <n v="2"/>
    <n v="0"/>
    <m/>
    <n v="0"/>
    <s v="LEVE"/>
    <m/>
    <m/>
    <m/>
    <m/>
    <m/>
    <m/>
    <n v="0"/>
    <m/>
    <m/>
    <n v="0"/>
  </r>
  <r>
    <n v="143"/>
    <d v="2019-11-13T00:00:00"/>
    <s v="005-00000171"/>
    <s v="C3K-443"/>
    <s v="KIA"/>
    <s v="RIO"/>
    <x v="3"/>
    <d v="2019-11-13T00:00:00"/>
    <s v="WILLIAMS"/>
    <x v="6"/>
    <n v="3"/>
    <n v="0"/>
    <s v="PINTOR"/>
    <x v="29"/>
    <n v="2"/>
    <n v="0"/>
    <m/>
    <n v="0"/>
    <s v="LEVE"/>
    <m/>
    <m/>
    <m/>
    <m/>
    <m/>
    <m/>
    <n v="0"/>
    <m/>
    <m/>
    <n v="0"/>
  </r>
  <r>
    <n v="144"/>
    <d v="2019-11-22T00:00:00"/>
    <s v="005-00000180"/>
    <s v="BED-593"/>
    <s v="CHEVROLET"/>
    <s v="PRISMA"/>
    <x v="3"/>
    <d v="2019-11-21T00:00:00"/>
    <s v="WILLIAMS"/>
    <x v="6"/>
    <n v="4"/>
    <n v="0"/>
    <s v="PINTOR"/>
    <x v="29"/>
    <n v="2"/>
    <n v="0"/>
    <s v="SI"/>
    <n v="0"/>
    <s v="LEVE"/>
    <m/>
    <m/>
    <m/>
    <m/>
    <m/>
    <m/>
    <n v="1"/>
    <m/>
    <m/>
    <n v="65"/>
  </r>
  <r>
    <n v="145"/>
    <d v="2019-11-27T00:00:00"/>
    <s v="005-00000211"/>
    <s v="BDG-262"/>
    <s v="KIA"/>
    <s v="RIO"/>
    <x v="3"/>
    <d v="2019-11-26T00:00:00"/>
    <s v="WILLIAMS"/>
    <x v="63"/>
    <n v="2"/>
    <n v="0"/>
    <s v="PINTOR"/>
    <x v="29"/>
    <n v="2"/>
    <n v="0"/>
    <m/>
    <n v="0"/>
    <s v="LEVE"/>
    <m/>
    <m/>
    <m/>
    <m/>
    <m/>
    <m/>
    <n v="0"/>
    <m/>
    <m/>
    <n v="30"/>
  </r>
  <r>
    <n v="146"/>
    <d v="2019-12-04T00:00:00"/>
    <s v="005-00000218"/>
    <s v="AWP-639"/>
    <s v="HYUNDAI"/>
    <s v="TUCSON"/>
    <x v="3"/>
    <d v="2019-12-02T00:00:00"/>
    <s v="WILLIAMS"/>
    <x v="7"/>
    <n v="7"/>
    <n v="0"/>
    <s v="PINTOR"/>
    <x v="29"/>
    <n v="2"/>
    <n v="0"/>
    <s v="SI"/>
    <n v="78"/>
    <s v="LEVE"/>
    <m/>
    <m/>
    <m/>
    <m/>
    <m/>
    <m/>
    <n v="0"/>
    <m/>
    <m/>
    <n v="0"/>
  </r>
  <r>
    <n v="147"/>
    <d v="2019-12-04T00:00:00"/>
    <s v="005-00000229"/>
    <s v="BFE-603"/>
    <s v="JEEP"/>
    <s v="GRANDCHEROKE"/>
    <x v="3"/>
    <d v="2019-12-04T00:00:00"/>
    <s v="WILLIAMS"/>
    <x v="6"/>
    <n v="3"/>
    <n v="0"/>
    <s v="PINTOR"/>
    <x v="29"/>
    <n v="2"/>
    <n v="0"/>
    <s v="SI"/>
    <n v="37.950000000000003"/>
    <s v="LEVE"/>
    <m/>
    <m/>
    <m/>
    <m/>
    <m/>
    <m/>
    <n v="0"/>
    <m/>
    <m/>
    <n v="30"/>
  </r>
  <r>
    <n v="148"/>
    <d v="2019-12-06T00:00:00"/>
    <s v="005-00000241"/>
    <s v="EGH-498"/>
    <s v="NISSAN"/>
    <s v="SENTRA"/>
    <x v="3"/>
    <d v="2019-12-06T00:00:00"/>
    <s v="WILLIAMS"/>
    <x v="55"/>
    <n v="7"/>
    <n v="0"/>
    <s v="PINTOR"/>
    <x v="29"/>
    <n v="2"/>
    <n v="0"/>
    <m/>
    <n v="0"/>
    <s v="LEVE"/>
    <m/>
    <m/>
    <m/>
    <m/>
    <m/>
    <m/>
    <n v="0"/>
    <m/>
    <m/>
    <n v="0"/>
  </r>
  <r>
    <n v="149"/>
    <d v="2019-12-13T00:00:00"/>
    <s v="005-00000259"/>
    <s v="BFS-508"/>
    <s v="CHERY"/>
    <s v="QQ"/>
    <x v="3"/>
    <d v="2019-12-09T00:00:00"/>
    <s v="WILLIAMS"/>
    <x v="50"/>
    <n v="4"/>
    <n v="0"/>
    <s v="PINTOR"/>
    <x v="29"/>
    <n v="2"/>
    <n v="0"/>
    <m/>
    <n v="0"/>
    <s v="LEVE"/>
    <m/>
    <m/>
    <m/>
    <m/>
    <m/>
    <m/>
    <n v="0"/>
    <m/>
    <m/>
    <n v="0"/>
  </r>
  <r>
    <n v="150"/>
    <d v="2019-12-16T00:00:00"/>
    <s v="005-00000261"/>
    <s v="BMD-515"/>
    <s v="MITSUBISHI"/>
    <s v="XPANDER"/>
    <x v="3"/>
    <d v="2019-12-17T00:00:00"/>
    <s v="WILLIAMS"/>
    <x v="8"/>
    <n v="8"/>
    <n v="0"/>
    <s v="PINTOR"/>
    <x v="29"/>
    <n v="2"/>
    <n v="0"/>
    <m/>
    <n v="0"/>
    <s v="LEVE"/>
    <m/>
    <m/>
    <m/>
    <m/>
    <m/>
    <m/>
    <n v="0"/>
    <m/>
    <m/>
    <n v="65"/>
  </r>
  <r>
    <n v="151"/>
    <d v="2019-12-17T00:00:00"/>
    <s v="005-00000268"/>
    <s v="BKQ-559"/>
    <s v="FORD"/>
    <s v="ECOSPORT"/>
    <x v="3"/>
    <d v="2019-12-16T00:00:00"/>
    <s v="WILLIAMS"/>
    <x v="8"/>
    <n v="8"/>
    <n v="0"/>
    <s v="PINTOR"/>
    <x v="29"/>
    <n v="2"/>
    <n v="0"/>
    <s v="SI"/>
    <n v="56"/>
    <s v="LEVE"/>
    <m/>
    <m/>
    <m/>
    <m/>
    <m/>
    <m/>
    <n v="0"/>
    <m/>
    <m/>
    <n v="0"/>
  </r>
  <r>
    <n v="152"/>
    <d v="2019-12-23T00:00:00"/>
    <s v="005-00000277"/>
    <s v="F7V-531"/>
    <s v="HONDA"/>
    <s v="ACCORD"/>
    <x v="3"/>
    <d v="2019-12-23T00:00:00"/>
    <s v="WILLIAMS"/>
    <x v="48"/>
    <n v="3"/>
    <n v="0"/>
    <s v="PINTOR"/>
    <x v="29"/>
    <n v="2"/>
    <n v="0"/>
    <s v="SI"/>
    <n v="218.9"/>
    <s v="LEVE"/>
    <m/>
    <m/>
    <m/>
    <m/>
    <m/>
    <m/>
    <n v="0"/>
    <m/>
    <m/>
    <n v="30"/>
  </r>
  <r>
    <n v="153"/>
    <d v="2020-01-02T00:00:00"/>
    <s v="005-00000291"/>
    <s v="AWJ-049"/>
    <s v="RENAULT"/>
    <s v="LOGAN"/>
    <x v="3"/>
    <d v="2020-12-30T00:00:00"/>
    <s v="WILLIAMS"/>
    <x v="50"/>
    <n v="4"/>
    <n v="0"/>
    <s v="PINTOR"/>
    <x v="29"/>
    <n v="2"/>
    <n v="0"/>
    <s v="SI"/>
    <n v="647.91999999999996"/>
    <s v="LEVE"/>
    <m/>
    <m/>
    <m/>
    <m/>
    <m/>
    <m/>
    <n v="0"/>
    <m/>
    <m/>
    <n v="45"/>
  </r>
  <r>
    <n v="154"/>
    <d v="2020-01-02T00:00:00"/>
    <s v="005-00000298"/>
    <s v="BAG-855"/>
    <s v="RAM"/>
    <s v="V700"/>
    <x v="3"/>
    <d v="2020-01-02T00:00:00"/>
    <s v="WILLIAMS"/>
    <x v="8"/>
    <n v="6"/>
    <n v="0"/>
    <s v="PINTOR"/>
    <x v="29"/>
    <n v="2"/>
    <n v="0"/>
    <m/>
    <n v="0"/>
    <s v="LEVE"/>
    <m/>
    <m/>
    <m/>
    <m/>
    <m/>
    <m/>
    <n v="0"/>
    <m/>
    <m/>
    <n v="15"/>
  </r>
  <r>
    <n v="155"/>
    <d v="2020-01-20T00:00:00"/>
    <s v="005-00000326"/>
    <s v="F2S454"/>
    <s v="CHEVROLET"/>
    <s v="CRUZE"/>
    <x v="3"/>
    <d v="2020-01-16T00:00:00"/>
    <s v="WILLIAMS"/>
    <x v="53"/>
    <n v="4"/>
    <n v="0"/>
    <s v="PINTOR"/>
    <x v="29"/>
    <n v="2"/>
    <n v="0"/>
    <s v="SI"/>
    <n v="25"/>
    <s v="LEVE"/>
    <n v="10"/>
    <n v="7"/>
    <n v="3"/>
    <n v="3"/>
    <n v="3"/>
    <n v="0"/>
    <n v="0"/>
    <m/>
    <m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1">
  <r>
    <d v="2019-10-07T00:00:00"/>
    <s v="005-00000004"/>
    <n v="955.97400000000005"/>
    <n v="0"/>
    <n v="0"/>
    <n v="0"/>
    <n v="0"/>
    <n v="60.300000000000004"/>
    <n v="140.70000000000002"/>
    <n v="0"/>
    <n v="201.00000000000003"/>
    <n v="754.97400000000005"/>
    <n v="0.78974323569469462"/>
    <x v="0"/>
    <s v="LEVE"/>
    <x v="0"/>
    <x v="0"/>
    <n v="6"/>
    <n v="1"/>
    <d v="2019-10-01T00:00:00"/>
    <s v="ASW-540"/>
    <s v="KIA"/>
    <s v="RIO"/>
    <s v="FAST ENGENHARIA E MONTAGENS SA"/>
  </r>
  <r>
    <d v="2019-10-07T00:00:00"/>
    <s v="005-00000005"/>
    <n v="270.24"/>
    <n v="65.580001999999979"/>
    <n v="0"/>
    <n v="67.79661016949153"/>
    <n v="0"/>
    <n v="0"/>
    <n v="0"/>
    <n v="0"/>
    <n v="133.37661216949152"/>
    <n v="136.86338783050849"/>
    <n v="0.50645125751372289"/>
    <x v="0"/>
    <s v="MECANICA"/>
    <x v="0"/>
    <x v="0"/>
    <n v="5"/>
    <n v="1"/>
    <d v="2019-10-02T00:00:00"/>
    <s v="ASW-540"/>
    <s v="KIA"/>
    <s v="RIO"/>
    <s v="FAST ENGENHARIA E MONTAGENS SA"/>
  </r>
  <r>
    <d v="2019-10-11T00:00:00"/>
    <s v="005-00000023"/>
    <n v="841.87288999999998"/>
    <n v="209.40159500000004"/>
    <n v="0"/>
    <n v="115.2542372881356"/>
    <n v="40.250250000000001"/>
    <n v="0"/>
    <n v="0"/>
    <n v="0"/>
    <n v="364.90608228813562"/>
    <n v="476.96680771186436"/>
    <n v="0.56655442095523989"/>
    <x v="0"/>
    <s v="MECANICA"/>
    <x v="0"/>
    <x v="0"/>
    <n v="2"/>
    <n v="1"/>
    <d v="2019-10-09T00:00:00"/>
    <s v="F5B-699"/>
    <s v="NISSAN"/>
    <s v="VERSA"/>
    <s v="PACHECO PALOMINO RICARDO ALONSO"/>
  </r>
  <r>
    <d v="2019-10-12T00:00:00"/>
    <s v="005-00000022"/>
    <n v="324.33650964999998"/>
    <n v="0"/>
    <n v="0"/>
    <n v="0"/>
    <n v="0"/>
    <n v="15.075000000000001"/>
    <n v="70.350000000000009"/>
    <n v="0"/>
    <n v="85.425000000000011"/>
    <n v="238.91150964999997"/>
    <n v="0.73661614570563039"/>
    <x v="1"/>
    <s v="LEVE"/>
    <x v="0"/>
    <x v="0"/>
    <n v="5"/>
    <n v="1"/>
    <d v="2019-10-07T00:00:00"/>
    <s v="AHK-141"/>
    <s v="NISSAN"/>
    <s v="XTRAIL"/>
    <s v="RIMAC SEGUROS  Y REASEGUROS S.A"/>
  </r>
  <r>
    <d v="2019-10-12T00:00:00"/>
    <s v="005-00000011"/>
    <n v="302.49000899999999"/>
    <n v="0"/>
    <n v="0"/>
    <n v="0"/>
    <n v="0"/>
    <n v="0"/>
    <n v="0"/>
    <n v="0"/>
    <n v="0"/>
    <n v="302.49000899999999"/>
    <n v="1"/>
    <x v="0"/>
    <s v="MECANICA"/>
    <x v="0"/>
    <x v="0"/>
    <n v="8"/>
    <n v="1"/>
    <d v="2019-10-04T00:00:00"/>
    <s v="D9C-481"/>
    <s v="JEEP"/>
    <s v="COMPASS"/>
    <s v="DIGITAL CONSULTING S.A.C."/>
  </r>
  <r>
    <d v="2019-10-12T00:00:00"/>
    <s v="005-00000006"/>
    <n v="3293.7800979999997"/>
    <n v="1687.6875990000001"/>
    <n v="0"/>
    <n v="0"/>
    <n v="0"/>
    <n v="75.375"/>
    <n v="211.05"/>
    <n v="0"/>
    <n v="1974.112599"/>
    <n v="1319.6674989999997"/>
    <n v="0.40065440306756017"/>
    <x v="0"/>
    <s v="LEVE"/>
    <x v="0"/>
    <x v="0"/>
    <n v="9"/>
    <n v="1"/>
    <d v="2019-10-03T00:00:00"/>
    <s v="D9C-481"/>
    <s v="JEEP"/>
    <s v="COMPASS"/>
    <s v="DIGITAL CONSULTING S.A.C."/>
  </r>
  <r>
    <d v="2019-10-14T00:00:00"/>
    <s v="005-00000024"/>
    <n v="1426.7250425"/>
    <n v="0"/>
    <n v="0"/>
    <n v="0"/>
    <n v="0"/>
    <n v="120.60000000000001"/>
    <n v="281.40000000000003"/>
    <n v="0"/>
    <n v="402.00000000000006"/>
    <n v="1024.7250425"/>
    <n v="0.7182358281904202"/>
    <x v="0"/>
    <s v="LEVE"/>
    <x v="0"/>
    <x v="0"/>
    <n v="5"/>
    <n v="1"/>
    <d v="2019-10-09T00:00:00"/>
    <s v="B4S-030"/>
    <s v="KIA"/>
    <s v="PICANTO"/>
    <s v="FAST ENGENHARIA E MONTAGENS SA"/>
  </r>
  <r>
    <d v="2019-10-22T00:00:00"/>
    <s v="005-00000030"/>
    <n v="803.36498979746"/>
    <n v="0"/>
    <n v="0"/>
    <n v="0"/>
    <n v="0"/>
    <n v="33.918750000000003"/>
    <n v="211.05"/>
    <n v="0"/>
    <n v="244.96875"/>
    <n v="558.39623979746"/>
    <n v="0.69507166342690618"/>
    <x v="0"/>
    <s v="LEVE"/>
    <x v="0"/>
    <x v="0"/>
    <n v="13"/>
    <n v="1"/>
    <d v="2019-10-09T00:00:00"/>
    <s v="AMY-524"/>
    <s v="TOYOTA"/>
    <s v="COROLLA"/>
    <s v="FAST ENGENHARIA E MONTAGENS SA"/>
  </r>
  <r>
    <d v="2019-10-17T00:00:00"/>
    <s v="005-00000009"/>
    <n v="1315.98496095"/>
    <n v="0"/>
    <n v="0"/>
    <n v="0"/>
    <n v="52.762500000000003"/>
    <n v="90.45"/>
    <n v="140.70000000000002"/>
    <n v="0"/>
    <n v="283.91250000000002"/>
    <n v="1032.0724609499998"/>
    <n v="0.78425855277628265"/>
    <x v="1"/>
    <s v="LEVE"/>
    <x v="0"/>
    <x v="0"/>
    <n v="13"/>
    <n v="1"/>
    <d v="2019-10-04T00:00:00"/>
    <s v="F0Z-446"/>
    <s v="RENAULT"/>
    <s v="DUSTER"/>
    <s v="RIMAC SEGUROS  Y REASEGUROS S.A"/>
  </r>
  <r>
    <d v="2019-10-18T00:00:00"/>
    <s v="005-00000031"/>
    <n v="899.14"/>
    <n v="0"/>
    <n v="0"/>
    <n v="0"/>
    <n v="0"/>
    <n v="75.375"/>
    <n v="140.70000000000002"/>
    <n v="0"/>
    <n v="216.07500000000002"/>
    <n v="683.06499999999994"/>
    <n v="0.75968703427719819"/>
    <x v="1"/>
    <s v="LEVE"/>
    <x v="0"/>
    <x v="0"/>
    <n v="8"/>
    <n v="1"/>
    <d v="2019-10-10T00:00:00"/>
    <s v="ANX-091"/>
    <s v="TOYOTA"/>
    <s v="AVENSIS"/>
    <s v="RIMAC SEGUROS  Y REASEGUROS S.A"/>
  </r>
  <r>
    <d v="2019-10-19T00:00:00"/>
    <s v="005-00000039"/>
    <n v="1615"/>
    <n v="521.80870729999992"/>
    <n v="16.949152542372882"/>
    <n v="82.37"/>
    <n v="40.250250000000001"/>
    <n v="0"/>
    <n v="0"/>
    <n v="0"/>
    <n v="661.37810984237285"/>
    <n v="953.62189015762715"/>
    <n v="0.59047795056199825"/>
    <x v="2"/>
    <s v="MECANICA"/>
    <x v="0"/>
    <x v="0"/>
    <n v="7"/>
    <n v="1"/>
    <d v="2019-10-12T00:00:00"/>
    <s v="AHV-326"/>
    <s v="WOLKWAGEN"/>
    <s v="GOL"/>
    <s v="AUTOCLASS S.A.C."/>
  </r>
  <r>
    <d v="2019-10-19T00:00:00"/>
    <s v="005-00000038"/>
    <n v="1488"/>
    <n v="771.9944099999999"/>
    <n v="0"/>
    <n v="42.37"/>
    <n v="75.375"/>
    <n v="0"/>
    <n v="0"/>
    <n v="0"/>
    <n v="889.73940999999991"/>
    <n v="598.26059000000009"/>
    <n v="0.40205684811827963"/>
    <x v="2"/>
    <s v="MECANICA"/>
    <x v="0"/>
    <x v="0"/>
    <n v="7"/>
    <n v="1"/>
    <d v="2019-10-12T00:00:00"/>
    <s v="AJF-554"/>
    <s v="CHEVROLET"/>
    <s v="SAIL"/>
    <s v="AUTOCLASS S.A.C."/>
  </r>
  <r>
    <d v="2019-10-23T00:00:00"/>
    <s v="005-00000041"/>
    <n v="890"/>
    <n v="45.762699000000005"/>
    <n v="0"/>
    <n v="0"/>
    <n v="0"/>
    <n v="15.075000000000001"/>
    <n v="0"/>
    <n v="0"/>
    <n v="60.837699000000008"/>
    <n v="829.16230099999996"/>
    <n v="0.9316430348314606"/>
    <x v="1"/>
    <s v="LEVE"/>
    <x v="0"/>
    <x v="0"/>
    <n v="9"/>
    <n v="1"/>
    <d v="2019-10-14T00:00:00"/>
    <s v="B5M-803"/>
    <s v="NISSAN"/>
    <s v="NAVARA"/>
    <s v="INDURA PERU S.A."/>
  </r>
  <r>
    <d v="2019-10-19T00:00:00"/>
    <s v="005-00000045"/>
    <n v="1617.11"/>
    <n v="0"/>
    <n v="0"/>
    <n v="76.27"/>
    <n v="0"/>
    <n v="180.9"/>
    <n v="211.05"/>
    <n v="0"/>
    <n v="468.22"/>
    <n v="1148.8899999999999"/>
    <n v="0.710458781406336"/>
    <x v="1"/>
    <s v="GRAVE"/>
    <x v="0"/>
    <x v="0"/>
    <n v="3"/>
    <n v="1"/>
    <d v="2019-10-16T00:00:00"/>
    <s v="ATZ-549"/>
    <s v="HYUNDAY"/>
    <s v="ACCENT"/>
    <s v="RIMAC SEGUROS  Y REASEGUROS S.A"/>
  </r>
  <r>
    <d v="2019-10-19T00:00:00"/>
    <s v="005-00000015"/>
    <n v="697.84000000000015"/>
    <n v="0"/>
    <n v="0"/>
    <n v="0"/>
    <n v="0"/>
    <n v="45.225000000000001"/>
    <n v="140.70000000000002"/>
    <n v="0"/>
    <n v="185.92500000000001"/>
    <n v="511.91500000000013"/>
    <n v="0.73357073254614247"/>
    <x v="1"/>
    <s v="LEVE"/>
    <x v="0"/>
    <x v="0"/>
    <n v="14"/>
    <n v="1"/>
    <d v="2019-10-05T00:00:00"/>
    <s v="ANE-346"/>
    <s v="RENAULT"/>
    <s v="LOGAN"/>
    <s v="RENTAEQUIPOS LEASING PERU S.A."/>
  </r>
  <r>
    <d v="2019-10-19T00:00:00"/>
    <s v="005-00000014"/>
    <n v="898.31534099999988"/>
    <n v="0"/>
    <n v="0"/>
    <n v="0"/>
    <n v="0"/>
    <n v="75.375"/>
    <n v="158.28749999999999"/>
    <n v="0"/>
    <n v="233.66249999999999"/>
    <n v="664.65284099999985"/>
    <n v="0.73988811129520715"/>
    <x v="1"/>
    <s v="LEVE"/>
    <x v="0"/>
    <x v="0"/>
    <n v="14"/>
    <n v="1"/>
    <d v="2019-10-05T00:00:00"/>
    <s v="ANE-346"/>
    <s v="RENAULT"/>
    <s v="LOGAN"/>
    <s v="RENTAEQUIPOS LEASING PERU S.A."/>
  </r>
  <r>
    <d v="2019-10-21T00:00:00"/>
    <s v="005-00000010"/>
    <n v="2076.61"/>
    <n v="0"/>
    <n v="0"/>
    <n v="84.75"/>
    <n v="30.150000000000002"/>
    <n v="120.60000000000001"/>
    <n v="351.75"/>
    <n v="0"/>
    <n v="587.25"/>
    <n v="1489.3600000000001"/>
    <n v="0.71720737162972348"/>
    <x v="1"/>
    <s v="MEDIANO"/>
    <x v="0"/>
    <x v="0"/>
    <n v="17"/>
    <n v="1"/>
    <d v="2019-10-04T00:00:00"/>
    <s v="AMD-263"/>
    <s v="HYUNDAY"/>
    <s v="ACCENT"/>
    <s v="RIMAC SEGUROS  Y REASEGUROS S.A"/>
  </r>
  <r>
    <d v="2019-10-21T00:00:00"/>
    <s v="005-00000043"/>
    <n v="699.52297909999993"/>
    <n v="0"/>
    <n v="0"/>
    <n v="0"/>
    <n v="0"/>
    <n v="105.52500000000001"/>
    <n v="70.350000000000009"/>
    <n v="0"/>
    <n v="175.875"/>
    <n v="523.64797909999993"/>
    <n v="0.74857866681337726"/>
    <x v="1"/>
    <s v="LEVE"/>
    <x v="0"/>
    <x v="0"/>
    <n v="7"/>
    <n v="1"/>
    <d v="2019-10-14T00:00:00"/>
    <s v="ANE-445"/>
    <s v="RENAULT"/>
    <s v="LOGAN"/>
    <s v="RENTAEQUIPOS LEASING PERU S.A."/>
  </r>
  <r>
    <d v="2019-10-21T00:00:00"/>
    <s v="005-00000007"/>
    <n v="472.77780666257974"/>
    <n v="0"/>
    <n v="0"/>
    <n v="0"/>
    <n v="0"/>
    <n v="15.075000000000001"/>
    <n v="87.9375"/>
    <n v="0"/>
    <n v="103.0125"/>
    <n v="369.76530666257975"/>
    <n v="0.7821122342286263"/>
    <x v="1"/>
    <s v="LEVE"/>
    <x v="0"/>
    <x v="0"/>
    <n v="18"/>
    <n v="1"/>
    <d v="2019-10-03T00:00:00"/>
    <s v="AHY-439"/>
    <s v="MITSUBISHI"/>
    <s v="OUTLANDER"/>
    <s v="RENTAEQUIPOS LEASING PERU S.A."/>
  </r>
  <r>
    <d v="2019-10-22T00:00:00"/>
    <s v="005-00000028"/>
    <n v="2167.7542000000003"/>
    <n v="97.661901199999988"/>
    <n v="0"/>
    <n v="42.37"/>
    <n v="105.52500000000001"/>
    <n v="105.52500000000001"/>
    <n v="580.38750000000005"/>
    <n v="0"/>
    <n v="931.46940119999999"/>
    <n v="1236.2847988000003"/>
    <n v="0.57030672518129599"/>
    <x v="2"/>
    <s v="LEVE"/>
    <x v="0"/>
    <x v="0"/>
    <n v="13"/>
    <n v="1"/>
    <d v="2019-10-09T00:00:00"/>
    <s v="BBH-363"/>
    <s v="KIA"/>
    <s v="RIO"/>
    <s v="AUTOCLASS S.A.C."/>
  </r>
  <r>
    <d v="2019-10-23T00:00:00"/>
    <s v="005-00000016"/>
    <n v="5172"/>
    <n v="2097.2683343999997"/>
    <n v="0"/>
    <n v="53.672881355932205"/>
    <n v="135.67500000000001"/>
    <n v="180.9"/>
    <n v="703.5"/>
    <n v="0"/>
    <n v="3171.0162157559321"/>
    <n v="2000.9837842440679"/>
    <n v="0.38688781597913147"/>
    <x v="2"/>
    <s v="MEDIANO"/>
    <x v="0"/>
    <x v="0"/>
    <n v="18"/>
    <n v="1"/>
    <d v="2019-10-05T00:00:00"/>
    <s v="AUK-009"/>
    <s v="KIA"/>
    <s v="RIO"/>
    <s v="AUTOCLASS S.A.C."/>
  </r>
  <r>
    <d v="2019-10-23T00:00:00"/>
    <s v="005-00000026"/>
    <n v="4922.6017000000002"/>
    <n v="988.26797169999986"/>
    <n v="0"/>
    <n v="125.71000000000001"/>
    <n v="105.52500000000001"/>
    <n v="256.27500000000003"/>
    <n v="914.55000000000007"/>
    <n v="0"/>
    <n v="2390.3279717"/>
    <n v="2532.2737283000001"/>
    <n v="0.51441775764632758"/>
    <x v="2"/>
    <s v="GRAVE"/>
    <x v="0"/>
    <x v="0"/>
    <n v="14"/>
    <n v="1"/>
    <d v="2019-10-09T00:00:00"/>
    <s v="BEN-484"/>
    <s v="CHEVROLET"/>
    <s v="SAIL"/>
    <s v="AUTOCLASS S.A.C."/>
  </r>
  <r>
    <d v="2019-10-23T00:00:00"/>
    <s v="005-00000070"/>
    <n v="100"/>
    <n v="0"/>
    <n v="0"/>
    <n v="0"/>
    <n v="15.075000000000001"/>
    <n v="0"/>
    <n v="0"/>
    <n v="0"/>
    <n v="15.075000000000001"/>
    <n v="84.924999999999997"/>
    <n v="0.84924999999999995"/>
    <x v="0"/>
    <s v="MECANICA"/>
    <x v="0"/>
    <x v="0"/>
    <n v="2"/>
    <n v="1"/>
    <d v="2019-10-21T00:00:00"/>
    <s v="ASN-143"/>
    <s v="NISSAN"/>
    <s v="QASHQAI"/>
    <s v="AGRIBRANDS PURINA PERU S.A"/>
  </r>
  <r>
    <d v="2019-10-23T00:00:00"/>
    <s v="005-00000060"/>
    <n v="812.10599999999999"/>
    <n v="0"/>
    <n v="0"/>
    <n v="0"/>
    <n v="105.73"/>
    <n v="0"/>
    <n v="0"/>
    <n v="0"/>
    <n v="105.73"/>
    <n v="706.37599999999998"/>
    <n v="0.86980763594900168"/>
    <x v="1"/>
    <s v="LEVE"/>
    <x v="0"/>
    <x v="0"/>
    <n v="6"/>
    <n v="1"/>
    <d v="2019-10-17T00:00:00"/>
    <s v="BDI-580"/>
    <s v="SUBARU"/>
    <s v="OUTBACK"/>
    <s v="RIMAC SEGUROS  Y REASEGUROS S.A"/>
  </r>
  <r>
    <d v="2019-10-23T00:00:00"/>
    <s v="005-00000040"/>
    <n v="2585.8865698200002"/>
    <n v="0"/>
    <n v="0"/>
    <n v="0"/>
    <n v="0"/>
    <n v="256.27500000000003"/>
    <n v="439.6875"/>
    <n v="0"/>
    <n v="695.96250000000009"/>
    <n v="1889.9240698200001"/>
    <n v="0.73086116455276495"/>
    <x v="1"/>
    <s v="GRAVE"/>
    <x v="0"/>
    <x v="0"/>
    <n v="9"/>
    <n v="1"/>
    <d v="2019-10-14T00:00:00"/>
    <s v="BMA-272"/>
    <s v="GREAT WALL"/>
    <s v="H3"/>
    <s v="RIMAC SEGUROS  Y REASEGUROS S.A"/>
  </r>
  <r>
    <d v="2019-10-26T00:00:00"/>
    <s v="005-00000033"/>
    <n v="1083.7249676499996"/>
    <n v="0"/>
    <n v="0"/>
    <n v="76.27"/>
    <n v="0"/>
    <n v="90.45"/>
    <n v="105.52500000000001"/>
    <n v="0"/>
    <n v="272.245"/>
    <n v="811.47996764999959"/>
    <n v="0.74878773846989155"/>
    <x v="1"/>
    <s v="LEVE"/>
    <x v="0"/>
    <x v="0"/>
    <n v="15"/>
    <n v="1"/>
    <d v="2019-10-11T00:00:00"/>
    <s v="AZY-713"/>
    <s v="FORD"/>
    <s v="RANGER"/>
    <s v="RENTAEQUIPOS LEASING PERU S.A."/>
  </r>
  <r>
    <d v="2019-10-26T00:00:00"/>
    <s v="005-00000071"/>
    <n v="1415.37495775"/>
    <n v="0"/>
    <n v="0"/>
    <n v="20.100000000000001"/>
    <n v="0"/>
    <n v="180.9"/>
    <n v="175.875"/>
    <n v="0"/>
    <n v="376.875"/>
    <n v="1038.49995775"/>
    <n v="0.73372780270246374"/>
    <x v="0"/>
    <s v="MEDIANO"/>
    <x v="0"/>
    <x v="0"/>
    <n v="4"/>
    <n v="1"/>
    <d v="2019-10-22T00:00:00"/>
    <s v="D9K-336"/>
    <s v="KIA"/>
    <s v="SPORTAGE"/>
    <s v="RIMAC SEGUROS  Y REASEGUROS S.A"/>
  </r>
  <r>
    <d v="2019-10-28T00:00:00"/>
    <s v="005-00000017"/>
    <n v="6205.2542000000003"/>
    <n v="951.58547179999994"/>
    <n v="0"/>
    <n v="145.59372881355932"/>
    <n v="120.60000000000001"/>
    <n v="452.25"/>
    <n v="949.72500000000002"/>
    <n v="0"/>
    <n v="2619.7542006135591"/>
    <n v="3585.4999993864412"/>
    <n v="0.57781677975197876"/>
    <x v="2"/>
    <s v="GRAVE"/>
    <x v="0"/>
    <x v="0"/>
    <n v="21"/>
    <n v="1"/>
    <d v="2019-10-07T00:00:00"/>
    <s v="ATK-580"/>
    <s v="KIA"/>
    <s v="CERATO"/>
    <s v="AUTOCLASS S.A.C."/>
  </r>
  <r>
    <d v="2019-10-28T00:00:00"/>
    <s v="005-00000034"/>
    <n v="3649.98"/>
    <n v="0"/>
    <n v="0"/>
    <n v="0"/>
    <n v="0"/>
    <n v="361.8"/>
    <n v="545.21249999999998"/>
    <n v="0"/>
    <n v="907.01250000000005"/>
    <n v="2742.9674999999997"/>
    <n v="0.75150206302500278"/>
    <x v="1"/>
    <s v="GRAVE"/>
    <x v="0"/>
    <x v="0"/>
    <n v="17"/>
    <n v="1"/>
    <d v="2019-10-11T00:00:00"/>
    <s v="AWL-231"/>
    <s v="KIA"/>
    <s v="RIO"/>
    <s v="RENTAEQUIPOS LEASING PERU S.A."/>
  </r>
  <r>
    <d v="2019-10-28T00:00:00"/>
    <s v="005-00000021"/>
    <n v="1600.9543719754197"/>
    <n v="0"/>
    <n v="0"/>
    <n v="0"/>
    <n v="0"/>
    <n v="241.20000000000002"/>
    <n v="158.28749999999999"/>
    <n v="0"/>
    <n v="399.48750000000001"/>
    <n v="1201.4668719754197"/>
    <n v="0.75046915327944552"/>
    <x v="1"/>
    <s v="GRAVE"/>
    <x v="0"/>
    <x v="0"/>
    <n v="21"/>
    <n v="1"/>
    <d v="2019-10-07T00:00:00"/>
    <s v="ATH-340"/>
    <s v="HONDA"/>
    <s v="PILOT"/>
    <s v="RENTAEQUIPOS LEASING PERU S.A."/>
  </r>
  <r>
    <d v="2019-10-29T00:00:00"/>
    <s v="005-00000073"/>
    <n v="777.05499999999984"/>
    <n v="0"/>
    <n v="0"/>
    <n v="25.125"/>
    <n v="0"/>
    <n v="60.300000000000004"/>
    <n v="140.70000000000002"/>
    <n v="0"/>
    <n v="226.12500000000003"/>
    <n v="550.92999999999984"/>
    <n v="0.70899743261416492"/>
    <x v="1"/>
    <s v="LEVE"/>
    <x v="0"/>
    <x v="0"/>
    <n v="7"/>
    <n v="1"/>
    <d v="2019-10-22T00:00:00"/>
    <s v="BCZ-165"/>
    <s v="CHEVROLET"/>
    <s v="COBALT"/>
    <s v="CORE MINERALS PERU S.A"/>
  </r>
  <r>
    <d v="2019-10-29T00:00:00"/>
    <s v="005-00000013"/>
    <n v="6158.5"/>
    <n v="1076.6122704000002"/>
    <n v="0"/>
    <n v="172.54237288135593"/>
    <n v="241.20000000000002"/>
    <n v="301.5"/>
    <n v="984.9"/>
    <n v="0"/>
    <n v="2776.754643281356"/>
    <n v="3381.745356718644"/>
    <n v="0.54911834971480777"/>
    <x v="2"/>
    <s v="GRAVE"/>
    <x v="0"/>
    <x v="0"/>
    <n v="24"/>
    <n v="1"/>
    <d v="2019-10-05T00:00:00"/>
    <s v="AYM-428"/>
    <s v="CHEVROLET"/>
    <s v="SAIL"/>
    <s v="AUTOCLASS S.A.C."/>
  </r>
  <r>
    <d v="2019-10-29T00:00:00"/>
    <s v="005-00000027"/>
    <n v="3044.7542000000003"/>
    <n v="439.48892599999994"/>
    <n v="0"/>
    <n v="59.324067796610173"/>
    <n v="90.45"/>
    <n v="211.05"/>
    <n v="633.15"/>
    <n v="0"/>
    <n v="1433.4629937966101"/>
    <n v="1611.2912062033902"/>
    <n v="0.52920239216794251"/>
    <x v="2"/>
    <s v="MEDIANO"/>
    <x v="0"/>
    <x v="0"/>
    <n v="20"/>
    <n v="1"/>
    <d v="2019-10-09T00:00:00"/>
    <s v="BHA-218"/>
    <s v="CHEVROLET"/>
    <s v="SAIL"/>
    <s v="AUTOCLASS S.A.C."/>
  </r>
  <r>
    <d v="2019-10-29T00:00:00"/>
    <s v="005-00000018"/>
    <n v="4644.5"/>
    <n v="621.35519875"/>
    <n v="0"/>
    <n v="111.69203389830508"/>
    <n v="120.60000000000001"/>
    <n v="256.27500000000003"/>
    <n v="844.2"/>
    <n v="0"/>
    <n v="1954.1222326483053"/>
    <n v="2690.3777673516947"/>
    <n v="0.57926101137941532"/>
    <x v="2"/>
    <s v="MEDIANO"/>
    <x v="0"/>
    <x v="0"/>
    <n v="22"/>
    <n v="1"/>
    <d v="2019-10-07T00:00:00"/>
    <s v="AWG-565"/>
    <s v="KIA"/>
    <s v="CERATO"/>
    <s v="AUTOCLASS S.A.C."/>
  </r>
  <r>
    <d v="2019-10-29T00:00:00"/>
    <s v="005-00000029"/>
    <n v="7582.5"/>
    <n v="2229.3106937999996"/>
    <n v="59.322033898305087"/>
    <n v="290.9571186440678"/>
    <n v="226.125"/>
    <n v="256.27500000000003"/>
    <n v="844.2"/>
    <n v="0"/>
    <n v="3906.1898463423731"/>
    <n v="3676.3101536576269"/>
    <n v="0.48484143140885289"/>
    <x v="2"/>
    <s v="GRAVE"/>
    <x v="0"/>
    <x v="0"/>
    <n v="20"/>
    <n v="1"/>
    <d v="2019-10-09T00:00:00"/>
    <s v="BEQ-226"/>
    <s v="CHEVROLET"/>
    <s v="SAIL"/>
    <s v="AUTOCLASS S.A.C."/>
  </r>
  <r>
    <d v="2019-10-29T00:00:00"/>
    <s v="005-00000044"/>
    <n v="1735.04779035"/>
    <n v="0"/>
    <n v="0"/>
    <n v="0"/>
    <n v="0"/>
    <n v="150.75"/>
    <n v="334.16250000000002"/>
    <n v="0"/>
    <n v="484.91250000000002"/>
    <n v="1250.1352903500001"/>
    <n v="0.72051922563920756"/>
    <x v="1"/>
    <s v="MEDIANO"/>
    <x v="0"/>
    <x v="0"/>
    <n v="14"/>
    <n v="1"/>
    <d v="2019-10-15T00:00:00"/>
    <s v="BLA-251"/>
    <s v="CHEVROLET"/>
    <s v="PRISMA"/>
    <s v="RENTAEQUIPOS LEASING PERU S.A."/>
  </r>
  <r>
    <d v="2019-10-29T00:00:00"/>
    <s v="005-00000084"/>
    <n v="1140.57"/>
    <n v="0"/>
    <n v="0"/>
    <n v="51.150000000000006"/>
    <n v="0"/>
    <n v="90.45"/>
    <n v="211.05"/>
    <n v="0"/>
    <n v="352.65000000000003"/>
    <n v="787.91999999999985"/>
    <n v="0.69081248849259569"/>
    <x v="1"/>
    <s v="LEVE"/>
    <x v="0"/>
    <x v="0"/>
    <n v="6"/>
    <n v="1"/>
    <d v="2019-10-23T00:00:00"/>
    <s v="BAF-310"/>
    <s v="MAZDA"/>
    <s v="MAZDA 2"/>
    <s v="RIMAC SEGUROS  Y REASEGUROS S.A"/>
  </r>
  <r>
    <d v="2019-10-29T00:00:00"/>
    <s v="005-00000042"/>
    <n v="350"/>
    <n v="0"/>
    <n v="0"/>
    <n v="0"/>
    <n v="15.075000000000001"/>
    <n v="15.075000000000001"/>
    <n v="70.350000000000009"/>
    <n v="0"/>
    <n v="100.50000000000001"/>
    <n v="249.5"/>
    <n v="0.71285714285714286"/>
    <x v="0"/>
    <s v="LEVE"/>
    <x v="0"/>
    <x v="0"/>
    <n v="15"/>
    <n v="1"/>
    <d v="2019-10-14T00:00:00"/>
    <s v="C3A-411"/>
    <s v="SUZUKI"/>
    <s v="CELERIO"/>
    <s v="FAST ENGENHARIA E MONTAGENS SA"/>
  </r>
  <r>
    <d v="2019-10-30T00:00:00"/>
    <s v="005-00000019"/>
    <n v="6671.5"/>
    <n v="1593.0606048"/>
    <n v="110.16949152542374"/>
    <n v="91.27118644067798"/>
    <n v="150.75"/>
    <n v="376.875"/>
    <n v="1055.25"/>
    <n v="0"/>
    <n v="3377.3762827661017"/>
    <n v="3294.1237172338983"/>
    <n v="0.49376058116374105"/>
    <x v="2"/>
    <s v="GRAVE"/>
    <x v="0"/>
    <x v="0"/>
    <n v="23"/>
    <n v="1"/>
    <d v="2019-10-07T00:00:00"/>
    <s v="P2Y-146"/>
    <s v="KIA"/>
    <s v="RIO"/>
    <s v="AUTOCLASS S.A.C."/>
  </r>
  <r>
    <d v="2019-10-30T00:00:00"/>
    <s v="005-00000065"/>
    <n v="3818.7542100000001"/>
    <n v="548.89210930000002"/>
    <n v="0"/>
    <n v="41"/>
    <n v="124.36875000000001"/>
    <n v="150.75"/>
    <n v="703.5"/>
    <n v="0"/>
    <n v="1568.5108593"/>
    <n v="2250.2433507000001"/>
    <n v="0.5892611115969153"/>
    <x v="2"/>
    <s v="MEDIANO"/>
    <x v="0"/>
    <x v="0"/>
    <n v="11"/>
    <n v="1"/>
    <d v="2019-10-19T00:00:00"/>
    <s v="APA-238"/>
    <s v="HYUNDAY"/>
    <s v="ACCENT"/>
    <s v="EDPYME ACCESO CREDITICIO SOCIEDAD ANONIMA"/>
  </r>
  <r>
    <d v="2019-10-30T00:00:00"/>
    <s v="005-00000088"/>
    <n v="637.93998090000014"/>
    <n v="0"/>
    <n v="0"/>
    <n v="65.325000000000003"/>
    <n v="0"/>
    <n v="30.150000000000002"/>
    <n v="105.52500000000001"/>
    <n v="0"/>
    <n v="201"/>
    <n v="436.93998090000014"/>
    <n v="0.68492333758979806"/>
    <x v="1"/>
    <s v="LEVE"/>
    <x v="0"/>
    <x v="0"/>
    <n v="6"/>
    <n v="1"/>
    <d v="2019-10-24T00:00:00"/>
    <s v="AYW-424"/>
    <s v="KIA"/>
    <s v="SPORTAGE"/>
    <s v="RIMAC SEGUROS  Y REASEGUROS S.A"/>
  </r>
  <r>
    <d v="2019-10-30T00:00:00"/>
    <s v="005-00000092"/>
    <n v="420.41548009270986"/>
    <n v="0"/>
    <n v="0"/>
    <n v="0"/>
    <n v="0"/>
    <n v="30.150000000000002"/>
    <n v="87.9375"/>
    <n v="0"/>
    <n v="118.08750000000001"/>
    <n v="302.32798009270982"/>
    <n v="0.71911714579596497"/>
    <x v="1"/>
    <s v="LEVE"/>
    <x v="0"/>
    <x v="0"/>
    <n v="6"/>
    <n v="1"/>
    <d v="2019-10-24T00:00:00"/>
    <s v="BDM-636"/>
    <s v="MAZDA"/>
    <s v="MAZDA 2"/>
    <s v="RIMAC SEGUROS  Y REASEGUROS S.A"/>
  </r>
  <r>
    <d v="2019-10-30T00:00:00"/>
    <s v="005-00000087"/>
    <n v="961.0989992245801"/>
    <n v="0"/>
    <n v="0"/>
    <n v="80.400000000000006"/>
    <n v="0"/>
    <n v="45.225000000000001"/>
    <n v="158.28749999999999"/>
    <n v="0"/>
    <n v="283.91250000000002"/>
    <n v="677.18649922458007"/>
    <n v="0.70459598831227355"/>
    <x v="1"/>
    <s v="LEVE"/>
    <x v="0"/>
    <x v="0"/>
    <n v="6"/>
    <n v="1"/>
    <d v="2019-10-24T00:00:00"/>
    <s v="AYW-424"/>
    <s v="KIA"/>
    <s v="SPORTAGE"/>
    <s v="RIMAC SEGUROS  Y REASEGUROS S.A"/>
  </r>
  <r>
    <d v="2019-10-30T00:00:00"/>
    <s v="005-00000081"/>
    <n v="794.09900422458009"/>
    <n v="0"/>
    <n v="0"/>
    <n v="30.150000000000002"/>
    <n v="0"/>
    <n v="45.225000000000001"/>
    <n v="140.70000000000002"/>
    <n v="0"/>
    <n v="216.07500000000002"/>
    <n v="578.02400422458004"/>
    <n v="0.72789916767243346"/>
    <x v="1"/>
    <s v="LEVE"/>
    <x v="0"/>
    <x v="0"/>
    <n v="7"/>
    <n v="1"/>
    <d v="2019-10-23T00:00:00"/>
    <s v="ACZ-120"/>
    <s v="TOYOTA"/>
    <s v="RAV4"/>
    <s v="RIMAC SEGUROS  Y REASEGUROS S.A"/>
  </r>
  <r>
    <d v="2019-10-30T00:00:00"/>
    <s v="005-00000078"/>
    <n v="895.1199732"/>
    <n v="0"/>
    <n v="0"/>
    <n v="30.150000000000002"/>
    <n v="0"/>
    <n v="75.375"/>
    <n v="140.70000000000002"/>
    <n v="0"/>
    <n v="246.22500000000002"/>
    <n v="648.89497319999998"/>
    <n v="0.72492514146482456"/>
    <x v="1"/>
    <s v="LEVE"/>
    <x v="0"/>
    <x v="0"/>
    <n v="8"/>
    <n v="1"/>
    <d v="2019-10-22T00:00:00"/>
    <s v="AJB-285"/>
    <s v="MAZDA"/>
    <s v="MAZDA 3 "/>
    <s v="RIMAC SEGUROS  Y REASEGUROS S.A"/>
  </r>
  <r>
    <d v="2019-10-30T00:00:00"/>
    <s v="005-00000068"/>
    <n v="1412.8199577000003"/>
    <n v="0"/>
    <n v="0"/>
    <n v="38.190000000000005"/>
    <n v="0"/>
    <n v="180.9"/>
    <n v="140.70000000000002"/>
    <n v="0"/>
    <n v="359.79"/>
    <n v="1053.0299577000003"/>
    <n v="0.74533910139143278"/>
    <x v="1"/>
    <s v="MEDIANO"/>
    <x v="0"/>
    <x v="0"/>
    <n v="9"/>
    <n v="1"/>
    <d v="2019-10-21T00:00:00"/>
    <s v="AWY-319"/>
    <s v="JEEP"/>
    <s v="GRAND CHEROKE"/>
    <s v="RENTAEQUIPOS LEASING PERU S.A."/>
  </r>
  <r>
    <d v="2019-10-31T00:00:00"/>
    <s v="005-00000049"/>
    <n v="6587.7542000000003"/>
    <n v="1383.0209572000003"/>
    <n v="76.271186440677965"/>
    <n v="122.32203389830509"/>
    <n v="154.51875000000001"/>
    <n v="241.20000000000002"/>
    <n v="1143.1875"/>
    <n v="0"/>
    <n v="3120.5204275389833"/>
    <n v="3467.233772461017"/>
    <n v="0.52631498796069487"/>
    <x v="2"/>
    <s v="GRAVE"/>
    <x v="0"/>
    <x v="0"/>
    <n v="15"/>
    <n v="1"/>
    <d v="2019-10-16T00:00:00"/>
    <s v="AKB-038"/>
    <s v="KIA"/>
    <s v="RIO"/>
    <s v="EDPYME ACCESO CREDITICIO SOCIEDAD ANONIMA"/>
  </r>
  <r>
    <d v="2019-10-31T00:00:00"/>
    <s v="005-00000055"/>
    <n v="3862.7542100000001"/>
    <n v="1395.5710020000001"/>
    <n v="0"/>
    <n v="119.37288135593221"/>
    <n v="154.51875000000001"/>
    <n v="75.375"/>
    <n v="422.1"/>
    <n v="0"/>
    <n v="2166.9376333559321"/>
    <n v="1695.8165766440679"/>
    <n v="0.43901746900020022"/>
    <x v="2"/>
    <s v="LEVE"/>
    <x v="0"/>
    <x v="0"/>
    <n v="15"/>
    <n v="1"/>
    <d v="2019-10-16T00:00:00"/>
    <s v="AEM-292"/>
    <s v="HYUNDAY"/>
    <s v="ACCENT"/>
    <s v="EDPYME ACCESO CREDITICIO SOCIEDAD ANONIMA"/>
  </r>
  <r>
    <d v="2019-10-31T00:00:00"/>
    <s v="005-00000080"/>
    <n v="1595.7984999999999"/>
    <n v="0"/>
    <n v="0"/>
    <n v="15.075000000000001"/>
    <n v="0"/>
    <n v="180.9"/>
    <n v="246.22499999999999"/>
    <n v="0"/>
    <n v="442.2"/>
    <n v="1153.5984999999998"/>
    <n v="0.72289734574885234"/>
    <x v="1"/>
    <s v="MEDIANO"/>
    <x v="0"/>
    <x v="0"/>
    <n v="8"/>
    <n v="1"/>
    <d v="2019-10-23T00:00:00"/>
    <s v="AFC-362"/>
    <s v="MAZDA"/>
    <s v="MAZDA 6"/>
    <s v="RIMAC SEGUROS  Y REASEGUROS S.A"/>
  </r>
  <r>
    <d v="2019-10-07T00:00:00"/>
    <s v="005-00000020"/>
    <n v="296.61020000000002"/>
    <n v="140.75284975"/>
    <n v="0"/>
    <n v="0"/>
    <n v="40.250250000000001"/>
    <n v="0"/>
    <n v="0"/>
    <n v="0"/>
    <n v="181.00309974999999"/>
    <n v="115.60710025000003"/>
    <n v="0.38976104075315016"/>
    <x v="0"/>
    <s v="MECANICA"/>
    <x v="0"/>
    <x v="0"/>
    <n v="0"/>
    <n v="1"/>
    <d v="2019-10-07T00:00:00"/>
    <s v="BAZ-054"/>
    <s v="KIA"/>
    <s v="CERATO"/>
    <s v="MEZA CERNA JUNOR RAUL"/>
  </r>
  <r>
    <d v="2019-10-12T00:00:00"/>
    <s v="005-00000008"/>
    <n v="1041.0838971754199"/>
    <n v="0"/>
    <n v="0"/>
    <n v="0"/>
    <n v="30.150000000000002"/>
    <n v="60.300000000000004"/>
    <n v="211.05"/>
    <n v="0"/>
    <n v="301.5"/>
    <n v="739.58389717541991"/>
    <n v="0.71039797962680618"/>
    <x v="0"/>
    <s v="LEVE"/>
    <x v="0"/>
    <x v="0"/>
    <n v="8"/>
    <n v="1"/>
    <d v="2019-10-04T00:00:00"/>
    <s v="AHK-141"/>
    <s v="NISSAN"/>
    <s v="XTRAIL"/>
    <s v="JOSE ANTONIO MENENDEZ FERNANDEZ"/>
  </r>
  <r>
    <d v="2019-10-17T00:00:00"/>
    <s v="005-00000058"/>
    <n v="237.28810000000001"/>
    <n v="82.528698849999984"/>
    <n v="0"/>
    <n v="0"/>
    <n v="40.250250000000001"/>
    <n v="0"/>
    <n v="0"/>
    <n v="0"/>
    <n v="122.77894884999998"/>
    <n v="114.50915115000004"/>
    <n v="0.48257435223258155"/>
    <x v="0"/>
    <s v="MECANICA"/>
    <x v="0"/>
    <x v="0"/>
    <n v="0"/>
    <n v="1"/>
    <d v="2019-10-17T00:00:00"/>
    <s v="B3A-304"/>
    <s v="HONDA"/>
    <s v="CIVIC"/>
    <s v="RIVERA AGUILAR JULIO"/>
  </r>
  <r>
    <d v="2019-10-18T00:00:00"/>
    <s v="005-00000063"/>
    <n v="245.77129000000002"/>
    <n v="103.99239799999999"/>
    <n v="0"/>
    <n v="0"/>
    <n v="40.250250000000001"/>
    <n v="0"/>
    <n v="0"/>
    <n v="0"/>
    <n v="144.242648"/>
    <n v="101.52864200000002"/>
    <n v="0.41310212433681742"/>
    <x v="0"/>
    <s v="MECANICA"/>
    <x v="0"/>
    <x v="0"/>
    <n v="0"/>
    <n v="1"/>
    <d v="2019-10-18T00:00:00"/>
    <s v="BJL-074"/>
    <s v="CHERY"/>
    <s v="ARRIZO3"/>
    <s v="LONDOÑO LOPEZ JHAIR"/>
  </r>
  <r>
    <d v="2019-10-19T00:00:00"/>
    <s v="005-00000064"/>
    <n v="29.660999000000007"/>
    <n v="12.711900000000004"/>
    <n v="0"/>
    <n v="0"/>
    <n v="0"/>
    <n v="0"/>
    <n v="0"/>
    <n v="0"/>
    <n v="12.711900000000004"/>
    <n v="16.949099000000004"/>
    <n v="0.57142711208074948"/>
    <x v="0"/>
    <s v="MECANICA"/>
    <x v="0"/>
    <x v="0"/>
    <n v="1"/>
    <n v="1"/>
    <d v="2019-10-18T00:00:00"/>
    <s v="ATZ-549"/>
    <s v="HYUNDAY"/>
    <s v="ACCENT"/>
    <s v="GAITAN PEREDA CESAR AUGUSTO"/>
  </r>
  <r>
    <d v="2019-10-21T00:00:00"/>
    <s v="005-00000067"/>
    <n v="331.85589999999996"/>
    <n v="134.0984981"/>
    <n v="0"/>
    <n v="0"/>
    <n v="40.250250000000001"/>
    <n v="0"/>
    <n v="0"/>
    <n v="0"/>
    <n v="174.34874809999999"/>
    <n v="157.50715189999997"/>
    <n v="0.47462513669336598"/>
    <x v="0"/>
    <s v="MECANICA"/>
    <x v="0"/>
    <x v="0"/>
    <n v="0"/>
    <n v="1"/>
    <d v="2019-10-21T00:00:00"/>
    <s v="ALX-585"/>
    <s v="KIA"/>
    <s v="RIO"/>
    <s v="SALAZAR OYOLA HECTOR"/>
  </r>
  <r>
    <d v="2019-10-22T00:00:00"/>
    <s v="005-00000074"/>
    <n v="150"/>
    <n v="57.35479879999999"/>
    <n v="0"/>
    <n v="0"/>
    <n v="79.2"/>
    <n v="0"/>
    <n v="0"/>
    <n v="0"/>
    <n v="136.55479879999999"/>
    <n v="13.445201200000014"/>
    <n v="8.9634674666666761E-2"/>
    <x v="0"/>
    <s v="MECANICA"/>
    <x v="0"/>
    <x v="0"/>
    <n v="0"/>
    <n v="1"/>
    <d v="2019-10-22T00:00:00"/>
    <s v="BKP389"/>
    <s v="HYUNDAI"/>
    <s v="I10"/>
    <s v="MILAN TRUGILLO FELIX"/>
  </r>
  <r>
    <d v="2019-10-23T00:00:00"/>
    <s v="005-00000061"/>
    <n v="453.15249111000003"/>
    <n v="0"/>
    <n v="0"/>
    <n v="0"/>
    <n v="0"/>
    <n v="75.375"/>
    <n v="140.70000000000002"/>
    <n v="0"/>
    <n v="216.07500000000002"/>
    <n v="237.07749111000001"/>
    <n v="0.5231737566514908"/>
    <x v="1"/>
    <s v="LEVE"/>
    <x v="0"/>
    <x v="0"/>
    <n v="6"/>
    <n v="1"/>
    <d v="2019-10-17T00:00:00"/>
    <s v="BDI-580"/>
    <s v="SUBARU"/>
    <s v="OUTBACK"/>
    <s v="VIALE BORDO JAVIER ALFONSO"/>
  </r>
  <r>
    <d v="2019-10-23T00:00:00"/>
    <s v="005-00000057"/>
    <n v="902.34"/>
    <n v="0"/>
    <n v="0"/>
    <n v="0"/>
    <n v="0"/>
    <n v="60.300000000000004"/>
    <n v="158.28749999999999"/>
    <n v="0"/>
    <n v="218.58750000000001"/>
    <n v="683.75250000000005"/>
    <n v="0.757754837422701"/>
    <x v="0"/>
    <s v="LEVE"/>
    <x v="0"/>
    <x v="0"/>
    <n v="6"/>
    <n v="1"/>
    <d v="2019-10-17T00:00:00"/>
    <s v="F5C-188"/>
    <s v="AUDI"/>
    <s v="Q5"/>
    <s v="BURGA VELASCO DIEGO ADRIAN"/>
  </r>
  <r>
    <d v="2019-10-23T00:00:00"/>
    <s v="005-00000062"/>
    <n v="83.55"/>
    <n v="0"/>
    <n v="0"/>
    <n v="0"/>
    <n v="0"/>
    <n v="45.225000000000001"/>
    <n v="0"/>
    <n v="0"/>
    <n v="45.225000000000001"/>
    <n v="38.324999999999996"/>
    <n v="0.45870736086175939"/>
    <x v="0"/>
    <s v="MECANICA"/>
    <x v="0"/>
    <x v="0"/>
    <n v="6"/>
    <n v="1"/>
    <d v="2019-10-17T00:00:00"/>
    <s v="BMA-272"/>
    <s v="GREAT WALL"/>
    <s v="H3"/>
    <s v="VIDANTE CHINCHAY JOAO MARTIN"/>
  </r>
  <r>
    <d v="2019-10-26T00:00:00"/>
    <s v="005-00000066"/>
    <n v="423.72879"/>
    <n v="179.36700285000001"/>
    <n v="0"/>
    <n v="101.69491525423729"/>
    <n v="40.250250000000001"/>
    <n v="0"/>
    <n v="0"/>
    <n v="0"/>
    <n v="321.31216810423729"/>
    <n v="102.41662189576272"/>
    <n v="0.24170324111270022"/>
    <x v="0"/>
    <s v="MECANICA"/>
    <x v="0"/>
    <x v="0"/>
    <n v="5"/>
    <n v="1"/>
    <d v="2019-10-21T00:00:00"/>
    <s v="D9K-336"/>
    <s v="KIA"/>
    <s v="SPORTAGE"/>
    <s v="MANLIO BASSINO PINASCO"/>
  </r>
  <r>
    <d v="2019-10-30T00:00:00"/>
    <s v="005-00000083"/>
    <n v="66.799998000000016"/>
    <n v="0"/>
    <n v="0"/>
    <n v="20.100000000000001"/>
    <n v="39.6"/>
    <n v="0"/>
    <n v="0"/>
    <n v="0"/>
    <n v="59.7"/>
    <n v="7.0999980000000136"/>
    <n v="0.10628739839183846"/>
    <x v="1"/>
    <s v="LEVE"/>
    <x v="0"/>
    <x v="0"/>
    <n v="7"/>
    <n v="1"/>
    <d v="2019-10-23T00:00:00"/>
    <s v="AYW-424"/>
    <s v="RENAULT"/>
    <s v="LOGAN"/>
    <s v="MONCADA PIEDRA EDUARDO"/>
  </r>
  <r>
    <d v="2019-10-30T00:00:00"/>
    <s v="005-00000119"/>
    <n v="211.87289000000001"/>
    <n v="68.517799999999994"/>
    <n v="0"/>
    <n v="0"/>
    <n v="40.250250000000001"/>
    <n v="0"/>
    <n v="0"/>
    <n v="0"/>
    <n v="108.76804999999999"/>
    <n v="103.10484000000002"/>
    <n v="0.48663535953089621"/>
    <x v="0"/>
    <s v="MECANICA"/>
    <x v="0"/>
    <x v="0"/>
    <n v="0"/>
    <n v="1"/>
    <d v="2019-10-30T00:00:00"/>
    <s v="BKS-073"/>
    <s v="TOYOTA"/>
    <s v="ETIOS"/>
    <s v="CANAZA SANCHEZ VICTOR HORACIO"/>
  </r>
  <r>
    <d v="2019-10-31T00:00:00"/>
    <s v="005-00000122"/>
    <n v="211.87289000000001"/>
    <n v="68.514600000000002"/>
    <n v="0"/>
    <n v="0"/>
    <n v="40.250250000000001"/>
    <n v="0"/>
    <n v="0"/>
    <n v="0"/>
    <n v="108.76485"/>
    <n v="103.10804000000002"/>
    <n v="0.48665046292614411"/>
    <x v="0"/>
    <s v="MECANICA"/>
    <x v="0"/>
    <x v="0"/>
    <n v="0"/>
    <n v="1"/>
    <d v="2019-10-31T00:00:00"/>
    <s v="D2E-026"/>
    <s v="TOYOTA"/>
    <s v="COROLLA"/>
    <s v="DE LA CRUZ PESCORAN ADA VERONICA"/>
  </r>
  <r>
    <d v="2019-11-02T00:00:00"/>
    <s v="005-00000086"/>
    <n v="398.53100000000006"/>
    <n v="0"/>
    <n v="0"/>
    <n v="30.150000000000002"/>
    <n v="0"/>
    <n v="15.075000000000001"/>
    <n v="0"/>
    <n v="0"/>
    <n v="45.225000000000001"/>
    <n v="353.30600000000004"/>
    <n v="0.88652074744499165"/>
    <x v="1"/>
    <s v="LEVE"/>
    <x v="1"/>
    <x v="0"/>
    <n v="10"/>
    <n v="1"/>
    <d v="2019-10-23T00:00:00"/>
    <s v="APW-245"/>
    <s v="NISSAN"/>
    <s v="SENTRA"/>
    <s v="RIMAC SEGUROS  Y REASEGUROS S.A"/>
  </r>
  <r>
    <d v="2019-11-04T00:00:00"/>
    <s v="005-00000075"/>
    <n v="1725.0755932999998"/>
    <n v="0"/>
    <n v="0"/>
    <n v="0"/>
    <n v="0"/>
    <n v="211.05"/>
    <n v="158.28749999999999"/>
    <n v="0"/>
    <n v="369.33749999999998"/>
    <n v="1355.7380932999999"/>
    <n v="0.78590068665137613"/>
    <x v="1"/>
    <s v="MEDIANO"/>
    <x v="1"/>
    <x v="0"/>
    <n v="13"/>
    <n v="1"/>
    <d v="2019-10-22T00:00:00"/>
    <s v="ACT-191"/>
    <s v="SUZUKI"/>
    <s v="SWIFT"/>
    <s v="RIMAC SEGUROS  Y REASEGUROS S.A"/>
  </r>
  <r>
    <d v="2019-11-05T00:00:00"/>
    <s v="005-00000091"/>
    <n v="2655.4560000000001"/>
    <n v="0"/>
    <n v="0"/>
    <n v="91.344999999999999"/>
    <n v="0"/>
    <n v="361.8"/>
    <n v="281.40000000000003"/>
    <n v="0"/>
    <n v="734.54500000000007"/>
    <n v="1920.9110000000001"/>
    <n v="0.72338272598001996"/>
    <x v="1"/>
    <s v="GRAVE"/>
    <x v="1"/>
    <x v="0"/>
    <n v="12"/>
    <n v="1"/>
    <d v="2019-10-24T00:00:00"/>
    <s v="F2B-530"/>
    <s v="KIA"/>
    <s v="CERATO"/>
    <s v="RIMAC SEGUROS  Y REASEGUROS S.A"/>
  </r>
  <r>
    <d v="2019-11-05T00:00:00"/>
    <s v="005-00000103"/>
    <n v="960.76800000000003"/>
    <n v="0"/>
    <n v="0"/>
    <n v="121.495"/>
    <n v="0"/>
    <n v="30.150000000000002"/>
    <n v="140.70000000000002"/>
    <n v="0"/>
    <n v="292.34500000000003"/>
    <n v="668.423"/>
    <n v="0.69571738442579267"/>
    <x v="1"/>
    <s v="LEVE"/>
    <x v="1"/>
    <x v="0"/>
    <n v="8"/>
    <n v="1"/>
    <d v="2019-10-28T00:00:00"/>
    <s v="C4A-237"/>
    <s v="KIA"/>
    <s v="RIO"/>
    <s v="RIMAC SEGUROS  Y REASEGUROS S.A"/>
  </r>
  <r>
    <d v="2019-11-06T00:00:00"/>
    <s v="005-00000098"/>
    <n v="1008.378"/>
    <n v="0"/>
    <n v="0"/>
    <n v="76.27"/>
    <n v="0"/>
    <n v="60.300000000000004"/>
    <n v="211.05"/>
    <n v="0"/>
    <n v="347.62"/>
    <n v="660.75800000000004"/>
    <n v="0.65526816332764104"/>
    <x v="1"/>
    <s v="LEVE"/>
    <x v="1"/>
    <x v="0"/>
    <n v="12"/>
    <n v="1"/>
    <d v="2019-10-25T00:00:00"/>
    <s v="A1M-006"/>
    <s v="MINI"/>
    <s v="COOPER"/>
    <s v="PATRON JORGE RICARDO GALLEGOS RIZO"/>
  </r>
  <r>
    <d v="2019-11-06T00:00:00"/>
    <s v="005-00000069"/>
    <n v="9335.7542099999991"/>
    <n v="2408.4089485200006"/>
    <n v="59.32"/>
    <n v="377.09288135593215"/>
    <n v="244.96875"/>
    <n v="527.625"/>
    <n v="1125.6000000000001"/>
    <n v="0"/>
    <n v="4743.0155798759333"/>
    <n v="4592.7386301240658"/>
    <n v="0.49195153672796471"/>
    <x v="2"/>
    <s v="GRAVE"/>
    <x v="1"/>
    <x v="0"/>
    <n v="16"/>
    <n v="1"/>
    <d v="2019-10-21T00:00:00"/>
    <s v="ARP-079"/>
    <s v="HYUNDAY"/>
    <s v="ACCENT"/>
    <s v="EDPYME ACCESO CREDITICIO SOCIEDAD ANONIMA"/>
  </r>
  <r>
    <d v="2019-11-06T00:00:00"/>
    <s v="005-00000050"/>
    <n v="9592.2542099999991"/>
    <n v="2494.3001243000003"/>
    <n v="0"/>
    <n v="406.86237288135595"/>
    <n v="350.49375000000003"/>
    <n v="572.85"/>
    <n v="1301.4750000000001"/>
    <n v="0"/>
    <n v="5125.9812471813566"/>
    <n v="4466.2729628186426"/>
    <n v="0.46561244781883682"/>
    <x v="2"/>
    <s v="GRAVE"/>
    <x v="1"/>
    <x v="0"/>
    <n v="21"/>
    <n v="1"/>
    <d v="2019-10-16T00:00:00"/>
    <s v="AMJ-333"/>
    <s v="CHEVROLET"/>
    <s v="SAIL"/>
    <s v="EDPYME ACCESO CREDITICIO SOCIEDAD ANONIMA"/>
  </r>
  <r>
    <d v="2019-11-06T00:00:00"/>
    <s v="005-00000085"/>
    <n v="3941.2542100000001"/>
    <n v="743.90671470000007"/>
    <n v="0"/>
    <n v="16.949152542372882"/>
    <n v="139.44374999999999"/>
    <n v="180.9"/>
    <n v="879.375"/>
    <n v="0"/>
    <n v="1960.5746172423731"/>
    <n v="1980.679592757627"/>
    <n v="0.50255058091206628"/>
    <x v="2"/>
    <s v="MEDIANO"/>
    <x v="1"/>
    <x v="0"/>
    <n v="14"/>
    <n v="1"/>
    <d v="2019-10-23T00:00:00"/>
    <s v="BDS-657"/>
    <s v="CHEVROLET"/>
    <s v="SAIL"/>
    <s v="EDPYME ACCESO CREDITICIO SOCIEDAD ANONIMA"/>
  </r>
  <r>
    <d v="2019-11-06T00:00:00"/>
    <s v="005-00000090"/>
    <n v="8121.2542100000001"/>
    <n v="1140.5525563000001"/>
    <n v="25.423728813559322"/>
    <n v="164.69491525423729"/>
    <n v="305.26875000000001"/>
    <n v="301.5"/>
    <n v="1020.075"/>
    <n v="0"/>
    <n v="2957.5149503677967"/>
    <n v="5163.7392596322034"/>
    <n v="0.6358302703139006"/>
    <x v="2"/>
    <s v="GRAVE"/>
    <x v="1"/>
    <x v="0"/>
    <n v="13"/>
    <n v="1"/>
    <d v="2019-10-24T00:00:00"/>
    <s v="ARI-452"/>
    <s v="KIA"/>
    <s v="RIO"/>
    <s v="EDPYME ACCESO CREDITICIO SOCIEDAD ANONIMA"/>
  </r>
  <r>
    <d v="2019-11-07T00:00:00"/>
    <s v="005-00000046"/>
    <n v="7232.7542100000001"/>
    <n v="2267.7121939000003"/>
    <n v="177.96610169491527"/>
    <n v="118.26372881355931"/>
    <n v="139.44374999999999"/>
    <n v="165.82500000000002"/>
    <n v="633.15"/>
    <n v="0"/>
    <n v="3502.3607744084748"/>
    <n v="3730.3934355915253"/>
    <n v="0.51576388845536691"/>
    <x v="2"/>
    <s v="MEDIANO"/>
    <x v="1"/>
    <x v="0"/>
    <n v="22"/>
    <n v="1"/>
    <d v="2019-10-16T00:00:00"/>
    <s v="BEV-036"/>
    <s v="CHEVROLET"/>
    <s v="COBALT"/>
    <s v="EDPYME ACCESO CREDITICIO SOCIEDAD ANONIMA"/>
  </r>
  <r>
    <d v="2019-11-07T00:00:00"/>
    <s v="005-00000111"/>
    <n v="2358.7460705999997"/>
    <n v="0"/>
    <n v="0"/>
    <n v="106.42"/>
    <n v="0"/>
    <n v="301.5"/>
    <n v="281.40000000000003"/>
    <n v="0"/>
    <n v="689.32"/>
    <n v="1669.4260705999995"/>
    <n v="0.70775997951120861"/>
    <x v="1"/>
    <s v="GRAVE"/>
    <x v="1"/>
    <x v="0"/>
    <n v="9"/>
    <n v="1"/>
    <d v="2019-10-29T00:00:00"/>
    <s v="ARV-341"/>
    <s v="HYUNDAY"/>
    <s v="ELANTRA"/>
    <s v="RIMAC SEGUROS  Y REASEGUROS S.A"/>
  </r>
  <r>
    <d v="2019-11-08T00:00:00"/>
    <s v="005-00000146"/>
    <n v="1012.7127990000001"/>
    <n v="0"/>
    <n v="0"/>
    <n v="0"/>
    <n v="0"/>
    <n v="90.45"/>
    <n v="140.70000000000002"/>
    <n v="0"/>
    <n v="231.15000000000003"/>
    <n v="781.56279900000004"/>
    <n v="0.77175167507683484"/>
    <x v="1"/>
    <s v="LEVE"/>
    <x v="1"/>
    <x v="0"/>
    <n v="2"/>
    <n v="1"/>
    <d v="2019-11-06T00:00:00"/>
    <s v="BKP-647"/>
    <s v="TOYOTA"/>
    <s v="AVANZA"/>
    <s v="JUAN SMITH ORTIZ ORTIZ"/>
  </r>
  <r>
    <d v="2019-11-08T00:00:00"/>
    <s v="005-00000147"/>
    <n v="669.02842915500003"/>
    <n v="0"/>
    <n v="0"/>
    <n v="0"/>
    <n v="0"/>
    <n v="0"/>
    <n v="0"/>
    <n v="0"/>
    <n v="0"/>
    <n v="669.02842915500003"/>
    <n v="1"/>
    <x v="0"/>
    <s v="LEVE"/>
    <x v="1"/>
    <x v="0"/>
    <n v="2"/>
    <n v="1"/>
    <d v="2019-11-06T00:00:00"/>
    <s v="BKP647"/>
    <s v="TOYOTA"/>
    <s v="AVANZA"/>
    <s v="JUAN SMITH ORTIZ ORTIZ"/>
  </r>
  <r>
    <d v="2019-11-08T00:00:00"/>
    <s v="005-00000095"/>
    <n v="1214.2350000000001"/>
    <n v="0"/>
    <n v="0"/>
    <n v="76.27"/>
    <n v="0"/>
    <n v="120.60000000000001"/>
    <n v="140.70000000000002"/>
    <n v="0"/>
    <n v="337.57000000000005"/>
    <n v="876.66500000000008"/>
    <n v="0.7219895654465569"/>
    <x v="1"/>
    <s v="MEDIANO"/>
    <x v="1"/>
    <x v="0"/>
    <n v="14"/>
    <n v="1"/>
    <d v="2019-10-25T00:00:00"/>
    <s v="ASK-203"/>
    <s v="MAZDA"/>
    <s v="CX3"/>
    <s v="RIMAC SEGUROS  Y REASEGUROS S.A"/>
  </r>
  <r>
    <d v="2019-11-09T00:00:00"/>
    <s v="005-00000089"/>
    <n v="8653.0084100000004"/>
    <n v="2320.8552497199998"/>
    <n v="504.66254237288098"/>
    <n v="302.95"/>
    <n v="244.96875"/>
    <n v="542.70000000000005"/>
    <n v="1195.95"/>
    <n v="0"/>
    <n v="5112.0865420928803"/>
    <n v="3540.92186790712"/>
    <n v="0.40921280786171338"/>
    <x v="2"/>
    <s v="GRAVE"/>
    <x v="1"/>
    <x v="0"/>
    <n v="16"/>
    <n v="1"/>
    <d v="2019-10-24T00:00:00"/>
    <s v="APB-579"/>
    <s v="HYUNDAY"/>
    <s v="ACCENT"/>
    <s v="EDPYME ACCESO CREDITICIO SOCIEDAD ANONIMA"/>
  </r>
  <r>
    <d v="2019-11-09T00:00:00"/>
    <s v="005-00000100"/>
    <n v="298.41699110000002"/>
    <n v="0"/>
    <n v="0"/>
    <n v="0"/>
    <n v="0"/>
    <n v="15.075000000000001"/>
    <n v="0"/>
    <n v="0"/>
    <n v="15.075000000000001"/>
    <n v="283.34199110000003"/>
    <n v="0.94948343945017422"/>
    <x v="1"/>
    <s v="LEVE"/>
    <x v="1"/>
    <x v="0"/>
    <n v="14"/>
    <n v="1"/>
    <d v="2019-10-26T00:00:00"/>
    <s v="BKX-624"/>
    <s v="MAZDA"/>
    <s v="CX3"/>
    <s v="RIMAC SEGUROS  Y REASEGUROS S.A"/>
  </r>
  <r>
    <d v="2019-11-09T00:00:00"/>
    <s v="005-00000134"/>
    <n v="217.12082612457999"/>
    <n v="0"/>
    <n v="0"/>
    <n v="0"/>
    <n v="0"/>
    <n v="0"/>
    <n v="0"/>
    <n v="0"/>
    <n v="0"/>
    <n v="217.12082612457999"/>
    <n v="1"/>
    <x v="0"/>
    <s v="LEVE"/>
    <x v="1"/>
    <x v="0"/>
    <n v="5"/>
    <n v="1"/>
    <d v="2019-11-04T00:00:00"/>
    <s v="BKX624"/>
    <s v="MAZDA"/>
    <s v="CX3"/>
    <s v="RENTAEQUIPOS LEASING PERU S.A."/>
  </r>
  <r>
    <d v="2019-11-11T00:00:00"/>
    <s v="005-00000110"/>
    <n v="796.33747625000001"/>
    <n v="0"/>
    <n v="0"/>
    <n v="0"/>
    <n v="0"/>
    <n v="60.300000000000004"/>
    <n v="175.875"/>
    <n v="0"/>
    <n v="236.17500000000001"/>
    <n v="560.16247625000005"/>
    <n v="0.70342347680011008"/>
    <x v="1"/>
    <s v="LEVE"/>
    <x v="1"/>
    <x v="0"/>
    <n v="14"/>
    <n v="1"/>
    <d v="2019-10-28T00:00:00"/>
    <s v="ANJ-035"/>
    <s v="RENAULT"/>
    <s v="LOGAN"/>
    <s v="RENTAEQUIPOS LEASING PERU S.A."/>
  </r>
  <r>
    <d v="2019-11-11T00:00:00"/>
    <s v="005-00000118"/>
    <n v="466.06698610000001"/>
    <n v="0"/>
    <n v="0"/>
    <n v="50.25"/>
    <n v="0"/>
    <n v="15.075000000000001"/>
    <n v="70.350000000000009"/>
    <n v="0"/>
    <n v="135.67500000000001"/>
    <n v="330.3919861"/>
    <n v="0.70889377697546385"/>
    <x v="1"/>
    <s v="LEVE"/>
    <x v="1"/>
    <x v="0"/>
    <n v="13"/>
    <n v="1"/>
    <d v="2019-10-29T00:00:00"/>
    <s v="ANE-312"/>
    <s v="RENAULT"/>
    <s v="LOGAN"/>
    <s v="RIMAC SEGUROS  Y REASEGUROS S.A"/>
  </r>
  <r>
    <d v="2019-11-11T00:00:00"/>
    <s v="005-00000115"/>
    <n v="423.33033338657947"/>
    <n v="0"/>
    <n v="0"/>
    <n v="15.075000000000001"/>
    <n v="0"/>
    <n v="30.150000000000002"/>
    <n v="70.350000000000009"/>
    <n v="0"/>
    <n v="115.57500000000002"/>
    <n v="307.75533338657942"/>
    <n v="0.72698625426763708"/>
    <x v="1"/>
    <s v="LEVE"/>
    <x v="1"/>
    <x v="0"/>
    <n v="13"/>
    <n v="1"/>
    <d v="2019-10-29T00:00:00"/>
    <s v="AWV-260"/>
    <s v="MAZDA"/>
    <s v="CX9"/>
    <s v="RENTAEQUIPOS LEASING PERU S.A."/>
  </r>
  <r>
    <d v="2019-11-11T00:00:00"/>
    <s v="005-00000116"/>
    <n v="3727.7117549545787"/>
    <n v="0"/>
    <n v="0"/>
    <n v="0"/>
    <n v="0"/>
    <n v="180.9"/>
    <n v="756.26250000000005"/>
    <n v="0"/>
    <n v="937.16250000000002"/>
    <n v="2790.5492549545788"/>
    <n v="0.74859577091646157"/>
    <x v="0"/>
    <s v="LEVE"/>
    <x v="1"/>
    <x v="0"/>
    <n v="13"/>
    <n v="1"/>
    <d v="2019-10-29T00:00:00"/>
    <s v="ATF-409"/>
    <s v="BWM"/>
    <s v="520I"/>
    <s v="RENTAEQUIPOS LEASING PERU S.A."/>
  </r>
  <r>
    <d v="2019-11-12T00:00:00"/>
    <s v="005-00000160"/>
    <n v="520"/>
    <n v="259.91320001999998"/>
    <n v="0"/>
    <n v="20.34"/>
    <n v="40.250250000000001"/>
    <n v="0"/>
    <n v="0"/>
    <n v="0"/>
    <n v="320.50345001999995"/>
    <n v="199.49654998000005"/>
    <n v="0.38364721150000008"/>
    <x v="0"/>
    <s v="MECANICA"/>
    <x v="1"/>
    <x v="0"/>
    <n v="5"/>
    <n v="1"/>
    <d v="2019-11-07T00:00:00"/>
    <s v="AHQ-605"/>
    <s v="FORD"/>
    <s v="EXPLORER"/>
    <s v="MASEDI CONTRATISTAS GENERALES SAC"/>
  </r>
  <r>
    <d v="2019-11-12T00:00:00"/>
    <s v="005-00000173"/>
    <n v="350"/>
    <n v="0"/>
    <n v="0"/>
    <n v="0"/>
    <n v="15.075000000000001"/>
    <n v="0"/>
    <n v="0"/>
    <n v="0"/>
    <n v="15.075000000000001"/>
    <n v="334.92500000000001"/>
    <n v="0.95692857142857146"/>
    <x v="2"/>
    <s v="MEDIANO"/>
    <x v="1"/>
    <x v="0"/>
    <n v="0"/>
    <n v="1"/>
    <d v="2019-11-12T00:00:00"/>
    <s v="APB-579"/>
    <s v="HYUNDAI"/>
    <s v="ACCENT"/>
    <s v="EDPYME ACCESO CREDITICIO SOCIEDAD ANONIMA"/>
  </r>
  <r>
    <d v="2019-11-12T00:00:00"/>
    <s v="005-00000048"/>
    <n v="10169.50841"/>
    <n v="2652.2064507200002"/>
    <n v="0"/>
    <n v="120"/>
    <n v="124.36875000000001"/>
    <n v="1055.25"/>
    <n v="1266.3"/>
    <n v="0"/>
    <n v="5218.1252007200001"/>
    <n v="4951.3832092800003"/>
    <n v="0.48688520719557576"/>
    <x v="2"/>
    <s v="GRAVE"/>
    <x v="1"/>
    <x v="0"/>
    <n v="27"/>
    <n v="1"/>
    <d v="2019-10-16T00:00:00"/>
    <s v="AKZ-422"/>
    <s v="HYUNDAY"/>
    <s v="ACCENT"/>
    <s v="EDPYME ACCESO CREDITICIO SOCIEDAD ANONIMA"/>
  </r>
  <r>
    <d v="2019-11-12T00:00:00"/>
    <s v="005-00000162"/>
    <n v="315"/>
    <n v="97.930245999999997"/>
    <n v="0"/>
    <n v="0"/>
    <n v="45.225000000000001"/>
    <n v="0"/>
    <n v="0"/>
    <n v="0"/>
    <n v="143.15524600000001"/>
    <n v="171.84475399999999"/>
    <n v="0.54553890158730156"/>
    <x v="2"/>
    <s v="MEDIANO"/>
    <x v="1"/>
    <x v="0"/>
    <n v="4"/>
    <n v="1"/>
    <d v="2019-11-08T00:00:00"/>
    <s v="F0S-053"/>
    <s v="NISSAN"/>
    <s v="SENTRA"/>
    <s v="EDPYME ACCESO CREDITICIO SOCIEDAD ANONIMA"/>
  </r>
  <r>
    <d v="2019-11-12T00:00:00"/>
    <s v="005-00000113"/>
    <n v="2488.533236415421"/>
    <n v="0"/>
    <n v="0"/>
    <n v="99.825000000000003"/>
    <n v="0"/>
    <n v="271.35000000000002"/>
    <n v="369.33750000000003"/>
    <n v="0"/>
    <n v="740.51250000000005"/>
    <n v="1748.020736415421"/>
    <n v="0.70243013468180049"/>
    <x v="1"/>
    <s v="GRAVE"/>
    <x v="1"/>
    <x v="0"/>
    <n v="14"/>
    <n v="1"/>
    <d v="2019-10-29T00:00:00"/>
    <s v="BEJ-174"/>
    <s v="WOLKWAGEN"/>
    <s v="GOL"/>
    <s v="RIMAC SEGUROS  Y REASEGUROS S.A"/>
  </r>
  <r>
    <d v="2019-11-12T00:00:00"/>
    <s v="005-00000130"/>
    <n v="299.39600890000003"/>
    <n v="0"/>
    <n v="0"/>
    <n v="0"/>
    <n v="0"/>
    <n v="22.612500000000001"/>
    <n v="70.350000000000009"/>
    <n v="0"/>
    <n v="92.962500000000006"/>
    <n v="206.43350890000002"/>
    <n v="0.68949986894765181"/>
    <x v="2"/>
    <s v="LEVE"/>
    <x v="1"/>
    <x v="0"/>
    <n v="8"/>
    <n v="1"/>
    <d v="2019-11-04T00:00:00"/>
    <s v="C4W-101"/>
    <s v="CHEVROLET"/>
    <s v="CRUZE"/>
    <s v="RIMAC SEGUROS  Y REASEGUROS S.A"/>
  </r>
  <r>
    <d v="2019-11-12T00:00:00"/>
    <s v="005-00000155"/>
    <n v="299.39600890000003"/>
    <n v="0"/>
    <n v="0"/>
    <n v="0"/>
    <n v="0"/>
    <n v="22.612500000000001"/>
    <n v="70.350000000000009"/>
    <n v="0"/>
    <n v="92.962500000000006"/>
    <n v="206.43350890000002"/>
    <n v="0.68949986894765181"/>
    <x v="2"/>
    <s v="LEVE"/>
    <x v="1"/>
    <x v="0"/>
    <n v="6"/>
    <n v="1"/>
    <d v="2019-11-06T00:00:00"/>
    <s v="C4W-101"/>
    <s v="CHEVROLET"/>
    <s v="CRUZE"/>
    <s v="RIMAC SEGUROS  Y REASEGUROS S.A"/>
  </r>
  <r>
    <d v="2019-11-13T00:00:00"/>
    <s v="005-00000164"/>
    <n v="725"/>
    <n v="451.82970020000005"/>
    <n v="0"/>
    <n v="0"/>
    <n v="45.225000000000001"/>
    <n v="0"/>
    <n v="0"/>
    <n v="0"/>
    <n v="497.05470020000007"/>
    <n v="227.94529979999993"/>
    <n v="0.31440731006896544"/>
    <x v="2"/>
    <s v="MEDIANO"/>
    <x v="1"/>
    <x v="0"/>
    <n v="5"/>
    <n v="1"/>
    <d v="2019-11-08T00:00:00"/>
    <s v="F1P-230"/>
    <s v="CHEVROLET"/>
    <s v="SAIL"/>
    <s v="EDPYME ACCESO CREDITICIO SOCIEDAD ANONIMA"/>
  </r>
  <r>
    <d v="2019-11-13T00:00:00"/>
    <s v="005-00000159"/>
    <n v="427.06398734999999"/>
    <n v="0"/>
    <n v="0"/>
    <n v="0"/>
    <n v="0"/>
    <n v="30.150000000000002"/>
    <n v="70.350000000000009"/>
    <n v="0"/>
    <n v="100.50000000000001"/>
    <n v="326.56398734999999"/>
    <n v="0.76467226697428059"/>
    <x v="1"/>
    <s v="LEVE"/>
    <x v="1"/>
    <x v="0"/>
    <n v="6"/>
    <n v="1"/>
    <d v="2019-11-07T00:00:00"/>
    <s v="AXA-172"/>
    <s v="CHEVROLET"/>
    <s v="TRAVERSE"/>
    <s v="RENTAEQUIPOS LEASING PERU S.A."/>
  </r>
  <r>
    <d v="2019-11-13T00:00:00"/>
    <s v="005-00000137"/>
    <n v="501.33598514999989"/>
    <n v="0"/>
    <n v="0"/>
    <n v="0"/>
    <n v="0"/>
    <n v="30.150000000000002"/>
    <n v="70.350000000000009"/>
    <n v="0"/>
    <n v="100.50000000000001"/>
    <n v="400.83598514999989"/>
    <n v="0.79953563482994272"/>
    <x v="1"/>
    <s v="LEVE"/>
    <x v="1"/>
    <x v="0"/>
    <n v="9"/>
    <n v="1"/>
    <d v="2019-11-04T00:00:00"/>
    <s v="AXA-172"/>
    <s v="CHEVROLET"/>
    <s v="TRAVERSE"/>
    <s v="RENTAEQUIPOS LEASING PERU S.A."/>
  </r>
  <r>
    <d v="2019-11-14T00:00:00"/>
    <s v="005-00000140"/>
    <n v="1109.184"/>
    <n v="0"/>
    <n v="0"/>
    <n v="0"/>
    <n v="0"/>
    <n v="0"/>
    <n v="0"/>
    <n v="0"/>
    <n v="0"/>
    <n v="1109.184"/>
    <n v="1"/>
    <x v="1"/>
    <s v="LEVE"/>
    <x v="1"/>
    <x v="0"/>
    <n v="9"/>
    <n v="1"/>
    <d v="2019-11-05T00:00:00"/>
    <s v="B2F354"/>
    <s v="VOLKWAGEN"/>
    <s v="TIGUAN"/>
    <s v="ALVARO MARQUEZ VERTIZ"/>
  </r>
  <r>
    <d v="2019-11-14T00:00:00"/>
    <s v="005-00000052"/>
    <n v="9874.7542099999991"/>
    <n v="3422.1936281999997"/>
    <n v="402.54"/>
    <n v="343.93"/>
    <n v="194.76900000000001"/>
    <n v="422.1"/>
    <n v="1160.7750000000001"/>
    <n v="0"/>
    <n v="5946.3076282000002"/>
    <n v="3928.446581799999"/>
    <n v="0.39782727734344281"/>
    <x v="2"/>
    <s v="GRAVE"/>
    <x v="1"/>
    <x v="0"/>
    <n v="29"/>
    <n v="1"/>
    <d v="2019-10-16T00:00:00"/>
    <s v="F5O-086"/>
    <s v="NISSAN"/>
    <s v="TIIDA"/>
    <s v="EDPYME ACCESO CREDITICIO SOCIEDAD ANONIMA"/>
  </r>
  <r>
    <d v="2019-11-14T00:00:00"/>
    <s v="005-00000051"/>
    <n v="7838.7542100000001"/>
    <n v="1181.2768385200002"/>
    <n v="55.08"/>
    <n v="397.27288135593216"/>
    <n v="169.59375"/>
    <n v="648.22500000000002"/>
    <n v="1195.95"/>
    <n v="0"/>
    <n v="3647.3984698759323"/>
    <n v="4191.3557401240678"/>
    <n v="0.53469666580144859"/>
    <x v="2"/>
    <s v="GRAVE"/>
    <x v="1"/>
    <x v="0"/>
    <n v="29"/>
    <n v="1"/>
    <d v="2019-10-16T00:00:00"/>
    <s v="ANZ-637"/>
    <s v="CHEVROLET"/>
    <s v="SAIL"/>
    <s v="EDPYME ACCESO CREDITICIO SOCIEDAD ANONIMA"/>
  </r>
  <r>
    <d v="2019-11-14T00:00:00"/>
    <s v="005-00000163"/>
    <n v="1893"/>
    <n v="127.11859799999998"/>
    <n v="372.2"/>
    <n v="38.130000000000003"/>
    <n v="15.075000000000001"/>
    <n v="45.225000000000001"/>
    <n v="0"/>
    <n v="0"/>
    <n v="597.74859800000002"/>
    <n v="1295.2514019999999"/>
    <n v="0.68423211938721595"/>
    <x v="2"/>
    <s v="LEVE"/>
    <x v="1"/>
    <x v="0"/>
    <n v="6"/>
    <n v="1"/>
    <d v="2019-11-08T00:00:00"/>
    <s v="F2I-424"/>
    <s v="BYD"/>
    <s v="F3"/>
    <s v="EDPYME ACCESO CREDITICIO SOCIEDAD ANONIMA"/>
  </r>
  <r>
    <d v="2019-11-14T00:00:00"/>
    <s v="005-00000151"/>
    <n v="9795.7542099999991"/>
    <n v="2058.18480142"/>
    <n v="320"/>
    <n v="663.22000000000014"/>
    <n v="335.41874999999999"/>
    <n v="512.55000000000007"/>
    <n v="1266.3"/>
    <n v="0"/>
    <n v="5155.67355142"/>
    <n v="4640.0806585799992"/>
    <n v="0.47368283841209197"/>
    <x v="2"/>
    <s v="GRAVE"/>
    <x v="1"/>
    <x v="0"/>
    <n v="8"/>
    <n v="1"/>
    <d v="2019-11-06T00:00:00"/>
    <s v="AMD-392"/>
    <s v="HYUNDAI"/>
    <s v="ACCENT"/>
    <s v="EDPYME ACCESO CREDITICIO SOCIEDAD ANONIMA"/>
  </r>
  <r>
    <d v="2019-11-14T00:00:00"/>
    <s v="005-00000047"/>
    <n v="9086.7542099999991"/>
    <n v="2303.6169537200003"/>
    <n v="563.56474576271182"/>
    <n v="234.37"/>
    <n v="199.74375000000001"/>
    <n v="482.40000000000003"/>
    <n v="1266.3"/>
    <n v="0"/>
    <n v="5049.9954494827125"/>
    <n v="4036.7587605172866"/>
    <n v="0.44424650070041755"/>
    <x v="2"/>
    <s v="GRAVE"/>
    <x v="1"/>
    <x v="0"/>
    <n v="29"/>
    <n v="1"/>
    <d v="2019-10-16T00:00:00"/>
    <s v="AXC-049"/>
    <s v="KIA"/>
    <s v="RIO"/>
    <s v="EDPYME ACCESO CREDITICIO SOCIEDAD ANONIMA"/>
  </r>
  <r>
    <d v="2019-11-14T00:00:00"/>
    <s v="005-00000141"/>
    <n v="1093.9199999999998"/>
    <n v="0"/>
    <n v="0"/>
    <n v="0"/>
    <n v="0"/>
    <n v="75.375"/>
    <n v="140.70000000000002"/>
    <n v="0"/>
    <n v="216.07500000000002"/>
    <n v="877.8449999999998"/>
    <n v="0.80247641509433953"/>
    <x v="1"/>
    <s v="LEVE"/>
    <x v="1"/>
    <x v="0"/>
    <n v="9"/>
    <n v="1"/>
    <d v="2019-11-05T00:00:00"/>
    <s v="AJV-347"/>
    <s v="MERCEDEZ EBNZ"/>
    <s v="E500"/>
    <s v="LUIS ALEJANDRO ARRIARAN SIERRALTA"/>
  </r>
  <r>
    <d v="2019-11-14T00:00:00"/>
    <s v="005-00000144"/>
    <n v="1163.4559999999999"/>
    <n v="0"/>
    <n v="0"/>
    <n v="0"/>
    <n v="0"/>
    <n v="165.82500000000002"/>
    <n v="140.70000000000002"/>
    <n v="0"/>
    <n v="306.52500000000003"/>
    <n v="856.93099999999981"/>
    <n v="0.73653924170746454"/>
    <x v="1"/>
    <s v="MEDIANO"/>
    <x v="1"/>
    <x v="0"/>
    <n v="9"/>
    <n v="1"/>
    <d v="2019-11-05T00:00:00"/>
    <s v="AXC-070"/>
    <s v="NISSAN"/>
    <s v="KICKS"/>
    <s v="FERNANDO ANTONIO MOLINA SHULLCA"/>
  </r>
  <r>
    <d v="2019-11-14T00:00:00"/>
    <s v="005-00000161"/>
    <n v="339.22882860800001"/>
    <n v="0"/>
    <n v="0"/>
    <n v="0"/>
    <n v="0"/>
    <n v="30.150000000000002"/>
    <n v="70.350000000000009"/>
    <n v="0"/>
    <n v="100.50000000000001"/>
    <n v="238.72882860800001"/>
    <n v="0.70373980179575479"/>
    <x v="0"/>
    <s v="LEVE"/>
    <x v="1"/>
    <x v="0"/>
    <n v="7"/>
    <n v="1"/>
    <d v="2019-11-07T00:00:00"/>
    <s v="AXC-070"/>
    <s v="NISSAN"/>
    <s v="KICKS"/>
    <s v="FERNANDO ANTONIO MOLINA SHULLCA"/>
  </r>
  <r>
    <d v="2019-11-14T00:00:00"/>
    <s v="005-00000150"/>
    <n v="654.65599999999995"/>
    <n v="0"/>
    <n v="0"/>
    <n v="0"/>
    <n v="0"/>
    <n v="45.225000000000001"/>
    <n v="140.70000000000002"/>
    <n v="0"/>
    <n v="185.92500000000001"/>
    <n v="468.73099999999994"/>
    <n v="0.71599588180662821"/>
    <x v="1"/>
    <s v="LEVE"/>
    <x v="1"/>
    <x v="0"/>
    <n v="8"/>
    <n v="1"/>
    <d v="2019-11-06T00:00:00"/>
    <s v="B8U-602"/>
    <s v="SUBARU"/>
    <s v="FORESTER"/>
    <s v="RIMAC SEGUROS  Y REASEGUROS S.A"/>
  </r>
  <r>
    <d v="2019-11-14T00:00:00"/>
    <s v="005-00000132"/>
    <n v="1763.84"/>
    <n v="0"/>
    <n v="0"/>
    <n v="86.27"/>
    <n v="0"/>
    <n v="75.375"/>
    <n v="351.75"/>
    <n v="0"/>
    <n v="513.39499999999998"/>
    <n v="1250.4449999999999"/>
    <n v="0.70893334996371549"/>
    <x v="1"/>
    <s v="LEVE"/>
    <x v="1"/>
    <x v="0"/>
    <n v="10"/>
    <n v="1"/>
    <d v="2019-11-04T00:00:00"/>
    <s v="AWQ-505"/>
    <s v="NISSAN"/>
    <s v="SENTRA"/>
    <s v="RIMAC SEGUROS  Y REASEGUROS S.A"/>
  </r>
  <r>
    <d v="2019-11-15T00:00:00"/>
    <s v="005-00000156"/>
    <n v="1261.4520000000002"/>
    <n v="0"/>
    <n v="0"/>
    <n v="0"/>
    <n v="0"/>
    <n v="120.60000000000001"/>
    <n v="211.05"/>
    <n v="0"/>
    <n v="331.65000000000003"/>
    <n v="929.80200000000013"/>
    <n v="0.73708868827351337"/>
    <x v="1"/>
    <s v="LEVE"/>
    <x v="1"/>
    <x v="0"/>
    <n v="8"/>
    <n v="1"/>
    <d v="2019-11-07T00:00:00"/>
    <s v="BKQ-223"/>
    <s v="TOYOTA"/>
    <s v="ETIOS"/>
    <s v="ECOLAB PERU HOLDINGS S.R.L."/>
  </r>
  <r>
    <d v="2019-11-15T00:00:00"/>
    <s v="005-00000153"/>
    <n v="1770.1019999999999"/>
    <n v="0"/>
    <n v="0"/>
    <n v="0"/>
    <n v="0"/>
    <n v="180.9"/>
    <n v="211.05"/>
    <n v="0"/>
    <n v="391.95000000000005"/>
    <n v="1378.1519999999998"/>
    <n v="0.77857208228678343"/>
    <x v="1"/>
    <s v="MEDIANO"/>
    <x v="1"/>
    <x v="0"/>
    <n v="9"/>
    <n v="1"/>
    <d v="2019-11-06T00:00:00"/>
    <s v="AXN-474"/>
    <s v="NISSAN"/>
    <s v="VERSA"/>
    <s v="RIMAC SEGUROS  Y REASEGUROS S.A"/>
  </r>
  <r>
    <d v="2019-11-15T00:00:00"/>
    <s v="005-00000123"/>
    <n v="2491.5515261099999"/>
    <n v="46.610001000000004"/>
    <n v="0"/>
    <n v="0"/>
    <n v="0"/>
    <n v="211.05"/>
    <n v="281.40000000000003"/>
    <n v="0"/>
    <n v="539.06000100000006"/>
    <n v="1952.4915251099999"/>
    <n v="0.78364485126999495"/>
    <x v="1"/>
    <s v="MEDIANO"/>
    <x v="1"/>
    <x v="0"/>
    <n v="15"/>
    <n v="1"/>
    <d v="2019-10-31T00:00:00"/>
    <s v="AXX-712"/>
    <s v="CHEVROLET"/>
    <s v="N300"/>
    <s v="RIMAC SEGUROS  Y REASEGUROS S.A"/>
  </r>
  <r>
    <d v="2019-11-16T00:00:00"/>
    <s v="005-00000125"/>
    <n v="1494.2389556999997"/>
    <n v="0"/>
    <n v="0"/>
    <n v="0"/>
    <n v="0"/>
    <n v="241.20000000000002"/>
    <n v="140.70000000000002"/>
    <n v="0"/>
    <n v="381.90000000000003"/>
    <n v="1112.3389556999996"/>
    <n v="0.74441838867660026"/>
    <x v="1"/>
    <s v="GRAVE"/>
    <x v="1"/>
    <x v="0"/>
    <n v="14"/>
    <n v="1"/>
    <d v="2019-11-02T00:00:00"/>
    <s v="AKY-655"/>
    <s v="HONDA"/>
    <s v="CRV"/>
    <s v="RIMAC SEGUROS  Y REASEGUROS S.A"/>
  </r>
  <r>
    <d v="2019-11-16T00:00:00"/>
    <s v="005-00000128"/>
    <n v="1293.3740795250806"/>
    <n v="0"/>
    <n v="0"/>
    <n v="0"/>
    <n v="0"/>
    <n v="45.225000000000001"/>
    <n v="246.22499999999999"/>
    <n v="0"/>
    <n v="291.45"/>
    <n v="1001.9240795250805"/>
    <n v="0.7746591611708975"/>
    <x v="1"/>
    <s v="LEVE"/>
    <x v="1"/>
    <x v="0"/>
    <n v="12"/>
    <n v="1"/>
    <d v="2019-11-04T00:00:00"/>
    <s v="AXV-440"/>
    <s v="MAZDA"/>
    <s v="CX5"/>
    <s v="RIMAC SEGUROS  Y REASEGUROS S.A"/>
  </r>
  <r>
    <d v="2019-11-18T00:00:00"/>
    <s v="005-00000139"/>
    <n v="752.1789776999999"/>
    <n v="0"/>
    <n v="0"/>
    <n v="0"/>
    <n v="0"/>
    <n v="60.300000000000004"/>
    <n v="140.70000000000002"/>
    <n v="0"/>
    <n v="201.00000000000003"/>
    <n v="551.1789776999999"/>
    <n v="0.73277636578648553"/>
    <x v="1"/>
    <s v="LEVE"/>
    <x v="1"/>
    <x v="0"/>
    <n v="13"/>
    <n v="1"/>
    <d v="2019-11-05T00:00:00"/>
    <s v="ATT-292"/>
    <s v="CHEVROLET"/>
    <s v="CRUZE"/>
    <s v="RIMAC SEGUROS  Y REASEGUROS S.A"/>
  </r>
  <r>
    <d v="2019-11-18T00:00:00"/>
    <s v="005-00000135"/>
    <n v="1106.3439672"/>
    <n v="0"/>
    <n v="0"/>
    <n v="0"/>
    <n v="0"/>
    <n v="75.375"/>
    <n v="140.70000000000002"/>
    <n v="0"/>
    <n v="216.07500000000002"/>
    <n v="890.26896719999991"/>
    <n v="0.80469455575660132"/>
    <x v="1"/>
    <s v="LEVE"/>
    <x v="1"/>
    <x v="0"/>
    <n v="14"/>
    <n v="1"/>
    <d v="2019-11-04T00:00:00"/>
    <s v="ATF-661"/>
    <s v="HONDA"/>
    <s v="PILOT"/>
    <s v="RIMAC SEGUROS  Y REASEGUROS S.A"/>
  </r>
  <r>
    <d v="2019-11-18T00:00:00"/>
    <s v="005-00000126"/>
    <n v="1038.8839691999999"/>
    <n v="0"/>
    <n v="0"/>
    <n v="0"/>
    <n v="0"/>
    <n v="135.67500000000001"/>
    <n v="140.70000000000002"/>
    <n v="0"/>
    <n v="276.375"/>
    <n v="762.50896919999991"/>
    <n v="0.73396932843922447"/>
    <x v="1"/>
    <s v="MEDIANO"/>
    <x v="1"/>
    <x v="0"/>
    <n v="16"/>
    <n v="1"/>
    <d v="2019-11-02T00:00:00"/>
    <s v="ATF-661"/>
    <s v="HONDA"/>
    <s v="PILOT"/>
    <s v="RIMAC SEGUROS  Y REASEGUROS S.A"/>
  </r>
  <r>
    <d v="2019-11-19T00:00:00"/>
    <s v="005-00000099"/>
    <n v="1507.2839999999999"/>
    <n v="0"/>
    <n v="0"/>
    <n v="0"/>
    <n v="0"/>
    <n v="120.60000000000001"/>
    <n v="211.05"/>
    <n v="0"/>
    <n v="331.65000000000003"/>
    <n v="1175.6339999999998"/>
    <n v="0.77996847309465234"/>
    <x v="1"/>
    <s v="MEDIANO"/>
    <x v="1"/>
    <x v="0"/>
    <n v="24"/>
    <n v="1"/>
    <d v="2019-10-26T00:00:00"/>
    <s v="BLO-680"/>
    <s v="TOYOTA"/>
    <s v="RUSH"/>
    <s v="RIMAC SEGUROS  Y REASEGUROS S.A"/>
  </r>
  <r>
    <d v="2019-11-20T00:00:00"/>
    <s v="005-00000145"/>
    <n v="1849.21"/>
    <n v="0"/>
    <n v="0"/>
    <n v="0"/>
    <n v="0"/>
    <n v="135.67500000000001"/>
    <n v="140.70000000000002"/>
    <n v="0"/>
    <n v="276.375"/>
    <n v="1572.835"/>
    <n v="0.85054428647909108"/>
    <x v="3"/>
    <s v="LEVE"/>
    <x v="1"/>
    <x v="0"/>
    <n v="15"/>
    <n v="1"/>
    <d v="2019-11-05T00:00:00"/>
    <s v="BCP-022"/>
    <s v="HONDA"/>
    <s v="CRV"/>
    <s v="INTEROC SOCIEDAD ANONIMA"/>
  </r>
  <r>
    <d v="2019-11-20T00:00:00"/>
    <s v="005-00000148"/>
    <n v="1557.8099501999998"/>
    <n v="0"/>
    <n v="0"/>
    <n v="10"/>
    <n v="40.250250000000001"/>
    <n v="75.375"/>
    <n v="298.98750000000001"/>
    <n v="0"/>
    <n v="424.61275000000001"/>
    <n v="1133.1972001999998"/>
    <n v="0.72742968425289234"/>
    <x v="1"/>
    <s v="LEVE"/>
    <x v="1"/>
    <x v="0"/>
    <n v="14"/>
    <n v="1"/>
    <d v="2019-11-06T00:00:00"/>
    <s v="APU-227"/>
    <s v="HYUNDAI"/>
    <s v="I20"/>
    <s v="RIMAC SEGUROS  Y REASEGUROS S.A"/>
  </r>
  <r>
    <d v="2019-11-20T00:00:00"/>
    <s v="005-00000169"/>
    <n v="1326.2114501999999"/>
    <n v="5.4759001999999999"/>
    <n v="0"/>
    <n v="84.75"/>
    <n v="0"/>
    <n v="90.45"/>
    <n v="193.46250000000001"/>
    <n v="0"/>
    <n v="374.13840019999998"/>
    <n v="952.07304999999997"/>
    <n v="0.7178893304355215"/>
    <x v="1"/>
    <s v="LEVE"/>
    <x v="1"/>
    <x v="0"/>
    <n v="9"/>
    <n v="1"/>
    <d v="2019-11-11T00:00:00"/>
    <s v="BBE-558"/>
    <s v="NISSAN"/>
    <s v="VERSA"/>
    <s v="RIMAC SEGUROS  Y REASEGUROS S.A"/>
  </r>
  <r>
    <d v="2019-11-20T00:00:00"/>
    <s v="005-00000072"/>
    <n v="3041.2094999999999"/>
    <n v="0"/>
    <n v="0"/>
    <n v="0"/>
    <n v="0"/>
    <n v="422.1"/>
    <n v="386.92500000000001"/>
    <n v="0"/>
    <n v="809.02500000000009"/>
    <n v="2232.1844999999998"/>
    <n v="0.73397919479075668"/>
    <x v="1"/>
    <s v="GRAVE"/>
    <x v="1"/>
    <x v="0"/>
    <n v="29"/>
    <n v="1"/>
    <d v="2019-10-22T00:00:00"/>
    <s v="AXJ-309"/>
    <s v="NISSAN"/>
    <s v="VERSA"/>
    <s v="RIMAC SEGUROS  Y REASEGUROS S.A"/>
  </r>
  <r>
    <d v="2019-11-20T00:00:00"/>
    <s v="005-00000171"/>
    <n v="804.67799999999988"/>
    <n v="0"/>
    <n v="0"/>
    <n v="0"/>
    <n v="0"/>
    <n v="45.225000000000001"/>
    <n v="140.70000000000002"/>
    <n v="0"/>
    <n v="185.92500000000001"/>
    <n v="618.75299999999993"/>
    <n v="0.76894484501875282"/>
    <x v="1"/>
    <s v="LEVE"/>
    <x v="1"/>
    <x v="0"/>
    <n v="9"/>
    <n v="1"/>
    <d v="2019-11-11T00:00:00"/>
    <s v="C3K-443"/>
    <s v="KIA"/>
    <s v="RIO"/>
    <s v="RIMAC SEGUROS  Y REASEGUROS S.A"/>
  </r>
  <r>
    <d v="2019-11-21T00:00:00"/>
    <s v="005-00000082"/>
    <n v="508.05001499999997"/>
    <n v="0"/>
    <n v="0"/>
    <n v="0"/>
    <n v="0"/>
    <n v="0"/>
    <n v="0"/>
    <n v="0"/>
    <n v="0"/>
    <n v="508.05001499999997"/>
    <n v="1"/>
    <x v="1"/>
    <s v="LEVE"/>
    <x v="1"/>
    <x v="0"/>
    <n v="29"/>
    <n v="1"/>
    <d v="2019-10-23T00:00:00"/>
    <s v="BFC146"/>
    <s v="SUBARU"/>
    <s v="IMPREZA"/>
    <s v="RENTAEQUIPOS LEASING PERU S.A."/>
  </r>
  <r>
    <d v="2019-11-21T00:00:00"/>
    <s v="005-00000187"/>
    <n v="101.61000299999999"/>
    <n v="0"/>
    <n v="0"/>
    <n v="20"/>
    <n v="0"/>
    <n v="0"/>
    <n v="0"/>
    <n v="0"/>
    <n v="20"/>
    <n v="81.610002999999992"/>
    <n v="0.80316898524252578"/>
    <x v="0"/>
    <s v="MECANICA"/>
    <x v="1"/>
    <x v="0"/>
    <n v="0"/>
    <n v="1"/>
    <d v="2019-11-21T00:00:00"/>
    <s v="BFC146"/>
    <s v="SUBARU"/>
    <s v="IMPREZA"/>
    <s v="RENTAEQUIPOS LEASING PERU S.A."/>
  </r>
  <r>
    <d v="2019-11-22T00:00:00"/>
    <s v="005-00000059"/>
    <n v="468.13001385000007"/>
    <n v="0"/>
    <n v="0"/>
    <n v="0"/>
    <n v="452.25"/>
    <n v="15.075000000000001"/>
    <n v="70.350000000000009"/>
    <n v="0"/>
    <n v="537.67499999999995"/>
    <n v="-69.544986149999886"/>
    <n v="-0.14855912693579981"/>
    <x v="1"/>
    <s v="LEVE"/>
    <x v="1"/>
    <x v="0"/>
    <n v="36"/>
    <n v="1"/>
    <d v="2019-10-17T00:00:00"/>
    <s v="F5C-188"/>
    <s v="AUDI"/>
    <s v="Q5"/>
    <s v="RIMAC SEGUROS  Y REASEGUROS S.A"/>
  </r>
  <r>
    <d v="2019-11-22T00:00:00"/>
    <s v="005-00000189"/>
    <n v="2124"/>
    <n v="771.18348900000001"/>
    <n v="59.32"/>
    <n v="73.900000000000006"/>
    <n v="0"/>
    <n v="0"/>
    <n v="0"/>
    <n v="0"/>
    <n v="904.40348900000004"/>
    <n v="1219.596511"/>
    <n v="0.5741979806967985"/>
    <x v="2"/>
    <s v="MEDIANO"/>
    <x v="1"/>
    <x v="0"/>
    <n v="1"/>
    <n v="1"/>
    <d v="2019-11-21T00:00:00"/>
    <s v="F2I-424"/>
    <s v="BYD"/>
    <s v="F3"/>
    <s v="EDPYME ACCESO CREDITICIO SOCIEDAD ANONIMA"/>
  </r>
  <r>
    <d v="2019-11-23T00:00:00"/>
    <s v="005-00000105"/>
    <n v="9457.2542099999991"/>
    <n v="3893.9877475399994"/>
    <n v="359.24"/>
    <n v="258.67203389830507"/>
    <n v="0"/>
    <n v="391.95"/>
    <n v="1090.425"/>
    <n v="0"/>
    <n v="5994.2747814383047"/>
    <n v="3462.9794285616945"/>
    <n v="0.36617176102763288"/>
    <x v="2"/>
    <s v="GRAVE"/>
    <x v="1"/>
    <x v="0"/>
    <n v="26"/>
    <n v="1"/>
    <d v="2019-10-28T00:00:00"/>
    <s v="AZF-323"/>
    <s v="KIA"/>
    <s v="RIO"/>
    <s v="EDPYME ACCESO CREDITICIO SOCIEDAD ANONIMA"/>
  </r>
  <r>
    <d v="2019-11-23T00:00:00"/>
    <s v="005-00000165"/>
    <n v="9220.7542099999991"/>
    <n v="2743.3440540599991"/>
    <n v="256.38"/>
    <n v="268.46999999999997"/>
    <n v="380.64375000000001"/>
    <n v="422.1"/>
    <n v="1055.25"/>
    <n v="0"/>
    <n v="5126.1878040599986"/>
    <n v="4094.5664059400005"/>
    <n v="0.44405981470576483"/>
    <x v="2"/>
    <s v="GRAVE"/>
    <x v="1"/>
    <x v="0"/>
    <n v="15"/>
    <n v="1"/>
    <d v="2019-11-08T00:00:00"/>
    <s v="AZQ-053"/>
    <s v="CHEVROLET"/>
    <s v="SAIL"/>
    <s v="EDPYME ACCESO CREDITICIO SOCIEDAD ANONIMA"/>
  </r>
  <r>
    <d v="2019-11-25T00:00:00"/>
    <s v="005-00000181"/>
    <n v="321.57499999999993"/>
    <n v="0"/>
    <n v="0"/>
    <n v="76.27"/>
    <n v="0"/>
    <n v="0"/>
    <n v="0"/>
    <n v="0"/>
    <n v="76.27"/>
    <n v="245.30499999999995"/>
    <n v="0.76282360258104642"/>
    <x v="1"/>
    <s v="LEVE"/>
    <x v="1"/>
    <x v="0"/>
    <n v="6"/>
    <n v="1"/>
    <d v="2019-11-19T00:00:00"/>
    <s v="AYQ-451"/>
    <s v="NISSAN"/>
    <s v="SENTRA"/>
    <s v="RIMAC SEGUROS  Y REASEGUROS S.A"/>
  </r>
  <r>
    <d v="2019-11-25T00:00:00"/>
    <s v="005-00000107"/>
    <n v="9660.7542099999991"/>
    <n v="2156.2085459200002"/>
    <n v="262.72000000000003"/>
    <n v="466.63"/>
    <n v="425.86875000000003"/>
    <n v="271.35000000000002"/>
    <n v="1125.6000000000001"/>
    <n v="0"/>
    <n v="4708.3772959200005"/>
    <n v="4952.3769140799986"/>
    <n v="0.51262839385290593"/>
    <x v="2"/>
    <s v="GRAVE"/>
    <x v="1"/>
    <x v="0"/>
    <n v="28"/>
    <n v="1"/>
    <d v="2019-10-28T00:00:00"/>
    <s v="AHV-171"/>
    <s v="KIA"/>
    <s v="RIO"/>
    <s v="EDPYME ACCESO CREDITICIO SOCIEDAD ANONIMA"/>
  </r>
  <r>
    <d v="2019-11-26T00:00:00"/>
    <s v="005-00000117"/>
    <n v="1380.9989922"/>
    <n v="0"/>
    <n v="0"/>
    <n v="0"/>
    <n v="0"/>
    <n v="60.300000000000004"/>
    <n v="193.46250000000001"/>
    <n v="0"/>
    <n v="253.76250000000002"/>
    <n v="1127.2364921999999"/>
    <n v="0.81624715048072283"/>
    <x v="1"/>
    <s v="LEVE"/>
    <x v="1"/>
    <x v="0"/>
    <n v="28"/>
    <n v="1"/>
    <d v="2019-10-29T00:00:00"/>
    <s v="BFM-214"/>
    <s v="JEEP"/>
    <s v="CHEROKEE"/>
    <s v="RENTAEQUIPOS LEASING PERU S.A."/>
  </r>
  <r>
    <d v="2019-11-27T00:00:00"/>
    <s v="005-00000179"/>
    <n v="1406.4674999999997"/>
    <n v="0"/>
    <n v="0"/>
    <n v="0"/>
    <n v="0"/>
    <n v="60.300000000000004"/>
    <n v="298.98750000000001"/>
    <n v="0"/>
    <n v="359.28750000000002"/>
    <n v="1047.1799999999998"/>
    <n v="0.7445461768579793"/>
    <x v="1"/>
    <s v="LEVE"/>
    <x v="1"/>
    <x v="0"/>
    <n v="9"/>
    <n v="1"/>
    <d v="2019-11-18T00:00:00"/>
    <s v="ADY-124"/>
    <s v="NISSAN"/>
    <s v="X-TRAIL"/>
    <s v="ROBERTO CARLOS TORRES JULCA"/>
  </r>
  <r>
    <d v="2019-11-28T00:00:00"/>
    <s v="005-00000032"/>
    <n v="814.56002399999988"/>
    <n v="76.270048499999987"/>
    <n v="0"/>
    <n v="55.08"/>
    <n v="30.150000000000002"/>
    <n v="60.300000000000004"/>
    <n v="0"/>
    <n v="0"/>
    <n v="221.8000485"/>
    <n v="592.75997549999988"/>
    <n v="0.72770570373583665"/>
    <x v="1"/>
    <s v="LEVE"/>
    <x v="1"/>
    <x v="0"/>
    <n v="49"/>
    <n v="1"/>
    <d v="2019-10-10T00:00:00"/>
    <s v="AFS-362"/>
    <s v="MAZDA"/>
    <s v="MAZDA5"/>
    <s v="SERVICIOS HOTELEROS LIMA S.A.C."/>
  </r>
  <r>
    <d v="2019-11-29T00:00:00"/>
    <s v="005-00000192"/>
    <n v="2373.0000700000001"/>
    <n v="0"/>
    <n v="0"/>
    <n v="59.322033898305087"/>
    <n v="0"/>
    <n v="211.05"/>
    <n v="351.75"/>
    <n v="0"/>
    <n v="622.12203389830506"/>
    <n v="1750.878036101695"/>
    <n v="0.73783311607811919"/>
    <x v="1"/>
    <s v="MEDIANO"/>
    <x v="1"/>
    <x v="0"/>
    <n v="8"/>
    <n v="1"/>
    <d v="2019-11-21T00:00:00"/>
    <s v="BBQ-678"/>
    <s v="SUZUKI"/>
    <s v="SWIFT"/>
    <s v="DARDOS COMUNICACION VISUAL SAC"/>
  </r>
  <r>
    <d v="2019-11-29T00:00:00"/>
    <s v="005-00000166"/>
    <n v="11290.754209999999"/>
    <n v="2593.2663401100008"/>
    <n v="264.65999999999997"/>
    <n v="156.78"/>
    <n v="290.19375000000002"/>
    <n v="633.15"/>
    <n v="1266.3"/>
    <n v="0"/>
    <n v="5204.3500901100006"/>
    <n v="6086.4041198899986"/>
    <n v="0.53906089944809799"/>
    <x v="2"/>
    <s v="GRAVE"/>
    <x v="1"/>
    <x v="0"/>
    <n v="21"/>
    <n v="1"/>
    <d v="2019-11-08T00:00:00"/>
    <s v="ANB-605"/>
    <s v="HYUNDAI"/>
    <s v="ACCENT"/>
    <s v="AUTOCLASS S.A.C."/>
  </r>
  <r>
    <d v="2019-11-29T00:00:00"/>
    <s v="005-00000109"/>
    <n v="8205.2542099999991"/>
    <n v="2675.3039792599993"/>
    <n v="61.46"/>
    <n v="374.74203389830507"/>
    <n v="320.34375"/>
    <n v="271.35000000000002"/>
    <n v="949.72500000000002"/>
    <n v="0"/>
    <n v="4652.9247631583048"/>
    <n v="3552.3294468416943"/>
    <n v="0.43293350284167426"/>
    <x v="2"/>
    <s v="GRAVE"/>
    <x v="1"/>
    <x v="0"/>
    <n v="32"/>
    <n v="1"/>
    <d v="2019-10-28T00:00:00"/>
    <s v="F6Q-533"/>
    <s v="CHEVROLET"/>
    <s v="SAIL"/>
    <s v="AUTOCLASS S.A.C."/>
  </r>
  <r>
    <d v="2019-11-29T00:00:00"/>
    <s v="005-00000152"/>
    <n v="9800.7542099999991"/>
    <n v="2134.08030164"/>
    <n v="473.15"/>
    <n v="325.25"/>
    <n v="365.56875000000002"/>
    <n v="542.70000000000005"/>
    <n v="1266.3"/>
    <n v="0"/>
    <n v="5107.0490516400005"/>
    <n v="4693.7051583599987"/>
    <n v="0.47891264873991762"/>
    <x v="2"/>
    <s v="GRAVE"/>
    <x v="1"/>
    <x v="0"/>
    <n v="23"/>
    <n v="1"/>
    <d v="2019-11-06T00:00:00"/>
    <s v="AMZ619"/>
    <s v="CHEVROLET"/>
    <s v="SAIL"/>
    <s v="AUTOCLASS S.A.C."/>
  </r>
  <r>
    <d v="2019-11-29T00:00:00"/>
    <s v="005-00000036"/>
    <n v="6983.2279939949194"/>
    <n v="5608.7373900000002"/>
    <n v="0"/>
    <n v="86.27"/>
    <n v="0"/>
    <n v="0"/>
    <n v="0"/>
    <n v="0"/>
    <n v="5695.0073900000007"/>
    <n v="1288.2206039949187"/>
    <n v="0.18447351355314434"/>
    <x v="0"/>
    <s v="MECANICA"/>
    <x v="1"/>
    <x v="0"/>
    <n v="49"/>
    <n v="1"/>
    <d v="2019-10-11T00:00:00"/>
    <s v="BFW224"/>
    <s v="JEEP"/>
    <s v="CHEROKEE"/>
    <s v="RENTAEQUIPOS LEASING PERU S.A."/>
  </r>
  <r>
    <d v="2019-11-29T00:00:00"/>
    <s v="005-00000180"/>
    <n v="1027.1700303"/>
    <n v="0"/>
    <n v="0"/>
    <n v="116.27"/>
    <n v="15.075000000000001"/>
    <n v="60.300000000000004"/>
    <n v="140.70000000000002"/>
    <n v="0"/>
    <n v="332.34500000000003"/>
    <n v="694.82503029999998"/>
    <n v="0.67644597272475537"/>
    <x v="1"/>
    <s v="LEVE"/>
    <x v="1"/>
    <x v="0"/>
    <n v="10"/>
    <n v="1"/>
    <d v="2019-11-19T00:00:00"/>
    <s v="BED-593"/>
    <s v="CHEVROLET"/>
    <s v="PRISMA"/>
    <s v="RIMAC SEGUROS  Y REASEGUROS S.A"/>
  </r>
  <r>
    <d v="2019-11-29T00:00:00"/>
    <s v="005-00000035"/>
    <n v="2930.65508645"/>
    <n v="0"/>
    <n v="0"/>
    <n v="824.5"/>
    <n v="0"/>
    <n v="241.20000000000002"/>
    <n v="369.33750000000003"/>
    <n v="0"/>
    <n v="1435.0375000000001"/>
    <n v="1495.6175864499999"/>
    <n v="0.51033558789126943"/>
    <x v="1"/>
    <s v="MEDIANO"/>
    <x v="1"/>
    <x v="0"/>
    <n v="49"/>
    <n v="1"/>
    <d v="2019-10-11T00:00:00"/>
    <s v="BEQ-190"/>
    <s v="KIA"/>
    <s v="PICANTO"/>
    <s v="RENTAEQUIPOS LEASING PERU S.A."/>
  </r>
  <r>
    <d v="2019-11-30T00:00:00"/>
    <s v="005-00000199"/>
    <n v="2301.8000677"/>
    <n v="0"/>
    <n v="0"/>
    <n v="0"/>
    <n v="0"/>
    <n v="195.97499999999999"/>
    <n v="386.92500000000001"/>
    <n v="0"/>
    <n v="582.9"/>
    <n v="1718.9000676999999"/>
    <n v="0.74676341000265756"/>
    <x v="1"/>
    <s v="MEDIANO"/>
    <x v="1"/>
    <x v="0"/>
    <n v="8"/>
    <n v="1"/>
    <d v="2019-11-22T00:00:00"/>
    <s v="C4R-002"/>
    <s v="KIA"/>
    <s v="SPORTAGE"/>
    <s v="SPRIND SAC"/>
  </r>
  <r>
    <d v="2019-11-30T00:00:00"/>
    <s v="005-00000210"/>
    <n v="153.00000450000002"/>
    <n v="0"/>
    <n v="0"/>
    <n v="0"/>
    <n v="0"/>
    <n v="0"/>
    <n v="17.587500000000002"/>
    <n v="0"/>
    <n v="17.587500000000002"/>
    <n v="135.41250450000001"/>
    <n v="0.88504902298875421"/>
    <x v="0"/>
    <s v="LEVE"/>
    <x v="1"/>
    <x v="0"/>
    <n v="4"/>
    <n v="1"/>
    <d v="2019-11-26T00:00:00"/>
    <s v="C4R-002"/>
    <s v="KIA"/>
    <s v="SPORTAGE"/>
    <s v="SPRIND SAC"/>
  </r>
  <r>
    <d v="2019-11-02T00:00:00"/>
    <s v="005-00000124"/>
    <n v="211.87289000000001"/>
    <n v="77.836399300000011"/>
    <n v="0"/>
    <n v="0"/>
    <n v="0"/>
    <n v="0"/>
    <n v="0"/>
    <n v="0"/>
    <n v="77.836399300000011"/>
    <n v="134.0364907"/>
    <n v="0.63262690521661358"/>
    <x v="0"/>
    <s v="MECANICA"/>
    <x v="1"/>
    <x v="0"/>
    <n v="0"/>
    <n v="1"/>
    <d v="2019-11-02T00:00:00"/>
    <s v="ADP623"/>
    <s v="HYUNDAI"/>
    <s v="ACCENT"/>
    <s v="JIMENEZ MESIA JORGE"/>
  </r>
  <r>
    <d v="2019-11-05T00:00:00"/>
    <s v="005-00000102"/>
    <n v="150"/>
    <n v="44.7857001"/>
    <n v="0"/>
    <n v="0"/>
    <n v="40.250250000000001"/>
    <n v="0"/>
    <n v="0"/>
    <n v="0"/>
    <n v="85.035950100000008"/>
    <n v="64.964049899999992"/>
    <n v="0.43309366599999993"/>
    <x v="0"/>
    <s v="MECANICA"/>
    <x v="1"/>
    <x v="0"/>
    <n v="8"/>
    <n v="1"/>
    <d v="2019-10-28T00:00:00"/>
    <s v="C4A-237"/>
    <s v="KIA"/>
    <s v="RIO"/>
    <s v="MIñAN VARGAS JULIO CESAR"/>
  </r>
  <r>
    <d v="2019-11-07T00:00:00"/>
    <s v="005-00000120"/>
    <n v="1102.4237099999998"/>
    <n v="273.30762249999998"/>
    <n v="277.96610169491527"/>
    <n v="135.59322033898306"/>
    <n v="40.250250000000001"/>
    <n v="0"/>
    <n v="0"/>
    <n v="0"/>
    <n v="727.11719453389844"/>
    <n v="375.30651546610136"/>
    <n v="0.34043763034278485"/>
    <x v="0"/>
    <s v="MECANICA"/>
    <x v="1"/>
    <x v="0"/>
    <n v="8"/>
    <n v="1"/>
    <d v="2019-10-30T00:00:00"/>
    <s v="AFS-436"/>
    <s v="MITSUBISHI"/>
    <s v="MIRAGE"/>
    <s v="FERNANDEZ RENGIFO ESSENIN FERNANDO"/>
  </r>
  <r>
    <d v="2019-11-07T00:00:00"/>
    <s v="005-00000097"/>
    <n v="211.87289000000001"/>
    <n v="78.342899499999987"/>
    <n v="0"/>
    <n v="0"/>
    <n v="0"/>
    <n v="0"/>
    <n v="0"/>
    <n v="0"/>
    <n v="78.342899499999987"/>
    <n v="133.52999050000003"/>
    <n v="0.63023631999355845"/>
    <x v="0"/>
    <s v="MECANICA"/>
    <x v="1"/>
    <x v="0"/>
    <n v="13"/>
    <n v="1"/>
    <d v="2019-10-25T00:00:00"/>
    <s v="AFS436"/>
    <s v="MITSUBISHI"/>
    <s v="MIRAGE"/>
    <s v="FERNANDEZ RENGIFO ESSENIN FERNANDO"/>
  </r>
  <r>
    <d v="2019-11-12T00:00:00"/>
    <s v="005-00000154"/>
    <n v="449"/>
    <n v="82.004799999999989"/>
    <n v="12.71"/>
    <n v="0"/>
    <n v="40.250250000000001"/>
    <n v="0"/>
    <n v="0"/>
    <n v="0"/>
    <n v="134.96504999999999"/>
    <n v="314.03494999999998"/>
    <n v="0.69940968819599103"/>
    <x v="0"/>
    <s v="MECANICA"/>
    <x v="1"/>
    <x v="0"/>
    <n v="6"/>
    <n v="1"/>
    <d v="2019-11-06T00:00:00"/>
    <s v="C4W-101"/>
    <s v="CHEVROLET"/>
    <s v="CRUZE"/>
    <s v="MONTEZA SAAVEDRA RODOLFO"/>
  </r>
  <r>
    <d v="2019-11-12T00:00:00"/>
    <s v="005-00000168"/>
    <n v="867.5"/>
    <n v="822.02598999999998"/>
    <n v="0"/>
    <n v="0"/>
    <n v="40.250250000000001"/>
    <n v="0"/>
    <n v="0"/>
    <n v="0"/>
    <n v="862.27624000000003"/>
    <n v="5.2237599999999702"/>
    <n v="6.021625360230513E-3"/>
    <x v="0"/>
    <s v="MECANICA"/>
    <x v="1"/>
    <x v="0"/>
    <n v="4"/>
    <n v="1"/>
    <d v="2019-11-08T00:00:00"/>
    <s v="C4W-101"/>
    <s v="CHEVROLET"/>
    <s v="CRUZE"/>
    <s v="MONTEZA SAAVEDRA RODOLFO"/>
  </r>
  <r>
    <d v="2019-11-14T00:00:00"/>
    <s v="005-00000170"/>
    <n v="287.48625996799996"/>
    <n v="0"/>
    <n v="0"/>
    <n v="0"/>
    <n v="0"/>
    <n v="15.075000000000001"/>
    <n v="70.350000000000009"/>
    <n v="0"/>
    <n v="85.425000000000011"/>
    <n v="202.06125996799994"/>
    <n v="0.70285536425459549"/>
    <x v="0"/>
    <s v="LEVE"/>
    <x v="1"/>
    <x v="0"/>
    <n v="3"/>
    <n v="1"/>
    <d v="2019-11-11T00:00:00"/>
    <s v="B8U-602"/>
    <s v="SUBARU"/>
    <s v="FORESTER"/>
    <s v="NUÑEZ SALINAS RAUL ENRIQUE"/>
  </r>
  <r>
    <d v="2019-11-14T00:00:00"/>
    <s v="005-00000174"/>
    <n v="450"/>
    <n v="112.27309794999998"/>
    <n v="20.34"/>
    <n v="0"/>
    <n v="40.250250000000001"/>
    <n v="0"/>
    <n v="0"/>
    <n v="0"/>
    <n v="172.86334794999996"/>
    <n v="277.13665205000007"/>
    <n v="0.61585922677777793"/>
    <x v="0"/>
    <s v="MECANICA"/>
    <x v="1"/>
    <x v="0"/>
    <n v="0"/>
    <n v="1"/>
    <d v="2019-11-14T00:00:00"/>
    <s v="A2Q-372"/>
    <s v="FORD"/>
    <s v="EXPLORER"/>
    <s v="SALVATIERRA YARACSA KARINA"/>
  </r>
  <r>
    <d v="2019-11-16T00:00:00"/>
    <s v="005-00000176"/>
    <n v="349"/>
    <n v="121.7889"/>
    <n v="0"/>
    <n v="42.37"/>
    <n v="40.250250000000001"/>
    <n v="0"/>
    <n v="0"/>
    <n v="0"/>
    <n v="204.40914999999998"/>
    <n v="144.59085000000002"/>
    <n v="0.41430042979942699"/>
    <x v="0"/>
    <s v="MECANICA"/>
    <x v="1"/>
    <x v="0"/>
    <n v="0"/>
    <n v="1"/>
    <d v="2019-11-16T00:00:00"/>
    <s v="APE-333"/>
    <s v="VOLKWAGEN"/>
    <s v="GOL"/>
    <s v="ALIAGA MORALES GUSTAVO"/>
  </r>
  <r>
    <d v="2019-11-18T00:00:00"/>
    <s v="005-00000136"/>
    <n v="1686.4999837299988"/>
    <n v="0"/>
    <n v="0"/>
    <n v="0"/>
    <n v="0"/>
    <n v="90.45"/>
    <n v="369.33750000000003"/>
    <n v="0"/>
    <n v="459.78750000000002"/>
    <n v="1226.7124837299989"/>
    <n v="0.7273717732370818"/>
    <x v="1"/>
    <s v="LEVE"/>
    <x v="1"/>
    <x v="0"/>
    <n v="14"/>
    <n v="1"/>
    <d v="2019-11-04T00:00:00"/>
    <s v="ATF-661"/>
    <s v="HONDA"/>
    <s v="PILOT"/>
    <s v="PRIETO DUCLOS MARIA ELSA"/>
  </r>
  <r>
    <d v="2019-11-18T00:00:00"/>
    <s v="005-00000172"/>
    <n v="337.29998999999998"/>
    <n v="0"/>
    <n v="0"/>
    <n v="0"/>
    <n v="0"/>
    <n v="37.6875"/>
    <n v="70.350000000000009"/>
    <n v="0"/>
    <n v="108.03750000000001"/>
    <n v="229.26248999999996"/>
    <n v="0.6796990714408262"/>
    <x v="0"/>
    <s v="LEVE"/>
    <x v="1"/>
    <x v="0"/>
    <n v="6"/>
    <n v="1"/>
    <d v="2019-11-12T00:00:00"/>
    <s v="ATT-292"/>
    <s v="CHEVROLET"/>
    <s v="CRUZE"/>
    <s v="JAYO PACHECO JORGE LUIS"/>
  </r>
  <r>
    <d v="2019-11-20T00:00:00"/>
    <s v="005-00000182"/>
    <n v="260"/>
    <n v="160"/>
    <n v="0"/>
    <n v="0"/>
    <n v="0"/>
    <n v="0"/>
    <n v="0"/>
    <n v="0"/>
    <n v="160"/>
    <n v="100"/>
    <n v="0.38461538461538464"/>
    <x v="0"/>
    <s v="LEVE"/>
    <x v="1"/>
    <x v="0"/>
    <n v="1"/>
    <n v="1"/>
    <d v="2019-11-19T00:00:00"/>
    <s v="C3K443"/>
    <s v="KIA"/>
    <s v="RIO"/>
    <s v="CARRERA DONDERO JOSE ANTONIO"/>
  </r>
  <r>
    <d v="2019-11-20T00:00:00"/>
    <s v="005-00000185"/>
    <n v="16.949200000000001"/>
    <n v="3.8136001000000004"/>
    <n v="0"/>
    <n v="0"/>
    <n v="0"/>
    <n v="0"/>
    <n v="0"/>
    <n v="0"/>
    <n v="3.8136001000000004"/>
    <n v="13.135599900000001"/>
    <n v="0.77499822410497254"/>
    <x v="0"/>
    <s v="MECANICA"/>
    <x v="1"/>
    <x v="0"/>
    <n v="0"/>
    <n v="1"/>
    <d v="2019-11-20T00:00:00"/>
    <s v="BBE558"/>
    <s v="NISSAN"/>
    <s v="VERSA"/>
    <s v="SANCHEZ ALVARADO JULIO MOISES"/>
  </r>
  <r>
    <d v="2019-11-30T00:00:00"/>
    <s v="005-00000220"/>
    <n v="350"/>
    <n v="75.577799099999993"/>
    <n v="0"/>
    <n v="71.19"/>
    <n v="40.250250000000001"/>
    <n v="0"/>
    <n v="0"/>
    <n v="0"/>
    <n v="187.01804909999998"/>
    <n v="162.98195090000002"/>
    <n v="0.46566271685714289"/>
    <x v="0"/>
    <s v="MECANICA"/>
    <x v="1"/>
    <x v="0"/>
    <n v="0"/>
    <n v="1"/>
    <d v="2019-11-30T00:00:00"/>
    <s v="C3K-443"/>
    <s v="KIA"/>
    <s v="RIO"/>
    <s v="CARRERA DONDERO JOSE ANTONIO"/>
  </r>
  <r>
    <d v="2019-12-19T00:00:00"/>
    <s v="005-00000107"/>
    <n v="9660.7542099999991"/>
    <n v="2156.2085459200002"/>
    <n v="262.72000000000003"/>
    <n v="466.63"/>
    <n v="425.86875000000003"/>
    <n v="271.35000000000002"/>
    <n v="1125.6000000000001"/>
    <n v="0"/>
    <n v="4708.3772959200005"/>
    <n v="4952.3769140799986"/>
    <n v="0.51262839385290593"/>
    <x v="2"/>
    <s v="GRAVE"/>
    <x v="2"/>
    <x v="0"/>
    <n v="52"/>
    <n v="1"/>
    <d v="2019-10-28T00:00:00"/>
    <s v="AHV-171"/>
    <s v="KIA"/>
    <s v="RIO"/>
    <s v="EDPYME ACCESO CREDITICIO SOCIEDAD ANONIMA"/>
  </r>
  <r>
    <d v="2019-12-10T00:00:00"/>
    <s v="005-00000166"/>
    <n v="11290.754209999999"/>
    <n v="2593.2663401100008"/>
    <n v="264.65999999999997"/>
    <n v="156.78"/>
    <n v="290.19375000000002"/>
    <n v="633.15"/>
    <n v="1266.3"/>
    <n v="0"/>
    <n v="5204.3500901100006"/>
    <n v="6086.4041198899986"/>
    <n v="0.53906089944809799"/>
    <x v="2"/>
    <s v="GRAVE"/>
    <x v="2"/>
    <x v="0"/>
    <n v="32"/>
    <n v="1"/>
    <d v="2019-11-08T00:00:00"/>
    <s v="ANB-605"/>
    <s v="HYUNDAI"/>
    <s v="ACCENT"/>
    <s v="AUTOCLASS S.A.C."/>
  </r>
  <r>
    <d v="2019-12-10T00:00:00"/>
    <s v="005-00000109"/>
    <n v="8205.2542099999991"/>
    <n v="2675.3039792599993"/>
    <n v="61.46"/>
    <n v="374.74203389830507"/>
    <n v="320.34375"/>
    <n v="271.35000000000002"/>
    <n v="949.72500000000002"/>
    <n v="0"/>
    <n v="4652.9247631583048"/>
    <n v="3552.3294468416943"/>
    <n v="0.43293350284167426"/>
    <x v="2"/>
    <s v="GRAVE"/>
    <x v="2"/>
    <x v="0"/>
    <n v="43"/>
    <n v="1"/>
    <d v="2019-10-28T00:00:00"/>
    <s v="F6Q-533"/>
    <s v="CHEVROLET"/>
    <s v="SAIL"/>
    <s v="AUTOCLASS S.A.C."/>
  </r>
  <r>
    <d v="2019-12-10T00:00:00"/>
    <s v="005-00000152"/>
    <n v="9800.7542099999991"/>
    <n v="2134.08030164"/>
    <n v="473.15"/>
    <n v="325.25"/>
    <n v="365.56875000000002"/>
    <n v="542.70000000000005"/>
    <n v="1266.3"/>
    <n v="0"/>
    <n v="5107.0490516400005"/>
    <n v="4693.7051583599987"/>
    <n v="0.47891264873991762"/>
    <x v="2"/>
    <s v="GRAVE"/>
    <x v="2"/>
    <x v="0"/>
    <n v="34"/>
    <n v="1"/>
    <d v="2019-11-06T00:00:00"/>
    <s v="AMZ619"/>
    <s v="CHEVROLET"/>
    <s v="SAIL"/>
    <s v="AUTOCLASS S.A.C."/>
  </r>
  <r>
    <d v="2019-12-03T00:00:00"/>
    <s v="005-00000158"/>
    <n v="1786.5750524999999"/>
    <n v="0"/>
    <n v="0"/>
    <n v="0"/>
    <n v="0"/>
    <n v="120.60000000000001"/>
    <n v="351.75"/>
    <n v="0"/>
    <n v="472.35"/>
    <n v="1314.2250524999999"/>
    <n v="0.73561144305746995"/>
    <x v="1"/>
    <s v="LEVE"/>
    <x v="2"/>
    <x v="0"/>
    <n v="26"/>
    <n v="1"/>
    <d v="2019-11-07T00:00:00"/>
    <s v="ROO-885"/>
    <s v="JEEP"/>
    <s v="GRANDCHEROKE"/>
    <s v="RIMAC SEGUROS  Y REASEGUROS S.A"/>
  </r>
  <r>
    <d v="2019-12-03T00:00:00"/>
    <s v="005-00000211"/>
    <n v="682.30152005000002"/>
    <n v="0"/>
    <n v="0"/>
    <n v="0"/>
    <n v="0"/>
    <n v="30.150000000000002"/>
    <n v="140.70000000000002"/>
    <n v="0"/>
    <n v="170.85000000000002"/>
    <n v="511.45152005"/>
    <n v="0.74959750934238001"/>
    <x v="1"/>
    <s v="LEVE"/>
    <x v="2"/>
    <x v="0"/>
    <n v="7"/>
    <n v="1"/>
    <d v="2019-11-26T00:00:00"/>
    <s v="BDG-262"/>
    <s v="KIA"/>
    <s v="RIO"/>
    <s v="RIMAC SEGUROS  Y REASEGUROS S.A"/>
  </r>
  <r>
    <d v="2019-12-05T00:00:00"/>
    <s v="005-00000193"/>
    <n v="1905.7542100000001"/>
    <n v="395.91630899999996"/>
    <n v="0"/>
    <n v="16.95"/>
    <n v="185.42250000000001"/>
    <n v="0"/>
    <n v="0"/>
    <n v="0"/>
    <n v="598.2888089999999"/>
    <n v="1307.4654010000002"/>
    <n v="0.68606192453327974"/>
    <x v="2"/>
    <s v="MEDIANO"/>
    <x v="2"/>
    <x v="0"/>
    <n v="14"/>
    <n v="1"/>
    <d v="2019-11-21T00:00:00"/>
    <s v="ARN-470"/>
    <s v="BYD"/>
    <s v="F3"/>
    <s v="EDPYME ACCESO CREDITICIO SOCIEDAD ANONIMA"/>
  </r>
  <r>
    <d v="2019-12-05T00:00:00"/>
    <s v="005-00000167"/>
    <n v="9545.7542099999991"/>
    <n v="2700.1454673000003"/>
    <n v="170.84186440677968"/>
    <n v="284.58"/>
    <n v="124.36875000000001"/>
    <n v="633.15"/>
    <n v="1266.3"/>
    <n v="0"/>
    <n v="5179.3860817067798"/>
    <n v="4366.3681282932193"/>
    <n v="0.4574146821965176"/>
    <x v="2"/>
    <s v="GRAVE"/>
    <x v="2"/>
    <x v="0"/>
    <n v="27"/>
    <n v="1"/>
    <d v="2019-11-08T00:00:00"/>
    <s v="AVA-610"/>
    <s v="CHEVROLET"/>
    <s v="SAIL"/>
    <s v="EDPYME ACCESO CREDITICIO SOCIEDAD ANONIMA"/>
  </r>
  <r>
    <d v="2019-12-06T00:00:00"/>
    <s v="005-00000205"/>
    <n v="1157.6500342500001"/>
    <n v="0"/>
    <n v="0"/>
    <n v="0"/>
    <n v="0"/>
    <n v="90.45"/>
    <n v="175.875"/>
    <n v="0"/>
    <n v="266.32499999999999"/>
    <n v="891.32503425000004"/>
    <n v="0.769943426665605"/>
    <x v="1"/>
    <s v="LEVE"/>
    <x v="2"/>
    <x v="0"/>
    <n v="11"/>
    <n v="1"/>
    <d v="2019-11-25T00:00:00"/>
    <s v="ASW-232"/>
    <s v="MITSUBISHI"/>
    <s v="OUTLANDER"/>
    <s v="RIMAC SEGUROS  Y REASEGUROS S.A"/>
  </r>
  <r>
    <d v="2019-12-06T00:00:00"/>
    <s v="005-00000222"/>
    <n v="730"/>
    <n v="0"/>
    <n v="0"/>
    <n v="0"/>
    <n v="30.150000000000002"/>
    <n v="0"/>
    <n v="0"/>
    <n v="0"/>
    <n v="30.150000000000002"/>
    <n v="699.85"/>
    <n v="0.95869863013698631"/>
    <x v="2"/>
    <s v="LEVE"/>
    <x v="2"/>
    <x v="0"/>
    <n v="4"/>
    <n v="1"/>
    <d v="2019-12-02T00:00:00"/>
    <s v="F5O-186"/>
    <s v="NISSAN"/>
    <s v="TIIDA"/>
    <s v="EDPYME ACCESO CREDITICIO SOCIEDAD ANONIMA"/>
  </r>
  <r>
    <d v="2019-12-06T00:00:00"/>
    <s v="005-00000209"/>
    <n v="1653.42"/>
    <n v="0"/>
    <n v="0"/>
    <n v="0"/>
    <n v="0"/>
    <n v="75.375"/>
    <n v="422.1"/>
    <n v="0"/>
    <n v="497.47500000000002"/>
    <n v="1155.9450000000002"/>
    <n v="0.69912363464818383"/>
    <x v="1"/>
    <s v="LEVE"/>
    <x v="2"/>
    <x v="0"/>
    <n v="11"/>
    <n v="1"/>
    <d v="2019-11-25T00:00:00"/>
    <s v="BDW-631"/>
    <s v="MAZDA"/>
    <s v="MAZDA3"/>
    <s v="RIMAC SEGUROS  Y REASEGUROS S.A"/>
  </r>
  <r>
    <d v="2019-12-07T00:00:00"/>
    <s v="005-00000215"/>
    <n v="1293.2325000000001"/>
    <n v="0"/>
    <n v="0"/>
    <n v="0"/>
    <n v="0"/>
    <n v="105.52500000000001"/>
    <n v="175.875"/>
    <n v="0"/>
    <n v="281.39999999999998"/>
    <n v="1011.8325000000001"/>
    <n v="0.78240571590955221"/>
    <x v="1"/>
    <s v="LEVE"/>
    <x v="2"/>
    <x v="0"/>
    <n v="8"/>
    <n v="1"/>
    <d v="2019-11-29T00:00:00"/>
    <s v="ASM-675"/>
    <s v="NISSAN"/>
    <s v="SENTRA"/>
    <s v="RIMAC SEGUROS  Y REASEGUROS S.A"/>
  </r>
  <r>
    <d v="2019-12-07T00:00:00"/>
    <s v="005-00000212"/>
    <n v="2062.41"/>
    <n v="0"/>
    <n v="0"/>
    <n v="0"/>
    <n v="0"/>
    <n v="211.05"/>
    <n v="351.75"/>
    <n v="0"/>
    <n v="562.79999999999995"/>
    <n v="1499.61"/>
    <n v="0.72711536503411056"/>
    <x v="1"/>
    <s v="MEDIANO"/>
    <x v="2"/>
    <x v="0"/>
    <n v="11"/>
    <n v="1"/>
    <d v="2019-11-26T00:00:00"/>
    <s v="BFS-488"/>
    <s v="TOYOTA"/>
    <s v="AVANZA"/>
    <s v="RIMAC SEGUROS  Y REASEGUROS S.A"/>
  </r>
  <r>
    <d v="2019-12-07T00:00:00"/>
    <s v="005-00000188"/>
    <n v="9915.7542099999991"/>
    <n v="1797.6908077000001"/>
    <n v="29.66"/>
    <n v="118.65"/>
    <n v="275.11875000000003"/>
    <n v="482.40000000000003"/>
    <n v="1301.4750000000001"/>
    <n v="0"/>
    <n v="4004.9945577000008"/>
    <n v="5910.7596522999984"/>
    <n v="0.5960978385627006"/>
    <x v="2"/>
    <s v="GRAVE"/>
    <x v="2"/>
    <x v="0"/>
    <n v="16"/>
    <n v="1"/>
    <d v="2019-11-21T00:00:00"/>
    <s v="AJJ-599"/>
    <s v="KIA"/>
    <s v="RIO"/>
    <s v="EDPYME ACCESO CREDITICIO SOCIEDAD ANONIMA"/>
  </r>
  <r>
    <d v="2019-12-07T00:00:00"/>
    <s v="005-00000208"/>
    <n v="1445.3774999999998"/>
    <n v="0"/>
    <n v="0"/>
    <n v="110.16949152542374"/>
    <n v="0"/>
    <n v="120.60000000000001"/>
    <n v="158.28749999999999"/>
    <n v="0"/>
    <n v="389.05699152542377"/>
    <n v="1056.3205084745759"/>
    <n v="0.73082672760201128"/>
    <x v="0"/>
    <s v="LEVE"/>
    <x v="2"/>
    <x v="0"/>
    <n v="12"/>
    <n v="1"/>
    <d v="2019-11-25T00:00:00"/>
    <s v="BDU-537"/>
    <s v="SUBARU"/>
    <s v="FORESTER"/>
    <s v="RENTAEQUIPOS LEASING PERU S.A."/>
  </r>
  <r>
    <d v="2019-12-09T00:00:00"/>
    <s v="005-00000232"/>
    <n v="804.67800000000011"/>
    <n v="0"/>
    <n v="0"/>
    <n v="0"/>
    <n v="0"/>
    <n v="15.075000000000001"/>
    <n v="70.350000000000009"/>
    <n v="0"/>
    <n v="85.425000000000011"/>
    <n v="719.25300000000016"/>
    <n v="0.89383952338699457"/>
    <x v="1"/>
    <s v="LEVE"/>
    <x v="2"/>
    <x v="0"/>
    <n v="6"/>
    <n v="1"/>
    <d v="2019-12-03T00:00:00"/>
    <s v="BFE-603"/>
    <s v="JEEP"/>
    <s v="GRANDCHEROKE"/>
    <s v="RENTAEQUIPOS LEASING PERU S.A."/>
  </r>
  <r>
    <d v="2019-12-09T00:00:00"/>
    <s v="005-00000229"/>
    <n v="1305.066"/>
    <n v="0"/>
    <n v="118.64406779661017"/>
    <n v="0"/>
    <n v="0"/>
    <n v="45.225000000000001"/>
    <n v="140.70000000000002"/>
    <n v="0"/>
    <n v="304.56906779661017"/>
    <n v="1000.4969322033899"/>
    <n v="0.76662554399807359"/>
    <x v="1"/>
    <s v="LEVE"/>
    <x v="2"/>
    <x v="0"/>
    <n v="6"/>
    <n v="1"/>
    <d v="2019-12-03T00:00:00"/>
    <s v="BFE-603"/>
    <s v="JEEP"/>
    <s v="GRANDCHEROKE"/>
    <s v="RIMAC SEGUROS  Y REASEGUROS S.A"/>
  </r>
  <r>
    <d v="2019-12-09T00:00:00"/>
    <s v="005-00000227"/>
    <n v="1339.7354501999998"/>
    <n v="0"/>
    <n v="0"/>
    <n v="0"/>
    <n v="0"/>
    <n v="105.52500000000001"/>
    <n v="263.8125"/>
    <n v="0"/>
    <n v="369.33749999999998"/>
    <n v="970.39795019999985"/>
    <n v="0.72432057392758831"/>
    <x v="1"/>
    <s v="LEVE"/>
    <x v="2"/>
    <x v="0"/>
    <n v="6"/>
    <n v="1"/>
    <d v="2019-12-03T00:00:00"/>
    <s v="BBQ-678"/>
    <s v="SUZUKI"/>
    <s v="SWIFT"/>
    <s v="RIMAC SEGUROS  Y REASEGUROS S.A"/>
  </r>
  <r>
    <d v="2019-12-10T00:00:00"/>
    <s v="005-00000223"/>
    <n v="654.03001934999998"/>
    <n v="0"/>
    <n v="0"/>
    <n v="0"/>
    <n v="0"/>
    <n v="60.300000000000004"/>
    <n v="105.52500000000001"/>
    <n v="0"/>
    <n v="165.82500000000002"/>
    <n v="488.20501934999993"/>
    <n v="0.7464565920616254"/>
    <x v="1"/>
    <s v="LEVE"/>
    <x v="2"/>
    <x v="0"/>
    <n v="8"/>
    <n v="1"/>
    <d v="2019-12-02T00:00:00"/>
    <s v="AYK-320"/>
    <s v="TOYOTA"/>
    <s v="ETIOS"/>
    <s v="RIMAC SEGUROS  Y REASEGUROS S.A"/>
  </r>
  <r>
    <d v="2019-12-11T00:00:00"/>
    <s v="005-00000079"/>
    <n v="8726.2542099999991"/>
    <n v="1721.0893380000002"/>
    <n v="203.38779661016949"/>
    <n v="349.11"/>
    <n v="260.04374999999999"/>
    <n v="452.25"/>
    <n v="1266.3"/>
    <n v="0"/>
    <n v="4252.1808846101694"/>
    <n v="4474.0733253898297"/>
    <n v="0.512714071550046"/>
    <x v="2"/>
    <s v="GRAVE"/>
    <x v="2"/>
    <x v="0"/>
    <n v="50"/>
    <n v="1"/>
    <d v="2019-10-22T00:00:00"/>
    <s v="AWG-333"/>
    <s v="CHEVROLET"/>
    <s v="SAIL"/>
    <s v="EDPYME ACCESO CREDITICIO SOCIEDAD ANONIMA"/>
  </r>
  <r>
    <d v="2019-12-11T00:00:00"/>
    <s v="005-00000197"/>
    <n v="12716.754209999999"/>
    <n v="3058.6534855999998"/>
    <n v="33.9"/>
    <n v="494.58000000000004"/>
    <n v="350.49375000000003"/>
    <n v="482.40000000000003"/>
    <n v="1266.3"/>
    <n v="0"/>
    <n v="5686.3272355999998"/>
    <n v="7030.4269743999994"/>
    <n v="0.55284759446490861"/>
    <x v="2"/>
    <s v="GRAVE"/>
    <x v="2"/>
    <x v="0"/>
    <n v="19"/>
    <n v="1"/>
    <d v="2019-11-22T00:00:00"/>
    <s v="F4T-034"/>
    <s v="BYD"/>
    <s v="F3"/>
    <s v="EDPYME ACCESO CREDITICIO SOCIEDAD ANONIMA"/>
  </r>
  <r>
    <d v="2019-12-11T00:00:00"/>
    <s v="005-00000236"/>
    <n v="2516"/>
    <n v="1012.7076080000001"/>
    <n v="78.39"/>
    <n v="84.74"/>
    <n v="0"/>
    <n v="0"/>
    <n v="0"/>
    <n v="0"/>
    <n v="1175.837608"/>
    <n v="1340.162392"/>
    <n v="0.53265595866454685"/>
    <x v="2"/>
    <s v="MEDIANO"/>
    <x v="2"/>
    <x v="0"/>
    <n v="7"/>
    <n v="1"/>
    <d v="2019-12-04T00:00:00"/>
    <s v="ADG324"/>
    <s v="BYD"/>
    <s v="F3"/>
    <s v="AUTOCLASS S.A.C."/>
  </r>
  <r>
    <d v="2019-12-11T00:00:00"/>
    <s v="005-00000108"/>
    <n v="11044.754209999999"/>
    <n v="3189.7430857799995"/>
    <n v="372.88"/>
    <n v="260.34000000000003"/>
    <n v="335.41874999999999"/>
    <n v="542.70000000000005"/>
    <n v="1266.3"/>
    <n v="0"/>
    <n v="5967.3818357800001"/>
    <n v="5077.3723742199991"/>
    <n v="0.4597089512071631"/>
    <x v="2"/>
    <s v="GRAVE"/>
    <x v="2"/>
    <x v="0"/>
    <n v="44"/>
    <n v="1"/>
    <d v="2019-10-28T00:00:00"/>
    <s v="ADG-324"/>
    <s v="BYD"/>
    <s v="F3"/>
    <s v="AUTOCLASS S.A.C."/>
  </r>
  <r>
    <d v="2019-12-12T00:00:00"/>
    <s v="005-00000241"/>
    <n v="1011.1139701999999"/>
    <n v="0"/>
    <n v="0"/>
    <n v="0"/>
    <n v="0"/>
    <n v="105.52500000000001"/>
    <n v="140.70000000000002"/>
    <n v="0"/>
    <n v="246.22500000000002"/>
    <n v="764.8889701999999"/>
    <n v="0.75648145782092568"/>
    <x v="1"/>
    <s v="LEVE"/>
    <x v="2"/>
    <x v="0"/>
    <n v="7"/>
    <n v="1"/>
    <d v="2019-12-05T00:00:00"/>
    <s v="EGH-498"/>
    <s v="NISSAN"/>
    <s v="SENTRA"/>
    <s v="RIMAC SEGUROS  Y REASEGUROS S.A"/>
  </r>
  <r>
    <d v="2019-12-13T00:00:00"/>
    <s v="005-00000218"/>
    <n v="960.21897170000011"/>
    <n v="0"/>
    <n v="0"/>
    <n v="0"/>
    <n v="0"/>
    <n v="105.52500000000001"/>
    <n v="140.70000000000002"/>
    <n v="0"/>
    <n v="246.22500000000002"/>
    <n v="713.99397170000009"/>
    <n v="0.7435741145958864"/>
    <x v="1"/>
    <s v="LEVE"/>
    <x v="2"/>
    <x v="0"/>
    <n v="14"/>
    <n v="1"/>
    <d v="2019-11-29T00:00:00"/>
    <s v="AWP-639"/>
    <s v="HYUNDAI"/>
    <s v="TUCSON"/>
    <s v="RENTAEQUIPOS LEASING PERU S.A."/>
  </r>
  <r>
    <d v="2019-12-14T00:00:00"/>
    <s v="005-00000226"/>
    <n v="2831.6334160500001"/>
    <n v="0"/>
    <n v="0"/>
    <n v="0"/>
    <n v="0"/>
    <n v="361.8"/>
    <n v="386.92500000000001"/>
    <n v="0"/>
    <n v="748.72500000000002"/>
    <n v="2082.9084160500001"/>
    <n v="0.73558547665239904"/>
    <x v="1"/>
    <s v="GRAVE"/>
    <x v="2"/>
    <x v="0"/>
    <n v="12"/>
    <n v="1"/>
    <d v="2019-12-02T00:00:00"/>
    <s v="F4J-046"/>
    <s v="NISSAN"/>
    <s v="VERSA"/>
    <s v="CORPORACION MINERA PALOMA S.A.C."/>
  </r>
  <r>
    <d v="2019-12-14T00:00:00"/>
    <s v="005-00000237"/>
    <n v="2482.5279263999992"/>
    <n v="0"/>
    <n v="0"/>
    <n v="33.898305084745765"/>
    <n v="0"/>
    <n v="361.8"/>
    <n v="281.40000000000003"/>
    <n v="0"/>
    <n v="677.09830508474579"/>
    <n v="1805.4296213152534"/>
    <n v="0.72725450622961174"/>
    <x v="1"/>
    <s v="GRAVE"/>
    <x v="2"/>
    <x v="0"/>
    <n v="9"/>
    <n v="1"/>
    <d v="2019-12-05T00:00:00"/>
    <s v="ASL-101"/>
    <s v="NISSAN"/>
    <s v="SENTRA"/>
    <s v="INTER PLUS ASESORIA Y SERV GENERALES SRL"/>
  </r>
  <r>
    <d v="2019-12-16T00:00:00"/>
    <s v="005-00000257"/>
    <n v="551.48548364999999"/>
    <n v="0"/>
    <n v="0"/>
    <n v="0"/>
    <n v="0"/>
    <n v="15.075000000000001"/>
    <n v="105.52500000000001"/>
    <n v="0"/>
    <n v="120.60000000000001"/>
    <n v="430.88548364999997"/>
    <n v="0.78131790668031664"/>
    <x v="1"/>
    <s v="LEVE"/>
    <x v="2"/>
    <x v="0"/>
    <n v="6"/>
    <n v="1"/>
    <d v="2019-12-10T00:00:00"/>
    <s v="EGX-296"/>
    <s v="MAXUS"/>
    <s v="S8"/>
    <s v="RIMAC SEGUROS  Y REASEGUROS S.A"/>
  </r>
  <r>
    <d v="2019-12-17T00:00:00"/>
    <s v="005-00000239"/>
    <n v="1930.31994255"/>
    <n v="0"/>
    <n v="0"/>
    <n v="59.32"/>
    <n v="0"/>
    <n v="105.52500000000001"/>
    <n v="386.92500000000001"/>
    <n v="0"/>
    <n v="551.77"/>
    <n v="1378.54994255"/>
    <n v="0.7141561935732279"/>
    <x v="1"/>
    <s v="LEVE"/>
    <x v="2"/>
    <x v="0"/>
    <n v="12"/>
    <n v="1"/>
    <d v="2019-12-05T00:00:00"/>
    <s v="BFB-527"/>
    <s v="SUZUKI"/>
    <s v="BALENO"/>
    <s v="RIMAC SEGUROS  Y REASEGUROS S.A"/>
  </r>
  <r>
    <d v="2019-12-17T00:00:00"/>
    <s v="005-00000256"/>
    <n v="459.32341032965996"/>
    <n v="0"/>
    <n v="0"/>
    <n v="0"/>
    <n v="0"/>
    <n v="15.075000000000001"/>
    <n v="70.350000000000009"/>
    <n v="0"/>
    <n v="85.425000000000011"/>
    <n v="373.89841032965995"/>
    <n v="0.81401993001251594"/>
    <x v="1"/>
    <s v="LEVE"/>
    <x v="2"/>
    <x v="0"/>
    <n v="8"/>
    <n v="1"/>
    <d v="2019-12-09T00:00:00"/>
    <s v="BET-306"/>
    <s v="MAZDA"/>
    <s v="MAZDA3"/>
    <s v="RENTAEQUIPOS LEASING PERU S.A."/>
  </r>
  <r>
    <d v="2019-12-17T00:00:00"/>
    <s v="005-00000238"/>
    <n v="482.15998564999995"/>
    <n v="0"/>
    <n v="0"/>
    <n v="0"/>
    <n v="0"/>
    <n v="15.075000000000001"/>
    <n v="105.52500000000001"/>
    <n v="0"/>
    <n v="120.60000000000001"/>
    <n v="361.55998564999993"/>
    <n v="0.74987555253590954"/>
    <x v="1"/>
    <s v="LEVE"/>
    <x v="2"/>
    <x v="0"/>
    <n v="12"/>
    <n v="1"/>
    <d v="2019-12-05T00:00:00"/>
    <s v="BET-590"/>
    <s v="MAZDA"/>
    <s v="MAZDA3"/>
    <s v="RENTAEQUIPOS LEASING PERU S.A."/>
  </r>
  <r>
    <d v="2019-12-18T00:00:00"/>
    <s v="005-00000266"/>
    <n v="42.372897999999985"/>
    <n v="0"/>
    <n v="0"/>
    <n v="0"/>
    <n v="0"/>
    <n v="0"/>
    <n v="0"/>
    <n v="0"/>
    <n v="0"/>
    <n v="42.372897999999985"/>
    <n v="1"/>
    <x v="0"/>
    <s v="MECANICA"/>
    <x v="2"/>
    <x v="0"/>
    <n v="4"/>
    <n v="1"/>
    <d v="2019-12-14T00:00:00"/>
    <s v="BFW224"/>
    <s v="JEEP"/>
    <s v="GRANDCHEROKE"/>
    <s v="RENTAEQUIPOS LEASING PERU S.A."/>
  </r>
  <r>
    <d v="2019-12-19T00:00:00"/>
    <s v="005-00000206"/>
    <n v="183.6999945"/>
    <n v="0"/>
    <n v="0"/>
    <n v="0"/>
    <n v="15.075000000000001"/>
    <n v="0"/>
    <n v="0"/>
    <n v="0"/>
    <n v="15.075000000000001"/>
    <n v="168.62499450000001"/>
    <n v="0.91793685110861567"/>
    <x v="1"/>
    <s v="LEVE"/>
    <x v="2"/>
    <x v="0"/>
    <n v="24"/>
    <n v="1"/>
    <d v="2019-11-25T00:00:00"/>
    <s v="AJD-170"/>
    <s v="NISSAN"/>
    <s v="XTRAIL"/>
    <s v="RIMAC SEGUROS  Y REASEGUROS S.A"/>
  </r>
  <r>
    <d v="2019-12-19T00:00:00"/>
    <s v="005-00000268"/>
    <n v="895.11997320000023"/>
    <n v="0"/>
    <n v="0"/>
    <n v="0"/>
    <n v="0"/>
    <n v="120.60000000000001"/>
    <n v="140.70000000000002"/>
    <n v="0"/>
    <n v="261.3"/>
    <n v="633.81997320000028"/>
    <n v="0.70808382359532418"/>
    <x v="1"/>
    <s v="LEVE"/>
    <x v="2"/>
    <x v="0"/>
    <n v="3"/>
    <n v="1"/>
    <d v="2019-12-16T00:00:00"/>
    <s v="BKQ-559"/>
    <s v="FORD"/>
    <s v="ECOSPORT"/>
    <s v="ARSEGUIN PERU S.A.C."/>
  </r>
  <r>
    <d v="2019-12-19T00:00:00"/>
    <s v="005-00000094"/>
    <n v="2287.8999315000005"/>
    <n v="5.4759001999999999"/>
    <n v="0"/>
    <n v="84.75"/>
    <n v="30.150000000000002"/>
    <n v="180.9"/>
    <n v="351.75"/>
    <n v="0"/>
    <n v="653.02590020000002"/>
    <n v="1634.8740313000005"/>
    <n v="0.71457409862683063"/>
    <x v="1"/>
    <s v="MEDIANO"/>
    <x v="2"/>
    <x v="0"/>
    <n v="56"/>
    <n v="1"/>
    <d v="2019-10-24T00:00:00"/>
    <s v="BEQ-177"/>
    <s v="KIA"/>
    <s v="PICANTO"/>
    <s v="RENTAEQUIPOS LEASING PERU S.A."/>
  </r>
  <r>
    <d v="2019-12-27T00:00:00"/>
    <s v="005-00000288"/>
    <n v="649"/>
    <n v="162.29719799999998"/>
    <n v="0"/>
    <n v="0"/>
    <n v="40.250250000000001"/>
    <n v="0"/>
    <n v="0"/>
    <n v="0"/>
    <n v="202.54744799999997"/>
    <n v="446.45255200000003"/>
    <n v="0.68790840061633285"/>
    <x v="0"/>
    <s v="MECANICA"/>
    <x v="2"/>
    <x v="0"/>
    <n v="1"/>
    <n v="1"/>
    <d v="2019-12-26T00:00:00"/>
    <s v="F8V-681"/>
    <s v="DODGE"/>
    <s v="JOURNEY SXT"/>
    <s v="CONSULTING CENTER SAC"/>
  </r>
  <r>
    <d v="2019-12-30T00:00:00"/>
    <s v="005-00000274"/>
    <n v="432.73958058135997"/>
    <n v="0"/>
    <n v="0"/>
    <n v="0"/>
    <n v="0"/>
    <n v="105.52500000000001"/>
    <n v="281.40000000000003"/>
    <n v="0"/>
    <n v="386.92500000000007"/>
    <n v="45.814580581359905"/>
    <n v="0.1058710195166588"/>
    <x v="1"/>
    <s v="LEVE"/>
    <x v="2"/>
    <x v="0"/>
    <n v="11"/>
    <n v="1"/>
    <d v="2019-12-19T00:00:00"/>
    <s v="F2Y-614"/>
    <s v="MAZDA"/>
    <s v="MAZDA3"/>
    <s v="NGV SUMINISTROS S.A.C."/>
  </r>
  <r>
    <d v="2019-12-30T00:00:00"/>
    <s v="005-00000280"/>
    <n v="885.84597335000001"/>
    <n v="0"/>
    <n v="0"/>
    <n v="0"/>
    <n v="0"/>
    <n v="45.225000000000001"/>
    <n v="228.63750000000002"/>
    <n v="0"/>
    <n v="273.86250000000001"/>
    <n v="611.98347334999994"/>
    <n v="0.69084636806065125"/>
    <x v="0"/>
    <s v="LEVE"/>
    <x v="2"/>
    <x v="0"/>
    <n v="7"/>
    <n v="1"/>
    <d v="2019-12-23T00:00:00"/>
    <s v="F2Y-614"/>
    <s v="MAZDA"/>
    <s v="MAZDA3"/>
    <s v="NGV SUMINISTROS S.A.C."/>
  </r>
  <r>
    <d v="2019-12-03T00:00:00"/>
    <s v="005-00000213"/>
    <n v="775.53793768983007"/>
    <n v="90"/>
    <n v="0"/>
    <n v="0"/>
    <n v="0"/>
    <n v="30.150000000000002"/>
    <n v="140.70000000000002"/>
    <n v="0"/>
    <n v="260.85000000000002"/>
    <n v="514.68793768983005"/>
    <n v="0.66365281784019592"/>
    <x v="0"/>
    <s v="LEVE"/>
    <x v="2"/>
    <x v="0"/>
    <n v="5"/>
    <n v="1"/>
    <d v="2019-11-28T00:00:00"/>
    <s v="BDG-262"/>
    <s v="KIA"/>
    <s v="RIO"/>
    <s v="MILLA HUAYAKAWA ELEONORA"/>
  </r>
  <r>
    <d v="2019-12-03T00:00:00"/>
    <s v="005-00000224"/>
    <n v="650"/>
    <n v="121.64754874999998"/>
    <n v="19.489999999999998"/>
    <n v="0"/>
    <n v="40.250250000000001"/>
    <n v="0"/>
    <n v="0"/>
    <n v="0"/>
    <n v="181.38779874999997"/>
    <n v="468.61220125"/>
    <n v="0.72094184807692308"/>
    <x v="0"/>
    <s v="MECANICA"/>
    <x v="2"/>
    <x v="0"/>
    <n v="1"/>
    <n v="1"/>
    <d v="2019-12-02T00:00:00"/>
    <s v="D3X-162"/>
    <s v="HONDA"/>
    <s v="CRV"/>
    <s v="TEJADA LIZA DE DEL MOS CLAUDIA"/>
  </r>
  <r>
    <d v="2019-12-05T00:00:00"/>
    <s v="005-00000221"/>
    <n v="101.57999699999999"/>
    <n v="0"/>
    <n v="0"/>
    <n v="0"/>
    <n v="0"/>
    <n v="0"/>
    <n v="35.175000000000004"/>
    <n v="0"/>
    <n v="35.175000000000004"/>
    <n v="66.40499699999998"/>
    <n v="0.65372119473482548"/>
    <x v="0"/>
    <s v="LEVE"/>
    <x v="2"/>
    <x v="0"/>
    <n v="3"/>
    <n v="1"/>
    <d v="2019-12-02T00:00:00"/>
    <s v="BDW-631"/>
    <s v="MAZDA"/>
    <s v="MAZDA3"/>
    <s v="DIAZ PAURO RAUL"/>
  </r>
  <r>
    <d v="2019-12-13T00:00:00"/>
    <s v="005-00000248"/>
    <n v="623"/>
    <n v="259.32500099999999"/>
    <n v="0"/>
    <n v="0"/>
    <n v="0"/>
    <n v="0"/>
    <n v="0"/>
    <n v="0"/>
    <n v="259.32500099999999"/>
    <n v="363.67499900000001"/>
    <n v="0.58374799197431781"/>
    <x v="0"/>
    <s v="MECANICA"/>
    <x v="2"/>
    <x v="0"/>
    <n v="6"/>
    <n v="1"/>
    <d v="2019-12-07T00:00:00"/>
    <s v="APE333"/>
    <s v="VOLKWAGEN"/>
    <s v="GOL"/>
    <s v="ALIAGA MORALES GUSTAVO"/>
  </r>
  <r>
    <d v="2019-12-20T00:00:00"/>
    <s v="005-00000267"/>
    <n v="200.28000599999999"/>
    <n v="0"/>
    <n v="0"/>
    <n v="0"/>
    <n v="0"/>
    <n v="0"/>
    <n v="35.175000000000004"/>
    <n v="0"/>
    <n v="35.175000000000004"/>
    <n v="165.10500599999997"/>
    <n v="0.82437088602843356"/>
    <x v="0"/>
    <s v="LEVE"/>
    <x v="2"/>
    <x v="0"/>
    <n v="4"/>
    <n v="1"/>
    <d v="2019-12-16T00:00:00"/>
    <s v="AKI-444"/>
    <s v="MAZDA"/>
    <s v="MAZDA3"/>
    <s v="RUIZ FLORES OMAR"/>
  </r>
  <r>
    <d v="2019-12-20T00:00:00"/>
    <s v="005-00000262"/>
    <n v="349"/>
    <n v="76.520498599999996"/>
    <n v="15.25"/>
    <n v="0"/>
    <n v="40.250250000000001"/>
    <n v="0"/>
    <n v="0"/>
    <n v="0"/>
    <n v="132.02074859999999"/>
    <n v="216.97925140000001"/>
    <n v="0.62171705272206301"/>
    <x v="0"/>
    <s v="MECANICA"/>
    <x v="2"/>
    <x v="0"/>
    <n v="8"/>
    <n v="1"/>
    <d v="2019-12-12T00:00:00"/>
    <s v="BFS-508"/>
    <s v="CHERY"/>
    <s v="QQ"/>
    <s v="RODRIGUEZ CHUMPITAZ MARCOS"/>
  </r>
  <r>
    <d v="2019-12-20T00:00:00"/>
    <s v="005-00000259"/>
    <n v="500.70001500000001"/>
    <n v="0"/>
    <n v="0"/>
    <n v="0"/>
    <n v="0"/>
    <n v="60.300000000000004"/>
    <n v="140.70000000000002"/>
    <n v="0"/>
    <n v="201.00000000000003"/>
    <n v="299.70001500000001"/>
    <n v="0.59856202520784829"/>
    <x v="1"/>
    <s v="LEVE"/>
    <x v="2"/>
    <x v="0"/>
    <n v="9"/>
    <n v="1"/>
    <d v="2019-12-11T00:00:00"/>
    <s v="BFS-508"/>
    <s v="CHERY"/>
    <s v="QQ"/>
    <s v="RODRIGUEZ CHUMPITAZ MARCOS"/>
  </r>
  <r>
    <d v="2019-12-21T00:00:00"/>
    <s v="005-00000269"/>
    <n v="166.3"/>
    <n v="0"/>
    <n v="0"/>
    <n v="0"/>
    <n v="0"/>
    <n v="22.612500000000001"/>
    <n v="105.52500000000001"/>
    <n v="0"/>
    <n v="128.13750000000002"/>
    <n v="38.162499999999994"/>
    <n v="0.22947985568250145"/>
    <x v="1"/>
    <s v="LEVE"/>
    <x v="2"/>
    <x v="0"/>
    <n v="5"/>
    <n v="1"/>
    <d v="2019-12-16T00:00:00"/>
    <s v="BEE-024"/>
    <s v="HONDA"/>
    <s v="CRV"/>
    <s v="MARTOS SALCEDO KARIN LILIANA"/>
  </r>
  <r>
    <d v="2019-12-21T00:00:00"/>
    <s v="005-00000273"/>
    <n v="2269.7966000000001"/>
    <n v="1208.8978894000002"/>
    <n v="0"/>
    <n v="101.69999999999999"/>
    <n v="40.250250000000001"/>
    <n v="0"/>
    <n v="0"/>
    <n v="0"/>
    <n v="1350.8481394000003"/>
    <n v="918.94846059999986"/>
    <n v="0.40485938722438819"/>
    <x v="0"/>
    <s v="MECANICA"/>
    <x v="2"/>
    <x v="0"/>
    <n v="2"/>
    <n v="1"/>
    <d v="2019-12-19T00:00:00"/>
    <s v="A2Q-372"/>
    <s v="HYUNDAI"/>
    <s v="TUCSON"/>
    <s v="SALVATIERRA YARACSA KARINA"/>
  </r>
  <r>
    <d v="2019-12-23T00:00:00"/>
    <s v="005-00000284"/>
    <n v="404.10169999999999"/>
    <n v="0"/>
    <n v="0"/>
    <n v="0"/>
    <n v="0"/>
    <n v="0"/>
    <n v="0"/>
    <n v="0"/>
    <n v="0"/>
    <n v="404.10169999999999"/>
    <n v="1"/>
    <x v="0"/>
    <s v="MECANICA"/>
    <x v="2"/>
    <x v="0"/>
    <n v="0"/>
    <n v="1"/>
    <d v="2019-12-23T00:00:00"/>
    <s v="BKA372"/>
    <s v="MAZDA"/>
    <s v="CX3"/>
    <s v="VERME ALVA RODRIGO"/>
  </r>
  <r>
    <d v="2019-12-27T00:00:00"/>
    <s v="005-00000277"/>
    <n v="332.2"/>
    <n v="0"/>
    <n v="0"/>
    <n v="0"/>
    <n v="0"/>
    <n v="45.225000000000001"/>
    <n v="140.70000000000002"/>
    <n v="0"/>
    <n v="185.92500000000001"/>
    <n v="146.27499999999998"/>
    <n v="0.44032209512341958"/>
    <x v="1"/>
    <s v="LEVE"/>
    <x v="2"/>
    <x v="0"/>
    <n v="7"/>
    <n v="1"/>
    <d v="2019-12-20T00:00:00"/>
    <s v="F7V531"/>
    <s v="HONDA"/>
    <s v="ACCORD"/>
    <s v="DIAZ SALCEDO LUIS FELIPE"/>
  </r>
  <r>
    <d v="2019-12-28T00:00:00"/>
    <s v="005-00000279"/>
    <n v="1690.1412622293901"/>
    <n v="0"/>
    <n v="0"/>
    <n v="186.44"/>
    <n v="0"/>
    <n v="0"/>
    <n v="0"/>
    <n v="0"/>
    <n v="186.44"/>
    <n v="1503.7012622293901"/>
    <n v="0.88968969389335228"/>
    <x v="0"/>
    <s v="MEDIANO"/>
    <x v="2"/>
    <x v="0"/>
    <n v="7"/>
    <n v="1"/>
    <d v="2019-12-21T00:00:00"/>
    <s v="BAK021"/>
    <s v="KIA"/>
    <s v="SORENTO"/>
    <s v="LOAYZA VEGA FELIPE"/>
  </r>
  <r>
    <d v="2019-12-28T00:00:00"/>
    <s v="005-00000286"/>
    <n v="42.372897999999985"/>
    <n v="0"/>
    <n v="0"/>
    <n v="0"/>
    <n v="0"/>
    <n v="0"/>
    <n v="70.350000000000009"/>
    <n v="0"/>
    <n v="70.350000000000009"/>
    <n v="-27.977102000000023"/>
    <n v="-0.66025934785012896"/>
    <x v="0"/>
    <s v="LEVE"/>
    <x v="2"/>
    <x v="0"/>
    <n v="5"/>
    <n v="1"/>
    <d v="2019-12-23T00:00:00"/>
    <s v="BEA-170"/>
    <s v="KIA"/>
    <s v="CERATO"/>
    <s v="GUZMAN ZUÑIGA CARLOS LEONARDO"/>
  </r>
  <r>
    <d v="2020-01-02T00:00:00"/>
    <s v="005-00000274"/>
    <n v="1922.73"/>
    <n v="0"/>
    <n v="0"/>
    <n v="0"/>
    <n v="0"/>
    <n v="105.52500000000001"/>
    <n v="281.40000000000003"/>
    <n v="0"/>
    <n v="386.92500000000007"/>
    <n v="1535.8049999999998"/>
    <n v="0.79876269679050094"/>
    <x v="1"/>
    <s v="LEVE"/>
    <x v="3"/>
    <x v="1"/>
    <n v="14"/>
    <n v="1"/>
    <d v="2019-12-19T00:00:00"/>
    <s v="F2Y-614"/>
    <s v="MAZDA"/>
    <s v="MAZDA3"/>
    <s v="NGV SUMINISTROS S.A.C."/>
  </r>
  <r>
    <d v="2020-01-02T00:00:00"/>
    <s v="005-00000259"/>
    <n v="192.38599419999997"/>
    <n v="0"/>
    <n v="0"/>
    <n v="0"/>
    <n v="0"/>
    <n v="60.300000000000004"/>
    <n v="140.70000000000002"/>
    <n v="0"/>
    <n v="201.00000000000003"/>
    <n v="-8.6140058000000579"/>
    <n v="-4.4774599293569882E-2"/>
    <x v="1"/>
    <s v="LEVE"/>
    <x v="3"/>
    <x v="1"/>
    <n v="22"/>
    <n v="1"/>
    <d v="2019-12-11T00:00:00"/>
    <s v="BFS-508"/>
    <s v="CHERY"/>
    <s v="QQ"/>
    <s v="RODRIGUEZ CHUMPITAZ MARCOS"/>
  </r>
  <r>
    <d v="2020-01-02T00:00:00"/>
    <s v="005-00000269"/>
    <n v="376.47948865000001"/>
    <n v="0"/>
    <n v="0"/>
    <n v="0"/>
    <n v="0"/>
    <n v="22.612500000000001"/>
    <n v="105.52500000000001"/>
    <n v="0"/>
    <n v="128.13750000000002"/>
    <n v="248.34198864999999"/>
    <n v="0.65964281225656618"/>
    <x v="1"/>
    <s v="LEVE"/>
    <x v="3"/>
    <x v="1"/>
    <n v="17"/>
    <n v="1"/>
    <d v="2019-12-16T00:00:00"/>
    <s v="BEE-024"/>
    <s v="HONDA"/>
    <s v="CRV"/>
    <s v="MARTOS SALCEDO KARIN LILIANA"/>
  </r>
  <r>
    <d v="2020-01-02T00:00:00"/>
    <s v="005-00000277"/>
    <n v="383.11348845000003"/>
    <n v="0"/>
    <n v="0"/>
    <n v="0"/>
    <n v="0"/>
    <n v="45.225000000000001"/>
    <n v="140.70000000000002"/>
    <n v="0"/>
    <n v="185.92500000000001"/>
    <n v="197.18848845000002"/>
    <n v="0.5146999372112554"/>
    <x v="1"/>
    <s v="LEVE"/>
    <x v="3"/>
    <x v="1"/>
    <n v="13"/>
    <n v="1"/>
    <d v="2019-12-20T00:00:00"/>
    <s v="F7V-531"/>
    <s v="HONDA"/>
    <s v="ACCORD"/>
    <s v="DIAZ SALCEDO LUIS FELIPE"/>
  </r>
  <r>
    <d v="2020-01-02T00:00:00"/>
    <s v="005-00000283"/>
    <n v="912.17497250000008"/>
    <n v="0"/>
    <n v="0"/>
    <n v="0"/>
    <n v="0"/>
    <n v="90.45"/>
    <n v="175.875"/>
    <n v="0"/>
    <n v="266.32499999999999"/>
    <n v="645.84997250000015"/>
    <n v="0.70803298925196079"/>
    <x v="1"/>
    <s v="LEVE"/>
    <x v="3"/>
    <x v="1"/>
    <n v="10"/>
    <n v="1"/>
    <d v="2019-12-23T00:00:00"/>
    <s v="BEA-170"/>
    <s v="KIA"/>
    <s v="CERATO"/>
    <s v="RIMAC SEGUROS  Y REASEGUROS S.A"/>
  </r>
  <r>
    <d v="2020-01-02T00:00:00"/>
    <s v="005-00000271"/>
    <n v="1343.3849595000002"/>
    <n v="0"/>
    <n v="0"/>
    <n v="0"/>
    <n v="0"/>
    <n v="105.52500000000001"/>
    <n v="175.875"/>
    <n v="0"/>
    <n v="281.39999999999998"/>
    <n v="1061.9849595000001"/>
    <n v="0.79052914206756086"/>
    <x v="1"/>
    <s v="LEVE"/>
    <x v="3"/>
    <x v="1"/>
    <n v="15"/>
    <n v="1"/>
    <d v="2019-12-18T00:00:00"/>
    <s v="ATT-083"/>
    <s v="KIA"/>
    <s v="SPORTAGE"/>
    <s v="RIMAC SEGUROS  Y REASEGUROS S.A"/>
  </r>
  <r>
    <d v="2020-01-02T00:00:00"/>
    <s v="005-00000261"/>
    <n v="1104.5609667000001"/>
    <n v="0"/>
    <n v="0"/>
    <n v="0"/>
    <n v="0"/>
    <n v="120.60000000000001"/>
    <n v="140.70000000000002"/>
    <n v="0"/>
    <n v="261.3"/>
    <n v="843.26096670000015"/>
    <n v="0.76343542106085549"/>
    <x v="1"/>
    <s v="LEVE"/>
    <x v="3"/>
    <x v="1"/>
    <n v="21"/>
    <n v="1"/>
    <d v="2019-12-12T00:00:00"/>
    <s v="BMD-515"/>
    <s v="MITSUBISHI"/>
    <s v="XPANDER"/>
    <s v="RIMAC SEGUROS  Y REASEGUROS S.A"/>
  </r>
  <r>
    <d v="2020-01-02T00:00:00"/>
    <s v="005-00000263"/>
    <n v="369.84548885000004"/>
    <n v="0"/>
    <n v="0"/>
    <n v="0"/>
    <n v="0"/>
    <n v="22.612500000000001"/>
    <n v="70.350000000000009"/>
    <n v="0"/>
    <n v="92.962500000000006"/>
    <n v="276.88298885000006"/>
    <n v="0.74864503474394628"/>
    <x v="1"/>
    <s v="LEVE"/>
    <x v="3"/>
    <x v="1"/>
    <n v="20"/>
    <n v="1"/>
    <d v="2019-12-13T00:00:00"/>
    <s v="AKI-444"/>
    <s v="MAZDA"/>
    <s v="MAZDA3"/>
    <s v="RIMAC SEGUROS  Y REASEGUROS S.A"/>
  </r>
  <r>
    <d v="2020-01-02T00:00:00"/>
    <s v="005-00000243"/>
    <n v="1670"/>
    <n v="1025.7909890000001"/>
    <n v="0"/>
    <n v="0"/>
    <n v="0"/>
    <n v="0"/>
    <n v="0"/>
    <n v="0"/>
    <n v="1025.7909890000001"/>
    <n v="644.20901099999992"/>
    <n v="0.38575389880239513"/>
    <x v="2"/>
    <s v="GRAVE"/>
    <x v="3"/>
    <x v="1"/>
    <n v="27"/>
    <n v="1"/>
    <d v="2019-12-06T00:00:00"/>
    <s v="AVV-131"/>
    <s v="HYUNDAI"/>
    <s v="HYUNDAI"/>
    <s v="EDPYME ACCESO CREDITICIO SOCIEDAD ANONIMA"/>
  </r>
  <r>
    <d v="2020-01-02T00:00:00"/>
    <s v="005-00000202"/>
    <n v="9418.7542099999991"/>
    <n v="1850.9663059000002"/>
    <n v="0"/>
    <n v="197.21"/>
    <n v="350.49375000000003"/>
    <n v="542.70000000000005"/>
    <n v="1266.3"/>
    <n v="0"/>
    <n v="4207.6700559000001"/>
    <n v="5211.0841540999991"/>
    <n v="0.55326681617483253"/>
    <x v="2"/>
    <s v="GRAVE"/>
    <x v="3"/>
    <x v="1"/>
    <n v="40"/>
    <n v="1"/>
    <d v="2019-11-23T00:00:00"/>
    <s v="AYW-081"/>
    <s v="CHEVROLET"/>
    <s v="SAIL"/>
    <s v="EDPYME ACCESO CREDITICIO SOCIEDAD ANONIMA"/>
  </r>
  <r>
    <d v="2020-01-02T00:00:00"/>
    <s v="005-00000195"/>
    <n v="13465.754209999999"/>
    <n v="4429.5701867999996"/>
    <n v="0"/>
    <n v="288.14"/>
    <n v="305.26875000000001"/>
    <n v="603"/>
    <n v="1266.3"/>
    <n v="0"/>
    <n v="6892.2789368000003"/>
    <n v="6573.4752731999988"/>
    <n v="0.48816242823728173"/>
    <x v="2"/>
    <s v="GRAVE"/>
    <x v="3"/>
    <x v="1"/>
    <n v="42"/>
    <n v="1"/>
    <d v="2019-11-21T00:00:00"/>
    <s v="AYE-380"/>
    <s v="CHEVROLET"/>
    <s v="SAIL"/>
    <s v="EDPYME ACCESO CREDITICIO SOCIEDAD ANONIMA"/>
  </r>
  <r>
    <d v="2020-01-02T00:00:00"/>
    <s v="005-00000196"/>
    <n v="11714.754209999999"/>
    <n v="2998.95411074"/>
    <n v="0"/>
    <n v="209.15"/>
    <n v="275.11875000000003"/>
    <n v="753.75"/>
    <n v="1266.3"/>
    <n v="0"/>
    <n v="5503.2728607400004"/>
    <n v="6211.4813492599988"/>
    <n v="0.53022720220264863"/>
    <x v="2"/>
    <s v="GRAVE"/>
    <x v="3"/>
    <x v="1"/>
    <n v="42"/>
    <n v="1"/>
    <d v="2019-11-21T00:00:00"/>
    <s v="F0B-164"/>
    <s v="CHEVROLET"/>
    <s v="SAIL"/>
    <s v="EDPYME ACCESO CREDITICIO SOCIEDAD ANONIMA"/>
  </r>
  <r>
    <d v="2020-01-02T00:00:00"/>
    <s v="005-00000054"/>
    <n v="9866"/>
    <n v="2023.7140816400004"/>
    <n v="415.25016949152536"/>
    <n v="164.74"/>
    <n v="165.82500000000002"/>
    <n v="678.375"/>
    <n v="1195.95"/>
    <n v="0"/>
    <n v="4643.8542511315254"/>
    <n v="5222.1457488684746"/>
    <n v="0.52930729260779186"/>
    <x v="2"/>
    <s v="MEDIANO"/>
    <x v="3"/>
    <x v="1"/>
    <n v="78"/>
    <n v="1"/>
    <d v="2019-10-16T00:00:00"/>
    <s v="AMR-639"/>
    <s v="CHEVROLET"/>
    <s v="SAIL"/>
    <s v="EDPYME ACCESO CREDITICIO SOCIEDAD ANONIMA"/>
  </r>
  <r>
    <d v="2020-01-02T00:00:00"/>
    <s v="005-00000191"/>
    <n v="4710"/>
    <n v="1218.8407061"/>
    <n v="76.260000000000005"/>
    <n v="842.37"/>
    <n v="0"/>
    <n v="0"/>
    <n v="0"/>
    <n v="0"/>
    <n v="2137.4707060999999"/>
    <n v="2572.5292939000001"/>
    <n v="0.54618456346072186"/>
    <x v="2"/>
    <s v="MECANICA"/>
    <x v="3"/>
    <x v="1"/>
    <n v="42"/>
    <n v="1"/>
    <d v="2019-11-21T00:00:00"/>
    <s v="AMR639"/>
    <s v="CHEVROLET"/>
    <s v="SAIL"/>
    <s v="EDPYME ACCESO CREDITICIO SOCIEDAD ANONIMA"/>
  </r>
  <r>
    <d v="2020-01-02T00:00:00"/>
    <s v="005-00000252"/>
    <n v="2488.7542100000001"/>
    <n v="221.6296931"/>
    <n v="16.100000000000001"/>
    <n v="89.32"/>
    <n v="139.44374999999999"/>
    <n v="120.60000000000001"/>
    <n v="562.80000000000007"/>
    <n v="0"/>
    <n v="1149.8934431000002"/>
    <n v="1338.8607668999998"/>
    <n v="0.53796423990780506"/>
    <x v="2"/>
    <s v="LEVE"/>
    <x v="3"/>
    <x v="1"/>
    <n v="24"/>
    <n v="1"/>
    <d v="2019-12-09T00:00:00"/>
    <s v="BJJ-554"/>
    <s v="CHEVROLET"/>
    <s v="COBALT"/>
    <s v="EDPYME ACCESO CREDITICIO SOCIEDAD ANONIMA"/>
  </r>
  <r>
    <d v="2020-01-02T00:00:00"/>
    <s v="005-00000194"/>
    <n v="10452"/>
    <n v="2174.7578027"/>
    <n v="71.19"/>
    <n v="342.78999999999996"/>
    <n v="316.57499999999999"/>
    <n v="422.1"/>
    <n v="1266.3"/>
    <n v="0"/>
    <n v="4593.7128026999999"/>
    <n v="5858.2871973000001"/>
    <n v="0.56049437402411018"/>
    <x v="2"/>
    <s v="GRAVE"/>
    <x v="3"/>
    <x v="1"/>
    <n v="42"/>
    <n v="1"/>
    <d v="2019-11-21T00:00:00"/>
    <s v="AUN-101"/>
    <s v="CHEVROLET"/>
    <s v="SAIL"/>
    <s v="EDPYME ACCESO CREDITICIO SOCIEDAD ANONIMA"/>
  </r>
  <r>
    <d v="2020-01-02T00:00:00"/>
    <s v="005-00000276"/>
    <n v="1101.21"/>
    <n v="152.54000000000002"/>
    <n v="0"/>
    <n v="59.32"/>
    <n v="0"/>
    <n v="45.225000000000001"/>
    <n v="158.28749999999999"/>
    <n v="0"/>
    <n v="415.37250000000006"/>
    <n v="685.83749999999998"/>
    <n v="0.62280355245593477"/>
    <x v="1"/>
    <s v="LEVE"/>
    <x v="3"/>
    <x v="1"/>
    <n v="14"/>
    <n v="1"/>
    <d v="2019-12-19T00:00:00"/>
    <s v="F2O-046"/>
    <s v="MAZDA"/>
    <s v="CX-5"/>
    <s v="RIMAC SEGUROS  Y REASEGUROS S.A"/>
  </r>
  <r>
    <d v="2020-01-02T00:00:00"/>
    <s v="005-00000295"/>
    <n v="499"/>
    <n v="125.31709879999997"/>
    <n v="0"/>
    <n v="0"/>
    <n v="40.250250000000001"/>
    <n v="0"/>
    <n v="0"/>
    <n v="0"/>
    <n v="165.56734879999996"/>
    <n v="333.43265120000001"/>
    <n v="0.6682017058116233"/>
    <x v="0"/>
    <s v="MECANICA"/>
    <x v="3"/>
    <x v="1"/>
    <n v="5"/>
    <n v="1"/>
    <d v="2019-12-28T00:00:00"/>
    <s v="C4S-251"/>
    <s v="KIA"/>
    <s v="SORENTO"/>
    <s v="INDURA PERU S.A."/>
  </r>
  <r>
    <d v="2020-01-04T00:00:00"/>
    <s v="005-00000282"/>
    <n v="1281.3570387"/>
    <n v="0"/>
    <n v="0"/>
    <n v="0"/>
    <n v="0"/>
    <n v="60.300000000000004"/>
    <n v="0"/>
    <n v="0"/>
    <n v="60.300000000000004"/>
    <n v="1221.0570387"/>
    <n v="0.95294051682802061"/>
    <x v="1"/>
    <s v="LEVE"/>
    <x v="3"/>
    <x v="1"/>
    <n v="12"/>
    <n v="1"/>
    <d v="2019-12-23T00:00:00"/>
    <s v="F3M-334"/>
    <s v="SUZUKI"/>
    <s v="SWIFT"/>
    <s v="RIMAC SEGUROS  Y REASEGUROS S.A"/>
  </r>
  <r>
    <d v="2020-01-06T00:00:00"/>
    <s v="005-00000299"/>
    <n v="879"/>
    <n v="258.47460100000006"/>
    <n v="0"/>
    <n v="0"/>
    <n v="30.150000000000002"/>
    <n v="0"/>
    <n v="0"/>
    <n v="0"/>
    <n v="288.62460100000004"/>
    <n v="590.37539900000002"/>
    <n v="0.67164436746302614"/>
    <x v="1"/>
    <s v="LEVE"/>
    <x v="3"/>
    <x v="1"/>
    <n v="4"/>
    <n v="1"/>
    <d v="2020-01-02T00:00:00"/>
    <s v="F2F-448"/>
    <s v="NISSAN"/>
    <s v="TIIDA"/>
    <s v="LADO B EDUCACION EMOCIONAL S.A.C."/>
  </r>
  <r>
    <d v="2020-01-06T00:00:00"/>
    <s v="005-00000293"/>
    <n v="561.25419999999997"/>
    <n v="46.94"/>
    <n v="42.37"/>
    <n v="80"/>
    <n v="0"/>
    <n v="45.225000000000001"/>
    <n v="52.762500000000003"/>
    <n v="0"/>
    <n v="267.29750000000001"/>
    <n v="293.95669999999996"/>
    <n v="0.5237496663722071"/>
    <x v="2"/>
    <s v="LEVE"/>
    <x v="3"/>
    <x v="1"/>
    <n v="10"/>
    <n v="1"/>
    <d v="2019-12-27T00:00:00"/>
    <s v="AEM-292"/>
    <s v="HYUNDAI"/>
    <s v="ACCENT"/>
    <s v="EDPYME ACCESO CREDITICIO SOCIEDAD ANONIMA"/>
  </r>
  <r>
    <d v="2020-01-07T00:00:00"/>
    <s v="005-00000296"/>
    <n v="971.97749999999996"/>
    <n v="0"/>
    <n v="0"/>
    <n v="0"/>
    <n v="0"/>
    <n v="90.45"/>
    <n v="175.875"/>
    <n v="0"/>
    <n v="266.32499999999999"/>
    <n v="705.65249999999992"/>
    <n v="0.72599674375178436"/>
    <x v="1"/>
    <s v="LEVE"/>
    <x v="3"/>
    <x v="1"/>
    <n v="8"/>
    <n v="1"/>
    <d v="2019-12-30T00:00:00"/>
    <s v="BDK-341"/>
    <s v="SUZUKI"/>
    <s v="SWIFT"/>
    <s v="RIMAC SEGUROS  Y REASEGUROS S.A"/>
  </r>
  <r>
    <d v="2020-01-07T00:00:00"/>
    <s v="005-00000319"/>
    <n v="355"/>
    <n v="0"/>
    <n v="0"/>
    <n v="0"/>
    <n v="0"/>
    <n v="0"/>
    <n v="0"/>
    <n v="0"/>
    <n v="0"/>
    <n v="355"/>
    <n v="1"/>
    <x v="0"/>
    <s v="MECANICA"/>
    <x v="3"/>
    <x v="1"/>
    <n v="0"/>
    <n v="1"/>
    <d v="2020-01-07T00:00:00"/>
    <s v="F6K132"/>
    <s v="KIA"/>
    <s v="SORENTO"/>
    <s v="INDURA PERU S.A."/>
  </r>
  <r>
    <d v="2020-01-07T00:00:00"/>
    <s v="005-00000207"/>
    <n v="7728"/>
    <n v="5149.3193375500005"/>
    <n v="0"/>
    <n v="1884.75"/>
    <n v="80.500500000000002"/>
    <n v="30.150000000000002"/>
    <n v="0"/>
    <n v="0"/>
    <n v="7144.7198375500002"/>
    <n v="583.28016244999981"/>
    <n v="7.5476211497153181E-2"/>
    <x v="0"/>
    <s v="MECANICA"/>
    <x v="3"/>
    <x v="1"/>
    <n v="43"/>
    <n v="1"/>
    <d v="2019-11-25T00:00:00"/>
    <s v="F6K-132"/>
    <s v="KIA"/>
    <s v="SORENTO"/>
    <s v="INDURA PERU S.A."/>
  </r>
  <r>
    <d v="2020-01-08T00:00:00"/>
    <s v="005-00000190"/>
    <n v="13586.59331"/>
    <n v="5329.3985689000001"/>
    <n v="0"/>
    <n v="122.88"/>
    <n v="350.49375000000003"/>
    <n v="482.40000000000003"/>
    <n v="1090.425"/>
    <n v="0"/>
    <n v="7375.5973188999997"/>
    <n v="6210.9959911000005"/>
    <n v="0.4571415254277601"/>
    <x v="2"/>
    <s v="GRAVE"/>
    <x v="3"/>
    <x v="1"/>
    <n v="48"/>
    <n v="1"/>
    <d v="2019-11-21T00:00:00"/>
    <s v="AVV-131"/>
    <s v="HYUNDAI"/>
    <s v="ACCENT"/>
    <s v="EDPYME ACCESO CREDITICIO SOCIEDAD ANONIMA"/>
  </r>
  <r>
    <d v="2020-01-08T00:00:00"/>
    <s v="005-00000298"/>
    <n v="941.5409717"/>
    <n v="0"/>
    <n v="0"/>
    <n v="0"/>
    <n v="0"/>
    <n v="90.45"/>
    <n v="140.70000000000002"/>
    <n v="0"/>
    <n v="231.15000000000003"/>
    <n v="710.39097169999991"/>
    <n v="0.75449820353261199"/>
    <x v="1"/>
    <s v="LEVE"/>
    <x v="3"/>
    <x v="1"/>
    <n v="6"/>
    <n v="1"/>
    <d v="2020-01-02T00:00:00"/>
    <s v="BAG-855"/>
    <s v="RAM"/>
    <s v="V700"/>
    <s v="GRUPO BONNETT SA"/>
  </r>
  <r>
    <d v="2020-01-10T00:00:00"/>
    <s v="005-00000114"/>
    <n v="2480.7870746999997"/>
    <n v="5.4759001999999999"/>
    <n v="0"/>
    <n v="84.75"/>
    <n v="0"/>
    <n v="180.9"/>
    <n v="386.92500000000001"/>
    <n v="0"/>
    <n v="658.0509002"/>
    <n v="1822.7361744999998"/>
    <n v="0.7347410799939057"/>
    <x v="1"/>
    <s v="MEDIANO"/>
    <x v="3"/>
    <x v="1"/>
    <n v="73"/>
    <n v="1"/>
    <d v="2019-10-29T00:00:00"/>
    <s v="BFZ-509"/>
    <s v="KIA"/>
    <s v="SPORTAGE"/>
    <s v="SOLUCION INTEGRAL DE TECNOLOGIAS DE INFORMACION Y COMUNICACION E.I.R.L."/>
  </r>
  <r>
    <d v="2020-01-10T00:00:00"/>
    <s v="005-00000291"/>
    <n v="840.21302530000003"/>
    <n v="0"/>
    <n v="0"/>
    <n v="0"/>
    <n v="0"/>
    <n v="60.300000000000004"/>
    <n v="140.70000000000002"/>
    <n v="0"/>
    <n v="201.00000000000003"/>
    <n v="639.21302530000003"/>
    <n v="0.7607749535562931"/>
    <x v="1"/>
    <s v="LEVE"/>
    <x v="3"/>
    <x v="1"/>
    <n v="14"/>
    <n v="1"/>
    <d v="2019-12-27T00:00:00"/>
    <s v="AWJ-049"/>
    <s v="RENAULT"/>
    <s v="LOGAN"/>
    <s v="RIMAC SEGUROS  Y REASEGUROS S.A"/>
  </r>
  <r>
    <d v="2020-01-11T00:00:00"/>
    <s v="005-00000281"/>
    <n v="570.06598284999995"/>
    <n v="0"/>
    <n v="0"/>
    <n v="0"/>
    <n v="0"/>
    <n v="45.225000000000001"/>
    <n v="0"/>
    <n v="0"/>
    <n v="45.225000000000001"/>
    <n v="524.84098284999993"/>
    <n v="0.92066707826714866"/>
    <x v="1"/>
    <s v="LEVE"/>
    <x v="3"/>
    <x v="1"/>
    <n v="19"/>
    <n v="1"/>
    <d v="2019-12-23T00:00:00"/>
    <s v="AJE-585"/>
    <s v="AUDI"/>
    <s v="Q3"/>
    <s v="RIMAC SEGUROS  Y REASEGUROS S.A"/>
  </r>
  <r>
    <d v="2020-01-11T00:00:00"/>
    <s v="005-00000304"/>
    <n v="899.98693372458013"/>
    <n v="0"/>
    <n v="0"/>
    <n v="0"/>
    <n v="0"/>
    <n v="60.300000000000004"/>
    <n v="211.05"/>
    <n v="0"/>
    <n v="271.35000000000002"/>
    <n v="628.6369337245801"/>
    <n v="0.69849562273418475"/>
    <x v="1"/>
    <s v="LEVE"/>
    <x v="3"/>
    <x v="1"/>
    <n v="8"/>
    <n v="1"/>
    <d v="2020-01-03T00:00:00"/>
    <s v="BFF-666"/>
    <s v="KIA"/>
    <s v="RIO"/>
    <s v="RIMAC SEGUROS  Y REASEGUROS S.A"/>
  </r>
  <r>
    <d v="2020-01-11T00:00:00"/>
    <s v="005-00000305"/>
    <n v="73.972958574580005"/>
    <n v="0"/>
    <n v="0"/>
    <n v="0"/>
    <n v="0"/>
    <n v="7.5375000000000005"/>
    <n v="17.587500000000002"/>
    <n v="0"/>
    <n v="25.125000000000004"/>
    <n v="48.847958574580005"/>
    <n v="0.66034885606652038"/>
    <x v="1"/>
    <s v="LEVE"/>
    <x v="3"/>
    <x v="1"/>
    <n v="8"/>
    <n v="1"/>
    <d v="2020-01-03T00:00:00"/>
    <s v="BFF-666"/>
    <s v="KIA"/>
    <s v="RIO"/>
    <s v="RIMAC SEGUROS  Y REASEGUROS S.A"/>
  </r>
  <r>
    <d v="2020-01-13T00:00:00"/>
    <s v="005-00000201"/>
    <n v="13559.322"/>
    <n v="4221.5106992799992"/>
    <n v="33.9"/>
    <n v="808.89"/>
    <n v="350.49375000000003"/>
    <n v="829.125"/>
    <n v="1371.825"/>
    <n v="0"/>
    <n v="7615.7444492799987"/>
    <n v="5943.5775507200015"/>
    <n v="0.43833884546144719"/>
    <x v="2"/>
    <s v="GRAVE"/>
    <x v="3"/>
    <x v="1"/>
    <n v="51"/>
    <n v="1"/>
    <d v="2019-11-23T00:00:00"/>
    <s v="D9T-310"/>
    <s v="CHEVROLET"/>
    <s v="SAIL"/>
    <s v="EDPYME ACCESO CREDITICIO SOCIEDAD ANONIMA"/>
  </r>
  <r>
    <d v="2020-01-13T00:00:00"/>
    <s v="005-00000203"/>
    <n v="13999.754209999999"/>
    <n v="2707.6113702200005"/>
    <n v="153.97999999999999"/>
    <n v="714.1400000000001"/>
    <n v="440.94375000000002"/>
    <n v="783.9"/>
    <n v="1266.3"/>
    <n v="0"/>
    <n v="6066.875120220001"/>
    <n v="7932.8790897799981"/>
    <n v="0.56664416894644887"/>
    <x v="2"/>
    <s v="GRAVE"/>
    <x v="3"/>
    <x v="1"/>
    <n v="51"/>
    <n v="1"/>
    <d v="2019-11-23T00:00:00"/>
    <s v="ARM-473"/>
    <s v="CHEVROLET"/>
    <s v="SAIL"/>
    <s v="EDPYME ACCESO CREDITICIO SOCIEDAD ANONIMA"/>
  </r>
  <r>
    <d v="2020-01-13T00:00:00"/>
    <s v="005-00000093"/>
    <n v="344.03398965000002"/>
    <n v="158.72000199999997"/>
    <n v="0"/>
    <n v="0"/>
    <n v="0"/>
    <n v="15.075000000000001"/>
    <n v="0"/>
    <n v="0"/>
    <n v="173.79500199999995"/>
    <n v="170.23898765000007"/>
    <n v="0.49483188513783544"/>
    <x v="0"/>
    <s v="MECANICA"/>
    <x v="3"/>
    <x v="1"/>
    <n v="81"/>
    <n v="1"/>
    <d v="2019-10-24T00:00:00"/>
    <s v="BEJ-577"/>
    <s v="MAZDA"/>
    <s v="MAZDA3"/>
    <s v="RENTAEQUIPOS LEASING PERU S.A."/>
  </r>
  <r>
    <d v="2020-01-14T00:00:00"/>
    <s v="005-00000301"/>
    <n v="1682.1920111999998"/>
    <n v="5.4759001999999999"/>
    <n v="0"/>
    <n v="199.16"/>
    <n v="0"/>
    <n v="90.45"/>
    <n v="0"/>
    <n v="0"/>
    <n v="295.08590020000003"/>
    <n v="1387.1061109999998"/>
    <n v="0.82458251006108452"/>
    <x v="1"/>
    <s v="LEVE"/>
    <x v="3"/>
    <x v="1"/>
    <n v="12"/>
    <n v="1"/>
    <d v="2020-01-02T00:00:00"/>
    <s v="AUO-555"/>
    <s v="HYUNDAI"/>
    <s v="TUCSON"/>
    <s v="CERAMICOS BARCELONA SAC"/>
  </r>
  <r>
    <d v="2020-01-16T00:00:00"/>
    <s v="005-00000303"/>
    <n v="1039.6874687500001"/>
    <n v="0"/>
    <n v="0"/>
    <n v="0"/>
    <n v="0"/>
    <n v="150.75"/>
    <n v="175.875"/>
    <n v="0"/>
    <n v="326.625"/>
    <n v="713.06246875000011"/>
    <n v="0.68584309245094965"/>
    <x v="1"/>
    <s v="MEDIANO"/>
    <x v="3"/>
    <x v="1"/>
    <n v="13"/>
    <n v="1"/>
    <d v="2020-01-03T00:00:00"/>
    <s v="BES-112"/>
    <s v="NISSAN"/>
    <s v="KICKS"/>
    <s v="RIMAC SEGUROS  Y REASEGUROS S.A"/>
  </r>
  <r>
    <d v="2020-01-16T00:00:00"/>
    <s v="005-00000302"/>
    <n v="2042.7779386"/>
    <n v="0"/>
    <n v="0"/>
    <n v="84.75"/>
    <n v="15.075000000000001"/>
    <n v="120.60000000000001"/>
    <n v="422.1"/>
    <n v="0"/>
    <n v="642.52500000000009"/>
    <n v="1400.2529385999999"/>
    <n v="0.68546507779482435"/>
    <x v="1"/>
    <s v="MEDIANO"/>
    <x v="3"/>
    <x v="1"/>
    <n v="13"/>
    <n v="1"/>
    <d v="2020-01-03T00:00:00"/>
    <s v="BDW-301"/>
    <s v="MAZDA"/>
    <s v="MAZDA3"/>
    <s v="RIMAC SEGUROS  Y REASEGUROS S.A"/>
  </r>
  <r>
    <d v="2020-01-17T00:00:00"/>
    <s v="005-00000216"/>
    <n v="8871.7542099999991"/>
    <n v="1987.1938547000002"/>
    <n v="0"/>
    <n v="96.27"/>
    <n v="290.19375000000002"/>
    <n v="316.57499999999999"/>
    <n v="1266.3"/>
    <n v="0"/>
    <n v="3956.5326046999999"/>
    <n v="4915.2216052999993"/>
    <n v="0.55403040807416593"/>
    <x v="2"/>
    <s v="GRAVE"/>
    <x v="3"/>
    <x v="1"/>
    <n v="49"/>
    <n v="1"/>
    <d v="2019-11-29T00:00:00"/>
    <s v="BFZ-575"/>
    <s v="CHEVROLET"/>
    <s v="SAIL"/>
    <s v="EDPYME ACCESO CREDITICIO SOCIEDAD ANONIMA"/>
  </r>
  <r>
    <d v="2020-01-17T00:00:00"/>
    <s v="005-00000258"/>
    <n v="9371.2542099999991"/>
    <n v="1318.8415390600001"/>
    <n v="72.03"/>
    <n v="265"/>
    <n v="0"/>
    <n v="180.9"/>
    <n v="949.72500000000002"/>
    <n v="0"/>
    <n v="2786.49653906"/>
    <n v="6584.7576709399991"/>
    <n v="0.70265489798723535"/>
    <x v="2"/>
    <s v="MEDIANO"/>
    <x v="3"/>
    <x v="1"/>
    <n v="38"/>
    <n v="1"/>
    <d v="2019-12-10T00:00:00"/>
    <s v="D3W-105"/>
    <s v="CHEVROLET"/>
    <s v="SAIL"/>
    <s v="EDPYME ACCESO CREDITICIO SOCIEDAD ANONIMA"/>
  </r>
  <r>
    <d v="2020-01-17T00:00:00"/>
    <s v="005-00000309"/>
    <n v="2549.5"/>
    <n v="77.660597499999994"/>
    <n v="0"/>
    <n v="57.37"/>
    <n v="0"/>
    <n v="120.60000000000001"/>
    <n v="0"/>
    <n v="0"/>
    <n v="255.63059750000002"/>
    <n v="2293.8694025"/>
    <n v="0.89973304667581877"/>
    <x v="2"/>
    <s v="LEVE"/>
    <x v="3"/>
    <x v="1"/>
    <n v="14"/>
    <n v="1"/>
    <d v="2020-01-03T00:00:00"/>
    <s v="BKY-290"/>
    <s v="BYD"/>
    <s v="F3"/>
    <s v="EDPYME ACCESO CREDITICIO SOCIEDAD ANONIMA"/>
  </r>
  <r>
    <d v="2020-01-17T00:00:00"/>
    <s v="005-00000308"/>
    <n v="3555.2541999999999"/>
    <n v="445.06809801999998"/>
    <n v="0"/>
    <n v="42.37"/>
    <n v="0"/>
    <n v="331.65000000000003"/>
    <n v="0"/>
    <n v="0"/>
    <n v="819.08809801999996"/>
    <n v="2736.1661019799999"/>
    <n v="0.76961194560433965"/>
    <x v="2"/>
    <s v="LEVE"/>
    <x v="3"/>
    <x v="1"/>
    <n v="14"/>
    <n v="1"/>
    <d v="2020-01-03T00:00:00"/>
    <s v="BKD-354"/>
    <s v="CHEVROLET"/>
    <s v="SAIL"/>
    <s v="EDPYME ACCESO CREDITICIO SOCIEDAD ANONIMA"/>
  </r>
  <r>
    <d v="2020-01-17T00:00:00"/>
    <s v="005-00000306"/>
    <n v="5974.5"/>
    <n v="768.97414461999995"/>
    <n v="7.62"/>
    <n v="102.19999999999999"/>
    <n v="0"/>
    <n v="361.8"/>
    <n v="1160.7750000000001"/>
    <n v="0"/>
    <n v="2401.36914462"/>
    <n v="3573.13085538"/>
    <n v="0.59806357944263122"/>
    <x v="2"/>
    <s v="GRAVE"/>
    <x v="3"/>
    <x v="1"/>
    <n v="14"/>
    <n v="1"/>
    <d v="2020-01-03T00:00:00"/>
    <s v="BEA-419"/>
    <s v="BYD"/>
    <s v="F3"/>
    <s v="EDPYME ACCESO CREDITICIO SOCIEDAD ANONIMA"/>
  </r>
  <r>
    <d v="2020-01-17T00:00:00"/>
    <s v="005-00000307"/>
    <n v="3074.5"/>
    <n v="74.218697219999996"/>
    <n v="0"/>
    <n v="0"/>
    <n v="0"/>
    <n v="211.05"/>
    <n v="949.72500000000002"/>
    <n v="0"/>
    <n v="1234.9936972200001"/>
    <n v="1839.5063027799999"/>
    <n v="0.59831071809399905"/>
    <x v="2"/>
    <s v="GRAVE"/>
    <x v="3"/>
    <x v="1"/>
    <n v="14"/>
    <n v="1"/>
    <d v="2020-01-03T00:00:00"/>
    <s v="BJS-447"/>
    <s v="BYD"/>
    <s v="F3"/>
    <s v="EDPYME ACCESO CREDITICIO SOCIEDAD ANONIMA"/>
  </r>
  <r>
    <d v="2020-01-17T00:00:00"/>
    <s v="005-00000314"/>
    <n v="5179.5"/>
    <n v="951.85274549999997"/>
    <n v="105.93"/>
    <n v="0"/>
    <n v="128.13750000000002"/>
    <n v="301.5"/>
    <n v="1055.25"/>
    <n v="0"/>
    <n v="2542.6702455"/>
    <n v="2636.8297545"/>
    <n v="0.5090896330726904"/>
    <x v="2"/>
    <s v="GRAVE"/>
    <x v="3"/>
    <x v="1"/>
    <n v="13"/>
    <n v="1"/>
    <d v="2020-01-04T00:00:00"/>
    <s v="BCI-195"/>
    <s v="GREAT WALL"/>
    <s v="VOLEX"/>
    <s v="EDPYME ACCESO CREDITICIO SOCIEDAD ANONIMA"/>
  </r>
  <r>
    <d v="2020-01-18T00:00:00"/>
    <s v="005-00000244"/>
    <n v="845"/>
    <n v="332.20400100000001"/>
    <n v="461.85999999999996"/>
    <n v="16.95"/>
    <n v="15.075000000000001"/>
    <n v="0"/>
    <n v="0"/>
    <n v="0"/>
    <n v="826.08900100000005"/>
    <n v="18.910998999999947"/>
    <n v="2.2379880473372717E-2"/>
    <x v="2"/>
    <s v="GRAVE"/>
    <x v="3"/>
    <x v="1"/>
    <n v="43"/>
    <n v="1"/>
    <d v="2019-12-06T00:00:00"/>
    <s v="D2X-491"/>
    <s v="CHEVROLET"/>
    <s v="CHEVROLET"/>
    <s v="EDPYME ACCESO CREDITICIO SOCIEDAD ANONIMA"/>
  </r>
  <r>
    <d v="2020-01-18T00:00:00"/>
    <s v="005-00000106"/>
    <n v="11203.254209999999"/>
    <n v="3510.2143903399988"/>
    <n v="136.28"/>
    <n v="156.76999999999998"/>
    <n v="290.19375000000002"/>
    <n v="512.55000000000007"/>
    <n v="1231.125"/>
    <n v="0"/>
    <n v="5837.133140339999"/>
    <n v="5366.1210696600001"/>
    <n v="0.47897878322445031"/>
    <x v="2"/>
    <s v="GRAVE"/>
    <x v="3"/>
    <x v="1"/>
    <n v="82"/>
    <n v="1"/>
    <d v="2019-10-28T00:00:00"/>
    <s v="D2X-491"/>
    <s v="CHEVROLET"/>
    <s v="SAIL"/>
    <s v="EDPYME ACCESO CREDITICIO SOCIEDAD ANONIMA"/>
  </r>
  <r>
    <d v="2020-01-18T00:00:00"/>
    <s v="005-00000272"/>
    <n v="4900"/>
    <n v="1591.902887"/>
    <n v="0"/>
    <n v="1171.7733898305084"/>
    <n v="15.075000000000001"/>
    <n v="0"/>
    <n v="0"/>
    <n v="0"/>
    <n v="2778.7512768305082"/>
    <n v="2121.2487231694918"/>
    <n v="0.43290790268765139"/>
    <x v="0"/>
    <s v="MECANICA"/>
    <x v="3"/>
    <x v="1"/>
    <n v="31"/>
    <n v="1"/>
    <d v="2019-12-18T00:00:00"/>
    <s v="D2X-491"/>
    <s v="CHEVROLET"/>
    <s v="SAIL"/>
    <s v="EDPYME ACCESO CREDITICIO SOCIEDAD ANONIMA"/>
  </r>
  <r>
    <d v="2020-01-18T00:00:00"/>
    <s v="005-00000233"/>
    <n v="14905.754199999999"/>
    <n v="4789.3089501200002"/>
    <n v="97.460000000000008"/>
    <n v="396.34000000000003"/>
    <n v="440.94375000000002"/>
    <n v="723.6"/>
    <n v="1266.3"/>
    <n v="0"/>
    <n v="7713.9527001200013"/>
    <n v="7191.8014998799981"/>
    <n v="0.48248491175844016"/>
    <x v="2"/>
    <s v="GRAVE"/>
    <x v="3"/>
    <x v="1"/>
    <n v="46"/>
    <n v="1"/>
    <d v="2019-12-03T00:00:00"/>
    <s v="AVP-525"/>
    <s v="CHEVROLET"/>
    <s v="SAIL"/>
    <s v="EDPYME ACCESO CREDITICIO SOCIEDAD ANONIMA"/>
  </r>
  <r>
    <d v="2020-01-18T00:00:00"/>
    <s v="005-00000056"/>
    <n v="14406.779699999999"/>
    <n v="7280.8806479999985"/>
    <n v="526.09999999999991"/>
    <n v="1072.8699999999999"/>
    <n v="120.60000000000001"/>
    <n v="482.40000000000003"/>
    <n v="1266.3"/>
    <n v="0"/>
    <n v="10749.150647999999"/>
    <n v="3657.6290520000002"/>
    <n v="0.25388248645184741"/>
    <x v="2"/>
    <s v="GRAVE"/>
    <x v="3"/>
    <x v="1"/>
    <n v="94"/>
    <n v="1"/>
    <d v="2019-10-16T00:00:00"/>
    <s v="AKY-377"/>
    <s v="KIA"/>
    <s v="RIO"/>
    <s v="EDPYME ACCESO CREDITICIO SOCIEDAD ANONIMA"/>
  </r>
  <r>
    <d v="2020-01-18T00:00:00"/>
    <s v="005-00000186"/>
    <n v="12026.754209999999"/>
    <n v="2758.8133256200003"/>
    <n v="135.58949152542374"/>
    <n v="418.13"/>
    <n v="320.34375"/>
    <n v="587.92500000000007"/>
    <n v="1266.3"/>
    <n v="0"/>
    <n v="5487.1015671454243"/>
    <n v="6539.6526428545749"/>
    <n v="0.54375873395807728"/>
    <x v="2"/>
    <s v="GRAVE"/>
    <x v="3"/>
    <x v="1"/>
    <n v="58"/>
    <n v="1"/>
    <d v="2019-11-21T00:00:00"/>
    <s v="F9A-025"/>
    <s v="CHEVROLET"/>
    <s v="SAIL"/>
    <s v="EDPYME ACCESO CREDITICIO SOCIEDAD ANONIMA"/>
  </r>
  <r>
    <d v="2020-01-18T00:00:00"/>
    <s v="005-00000333"/>
    <n v="3101"/>
    <n v="1453.3899730000001"/>
    <n v="0"/>
    <n v="77.289999999999992"/>
    <n v="15.075000000000001"/>
    <n v="0"/>
    <n v="0"/>
    <n v="0"/>
    <n v="1545.7549730000001"/>
    <n v="1555.2450269999999"/>
    <n v="0.50153016027088038"/>
    <x v="0"/>
    <s v="MECANICA"/>
    <x v="3"/>
    <x v="1"/>
    <n v="2"/>
    <n v="1"/>
    <d v="2020-01-16T00:00:00"/>
    <s v="C4S-529"/>
    <s v="KIA"/>
    <s v="SORENTO"/>
    <s v="INDURA PERU S.A."/>
  </r>
  <r>
    <d v="2020-01-20T00:00:00"/>
    <s v="005-00000214"/>
    <n v="395.55598810000004"/>
    <n v="0"/>
    <n v="0"/>
    <n v="0"/>
    <n v="0"/>
    <n v="15.075000000000001"/>
    <n v="70.350000000000009"/>
    <n v="0"/>
    <n v="85.425000000000011"/>
    <n v="310.13098810000002"/>
    <n v="0.78403815750501593"/>
    <x v="1"/>
    <s v="LEVE"/>
    <x v="3"/>
    <x v="1"/>
    <n v="53"/>
    <n v="1"/>
    <d v="2019-11-28T00:00:00"/>
    <s v="AND-446"/>
    <s v="RENAULT"/>
    <s v="LOGAN"/>
    <s v="RENTAEQUIPOS LEASING PERU S.A."/>
  </r>
  <r>
    <d v="2020-01-21T00:00:00"/>
    <s v="005-00000318"/>
    <n v="1191.2954999999999"/>
    <n v="0"/>
    <n v="0"/>
    <n v="0"/>
    <n v="0"/>
    <n v="180.9"/>
    <n v="105.52500000000001"/>
    <n v="0"/>
    <n v="286.42500000000001"/>
    <n v="904.87049999999999"/>
    <n v="0.75956846978772274"/>
    <x v="1"/>
    <s v="MEDIANO"/>
    <x v="3"/>
    <x v="1"/>
    <n v="14"/>
    <n v="1"/>
    <d v="2020-01-07T00:00:00"/>
    <s v="AVL-461"/>
    <s v="HONDA"/>
    <s v="HR-V"/>
    <s v="RIMAC SEGUROS  Y REASEGUROS S.A"/>
  </r>
  <r>
    <d v="2020-01-22T00:00:00"/>
    <s v="005-00000327"/>
    <n v="888.09997325000018"/>
    <n v="0"/>
    <n v="0"/>
    <n v="0"/>
    <n v="0"/>
    <n v="60.300000000000004"/>
    <n v="175.875"/>
    <n v="0"/>
    <n v="236.17500000000001"/>
    <n v="651.92497325000022"/>
    <n v="0.73406710154970733"/>
    <x v="1"/>
    <s v="LEVE"/>
    <x v="3"/>
    <x v="1"/>
    <n v="8"/>
    <n v="1"/>
    <d v="2020-01-14T00:00:00"/>
    <s v="D1M-272"/>
    <s v="TOYOTA"/>
    <s v="COROLLA"/>
    <s v="RIMAC SEGUROS  Y REASEGUROS S.A"/>
  </r>
  <r>
    <d v="2020-01-23T00:00:00"/>
    <s v="005-00000320"/>
    <n v="1252.1674622500002"/>
    <n v="0"/>
    <n v="0"/>
    <n v="84.75"/>
    <n v="0"/>
    <n v="75.375"/>
    <n v="175.875"/>
    <n v="0"/>
    <n v="336"/>
    <n v="916.1674622500002"/>
    <n v="0.731665284293327"/>
    <x v="1"/>
    <s v="LEVE"/>
    <x v="3"/>
    <x v="1"/>
    <n v="15"/>
    <n v="1"/>
    <d v="2020-01-08T00:00:00"/>
    <s v="AJD-170"/>
    <s v="NISSAN"/>
    <s v="QASHQAI"/>
    <s v="RIMAC SEGUROS  Y REASEGUROS S.A"/>
  </r>
  <r>
    <d v="2020-01-23T00:00:00"/>
    <s v="005-00000325"/>
    <n v="2206.6481480445791"/>
    <n v="0"/>
    <n v="0"/>
    <n v="84.75"/>
    <n v="0"/>
    <n v="180.9"/>
    <n v="334.16250000000002"/>
    <n v="0"/>
    <n v="599.8125"/>
    <n v="1606.8356480445791"/>
    <n v="0.72817936537298722"/>
    <x v="1"/>
    <s v="MEDIANO"/>
    <x v="3"/>
    <x v="1"/>
    <n v="10"/>
    <n v="1"/>
    <d v="2020-01-13T00:00:00"/>
    <s v="ANE-092"/>
    <s v="MAZDA"/>
    <s v="MAZDA2"/>
    <s v="RIMAC SEGUROS  Y REASEGUROS S.A"/>
  </r>
  <r>
    <d v="2020-01-23T00:00:00"/>
    <s v="005-00000335"/>
    <n v="1405.5083938611199"/>
    <n v="0"/>
    <n v="0"/>
    <n v="0"/>
    <n v="0"/>
    <n v="90.45"/>
    <n v="316.57499999999999"/>
    <n v="0"/>
    <n v="407.02499999999998"/>
    <n v="998.48339386111991"/>
    <n v="0.71040727911852042"/>
    <x v="0"/>
    <s v="LEVE"/>
    <x v="3"/>
    <x v="1"/>
    <n v="7"/>
    <n v="1"/>
    <d v="2020-01-16T00:00:00"/>
    <s v="AUV-610"/>
    <s v="BMW"/>
    <s v="X3"/>
    <s v="FASHIONLIGHT SA"/>
  </r>
  <r>
    <d v="2020-01-24T00:00:00"/>
    <s v="005-00000331"/>
    <n v="1122.8639047999998"/>
    <n v="0"/>
    <n v="0"/>
    <n v="0"/>
    <n v="0"/>
    <n v="0"/>
    <n v="0"/>
    <n v="0"/>
    <n v="0"/>
    <n v="1122.8639047999998"/>
    <n v="1"/>
    <x v="1"/>
    <s v="LEVE"/>
    <x v="3"/>
    <x v="1"/>
    <n v="9"/>
    <n v="1"/>
    <d v="2020-01-15T00:00:00"/>
    <s v="AXU177"/>
    <s v="HYUNDAI"/>
    <s v="I10"/>
    <s v="RIMAC SEGUROS  Y REASEGUROS S.A"/>
  </r>
  <r>
    <d v="2020-01-24T00:00:00"/>
    <s v="005-00000351"/>
    <n v="343.22030999999987"/>
    <n v="249.99001000000001"/>
    <n v="0"/>
    <n v="0"/>
    <n v="15.075000000000001"/>
    <n v="0"/>
    <n v="0"/>
    <n v="0"/>
    <n v="265.06501000000003"/>
    <n v="78.155299999999841"/>
    <n v="0.22771175750059741"/>
    <x v="0"/>
    <s v="MECANICA"/>
    <x v="3"/>
    <x v="1"/>
    <n v="0"/>
    <n v="1"/>
    <d v="2020-01-24T00:00:00"/>
    <s v="F6L-635"/>
    <s v="KIA"/>
    <s v="RIO"/>
    <s v="INDURA PERU S.A."/>
  </r>
  <r>
    <d v="2020-01-25T00:00:00"/>
    <s v="005-00000324"/>
    <n v="1338.3125"/>
    <n v="0"/>
    <n v="0"/>
    <n v="0"/>
    <n v="0"/>
    <n v="180.9"/>
    <n v="175.875"/>
    <n v="0"/>
    <n v="356.77499999999998"/>
    <n v="981.53750000000002"/>
    <n v="0.73341428104422546"/>
    <x v="1"/>
    <s v="MEDIANO"/>
    <x v="3"/>
    <x v="1"/>
    <n v="16"/>
    <n v="1"/>
    <d v="2020-01-09T00:00:00"/>
    <s v="ASP-160"/>
    <s v="SUZUKI"/>
    <s v="CIAZ"/>
    <s v="RIMAC SEGUROS  Y REASEGUROS S.A"/>
  </r>
  <r>
    <d v="2020-01-25T00:00:00"/>
    <s v="005-00000287"/>
    <n v="4201.1374999999998"/>
    <n v="0"/>
    <n v="0"/>
    <n v="76.27"/>
    <n v="45.225000000000001"/>
    <n v="452.25"/>
    <n v="457.27500000000003"/>
    <n v="0"/>
    <n v="1031.02"/>
    <n v="3170.1174999999998"/>
    <n v="0.75458551404232777"/>
    <x v="1"/>
    <s v="GRAVE"/>
    <x v="3"/>
    <x v="1"/>
    <n v="30"/>
    <n v="1"/>
    <d v="2019-12-26T00:00:00"/>
    <s v="BFR-644"/>
    <s v="MITSUBHI"/>
    <s v="ASX"/>
    <s v="ESTRUCTURAS Y MONTAJE JC EIRL"/>
  </r>
  <r>
    <d v="2020-01-25T00:00:00"/>
    <s v="005-00000341"/>
    <n v="46.610198999999994"/>
    <n v="0"/>
    <n v="0"/>
    <n v="0"/>
    <n v="0"/>
    <n v="0"/>
    <n v="0"/>
    <n v="0"/>
    <n v="0"/>
    <n v="46.610198999999994"/>
    <n v="1"/>
    <x v="0"/>
    <s v="MECANICA"/>
    <x v="3"/>
    <x v="1"/>
    <n v="5"/>
    <n v="1"/>
    <d v="2020-01-20T00:00:00"/>
    <s v="BFR644"/>
    <s v="MITSUBISHI"/>
    <s v="ASX"/>
    <s v="ESTRUCTURAS Y MONTAJE JC EIRL"/>
  </r>
  <r>
    <d v="2020-01-25T00:00:00"/>
    <s v="005-00000323"/>
    <n v="1088.9375"/>
    <n v="0"/>
    <n v="0"/>
    <n v="0"/>
    <n v="0"/>
    <n v="105.52500000000001"/>
    <n v="175.875"/>
    <n v="0"/>
    <n v="281.39999999999998"/>
    <n v="807.53750000000002"/>
    <n v="0.74158296504620336"/>
    <x v="1"/>
    <s v="LEVE"/>
    <x v="3"/>
    <x v="1"/>
    <n v="16"/>
    <n v="1"/>
    <d v="2020-01-09T00:00:00"/>
    <s v="AVK-314"/>
    <s v="HONDA"/>
    <s v="PILOT"/>
    <s v="EXPORT &amp;IMPORT VANISTSAC"/>
  </r>
  <r>
    <d v="2020-01-25T00:00:00"/>
    <s v="005-00000340"/>
    <n v="1972.4857533499999"/>
    <n v="0"/>
    <n v="0"/>
    <n v="0"/>
    <n v="0"/>
    <n v="0"/>
    <n v="0"/>
    <n v="0"/>
    <n v="0"/>
    <n v="1972.4857533499999"/>
    <n v="1"/>
    <x v="0"/>
    <s v="LEVE"/>
    <x v="3"/>
    <x v="1"/>
    <n v="5"/>
    <n v="1"/>
    <d v="2020-01-20T00:00:00"/>
    <s v="AVK-314"/>
    <s v="HONDA"/>
    <s v="PILOT"/>
    <s v="EXPORT &amp;IMPORT VANISTSAC"/>
  </r>
  <r>
    <d v="2020-01-28T00:00:00"/>
    <s v="005-00000339"/>
    <n v="943.26750000000004"/>
    <n v="0"/>
    <n v="0"/>
    <n v="0"/>
    <n v="0"/>
    <n v="0"/>
    <n v="0"/>
    <n v="0"/>
    <n v="0"/>
    <n v="943.26750000000004"/>
    <n v="1"/>
    <x v="1"/>
    <s v="LEVE"/>
    <x v="3"/>
    <x v="1"/>
    <n v="8"/>
    <n v="1"/>
    <d v="2020-01-20T00:00:00"/>
    <s v="AYD066"/>
    <s v="KIA"/>
    <s v="RIO"/>
    <s v="RIMAC SEGUROS  Y REASEGUROS S.A"/>
  </r>
  <r>
    <d v="2020-01-29T00:00:00"/>
    <s v="005-00000310"/>
    <n v="10681.5"/>
    <n v="2488.3383542400002"/>
    <n v="114.40474576271187"/>
    <n v="457.61999999999995"/>
    <n v="391.95"/>
    <n v="452.25"/>
    <n v="1231.125"/>
    <n v="0"/>
    <n v="5135.6881000027115"/>
    <n v="5545.8118999972885"/>
    <n v="0.51919785610609825"/>
    <x v="2"/>
    <s v="GRAVE"/>
    <x v="3"/>
    <x v="1"/>
    <n v="25"/>
    <n v="1"/>
    <d v="2020-01-04T00:00:00"/>
    <s v="AZN-215"/>
    <s v="CHEVROLET"/>
    <s v="SAIL"/>
    <s v="EDPYME ACCESO CREDITICIO SOCIEDAD ANONIMA"/>
  </r>
  <r>
    <d v="2020-01-29T00:00:00"/>
    <s v="005-00000228"/>
    <n v="12445.754209999999"/>
    <n v="3427.8843898200003"/>
    <n v="141.51999999999998"/>
    <n v="762.15000000000009"/>
    <n v="425.86875000000003"/>
    <n v="482.40000000000003"/>
    <n v="1266.3"/>
    <n v="0"/>
    <n v="6506.1231398199998"/>
    <n v="5939.6310701799994"/>
    <n v="0.4772415532204215"/>
    <x v="2"/>
    <s v="GRAVE"/>
    <x v="3"/>
    <x v="1"/>
    <n v="57"/>
    <n v="1"/>
    <d v="2019-12-03T00:00:00"/>
    <s v="D1Q-268"/>
    <s v="CHEVROLET"/>
    <s v="SAIL"/>
    <s v="EDPYME ACCESO CREDITICIO SOCIEDAD ANONIMA"/>
  </r>
  <r>
    <d v="2020-01-29T00:00:00"/>
    <s v="005-00000275"/>
    <n v="933"/>
    <n v="599.70078960000012"/>
    <n v="118.64999999999999"/>
    <n v="212.70999999999998"/>
    <n v="0"/>
    <n v="0"/>
    <n v="0"/>
    <n v="0"/>
    <n v="931.06078960000013"/>
    <n v="1.9392103999998653"/>
    <n v="2.0784677384778835E-3"/>
    <x v="2"/>
    <s v="MECANICA"/>
    <x v="3"/>
    <x v="1"/>
    <n v="41"/>
    <n v="1"/>
    <d v="2019-12-19T00:00:00"/>
    <s v="F7Y-120"/>
    <s v="BYD"/>
    <s v="F3"/>
    <s v="EDPYME ACCESO CREDITICIO SOCIEDAD ANONIMA"/>
  </r>
  <r>
    <d v="2020-01-29T00:00:00"/>
    <s v="005-00000198"/>
    <n v="15503.754209999999"/>
    <n v="4787.8372151999993"/>
    <n v="144.07"/>
    <n v="1689.0100000000004"/>
    <n v="425.86875000000003"/>
    <n v="482.40000000000003"/>
    <n v="1371.825"/>
    <n v="0"/>
    <n v="8901.0109651999992"/>
    <n v="6602.7432448"/>
    <n v="0.42588028392124516"/>
    <x v="2"/>
    <s v="GRAVE"/>
    <x v="3"/>
    <x v="1"/>
    <n v="68"/>
    <n v="1"/>
    <d v="2019-11-22T00:00:00"/>
    <s v="F7Y-120"/>
    <s v="BYD"/>
    <s v="F3"/>
    <s v="EDPYME ACCESO CREDITICIO SOCIEDAD ANONIMA"/>
  </r>
  <r>
    <d v="2020-01-29T00:00:00"/>
    <s v="005-00000326"/>
    <n v="1060.53"/>
    <n v="0"/>
    <n v="0"/>
    <n v="99.74"/>
    <n v="0"/>
    <n v="60.300000000000004"/>
    <n v="140.70000000000002"/>
    <n v="0"/>
    <n v="300.74"/>
    <n v="759.79"/>
    <n v="0.7164248064646922"/>
    <x v="1"/>
    <s v="LEVE"/>
    <x v="3"/>
    <x v="1"/>
    <n v="15"/>
    <n v="1"/>
    <d v="2020-01-14T00:00:00"/>
    <s v="F2S454"/>
    <s v="CHEVROLET"/>
    <s v="CRUZE"/>
    <s v="RIMAC SEGUROS  Y REASEGUROS S.A"/>
  </r>
  <r>
    <d v="2020-01-31T00:00:00"/>
    <s v="005-00000343"/>
    <n v="1853.0399448500002"/>
    <n v="0"/>
    <n v="0"/>
    <n v="0"/>
    <n v="15.075000000000001"/>
    <n v="211.05"/>
    <n v="246.22499999999999"/>
    <n v="0"/>
    <n v="472.35"/>
    <n v="1380.6899448500003"/>
    <n v="0.74509453975195572"/>
    <x v="1"/>
    <s v="GRAVE"/>
    <x v="3"/>
    <x v="1"/>
    <n v="11"/>
    <n v="1"/>
    <d v="2020-01-20T00:00:00"/>
    <s v="BKR-397"/>
    <s v="KIA"/>
    <s v="RIO"/>
    <s v="RIMAC SEGUROS  Y REASEGUROS S.A"/>
  </r>
  <r>
    <d v="2020-01-31T00:00:00"/>
    <s v="005-00000334"/>
    <n v="1592.6399526"/>
    <n v="0"/>
    <n v="0"/>
    <n v="59.322033898305087"/>
    <n v="0"/>
    <n v="150.75"/>
    <n v="246.22499999999999"/>
    <n v="0"/>
    <n v="456.29703389830507"/>
    <n v="1136.342918701695"/>
    <n v="0.7134964288988257"/>
    <x v="1"/>
    <s v="MEDIANO"/>
    <x v="3"/>
    <x v="1"/>
    <n v="15"/>
    <n v="1"/>
    <d v="2020-01-16T00:00:00"/>
    <s v="C0X-378"/>
    <s v="MAZDA"/>
    <s v="CX-5"/>
    <s v="RIMAC SEGUROS  Y REASEGUROS S.A"/>
  </r>
  <r>
    <d v="2020-01-16T00:00:00"/>
    <s v="005-00000317"/>
    <n v="199.61999400000002"/>
    <n v="0"/>
    <n v="0"/>
    <n v="0"/>
    <n v="0"/>
    <n v="15.075000000000001"/>
    <n v="70.350000000000009"/>
    <n v="0"/>
    <n v="85.425000000000011"/>
    <n v="114.19499400000001"/>
    <n v="0.57206190478094088"/>
    <x v="1"/>
    <s v="LEVE"/>
    <x v="3"/>
    <x v="1"/>
    <n v="10"/>
    <n v="1"/>
    <d v="2020-01-06T00:00:00"/>
    <s v="BDW-301"/>
    <s v="MAZDA"/>
    <s v="MAZDA3"/>
    <s v="DIAZ PAURO RAUL"/>
  </r>
  <r>
    <d v="2020-01-22T00:00:00"/>
    <s v="005-00000342"/>
    <n v="348.59998950000005"/>
    <n v="0"/>
    <n v="0"/>
    <n v="0"/>
    <n v="0"/>
    <n v="45.225000000000001"/>
    <n v="70.350000000000009"/>
    <n v="0"/>
    <n v="115.57500000000002"/>
    <n v="233.02498950000003"/>
    <n v="0.66845954250953876"/>
    <x v="0"/>
    <s v="LEVE"/>
    <x v="3"/>
    <x v="1"/>
    <n v="2"/>
    <n v="1"/>
    <d v="2020-01-20T00:00:00"/>
    <s v="BEN-226"/>
    <s v="NISSAN"/>
    <s v="KICKS"/>
    <s v="LUIS DANIEL PAIRAZAMAN GRADOS"/>
  </r>
  <r>
    <d v="2020-01-24T00:00:00"/>
    <s v="005-00000352"/>
    <n v="177.360918922"/>
    <n v="0"/>
    <n v="0"/>
    <n v="0"/>
    <n v="0"/>
    <n v="0"/>
    <n v="0"/>
    <n v="0"/>
    <n v="0"/>
    <n v="177.360918922"/>
    <n v="1"/>
    <x v="0"/>
    <s v="LEVE"/>
    <x v="3"/>
    <x v="1"/>
    <n v="0"/>
    <n v="1"/>
    <d v="2020-01-24T00:00:00"/>
    <s v="BEN-226"/>
    <s v="NISSAN"/>
    <s v="KICKS"/>
    <s v="LUIS DANIEL PAIRAZAMAN GRADOS"/>
  </r>
  <r>
    <d v="2020-01-25T00:00:00"/>
    <s v="005-00000355"/>
    <n v="59.321998999999998"/>
    <n v="0"/>
    <n v="0"/>
    <n v="0"/>
    <n v="0"/>
    <n v="0"/>
    <n v="0"/>
    <n v="0"/>
    <n v="0"/>
    <n v="59.321998999999998"/>
    <n v="1"/>
    <x v="0"/>
    <s v="MECANICA"/>
    <x v="3"/>
    <x v="1"/>
    <n v="0"/>
    <n v="1"/>
    <d v="2020-01-25T00:00:00"/>
    <s v="B0M243"/>
    <s v="HYUNDAI"/>
    <s v="I10"/>
    <s v="TORRES CAMACHO JOSE GABRIEL"/>
  </r>
  <r>
    <d v="2020-01-25T00:00:00"/>
    <s v="005-00000344"/>
    <n v="349.125"/>
    <n v="0"/>
    <n v="0"/>
    <n v="0"/>
    <n v="0"/>
    <n v="15.075000000000001"/>
    <n v="70.350000000000009"/>
    <n v="0"/>
    <n v="85.425000000000011"/>
    <n v="263.7"/>
    <n v="0.75531686358754024"/>
    <x v="0"/>
    <s v="LEVE"/>
    <x v="3"/>
    <x v="1"/>
    <n v="4"/>
    <n v="1"/>
    <d v="2020-01-21T00:00:00"/>
    <s v="ASP-160"/>
    <s v="SUZUKI"/>
    <s v="CIAZ"/>
    <s v="ALVA CUNEO CARLOS ENRIQUE"/>
  </r>
  <r>
    <d v="2020-01-25T00:00:00"/>
    <s v="005-00000338"/>
    <n v="430.39828"/>
    <n v="285.27998999999994"/>
    <n v="0"/>
    <n v="0"/>
    <n v="0"/>
    <n v="0"/>
    <n v="0"/>
    <n v="0"/>
    <n v="285.27998999999994"/>
    <n v="145.11829000000006"/>
    <n v="0.33717209557621852"/>
    <x v="0"/>
    <s v="LEVE"/>
    <x v="3"/>
    <x v="1"/>
    <n v="8"/>
    <n v="1"/>
    <d v="2020-01-17T00:00:00"/>
    <s v="ASP-160"/>
    <s v="SUZUKI"/>
    <s v="CIAZ"/>
    <s v="ALVA CUNEO CARLOS ENRIQUE"/>
  </r>
  <r>
    <d v="2020-01-29T00:00:00"/>
    <s v="005-00000363"/>
    <n v="8.4830999000000009"/>
    <n v="0"/>
    <n v="0"/>
    <n v="0"/>
    <n v="0"/>
    <n v="0"/>
    <n v="0"/>
    <n v="0"/>
    <n v="0"/>
    <n v="8.4830999000000009"/>
    <n v="1"/>
    <x v="0"/>
    <s v="MECANICA"/>
    <x v="3"/>
    <x v="1"/>
    <n v="1"/>
    <n v="1"/>
    <d v="2020-01-28T00:00:00"/>
    <s v="F2S454"/>
    <s v="S/MARCA"/>
    <s v="S/MODELO"/>
    <s v="FONSECA PALOMINO MIGUEL"/>
  </r>
  <r>
    <d v="2020-01-29T00:00:00"/>
    <s v="005-00000322"/>
    <n v="4237.5000100000007"/>
    <n v="2772.2490367500004"/>
    <n v="175.42000000000002"/>
    <n v="50"/>
    <n v="55.325250000000004"/>
    <n v="0"/>
    <n v="0"/>
    <n v="0"/>
    <n v="3052.9942867500004"/>
    <n v="1184.5057232500003"/>
    <n v="0.27952937355863278"/>
    <x v="0"/>
    <s v="MECANICA"/>
    <x v="3"/>
    <x v="1"/>
    <n v="20"/>
    <n v="1"/>
    <d v="2020-01-09T00:00:00"/>
    <s v="C7L-474"/>
    <s v="CITROEN"/>
    <s v="NAUVELLE"/>
    <s v="HAYOR LATOUR ALESSANDRA ISABEL"/>
  </r>
  <r>
    <d v="2020-01-31T00:00:00"/>
    <s v="005-00000349"/>
    <n v="890.39997349999999"/>
    <n v="0"/>
    <n v="0"/>
    <n v="0"/>
    <n v="0"/>
    <n v="45.225000000000001"/>
    <n v="140.70000000000002"/>
    <n v="0"/>
    <n v="185.92500000000001"/>
    <n v="704.47497350000003"/>
    <n v="0.79118934688512776"/>
    <x v="0"/>
    <s v="LEVE"/>
    <x v="3"/>
    <x v="1"/>
    <n v="9"/>
    <n v="1"/>
    <d v="2020-01-22T00:00:00"/>
    <s v="C0X-378"/>
    <s v="MAZDA"/>
    <s v="CX-5"/>
    <s v="TEJADA CONCEPCION RICARDO"/>
  </r>
  <r>
    <d v="2020-02-15T00:00:00"/>
    <s v="005-00000113"/>
    <n v="1774.8218281274521"/>
    <n v="0"/>
    <n v="0"/>
    <n v="99.825000000000003"/>
    <n v="0"/>
    <n v="271.35000000000002"/>
    <n v="369.33750000000003"/>
    <n v="0"/>
    <n v="740.51250000000005"/>
    <n v="1034.3093281274521"/>
    <n v="0.58276797802217306"/>
    <x v="1"/>
    <s v="GRAVE"/>
    <x v="4"/>
    <x v="1"/>
    <n v="109"/>
    <n v="1"/>
    <d v="2019-10-29T00:00:00"/>
    <s v="BEJ174"/>
    <s v="WOLKWAGEN"/>
    <s v="GOL"/>
    <s v="RIMAC SEGUROS  Y REASEGUROS S.A"/>
  </r>
  <r>
    <d v="2020-02-15T00:00:00"/>
    <s v="005-00000035"/>
    <n v="2127.15945165932"/>
    <n v="0"/>
    <n v="0"/>
    <n v="824.5"/>
    <n v="0"/>
    <n v="241.20000000000002"/>
    <n v="369.33750000000003"/>
    <n v="0"/>
    <n v="1435.0375000000001"/>
    <n v="692.12195165931985"/>
    <n v="0.3253737989032372"/>
    <x v="1"/>
    <s v="MEDIANO"/>
    <x v="4"/>
    <x v="1"/>
    <n v="127"/>
    <n v="1"/>
    <d v="2019-10-11T00:00:00"/>
    <s v="BEQ190"/>
    <s v="KIA"/>
    <s v="PICANTO"/>
    <s v="RENTAEQUIPOS LEASING PERU S.A."/>
  </r>
  <r>
    <d v="2020-02-15T00:00:00"/>
    <s v="005-00000199"/>
    <n v="1952.5680577000005"/>
    <n v="0"/>
    <n v="0"/>
    <n v="0"/>
    <n v="0"/>
    <n v="195.97499999999999"/>
    <n v="386.92500000000001"/>
    <n v="0"/>
    <n v="582.9"/>
    <n v="1369.6680577000006"/>
    <n v="0.7014700728605493"/>
    <x v="1"/>
    <s v="MEDIANO"/>
    <x v="4"/>
    <x v="1"/>
    <n v="85"/>
    <n v="1"/>
    <d v="2019-11-22T00:00:00"/>
    <s v="C4R002"/>
    <s v="KIA"/>
    <s v="SPORTAGE"/>
    <s v="SPRIND SAC"/>
  </r>
  <r>
    <d v="2020-02-15T00:00:00"/>
    <s v="005-00000209"/>
    <n v="1316.3760388999999"/>
    <n v="0"/>
    <n v="0"/>
    <n v="0"/>
    <n v="0"/>
    <n v="75.375"/>
    <n v="422.1"/>
    <n v="0"/>
    <n v="497.47500000000002"/>
    <n v="818.90103889999989"/>
    <n v="0.62208746946221849"/>
    <x v="1"/>
    <s v="LEVE"/>
    <x v="4"/>
    <x v="1"/>
    <n v="82"/>
    <n v="1"/>
    <d v="2019-11-25T00:00:00"/>
    <s v="BDW631"/>
    <s v="MAZDA"/>
    <s v="MAZDA3"/>
    <s v="RIMAC SEGUROS  Y REASEGUROS S.A"/>
  </r>
  <r>
    <d v="2020-02-18T00:00:00"/>
    <s v="005-00000257"/>
    <n v="553.28401635"/>
    <n v="0"/>
    <n v="0"/>
    <n v="0"/>
    <n v="0"/>
    <n v="15.075000000000001"/>
    <n v="105.52500000000001"/>
    <n v="0"/>
    <n v="120.60000000000001"/>
    <n v="432.68401634999998"/>
    <n v="0.78202876563180868"/>
    <x v="1"/>
    <s v="LEVE"/>
    <x v="4"/>
    <x v="1"/>
    <n v="70"/>
    <n v="1"/>
    <d v="2019-12-10T00:00:00"/>
    <s v="EGX296"/>
    <s v="MAXUS"/>
    <s v="S8"/>
    <s v="RIMAC SEGUROS  Y REASEGUROS S.A"/>
  </r>
  <r>
    <d v="2020-02-15T00:00:00"/>
    <s v="005-00000239"/>
    <n v="1267.30803745"/>
    <n v="0"/>
    <n v="0"/>
    <n v="59.32"/>
    <n v="0"/>
    <n v="105.52500000000001"/>
    <n v="386.92500000000001"/>
    <n v="0"/>
    <n v="551.77"/>
    <n v="715.53803745000005"/>
    <n v="0.56461256167029605"/>
    <x v="1"/>
    <s v="LEVE"/>
    <x v="4"/>
    <x v="1"/>
    <n v="72"/>
    <n v="1"/>
    <d v="2019-12-05T00:00:00"/>
    <s v="BFB527"/>
    <s v="SUZUKI"/>
    <s v="BALENO"/>
    <s v="RIMAC SEGUROS  Y REASEGUROS S.A"/>
  </r>
  <r>
    <d v="2020-02-01T00:00:00"/>
    <s v="005-00000347"/>
    <n v="452.38398659999996"/>
    <n v="0"/>
    <n v="0"/>
    <n v="0"/>
    <n v="0"/>
    <n v="30.150000000000002"/>
    <n v="70.350000000000009"/>
    <n v="0"/>
    <n v="100.50000000000001"/>
    <n v="351.88398659999996"/>
    <n v="0.77784359531527236"/>
    <x v="1"/>
    <s v="LEVE"/>
    <x v="4"/>
    <x v="1"/>
    <n v="10"/>
    <n v="1"/>
    <d v="2020-01-22T00:00:00"/>
    <s v="AYQ680"/>
    <s v="HYUNDAI"/>
    <s v="ACCENT"/>
    <s v="RIMAC SEGUROS  Y REASEGUROS S.A"/>
  </r>
  <r>
    <d v="2020-02-01T00:00:00"/>
    <s v="005-00000348"/>
    <n v="1713.31994925"/>
    <n v="0"/>
    <n v="0"/>
    <n v="0"/>
    <n v="0"/>
    <n v="120.60000000000001"/>
    <n v="175.875"/>
    <n v="0"/>
    <n v="296.47500000000002"/>
    <n v="1416.8449492499999"/>
    <n v="0.82695876498153131"/>
    <x v="1"/>
    <s v="MEDIANO"/>
    <x v="4"/>
    <x v="1"/>
    <n v="10"/>
    <n v="1"/>
    <d v="2020-01-22T00:00:00"/>
    <s v="AYQ680"/>
    <s v="HYUNDAI"/>
    <s v="ACCENT"/>
    <s v="RIMAC SEGUROS  Y REASEGUROS S.A"/>
  </r>
  <r>
    <d v="2020-02-03T00:00:00"/>
    <s v="005-00000353"/>
    <n v="6086.5847843501606"/>
    <n v="0"/>
    <n v="0"/>
    <n v="59.32"/>
    <n v="15.075000000000001"/>
    <n v="0"/>
    <n v="0"/>
    <n v="0"/>
    <n v="74.394999999999996"/>
    <n v="6012.1897843501602"/>
    <n v="0.98777721782644268"/>
    <x v="0"/>
    <s v="MECANICA"/>
    <x v="4"/>
    <x v="1"/>
    <n v="10"/>
    <n v="1"/>
    <d v="2020-01-24T00:00:00"/>
    <s v="F8V681"/>
    <s v="DODGE"/>
    <s v="JOURNEY"/>
    <s v="CONSULTING CENTER SAC"/>
  </r>
  <r>
    <d v="2020-02-04T00:00:00"/>
    <s v="005-00000345"/>
    <n v="540.67798899999991"/>
    <n v="0"/>
    <n v="0"/>
    <n v="0"/>
    <n v="0"/>
    <n v="15.075000000000001"/>
    <n v="70.350000000000009"/>
    <n v="0"/>
    <n v="85.425000000000011"/>
    <n v="455.2529889999999"/>
    <n v="0.84200392518660483"/>
    <x v="0"/>
    <s v="LEVE"/>
    <x v="4"/>
    <x v="1"/>
    <n v="14"/>
    <n v="1"/>
    <d v="2020-01-21T00:00:00"/>
    <s v="AUO555"/>
    <s v="HYUNDAI"/>
    <s v="TUCSON"/>
    <s v="CERAMICOS BARCELONA SAC"/>
  </r>
  <r>
    <d v="2020-02-04T00:00:00"/>
    <s v="005-00000361"/>
    <n v="451.28669767142031"/>
    <n v="0"/>
    <n v="0"/>
    <n v="0"/>
    <n v="0"/>
    <n v="15.075000000000001"/>
    <n v="70.350000000000009"/>
    <n v="0"/>
    <n v="85.425000000000011"/>
    <n v="365.8616976714203"/>
    <n v="0.81070791485594029"/>
    <x v="1"/>
    <s v="LEVE"/>
    <x v="4"/>
    <x v="1"/>
    <n v="7"/>
    <n v="1"/>
    <d v="2020-01-28T00:00:00"/>
    <s v="D6B575"/>
    <s v="TOYOTA"/>
    <s v="PRADO"/>
    <s v="LINDER INGENIEROS GRAFICOS CONSULTORES SAC"/>
  </r>
  <r>
    <d v="2020-02-04T00:00:00"/>
    <s v="005-00000350"/>
    <n v="506.10001499999993"/>
    <n v="0"/>
    <n v="0"/>
    <n v="0"/>
    <n v="0"/>
    <n v="30.150000000000002"/>
    <n v="70.350000000000009"/>
    <n v="0"/>
    <n v="100.50000000000001"/>
    <n v="405.60001499999993"/>
    <n v="0.80142264963181242"/>
    <x v="0"/>
    <s v="LEVE"/>
    <x v="4"/>
    <x v="1"/>
    <n v="12"/>
    <n v="1"/>
    <d v="2020-01-23T00:00:00"/>
    <s v="D6B575"/>
    <s v="TOYOTA"/>
    <s v="PRADO"/>
    <s v="LINDER INGENIEROS GRAFICOS CONSULTORES SAC"/>
  </r>
  <r>
    <d v="2020-02-04T00:00:00"/>
    <s v="005-00000357"/>
    <n v="1137.0380337000001"/>
    <n v="0"/>
    <n v="0"/>
    <n v="0"/>
    <n v="0"/>
    <n v="90.45"/>
    <n v="211.05"/>
    <n v="0"/>
    <n v="301.5"/>
    <n v="835.53803370000014"/>
    <n v="0.73483736597719762"/>
    <x v="1"/>
    <s v="LEVE"/>
    <x v="4"/>
    <x v="1"/>
    <n v="8"/>
    <n v="1"/>
    <d v="2020-01-27T00:00:00"/>
    <s v="AWL408"/>
    <s v="TOYOTA"/>
    <s v="COROLLA"/>
    <s v="SALMON CORNEJO JUAN CARLOS"/>
  </r>
  <r>
    <d v="2020-02-05T00:00:00"/>
    <s v="005-00000365"/>
    <n v="484.41601439999999"/>
    <n v="0"/>
    <n v="0"/>
    <n v="0"/>
    <n v="0"/>
    <n v="30.150000000000002"/>
    <n v="140.70000000000002"/>
    <n v="0"/>
    <n v="170.85000000000002"/>
    <n v="313.56601439999997"/>
    <n v="0.6473072835719198"/>
    <x v="1"/>
    <s v="LEVE"/>
    <x v="4"/>
    <x v="1"/>
    <n v="8"/>
    <n v="1"/>
    <d v="2020-01-28T00:00:00"/>
    <s v="BDG262"/>
    <s v="KIA"/>
    <s v="RIO"/>
    <s v="RIMAC SEGUROS  Y REASEGUROS S.A"/>
  </r>
  <r>
    <d v="2020-02-05T00:00:00"/>
    <s v="005-00000354"/>
    <n v="2218.54"/>
    <n v="5.4759001999999999"/>
    <n v="0"/>
    <n v="84.75"/>
    <n v="0"/>
    <n v="150.75"/>
    <n v="422.1"/>
    <n v="0"/>
    <n v="663.07590019999998"/>
    <n v="1555.4640998"/>
    <n v="0.7011206017470949"/>
    <x v="1"/>
    <s v="MEDIANO"/>
    <x v="4"/>
    <x v="1"/>
    <n v="11"/>
    <n v="1"/>
    <d v="2020-01-25T00:00:00"/>
    <s v="C8O042"/>
    <s v="HYUNDAI"/>
    <s v="I30"/>
    <s v="RIMAC SEGUROS  Y REASEGUROS S.A"/>
  </r>
  <r>
    <d v="2020-02-06T00:00:00"/>
    <s v="005-00000249"/>
    <n v="9830.7542099999991"/>
    <n v="1686.4831577399996"/>
    <n v="148.30000000000001"/>
    <n v="355.91"/>
    <n v="395.71875"/>
    <n v="452.25"/>
    <n v="1266.3"/>
    <n v="0"/>
    <n v="4304.9619077399993"/>
    <n v="5525.7923022599998"/>
    <n v="0.56209240758344625"/>
    <x v="2"/>
    <s v="GRAVE"/>
    <x v="4"/>
    <x v="1"/>
    <n v="59"/>
    <n v="1"/>
    <d v="2019-12-09T00:00:00"/>
    <s v="D8F472"/>
    <s v="CHEVROLET"/>
    <s v="SAIL"/>
    <s v="EDPYME ACCESO CREDITICIO SOCIEDAD ANONIMA"/>
  </r>
  <r>
    <d v="2020-02-06T00:00:00"/>
    <s v="005-00000178"/>
    <n v="11016.940700000001"/>
    <n v="4075.6317685000004"/>
    <n v="216.7766666666667"/>
    <n v="454.74"/>
    <n v="97.987499999999997"/>
    <n v="557.77499999999998"/>
    <n v="1266.3"/>
    <n v="0"/>
    <n v="6669.2109351666668"/>
    <n v="4347.7297648333342"/>
    <n v="0.39464038912665961"/>
    <x v="2"/>
    <s v="GRAVE"/>
    <x v="4"/>
    <x v="1"/>
    <n v="82"/>
    <n v="1"/>
    <d v="2019-11-16T00:00:00"/>
    <s v="D9V073"/>
    <s v="CHEVROLET"/>
    <s v="SAIL"/>
    <s v="EDPYME ACCESO CREDITICIO SOCIEDAD ANONIMA"/>
  </r>
  <r>
    <d v="2020-02-06T00:00:00"/>
    <s v="005-00000311"/>
    <n v="12695.254209999999"/>
    <n v="2494.5569471199997"/>
    <n v="282.18983050847453"/>
    <n v="374.74999999999994"/>
    <n v="0"/>
    <n v="527.625"/>
    <n v="1266.3"/>
    <n v="0"/>
    <n v="4945.421777628474"/>
    <n v="7749.8324323715251"/>
    <n v="0.61045114214940366"/>
    <x v="2"/>
    <s v="GRAVE"/>
    <x v="4"/>
    <x v="1"/>
    <n v="33"/>
    <n v="1"/>
    <d v="2020-01-04T00:00:00"/>
    <s v="AJK417"/>
    <s v="CHEVROLET"/>
    <s v="SAIL"/>
    <s v="EDPYME ACCESO CREDITICIO SOCIEDAD ANONIMA"/>
  </r>
  <r>
    <d v="2020-02-06T00:00:00"/>
    <s v="005-00000312"/>
    <n v="5360"/>
    <n v="831.43064564000008"/>
    <n v="0"/>
    <n v="78.56"/>
    <n v="135.67500000000001"/>
    <n v="361.8"/>
    <n v="1195.95"/>
    <n v="0"/>
    <n v="2603.4156456400001"/>
    <n v="2756.5843543599999"/>
    <n v="0.51428812581343286"/>
    <x v="2"/>
    <s v="GRAVE"/>
    <x v="4"/>
    <x v="1"/>
    <n v="33"/>
    <n v="1"/>
    <d v="2020-01-04T00:00:00"/>
    <s v="BKJ027"/>
    <s v="CHEVROLET"/>
    <s v="SAIL"/>
    <s v="EDPYME ACCESO CREDITICIO SOCIEDAD ANONIMA"/>
  </r>
  <r>
    <d v="2020-02-06T00:00:00"/>
    <s v="005-00000294"/>
    <n v="11839.652410000001"/>
    <n v="3024.8386610999992"/>
    <n v="0"/>
    <n v="326.27000000000004"/>
    <n v="290.19375000000002"/>
    <n v="542.70000000000005"/>
    <n v="1266.3"/>
    <n v="0"/>
    <n v="5450.3024110999995"/>
    <n v="6389.3499989000011"/>
    <n v="0.53965689005392015"/>
    <x v="2"/>
    <s v="GRAVE"/>
    <x v="4"/>
    <x v="1"/>
    <n v="41"/>
    <n v="1"/>
    <d v="2019-12-27T00:00:00"/>
    <s v="AXU411"/>
    <s v="CHEVROLET"/>
    <s v="N300"/>
    <s v="EDPYME ACCESO CREDITICIO SOCIEDAD ANONIMA"/>
  </r>
  <r>
    <d v="2020-02-07T00:00:00"/>
    <s v="005-00000358"/>
    <n v="1823.7110540999997"/>
    <n v="0"/>
    <n v="0"/>
    <n v="0"/>
    <n v="15.075000000000001"/>
    <n v="120.60000000000001"/>
    <n v="281.40000000000003"/>
    <n v="0"/>
    <n v="417.07500000000005"/>
    <n v="1406.6360540999997"/>
    <n v="0.77130423206990628"/>
    <x v="1"/>
    <s v="MEDIANO"/>
    <x v="4"/>
    <x v="1"/>
    <n v="11"/>
    <n v="1"/>
    <d v="2020-01-27T00:00:00"/>
    <s v="BLZ136"/>
    <s v="HYUNDAI"/>
    <s v="ELANTRA"/>
    <s v="LUJAN MENDOZA ANGEL ARTURO"/>
  </r>
  <r>
    <d v="2020-02-07T00:00:00"/>
    <s v="005-00000359"/>
    <n v="831.80844635942026"/>
    <n v="0"/>
    <n v="0"/>
    <n v="0"/>
    <n v="0"/>
    <n v="45.225000000000001"/>
    <n v="140.70000000000002"/>
    <n v="0"/>
    <n v="185.92500000000001"/>
    <n v="645.8834463594203"/>
    <n v="0.77648099052884267"/>
    <x v="1"/>
    <s v="LEVE"/>
    <x v="4"/>
    <x v="1"/>
    <n v="11"/>
    <n v="1"/>
    <d v="2020-01-27T00:00:00"/>
    <s v="D5M328"/>
    <s v="NISSAN"/>
    <s v="QASHQAI"/>
    <s v="RIMAC SEGUROS  Y REASEGUROS S.A"/>
  </r>
  <r>
    <d v="2020-02-07T00:00:00"/>
    <s v="005-00000372"/>
    <n v="1306.26253875"/>
    <n v="0"/>
    <n v="0"/>
    <n v="59.322033898305087"/>
    <n v="0"/>
    <n v="0"/>
    <n v="0"/>
    <n v="0"/>
    <n v="59.322033898305087"/>
    <n v="1246.9405048516949"/>
    <n v="0.95458643868400905"/>
    <x v="1"/>
    <s v="LEVE"/>
    <x v="4"/>
    <x v="1"/>
    <n v="7"/>
    <n v="1"/>
    <d v="2020-01-31T00:00:00"/>
    <s v="BNL501"/>
    <s v="S/MARCA"/>
    <s v="S/MODELO"/>
    <s v="RIMAC SEGUROS  Y REASEGUROS S.A"/>
  </r>
  <r>
    <d v="2020-02-08T00:00:00"/>
    <s v="005-00000364"/>
    <n v="1814.2740000000001"/>
    <n v="0"/>
    <n v="0"/>
    <n v="0"/>
    <n v="0"/>
    <n v="150.75"/>
    <n v="316.57499999999999"/>
    <n v="0"/>
    <n v="467.32499999999999"/>
    <n v="1346.9490000000001"/>
    <n v="0.74241762820830814"/>
    <x v="1"/>
    <s v="MEDIANO"/>
    <x v="4"/>
    <x v="1"/>
    <n v="11"/>
    <n v="1"/>
    <d v="2020-01-28T00:00:00"/>
    <s v="D6X505"/>
    <s v="WV"/>
    <s v="GOL"/>
    <s v="RIMAC SEGUROS  Y REASEGUROS S.A"/>
  </r>
  <r>
    <d v="2020-02-11T00:00:00"/>
    <s v="005-00000367"/>
    <n v="807.77202379999994"/>
    <n v="0"/>
    <n v="0"/>
    <n v="0"/>
    <n v="0"/>
    <n v="90.45"/>
    <n v="140.70000000000002"/>
    <n v="0"/>
    <n v="231.15000000000003"/>
    <n v="576.62202379999985"/>
    <n v="0.71384252835026185"/>
    <x v="1"/>
    <s v="LEVE"/>
    <x v="4"/>
    <x v="1"/>
    <n v="13"/>
    <n v="1"/>
    <d v="2020-01-29T00:00:00"/>
    <s v="BJF224"/>
    <s v="MAZDA"/>
    <s v="MAZDA 6"/>
    <s v="RIMAC SEGUROS  Y REASEGUROS S.A"/>
  </r>
  <r>
    <d v="2020-02-11T00:00:00"/>
    <s v="005-00000265"/>
    <n v="441.22001299999999"/>
    <n v="0"/>
    <n v="0"/>
    <n v="0"/>
    <n v="0"/>
    <n v="52.762500000000003"/>
    <n v="70.350000000000009"/>
    <n v="0"/>
    <n v="123.11250000000001"/>
    <n v="318.10751299999998"/>
    <n v="0.72097253893150126"/>
    <x v="0"/>
    <s v="LEVE"/>
    <x v="4"/>
    <x v="1"/>
    <n v="60"/>
    <n v="1"/>
    <d v="2019-12-13T00:00:00"/>
    <s v="AND446"/>
    <s v="RENAULT"/>
    <s v="RENAULT"/>
    <s v="RENTAEQUIPOS LEASING PERU S.A."/>
  </r>
  <r>
    <d v="2020-02-11T00:00:00"/>
    <s v="005-00000378"/>
    <n v="50.9100015"/>
    <n v="0"/>
    <n v="0"/>
    <n v="0"/>
    <n v="0"/>
    <n v="15.075000000000001"/>
    <n v="0"/>
    <n v="0"/>
    <n v="15.075000000000001"/>
    <n v="35.835001499999997"/>
    <n v="0.7038892249885319"/>
    <x v="0"/>
    <s v="LEVE"/>
    <x v="4"/>
    <x v="1"/>
    <n v="7"/>
    <n v="1"/>
    <d v="2020-02-04T00:00:00"/>
    <s v="BAN755"/>
    <s v="MAZDA"/>
    <s v="CX5"/>
    <s v="RIMAC SEGUROS  Y REASEGUROS S.A"/>
  </r>
  <r>
    <d v="2020-02-13T00:00:00"/>
    <s v="005-00000368"/>
    <n v="301.08699110000003"/>
    <n v="0"/>
    <n v="0"/>
    <n v="0"/>
    <n v="0"/>
    <n v="30.150000000000002"/>
    <n v="70.350000000000009"/>
    <n v="0"/>
    <n v="100.50000000000001"/>
    <n v="200.58699110000003"/>
    <n v="0.66620942461568877"/>
    <x v="1"/>
    <s v="LEVE"/>
    <x v="4"/>
    <x v="1"/>
    <n v="15"/>
    <n v="1"/>
    <d v="2020-01-29T00:00:00"/>
    <s v="BJF224"/>
    <s v="MAZDA"/>
    <s v="MAZDA 6"/>
    <s v="RIMAC SEGUROS  Y REASEGUROS S.A"/>
  </r>
  <r>
    <d v="2020-02-13T00:00:00"/>
    <s v="005-00000375"/>
    <n v="436.40698710000009"/>
    <n v="0"/>
    <n v="0"/>
    <n v="0"/>
    <n v="0"/>
    <n v="30.150000000000002"/>
    <n v="70.350000000000009"/>
    <n v="0"/>
    <n v="100.50000000000001"/>
    <n v="335.90698710000009"/>
    <n v="0.76971037822322719"/>
    <x v="1"/>
    <s v="LEVE"/>
    <x v="4"/>
    <x v="1"/>
    <n v="9"/>
    <n v="1"/>
    <d v="2020-02-04T00:00:00"/>
    <s v="A3E362"/>
    <s v="TOYOTA"/>
    <s v="RAV 4"/>
    <s v="PATRON JORGE RICARDO GALLEGOS RIZO"/>
  </r>
  <r>
    <d v="2020-02-14T00:00:00"/>
    <s v="005-00000379"/>
    <n v="1646.8025"/>
    <n v="0"/>
    <n v="0"/>
    <n v="0"/>
    <n v="30.150000000000002"/>
    <n v="135.67500000000001"/>
    <n v="246.22499999999999"/>
    <n v="0"/>
    <n v="412.05"/>
    <n v="1234.7525000000001"/>
    <n v="0.74978784644788921"/>
    <x v="1"/>
    <s v="MEDIANO"/>
    <x v="4"/>
    <x v="1"/>
    <n v="9"/>
    <n v="1"/>
    <d v="2020-02-05T00:00:00"/>
    <s v="BDO197"/>
    <s v="HYUNDAI"/>
    <s v="ELANTRA"/>
    <s v="RIMAC SEGUROS  Y REASEGUROS S.A"/>
  </r>
  <r>
    <d v="2020-02-15T00:00:00"/>
    <s v="005-00000392"/>
    <n v="2115.0000625000002"/>
    <n v="0"/>
    <n v="0"/>
    <n v="0"/>
    <n v="0"/>
    <n v="105.52500000000001"/>
    <n v="351.75"/>
    <n v="0"/>
    <n v="457.27499999999998"/>
    <n v="1657.7250625000001"/>
    <n v="0.78379433263019105"/>
    <x v="1"/>
    <s v="MEDIANO"/>
    <x v="4"/>
    <x v="1"/>
    <n v="5"/>
    <n v="1"/>
    <d v="2020-02-10T00:00:00"/>
    <s v="ATO331"/>
    <s v="MAZDA"/>
    <s v="CX5"/>
    <s v="RIMAC SEGUROS  Y REASEGUROS S.A"/>
  </r>
  <r>
    <d v="2020-02-15T00:00:00"/>
    <s v="005-00000383"/>
    <n v="690.33602039999994"/>
    <n v="0"/>
    <n v="0"/>
    <n v="0"/>
    <n v="0"/>
    <n v="30.150000000000002"/>
    <n v="70.350000000000009"/>
    <n v="0"/>
    <n v="100.50000000000001"/>
    <n v="589.83602039999994"/>
    <n v="0.85441872214379389"/>
    <x v="1"/>
    <s v="LEVE"/>
    <x v="4"/>
    <x v="1"/>
    <n v="7"/>
    <n v="1"/>
    <d v="2020-02-08T00:00:00"/>
    <s v="AZS168"/>
    <s v="KIA"/>
    <s v="SPORTAGE"/>
    <s v="RIMAC SEGUROS  Y REASEGUROS S.A"/>
  </r>
  <r>
    <d v="2020-02-15T00:00:00"/>
    <s v="005-00000371"/>
    <n v="1913.6520565500002"/>
    <n v="0"/>
    <n v="0"/>
    <n v="252.55"/>
    <n v="0"/>
    <n v="90.45"/>
    <n v="316.57499999999999"/>
    <n v="0"/>
    <n v="659.57500000000005"/>
    <n v="1254.0770565500002"/>
    <n v="0.65533180509883016"/>
    <x v="1"/>
    <s v="LEVE"/>
    <x v="4"/>
    <x v="1"/>
    <n v="16"/>
    <n v="1"/>
    <d v="2020-01-30T00:00:00"/>
    <s v="BFO123"/>
    <s v="MAZDA"/>
    <s v="MAZDA 5 "/>
    <s v="RIMAC SEGUROS  Y REASEGUROS S.A"/>
  </r>
  <r>
    <d v="2020-02-15T00:00:00"/>
    <s v="005-00000381"/>
    <n v="710.64002100000005"/>
    <n v="0"/>
    <n v="0"/>
    <n v="0"/>
    <n v="0"/>
    <n v="30.150000000000002"/>
    <n v="70.350000000000009"/>
    <n v="0"/>
    <n v="100.50000000000001"/>
    <n v="610.14002100000005"/>
    <n v="0.85857818722539969"/>
    <x v="1"/>
    <s v="LEVE"/>
    <x v="4"/>
    <x v="1"/>
    <n v="9"/>
    <n v="1"/>
    <d v="2020-02-06T00:00:00"/>
    <s v="BFO123"/>
    <s v="MAZDA"/>
    <s v="MAZDA 5 "/>
    <s v="RIMAC SEGUROS  Y REASEGUROS S.A"/>
  </r>
  <r>
    <d v="2020-02-17T00:00:00"/>
    <s v="005-00000377"/>
    <n v="2777.4322948754207"/>
    <n v="0"/>
    <n v="0"/>
    <n v="0"/>
    <n v="0"/>
    <n v="271.35000000000002"/>
    <n v="281.40000000000003"/>
    <n v="0"/>
    <n v="552.75"/>
    <n v="2224.6822948754207"/>
    <n v="0.80098524777008362"/>
    <x v="1"/>
    <s v="GRAVE"/>
    <x v="4"/>
    <x v="1"/>
    <n v="13"/>
    <n v="1"/>
    <d v="2020-02-04T00:00:00"/>
    <s v="B4F196"/>
    <s v="VOLKWAGEN"/>
    <s v="PASSANT"/>
    <s v="RIMAC SEGUROS  Y REASEGUROS S.A"/>
  </r>
  <r>
    <d v="2020-02-17T00:00:00"/>
    <s v="005-00000346"/>
    <n v="372.24001100000004"/>
    <n v="0"/>
    <n v="0"/>
    <n v="169.49"/>
    <n v="45.225000000000001"/>
    <n v="0"/>
    <n v="0"/>
    <n v="0"/>
    <n v="214.715"/>
    <n v="157.52501100000003"/>
    <n v="0.42318129793951681"/>
    <x v="1"/>
    <s v="LEVE"/>
    <x v="4"/>
    <x v="1"/>
    <n v="27"/>
    <n v="1"/>
    <d v="2020-01-21T00:00:00"/>
    <s v="AVF200"/>
    <s v="VOLVO"/>
    <s v="S60"/>
    <s v="RIMAC SEGUROS  Y REASEGUROS S.A"/>
  </r>
  <r>
    <d v="2020-02-17T00:00:00"/>
    <s v="005-00000395"/>
    <n v="521.13601539999991"/>
    <n v="0"/>
    <n v="0"/>
    <n v="0"/>
    <n v="0"/>
    <n v="15.075000000000001"/>
    <n v="70.350000000000009"/>
    <n v="0"/>
    <n v="85.425000000000011"/>
    <n v="435.71101539999989"/>
    <n v="0.83607926246580422"/>
    <x v="1"/>
    <s v="LEVE"/>
    <x v="4"/>
    <x v="1"/>
    <n v="6"/>
    <n v="1"/>
    <d v="2020-02-11T00:00:00"/>
    <s v="ABI176"/>
    <s v="CHEVROLET"/>
    <s v="TRACKER"/>
    <s v="PROMUNE S.A.C"/>
  </r>
  <r>
    <d v="2020-02-18T00:00:00"/>
    <s v="005-00000366"/>
    <n v="168.36821777542002"/>
    <n v="0"/>
    <n v="42.37"/>
    <n v="0"/>
    <n v="0"/>
    <n v="15.075000000000001"/>
    <n v="17.587500000000002"/>
    <n v="0"/>
    <n v="75.032499999999999"/>
    <n v="93.335717775420022"/>
    <n v="0.55435472922756124"/>
    <x v="1"/>
    <s v="LEVE"/>
    <x v="4"/>
    <x v="1"/>
    <n v="20"/>
    <n v="1"/>
    <d v="2020-01-29T00:00:00"/>
    <s v="BKW218"/>
    <s v="HONDA"/>
    <s v="PILOT"/>
    <s v="RIMAC SEGUROS  Y REASEGUROS S.A"/>
  </r>
  <r>
    <d v="2020-02-19T00:00:00"/>
    <s v="005-00000411"/>
    <n v="807.21661996016996"/>
    <n v="0"/>
    <n v="0"/>
    <n v="0"/>
    <n v="0"/>
    <n v="30.150000000000002"/>
    <n v="140.70000000000002"/>
    <n v="0"/>
    <n v="170.85000000000002"/>
    <n v="636.36661996016994"/>
    <n v="0.78834677610028625"/>
    <x v="1"/>
    <s v="LEVE"/>
    <x v="4"/>
    <x v="1"/>
    <n v="2"/>
    <n v="1"/>
    <d v="2020-02-17T00:00:00"/>
    <s v="F1D251"/>
    <s v="SUBARU"/>
    <s v="NEW XV"/>
    <s v="RIMAC SEGUROS  Y REASEGUROS S.A"/>
  </r>
  <r>
    <d v="2020-02-19T00:00:00"/>
    <s v="005-00000362"/>
    <n v="310.50770322966002"/>
    <n v="0"/>
    <n v="0"/>
    <n v="0"/>
    <n v="0"/>
    <n v="15.075000000000001"/>
    <n v="70.350000000000009"/>
    <n v="0"/>
    <n v="85.425000000000011"/>
    <n v="225.08270322966001"/>
    <n v="0.72488605238621939"/>
    <x v="1"/>
    <s v="LEVE"/>
    <x v="4"/>
    <x v="1"/>
    <n v="22"/>
    <n v="1"/>
    <d v="2020-01-28T00:00:00"/>
    <s v="F1D251"/>
    <s v="SUBARU"/>
    <s v="NEXU"/>
    <s v="RIMAC SEGUROS  Y REASEGUROS S.A"/>
  </r>
  <r>
    <d v="2020-02-20T00:00:00"/>
    <s v="005-00000380"/>
    <n v="301.1760089"/>
    <n v="0"/>
    <n v="0"/>
    <n v="0"/>
    <n v="0"/>
    <n v="30.150000000000002"/>
    <n v="70.350000000000009"/>
    <n v="0"/>
    <n v="100.50000000000001"/>
    <n v="200.6760089"/>
    <n v="0.66630808221723536"/>
    <x v="1"/>
    <s v="LEVE"/>
    <x v="4"/>
    <x v="1"/>
    <n v="14"/>
    <n v="1"/>
    <d v="2020-02-06T00:00:00"/>
    <s v="BKS038"/>
    <s v="MAZDA"/>
    <s v="CX9"/>
    <s v="RIMAC SEGUROS  Y REASEGUROS S.A"/>
  </r>
  <r>
    <d v="2020-02-20T00:00:00"/>
    <s v="005-00000396"/>
    <n v="856.1520253000001"/>
    <n v="0"/>
    <n v="0"/>
    <n v="0"/>
    <n v="0"/>
    <n v="60.300000000000004"/>
    <n v="140.70000000000002"/>
    <n v="0"/>
    <n v="201.00000000000003"/>
    <n v="655.1520253000001"/>
    <n v="0.76522861120422092"/>
    <x v="1"/>
    <s v="LEVE"/>
    <x v="4"/>
    <x v="1"/>
    <n v="8"/>
    <n v="1"/>
    <d v="2020-02-12T00:00:00"/>
    <s v="BKF172"/>
    <s v="MAZDA"/>
    <s v="MAZDA3"/>
    <s v="RIMAC SEGUROS  Y REASEGUROS S.A"/>
  </r>
  <r>
    <d v="2020-02-21T00:00:00"/>
    <s v="005-00000330"/>
    <n v="2430.3679999999995"/>
    <n v="0"/>
    <n v="0"/>
    <n v="220.33999999999997"/>
    <n v="30.150000000000002"/>
    <n v="180.9"/>
    <n v="211.05"/>
    <n v="0"/>
    <n v="642.44000000000005"/>
    <n v="1787.9279999999994"/>
    <n v="0.73566143069691492"/>
    <x v="1"/>
    <s v="MEDIANO"/>
    <x v="4"/>
    <x v="1"/>
    <n v="37"/>
    <n v="1"/>
    <d v="2020-01-15T00:00:00"/>
    <s v="BDS618"/>
    <s v="JEEP"/>
    <s v="RENEGADE"/>
    <s v="RIMAC SEGUROS  Y REASEGUROS S.A"/>
  </r>
  <r>
    <d v="2020-02-21T00:00:00"/>
    <s v="005-00000408"/>
    <n v="909.05600000000004"/>
    <n v="0"/>
    <n v="0"/>
    <n v="0"/>
    <n v="0"/>
    <n v="105.52500000000001"/>
    <n v="175.875"/>
    <n v="0"/>
    <n v="281.39999999999998"/>
    <n v="627.65600000000006"/>
    <n v="0.69044811320754718"/>
    <x v="1"/>
    <s v="LEVE"/>
    <x v="4"/>
    <x v="1"/>
    <n v="4"/>
    <n v="1"/>
    <d v="2020-02-17T00:00:00"/>
    <s v="C4R002"/>
    <s v="KIA"/>
    <s v="SPORTAGE"/>
    <s v="RIMAC SEGUROS  Y REASEGUROS S.A"/>
  </r>
  <r>
    <d v="2020-02-21T00:00:00"/>
    <s v="005-00000393"/>
    <n v="1482.3039999999999"/>
    <n v="0"/>
    <n v="0"/>
    <n v="0"/>
    <n v="30.150000000000002"/>
    <n v="105.52500000000001"/>
    <n v="351.75"/>
    <n v="0"/>
    <n v="487.42500000000001"/>
    <n v="994.87899999999991"/>
    <n v="0.67117069103233884"/>
    <x v="1"/>
    <s v="MEDIANO"/>
    <x v="4"/>
    <x v="1"/>
    <n v="11"/>
    <n v="1"/>
    <d v="2020-02-10T00:00:00"/>
    <s v="V4K291"/>
    <s v="TOYOTA"/>
    <s v="COROLLA"/>
    <s v="RIMAC SEGUROS  Y REASEGUROS S.A"/>
  </r>
  <r>
    <d v="2020-02-22T00:00:00"/>
    <s v="005-00000406"/>
    <n v="50.9100015"/>
    <n v="0"/>
    <n v="0"/>
    <n v="0"/>
    <n v="0"/>
    <n v="45.225000000000001"/>
    <n v="140.70000000000002"/>
    <n v="0"/>
    <n v="185.92500000000001"/>
    <n v="-135.01499850000002"/>
    <n v="-2.6520328918081062"/>
    <x v="0"/>
    <s v="LEVE"/>
    <x v="4"/>
    <x v="1"/>
    <n v="7"/>
    <n v="1"/>
    <d v="2020-02-15T00:00:00"/>
    <s v="AXW530"/>
    <s v="AUDI"/>
    <s v="Q5"/>
    <s v="RIMAC SEGUROS  Y REASEGUROS S.A"/>
  </r>
  <r>
    <d v="2020-02-22T00:00:00"/>
    <s v="005-00000430"/>
    <n v="290"/>
    <n v="0"/>
    <n v="0"/>
    <n v="169.49"/>
    <n v="0"/>
    <n v="0"/>
    <n v="0"/>
    <n v="0"/>
    <n v="169.49"/>
    <n v="120.50999999999999"/>
    <n v="0.41555172413793101"/>
    <x v="2"/>
    <s v="MECANICA"/>
    <x v="4"/>
    <x v="1"/>
    <n v="2"/>
    <n v="1"/>
    <d v="2020-02-20T00:00:00"/>
    <s v="F0B164"/>
    <s v="S/MARCA"/>
    <s v="S/MODELO"/>
    <s v="EDPYME ACCESO CREDITICIO SOCIEDAD ANONIMA"/>
  </r>
  <r>
    <d v="2020-02-22T00:00:00"/>
    <s v="005-00000382"/>
    <n v="1601.9680472"/>
    <n v="0"/>
    <n v="0"/>
    <n v="0"/>
    <n v="0"/>
    <n v="97.987499999999997"/>
    <n v="211.05"/>
    <n v="0"/>
    <n v="309.03750000000002"/>
    <n v="1292.9305472000001"/>
    <n v="0.80708884890672372"/>
    <x v="1"/>
    <s v="MEDIANO"/>
    <x v="4"/>
    <x v="1"/>
    <n v="15"/>
    <n v="1"/>
    <d v="2020-02-07T00:00:00"/>
    <s v="BHG013"/>
    <s v="SSAN YONG"/>
    <s v="RODIOUS"/>
    <s v="RIMAC SEGUROS  Y REASEGUROS S.A"/>
  </r>
  <r>
    <d v="2020-02-24T00:00:00"/>
    <s v="005-00000386"/>
    <n v="3438.9848900654215"/>
    <n v="0"/>
    <n v="0"/>
    <n v="0"/>
    <n v="30.150000000000002"/>
    <n v="241.20000000000002"/>
    <n v="474.86250000000001"/>
    <n v="0"/>
    <n v="746.21250000000009"/>
    <n v="2692.7723900654214"/>
    <n v="0.78301373112872141"/>
    <x v="1"/>
    <s v="GRAVE"/>
    <x v="4"/>
    <x v="1"/>
    <n v="14"/>
    <n v="1"/>
    <d v="2020-02-10T00:00:00"/>
    <s v="D9G573"/>
    <s v="HYUNDAI"/>
    <s v="TUCSON"/>
    <s v="RIMAC SEGUROS  Y REASEGUROS S.A"/>
  </r>
  <r>
    <d v="2020-02-24T00:00:00"/>
    <s v="005-00000409"/>
    <n v="1062.3220313000002"/>
    <n v="0"/>
    <n v="0"/>
    <n v="0"/>
    <n v="0"/>
    <n v="120.60000000000001"/>
    <n v="140.70000000000002"/>
    <n v="0"/>
    <n v="261.3"/>
    <n v="801.02203130000021"/>
    <n v="0.75402938816938769"/>
    <x v="1"/>
    <s v="MEDIANO"/>
    <x v="4"/>
    <x v="1"/>
    <n v="7"/>
    <n v="1"/>
    <d v="2020-02-17T00:00:00"/>
    <s v="BBM137"/>
    <s v="SUBARU"/>
    <s v="NEW XV"/>
    <s v="RIMAC SEGUROS  Y REASEGUROS S.A"/>
  </r>
  <r>
    <d v="2020-02-25T00:00:00"/>
    <s v="005-00000399"/>
    <n v="1501.1640000000002"/>
    <n v="0"/>
    <n v="0"/>
    <n v="0"/>
    <n v="0"/>
    <n v="0"/>
    <n v="0"/>
    <n v="0"/>
    <n v="0"/>
    <n v="1501.1640000000002"/>
    <n v="1"/>
    <x v="1"/>
    <s v="MEDIANO"/>
    <x v="4"/>
    <x v="1"/>
    <n v="12"/>
    <n v="1"/>
    <d v="2020-02-13T00:00:00"/>
    <s v="AFW077"/>
    <s v="S/MARCA"/>
    <s v="S/MODELO"/>
    <s v="RIMAC SEGUROS  Y REASEGUROS S.A"/>
  </r>
  <r>
    <d v="2020-02-25T00:00:00"/>
    <s v="005-00000400"/>
    <n v="1911.346"/>
    <n v="0"/>
    <n v="0"/>
    <n v="0"/>
    <n v="0"/>
    <n v="211.05"/>
    <n v="246.22499999999999"/>
    <n v="0"/>
    <n v="457.27499999999998"/>
    <n v="1454.0709999999999"/>
    <n v="0.76075760223423694"/>
    <x v="1"/>
    <s v="GRAVE"/>
    <x v="4"/>
    <x v="1"/>
    <n v="11"/>
    <n v="1"/>
    <d v="2020-02-14T00:00:00"/>
    <s v="AFX260"/>
    <s v="SUZUKI"/>
    <s v="SCROOS"/>
    <s v="RIMAC SEGUROS  Y REASEGUROS S.A"/>
  </r>
  <r>
    <d v="2020-02-26T00:00:00"/>
    <s v="005-00000337"/>
    <n v="1648.02"/>
    <n v="0"/>
    <n v="0"/>
    <n v="33.9"/>
    <n v="0"/>
    <n v="120.60000000000001"/>
    <n v="246.22499999999999"/>
    <n v="0"/>
    <n v="400.72500000000002"/>
    <n v="1247.2950000000001"/>
    <n v="0.75684457712891839"/>
    <x v="1"/>
    <s v="MEDIANO"/>
    <x v="4"/>
    <x v="1"/>
    <n v="41"/>
    <n v="1"/>
    <d v="2020-01-16T00:00:00"/>
    <s v="M3K474"/>
    <s v="TOYOTA"/>
    <s v="RAV 4"/>
    <s v="RIMAC SEGUROS  Y REASEGUROS S.A"/>
  </r>
  <r>
    <d v="2020-02-26T00:00:00"/>
    <s v="005-00000200"/>
    <n v="3772.74"/>
    <n v="0"/>
    <n v="0"/>
    <n v="101.69"/>
    <n v="60.300000000000004"/>
    <n v="331.65000000000003"/>
    <n v="422.1"/>
    <n v="0"/>
    <n v="915.74"/>
    <n v="2857"/>
    <n v="0.75727455377258968"/>
    <x v="1"/>
    <s v="GRAVE"/>
    <x v="4"/>
    <x v="1"/>
    <n v="96"/>
    <n v="1"/>
    <d v="2019-11-22T00:00:00"/>
    <s v="A4H567"/>
    <s v="CITROEN"/>
    <s v="C4"/>
    <s v="RIMAC SEGUROS  Y REASEGUROS S.A"/>
  </r>
  <r>
    <d v="2020-02-26T00:00:00"/>
    <s v="005-00000407"/>
    <n v="1384.1324999999999"/>
    <n v="0"/>
    <n v="0"/>
    <n v="0"/>
    <n v="0"/>
    <n v="90.45"/>
    <n v="246.22499999999999"/>
    <n v="0"/>
    <n v="336.67500000000001"/>
    <n v="1047.4575"/>
    <n v="0.7567610037333854"/>
    <x v="1"/>
    <s v="LEVE"/>
    <x v="4"/>
    <x v="1"/>
    <n v="11"/>
    <n v="1"/>
    <d v="2020-02-15T00:00:00"/>
    <s v="ANL279"/>
    <s v="HYUNDAI"/>
    <s v="ACCENT"/>
    <s v="RIMAC SEGUROS  Y REASEGUROS S.A"/>
  </r>
  <r>
    <d v="2020-02-14T00:00:00"/>
    <s v="005-00000387"/>
    <n v="297.88"/>
    <n v="0"/>
    <n v="0"/>
    <n v="0"/>
    <n v="0"/>
    <n v="0"/>
    <n v="0"/>
    <n v="0"/>
    <n v="0"/>
    <n v="297.88"/>
    <n v="1"/>
    <x v="0"/>
    <s v="MECANICA"/>
    <x v="4"/>
    <x v="1"/>
    <n v="4"/>
    <n v="1"/>
    <d v="2020-02-10T00:00:00"/>
    <s v="C3N598"/>
    <s v="S/MARCA"/>
    <s v="S/MODELO"/>
    <s v="RUIZ PALACIOS ANGEL GUSTAVO"/>
  </r>
  <r>
    <d v="2020-02-14T00:00:00"/>
    <s v="005-00000388"/>
    <n v="279"/>
    <n v="159.07990009999997"/>
    <n v="0"/>
    <n v="0"/>
    <n v="70.40025"/>
    <n v="0"/>
    <n v="0"/>
    <n v="0"/>
    <n v="229.48015009999997"/>
    <n v="49.519849900000025"/>
    <n v="0.17749050143369186"/>
    <x v="0"/>
    <s v="MECANICA"/>
    <x v="4"/>
    <x v="1"/>
    <n v="4"/>
    <n v="1"/>
    <d v="2020-02-10T00:00:00"/>
    <s v="C3N598"/>
    <s v="NISSAN"/>
    <s v="TIIDA"/>
    <s v="RUIZ PALACIOS ANGEL GUSTAVO"/>
  </r>
  <r>
    <d v="2020-02-14T00:00:00"/>
    <s v="005-00000391"/>
    <n v="358.58050038499994"/>
    <n v="0"/>
    <n v="0"/>
    <n v="0"/>
    <n v="0"/>
    <n v="15.075000000000001"/>
    <n v="70.350000000000009"/>
    <n v="0"/>
    <n v="85.425000000000011"/>
    <n v="273.15550038499993"/>
    <n v="0.76176897542314459"/>
    <x v="0"/>
    <s v="LEVE"/>
    <x v="4"/>
    <x v="1"/>
    <n v="4"/>
    <n v="1"/>
    <d v="2020-02-10T00:00:00"/>
    <s v="AWJ049"/>
    <s v="RENAULT"/>
    <s v="DUSTER"/>
    <s v="VALENZUELA IZURRIETA SILVIA"/>
  </r>
  <r>
    <d v="2020-02-15T00:00:00"/>
    <s v="005-00000394"/>
    <n v="33.898400000000002"/>
    <n v="0"/>
    <n v="0"/>
    <n v="0"/>
    <n v="0"/>
    <n v="0"/>
    <n v="0"/>
    <n v="0"/>
    <n v="0"/>
    <n v="33.898400000000002"/>
    <n v="1"/>
    <x v="0"/>
    <s v="MECANICA"/>
    <x v="4"/>
    <x v="1"/>
    <n v="4"/>
    <n v="1"/>
    <d v="2020-02-11T00:00:00"/>
    <s v="BFO123"/>
    <s v="S/MARCA"/>
    <s v="S/MODELO"/>
    <s v="DE LA CRUZ TENORIO JULIAN"/>
  </r>
  <r>
    <d v="2020-02-17T00:00:00"/>
    <s v="005-00000398"/>
    <n v="25.423700000000004"/>
    <n v="0"/>
    <n v="0"/>
    <n v="0"/>
    <n v="0"/>
    <n v="0"/>
    <n v="0"/>
    <n v="0"/>
    <n v="0"/>
    <n v="25.423700000000004"/>
    <n v="1"/>
    <x v="0"/>
    <s v="MECANICA"/>
    <x v="4"/>
    <x v="1"/>
    <n v="4"/>
    <n v="1"/>
    <d v="2020-02-13T00:00:00"/>
    <s v="AVF200"/>
    <s v="S/MARCA"/>
    <s v="S/MODELO"/>
    <s v="GALLESE D ANGELO STEFANO"/>
  </r>
  <r>
    <d v="2020-02-17T00:00:00"/>
    <s v="005-00000404"/>
    <n v="338.40001000000001"/>
    <n v="0"/>
    <n v="0"/>
    <n v="0"/>
    <n v="0"/>
    <n v="0"/>
    <n v="0"/>
    <n v="0"/>
    <n v="0"/>
    <n v="338.40001000000001"/>
    <n v="1"/>
    <x v="0"/>
    <s v="MECANICA"/>
    <x v="4"/>
    <x v="1"/>
    <n v="2"/>
    <n v="1"/>
    <d v="2020-02-15T00:00:00"/>
    <s v="AVF200"/>
    <s v="S/MARCA"/>
    <s v="S/MODELO"/>
    <s v="GALLESE D ANGELO STEFANO"/>
  </r>
  <r>
    <d v="2020-02-19T00:00:00"/>
    <s v="005-00000414"/>
    <n v="1084.7542000000001"/>
    <n v="0"/>
    <n v="0"/>
    <n v="0"/>
    <n v="0"/>
    <n v="0"/>
    <n v="0"/>
    <n v="0"/>
    <n v="0"/>
    <n v="1084.7542000000001"/>
    <n v="1"/>
    <x v="0"/>
    <s v="MECANICA"/>
    <x v="4"/>
    <x v="1"/>
    <n v="1"/>
    <n v="1"/>
    <d v="2020-02-18T00:00:00"/>
    <s v="BEE120"/>
    <s v="S/MARCA"/>
    <s v="S/MODELO"/>
    <s v="RENE PARLONA ALVARADO"/>
  </r>
  <r>
    <d v="2020-02-19T00:00:00"/>
    <s v="005-00000422"/>
    <n v="286.97772626857966"/>
    <n v="0"/>
    <n v="0"/>
    <n v="0"/>
    <n v="0"/>
    <n v="0"/>
    <n v="0"/>
    <n v="0"/>
    <n v="0"/>
    <n v="286.97772626857966"/>
    <n v="1"/>
    <x v="0"/>
    <s v="MECANICA"/>
    <x v="4"/>
    <x v="1"/>
    <n v="0"/>
    <n v="1"/>
    <d v="2020-02-19T00:00:00"/>
    <s v="BEE120"/>
    <s v="CHERY"/>
    <s v="QQ"/>
    <s v="RENE PARLONA ALVARADO"/>
  </r>
  <r>
    <d v="2020-02-20T00:00:00"/>
    <s v="005-00000420"/>
    <n v="101.520003"/>
    <n v="0"/>
    <n v="0"/>
    <n v="0"/>
    <n v="0"/>
    <n v="0"/>
    <n v="35.175000000000004"/>
    <n v="0"/>
    <n v="35.175000000000004"/>
    <n v="66.345002999999991"/>
    <n v="0.65351655870222924"/>
    <x v="0"/>
    <s v="LEVE"/>
    <x v="4"/>
    <x v="1"/>
    <n v="1"/>
    <n v="1"/>
    <d v="2020-02-19T00:00:00"/>
    <s v="BKS038"/>
    <s v="MAZDA"/>
    <s v="CX9"/>
    <s v="KELLY SANTOS TRUJILLO"/>
  </r>
  <r>
    <d v="2020-02-24T00:00:00"/>
    <s v="005-00000397"/>
    <n v="763.65002249999998"/>
    <n v="0"/>
    <n v="0"/>
    <n v="0"/>
    <n v="0"/>
    <n v="45.225000000000001"/>
    <n v="211.05"/>
    <n v="0"/>
    <n v="256.27500000000003"/>
    <n v="507.37502249999994"/>
    <n v="0.6644077883203362"/>
    <x v="0"/>
    <s v="LEVE"/>
    <x v="4"/>
    <x v="1"/>
    <n v="11"/>
    <n v="1"/>
    <d v="2020-02-13T00:00:00"/>
    <s v="D9G573"/>
    <s v="HYUNDAI"/>
    <s v="TUCSON"/>
    <s v="MONTESINOS TORRES ORLANDO"/>
  </r>
  <r>
    <d v="2020-02-25T00:00:00"/>
    <s v="005-00000446"/>
    <n v="241.20339999999999"/>
    <n v="0"/>
    <n v="0"/>
    <n v="0"/>
    <n v="30.150000000000002"/>
    <n v="0"/>
    <n v="0"/>
    <n v="0"/>
    <n v="30.150000000000002"/>
    <n v="211.05339999999998"/>
    <n v="0.87500176199837976"/>
    <x v="0"/>
    <s v="MECANICA"/>
    <x v="4"/>
    <x v="1"/>
    <n v="0"/>
    <n v="1"/>
    <d v="2020-02-25T00:00:00"/>
    <s v="F5B055"/>
    <s v="CHANGAN"/>
    <s v="C835"/>
    <s v="ZEGARRA RAMIREZ LEONOR MARIA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x v="0"/>
    <s v="FAC"/>
    <s v="005"/>
    <s v="00000001"/>
    <x v="0"/>
    <s v="ASW540"/>
    <d v="2019-10-01T00:00:00"/>
    <s v="20602003346"/>
    <s v="FAST ENGENHARIA E MONTAGENS SA"/>
    <s v="1302020001"/>
    <s v="PINTURA"/>
    <s v="000"/>
    <s v="001"/>
    <s v="CONTADO"/>
    <s v="009"/>
    <s v="PINTURA"/>
    <s v="$"/>
    <n v="3.3780000000000001"/>
    <n v="1"/>
    <n v="120"/>
    <n v="120"/>
    <n v="21.600010000000019"/>
    <n v="141.60001000000003"/>
    <n v="405.36"/>
    <d v="2019-10-07T00:00:00"/>
    <s v="005-00000004"/>
    <n v="955.97400000000005"/>
    <n v="0"/>
    <n v="0"/>
    <n v="0"/>
    <n v="0"/>
    <n v="60.300000000000004"/>
    <n v="140.70000000000002"/>
    <n v="0"/>
    <n v="201.00000000000003"/>
    <n v="754.97400000000005"/>
    <n v="0.78974323569469462"/>
    <s v="C.C"/>
    <s v="LEVE"/>
    <s v="Octubre"/>
    <n v="2019"/>
    <n v="6"/>
    <n v="1"/>
    <d v="2019-10-01T00:00:00"/>
    <s v="ASW-540"/>
    <s v="KIA"/>
    <s v="RIO"/>
    <s v="FAST ENGENHARIA E MONTAGENS SA"/>
  </r>
  <r>
    <x v="0"/>
    <s v="FAC"/>
    <s v="005"/>
    <s v="00000001"/>
    <x v="0"/>
    <s v="ASW540"/>
    <d v="2019-10-01T00:00:00"/>
    <s v="20602003346"/>
    <s v="FAST ENGENHARIA E MONTAGENS SA"/>
    <s v="1201020001"/>
    <s v="PLANCHADO"/>
    <s v="000"/>
    <s v="001"/>
    <s v="CONTADO"/>
    <s v="001"/>
    <s v="PLANCHADO"/>
    <s v="$"/>
    <n v="3.3780000000000001"/>
    <n v="1"/>
    <n v="75"/>
    <n v="75"/>
    <n v="13.5"/>
    <n v="88.5"/>
    <n v="253.35000000000002"/>
    <d v="2019-10-07T00:00:00"/>
    <s v="005-00000005"/>
    <n v="270.24"/>
    <n v="65.580001999999979"/>
    <n v="0"/>
    <n v="67.79661016949153"/>
    <n v="0"/>
    <n v="0"/>
    <n v="0"/>
    <n v="0"/>
    <n v="133.37661216949152"/>
    <n v="136.86338783050849"/>
    <n v="0.50645125751372289"/>
    <s v="C.C"/>
    <s v="MECANICA"/>
    <s v="Octubre"/>
    <n v="2019"/>
    <n v="5"/>
    <n v="1"/>
    <d v="2019-10-02T00:00:00"/>
    <s v="ASW-540"/>
    <s v="KIA"/>
    <s v="RIO"/>
    <s v="FAST ENGENHARIA E MONTAGENS SA"/>
  </r>
  <r>
    <x v="0"/>
    <s v="FAC"/>
    <s v="005"/>
    <s v="00000001"/>
    <x v="0"/>
    <s v="ASW540"/>
    <d v="2019-10-01T00:00:00"/>
    <s v="20602003346"/>
    <s v="FAST ENGENHARIA E MONTAGENS SA"/>
    <s v="2908010001"/>
    <s v="TERCEROS"/>
    <s v="000"/>
    <s v="001"/>
    <s v="CONTADO"/>
    <s v="002"/>
    <s v="TERCEROS"/>
    <s v="$"/>
    <n v="3.3780000000000001"/>
    <n v="1"/>
    <n v="88"/>
    <n v="88"/>
    <n v="15.84"/>
    <n v="103.84"/>
    <n v="297.26400000000001"/>
    <d v="2019-10-11T00:00:00"/>
    <s v="005-00000023"/>
    <n v="841.87288999999998"/>
    <n v="209.40159500000004"/>
    <n v="0"/>
    <n v="115.2542372881356"/>
    <n v="40.250250000000001"/>
    <n v="0"/>
    <n v="0"/>
    <n v="0"/>
    <n v="364.90608228813562"/>
    <n v="476.96680771186436"/>
    <n v="0.56655442095523989"/>
    <s v="C.C"/>
    <s v="MECANICA"/>
    <s v="Octubre"/>
    <n v="2019"/>
    <n v="2"/>
    <n v="1"/>
    <d v="2019-10-09T00:00:00"/>
    <s v="F5B-699"/>
    <s v="NISSAN"/>
    <s v="VERSA"/>
    <s v="PACHECO PALOMINO RICARDO ALONSO"/>
  </r>
  <r>
    <x v="0"/>
    <s v="FAC"/>
    <s v="005"/>
    <s v="00000002"/>
    <x v="1"/>
    <s v="ASW540"/>
    <d v="2019-10-02T00:00:00"/>
    <s v="20602003346"/>
    <s v="FAST ENGENHARIA E MONTAGENS SA"/>
    <s v="2908010001"/>
    <s v="TERCEROS"/>
    <s v="000"/>
    <s v="001"/>
    <s v="CONTADO"/>
    <s v="002"/>
    <s v="TERCEROS"/>
    <s v="$"/>
    <n v="3.3780000000000001"/>
    <n v="1"/>
    <n v="45"/>
    <n v="45"/>
    <n v="8.0999980000000047"/>
    <n v="53.099998000000006"/>
    <n v="152.01"/>
    <d v="2019-10-12T00:00:00"/>
    <s v="005-00000022"/>
    <n v="324.33650964999998"/>
    <n v="0"/>
    <n v="0"/>
    <n v="0"/>
    <n v="0"/>
    <n v="15.075000000000001"/>
    <n v="70.350000000000009"/>
    <n v="0"/>
    <n v="85.425000000000011"/>
    <n v="238.91150964999997"/>
    <n v="0.73661614570563039"/>
    <s v="RIMAC"/>
    <s v="LEVE"/>
    <s v="Octubre"/>
    <n v="2019"/>
    <n v="5"/>
    <n v="1"/>
    <d v="2019-10-07T00:00:00"/>
    <s v="AHK-141"/>
    <s v="NISSAN"/>
    <s v="XTRAIL"/>
    <s v="RIMAC SEGUROS  Y REASEGUROS S.A"/>
  </r>
  <r>
    <x v="0"/>
    <s v="FAC"/>
    <s v="005"/>
    <s v="00000002"/>
    <x v="1"/>
    <s v="ASW540"/>
    <d v="2019-10-02T00:00:00"/>
    <s v="20602003346"/>
    <s v="FAST ENGENHARIA E MONTAGENS SA"/>
    <s v="320001"/>
    <s v="REPUESTOS"/>
    <s v="000"/>
    <s v="001"/>
    <s v="CONTADO"/>
    <s v="002"/>
    <s v="REPUESTOS"/>
    <s v="$"/>
    <n v="3.3780000000000001"/>
    <n v="1"/>
    <n v="35"/>
    <n v="35"/>
    <n v="6.299998999999989"/>
    <n v="41.299998999999985"/>
    <n v="118.23"/>
    <d v="2019-10-12T00:00:00"/>
    <s v="005-00000011"/>
    <n v="302.49000899999999"/>
    <n v="0"/>
    <n v="0"/>
    <n v="0"/>
    <n v="0"/>
    <n v="0"/>
    <n v="0"/>
    <n v="0"/>
    <n v="0"/>
    <n v="302.49000899999999"/>
    <n v="1"/>
    <s v="C.C"/>
    <s v="MECANICA"/>
    <s v="Octubre"/>
    <n v="2019"/>
    <n v="8"/>
    <n v="1"/>
    <d v="2019-10-04T00:00:00"/>
    <s v="D9C-481"/>
    <s v="JEEP"/>
    <s v="COMPASS"/>
    <s v="DIGITAL CONSULTING S.A.C."/>
  </r>
  <r>
    <x v="1"/>
    <s v="FAC"/>
    <s v="005"/>
    <s v="00000003"/>
    <x v="2"/>
    <s v="F5B699"/>
    <d v="2019-10-09T00:00:00"/>
    <s v="10704454738"/>
    <s v="PACHECO PALOMINO RICARDO ALONSO"/>
    <s v="2908010001"/>
    <s v="AMPLIACION DE RESPUESTOS"/>
    <s v="000"/>
    <s v="001"/>
    <s v="CONTADO"/>
    <s v="002"/>
    <s v="REPUESTOS"/>
    <s v="S/."/>
    <n v="3.3610001"/>
    <n v="1"/>
    <n v="310"/>
    <n v="310"/>
    <n v="55.799990000000037"/>
    <n v="365.79999000000004"/>
    <n v="310"/>
    <d v="2019-10-12T00:00:00"/>
    <s v="005-00000006"/>
    <n v="3293.7800979999997"/>
    <n v="1687.6875990000001"/>
    <n v="0"/>
    <n v="0"/>
    <n v="0"/>
    <n v="75.375"/>
    <n v="211.05"/>
    <n v="0"/>
    <n v="1974.112599"/>
    <n v="1319.6674989999997"/>
    <n v="0.40065440306756017"/>
    <s v="C.C"/>
    <s v="LEVE"/>
    <s v="Octubre"/>
    <n v="2019"/>
    <n v="9"/>
    <n v="1"/>
    <d v="2019-10-03T00:00:00"/>
    <s v="D9C-481"/>
    <s v="JEEP"/>
    <s v="COMPASS"/>
    <s v="DIGITAL CONSULTING S.A.C."/>
  </r>
  <r>
    <x v="1"/>
    <s v="FAC"/>
    <s v="005"/>
    <s v="00000003"/>
    <x v="2"/>
    <s v="F5B699"/>
    <d v="2019-10-09T00:00:00"/>
    <s v="10704454738"/>
    <s v="PACHECO PALOMINO RICARDO ALONSO"/>
    <s v="2908010002"/>
    <s v="AMPLIACION SERVICIO TERCEROS"/>
    <s v="000"/>
    <s v="001"/>
    <s v="CONTADO"/>
    <s v="002"/>
    <s v="TERCEROS"/>
    <s v="S/."/>
    <n v="3.3610001"/>
    <n v="1"/>
    <n v="150"/>
    <n v="150"/>
    <n v="27"/>
    <n v="177"/>
    <n v="150"/>
    <d v="2019-10-14T00:00:00"/>
    <s v="005-00000024"/>
    <n v="1426.7250425"/>
    <n v="0"/>
    <n v="0"/>
    <n v="0"/>
    <n v="0"/>
    <n v="120.60000000000001"/>
    <n v="281.40000000000003"/>
    <n v="0"/>
    <n v="402.00000000000006"/>
    <n v="1024.7250425"/>
    <n v="0.7182358281904202"/>
    <s v="C.C"/>
    <s v="LEVE"/>
    <s v="Octubre"/>
    <n v="2019"/>
    <n v="5"/>
    <n v="1"/>
    <d v="2019-10-09T00:00:00"/>
    <s v="B4S-030"/>
    <s v="KIA"/>
    <s v="PICANTO"/>
    <s v="FAST ENGENHARIA E MONTAGENS SA"/>
  </r>
  <r>
    <x v="1"/>
    <s v="FAC"/>
    <s v="005"/>
    <s v="00000003"/>
    <x v="2"/>
    <s v="F5B699"/>
    <d v="2019-10-09T00:00:00"/>
    <s v="10704454738"/>
    <s v="PACHECO PALOMINO RICARDO ALONSO"/>
    <s v="2805010001"/>
    <s v="SERVICIOS"/>
    <s v="000"/>
    <s v="001"/>
    <s v="CONTADO"/>
    <s v="002"/>
    <s v="MECANICA"/>
    <s v="S/."/>
    <n v="3.3610001"/>
    <n v="1"/>
    <n v="211.87289000000001"/>
    <n v="211.87289000000001"/>
    <n v="38.137099999999954"/>
    <n v="250.00998999999996"/>
    <n v="211.87289000000001"/>
    <d v="2019-10-22T00:00:00"/>
    <s v="005-00000030"/>
    <n v="803.36498979746"/>
    <n v="0"/>
    <n v="0"/>
    <n v="0"/>
    <n v="0"/>
    <n v="33.918750000000003"/>
    <n v="211.05"/>
    <n v="0"/>
    <n v="244.96875"/>
    <n v="558.39623979746"/>
    <n v="0.69507166342690618"/>
    <s v="C.C"/>
    <s v="LEVE"/>
    <s v="Octubre"/>
    <n v="2019"/>
    <n v="13"/>
    <n v="1"/>
    <d v="2019-10-09T00:00:00"/>
    <s v="AMY-524"/>
    <s v="TOYOTA"/>
    <s v="COROLLA"/>
    <s v="FAST ENGENHARIA E MONTAGENS SA"/>
  </r>
  <r>
    <x v="1"/>
    <s v="FAC"/>
    <s v="005"/>
    <s v="00000003"/>
    <x v="2"/>
    <s v="F5B699"/>
    <d v="2019-10-09T00:00:00"/>
    <s v="10704454738"/>
    <s v="PACHECO PALOMINO RICARDO ALONSO"/>
    <s v="2805010002"/>
    <s v="AMPLIACION SERVICIO"/>
    <s v="000"/>
    <s v="001"/>
    <s v="CONTADO"/>
    <s v="002"/>
    <s v="MECANICA"/>
    <s v="S/."/>
    <n v="3.3610001"/>
    <n v="1"/>
    <n v="70"/>
    <n v="70"/>
    <n v="12.599997999999978"/>
    <n v="82.599997999999971"/>
    <n v="70"/>
    <d v="2019-10-17T00:00:00"/>
    <s v="005-00000009"/>
    <n v="1315.98496095"/>
    <n v="0"/>
    <n v="0"/>
    <n v="0"/>
    <n v="52.762500000000003"/>
    <n v="90.45"/>
    <n v="140.70000000000002"/>
    <n v="0"/>
    <n v="283.91250000000002"/>
    <n v="1032.0724609499998"/>
    <n v="0.78425855277628265"/>
    <s v="RIMAC"/>
    <s v="LEVE"/>
    <s v="Octubre"/>
    <n v="2019"/>
    <n v="13"/>
    <n v="1"/>
    <d v="2019-10-04T00:00:00"/>
    <s v="F0Z-446"/>
    <s v="RENAULT"/>
    <s v="DUSTER"/>
    <s v="RIMAC SEGUROS  Y REASEGUROS S.A"/>
  </r>
  <r>
    <x v="1"/>
    <s v="FAC"/>
    <s v="005"/>
    <s v="00000003"/>
    <x v="2"/>
    <s v="F5B699"/>
    <d v="2019-10-09T00:00:00"/>
    <s v="10704454738"/>
    <s v="PACHECO PALOMINO RICARDO ALONSO"/>
    <s v="2805010003"/>
    <s v="AMPLIACION PRESUPUESTO"/>
    <s v="000"/>
    <s v="001"/>
    <s v="CONTADO"/>
    <s v="002"/>
    <s v="REPUESTOS"/>
    <s v="S/."/>
    <n v="3.3610001"/>
    <n v="1"/>
    <n v="100"/>
    <n v="100"/>
    <n v="18"/>
    <n v="118"/>
    <n v="100"/>
    <d v="2019-10-18T00:00:00"/>
    <s v="005-00000031"/>
    <n v="899.14"/>
    <n v="0"/>
    <n v="0"/>
    <n v="0"/>
    <n v="0"/>
    <n v="75.375"/>
    <n v="140.70000000000002"/>
    <n v="0"/>
    <n v="216.07500000000002"/>
    <n v="683.06499999999994"/>
    <n v="0.75968703427719819"/>
    <s v="RIMAC"/>
    <s v="LEVE"/>
    <s v="Octubre"/>
    <n v="2019"/>
    <n v="8"/>
    <n v="1"/>
    <d v="2019-10-10T00:00:00"/>
    <s v="ANX-091"/>
    <s v="TOYOTA"/>
    <s v="AVENSIS"/>
    <s v="RIMAC SEGUROS  Y REASEGUROS S.A"/>
  </r>
  <r>
    <x v="1"/>
    <s v="FAC"/>
    <s v="005"/>
    <s v="00000003"/>
    <x v="2"/>
    <s v="F5B699"/>
    <d v="2019-10-09T00:00:00"/>
    <s v="10704454738"/>
    <s v="PACHECO PALOMINO RICARDO ALONSO"/>
    <s v="320001"/>
    <s v="REPUESTOS"/>
    <s v="000"/>
    <s v="001"/>
    <s v="CONTADO"/>
    <s v="002"/>
    <s v="REPUESTOS"/>
    <s v="S/."/>
    <n v="3.3610001"/>
    <n v="1"/>
    <n v="0"/>
    <n v="0"/>
    <n v="0"/>
    <n v="0"/>
    <n v="0"/>
    <d v="2019-10-19T00:00:00"/>
    <s v="005-00000039"/>
    <n v="1615"/>
    <n v="521.80870729999992"/>
    <n v="16.949152542372882"/>
    <n v="82.37"/>
    <n v="40.250250000000001"/>
    <n v="0"/>
    <n v="0"/>
    <n v="0"/>
    <n v="661.37810984237285"/>
    <n v="953.62189015762715"/>
    <n v="0.59047795056199825"/>
    <s v="ACCESO"/>
    <s v="MECANICA"/>
    <s v="Octubre"/>
    <n v="2019"/>
    <n v="7"/>
    <n v="1"/>
    <d v="2019-10-12T00:00:00"/>
    <s v="AHV-326"/>
    <s v="WOLKWAGEN"/>
    <s v="GOL"/>
    <s v="AUTOCLASS S.A.C."/>
  </r>
  <r>
    <x v="2"/>
    <s v="FAC"/>
    <s v="005"/>
    <s v="00000004"/>
    <x v="3"/>
    <s v="AHK141"/>
    <d v="2019-10-07T00:00:00"/>
    <s v="20100041953"/>
    <s v="RIMAC SEGUROS  Y REASEGUROS S.A"/>
    <s v="1302020001"/>
    <s v="PINTURA"/>
    <s v="000"/>
    <s v="003"/>
    <s v="FACTURA A 7 DIAS"/>
    <s v="009"/>
    <s v="PINTURA"/>
    <s v="$"/>
    <n v="3.3610001"/>
    <n v="1"/>
    <n v="59"/>
    <n v="59"/>
    <n v="10.620002999999997"/>
    <n v="69.620002999999997"/>
    <n v="198.2990059"/>
    <d v="2019-10-19T00:00:00"/>
    <s v="005-00000038"/>
    <n v="1488"/>
    <n v="771.9944099999999"/>
    <n v="0"/>
    <n v="42.37"/>
    <n v="75.375"/>
    <n v="0"/>
    <n v="0"/>
    <n v="0"/>
    <n v="889.73940999999991"/>
    <n v="598.26059000000009"/>
    <n v="0.40205684811827963"/>
    <s v="ACCESO"/>
    <s v="MECANICA"/>
    <s v="Octubre"/>
    <n v="2019"/>
    <n v="7"/>
    <n v="1"/>
    <d v="2019-10-12T00:00:00"/>
    <s v="AJF-554"/>
    <s v="CHEVROLET"/>
    <s v="SAIL"/>
    <s v="AUTOCLASS S.A.C."/>
  </r>
  <r>
    <x v="2"/>
    <s v="FAC"/>
    <s v="005"/>
    <s v="00000004"/>
    <x v="3"/>
    <s v="AHK141"/>
    <d v="2019-10-07T00:00:00"/>
    <s v="20100041953"/>
    <s v="RIMAC SEGUROS  Y REASEGUROS S.A"/>
    <s v="1201020001"/>
    <s v="PLANCHADO"/>
    <s v="000"/>
    <s v="003"/>
    <s v="FACTURA A 7 DIAS"/>
    <s v="001"/>
    <s v="PLANCHADO"/>
    <s v="$"/>
    <n v="3.3610001"/>
    <n v="1"/>
    <n v="37.5"/>
    <n v="37.5"/>
    <n v="6.75"/>
    <n v="44.25"/>
    <n v="126.03750375"/>
    <d v="2019-10-23T00:00:00"/>
    <s v="005-00000041"/>
    <n v="890"/>
    <n v="45.762699000000005"/>
    <n v="0"/>
    <n v="0"/>
    <n v="0"/>
    <n v="15.075000000000001"/>
    <n v="0"/>
    <n v="0"/>
    <n v="60.837699000000008"/>
    <n v="829.16230099999996"/>
    <n v="0.9316430348314606"/>
    <s v="RIMAC"/>
    <s v="LEVE"/>
    <s v="Octubre"/>
    <n v="2019"/>
    <n v="9"/>
    <n v="1"/>
    <d v="2019-10-14T00:00:00"/>
    <s v="B5M-803"/>
    <s v="NISSAN"/>
    <s v="NAVARA"/>
    <s v="INDURA PERU S.A."/>
  </r>
  <r>
    <x v="2"/>
    <s v="FAC"/>
    <s v="005"/>
    <s v="00000004"/>
    <x v="3"/>
    <s v="AHK141"/>
    <d v="2019-10-07T00:00:00"/>
    <s v="20100041953"/>
    <s v="RIMAC SEGUROS  Y REASEGUROS S.A"/>
    <s v="320001"/>
    <s v="REPUESTOS"/>
    <s v="000"/>
    <s v="003"/>
    <s v="FACTURA A 7 DIAS"/>
    <s v="002"/>
    <s v="REPUESTOS"/>
    <s v="$"/>
    <n v="3.3610001"/>
    <n v="1"/>
    <n v="0"/>
    <n v="0"/>
    <n v="0"/>
    <n v="0"/>
    <n v="0"/>
    <d v="2019-10-19T00:00:00"/>
    <s v="005-00000045"/>
    <n v="1617.11"/>
    <n v="0"/>
    <n v="0"/>
    <n v="76.27"/>
    <n v="0"/>
    <n v="180.9"/>
    <n v="211.05"/>
    <n v="0"/>
    <n v="468.22"/>
    <n v="1148.8899999999999"/>
    <n v="0.710458781406336"/>
    <s v="RIMAC"/>
    <s v="GRAVE"/>
    <s v="Octubre"/>
    <n v="2019"/>
    <n v="3"/>
    <n v="1"/>
    <d v="2019-10-16T00:00:00"/>
    <s v="ATZ-549"/>
    <s v="HYUNDAY"/>
    <s v="ACCENT"/>
    <s v="RIMAC SEGUROS  Y REASEGUROS S.A"/>
  </r>
  <r>
    <x v="2"/>
    <s v="FAC"/>
    <s v="005"/>
    <s v="00000005"/>
    <x v="4"/>
    <s v="D9C481"/>
    <d v="2019-10-04T00:00:00"/>
    <s v="20602194982"/>
    <s v="DIGITAL CONSULTING S.A.C."/>
    <s v="2908010001"/>
    <s v="TERCEROS"/>
    <s v="000"/>
    <s v="001"/>
    <s v="CONTADO"/>
    <s v="002"/>
    <s v="TERCEROS"/>
    <s v="$"/>
    <n v="3.3610001"/>
    <n v="1"/>
    <n v="90"/>
    <n v="90"/>
    <n v="16.2"/>
    <n v="106.2"/>
    <n v="302.49000899999999"/>
    <d v="2019-10-19T00:00:00"/>
    <s v="005-00000015"/>
    <n v="697.84000000000015"/>
    <n v="0"/>
    <n v="0"/>
    <n v="0"/>
    <n v="0"/>
    <n v="45.225000000000001"/>
    <n v="140.70000000000002"/>
    <n v="0"/>
    <n v="185.92500000000001"/>
    <n v="511.91500000000013"/>
    <n v="0.73357073254614247"/>
    <s v="RIMAC"/>
    <s v="LEVE"/>
    <s v="Octubre"/>
    <n v="2019"/>
    <n v="14"/>
    <n v="1"/>
    <d v="2019-10-05T00:00:00"/>
    <s v="ANE-346"/>
    <s v="RENAULT"/>
    <s v="LOGAN"/>
    <s v="RENTAEQUIPOS LEASING PERU S.A."/>
  </r>
  <r>
    <x v="2"/>
    <s v="FAC"/>
    <s v="005"/>
    <s v="00000006"/>
    <x v="5"/>
    <s v="D9C481"/>
    <d v="2019-10-03T00:00:00"/>
    <s v="20602194982"/>
    <s v="DIGITAL CONSULTING S.A.C."/>
    <s v="1302020001"/>
    <s v="PINTURA"/>
    <s v="000"/>
    <s v="001"/>
    <s v="CONTADO"/>
    <s v="009"/>
    <s v="PINTURA"/>
    <s v="$"/>
    <n v="3.3610001"/>
    <n v="1"/>
    <n v="180"/>
    <n v="180"/>
    <n v="32.39998999999996"/>
    <n v="212.39998999999997"/>
    <n v="604.98001799999997"/>
    <d v="2019-10-19T00:00:00"/>
    <s v="005-00000014"/>
    <n v="898.31534099999988"/>
    <n v="0"/>
    <n v="0"/>
    <n v="0"/>
    <n v="0"/>
    <n v="75.375"/>
    <n v="158.28749999999999"/>
    <n v="0"/>
    <n v="233.66249999999999"/>
    <n v="664.65284099999985"/>
    <n v="0.73988811129520715"/>
    <s v="RIMAC"/>
    <s v="LEVE"/>
    <s v="Octubre"/>
    <n v="2019"/>
    <n v="14"/>
    <n v="1"/>
    <d v="2019-10-05T00:00:00"/>
    <s v="ANE-346"/>
    <s v="RENAULT"/>
    <s v="LOGAN"/>
    <s v="RENTAEQUIPOS LEASING PERU S.A."/>
  </r>
  <r>
    <x v="2"/>
    <s v="FAC"/>
    <s v="005"/>
    <s v="00000006"/>
    <x v="5"/>
    <s v="D9C481"/>
    <d v="2019-10-03T00:00:00"/>
    <s v="20602194982"/>
    <s v="DIGITAL CONSULTING S.A.C."/>
    <s v="1201020001"/>
    <s v="PLANCHADO"/>
    <s v="000"/>
    <s v="001"/>
    <s v="CONTADO"/>
    <s v="001"/>
    <s v="PLANCHADO"/>
    <s v="$"/>
    <n v="3.3610001"/>
    <n v="1"/>
    <n v="75"/>
    <n v="75"/>
    <n v="13.5"/>
    <n v="88.5"/>
    <n v="252.0750075"/>
    <d v="2019-10-21T00:00:00"/>
    <s v="005-00000010"/>
    <n v="2076.61"/>
    <n v="0"/>
    <n v="0"/>
    <n v="84.75"/>
    <n v="30.150000000000002"/>
    <n v="120.60000000000001"/>
    <n v="351.75"/>
    <n v="0"/>
    <n v="587.25"/>
    <n v="1489.3600000000001"/>
    <n v="0.71720737162972348"/>
    <s v="RIMAC"/>
    <s v="MEDIANO"/>
    <s v="Octubre"/>
    <n v="2019"/>
    <n v="17"/>
    <n v="1"/>
    <d v="2019-10-04T00:00:00"/>
    <s v="AMD-263"/>
    <s v="HYUNDAY"/>
    <s v="ACCENT"/>
    <s v="RIMAC SEGUROS  Y REASEGUROS S.A"/>
  </r>
  <r>
    <x v="2"/>
    <s v="FAC"/>
    <s v="005"/>
    <s v="00000006"/>
    <x v="5"/>
    <s v="D9C481"/>
    <d v="2019-10-03T00:00:00"/>
    <s v="20602194982"/>
    <s v="DIGITAL CONSULTING S.A.C."/>
    <s v="2908010001"/>
    <s v="TERCEROS"/>
    <s v="000"/>
    <s v="001"/>
    <s v="CONTADO"/>
    <s v="002"/>
    <s v="TERCEROS"/>
    <s v="$"/>
    <n v="3.3610001"/>
    <n v="1"/>
    <n v="30"/>
    <n v="30"/>
    <n v="5.4000019999999997"/>
    <n v="35.400002000000001"/>
    <n v="100.830003"/>
    <d v="2019-10-21T00:00:00"/>
    <s v="005-00000043"/>
    <n v="699.52297909999993"/>
    <n v="0"/>
    <n v="0"/>
    <n v="0"/>
    <n v="0"/>
    <n v="105.52500000000001"/>
    <n v="70.350000000000009"/>
    <n v="0"/>
    <n v="175.875"/>
    <n v="523.64797909999993"/>
    <n v="0.74857866681337726"/>
    <s v="RIMAC"/>
    <s v="LEVE"/>
    <s v="Octubre"/>
    <n v="2019"/>
    <n v="7"/>
    <n v="1"/>
    <d v="2019-10-14T00:00:00"/>
    <s v="ANE-445"/>
    <s v="RENAULT"/>
    <s v="LOGAN"/>
    <s v="RENTAEQUIPOS LEASING PERU S.A."/>
  </r>
  <r>
    <x v="2"/>
    <s v="FAC"/>
    <s v="005"/>
    <s v="00000006"/>
    <x v="5"/>
    <s v="D9C481"/>
    <d v="2019-10-03T00:00:00"/>
    <s v="20602194982"/>
    <s v="DIGITAL CONSULTING S.A.C."/>
    <s v="320001"/>
    <s v="REPUESTOS"/>
    <s v="000"/>
    <s v="001"/>
    <s v="CONTADO"/>
    <s v="002"/>
    <s v="REPUESTOS"/>
    <s v="$"/>
    <n v="3.3610001"/>
    <n v="1"/>
    <n v="695"/>
    <n v="695"/>
    <n v="125.09998000000007"/>
    <n v="820.09998000000007"/>
    <n v="2335.8950694999999"/>
    <d v="2019-10-21T00:00:00"/>
    <s v="005-00000007"/>
    <n v="472.77780666257974"/>
    <n v="0"/>
    <n v="0"/>
    <n v="0"/>
    <n v="0"/>
    <n v="15.075000000000001"/>
    <n v="87.9375"/>
    <n v="0"/>
    <n v="103.0125"/>
    <n v="369.76530666257975"/>
    <n v="0.7821122342286263"/>
    <s v="RIMAC"/>
    <s v="LEVE"/>
    <s v="Octubre"/>
    <n v="2019"/>
    <n v="18"/>
    <n v="1"/>
    <d v="2019-10-03T00:00:00"/>
    <s v="AHY-439"/>
    <s v="MITSUBISHI"/>
    <s v="OUTLANDER"/>
    <s v="RENTAEQUIPOS LEASING PERU S.A."/>
  </r>
  <r>
    <x v="3"/>
    <s v="FAC"/>
    <s v="005"/>
    <s v="00000007"/>
    <x v="6"/>
    <s v="B4S030"/>
    <d v="2019-10-09T00:00:00"/>
    <s v="20602003346"/>
    <s v="FAST ENGENHARIA E MONTAGENS SA"/>
    <s v="1302020001"/>
    <s v="PINTURA"/>
    <s v="000"/>
    <s v="001"/>
    <s v="CONTADO"/>
    <s v="009"/>
    <s v="PINTURA"/>
    <s v="$"/>
    <n v="3.3570001"/>
    <n v="1"/>
    <n v="240"/>
    <n v="240"/>
    <n v="43.200010000000042"/>
    <n v="283.20001000000002"/>
    <n v="805.680024"/>
    <d v="2019-10-22T00:00:00"/>
    <s v="005-00000028"/>
    <n v="2167.7542000000003"/>
    <n v="97.661901199999988"/>
    <n v="0"/>
    <n v="42.37"/>
    <n v="105.52500000000001"/>
    <n v="105.52500000000001"/>
    <n v="580.38750000000005"/>
    <n v="0"/>
    <n v="931.46940119999999"/>
    <n v="1236.2847988000003"/>
    <n v="0.57030672518129599"/>
    <s v="ACCESO"/>
    <s v="LEVE"/>
    <s v="Octubre"/>
    <n v="2019"/>
    <n v="13"/>
    <n v="1"/>
    <d v="2019-10-09T00:00:00"/>
    <s v="BBH-363"/>
    <s v="KIA"/>
    <s v="RIO"/>
    <s v="AUTOCLASS S.A.C."/>
  </r>
  <r>
    <x v="3"/>
    <s v="FAC"/>
    <s v="005"/>
    <s v="00000007"/>
    <x v="6"/>
    <s v="B4S030"/>
    <d v="2019-10-09T00:00:00"/>
    <s v="20602003346"/>
    <s v="FAST ENGENHARIA E MONTAGENS SA"/>
    <s v="1201020001"/>
    <s v="PLANCHADO"/>
    <s v="000"/>
    <s v="001"/>
    <s v="CONTADO"/>
    <s v="001"/>
    <s v="PLANCHADO"/>
    <s v="$"/>
    <n v="3.3570001"/>
    <n v="1"/>
    <n v="120"/>
    <n v="120"/>
    <n v="21.600010000000019"/>
    <n v="141.60001000000003"/>
    <n v="402.840012"/>
    <d v="2019-10-23T00:00:00"/>
    <s v="005-00000016"/>
    <n v="5172"/>
    <n v="2097.2683343999997"/>
    <n v="0"/>
    <n v="53.672881355932205"/>
    <n v="135.67500000000001"/>
    <n v="180.9"/>
    <n v="703.5"/>
    <n v="0"/>
    <n v="3171.0162157559321"/>
    <n v="2000.9837842440679"/>
    <n v="0.38688781597913147"/>
    <s v="ACCESO"/>
    <s v="MEDIANO"/>
    <s v="Octubre"/>
    <n v="2019"/>
    <n v="18"/>
    <n v="1"/>
    <d v="2019-10-05T00:00:00"/>
    <s v="AUK-009"/>
    <s v="KIA"/>
    <s v="RIO"/>
    <s v="AUTOCLASS S.A.C."/>
  </r>
  <r>
    <x v="3"/>
    <s v="FAC"/>
    <s v="005"/>
    <s v="00000007"/>
    <x v="6"/>
    <s v="B4S030"/>
    <d v="2019-10-09T00:00:00"/>
    <s v="20602003346"/>
    <s v="FAST ENGENHARIA E MONTAGENS SA"/>
    <s v="2908010001"/>
    <s v="TERCEROS"/>
    <s v="000"/>
    <s v="001"/>
    <s v="CONTADO"/>
    <s v="002"/>
    <s v="TERCEROS"/>
    <s v="$"/>
    <n v="3.3570001"/>
    <n v="1"/>
    <n v="65"/>
    <n v="65"/>
    <n v="11.699996999999994"/>
    <n v="76.699996999999996"/>
    <n v="218.2050065"/>
    <d v="2019-10-23T00:00:00"/>
    <s v="005-00000026"/>
    <n v="4922.6017000000002"/>
    <n v="988.26797169999986"/>
    <n v="0"/>
    <n v="125.71000000000001"/>
    <n v="105.52500000000001"/>
    <n v="256.27500000000003"/>
    <n v="914.55000000000007"/>
    <n v="0"/>
    <n v="2390.3279717"/>
    <n v="2532.2737283000001"/>
    <n v="0.51441775764632758"/>
    <s v="ACCESO"/>
    <s v="GRAVE"/>
    <s v="Octubre"/>
    <n v="2019"/>
    <n v="14"/>
    <n v="1"/>
    <d v="2019-10-09T00:00:00"/>
    <s v="BEN-484"/>
    <s v="CHEVROLET"/>
    <s v="SAIL"/>
    <s v="AUTOCLASS S.A.C."/>
  </r>
  <r>
    <x v="4"/>
    <s v="FAC"/>
    <s v="005"/>
    <s v="00000009"/>
    <x v="7"/>
    <s v="F0Z446"/>
    <d v="2019-10-04T00:00:00"/>
    <s v="20100041953"/>
    <s v="RIMAC SEGUROS  Y REASEGUROS S.A"/>
    <s v="1302020001"/>
    <s v="PINTURA"/>
    <s v="000"/>
    <s v="001"/>
    <s v="CONTADO"/>
    <s v="009"/>
    <s v="PINTURA"/>
    <s v="$"/>
    <n v="3.3699998999999998"/>
    <n v="1"/>
    <n v="118"/>
    <n v="118"/>
    <n v="21.240010000000019"/>
    <n v="139.24001000000001"/>
    <n v="397.65998819999999"/>
    <d v="2019-10-23T00:00:00"/>
    <s v="005-00000070"/>
    <n v="100"/>
    <n v="0"/>
    <n v="0"/>
    <n v="0"/>
    <n v="15.075000000000001"/>
    <n v="0"/>
    <n v="0"/>
    <n v="0"/>
    <n v="15.075000000000001"/>
    <n v="84.924999999999997"/>
    <n v="0.84924999999999995"/>
    <s v="C.C"/>
    <s v="MECANICA"/>
    <s v="Octubre"/>
    <n v="2019"/>
    <n v="2"/>
    <n v="1"/>
    <d v="2019-10-21T00:00:00"/>
    <s v="ASN-143"/>
    <s v="NISSAN"/>
    <s v="QASHQAI"/>
    <s v="AGRIBRANDS PURINA PERU S.A"/>
  </r>
  <r>
    <x v="4"/>
    <s v="FAC"/>
    <s v="005"/>
    <s v="00000009"/>
    <x v="7"/>
    <s v="F0Z446"/>
    <d v="2019-10-04T00:00:00"/>
    <s v="20100041953"/>
    <s v="RIMAC SEGUROS  Y REASEGUROS S.A"/>
    <s v="1201020001"/>
    <s v="PLANCHADO"/>
    <s v="000"/>
    <s v="001"/>
    <s v="CONTADO"/>
    <s v="001"/>
    <s v="PLANCHADO"/>
    <s v="$"/>
    <n v="3.3699998999999998"/>
    <n v="1"/>
    <n v="150"/>
    <n v="150"/>
    <n v="27"/>
    <n v="177"/>
    <n v="505.49998499999998"/>
    <d v="2019-10-23T00:00:00"/>
    <s v="005-00000060"/>
    <n v="812.10599999999999"/>
    <n v="0"/>
    <n v="0"/>
    <n v="0"/>
    <n v="105.73"/>
    <n v="0"/>
    <n v="0"/>
    <n v="0"/>
    <n v="105.73"/>
    <n v="706.37599999999998"/>
    <n v="0.86980763594900168"/>
    <s v="RIMAC"/>
    <s v="LEVE"/>
    <s v="Octubre"/>
    <n v="2019"/>
    <n v="6"/>
    <n v="1"/>
    <d v="2019-10-17T00:00:00"/>
    <s v="BDI-580"/>
    <s v="SUBARU"/>
    <s v="OUTBACK"/>
    <s v="RIMAC SEGUROS  Y REASEGUROS S.A"/>
  </r>
  <r>
    <x v="4"/>
    <s v="FAC"/>
    <s v="005"/>
    <s v="00000009"/>
    <x v="7"/>
    <s v="F0Z446"/>
    <d v="2019-10-04T00:00:00"/>
    <s v="20100041953"/>
    <s v="RIMAC SEGUROS  Y REASEGUROS S.A"/>
    <s v="2908010001"/>
    <s v="TERCEROS"/>
    <s v="000"/>
    <s v="001"/>
    <s v="CONTADO"/>
    <s v="002"/>
    <s v="TERCEROS"/>
    <s v="$"/>
    <n v="3.3699998999999998"/>
    <n v="1"/>
    <n v="70"/>
    <n v="70"/>
    <n v="12.599997999999978"/>
    <n v="82.599997999999971"/>
    <n v="235.89999299999999"/>
    <d v="2019-10-23T00:00:00"/>
    <s v="005-00000040"/>
    <n v="2585.8865698200002"/>
    <n v="0"/>
    <n v="0"/>
    <n v="0"/>
    <n v="0"/>
    <n v="256.27500000000003"/>
    <n v="439.6875"/>
    <n v="0"/>
    <n v="695.96250000000009"/>
    <n v="1889.9240698200001"/>
    <n v="0.73086116455276495"/>
    <s v="RIMAC"/>
    <s v="GRAVE"/>
    <s v="Octubre"/>
    <n v="2019"/>
    <n v="9"/>
    <n v="1"/>
    <d v="2019-10-14T00:00:00"/>
    <s v="BMA-272"/>
    <s v="GREAT WALL"/>
    <s v="H3"/>
    <s v="RIMAC SEGUROS  Y REASEGUROS S.A"/>
  </r>
  <r>
    <x v="4"/>
    <s v="FAC"/>
    <s v="005"/>
    <s v="00000009"/>
    <x v="7"/>
    <s v="F0Z446"/>
    <d v="2019-10-04T00:00:00"/>
    <s v="20100041953"/>
    <s v="RIMAC SEGUROS  Y REASEGUROS S.A"/>
    <s v="2805010001"/>
    <s v="SERVICIOS"/>
    <s v="000"/>
    <s v="001"/>
    <s v="CONTADO"/>
    <s v="002"/>
    <s v="MECANICA"/>
    <s v="$"/>
    <n v="3.3699998999999998"/>
    <n v="1"/>
    <n v="52.5"/>
    <n v="52.5"/>
    <n v="9.4500010000000021"/>
    <n v="61.950001"/>
    <n v="176.92499475"/>
    <d v="2019-10-26T00:00:00"/>
    <s v="005-00000033"/>
    <n v="1083.7249676499996"/>
    <n v="0"/>
    <n v="0"/>
    <n v="76.27"/>
    <n v="0"/>
    <n v="90.45"/>
    <n v="105.52500000000001"/>
    <n v="0"/>
    <n v="272.245"/>
    <n v="811.47996764999959"/>
    <n v="0.74878773846989155"/>
    <s v="RIMAC"/>
    <s v="LEVE"/>
    <s v="Octubre"/>
    <n v="2019"/>
    <n v="15"/>
    <n v="1"/>
    <d v="2019-10-11T00:00:00"/>
    <s v="AZY-713"/>
    <s v="FORD"/>
    <s v="RANGER"/>
    <s v="RENTAEQUIPOS LEASING PERU S.A."/>
  </r>
  <r>
    <x v="4"/>
    <s v="FAC"/>
    <s v="005"/>
    <s v="00000009"/>
    <x v="7"/>
    <s v="F0Z446"/>
    <d v="2019-10-04T00:00:00"/>
    <s v="20100041953"/>
    <s v="RIMAC SEGUROS  Y REASEGUROS S.A"/>
    <s v="320001"/>
    <s v="REPUESTOS"/>
    <s v="000"/>
    <s v="001"/>
    <s v="CONTADO"/>
    <s v="002"/>
    <s v="REPUESTOS"/>
    <s v="$"/>
    <n v="3.3699998999999998"/>
    <n v="1"/>
    <n v="0"/>
    <n v="0"/>
    <n v="0"/>
    <n v="0"/>
    <n v="0"/>
    <d v="2019-10-26T00:00:00"/>
    <s v="005-00000071"/>
    <n v="1415.37495775"/>
    <n v="0"/>
    <n v="0"/>
    <n v="20.100000000000001"/>
    <n v="0"/>
    <n v="180.9"/>
    <n v="175.875"/>
    <n v="0"/>
    <n v="376.875"/>
    <n v="1038.49995775"/>
    <n v="0.73372780270246374"/>
    <s v="C.C"/>
    <s v="MEDIANO"/>
    <s v="Octubre"/>
    <n v="2019"/>
    <n v="4"/>
    <n v="1"/>
    <d v="2019-10-22T00:00:00"/>
    <s v="D9K-336"/>
    <s v="KIA"/>
    <s v="SPORTAGE"/>
    <s v="RIMAC SEGUROS  Y REASEGUROS S.A"/>
  </r>
  <r>
    <x v="5"/>
    <s v="FAC"/>
    <s v="005"/>
    <s v="00000011"/>
    <x v="8"/>
    <s v="ANX091"/>
    <d v="2019-10-10T00:00:00"/>
    <s v="20100041953"/>
    <s v="RIMAC SEGUROS  Y REASEGUROS S.A"/>
    <s v="1302020001"/>
    <s v="PINTURA"/>
    <s v="000"/>
    <s v="003"/>
    <s v="FACTURA A 7 DIAS"/>
    <s v="009"/>
    <s v="PINTURA"/>
    <s v="$"/>
    <n v="3.355"/>
    <n v="1"/>
    <n v="118"/>
    <n v="118"/>
    <n v="21.240010000000019"/>
    <n v="139.24001000000001"/>
    <n v="395.89"/>
    <d v="2019-10-28T00:00:00"/>
    <s v="005-00000017"/>
    <n v="6205.2542000000003"/>
    <n v="951.58547179999994"/>
    <n v="0"/>
    <n v="145.59372881355932"/>
    <n v="120.60000000000001"/>
    <n v="452.25"/>
    <n v="949.72500000000002"/>
    <n v="0"/>
    <n v="2619.7542006135591"/>
    <n v="3585.4999993864412"/>
    <n v="0.57781677975197876"/>
    <s v="ACCESO"/>
    <s v="GRAVE"/>
    <s v="Octubre"/>
    <n v="2019"/>
    <n v="21"/>
    <n v="1"/>
    <d v="2019-10-07T00:00:00"/>
    <s v="ATK-580"/>
    <s v="KIA"/>
    <s v="CERATO"/>
    <s v="AUTOCLASS S.A.C."/>
  </r>
  <r>
    <x v="5"/>
    <s v="FAC"/>
    <s v="005"/>
    <s v="00000011"/>
    <x v="8"/>
    <s v="ANX091"/>
    <d v="2019-10-10T00:00:00"/>
    <s v="20100041953"/>
    <s v="RIMAC SEGUROS  Y REASEGUROS S.A"/>
    <s v="1201020001"/>
    <s v="PLANCHADO"/>
    <s v="000"/>
    <s v="003"/>
    <s v="FACTURA A 7 DIAS"/>
    <s v="001"/>
    <s v="PLANCHADO"/>
    <s v="$"/>
    <n v="3.355"/>
    <n v="1"/>
    <n v="150"/>
    <n v="150"/>
    <n v="27"/>
    <n v="177"/>
    <n v="503.25"/>
    <d v="2019-10-28T00:00:00"/>
    <s v="005-00000034"/>
    <n v="3649.98"/>
    <n v="0"/>
    <n v="0"/>
    <n v="0"/>
    <n v="0"/>
    <n v="361.8"/>
    <n v="545.21249999999998"/>
    <n v="0"/>
    <n v="907.01250000000005"/>
    <n v="2742.9674999999997"/>
    <n v="0.75150206302500278"/>
    <s v="RIMAC"/>
    <s v="GRAVE"/>
    <s v="Octubre"/>
    <n v="2019"/>
    <n v="17"/>
    <n v="1"/>
    <d v="2019-10-11T00:00:00"/>
    <s v="AWL-231"/>
    <s v="KIA"/>
    <s v="RIO"/>
    <s v="RENTAEQUIPOS LEASING PERU S.A."/>
  </r>
  <r>
    <x v="5"/>
    <s v="FAC"/>
    <s v="005"/>
    <s v="00000011"/>
    <x v="8"/>
    <s v="ANX091"/>
    <d v="2019-10-10T00:00:00"/>
    <s v="20100041953"/>
    <s v="RIMAC SEGUROS  Y REASEGUROS S.A"/>
    <s v="310120"/>
    <s v="FRANQUICIA"/>
    <s v="000"/>
    <s v="003"/>
    <s v="FACTURA A 7 DIAS"/>
    <s v="002"/>
    <s v="FRANQUICIA"/>
    <s v="$"/>
    <n v="3.355"/>
    <n v="-1"/>
    <n v="100"/>
    <n v="-100"/>
    <n v="-18"/>
    <n v="-118"/>
    <n v="-335.5"/>
    <d v="2019-10-28T00:00:00"/>
    <s v="005-00000021"/>
    <n v="1600.9543719754197"/>
    <n v="0"/>
    <n v="0"/>
    <n v="0"/>
    <n v="0"/>
    <n v="241.20000000000002"/>
    <n v="158.28749999999999"/>
    <n v="0"/>
    <n v="399.48750000000001"/>
    <n v="1201.4668719754197"/>
    <n v="0.75046915327944552"/>
    <s v="RIMAC"/>
    <s v="GRAVE"/>
    <s v="Octubre"/>
    <n v="2019"/>
    <n v="21"/>
    <n v="1"/>
    <d v="2019-10-07T00:00:00"/>
    <s v="ATH-340"/>
    <s v="HONDA"/>
    <s v="PILOT"/>
    <s v="RENTAEQUIPOS LEASING PERU S.A."/>
  </r>
  <r>
    <x v="5"/>
    <s v="FAC"/>
    <s v="005"/>
    <s v="00000011"/>
    <x v="8"/>
    <s v="ANX091"/>
    <d v="2019-10-10T00:00:00"/>
    <s v="20100041953"/>
    <s v="RIMAC SEGUROS  Y REASEGUROS S.A"/>
    <s v="320001"/>
    <s v="REPUESTOS"/>
    <s v="000"/>
    <s v="003"/>
    <s v="FACTURA A 7 DIAS"/>
    <s v="002"/>
    <s v="REPUESTOS"/>
    <s v="$"/>
    <n v="3.355"/>
    <n v="1"/>
    <n v="0"/>
    <n v="0"/>
    <n v="0"/>
    <n v="0"/>
    <n v="0"/>
    <d v="2019-10-29T00:00:00"/>
    <s v="005-00000073"/>
    <n v="777.05499999999984"/>
    <n v="0"/>
    <n v="0"/>
    <n v="25.125"/>
    <n v="0"/>
    <n v="60.300000000000004"/>
    <n v="140.70000000000002"/>
    <n v="0"/>
    <n v="226.12500000000003"/>
    <n v="550.92999999999984"/>
    <n v="0.70899743261416492"/>
    <s v="RIMAC"/>
    <s v="LEVE"/>
    <s v="Octubre"/>
    <n v="2019"/>
    <n v="7"/>
    <n v="1"/>
    <d v="2019-10-22T00:00:00"/>
    <s v="BCZ-165"/>
    <s v="CHEVROLET"/>
    <s v="COBALT"/>
    <s v="CORE MINERALS PERU S.A"/>
  </r>
  <r>
    <x v="6"/>
    <s v="FAC"/>
    <s v="005"/>
    <s v="00000012"/>
    <x v="9"/>
    <s v="AHV326"/>
    <d v="2019-10-12T00:00:00"/>
    <s v="20547583168"/>
    <s v="AUTOCLASS S.A.C."/>
    <s v="2908010001"/>
    <s v="TERCEROS"/>
    <s v="000"/>
    <s v="005"/>
    <s v="FACTURA A 30 DIAS"/>
    <s v="002"/>
    <s v="TERCEROS"/>
    <s v="S/."/>
    <n v="3.355"/>
    <n v="1"/>
    <n v="200"/>
    <n v="200"/>
    <n v="36"/>
    <n v="236"/>
    <n v="200"/>
    <d v="2019-10-29T00:00:00"/>
    <s v="005-00000013"/>
    <n v="6158.5"/>
    <n v="1076.6122704000002"/>
    <n v="0"/>
    <n v="172.54237288135593"/>
    <n v="241.20000000000002"/>
    <n v="301.5"/>
    <n v="984.9"/>
    <n v="0"/>
    <n v="2776.754643281356"/>
    <n v="3381.745356718644"/>
    <n v="0.54911834971480777"/>
    <s v="ACCESO"/>
    <s v="GRAVE"/>
    <s v="Octubre"/>
    <n v="2019"/>
    <n v="24"/>
    <n v="1"/>
    <d v="2019-10-05T00:00:00"/>
    <s v="AYM-428"/>
    <s v="CHEVROLET"/>
    <s v="SAIL"/>
    <s v="AUTOCLASS S.A.C."/>
  </r>
  <r>
    <x v="6"/>
    <s v="FAC"/>
    <s v="005"/>
    <s v="00000012"/>
    <x v="9"/>
    <s v="AHV326"/>
    <d v="2019-10-12T00:00:00"/>
    <s v="20547583168"/>
    <s v="AUTOCLASS S.A.C."/>
    <s v="2908010002"/>
    <s v="AMPLIACION REPUESTOS"/>
    <s v="000"/>
    <s v="005"/>
    <s v="FACTURA A 30 DIAS"/>
    <s v="002"/>
    <s v="REPUESTOS"/>
    <s v="S/."/>
    <n v="3.355"/>
    <n v="1"/>
    <n v="155"/>
    <n v="155"/>
    <n v="27.89998999999996"/>
    <n v="182.89998999999997"/>
    <n v="155"/>
    <d v="2019-10-29T00:00:00"/>
    <s v="005-00000027"/>
    <n v="3044.7542000000003"/>
    <n v="439.48892599999994"/>
    <n v="0"/>
    <n v="59.324067796610173"/>
    <n v="90.45"/>
    <n v="211.05"/>
    <n v="633.15"/>
    <n v="0"/>
    <n v="1433.4629937966101"/>
    <n v="1611.2912062033902"/>
    <n v="0.52920239216794251"/>
    <s v="ACCESO"/>
    <s v="MEDIANO"/>
    <s v="Octubre"/>
    <n v="2019"/>
    <n v="20"/>
    <n v="1"/>
    <d v="2019-10-09T00:00:00"/>
    <s v="BHA-218"/>
    <s v="CHEVROLET"/>
    <s v="SAIL"/>
    <s v="AUTOCLASS S.A.C."/>
  </r>
  <r>
    <x v="6"/>
    <s v="FAC"/>
    <s v="005"/>
    <s v="00000012"/>
    <x v="9"/>
    <s v="AHV326"/>
    <d v="2019-10-12T00:00:00"/>
    <s v="20547583168"/>
    <s v="AUTOCLASS S.A.C."/>
    <s v="2908010003"/>
    <s v="AMPLIACION TERCEROS"/>
    <s v="000"/>
    <s v="005"/>
    <s v="FACTURA A 30 DIAS"/>
    <s v="002"/>
    <s v="TERCEROS"/>
    <s v="S/."/>
    <n v="3.355"/>
    <n v="1"/>
    <n v="120"/>
    <n v="120"/>
    <n v="21.600010000000019"/>
    <n v="141.60001000000003"/>
    <n v="120"/>
    <d v="2019-10-29T00:00:00"/>
    <s v="005-00000018"/>
    <n v="4644.5"/>
    <n v="621.35519875"/>
    <n v="0"/>
    <n v="111.69203389830508"/>
    <n v="120.60000000000001"/>
    <n v="256.27500000000003"/>
    <n v="844.2"/>
    <n v="0"/>
    <n v="1954.1222326483053"/>
    <n v="2690.3777673516947"/>
    <n v="0.57926101137941532"/>
    <s v="ACCESO"/>
    <s v="MEDIANO"/>
    <s v="Octubre"/>
    <n v="2019"/>
    <n v="22"/>
    <n v="1"/>
    <d v="2019-10-07T00:00:00"/>
    <s v="AWG-565"/>
    <s v="KIA"/>
    <s v="CERATO"/>
    <s v="AUTOCLASS S.A.C."/>
  </r>
  <r>
    <x v="6"/>
    <s v="FAC"/>
    <s v="005"/>
    <s v="00000012"/>
    <x v="9"/>
    <s v="AHV326"/>
    <d v="2019-10-12T00:00:00"/>
    <s v="20547583168"/>
    <s v="AUTOCLASS S.A.C."/>
    <s v="2805010001"/>
    <s v="SERVICIOS"/>
    <s v="000"/>
    <s v="005"/>
    <s v="FACTURA A 30 DIAS"/>
    <s v="002"/>
    <s v="MECANICA"/>
    <s v="S/."/>
    <n v="3.355"/>
    <n v="1"/>
    <n v="300"/>
    <n v="300"/>
    <n v="54"/>
    <n v="354"/>
    <n v="300"/>
    <d v="2019-10-29T00:00:00"/>
    <s v="005-00000029"/>
    <n v="7582.5"/>
    <n v="2229.3106937999996"/>
    <n v="59.322033898305087"/>
    <n v="290.9571186440678"/>
    <n v="226.125"/>
    <n v="256.27500000000003"/>
    <n v="844.2"/>
    <n v="0"/>
    <n v="3906.1898463423731"/>
    <n v="3676.3101536576269"/>
    <n v="0.48484143140885289"/>
    <s v="ACCESO"/>
    <s v="GRAVE"/>
    <s v="Octubre"/>
    <n v="2019"/>
    <n v="20"/>
    <n v="1"/>
    <d v="2019-10-09T00:00:00"/>
    <s v="BEQ-226"/>
    <s v="CHEVROLET"/>
    <s v="SAIL"/>
    <s v="AUTOCLASS S.A.C."/>
  </r>
  <r>
    <x v="6"/>
    <s v="FAC"/>
    <s v="005"/>
    <s v="00000012"/>
    <x v="9"/>
    <s v="AHV326"/>
    <d v="2019-10-12T00:00:00"/>
    <s v="20547583168"/>
    <s v="AUTOCLASS S.A.C."/>
    <s v="2805010002"/>
    <s v="AMPLIACION SERVICIOS"/>
    <s v="000"/>
    <s v="005"/>
    <s v="FACTURA A 30 DIAS"/>
    <s v="002"/>
    <s v="MECANICA"/>
    <s v="S/."/>
    <n v="3.355"/>
    <n v="1"/>
    <n v="120"/>
    <n v="120"/>
    <n v="21.600010000000019"/>
    <n v="141.60001000000003"/>
    <n v="120"/>
    <d v="2019-10-29T00:00:00"/>
    <s v="005-00000044"/>
    <n v="1735.04779035"/>
    <n v="0"/>
    <n v="0"/>
    <n v="0"/>
    <n v="0"/>
    <n v="150.75"/>
    <n v="334.16250000000002"/>
    <n v="0"/>
    <n v="484.91250000000002"/>
    <n v="1250.1352903500001"/>
    <n v="0.72051922563920756"/>
    <s v="RIMAC"/>
    <s v="MEDIANO"/>
    <s v="Octubre"/>
    <n v="2019"/>
    <n v="14"/>
    <n v="1"/>
    <d v="2019-10-15T00:00:00"/>
    <s v="BLA-251"/>
    <s v="CHEVROLET"/>
    <s v="PRISMA"/>
    <s v="RENTAEQUIPOS LEASING PERU S.A."/>
  </r>
  <r>
    <x v="6"/>
    <s v="FAC"/>
    <s v="005"/>
    <s v="00000012"/>
    <x v="9"/>
    <s v="AHV326"/>
    <d v="2019-10-12T00:00:00"/>
    <s v="20547583168"/>
    <s v="AUTOCLASS S.A.C."/>
    <s v="320001"/>
    <s v="REPUESTOS"/>
    <s v="000"/>
    <s v="005"/>
    <s v="FACTURA A 30 DIAS"/>
    <s v="002"/>
    <s v="REPUESTOS"/>
    <s v="S/."/>
    <n v="3.355"/>
    <n v="1"/>
    <n v="720"/>
    <n v="720"/>
    <n v="129.59998000000007"/>
    <n v="849.59998000000007"/>
    <n v="720"/>
    <d v="2019-10-29T00:00:00"/>
    <s v="005-00000084"/>
    <n v="1140.57"/>
    <n v="0"/>
    <n v="0"/>
    <n v="51.150000000000006"/>
    <n v="0"/>
    <n v="90.45"/>
    <n v="211.05"/>
    <n v="0"/>
    <n v="352.65000000000003"/>
    <n v="787.91999999999985"/>
    <n v="0.69081248849259569"/>
    <s v="RIMAC"/>
    <s v="LEVE"/>
    <s v="Octubre"/>
    <n v="2019"/>
    <n v="6"/>
    <n v="1"/>
    <d v="2019-10-23T00:00:00"/>
    <s v="BAF-310"/>
    <s v="MAZDA"/>
    <s v="MAZDA 2"/>
    <s v="RIMAC SEGUROS  Y REASEGUROS S.A"/>
  </r>
  <r>
    <x v="6"/>
    <s v="FAC"/>
    <s v="005"/>
    <s v="00000013"/>
    <x v="10"/>
    <s v="AJF554"/>
    <d v="2019-10-12T00:00:00"/>
    <s v="20547583168"/>
    <s v="AUTOCLASS S.A.C."/>
    <s v="2908010001"/>
    <s v="AMPLIACION DE RESPUESTOS"/>
    <s v="000"/>
    <s v="005"/>
    <s v="FACTURA A 30 DIAS"/>
    <s v="002"/>
    <s v="REPUESTOS"/>
    <s v="S/."/>
    <n v="3.355"/>
    <n v="1"/>
    <n v="630"/>
    <n v="630"/>
    <n v="113.40002000000023"/>
    <n v="743.40002000000027"/>
    <n v="630"/>
    <d v="2019-10-29T00:00:00"/>
    <s v="005-00000042"/>
    <n v="350"/>
    <n v="0"/>
    <n v="0"/>
    <n v="0"/>
    <n v="15.075000000000001"/>
    <n v="15.075000000000001"/>
    <n v="70.350000000000009"/>
    <n v="0"/>
    <n v="100.50000000000001"/>
    <n v="249.5"/>
    <n v="0.71285714285714286"/>
    <s v="C.C"/>
    <s v="LEVE"/>
    <s v="Octubre"/>
    <n v="2019"/>
    <n v="15"/>
    <n v="1"/>
    <d v="2019-10-14T00:00:00"/>
    <s v="C3A-411"/>
    <s v="SUZUKI"/>
    <s v="CELERIO"/>
    <s v="FAST ENGENHARIA E MONTAGENS SA"/>
  </r>
  <r>
    <x v="6"/>
    <s v="FAC"/>
    <s v="005"/>
    <s v="00000013"/>
    <x v="10"/>
    <s v="AJF554"/>
    <d v="2019-10-12T00:00:00"/>
    <s v="20547583168"/>
    <s v="AUTOCLASS S.A.C."/>
    <s v="2805010001"/>
    <s v="SERVICIOS"/>
    <s v="000"/>
    <s v="005"/>
    <s v="FACTURA A 30 DIAS"/>
    <s v="002"/>
    <s v="MECANICA"/>
    <s v="S/."/>
    <n v="3.355"/>
    <n v="1"/>
    <n v="260"/>
    <n v="260"/>
    <n v="46.799989999999958"/>
    <n v="306.79998999999998"/>
    <n v="260"/>
    <d v="2019-10-30T00:00:00"/>
    <s v="005-00000019"/>
    <n v="6671.5"/>
    <n v="1593.0606048"/>
    <n v="110.16949152542374"/>
    <n v="91.27118644067798"/>
    <n v="150.75"/>
    <n v="376.875"/>
    <n v="1055.25"/>
    <n v="0"/>
    <n v="3377.3762827661017"/>
    <n v="3294.1237172338983"/>
    <n v="0.49376058116374105"/>
    <s v="ACCESO"/>
    <s v="GRAVE"/>
    <s v="Octubre"/>
    <n v="2019"/>
    <n v="23"/>
    <n v="1"/>
    <d v="2019-10-07T00:00:00"/>
    <s v="P2Y-146"/>
    <s v="KIA"/>
    <s v="RIO"/>
    <s v="AUTOCLASS S.A.C."/>
  </r>
  <r>
    <x v="6"/>
    <s v="FAC"/>
    <s v="005"/>
    <s v="00000013"/>
    <x v="10"/>
    <s v="AJF554"/>
    <d v="2019-10-12T00:00:00"/>
    <s v="20547583168"/>
    <s v="AUTOCLASS S.A.C."/>
    <s v="320001"/>
    <s v="REPUESTOS"/>
    <s v="000"/>
    <s v="005"/>
    <s v="FACTURA A 30 DIAS"/>
    <s v="002"/>
    <s v="REPUESTOS"/>
    <s v="S/."/>
    <n v="3.355"/>
    <n v="1"/>
    <n v="598"/>
    <n v="598"/>
    <n v="107.64000999999989"/>
    <n v="705.64000999999985"/>
    <n v="598"/>
    <d v="2019-10-30T00:00:00"/>
    <s v="005-00000065"/>
    <n v="3818.7542100000001"/>
    <n v="548.89210930000002"/>
    <n v="0"/>
    <n v="41"/>
    <n v="124.36875000000001"/>
    <n v="150.75"/>
    <n v="703.5"/>
    <n v="0"/>
    <n v="1568.5108593"/>
    <n v="2250.2433507000001"/>
    <n v="0.5892611115969153"/>
    <s v="ACCESO"/>
    <s v="MEDIANO"/>
    <s v="Octubre"/>
    <n v="2019"/>
    <n v="11"/>
    <n v="1"/>
    <d v="2019-10-19T00:00:00"/>
    <s v="APA-238"/>
    <s v="HYUNDAY"/>
    <s v="ACCENT"/>
    <s v="EDPYME ACCESO CREDITICIO SOCIEDAD ANONIMA"/>
  </r>
  <r>
    <x v="6"/>
    <s v="FAC"/>
    <s v="005"/>
    <s v="00000015"/>
    <x v="11"/>
    <s v="ATZ549"/>
    <d v="2019-10-16T00:00:00"/>
    <s v="20100041953"/>
    <s v="RIMAC SEGUROS  Y REASEGUROS S.A"/>
    <s v="1302020001"/>
    <s v="PINTURA"/>
    <s v="000"/>
    <s v="001"/>
    <s v="CONTADO"/>
    <s v="009"/>
    <s v="PINTURA"/>
    <s v="$"/>
    <n v="3.355"/>
    <n v="1"/>
    <n v="177"/>
    <n v="177"/>
    <n v="31.86"/>
    <n v="208.86"/>
    <n v="593.83500000000004"/>
    <d v="2019-10-30T00:00:00"/>
    <s v="005-00000088"/>
    <n v="637.93998090000014"/>
    <n v="0"/>
    <n v="0"/>
    <n v="65.325000000000003"/>
    <n v="0"/>
    <n v="30.150000000000002"/>
    <n v="105.52500000000001"/>
    <n v="0"/>
    <n v="201"/>
    <n v="436.93998090000014"/>
    <n v="0.68492333758979806"/>
    <s v="RIMAC"/>
    <s v="LEVE"/>
    <s v="Octubre"/>
    <n v="2019"/>
    <n v="6"/>
    <n v="1"/>
    <d v="2019-10-24T00:00:00"/>
    <s v="AYW-424"/>
    <s v="KIA"/>
    <s v="SPORTAGE"/>
    <s v="RIMAC SEGUROS  Y REASEGUROS S.A"/>
  </r>
  <r>
    <x v="6"/>
    <s v="FAC"/>
    <s v="005"/>
    <s v="00000015"/>
    <x v="11"/>
    <s v="ATZ549"/>
    <d v="2019-10-16T00:00:00"/>
    <s v="20100041953"/>
    <s v="RIMAC SEGUROS  Y REASEGUROS S.A"/>
    <s v="1201020001"/>
    <s v="PLANCHADO"/>
    <s v="000"/>
    <s v="001"/>
    <s v="CONTADO"/>
    <s v="001"/>
    <s v="PLANCHADO"/>
    <s v="$"/>
    <n v="3.355"/>
    <n v="1"/>
    <n v="270"/>
    <n v="270"/>
    <n v="48.600010000000005"/>
    <n v="318.60001"/>
    <n v="905.85"/>
    <d v="2019-10-30T00:00:00"/>
    <s v="005-00000092"/>
    <n v="420.41548009270986"/>
    <n v="0"/>
    <n v="0"/>
    <n v="0"/>
    <n v="0"/>
    <n v="30.150000000000002"/>
    <n v="87.9375"/>
    <n v="0"/>
    <n v="118.08750000000001"/>
    <n v="302.32798009270982"/>
    <n v="0.71911714579596497"/>
    <s v="RIMAC"/>
    <s v="LEVE"/>
    <s v="Octubre"/>
    <n v="2019"/>
    <n v="6"/>
    <n v="1"/>
    <d v="2019-10-24T00:00:00"/>
    <s v="BDM-636"/>
    <s v="MAZDA"/>
    <s v="MAZDA 2"/>
    <s v="RIMAC SEGUROS  Y REASEGUROS S.A"/>
  </r>
  <r>
    <x v="6"/>
    <s v="FAC"/>
    <s v="005"/>
    <s v="00000015"/>
    <x v="11"/>
    <s v="ATZ549"/>
    <d v="2019-10-16T00:00:00"/>
    <s v="20100041953"/>
    <s v="RIMAC SEGUROS  Y REASEGUROS S.A"/>
    <s v="2908010001"/>
    <s v="TERCEROS"/>
    <s v="000"/>
    <s v="001"/>
    <s v="CONTADO"/>
    <s v="002"/>
    <s v="TERCEROS"/>
    <s v="$"/>
    <n v="3.355"/>
    <n v="1"/>
    <n v="35"/>
    <n v="35"/>
    <n v="6.299998999999989"/>
    <n v="41.299998999999985"/>
    <n v="117.425"/>
    <d v="2019-10-30T00:00:00"/>
    <s v="005-00000087"/>
    <n v="961.0989992245801"/>
    <n v="0"/>
    <n v="0"/>
    <n v="80.400000000000006"/>
    <n v="0"/>
    <n v="45.225000000000001"/>
    <n v="158.28749999999999"/>
    <n v="0"/>
    <n v="283.91250000000002"/>
    <n v="677.18649922458007"/>
    <n v="0.70459598831227355"/>
    <s v="RIMAC"/>
    <s v="LEVE"/>
    <s v="Octubre"/>
    <n v="2019"/>
    <n v="6"/>
    <n v="1"/>
    <d v="2019-10-24T00:00:00"/>
    <s v="AYW-424"/>
    <s v="KIA"/>
    <s v="SPORTAGE"/>
    <s v="RIMAC SEGUROS  Y REASEGUROS S.A"/>
  </r>
  <r>
    <x v="6"/>
    <s v="FAC"/>
    <s v="005"/>
    <s v="00000015"/>
    <x v="11"/>
    <s v="ATZ549"/>
    <d v="2019-10-16T00:00:00"/>
    <s v="20100041953"/>
    <s v="RIMAC SEGUROS  Y REASEGUROS S.A"/>
    <s v="310120"/>
    <s v="FRANQUICIA"/>
    <s v="000"/>
    <s v="001"/>
    <s v="CONTADO"/>
    <s v="002"/>
    <s v="FRANQUICIA"/>
    <s v="$"/>
    <n v="3.355"/>
    <n v="-1"/>
    <n v="100"/>
    <n v="-100"/>
    <n v="-18"/>
    <n v="-118"/>
    <n v="-335.5"/>
    <d v="2019-10-30T00:00:00"/>
    <s v="005-00000081"/>
    <n v="794.09900422458009"/>
    <n v="0"/>
    <n v="0"/>
    <n v="30.150000000000002"/>
    <n v="0"/>
    <n v="45.225000000000001"/>
    <n v="140.70000000000002"/>
    <n v="0"/>
    <n v="216.07500000000002"/>
    <n v="578.02400422458004"/>
    <n v="0.72789916767243346"/>
    <s v="RIMAC"/>
    <s v="LEVE"/>
    <s v="Octubre"/>
    <n v="2019"/>
    <n v="7"/>
    <n v="1"/>
    <d v="2019-10-23T00:00:00"/>
    <s v="ACZ-120"/>
    <s v="TOYOTA"/>
    <s v="RAV4"/>
    <s v="RIMAC SEGUROS  Y REASEGUROS S.A"/>
  </r>
  <r>
    <x v="6"/>
    <s v="FAC"/>
    <s v="005"/>
    <s v="00000016"/>
    <x v="12"/>
    <s v="ANE346"/>
    <d v="2019-10-05T00:00:00"/>
    <s v="20509959766"/>
    <s v="RENTAEQUIPOS LEASING PERU S.A."/>
    <s v="310120"/>
    <s v="FRANQUICIA"/>
    <s v="000"/>
    <s v="001"/>
    <s v="CONTADO"/>
    <s v="002"/>
    <s v="FRANQUICIA"/>
    <s v="$"/>
    <n v="3.355"/>
    <n v="1"/>
    <n v="100"/>
    <n v="100"/>
    <n v="18"/>
    <n v="118"/>
    <n v="335.5"/>
    <d v="2019-10-30T00:00:00"/>
    <s v="005-00000078"/>
    <n v="895.1199732"/>
    <n v="0"/>
    <n v="0"/>
    <n v="30.150000000000002"/>
    <n v="0"/>
    <n v="75.375"/>
    <n v="140.70000000000002"/>
    <n v="0"/>
    <n v="246.22500000000002"/>
    <n v="648.89497319999998"/>
    <n v="0.72492514146482456"/>
    <s v="RIMAC"/>
    <s v="LEVE"/>
    <s v="Octubre"/>
    <n v="2019"/>
    <n v="8"/>
    <n v="1"/>
    <d v="2019-10-22T00:00:00"/>
    <s v="AJB-285"/>
    <s v="MAZDA"/>
    <s v="MAZDA 3 "/>
    <s v="RIMAC SEGUROS  Y REASEGUROS S.A"/>
  </r>
  <r>
    <x v="6"/>
    <s v="FAC"/>
    <s v="005"/>
    <s v="00000017"/>
    <x v="13"/>
    <s v="ANE346"/>
    <d v="2019-10-05T00:00:00"/>
    <s v="20509959766"/>
    <s v="RENTAEQUIPOS LEASING PERU S.A."/>
    <s v="310120"/>
    <s v="FRANQUICIA"/>
    <s v="000"/>
    <s v="001"/>
    <s v="CONTADO"/>
    <s v="002"/>
    <s v="FRANQUICIA"/>
    <s v="$"/>
    <n v="3.355"/>
    <n v="1"/>
    <n v="118.62709999999998"/>
    <n v="118.62709999999998"/>
    <n v="21.352899999999991"/>
    <n v="139.97999999999999"/>
    <n v="397.99392049999994"/>
    <d v="2019-10-30T00:00:00"/>
    <s v="005-00000068"/>
    <n v="1412.8199577000003"/>
    <n v="0"/>
    <n v="0"/>
    <n v="38.190000000000005"/>
    <n v="0"/>
    <n v="180.9"/>
    <n v="140.70000000000002"/>
    <n v="0"/>
    <n v="359.79"/>
    <n v="1053.0299577000003"/>
    <n v="0.74533910139143278"/>
    <s v="RIMAC"/>
    <s v="MEDIANO"/>
    <s v="Octubre"/>
    <n v="2019"/>
    <n v="9"/>
    <n v="1"/>
    <d v="2019-10-21T00:00:00"/>
    <s v="AWY-319"/>
    <s v="JEEP"/>
    <s v="GRAND CHEROKE"/>
    <s v="RENTAEQUIPOS LEASING PERU S.A."/>
  </r>
  <r>
    <x v="6"/>
    <s v="FAC"/>
    <s v="005"/>
    <s v="00000019"/>
    <x v="12"/>
    <s v="ANE346"/>
    <d v="2019-10-05T00:00:00"/>
    <s v="20100041953"/>
    <s v="RIMAC SEGUROS  Y REASEGUROS S.A"/>
    <s v="1302020001"/>
    <s v="PINTURA"/>
    <s v="000"/>
    <s v="001"/>
    <s v="CONTADO"/>
    <s v="009"/>
    <s v="PINTURA"/>
    <s v="$"/>
    <n v="3.355"/>
    <n v="1"/>
    <n v="118"/>
    <n v="118"/>
    <n v="21.240010000000019"/>
    <n v="139.24001000000001"/>
    <n v="395.89"/>
    <d v="2019-10-31T00:00:00"/>
    <s v="005-00000049"/>
    <n v="6587.7542000000003"/>
    <n v="1383.0209572000003"/>
    <n v="76.271186440677965"/>
    <n v="122.32203389830509"/>
    <n v="154.51875000000001"/>
    <n v="241.20000000000002"/>
    <n v="1143.1875"/>
    <n v="0"/>
    <n v="3120.5204275389833"/>
    <n v="3467.233772461017"/>
    <n v="0.52631498796069487"/>
    <s v="ACCESO"/>
    <s v="GRAVE"/>
    <s v="Octubre"/>
    <n v="2019"/>
    <n v="15"/>
    <n v="1"/>
    <d v="2019-10-16T00:00:00"/>
    <s v="AKB-038"/>
    <s v="KIA"/>
    <s v="RIO"/>
    <s v="EDPYME ACCESO CREDITICIO SOCIEDAD ANONIMA"/>
  </r>
  <r>
    <x v="6"/>
    <s v="FAC"/>
    <s v="005"/>
    <s v="00000019"/>
    <x v="12"/>
    <s v="ANE346"/>
    <d v="2019-10-05T00:00:00"/>
    <s v="20100041953"/>
    <s v="RIMAC SEGUROS  Y REASEGUROS S.A"/>
    <s v="1201020001"/>
    <s v="PLANCHADO"/>
    <s v="000"/>
    <s v="001"/>
    <s v="CONTADO"/>
    <s v="001"/>
    <s v="PLANCHADO"/>
    <s v="$"/>
    <n v="3.355"/>
    <n v="1"/>
    <n v="60"/>
    <n v="60"/>
    <n v="10.800002999999997"/>
    <n v="70.800003000000004"/>
    <n v="201.3"/>
    <d v="2019-10-31T00:00:00"/>
    <s v="005-00000055"/>
    <n v="3862.7542100000001"/>
    <n v="1395.5710020000001"/>
    <n v="0"/>
    <n v="119.37288135593221"/>
    <n v="154.51875000000001"/>
    <n v="75.375"/>
    <n v="422.1"/>
    <n v="0"/>
    <n v="2166.9376333559321"/>
    <n v="1695.8165766440679"/>
    <n v="0.43901746900020022"/>
    <s v="ACCESO"/>
    <s v="LEVE"/>
    <s v="Octubre"/>
    <n v="2019"/>
    <n v="15"/>
    <n v="1"/>
    <d v="2019-10-16T00:00:00"/>
    <s v="AEM-292"/>
    <s v="HYUNDAY"/>
    <s v="ACCENT"/>
    <s v="EDPYME ACCESO CREDITICIO SOCIEDAD ANONIMA"/>
  </r>
  <r>
    <x v="6"/>
    <s v="FAC"/>
    <s v="005"/>
    <s v="00000019"/>
    <x v="12"/>
    <s v="ANE346"/>
    <d v="2019-10-05T00:00:00"/>
    <s v="20100041953"/>
    <s v="RIMAC SEGUROS  Y REASEGUROS S.A"/>
    <s v="2908010001"/>
    <s v="TERCEROS"/>
    <s v="000"/>
    <s v="001"/>
    <s v="CONTADO"/>
    <s v="002"/>
    <s v="TERCEROS"/>
    <s v="$"/>
    <n v="3.355"/>
    <n v="1"/>
    <n v="30"/>
    <n v="30"/>
    <n v="5.4000019999999997"/>
    <n v="35.400002000000001"/>
    <n v="100.65"/>
    <d v="2019-10-31T00:00:00"/>
    <s v="005-00000080"/>
    <n v="1595.7984999999999"/>
    <n v="0"/>
    <n v="0"/>
    <n v="15.075000000000001"/>
    <n v="0"/>
    <n v="180.9"/>
    <n v="246.22499999999999"/>
    <n v="0"/>
    <n v="442.2"/>
    <n v="1153.5984999999998"/>
    <n v="0.72289734574885234"/>
    <s v="RIMAC"/>
    <s v="MEDIANO"/>
    <s v="Octubre"/>
    <n v="2019"/>
    <n v="8"/>
    <n v="1"/>
    <d v="2019-10-23T00:00:00"/>
    <s v="AFC-362"/>
    <s v="MAZDA"/>
    <s v="MAZDA 6"/>
    <s v="RIMAC SEGUROS  Y REASEGUROS S.A"/>
  </r>
  <r>
    <x v="6"/>
    <s v="FAC"/>
    <s v="005"/>
    <s v="00000019"/>
    <x v="12"/>
    <s v="ANE346"/>
    <d v="2019-10-05T00:00:00"/>
    <s v="20100041953"/>
    <s v="RIMAC SEGUROS  Y REASEGUROS S.A"/>
    <s v="310120"/>
    <s v="FRANQUICIA"/>
    <s v="000"/>
    <s v="001"/>
    <s v="CONTADO"/>
    <s v="002"/>
    <s v="FRANQUICIA"/>
    <s v="$"/>
    <n v="3.355"/>
    <n v="-1"/>
    <n v="100"/>
    <n v="-100"/>
    <n v="-18"/>
    <n v="-118"/>
    <n v="-335.5"/>
    <d v="2019-10-07T00:00:00"/>
    <s v="005-00000020"/>
    <n v="296.61020000000002"/>
    <n v="140.75284975"/>
    <n v="0"/>
    <n v="0"/>
    <n v="40.250250000000001"/>
    <n v="0"/>
    <n v="0"/>
    <n v="0"/>
    <n v="181.00309974999999"/>
    <n v="115.60710025000003"/>
    <n v="0.38976104075315016"/>
    <s v="C.C"/>
    <s v="MECANICA"/>
    <s v="Octubre"/>
    <n v="2019"/>
    <n v="0"/>
    <n v="1"/>
    <d v="2019-10-07T00:00:00"/>
    <s v="BAZ-054"/>
    <s v="KIA"/>
    <s v="CERATO"/>
    <s v="MEZA CERNA JUNOR RAUL"/>
  </r>
  <r>
    <x v="6"/>
    <s v="FAC"/>
    <s v="005"/>
    <s v="00000019"/>
    <x v="12"/>
    <s v="ANE346"/>
    <d v="2019-10-05T00:00:00"/>
    <s v="20100041953"/>
    <s v="RIMAC SEGUROS  Y REASEGUROS S.A"/>
    <s v="320001"/>
    <s v="REPUESTOS"/>
    <s v="000"/>
    <s v="001"/>
    <s v="CONTADO"/>
    <s v="002"/>
    <s v="REPUESTOS"/>
    <s v="$"/>
    <n v="3.355"/>
    <n v="1"/>
    <n v="0"/>
    <n v="0"/>
    <n v="0"/>
    <n v="0"/>
    <n v="0"/>
    <d v="2019-10-12T00:00:00"/>
    <s v="005-00000008"/>
    <n v="1041.0838971754199"/>
    <n v="0"/>
    <n v="0"/>
    <n v="0"/>
    <n v="30.150000000000002"/>
    <n v="60.300000000000004"/>
    <n v="211.05"/>
    <n v="0"/>
    <n v="301.5"/>
    <n v="739.58389717541991"/>
    <n v="0.71039797962680618"/>
    <s v="C.C"/>
    <s v="LEVE"/>
    <s v="Octubre"/>
    <n v="2019"/>
    <n v="8"/>
    <n v="1"/>
    <d v="2019-10-04T00:00:00"/>
    <s v="AHK-141"/>
    <s v="NISSAN"/>
    <s v="XTRAIL"/>
    <s v="JOSE ANTONIO MENENDEZ FERNANDEZ"/>
  </r>
  <r>
    <x v="6"/>
    <s v="FAC"/>
    <s v="005"/>
    <s v="00000020"/>
    <x v="13"/>
    <s v="ANE346"/>
    <d v="2019-10-05T00:00:00"/>
    <s v="20100041953"/>
    <s v="RIMAC SEGUROS  Y REASEGUROS S.A"/>
    <s v="1302020001"/>
    <s v="PINTURA"/>
    <s v="000"/>
    <s v="001"/>
    <s v="CONTADO"/>
    <s v="009"/>
    <s v="PINTURA"/>
    <s v="$"/>
    <n v="3.355"/>
    <n v="1"/>
    <n v="132.75419999999997"/>
    <n v="132.75419999999997"/>
    <n v="23.895790000000034"/>
    <n v="156.64999"/>
    <n v="445.39034099999992"/>
    <d v="2019-10-17T00:00:00"/>
    <s v="005-00000058"/>
    <n v="237.28810000000001"/>
    <n v="82.528698849999984"/>
    <n v="0"/>
    <n v="0"/>
    <n v="40.250250000000001"/>
    <n v="0"/>
    <n v="0"/>
    <n v="0"/>
    <n v="122.77894884999998"/>
    <n v="114.50915115000004"/>
    <n v="0.48257435223258155"/>
    <s v="C.C"/>
    <s v="MECANICA"/>
    <s v="Octubre"/>
    <n v="2019"/>
    <n v="0"/>
    <n v="1"/>
    <d v="2019-10-17T00:00:00"/>
    <s v="B3A-304"/>
    <s v="HONDA"/>
    <s v="CIVIC"/>
    <s v="RIVERA AGUILAR JULIO"/>
  </r>
  <r>
    <x v="6"/>
    <s v="FAC"/>
    <s v="005"/>
    <s v="00000020"/>
    <x v="13"/>
    <s v="ANE346"/>
    <d v="2019-10-05T00:00:00"/>
    <s v="20100041953"/>
    <s v="RIMAC SEGUROS  Y REASEGUROS S.A"/>
    <s v="1201020001"/>
    <s v="PLANCHADO"/>
    <s v="000"/>
    <s v="001"/>
    <s v="CONTADO"/>
    <s v="001"/>
    <s v="PLANCHADO"/>
    <s v="$"/>
    <n v="3.355"/>
    <n v="1"/>
    <n v="120"/>
    <n v="120"/>
    <n v="21.600010000000019"/>
    <n v="141.60001000000003"/>
    <n v="402.6"/>
    <d v="2019-10-18T00:00:00"/>
    <s v="005-00000063"/>
    <n v="245.77129000000002"/>
    <n v="103.99239799999999"/>
    <n v="0"/>
    <n v="0"/>
    <n v="40.250250000000001"/>
    <n v="0"/>
    <n v="0"/>
    <n v="0"/>
    <n v="144.242648"/>
    <n v="101.52864200000002"/>
    <n v="0.41310212433681742"/>
    <s v="C.C"/>
    <s v="MECANICA"/>
    <s v="Octubre"/>
    <n v="2019"/>
    <n v="0"/>
    <n v="1"/>
    <d v="2019-10-18T00:00:00"/>
    <s v="BJL-074"/>
    <s v="CHERY"/>
    <s v="ARRIZO3"/>
    <s v="LONDOÑO LOPEZ JHAIR"/>
  </r>
  <r>
    <x v="6"/>
    <s v="FAC"/>
    <s v="005"/>
    <s v="00000020"/>
    <x v="13"/>
    <s v="ANE346"/>
    <d v="2019-10-05T00:00:00"/>
    <s v="20100041953"/>
    <s v="RIMAC SEGUROS  Y REASEGUROS S.A"/>
    <s v="2908010001"/>
    <s v="TERCEROS"/>
    <s v="000"/>
    <s v="001"/>
    <s v="CONTADO"/>
    <s v="002"/>
    <s v="TERCEROS"/>
    <s v="$"/>
    <n v="3.355"/>
    <n v="1"/>
    <n v="15"/>
    <n v="15"/>
    <n v="2.7000009999999999"/>
    <n v="17.700001"/>
    <n v="50.325000000000003"/>
    <d v="2019-10-19T00:00:00"/>
    <s v="005-00000064"/>
    <n v="29.660999000000007"/>
    <n v="12.711900000000004"/>
    <n v="0"/>
    <n v="0"/>
    <n v="0"/>
    <n v="0"/>
    <n v="0"/>
    <n v="0"/>
    <n v="12.711900000000004"/>
    <n v="16.949099000000004"/>
    <n v="0.57142711208074948"/>
    <s v="C.C"/>
    <s v="MECANICA"/>
    <s v="Octubre"/>
    <n v="2019"/>
    <n v="1"/>
    <n v="1"/>
    <d v="2019-10-18T00:00:00"/>
    <s v="ATZ-549"/>
    <s v="HYUNDAY"/>
    <s v="ACCENT"/>
    <s v="GAITAN PEREDA CESAR AUGUSTO"/>
  </r>
  <r>
    <x v="6"/>
    <s v="FAC"/>
    <s v="005"/>
    <s v="00000020"/>
    <x v="13"/>
    <s v="ANE346"/>
    <d v="2019-10-05T00:00:00"/>
    <s v="20100041953"/>
    <s v="RIMAC SEGUROS  Y REASEGUROS S.A"/>
    <s v="310120"/>
    <s v="FRANQUICIA"/>
    <s v="000"/>
    <s v="001"/>
    <s v="CONTADO"/>
    <s v="002"/>
    <s v="FRANQUICIA"/>
    <s v="$"/>
    <n v="3.355"/>
    <n v="-1"/>
    <n v="118.62709999999998"/>
    <n v="-118.62709999999998"/>
    <n v="-21.352899999999991"/>
    <n v="-139.97999999999999"/>
    <n v="-397.99392049999994"/>
    <d v="2019-10-21T00:00:00"/>
    <s v="005-00000067"/>
    <n v="331.85589999999996"/>
    <n v="134.0984981"/>
    <n v="0"/>
    <n v="0"/>
    <n v="40.250250000000001"/>
    <n v="0"/>
    <n v="0"/>
    <n v="0"/>
    <n v="174.34874809999999"/>
    <n v="157.50715189999997"/>
    <n v="0.47462513669336598"/>
    <s v="C.C"/>
    <s v="MECANICA"/>
    <s v="Octubre"/>
    <n v="2019"/>
    <n v="0"/>
    <n v="1"/>
    <d v="2019-10-21T00:00:00"/>
    <s v="ALX-585"/>
    <s v="KIA"/>
    <s v="RIO"/>
    <s v="SALAZAR OYOLA HECTOR"/>
  </r>
  <r>
    <x v="6"/>
    <s v="FAC"/>
    <s v="005"/>
    <s v="00000020"/>
    <x v="13"/>
    <s v="ANE346"/>
    <d v="2019-10-05T00:00:00"/>
    <s v="20100041953"/>
    <s v="RIMAC SEGUROS  Y REASEGUROS S.A"/>
    <s v="320001"/>
    <s v="REPUESTOS"/>
    <s v="000"/>
    <s v="001"/>
    <s v="CONTADO"/>
    <s v="002"/>
    <s v="REPUESTOS"/>
    <s v="$"/>
    <n v="3.355"/>
    <n v="1"/>
    <n v="0"/>
    <n v="0"/>
    <n v="0"/>
    <n v="0"/>
    <n v="0"/>
    <d v="2019-10-22T00:00:00"/>
    <s v="005-00000074"/>
    <n v="150"/>
    <n v="57.35479879999999"/>
    <n v="0"/>
    <n v="0"/>
    <n v="79.2"/>
    <n v="0"/>
    <n v="0"/>
    <n v="0"/>
    <n v="136.55479879999999"/>
    <n v="13.445201200000014"/>
    <n v="8.9634674666666761E-2"/>
    <s v="C.C"/>
    <s v="MECANICA"/>
    <s v="Octubre"/>
    <n v="2019"/>
    <n v="0"/>
    <n v="1"/>
    <d v="2019-10-22T00:00:00"/>
    <s v="BKP389"/>
    <s v="HYUNDAI"/>
    <s v="I10"/>
    <s v="MILAN TRUGILLO FELIX"/>
  </r>
  <r>
    <x v="7"/>
    <s v="FAC"/>
    <s v="005"/>
    <s v="00000021"/>
    <x v="14"/>
    <s v="AMD263"/>
    <d v="2019-10-04T00:00:00"/>
    <s v="20100041953"/>
    <s v="RIMAC SEGUROS  Y REASEGUROS S.A"/>
    <s v="1302020001"/>
    <s v="PINTURA"/>
    <s v="000"/>
    <s v="001"/>
    <s v="CONTADO"/>
    <s v="009"/>
    <s v="PINTURA"/>
    <s v="$"/>
    <n v="3.3469999000000001"/>
    <n v="1"/>
    <n v="295"/>
    <n v="295"/>
    <n v="53.100009999999891"/>
    <n v="348.10000999999988"/>
    <n v="987.36497050000003"/>
    <d v="2019-10-23T00:00:00"/>
    <s v="005-00000061"/>
    <n v="453.15249111000003"/>
    <n v="0"/>
    <n v="0"/>
    <n v="0"/>
    <n v="0"/>
    <n v="75.375"/>
    <n v="140.70000000000002"/>
    <n v="0"/>
    <n v="216.07500000000002"/>
    <n v="237.07749111000001"/>
    <n v="0.5231737566514908"/>
    <s v="RIMAC"/>
    <s v="LEVE"/>
    <s v="Octubre"/>
    <n v="2019"/>
    <n v="6"/>
    <n v="1"/>
    <d v="2019-10-17T00:00:00"/>
    <s v="BDI-580"/>
    <s v="SUBARU"/>
    <s v="OUTBACK"/>
    <s v="VIALE BORDO JAVIER ALFONSO"/>
  </r>
  <r>
    <x v="7"/>
    <s v="FAC"/>
    <s v="005"/>
    <s v="00000021"/>
    <x v="14"/>
    <s v="AMD263"/>
    <d v="2019-10-04T00:00:00"/>
    <s v="20100041953"/>
    <s v="RIMAC SEGUROS  Y REASEGUROS S.A"/>
    <s v="1201020001"/>
    <s v="PLANCHADO"/>
    <s v="000"/>
    <s v="001"/>
    <s v="CONTADO"/>
    <s v="001"/>
    <s v="PLANCHADO"/>
    <s v="$"/>
    <n v="3.3469999000000001"/>
    <n v="1"/>
    <n v="210"/>
    <n v="210"/>
    <n v="37.799999999999997"/>
    <n v="247.8"/>
    <n v="702.86997900000006"/>
    <d v="2019-10-23T00:00:00"/>
    <s v="005-00000057"/>
    <n v="902.34"/>
    <n v="0"/>
    <n v="0"/>
    <n v="0"/>
    <n v="0"/>
    <n v="60.300000000000004"/>
    <n v="158.28749999999999"/>
    <n v="0"/>
    <n v="218.58750000000001"/>
    <n v="683.75250000000005"/>
    <n v="0.757754837422701"/>
    <s v="C.C"/>
    <s v="LEVE"/>
    <s v="Octubre"/>
    <n v="2019"/>
    <n v="6"/>
    <n v="1"/>
    <d v="2019-10-17T00:00:00"/>
    <s v="F5C-188"/>
    <s v="AUDI"/>
    <s v="Q5"/>
    <s v="BURGA VELASCO DIEGO ADRIAN"/>
  </r>
  <r>
    <x v="7"/>
    <s v="FAC"/>
    <s v="005"/>
    <s v="00000021"/>
    <x v="14"/>
    <s v="AMD263"/>
    <d v="2019-10-04T00:00:00"/>
    <s v="20100041953"/>
    <s v="RIMAC SEGUROS  Y REASEGUROS S.A"/>
    <s v="2908010001"/>
    <s v="TERCEROS"/>
    <s v="000"/>
    <s v="001"/>
    <s v="CONTADO"/>
    <s v="002"/>
    <s v="TERCEROS"/>
    <s v="$"/>
    <n v="3.3469999000000001"/>
    <n v="1"/>
    <n v="85"/>
    <n v="85"/>
    <n v="15.3"/>
    <n v="100.3"/>
    <n v="284.49499150000003"/>
    <d v="2019-10-23T00:00:00"/>
    <s v="005-00000062"/>
    <n v="83.55"/>
    <n v="0"/>
    <n v="0"/>
    <n v="0"/>
    <n v="0"/>
    <n v="45.225000000000001"/>
    <n v="0"/>
    <n v="0"/>
    <n v="45.225000000000001"/>
    <n v="38.324999999999996"/>
    <n v="0.45870736086175939"/>
    <s v="C.C"/>
    <s v="MECANICA"/>
    <s v="Octubre"/>
    <n v="2019"/>
    <n v="6"/>
    <n v="1"/>
    <d v="2019-10-17T00:00:00"/>
    <s v="BMA-272"/>
    <s v="GREAT WALL"/>
    <s v="H3"/>
    <s v="VIDANTE CHINCHAY JOAO MARTIN"/>
  </r>
  <r>
    <x v="7"/>
    <s v="FAC"/>
    <s v="005"/>
    <s v="00000021"/>
    <x v="14"/>
    <s v="AMD263"/>
    <d v="2019-10-04T00:00:00"/>
    <s v="20100041953"/>
    <s v="RIMAC SEGUROS  Y REASEGUROS S.A"/>
    <s v="2805010001"/>
    <s v="SERVICIOS"/>
    <s v="000"/>
    <s v="001"/>
    <s v="CONTADO"/>
    <s v="002"/>
    <s v="MECANICA"/>
    <s v="$"/>
    <n v="3.3469999000000001"/>
    <n v="1"/>
    <n v="30"/>
    <n v="30"/>
    <n v="5.4000019999999997"/>
    <n v="35.400002000000001"/>
    <n v="100.409997"/>
    <d v="2019-10-26T00:00:00"/>
    <s v="005-00000066"/>
    <n v="423.72879"/>
    <n v="179.36700285000001"/>
    <n v="0"/>
    <n v="101.69491525423729"/>
    <n v="40.250250000000001"/>
    <n v="0"/>
    <n v="0"/>
    <n v="0"/>
    <n v="321.31216810423729"/>
    <n v="102.41662189576272"/>
    <n v="0.24170324111270022"/>
    <s v="C.C"/>
    <s v="MECANICA"/>
    <s v="Octubre"/>
    <n v="2019"/>
    <n v="5"/>
    <n v="1"/>
    <d v="2019-10-21T00:00:00"/>
    <s v="D9K-336"/>
    <s v="KIA"/>
    <s v="SPORTAGE"/>
    <s v="MANLIO BASSINO PINASCO"/>
  </r>
  <r>
    <x v="7"/>
    <s v="FAC"/>
    <s v="005"/>
    <s v="00000021"/>
    <x v="14"/>
    <s v="AMD263"/>
    <d v="2019-10-04T00:00:00"/>
    <s v="20100041953"/>
    <s v="RIMAC SEGUROS  Y REASEGUROS S.A"/>
    <s v="310120"/>
    <s v="FRANQUICIA"/>
    <s v="000"/>
    <s v="001"/>
    <s v="CONTADO"/>
    <s v="002"/>
    <s v="FRANQUICIA"/>
    <s v="$"/>
    <n v="3.3469999000000001"/>
    <n v="-1"/>
    <n v="183.22031000000004"/>
    <n v="-183.22031000000004"/>
    <n v="-32.979689999999977"/>
    <n v="-216.2"/>
    <n v="-613.23835924796913"/>
    <d v="2019-10-30T00:00:00"/>
    <s v="005-00000083"/>
    <n v="66.799998000000016"/>
    <n v="0"/>
    <n v="0"/>
    <n v="20.100000000000001"/>
    <n v="39.6"/>
    <n v="0"/>
    <n v="0"/>
    <n v="0"/>
    <n v="59.7"/>
    <n v="7.0999980000000136"/>
    <n v="0.10628739839183846"/>
    <s v="RIMAC"/>
    <s v="LEVE"/>
    <s v="Octubre"/>
    <n v="2019"/>
    <n v="7"/>
    <n v="1"/>
    <d v="2019-10-23T00:00:00"/>
    <s v="AYW-424"/>
    <s v="RENAULT"/>
    <s v="LOGAN"/>
    <s v="MONCADA PIEDRA EDUARDO"/>
  </r>
  <r>
    <x v="7"/>
    <s v="FAC"/>
    <s v="005"/>
    <s v="00000021"/>
    <x v="14"/>
    <s v="AMD263"/>
    <d v="2019-10-04T00:00:00"/>
    <s v="20100041953"/>
    <s v="RIMAC SEGUROS  Y REASEGUROS S.A"/>
    <s v="320001"/>
    <s v="REPUESTOS"/>
    <s v="000"/>
    <s v="001"/>
    <s v="CONTADO"/>
    <s v="002"/>
    <s v="REPUESTOS"/>
    <s v="$"/>
    <n v="3.3469999000000001"/>
    <n v="1"/>
    <n v="0"/>
    <n v="0"/>
    <n v="0"/>
    <n v="0"/>
    <n v="0"/>
    <d v="2019-10-30T00:00:00"/>
    <s v="005-00000119"/>
    <n v="211.87289000000001"/>
    <n v="68.517799999999994"/>
    <n v="0"/>
    <n v="0"/>
    <n v="40.250250000000001"/>
    <n v="0"/>
    <n v="0"/>
    <n v="0"/>
    <n v="108.76804999999999"/>
    <n v="103.10484000000002"/>
    <n v="0.48663535953089621"/>
    <s v="C.C"/>
    <s v="MECANICA"/>
    <s v="Octubre"/>
    <n v="2019"/>
    <n v="0"/>
    <n v="1"/>
    <d v="2019-10-30T00:00:00"/>
    <s v="BKS-073"/>
    <s v="TOYOTA"/>
    <s v="ETIOS"/>
    <s v="CANAZA SANCHEZ VICTOR HORACIO"/>
  </r>
  <r>
    <x v="7"/>
    <s v="FAC"/>
    <s v="005"/>
    <s v="00000022"/>
    <x v="15"/>
    <s v="ANE445"/>
    <d v="2019-10-14T00:00:00"/>
    <s v="20509959766"/>
    <s v="RENTAEQUIPOS LEASING PERU S.A."/>
    <s v="310120"/>
    <s v="FRANQUICIA"/>
    <s v="000"/>
    <s v="001"/>
    <s v="CONTADO"/>
    <s v="002"/>
    <s v="FRANQUICIA"/>
    <s v="$"/>
    <n v="3.3469999000000001"/>
    <n v="1"/>
    <n v="100"/>
    <n v="100"/>
    <n v="18"/>
    <n v="118"/>
    <n v="334.69999000000001"/>
    <d v="2019-10-31T00:00:00"/>
    <s v="005-00000122"/>
    <n v="211.87289000000001"/>
    <n v="68.514600000000002"/>
    <n v="0"/>
    <n v="0"/>
    <n v="40.250250000000001"/>
    <n v="0"/>
    <n v="0"/>
    <n v="0"/>
    <n v="108.76485"/>
    <n v="103.10804000000002"/>
    <n v="0.48665046292614411"/>
    <s v="C.C"/>
    <s v="MECANICA"/>
    <s v="Octubre"/>
    <n v="2019"/>
    <n v="0"/>
    <n v="1"/>
    <d v="2019-10-31T00:00:00"/>
    <s v="D2E-026"/>
    <s v="TOYOTA"/>
    <s v="COROLLA"/>
    <s v="DE LA CRUZ PESCORAN ADA VERONICA"/>
  </r>
  <r>
    <x v="7"/>
    <s v="FAC"/>
    <s v="005"/>
    <s v="00000023"/>
    <x v="16"/>
    <s v="AHY439"/>
    <d v="2019-10-03T00:00:00"/>
    <s v="20509959766"/>
    <s v="RENTAEQUIPOS LEASING PERU S.A."/>
    <s v="310120"/>
    <s v="FRANQUICIA"/>
    <s v="000"/>
    <s v="001"/>
    <s v="CONTADO"/>
    <s v="002"/>
    <s v="FRANQUICIA"/>
    <s v="$"/>
    <n v="3.3469999000000001"/>
    <n v="1"/>
    <n v="100"/>
    <n v="100"/>
    <n v="18"/>
    <n v="118"/>
    <n v="334.69999000000001"/>
    <d v="2019-11-02T00:00:00"/>
    <s v="005-00000086"/>
    <n v="398.53100000000006"/>
    <n v="0"/>
    <n v="0"/>
    <n v="30.150000000000002"/>
    <n v="0"/>
    <n v="15.075000000000001"/>
    <n v="0"/>
    <n v="0"/>
    <n v="45.225000000000001"/>
    <n v="353.30600000000004"/>
    <n v="0.88652074744499165"/>
    <s v="RIMAC"/>
    <s v="LEVE"/>
    <s v="Noviembre"/>
    <n v="2019"/>
    <n v="10"/>
    <n v="1"/>
    <d v="2019-10-23T00:00:00"/>
    <s v="APW-245"/>
    <s v="NISSAN"/>
    <s v="SENTRA"/>
    <s v="RIMAC SEGUROS  Y REASEGUROS S.A"/>
  </r>
  <r>
    <x v="7"/>
    <s v="FAC"/>
    <s v="005"/>
    <s v="00000024"/>
    <x v="15"/>
    <s v="ANE445"/>
    <d v="2019-10-14T00:00:00"/>
    <s v="20100041953"/>
    <s v="RIMAC SEGUROS  Y REASEGUROS S.A"/>
    <s v="1302020001"/>
    <s v="PINTURA"/>
    <s v="000"/>
    <s v="001"/>
    <s v="CONTADO"/>
    <s v="009"/>
    <s v="PINTURA"/>
    <s v="$"/>
    <n v="3.3469999000000001"/>
    <n v="1"/>
    <n v="59"/>
    <n v="59"/>
    <n v="10.620002999999997"/>
    <n v="69.620002999999997"/>
    <n v="197.47299409999999"/>
    <d v="2019-11-04T00:00:00"/>
    <s v="005-00000075"/>
    <n v="1725.0755932999998"/>
    <n v="0"/>
    <n v="0"/>
    <n v="0"/>
    <n v="0"/>
    <n v="211.05"/>
    <n v="158.28749999999999"/>
    <n v="0"/>
    <n v="369.33749999999998"/>
    <n v="1355.7380932999999"/>
    <n v="0.78590068665137613"/>
    <s v="RIMAC"/>
    <s v="MEDIANO"/>
    <s v="Noviembre"/>
    <n v="2019"/>
    <n v="13"/>
    <n v="1"/>
    <d v="2019-10-22T00:00:00"/>
    <s v="ACT-191"/>
    <s v="SUZUKI"/>
    <s v="SWIFT"/>
    <s v="RIMAC SEGUROS  Y REASEGUROS S.A"/>
  </r>
  <r>
    <x v="7"/>
    <s v="FAC"/>
    <s v="005"/>
    <s v="00000024"/>
    <x v="15"/>
    <s v="ANE445"/>
    <d v="2019-10-14T00:00:00"/>
    <s v="20100041953"/>
    <s v="RIMAC SEGUROS  Y REASEGUROS S.A"/>
    <s v="1201020001"/>
    <s v="PLANCHADO"/>
    <s v="000"/>
    <s v="001"/>
    <s v="CONTADO"/>
    <s v="001"/>
    <s v="PLANCHADO"/>
    <s v="$"/>
    <n v="3.3469999000000001"/>
    <n v="1"/>
    <n v="150"/>
    <n v="150"/>
    <n v="27"/>
    <n v="177"/>
    <n v="502.04998499999999"/>
    <d v="2019-11-05T00:00:00"/>
    <s v="005-00000091"/>
    <n v="2655.4560000000001"/>
    <n v="0"/>
    <n v="0"/>
    <n v="91.344999999999999"/>
    <n v="0"/>
    <n v="361.8"/>
    <n v="281.40000000000003"/>
    <n v="0"/>
    <n v="734.54500000000007"/>
    <n v="1920.9110000000001"/>
    <n v="0.72338272598001996"/>
    <s v="RIMAC"/>
    <s v="GRAVE"/>
    <s v="Noviembre"/>
    <n v="2019"/>
    <n v="12"/>
    <n v="1"/>
    <d v="2019-10-24T00:00:00"/>
    <s v="F2B-530"/>
    <s v="KIA"/>
    <s v="CERATO"/>
    <s v="RIMAC SEGUROS  Y REASEGUROS S.A"/>
  </r>
  <r>
    <x v="7"/>
    <s v="FAC"/>
    <s v="005"/>
    <s v="00000024"/>
    <x v="15"/>
    <s v="ANE445"/>
    <d v="2019-10-14T00:00:00"/>
    <s v="20100041953"/>
    <s v="RIMAC SEGUROS  Y REASEGUROS S.A"/>
    <s v="310120"/>
    <s v="FRANQUICIA"/>
    <s v="000"/>
    <s v="001"/>
    <s v="CONTADO"/>
    <s v="002"/>
    <s v="FRANQUICIA"/>
    <s v="$"/>
    <n v="3.3469999000000001"/>
    <n v="-1"/>
    <n v="100"/>
    <n v="-100"/>
    <n v="-18"/>
    <n v="-118"/>
    <n v="-334.69999000000001"/>
    <d v="2019-11-05T00:00:00"/>
    <s v="005-00000103"/>
    <n v="960.76800000000003"/>
    <n v="0"/>
    <n v="0"/>
    <n v="121.495"/>
    <n v="0"/>
    <n v="30.150000000000002"/>
    <n v="140.70000000000002"/>
    <n v="0"/>
    <n v="292.34500000000003"/>
    <n v="668.423"/>
    <n v="0.69571738442579267"/>
    <s v="RIMAC"/>
    <s v="LEVE"/>
    <s v="Noviembre"/>
    <n v="2019"/>
    <n v="8"/>
    <n v="1"/>
    <d v="2019-10-28T00:00:00"/>
    <s v="C4A-237"/>
    <s v="KIA"/>
    <s v="RIO"/>
    <s v="RIMAC SEGUROS  Y REASEGUROS S.A"/>
  </r>
  <r>
    <x v="7"/>
    <s v="FAC"/>
    <s v="005"/>
    <s v="00000024"/>
    <x v="15"/>
    <s v="ANE445"/>
    <d v="2019-10-14T00:00:00"/>
    <s v="20100041953"/>
    <s v="RIMAC SEGUROS  Y REASEGUROS S.A"/>
    <s v="320001"/>
    <s v="REPUESTOS"/>
    <s v="000"/>
    <s v="001"/>
    <s v="CONTADO"/>
    <s v="002"/>
    <s v="REPUESTOS"/>
    <s v="$"/>
    <n v="3.3469999000000001"/>
    <n v="1"/>
    <n v="0"/>
    <n v="0"/>
    <n v="0"/>
    <n v="0"/>
    <n v="0"/>
    <d v="2019-11-06T00:00:00"/>
    <s v="005-00000098"/>
    <n v="1008.378"/>
    <n v="0"/>
    <n v="0"/>
    <n v="76.27"/>
    <n v="0"/>
    <n v="60.300000000000004"/>
    <n v="211.05"/>
    <n v="0"/>
    <n v="347.62"/>
    <n v="660.75800000000004"/>
    <n v="0.65526816332764104"/>
    <s v="RIMAC"/>
    <s v="LEVE"/>
    <s v="Noviembre"/>
    <n v="2019"/>
    <n v="12"/>
    <n v="1"/>
    <d v="2019-10-25T00:00:00"/>
    <s v="A1M-006"/>
    <s v="MINI"/>
    <s v="COOPER"/>
    <s v="PATRON JORGE RICARDO GALLEGOS RIZO"/>
  </r>
  <r>
    <x v="7"/>
    <s v="FAC"/>
    <s v="005"/>
    <s v="00000025"/>
    <x v="16"/>
    <s v="AHY439"/>
    <d v="2019-10-03T00:00:00"/>
    <s v="20100041953"/>
    <s v="RIMAC SEGUROS  Y REASEGUROS S.A"/>
    <s v="1302020001"/>
    <s v="PINTURA"/>
    <s v="000"/>
    <s v="001"/>
    <s v="CONTADO"/>
    <s v="009"/>
    <s v="PINTURA"/>
    <s v="$"/>
    <n v="3.3469999000000001"/>
    <n v="1"/>
    <n v="73.754203999999987"/>
    <n v="73.754203999999987"/>
    <n v="13.275795000000016"/>
    <n v="87.029999000000004"/>
    <n v="246.85531341257956"/>
    <d v="2019-11-06T00:00:00"/>
    <s v="005-00000069"/>
    <n v="9335.7542099999991"/>
    <n v="2408.4089485200006"/>
    <n v="59.32"/>
    <n v="377.09288135593215"/>
    <n v="244.96875"/>
    <n v="527.625"/>
    <n v="1125.6000000000001"/>
    <n v="0"/>
    <n v="4743.0155798759333"/>
    <n v="4592.7386301240658"/>
    <n v="0.49195153672796471"/>
    <s v="ACCESO"/>
    <s v="GRAVE"/>
    <s v="Noviembre"/>
    <n v="2019"/>
    <n v="16"/>
    <n v="1"/>
    <d v="2019-10-21T00:00:00"/>
    <s v="ARP-079"/>
    <s v="HYUNDAY"/>
    <s v="ACCENT"/>
    <s v="EDPYME ACCESO CREDITICIO SOCIEDAD ANONIMA"/>
  </r>
  <r>
    <x v="7"/>
    <s v="FAC"/>
    <s v="005"/>
    <s v="00000025"/>
    <x v="16"/>
    <s v="AHY439"/>
    <d v="2019-10-03T00:00:00"/>
    <s v="20100041953"/>
    <s v="RIMAC SEGUROS  Y REASEGUROS S.A"/>
    <s v="1201020001"/>
    <s v="PLANCHADO"/>
    <s v="000"/>
    <s v="001"/>
    <s v="CONTADO"/>
    <s v="001"/>
    <s v="PLANCHADO"/>
    <s v="$"/>
    <n v="3.3469999000000001"/>
    <n v="1"/>
    <n v="22.5"/>
    <n v="22.5"/>
    <n v="4.0499990000000023"/>
    <n v="26.549999000000003"/>
    <n v="75.30749775000001"/>
    <d v="2019-11-06T00:00:00"/>
    <s v="005-00000050"/>
    <n v="9592.2542099999991"/>
    <n v="2494.3001243000003"/>
    <n v="0"/>
    <n v="406.86237288135595"/>
    <n v="350.49375000000003"/>
    <n v="572.85"/>
    <n v="1301.4750000000001"/>
    <n v="0"/>
    <n v="5125.9812471813566"/>
    <n v="4466.2729628186426"/>
    <n v="0.46561244781883682"/>
    <s v="ACCESO"/>
    <s v="GRAVE"/>
    <s v="Noviembre"/>
    <n v="2019"/>
    <n v="21"/>
    <n v="1"/>
    <d v="2019-10-16T00:00:00"/>
    <s v="AMJ-333"/>
    <s v="CHEVROLET"/>
    <s v="SAIL"/>
    <s v="EDPYME ACCESO CREDITICIO SOCIEDAD ANONIMA"/>
  </r>
  <r>
    <x v="7"/>
    <s v="FAC"/>
    <s v="005"/>
    <s v="00000025"/>
    <x v="16"/>
    <s v="AHY439"/>
    <d v="2019-10-03T00:00:00"/>
    <s v="20100041953"/>
    <s v="RIMAC SEGUROS  Y REASEGUROS S.A"/>
    <s v="2908010001"/>
    <s v="TERCEROS"/>
    <s v="000"/>
    <s v="001"/>
    <s v="CONTADO"/>
    <s v="002"/>
    <s v="TERCEROS"/>
    <s v="$"/>
    <n v="3.3469999000000001"/>
    <n v="1"/>
    <n v="45"/>
    <n v="45"/>
    <n v="8.0999980000000047"/>
    <n v="53.099998000000006"/>
    <n v="150.61499550000002"/>
    <d v="2019-11-06T00:00:00"/>
    <s v="005-00000085"/>
    <n v="3941.2542100000001"/>
    <n v="743.90671470000007"/>
    <n v="0"/>
    <n v="16.949152542372882"/>
    <n v="139.44374999999999"/>
    <n v="180.9"/>
    <n v="879.375"/>
    <n v="0"/>
    <n v="1960.5746172423731"/>
    <n v="1980.679592757627"/>
    <n v="0.50255058091206628"/>
    <s v="ACCESO"/>
    <s v="MEDIANO"/>
    <s v="Noviembre"/>
    <n v="2019"/>
    <n v="14"/>
    <n v="1"/>
    <d v="2019-10-23T00:00:00"/>
    <s v="BDS-657"/>
    <s v="CHEVROLET"/>
    <s v="SAIL"/>
    <s v="EDPYME ACCESO CREDITICIO SOCIEDAD ANONIMA"/>
  </r>
  <r>
    <x v="7"/>
    <s v="FAC"/>
    <s v="005"/>
    <s v="00000025"/>
    <x v="16"/>
    <s v="AHY439"/>
    <d v="2019-10-03T00:00:00"/>
    <s v="20100041953"/>
    <s v="RIMAC SEGUROS  Y REASEGUROS S.A"/>
    <s v="310120"/>
    <s v="FRANQUICIA"/>
    <s v="000"/>
    <s v="001"/>
    <s v="CONTADO"/>
    <s v="002"/>
    <s v="FRANQUICIA"/>
    <s v="$"/>
    <n v="3.3469999000000001"/>
    <n v="-1"/>
    <n v="100"/>
    <n v="-100"/>
    <n v="-18"/>
    <n v="-118"/>
    <n v="-334.69999000000001"/>
    <d v="2019-11-06T00:00:00"/>
    <s v="005-00000090"/>
    <n v="8121.2542100000001"/>
    <n v="1140.5525563000001"/>
    <n v="25.423728813559322"/>
    <n v="164.69491525423729"/>
    <n v="305.26875000000001"/>
    <n v="301.5"/>
    <n v="1020.075"/>
    <n v="0"/>
    <n v="2957.5149503677967"/>
    <n v="5163.7392596322034"/>
    <n v="0.6358302703139006"/>
    <s v="ACCESO"/>
    <s v="GRAVE"/>
    <s v="Noviembre"/>
    <n v="2019"/>
    <n v="13"/>
    <n v="1"/>
    <d v="2019-10-24T00:00:00"/>
    <s v="ARI-452"/>
    <s v="KIA"/>
    <s v="RIO"/>
    <s v="EDPYME ACCESO CREDITICIO SOCIEDAD ANONIMA"/>
  </r>
  <r>
    <x v="7"/>
    <s v="FAC"/>
    <s v="005"/>
    <s v="00000025"/>
    <x v="16"/>
    <s v="AHY439"/>
    <d v="2019-10-03T00:00:00"/>
    <s v="20100041953"/>
    <s v="RIMAC SEGUROS  Y REASEGUROS S.A"/>
    <s v="320001"/>
    <s v="REPUESTOS"/>
    <s v="000"/>
    <s v="001"/>
    <s v="CONTADO"/>
    <s v="002"/>
    <s v="REPUESTOS"/>
    <s v="$"/>
    <n v="3.3469999000000001"/>
    <n v="1"/>
    <n v="0"/>
    <n v="0"/>
    <n v="0"/>
    <n v="0"/>
    <n v="0"/>
    <d v="2019-11-07T00:00:00"/>
    <s v="005-00000046"/>
    <n v="7232.7542100000001"/>
    <n v="2267.7121939000003"/>
    <n v="177.96610169491527"/>
    <n v="118.26372881355931"/>
    <n v="139.44374999999999"/>
    <n v="165.82500000000002"/>
    <n v="633.15"/>
    <n v="0"/>
    <n v="3502.3607744084748"/>
    <n v="3730.3934355915253"/>
    <n v="0.51576388845536691"/>
    <s v="ACCESO"/>
    <s v="MEDIANO"/>
    <s v="Noviembre"/>
    <n v="2019"/>
    <n v="22"/>
    <n v="1"/>
    <d v="2019-10-16T00:00:00"/>
    <s v="BEV-036"/>
    <s v="CHEVROLET"/>
    <s v="COBALT"/>
    <s v="EDPYME ACCESO CREDITICIO SOCIEDAD ANONIMA"/>
  </r>
  <r>
    <x v="8"/>
    <s v="FAC"/>
    <s v="005"/>
    <s v="00000026"/>
    <x v="17"/>
    <s v="C7U194"/>
    <d v="2019-10-09T00:00:00"/>
    <s v="20602003346"/>
    <s v="FAST ENGENHARIA E MONTAGENS SA"/>
    <s v="1302020001"/>
    <s v="PINTURA"/>
    <s v="000"/>
    <s v="001"/>
    <s v="CONTADO"/>
    <s v="009"/>
    <s v="PINTURA"/>
    <s v="$"/>
    <n v="3.3469999000000001"/>
    <n v="1"/>
    <n v="195"/>
    <n v="195"/>
    <n v="35.100010000000005"/>
    <n v="230.10001"/>
    <n v="652.66498050000007"/>
    <d v="2019-11-07T00:00:00"/>
    <s v="005-00000111"/>
    <n v="2358.7460705999997"/>
    <n v="0"/>
    <n v="0"/>
    <n v="106.42"/>
    <n v="0"/>
    <n v="301.5"/>
    <n v="281.40000000000003"/>
    <n v="0"/>
    <n v="689.32"/>
    <n v="1669.4260705999995"/>
    <n v="0.70775997951120861"/>
    <s v="RIMAC"/>
    <s v="GRAVE"/>
    <s v="Noviembre"/>
    <n v="2019"/>
    <n v="9"/>
    <n v="1"/>
    <d v="2019-10-29T00:00:00"/>
    <s v="ARV-341"/>
    <s v="HYUNDAY"/>
    <s v="ELANTRA"/>
    <s v="RIMAC SEGUROS  Y REASEGUROS S.A"/>
  </r>
  <r>
    <x v="8"/>
    <s v="FAC"/>
    <s v="005"/>
    <s v="00000026"/>
    <x v="17"/>
    <s v="C7U194"/>
    <d v="2019-10-09T00:00:00"/>
    <s v="20602003346"/>
    <s v="FAST ENGENHARIA E MONTAGENS SA"/>
    <s v="1201020001"/>
    <s v="PLANCHADO"/>
    <s v="000"/>
    <s v="001"/>
    <s v="CONTADO"/>
    <s v="001"/>
    <s v="PLANCHADO"/>
    <s v="$"/>
    <n v="3.3469999000000001"/>
    <n v="1"/>
    <n v="33.754199999999997"/>
    <n v="33.754199999999997"/>
    <n v="6.075802000000003"/>
    <n v="39.830002"/>
    <n v="112.97530402458"/>
    <d v="2019-11-08T00:00:00"/>
    <s v="005-00000146"/>
    <n v="1012.7127990000001"/>
    <n v="0"/>
    <n v="0"/>
    <n v="0"/>
    <n v="0"/>
    <n v="90.45"/>
    <n v="140.70000000000002"/>
    <n v="0"/>
    <n v="231.15000000000003"/>
    <n v="781.56279900000004"/>
    <n v="0.77175167507683484"/>
    <s v="RIMAC"/>
    <s v="LEVE"/>
    <s v="Noviembre"/>
    <n v="2019"/>
    <n v="2"/>
    <n v="1"/>
    <d v="2019-11-06T00:00:00"/>
    <s v="BKP-647"/>
    <s v="TOYOTA"/>
    <s v="AVANZA"/>
    <s v="JUAN SMITH ORTIZ ORTIZ"/>
  </r>
  <r>
    <x v="8"/>
    <s v="FAC"/>
    <s v="005"/>
    <s v="00000026"/>
    <x v="17"/>
    <s v="C7U194"/>
    <d v="2019-10-09T00:00:00"/>
    <s v="20602003346"/>
    <s v="FAST ENGENHARIA E MONTAGENS SA"/>
    <s v="2908010001"/>
    <s v="TERCEROS"/>
    <s v="000"/>
    <s v="001"/>
    <s v="CONTADO"/>
    <s v="002"/>
    <s v="TERCEROS"/>
    <s v="$"/>
    <n v="3.3469999000000001"/>
    <n v="1"/>
    <n v="25"/>
    <n v="25"/>
    <n v="4.5"/>
    <n v="29.5"/>
    <n v="83.674997500000003"/>
    <d v="2019-11-08T00:00:00"/>
    <s v="005-00000147"/>
    <n v="669.02842915500003"/>
    <n v="0"/>
    <n v="0"/>
    <n v="0"/>
    <n v="0"/>
    <n v="0"/>
    <n v="0"/>
    <n v="0"/>
    <n v="0"/>
    <n v="669.02842915500003"/>
    <n v="1"/>
    <s v="C.C"/>
    <s v="LEVE"/>
    <s v="Noviembre"/>
    <n v="2019"/>
    <n v="2"/>
    <n v="1"/>
    <d v="2019-11-06T00:00:00"/>
    <s v="BKP647"/>
    <s v="TOYOTA"/>
    <s v="AVANZA"/>
    <s v="JUAN SMITH ORTIZ ORTIZ"/>
  </r>
  <r>
    <x v="8"/>
    <s v="FAC"/>
    <s v="005"/>
    <s v="00000026"/>
    <x v="17"/>
    <s v="C7U194"/>
    <d v="2019-10-09T00:00:00"/>
    <s v="20602003346"/>
    <s v="FAST ENGENHARIA E MONTAGENS SA"/>
    <s v="2805010001"/>
    <s v="SERVICIOS"/>
    <s v="000"/>
    <s v="001"/>
    <s v="CONTADO"/>
    <s v="002"/>
    <s v="MECANICA"/>
    <s v="$"/>
    <n v="3.3469999000000001"/>
    <n v="1"/>
    <n v="15"/>
    <n v="15"/>
    <n v="2.7000009999999999"/>
    <n v="17.700001"/>
    <n v="50.204998500000002"/>
    <d v="2019-11-08T00:00:00"/>
    <s v="005-00000095"/>
    <n v="1214.2350000000001"/>
    <n v="0"/>
    <n v="0"/>
    <n v="76.27"/>
    <n v="0"/>
    <n v="120.60000000000001"/>
    <n v="140.70000000000002"/>
    <n v="0"/>
    <n v="337.57000000000005"/>
    <n v="876.66500000000008"/>
    <n v="0.7219895654465569"/>
    <s v="RIMAC"/>
    <s v="MEDIANO"/>
    <s v="Noviembre"/>
    <n v="2019"/>
    <n v="14"/>
    <n v="1"/>
    <d v="2019-10-25T00:00:00"/>
    <s v="ASK-203"/>
    <s v="MAZDA"/>
    <s v="CX3"/>
    <s v="RIMAC SEGUROS  Y REASEGUROS S.A"/>
  </r>
  <r>
    <x v="8"/>
    <s v="FAC"/>
    <s v="005"/>
    <s v="00000026"/>
    <x v="17"/>
    <s v="C7U194"/>
    <d v="2019-10-09T00:00:00"/>
    <s v="20602003346"/>
    <s v="FAST ENGENHARIA E MONTAGENS SA"/>
    <s v="310255"/>
    <s v="DESCUENTO"/>
    <s v="000"/>
    <s v="001"/>
    <s v="CONTADO"/>
    <s v="002"/>
    <s v="FRANQUICIA"/>
    <s v="$"/>
    <n v="3.3469999000000001"/>
    <n v="-1"/>
    <n v="28.728800000000007"/>
    <n v="-28.728800000000007"/>
    <n v="-5.1712019999999939"/>
    <n v="-33.900002000000001"/>
    <n v="-96.155290727120033"/>
    <d v="2019-11-09T00:00:00"/>
    <s v="005-00000089"/>
    <n v="8653.0084100000004"/>
    <n v="2320.8552497199998"/>
    <n v="504.66254237288098"/>
    <n v="302.95"/>
    <n v="244.96875"/>
    <n v="542.70000000000005"/>
    <n v="1195.95"/>
    <n v="0"/>
    <n v="5112.0865420928803"/>
    <n v="3540.92186790712"/>
    <n v="0.40921280786171338"/>
    <s v="ACCESO"/>
    <s v="GRAVE"/>
    <s v="Noviembre"/>
    <n v="2019"/>
    <n v="16"/>
    <n v="1"/>
    <d v="2019-10-24T00:00:00"/>
    <s v="APB-579"/>
    <s v="HYUNDAY"/>
    <s v="ACCENT"/>
    <s v="EDPYME ACCESO CREDITICIO SOCIEDAD ANONIMA"/>
  </r>
  <r>
    <x v="8"/>
    <s v="FAC"/>
    <s v="005"/>
    <s v="00000027"/>
    <x v="18"/>
    <s v="BBH363"/>
    <d v="2019-10-09T00:00:00"/>
    <s v="20547583168"/>
    <s v="AUTOCLASS S.A.C."/>
    <s v="1302020001"/>
    <s v="PINTURA"/>
    <s v="000"/>
    <s v="001"/>
    <s v="CONTADO"/>
    <s v="009"/>
    <s v="PINTURA"/>
    <s v="S/."/>
    <n v="3.3469999000000001"/>
    <n v="1"/>
    <n v="1113.7542000000003"/>
    <n v="1113.7542000000001"/>
    <n v="200.47579999999974"/>
    <n v="1314.23"/>
    <n v="1113.7542000000001"/>
    <d v="2019-11-09T00:00:00"/>
    <s v="005-00000100"/>
    <n v="298.41699110000002"/>
    <n v="0"/>
    <n v="0"/>
    <n v="0"/>
    <n v="0"/>
    <n v="15.075000000000001"/>
    <n v="0"/>
    <n v="0"/>
    <n v="15.075000000000001"/>
    <n v="283.34199110000003"/>
    <n v="0.94948343945017422"/>
    <s v="RIMAC"/>
    <s v="LEVE"/>
    <s v="Noviembre"/>
    <n v="2019"/>
    <n v="14"/>
    <n v="1"/>
    <d v="2019-10-26T00:00:00"/>
    <s v="BKX-624"/>
    <s v="MAZDA"/>
    <s v="CX3"/>
    <s v="RIMAC SEGUROS  Y REASEGUROS S.A"/>
  </r>
  <r>
    <x v="8"/>
    <s v="FAC"/>
    <s v="005"/>
    <s v="00000027"/>
    <x v="18"/>
    <s v="BBH363"/>
    <d v="2019-10-09T00:00:00"/>
    <s v="20547583168"/>
    <s v="AUTOCLASS S.A.C."/>
    <s v="1201020001"/>
    <s v="PLANCHADO"/>
    <s v="000"/>
    <s v="001"/>
    <s v="CONTADO"/>
    <s v="001"/>
    <s v="PLANCHADO"/>
    <s v="S/."/>
    <n v="3.3469999000000001"/>
    <n v="1"/>
    <n v="350"/>
    <n v="350"/>
    <n v="63"/>
    <n v="413"/>
    <n v="350"/>
    <d v="2019-11-09T00:00:00"/>
    <s v="005-00000134"/>
    <n v="217.12082612457999"/>
    <n v="0"/>
    <n v="0"/>
    <n v="0"/>
    <n v="0"/>
    <n v="0"/>
    <n v="0"/>
    <n v="0"/>
    <n v="0"/>
    <n v="217.12082612457999"/>
    <n v="1"/>
    <s v="C.C"/>
    <s v="LEVE"/>
    <s v="Noviembre"/>
    <n v="2019"/>
    <n v="5"/>
    <n v="1"/>
    <d v="2019-11-04T00:00:00"/>
    <s v="BKX624"/>
    <s v="MAZDA"/>
    <s v="CX3"/>
    <s v="RENTAEQUIPOS LEASING PERU S.A."/>
  </r>
  <r>
    <x v="8"/>
    <s v="FAC"/>
    <s v="005"/>
    <s v="00000027"/>
    <x v="18"/>
    <s v="BBH363"/>
    <d v="2019-10-09T00:00:00"/>
    <s v="20547583168"/>
    <s v="AUTOCLASS S.A.C."/>
    <s v="2908010001"/>
    <s v="TERCEROS"/>
    <s v="000"/>
    <s v="001"/>
    <s v="CONTADO"/>
    <s v="002"/>
    <s v="TERCEROS"/>
    <s v="S/."/>
    <n v="3.3469999000000001"/>
    <n v="1"/>
    <n v="230"/>
    <n v="230"/>
    <n v="41.39998999999996"/>
    <n v="271.39998999999995"/>
    <n v="230"/>
    <d v="2019-11-11T00:00:00"/>
    <s v="005-00000110"/>
    <n v="796.33747625000001"/>
    <n v="0"/>
    <n v="0"/>
    <n v="0"/>
    <n v="0"/>
    <n v="60.300000000000004"/>
    <n v="175.875"/>
    <n v="0"/>
    <n v="236.17500000000001"/>
    <n v="560.16247625000005"/>
    <n v="0.70342347680011008"/>
    <s v="RIMAC"/>
    <s v="LEVE"/>
    <s v="Noviembre"/>
    <n v="2019"/>
    <n v="14"/>
    <n v="1"/>
    <d v="2019-10-28T00:00:00"/>
    <s v="ANJ-035"/>
    <s v="RENAULT"/>
    <s v="LOGAN"/>
    <s v="RENTAEQUIPOS LEASING PERU S.A."/>
  </r>
  <r>
    <x v="8"/>
    <s v="FAC"/>
    <s v="005"/>
    <s v="00000027"/>
    <x v="18"/>
    <s v="BBH363"/>
    <d v="2019-10-09T00:00:00"/>
    <s v="20547583168"/>
    <s v="AUTOCLASS S.A.C."/>
    <s v="2805010001"/>
    <s v="SERVICIOS"/>
    <s v="000"/>
    <s v="001"/>
    <s v="CONTADO"/>
    <s v="002"/>
    <s v="MECANICA"/>
    <s v="S/."/>
    <n v="3.3469999000000001"/>
    <n v="1"/>
    <n v="250"/>
    <n v="250"/>
    <n v="45"/>
    <n v="295"/>
    <n v="250"/>
    <d v="2019-11-11T00:00:00"/>
    <s v="005-00000118"/>
    <n v="466.06698610000001"/>
    <n v="0"/>
    <n v="0"/>
    <n v="50.25"/>
    <n v="0"/>
    <n v="15.075000000000001"/>
    <n v="70.350000000000009"/>
    <n v="0"/>
    <n v="135.67500000000001"/>
    <n v="330.3919861"/>
    <n v="0.70889377697546385"/>
    <s v="RIMAC"/>
    <s v="LEVE"/>
    <s v="Noviembre"/>
    <n v="2019"/>
    <n v="13"/>
    <n v="1"/>
    <d v="2019-10-29T00:00:00"/>
    <s v="ANE-312"/>
    <s v="RENAULT"/>
    <s v="LOGAN"/>
    <s v="RIMAC SEGUROS  Y REASEGUROS S.A"/>
  </r>
  <r>
    <x v="8"/>
    <s v="FAC"/>
    <s v="005"/>
    <s v="00000027"/>
    <x v="18"/>
    <s v="BBH363"/>
    <d v="2019-10-09T00:00:00"/>
    <s v="20547583168"/>
    <s v="AUTOCLASS S.A.C."/>
    <s v="320001"/>
    <s v="REPUESTOS"/>
    <s v="000"/>
    <s v="001"/>
    <s v="CONTADO"/>
    <s v="002"/>
    <s v="REPUESTOS"/>
    <s v="S/."/>
    <n v="3.3469999000000001"/>
    <n v="1"/>
    <n v="224"/>
    <n v="224"/>
    <n v="40.320010000000039"/>
    <n v="264.32001000000002"/>
    <n v="224"/>
    <d v="2019-11-11T00:00:00"/>
    <s v="005-00000115"/>
    <n v="423.33033338657947"/>
    <n v="0"/>
    <n v="0"/>
    <n v="15.075000000000001"/>
    <n v="0"/>
    <n v="30.150000000000002"/>
    <n v="70.350000000000009"/>
    <n v="0"/>
    <n v="115.57500000000002"/>
    <n v="307.75533338657942"/>
    <n v="0.72698625426763708"/>
    <s v="RIMAC"/>
    <s v="LEVE"/>
    <s v="Noviembre"/>
    <n v="2019"/>
    <n v="13"/>
    <n v="1"/>
    <d v="2019-10-29T00:00:00"/>
    <s v="AWV-260"/>
    <s v="MAZDA"/>
    <s v="CX9"/>
    <s v="RENTAEQUIPOS LEASING PERU S.A."/>
  </r>
  <r>
    <x v="9"/>
    <s v="FAC"/>
    <s v="005"/>
    <s v="00000028"/>
    <x v="19"/>
    <s v="AUK009"/>
    <d v="2019-10-05T00:00:00"/>
    <s v="20547583168"/>
    <s v="AUTOCLASS S.A.C."/>
    <s v="1302020001"/>
    <s v="PINTURA"/>
    <s v="000"/>
    <s v="001"/>
    <s v="CONTADO"/>
    <s v="009"/>
    <s v="PINTURA"/>
    <s v="S/."/>
    <n v="3.3420000000000001"/>
    <n v="1"/>
    <n v="1485"/>
    <n v="1485"/>
    <n v="267.3"/>
    <n v="1752.3"/>
    <n v="1485"/>
    <d v="2019-11-11T00:00:00"/>
    <s v="005-00000116"/>
    <n v="3727.7117549545787"/>
    <n v="0"/>
    <n v="0"/>
    <n v="0"/>
    <n v="0"/>
    <n v="180.9"/>
    <n v="756.26250000000005"/>
    <n v="0"/>
    <n v="937.16250000000002"/>
    <n v="2790.5492549545788"/>
    <n v="0.74859577091646157"/>
    <s v="C.C"/>
    <s v="LEVE"/>
    <s v="Noviembre"/>
    <n v="2019"/>
    <n v="13"/>
    <n v="1"/>
    <d v="2019-10-29T00:00:00"/>
    <s v="ATF-409"/>
    <s v="BWM"/>
    <s v="520I"/>
    <s v="RENTAEQUIPOS LEASING PERU S.A."/>
  </r>
  <r>
    <x v="9"/>
    <s v="FAC"/>
    <s v="005"/>
    <s v="00000028"/>
    <x v="19"/>
    <s v="AUK009"/>
    <d v="2019-10-05T00:00:00"/>
    <s v="20547583168"/>
    <s v="AUTOCLASS S.A.C."/>
    <s v="1201020001"/>
    <s v="PLANCHADO"/>
    <s v="000"/>
    <s v="001"/>
    <s v="CONTADO"/>
    <s v="001"/>
    <s v="PLANCHADO"/>
    <s v="S/."/>
    <n v="3.3420000000000001"/>
    <n v="1"/>
    <n v="560"/>
    <n v="560"/>
    <n v="100.79998999999997"/>
    <n v="660.79998999999998"/>
    <n v="560"/>
    <d v="2019-11-12T00:00:00"/>
    <s v="005-00000160"/>
    <n v="520"/>
    <n v="259.91320001999998"/>
    <n v="0"/>
    <n v="20.34"/>
    <n v="40.250250000000001"/>
    <n v="0"/>
    <n v="0"/>
    <n v="0"/>
    <n v="320.50345001999995"/>
    <n v="199.49654998000005"/>
    <n v="0.38364721150000008"/>
    <s v="C.C"/>
    <s v="MECANICA"/>
    <s v="Noviembre"/>
    <n v="2019"/>
    <n v="5"/>
    <n v="1"/>
    <d v="2019-11-07T00:00:00"/>
    <s v="AHQ-605"/>
    <s v="FORD"/>
    <s v="EXPLORER"/>
    <s v="MASEDI CONTRATISTAS GENERALES SAC"/>
  </r>
  <r>
    <x v="9"/>
    <s v="FAC"/>
    <s v="005"/>
    <s v="00000028"/>
    <x v="19"/>
    <s v="AUK009"/>
    <d v="2019-10-05T00:00:00"/>
    <s v="20547583168"/>
    <s v="AUTOCLASS S.A.C."/>
    <s v="2908010001"/>
    <s v="TERCEROS"/>
    <s v="000"/>
    <s v="001"/>
    <s v="CONTADO"/>
    <s v="002"/>
    <s v="TERCEROS"/>
    <s v="S/."/>
    <n v="3.3420000000000001"/>
    <n v="1"/>
    <n v="140"/>
    <n v="140"/>
    <n v="25.2"/>
    <n v="165.2"/>
    <n v="140"/>
    <d v="2019-11-12T00:00:00"/>
    <s v="005-00000173"/>
    <n v="350"/>
    <n v="0"/>
    <n v="0"/>
    <n v="0"/>
    <n v="15.075000000000001"/>
    <n v="0"/>
    <n v="0"/>
    <n v="0"/>
    <n v="15.075000000000001"/>
    <n v="334.92500000000001"/>
    <n v="0.95692857142857146"/>
    <s v="ACCESO"/>
    <s v="MEDIANO"/>
    <s v="Noviembre"/>
    <n v="2019"/>
    <n v="0"/>
    <n v="1"/>
    <d v="2019-11-12T00:00:00"/>
    <s v="APB-579"/>
    <s v="HYUNDAI"/>
    <s v="ACCENT"/>
    <s v="EDPYME ACCESO CREDITICIO SOCIEDAD ANONIMA"/>
  </r>
  <r>
    <x v="9"/>
    <s v="FAC"/>
    <s v="005"/>
    <s v="00000028"/>
    <x v="19"/>
    <s v="AUK009"/>
    <d v="2019-10-05T00:00:00"/>
    <s v="20547583168"/>
    <s v="AUTOCLASS S.A.C."/>
    <s v="2805010001"/>
    <s v="SERVICIOS"/>
    <s v="000"/>
    <s v="001"/>
    <s v="CONTADO"/>
    <s v="002"/>
    <s v="MECANICA"/>
    <s v="S/."/>
    <n v="3.3420000000000001"/>
    <n v="1"/>
    <n v="255"/>
    <n v="255"/>
    <n v="45.89998999999996"/>
    <n v="300.89998999999995"/>
    <n v="255"/>
    <d v="2019-11-12T00:00:00"/>
    <s v="005-00000048"/>
    <n v="10169.50841"/>
    <n v="2652.2064507200002"/>
    <n v="0"/>
    <n v="120"/>
    <n v="124.36875000000001"/>
    <n v="1055.25"/>
    <n v="1266.3"/>
    <n v="0"/>
    <n v="5218.1252007200001"/>
    <n v="4951.3832092800003"/>
    <n v="0.48688520719557576"/>
    <s v="ACCESO"/>
    <s v="GRAVE"/>
    <s v="Noviembre"/>
    <n v="2019"/>
    <n v="27"/>
    <n v="1"/>
    <d v="2019-10-16T00:00:00"/>
    <s v="AKZ-422"/>
    <s v="HYUNDAY"/>
    <s v="ACCENT"/>
    <s v="EDPYME ACCESO CREDITICIO SOCIEDAD ANONIMA"/>
  </r>
  <r>
    <x v="9"/>
    <s v="FAC"/>
    <s v="005"/>
    <s v="00000028"/>
    <x v="19"/>
    <s v="AUK009"/>
    <d v="2019-10-05T00:00:00"/>
    <s v="20547583168"/>
    <s v="AUTOCLASS S.A.C."/>
    <s v="320001"/>
    <s v="REPUESTOS"/>
    <s v="000"/>
    <s v="001"/>
    <s v="CONTADO"/>
    <s v="002"/>
    <s v="REPUESTOS"/>
    <s v="S/."/>
    <n v="3.3420000000000001"/>
    <n v="1"/>
    <n v="2732"/>
    <n v="2732"/>
    <n v="491.76"/>
    <n v="3223.76"/>
    <n v="2732"/>
    <d v="2019-11-12T00:00:00"/>
    <s v="005-00000162"/>
    <n v="315"/>
    <n v="97.930245999999997"/>
    <n v="0"/>
    <n v="0"/>
    <n v="45.225000000000001"/>
    <n v="0"/>
    <n v="0"/>
    <n v="0"/>
    <n v="143.15524600000001"/>
    <n v="171.84475399999999"/>
    <n v="0.54553890158730156"/>
    <s v="ACCESO"/>
    <s v="MEDIANO"/>
    <s v="Noviembre"/>
    <n v="2019"/>
    <n v="4"/>
    <n v="1"/>
    <d v="2019-11-08T00:00:00"/>
    <s v="F0S-053"/>
    <s v="NISSAN"/>
    <s v="SENTRA"/>
    <s v="EDPYME ACCESO CREDITICIO SOCIEDAD ANONIMA"/>
  </r>
  <r>
    <x v="9"/>
    <s v="FAC"/>
    <s v="005"/>
    <s v="00000029"/>
    <x v="20"/>
    <s v="B5M803"/>
    <d v="2019-10-14T00:00:00"/>
    <s v="20473938929"/>
    <s v="INDURA PERU S.A."/>
    <s v="1201020001"/>
    <s v="PLANCHADO"/>
    <s v="000"/>
    <s v="005"/>
    <s v="FACTURA A 30 DIAS"/>
    <s v="001"/>
    <s v="PLANCHADO"/>
    <s v="S/."/>
    <n v="3.3420000000000001"/>
    <n v="1"/>
    <n v="60"/>
    <n v="60"/>
    <n v="10.800002999999997"/>
    <n v="70.800003000000004"/>
    <n v="60"/>
    <d v="2019-11-12T00:00:00"/>
    <s v="005-00000113"/>
    <n v="2488.533236415421"/>
    <n v="0"/>
    <n v="0"/>
    <n v="99.825000000000003"/>
    <n v="0"/>
    <n v="271.35000000000002"/>
    <n v="369.33750000000003"/>
    <n v="0"/>
    <n v="740.51250000000005"/>
    <n v="1748.020736415421"/>
    <n v="0.70243013468180049"/>
    <s v="RIMAC"/>
    <s v="GRAVE"/>
    <s v="Noviembre"/>
    <n v="2019"/>
    <n v="14"/>
    <n v="1"/>
    <d v="2019-10-29T00:00:00"/>
    <s v="BEJ-174"/>
    <s v="WOLKWAGEN"/>
    <s v="GOL"/>
    <s v="RIMAC SEGUROS  Y REASEGUROS S.A"/>
  </r>
  <r>
    <x v="9"/>
    <s v="FAC"/>
    <s v="005"/>
    <s v="00000029"/>
    <x v="20"/>
    <s v="B5M803"/>
    <d v="2019-10-14T00:00:00"/>
    <s v="20473938929"/>
    <s v="INDURA PERU S.A."/>
    <s v="2908010001"/>
    <s v="TERCEROS"/>
    <s v="000"/>
    <s v="005"/>
    <s v="FACTURA A 30 DIAS"/>
    <s v="002"/>
    <s v="TERCEROS"/>
    <s v="S/."/>
    <n v="3.3420000000000001"/>
    <n v="1"/>
    <n v="320"/>
    <n v="320"/>
    <n v="57.600009999999891"/>
    <n v="377.60000999999988"/>
    <n v="320"/>
    <d v="2019-11-12T00:00:00"/>
    <s v="005-00000130"/>
    <n v="299.39600890000003"/>
    <n v="0"/>
    <n v="0"/>
    <n v="0"/>
    <n v="0"/>
    <n v="22.612500000000001"/>
    <n v="70.350000000000009"/>
    <n v="0"/>
    <n v="92.962500000000006"/>
    <n v="206.43350890000002"/>
    <n v="0.68949986894765181"/>
    <s v="ACCESO"/>
    <s v="LEVE"/>
    <s v="Noviembre"/>
    <n v="2019"/>
    <n v="8"/>
    <n v="1"/>
    <d v="2019-11-04T00:00:00"/>
    <s v="C4W-101"/>
    <s v="CHEVROLET"/>
    <s v="CRUZE"/>
    <s v="RIMAC SEGUROS  Y REASEGUROS S.A"/>
  </r>
  <r>
    <x v="9"/>
    <s v="FAC"/>
    <s v="005"/>
    <s v="00000029"/>
    <x v="20"/>
    <s v="B5M803"/>
    <d v="2019-10-14T00:00:00"/>
    <s v="20473938929"/>
    <s v="INDURA PERU S.A."/>
    <s v="2805010001"/>
    <s v="SERVICIOS"/>
    <s v="000"/>
    <s v="005"/>
    <s v="FACTURA A 30 DIAS"/>
    <s v="002"/>
    <s v="MECANICA"/>
    <s v="S/."/>
    <n v="3.3420000000000001"/>
    <n v="1"/>
    <n v="300"/>
    <n v="300"/>
    <n v="54"/>
    <n v="354"/>
    <n v="300"/>
    <d v="2019-11-12T00:00:00"/>
    <s v="005-00000155"/>
    <n v="299.39600890000003"/>
    <n v="0"/>
    <n v="0"/>
    <n v="0"/>
    <n v="0"/>
    <n v="22.612500000000001"/>
    <n v="70.350000000000009"/>
    <n v="0"/>
    <n v="92.962500000000006"/>
    <n v="206.43350890000002"/>
    <n v="0.68949986894765181"/>
    <s v="ACCESO"/>
    <s v="LEVE"/>
    <s v="Noviembre"/>
    <n v="2019"/>
    <n v="6"/>
    <n v="1"/>
    <d v="2019-11-06T00:00:00"/>
    <s v="C4W-101"/>
    <s v="CHEVROLET"/>
    <s v="CRUZE"/>
    <s v="RIMAC SEGUROS  Y REASEGUROS S.A"/>
  </r>
  <r>
    <x v="9"/>
    <s v="FAC"/>
    <s v="005"/>
    <s v="00000029"/>
    <x v="20"/>
    <s v="B5M803"/>
    <d v="2019-10-14T00:00:00"/>
    <s v="20473938929"/>
    <s v="INDURA PERU S.A."/>
    <s v="320001"/>
    <s v="REPUESTOS"/>
    <s v="000"/>
    <s v="005"/>
    <s v="FACTURA A 30 DIAS"/>
    <s v="002"/>
    <s v="REPUESTOS"/>
    <s v="S/."/>
    <n v="3.3420000000000001"/>
    <n v="1"/>
    <n v="210"/>
    <n v="210"/>
    <n v="37.799999999999997"/>
    <n v="247.8"/>
    <n v="210"/>
    <d v="2019-11-13T00:00:00"/>
    <s v="005-00000164"/>
    <n v="725"/>
    <n v="451.82970020000005"/>
    <n v="0"/>
    <n v="0"/>
    <n v="45.225000000000001"/>
    <n v="0"/>
    <n v="0"/>
    <n v="0"/>
    <n v="497.05470020000007"/>
    <n v="227.94529979999993"/>
    <n v="0.31440731006896544"/>
    <s v="ACCESO"/>
    <s v="MEDIANO"/>
    <s v="Noviembre"/>
    <n v="2019"/>
    <n v="5"/>
    <n v="1"/>
    <d v="2019-11-08T00:00:00"/>
    <s v="F1P-230"/>
    <s v="CHEVROLET"/>
    <s v="SAIL"/>
    <s v="EDPYME ACCESO CREDITICIO SOCIEDAD ANONIMA"/>
  </r>
  <r>
    <x v="9"/>
    <s v="FAC"/>
    <s v="005"/>
    <s v="00000030"/>
    <x v="21"/>
    <s v="BEN484"/>
    <d v="2019-10-09T00:00:00"/>
    <s v="20547583168"/>
    <s v="AUTOCLASS S.A.C."/>
    <s v="1302020001"/>
    <s v="PINTURA"/>
    <s v="000"/>
    <s v="001"/>
    <s v="CONTADO"/>
    <s v="009"/>
    <s v="PINTURA"/>
    <s v="S/."/>
    <n v="3.3420000000000001"/>
    <n v="1"/>
    <n v="2025"/>
    <n v="2025"/>
    <n v="364.5"/>
    <n v="2389.5"/>
    <n v="2025"/>
    <d v="2019-11-13T00:00:00"/>
    <s v="005-00000159"/>
    <n v="427.06398734999999"/>
    <n v="0"/>
    <n v="0"/>
    <n v="0"/>
    <n v="0"/>
    <n v="30.150000000000002"/>
    <n v="70.350000000000009"/>
    <n v="0"/>
    <n v="100.50000000000001"/>
    <n v="326.56398734999999"/>
    <n v="0.76467226697428059"/>
    <s v="RIMAC"/>
    <s v="LEVE"/>
    <s v="Noviembre"/>
    <n v="2019"/>
    <n v="6"/>
    <n v="1"/>
    <d v="2019-11-07T00:00:00"/>
    <s v="AXA-172"/>
    <s v="CHEVROLET"/>
    <s v="TRAVERSE"/>
    <s v="RENTAEQUIPOS LEASING PERU S.A."/>
  </r>
  <r>
    <x v="9"/>
    <s v="FAC"/>
    <s v="005"/>
    <s v="00000030"/>
    <x v="21"/>
    <s v="BEN484"/>
    <d v="2019-10-09T00:00:00"/>
    <s v="20547583168"/>
    <s v="AUTOCLASS S.A.C."/>
    <s v="1201020001"/>
    <s v="PLANCHADO"/>
    <s v="000"/>
    <s v="001"/>
    <s v="CONTADO"/>
    <s v="001"/>
    <s v="PLANCHADO"/>
    <s v="S/."/>
    <n v="3.3420000000000001"/>
    <n v="1"/>
    <n v="840"/>
    <n v="840"/>
    <n v="151.20000999999991"/>
    <n v="991.20000999999991"/>
    <n v="840"/>
    <d v="2019-11-13T00:00:00"/>
    <s v="005-00000137"/>
    <n v="501.33598514999989"/>
    <n v="0"/>
    <n v="0"/>
    <n v="0"/>
    <n v="0"/>
    <n v="30.150000000000002"/>
    <n v="70.350000000000009"/>
    <n v="0"/>
    <n v="100.50000000000001"/>
    <n v="400.83598514999989"/>
    <n v="0.79953563482994272"/>
    <s v="RIMAC"/>
    <s v="LEVE"/>
    <s v="Noviembre"/>
    <n v="2019"/>
    <n v="9"/>
    <n v="1"/>
    <d v="2019-11-04T00:00:00"/>
    <s v="AXA-172"/>
    <s v="CHEVROLET"/>
    <s v="TRAVERSE"/>
    <s v="RENTAEQUIPOS LEASING PERU S.A."/>
  </r>
  <r>
    <x v="9"/>
    <s v="FAC"/>
    <s v="005"/>
    <s v="00000030"/>
    <x v="21"/>
    <s v="BEN484"/>
    <d v="2019-10-09T00:00:00"/>
    <s v="20547583168"/>
    <s v="AUTOCLASS S.A.C."/>
    <s v="2908010001"/>
    <s v="TERCEROS"/>
    <s v="000"/>
    <s v="001"/>
    <s v="CONTADO"/>
    <s v="002"/>
    <s v="TERCEROS"/>
    <s v="S/."/>
    <n v="3.3420000000000001"/>
    <n v="1"/>
    <n v="280"/>
    <n v="280"/>
    <n v="50.399990000000031"/>
    <n v="330.39999000000006"/>
    <n v="280"/>
    <d v="2019-11-14T00:00:00"/>
    <s v="005-00000140"/>
    <n v="1109.184"/>
    <n v="0"/>
    <n v="0"/>
    <n v="0"/>
    <n v="0"/>
    <n v="0"/>
    <n v="0"/>
    <n v="0"/>
    <n v="0"/>
    <n v="1109.184"/>
    <n v="1"/>
    <s v="RIMAC"/>
    <s v="LEVE"/>
    <s v="Noviembre"/>
    <n v="2019"/>
    <n v="9"/>
    <n v="1"/>
    <d v="2019-11-05T00:00:00"/>
    <s v="B2F354"/>
    <s v="VOLKWAGEN"/>
    <s v="TIGUAN"/>
    <s v="ALVARO MARQUEZ VERTIZ"/>
  </r>
  <r>
    <x v="9"/>
    <s v="FAC"/>
    <s v="005"/>
    <s v="00000030"/>
    <x v="21"/>
    <s v="BEN484"/>
    <d v="2019-10-09T00:00:00"/>
    <s v="20547583168"/>
    <s v="AUTOCLASS S.A.C."/>
    <s v="2805010001"/>
    <s v="SERVICIOS"/>
    <s v="000"/>
    <s v="001"/>
    <s v="CONTADO"/>
    <s v="002"/>
    <s v="MECANICA"/>
    <s v="S/."/>
    <n v="3.3420000000000001"/>
    <n v="1"/>
    <n v="210"/>
    <n v="210"/>
    <n v="37.799999999999997"/>
    <n v="247.8"/>
    <n v="210"/>
    <d v="2019-11-14T00:00:00"/>
    <s v="005-00000052"/>
    <n v="9874.7542099999991"/>
    <n v="3422.1936281999997"/>
    <n v="402.54"/>
    <n v="343.93"/>
    <n v="194.76900000000001"/>
    <n v="422.1"/>
    <n v="1160.7750000000001"/>
    <n v="0"/>
    <n v="5946.3076282000002"/>
    <n v="3928.446581799999"/>
    <n v="0.39782727734344281"/>
    <s v="ACCESO"/>
    <s v="GRAVE"/>
    <s v="Noviembre"/>
    <n v="2019"/>
    <n v="29"/>
    <n v="1"/>
    <d v="2019-10-16T00:00:00"/>
    <s v="F5O-086"/>
    <s v="NISSAN"/>
    <s v="TIIDA"/>
    <s v="EDPYME ACCESO CREDITICIO SOCIEDAD ANONIMA"/>
  </r>
  <r>
    <x v="9"/>
    <s v="FAC"/>
    <s v="005"/>
    <s v="00000030"/>
    <x v="21"/>
    <s v="BEN484"/>
    <d v="2019-10-09T00:00:00"/>
    <s v="20547583168"/>
    <s v="AUTOCLASS S.A.C."/>
    <s v="320001"/>
    <s v="REPUESTOS"/>
    <s v="000"/>
    <s v="001"/>
    <s v="CONTADO"/>
    <s v="002"/>
    <s v="REPUESTOS"/>
    <s v="S/."/>
    <n v="3.3420000000000001"/>
    <n v="1"/>
    <n v="1567.6017000000002"/>
    <n v="1567.6017000000002"/>
    <n v="282.16829999999987"/>
    <n v="1849.77"/>
    <n v="1567.6017000000002"/>
    <d v="2019-11-14T00:00:00"/>
    <s v="005-00000051"/>
    <n v="7838.7542100000001"/>
    <n v="1181.2768385200002"/>
    <n v="55.08"/>
    <n v="397.27288135593216"/>
    <n v="169.59375"/>
    <n v="648.22500000000002"/>
    <n v="1195.95"/>
    <n v="0"/>
    <n v="3647.3984698759323"/>
    <n v="4191.3557401240678"/>
    <n v="0.53469666580144859"/>
    <s v="ACCESO"/>
    <s v="GRAVE"/>
    <s v="Noviembre"/>
    <n v="2019"/>
    <n v="29"/>
    <n v="1"/>
    <d v="2019-10-16T00:00:00"/>
    <s v="ANZ-637"/>
    <s v="CHEVROLET"/>
    <s v="SAIL"/>
    <s v="EDPYME ACCESO CREDITICIO SOCIEDAD ANONIMA"/>
  </r>
  <r>
    <x v="9"/>
    <s v="FAC"/>
    <s v="005"/>
    <s v="00000031"/>
    <x v="22"/>
    <s v="ASN143"/>
    <d v="2019-10-21T00:00:00"/>
    <s v="20100166578"/>
    <s v="AGRIBRANDS PURINA PERU S.A"/>
    <s v="2805010001"/>
    <s v="SERVICIOS"/>
    <s v="000"/>
    <s v="001"/>
    <s v="CONTADO"/>
    <s v="002"/>
    <s v="MECANICA"/>
    <s v="S/."/>
    <n v="3.3420000000000001"/>
    <n v="1"/>
    <n v="100"/>
    <n v="100"/>
    <n v="18"/>
    <n v="118"/>
    <n v="100"/>
    <d v="2019-11-14T00:00:00"/>
    <s v="005-00000163"/>
    <n v="1893"/>
    <n v="127.11859799999998"/>
    <n v="372.2"/>
    <n v="38.130000000000003"/>
    <n v="15.075000000000001"/>
    <n v="45.225000000000001"/>
    <n v="0"/>
    <n v="0"/>
    <n v="597.74859800000002"/>
    <n v="1295.2514019999999"/>
    <n v="0.68423211938721595"/>
    <s v="ACCESO"/>
    <s v="LEVE"/>
    <s v="Noviembre"/>
    <n v="2019"/>
    <n v="6"/>
    <n v="1"/>
    <d v="2019-11-08T00:00:00"/>
    <s v="F2I-424"/>
    <s v="BYD"/>
    <s v="F3"/>
    <s v="EDPYME ACCESO CREDITICIO SOCIEDAD ANONIMA"/>
  </r>
  <r>
    <x v="9"/>
    <s v="FAC"/>
    <s v="005"/>
    <s v="00000032"/>
    <x v="23"/>
    <s v="BDI580"/>
    <d v="2019-10-17T00:00:00"/>
    <s v="20100041953"/>
    <s v="RIMAC SEGUROS  Y REASEGUROS S.A"/>
    <s v="1302020001"/>
    <s v="PINTURA"/>
    <s v="000"/>
    <s v="001"/>
    <s v="CONTADO"/>
    <s v="009"/>
    <s v="PINTURA"/>
    <s v="$"/>
    <n v="3.3420000000000001"/>
    <n v="1"/>
    <n v="118"/>
    <n v="118"/>
    <n v="21.240010000000019"/>
    <n v="139.24001000000001"/>
    <n v="394.35599999999999"/>
    <d v="2019-11-14T00:00:00"/>
    <s v="005-00000151"/>
    <n v="9795.7542099999991"/>
    <n v="2058.18480142"/>
    <n v="320"/>
    <n v="663.22000000000014"/>
    <n v="335.41874999999999"/>
    <n v="512.55000000000007"/>
    <n v="1266.3"/>
    <n v="0"/>
    <n v="5155.67355142"/>
    <n v="4640.0806585799992"/>
    <n v="0.47368283841209197"/>
    <s v="ACCESO"/>
    <s v="GRAVE"/>
    <s v="Noviembre"/>
    <n v="2019"/>
    <n v="8"/>
    <n v="1"/>
    <d v="2019-11-06T00:00:00"/>
    <s v="AMD-392"/>
    <s v="HYUNDAI"/>
    <s v="ACCENT"/>
    <s v="EDPYME ACCESO CREDITICIO SOCIEDAD ANONIMA"/>
  </r>
  <r>
    <x v="9"/>
    <s v="FAC"/>
    <s v="005"/>
    <s v="00000032"/>
    <x v="23"/>
    <s v="BDI580"/>
    <d v="2019-10-17T00:00:00"/>
    <s v="20100041953"/>
    <s v="RIMAC SEGUROS  Y REASEGUROS S.A"/>
    <s v="1201020001"/>
    <s v="PLANCHADO"/>
    <s v="000"/>
    <s v="001"/>
    <s v="CONTADO"/>
    <s v="001"/>
    <s v="PLANCHADO"/>
    <s v="$"/>
    <n v="3.3420000000000001"/>
    <n v="1"/>
    <n v="75"/>
    <n v="75"/>
    <n v="13.5"/>
    <n v="88.5"/>
    <n v="250.65"/>
    <d v="2019-11-14T00:00:00"/>
    <s v="005-00000047"/>
    <n v="9086.7542099999991"/>
    <n v="2303.6169537200003"/>
    <n v="563.56474576271182"/>
    <n v="234.37"/>
    <n v="199.74375000000001"/>
    <n v="482.40000000000003"/>
    <n v="1266.3"/>
    <n v="0"/>
    <n v="5049.9954494827125"/>
    <n v="4036.7587605172866"/>
    <n v="0.44424650070041755"/>
    <s v="ACCESO"/>
    <s v="GRAVE"/>
    <s v="Noviembre"/>
    <n v="2019"/>
    <n v="29"/>
    <n v="1"/>
    <d v="2019-10-16T00:00:00"/>
    <s v="AXC-049"/>
    <s v="KIA"/>
    <s v="RIO"/>
    <s v="EDPYME ACCESO CREDITICIO SOCIEDAD ANONIMA"/>
  </r>
  <r>
    <x v="9"/>
    <s v="FAC"/>
    <s v="005"/>
    <s v="00000032"/>
    <x v="23"/>
    <s v="BDI580"/>
    <d v="2019-10-17T00:00:00"/>
    <s v="20100041953"/>
    <s v="RIMAC SEGUROS  Y REASEGUROS S.A"/>
    <s v="2908010001"/>
    <s v="TERCEROS"/>
    <s v="000"/>
    <s v="001"/>
    <s v="CONTADO"/>
    <s v="002"/>
    <s v="TERCEROS"/>
    <s v="$"/>
    <n v="3.3420000000000001"/>
    <n v="1"/>
    <n v="50"/>
    <n v="50"/>
    <n v="9"/>
    <n v="59"/>
    <n v="167.1"/>
    <d v="2019-11-14T00:00:00"/>
    <s v="005-00000141"/>
    <n v="1093.9199999999998"/>
    <n v="0"/>
    <n v="0"/>
    <n v="0"/>
    <n v="0"/>
    <n v="75.375"/>
    <n v="140.70000000000002"/>
    <n v="0"/>
    <n v="216.07500000000002"/>
    <n v="877.8449999999998"/>
    <n v="0.80247641509433953"/>
    <s v="RIMAC"/>
    <s v="LEVE"/>
    <s v="Noviembre"/>
    <n v="2019"/>
    <n v="9"/>
    <n v="1"/>
    <d v="2019-11-05T00:00:00"/>
    <s v="AJV-347"/>
    <s v="MERCEDEZ EBNZ"/>
    <s v="E500"/>
    <s v="LUIS ALEJANDRO ARRIARAN SIERRALTA"/>
  </r>
  <r>
    <x v="9"/>
    <s v="FAC"/>
    <s v="005"/>
    <s v="00000032"/>
    <x v="23"/>
    <s v="BDI580"/>
    <d v="2019-10-17T00:00:00"/>
    <s v="20100041953"/>
    <s v="RIMAC SEGUROS  Y REASEGUROS S.A"/>
    <s v="310120"/>
    <s v="FRANQUICIA"/>
    <s v="000"/>
    <s v="001"/>
    <s v="CONTADO"/>
    <s v="002"/>
    <s v="FRANQUICIA"/>
    <s v="$"/>
    <n v="3.3420000000000001"/>
    <n v="-1"/>
    <n v="100"/>
    <n v="-100"/>
    <n v="-18"/>
    <n v="-118"/>
    <n v="-334.2"/>
    <d v="2019-11-14T00:00:00"/>
    <s v="005-00000144"/>
    <n v="1163.4559999999999"/>
    <n v="0"/>
    <n v="0"/>
    <n v="0"/>
    <n v="0"/>
    <n v="165.82500000000002"/>
    <n v="140.70000000000002"/>
    <n v="0"/>
    <n v="306.52500000000003"/>
    <n v="856.93099999999981"/>
    <n v="0.73653924170746454"/>
    <s v="RIMAC"/>
    <s v="MEDIANO"/>
    <s v="Noviembre"/>
    <n v="2019"/>
    <n v="9"/>
    <n v="1"/>
    <d v="2019-11-05T00:00:00"/>
    <s v="AXC-070"/>
    <s v="NISSAN"/>
    <s v="KICKS"/>
    <s v="FERNANDO ANTONIO MOLINA SHULLCA"/>
  </r>
  <r>
    <x v="9"/>
    <s v="FAC"/>
    <s v="005"/>
    <s v="00000032"/>
    <x v="23"/>
    <s v="BDI580"/>
    <d v="2019-10-17T00:00:00"/>
    <s v="20100041953"/>
    <s v="RIMAC SEGUROS  Y REASEGUROS S.A"/>
    <s v="320001"/>
    <s v="REPUESTOS"/>
    <s v="000"/>
    <s v="001"/>
    <s v="CONTADO"/>
    <s v="002"/>
    <s v="REPUESTOS"/>
    <s v="$"/>
    <n v="3.3420000000000001"/>
    <n v="1"/>
    <n v="0"/>
    <n v="0"/>
    <n v="0"/>
    <n v="0"/>
    <n v="0"/>
    <d v="2019-11-14T00:00:00"/>
    <s v="005-00000161"/>
    <n v="339.22882860800001"/>
    <n v="0"/>
    <n v="0"/>
    <n v="0"/>
    <n v="0"/>
    <n v="30.150000000000002"/>
    <n v="70.350000000000009"/>
    <n v="0"/>
    <n v="100.50000000000001"/>
    <n v="238.72882860800001"/>
    <n v="0.70373980179575479"/>
    <s v="C.C"/>
    <s v="LEVE"/>
    <s v="Noviembre"/>
    <n v="2019"/>
    <n v="7"/>
    <n v="1"/>
    <d v="2019-11-07T00:00:00"/>
    <s v="AXC-070"/>
    <s v="NISSAN"/>
    <s v="KICKS"/>
    <s v="FERNANDO ANTONIO MOLINA SHULLCA"/>
  </r>
  <r>
    <x v="9"/>
    <s v="FAC"/>
    <s v="005"/>
    <s v="00000033"/>
    <x v="24"/>
    <s v="BMA272"/>
    <d v="2019-10-14T00:00:00"/>
    <s v="20100041953"/>
    <s v="RIMAC SEGUROS  Y REASEGUROS S.A"/>
    <s v="1302020001"/>
    <s v="PINTURA"/>
    <s v="000"/>
    <s v="001"/>
    <s v="CONTADO"/>
    <s v="009"/>
    <s v="PINTURA"/>
    <s v="$"/>
    <n v="3.3420000000000001"/>
    <n v="1"/>
    <n v="368.75421"/>
    <n v="368.75421"/>
    <n v="66.375789999999981"/>
    <n v="435.13"/>
    <n v="1232.37656982"/>
    <d v="2019-11-14T00:00:00"/>
    <s v="005-00000150"/>
    <n v="654.65599999999995"/>
    <n v="0"/>
    <n v="0"/>
    <n v="0"/>
    <n v="0"/>
    <n v="45.225000000000001"/>
    <n v="140.70000000000002"/>
    <n v="0"/>
    <n v="185.92500000000001"/>
    <n v="468.73099999999994"/>
    <n v="0.71599588180662821"/>
    <s v="RIMAC"/>
    <s v="LEVE"/>
    <s v="Noviembre"/>
    <n v="2019"/>
    <n v="8"/>
    <n v="1"/>
    <d v="2019-11-06T00:00:00"/>
    <s v="B8U-602"/>
    <s v="SUBARU"/>
    <s v="FORESTER"/>
    <s v="RIMAC SEGUROS  Y REASEGUROS S.A"/>
  </r>
  <r>
    <x v="9"/>
    <s v="FAC"/>
    <s v="005"/>
    <s v="00000033"/>
    <x v="24"/>
    <s v="BMA272"/>
    <d v="2019-10-14T00:00:00"/>
    <s v="20100041953"/>
    <s v="RIMAC SEGUROS  Y REASEGUROS S.A"/>
    <s v="1201020001"/>
    <s v="PLANCHADO"/>
    <s v="000"/>
    <s v="001"/>
    <s v="CONTADO"/>
    <s v="001"/>
    <s v="PLANCHADO"/>
    <s v="$"/>
    <n v="3.3420000000000001"/>
    <n v="1"/>
    <n v="330"/>
    <n v="330"/>
    <n v="59.399990000000031"/>
    <n v="389.39999000000006"/>
    <n v="1102.8600000000001"/>
    <d v="2019-11-14T00:00:00"/>
    <s v="005-00000132"/>
    <n v="1763.84"/>
    <n v="0"/>
    <n v="0"/>
    <n v="86.27"/>
    <n v="0"/>
    <n v="75.375"/>
    <n v="351.75"/>
    <n v="0"/>
    <n v="513.39499999999998"/>
    <n v="1250.4449999999999"/>
    <n v="0.70893334996371549"/>
    <s v="RIMAC"/>
    <s v="LEVE"/>
    <s v="Noviembre"/>
    <n v="2019"/>
    <n v="10"/>
    <n v="1"/>
    <d v="2019-11-04T00:00:00"/>
    <s v="AWQ-505"/>
    <s v="NISSAN"/>
    <s v="SENTRA"/>
    <s v="RIMAC SEGUROS  Y REASEGUROS S.A"/>
  </r>
  <r>
    <x v="9"/>
    <s v="FAC"/>
    <s v="005"/>
    <s v="00000033"/>
    <x v="24"/>
    <s v="BMA272"/>
    <d v="2019-10-14T00:00:00"/>
    <s v="20100041953"/>
    <s v="RIMAC SEGUROS  Y REASEGUROS S.A"/>
    <s v="2908010001"/>
    <s v="TERCEROS"/>
    <s v="000"/>
    <s v="001"/>
    <s v="CONTADO"/>
    <s v="002"/>
    <s v="TERCEROS"/>
    <s v="$"/>
    <n v="3.3420000000000001"/>
    <n v="1"/>
    <n v="75"/>
    <n v="75"/>
    <n v="13.5"/>
    <n v="88.5"/>
    <n v="250.65"/>
    <d v="2019-11-15T00:00:00"/>
    <s v="005-00000156"/>
    <n v="1261.4520000000002"/>
    <n v="0"/>
    <n v="0"/>
    <n v="0"/>
    <n v="0"/>
    <n v="120.60000000000001"/>
    <n v="211.05"/>
    <n v="0"/>
    <n v="331.65000000000003"/>
    <n v="929.80200000000013"/>
    <n v="0.73708868827351337"/>
    <s v="RIMAC"/>
    <s v="LEVE"/>
    <s v="Noviembre"/>
    <n v="2019"/>
    <n v="8"/>
    <n v="1"/>
    <d v="2019-11-07T00:00:00"/>
    <s v="BKQ-223"/>
    <s v="TOYOTA"/>
    <s v="ETIOS"/>
    <s v="ECOLAB PERU HOLDINGS S.R.L."/>
  </r>
  <r>
    <x v="9"/>
    <s v="FAC"/>
    <s v="005"/>
    <s v="00000033"/>
    <x v="24"/>
    <s v="BMA272"/>
    <d v="2019-10-14T00:00:00"/>
    <s v="20100041953"/>
    <s v="RIMAC SEGUROS  Y REASEGUROS S.A"/>
    <s v="2908010002"/>
    <s v="AMPLIACION DE REPUESTO"/>
    <s v="000"/>
    <s v="001"/>
    <s v="CONTADO"/>
    <s v="002"/>
    <s v="REPUESTOS"/>
    <s v="$"/>
    <n v="3.3420000000000001"/>
    <n v="1"/>
    <n v="0"/>
    <n v="0"/>
    <n v="0"/>
    <n v="0"/>
    <n v="0"/>
    <d v="2019-11-15T00:00:00"/>
    <s v="005-00000153"/>
    <n v="1770.1019999999999"/>
    <n v="0"/>
    <n v="0"/>
    <n v="0"/>
    <n v="0"/>
    <n v="180.9"/>
    <n v="211.05"/>
    <n v="0"/>
    <n v="391.95000000000005"/>
    <n v="1378.1519999999998"/>
    <n v="0.77857208228678343"/>
    <s v="RIMAC"/>
    <s v="MEDIANO"/>
    <s v="Noviembre"/>
    <n v="2019"/>
    <n v="9"/>
    <n v="1"/>
    <d v="2019-11-06T00:00:00"/>
    <s v="AXN-474"/>
    <s v="NISSAN"/>
    <s v="VERSA"/>
    <s v="RIMAC SEGUROS  Y REASEGUROS S.A"/>
  </r>
  <r>
    <x v="9"/>
    <s v="FAC"/>
    <s v="005"/>
    <s v="00000033"/>
    <x v="24"/>
    <s v="BMA272"/>
    <d v="2019-10-14T00:00:00"/>
    <s v="20100041953"/>
    <s v="RIMAC SEGUROS  Y REASEGUROS S.A"/>
    <s v="310120"/>
    <s v="FRANQUICIA"/>
    <s v="000"/>
    <s v="001"/>
    <s v="CONTADO"/>
    <s v="002"/>
    <s v="FRANQUICIA"/>
    <s v="$"/>
    <n v="3.3420000000000001"/>
    <n v="-1"/>
    <n v="147.79660000000001"/>
    <n v="-147.79660000000001"/>
    <n v="-26.603389999999944"/>
    <n v="-174.39998999999997"/>
    <n v="-493.93623720000005"/>
    <d v="2019-11-15T00:00:00"/>
    <s v="005-00000123"/>
    <n v="2491.5515261099999"/>
    <n v="46.610001000000004"/>
    <n v="0"/>
    <n v="0"/>
    <n v="0"/>
    <n v="211.05"/>
    <n v="281.40000000000003"/>
    <n v="0"/>
    <n v="539.06000100000006"/>
    <n v="1952.4915251099999"/>
    <n v="0.78364485126999495"/>
    <s v="RIMAC"/>
    <s v="MEDIANO"/>
    <s v="Noviembre"/>
    <n v="2019"/>
    <n v="15"/>
    <n v="1"/>
    <d v="2019-10-31T00:00:00"/>
    <s v="AXX-712"/>
    <s v="CHEVROLET"/>
    <s v="N300"/>
    <s v="RIMAC SEGUROS  Y REASEGUROS S.A"/>
  </r>
  <r>
    <x v="9"/>
    <s v="FAC"/>
    <s v="005"/>
    <s v="00000033"/>
    <x v="24"/>
    <s v="BMA272"/>
    <d v="2019-10-14T00:00:00"/>
    <s v="20100041953"/>
    <s v="RIMAC SEGUROS  Y REASEGUROS S.A"/>
    <s v="320001"/>
    <s v="REPUESTOS"/>
    <s v="000"/>
    <s v="001"/>
    <s v="CONTADO"/>
    <s v="002"/>
    <s v="REPUESTOS"/>
    <s v="$"/>
    <n v="3.3420000000000001"/>
    <n v="1"/>
    <n v="0"/>
    <n v="0"/>
    <n v="0"/>
    <n v="0"/>
    <n v="0"/>
    <d v="2019-11-16T00:00:00"/>
    <s v="005-00000125"/>
    <n v="1494.2389556999997"/>
    <n v="0"/>
    <n v="0"/>
    <n v="0"/>
    <n v="0"/>
    <n v="241.20000000000002"/>
    <n v="140.70000000000002"/>
    <n v="0"/>
    <n v="381.90000000000003"/>
    <n v="1112.3389556999996"/>
    <n v="0.74441838867660026"/>
    <s v="RIMAC"/>
    <s v="GRAVE"/>
    <s v="Noviembre"/>
    <n v="2019"/>
    <n v="14"/>
    <n v="1"/>
    <d v="2019-11-02T00:00:00"/>
    <s v="AKY-655"/>
    <s v="HONDA"/>
    <s v="CRV"/>
    <s v="RIMAC SEGUROS  Y REASEGUROS S.A"/>
  </r>
  <r>
    <x v="10"/>
    <s v="FAC"/>
    <s v="005"/>
    <s v="00000034"/>
    <x v="25"/>
    <s v="AZY713"/>
    <d v="2019-10-11T00:00:00"/>
    <s v="20509959766"/>
    <s v="RENTAEQUIPOS LEASING PERU S.A."/>
    <s v="310120"/>
    <s v="FRANQUICIA"/>
    <s v="000"/>
    <s v="001"/>
    <s v="CONTADO"/>
    <s v="002"/>
    <s v="FRANQUICIA"/>
    <s v="$"/>
    <n v="3.3499998999999998"/>
    <n v="1"/>
    <n v="200"/>
    <n v="200"/>
    <n v="36"/>
    <n v="236"/>
    <n v="669.99997999999994"/>
    <d v="2019-11-16T00:00:00"/>
    <s v="005-00000128"/>
    <n v="1293.3740795250806"/>
    <n v="0"/>
    <n v="0"/>
    <n v="0"/>
    <n v="0"/>
    <n v="45.225000000000001"/>
    <n v="246.22499999999999"/>
    <n v="0"/>
    <n v="291.45"/>
    <n v="1001.9240795250805"/>
    <n v="0.7746591611708975"/>
    <s v="RIMAC"/>
    <s v="LEVE"/>
    <s v="Noviembre"/>
    <n v="2019"/>
    <n v="12"/>
    <n v="1"/>
    <d v="2019-11-04T00:00:00"/>
    <s v="AXV-440"/>
    <s v="MAZDA"/>
    <s v="CX5"/>
    <s v="RIMAC SEGUROS  Y REASEGUROS S.A"/>
  </r>
  <r>
    <x v="10"/>
    <s v="FAC"/>
    <s v="005"/>
    <s v="00000035"/>
    <x v="25"/>
    <s v="AZY713"/>
    <d v="2019-10-11T00:00:00"/>
    <s v="20100041953"/>
    <s v="RIMAC SEGUROS  Y REASEGUROS S.A"/>
    <s v="1302020001"/>
    <s v="PINTURA"/>
    <s v="000"/>
    <s v="001"/>
    <s v="CONTADO"/>
    <s v="009"/>
    <s v="PINTURA"/>
    <s v="$"/>
    <n v="3.3499998999999998"/>
    <n v="1"/>
    <n v="88.5"/>
    <n v="88.5"/>
    <n v="15.93"/>
    <n v="104.43"/>
    <n v="296.47499114999999"/>
    <d v="2019-11-18T00:00:00"/>
    <s v="005-00000139"/>
    <n v="752.1789776999999"/>
    <n v="0"/>
    <n v="0"/>
    <n v="0"/>
    <n v="0"/>
    <n v="60.300000000000004"/>
    <n v="140.70000000000002"/>
    <n v="0"/>
    <n v="201.00000000000003"/>
    <n v="551.1789776999999"/>
    <n v="0.73277636578648553"/>
    <s v="RIMAC"/>
    <s v="LEVE"/>
    <s v="Noviembre"/>
    <n v="2019"/>
    <n v="13"/>
    <n v="1"/>
    <d v="2019-11-05T00:00:00"/>
    <s v="ATT-292"/>
    <s v="CHEVROLET"/>
    <s v="CRUZE"/>
    <s v="RIMAC SEGUROS  Y REASEGUROS S.A"/>
  </r>
  <r>
    <x v="10"/>
    <s v="FAC"/>
    <s v="005"/>
    <s v="00000035"/>
    <x v="25"/>
    <s v="AZY713"/>
    <d v="2019-10-11T00:00:00"/>
    <s v="20100041953"/>
    <s v="RIMAC SEGUROS  Y REASEGUROS S.A"/>
    <s v="1201020001"/>
    <s v="PLANCHADO"/>
    <s v="000"/>
    <s v="001"/>
    <s v="CONTADO"/>
    <s v="001"/>
    <s v="PLANCHADO"/>
    <s v="$"/>
    <n v="3.3499998999999998"/>
    <n v="1"/>
    <n v="150"/>
    <n v="150"/>
    <n v="27"/>
    <n v="177"/>
    <n v="502.49998499999998"/>
    <d v="2019-11-18T00:00:00"/>
    <s v="005-00000135"/>
    <n v="1106.3439672"/>
    <n v="0"/>
    <n v="0"/>
    <n v="0"/>
    <n v="0"/>
    <n v="75.375"/>
    <n v="140.70000000000002"/>
    <n v="0"/>
    <n v="216.07500000000002"/>
    <n v="890.26896719999991"/>
    <n v="0.80469455575660132"/>
    <s v="RIMAC"/>
    <s v="LEVE"/>
    <s v="Noviembre"/>
    <n v="2019"/>
    <n v="14"/>
    <n v="1"/>
    <d v="2019-11-04T00:00:00"/>
    <s v="ATF-661"/>
    <s v="HONDA"/>
    <s v="PILOT"/>
    <s v="RIMAC SEGUROS  Y REASEGUROS S.A"/>
  </r>
  <r>
    <x v="10"/>
    <s v="FAC"/>
    <s v="005"/>
    <s v="00000035"/>
    <x v="25"/>
    <s v="AZY713"/>
    <d v="2019-10-11T00:00:00"/>
    <s v="20100041953"/>
    <s v="RIMAC SEGUROS  Y REASEGUROS S.A"/>
    <s v="2908010001"/>
    <s v="TERCEROS"/>
    <s v="000"/>
    <s v="001"/>
    <s v="CONTADO"/>
    <s v="002"/>
    <s v="TERCEROS"/>
    <s v="$"/>
    <n v="3.3499998999999998"/>
    <n v="1"/>
    <n v="85"/>
    <n v="85"/>
    <n v="15.3"/>
    <n v="100.3"/>
    <n v="284.74999149999996"/>
    <d v="2019-11-18T00:00:00"/>
    <s v="005-00000126"/>
    <n v="1038.8839691999999"/>
    <n v="0"/>
    <n v="0"/>
    <n v="0"/>
    <n v="0"/>
    <n v="135.67500000000001"/>
    <n v="140.70000000000002"/>
    <n v="0"/>
    <n v="276.375"/>
    <n v="762.50896919999991"/>
    <n v="0.73396932843922447"/>
    <s v="RIMAC"/>
    <s v="MEDIANO"/>
    <s v="Noviembre"/>
    <n v="2019"/>
    <n v="16"/>
    <n v="1"/>
    <d v="2019-11-02T00:00:00"/>
    <s v="ATF-661"/>
    <s v="HONDA"/>
    <s v="PILOT"/>
    <s v="RIMAC SEGUROS  Y REASEGUROS S.A"/>
  </r>
  <r>
    <x v="10"/>
    <s v="FAC"/>
    <s v="005"/>
    <s v="00000035"/>
    <x v="25"/>
    <s v="AZY713"/>
    <d v="2019-10-11T00:00:00"/>
    <s v="20100041953"/>
    <s v="RIMAC SEGUROS  Y REASEGUROS S.A"/>
    <s v="310120"/>
    <s v="FRANQUICIA"/>
    <s v="000"/>
    <s v="001"/>
    <s v="CONTADO"/>
    <s v="002"/>
    <s v="FRANQUICIA"/>
    <s v="$"/>
    <n v="3.3499998999999998"/>
    <n v="-1"/>
    <n v="200"/>
    <n v="-200"/>
    <n v="-36"/>
    <n v="-236"/>
    <n v="-669.99997999999994"/>
    <d v="2019-11-19T00:00:00"/>
    <s v="005-00000099"/>
    <n v="1507.2839999999999"/>
    <n v="0"/>
    <n v="0"/>
    <n v="0"/>
    <n v="0"/>
    <n v="120.60000000000001"/>
    <n v="211.05"/>
    <n v="0"/>
    <n v="331.65000000000003"/>
    <n v="1175.6339999999998"/>
    <n v="0.77996847309465234"/>
    <s v="RIMAC"/>
    <s v="MEDIANO"/>
    <s v="Noviembre"/>
    <n v="2019"/>
    <n v="24"/>
    <n v="1"/>
    <d v="2019-10-26T00:00:00"/>
    <s v="BLO-680"/>
    <s v="TOYOTA"/>
    <s v="RUSH"/>
    <s v="RIMAC SEGUROS  Y REASEGUROS S.A"/>
  </r>
  <r>
    <x v="10"/>
    <s v="FAC"/>
    <s v="005"/>
    <s v="00000035"/>
    <x v="25"/>
    <s v="AZY713"/>
    <d v="2019-10-11T00:00:00"/>
    <s v="20100041953"/>
    <s v="RIMAC SEGUROS  Y REASEGUROS S.A"/>
    <s v="320001"/>
    <s v="REPUESTOS"/>
    <s v="000"/>
    <s v="001"/>
    <s v="CONTADO"/>
    <s v="002"/>
    <s v="REPUESTOS"/>
    <s v="$"/>
    <n v="3.3499998999999998"/>
    <n v="1"/>
    <n v="0"/>
    <n v="0"/>
    <n v="0"/>
    <n v="0"/>
    <n v="0"/>
    <d v="2019-11-20T00:00:00"/>
    <s v="005-00000145"/>
    <n v="1849.21"/>
    <n v="0"/>
    <n v="0"/>
    <n v="0"/>
    <n v="0"/>
    <n v="135.67500000000001"/>
    <n v="140.70000000000002"/>
    <n v="0"/>
    <n v="276.375"/>
    <n v="1572.835"/>
    <n v="0.85054428647909108"/>
    <s v="POSITIVA"/>
    <s v="LEVE"/>
    <s v="Noviembre"/>
    <n v="2019"/>
    <n v="15"/>
    <n v="1"/>
    <d v="2019-11-05T00:00:00"/>
    <s v="BCP-022"/>
    <s v="HONDA"/>
    <s v="CRV"/>
    <s v="INTEROC SOCIEDAD ANONIMA"/>
  </r>
  <r>
    <x v="10"/>
    <s v="FAC"/>
    <s v="005"/>
    <s v="00000036"/>
    <x v="26"/>
    <s v="D9K336"/>
    <d v="2019-10-22T00:00:00"/>
    <s v="20100041953"/>
    <s v="RIMAC SEGUROS  Y REASEGUROS S.A"/>
    <s v="1302020001"/>
    <s v="PINTURA"/>
    <s v="000"/>
    <s v="001"/>
    <s v="CONTADO"/>
    <s v="009"/>
    <s v="PINTURA"/>
    <s v="$"/>
    <n v="3.3499998999999998"/>
    <n v="1"/>
    <n v="118"/>
    <n v="118"/>
    <n v="21.240010000000019"/>
    <n v="139.24001000000001"/>
    <n v="395.29998819999997"/>
    <d v="2019-11-20T00:00:00"/>
    <s v="005-00000148"/>
    <n v="1557.8099501999998"/>
    <n v="0"/>
    <n v="0"/>
    <n v="10"/>
    <n v="40.250250000000001"/>
    <n v="75.375"/>
    <n v="298.98750000000001"/>
    <n v="0"/>
    <n v="424.61275000000001"/>
    <n v="1133.1972001999998"/>
    <n v="0.72742968425289234"/>
    <s v="RIMAC"/>
    <s v="LEVE"/>
    <s v="Noviembre"/>
    <n v="2019"/>
    <n v="14"/>
    <n v="1"/>
    <d v="2019-11-06T00:00:00"/>
    <s v="APU-227"/>
    <s v="HYUNDAI"/>
    <s v="I20"/>
    <s v="RIMAC SEGUROS  Y REASEGUROS S.A"/>
  </r>
  <r>
    <x v="10"/>
    <s v="FAC"/>
    <s v="005"/>
    <s v="00000036"/>
    <x v="26"/>
    <s v="D9K336"/>
    <d v="2019-10-22T00:00:00"/>
    <s v="20100041953"/>
    <s v="RIMAC SEGUROS  Y REASEGUROS S.A"/>
    <s v="1201020001"/>
    <s v="PLANCHADO"/>
    <s v="000"/>
    <s v="001"/>
    <s v="CONTADO"/>
    <s v="001"/>
    <s v="PLANCHADO"/>
    <s v="$"/>
    <n v="3.3499998999999998"/>
    <n v="1"/>
    <n v="210"/>
    <n v="210"/>
    <n v="37.799999999999997"/>
    <n v="247.8"/>
    <n v="703.49997899999994"/>
    <d v="2019-11-20T00:00:00"/>
    <s v="005-00000169"/>
    <n v="1326.2114501999999"/>
    <n v="5.4759001999999999"/>
    <n v="0"/>
    <n v="84.75"/>
    <n v="0"/>
    <n v="90.45"/>
    <n v="193.46250000000001"/>
    <n v="0"/>
    <n v="374.13840019999998"/>
    <n v="952.07304999999997"/>
    <n v="0.7178893304355215"/>
    <s v="RIMAC"/>
    <s v="LEVE"/>
    <s v="Noviembre"/>
    <n v="2019"/>
    <n v="9"/>
    <n v="1"/>
    <d v="2019-11-11T00:00:00"/>
    <s v="BBE-558"/>
    <s v="NISSAN"/>
    <s v="VERSA"/>
    <s v="RIMAC SEGUROS  Y REASEGUROS S.A"/>
  </r>
  <r>
    <x v="10"/>
    <s v="FAC"/>
    <s v="005"/>
    <s v="00000036"/>
    <x v="26"/>
    <s v="D9K336"/>
    <d v="2019-10-22T00:00:00"/>
    <s v="20100041953"/>
    <s v="RIMAC SEGUROS  Y REASEGUROS S.A"/>
    <s v="2908010001"/>
    <s v="TERCEROS"/>
    <s v="000"/>
    <s v="001"/>
    <s v="CONTADO"/>
    <s v="002"/>
    <s v="TERCEROS"/>
    <s v="$"/>
    <n v="3.3499998999999998"/>
    <n v="1"/>
    <n v="20"/>
    <n v="20"/>
    <n v="3.6"/>
    <n v="23.6"/>
    <n v="66.999997999999991"/>
    <d v="2019-11-20T00:00:00"/>
    <s v="005-00000072"/>
    <n v="3041.2094999999999"/>
    <n v="0"/>
    <n v="0"/>
    <n v="0"/>
    <n v="0"/>
    <n v="422.1"/>
    <n v="386.92500000000001"/>
    <n v="0"/>
    <n v="809.02500000000009"/>
    <n v="2232.1844999999998"/>
    <n v="0.73397919479075668"/>
    <s v="RIMAC"/>
    <s v="GRAVE"/>
    <s v="Noviembre"/>
    <n v="2019"/>
    <n v="29"/>
    <n v="1"/>
    <d v="2019-10-22T00:00:00"/>
    <s v="AXJ-309"/>
    <s v="NISSAN"/>
    <s v="VERSA"/>
    <s v="RIMAC SEGUROS  Y REASEGUROS S.A"/>
  </r>
  <r>
    <x v="10"/>
    <s v="FAC"/>
    <s v="005"/>
    <s v="00000036"/>
    <x v="26"/>
    <s v="D9K336"/>
    <d v="2019-10-22T00:00:00"/>
    <s v="20100041953"/>
    <s v="RIMAC SEGUROS  Y REASEGUROS S.A"/>
    <s v="2908010002"/>
    <s v="AMPLIACION PINTURA"/>
    <s v="000"/>
    <s v="001"/>
    <s v="CONTADO"/>
    <s v="002"/>
    <s v="PINTURA"/>
    <s v="$"/>
    <n v="3.3499998999999998"/>
    <n v="0.5"/>
    <n v="59"/>
    <n v="29.5"/>
    <n v="5.3100014999999985"/>
    <n v="34.810001499999998"/>
    <n v="98.824997049999993"/>
    <d v="2019-11-20T00:00:00"/>
    <s v="005-00000171"/>
    <n v="804.67799999999988"/>
    <n v="0"/>
    <n v="0"/>
    <n v="0"/>
    <n v="0"/>
    <n v="45.225000000000001"/>
    <n v="140.70000000000002"/>
    <n v="0"/>
    <n v="185.92500000000001"/>
    <n v="618.75299999999993"/>
    <n v="0.76894484501875282"/>
    <s v="RIMAC"/>
    <s v="LEVE"/>
    <s v="Noviembre"/>
    <n v="2019"/>
    <n v="9"/>
    <n v="1"/>
    <d v="2019-11-11T00:00:00"/>
    <s v="C3K-443"/>
    <s v="KIA"/>
    <s v="RIO"/>
    <s v="RIMAC SEGUROS  Y REASEGUROS S.A"/>
  </r>
  <r>
    <x v="10"/>
    <s v="FAC"/>
    <s v="005"/>
    <s v="00000036"/>
    <x v="26"/>
    <s v="D9K336"/>
    <d v="2019-10-22T00:00:00"/>
    <s v="20100041953"/>
    <s v="RIMAC SEGUROS  Y REASEGUROS S.A"/>
    <s v="2908010003"/>
    <s v="AMPLIACION PLANCHADO"/>
    <s v="000"/>
    <s v="001"/>
    <s v="CONTADO"/>
    <s v="002"/>
    <s v="PLANCHADO"/>
    <s v="$"/>
    <n v="3.3499998999999998"/>
    <n v="3"/>
    <n v="15"/>
    <n v="45"/>
    <n v="8.100003000000001"/>
    <n v="53.100002999999994"/>
    <n v="150.74999549999998"/>
    <d v="2019-11-21T00:00:00"/>
    <s v="005-00000082"/>
    <n v="508.05001499999997"/>
    <n v="0"/>
    <n v="0"/>
    <n v="0"/>
    <n v="0"/>
    <n v="0"/>
    <n v="0"/>
    <n v="0"/>
    <n v="0"/>
    <n v="508.05001499999997"/>
    <n v="1"/>
    <s v="RIMAC"/>
    <s v="LEVE"/>
    <s v="Noviembre"/>
    <n v="2019"/>
    <n v="29"/>
    <n v="1"/>
    <d v="2019-10-23T00:00:00"/>
    <s v="BFC146"/>
    <s v="SUBARU"/>
    <s v="IMPREZA"/>
    <s v="RENTAEQUIPOS LEASING PERU S.A."/>
  </r>
  <r>
    <x v="10"/>
    <s v="FAC"/>
    <s v="005"/>
    <s v="00000036"/>
    <x v="26"/>
    <s v="D9K336"/>
    <d v="2019-10-22T00:00:00"/>
    <s v="20100041953"/>
    <s v="RIMAC SEGUROS  Y REASEGUROS S.A"/>
    <s v="310120"/>
    <s v="FRANQUICIA"/>
    <s v="000"/>
    <s v="001"/>
    <s v="CONTADO"/>
    <s v="002"/>
    <s v="FRANQUICIA"/>
    <s v="$"/>
    <n v="3.3499998999999998"/>
    <n v="-1"/>
    <n v="100"/>
    <n v="-100"/>
    <n v="-18"/>
    <n v="-118"/>
    <n v="-334.99998999999997"/>
    <d v="2019-11-21T00:00:00"/>
    <s v="005-00000187"/>
    <n v="101.61000299999999"/>
    <n v="0"/>
    <n v="0"/>
    <n v="20"/>
    <n v="0"/>
    <n v="0"/>
    <n v="0"/>
    <n v="0"/>
    <n v="20"/>
    <n v="81.610002999999992"/>
    <n v="0.80316898524252578"/>
    <s v="C.C"/>
    <s v="MECANICA"/>
    <s v="Noviembre"/>
    <n v="2019"/>
    <n v="0"/>
    <n v="1"/>
    <d v="2019-11-21T00:00:00"/>
    <s v="BFC146"/>
    <s v="SUBARU"/>
    <s v="IMPREZA"/>
    <s v="RENTAEQUIPOS LEASING PERU S.A."/>
  </r>
  <r>
    <x v="10"/>
    <s v="FAC"/>
    <s v="005"/>
    <s v="00000036"/>
    <x v="26"/>
    <s v="D9K336"/>
    <d v="2019-10-22T00:00:00"/>
    <s v="20100041953"/>
    <s v="RIMAC SEGUROS  Y REASEGUROS S.A"/>
    <s v="320001"/>
    <s v="REPUESTOS"/>
    <s v="000"/>
    <s v="001"/>
    <s v="CONTADO"/>
    <s v="002"/>
    <s v="REPUESTOS"/>
    <s v="$"/>
    <n v="3.3499998999999998"/>
    <n v="1"/>
    <n v="0"/>
    <n v="0"/>
    <n v="0"/>
    <n v="0"/>
    <n v="0"/>
    <d v="2019-11-22T00:00:00"/>
    <s v="005-00000059"/>
    <n v="468.13001385000007"/>
    <n v="0"/>
    <n v="0"/>
    <n v="0"/>
    <n v="452.25"/>
    <n v="15.075000000000001"/>
    <n v="70.350000000000009"/>
    <n v="0"/>
    <n v="537.67499999999995"/>
    <n v="-69.544986149999886"/>
    <n v="-0.14855912693579981"/>
    <s v="RIMAC"/>
    <s v="LEVE"/>
    <s v="Noviembre"/>
    <n v="2019"/>
    <n v="36"/>
    <n v="1"/>
    <d v="2019-10-17T00:00:00"/>
    <s v="F5C-188"/>
    <s v="AUDI"/>
    <s v="Q5"/>
    <s v="RIMAC SEGUROS  Y REASEGUROS S.A"/>
  </r>
  <r>
    <x v="11"/>
    <s v="FAC"/>
    <s v="005"/>
    <s v="00000037"/>
    <x v="27"/>
    <s v="ATK580"/>
    <d v="2019-10-07T00:00:00"/>
    <s v="20547583168"/>
    <s v="AUTOCLASS S.A.C."/>
    <s v="1302020001"/>
    <s v="PINTURA"/>
    <s v="000"/>
    <s v="001"/>
    <s v="CONTADO"/>
    <s v="009"/>
    <s v="PINTURA"/>
    <s v="S/."/>
    <n v="3.3510000999999998"/>
    <n v="1"/>
    <n v="1856.2542000000001"/>
    <n v="1856.2542000000001"/>
    <n v="334.12569999999977"/>
    <n v="2190.3798999999999"/>
    <n v="1856.2542000000001"/>
    <d v="2019-11-22T00:00:00"/>
    <s v="005-00000189"/>
    <n v="2124"/>
    <n v="771.18348900000001"/>
    <n v="59.32"/>
    <n v="73.900000000000006"/>
    <n v="0"/>
    <n v="0"/>
    <n v="0"/>
    <n v="0"/>
    <n v="904.40348900000004"/>
    <n v="1219.596511"/>
    <n v="0.5741979806967985"/>
    <s v="ACCESO"/>
    <s v="MEDIANO"/>
    <s v="Noviembre"/>
    <n v="2019"/>
    <n v="1"/>
    <n v="1"/>
    <d v="2019-11-21T00:00:00"/>
    <s v="F2I-424"/>
    <s v="BYD"/>
    <s v="F3"/>
    <s v="EDPYME ACCESO CREDITICIO SOCIEDAD ANONIMA"/>
  </r>
  <r>
    <x v="11"/>
    <s v="FAC"/>
    <s v="005"/>
    <s v="00000037"/>
    <x v="27"/>
    <s v="ATK580"/>
    <d v="2019-10-07T00:00:00"/>
    <s v="20547583168"/>
    <s v="AUTOCLASS S.A.C."/>
    <s v="1201020001"/>
    <s v="PLANCHADO"/>
    <s v="000"/>
    <s v="001"/>
    <s v="CONTADO"/>
    <s v="001"/>
    <s v="PLANCHADO"/>
    <s v="S/."/>
    <n v="3.3510000999999998"/>
    <n v="1"/>
    <n v="1260"/>
    <n v="1260"/>
    <n v="226.8"/>
    <n v="1486.8"/>
    <n v="1260"/>
    <d v="2019-11-23T00:00:00"/>
    <s v="005-00000105"/>
    <n v="9457.2542099999991"/>
    <n v="3893.9877475399994"/>
    <n v="359.24"/>
    <n v="258.67203389830507"/>
    <n v="0"/>
    <n v="391.95"/>
    <n v="1090.425"/>
    <n v="0"/>
    <n v="5994.2747814383047"/>
    <n v="3462.9794285616945"/>
    <n v="0.36617176102763288"/>
    <s v="ACCESO"/>
    <s v="GRAVE"/>
    <s v="Noviembre"/>
    <n v="2019"/>
    <n v="26"/>
    <n v="1"/>
    <d v="2019-10-28T00:00:00"/>
    <s v="AZF-323"/>
    <s v="KIA"/>
    <s v="RIO"/>
    <s v="EDPYME ACCESO CREDITICIO SOCIEDAD ANONIMA"/>
  </r>
  <r>
    <x v="11"/>
    <s v="FAC"/>
    <s v="005"/>
    <s v="00000037"/>
    <x v="27"/>
    <s v="ATK580"/>
    <d v="2019-10-07T00:00:00"/>
    <s v="20547583168"/>
    <s v="AUTOCLASS S.A.C."/>
    <s v="2908010001"/>
    <s v="TERCEROS"/>
    <s v="000"/>
    <s v="001"/>
    <s v="CONTADO"/>
    <s v="002"/>
    <s v="TERCEROS"/>
    <s v="S/."/>
    <n v="3.3510000999999998"/>
    <n v="1"/>
    <n v="480"/>
    <n v="480"/>
    <n v="86.400020000000083"/>
    <n v="566.40002000000004"/>
    <n v="480"/>
    <d v="2019-11-23T00:00:00"/>
    <s v="005-00000165"/>
    <n v="9220.7542099999991"/>
    <n v="2743.3440540599991"/>
    <n v="256.38"/>
    <n v="268.46999999999997"/>
    <n v="380.64375000000001"/>
    <n v="422.1"/>
    <n v="1055.25"/>
    <n v="0"/>
    <n v="5126.1878040599986"/>
    <n v="4094.5664059400005"/>
    <n v="0.44405981470576483"/>
    <s v="ACCESO"/>
    <s v="GRAVE"/>
    <s v="Noviembre"/>
    <n v="2019"/>
    <n v="15"/>
    <n v="1"/>
    <d v="2019-11-08T00:00:00"/>
    <s v="AZQ-053"/>
    <s v="CHEVROLET"/>
    <s v="SAIL"/>
    <s v="EDPYME ACCESO CREDITICIO SOCIEDAD ANONIMA"/>
  </r>
  <r>
    <x v="11"/>
    <s v="FAC"/>
    <s v="005"/>
    <s v="00000037"/>
    <x v="27"/>
    <s v="ATK580"/>
    <d v="2019-10-07T00:00:00"/>
    <s v="20547583168"/>
    <s v="AUTOCLASS S.A.C."/>
    <s v="2908010002"/>
    <s v="AMPLIACION RESPUESTOS"/>
    <s v="000"/>
    <s v="001"/>
    <s v="CONTADO"/>
    <s v="002"/>
    <s v="REPUESTOS"/>
    <s v="S/."/>
    <n v="3.3510000999999998"/>
    <n v="1"/>
    <n v="280"/>
    <n v="280"/>
    <n v="50.399990000000031"/>
    <n v="330.39999000000006"/>
    <n v="280"/>
    <d v="2019-11-25T00:00:00"/>
    <s v="005-00000181"/>
    <n v="321.57499999999993"/>
    <n v="0"/>
    <n v="0"/>
    <n v="76.27"/>
    <n v="0"/>
    <n v="0"/>
    <n v="0"/>
    <n v="0"/>
    <n v="76.27"/>
    <n v="245.30499999999995"/>
    <n v="0.76282360258104642"/>
    <s v="RIMAC"/>
    <s v="LEVE"/>
    <s v="Noviembre"/>
    <n v="2019"/>
    <n v="6"/>
    <n v="1"/>
    <d v="2019-11-19T00:00:00"/>
    <s v="AYQ-451"/>
    <s v="NISSAN"/>
    <s v="SENTRA"/>
    <s v="RIMAC SEGUROS  Y REASEGUROS S.A"/>
  </r>
  <r>
    <x v="11"/>
    <s v="FAC"/>
    <s v="005"/>
    <s v="00000037"/>
    <x v="27"/>
    <s v="ATK580"/>
    <d v="2019-10-07T00:00:00"/>
    <s v="20547583168"/>
    <s v="AUTOCLASS S.A.C."/>
    <s v="2805010001"/>
    <s v="SERVICIOS"/>
    <s v="000"/>
    <s v="001"/>
    <s v="CONTADO"/>
    <s v="002"/>
    <s v="MECANICA"/>
    <s v="S/."/>
    <n v="3.3510000999999998"/>
    <n v="1"/>
    <n v="240"/>
    <n v="240"/>
    <n v="43.200010000000042"/>
    <n v="283.20001000000002"/>
    <n v="240"/>
    <d v="2019-11-25T00:00:00"/>
    <s v="005-00000107"/>
    <n v="9660.7542099999991"/>
    <n v="2156.2085459200002"/>
    <n v="262.72000000000003"/>
    <n v="466.63"/>
    <n v="425.86875000000003"/>
    <n v="271.35000000000002"/>
    <n v="1125.6000000000001"/>
    <n v="0"/>
    <n v="4708.3772959200005"/>
    <n v="4952.3769140799986"/>
    <n v="0.51262839385290593"/>
    <s v="ACCESO"/>
    <s v="GRAVE"/>
    <s v="Noviembre"/>
    <n v="2019"/>
    <n v="28"/>
    <n v="1"/>
    <d v="2019-10-28T00:00:00"/>
    <s v="AHV-171"/>
    <s v="KIA"/>
    <s v="RIO"/>
    <s v="EDPYME ACCESO CREDITICIO SOCIEDAD ANONIMA"/>
  </r>
  <r>
    <x v="11"/>
    <s v="FAC"/>
    <s v="005"/>
    <s v="00000037"/>
    <x v="27"/>
    <s v="ATK580"/>
    <d v="2019-10-07T00:00:00"/>
    <s v="20547583168"/>
    <s v="AUTOCLASS S.A.C."/>
    <s v="320001"/>
    <s v="REPUESTOS"/>
    <s v="000"/>
    <s v="001"/>
    <s v="CONTADO"/>
    <s v="002"/>
    <s v="REPUESTOS"/>
    <s v="S/."/>
    <n v="3.3510000999999998"/>
    <n v="1"/>
    <n v="2089"/>
    <n v="2089"/>
    <n v="376.02"/>
    <n v="2465.02"/>
    <n v="2089"/>
    <d v="2019-11-26T00:00:00"/>
    <s v="005-00000117"/>
    <n v="1380.9989922"/>
    <n v="0"/>
    <n v="0"/>
    <n v="0"/>
    <n v="0"/>
    <n v="60.300000000000004"/>
    <n v="193.46250000000001"/>
    <n v="0"/>
    <n v="253.76250000000002"/>
    <n v="1127.2364921999999"/>
    <n v="0.81624715048072283"/>
    <s v="RIMAC"/>
    <s v="LEVE"/>
    <s v="Noviembre"/>
    <n v="2019"/>
    <n v="28"/>
    <n v="1"/>
    <d v="2019-10-29T00:00:00"/>
    <s v="BFM-214"/>
    <s v="JEEP"/>
    <s v="CHEROKEE"/>
    <s v="RENTAEQUIPOS LEASING PERU S.A."/>
  </r>
  <r>
    <x v="11"/>
    <s v="FAC"/>
    <s v="005"/>
    <s v="00000038"/>
    <x v="28"/>
    <s v="AWL231"/>
    <d v="2019-10-11T00:00:00"/>
    <s v="20509959766"/>
    <s v="RENTAEQUIPOS LEASING PERU S.A."/>
    <s v="310120"/>
    <s v="FRANQUICIA"/>
    <s v="000"/>
    <s v="001"/>
    <s v="CONTADO"/>
    <s v="002"/>
    <s v="FRANQUICIA"/>
    <s v="$"/>
    <n v="3.3510000999999998"/>
    <n v="1"/>
    <n v="456.98309"/>
    <n v="456.98309"/>
    <n v="82.25690000000003"/>
    <n v="539.23999000000003"/>
    <n v="1531.350380288309"/>
    <d v="2019-11-27T00:00:00"/>
    <s v="005-00000179"/>
    <n v="1406.4674999999997"/>
    <n v="0"/>
    <n v="0"/>
    <n v="0"/>
    <n v="0"/>
    <n v="60.300000000000004"/>
    <n v="298.98750000000001"/>
    <n v="0"/>
    <n v="359.28750000000002"/>
    <n v="1047.1799999999998"/>
    <n v="0.7445461768579793"/>
    <s v="RIMAC"/>
    <s v="LEVE"/>
    <s v="Noviembre"/>
    <n v="2019"/>
    <n v="9"/>
    <n v="1"/>
    <d v="2019-11-18T00:00:00"/>
    <s v="ADY-124"/>
    <s v="NISSAN"/>
    <s v="X-TRAIL"/>
    <s v="ROBERTO CARLOS TORRES JULCA"/>
  </r>
  <r>
    <x v="11"/>
    <s v="FAC"/>
    <s v="005"/>
    <s v="00000039"/>
    <x v="29"/>
    <s v="ATH340"/>
    <d v="2019-10-07T00:00:00"/>
    <s v="20509959766"/>
    <s v="RENTAEQUIPOS LEASING PERU S.A."/>
    <s v="310120"/>
    <s v="FRANQUICIA"/>
    <s v="000"/>
    <s v="001"/>
    <s v="CONTADO"/>
    <s v="002"/>
    <s v="FRANQUICIA"/>
    <s v="$"/>
    <n v="3.3510000999999998"/>
    <n v="1"/>
    <n v="100"/>
    <n v="100"/>
    <n v="18"/>
    <n v="118"/>
    <n v="335.10001"/>
    <d v="2019-11-28T00:00:00"/>
    <s v="005-00000032"/>
    <n v="814.56002399999988"/>
    <n v="76.270048499999987"/>
    <n v="0"/>
    <n v="55.08"/>
    <n v="30.150000000000002"/>
    <n v="60.300000000000004"/>
    <n v="0"/>
    <n v="0"/>
    <n v="221.8000485"/>
    <n v="592.75997549999988"/>
    <n v="0.72770570373583665"/>
    <s v="RIMAC"/>
    <s v="LEVE"/>
    <s v="Noviembre"/>
    <n v="2019"/>
    <n v="49"/>
    <n v="1"/>
    <d v="2019-10-10T00:00:00"/>
    <s v="AFS-362"/>
    <s v="MAZDA"/>
    <s v="MAZDA5"/>
    <s v="SERVICIOS HOTELEROS LIMA S.A.C."/>
  </r>
  <r>
    <x v="11"/>
    <s v="FAC"/>
    <s v="005"/>
    <s v="00000040"/>
    <x v="29"/>
    <s v="ATH340"/>
    <d v="2019-10-07T00:00:00"/>
    <s v="20100041953"/>
    <s v="RIMAC SEGUROS  Y REASEGUROS S.A"/>
    <s v="1302020001"/>
    <s v="PINTURA"/>
    <s v="000"/>
    <s v="001"/>
    <s v="CONTADO"/>
    <s v="009"/>
    <s v="PINTURA"/>
    <s v="$"/>
    <n v="3.3510000999999998"/>
    <n v="1"/>
    <n v="132.75419999999997"/>
    <n v="132.75419999999997"/>
    <n v="23.895790000000034"/>
    <n v="156.64999"/>
    <n v="444.85933747541986"/>
    <d v="2019-11-29T00:00:00"/>
    <s v="005-00000192"/>
    <n v="2373.0000700000001"/>
    <n v="0"/>
    <n v="0"/>
    <n v="59.322033898305087"/>
    <n v="0"/>
    <n v="211.05"/>
    <n v="351.75"/>
    <n v="0"/>
    <n v="622.12203389830506"/>
    <n v="1750.878036101695"/>
    <n v="0.73783311607811919"/>
    <s v="RIMAC"/>
    <s v="MEDIANO"/>
    <s v="Noviembre"/>
    <n v="2019"/>
    <n v="8"/>
    <n v="1"/>
    <d v="2019-11-21T00:00:00"/>
    <s v="BBQ-678"/>
    <s v="SUZUKI"/>
    <s v="SWIFT"/>
    <s v="DARDOS COMUNICACION VISUAL SAC"/>
  </r>
  <r>
    <x v="11"/>
    <s v="FAC"/>
    <s v="005"/>
    <s v="00000040"/>
    <x v="29"/>
    <s v="ATH340"/>
    <d v="2019-10-07T00:00:00"/>
    <s v="20100041953"/>
    <s v="RIMAC SEGUROS  Y REASEGUROS S.A"/>
    <s v="1201020001"/>
    <s v="PLANCHADO"/>
    <s v="000"/>
    <s v="001"/>
    <s v="CONTADO"/>
    <s v="001"/>
    <s v="PLANCHADO"/>
    <s v="$"/>
    <n v="3.3510000999999998"/>
    <n v="1"/>
    <n v="330"/>
    <n v="330"/>
    <n v="59.399990000000031"/>
    <n v="389.39999000000006"/>
    <n v="1105.830033"/>
    <d v="2019-11-29T00:00:00"/>
    <s v="005-00000166"/>
    <n v="11290.754209999999"/>
    <n v="2593.2663401100008"/>
    <n v="264.65999999999997"/>
    <n v="156.78"/>
    <n v="290.19375000000002"/>
    <n v="633.15"/>
    <n v="1266.3"/>
    <n v="0"/>
    <n v="5204.3500901100006"/>
    <n v="6086.4041198899986"/>
    <n v="0.53906089944809799"/>
    <s v="ACCESO"/>
    <s v="GRAVE"/>
    <s v="Noviembre"/>
    <n v="2019"/>
    <n v="21"/>
    <n v="1"/>
    <d v="2019-11-08T00:00:00"/>
    <s v="ANB-605"/>
    <s v="HYUNDAI"/>
    <s v="ACCENT"/>
    <s v="AUTOCLASS S.A.C."/>
  </r>
  <r>
    <x v="11"/>
    <s v="FAC"/>
    <s v="005"/>
    <s v="00000040"/>
    <x v="29"/>
    <s v="ATH340"/>
    <d v="2019-10-07T00:00:00"/>
    <s v="20100041953"/>
    <s v="RIMAC SEGUROS  Y REASEGUROS S.A"/>
    <s v="2908010001"/>
    <s v="TERCEROS"/>
    <s v="000"/>
    <s v="001"/>
    <s v="CONTADO"/>
    <s v="002"/>
    <s v="TERCEROS"/>
    <s v="$"/>
    <n v="3.3510000999999998"/>
    <n v="1"/>
    <n v="15"/>
    <n v="15"/>
    <n v="2.7000009999999999"/>
    <n v="17.700001"/>
    <n v="50.265001499999997"/>
    <d v="2019-11-29T00:00:00"/>
    <s v="005-00000109"/>
    <n v="8205.2542099999991"/>
    <n v="2675.3039792599993"/>
    <n v="61.46"/>
    <n v="374.74203389830507"/>
    <n v="320.34375"/>
    <n v="271.35000000000002"/>
    <n v="949.72500000000002"/>
    <n v="0"/>
    <n v="4652.9247631583048"/>
    <n v="3552.3294468416943"/>
    <n v="0.43293350284167426"/>
    <s v="ACCESO"/>
    <s v="GRAVE"/>
    <s v="Noviembre"/>
    <n v="2019"/>
    <n v="32"/>
    <n v="1"/>
    <d v="2019-10-28T00:00:00"/>
    <s v="F6Q-533"/>
    <s v="CHEVROLET"/>
    <s v="SAIL"/>
    <s v="AUTOCLASS S.A.C."/>
  </r>
  <r>
    <x v="11"/>
    <s v="FAC"/>
    <s v="005"/>
    <s v="00000040"/>
    <x v="29"/>
    <s v="ATH340"/>
    <d v="2019-10-07T00:00:00"/>
    <s v="20100041953"/>
    <s v="RIMAC SEGUROS  Y REASEGUROS S.A"/>
    <s v="310120"/>
    <s v="FRANQUICIA"/>
    <s v="000"/>
    <s v="001"/>
    <s v="CONTADO"/>
    <s v="002"/>
    <s v="FRANQUICIA"/>
    <s v="$"/>
    <n v="3.3510000999999998"/>
    <n v="-1"/>
    <n v="100"/>
    <n v="-100"/>
    <n v="-18"/>
    <n v="-118"/>
    <n v="-335.10001"/>
    <d v="2019-11-29T00:00:00"/>
    <s v="005-00000152"/>
    <n v="9800.7542099999991"/>
    <n v="2134.08030164"/>
    <n v="473.15"/>
    <n v="325.25"/>
    <n v="365.56875000000002"/>
    <n v="542.70000000000005"/>
    <n v="1266.3"/>
    <n v="0"/>
    <n v="5107.0490516400005"/>
    <n v="4693.7051583599987"/>
    <n v="0.47891264873991762"/>
    <s v="ACCESO"/>
    <s v="GRAVE"/>
    <s v="Noviembre"/>
    <n v="2019"/>
    <n v="23"/>
    <n v="1"/>
    <d v="2019-11-06T00:00:00"/>
    <s v="AMZ619"/>
    <s v="CHEVROLET"/>
    <s v="SAIL"/>
    <s v="AUTOCLASS S.A.C."/>
  </r>
  <r>
    <x v="11"/>
    <s v="FAC"/>
    <s v="005"/>
    <s v="00000040"/>
    <x v="29"/>
    <s v="ATH340"/>
    <d v="2019-10-07T00:00:00"/>
    <s v="20100041953"/>
    <s v="RIMAC SEGUROS  Y REASEGUROS S.A"/>
    <s v="320001"/>
    <s v="REPUESTOS"/>
    <s v="000"/>
    <s v="001"/>
    <s v="CONTADO"/>
    <s v="002"/>
    <s v="REPUESTOS"/>
    <s v="$"/>
    <n v="3.3510000999999998"/>
    <n v="1"/>
    <n v="0"/>
    <n v="0"/>
    <n v="0"/>
    <n v="0"/>
    <n v="0"/>
    <d v="2019-11-29T00:00:00"/>
    <s v="005-00000036"/>
    <n v="6983.2279939949194"/>
    <n v="5608.7373900000002"/>
    <n v="0"/>
    <n v="86.27"/>
    <n v="0"/>
    <n v="0"/>
    <n v="0"/>
    <n v="0"/>
    <n v="5695.0073900000007"/>
    <n v="1288.2206039949187"/>
    <n v="0.18447351355314434"/>
    <s v="C.C"/>
    <s v="MECANICA"/>
    <s v="Noviembre"/>
    <n v="2019"/>
    <n v="49"/>
    <n v="1"/>
    <d v="2019-10-11T00:00:00"/>
    <s v="BFW224"/>
    <s v="JEEP"/>
    <s v="CHEROKEE"/>
    <s v="RENTAEQUIPOS LEASING PERU S.A."/>
  </r>
  <r>
    <x v="12"/>
    <s v="FAC"/>
    <s v="005"/>
    <s v="00000042"/>
    <x v="28"/>
    <s v="AWL231"/>
    <d v="2019-10-11T00:00:00"/>
    <s v="20100041953"/>
    <s v="RIMAC SEGUROS  Y REASEGUROS S.A"/>
    <s v="1302020001"/>
    <s v="PINTURA"/>
    <s v="000"/>
    <s v="001"/>
    <s v="CONTADO"/>
    <s v="009"/>
    <s v="PINTURA"/>
    <s v="$"/>
    <n v="3.335"/>
    <n v="1"/>
    <n v="457.25421"/>
    <n v="457.25421"/>
    <n v="82.305789999999902"/>
    <n v="539.55999999999995"/>
    <n v="1524.94279035"/>
    <d v="2019-11-29T00:00:00"/>
    <s v="005-00000180"/>
    <n v="1027.1700303"/>
    <n v="0"/>
    <n v="0"/>
    <n v="116.27"/>
    <n v="15.075000000000001"/>
    <n v="60.300000000000004"/>
    <n v="140.70000000000002"/>
    <n v="0"/>
    <n v="332.34500000000003"/>
    <n v="694.82503029999998"/>
    <n v="0.67644597272475537"/>
    <s v="RIMAC"/>
    <s v="LEVE"/>
    <s v="Noviembre"/>
    <n v="2019"/>
    <n v="10"/>
    <n v="1"/>
    <d v="2019-11-19T00:00:00"/>
    <s v="BED-593"/>
    <s v="CHEVROLET"/>
    <s v="PRISMA"/>
    <s v="RIMAC SEGUROS  Y REASEGUROS S.A"/>
  </r>
  <r>
    <x v="12"/>
    <s v="FAC"/>
    <s v="005"/>
    <s v="00000042"/>
    <x v="28"/>
    <s v="AWL231"/>
    <d v="2019-10-11T00:00:00"/>
    <s v="20100041953"/>
    <s v="RIMAC SEGUROS  Y REASEGUROS S.A"/>
    <s v="1201020001"/>
    <s v="PLANCHADO"/>
    <s v="000"/>
    <s v="001"/>
    <s v="CONTADO"/>
    <s v="001"/>
    <s v="PLANCHADO"/>
    <s v="$"/>
    <n v="3.335"/>
    <n v="1"/>
    <n v="480"/>
    <n v="480"/>
    <n v="86.400020000000083"/>
    <n v="566.40002000000004"/>
    <n v="1600.8"/>
    <d v="2019-11-29T00:00:00"/>
    <s v="005-00000035"/>
    <n v="2930.65508645"/>
    <n v="0"/>
    <n v="0"/>
    <n v="824.5"/>
    <n v="0"/>
    <n v="241.20000000000002"/>
    <n v="369.33750000000003"/>
    <n v="0"/>
    <n v="1435.0375000000001"/>
    <n v="1495.6175864499999"/>
    <n v="0.51033558789126943"/>
    <s v="RIMAC"/>
    <s v="MEDIANO"/>
    <s v="Noviembre"/>
    <n v="2019"/>
    <n v="49"/>
    <n v="1"/>
    <d v="2019-10-11T00:00:00"/>
    <s v="BEQ-190"/>
    <s v="KIA"/>
    <s v="PICANTO"/>
    <s v="RENTAEQUIPOS LEASING PERU S.A."/>
  </r>
  <r>
    <x v="12"/>
    <s v="FAC"/>
    <s v="005"/>
    <s v="00000042"/>
    <x v="28"/>
    <s v="AWL231"/>
    <d v="2019-10-11T00:00:00"/>
    <s v="20100041953"/>
    <s v="RIMAC SEGUROS  Y REASEGUROS S.A"/>
    <s v="2908010001"/>
    <s v="TERCEROS"/>
    <s v="000"/>
    <s v="001"/>
    <s v="CONTADO"/>
    <s v="002"/>
    <s v="TERCEROS"/>
    <s v="$"/>
    <n v="3.335"/>
    <n v="1"/>
    <n v="95"/>
    <n v="95"/>
    <n v="17.100000000000001"/>
    <n v="112.1"/>
    <n v="316.82499999999999"/>
    <d v="2019-11-30T00:00:00"/>
    <s v="005-00000199"/>
    <n v="2301.8000677"/>
    <n v="0"/>
    <n v="0"/>
    <n v="0"/>
    <n v="0"/>
    <n v="195.97499999999999"/>
    <n v="386.92500000000001"/>
    <n v="0"/>
    <n v="582.9"/>
    <n v="1718.9000676999999"/>
    <n v="0.74676341000265756"/>
    <s v="RIMAC"/>
    <s v="MEDIANO"/>
    <s v="Noviembre"/>
    <n v="2019"/>
    <n v="8"/>
    <n v="1"/>
    <d v="2019-11-22T00:00:00"/>
    <s v="C4R-002"/>
    <s v="KIA"/>
    <s v="SPORTAGE"/>
    <s v="SPRIND SAC"/>
  </r>
  <r>
    <x v="12"/>
    <s v="FAC"/>
    <s v="005"/>
    <s v="00000042"/>
    <x v="28"/>
    <s v="AWL231"/>
    <d v="2019-10-11T00:00:00"/>
    <s v="20100041953"/>
    <s v="RIMAC SEGUROS  Y REASEGUROS S.A"/>
    <s v="2805010001"/>
    <s v="SERVICIOS"/>
    <s v="000"/>
    <s v="001"/>
    <s v="CONTADO"/>
    <s v="002"/>
    <s v="MECANICA"/>
    <s v="$"/>
    <n v="3.335"/>
    <n v="1"/>
    <n v="60"/>
    <n v="60"/>
    <n v="10.800002999999997"/>
    <n v="70.800003000000004"/>
    <n v="200.1"/>
    <d v="2019-11-30T00:00:00"/>
    <s v="005-00000210"/>
    <n v="153.00000450000002"/>
    <n v="0"/>
    <n v="0"/>
    <n v="0"/>
    <n v="0"/>
    <n v="0"/>
    <n v="17.587500000000002"/>
    <n v="0"/>
    <n v="17.587500000000002"/>
    <n v="135.41250450000001"/>
    <n v="0.88504902298875421"/>
    <s v="C.C"/>
    <s v="LEVE"/>
    <s v="Noviembre"/>
    <n v="2019"/>
    <n v="4"/>
    <n v="1"/>
    <d v="2019-11-26T00:00:00"/>
    <s v="C4R-002"/>
    <s v="KIA"/>
    <s v="SPORTAGE"/>
    <s v="SPRIND SAC"/>
  </r>
  <r>
    <x v="12"/>
    <s v="FAC"/>
    <s v="005"/>
    <s v="00000042"/>
    <x v="28"/>
    <s v="AWL231"/>
    <d v="2019-10-11T00:00:00"/>
    <s v="20100041953"/>
    <s v="RIMAC SEGUROS  Y REASEGUROS S.A"/>
    <s v="310120"/>
    <s v="FRANQUICIA"/>
    <s v="000"/>
    <s v="001"/>
    <s v="CONTADO"/>
    <s v="002"/>
    <s v="FRANQUICIA"/>
    <s v="$"/>
    <n v="3.335"/>
    <n v="-1"/>
    <n v="456.98309"/>
    <n v="-456.98309"/>
    <n v="-82.25690000000003"/>
    <n v="-539.23999000000003"/>
    <n v="-1524.03860515"/>
    <d v="2019-11-02T00:00:00"/>
    <s v="005-00000124"/>
    <n v="211.87289000000001"/>
    <n v="77.836399300000011"/>
    <n v="0"/>
    <n v="0"/>
    <n v="0"/>
    <n v="0"/>
    <n v="0"/>
    <n v="0"/>
    <n v="77.836399300000011"/>
    <n v="134.0364907"/>
    <n v="0.63262690521661358"/>
    <s v="C.C"/>
    <s v="MECANICA"/>
    <s v="Noviembre"/>
    <n v="2019"/>
    <n v="0"/>
    <n v="1"/>
    <d v="2019-11-02T00:00:00"/>
    <s v="ADP623"/>
    <s v="HYUNDAI"/>
    <s v="ACCENT"/>
    <s v="JIMENEZ MESIA JORGE"/>
  </r>
  <r>
    <x v="12"/>
    <s v="FAC"/>
    <s v="005"/>
    <s v="00000042"/>
    <x v="28"/>
    <s v="AWL231"/>
    <d v="2019-10-11T00:00:00"/>
    <s v="20100041953"/>
    <s v="RIMAC SEGUROS  Y REASEGUROS S.A"/>
    <s v="320001"/>
    <s v="REPUESTOS"/>
    <s v="000"/>
    <s v="001"/>
    <s v="CONTADO"/>
    <s v="002"/>
    <s v="REPUESTOS"/>
    <s v="$"/>
    <n v="3.335"/>
    <n v="1"/>
    <n v="0"/>
    <n v="0"/>
    <n v="0"/>
    <n v="0"/>
    <n v="0"/>
    <d v="2019-11-05T00:00:00"/>
    <s v="005-00000102"/>
    <n v="150"/>
    <n v="44.7857001"/>
    <n v="0"/>
    <n v="0"/>
    <n v="40.250250000000001"/>
    <n v="0"/>
    <n v="0"/>
    <n v="0"/>
    <n v="85.035950100000008"/>
    <n v="64.964049899999992"/>
    <n v="0.43309366599999993"/>
    <s v="C.C"/>
    <s v="MECANICA"/>
    <s v="Noviembre"/>
    <n v="2019"/>
    <n v="8"/>
    <n v="1"/>
    <d v="2019-10-28T00:00:00"/>
    <s v="C4A-237"/>
    <s v="KIA"/>
    <s v="RIO"/>
    <s v="MIñAN VARGAS JULIO CESAR"/>
  </r>
  <r>
    <x v="12"/>
    <s v="FAC"/>
    <s v="005"/>
    <s v="00000043"/>
    <x v="30"/>
    <s v="BCZ165"/>
    <d v="2019-10-22T00:00:00"/>
    <s v="20513366826"/>
    <s v="CORE MINERALS PERU S.A"/>
    <s v="310120"/>
    <s v="FRANQUICIA"/>
    <s v="000"/>
    <s v="001"/>
    <s v="CONTADO"/>
    <s v="002"/>
    <s v="FRANQUICIA"/>
    <s v="$"/>
    <n v="3.335"/>
    <n v="1"/>
    <n v="100"/>
    <n v="100"/>
    <n v="18"/>
    <n v="118"/>
    <n v="333.5"/>
    <d v="2019-11-07T00:00:00"/>
    <s v="005-00000120"/>
    <n v="1102.4237099999998"/>
    <n v="273.30762249999998"/>
    <n v="277.96610169491527"/>
    <n v="135.59322033898306"/>
    <n v="40.250250000000001"/>
    <n v="0"/>
    <n v="0"/>
    <n v="0"/>
    <n v="727.11719453389844"/>
    <n v="375.30651546610136"/>
    <n v="0.34043763034278485"/>
    <s v="C.C"/>
    <s v="MECANICA"/>
    <s v="Noviembre"/>
    <n v="2019"/>
    <n v="8"/>
    <n v="1"/>
    <d v="2019-10-30T00:00:00"/>
    <s v="AFS-436"/>
    <s v="MITSUBISHI"/>
    <s v="MIRAGE"/>
    <s v="FERNANDEZ RENGIFO ESSENIN FERNANDO"/>
  </r>
  <r>
    <x v="12"/>
    <s v="FAC"/>
    <s v="005"/>
    <s v="00000044"/>
    <x v="31"/>
    <s v="AYM428"/>
    <d v="2019-10-05T00:00:00"/>
    <s v="20547583168"/>
    <s v="AUTOCLASS S.A.C."/>
    <s v="1302020001"/>
    <s v="PINTURA"/>
    <s v="000"/>
    <s v="001"/>
    <s v="CONTADO"/>
    <s v="009"/>
    <s v="PINTURA"/>
    <s v="S/."/>
    <n v="3.335"/>
    <n v="1"/>
    <n v="1957.5"/>
    <n v="1957.5"/>
    <n v="352.35010000000011"/>
    <n v="2309.8501000000001"/>
    <n v="1957.5"/>
    <d v="2019-11-07T00:00:00"/>
    <s v="005-00000097"/>
    <n v="211.87289000000001"/>
    <n v="78.342899499999987"/>
    <n v="0"/>
    <n v="0"/>
    <n v="0"/>
    <n v="0"/>
    <n v="0"/>
    <n v="0"/>
    <n v="78.342899499999987"/>
    <n v="133.52999050000003"/>
    <n v="0.63023631999355845"/>
    <s v="C.C"/>
    <s v="MECANICA"/>
    <s v="Noviembre"/>
    <n v="2019"/>
    <n v="13"/>
    <n v="1"/>
    <d v="2019-10-25T00:00:00"/>
    <s v="AFS436"/>
    <s v="MITSUBISHI"/>
    <s v="MIRAGE"/>
    <s v="FERNANDEZ RENGIFO ESSENIN FERNANDO"/>
  </r>
  <r>
    <x v="12"/>
    <s v="FAC"/>
    <s v="005"/>
    <s v="00000044"/>
    <x v="31"/>
    <s v="AYM428"/>
    <d v="2019-10-05T00:00:00"/>
    <s v="20547583168"/>
    <s v="AUTOCLASS S.A.C."/>
    <s v="1201020001"/>
    <s v="PLANCHADO"/>
    <s v="000"/>
    <s v="001"/>
    <s v="CONTADO"/>
    <s v="001"/>
    <s v="PLANCHADO"/>
    <s v="S/."/>
    <n v="3.335"/>
    <n v="1"/>
    <n v="945"/>
    <n v="945"/>
    <n v="170.09999999999985"/>
    <n v="1115.0999999999999"/>
    <n v="945"/>
    <d v="2019-11-12T00:00:00"/>
    <s v="005-00000154"/>
    <n v="449"/>
    <n v="82.004799999999989"/>
    <n v="12.71"/>
    <n v="0"/>
    <n v="40.250250000000001"/>
    <n v="0"/>
    <n v="0"/>
    <n v="0"/>
    <n v="134.96504999999999"/>
    <n v="314.03494999999998"/>
    <n v="0.69940968819599103"/>
    <s v="C.C"/>
    <s v="MECANICA"/>
    <s v="Noviembre"/>
    <n v="2019"/>
    <n v="6"/>
    <n v="1"/>
    <d v="2019-11-06T00:00:00"/>
    <s v="C4W-101"/>
    <s v="CHEVROLET"/>
    <s v="CRUZE"/>
    <s v="MONTEZA SAAVEDRA RODOLFO"/>
  </r>
  <r>
    <x v="12"/>
    <s v="FAC"/>
    <s v="005"/>
    <s v="00000044"/>
    <x v="31"/>
    <s v="AYM428"/>
    <d v="2019-10-05T00:00:00"/>
    <s v="20547583168"/>
    <s v="AUTOCLASS S.A.C."/>
    <s v="2908010001"/>
    <s v="TERCEROS"/>
    <s v="000"/>
    <s v="001"/>
    <s v="CONTADO"/>
    <s v="002"/>
    <s v="TERCEROS"/>
    <s v="S/."/>
    <n v="3.335"/>
    <n v="1"/>
    <n v="525"/>
    <n v="525"/>
    <n v="94.5"/>
    <n v="619.5"/>
    <n v="525"/>
    <d v="2019-11-12T00:00:00"/>
    <s v="005-00000168"/>
    <n v="867.5"/>
    <n v="822.02598999999998"/>
    <n v="0"/>
    <n v="0"/>
    <n v="40.250250000000001"/>
    <n v="0"/>
    <n v="0"/>
    <n v="0"/>
    <n v="862.27624000000003"/>
    <n v="5.2237599999999702"/>
    <n v="6.021625360230513E-3"/>
    <s v="C.C"/>
    <s v="MECANICA"/>
    <s v="Noviembre"/>
    <n v="2019"/>
    <n v="4"/>
    <n v="1"/>
    <d v="2019-11-08T00:00:00"/>
    <s v="C4W-101"/>
    <s v="CHEVROLET"/>
    <s v="CRUZE"/>
    <s v="MONTEZA SAAVEDRA RODOLFO"/>
  </r>
  <r>
    <x v="12"/>
    <s v="FAC"/>
    <s v="005"/>
    <s v="00000044"/>
    <x v="31"/>
    <s v="AYM428"/>
    <d v="2019-10-05T00:00:00"/>
    <s v="20547583168"/>
    <s v="AUTOCLASS S.A.C."/>
    <s v="2805010001"/>
    <s v="SERVICIOS"/>
    <s v="000"/>
    <s v="001"/>
    <s v="CONTADO"/>
    <s v="002"/>
    <s v="MECANICA"/>
    <s v="S/."/>
    <n v="3.335"/>
    <n v="1"/>
    <n v="510"/>
    <n v="510"/>
    <n v="91.799990000000037"/>
    <n v="601.79998999999998"/>
    <n v="510"/>
    <d v="2019-11-14T00:00:00"/>
    <s v="005-00000170"/>
    <n v="287.48625996799996"/>
    <n v="0"/>
    <n v="0"/>
    <n v="0"/>
    <n v="0"/>
    <n v="15.075000000000001"/>
    <n v="70.350000000000009"/>
    <n v="0"/>
    <n v="85.425000000000011"/>
    <n v="202.06125996799994"/>
    <n v="0.70285536425459549"/>
    <s v="C.C"/>
    <s v="LEVE"/>
    <s v="Noviembre"/>
    <n v="2019"/>
    <n v="3"/>
    <n v="1"/>
    <d v="2019-11-11T00:00:00"/>
    <s v="B8U-602"/>
    <s v="SUBARU"/>
    <s v="FORESTER"/>
    <s v="NUÑEZ SALINAS RAUL ENRIQUE"/>
  </r>
  <r>
    <x v="12"/>
    <s v="FAC"/>
    <s v="005"/>
    <s v="00000044"/>
    <x v="31"/>
    <s v="AYM428"/>
    <d v="2019-10-05T00:00:00"/>
    <s v="20547583168"/>
    <s v="AUTOCLASS S.A.C."/>
    <s v="320001"/>
    <s v="REPUESTOS"/>
    <s v="000"/>
    <s v="001"/>
    <s v="CONTADO"/>
    <s v="002"/>
    <s v="REPUESTOS"/>
    <s v="S/."/>
    <n v="3.335"/>
    <n v="1"/>
    <n v="2221"/>
    <n v="2221"/>
    <n v="399.78"/>
    <n v="2620.7800000000002"/>
    <n v="2221"/>
    <d v="2019-11-14T00:00:00"/>
    <s v="005-00000174"/>
    <n v="450"/>
    <n v="112.27309794999998"/>
    <n v="20.34"/>
    <n v="0"/>
    <n v="40.250250000000001"/>
    <n v="0"/>
    <n v="0"/>
    <n v="0"/>
    <n v="172.86334794999996"/>
    <n v="277.13665205000007"/>
    <n v="0.61585922677777793"/>
    <s v="C.C"/>
    <s v="MECANICA"/>
    <s v="Noviembre"/>
    <n v="2019"/>
    <n v="0"/>
    <n v="1"/>
    <d v="2019-11-14T00:00:00"/>
    <s v="A2Q-372"/>
    <s v="FORD"/>
    <s v="EXPLORER"/>
    <s v="SALVATIERRA YARACSA KARINA"/>
  </r>
  <r>
    <x v="12"/>
    <s v="FAC"/>
    <s v="005"/>
    <s v="00000045"/>
    <x v="32"/>
    <s v="BHA218"/>
    <d v="2019-10-09T00:00:00"/>
    <s v="20547583168"/>
    <s v="AUTOCLASS S.A.C."/>
    <s v="1302020001"/>
    <s v="PINTURA"/>
    <s v="000"/>
    <s v="001"/>
    <s v="CONTADO"/>
    <s v="009"/>
    <s v="PINTURA"/>
    <s v="S/."/>
    <n v="3.335"/>
    <n v="1"/>
    <n v="1248.7542000000003"/>
    <n v="1248.7542000000001"/>
    <n v="224.77579999999972"/>
    <n v="1473.53"/>
    <n v="1248.7542000000001"/>
    <d v="2019-11-16T00:00:00"/>
    <s v="005-00000176"/>
    <n v="349"/>
    <n v="121.7889"/>
    <n v="0"/>
    <n v="42.37"/>
    <n v="40.250250000000001"/>
    <n v="0"/>
    <n v="0"/>
    <n v="0"/>
    <n v="204.40914999999998"/>
    <n v="144.59085000000002"/>
    <n v="0.41430042979942699"/>
    <s v="C.C"/>
    <s v="MECANICA"/>
    <s v="Noviembre"/>
    <n v="2019"/>
    <n v="0"/>
    <n v="1"/>
    <d v="2019-11-16T00:00:00"/>
    <s v="APE-333"/>
    <s v="VOLKWAGEN"/>
    <s v="GOL"/>
    <s v="ALIAGA MORALES GUSTAVO"/>
  </r>
  <r>
    <x v="12"/>
    <s v="FAC"/>
    <s v="005"/>
    <s v="00000045"/>
    <x v="32"/>
    <s v="BHA218"/>
    <d v="2019-10-09T00:00:00"/>
    <s v="20547583168"/>
    <s v="AUTOCLASS S.A.C."/>
    <s v="1201020001"/>
    <s v="PLANCHADO"/>
    <s v="000"/>
    <s v="001"/>
    <s v="CONTADO"/>
    <s v="001"/>
    <s v="PLANCHADO"/>
    <s v="S/."/>
    <n v="3.335"/>
    <n v="1"/>
    <n v="560"/>
    <n v="560"/>
    <n v="100.79998999999997"/>
    <n v="660.79998999999998"/>
    <n v="560"/>
    <d v="2019-11-18T00:00:00"/>
    <s v="005-00000136"/>
    <n v="1686.4999837299988"/>
    <n v="0"/>
    <n v="0"/>
    <n v="0"/>
    <n v="0"/>
    <n v="90.45"/>
    <n v="369.33750000000003"/>
    <n v="0"/>
    <n v="459.78750000000002"/>
    <n v="1226.7124837299989"/>
    <n v="0.7273717732370818"/>
    <s v="RIMAC"/>
    <s v="LEVE"/>
    <s v="Noviembre"/>
    <n v="2019"/>
    <n v="14"/>
    <n v="1"/>
    <d v="2019-11-04T00:00:00"/>
    <s v="ATF-661"/>
    <s v="HONDA"/>
    <s v="PILOT"/>
    <s v="PRIETO DUCLOS MARIA ELSA"/>
  </r>
  <r>
    <x v="12"/>
    <s v="FAC"/>
    <s v="005"/>
    <s v="00000045"/>
    <x v="32"/>
    <s v="BHA218"/>
    <d v="2019-10-09T00:00:00"/>
    <s v="20547583168"/>
    <s v="AUTOCLASS S.A.C."/>
    <s v="2908010001"/>
    <s v="TERCEROS"/>
    <s v="000"/>
    <s v="001"/>
    <s v="CONTADO"/>
    <s v="002"/>
    <s v="TERCEROS"/>
    <s v="S/."/>
    <n v="3.335"/>
    <n v="1"/>
    <n v="190"/>
    <n v="190"/>
    <n v="34.200000000000003"/>
    <n v="224.2"/>
    <n v="190"/>
    <d v="2019-11-18T00:00:00"/>
    <s v="005-00000172"/>
    <n v="337.29998999999998"/>
    <n v="0"/>
    <n v="0"/>
    <n v="0"/>
    <n v="0"/>
    <n v="37.6875"/>
    <n v="70.350000000000009"/>
    <n v="0"/>
    <n v="108.03750000000001"/>
    <n v="229.26248999999996"/>
    <n v="0.6796990714408262"/>
    <s v="C.C"/>
    <s v="LEVE"/>
    <s v="Noviembre"/>
    <n v="2019"/>
    <n v="6"/>
    <n v="1"/>
    <d v="2019-11-12T00:00:00"/>
    <s v="ATT-292"/>
    <s v="CHEVROLET"/>
    <s v="CRUZE"/>
    <s v="JAYO PACHECO JORGE LUIS"/>
  </r>
  <r>
    <x v="12"/>
    <s v="FAC"/>
    <s v="005"/>
    <s v="00000045"/>
    <x v="32"/>
    <s v="BHA218"/>
    <d v="2019-10-09T00:00:00"/>
    <s v="20547583168"/>
    <s v="AUTOCLASS S.A.C."/>
    <s v="2805010001"/>
    <s v="SERVICIOS"/>
    <s v="000"/>
    <s v="001"/>
    <s v="CONTADO"/>
    <s v="002"/>
    <s v="MECANICA"/>
    <s v="S/."/>
    <n v="3.335"/>
    <n v="1"/>
    <n v="230"/>
    <n v="230"/>
    <n v="41.39998999999996"/>
    <n v="271.39998999999995"/>
    <n v="230"/>
    <d v="2019-11-20T00:00:00"/>
    <s v="005-00000182"/>
    <n v="260"/>
    <n v="160"/>
    <n v="0"/>
    <n v="0"/>
    <n v="0"/>
    <n v="0"/>
    <n v="0"/>
    <n v="0"/>
    <n v="160"/>
    <n v="100"/>
    <n v="0.38461538461538464"/>
    <s v="C.C"/>
    <s v="LEVE"/>
    <s v="Noviembre"/>
    <n v="2019"/>
    <n v="1"/>
    <n v="1"/>
    <d v="2019-11-19T00:00:00"/>
    <s v="C3K443"/>
    <s v="KIA"/>
    <s v="RIO"/>
    <s v="CARRERA DONDERO JOSE ANTONIO"/>
  </r>
  <r>
    <x v="12"/>
    <s v="FAC"/>
    <s v="005"/>
    <s v="00000045"/>
    <x v="32"/>
    <s v="BHA218"/>
    <d v="2019-10-09T00:00:00"/>
    <s v="20547583168"/>
    <s v="AUTOCLASS S.A.C."/>
    <s v="320001"/>
    <s v="REPUESTOS"/>
    <s v="000"/>
    <s v="001"/>
    <s v="CONTADO"/>
    <s v="002"/>
    <s v="REPUESTOS"/>
    <s v="S/."/>
    <n v="3.335"/>
    <n v="1"/>
    <n v="816"/>
    <n v="816"/>
    <n v="146.88"/>
    <n v="962.88"/>
    <n v="816"/>
    <d v="2019-11-20T00:00:00"/>
    <s v="005-00000185"/>
    <n v="16.949200000000001"/>
    <n v="3.8136001000000004"/>
    <n v="0"/>
    <n v="0"/>
    <n v="0"/>
    <n v="0"/>
    <n v="0"/>
    <n v="0"/>
    <n v="3.8136001000000004"/>
    <n v="13.135599900000001"/>
    <n v="0.77499822410497254"/>
    <s v="C.C"/>
    <s v="MECANICA"/>
    <s v="Noviembre"/>
    <n v="2019"/>
    <n v="0"/>
    <n v="1"/>
    <d v="2019-11-20T00:00:00"/>
    <s v="BBE558"/>
    <s v="NISSAN"/>
    <s v="VERSA"/>
    <s v="SANCHEZ ALVARADO JULIO MOISES"/>
  </r>
  <r>
    <x v="12"/>
    <s v="FAC"/>
    <s v="005"/>
    <s v="00000046"/>
    <x v="33"/>
    <s v="AWG565"/>
    <d v="2019-10-07T00:00:00"/>
    <s v="20547583168"/>
    <s v="AUTOCLASS S.A.C."/>
    <s v="1302020001"/>
    <s v="PINTURA"/>
    <s v="000"/>
    <s v="001"/>
    <s v="CONTADO"/>
    <s v="009"/>
    <s v="PINTURA"/>
    <s v="S/."/>
    <n v="3.335"/>
    <n v="1"/>
    <n v="1620"/>
    <n v="1620"/>
    <n v="291.60000000000002"/>
    <n v="1911.6"/>
    <n v="1620"/>
    <d v="2019-11-30T00:00:00"/>
    <s v="005-00000220"/>
    <n v="350"/>
    <n v="75.577799099999993"/>
    <n v="0"/>
    <n v="71.19"/>
    <n v="40.250250000000001"/>
    <n v="0"/>
    <n v="0"/>
    <n v="0"/>
    <n v="187.01804909999998"/>
    <n v="162.98195090000002"/>
    <n v="0.46566271685714289"/>
    <s v="C.C"/>
    <s v="MECANICA"/>
    <s v="Noviembre"/>
    <n v="2019"/>
    <n v="0"/>
    <n v="1"/>
    <d v="2019-11-30T00:00:00"/>
    <s v="C3K-443"/>
    <s v="KIA"/>
    <s v="RIO"/>
    <s v="CARRERA DONDERO JOSE ANTONIO"/>
  </r>
  <r>
    <x v="12"/>
    <s v="FAC"/>
    <s v="005"/>
    <s v="00000046"/>
    <x v="33"/>
    <s v="AWG565"/>
    <d v="2019-10-07T00:00:00"/>
    <s v="20547583168"/>
    <s v="AUTOCLASS S.A.C."/>
    <s v="1201020001"/>
    <s v="PLANCHADO"/>
    <s v="000"/>
    <s v="001"/>
    <s v="CONTADO"/>
    <s v="001"/>
    <s v="PLANCHADO"/>
    <s v="S/."/>
    <n v="3.335"/>
    <n v="1"/>
    <n v="630"/>
    <n v="630"/>
    <n v="113.40002000000023"/>
    <n v="743.40002000000027"/>
    <n v="630"/>
    <d v="2019-12-19T00:00:00"/>
    <s v="005-00000107"/>
    <n v="9660.7542099999991"/>
    <n v="2156.2085459200002"/>
    <n v="262.72000000000003"/>
    <n v="466.63"/>
    <n v="425.86875000000003"/>
    <n v="271.35000000000002"/>
    <n v="1125.6000000000001"/>
    <n v="0"/>
    <n v="4708.3772959200005"/>
    <n v="4952.3769140799986"/>
    <n v="0.51262839385290593"/>
    <s v="ACCESO"/>
    <s v="GRAVE"/>
    <s v="Diciembre"/>
    <n v="2019"/>
    <n v="52"/>
    <n v="1"/>
    <d v="2019-10-28T00:00:00"/>
    <s v="AHV-171"/>
    <s v="KIA"/>
    <s v="RIO"/>
    <s v="EDPYME ACCESO CREDITICIO SOCIEDAD ANONIMA"/>
  </r>
  <r>
    <x v="12"/>
    <s v="FAC"/>
    <s v="005"/>
    <s v="00000046"/>
    <x v="33"/>
    <s v="AWG565"/>
    <d v="2019-10-07T00:00:00"/>
    <s v="20547583168"/>
    <s v="AUTOCLASS S.A.C."/>
    <s v="2908010001"/>
    <s v="TERCEROS"/>
    <s v="000"/>
    <s v="001"/>
    <s v="CONTADO"/>
    <s v="002"/>
    <s v="TERCEROS"/>
    <s v="S/."/>
    <n v="3.335"/>
    <n v="1"/>
    <n v="500"/>
    <n v="500"/>
    <n v="90"/>
    <n v="590"/>
    <n v="500"/>
    <d v="2019-12-10T00:00:00"/>
    <s v="005-00000166"/>
    <n v="11290.754209999999"/>
    <n v="2593.2663401100008"/>
    <n v="264.65999999999997"/>
    <n v="156.78"/>
    <n v="290.19375000000002"/>
    <n v="633.15"/>
    <n v="1266.3"/>
    <n v="0"/>
    <n v="5204.3500901100006"/>
    <n v="6086.4041198899986"/>
    <n v="0.53906089944809799"/>
    <s v="ACCESO"/>
    <s v="GRAVE"/>
    <s v="Diciembre"/>
    <n v="2019"/>
    <n v="32"/>
    <n v="1"/>
    <d v="2019-11-08T00:00:00"/>
    <s v="ANB-605"/>
    <s v="HYUNDAI"/>
    <s v="ACCENT"/>
    <s v="AUTOCLASS S.A.C."/>
  </r>
  <r>
    <x v="12"/>
    <s v="FAC"/>
    <s v="005"/>
    <s v="00000046"/>
    <x v="33"/>
    <s v="AWG565"/>
    <d v="2019-10-07T00:00:00"/>
    <s v="20547583168"/>
    <s v="AUTOCLASS S.A.C."/>
    <s v="2805010001"/>
    <s v="SERVICIOS"/>
    <s v="000"/>
    <s v="001"/>
    <s v="CONTADO"/>
    <s v="002"/>
    <s v="MECANICA"/>
    <s v="S/."/>
    <n v="3.335"/>
    <n v="1"/>
    <n v="330"/>
    <n v="330"/>
    <n v="59.399990000000031"/>
    <n v="389.39999000000006"/>
    <n v="330"/>
    <d v="2019-12-10T00:00:00"/>
    <s v="005-00000109"/>
    <n v="8205.2542099999991"/>
    <n v="2675.3039792599993"/>
    <n v="61.46"/>
    <n v="374.74203389830507"/>
    <n v="320.34375"/>
    <n v="271.35000000000002"/>
    <n v="949.72500000000002"/>
    <n v="0"/>
    <n v="4652.9247631583048"/>
    <n v="3552.3294468416943"/>
    <n v="0.43293350284167426"/>
    <s v="ACCESO"/>
    <s v="GRAVE"/>
    <s v="Diciembre"/>
    <n v="2019"/>
    <n v="43"/>
    <n v="1"/>
    <d v="2019-10-28T00:00:00"/>
    <s v="F6Q-533"/>
    <s v="CHEVROLET"/>
    <s v="SAIL"/>
    <s v="AUTOCLASS S.A.C."/>
  </r>
  <r>
    <x v="12"/>
    <s v="FAC"/>
    <s v="005"/>
    <s v="00000046"/>
    <x v="33"/>
    <s v="AWG565"/>
    <d v="2019-10-07T00:00:00"/>
    <s v="20547583168"/>
    <s v="AUTOCLASS S.A.C."/>
    <s v="320001"/>
    <s v="REPUESTOS"/>
    <s v="000"/>
    <s v="001"/>
    <s v="CONTADO"/>
    <s v="002"/>
    <s v="REPUESTOS"/>
    <s v="S/."/>
    <n v="3.335"/>
    <n v="1"/>
    <n v="1564.5"/>
    <n v="1564.5"/>
    <n v="281.61"/>
    <n v="1846.11"/>
    <n v="1564.5"/>
    <d v="2019-12-10T00:00:00"/>
    <s v="005-00000152"/>
    <n v="9800.7542099999991"/>
    <n v="2134.08030164"/>
    <n v="473.15"/>
    <n v="325.25"/>
    <n v="365.56875000000002"/>
    <n v="542.70000000000005"/>
    <n v="1266.3"/>
    <n v="0"/>
    <n v="5107.0490516400005"/>
    <n v="4693.7051583599987"/>
    <n v="0.47891264873991762"/>
    <s v="ACCESO"/>
    <s v="GRAVE"/>
    <s v="Diciembre"/>
    <n v="2019"/>
    <n v="34"/>
    <n v="1"/>
    <d v="2019-11-06T00:00:00"/>
    <s v="AMZ619"/>
    <s v="CHEVROLET"/>
    <s v="SAIL"/>
    <s v="AUTOCLASS S.A.C."/>
  </r>
  <r>
    <x v="12"/>
    <s v="FAC"/>
    <s v="005"/>
    <s v="00000047"/>
    <x v="34"/>
    <s v="BEQ226"/>
    <d v="2019-10-09T00:00:00"/>
    <s v="20547583168"/>
    <s v="AUTOCLASS S.A.C."/>
    <s v="1302020001"/>
    <s v="PINTURA"/>
    <s v="000"/>
    <s v="001"/>
    <s v="CONTADO"/>
    <s v="009"/>
    <s v="PINTURA"/>
    <s v="S/."/>
    <n v="3.335"/>
    <n v="1"/>
    <n v="1552.5"/>
    <n v="1552.5"/>
    <n v="279.45"/>
    <n v="1831.95"/>
    <n v="1552.5"/>
    <d v="2019-12-03T00:00:00"/>
    <s v="005-00000158"/>
    <n v="1786.5750524999999"/>
    <n v="0"/>
    <n v="0"/>
    <n v="0"/>
    <n v="0"/>
    <n v="120.60000000000001"/>
    <n v="351.75"/>
    <n v="0"/>
    <n v="472.35"/>
    <n v="1314.2250524999999"/>
    <n v="0.73561144305746995"/>
    <s v="RIMAC"/>
    <s v="LEVE"/>
    <s v="Diciembre"/>
    <n v="2019"/>
    <n v="26"/>
    <n v="1"/>
    <d v="2019-11-07T00:00:00"/>
    <s v="ROO-885"/>
    <s v="JEEP"/>
    <s v="GRANDCHEROKE"/>
    <s v="RIMAC SEGUROS  Y REASEGUROS S.A"/>
  </r>
  <r>
    <x v="12"/>
    <s v="FAC"/>
    <s v="005"/>
    <s v="00000047"/>
    <x v="34"/>
    <s v="BEQ226"/>
    <d v="2019-10-09T00:00:00"/>
    <s v="20547583168"/>
    <s v="AUTOCLASS S.A.C."/>
    <s v="1201020001"/>
    <s v="PLANCHADO"/>
    <s v="000"/>
    <s v="001"/>
    <s v="CONTADO"/>
    <s v="001"/>
    <s v="PLANCHADO"/>
    <s v="S/."/>
    <n v="3.335"/>
    <n v="1"/>
    <n v="735"/>
    <n v="735"/>
    <n v="132.29998999999995"/>
    <n v="867.29998999999998"/>
    <n v="735"/>
    <d v="2019-12-03T00:00:00"/>
    <s v="005-00000211"/>
    <n v="682.30152005000002"/>
    <n v="0"/>
    <n v="0"/>
    <n v="0"/>
    <n v="0"/>
    <n v="30.150000000000002"/>
    <n v="140.70000000000002"/>
    <n v="0"/>
    <n v="170.85000000000002"/>
    <n v="511.45152005"/>
    <n v="0.74959750934238001"/>
    <s v="RIMAC"/>
    <s v="LEVE"/>
    <s v="Diciembre"/>
    <n v="2019"/>
    <n v="7"/>
    <n v="1"/>
    <d v="2019-11-26T00:00:00"/>
    <s v="BDG-262"/>
    <s v="KIA"/>
    <s v="RIO"/>
    <s v="RIMAC SEGUROS  Y REASEGUROS S.A"/>
  </r>
  <r>
    <x v="12"/>
    <s v="FAC"/>
    <s v="005"/>
    <s v="00000047"/>
    <x v="34"/>
    <s v="BEQ226"/>
    <d v="2019-10-09T00:00:00"/>
    <s v="20547583168"/>
    <s v="AUTOCLASS S.A.C."/>
    <s v="2908010001"/>
    <s v="TERCEROS"/>
    <s v="000"/>
    <s v="001"/>
    <s v="CONTADO"/>
    <s v="002"/>
    <s v="TERCEROS"/>
    <s v="S/."/>
    <n v="3.335"/>
    <n v="1"/>
    <n v="930"/>
    <n v="930"/>
    <n v="167.4"/>
    <n v="1097.4000000000001"/>
    <n v="930"/>
    <d v="2019-12-05T00:00:00"/>
    <s v="005-00000193"/>
    <n v="1905.7542100000001"/>
    <n v="395.91630899999996"/>
    <n v="0"/>
    <n v="16.95"/>
    <n v="185.42250000000001"/>
    <n v="0"/>
    <n v="0"/>
    <n v="0"/>
    <n v="598.2888089999999"/>
    <n v="1307.4654010000002"/>
    <n v="0.68606192453327974"/>
    <s v="ACCESO"/>
    <s v="MEDIANO"/>
    <s v="Diciembre"/>
    <n v="2019"/>
    <n v="14"/>
    <n v="1"/>
    <d v="2019-11-21T00:00:00"/>
    <s v="ARN-470"/>
    <s v="BYD"/>
    <s v="F3"/>
    <s v="EDPYME ACCESO CREDITICIO SOCIEDAD ANONIMA"/>
  </r>
  <r>
    <x v="12"/>
    <s v="FAC"/>
    <s v="005"/>
    <s v="00000047"/>
    <x v="34"/>
    <s v="BEQ226"/>
    <d v="2019-10-09T00:00:00"/>
    <s v="20547583168"/>
    <s v="AUTOCLASS S.A.C."/>
    <s v="2908010002"/>
    <s v="AMPLIACION DE REPUESTO"/>
    <s v="000"/>
    <s v="001"/>
    <s v="CONTADO"/>
    <s v="002"/>
    <s v="REPUESTOS"/>
    <s v="S/."/>
    <n v="3.335"/>
    <n v="1"/>
    <n v="495"/>
    <n v="495"/>
    <n v="89.099979999999917"/>
    <n v="584.09997999999996"/>
    <n v="495"/>
    <d v="2019-12-05T00:00:00"/>
    <s v="005-00000167"/>
    <n v="9545.7542099999991"/>
    <n v="2700.1454673000003"/>
    <n v="170.84186440677968"/>
    <n v="284.58"/>
    <n v="124.36875000000001"/>
    <n v="633.15"/>
    <n v="1266.3"/>
    <n v="0"/>
    <n v="5179.3860817067798"/>
    <n v="4366.3681282932193"/>
    <n v="0.4574146821965176"/>
    <s v="ACCESO"/>
    <s v="GRAVE"/>
    <s v="Diciembre"/>
    <n v="2019"/>
    <n v="27"/>
    <n v="1"/>
    <d v="2019-11-08T00:00:00"/>
    <s v="AVA-610"/>
    <s v="CHEVROLET"/>
    <s v="SAIL"/>
    <s v="EDPYME ACCESO CREDITICIO SOCIEDAD ANONIMA"/>
  </r>
  <r>
    <x v="12"/>
    <s v="FAC"/>
    <s v="005"/>
    <s v="00000047"/>
    <x v="34"/>
    <s v="BEQ226"/>
    <d v="2019-10-09T00:00:00"/>
    <s v="20547583168"/>
    <s v="AUTOCLASS S.A.C."/>
    <s v="2908010003"/>
    <s v="AMPLIACION DE PINTURA"/>
    <s v="000"/>
    <s v="001"/>
    <s v="CONTADO"/>
    <s v="002"/>
    <s v="PINTURA"/>
    <s v="S/."/>
    <n v="3.335"/>
    <n v="1"/>
    <n v="135"/>
    <n v="135"/>
    <n v="24.3"/>
    <n v="159.30000000000001"/>
    <n v="135"/>
    <d v="2019-12-06T00:00:00"/>
    <s v="005-00000205"/>
    <n v="1157.6500342500001"/>
    <n v="0"/>
    <n v="0"/>
    <n v="0"/>
    <n v="0"/>
    <n v="90.45"/>
    <n v="175.875"/>
    <n v="0"/>
    <n v="266.32499999999999"/>
    <n v="891.32503425000004"/>
    <n v="0.769943426665605"/>
    <s v="RIMAC"/>
    <s v="LEVE"/>
    <s v="Diciembre"/>
    <n v="2019"/>
    <n v="11"/>
    <n v="1"/>
    <d v="2019-11-25T00:00:00"/>
    <s v="ASW-232"/>
    <s v="MITSUBISHI"/>
    <s v="OUTLANDER"/>
    <s v="RIMAC SEGUROS  Y REASEGUROS S.A"/>
  </r>
  <r>
    <x v="12"/>
    <s v="FAC"/>
    <s v="005"/>
    <s v="00000047"/>
    <x v="34"/>
    <s v="BEQ226"/>
    <d v="2019-10-09T00:00:00"/>
    <s v="20547583168"/>
    <s v="AUTOCLASS S.A.C."/>
    <s v="2805010001"/>
    <s v="SERVICIOS"/>
    <s v="000"/>
    <s v="001"/>
    <s v="CONTADO"/>
    <s v="002"/>
    <s v="MECANICA"/>
    <s v="S/."/>
    <n v="3.335"/>
    <n v="1"/>
    <n v="380"/>
    <n v="380"/>
    <n v="68.399990000000031"/>
    <n v="448.39999000000006"/>
    <n v="380"/>
    <d v="2019-12-06T00:00:00"/>
    <s v="005-00000222"/>
    <n v="730"/>
    <n v="0"/>
    <n v="0"/>
    <n v="0"/>
    <n v="30.150000000000002"/>
    <n v="0"/>
    <n v="0"/>
    <n v="0"/>
    <n v="30.150000000000002"/>
    <n v="699.85"/>
    <n v="0.95869863013698631"/>
    <s v="ACCESO"/>
    <s v="LEVE"/>
    <s v="Diciembre"/>
    <n v="2019"/>
    <n v="4"/>
    <n v="1"/>
    <d v="2019-12-02T00:00:00"/>
    <s v="F5O-186"/>
    <s v="NISSAN"/>
    <s v="TIIDA"/>
    <s v="EDPYME ACCESO CREDITICIO SOCIEDAD ANONIMA"/>
  </r>
  <r>
    <x v="12"/>
    <s v="FAC"/>
    <s v="005"/>
    <s v="00000047"/>
    <x v="34"/>
    <s v="BEQ226"/>
    <d v="2019-10-09T00:00:00"/>
    <s v="20547583168"/>
    <s v="AUTOCLASS S.A.C."/>
    <s v="2805010002"/>
    <s v="AMPLIACION MECANICA"/>
    <s v="000"/>
    <s v="001"/>
    <s v="CONTADO"/>
    <s v="002"/>
    <s v="MECANICA"/>
    <s v="S/."/>
    <n v="3.335"/>
    <n v="1"/>
    <n v="80"/>
    <n v="80"/>
    <n v="14.400002000000004"/>
    <n v="94.400002000000001"/>
    <n v="80"/>
    <d v="2019-12-06T00:00:00"/>
    <s v="005-00000209"/>
    <n v="1653.42"/>
    <n v="0"/>
    <n v="0"/>
    <n v="0"/>
    <n v="0"/>
    <n v="75.375"/>
    <n v="422.1"/>
    <n v="0"/>
    <n v="497.47500000000002"/>
    <n v="1155.9450000000002"/>
    <n v="0.69912363464818383"/>
    <s v="RIMAC"/>
    <s v="LEVE"/>
    <s v="Diciembre"/>
    <n v="2019"/>
    <n v="11"/>
    <n v="1"/>
    <d v="2019-11-25T00:00:00"/>
    <s v="BDW-631"/>
    <s v="MAZDA"/>
    <s v="MAZDA3"/>
    <s v="RIMAC SEGUROS  Y REASEGUROS S.A"/>
  </r>
  <r>
    <x v="12"/>
    <s v="FAC"/>
    <s v="005"/>
    <s v="00000047"/>
    <x v="34"/>
    <s v="BEQ226"/>
    <d v="2019-10-09T00:00:00"/>
    <s v="20547583168"/>
    <s v="AUTOCLASS S.A.C."/>
    <s v="320001"/>
    <s v="REPUESTOS"/>
    <s v="000"/>
    <s v="001"/>
    <s v="CONTADO"/>
    <s v="002"/>
    <s v="REPUESTOS"/>
    <s v="S/."/>
    <n v="3.335"/>
    <n v="1"/>
    <n v="3275"/>
    <n v="3275"/>
    <n v="589.5"/>
    <n v="3864.5"/>
    <n v="3275"/>
    <d v="2019-12-07T00:00:00"/>
    <s v="005-00000215"/>
    <n v="1293.2325000000001"/>
    <n v="0"/>
    <n v="0"/>
    <n v="0"/>
    <n v="0"/>
    <n v="105.52500000000001"/>
    <n v="175.875"/>
    <n v="0"/>
    <n v="281.39999999999998"/>
    <n v="1011.8325000000001"/>
    <n v="0.78240571590955221"/>
    <s v="RIMAC"/>
    <s v="LEVE"/>
    <s v="Diciembre"/>
    <n v="2019"/>
    <n v="8"/>
    <n v="1"/>
    <d v="2019-11-29T00:00:00"/>
    <s v="ASM-675"/>
    <s v="NISSAN"/>
    <s v="SENTRA"/>
    <s v="RIMAC SEGUROS  Y REASEGUROS S.A"/>
  </r>
  <r>
    <x v="12"/>
    <s v="FAC"/>
    <s v="005"/>
    <s v="00000048"/>
    <x v="30"/>
    <s v="BCZ165"/>
    <d v="2019-10-22T00:00:00"/>
    <s v="20100041953"/>
    <s v="RIMAC SEGUROS  Y REASEGUROS S.A"/>
    <s v="1302020001"/>
    <s v="PINTURA"/>
    <s v="000"/>
    <s v="001"/>
    <s v="CONTADO"/>
    <s v="009"/>
    <s v="PINTURA"/>
    <s v="$"/>
    <n v="3.335"/>
    <n v="1"/>
    <n v="118"/>
    <n v="118"/>
    <n v="21.240010000000019"/>
    <n v="139.24001000000001"/>
    <n v="393.53"/>
    <d v="2019-12-07T00:00:00"/>
    <s v="005-00000212"/>
    <n v="2062.41"/>
    <n v="0"/>
    <n v="0"/>
    <n v="0"/>
    <n v="0"/>
    <n v="211.05"/>
    <n v="351.75"/>
    <n v="0"/>
    <n v="562.79999999999995"/>
    <n v="1499.61"/>
    <n v="0.72711536503411056"/>
    <s v="RIMAC"/>
    <s v="MEDIANO"/>
    <s v="Diciembre"/>
    <n v="2019"/>
    <n v="11"/>
    <n v="1"/>
    <d v="2019-11-26T00:00:00"/>
    <s v="BFS-488"/>
    <s v="TOYOTA"/>
    <s v="AVANZA"/>
    <s v="RIMAC SEGUROS  Y REASEGUROS S.A"/>
  </r>
  <r>
    <x v="12"/>
    <s v="FAC"/>
    <s v="005"/>
    <s v="00000048"/>
    <x v="30"/>
    <s v="BCZ165"/>
    <d v="2019-10-22T00:00:00"/>
    <s v="20100041953"/>
    <s v="RIMAC SEGUROS  Y REASEGUROS S.A"/>
    <s v="1201020001"/>
    <s v="PLANCHADO"/>
    <s v="000"/>
    <s v="001"/>
    <s v="CONTADO"/>
    <s v="001"/>
    <s v="PLANCHADO"/>
    <s v="$"/>
    <n v="3.335"/>
    <n v="1"/>
    <n v="90"/>
    <n v="90"/>
    <n v="16.2"/>
    <n v="106.2"/>
    <n v="300.14999999999998"/>
    <d v="2019-12-07T00:00:00"/>
    <s v="005-00000188"/>
    <n v="9915.7542099999991"/>
    <n v="1797.6908077000001"/>
    <n v="29.66"/>
    <n v="118.65"/>
    <n v="275.11875000000003"/>
    <n v="482.40000000000003"/>
    <n v="1301.4750000000001"/>
    <n v="0"/>
    <n v="4004.9945577000008"/>
    <n v="5910.7596522999984"/>
    <n v="0.5960978385627006"/>
    <s v="ACCESO"/>
    <s v="GRAVE"/>
    <s v="Diciembre"/>
    <n v="2019"/>
    <n v="16"/>
    <n v="1"/>
    <d v="2019-11-21T00:00:00"/>
    <s v="AJJ-599"/>
    <s v="KIA"/>
    <s v="RIO"/>
    <s v="EDPYME ACCESO CREDITICIO SOCIEDAD ANONIMA"/>
  </r>
  <r>
    <x v="12"/>
    <s v="FAC"/>
    <s v="005"/>
    <s v="00000048"/>
    <x v="30"/>
    <s v="BCZ165"/>
    <d v="2019-10-22T00:00:00"/>
    <s v="20100041953"/>
    <s v="RIMAC SEGUROS  Y REASEGUROS S.A"/>
    <s v="2908010001"/>
    <s v="TERCEROS"/>
    <s v="000"/>
    <s v="001"/>
    <s v="CONTADO"/>
    <s v="002"/>
    <s v="TERCEROS"/>
    <s v="$"/>
    <n v="3.335"/>
    <n v="1"/>
    <n v="25"/>
    <n v="25"/>
    <n v="4.5"/>
    <n v="29.5"/>
    <n v="83.375"/>
    <d v="2019-12-07T00:00:00"/>
    <s v="005-00000208"/>
    <n v="1445.3774999999998"/>
    <n v="0"/>
    <n v="0"/>
    <n v="110.16949152542374"/>
    <n v="0"/>
    <n v="120.60000000000001"/>
    <n v="158.28749999999999"/>
    <n v="0"/>
    <n v="389.05699152542377"/>
    <n v="1056.3205084745759"/>
    <n v="0.73082672760201128"/>
    <s v="C.C"/>
    <s v="LEVE"/>
    <s v="Diciembre"/>
    <n v="2019"/>
    <n v="12"/>
    <n v="1"/>
    <d v="2019-11-25T00:00:00"/>
    <s v="BDU-537"/>
    <s v="SUBARU"/>
    <s v="FORESTER"/>
    <s v="RENTAEQUIPOS LEASING PERU S.A."/>
  </r>
  <r>
    <x v="12"/>
    <s v="FAC"/>
    <s v="005"/>
    <s v="00000048"/>
    <x v="30"/>
    <s v="BCZ165"/>
    <d v="2019-10-22T00:00:00"/>
    <s v="20100041953"/>
    <s v="RIMAC SEGUROS  Y REASEGUROS S.A"/>
    <s v="310120"/>
    <s v="FRANQUICIA"/>
    <s v="000"/>
    <s v="001"/>
    <s v="CONTADO"/>
    <s v="002"/>
    <s v="FRANQUICIA"/>
    <s v="$"/>
    <n v="3.335"/>
    <n v="-1"/>
    <n v="100"/>
    <n v="-100"/>
    <n v="-18"/>
    <n v="-118"/>
    <n v="-333.5"/>
    <d v="2019-12-09T00:00:00"/>
    <s v="005-00000232"/>
    <n v="804.67800000000011"/>
    <n v="0"/>
    <n v="0"/>
    <n v="0"/>
    <n v="0"/>
    <n v="15.075000000000001"/>
    <n v="70.350000000000009"/>
    <n v="0"/>
    <n v="85.425000000000011"/>
    <n v="719.25300000000016"/>
    <n v="0.89383952338699457"/>
    <s v="RIMAC"/>
    <s v="LEVE"/>
    <s v="Diciembre"/>
    <n v="2019"/>
    <n v="6"/>
    <n v="1"/>
    <d v="2019-12-03T00:00:00"/>
    <s v="BFE-603"/>
    <s v="JEEP"/>
    <s v="GRANDCHEROKE"/>
    <s v="RENTAEQUIPOS LEASING PERU S.A."/>
  </r>
  <r>
    <x v="12"/>
    <s v="FAC"/>
    <s v="005"/>
    <s v="00000048"/>
    <x v="30"/>
    <s v="BCZ165"/>
    <d v="2019-10-22T00:00:00"/>
    <s v="20100041953"/>
    <s v="RIMAC SEGUROS  Y REASEGUROS S.A"/>
    <s v="320001"/>
    <s v="REPUESTOS"/>
    <s v="000"/>
    <s v="001"/>
    <s v="CONTADO"/>
    <s v="002"/>
    <s v="REPUESTOS"/>
    <s v="$"/>
    <n v="3.335"/>
    <n v="1"/>
    <n v="0"/>
    <n v="0"/>
    <n v="0"/>
    <n v="0"/>
    <n v="0"/>
    <d v="2019-12-09T00:00:00"/>
    <s v="005-00000229"/>
    <n v="1305.066"/>
    <n v="0"/>
    <n v="118.64406779661017"/>
    <n v="0"/>
    <n v="0"/>
    <n v="45.225000000000001"/>
    <n v="140.70000000000002"/>
    <n v="0"/>
    <n v="304.56906779661017"/>
    <n v="1000.4969322033899"/>
    <n v="0.76662554399807359"/>
    <s v="RIMAC"/>
    <s v="LEVE"/>
    <s v="Diciembre"/>
    <n v="2019"/>
    <n v="6"/>
    <n v="1"/>
    <d v="2019-12-03T00:00:00"/>
    <s v="BFE-603"/>
    <s v="JEEP"/>
    <s v="GRANDCHEROKE"/>
    <s v="RIMAC SEGUROS  Y REASEGUROS S.A"/>
  </r>
  <r>
    <x v="12"/>
    <s v="FAC"/>
    <s v="005"/>
    <s v="00000049"/>
    <x v="35"/>
    <s v="BLA251"/>
    <d v="2019-10-15T00:00:00"/>
    <s v="20509959766"/>
    <s v="RENTAEQUIPOS LEASING PERU S.A."/>
    <s v="310120"/>
    <s v="FRANQUICIA"/>
    <s v="000"/>
    <s v="001"/>
    <s v="CONTADO"/>
    <s v="002"/>
    <s v="FRANQUICIA"/>
    <s v="$"/>
    <n v="3.335"/>
    <n v="1"/>
    <n v="106.05929999999998"/>
    <n v="106.05929999999998"/>
    <n v="19.090700000000016"/>
    <n v="125.15"/>
    <n v="353.70776549999994"/>
    <d v="2019-12-09T00:00:00"/>
    <s v="005-00000227"/>
    <n v="1339.7354501999998"/>
    <n v="0"/>
    <n v="0"/>
    <n v="0"/>
    <n v="0"/>
    <n v="105.52500000000001"/>
    <n v="263.8125"/>
    <n v="0"/>
    <n v="369.33749999999998"/>
    <n v="970.39795019999985"/>
    <n v="0.72432057392758831"/>
    <s v="RIMAC"/>
    <s v="LEVE"/>
    <s v="Diciembre"/>
    <n v="2019"/>
    <n v="6"/>
    <n v="1"/>
    <d v="2019-12-03T00:00:00"/>
    <s v="BBQ-678"/>
    <s v="SUZUKI"/>
    <s v="SWIFT"/>
    <s v="RIMAC SEGUROS  Y REASEGUROS S.A"/>
  </r>
  <r>
    <x v="12"/>
    <s v="FAC"/>
    <s v="005"/>
    <s v="00000050"/>
    <x v="35"/>
    <s v="BLA251"/>
    <d v="2019-10-15T00:00:00"/>
    <s v="20100041953"/>
    <s v="RIMAC SEGUROS  Y REASEGUROS S.A"/>
    <s v="1302020001"/>
    <s v="PINTURA"/>
    <s v="000"/>
    <s v="001"/>
    <s v="CONTADO"/>
    <s v="009"/>
    <s v="PINTURA"/>
    <s v="$"/>
    <n v="3.335"/>
    <n v="1"/>
    <n v="280.25421"/>
    <n v="280.25420999999994"/>
    <n v="50.445800000000126"/>
    <n v="330.70001000000013"/>
    <n v="934.64779034999981"/>
    <d v="2019-12-10T00:00:00"/>
    <s v="005-00000223"/>
    <n v="654.03001934999998"/>
    <n v="0"/>
    <n v="0"/>
    <n v="0"/>
    <n v="0"/>
    <n v="60.300000000000004"/>
    <n v="105.52500000000001"/>
    <n v="0"/>
    <n v="165.82500000000002"/>
    <n v="488.20501934999993"/>
    <n v="0.7464565920616254"/>
    <s v="RIMAC"/>
    <s v="LEVE"/>
    <s v="Diciembre"/>
    <n v="2019"/>
    <n v="8"/>
    <n v="1"/>
    <d v="2019-12-02T00:00:00"/>
    <s v="AYK-320"/>
    <s v="TOYOTA"/>
    <s v="ETIOS"/>
    <s v="RIMAC SEGUROS  Y REASEGUROS S.A"/>
  </r>
  <r>
    <x v="12"/>
    <s v="FAC"/>
    <s v="005"/>
    <s v="00000050"/>
    <x v="35"/>
    <s v="BLA251"/>
    <d v="2019-10-15T00:00:00"/>
    <s v="20100041953"/>
    <s v="RIMAC SEGUROS  Y REASEGUROS S.A"/>
    <s v="1201020001"/>
    <s v="PLANCHADO"/>
    <s v="000"/>
    <s v="001"/>
    <s v="CONTADO"/>
    <s v="001"/>
    <s v="PLANCHADO"/>
    <s v="$"/>
    <n v="3.335"/>
    <n v="1"/>
    <n v="225"/>
    <n v="225"/>
    <n v="40.5"/>
    <n v="265.5"/>
    <n v="750.375"/>
    <d v="2019-12-11T00:00:00"/>
    <s v="005-00000079"/>
    <n v="8726.2542099999991"/>
    <n v="1721.0893380000002"/>
    <n v="203.38779661016949"/>
    <n v="349.11"/>
    <n v="260.04374999999999"/>
    <n v="452.25"/>
    <n v="1266.3"/>
    <n v="0"/>
    <n v="4252.1808846101694"/>
    <n v="4474.0733253898297"/>
    <n v="0.512714071550046"/>
    <s v="ACCESO"/>
    <s v="GRAVE"/>
    <s v="Diciembre"/>
    <n v="2019"/>
    <n v="50"/>
    <n v="1"/>
    <d v="2019-10-22T00:00:00"/>
    <s v="AWG-333"/>
    <s v="CHEVROLET"/>
    <s v="SAIL"/>
    <s v="EDPYME ACCESO CREDITICIO SOCIEDAD ANONIMA"/>
  </r>
  <r>
    <x v="12"/>
    <s v="FAC"/>
    <s v="005"/>
    <s v="00000050"/>
    <x v="35"/>
    <s v="BLA251"/>
    <d v="2019-10-15T00:00:00"/>
    <s v="20100041953"/>
    <s v="RIMAC SEGUROS  Y REASEGUROS S.A"/>
    <s v="2908010001"/>
    <s v="TERCEROS"/>
    <s v="000"/>
    <s v="001"/>
    <s v="CONTADO"/>
    <s v="002"/>
    <s v="TERCEROS"/>
    <s v="$"/>
    <n v="3.335"/>
    <n v="1"/>
    <n v="15"/>
    <n v="15"/>
    <n v="2.7000009999999999"/>
    <n v="17.700001"/>
    <n v="50.024999999999999"/>
    <d v="2019-12-11T00:00:00"/>
    <s v="005-00000197"/>
    <n v="12716.754209999999"/>
    <n v="3058.6534855999998"/>
    <n v="33.9"/>
    <n v="494.58000000000004"/>
    <n v="350.49375000000003"/>
    <n v="482.40000000000003"/>
    <n v="1266.3"/>
    <n v="0"/>
    <n v="5686.3272355999998"/>
    <n v="7030.4269743999994"/>
    <n v="0.55284759446490861"/>
    <s v="ACCESO"/>
    <s v="GRAVE"/>
    <s v="Diciembre"/>
    <n v="2019"/>
    <n v="19"/>
    <n v="1"/>
    <d v="2019-11-22T00:00:00"/>
    <s v="F4T-034"/>
    <s v="BYD"/>
    <s v="F3"/>
    <s v="EDPYME ACCESO CREDITICIO SOCIEDAD ANONIMA"/>
  </r>
  <r>
    <x v="12"/>
    <s v="FAC"/>
    <s v="005"/>
    <s v="00000050"/>
    <x v="35"/>
    <s v="BLA251"/>
    <d v="2019-10-15T00:00:00"/>
    <s v="20100041953"/>
    <s v="RIMAC SEGUROS  Y REASEGUROS S.A"/>
    <s v="2805010001"/>
    <s v="SERVICIOS"/>
    <s v="000"/>
    <s v="001"/>
    <s v="CONTADO"/>
    <s v="002"/>
    <s v="MECANICA"/>
    <s v="$"/>
    <n v="3.335"/>
    <n v="1"/>
    <n v="0"/>
    <n v="0"/>
    <n v="0"/>
    <n v="0"/>
    <n v="0"/>
    <d v="2019-12-11T00:00:00"/>
    <s v="005-00000236"/>
    <n v="2516"/>
    <n v="1012.7076080000001"/>
    <n v="78.39"/>
    <n v="84.74"/>
    <n v="0"/>
    <n v="0"/>
    <n v="0"/>
    <n v="0"/>
    <n v="1175.837608"/>
    <n v="1340.162392"/>
    <n v="0.53265595866454685"/>
    <s v="ACCESO"/>
    <s v="MEDIANO"/>
    <s v="Diciembre"/>
    <n v="2019"/>
    <n v="7"/>
    <n v="1"/>
    <d v="2019-12-04T00:00:00"/>
    <s v="ADG324"/>
    <s v="BYD"/>
    <s v="F3"/>
    <s v="AUTOCLASS S.A.C."/>
  </r>
  <r>
    <x v="12"/>
    <s v="FAC"/>
    <s v="005"/>
    <s v="00000050"/>
    <x v="35"/>
    <s v="BLA251"/>
    <d v="2019-10-15T00:00:00"/>
    <s v="20100041953"/>
    <s v="RIMAC SEGUROS  Y REASEGUROS S.A"/>
    <s v="310120"/>
    <s v="FRANQUICIA"/>
    <s v="000"/>
    <s v="001"/>
    <s v="CONTADO"/>
    <s v="002"/>
    <s v="FRANQUICIA"/>
    <s v="$"/>
    <n v="3.335"/>
    <n v="-1"/>
    <n v="106.05929999999998"/>
    <n v="-106.05929999999998"/>
    <n v="-19.090700000000016"/>
    <n v="-125.15"/>
    <n v="-353.70776549999994"/>
    <d v="2019-12-11T00:00:00"/>
    <s v="005-00000108"/>
    <n v="11044.754209999999"/>
    <n v="3189.7430857799995"/>
    <n v="372.88"/>
    <n v="260.34000000000003"/>
    <n v="335.41874999999999"/>
    <n v="542.70000000000005"/>
    <n v="1266.3"/>
    <n v="0"/>
    <n v="5967.3818357800001"/>
    <n v="5077.3723742199991"/>
    <n v="0.4597089512071631"/>
    <s v="ACCESO"/>
    <s v="GRAVE"/>
    <s v="Diciembre"/>
    <n v="2019"/>
    <n v="44"/>
    <n v="1"/>
    <d v="2019-10-28T00:00:00"/>
    <s v="ADG-324"/>
    <s v="BYD"/>
    <s v="F3"/>
    <s v="AUTOCLASS S.A.C."/>
  </r>
  <r>
    <x v="12"/>
    <s v="FAC"/>
    <s v="005"/>
    <s v="00000050"/>
    <x v="35"/>
    <s v="BLA251"/>
    <d v="2019-10-15T00:00:00"/>
    <s v="20100041953"/>
    <s v="RIMAC SEGUROS  Y REASEGUROS S.A"/>
    <s v="320001"/>
    <s v="REPUESTOS"/>
    <s v="000"/>
    <s v="001"/>
    <s v="CONTADO"/>
    <s v="002"/>
    <s v="REPUESTOS"/>
    <s v="$"/>
    <n v="3.335"/>
    <n v="1"/>
    <n v="0"/>
    <n v="0"/>
    <n v="0"/>
    <n v="0"/>
    <n v="0"/>
    <d v="2019-12-12T00:00:00"/>
    <s v="005-00000241"/>
    <n v="1011.1139701999999"/>
    <n v="0"/>
    <n v="0"/>
    <n v="0"/>
    <n v="0"/>
    <n v="105.52500000000001"/>
    <n v="140.70000000000002"/>
    <n v="0"/>
    <n v="246.22500000000002"/>
    <n v="764.8889701999999"/>
    <n v="0.75648145782092568"/>
    <s v="RIMAC"/>
    <s v="LEVE"/>
    <s v="Diciembre"/>
    <n v="2019"/>
    <n v="7"/>
    <n v="1"/>
    <d v="2019-12-05T00:00:00"/>
    <s v="EGH-498"/>
    <s v="NISSAN"/>
    <s v="SENTRA"/>
    <s v="RIMAC SEGUROS  Y REASEGUROS S.A"/>
  </r>
  <r>
    <x v="12"/>
    <s v="FAC"/>
    <s v="005"/>
    <s v="00000051"/>
    <x v="36"/>
    <s v="BAF310"/>
    <d v="2019-10-23T00:00:00"/>
    <s v="20100041953"/>
    <s v="RIMAC SEGUROS  Y REASEGUROS S.A"/>
    <s v="1302020001"/>
    <s v="PINTURA"/>
    <s v="000"/>
    <s v="001"/>
    <s v="CONTADO"/>
    <s v="009"/>
    <s v="PINTURA"/>
    <s v="$"/>
    <n v="3.335"/>
    <n v="1"/>
    <n v="177"/>
    <n v="177"/>
    <n v="31.86"/>
    <n v="208.86"/>
    <n v="590.29499999999996"/>
    <d v="2019-12-13T00:00:00"/>
    <s v="005-00000218"/>
    <n v="960.21897170000011"/>
    <n v="0"/>
    <n v="0"/>
    <n v="0"/>
    <n v="0"/>
    <n v="105.52500000000001"/>
    <n v="140.70000000000002"/>
    <n v="0"/>
    <n v="246.22500000000002"/>
    <n v="713.99397170000009"/>
    <n v="0.7435741145958864"/>
    <s v="RIMAC"/>
    <s v="LEVE"/>
    <s v="Diciembre"/>
    <n v="2019"/>
    <n v="14"/>
    <n v="1"/>
    <d v="2019-11-29T00:00:00"/>
    <s v="AWP-639"/>
    <s v="HYUNDAI"/>
    <s v="TUCSON"/>
    <s v="RENTAEQUIPOS LEASING PERU S.A."/>
  </r>
  <r>
    <x v="12"/>
    <s v="FAC"/>
    <s v="005"/>
    <s v="00000051"/>
    <x v="36"/>
    <s v="BAF310"/>
    <d v="2019-10-23T00:00:00"/>
    <s v="20100041953"/>
    <s v="RIMAC SEGUROS  Y REASEGUROS S.A"/>
    <s v="1201020001"/>
    <s v="PLANCHADO"/>
    <s v="000"/>
    <s v="001"/>
    <s v="CONTADO"/>
    <s v="001"/>
    <s v="PLANCHADO"/>
    <s v="$"/>
    <n v="3.335"/>
    <n v="1"/>
    <n v="135"/>
    <n v="135"/>
    <n v="24.3"/>
    <n v="159.30000000000001"/>
    <n v="450.22500000000002"/>
    <d v="2019-12-14T00:00:00"/>
    <s v="005-00000226"/>
    <n v="2831.6334160500001"/>
    <n v="0"/>
    <n v="0"/>
    <n v="0"/>
    <n v="0"/>
    <n v="361.8"/>
    <n v="386.92500000000001"/>
    <n v="0"/>
    <n v="748.72500000000002"/>
    <n v="2082.9084160500001"/>
    <n v="0.73558547665239904"/>
    <s v="RIMAC"/>
    <s v="GRAVE"/>
    <s v="Diciembre"/>
    <n v="2019"/>
    <n v="12"/>
    <n v="1"/>
    <d v="2019-12-02T00:00:00"/>
    <s v="F4J-046"/>
    <s v="NISSAN"/>
    <s v="VERSA"/>
    <s v="CORPORACION MINERA PALOMA S.A.C."/>
  </r>
  <r>
    <x v="12"/>
    <s v="FAC"/>
    <s v="005"/>
    <s v="00000051"/>
    <x v="36"/>
    <s v="BAF310"/>
    <d v="2019-10-23T00:00:00"/>
    <s v="20100041953"/>
    <s v="RIMAC SEGUROS  Y REASEGUROS S.A"/>
    <s v="2908010001"/>
    <s v="TERCEROS"/>
    <s v="000"/>
    <s v="001"/>
    <s v="CONTADO"/>
    <s v="002"/>
    <s v="TERCEROS"/>
    <s v="$"/>
    <n v="3.335"/>
    <n v="1"/>
    <n v="30"/>
    <n v="30"/>
    <n v="5.4000019999999997"/>
    <n v="35.400002000000001"/>
    <n v="100.05"/>
    <d v="2019-12-14T00:00:00"/>
    <s v="005-00000237"/>
    <n v="2482.5279263999992"/>
    <n v="0"/>
    <n v="0"/>
    <n v="33.898305084745765"/>
    <n v="0"/>
    <n v="361.8"/>
    <n v="281.40000000000003"/>
    <n v="0"/>
    <n v="677.09830508474579"/>
    <n v="1805.4296213152534"/>
    <n v="0.72725450622961174"/>
    <s v="RIMAC"/>
    <s v="GRAVE"/>
    <s v="Diciembre"/>
    <n v="2019"/>
    <n v="9"/>
    <n v="1"/>
    <d v="2019-12-05T00:00:00"/>
    <s v="ASL-101"/>
    <s v="NISSAN"/>
    <s v="SENTRA"/>
    <s v="INTER PLUS ASESORIA Y SERV GENERALES SRL"/>
  </r>
  <r>
    <x v="12"/>
    <s v="FAC"/>
    <s v="005"/>
    <s v="00000051"/>
    <x v="36"/>
    <s v="BAF310"/>
    <d v="2019-10-23T00:00:00"/>
    <s v="20100041953"/>
    <s v="RIMAC SEGUROS  Y REASEGUROS S.A"/>
    <s v="310120"/>
    <s v="FRANQUICIA"/>
    <s v="000"/>
    <s v="001"/>
    <s v="CONTADO"/>
    <s v="002"/>
    <s v="FRANQUICIA"/>
    <s v="$"/>
    <n v="3.335"/>
    <n v="-1"/>
    <n v="100"/>
    <n v="-100"/>
    <n v="-18"/>
    <n v="-118"/>
    <n v="-333.5"/>
    <d v="2019-12-16T00:00:00"/>
    <s v="005-00000257"/>
    <n v="551.48548364999999"/>
    <n v="0"/>
    <n v="0"/>
    <n v="0"/>
    <n v="0"/>
    <n v="15.075000000000001"/>
    <n v="105.52500000000001"/>
    <n v="0"/>
    <n v="120.60000000000001"/>
    <n v="430.88548364999997"/>
    <n v="0.78131790668031664"/>
    <s v="RIMAC"/>
    <s v="LEVE"/>
    <s v="Diciembre"/>
    <n v="2019"/>
    <n v="6"/>
    <n v="1"/>
    <d v="2019-12-10T00:00:00"/>
    <s v="EGX-296"/>
    <s v="MAXUS"/>
    <s v="S8"/>
    <s v="RIMAC SEGUROS  Y REASEGUROS S.A"/>
  </r>
  <r>
    <x v="12"/>
    <s v="FAC"/>
    <s v="005"/>
    <s v="00000051"/>
    <x v="36"/>
    <s v="BAF310"/>
    <d v="2019-10-23T00:00:00"/>
    <s v="20100041953"/>
    <s v="RIMAC SEGUROS  Y REASEGUROS S.A"/>
    <s v="320001"/>
    <s v="REPUESTOS"/>
    <s v="000"/>
    <s v="001"/>
    <s v="CONTADO"/>
    <s v="002"/>
    <s v="REPUESTOS"/>
    <s v="$"/>
    <n v="3.335"/>
    <n v="1"/>
    <n v="0"/>
    <n v="0"/>
    <n v="0"/>
    <n v="0"/>
    <n v="0"/>
    <d v="2019-12-17T00:00:00"/>
    <s v="005-00000239"/>
    <n v="1930.31994255"/>
    <n v="0"/>
    <n v="0"/>
    <n v="59.32"/>
    <n v="0"/>
    <n v="105.52500000000001"/>
    <n v="386.92500000000001"/>
    <n v="0"/>
    <n v="551.77"/>
    <n v="1378.54994255"/>
    <n v="0.7141561935732279"/>
    <s v="RIMAC"/>
    <s v="LEVE"/>
    <s v="Diciembre"/>
    <n v="2019"/>
    <n v="12"/>
    <n v="1"/>
    <d v="2019-12-05T00:00:00"/>
    <s v="BFB-527"/>
    <s v="SUZUKI"/>
    <s v="BALENO"/>
    <s v="RIMAC SEGUROS  Y REASEGUROS S.A"/>
  </r>
  <r>
    <x v="12"/>
    <s v="FAC"/>
    <s v="005"/>
    <s v="00000052"/>
    <x v="37"/>
    <s v="C3A441"/>
    <d v="2019-10-14T00:00:00"/>
    <s v="20602003346"/>
    <s v="FAST ENGENHARIA E MONTAGENS SA"/>
    <s v="1302020001"/>
    <s v="PINTURA"/>
    <s v="000"/>
    <s v="001"/>
    <s v="CONTADO"/>
    <s v="009"/>
    <s v="PINTURA"/>
    <s v="S/."/>
    <n v="3.335"/>
    <n v="1"/>
    <n v="200"/>
    <n v="200"/>
    <n v="36"/>
    <n v="236"/>
    <n v="200"/>
    <d v="2019-12-17T00:00:00"/>
    <s v="005-00000256"/>
    <n v="459.32341032965996"/>
    <n v="0"/>
    <n v="0"/>
    <n v="0"/>
    <n v="0"/>
    <n v="15.075000000000001"/>
    <n v="70.350000000000009"/>
    <n v="0"/>
    <n v="85.425000000000011"/>
    <n v="373.89841032965995"/>
    <n v="0.81401993001251594"/>
    <s v="RIMAC"/>
    <s v="LEVE"/>
    <s v="Diciembre"/>
    <n v="2019"/>
    <n v="8"/>
    <n v="1"/>
    <d v="2019-12-09T00:00:00"/>
    <s v="BET-306"/>
    <s v="MAZDA"/>
    <s v="MAZDA3"/>
    <s v="RENTAEQUIPOS LEASING PERU S.A."/>
  </r>
  <r>
    <x v="12"/>
    <s v="FAC"/>
    <s v="005"/>
    <s v="00000052"/>
    <x v="37"/>
    <s v="C3A441"/>
    <d v="2019-10-14T00:00:00"/>
    <s v="20602003346"/>
    <s v="FAST ENGENHARIA E MONTAGENS SA"/>
    <s v="1201020001"/>
    <s v="PLANCHADO"/>
    <s v="000"/>
    <s v="001"/>
    <s v="CONTADO"/>
    <s v="001"/>
    <s v="PLANCHADO"/>
    <s v="S/."/>
    <n v="3.335"/>
    <n v="1"/>
    <n v="50"/>
    <n v="50"/>
    <n v="9"/>
    <n v="59"/>
    <n v="50"/>
    <d v="2019-12-17T00:00:00"/>
    <s v="005-00000238"/>
    <n v="482.15998564999995"/>
    <n v="0"/>
    <n v="0"/>
    <n v="0"/>
    <n v="0"/>
    <n v="15.075000000000001"/>
    <n v="105.52500000000001"/>
    <n v="0"/>
    <n v="120.60000000000001"/>
    <n v="361.55998564999993"/>
    <n v="0.74987555253590954"/>
    <s v="RIMAC"/>
    <s v="LEVE"/>
    <s v="Diciembre"/>
    <n v="2019"/>
    <n v="12"/>
    <n v="1"/>
    <d v="2019-12-05T00:00:00"/>
    <s v="BET-590"/>
    <s v="MAZDA"/>
    <s v="MAZDA3"/>
    <s v="RENTAEQUIPOS LEASING PERU S.A."/>
  </r>
  <r>
    <x v="12"/>
    <s v="FAC"/>
    <s v="005"/>
    <s v="00000052"/>
    <x v="37"/>
    <s v="C3A441"/>
    <d v="2019-10-14T00:00:00"/>
    <s v="20602003346"/>
    <s v="FAST ENGENHARIA E MONTAGENS SA"/>
    <s v="2908010001"/>
    <s v="TERCEROS"/>
    <s v="000"/>
    <s v="001"/>
    <s v="CONTADO"/>
    <s v="002"/>
    <s v="TERCEROS"/>
    <s v="S/."/>
    <n v="3.335"/>
    <n v="1"/>
    <n v="100"/>
    <n v="100"/>
    <n v="18"/>
    <n v="118"/>
    <n v="100"/>
    <d v="2019-12-18T00:00:00"/>
    <s v="005-00000266"/>
    <n v="42.372897999999985"/>
    <n v="0"/>
    <n v="0"/>
    <n v="0"/>
    <n v="0"/>
    <n v="0"/>
    <n v="0"/>
    <n v="0"/>
    <n v="0"/>
    <n v="42.372897999999985"/>
    <n v="1"/>
    <s v="C.C"/>
    <s v="MECANICA"/>
    <s v="Diciembre"/>
    <n v="2019"/>
    <n v="4"/>
    <n v="1"/>
    <d v="2019-12-14T00:00:00"/>
    <s v="BFW224"/>
    <s v="JEEP"/>
    <s v="GRANDCHEROKE"/>
    <s v="RENTAEQUIPOS LEASING PERU S.A."/>
  </r>
  <r>
    <x v="12"/>
    <s v="FAC"/>
    <s v="005"/>
    <s v="00000052"/>
    <x v="37"/>
    <s v="C3A441"/>
    <d v="2019-10-14T00:00:00"/>
    <s v="20602003346"/>
    <s v="FAST ENGENHARIA E MONTAGENS SA"/>
    <s v="2805010001"/>
    <s v="SERVICIOS"/>
    <s v="000"/>
    <s v="001"/>
    <s v="CONTADO"/>
    <s v="002"/>
    <s v="MECANICA"/>
    <s v="S/."/>
    <n v="3.335"/>
    <n v="1"/>
    <n v="0"/>
    <n v="0"/>
    <n v="0"/>
    <n v="0"/>
    <n v="0"/>
    <d v="2019-12-19T00:00:00"/>
    <s v="005-00000206"/>
    <n v="183.6999945"/>
    <n v="0"/>
    <n v="0"/>
    <n v="0"/>
    <n v="15.075000000000001"/>
    <n v="0"/>
    <n v="0"/>
    <n v="0"/>
    <n v="15.075000000000001"/>
    <n v="168.62499450000001"/>
    <n v="0.91793685110861567"/>
    <s v="RIMAC"/>
    <s v="LEVE"/>
    <s v="Diciembre"/>
    <n v="2019"/>
    <n v="24"/>
    <n v="1"/>
    <d v="2019-11-25T00:00:00"/>
    <s v="AJD-170"/>
    <s v="NISSAN"/>
    <s v="XTRAIL"/>
    <s v="RIMAC SEGUROS  Y REASEGUROS S.A"/>
  </r>
  <r>
    <x v="13"/>
    <s v="FAC"/>
    <s v="005"/>
    <s v="00000053"/>
    <x v="38"/>
    <s v="P2Y146"/>
    <d v="2019-10-07T00:00:00"/>
    <s v="20547583168"/>
    <s v="AUTOCLASS S.A.C."/>
    <s v="1302020001"/>
    <s v="PINTURA"/>
    <s v="000"/>
    <s v="001"/>
    <s v="CONTADO"/>
    <s v="009"/>
    <s v="PINTURA"/>
    <s v="S/."/>
    <n v="3.3399999000000005"/>
    <n v="1"/>
    <n v="2227.5"/>
    <n v="2227.5"/>
    <n v="400.95"/>
    <n v="2628.45"/>
    <n v="2227.5"/>
    <d v="2019-12-19T00:00:00"/>
    <s v="005-00000268"/>
    <n v="895.11997320000023"/>
    <n v="0"/>
    <n v="0"/>
    <n v="0"/>
    <n v="0"/>
    <n v="120.60000000000001"/>
    <n v="140.70000000000002"/>
    <n v="0"/>
    <n v="261.3"/>
    <n v="633.81997320000028"/>
    <n v="0.70808382359532418"/>
    <s v="RIMAC"/>
    <s v="LEVE"/>
    <s v="Diciembre"/>
    <n v="2019"/>
    <n v="3"/>
    <n v="1"/>
    <d v="2019-12-16T00:00:00"/>
    <s v="BKQ-559"/>
    <s v="FORD"/>
    <s v="ECOSPORT"/>
    <s v="ARSEGUIN PERU S.A.C."/>
  </r>
  <r>
    <x v="13"/>
    <s v="FAC"/>
    <s v="005"/>
    <s v="00000053"/>
    <x v="38"/>
    <s v="P2Y146"/>
    <d v="2019-10-07T00:00:00"/>
    <s v="20547583168"/>
    <s v="AUTOCLASS S.A.C."/>
    <s v="1201020001"/>
    <s v="PLANCHADO"/>
    <s v="000"/>
    <s v="001"/>
    <s v="CONTADO"/>
    <s v="001"/>
    <s v="PLANCHADO"/>
    <s v="S/."/>
    <n v="3.3399999000000005"/>
    <n v="1"/>
    <n v="1155"/>
    <n v="1155"/>
    <n v="207.9"/>
    <n v="1362.9"/>
    <n v="1155"/>
    <d v="2019-12-19T00:00:00"/>
    <s v="005-00000094"/>
    <n v="2287.8999315000005"/>
    <n v="5.4759001999999999"/>
    <n v="0"/>
    <n v="84.75"/>
    <n v="30.150000000000002"/>
    <n v="180.9"/>
    <n v="351.75"/>
    <n v="0"/>
    <n v="653.02590020000002"/>
    <n v="1634.8740313000005"/>
    <n v="0.71457409862683063"/>
    <s v="RIMAC"/>
    <s v="MEDIANO"/>
    <s v="Diciembre"/>
    <n v="2019"/>
    <n v="56"/>
    <n v="1"/>
    <d v="2019-10-24T00:00:00"/>
    <s v="BEQ-177"/>
    <s v="KIA"/>
    <s v="PICANTO"/>
    <s v="RENTAEQUIPOS LEASING PERU S.A."/>
  </r>
  <r>
    <x v="13"/>
    <s v="FAC"/>
    <s v="005"/>
    <s v="00000053"/>
    <x v="38"/>
    <s v="P2Y146"/>
    <d v="2019-10-07T00:00:00"/>
    <s v="20547583168"/>
    <s v="AUTOCLASS S.A.C."/>
    <s v="2908010001"/>
    <s v="TERCEROS"/>
    <s v="000"/>
    <s v="001"/>
    <s v="CONTADO"/>
    <s v="002"/>
    <s v="TERCEROS"/>
    <s v="S/."/>
    <n v="3.3399999000000005"/>
    <n v="1"/>
    <n v="275"/>
    <n v="275"/>
    <n v="49.5"/>
    <n v="324.5"/>
    <n v="275"/>
    <d v="2019-12-27T00:00:00"/>
    <s v="005-00000288"/>
    <n v="649"/>
    <n v="162.29719799999998"/>
    <n v="0"/>
    <n v="0"/>
    <n v="40.250250000000001"/>
    <n v="0"/>
    <n v="0"/>
    <n v="0"/>
    <n v="202.54744799999997"/>
    <n v="446.45255200000003"/>
    <n v="0.68790840061633285"/>
    <s v="C.C"/>
    <s v="MECANICA"/>
    <s v="Diciembre"/>
    <n v="2019"/>
    <n v="1"/>
    <n v="1"/>
    <d v="2019-12-26T00:00:00"/>
    <s v="F8V-681"/>
    <s v="DODGE"/>
    <s v="JOURNEY SXT"/>
    <s v="CONSULTING CENTER SAC"/>
  </r>
  <r>
    <x v="13"/>
    <s v="FAC"/>
    <s v="005"/>
    <s v="00000053"/>
    <x v="38"/>
    <s v="P2Y146"/>
    <d v="2019-10-07T00:00:00"/>
    <s v="20547583168"/>
    <s v="AUTOCLASS S.A.C."/>
    <s v="2908010002"/>
    <s v="AMPLIACION DE REPUESTOS"/>
    <s v="000"/>
    <s v="001"/>
    <s v="CONTADO"/>
    <s v="002"/>
    <s v="REPUESTOS"/>
    <s v="S/."/>
    <n v="3.3399999000000005"/>
    <n v="1"/>
    <n v="225"/>
    <n v="225"/>
    <n v="40.5"/>
    <n v="265.5"/>
    <n v="225"/>
    <d v="2019-12-30T00:00:00"/>
    <s v="005-00000274"/>
    <n v="432.73958058135997"/>
    <n v="0"/>
    <n v="0"/>
    <n v="0"/>
    <n v="0"/>
    <n v="105.52500000000001"/>
    <n v="281.40000000000003"/>
    <n v="0"/>
    <n v="386.92500000000007"/>
    <n v="45.814580581359905"/>
    <n v="0.1058710195166588"/>
    <s v="RIMAC"/>
    <s v="LEVE"/>
    <s v="Diciembre"/>
    <n v="2019"/>
    <n v="11"/>
    <n v="1"/>
    <d v="2019-12-19T00:00:00"/>
    <s v="F2Y-614"/>
    <s v="MAZDA"/>
    <s v="MAZDA3"/>
    <s v="NGV SUMINISTROS S.A.C."/>
  </r>
  <r>
    <x v="13"/>
    <s v="FAC"/>
    <s v="005"/>
    <s v="00000053"/>
    <x v="38"/>
    <s v="P2Y146"/>
    <d v="2019-10-07T00:00:00"/>
    <s v="20547583168"/>
    <s v="AUTOCLASS S.A.C."/>
    <s v="2805010001"/>
    <s v="SERVICIOS"/>
    <s v="000"/>
    <s v="001"/>
    <s v="CONTADO"/>
    <s v="002"/>
    <s v="MECANICA"/>
    <s v="S/."/>
    <n v="3.3399999000000005"/>
    <n v="1"/>
    <n v="370"/>
    <n v="370"/>
    <n v="66.600009999999898"/>
    <n v="436.60000999999988"/>
    <n v="370"/>
    <d v="2019-12-30T00:00:00"/>
    <s v="005-00000280"/>
    <n v="885.84597335000001"/>
    <n v="0"/>
    <n v="0"/>
    <n v="0"/>
    <n v="0"/>
    <n v="45.225000000000001"/>
    <n v="228.63750000000002"/>
    <n v="0"/>
    <n v="273.86250000000001"/>
    <n v="611.98347334999994"/>
    <n v="0.69084636806065125"/>
    <s v="C.C"/>
    <s v="LEVE"/>
    <s v="Diciembre"/>
    <n v="2019"/>
    <n v="7"/>
    <n v="1"/>
    <d v="2019-12-23T00:00:00"/>
    <s v="F2Y-614"/>
    <s v="MAZDA"/>
    <s v="MAZDA3"/>
    <s v="NGV SUMINISTROS S.A.C."/>
  </r>
  <r>
    <x v="13"/>
    <s v="FAC"/>
    <s v="005"/>
    <s v="00000053"/>
    <x v="38"/>
    <s v="P2Y146"/>
    <d v="2019-10-07T00:00:00"/>
    <s v="20547583168"/>
    <s v="AUTOCLASS S.A.C."/>
    <s v="320001"/>
    <s v="REPUESTOS"/>
    <s v="000"/>
    <s v="001"/>
    <s v="CONTADO"/>
    <s v="002"/>
    <s v="REPUESTOS"/>
    <s v="S/."/>
    <n v="3.3399999000000005"/>
    <n v="1"/>
    <n v="2419"/>
    <n v="2419"/>
    <n v="435.41989999999993"/>
    <n v="2854.4198999999999"/>
    <n v="2419"/>
    <d v="2019-12-03T00:00:00"/>
    <s v="005-00000213"/>
    <n v="775.53793768983007"/>
    <n v="90"/>
    <n v="0"/>
    <n v="0"/>
    <n v="0"/>
    <n v="30.150000000000002"/>
    <n v="140.70000000000002"/>
    <n v="0"/>
    <n v="260.85000000000002"/>
    <n v="514.68793768983005"/>
    <n v="0.66365281784019592"/>
    <s v="C.C"/>
    <s v="LEVE"/>
    <s v="Diciembre"/>
    <n v="2019"/>
    <n v="5"/>
    <n v="1"/>
    <d v="2019-11-28T00:00:00"/>
    <s v="BDG-262"/>
    <s v="KIA"/>
    <s v="RIO"/>
    <s v="MILLA HUAYAKAWA ELEONORA"/>
  </r>
  <r>
    <x v="13"/>
    <s v="FAC"/>
    <s v="005"/>
    <s v="00000055"/>
    <x v="39"/>
    <s v="APA238"/>
    <d v="2019-10-19T00:00:00"/>
    <s v="20438563084"/>
    <s v="EDPYME ACCESO CREDITICIO SOCIEDAD ANONIMA"/>
    <s v="1302020001"/>
    <s v="PINTURA"/>
    <s v="000"/>
    <s v="001"/>
    <s v="CONTADO"/>
    <s v="009"/>
    <s v="PINTURA"/>
    <s v="S/."/>
    <n v="3.3399999000000005"/>
    <n v="1"/>
    <n v="1350"/>
    <n v="1350"/>
    <n v="243"/>
    <n v="1593"/>
    <n v="1350"/>
    <d v="2019-12-03T00:00:00"/>
    <s v="005-00000224"/>
    <n v="650"/>
    <n v="121.64754874999998"/>
    <n v="19.489999999999998"/>
    <n v="0"/>
    <n v="40.250250000000001"/>
    <n v="0"/>
    <n v="0"/>
    <n v="0"/>
    <n v="181.38779874999997"/>
    <n v="468.61220125"/>
    <n v="0.72094184807692308"/>
    <s v="C.C"/>
    <s v="MECANICA"/>
    <s v="Diciembre"/>
    <n v="2019"/>
    <n v="1"/>
    <n v="1"/>
    <d v="2019-12-02T00:00:00"/>
    <s v="D3X-162"/>
    <s v="HONDA"/>
    <s v="CRV"/>
    <s v="TEJADA LIZA DE DEL MOS CLAUDIA"/>
  </r>
  <r>
    <x v="13"/>
    <s v="FAC"/>
    <s v="005"/>
    <s v="00000055"/>
    <x v="39"/>
    <s v="APA238"/>
    <d v="2019-10-19T00:00:00"/>
    <s v="20438563084"/>
    <s v="EDPYME ACCESO CREDITICIO SOCIEDAD ANONIMA"/>
    <s v="1201020001"/>
    <s v="PLANCHADO"/>
    <s v="000"/>
    <s v="001"/>
    <s v="CONTADO"/>
    <s v="001"/>
    <s v="PLANCHADO"/>
    <s v="S/."/>
    <n v="3.3399999000000005"/>
    <n v="1"/>
    <n v="630"/>
    <n v="630"/>
    <n v="113.40002000000023"/>
    <n v="743.40002000000027"/>
    <n v="630"/>
    <d v="2019-12-05T00:00:00"/>
    <s v="005-00000221"/>
    <n v="101.57999699999999"/>
    <n v="0"/>
    <n v="0"/>
    <n v="0"/>
    <n v="0"/>
    <n v="0"/>
    <n v="35.175000000000004"/>
    <n v="0"/>
    <n v="35.175000000000004"/>
    <n v="66.40499699999998"/>
    <n v="0.65372119473482548"/>
    <s v="C.C"/>
    <s v="LEVE"/>
    <s v="Diciembre"/>
    <n v="2019"/>
    <n v="3"/>
    <n v="1"/>
    <d v="2019-12-02T00:00:00"/>
    <s v="BDW-631"/>
    <s v="MAZDA"/>
    <s v="MAZDA3"/>
    <s v="DIAZ PAURO RAUL"/>
  </r>
  <r>
    <x v="13"/>
    <s v="FAC"/>
    <s v="005"/>
    <s v="00000055"/>
    <x v="39"/>
    <s v="APA238"/>
    <d v="2019-10-19T00:00:00"/>
    <s v="20438563084"/>
    <s v="EDPYME ACCESO CREDITICIO SOCIEDAD ANONIMA"/>
    <s v="2908010001"/>
    <s v="TERCEROS"/>
    <s v="000"/>
    <s v="001"/>
    <s v="CONTADO"/>
    <s v="002"/>
    <s v="TERCEROS"/>
    <s v="S/."/>
    <n v="3.3399999000000005"/>
    <n v="1"/>
    <n v="400"/>
    <n v="400"/>
    <n v="72"/>
    <n v="472"/>
    <n v="400"/>
    <d v="2019-12-13T00:00:00"/>
    <s v="005-00000248"/>
    <n v="623"/>
    <n v="259.32500099999999"/>
    <n v="0"/>
    <n v="0"/>
    <n v="0"/>
    <n v="0"/>
    <n v="0"/>
    <n v="0"/>
    <n v="259.32500099999999"/>
    <n v="363.67499900000001"/>
    <n v="0.58374799197431781"/>
    <s v="C.C"/>
    <s v="MECANICA"/>
    <s v="Diciembre"/>
    <n v="2019"/>
    <n v="6"/>
    <n v="1"/>
    <d v="2019-12-07T00:00:00"/>
    <s v="APE333"/>
    <s v="VOLKWAGEN"/>
    <s v="GOL"/>
    <s v="ALIAGA MORALES GUSTAVO"/>
  </r>
  <r>
    <x v="13"/>
    <s v="FAC"/>
    <s v="005"/>
    <s v="00000055"/>
    <x v="39"/>
    <s v="APA238"/>
    <d v="2019-10-19T00:00:00"/>
    <s v="20438563084"/>
    <s v="EDPYME ACCESO CREDITICIO SOCIEDAD ANONIMA"/>
    <s v="2805010001"/>
    <s v="SERVICIOS"/>
    <s v="000"/>
    <s v="001"/>
    <s v="CONTADO"/>
    <s v="002"/>
    <s v="MECANICA"/>
    <s v="S/."/>
    <n v="3.3399999000000005"/>
    <n v="1"/>
    <n v="288.75421"/>
    <n v="288.75420999999994"/>
    <n v="51.975799999999907"/>
    <n v="340.73000999999988"/>
    <n v="288.75420999999994"/>
    <d v="2019-12-20T00:00:00"/>
    <s v="005-00000267"/>
    <n v="200.28000599999999"/>
    <n v="0"/>
    <n v="0"/>
    <n v="0"/>
    <n v="0"/>
    <n v="0"/>
    <n v="35.175000000000004"/>
    <n v="0"/>
    <n v="35.175000000000004"/>
    <n v="165.10500599999997"/>
    <n v="0.82437088602843356"/>
    <s v="C.C"/>
    <s v="LEVE"/>
    <s v="Diciembre"/>
    <n v="2019"/>
    <n v="4"/>
    <n v="1"/>
    <d v="2019-12-16T00:00:00"/>
    <s v="AKI-444"/>
    <s v="MAZDA"/>
    <s v="MAZDA3"/>
    <s v="RUIZ FLORES OMAR"/>
  </r>
  <r>
    <x v="13"/>
    <s v="FAC"/>
    <s v="005"/>
    <s v="00000055"/>
    <x v="39"/>
    <s v="APA238"/>
    <d v="2019-10-19T00:00:00"/>
    <s v="20438563084"/>
    <s v="EDPYME ACCESO CREDITICIO SOCIEDAD ANONIMA"/>
    <s v="320001"/>
    <s v="REPUESTOS"/>
    <s v="000"/>
    <s v="001"/>
    <s v="CONTADO"/>
    <s v="002"/>
    <s v="REPUESTOS"/>
    <s v="S/."/>
    <n v="3.3399999000000005"/>
    <n v="1"/>
    <n v="1150"/>
    <n v="1150"/>
    <n v="207"/>
    <n v="1357"/>
    <n v="1150"/>
    <d v="2019-12-20T00:00:00"/>
    <s v="005-00000262"/>
    <n v="349"/>
    <n v="76.520498599999996"/>
    <n v="15.25"/>
    <n v="0"/>
    <n v="40.250250000000001"/>
    <n v="0"/>
    <n v="0"/>
    <n v="0"/>
    <n v="132.02074859999999"/>
    <n v="216.97925140000001"/>
    <n v="0.62171705272206301"/>
    <s v="C.C"/>
    <s v="MECANICA"/>
    <s v="Diciembre"/>
    <n v="2019"/>
    <n v="8"/>
    <n v="1"/>
    <d v="2019-12-12T00:00:00"/>
    <s v="BFS-508"/>
    <s v="CHERY"/>
    <s v="QQ"/>
    <s v="RODRIGUEZ CHUMPITAZ MARCOS"/>
  </r>
  <r>
    <x v="13"/>
    <s v="FAC"/>
    <s v="005"/>
    <s v="00000056"/>
    <x v="40"/>
    <s v="AYW424"/>
    <d v="2019-10-24T00:00:00"/>
    <s v="20100041953"/>
    <s v="RIMAC SEGUROS  Y REASEGUROS S.A"/>
    <s v="1302020001"/>
    <s v="PINTURA"/>
    <s v="000"/>
    <s v="001"/>
    <s v="CONTADO"/>
    <s v="009"/>
    <s v="PINTURA"/>
    <s v="$"/>
    <n v="3.3399999000000005"/>
    <n v="1"/>
    <n v="88.5"/>
    <n v="88.5"/>
    <n v="15.93"/>
    <n v="104.43"/>
    <n v="295.58999115000006"/>
    <d v="2019-12-20T00:00:00"/>
    <s v="005-00000259"/>
    <n v="500.70001500000001"/>
    <n v="0"/>
    <n v="0"/>
    <n v="0"/>
    <n v="0"/>
    <n v="60.300000000000004"/>
    <n v="140.70000000000002"/>
    <n v="0"/>
    <n v="201.00000000000003"/>
    <n v="299.70001500000001"/>
    <n v="0.59856202520784829"/>
    <s v="RIMAC"/>
    <s v="LEVE"/>
    <s v="Diciembre"/>
    <n v="2019"/>
    <n v="9"/>
    <n v="1"/>
    <d v="2019-12-11T00:00:00"/>
    <s v="BFS-508"/>
    <s v="CHERY"/>
    <s v="QQ"/>
    <s v="RODRIGUEZ CHUMPITAZ MARCOS"/>
  </r>
  <r>
    <x v="13"/>
    <s v="FAC"/>
    <s v="005"/>
    <s v="00000056"/>
    <x v="40"/>
    <s v="AYW424"/>
    <d v="2019-10-24T00:00:00"/>
    <s v="20100041953"/>
    <s v="RIMAC SEGUROS  Y REASEGUROS S.A"/>
    <s v="1201020001"/>
    <s v="PLANCHADO"/>
    <s v="000"/>
    <s v="001"/>
    <s v="CONTADO"/>
    <s v="001"/>
    <s v="PLANCHADO"/>
    <s v="$"/>
    <n v="3.3399999000000005"/>
    <n v="1"/>
    <n v="37.5"/>
    <n v="37.5"/>
    <n v="6.75"/>
    <n v="44.25"/>
    <n v="125.24999625000002"/>
    <d v="2019-12-21T00:00:00"/>
    <s v="005-00000269"/>
    <n v="166.3"/>
    <n v="0"/>
    <n v="0"/>
    <n v="0"/>
    <n v="0"/>
    <n v="22.612500000000001"/>
    <n v="105.52500000000001"/>
    <n v="0"/>
    <n v="128.13750000000002"/>
    <n v="38.162499999999994"/>
    <n v="0.22947985568250145"/>
    <s v="RIMAC"/>
    <s v="LEVE"/>
    <s v="Diciembre"/>
    <n v="2019"/>
    <n v="5"/>
    <n v="1"/>
    <d v="2019-12-16T00:00:00"/>
    <s v="BEE-024"/>
    <s v="HONDA"/>
    <s v="CRV"/>
    <s v="MARTOS SALCEDO KARIN LILIANA"/>
  </r>
  <r>
    <x v="13"/>
    <s v="FAC"/>
    <s v="005"/>
    <s v="00000056"/>
    <x v="40"/>
    <s v="AYW424"/>
    <d v="2019-10-24T00:00:00"/>
    <s v="20100041953"/>
    <s v="RIMAC SEGUROS  Y REASEGUROS S.A"/>
    <s v="2908010001"/>
    <s v="TERCEROS"/>
    <s v="000"/>
    <s v="001"/>
    <s v="CONTADO"/>
    <s v="002"/>
    <s v="TERCEROS"/>
    <s v="$"/>
    <n v="3.3399999000000005"/>
    <n v="1"/>
    <n v="65"/>
    <n v="65"/>
    <n v="11.699996999999994"/>
    <n v="76.699996999999996"/>
    <n v="217.09999350000004"/>
    <d v="2019-12-21T00:00:00"/>
    <s v="005-00000273"/>
    <n v="2269.7966000000001"/>
    <n v="1208.8978894000002"/>
    <n v="0"/>
    <n v="101.69999999999999"/>
    <n v="40.250250000000001"/>
    <n v="0"/>
    <n v="0"/>
    <n v="0"/>
    <n v="1350.8481394000003"/>
    <n v="918.94846059999986"/>
    <n v="0.40485938722438819"/>
    <s v="C.C"/>
    <s v="MECANICA"/>
    <s v="Diciembre"/>
    <n v="2019"/>
    <n v="2"/>
    <n v="1"/>
    <d v="2019-12-19T00:00:00"/>
    <s v="A2Q-372"/>
    <s v="HYUNDAI"/>
    <s v="TUCSON"/>
    <s v="SALVATIERRA YARACSA KARINA"/>
  </r>
  <r>
    <x v="13"/>
    <s v="FAC"/>
    <s v="005"/>
    <s v="00000056"/>
    <x v="40"/>
    <s v="AYW424"/>
    <d v="2019-10-24T00:00:00"/>
    <s v="20100041953"/>
    <s v="RIMAC SEGUROS  Y REASEGUROS S.A"/>
    <s v="320001"/>
    <s v="REPUESTOS"/>
    <s v="000"/>
    <s v="001"/>
    <s v="CONTADO"/>
    <s v="002"/>
    <s v="REPUESTOS"/>
    <s v="$"/>
    <n v="3.3399999000000005"/>
    <n v="1"/>
    <n v="0"/>
    <n v="0"/>
    <n v="0"/>
    <n v="0"/>
    <n v="0"/>
    <d v="2019-12-23T00:00:00"/>
    <s v="005-00000284"/>
    <n v="404.10169999999999"/>
    <n v="0"/>
    <n v="0"/>
    <n v="0"/>
    <n v="0"/>
    <n v="0"/>
    <n v="0"/>
    <n v="0"/>
    <n v="0"/>
    <n v="404.10169999999999"/>
    <n v="1"/>
    <s v="C.C"/>
    <s v="MECANICA"/>
    <s v="Diciembre"/>
    <n v="2019"/>
    <n v="0"/>
    <n v="1"/>
    <d v="2019-12-23T00:00:00"/>
    <s v="BKA372"/>
    <s v="MAZDA"/>
    <s v="CX3"/>
    <s v="VERME ALVA RODRIGO"/>
  </r>
  <r>
    <x v="13"/>
    <s v="FAC"/>
    <s v="005"/>
    <s v="00000057"/>
    <x v="41"/>
    <s v="BDM636"/>
    <d v="2019-10-24T00:00:00"/>
    <s v="20100041953"/>
    <s v="RIMAC SEGUROS  Y REASEGUROS S.A"/>
    <s v="1302020001"/>
    <s v="PINTURA"/>
    <s v="000"/>
    <s v="001"/>
    <s v="CONTADO"/>
    <s v="009"/>
    <s v="PINTURA"/>
    <s v="$"/>
    <n v="3.3399999000000005"/>
    <n v="1"/>
    <n v="95.872902000000011"/>
    <n v="95.872902000000011"/>
    <n v="17.257097999999989"/>
    <n v="113.13"/>
    <n v="320.21548309270986"/>
    <d v="2019-12-27T00:00:00"/>
    <s v="005-00000277"/>
    <n v="332.2"/>
    <n v="0"/>
    <n v="0"/>
    <n v="0"/>
    <n v="0"/>
    <n v="45.225000000000001"/>
    <n v="140.70000000000002"/>
    <n v="0"/>
    <n v="185.92500000000001"/>
    <n v="146.27499999999998"/>
    <n v="0.44032209512341958"/>
    <s v="RIMAC"/>
    <s v="LEVE"/>
    <s v="Diciembre"/>
    <n v="2019"/>
    <n v="7"/>
    <n v="1"/>
    <d v="2019-12-20T00:00:00"/>
    <s v="F7V531"/>
    <s v="HONDA"/>
    <s v="ACCORD"/>
    <s v="DIAZ SALCEDO LUIS FELIPE"/>
  </r>
  <r>
    <x v="13"/>
    <s v="FAC"/>
    <s v="005"/>
    <s v="00000057"/>
    <x v="41"/>
    <s v="BDM636"/>
    <d v="2019-10-24T00:00:00"/>
    <s v="20100041953"/>
    <s v="RIMAC SEGUROS  Y REASEGUROS S.A"/>
    <s v="1201020001"/>
    <s v="PLANCHADO"/>
    <s v="000"/>
    <s v="001"/>
    <s v="CONTADO"/>
    <s v="001"/>
    <s v="PLANCHADO"/>
    <s v="$"/>
    <n v="3.3399999000000005"/>
    <n v="1"/>
    <n v="30"/>
    <n v="30"/>
    <n v="5.4000019999999997"/>
    <n v="35.400002000000001"/>
    <n v="100.19999700000001"/>
    <d v="2019-12-28T00:00:00"/>
    <s v="005-00000279"/>
    <n v="1690.1412622293901"/>
    <n v="0"/>
    <n v="0"/>
    <n v="186.44"/>
    <n v="0"/>
    <n v="0"/>
    <n v="0"/>
    <n v="0"/>
    <n v="186.44"/>
    <n v="1503.7012622293901"/>
    <n v="0.88968969389335228"/>
    <s v="C.C"/>
    <s v="MEDIANO"/>
    <s v="Diciembre"/>
    <n v="2019"/>
    <n v="7"/>
    <n v="1"/>
    <d v="2019-12-21T00:00:00"/>
    <s v="BAK021"/>
    <s v="KIA"/>
    <s v="SORENTO"/>
    <s v="LOAYZA VEGA FELIPE"/>
  </r>
  <r>
    <x v="13"/>
    <s v="FAC"/>
    <s v="005"/>
    <s v="00000057"/>
    <x v="41"/>
    <s v="BDM636"/>
    <d v="2019-10-24T00:00:00"/>
    <s v="20100041953"/>
    <s v="RIMAC SEGUROS  Y REASEGUROS S.A"/>
    <s v="320001"/>
    <s v="REPUESTOS"/>
    <s v="000"/>
    <s v="001"/>
    <s v="CONTADO"/>
    <s v="002"/>
    <s v="REPUESTOS"/>
    <s v="$"/>
    <n v="3.3399999000000005"/>
    <n v="1"/>
    <n v="0"/>
    <n v="0"/>
    <n v="0"/>
    <n v="0"/>
    <n v="0"/>
    <d v="2019-12-28T00:00:00"/>
    <s v="005-00000286"/>
    <n v="42.372897999999985"/>
    <n v="0"/>
    <n v="0"/>
    <n v="0"/>
    <n v="0"/>
    <n v="0"/>
    <n v="70.350000000000009"/>
    <n v="0"/>
    <n v="70.350000000000009"/>
    <n v="-27.977102000000023"/>
    <n v="-0.66025934785012896"/>
    <s v="C.C"/>
    <s v="LEVE"/>
    <s v="Diciembre"/>
    <n v="2019"/>
    <n v="5"/>
    <n v="1"/>
    <d v="2019-12-23T00:00:00"/>
    <s v="BEA-170"/>
    <s v="KIA"/>
    <s v="CERATO"/>
    <s v="GUZMAN ZUÑIGA CARLOS LEONARDO"/>
  </r>
  <r>
    <x v="13"/>
    <s v="FAC"/>
    <s v="005"/>
    <s v="00000059"/>
    <x v="42"/>
    <s v="AYW424"/>
    <d v="2019-10-24T00:00:00"/>
    <s v="20100041953"/>
    <s v="RIMAC SEGUROS  Y REASEGUROS S.A"/>
    <s v="1302020001"/>
    <s v="PINTURA"/>
    <s v="000"/>
    <s v="001"/>
    <s v="CONTADO"/>
    <s v="009"/>
    <s v="PINTURA"/>
    <s v="$"/>
    <n v="3.3399999000000005"/>
    <n v="1"/>
    <n v="132.75419999999997"/>
    <n v="132.75419999999997"/>
    <n v="23.895790000000034"/>
    <n v="156.64999"/>
    <n v="443.39901472457996"/>
    <d v="2020-01-02T00:00:00"/>
    <s v="005-00000274"/>
    <n v="1922.73"/>
    <n v="0"/>
    <n v="0"/>
    <n v="0"/>
    <n v="0"/>
    <n v="105.52500000000001"/>
    <n v="281.40000000000003"/>
    <n v="0"/>
    <n v="386.92500000000007"/>
    <n v="1535.8049999999998"/>
    <n v="0.79876269679050094"/>
    <s v="RIMAC"/>
    <s v="LEVE"/>
    <s v="Enero"/>
    <n v="2020"/>
    <n v="14"/>
    <n v="1"/>
    <d v="2019-12-19T00:00:00"/>
    <s v="F2Y-614"/>
    <s v="MAZDA"/>
    <s v="MAZDA3"/>
    <s v="NGV SUMINISTROS S.A.C."/>
  </r>
  <r>
    <x v="13"/>
    <s v="FAC"/>
    <s v="005"/>
    <s v="00000059"/>
    <x v="42"/>
    <s v="AYW424"/>
    <d v="2019-10-24T00:00:00"/>
    <s v="20100041953"/>
    <s v="RIMAC SEGUROS  Y REASEGUROS S.A"/>
    <s v="1201020001"/>
    <s v="PLANCHADO"/>
    <s v="000"/>
    <s v="001"/>
    <s v="CONTADO"/>
    <s v="001"/>
    <s v="PLANCHADO"/>
    <s v="$"/>
    <n v="3.3399999000000005"/>
    <n v="1"/>
    <n v="75"/>
    <n v="75"/>
    <n v="13.5"/>
    <n v="88.5"/>
    <n v="250.49999250000005"/>
    <d v="2020-01-02T00:00:00"/>
    <s v="005-00000259"/>
    <n v="192.38599419999997"/>
    <n v="0"/>
    <n v="0"/>
    <n v="0"/>
    <n v="0"/>
    <n v="60.300000000000004"/>
    <n v="140.70000000000002"/>
    <n v="0"/>
    <n v="201.00000000000003"/>
    <n v="-8.6140058000000579"/>
    <n v="-4.4774599293569882E-2"/>
    <s v="RIMAC"/>
    <s v="LEVE"/>
    <s v="Enero"/>
    <n v="2020"/>
    <n v="22"/>
    <n v="1"/>
    <d v="2019-12-11T00:00:00"/>
    <s v="BFS-508"/>
    <s v="CHERY"/>
    <s v="QQ"/>
    <s v="RODRIGUEZ CHUMPITAZ MARCOS"/>
  </r>
  <r>
    <x v="13"/>
    <s v="FAC"/>
    <s v="005"/>
    <s v="00000059"/>
    <x v="42"/>
    <s v="AYW424"/>
    <d v="2019-10-24T00:00:00"/>
    <s v="20100041953"/>
    <s v="RIMAC SEGUROS  Y REASEGUROS S.A"/>
    <s v="2908010001"/>
    <s v="TERCEROS"/>
    <s v="000"/>
    <s v="001"/>
    <s v="CONTADO"/>
    <s v="002"/>
    <s v="TERCEROS"/>
    <s v="$"/>
    <n v="3.3399999000000005"/>
    <n v="1"/>
    <n v="80"/>
    <n v="80"/>
    <n v="14.400002000000004"/>
    <n v="94.400002000000001"/>
    <n v="267.19999200000007"/>
    <d v="2020-01-02T00:00:00"/>
    <s v="005-00000269"/>
    <n v="376.47948865000001"/>
    <n v="0"/>
    <n v="0"/>
    <n v="0"/>
    <n v="0"/>
    <n v="22.612500000000001"/>
    <n v="105.52500000000001"/>
    <n v="0"/>
    <n v="128.13750000000002"/>
    <n v="248.34198864999999"/>
    <n v="0.65964281225656618"/>
    <s v="RIMAC"/>
    <s v="LEVE"/>
    <s v="Enero"/>
    <n v="2020"/>
    <n v="17"/>
    <n v="1"/>
    <d v="2019-12-16T00:00:00"/>
    <s v="BEE-024"/>
    <s v="HONDA"/>
    <s v="CRV"/>
    <s v="MARTOS SALCEDO KARIN LILIANA"/>
  </r>
  <r>
    <x v="13"/>
    <s v="FAC"/>
    <s v="005"/>
    <s v="00000059"/>
    <x v="42"/>
    <s v="AYW424"/>
    <d v="2019-10-24T00:00:00"/>
    <s v="20100041953"/>
    <s v="RIMAC SEGUROS  Y REASEGUROS S.A"/>
    <s v="310120"/>
    <s v="FRANQUICIA"/>
    <s v="000"/>
    <s v="001"/>
    <s v="CONTADO"/>
    <s v="002"/>
    <s v="FRANQUICIA"/>
    <s v="$"/>
    <n v="3.3399999000000005"/>
    <n v="-1"/>
    <n v="100"/>
    <n v="-100"/>
    <n v="-18"/>
    <n v="-118"/>
    <n v="-333.99999000000003"/>
    <d v="2020-01-02T00:00:00"/>
    <s v="005-00000277"/>
    <n v="383.11348845000003"/>
    <n v="0"/>
    <n v="0"/>
    <n v="0"/>
    <n v="0"/>
    <n v="45.225000000000001"/>
    <n v="140.70000000000002"/>
    <n v="0"/>
    <n v="185.92500000000001"/>
    <n v="197.18848845000002"/>
    <n v="0.5146999372112554"/>
    <s v="RIMAC"/>
    <s v="LEVE"/>
    <s v="Enero"/>
    <n v="2020"/>
    <n v="13"/>
    <n v="1"/>
    <d v="2019-12-20T00:00:00"/>
    <s v="F7V-531"/>
    <s v="HONDA"/>
    <s v="ACCORD"/>
    <s v="DIAZ SALCEDO LUIS FELIPE"/>
  </r>
  <r>
    <x v="13"/>
    <s v="FAC"/>
    <s v="005"/>
    <s v="00000059"/>
    <x v="42"/>
    <s v="AYW424"/>
    <d v="2019-10-24T00:00:00"/>
    <s v="20100041953"/>
    <s v="RIMAC SEGUROS  Y REASEGUROS S.A"/>
    <s v="320001"/>
    <s v="REPUESTOS"/>
    <s v="000"/>
    <s v="001"/>
    <s v="CONTADO"/>
    <s v="002"/>
    <s v="REPUESTOS"/>
    <s v="$"/>
    <n v="3.3399999000000005"/>
    <n v="1"/>
    <n v="0"/>
    <n v="0"/>
    <n v="0"/>
    <n v="0"/>
    <n v="0"/>
    <d v="2020-01-02T00:00:00"/>
    <s v="005-00000283"/>
    <n v="912.17497250000008"/>
    <n v="0"/>
    <n v="0"/>
    <n v="0"/>
    <n v="0"/>
    <n v="90.45"/>
    <n v="175.875"/>
    <n v="0"/>
    <n v="266.32499999999999"/>
    <n v="645.84997250000015"/>
    <n v="0.70803298925196079"/>
    <s v="RIMAC"/>
    <s v="LEVE"/>
    <s v="Enero"/>
    <n v="2020"/>
    <n v="10"/>
    <n v="1"/>
    <d v="2019-12-23T00:00:00"/>
    <s v="BEA-170"/>
    <s v="KIA"/>
    <s v="CERATO"/>
    <s v="RIMAC SEGUROS  Y REASEGUROS S.A"/>
  </r>
  <r>
    <x v="13"/>
    <s v="FAC"/>
    <s v="005"/>
    <s v="00000060"/>
    <x v="43"/>
    <s v="ACZ120"/>
    <d v="2019-10-23T00:00:00"/>
    <s v="20100041953"/>
    <s v="RIMAC SEGUROS  Y REASEGUROS S.A"/>
    <s v="1302020001"/>
    <s v="PINTURA"/>
    <s v="000"/>
    <s v="001"/>
    <s v="CONTADO"/>
    <s v="009"/>
    <s v="PINTURA"/>
    <s v="$"/>
    <n v="3.3399999000000005"/>
    <n v="1"/>
    <n v="132.75419999999997"/>
    <n v="132.75419999999997"/>
    <n v="23.895790000000034"/>
    <n v="156.64999"/>
    <n v="443.39901472457996"/>
    <d v="2020-01-02T00:00:00"/>
    <s v="005-00000271"/>
    <n v="1343.3849595000002"/>
    <n v="0"/>
    <n v="0"/>
    <n v="0"/>
    <n v="0"/>
    <n v="105.52500000000001"/>
    <n v="175.875"/>
    <n v="0"/>
    <n v="281.39999999999998"/>
    <n v="1061.9849595000001"/>
    <n v="0.79052914206756086"/>
    <s v="RIMAC"/>
    <s v="LEVE"/>
    <s v="Enero"/>
    <n v="2020"/>
    <n v="15"/>
    <n v="1"/>
    <d v="2019-12-18T00:00:00"/>
    <s v="ATT-083"/>
    <s v="KIA"/>
    <s v="SPORTAGE"/>
    <s v="RIMAC SEGUROS  Y REASEGUROS S.A"/>
  </r>
  <r>
    <x v="13"/>
    <s v="FAC"/>
    <s v="005"/>
    <s v="00000060"/>
    <x v="43"/>
    <s v="ACZ120"/>
    <d v="2019-10-23T00:00:00"/>
    <s v="20100041953"/>
    <s v="RIMAC SEGUROS  Y REASEGUROS S.A"/>
    <s v="1201020001"/>
    <s v="PLANCHADO"/>
    <s v="000"/>
    <s v="001"/>
    <s v="CONTADO"/>
    <s v="001"/>
    <s v="PLANCHADO"/>
    <s v="$"/>
    <n v="3.3399999000000005"/>
    <n v="1"/>
    <n v="75"/>
    <n v="75"/>
    <n v="13.5"/>
    <n v="88.5"/>
    <n v="250.49999250000005"/>
    <d v="2020-01-02T00:00:00"/>
    <s v="005-00000261"/>
    <n v="1104.5609667000001"/>
    <n v="0"/>
    <n v="0"/>
    <n v="0"/>
    <n v="0"/>
    <n v="120.60000000000001"/>
    <n v="140.70000000000002"/>
    <n v="0"/>
    <n v="261.3"/>
    <n v="843.26096670000015"/>
    <n v="0.76343542106085549"/>
    <s v="RIMAC"/>
    <s v="LEVE"/>
    <s v="Enero"/>
    <n v="2020"/>
    <n v="21"/>
    <n v="1"/>
    <d v="2019-12-12T00:00:00"/>
    <s v="BMD-515"/>
    <s v="MITSUBISHI"/>
    <s v="XPANDER"/>
    <s v="RIMAC SEGUROS  Y REASEGUROS S.A"/>
  </r>
  <r>
    <x v="13"/>
    <s v="FAC"/>
    <s v="005"/>
    <s v="00000060"/>
    <x v="43"/>
    <s v="ACZ120"/>
    <d v="2019-10-23T00:00:00"/>
    <s v="20100041953"/>
    <s v="RIMAC SEGUROS  Y REASEGUROS S.A"/>
    <s v="2908010001"/>
    <s v="TERCEROS"/>
    <s v="000"/>
    <s v="001"/>
    <s v="CONTADO"/>
    <s v="002"/>
    <s v="TERCEROS"/>
    <s v="$"/>
    <n v="3.3399999000000005"/>
    <n v="1"/>
    <n v="30"/>
    <n v="30"/>
    <n v="5.4000019999999997"/>
    <n v="35.400002000000001"/>
    <n v="100.19999700000001"/>
    <d v="2020-01-02T00:00:00"/>
    <s v="005-00000263"/>
    <n v="369.84548885000004"/>
    <n v="0"/>
    <n v="0"/>
    <n v="0"/>
    <n v="0"/>
    <n v="22.612500000000001"/>
    <n v="70.350000000000009"/>
    <n v="0"/>
    <n v="92.962500000000006"/>
    <n v="276.88298885000006"/>
    <n v="0.74864503474394628"/>
    <s v="RIMAC"/>
    <s v="LEVE"/>
    <s v="Enero"/>
    <n v="2020"/>
    <n v="20"/>
    <n v="1"/>
    <d v="2019-12-13T00:00:00"/>
    <s v="AKI-444"/>
    <s v="MAZDA"/>
    <s v="MAZDA3"/>
    <s v="RIMAC SEGUROS  Y REASEGUROS S.A"/>
  </r>
  <r>
    <x v="13"/>
    <s v="FAC"/>
    <s v="005"/>
    <s v="00000060"/>
    <x v="43"/>
    <s v="ACZ120"/>
    <d v="2019-10-23T00:00:00"/>
    <s v="20100041953"/>
    <s v="RIMAC SEGUROS  Y REASEGUROS S.A"/>
    <s v="310120"/>
    <s v="FRANQUICIA"/>
    <s v="000"/>
    <s v="001"/>
    <s v="CONTADO"/>
    <s v="002"/>
    <s v="FRANQUICIA"/>
    <s v="$"/>
    <n v="3.3399999000000005"/>
    <n v="-1"/>
    <n v="100"/>
    <n v="-100"/>
    <n v="-18"/>
    <n v="-118"/>
    <n v="-333.99999000000003"/>
    <d v="2020-01-02T00:00:00"/>
    <s v="005-00000243"/>
    <n v="1670"/>
    <n v="1025.7909890000001"/>
    <n v="0"/>
    <n v="0"/>
    <n v="0"/>
    <n v="0"/>
    <n v="0"/>
    <n v="0"/>
    <n v="1025.7909890000001"/>
    <n v="644.20901099999992"/>
    <n v="0.38575389880239513"/>
    <s v="ACCESO"/>
    <s v="GRAVE"/>
    <s v="Enero"/>
    <n v="2020"/>
    <n v="27"/>
    <n v="1"/>
    <d v="2019-12-06T00:00:00"/>
    <s v="AVV-131"/>
    <s v="HYUNDAI"/>
    <s v="HYUNDAI"/>
    <s v="EDPYME ACCESO CREDITICIO SOCIEDAD ANONIMA"/>
  </r>
  <r>
    <x v="13"/>
    <s v="FAC"/>
    <s v="005"/>
    <s v="00000060"/>
    <x v="43"/>
    <s v="ACZ120"/>
    <d v="2019-10-23T00:00:00"/>
    <s v="20100041953"/>
    <s v="RIMAC SEGUROS  Y REASEGUROS S.A"/>
    <s v="320001"/>
    <s v="REPUESTOS"/>
    <s v="000"/>
    <s v="001"/>
    <s v="CONTADO"/>
    <s v="002"/>
    <s v="REPUESTOS"/>
    <s v="$"/>
    <n v="3.3399999000000005"/>
    <n v="1"/>
    <n v="0"/>
    <n v="0"/>
    <n v="0"/>
    <n v="0"/>
    <n v="0"/>
    <d v="2020-01-02T00:00:00"/>
    <s v="005-00000202"/>
    <n v="9418.7542099999991"/>
    <n v="1850.9663059000002"/>
    <n v="0"/>
    <n v="197.21"/>
    <n v="350.49375000000003"/>
    <n v="542.70000000000005"/>
    <n v="1266.3"/>
    <n v="0"/>
    <n v="4207.6700559000001"/>
    <n v="5211.0841540999991"/>
    <n v="0.55326681617483253"/>
    <s v="ACCESO"/>
    <s v="GRAVE"/>
    <s v="Enero"/>
    <n v="2020"/>
    <n v="40"/>
    <n v="1"/>
    <d v="2019-11-23T00:00:00"/>
    <s v="AYW-081"/>
    <s v="CHEVROLET"/>
    <s v="SAIL"/>
    <s v="EDPYME ACCESO CREDITICIO SOCIEDAD ANONIMA"/>
  </r>
  <r>
    <x v="13"/>
    <s v="FAC"/>
    <s v="005"/>
    <s v="00000061"/>
    <x v="44"/>
    <s v="AJB285"/>
    <d v="2019-10-22T00:00:00"/>
    <s v="20100041953"/>
    <s v="RIMAC SEGUROS  Y REASEGUROS S.A"/>
    <s v="1302020001"/>
    <s v="PINTURA"/>
    <s v="000"/>
    <s v="001"/>
    <s v="CONTADO"/>
    <s v="009"/>
    <s v="PINTURA"/>
    <s v="$"/>
    <n v="3.3399999000000005"/>
    <n v="1"/>
    <n v="118"/>
    <n v="118"/>
    <n v="21.240010000000019"/>
    <n v="139.24001000000001"/>
    <n v="394.11998820000008"/>
    <d v="2020-01-02T00:00:00"/>
    <s v="005-00000195"/>
    <n v="13465.754209999999"/>
    <n v="4429.5701867999996"/>
    <n v="0"/>
    <n v="288.14"/>
    <n v="305.26875000000001"/>
    <n v="603"/>
    <n v="1266.3"/>
    <n v="0"/>
    <n v="6892.2789368000003"/>
    <n v="6573.4752731999988"/>
    <n v="0.48816242823728173"/>
    <s v="ACCESO"/>
    <s v="GRAVE"/>
    <s v="Enero"/>
    <n v="2020"/>
    <n v="42"/>
    <n v="1"/>
    <d v="2019-11-21T00:00:00"/>
    <s v="AYE-380"/>
    <s v="CHEVROLET"/>
    <s v="SAIL"/>
    <s v="EDPYME ACCESO CREDITICIO SOCIEDAD ANONIMA"/>
  </r>
  <r>
    <x v="13"/>
    <s v="FAC"/>
    <s v="005"/>
    <s v="00000061"/>
    <x v="44"/>
    <s v="AJB285"/>
    <d v="2019-10-22T00:00:00"/>
    <s v="20100041953"/>
    <s v="RIMAC SEGUROS  Y REASEGUROS S.A"/>
    <s v="1201020001"/>
    <s v="PLANCHADO"/>
    <s v="000"/>
    <s v="001"/>
    <s v="CONTADO"/>
    <s v="001"/>
    <s v="PLANCHADO"/>
    <s v="$"/>
    <n v="3.3399999000000005"/>
    <n v="1"/>
    <n v="120"/>
    <n v="120"/>
    <n v="21.600010000000019"/>
    <n v="141.60001000000003"/>
    <n v="400.79998800000004"/>
    <d v="2020-01-02T00:00:00"/>
    <s v="005-00000196"/>
    <n v="11714.754209999999"/>
    <n v="2998.95411074"/>
    <n v="0"/>
    <n v="209.15"/>
    <n v="275.11875000000003"/>
    <n v="753.75"/>
    <n v="1266.3"/>
    <n v="0"/>
    <n v="5503.2728607400004"/>
    <n v="6211.4813492599988"/>
    <n v="0.53022720220264863"/>
    <s v="ACCESO"/>
    <s v="GRAVE"/>
    <s v="Enero"/>
    <n v="2020"/>
    <n v="42"/>
    <n v="1"/>
    <d v="2019-11-21T00:00:00"/>
    <s v="F0B-164"/>
    <s v="CHEVROLET"/>
    <s v="SAIL"/>
    <s v="EDPYME ACCESO CREDITICIO SOCIEDAD ANONIMA"/>
  </r>
  <r>
    <x v="13"/>
    <s v="FAC"/>
    <s v="005"/>
    <s v="00000061"/>
    <x v="44"/>
    <s v="AJB285"/>
    <d v="2019-10-22T00:00:00"/>
    <s v="20100041953"/>
    <s v="RIMAC SEGUROS  Y REASEGUROS S.A"/>
    <s v="2908010001"/>
    <s v="TERCEROS"/>
    <s v="000"/>
    <s v="001"/>
    <s v="CONTADO"/>
    <s v="002"/>
    <s v="TERCEROS"/>
    <s v="$"/>
    <n v="3.3399999000000005"/>
    <n v="1"/>
    <n v="30"/>
    <n v="30"/>
    <n v="5.4000019999999997"/>
    <n v="35.400002000000001"/>
    <n v="100.19999700000001"/>
    <d v="2020-01-02T00:00:00"/>
    <s v="005-00000054"/>
    <n v="9866"/>
    <n v="2023.7140816400004"/>
    <n v="415.25016949152536"/>
    <n v="164.74"/>
    <n v="165.82500000000002"/>
    <n v="678.375"/>
    <n v="1195.95"/>
    <n v="0"/>
    <n v="4643.8542511315254"/>
    <n v="5222.1457488684746"/>
    <n v="0.52930729260779186"/>
    <s v="ACCESO"/>
    <s v="MEDIANO"/>
    <s v="Enero"/>
    <n v="2020"/>
    <n v="78"/>
    <n v="1"/>
    <d v="2019-10-16T00:00:00"/>
    <s v="AMR-639"/>
    <s v="CHEVROLET"/>
    <s v="SAIL"/>
    <s v="EDPYME ACCESO CREDITICIO SOCIEDAD ANONIMA"/>
  </r>
  <r>
    <x v="13"/>
    <s v="FAC"/>
    <s v="005"/>
    <s v="00000061"/>
    <x v="44"/>
    <s v="AJB285"/>
    <d v="2019-10-22T00:00:00"/>
    <s v="20100041953"/>
    <s v="RIMAC SEGUROS  Y REASEGUROS S.A"/>
    <s v="310120"/>
    <s v="FRANQUICIA"/>
    <s v="000"/>
    <s v="001"/>
    <s v="CONTADO"/>
    <s v="002"/>
    <s v="FRANQUICIA"/>
    <s v="$"/>
    <n v="3.3399999000000005"/>
    <n v="-1"/>
    <n v="96.321998999999991"/>
    <n v="-96.321998999999991"/>
    <n v="-17.338001000000006"/>
    <n v="-113.66"/>
    <n v="-321.71546702780012"/>
    <d v="2020-01-02T00:00:00"/>
    <s v="005-00000191"/>
    <n v="4710"/>
    <n v="1218.8407061"/>
    <n v="76.260000000000005"/>
    <n v="842.37"/>
    <n v="0"/>
    <n v="0"/>
    <n v="0"/>
    <n v="0"/>
    <n v="2137.4707060999999"/>
    <n v="2572.5292939000001"/>
    <n v="0.54618456346072186"/>
    <s v="ACCESO"/>
    <s v="MECANICA"/>
    <s v="Enero"/>
    <n v="2020"/>
    <n v="42"/>
    <n v="1"/>
    <d v="2019-11-21T00:00:00"/>
    <s v="AMR639"/>
    <s v="CHEVROLET"/>
    <s v="SAIL"/>
    <s v="EDPYME ACCESO CREDITICIO SOCIEDAD ANONIMA"/>
  </r>
  <r>
    <x v="13"/>
    <s v="FAC"/>
    <s v="005"/>
    <s v="00000061"/>
    <x v="44"/>
    <s v="AJB285"/>
    <d v="2019-10-22T00:00:00"/>
    <s v="20100041953"/>
    <s v="RIMAC SEGUROS  Y REASEGUROS S.A"/>
    <s v="320001"/>
    <s v="REPUESTOS"/>
    <s v="000"/>
    <s v="001"/>
    <s v="CONTADO"/>
    <s v="002"/>
    <s v="REPUESTOS"/>
    <s v="$"/>
    <n v="3.3399999000000005"/>
    <n v="1"/>
    <n v="0"/>
    <n v="0"/>
    <n v="0"/>
    <n v="0"/>
    <n v="0"/>
    <d v="2020-01-02T00:00:00"/>
    <s v="005-00000252"/>
    <n v="2488.7542100000001"/>
    <n v="221.6296931"/>
    <n v="16.100000000000001"/>
    <n v="89.32"/>
    <n v="139.44374999999999"/>
    <n v="120.60000000000001"/>
    <n v="562.80000000000007"/>
    <n v="0"/>
    <n v="1149.8934431000002"/>
    <n v="1338.8607668999998"/>
    <n v="0.53796423990780506"/>
    <s v="ACCESO"/>
    <s v="LEVE"/>
    <s v="Enero"/>
    <n v="2020"/>
    <n v="24"/>
    <n v="1"/>
    <d v="2019-12-09T00:00:00"/>
    <s v="BJJ-554"/>
    <s v="CHEVROLET"/>
    <s v="COBALT"/>
    <s v="EDPYME ACCESO CREDITICIO SOCIEDAD ANONIMA"/>
  </r>
  <r>
    <x v="13"/>
    <s v="FAC"/>
    <s v="005"/>
    <s v="00000062"/>
    <x v="45"/>
    <s v="AWY319"/>
    <d v="2019-10-21T00:00:00"/>
    <s v="20509959766"/>
    <s v="RENTAEQUIPOS LEASING PERU S.A."/>
    <s v="310120"/>
    <s v="FRANQUICIA"/>
    <s v="000"/>
    <s v="001"/>
    <s v="CONTADO"/>
    <s v="002"/>
    <s v="FRANQUICIA"/>
    <s v="$"/>
    <n v="3.3399999000000005"/>
    <n v="1"/>
    <n v="100"/>
    <n v="100"/>
    <n v="18"/>
    <n v="118"/>
    <n v="333.99999000000003"/>
    <d v="2020-01-02T00:00:00"/>
    <s v="005-00000194"/>
    <n v="10452"/>
    <n v="2174.7578027"/>
    <n v="71.19"/>
    <n v="342.78999999999996"/>
    <n v="316.57499999999999"/>
    <n v="422.1"/>
    <n v="1266.3"/>
    <n v="0"/>
    <n v="4593.7128026999999"/>
    <n v="5858.2871973000001"/>
    <n v="0.56049437402411018"/>
    <s v="ACCESO"/>
    <s v="GRAVE"/>
    <s v="Enero"/>
    <n v="2020"/>
    <n v="42"/>
    <n v="1"/>
    <d v="2019-11-21T00:00:00"/>
    <s v="AUN-101"/>
    <s v="CHEVROLET"/>
    <s v="SAIL"/>
    <s v="EDPYME ACCESO CREDITICIO SOCIEDAD ANONIMA"/>
  </r>
  <r>
    <x v="13"/>
    <s v="FAC"/>
    <s v="005"/>
    <s v="00000063"/>
    <x v="45"/>
    <s v="AWY319"/>
    <d v="2019-10-21T00:00:00"/>
    <s v="20100041953"/>
    <s v="RIMAC SEGUROS  Y REASEGUROS S.A"/>
    <s v="1302020001"/>
    <s v="PINTURA"/>
    <s v="000"/>
    <s v="001"/>
    <s v="CONTADO"/>
    <s v="009"/>
    <s v="PINTURA"/>
    <s v="$"/>
    <n v="3.3399999000000005"/>
    <n v="1"/>
    <n v="118"/>
    <n v="118"/>
    <n v="21.240010000000019"/>
    <n v="139.24001000000001"/>
    <n v="394.11998820000008"/>
    <d v="2020-01-02T00:00:00"/>
    <s v="005-00000276"/>
    <n v="1101.21"/>
    <n v="152.54000000000002"/>
    <n v="0"/>
    <n v="59.32"/>
    <n v="0"/>
    <n v="45.225000000000001"/>
    <n v="158.28749999999999"/>
    <n v="0"/>
    <n v="415.37250000000006"/>
    <n v="685.83749999999998"/>
    <n v="0.62280355245593477"/>
    <s v="RIMAC"/>
    <s v="LEVE"/>
    <s v="Enero"/>
    <n v="2020"/>
    <n v="14"/>
    <n v="1"/>
    <d v="2019-12-19T00:00:00"/>
    <s v="F2O-046"/>
    <s v="MAZDA"/>
    <s v="CX-5"/>
    <s v="RIMAC SEGUROS  Y REASEGUROS S.A"/>
  </r>
  <r>
    <x v="13"/>
    <s v="FAC"/>
    <s v="005"/>
    <s v="00000063"/>
    <x v="45"/>
    <s v="AWY319"/>
    <d v="2019-10-21T00:00:00"/>
    <s v="20100041953"/>
    <s v="RIMAC SEGUROS  Y REASEGUROS S.A"/>
    <s v="1201020001"/>
    <s v="PLANCHADO"/>
    <s v="000"/>
    <s v="001"/>
    <s v="CONTADO"/>
    <s v="001"/>
    <s v="PLANCHADO"/>
    <s v="$"/>
    <n v="3.3399999000000005"/>
    <n v="1"/>
    <n v="270"/>
    <n v="270"/>
    <n v="48.600010000000005"/>
    <n v="318.60001"/>
    <n v="901.79997300000014"/>
    <d v="2020-01-02T00:00:00"/>
    <s v="005-00000295"/>
    <n v="499"/>
    <n v="125.31709879999997"/>
    <n v="0"/>
    <n v="0"/>
    <n v="40.250250000000001"/>
    <n v="0"/>
    <n v="0"/>
    <n v="0"/>
    <n v="165.56734879999996"/>
    <n v="333.43265120000001"/>
    <n v="0.6682017058116233"/>
    <s v="C.C"/>
    <s v="MECANICA"/>
    <s v="Enero"/>
    <n v="2020"/>
    <n v="5"/>
    <n v="1"/>
    <d v="2019-12-28T00:00:00"/>
    <s v="C4S-251"/>
    <s v="KIA"/>
    <s v="SORENTO"/>
    <s v="INDURA PERU S.A."/>
  </r>
  <r>
    <x v="13"/>
    <s v="FAC"/>
    <s v="005"/>
    <s v="00000063"/>
    <x v="45"/>
    <s v="AWY319"/>
    <d v="2019-10-21T00:00:00"/>
    <s v="20100041953"/>
    <s v="RIMAC SEGUROS  Y REASEGUROS S.A"/>
    <s v="2908010001"/>
    <s v="TERCEROS"/>
    <s v="000"/>
    <s v="001"/>
    <s v="CONTADO"/>
    <s v="002"/>
    <s v="TERCEROS"/>
    <s v="$"/>
    <n v="3.3399999000000005"/>
    <n v="1"/>
    <n v="35"/>
    <n v="35"/>
    <n v="6.299998999999989"/>
    <n v="41.299998999999985"/>
    <n v="116.89999650000001"/>
    <d v="2020-01-04T00:00:00"/>
    <s v="005-00000282"/>
    <n v="1281.3570387"/>
    <n v="0"/>
    <n v="0"/>
    <n v="0"/>
    <n v="0"/>
    <n v="60.300000000000004"/>
    <n v="0"/>
    <n v="0"/>
    <n v="60.300000000000004"/>
    <n v="1221.0570387"/>
    <n v="0.95294051682802061"/>
    <s v="RIMAC"/>
    <s v="LEVE"/>
    <s v="Enero"/>
    <n v="2020"/>
    <n v="12"/>
    <n v="1"/>
    <d v="2019-12-23T00:00:00"/>
    <s v="F3M-334"/>
    <s v="SUZUKI"/>
    <s v="SWIFT"/>
    <s v="RIMAC SEGUROS  Y REASEGUROS S.A"/>
  </r>
  <r>
    <x v="13"/>
    <s v="FAC"/>
    <s v="005"/>
    <s v="00000063"/>
    <x v="45"/>
    <s v="AWY319"/>
    <d v="2019-10-21T00:00:00"/>
    <s v="20100041953"/>
    <s v="RIMAC SEGUROS  Y REASEGUROS S.A"/>
    <s v="310120"/>
    <s v="FRANQUICIA"/>
    <s v="000"/>
    <s v="001"/>
    <s v="CONTADO"/>
    <s v="002"/>
    <s v="FRANQUICIA"/>
    <s v="$"/>
    <n v="3.3399999000000005"/>
    <n v="-1"/>
    <n v="100"/>
    <n v="-100"/>
    <n v="-18"/>
    <n v="-118"/>
    <n v="-333.99999000000003"/>
    <d v="2020-01-06T00:00:00"/>
    <s v="005-00000299"/>
    <n v="879"/>
    <n v="258.47460100000006"/>
    <n v="0"/>
    <n v="0"/>
    <n v="30.150000000000002"/>
    <n v="0"/>
    <n v="0"/>
    <n v="0"/>
    <n v="288.62460100000004"/>
    <n v="590.37539900000002"/>
    <n v="0.67164436746302614"/>
    <s v="RIMAC"/>
    <s v="LEVE"/>
    <s v="Enero"/>
    <n v="2020"/>
    <n v="4"/>
    <n v="1"/>
    <d v="2020-01-02T00:00:00"/>
    <s v="F2F-448"/>
    <s v="NISSAN"/>
    <s v="TIIDA"/>
    <s v="LADO B EDUCACION EMOCIONAL S.A.C."/>
  </r>
  <r>
    <x v="13"/>
    <s v="FAC"/>
    <s v="005"/>
    <s v="00000063"/>
    <x v="45"/>
    <s v="AWY319"/>
    <d v="2019-10-21T00:00:00"/>
    <s v="20100041953"/>
    <s v="RIMAC SEGUROS  Y REASEGUROS S.A"/>
    <s v="320001"/>
    <s v="REPUESTOS"/>
    <s v="000"/>
    <s v="001"/>
    <s v="CONTADO"/>
    <s v="002"/>
    <s v="REPUESTOS"/>
    <s v="$"/>
    <n v="3.3399999000000005"/>
    <n v="1"/>
    <n v="0"/>
    <n v="0"/>
    <n v="0"/>
    <n v="0"/>
    <n v="0"/>
    <d v="2020-01-06T00:00:00"/>
    <s v="005-00000293"/>
    <n v="561.25419999999997"/>
    <n v="46.94"/>
    <n v="42.37"/>
    <n v="80"/>
    <n v="0"/>
    <n v="45.225000000000001"/>
    <n v="52.762500000000003"/>
    <n v="0"/>
    <n v="267.29750000000001"/>
    <n v="293.95669999999996"/>
    <n v="0.5237496663722071"/>
    <s v="ACCESO"/>
    <s v="LEVE"/>
    <s v="Enero"/>
    <n v="2020"/>
    <n v="10"/>
    <n v="1"/>
    <d v="2019-12-27T00:00:00"/>
    <s v="AEM-292"/>
    <s v="HYUNDAI"/>
    <s v="ACCENT"/>
    <s v="EDPYME ACCESO CREDITICIO SOCIEDAD ANONIMA"/>
  </r>
  <r>
    <x v="14"/>
    <s v="FAC"/>
    <s v="005"/>
    <s v="00000064"/>
    <x v="46"/>
    <s v="AKB038"/>
    <d v="2019-10-16T00:00:00"/>
    <s v="20438563084"/>
    <s v="EDPYME ACCESO CREDITICIO SOCIEDAD ANONIMA"/>
    <s v="1302020001"/>
    <s v="PINTURA"/>
    <s v="000"/>
    <s v="001"/>
    <s v="CONTADO"/>
    <s v="009"/>
    <s v="PINTURA"/>
    <s v="S/."/>
    <n v="3.3490000000000002"/>
    <n v="1"/>
    <n v="2193.7542000000003"/>
    <n v="2193.7542000000003"/>
    <n v="394.87569999999977"/>
    <n v="2588.6298999999999"/>
    <n v="2193.7542000000003"/>
    <d v="2020-01-07T00:00:00"/>
    <s v="005-00000296"/>
    <n v="971.97749999999996"/>
    <n v="0"/>
    <n v="0"/>
    <n v="0"/>
    <n v="0"/>
    <n v="90.45"/>
    <n v="175.875"/>
    <n v="0"/>
    <n v="266.32499999999999"/>
    <n v="705.65249999999992"/>
    <n v="0.72599674375178436"/>
    <s v="RIMAC"/>
    <s v="LEVE"/>
    <s v="Enero"/>
    <n v="2020"/>
    <n v="8"/>
    <n v="1"/>
    <d v="2019-12-30T00:00:00"/>
    <s v="BDK-341"/>
    <s v="SUZUKI"/>
    <s v="SWIFT"/>
    <s v="RIMAC SEGUROS  Y REASEGUROS S.A"/>
  </r>
  <r>
    <x v="14"/>
    <s v="FAC"/>
    <s v="005"/>
    <s v="00000064"/>
    <x v="46"/>
    <s v="AKB038"/>
    <d v="2019-10-16T00:00:00"/>
    <s v="20438563084"/>
    <s v="EDPYME ACCESO CREDITICIO SOCIEDAD ANONIMA"/>
    <s v="1201020001"/>
    <s v="PLANCHADO"/>
    <s v="000"/>
    <s v="001"/>
    <s v="CONTADO"/>
    <s v="001"/>
    <s v="PLANCHADO"/>
    <s v="S/."/>
    <n v="3.3490000000000002"/>
    <n v="1"/>
    <n v="1400"/>
    <n v="1400"/>
    <n v="252"/>
    <n v="1652"/>
    <n v="1400"/>
    <d v="2020-01-07T00:00:00"/>
    <s v="005-00000319"/>
    <n v="355"/>
    <n v="0"/>
    <n v="0"/>
    <n v="0"/>
    <n v="0"/>
    <n v="0"/>
    <n v="0"/>
    <n v="0"/>
    <n v="0"/>
    <n v="355"/>
    <n v="1"/>
    <s v="C.C"/>
    <s v="MECANICA"/>
    <s v="Enero"/>
    <n v="2020"/>
    <n v="0"/>
    <n v="1"/>
    <d v="2020-01-07T00:00:00"/>
    <s v="F6K132"/>
    <s v="KIA"/>
    <s v="SORENTO"/>
    <s v="INDURA PERU S.A."/>
  </r>
  <r>
    <x v="14"/>
    <s v="FAC"/>
    <s v="005"/>
    <s v="00000064"/>
    <x v="46"/>
    <s v="AKB038"/>
    <d v="2019-10-16T00:00:00"/>
    <s v="20438563084"/>
    <s v="EDPYME ACCESO CREDITICIO SOCIEDAD ANONIMA"/>
    <s v="2908010001"/>
    <s v="TERCEROS"/>
    <s v="000"/>
    <s v="001"/>
    <s v="CONTADO"/>
    <s v="002"/>
    <s v="TERCEROS"/>
    <s v="S/."/>
    <n v="3.3490000000000002"/>
    <n v="1"/>
    <n v="400"/>
    <n v="400"/>
    <n v="72"/>
    <n v="472"/>
    <n v="400"/>
    <d v="2020-01-07T00:00:00"/>
    <s v="005-00000207"/>
    <n v="7728"/>
    <n v="5149.3193375500005"/>
    <n v="0"/>
    <n v="1884.75"/>
    <n v="80.500500000000002"/>
    <n v="30.150000000000002"/>
    <n v="0"/>
    <n v="0"/>
    <n v="7144.7198375500002"/>
    <n v="583.28016244999981"/>
    <n v="7.5476211497153181E-2"/>
    <s v="C.C"/>
    <s v="MECANICA"/>
    <s v="Enero"/>
    <n v="2020"/>
    <n v="43"/>
    <n v="1"/>
    <d v="2019-11-25T00:00:00"/>
    <s v="F6K-132"/>
    <s v="KIA"/>
    <s v="SORENTO"/>
    <s v="INDURA PERU S.A."/>
  </r>
  <r>
    <x v="14"/>
    <s v="FAC"/>
    <s v="005"/>
    <s v="00000064"/>
    <x v="46"/>
    <s v="AKB038"/>
    <d v="2019-10-16T00:00:00"/>
    <s v="20438563084"/>
    <s v="EDPYME ACCESO CREDITICIO SOCIEDAD ANONIMA"/>
    <s v="2805010001"/>
    <s v="SERVICIOS"/>
    <s v="000"/>
    <s v="001"/>
    <s v="CONTADO"/>
    <s v="002"/>
    <s v="MECANICA"/>
    <s v="S/."/>
    <n v="3.3490000000000002"/>
    <n v="1"/>
    <n v="375"/>
    <n v="375"/>
    <n v="67.5"/>
    <n v="442.5"/>
    <n v="375"/>
    <d v="2020-01-08T00:00:00"/>
    <s v="005-00000190"/>
    <n v="13586.59331"/>
    <n v="5329.3985689000001"/>
    <n v="0"/>
    <n v="122.88"/>
    <n v="350.49375000000003"/>
    <n v="482.40000000000003"/>
    <n v="1090.425"/>
    <n v="0"/>
    <n v="7375.5973188999997"/>
    <n v="6210.9959911000005"/>
    <n v="0.4571415254277601"/>
    <s v="ACCESO"/>
    <s v="GRAVE"/>
    <s v="Enero"/>
    <n v="2020"/>
    <n v="48"/>
    <n v="1"/>
    <d v="2019-11-21T00:00:00"/>
    <s v="AVV-131"/>
    <s v="HYUNDAI"/>
    <s v="ACCENT"/>
    <s v="EDPYME ACCESO CREDITICIO SOCIEDAD ANONIMA"/>
  </r>
  <r>
    <x v="14"/>
    <s v="FAC"/>
    <s v="005"/>
    <s v="00000064"/>
    <x v="46"/>
    <s v="AKB038"/>
    <d v="2019-10-16T00:00:00"/>
    <s v="20438563084"/>
    <s v="EDPYME ACCESO CREDITICIO SOCIEDAD ANONIMA"/>
    <s v="320001"/>
    <s v="REPUESTOS"/>
    <s v="000"/>
    <s v="001"/>
    <s v="CONTADO"/>
    <s v="002"/>
    <s v="REPUESTOS"/>
    <s v="S/."/>
    <n v="3.3490000000000002"/>
    <n v="1"/>
    <n v="2219"/>
    <n v="2219"/>
    <n v="399.41989999999993"/>
    <n v="2618.4198999999999"/>
    <n v="2219"/>
    <d v="2020-01-08T00:00:00"/>
    <s v="005-00000298"/>
    <n v="941.5409717"/>
    <n v="0"/>
    <n v="0"/>
    <n v="0"/>
    <n v="0"/>
    <n v="90.45"/>
    <n v="140.70000000000002"/>
    <n v="0"/>
    <n v="231.15000000000003"/>
    <n v="710.39097169999991"/>
    <n v="0.75449820353261199"/>
    <s v="RIMAC"/>
    <s v="LEVE"/>
    <s v="Enero"/>
    <n v="2020"/>
    <n v="6"/>
    <n v="1"/>
    <d v="2020-01-02T00:00:00"/>
    <s v="BAG-855"/>
    <s v="RAM"/>
    <s v="V700"/>
    <s v="GRUPO BONNETT SA"/>
  </r>
  <r>
    <x v="14"/>
    <s v="FAC"/>
    <s v="005"/>
    <s v="00000065"/>
    <x v="47"/>
    <s v="AEM292"/>
    <d v="2019-10-16T00:00:00"/>
    <s v="20438563084"/>
    <s v="EDPYME ACCESO CREDITICIO SOCIEDAD ANONIMA"/>
    <s v="1302020001"/>
    <s v="PINTURA"/>
    <s v="000"/>
    <s v="001"/>
    <s v="CONTADO"/>
    <s v="009"/>
    <s v="PINTURA"/>
    <s v="S/."/>
    <n v="3.3490000000000002"/>
    <n v="1"/>
    <n v="810"/>
    <n v="810"/>
    <n v="145.79998999999995"/>
    <n v="955.79998999999998"/>
    <n v="810"/>
    <d v="2020-01-10T00:00:00"/>
    <s v="005-00000114"/>
    <n v="2480.7870746999997"/>
    <n v="5.4759001999999999"/>
    <n v="0"/>
    <n v="84.75"/>
    <n v="0"/>
    <n v="180.9"/>
    <n v="386.92500000000001"/>
    <n v="0"/>
    <n v="658.0509002"/>
    <n v="1822.7361744999998"/>
    <n v="0.7347410799939057"/>
    <s v="RIMAC"/>
    <s v="MEDIANO"/>
    <s v="Enero"/>
    <n v="2020"/>
    <n v="73"/>
    <n v="1"/>
    <d v="2019-10-29T00:00:00"/>
    <s v="BFZ-509"/>
    <s v="KIA"/>
    <s v="SPORTAGE"/>
    <s v="SOLUCION INTEGRAL DE TECNOLOGIAS DE INFORMACION Y COMUNICACION E.I.R.L."/>
  </r>
  <r>
    <x v="14"/>
    <s v="FAC"/>
    <s v="005"/>
    <s v="00000065"/>
    <x v="47"/>
    <s v="AEM292"/>
    <d v="2019-10-16T00:00:00"/>
    <s v="20438563084"/>
    <s v="EDPYME ACCESO CREDITICIO SOCIEDAD ANONIMA"/>
    <s v="1201020001"/>
    <s v="PLANCHADO"/>
    <s v="000"/>
    <s v="001"/>
    <s v="CONTADO"/>
    <s v="001"/>
    <s v="PLANCHADO"/>
    <s v="S/."/>
    <n v="3.3490000000000002"/>
    <n v="1"/>
    <n v="175"/>
    <n v="175"/>
    <n v="31.5"/>
    <n v="206.5"/>
    <n v="175"/>
    <d v="2020-01-10T00:00:00"/>
    <s v="005-00000291"/>
    <n v="840.21302530000003"/>
    <n v="0"/>
    <n v="0"/>
    <n v="0"/>
    <n v="0"/>
    <n v="60.300000000000004"/>
    <n v="140.70000000000002"/>
    <n v="0"/>
    <n v="201.00000000000003"/>
    <n v="639.21302530000003"/>
    <n v="0.7607749535562931"/>
    <s v="RIMAC"/>
    <s v="LEVE"/>
    <s v="Enero"/>
    <n v="2020"/>
    <n v="14"/>
    <n v="1"/>
    <d v="2019-12-27T00:00:00"/>
    <s v="AWJ-049"/>
    <s v="RENAULT"/>
    <s v="LOGAN"/>
    <s v="RIMAC SEGUROS  Y REASEGUROS S.A"/>
  </r>
  <r>
    <x v="14"/>
    <s v="FAC"/>
    <s v="005"/>
    <s v="00000065"/>
    <x v="47"/>
    <s v="AEM292"/>
    <d v="2019-10-16T00:00:00"/>
    <s v="20438563084"/>
    <s v="EDPYME ACCESO CREDITICIO SOCIEDAD ANONIMA"/>
    <s v="2908010001"/>
    <s v="TERCEROS"/>
    <s v="000"/>
    <s v="001"/>
    <s v="CONTADO"/>
    <s v="002"/>
    <s v="TERCEROS"/>
    <s v="S/."/>
    <n v="3.3490000000000002"/>
    <n v="1"/>
    <n v="450"/>
    <n v="450"/>
    <n v="81"/>
    <n v="531"/>
    <n v="450"/>
    <d v="2020-01-11T00:00:00"/>
    <s v="005-00000281"/>
    <n v="570.06598284999995"/>
    <n v="0"/>
    <n v="0"/>
    <n v="0"/>
    <n v="0"/>
    <n v="45.225000000000001"/>
    <n v="0"/>
    <n v="0"/>
    <n v="45.225000000000001"/>
    <n v="524.84098284999993"/>
    <n v="0.92066707826714866"/>
    <s v="RIMAC"/>
    <s v="LEVE"/>
    <s v="Enero"/>
    <n v="2020"/>
    <n v="19"/>
    <n v="1"/>
    <d v="2019-12-23T00:00:00"/>
    <s v="AJE-585"/>
    <s v="AUDI"/>
    <s v="Q3"/>
    <s v="RIMAC SEGUROS  Y REASEGUROS S.A"/>
  </r>
  <r>
    <x v="14"/>
    <s v="FAC"/>
    <s v="005"/>
    <s v="00000065"/>
    <x v="47"/>
    <s v="AEM292"/>
    <d v="2019-10-16T00:00:00"/>
    <s v="20438563084"/>
    <s v="EDPYME ACCESO CREDITICIO SOCIEDAD ANONIMA"/>
    <s v="2805010001"/>
    <s v="SERVICIOS"/>
    <s v="000"/>
    <s v="001"/>
    <s v="CONTADO"/>
    <s v="002"/>
    <s v="MECANICA"/>
    <s v="S/."/>
    <n v="3.3490000000000002"/>
    <n v="1"/>
    <n v="358.75421"/>
    <n v="358.75421"/>
    <n v="64.575780000000009"/>
    <n v="423.32999000000001"/>
    <n v="358.75421"/>
    <d v="2020-01-11T00:00:00"/>
    <s v="005-00000304"/>
    <n v="899.98693372458013"/>
    <n v="0"/>
    <n v="0"/>
    <n v="0"/>
    <n v="0"/>
    <n v="60.300000000000004"/>
    <n v="211.05"/>
    <n v="0"/>
    <n v="271.35000000000002"/>
    <n v="628.6369337245801"/>
    <n v="0.69849562273418475"/>
    <s v="RIMAC"/>
    <s v="LEVE"/>
    <s v="Enero"/>
    <n v="2020"/>
    <n v="8"/>
    <n v="1"/>
    <d v="2020-01-03T00:00:00"/>
    <s v="BFF-666"/>
    <s v="KIA"/>
    <s v="RIO"/>
    <s v="RIMAC SEGUROS  Y REASEGUROS S.A"/>
  </r>
  <r>
    <x v="14"/>
    <s v="FAC"/>
    <s v="005"/>
    <s v="00000065"/>
    <x v="47"/>
    <s v="AEM292"/>
    <d v="2019-10-16T00:00:00"/>
    <s v="20438563084"/>
    <s v="EDPYME ACCESO CREDITICIO SOCIEDAD ANONIMA"/>
    <s v="320001"/>
    <s v="REPUESTOS"/>
    <s v="000"/>
    <s v="001"/>
    <s v="CONTADO"/>
    <s v="002"/>
    <s v="REPUESTOS"/>
    <s v="S/."/>
    <n v="3.3490000000000002"/>
    <n v="1"/>
    <n v="2069"/>
    <n v="2069"/>
    <n v="372.41989999999993"/>
    <n v="2441.4198999999999"/>
    <n v="2069"/>
    <d v="2020-01-11T00:00:00"/>
    <s v="005-00000305"/>
    <n v="73.972958574580005"/>
    <n v="0"/>
    <n v="0"/>
    <n v="0"/>
    <n v="0"/>
    <n v="7.5375000000000005"/>
    <n v="17.587500000000002"/>
    <n v="0"/>
    <n v="25.125000000000004"/>
    <n v="48.847958574580005"/>
    <n v="0.66034885606652038"/>
    <s v="RIMAC"/>
    <s v="LEVE"/>
    <s v="Enero"/>
    <n v="2020"/>
    <n v="8"/>
    <n v="1"/>
    <d v="2020-01-03T00:00:00"/>
    <s v="BFF-666"/>
    <s v="KIA"/>
    <s v="RIO"/>
    <s v="RIMAC SEGUROS  Y REASEGUROS S.A"/>
  </r>
  <r>
    <x v="14"/>
    <s v="FAC"/>
    <s v="005"/>
    <s v="00000066"/>
    <x v="48"/>
    <s v="AFC361"/>
    <d v="2019-10-23T00:00:00"/>
    <s v="20100041953"/>
    <s v="RIMAC SEGUROS  Y REASEGUROS S.A"/>
    <s v="1302020001"/>
    <s v="PINTURA"/>
    <s v="000"/>
    <s v="001"/>
    <s v="CONTADO"/>
    <s v="009"/>
    <s v="PINTURA"/>
    <s v="$"/>
    <n v="3.3490000000000002"/>
    <n v="1"/>
    <n v="206.5"/>
    <n v="206.5"/>
    <n v="37.17"/>
    <n v="243.67"/>
    <n v="691.56850000000009"/>
    <d v="2020-01-13T00:00:00"/>
    <s v="005-00000201"/>
    <n v="13559.322"/>
    <n v="4221.5106992799992"/>
    <n v="33.9"/>
    <n v="808.89"/>
    <n v="350.49375000000003"/>
    <n v="829.125"/>
    <n v="1371.825"/>
    <n v="0"/>
    <n v="7615.7444492799987"/>
    <n v="5943.5775507200015"/>
    <n v="0.43833884546144719"/>
    <s v="ACCESO"/>
    <s v="GRAVE"/>
    <s v="Enero"/>
    <n v="2020"/>
    <n v="51"/>
    <n v="1"/>
    <d v="2019-11-23T00:00:00"/>
    <s v="D9T-310"/>
    <s v="CHEVROLET"/>
    <s v="SAIL"/>
    <s v="EDPYME ACCESO CREDITICIO SOCIEDAD ANONIMA"/>
  </r>
  <r>
    <x v="14"/>
    <s v="FAC"/>
    <s v="005"/>
    <s v="00000066"/>
    <x v="48"/>
    <s v="AFC361"/>
    <d v="2019-10-23T00:00:00"/>
    <s v="20100041953"/>
    <s v="RIMAC SEGUROS  Y REASEGUROS S.A"/>
    <s v="1201020001"/>
    <s v="PLANCHADO"/>
    <s v="000"/>
    <s v="001"/>
    <s v="CONTADO"/>
    <s v="001"/>
    <s v="PLANCHADO"/>
    <s v="$"/>
    <n v="3.3490000000000002"/>
    <n v="1"/>
    <n v="240"/>
    <n v="240"/>
    <n v="43.200010000000042"/>
    <n v="283.20001000000002"/>
    <n v="803.76"/>
    <d v="2020-01-13T00:00:00"/>
    <s v="005-00000203"/>
    <n v="13999.754209999999"/>
    <n v="2707.6113702200005"/>
    <n v="153.97999999999999"/>
    <n v="714.1400000000001"/>
    <n v="440.94375000000002"/>
    <n v="783.9"/>
    <n v="1266.3"/>
    <n v="0"/>
    <n v="6066.875120220001"/>
    <n v="7932.8790897799981"/>
    <n v="0.56664416894644887"/>
    <s v="ACCESO"/>
    <s v="GRAVE"/>
    <s v="Enero"/>
    <n v="2020"/>
    <n v="51"/>
    <n v="1"/>
    <d v="2019-11-23T00:00:00"/>
    <s v="ARM-473"/>
    <s v="CHEVROLET"/>
    <s v="SAIL"/>
    <s v="EDPYME ACCESO CREDITICIO SOCIEDAD ANONIMA"/>
  </r>
  <r>
    <x v="14"/>
    <s v="FAC"/>
    <s v="005"/>
    <s v="00000066"/>
    <x v="48"/>
    <s v="AFC361"/>
    <d v="2019-10-23T00:00:00"/>
    <s v="20100041953"/>
    <s v="RIMAC SEGUROS  Y REASEGUROS S.A"/>
    <s v="2908010001"/>
    <s v="TERCEROS"/>
    <s v="000"/>
    <s v="001"/>
    <s v="CONTADO"/>
    <s v="002"/>
    <s v="TERCEROS"/>
    <s v="$"/>
    <n v="3.3490000000000002"/>
    <n v="1"/>
    <n v="30"/>
    <n v="30"/>
    <n v="5.4000019999999997"/>
    <n v="35.400002000000001"/>
    <n v="100.47"/>
    <d v="2020-01-13T00:00:00"/>
    <s v="005-00000093"/>
    <n v="344.03398965000002"/>
    <n v="158.72000199999997"/>
    <n v="0"/>
    <n v="0"/>
    <n v="0"/>
    <n v="15.075000000000001"/>
    <n v="0"/>
    <n v="0"/>
    <n v="173.79500199999995"/>
    <n v="170.23898765000007"/>
    <n v="0.49483188513783544"/>
    <s v="C.C"/>
    <s v="MECANICA"/>
    <s v="Enero"/>
    <n v="2020"/>
    <n v="81"/>
    <n v="1"/>
    <d v="2019-10-24T00:00:00"/>
    <s v="BEJ-577"/>
    <s v="MAZDA"/>
    <s v="MAZDA3"/>
    <s v="RENTAEQUIPOS LEASING PERU S.A."/>
  </r>
  <r>
    <x v="14"/>
    <s v="FAC"/>
    <s v="005"/>
    <s v="00000066"/>
    <x v="48"/>
    <s v="AFC361"/>
    <d v="2019-10-23T00:00:00"/>
    <s v="20100041953"/>
    <s v="RIMAC SEGUROS  Y REASEGUROS S.A"/>
    <s v="310120"/>
    <s v="FRANQUICIA"/>
    <s v="000"/>
    <s v="001"/>
    <s v="CONTADO"/>
    <s v="002"/>
    <s v="FRANQUICIA"/>
    <s v="$"/>
    <n v="3.3490000000000002"/>
    <n v="-1"/>
    <n v="158.839"/>
    <n v="-158.839"/>
    <n v="-28.590989999999966"/>
    <n v="-187.42998999999998"/>
    <n v="-531.95181100000002"/>
    <d v="2020-01-14T00:00:00"/>
    <s v="005-00000301"/>
    <n v="1682.1920111999998"/>
    <n v="5.4759001999999999"/>
    <n v="0"/>
    <n v="199.16"/>
    <n v="0"/>
    <n v="90.45"/>
    <n v="0"/>
    <n v="0"/>
    <n v="295.08590020000003"/>
    <n v="1387.1061109999998"/>
    <n v="0.82458251006108452"/>
    <s v="RIMAC"/>
    <s v="LEVE"/>
    <s v="Enero"/>
    <n v="2020"/>
    <n v="12"/>
    <n v="1"/>
    <d v="2020-01-02T00:00:00"/>
    <s v="AUO-555"/>
    <s v="HYUNDAI"/>
    <s v="TUCSON"/>
    <s v="CERAMICOS BARCELONA SAC"/>
  </r>
  <r>
    <x v="14"/>
    <s v="FAC"/>
    <s v="005"/>
    <s v="00000066"/>
    <x v="48"/>
    <s v="AFC361"/>
    <d v="2019-10-23T00:00:00"/>
    <s v="20100041953"/>
    <s v="RIMAC SEGUROS  Y REASEGUROS S.A"/>
    <s v="320001"/>
    <s v="REPUESTOS"/>
    <s v="000"/>
    <s v="001"/>
    <s v="CONTADO"/>
    <s v="002"/>
    <s v="REPUESTOS"/>
    <s v="$"/>
    <n v="3.3490000000000002"/>
    <n v="1"/>
    <n v="0"/>
    <n v="0"/>
    <n v="0"/>
    <n v="0"/>
    <n v="0"/>
    <d v="2020-01-16T00:00:00"/>
    <s v="005-00000303"/>
    <n v="1039.6874687500001"/>
    <n v="0"/>
    <n v="0"/>
    <n v="0"/>
    <n v="0"/>
    <n v="150.75"/>
    <n v="175.875"/>
    <n v="0"/>
    <n v="326.625"/>
    <n v="713.06246875000011"/>
    <n v="0.68584309245094965"/>
    <s v="RIMAC"/>
    <s v="MEDIANO"/>
    <s v="Enero"/>
    <n v="2020"/>
    <n v="13"/>
    <n v="1"/>
    <d v="2020-01-03T00:00:00"/>
    <s v="BES-112"/>
    <s v="NISSAN"/>
    <s v="KICKS"/>
    <s v="RIMAC SEGUROS  Y REASEGUROS S.A"/>
  </r>
  <r>
    <x v="0"/>
    <s v="BOL"/>
    <s v="005"/>
    <s v="00000001"/>
    <x v="49"/>
    <s v="BAZ054"/>
    <d v="2019-10-07T00:00:00"/>
    <s v="70431036"/>
    <s v="MEZA CERNA JUNOR RAUL"/>
    <s v="2805010001"/>
    <s v="SERVICIOS"/>
    <s v="000"/>
    <s v="001"/>
    <s v="CONTADO"/>
    <s v="002"/>
    <s v="MECANICA"/>
    <s v="S/."/>
    <n v="3.3780000000000001"/>
    <n v="1"/>
    <n v="296.61020000000002"/>
    <n v="296.61020000000002"/>
    <n v="53.389799999999994"/>
    <n v="350"/>
    <n v="296.61020000000002"/>
    <d v="2020-01-16T00:00:00"/>
    <s v="005-00000302"/>
    <n v="2042.7779386"/>
    <n v="0"/>
    <n v="0"/>
    <n v="84.75"/>
    <n v="15.075000000000001"/>
    <n v="120.60000000000001"/>
    <n v="422.1"/>
    <n v="0"/>
    <n v="642.52500000000009"/>
    <n v="1400.2529385999999"/>
    <n v="0.68546507779482435"/>
    <s v="RIMAC"/>
    <s v="MEDIANO"/>
    <s v="Enero"/>
    <n v="2020"/>
    <n v="13"/>
    <n v="1"/>
    <d v="2020-01-03T00:00:00"/>
    <s v="BDW-301"/>
    <s v="MAZDA"/>
    <s v="MAZDA3"/>
    <s v="RIMAC SEGUROS  Y REASEGUROS S.A"/>
  </r>
  <r>
    <x v="0"/>
    <s v="BOL"/>
    <s v="005"/>
    <s v="00000001"/>
    <x v="49"/>
    <s v="BAZ054"/>
    <d v="2019-10-07T00:00:00"/>
    <s v="70431036"/>
    <s v="MEZA CERNA JUNOR RAUL"/>
    <s v="320001"/>
    <s v="REPUESTOS"/>
    <s v="000"/>
    <s v="001"/>
    <s v="CONTADO"/>
    <s v="002"/>
    <s v="REPUESTOS"/>
    <s v="S/."/>
    <n v="3.3780000000000001"/>
    <n v="1"/>
    <n v="0"/>
    <n v="0"/>
    <n v="0"/>
    <n v="0"/>
    <n v="0"/>
    <d v="2020-01-17T00:00:00"/>
    <s v="005-00000216"/>
    <n v="8871.7542099999991"/>
    <n v="1987.1938547000002"/>
    <n v="0"/>
    <n v="96.27"/>
    <n v="290.19375000000002"/>
    <n v="316.57499999999999"/>
    <n v="1266.3"/>
    <n v="0"/>
    <n v="3956.5326046999999"/>
    <n v="4915.2216052999993"/>
    <n v="0.55403040807416593"/>
    <s v="ACCESO"/>
    <s v="GRAVE"/>
    <s v="Enero"/>
    <n v="2020"/>
    <n v="49"/>
    <n v="1"/>
    <d v="2019-11-29T00:00:00"/>
    <s v="BFZ-575"/>
    <s v="CHEVROLET"/>
    <s v="SAIL"/>
    <s v="EDPYME ACCESO CREDITICIO SOCIEDAD ANONIMA"/>
  </r>
  <r>
    <x v="2"/>
    <s v="BOL"/>
    <s v="005"/>
    <s v="00000002"/>
    <x v="50"/>
    <s v="AHK141"/>
    <d v="2019-10-04T00:00:00"/>
    <s v="10223085"/>
    <s v="JOSE ANTONIO MENENDEZ FERNANDEZ"/>
    <s v="1302020001"/>
    <s v="PINTURA"/>
    <s v="000"/>
    <s v="001"/>
    <s v="CONTADO"/>
    <s v="009"/>
    <s v="PINTURA"/>
    <s v="$"/>
    <n v="3.3610001"/>
    <n v="1"/>
    <n v="204.75419999999997"/>
    <n v="204.75419999999997"/>
    <n v="36.855800000000016"/>
    <n v="241.61"/>
    <n v="688.1788866754199"/>
    <d v="2020-01-17T00:00:00"/>
    <s v="005-00000258"/>
    <n v="9371.2542099999991"/>
    <n v="1318.8415390600001"/>
    <n v="72.03"/>
    <n v="265"/>
    <n v="0"/>
    <n v="180.9"/>
    <n v="949.72500000000002"/>
    <n v="0"/>
    <n v="2786.49653906"/>
    <n v="6584.7576709399991"/>
    <n v="0.70265489798723535"/>
    <s v="ACCESO"/>
    <s v="MEDIANO"/>
    <s v="Enero"/>
    <n v="2020"/>
    <n v="38"/>
    <n v="1"/>
    <d v="2019-12-10T00:00:00"/>
    <s v="D3W-105"/>
    <s v="CHEVROLET"/>
    <s v="SAIL"/>
    <s v="EDPYME ACCESO CREDITICIO SOCIEDAD ANONIMA"/>
  </r>
  <r>
    <x v="2"/>
    <s v="BOL"/>
    <s v="005"/>
    <s v="00000002"/>
    <x v="50"/>
    <s v="AHK141"/>
    <d v="2019-10-04T00:00:00"/>
    <s v="10223085"/>
    <s v="JOSE ANTONIO MENENDEZ FERNANDEZ"/>
    <s v="1201020001"/>
    <s v="PLANCHADO"/>
    <s v="000"/>
    <s v="001"/>
    <s v="CONTADO"/>
    <s v="001"/>
    <s v="PLANCHADO"/>
    <s v="$"/>
    <n v="3.3610001"/>
    <n v="1"/>
    <n v="90"/>
    <n v="90"/>
    <n v="16.2"/>
    <n v="106.2"/>
    <n v="302.49000899999999"/>
    <d v="2020-01-17T00:00:00"/>
    <s v="005-00000309"/>
    <n v="2549.5"/>
    <n v="77.660597499999994"/>
    <n v="0"/>
    <n v="57.37"/>
    <n v="0"/>
    <n v="120.60000000000001"/>
    <n v="0"/>
    <n v="0"/>
    <n v="255.63059750000002"/>
    <n v="2293.8694025"/>
    <n v="0.89973304667581877"/>
    <s v="ACCESO"/>
    <s v="LEVE"/>
    <s v="Enero"/>
    <n v="2020"/>
    <n v="14"/>
    <n v="1"/>
    <d v="2020-01-03T00:00:00"/>
    <s v="BKY-290"/>
    <s v="BYD"/>
    <s v="F3"/>
    <s v="EDPYME ACCESO CREDITICIO SOCIEDAD ANONIMA"/>
  </r>
  <r>
    <x v="2"/>
    <s v="BOL"/>
    <s v="005"/>
    <s v="00000002"/>
    <x v="50"/>
    <s v="AHK141"/>
    <d v="2019-10-04T00:00:00"/>
    <s v="10223085"/>
    <s v="JOSE ANTONIO MENENDEZ FERNANDEZ"/>
    <s v="2908010001"/>
    <s v="TERCEROS"/>
    <s v="000"/>
    <s v="001"/>
    <s v="CONTADO"/>
    <s v="002"/>
    <s v="TERCEROS"/>
    <s v="$"/>
    <n v="3.3610001"/>
    <n v="1"/>
    <n v="15"/>
    <n v="15"/>
    <n v="2.7000009999999999"/>
    <n v="17.700001"/>
    <n v="50.415001500000002"/>
    <d v="2020-01-17T00:00:00"/>
    <s v="005-00000308"/>
    <n v="3555.2541999999999"/>
    <n v="445.06809801999998"/>
    <n v="0"/>
    <n v="42.37"/>
    <n v="0"/>
    <n v="331.65000000000003"/>
    <n v="0"/>
    <n v="0"/>
    <n v="819.08809801999996"/>
    <n v="2736.1661019799999"/>
    <n v="0.76961194560433965"/>
    <s v="ACCESO"/>
    <s v="LEVE"/>
    <s v="Enero"/>
    <n v="2020"/>
    <n v="14"/>
    <n v="1"/>
    <d v="2020-01-03T00:00:00"/>
    <s v="BKD-354"/>
    <s v="CHEVROLET"/>
    <s v="SAIL"/>
    <s v="EDPYME ACCESO CREDITICIO SOCIEDAD ANONIMA"/>
  </r>
  <r>
    <x v="2"/>
    <s v="BOL"/>
    <s v="005"/>
    <s v="00000002"/>
    <x v="50"/>
    <s v="AHK141"/>
    <d v="2019-10-04T00:00:00"/>
    <s v="10223085"/>
    <s v="JOSE ANTONIO MENENDEZ FERNANDEZ"/>
    <s v="2805010001"/>
    <s v="SERVICIOS"/>
    <s v="000"/>
    <s v="001"/>
    <s v="CONTADO"/>
    <s v="002"/>
    <s v="MECANICA"/>
    <s v="$"/>
    <n v="3.3610001"/>
    <n v="1"/>
    <n v="0"/>
    <n v="0"/>
    <n v="0"/>
    <n v="0"/>
    <n v="0"/>
    <d v="2020-01-17T00:00:00"/>
    <s v="005-00000306"/>
    <n v="5974.5"/>
    <n v="768.97414461999995"/>
    <n v="7.62"/>
    <n v="102.19999999999999"/>
    <n v="0"/>
    <n v="361.8"/>
    <n v="1160.7750000000001"/>
    <n v="0"/>
    <n v="2401.36914462"/>
    <n v="3573.13085538"/>
    <n v="0.59806357944263122"/>
    <s v="ACCESO"/>
    <s v="GRAVE"/>
    <s v="Enero"/>
    <n v="2020"/>
    <n v="14"/>
    <n v="1"/>
    <d v="2020-01-03T00:00:00"/>
    <s v="BEA-419"/>
    <s v="BYD"/>
    <s v="F3"/>
    <s v="EDPYME ACCESO CREDITICIO SOCIEDAD ANONIMA"/>
  </r>
  <r>
    <x v="4"/>
    <s v="BOL"/>
    <s v="005"/>
    <s v="00000004"/>
    <x v="51"/>
    <s v="B3A304"/>
    <d v="2019-10-17T00:00:00"/>
    <s v="02863720"/>
    <s v="RIVERA AGUILAR JULIO"/>
    <s v="2805010001"/>
    <s v="SERVICIOS"/>
    <s v="000"/>
    <s v="001"/>
    <s v="CONTADO"/>
    <s v="002"/>
    <s v="MECANICA"/>
    <s v="S/."/>
    <n v="3.3699998999999998"/>
    <n v="1"/>
    <n v="237.28809999999999"/>
    <n v="237.28810000000001"/>
    <n v="42.711900000000021"/>
    <n v="280"/>
    <n v="237.28810000000001"/>
    <d v="2020-01-17T00:00:00"/>
    <s v="005-00000307"/>
    <n v="3074.5"/>
    <n v="74.218697219999996"/>
    <n v="0"/>
    <n v="0"/>
    <n v="0"/>
    <n v="211.05"/>
    <n v="949.72500000000002"/>
    <n v="0"/>
    <n v="1234.9936972200001"/>
    <n v="1839.5063027799999"/>
    <n v="0.59831071809399905"/>
    <s v="ACCESO"/>
    <s v="GRAVE"/>
    <s v="Enero"/>
    <n v="2020"/>
    <n v="14"/>
    <n v="1"/>
    <d v="2020-01-03T00:00:00"/>
    <s v="BJS-447"/>
    <s v="BYD"/>
    <s v="F3"/>
    <s v="EDPYME ACCESO CREDITICIO SOCIEDAD ANONIMA"/>
  </r>
  <r>
    <x v="4"/>
    <s v="BOL"/>
    <s v="005"/>
    <s v="00000004"/>
    <x v="51"/>
    <s v="B3A304"/>
    <d v="2019-10-17T00:00:00"/>
    <s v="02863720"/>
    <s v="RIVERA AGUILAR JULIO"/>
    <s v="320001"/>
    <s v="REPUESTOS"/>
    <s v="000"/>
    <s v="001"/>
    <s v="CONTADO"/>
    <s v="002"/>
    <s v="REPUESTOS"/>
    <s v="S/."/>
    <n v="3.3699998999999998"/>
    <n v="1"/>
    <n v="0"/>
    <n v="0"/>
    <n v="0"/>
    <n v="0"/>
    <n v="0"/>
    <d v="2020-01-17T00:00:00"/>
    <s v="005-00000314"/>
    <n v="5179.5"/>
    <n v="951.85274549999997"/>
    <n v="105.93"/>
    <n v="0"/>
    <n v="128.13750000000002"/>
    <n v="301.5"/>
    <n v="1055.25"/>
    <n v="0"/>
    <n v="2542.6702455"/>
    <n v="2636.8297545"/>
    <n v="0.5090896330726904"/>
    <s v="ACCESO"/>
    <s v="GRAVE"/>
    <s v="Enero"/>
    <n v="2020"/>
    <n v="13"/>
    <n v="1"/>
    <d v="2020-01-04T00:00:00"/>
    <s v="BCI-195"/>
    <s v="GREAT WALL"/>
    <s v="VOLEX"/>
    <s v="EDPYME ACCESO CREDITICIO SOCIEDAD ANONIMA"/>
  </r>
  <r>
    <x v="5"/>
    <s v="BOL"/>
    <s v="005"/>
    <s v="00000005"/>
    <x v="8"/>
    <s v="ANX091"/>
    <d v="2019-10-10T00:00:00"/>
    <s v="43287821"/>
    <s v="ROBLES MANRIQUE RAUL"/>
    <s v="310120"/>
    <s v="FRANQUICIA"/>
    <s v="000"/>
    <s v="001"/>
    <s v="CONTADO"/>
    <s v="002"/>
    <s v="FRANQUICIA"/>
    <s v="$"/>
    <n v="3.355"/>
    <n v="1"/>
    <n v="100"/>
    <n v="100"/>
    <n v="18"/>
    <n v="118"/>
    <n v="335.5"/>
    <d v="2020-01-18T00:00:00"/>
    <s v="005-00000244"/>
    <n v="845"/>
    <n v="332.20400100000001"/>
    <n v="461.85999999999996"/>
    <n v="16.95"/>
    <n v="15.075000000000001"/>
    <n v="0"/>
    <n v="0"/>
    <n v="0"/>
    <n v="826.08900100000005"/>
    <n v="18.910998999999947"/>
    <n v="2.2379880473372717E-2"/>
    <s v="ACCESO"/>
    <s v="GRAVE"/>
    <s v="Enero"/>
    <n v="2020"/>
    <n v="43"/>
    <n v="1"/>
    <d v="2019-12-06T00:00:00"/>
    <s v="D2X-491"/>
    <s v="CHEVROLET"/>
    <s v="CHEVROLET"/>
    <s v="EDPYME ACCESO CREDITICIO SOCIEDAD ANONIMA"/>
  </r>
  <r>
    <x v="5"/>
    <s v="BOL"/>
    <s v="005"/>
    <s v="00000006"/>
    <x v="52"/>
    <s v="BLJ074"/>
    <d v="2019-10-18T00:00:00"/>
    <s v="73137143"/>
    <s v="LONDOÑO LOPEZ JHAIR"/>
    <s v="2908010001"/>
    <s v="AMPLIACION REPUESTOS"/>
    <s v="000"/>
    <s v="001"/>
    <s v="CONTADO"/>
    <s v="002"/>
    <s v="REPUESTOS"/>
    <s v="S/."/>
    <n v="3.355"/>
    <n v="2"/>
    <n v="16.949200000000001"/>
    <n v="33.898400000000002"/>
    <n v="6.1015999999999986"/>
    <n v="40"/>
    <n v="33.898400000000002"/>
    <d v="2020-01-18T00:00:00"/>
    <s v="005-00000106"/>
    <n v="11203.254209999999"/>
    <n v="3510.2143903399988"/>
    <n v="136.28"/>
    <n v="156.76999999999998"/>
    <n v="290.19375000000002"/>
    <n v="512.55000000000007"/>
    <n v="1231.125"/>
    <n v="0"/>
    <n v="5837.133140339999"/>
    <n v="5366.1210696600001"/>
    <n v="0.47897878322445031"/>
    <s v="ACCESO"/>
    <s v="GRAVE"/>
    <s v="Enero"/>
    <n v="2020"/>
    <n v="82"/>
    <n v="1"/>
    <d v="2019-10-28T00:00:00"/>
    <s v="D2X-491"/>
    <s v="CHEVROLET"/>
    <s v="SAIL"/>
    <s v="EDPYME ACCESO CREDITICIO SOCIEDAD ANONIMA"/>
  </r>
  <r>
    <x v="5"/>
    <s v="BOL"/>
    <s v="005"/>
    <s v="00000006"/>
    <x v="52"/>
    <s v="BLJ074"/>
    <d v="2019-10-18T00:00:00"/>
    <s v="73137143"/>
    <s v="LONDOÑO LOPEZ JHAIR"/>
    <s v="2805010001"/>
    <s v="SERVICIOS"/>
    <s v="000"/>
    <s v="001"/>
    <s v="CONTADO"/>
    <s v="002"/>
    <s v="MECANICA"/>
    <s v="S/."/>
    <n v="3.355"/>
    <n v="1"/>
    <n v="211.87289000000001"/>
    <n v="211.87289000000001"/>
    <n v="38.137099999999954"/>
    <n v="250.00998999999996"/>
    <n v="211.87289000000001"/>
    <d v="2020-01-18T00:00:00"/>
    <s v="005-00000272"/>
    <n v="4900"/>
    <n v="1591.902887"/>
    <n v="0"/>
    <n v="1171.7733898305084"/>
    <n v="15.075000000000001"/>
    <n v="0"/>
    <n v="0"/>
    <n v="0"/>
    <n v="2778.7512768305082"/>
    <n v="2121.2487231694918"/>
    <n v="0.43290790268765139"/>
    <s v="C.C"/>
    <s v="MECANICA"/>
    <s v="Enero"/>
    <n v="2020"/>
    <n v="31"/>
    <n v="1"/>
    <d v="2019-12-18T00:00:00"/>
    <s v="D2X-491"/>
    <s v="CHEVROLET"/>
    <s v="SAIL"/>
    <s v="EDPYME ACCESO CREDITICIO SOCIEDAD ANONIMA"/>
  </r>
  <r>
    <x v="5"/>
    <s v="BOL"/>
    <s v="005"/>
    <s v="00000006"/>
    <x v="52"/>
    <s v="BLJ074"/>
    <d v="2019-10-18T00:00:00"/>
    <s v="73137143"/>
    <s v="LONDOÑO LOPEZ JHAIR"/>
    <s v="320001"/>
    <s v="REPUESTOS"/>
    <s v="000"/>
    <s v="001"/>
    <s v="CONTADO"/>
    <s v="002"/>
    <s v="REPUESTOS"/>
    <s v="S/."/>
    <n v="3.355"/>
    <n v="1"/>
    <n v="0"/>
    <n v="0"/>
    <n v="0"/>
    <n v="0"/>
    <n v="0"/>
    <d v="2020-01-18T00:00:00"/>
    <s v="005-00000233"/>
    <n v="14905.754199999999"/>
    <n v="4789.3089501200002"/>
    <n v="97.460000000000008"/>
    <n v="396.34000000000003"/>
    <n v="440.94375000000002"/>
    <n v="723.6"/>
    <n v="1266.3"/>
    <n v="0"/>
    <n v="7713.9527001200013"/>
    <n v="7191.8014998799981"/>
    <n v="0.48248491175844016"/>
    <s v="ACCESO"/>
    <s v="GRAVE"/>
    <s v="Enero"/>
    <n v="2020"/>
    <n v="46"/>
    <n v="1"/>
    <d v="2019-12-03T00:00:00"/>
    <s v="AVP-525"/>
    <s v="CHEVROLET"/>
    <s v="SAIL"/>
    <s v="EDPYME ACCESO CREDITICIO SOCIEDAD ANONIMA"/>
  </r>
  <r>
    <x v="6"/>
    <s v="BOL"/>
    <s v="005"/>
    <s v="00000008"/>
    <x v="14"/>
    <s v="AMD263"/>
    <d v="2019-10-04T00:00:00"/>
    <s v="21464988"/>
    <s v="MAGALLI DEL PILAR ESCARCENA SILVA"/>
    <s v="310120"/>
    <s v="FRANQUICIA"/>
    <s v="000"/>
    <s v="001"/>
    <s v="CONTADO"/>
    <s v="002"/>
    <s v="FRANQUICIA"/>
    <s v="$"/>
    <n v="3.355"/>
    <n v="1"/>
    <n v="183.22031000000004"/>
    <n v="183.22031000000004"/>
    <n v="32.979689999999977"/>
    <n v="216.2"/>
    <n v="614.70414005000009"/>
    <d v="2020-01-18T00:00:00"/>
    <s v="005-00000056"/>
    <n v="14406.779699999999"/>
    <n v="7280.8806479999985"/>
    <n v="526.09999999999991"/>
    <n v="1072.8699999999999"/>
    <n v="120.60000000000001"/>
    <n v="482.40000000000003"/>
    <n v="1266.3"/>
    <n v="0"/>
    <n v="10749.150647999999"/>
    <n v="3657.6290520000002"/>
    <n v="0.25388248645184741"/>
    <s v="ACCESO"/>
    <s v="GRAVE"/>
    <s v="Enero"/>
    <n v="2020"/>
    <n v="94"/>
    <n v="1"/>
    <d v="2019-10-16T00:00:00"/>
    <s v="AKY-377"/>
    <s v="KIA"/>
    <s v="RIO"/>
    <s v="EDPYME ACCESO CREDITICIO SOCIEDAD ANONIMA"/>
  </r>
  <r>
    <x v="6"/>
    <s v="BOL"/>
    <s v="005"/>
    <s v="00000009"/>
    <x v="11"/>
    <s v="ATZ549"/>
    <d v="2019-10-16T00:00:00"/>
    <s v="42443348"/>
    <s v="GAITAN PEREDA CESAR AUGUSTO"/>
    <s v="310120"/>
    <s v="FRANQUICIA"/>
    <s v="000"/>
    <s v="001"/>
    <s v="CONTADO"/>
    <s v="002"/>
    <s v="FRANQUICIA"/>
    <s v="$"/>
    <n v="3.355"/>
    <n v="1"/>
    <n v="100"/>
    <n v="100"/>
    <n v="18"/>
    <n v="118"/>
    <n v="335.5"/>
    <d v="2020-01-18T00:00:00"/>
    <s v="005-00000186"/>
    <n v="12026.754209999999"/>
    <n v="2758.8133256200003"/>
    <n v="135.58949152542374"/>
    <n v="418.13"/>
    <n v="320.34375"/>
    <n v="587.92500000000007"/>
    <n v="1266.3"/>
    <n v="0"/>
    <n v="5487.1015671454243"/>
    <n v="6539.6526428545749"/>
    <n v="0.54375873395807728"/>
    <s v="ACCESO"/>
    <s v="GRAVE"/>
    <s v="Enero"/>
    <n v="2020"/>
    <n v="58"/>
    <n v="1"/>
    <d v="2019-11-21T00:00:00"/>
    <s v="F9A-025"/>
    <s v="CHEVROLET"/>
    <s v="SAIL"/>
    <s v="EDPYME ACCESO CREDITICIO SOCIEDAD ANONIMA"/>
  </r>
  <r>
    <x v="6"/>
    <s v="BOL"/>
    <s v="005"/>
    <s v="00000010"/>
    <x v="53"/>
    <s v="ATZ549"/>
    <d v="2019-10-18T00:00:00"/>
    <s v="42443348"/>
    <s v="GAITAN PEREDA CESAR AUGUSTO"/>
    <s v="2908010001"/>
    <s v="TERCEROS"/>
    <s v="000"/>
    <s v="001"/>
    <s v="CONTADO"/>
    <s v="002"/>
    <s v="TERCEROS"/>
    <s v="S/."/>
    <n v="3.355"/>
    <n v="1"/>
    <n v="29.660999000000007"/>
    <n v="29.660999000000007"/>
    <n v="5.3390009999999934"/>
    <n v="35"/>
    <n v="29.660999000000007"/>
    <d v="2020-01-18T00:00:00"/>
    <s v="005-00000333"/>
    <n v="3101"/>
    <n v="1453.3899730000001"/>
    <n v="0"/>
    <n v="77.289999999999992"/>
    <n v="15.075000000000001"/>
    <n v="0"/>
    <n v="0"/>
    <n v="0"/>
    <n v="1545.7549730000001"/>
    <n v="1555.2450269999999"/>
    <n v="0.50153016027088038"/>
    <s v="C.C"/>
    <s v="MECANICA"/>
    <s v="Enero"/>
    <n v="2020"/>
    <n v="2"/>
    <n v="1"/>
    <d v="2020-01-16T00:00:00"/>
    <s v="C4S-529"/>
    <s v="KIA"/>
    <s v="SORENTO"/>
    <s v="INDURA PERU S.A."/>
  </r>
  <r>
    <x v="7"/>
    <s v="BOL"/>
    <s v="005"/>
    <s v="00000011"/>
    <x v="54"/>
    <s v="ALX585"/>
    <d v="2019-10-21T00:00:00"/>
    <s v="45586752"/>
    <s v="SALAZAR OYOLA HECTOR"/>
    <s v="2908010001"/>
    <s v="TERCEROS"/>
    <s v="000"/>
    <s v="001"/>
    <s v="CONTADO"/>
    <s v="002"/>
    <s v="TERCEROS"/>
    <s v="S/."/>
    <n v="3.3469999000000001"/>
    <n v="1"/>
    <n v="60"/>
    <n v="60"/>
    <n v="10.800002999999997"/>
    <n v="70.800003000000004"/>
    <n v="60"/>
    <d v="2020-01-20T00:00:00"/>
    <s v="005-00000214"/>
    <n v="395.55598810000004"/>
    <n v="0"/>
    <n v="0"/>
    <n v="0"/>
    <n v="0"/>
    <n v="15.075000000000001"/>
    <n v="70.350000000000009"/>
    <n v="0"/>
    <n v="85.425000000000011"/>
    <n v="310.13098810000002"/>
    <n v="0.78403815750501593"/>
    <s v="RIMAC"/>
    <s v="LEVE"/>
    <s v="Enero"/>
    <n v="2020"/>
    <n v="53"/>
    <n v="1"/>
    <d v="2019-11-28T00:00:00"/>
    <s v="AND-446"/>
    <s v="RENAULT"/>
    <s v="LOGAN"/>
    <s v="RENTAEQUIPOS LEASING PERU S.A."/>
  </r>
  <r>
    <x v="7"/>
    <s v="BOL"/>
    <s v="005"/>
    <s v="00000011"/>
    <x v="54"/>
    <s v="ALX585"/>
    <d v="2019-10-21T00:00:00"/>
    <s v="45586752"/>
    <s v="SALAZAR OYOLA HECTOR"/>
    <s v="2805010001"/>
    <s v="SERVICIOS"/>
    <s v="000"/>
    <s v="001"/>
    <s v="CONTADO"/>
    <s v="002"/>
    <s v="MECANICA"/>
    <s v="S/."/>
    <n v="3.3469999000000001"/>
    <n v="1"/>
    <n v="211.85589999999996"/>
    <n v="211.85589999999996"/>
    <n v="38.134110000000035"/>
    <n v="249.99001000000001"/>
    <n v="211.85589999999996"/>
    <d v="2020-01-21T00:00:00"/>
    <s v="005-00000318"/>
    <n v="1191.2954999999999"/>
    <n v="0"/>
    <n v="0"/>
    <n v="0"/>
    <n v="0"/>
    <n v="180.9"/>
    <n v="105.52500000000001"/>
    <n v="0"/>
    <n v="286.42500000000001"/>
    <n v="904.87049999999999"/>
    <n v="0.75956846978772274"/>
    <s v="RIMAC"/>
    <s v="MEDIANO"/>
    <s v="Enero"/>
    <n v="2020"/>
    <n v="14"/>
    <n v="1"/>
    <d v="2020-01-07T00:00:00"/>
    <s v="AVL-461"/>
    <s v="HONDA"/>
    <s v="HR-V"/>
    <s v="RIMAC SEGUROS  Y REASEGUROS S.A"/>
  </r>
  <r>
    <x v="7"/>
    <s v="BOL"/>
    <s v="005"/>
    <s v="00000011"/>
    <x v="54"/>
    <s v="ALX585"/>
    <d v="2019-10-21T00:00:00"/>
    <s v="45586752"/>
    <s v="SALAZAR OYOLA HECTOR"/>
    <s v="320001"/>
    <s v="REPUESTOS"/>
    <s v="000"/>
    <s v="001"/>
    <s v="CONTADO"/>
    <s v="002"/>
    <s v="REPUESTOS"/>
    <s v="S/."/>
    <n v="3.3469999000000001"/>
    <n v="1"/>
    <n v="60"/>
    <n v="60"/>
    <n v="10.800002999999997"/>
    <n v="70.800003000000004"/>
    <n v="60"/>
    <d v="2020-01-22T00:00:00"/>
    <s v="005-00000327"/>
    <n v="888.09997325000018"/>
    <n v="0"/>
    <n v="0"/>
    <n v="0"/>
    <n v="0"/>
    <n v="60.300000000000004"/>
    <n v="175.875"/>
    <n v="0"/>
    <n v="236.17500000000001"/>
    <n v="651.92497325000022"/>
    <n v="0.73406710154970733"/>
    <s v="RIMAC"/>
    <s v="LEVE"/>
    <s v="Enero"/>
    <n v="2020"/>
    <n v="8"/>
    <n v="1"/>
    <d v="2020-01-14T00:00:00"/>
    <s v="D1M-272"/>
    <s v="TOYOTA"/>
    <s v="COROLLA"/>
    <s v="RIMAC SEGUROS  Y REASEGUROS S.A"/>
  </r>
  <r>
    <x v="8"/>
    <s v="BOL"/>
    <s v="005"/>
    <s v="00000012"/>
    <x v="55"/>
    <s v="BKP389"/>
    <d v="2019-10-22T00:00:00"/>
    <s v="001890822"/>
    <s v="MILAN TRUGILLO FELIX"/>
    <s v="2805010001"/>
    <s v="SERVICIOS"/>
    <s v="000"/>
    <s v="001"/>
    <s v="CONTADO"/>
    <s v="002"/>
    <s v="MECANICA"/>
    <s v="S/."/>
    <n v="3.3469999000000001"/>
    <n v="1"/>
    <n v="150"/>
    <n v="150"/>
    <n v="27"/>
    <n v="177"/>
    <n v="150"/>
    <d v="2020-01-23T00:00:00"/>
    <s v="005-00000320"/>
    <n v="1252.1674622500002"/>
    <n v="0"/>
    <n v="0"/>
    <n v="84.75"/>
    <n v="0"/>
    <n v="75.375"/>
    <n v="175.875"/>
    <n v="0"/>
    <n v="336"/>
    <n v="916.1674622500002"/>
    <n v="0.731665284293327"/>
    <s v="RIMAC"/>
    <s v="LEVE"/>
    <s v="Enero"/>
    <n v="2020"/>
    <n v="15"/>
    <n v="1"/>
    <d v="2020-01-08T00:00:00"/>
    <s v="AJD-170"/>
    <s v="NISSAN"/>
    <s v="QASHQAI"/>
    <s v="RIMAC SEGUROS  Y REASEGUROS S.A"/>
  </r>
  <r>
    <x v="9"/>
    <s v="BOL"/>
    <s v="005"/>
    <s v="00000013"/>
    <x v="23"/>
    <s v="BDI580"/>
    <d v="2019-10-17T00:00:00"/>
    <s v="07848534"/>
    <s v="VIALE BORDO JAVIER ALFONSO"/>
    <s v="310120"/>
    <s v="FRANQUICIA"/>
    <s v="000"/>
    <s v="001"/>
    <s v="CONTADO"/>
    <s v="002"/>
    <s v="FRANQUICIA"/>
    <s v="$"/>
    <n v="3.3420000000000001"/>
    <n v="1"/>
    <n v="100"/>
    <n v="100"/>
    <n v="18"/>
    <n v="118"/>
    <n v="334.2"/>
    <d v="2020-01-23T00:00:00"/>
    <s v="005-00000325"/>
    <n v="2206.6481480445791"/>
    <n v="0"/>
    <n v="0"/>
    <n v="84.75"/>
    <n v="0"/>
    <n v="180.9"/>
    <n v="334.16250000000002"/>
    <n v="0"/>
    <n v="599.8125"/>
    <n v="1606.8356480445791"/>
    <n v="0.72817936537298722"/>
    <s v="RIMAC"/>
    <s v="MEDIANO"/>
    <s v="Enero"/>
    <n v="2020"/>
    <n v="10"/>
    <n v="1"/>
    <d v="2020-01-13T00:00:00"/>
    <s v="ANE-092"/>
    <s v="MAZDA"/>
    <s v="MAZDA2"/>
    <s v="RIMAC SEGUROS  Y REASEGUROS S.A"/>
  </r>
  <r>
    <x v="9"/>
    <s v="BOL"/>
    <s v="005"/>
    <s v="00000014"/>
    <x v="56"/>
    <s v="BDI580"/>
    <d v="2019-10-17T00:00:00"/>
    <s v="07848534"/>
    <s v="VIALE BORDO JAVIER ALFONSO"/>
    <s v="1302020001"/>
    <s v="PINTURA"/>
    <s v="000"/>
    <s v="001"/>
    <s v="CONTADO"/>
    <s v="009"/>
    <s v="PINTURA"/>
    <s v="$"/>
    <n v="3.3420000000000001"/>
    <n v="1"/>
    <n v="73.754203999999987"/>
    <n v="73.754203999999987"/>
    <n v="13.275795000000016"/>
    <n v="87.029999000000004"/>
    <n v="246.48654976799997"/>
    <d v="2020-01-23T00:00:00"/>
    <s v="005-00000335"/>
    <n v="1405.5083938611199"/>
    <n v="0"/>
    <n v="0"/>
    <n v="0"/>
    <n v="0"/>
    <n v="90.45"/>
    <n v="316.57499999999999"/>
    <n v="0"/>
    <n v="407.02499999999998"/>
    <n v="998.48339386111991"/>
    <n v="0.71040727911852042"/>
    <s v="C.C"/>
    <s v="LEVE"/>
    <s v="Enero"/>
    <n v="2020"/>
    <n v="7"/>
    <n v="1"/>
    <d v="2020-01-16T00:00:00"/>
    <s v="AUV-610"/>
    <s v="BMW"/>
    <s v="X3"/>
    <s v="FASHIONLIGHT SA"/>
  </r>
  <r>
    <x v="9"/>
    <s v="BOL"/>
    <s v="005"/>
    <s v="00000014"/>
    <x v="56"/>
    <s v="BDI580"/>
    <d v="2019-10-17T00:00:00"/>
    <s v="07848534"/>
    <s v="VIALE BORDO JAVIER ALFONSO"/>
    <s v="1201020001"/>
    <s v="PLANCHADO"/>
    <s v="000"/>
    <s v="001"/>
    <s v="CONTADO"/>
    <s v="001"/>
    <s v="PLANCHADO"/>
    <s v="$"/>
    <n v="3.3420000000000001"/>
    <n v="1"/>
    <n v="26.839001000000003"/>
    <n v="26.839001000000003"/>
    <n v="4.8309989999999967"/>
    <n v="31.67"/>
    <n v="89.695941342000012"/>
    <d v="2020-01-24T00:00:00"/>
    <s v="005-00000331"/>
    <n v="1122.8639047999998"/>
    <n v="0"/>
    <n v="0"/>
    <n v="0"/>
    <n v="0"/>
    <n v="0"/>
    <n v="0"/>
    <n v="0"/>
    <n v="0"/>
    <n v="1122.8639047999998"/>
    <n v="1"/>
    <s v="RIMAC"/>
    <s v="LEVE"/>
    <s v="Enero"/>
    <n v="2020"/>
    <n v="9"/>
    <n v="1"/>
    <d v="2020-01-15T00:00:00"/>
    <s v="AXU177"/>
    <s v="HYUNDAI"/>
    <s v="I10"/>
    <s v="RIMAC SEGUROS  Y REASEGUROS S.A"/>
  </r>
  <r>
    <x v="9"/>
    <s v="BOL"/>
    <s v="005"/>
    <s v="00000014"/>
    <x v="56"/>
    <s v="BDI580"/>
    <d v="2019-10-17T00:00:00"/>
    <s v="07848534"/>
    <s v="VIALE BORDO JAVIER ALFONSO"/>
    <s v="2908010001"/>
    <s v="TERCEROS"/>
    <s v="000"/>
    <s v="001"/>
    <s v="CONTADO"/>
    <s v="002"/>
    <s v="TERCEROS"/>
    <s v="$"/>
    <n v="3.3420000000000001"/>
    <n v="1"/>
    <n v="35"/>
    <n v="35"/>
    <n v="6.299998999999989"/>
    <n v="41.299998999999985"/>
    <n v="116.97"/>
    <d v="2020-01-24T00:00:00"/>
    <s v="005-00000351"/>
    <n v="343.22030999999987"/>
    <n v="249.99001000000001"/>
    <n v="0"/>
    <n v="0"/>
    <n v="15.075000000000001"/>
    <n v="0"/>
    <n v="0"/>
    <n v="0"/>
    <n v="265.06501000000003"/>
    <n v="78.155299999999841"/>
    <n v="0.22771175750059741"/>
    <s v="C.C"/>
    <s v="MECANICA"/>
    <s v="Enero"/>
    <n v="2020"/>
    <n v="0"/>
    <n v="1"/>
    <d v="2020-01-24T00:00:00"/>
    <s v="F6L-635"/>
    <s v="KIA"/>
    <s v="RIO"/>
    <s v="INDURA PERU S.A."/>
  </r>
  <r>
    <x v="9"/>
    <s v="BOL"/>
    <s v="005"/>
    <s v="00000015"/>
    <x v="57"/>
    <s v="F5C188"/>
    <d v="2019-10-17T00:00:00"/>
    <s v="42373249"/>
    <s v="BURGA VELASCO DIEGO ADRIAN"/>
    <s v="1302020001"/>
    <s v="PINTURA"/>
    <s v="000"/>
    <s v="001"/>
    <s v="CONTADO"/>
    <s v="009"/>
    <s v="PINTURA"/>
    <s v="$"/>
    <n v="3.3420000000000001"/>
    <n v="1"/>
    <n v="165"/>
    <n v="165"/>
    <n v="29.7"/>
    <n v="194.7"/>
    <n v="551.43000000000006"/>
    <d v="2020-01-25T00:00:00"/>
    <s v="005-00000324"/>
    <n v="1338.3125"/>
    <n v="0"/>
    <n v="0"/>
    <n v="0"/>
    <n v="0"/>
    <n v="180.9"/>
    <n v="175.875"/>
    <n v="0"/>
    <n v="356.77499999999998"/>
    <n v="981.53750000000002"/>
    <n v="0.73341428104422546"/>
    <s v="RIMAC"/>
    <s v="MEDIANO"/>
    <s v="Enero"/>
    <n v="2020"/>
    <n v="16"/>
    <n v="1"/>
    <d v="2020-01-09T00:00:00"/>
    <s v="ASP-160"/>
    <s v="SUZUKI"/>
    <s v="CIAZ"/>
    <s v="RIMAC SEGUROS  Y REASEGUROS S.A"/>
  </r>
  <r>
    <x v="9"/>
    <s v="BOL"/>
    <s v="005"/>
    <s v="00000015"/>
    <x v="57"/>
    <s v="F5C188"/>
    <d v="2019-10-17T00:00:00"/>
    <s v="42373249"/>
    <s v="BURGA VELASCO DIEGO ADRIAN"/>
    <s v="1201020001"/>
    <s v="PLANCHADO"/>
    <s v="000"/>
    <s v="001"/>
    <s v="CONTADO"/>
    <s v="001"/>
    <s v="PLANCHADO"/>
    <s v="$"/>
    <n v="3.3420000000000001"/>
    <n v="1"/>
    <n v="75"/>
    <n v="75"/>
    <n v="13.5"/>
    <n v="88.5"/>
    <n v="250.65"/>
    <d v="2020-01-25T00:00:00"/>
    <s v="005-00000287"/>
    <n v="4201.1374999999998"/>
    <n v="0"/>
    <n v="0"/>
    <n v="76.27"/>
    <n v="45.225000000000001"/>
    <n v="452.25"/>
    <n v="457.27500000000003"/>
    <n v="0"/>
    <n v="1031.02"/>
    <n v="3170.1174999999998"/>
    <n v="0.75458551404232777"/>
    <s v="RIMAC"/>
    <s v="GRAVE"/>
    <s v="Enero"/>
    <n v="2020"/>
    <n v="30"/>
    <n v="1"/>
    <d v="2019-12-26T00:00:00"/>
    <s v="BFR-644"/>
    <s v="MITSUBHI"/>
    <s v="ASX"/>
    <s v="ESTRUCTURAS Y MONTAJE JC EIRL"/>
  </r>
  <r>
    <x v="9"/>
    <s v="BOL"/>
    <s v="005"/>
    <s v="00000015"/>
    <x v="57"/>
    <s v="F5C188"/>
    <d v="2019-10-17T00:00:00"/>
    <s v="42373249"/>
    <s v="BURGA VELASCO DIEGO ADRIAN"/>
    <s v="2908010001"/>
    <s v="TERCEROS"/>
    <s v="000"/>
    <s v="001"/>
    <s v="CONTADO"/>
    <s v="002"/>
    <s v="TERCEROS"/>
    <s v="$"/>
    <n v="3.3420000000000001"/>
    <n v="1"/>
    <n v="30"/>
    <n v="30"/>
    <n v="5.4000019999999997"/>
    <n v="35.400002000000001"/>
    <n v="100.26"/>
    <d v="2020-01-25T00:00:00"/>
    <s v="005-00000341"/>
    <n v="46.610198999999994"/>
    <n v="0"/>
    <n v="0"/>
    <n v="0"/>
    <n v="0"/>
    <n v="0"/>
    <n v="0"/>
    <n v="0"/>
    <n v="0"/>
    <n v="46.610198999999994"/>
    <n v="1"/>
    <s v="C.C"/>
    <s v="MECANICA"/>
    <s v="Enero"/>
    <n v="2020"/>
    <n v="5"/>
    <n v="1"/>
    <d v="2020-01-20T00:00:00"/>
    <s v="BFR644"/>
    <s v="MITSUBISHI"/>
    <s v="ASX"/>
    <s v="ESTRUCTURAS Y MONTAJE JC EIRL"/>
  </r>
  <r>
    <x v="9"/>
    <s v="BOL"/>
    <s v="005"/>
    <s v="00000016"/>
    <x v="24"/>
    <s v="BMA272"/>
    <d v="2019-10-14T00:00:00"/>
    <s v="72936956"/>
    <s v="VIDANTE CHINCHAY JOAO MARTIN"/>
    <s v="310120"/>
    <s v="FRANQUICIA"/>
    <s v="000"/>
    <s v="001"/>
    <s v="CONTADO"/>
    <s v="002"/>
    <s v="FRANQUICIA"/>
    <s v="$"/>
    <n v="3.3420000000000001"/>
    <n v="1"/>
    <n v="147.79660000000001"/>
    <n v="147.79660000000001"/>
    <n v="26.603389999999944"/>
    <n v="174.39998999999997"/>
    <n v="493.93623720000005"/>
    <d v="2020-01-25T00:00:00"/>
    <s v="005-00000323"/>
    <n v="1088.9375"/>
    <n v="0"/>
    <n v="0"/>
    <n v="0"/>
    <n v="0"/>
    <n v="105.52500000000001"/>
    <n v="175.875"/>
    <n v="0"/>
    <n v="281.39999999999998"/>
    <n v="807.53750000000002"/>
    <n v="0.74158296504620336"/>
    <s v="RIMAC"/>
    <s v="LEVE"/>
    <s v="Enero"/>
    <n v="2020"/>
    <n v="16"/>
    <n v="1"/>
    <d v="2020-01-09T00:00:00"/>
    <s v="AVK-314"/>
    <s v="HONDA"/>
    <s v="PILOT"/>
    <s v="EXPORT &amp;IMPORT VANISTSAC"/>
  </r>
  <r>
    <x v="9"/>
    <s v="BOL"/>
    <s v="005"/>
    <s v="00000017"/>
    <x v="58"/>
    <s v="BMA272"/>
    <d v="2019-10-17T00:00:00"/>
    <s v="72936956"/>
    <s v="VIDANTE CHINCHAY JOAO MARTIN"/>
    <s v="1201020001"/>
    <s v="PLANCHADO"/>
    <s v="000"/>
    <s v="001"/>
    <s v="CONTADO"/>
    <s v="001"/>
    <s v="PLANCHADO"/>
    <s v="$"/>
    <n v="3.3420000000000001"/>
    <n v="1"/>
    <n v="25"/>
    <n v="25"/>
    <n v="4.5"/>
    <n v="29.5"/>
    <n v="83.55"/>
    <d v="2020-01-25T00:00:00"/>
    <s v="005-00000340"/>
    <n v="1972.4857533499999"/>
    <n v="0"/>
    <n v="0"/>
    <n v="0"/>
    <n v="0"/>
    <n v="0"/>
    <n v="0"/>
    <n v="0"/>
    <n v="0"/>
    <n v="1972.4857533499999"/>
    <n v="1"/>
    <s v="C.C"/>
    <s v="LEVE"/>
    <s v="Enero"/>
    <n v="2020"/>
    <n v="5"/>
    <n v="1"/>
    <d v="2020-01-20T00:00:00"/>
    <s v="AVK-314"/>
    <s v="HONDA"/>
    <s v="PILOT"/>
    <s v="EXPORT &amp;IMPORT VANISTSAC"/>
  </r>
  <r>
    <x v="10"/>
    <s v="BOL"/>
    <s v="005"/>
    <s v="00000018"/>
    <x v="26"/>
    <s v="D9K336"/>
    <d v="2019-10-22T00:00:00"/>
    <s v="08774730"/>
    <s v="MANLIO BASSINO PINASCO"/>
    <s v="310120"/>
    <s v="FRANQUICIA"/>
    <s v="000"/>
    <s v="001"/>
    <s v="CONTADO"/>
    <s v="002"/>
    <s v="FRANQUICIA"/>
    <s v="$"/>
    <n v="3.3499998999999998"/>
    <n v="1"/>
    <n v="100"/>
    <n v="100"/>
    <n v="18"/>
    <n v="118"/>
    <n v="334.99998999999997"/>
    <d v="2020-01-28T00:00:00"/>
    <s v="005-00000339"/>
    <n v="943.26750000000004"/>
    <n v="0"/>
    <n v="0"/>
    <n v="0"/>
    <n v="0"/>
    <n v="0"/>
    <n v="0"/>
    <n v="0"/>
    <n v="0"/>
    <n v="943.26750000000004"/>
    <n v="1"/>
    <s v="RIMAC"/>
    <s v="LEVE"/>
    <s v="Enero"/>
    <n v="2020"/>
    <n v="8"/>
    <n v="1"/>
    <d v="2020-01-20T00:00:00"/>
    <s v="AYD066"/>
    <s v="KIA"/>
    <s v="RIO"/>
    <s v="RIMAC SEGUROS  Y REASEGUROS S.A"/>
  </r>
  <r>
    <x v="10"/>
    <s v="BOL"/>
    <s v="005"/>
    <s v="00000019"/>
    <x v="59"/>
    <s v="D9K336"/>
    <d v="2019-10-21T00:00:00"/>
    <s v="08774730"/>
    <s v="MANLIO BASSINO PINASCO"/>
    <s v="2805010001"/>
    <s v="SERVICIOS"/>
    <s v="000"/>
    <s v="001"/>
    <s v="CONTADO"/>
    <s v="002"/>
    <s v="MECANICA"/>
    <s v="S/."/>
    <n v="3.3499998999999998"/>
    <n v="1"/>
    <n v="423.72879000000006"/>
    <n v="423.72879"/>
    <n v="76.271209999999925"/>
    <n v="500"/>
    <n v="423.72879"/>
    <d v="2020-01-29T00:00:00"/>
    <s v="005-00000310"/>
    <n v="10681.5"/>
    <n v="2488.3383542400002"/>
    <n v="114.40474576271187"/>
    <n v="457.61999999999995"/>
    <n v="391.95"/>
    <n v="452.25"/>
    <n v="1231.125"/>
    <n v="0"/>
    <n v="5135.6881000027115"/>
    <n v="5545.8118999972885"/>
    <n v="0.51919785610609825"/>
    <s v="ACCESO"/>
    <s v="GRAVE"/>
    <s v="Enero"/>
    <n v="2020"/>
    <n v="25"/>
    <n v="1"/>
    <d v="2020-01-04T00:00:00"/>
    <s v="AZN-215"/>
    <s v="CHEVROLET"/>
    <s v="SAIL"/>
    <s v="EDPYME ACCESO CREDITICIO SOCIEDAD ANONIMA"/>
  </r>
  <r>
    <x v="12"/>
    <s v="BOL"/>
    <s v="005"/>
    <s v="00000020"/>
    <x v="36"/>
    <s v="BAF310"/>
    <d v="2019-10-23T00:00:00"/>
    <s v="72693010"/>
    <s v="GARCIA VENTO KEVIN URIEL"/>
    <s v="310120"/>
    <s v="FRANQUICIA"/>
    <s v="000"/>
    <s v="001"/>
    <s v="CONTADO"/>
    <s v="002"/>
    <s v="FRANQUICIA"/>
    <s v="$"/>
    <n v="3.335"/>
    <n v="1"/>
    <n v="100"/>
    <n v="100"/>
    <n v="18"/>
    <n v="118"/>
    <n v="333.5"/>
    <d v="2020-01-29T00:00:00"/>
    <s v="005-00000228"/>
    <n v="12445.754209999999"/>
    <n v="3427.8843898200003"/>
    <n v="141.51999999999998"/>
    <n v="762.15000000000009"/>
    <n v="425.86875000000003"/>
    <n v="482.40000000000003"/>
    <n v="1266.3"/>
    <n v="0"/>
    <n v="6506.1231398199998"/>
    <n v="5939.6310701799994"/>
    <n v="0.4772415532204215"/>
    <s v="ACCESO"/>
    <s v="GRAVE"/>
    <s v="Enero"/>
    <n v="2020"/>
    <n v="57"/>
    <n v="1"/>
    <d v="2019-12-03T00:00:00"/>
    <s v="D1Q-268"/>
    <s v="CHEVROLET"/>
    <s v="SAIL"/>
    <s v="EDPYME ACCESO CREDITICIO SOCIEDAD ANONIMA"/>
  </r>
  <r>
    <x v="13"/>
    <s v="BOL"/>
    <s v="005"/>
    <s v="00000021"/>
    <x v="42"/>
    <s v="AYW424"/>
    <d v="2019-10-24T00:00:00"/>
    <s v="25769411"/>
    <s v="MONCADA PIEDRA EDUARDO"/>
    <s v="310120"/>
    <s v="FRANQUICIA"/>
    <s v="000"/>
    <s v="001"/>
    <s v="CONTADO"/>
    <s v="002"/>
    <s v="FRANQUICIA"/>
    <s v="$"/>
    <n v="3.3399999000000005"/>
    <n v="1"/>
    <n v="100"/>
    <n v="100"/>
    <n v="18"/>
    <n v="118"/>
    <n v="333.99999000000003"/>
    <d v="2020-01-29T00:00:00"/>
    <s v="005-00000275"/>
    <n v="933"/>
    <n v="599.70078960000012"/>
    <n v="118.64999999999999"/>
    <n v="212.70999999999998"/>
    <n v="0"/>
    <n v="0"/>
    <n v="0"/>
    <n v="0"/>
    <n v="931.06078960000013"/>
    <n v="1.9392103999998653"/>
    <n v="2.0784677384778835E-3"/>
    <s v="ACCESO"/>
    <s v="MECANICA"/>
    <s v="Enero"/>
    <n v="2020"/>
    <n v="41"/>
    <n v="1"/>
    <d v="2019-12-19T00:00:00"/>
    <s v="F7Y-120"/>
    <s v="BYD"/>
    <s v="F3"/>
    <s v="EDPYME ACCESO CREDITICIO SOCIEDAD ANONIMA"/>
  </r>
  <r>
    <x v="13"/>
    <s v="BOL"/>
    <s v="005"/>
    <s v="00000022"/>
    <x v="60"/>
    <s v="AYW424"/>
    <d v="2019-10-23T00:00:00"/>
    <s v="25769411"/>
    <s v="MONCADA PIEDRA EDUARDO"/>
    <s v="2908010001"/>
    <s v="TERCEROS"/>
    <s v="000"/>
    <s v="001"/>
    <s v="CONTADO"/>
    <s v="002"/>
    <s v="TERCEROS"/>
    <s v="$"/>
    <n v="3.3399999000000005"/>
    <n v="1"/>
    <n v="20"/>
    <n v="20"/>
    <n v="3.6"/>
    <n v="23.6"/>
    <n v="66.799998000000016"/>
    <d v="2020-01-29T00:00:00"/>
    <s v="005-00000198"/>
    <n v="15503.754209999999"/>
    <n v="4787.8372151999993"/>
    <n v="144.07"/>
    <n v="1689.0100000000004"/>
    <n v="425.86875000000003"/>
    <n v="482.40000000000003"/>
    <n v="1371.825"/>
    <n v="0"/>
    <n v="8901.0109651999992"/>
    <n v="6602.7432448"/>
    <n v="0.42588028392124516"/>
    <s v="ACCESO"/>
    <s v="GRAVE"/>
    <s v="Enero"/>
    <n v="2020"/>
    <n v="68"/>
    <n v="1"/>
    <d v="2019-11-22T00:00:00"/>
    <s v="F7Y-120"/>
    <s v="BYD"/>
    <s v="F3"/>
    <s v="EDPYME ACCESO CREDITICIO SOCIEDAD ANONIMA"/>
  </r>
  <r>
    <x v="13"/>
    <s v="BOL"/>
    <s v="005"/>
    <s v="00000023"/>
    <x v="43"/>
    <s v="ACZ120"/>
    <d v="2019-10-23T00:00:00"/>
    <s v="46229017"/>
    <s v="NUÑEZ VALENCIA JONATHAN ALEXANDER"/>
    <s v="310120"/>
    <s v="FRANQUICIA"/>
    <s v="000"/>
    <s v="001"/>
    <s v="CONTADO"/>
    <s v="002"/>
    <s v="FRANQUICIA"/>
    <s v="$"/>
    <n v="3.3399999000000005"/>
    <n v="1"/>
    <n v="100"/>
    <n v="100"/>
    <n v="18"/>
    <n v="118"/>
    <n v="333.99999000000003"/>
    <d v="2020-01-29T00:00:00"/>
    <s v="005-00000326"/>
    <n v="1060.53"/>
    <n v="0"/>
    <n v="0"/>
    <n v="99.74"/>
    <n v="0"/>
    <n v="60.300000000000004"/>
    <n v="140.70000000000002"/>
    <n v="0"/>
    <n v="300.74"/>
    <n v="759.79"/>
    <n v="0.7164248064646922"/>
    <s v="RIMAC"/>
    <s v="LEVE"/>
    <s v="Enero"/>
    <n v="2020"/>
    <n v="15"/>
    <n v="1"/>
    <d v="2020-01-14T00:00:00"/>
    <s v="F2S454"/>
    <s v="CHEVROLET"/>
    <s v="CRUZE"/>
    <s v="RIMAC SEGUROS  Y REASEGUROS S.A"/>
  </r>
  <r>
    <x v="13"/>
    <s v="BOL"/>
    <s v="005"/>
    <s v="00000024"/>
    <x v="61"/>
    <s v="BKS073"/>
    <d v="2019-10-30T00:00:00"/>
    <s v="71195912"/>
    <s v="CANAZA SANCHEZ VICTOR HORACIO"/>
    <s v="2805010001"/>
    <s v="SERVICIOS"/>
    <s v="000"/>
    <s v="001"/>
    <s v="CONTADO"/>
    <s v="002"/>
    <s v="MECANICA"/>
    <s v="S/."/>
    <n v="3.3399999000000005"/>
    <n v="1"/>
    <n v="211.87289000000001"/>
    <n v="211.87289000000001"/>
    <n v="38.137099999999954"/>
    <n v="250.00998999999996"/>
    <n v="211.87289000000001"/>
    <d v="2020-01-31T00:00:00"/>
    <s v="005-00000343"/>
    <n v="1853.0399448500002"/>
    <n v="0"/>
    <n v="0"/>
    <n v="0"/>
    <n v="15.075000000000001"/>
    <n v="211.05"/>
    <n v="246.22499999999999"/>
    <n v="0"/>
    <n v="472.35"/>
    <n v="1380.6899448500003"/>
    <n v="0.74509453975195572"/>
    <s v="RIMAC"/>
    <s v="GRAVE"/>
    <s v="Enero"/>
    <n v="2020"/>
    <n v="11"/>
    <n v="1"/>
    <d v="2020-01-20T00:00:00"/>
    <s v="BKR-397"/>
    <s v="KIA"/>
    <s v="RIO"/>
    <s v="RIMAC SEGUROS  Y REASEGUROS S.A"/>
  </r>
  <r>
    <x v="13"/>
    <s v="BOL"/>
    <s v="005"/>
    <s v="00000024"/>
    <x v="61"/>
    <s v="BKS073"/>
    <d v="2019-10-30T00:00:00"/>
    <s v="71195912"/>
    <s v="CANAZA SANCHEZ VICTOR HORACIO"/>
    <s v="320001"/>
    <s v="REPUESTOS"/>
    <s v="000"/>
    <s v="001"/>
    <s v="CONTADO"/>
    <s v="002"/>
    <s v="REPUESTOS"/>
    <s v="S/."/>
    <n v="3.3399999000000005"/>
    <n v="1"/>
    <n v="0"/>
    <n v="0"/>
    <n v="0"/>
    <n v="0"/>
    <n v="0"/>
    <d v="2020-01-31T00:00:00"/>
    <s v="005-00000334"/>
    <n v="1592.6399526"/>
    <n v="0"/>
    <n v="0"/>
    <n v="59.322033898305087"/>
    <n v="0"/>
    <n v="150.75"/>
    <n v="246.22499999999999"/>
    <n v="0"/>
    <n v="456.29703389830507"/>
    <n v="1136.342918701695"/>
    <n v="0.7134964288988257"/>
    <s v="RIMAC"/>
    <s v="MEDIANO"/>
    <s v="Enero"/>
    <n v="2020"/>
    <n v="15"/>
    <n v="1"/>
    <d v="2020-01-16T00:00:00"/>
    <s v="C0X-378"/>
    <s v="MAZDA"/>
    <s v="CX-5"/>
    <s v="RIMAC SEGUROS  Y REASEGUROS S.A"/>
  </r>
  <r>
    <x v="13"/>
    <s v="BOL"/>
    <s v="005"/>
    <s v="00000025"/>
    <x v="44"/>
    <s v="AJB285"/>
    <d v="2019-10-22T00:00:00"/>
    <s v="42634060"/>
    <s v="HUAURA MERE MIGUEL HUMBERTO"/>
    <s v="310120"/>
    <s v="FRANQUICIA"/>
    <s v="000"/>
    <s v="001"/>
    <s v="CONTADO"/>
    <s v="002"/>
    <s v="FRANQUICIA"/>
    <s v="$"/>
    <n v="3.3399999000000005"/>
    <n v="1"/>
    <n v="96.321998999999991"/>
    <n v="96.321998999999991"/>
    <n v="17.338001000000006"/>
    <n v="113.66"/>
    <n v="321.71546702780012"/>
    <d v="2020-01-16T00:00:00"/>
    <s v="005-00000317"/>
    <n v="199.61999400000002"/>
    <n v="0"/>
    <n v="0"/>
    <n v="0"/>
    <n v="0"/>
    <n v="15.075000000000001"/>
    <n v="70.350000000000009"/>
    <n v="0"/>
    <n v="85.425000000000011"/>
    <n v="114.19499400000001"/>
    <n v="0.57206190478094088"/>
    <s v="RIMAC"/>
    <s v="LEVE"/>
    <s v="Enero"/>
    <n v="2020"/>
    <n v="10"/>
    <n v="1"/>
    <d v="2020-01-06T00:00:00"/>
    <s v="BDW-301"/>
    <s v="MAZDA"/>
    <s v="MAZDA3"/>
    <s v="DIAZ PAURO RAUL"/>
  </r>
  <r>
    <x v="14"/>
    <s v="BOL"/>
    <s v="005"/>
    <s v="00000026"/>
    <x v="62"/>
    <s v="D2E026"/>
    <d v="2019-10-31T00:00:00"/>
    <s v="08738826"/>
    <s v="DE LA CRUZ PESCORAN ADA VERONICA"/>
    <s v="2805010001"/>
    <s v="SERVICIOS"/>
    <s v="000"/>
    <s v="001"/>
    <s v="CONTADO"/>
    <s v="002"/>
    <s v="MECANICA"/>
    <s v="S/."/>
    <n v="3.3490000000000002"/>
    <n v="1"/>
    <n v="211.87289000000001"/>
    <n v="211.87289000000001"/>
    <n v="38.137099999999954"/>
    <n v="250.00998999999996"/>
    <n v="211.87289000000001"/>
    <d v="2020-01-22T00:00:00"/>
    <s v="005-00000342"/>
    <n v="348.59998950000005"/>
    <n v="0"/>
    <n v="0"/>
    <n v="0"/>
    <n v="0"/>
    <n v="45.225000000000001"/>
    <n v="70.350000000000009"/>
    <n v="0"/>
    <n v="115.57500000000002"/>
    <n v="233.02498950000003"/>
    <n v="0.66845954250953876"/>
    <s v="C.C"/>
    <s v="LEVE"/>
    <s v="Enero"/>
    <n v="2020"/>
    <n v="2"/>
    <n v="1"/>
    <d v="2020-01-20T00:00:00"/>
    <s v="BEN-226"/>
    <s v="NISSAN"/>
    <s v="KICKS"/>
    <s v="LUIS DANIEL PAIRAZAMAN GRADOS"/>
  </r>
  <r>
    <x v="14"/>
    <s v="BOL"/>
    <s v="005"/>
    <s v="00000026"/>
    <x v="62"/>
    <s v="D2E026"/>
    <d v="2019-10-31T00:00:00"/>
    <s v="08738826"/>
    <s v="DE LA CRUZ PESCORAN ADA VERONICA"/>
    <s v="320001"/>
    <s v="REPUESTOS"/>
    <s v="000"/>
    <s v="001"/>
    <s v="CONTADO"/>
    <s v="002"/>
    <s v="REPUESTOS"/>
    <s v="S/."/>
    <n v="3.3490000000000002"/>
    <n v="1"/>
    <n v="0"/>
    <n v="0"/>
    <n v="0"/>
    <n v="0"/>
    <n v="0"/>
    <d v="2020-01-24T00:00:00"/>
    <s v="005-00000352"/>
    <n v="177.360918922"/>
    <n v="0"/>
    <n v="0"/>
    <n v="0"/>
    <n v="0"/>
    <n v="0"/>
    <n v="0"/>
    <n v="0"/>
    <n v="0"/>
    <n v="177.360918922"/>
    <n v="1"/>
    <s v="C.C"/>
    <s v="LEVE"/>
    <s v="Enero"/>
    <n v="2020"/>
    <n v="0"/>
    <n v="1"/>
    <d v="2020-01-24T00:00:00"/>
    <s v="BEN-226"/>
    <s v="NISSAN"/>
    <s v="KICKS"/>
    <s v="LUIS DANIEL PAIRAZAMAN GRADOS"/>
  </r>
  <r>
    <x v="14"/>
    <s v="BOL"/>
    <s v="005"/>
    <s v="00000027"/>
    <x v="48"/>
    <s v="AFC361"/>
    <d v="2019-10-23T00:00:00"/>
    <s v="48314625"/>
    <s v="DIAZ DUCANTO FIGUEROA SEBASTIAN"/>
    <s v="310120"/>
    <s v="FRANQUICIA"/>
    <s v="000"/>
    <s v="001"/>
    <s v="CONTADO"/>
    <s v="002"/>
    <s v="FRANQUICIA"/>
    <s v="$"/>
    <n v="3.3490000000000002"/>
    <n v="1"/>
    <n v="158.839"/>
    <n v="158.839"/>
    <n v="28.590989999999966"/>
    <n v="187.42998999999998"/>
    <n v="531.95181100000002"/>
    <d v="2020-01-25T00:00:00"/>
    <s v="005-00000355"/>
    <n v="59.321998999999998"/>
    <n v="0"/>
    <n v="0"/>
    <n v="0"/>
    <n v="0"/>
    <n v="0"/>
    <n v="0"/>
    <n v="0"/>
    <n v="0"/>
    <n v="59.321998999999998"/>
    <n v="1"/>
    <s v="C.C"/>
    <s v="MECANICA"/>
    <s v="Enero"/>
    <n v="2020"/>
    <n v="0"/>
    <n v="1"/>
    <d v="2020-01-25T00:00:00"/>
    <s v="B0M243"/>
    <s v="HYUNDAI"/>
    <s v="I10"/>
    <s v="TORRES CAMACHO JOSE GABRIEL"/>
  </r>
  <r>
    <x v="8"/>
    <s v="ABO"/>
    <s v="005"/>
    <s v="00000001"/>
    <x v="63"/>
    <n v="0"/>
    <d v="2019-10-22T00:00:00"/>
    <s v="20602003346"/>
    <s v="FAST ENGENHARIA E MONTAGENS SA"/>
    <s v="1302020001"/>
    <s v="PINTURA"/>
    <s v="001"/>
    <s v="001"/>
    <s v="CONTADO"/>
    <s v="009"/>
    <s v="PINTURA"/>
    <s v="$"/>
    <n v="3.3570001"/>
    <n v="-1"/>
    <n v="-195"/>
    <n v="-195"/>
    <n v="-35.100010000000005"/>
    <n v="-230.10001"/>
    <n v="-654.61501950000002"/>
    <d v="2020-01-25T00:00:00"/>
    <s v="005-00000344"/>
    <n v="349.125"/>
    <n v="0"/>
    <n v="0"/>
    <n v="0"/>
    <n v="0"/>
    <n v="15.075000000000001"/>
    <n v="70.350000000000009"/>
    <n v="0"/>
    <n v="85.425000000000011"/>
    <n v="263.7"/>
    <n v="0.75531686358754024"/>
    <s v="C.C"/>
    <s v="LEVE"/>
    <s v="Enero"/>
    <n v="2020"/>
    <n v="4"/>
    <n v="1"/>
    <d v="2020-01-21T00:00:00"/>
    <s v="ASP-160"/>
    <s v="SUZUKI"/>
    <s v="CIAZ"/>
    <s v="ALVA CUNEO CARLOS ENRIQUE"/>
  </r>
  <r>
    <x v="8"/>
    <s v="ABO"/>
    <s v="005"/>
    <s v="00000001"/>
    <x v="63"/>
    <n v="0"/>
    <d v="2019-10-22T00:00:00"/>
    <s v="20602003346"/>
    <s v="FAST ENGENHARIA E MONTAGENS SA"/>
    <s v="1201020001"/>
    <s v="PLANCHADO"/>
    <s v="001"/>
    <s v="001"/>
    <s v="CONTADO"/>
    <s v="001"/>
    <s v="PLANCHADO"/>
    <s v="$"/>
    <n v="3.3570001"/>
    <n v="-1"/>
    <n v="-33.754199999999997"/>
    <n v="-33.754199999999997"/>
    <n v="-6.075802000000003"/>
    <n v="-39.830002"/>
    <n v="-113.31285277542"/>
    <d v="2020-01-25T00:00:00"/>
    <s v="005-00000338"/>
    <n v="430.39828"/>
    <n v="285.27998999999994"/>
    <n v="0"/>
    <n v="0"/>
    <n v="0"/>
    <n v="0"/>
    <n v="0"/>
    <n v="0"/>
    <n v="285.27998999999994"/>
    <n v="145.11829000000006"/>
    <n v="0.33717209557621852"/>
    <s v="C.C"/>
    <s v="LEVE"/>
    <s v="Enero"/>
    <n v="2020"/>
    <n v="8"/>
    <n v="1"/>
    <d v="2020-01-17T00:00:00"/>
    <s v="ASP-160"/>
    <s v="SUZUKI"/>
    <s v="CIAZ"/>
    <s v="ALVA CUNEO CARLOS ENRIQUE"/>
  </r>
  <r>
    <x v="8"/>
    <s v="ABO"/>
    <s v="005"/>
    <s v="00000001"/>
    <x v="63"/>
    <n v="0"/>
    <d v="2019-10-22T00:00:00"/>
    <s v="20602003346"/>
    <s v="FAST ENGENHARIA E MONTAGENS SA"/>
    <s v="2908010001"/>
    <s v="TERCEROS"/>
    <s v="001"/>
    <s v="001"/>
    <s v="CONTADO"/>
    <s v="002"/>
    <s v="TERCEROS"/>
    <s v="$"/>
    <n v="3.3570001"/>
    <n v="-1"/>
    <n v="-25"/>
    <n v="-25"/>
    <n v="-4.5"/>
    <n v="-29.5"/>
    <n v="-83.925002500000005"/>
    <d v="2020-01-29T00:00:00"/>
    <s v="005-00000363"/>
    <n v="8.4830999000000009"/>
    <n v="0"/>
    <n v="0"/>
    <n v="0"/>
    <n v="0"/>
    <n v="0"/>
    <n v="0"/>
    <n v="0"/>
    <n v="0"/>
    <n v="8.4830999000000009"/>
    <n v="1"/>
    <s v="C.C"/>
    <s v="MECANICA"/>
    <s v="Enero"/>
    <n v="2020"/>
    <n v="1"/>
    <n v="1"/>
    <d v="2020-01-28T00:00:00"/>
    <s v="F2S454"/>
    <s v="S/MARCA"/>
    <s v="S/MODELO"/>
    <s v="FONSECA PALOMINO MIGUEL"/>
  </r>
  <r>
    <x v="8"/>
    <s v="ABO"/>
    <s v="005"/>
    <s v="00000001"/>
    <x v="63"/>
    <n v="0"/>
    <d v="2019-10-22T00:00:00"/>
    <s v="20602003346"/>
    <s v="FAST ENGENHARIA E MONTAGENS SA"/>
    <s v="2805010001"/>
    <s v="SERVICIOS"/>
    <s v="001"/>
    <s v="001"/>
    <s v="CONTADO"/>
    <s v="002"/>
    <s v="MECANICA"/>
    <s v="$"/>
    <n v="3.3570001"/>
    <n v="-1"/>
    <n v="-15"/>
    <n v="-15"/>
    <n v="-2.7000009999999999"/>
    <n v="-17.700001"/>
    <n v="-50.3550015"/>
    <d v="2020-01-29T00:00:00"/>
    <s v="005-00000322"/>
    <n v="4237.5000100000007"/>
    <n v="2772.2490367500004"/>
    <n v="175.42000000000002"/>
    <n v="50"/>
    <n v="55.325250000000004"/>
    <n v="0"/>
    <n v="0"/>
    <n v="0"/>
    <n v="3052.9942867500004"/>
    <n v="1184.5057232500003"/>
    <n v="0.27952937355863278"/>
    <s v="C.C"/>
    <s v="MECANICA"/>
    <s v="Enero"/>
    <n v="2020"/>
    <n v="20"/>
    <n v="1"/>
    <d v="2020-01-09T00:00:00"/>
    <s v="C7L-474"/>
    <s v="CITROEN"/>
    <s v="NAUVELLE"/>
    <s v="HAYOR LATOUR ALESSANDRA ISABEL"/>
  </r>
  <r>
    <x v="8"/>
    <s v="ABO"/>
    <s v="005"/>
    <s v="00000001"/>
    <x v="63"/>
    <n v="0"/>
    <d v="2019-10-22T00:00:00"/>
    <s v="20602003346"/>
    <s v="FAST ENGENHARIA E MONTAGENS SA"/>
    <s v="310255"/>
    <s v="DESCUENTO"/>
    <s v="001"/>
    <s v="001"/>
    <s v="CONTADO"/>
    <s v="002"/>
    <s v="FRANQUICIA"/>
    <s v="$"/>
    <n v="3.3570001"/>
    <n v="1"/>
    <n v="-28.728800000000007"/>
    <n v="28.728800000000007"/>
    <n v="5.1712019999999939"/>
    <n v="33.900002000000001"/>
    <n v="96.442584472880029"/>
    <d v="2020-01-31T00:00:00"/>
    <s v="005-00000349"/>
    <n v="890.39997349999999"/>
    <n v="0"/>
    <n v="0"/>
    <n v="0"/>
    <n v="0"/>
    <n v="45.225000000000001"/>
    <n v="140.70000000000002"/>
    <n v="0"/>
    <n v="185.92500000000001"/>
    <n v="704.47497350000003"/>
    <n v="0.79118934688512776"/>
    <s v="C.C"/>
    <s v="LEVE"/>
    <s v="Enero"/>
    <n v="2020"/>
    <n v="9"/>
    <n v="1"/>
    <d v="2020-01-22T00:00:00"/>
    <s v="C0X-378"/>
    <s v="MAZDA"/>
    <s v="CX-5"/>
    <s v="TEJADA CONCEPCION RICARDO"/>
  </r>
  <r>
    <x v="9"/>
    <s v="ABO"/>
    <s v="005"/>
    <s v="00000002"/>
    <x v="64"/>
    <n v="0"/>
    <d v="2019-10-23T00:00:00"/>
    <s v="20473938929"/>
    <s v="INDURA PERU S.A."/>
    <s v="1201020001"/>
    <s v="PLANCHADO"/>
    <s v="001"/>
    <s v="005"/>
    <s v="FACTURA A 30 DIAS"/>
    <s v="001"/>
    <s v="PLANCHADO"/>
    <s v="S/."/>
    <n v="3.355"/>
    <n v="-1"/>
    <n v="-60"/>
    <n v="-60"/>
    <n v="-10.800002999999997"/>
    <n v="-70.800003000000004"/>
    <n v="-60"/>
    <d v="2020-02-15T00:00:00"/>
    <s v="005-00000113"/>
    <n v="1774.8218281274526"/>
    <n v="0"/>
    <n v="0"/>
    <n v="99.825000000000003"/>
    <n v="0"/>
    <n v="271.35000000000002"/>
    <n v="369.33750000000003"/>
    <n v="0"/>
    <n v="740.51250000000005"/>
    <n v="1034.3093281274525"/>
    <n v="0.58276797802217317"/>
    <s v="RIMAC"/>
    <s v="GRAVE"/>
    <s v="Febrero"/>
    <n v="2020"/>
    <n v="109"/>
    <n v="1"/>
    <d v="2019-10-29T00:00:00"/>
    <s v="BEJ174"/>
    <s v="WOLKWAGEN"/>
    <s v="GOL"/>
    <s v="RIMAC SEGUROS  Y REASEGUROS S.A"/>
  </r>
  <r>
    <x v="9"/>
    <s v="ABO"/>
    <s v="005"/>
    <s v="00000002"/>
    <x v="64"/>
    <n v="0"/>
    <d v="2019-10-23T00:00:00"/>
    <s v="20473938929"/>
    <s v="INDURA PERU S.A."/>
    <s v="2908010001"/>
    <s v="TERCEROS"/>
    <s v="001"/>
    <s v="005"/>
    <s v="FACTURA A 30 DIAS"/>
    <s v="002"/>
    <s v="TERCEROS"/>
    <s v="S/."/>
    <n v="3.355"/>
    <n v="-1"/>
    <n v="-330"/>
    <n v="-330"/>
    <n v="-59.399990000000031"/>
    <n v="-389.39999000000006"/>
    <n v="-330"/>
    <d v="2020-02-15T00:00:00"/>
    <s v="005-00000035"/>
    <n v="2127.15945165932"/>
    <n v="0"/>
    <n v="0"/>
    <n v="824.5"/>
    <n v="0"/>
    <n v="241.20000000000002"/>
    <n v="369.33750000000003"/>
    <n v="0"/>
    <n v="1435.0375000000001"/>
    <n v="692.12195165931985"/>
    <n v="0.3253737989032372"/>
    <s v="RIMAC"/>
    <s v="MEDIANO"/>
    <s v="Febrero"/>
    <n v="2020"/>
    <n v="127"/>
    <n v="1"/>
    <d v="2019-10-11T00:00:00"/>
    <s v="BEQ190"/>
    <s v="KIA"/>
    <s v="PICANTO"/>
    <s v="RENTAEQUIPOS LEASING PERU S.A."/>
  </r>
  <r>
    <x v="9"/>
    <s v="ABO"/>
    <s v="005"/>
    <s v="00000002"/>
    <x v="64"/>
    <n v="0"/>
    <d v="2019-10-23T00:00:00"/>
    <s v="20473938929"/>
    <s v="INDURA PERU S.A."/>
    <s v="2805010001"/>
    <s v="SERVICIOS"/>
    <s v="001"/>
    <s v="005"/>
    <s v="FACTURA A 30 DIAS"/>
    <s v="002"/>
    <s v="MECANICA"/>
    <s v="S/."/>
    <n v="3.355"/>
    <n v="-1"/>
    <n v="-300"/>
    <n v="-300"/>
    <n v="-54"/>
    <n v="-354"/>
    <n v="-300"/>
    <d v="2020-02-15T00:00:00"/>
    <s v="005-00000199"/>
    <n v="1952.5680577000005"/>
    <n v="0"/>
    <n v="0"/>
    <n v="0"/>
    <n v="0"/>
    <n v="195.97499999999999"/>
    <n v="386.92500000000001"/>
    <n v="0"/>
    <n v="582.9"/>
    <n v="1369.6680577000006"/>
    <n v="0.7014700728605493"/>
    <s v="RIMAC"/>
    <s v="MEDIANO"/>
    <s v="Febrero"/>
    <n v="2020"/>
    <n v="85"/>
    <n v="1"/>
    <d v="2019-11-22T00:00:00"/>
    <s v="C4R002"/>
    <s v="KIA"/>
    <s v="SPORTAGE"/>
    <s v="SPRIND SAC"/>
  </r>
  <r>
    <x v="9"/>
    <s v="ABO"/>
    <s v="005"/>
    <s v="00000002"/>
    <x v="64"/>
    <n v="0"/>
    <d v="2019-10-23T00:00:00"/>
    <s v="20473938929"/>
    <s v="INDURA PERU S.A."/>
    <s v="320001"/>
    <s v="REPUESTOS"/>
    <s v="001"/>
    <s v="005"/>
    <s v="FACTURA A 30 DIAS"/>
    <s v="002"/>
    <s v="REPUESTOS"/>
    <s v="S/."/>
    <n v="3.355"/>
    <n v="-1"/>
    <n v="-210"/>
    <n v="-210"/>
    <n v="-37.799999999999997"/>
    <n v="-247.8"/>
    <n v="-210"/>
    <d v="2020-02-15T00:00:00"/>
    <s v="005-00000209"/>
    <n v="1316.3760388999999"/>
    <n v="0"/>
    <n v="0"/>
    <n v="0"/>
    <n v="0"/>
    <n v="75.375"/>
    <n v="422.1"/>
    <n v="0"/>
    <n v="497.47500000000002"/>
    <n v="818.90103889999989"/>
    <n v="0.62208746946221849"/>
    <s v="RIMAC"/>
    <s v="LEVE"/>
    <s v="Febrero"/>
    <n v="2020"/>
    <n v="82"/>
    <n v="1"/>
    <d v="2019-11-25T00:00:00"/>
    <s v="BDW631"/>
    <s v="MAZDA"/>
    <s v="MAZDA3"/>
    <s v="RIMAC SEGUROS  Y REASEGUROS S.A"/>
  </r>
  <r>
    <x v="12"/>
    <s v="ABO"/>
    <s v="005"/>
    <s v="00000003"/>
    <x v="65"/>
    <n v="0"/>
    <d v="2019-10-29T00:00:00"/>
    <s v="20509959766"/>
    <s v="RENTAEQUIPOS LEASING PERU S.A."/>
    <s v="1302020001"/>
    <s v="PINTURA"/>
    <s v="001"/>
    <s v="001"/>
    <s v="CONTADO"/>
    <s v="009"/>
    <s v="PINTURA"/>
    <s v="$"/>
    <n v="3.3510000999999998"/>
    <n v="-1"/>
    <n v="-457.25421"/>
    <n v="-457.25421"/>
    <n v="-82.305789999999902"/>
    <n v="-539.55999999999995"/>
    <n v="-1532.258903435421"/>
    <d v="2020-02-18T00:00:00"/>
    <s v="005-00000257"/>
    <n v="553.28401635"/>
    <n v="0"/>
    <n v="0"/>
    <n v="0"/>
    <n v="0"/>
    <n v="15.075000000000001"/>
    <n v="105.52500000000001"/>
    <n v="0"/>
    <n v="120.60000000000001"/>
    <n v="432.68401634999998"/>
    <n v="0.78202876563180868"/>
    <s v="RIMAC"/>
    <s v="LEVE"/>
    <s v="Febrero"/>
    <n v="2020"/>
    <n v="70"/>
    <n v="1"/>
    <d v="2019-12-10T00:00:00"/>
    <s v="EGX296"/>
    <s v="MAXUS"/>
    <s v="S8"/>
    <s v="RIMAC SEGUROS  Y REASEGUROS S.A"/>
  </r>
  <r>
    <x v="12"/>
    <s v="ABO"/>
    <s v="005"/>
    <s v="00000003"/>
    <x v="65"/>
    <n v="0"/>
    <d v="2019-10-29T00:00:00"/>
    <s v="20509959766"/>
    <s v="RENTAEQUIPOS LEASING PERU S.A."/>
    <s v="1201020001"/>
    <s v="PLANCHADO"/>
    <s v="001"/>
    <s v="001"/>
    <s v="CONTADO"/>
    <s v="001"/>
    <s v="PLANCHADO"/>
    <s v="$"/>
    <n v="3.3510000999999998"/>
    <n v="-1"/>
    <n v="-480"/>
    <n v="-480"/>
    <n v="-86.400020000000083"/>
    <n v="-566.40002000000004"/>
    <n v="-1608.4800479999999"/>
    <d v="2020-02-15T00:00:00"/>
    <s v="005-00000239"/>
    <n v="1267.30803745"/>
    <n v="0"/>
    <n v="0"/>
    <n v="59.32"/>
    <n v="0"/>
    <n v="105.52500000000001"/>
    <n v="386.92500000000001"/>
    <n v="0"/>
    <n v="551.77"/>
    <n v="715.53803745000005"/>
    <n v="0.56461256167029605"/>
    <s v="RIMAC"/>
    <s v="LEVE"/>
    <s v="Febrero"/>
    <n v="2020"/>
    <n v="72"/>
    <n v="1"/>
    <d v="2019-12-05T00:00:00"/>
    <s v="BFB527"/>
    <s v="SUZUKI"/>
    <s v="BALENO"/>
    <s v="RIMAC SEGUROS  Y REASEGUROS S.A"/>
  </r>
  <r>
    <x v="12"/>
    <s v="ABO"/>
    <s v="005"/>
    <s v="00000003"/>
    <x v="65"/>
    <n v="0"/>
    <d v="2019-10-29T00:00:00"/>
    <s v="20509959766"/>
    <s v="RENTAEQUIPOS LEASING PERU S.A."/>
    <s v="2908010001"/>
    <s v="TERCEROS"/>
    <s v="001"/>
    <s v="001"/>
    <s v="CONTADO"/>
    <s v="002"/>
    <s v="TERCEROS"/>
    <s v="$"/>
    <n v="3.3510000999999998"/>
    <n v="-1"/>
    <n v="-95"/>
    <n v="-95"/>
    <n v="-17.100000000000001"/>
    <n v="-112.1"/>
    <n v="-318.3450095"/>
    <d v="2020-02-01T00:00:00"/>
    <s v="005-00000347"/>
    <n v="452.38398659999996"/>
    <n v="0"/>
    <n v="0"/>
    <n v="0"/>
    <n v="0"/>
    <n v="30.150000000000002"/>
    <n v="70.350000000000009"/>
    <n v="0"/>
    <n v="100.50000000000001"/>
    <n v="351.88398659999996"/>
    <n v="0.77784359531527236"/>
    <s v="RIMAC"/>
    <s v="LEVE"/>
    <s v="Febrero"/>
    <n v="2020"/>
    <n v="10"/>
    <n v="1"/>
    <d v="2020-01-22T00:00:00"/>
    <s v="AYQ680"/>
    <s v="HYUNDAI"/>
    <s v="ACCENT"/>
    <s v="RIMAC SEGUROS  Y REASEGUROS S.A"/>
  </r>
  <r>
    <x v="12"/>
    <s v="ABO"/>
    <s v="005"/>
    <s v="00000003"/>
    <x v="65"/>
    <n v="0"/>
    <d v="2019-10-29T00:00:00"/>
    <s v="20509959766"/>
    <s v="RENTAEQUIPOS LEASING PERU S.A."/>
    <s v="2805010001"/>
    <s v="SERVICIOS"/>
    <s v="001"/>
    <s v="001"/>
    <s v="CONTADO"/>
    <s v="002"/>
    <s v="MECANICA"/>
    <s v="$"/>
    <n v="3.3510000999999998"/>
    <n v="-1"/>
    <n v="-60"/>
    <n v="-60"/>
    <n v="-10.800002999999997"/>
    <n v="-70.800003000000004"/>
    <n v="-201.06000599999999"/>
    <d v="2020-02-01T00:00:00"/>
    <s v="005-00000348"/>
    <n v="1713.31994925"/>
    <n v="0"/>
    <n v="0"/>
    <n v="0"/>
    <n v="0"/>
    <n v="120.60000000000001"/>
    <n v="175.875"/>
    <n v="0"/>
    <n v="296.47500000000002"/>
    <n v="1416.8449492499999"/>
    <n v="0.82695876498153131"/>
    <s v="RIMAC"/>
    <s v="MEDIANO"/>
    <s v="Febrero"/>
    <n v="2020"/>
    <n v="10"/>
    <n v="1"/>
    <d v="2020-01-22T00:00:00"/>
    <s v="AYQ680"/>
    <s v="HYUNDAI"/>
    <s v="ACCENT"/>
    <s v="RIMAC SEGUROS  Y REASEGUROS S.A"/>
  </r>
  <r>
    <x v="12"/>
    <s v="ABO"/>
    <s v="005"/>
    <s v="00000003"/>
    <x v="65"/>
    <n v="0"/>
    <d v="2019-10-29T00:00:00"/>
    <s v="20509959766"/>
    <s v="RENTAEQUIPOS LEASING PERU S.A."/>
    <s v="310120"/>
    <s v="FRANQUICIA"/>
    <s v="001"/>
    <s v="001"/>
    <s v="CONTADO"/>
    <s v="002"/>
    <s v="FRANQUICIA"/>
    <s v="$"/>
    <n v="3.3510000999999998"/>
    <n v="1"/>
    <n v="-456.98309"/>
    <n v="456.98309"/>
    <n v="82.257019999999969"/>
    <n v="539.24010999999996"/>
    <n v="1531.350380288309"/>
    <d v="2020-02-03T00:00:00"/>
    <s v="005-00000353"/>
    <n v="6086.5847843501606"/>
    <n v="0"/>
    <n v="0"/>
    <n v="59.32"/>
    <n v="15.075000000000001"/>
    <n v="0"/>
    <n v="0"/>
    <n v="0"/>
    <n v="74.394999999999996"/>
    <n v="6012.1897843501602"/>
    <n v="0.98777721782644268"/>
    <s v="C.C"/>
    <s v="MECANICA"/>
    <s v="Febrero"/>
    <n v="2020"/>
    <n v="10"/>
    <n v="1"/>
    <d v="2020-01-24T00:00:00"/>
    <s v="F8V681"/>
    <s v="DODGE"/>
    <s v="JOURNEY"/>
    <s v="CONSULTING CENTER SAC"/>
  </r>
  <r>
    <x v="12"/>
    <s v="ABO"/>
    <s v="005"/>
    <s v="00000003"/>
    <x v="65"/>
    <n v="0"/>
    <d v="2019-10-29T00:00:00"/>
    <s v="20509959766"/>
    <s v="RENTAEQUIPOS LEASING PERU S.A."/>
    <s v="320001"/>
    <s v="REPUESTOS"/>
    <s v="001"/>
    <s v="001"/>
    <s v="CONTADO"/>
    <s v="002"/>
    <s v="REPUESTOS"/>
    <s v="$"/>
    <n v="3.3510000999999998"/>
    <n v="-1"/>
    <n v="0"/>
    <n v="0"/>
    <n v="0"/>
    <n v="0"/>
    <n v="0"/>
    <d v="2020-02-04T00:00:00"/>
    <s v="005-00000345"/>
    <n v="540.67798899999991"/>
    <n v="0"/>
    <n v="0"/>
    <n v="0"/>
    <n v="0"/>
    <n v="15.075000000000001"/>
    <n v="70.350000000000009"/>
    <n v="0"/>
    <n v="85.425000000000011"/>
    <n v="455.2529889999999"/>
    <n v="0.84200392518660483"/>
    <s v="C.C"/>
    <s v="LEVE"/>
    <s v="Febrero"/>
    <n v="2020"/>
    <n v="14"/>
    <n v="1"/>
    <d v="2020-01-21T00:00:00"/>
    <s v="AUO555"/>
    <s v="HYUNDAI"/>
    <s v="TUCSON"/>
    <s v="CERAMICOS BARCELONA SAC"/>
  </r>
  <r>
    <x v="14"/>
    <s v="CAR"/>
    <s v="005"/>
    <s v="00000001"/>
    <x v="66"/>
    <n v="0"/>
    <d v="2019-10-31T00:00:00"/>
    <s v="20602003346"/>
    <s v="FAST ENGENHARIA E MONTAGENS SA"/>
    <s v="1201020002"/>
    <s v="PLANCHADO"/>
    <s v="001"/>
    <s v="001"/>
    <s v="CONTADO"/>
    <s v="001"/>
    <s v="PLANCHADO"/>
    <s v="$"/>
    <n v="3.3490000000000002"/>
    <n v="1"/>
    <n v="57.450001"/>
    <n v="57.450001"/>
    <n v="10.34"/>
    <n v="67.790001000000004"/>
    <n v="192.40005334900002"/>
    <d v="2020-02-04T00:00:00"/>
    <s v="005-00000361"/>
    <n v="451.28669767142031"/>
    <n v="0"/>
    <n v="0"/>
    <n v="0"/>
    <n v="0"/>
    <n v="15.075000000000001"/>
    <n v="70.350000000000009"/>
    <n v="0"/>
    <n v="85.425000000000011"/>
    <n v="365.8616976714203"/>
    <n v="0.81070791485594029"/>
    <s v="RIMAC"/>
    <s v="LEVE"/>
    <s v="Febrero"/>
    <n v="2020"/>
    <n v="7"/>
    <n v="1"/>
    <d v="2020-01-28T00:00:00"/>
    <s v="D6B575"/>
    <s v="TOYOTA"/>
    <s v="PRADO"/>
    <s v="LINDER INGENIEROS GRAFICOS CONSULTORES SAC"/>
  </r>
  <r>
    <x v="15"/>
    <s v="FAC"/>
    <s v="005"/>
    <s v="00000067"/>
    <x v="67"/>
    <s v="APW245"/>
    <d v="2019-10-23T00:00:00"/>
    <s v="20100041953"/>
    <s v="RIMAC SEGUROS  Y REASEGUROS S.A"/>
    <s v="1302020001"/>
    <s v="PINTURA"/>
    <s v="000"/>
    <s v="001"/>
    <s v="CONTADO"/>
    <s v="009"/>
    <s v="PINTURA"/>
    <s v="$"/>
    <n v="3.3490000000000002"/>
    <n v="1"/>
    <n v="59"/>
    <n v="59"/>
    <n v="10.620002999999997"/>
    <n v="69.620002999999997"/>
    <n v="197.59100000000001"/>
    <d v="2020-02-04T00:00:00"/>
    <s v="005-00000350"/>
    <n v="506.10001499999993"/>
    <n v="0"/>
    <n v="0"/>
    <n v="0"/>
    <n v="0"/>
    <n v="30.150000000000002"/>
    <n v="70.350000000000009"/>
    <n v="0"/>
    <n v="100.50000000000001"/>
    <n v="405.60001499999993"/>
    <n v="0.80142264963181242"/>
    <s v="C.C"/>
    <s v="LEVE"/>
    <s v="Febrero"/>
    <n v="2020"/>
    <n v="12"/>
    <n v="1"/>
    <d v="2020-01-23T00:00:00"/>
    <s v="D6B575"/>
    <s v="TOYOTA"/>
    <s v="PRADO"/>
    <s v="LINDER INGENIEROS GRAFICOS CONSULTORES SAC"/>
  </r>
  <r>
    <x v="15"/>
    <s v="FAC"/>
    <s v="005"/>
    <s v="00000067"/>
    <x v="67"/>
    <s v="APW245"/>
    <d v="2019-10-23T00:00:00"/>
    <s v="20100041953"/>
    <s v="RIMAC SEGUROS  Y REASEGUROS S.A"/>
    <s v="1201020001"/>
    <s v="PLANCHADO"/>
    <s v="000"/>
    <s v="001"/>
    <s v="CONTADO"/>
    <s v="001"/>
    <s v="PLANCHADO"/>
    <s v="$"/>
    <n v="3.3490000000000002"/>
    <n v="1"/>
    <n v="30"/>
    <n v="30"/>
    <n v="5.4000019999999997"/>
    <n v="35.400002000000001"/>
    <n v="100.47"/>
    <d v="2020-02-04T00:00:00"/>
    <s v="005-00000357"/>
    <n v="1137.0380337000001"/>
    <n v="0"/>
    <n v="0"/>
    <n v="0"/>
    <n v="0"/>
    <n v="90.45"/>
    <n v="211.05"/>
    <n v="0"/>
    <n v="301.5"/>
    <n v="835.53803370000014"/>
    <n v="0.73483736597719762"/>
    <s v="RIMAC"/>
    <s v="LEVE"/>
    <s v="Febrero"/>
    <n v="2020"/>
    <n v="8"/>
    <n v="1"/>
    <d v="2020-01-27T00:00:00"/>
    <s v="AWL408"/>
    <s v="TOYOTA"/>
    <s v="COROLLA"/>
    <s v="SALMON CORNEJO JUAN CARLOS"/>
  </r>
  <r>
    <x v="15"/>
    <s v="FAC"/>
    <s v="005"/>
    <s v="00000067"/>
    <x v="67"/>
    <s v="APW245"/>
    <d v="2019-10-23T00:00:00"/>
    <s v="20100041953"/>
    <s v="RIMAC SEGUROS  Y REASEGUROS S.A"/>
    <s v="2908010001"/>
    <s v="TERCEROS"/>
    <s v="000"/>
    <s v="001"/>
    <s v="CONTADO"/>
    <s v="002"/>
    <s v="MANTENIMIENTO-MECANICA"/>
    <s v="$"/>
    <n v="3.3490000000000002"/>
    <n v="1"/>
    <n v="30"/>
    <n v="30"/>
    <n v="5.4000019999999997"/>
    <n v="35.400002000000001"/>
    <n v="100.47"/>
    <d v="2020-02-05T00:00:00"/>
    <s v="005-00000365"/>
    <n v="484.41601439999999"/>
    <n v="0"/>
    <n v="0"/>
    <n v="0"/>
    <n v="0"/>
    <n v="30.150000000000002"/>
    <n v="140.70000000000002"/>
    <n v="0"/>
    <n v="170.85000000000002"/>
    <n v="313.56601439999997"/>
    <n v="0.6473072835719198"/>
    <s v="RIMAC"/>
    <s v="LEVE"/>
    <s v="Febrero"/>
    <n v="2020"/>
    <n v="8"/>
    <n v="1"/>
    <d v="2020-01-28T00:00:00"/>
    <s v="BDG262"/>
    <s v="KIA"/>
    <s v="RIO"/>
    <s v="RIMAC SEGUROS  Y REASEGUROS S.A"/>
  </r>
  <r>
    <x v="15"/>
    <s v="FAC"/>
    <s v="005"/>
    <s v="00000067"/>
    <x v="67"/>
    <s v="APW245"/>
    <d v="2019-10-23T00:00:00"/>
    <s v="20100041953"/>
    <s v="RIMAC SEGUROS  Y REASEGUROS S.A"/>
    <s v="310120"/>
    <s v="FRANQUICIA"/>
    <s v="000"/>
    <s v="001"/>
    <s v="CONTADO"/>
    <s v="002"/>
    <s v="MANTENIMIENTO-MECANICA"/>
    <s v="$"/>
    <n v="3.3490000000000002"/>
    <n v="-1"/>
    <n v="50"/>
    <n v="-50"/>
    <n v="-9"/>
    <n v="-59"/>
    <n v="-167.45000000000002"/>
    <d v="2020-02-05T00:00:00"/>
    <s v="005-00000354"/>
    <n v="2218.54"/>
    <n v="5.4759001999999999"/>
    <n v="0"/>
    <n v="84.75"/>
    <n v="0"/>
    <n v="150.75"/>
    <n v="422.1"/>
    <n v="0"/>
    <n v="663.07590019999998"/>
    <n v="1555.4640998"/>
    <n v="0.7011206017470949"/>
    <s v="RIMAC"/>
    <s v="MEDIANO"/>
    <s v="Febrero"/>
    <n v="2020"/>
    <n v="11"/>
    <n v="1"/>
    <d v="2020-01-25T00:00:00"/>
    <s v="C8O042"/>
    <s v="HYUNDAI"/>
    <s v="I30"/>
    <s v="RIMAC SEGUROS  Y REASEGUROS S.A"/>
  </r>
  <r>
    <x v="16"/>
    <s v="FAC"/>
    <s v="005"/>
    <s v="00000068"/>
    <x v="68"/>
    <s v="ACT191"/>
    <d v="2019-10-22T00:00:00"/>
    <s v="20100041953"/>
    <s v="RIMAC SEGUROS  Y REASEGUROS S.A"/>
    <s v="1302020001"/>
    <s v="PINTURA"/>
    <s v="000"/>
    <s v="001"/>
    <s v="CONTADO"/>
    <s v="009"/>
    <s v="PINTURA"/>
    <s v="$"/>
    <n v="3.3490000000000002"/>
    <n v="1"/>
    <n v="230.10169999999999"/>
    <n v="230.10169999999999"/>
    <n v="41.418289999999978"/>
    <n v="271.51998999999995"/>
    <n v="770.61059330000001"/>
    <d v="2020-02-06T00:00:00"/>
    <s v="005-00000249"/>
    <n v="9830.7542099999991"/>
    <n v="1686.4831577399996"/>
    <n v="148.30000000000001"/>
    <n v="355.91"/>
    <n v="395.71875"/>
    <n v="452.25"/>
    <n v="1266.3"/>
    <n v="0"/>
    <n v="4304.9619077399993"/>
    <n v="5525.7923022599998"/>
    <n v="0.56209240758344625"/>
    <s v="ACCESO"/>
    <s v="GRAVE"/>
    <s v="Febrero"/>
    <n v="2020"/>
    <n v="59"/>
    <n v="1"/>
    <d v="2019-12-09T00:00:00"/>
    <s v="D8F472"/>
    <s v="CHEVROLET"/>
    <s v="SAIL"/>
    <s v="EDPYME ACCESO CREDITICIO SOCIEDAD ANONIMA"/>
  </r>
  <r>
    <x v="16"/>
    <s v="FAC"/>
    <s v="005"/>
    <s v="00000068"/>
    <x v="68"/>
    <s v="ACT191"/>
    <d v="2019-10-22T00:00:00"/>
    <s v="20100041953"/>
    <s v="RIMAC SEGUROS  Y REASEGUROS S.A"/>
    <s v="1201020001"/>
    <s v="PLANCHADO"/>
    <s v="000"/>
    <s v="001"/>
    <s v="CONTADO"/>
    <s v="001"/>
    <s v="PLANCHADO"/>
    <s v="$"/>
    <n v="3.3490000000000002"/>
    <n v="1"/>
    <n v="270"/>
    <n v="270"/>
    <n v="48.600010000000005"/>
    <n v="318.60001"/>
    <n v="904.23"/>
    <d v="2020-02-06T00:00:00"/>
    <s v="005-00000178"/>
    <n v="11016.940700000001"/>
    <n v="4075.6317685000004"/>
    <n v="216.7766666666667"/>
    <n v="454.74"/>
    <n v="97.987499999999997"/>
    <n v="557.77499999999998"/>
    <n v="1266.3"/>
    <n v="0"/>
    <n v="6669.2109351666668"/>
    <n v="4347.7297648333342"/>
    <n v="0.39464038912665961"/>
    <s v="ACCESO"/>
    <s v="GRAVE"/>
    <s v="Febrero"/>
    <n v="2020"/>
    <n v="82"/>
    <n v="1"/>
    <d v="2019-11-16T00:00:00"/>
    <s v="D9V073"/>
    <s v="CHEVROLET"/>
    <s v="SAIL"/>
    <s v="EDPYME ACCESO CREDITICIO SOCIEDAD ANONIMA"/>
  </r>
  <r>
    <x v="16"/>
    <s v="FAC"/>
    <s v="005"/>
    <s v="00000068"/>
    <x v="68"/>
    <s v="ACT191"/>
    <d v="2019-10-22T00:00:00"/>
    <s v="20100041953"/>
    <s v="RIMAC SEGUROS  Y REASEGUROS S.A"/>
    <s v="2908010001"/>
    <s v="TERCEROS"/>
    <s v="000"/>
    <s v="001"/>
    <s v="CONTADO"/>
    <s v="002"/>
    <s v="MANTENIMIENTO-MECANICA"/>
    <s v="$"/>
    <n v="3.3490000000000002"/>
    <n v="1"/>
    <n v="15"/>
    <n v="15"/>
    <n v="2.7000009999999999"/>
    <n v="17.700001"/>
    <n v="50.234999999999999"/>
    <d v="2020-02-06T00:00:00"/>
    <s v="005-00000311"/>
    <n v="12695.254209999999"/>
    <n v="2494.5569471199997"/>
    <n v="282.18983050847453"/>
    <n v="374.74999999999994"/>
    <n v="0"/>
    <n v="527.625"/>
    <n v="1266.3"/>
    <n v="0"/>
    <n v="4945.421777628474"/>
    <n v="7749.8324323715251"/>
    <n v="0.61045114214940366"/>
    <s v="ACCESO"/>
    <s v="GRAVE"/>
    <s v="Febrero"/>
    <n v="2020"/>
    <n v="33"/>
    <n v="1"/>
    <d v="2020-01-04T00:00:00"/>
    <s v="AJK417"/>
    <s v="CHEVROLET"/>
    <s v="SAIL"/>
    <s v="EDPYME ACCESO CREDITICIO SOCIEDAD ANONIMA"/>
  </r>
  <r>
    <x v="16"/>
    <s v="FAC"/>
    <s v="005"/>
    <s v="00000068"/>
    <x v="68"/>
    <s v="ACT191"/>
    <d v="2019-10-22T00:00:00"/>
    <s v="20100041953"/>
    <s v="RIMAC SEGUROS  Y REASEGUROS S.A"/>
    <s v="310120"/>
    <s v="FRANQUICIA"/>
    <s v="000"/>
    <s v="001"/>
    <s v="CONTADO"/>
    <s v="002"/>
    <s v="MANTENIMIENTO-MECANICA"/>
    <s v="$"/>
    <n v="3.3490000000000002"/>
    <n v="-1"/>
    <n v="100"/>
    <n v="-100"/>
    <n v="-18"/>
    <n v="-118"/>
    <n v="-334.90000000000003"/>
    <d v="2020-02-06T00:00:00"/>
    <s v="005-00000312"/>
    <n v="5360"/>
    <n v="831.43064564000008"/>
    <n v="0"/>
    <n v="78.56"/>
    <n v="135.67500000000001"/>
    <n v="361.8"/>
    <n v="1195.95"/>
    <n v="0"/>
    <n v="2603.4156456400001"/>
    <n v="2756.5843543599999"/>
    <n v="0.51428812581343286"/>
    <s v="ACCESO"/>
    <s v="GRAVE"/>
    <s v="Febrero"/>
    <n v="2020"/>
    <n v="33"/>
    <n v="1"/>
    <d v="2020-01-04T00:00:00"/>
    <s v="BKJ027"/>
    <s v="CHEVROLET"/>
    <s v="SAIL"/>
    <s v="EDPYME ACCESO CREDITICIO SOCIEDAD ANONIMA"/>
  </r>
  <r>
    <x v="17"/>
    <s v="FAC"/>
    <s v="005"/>
    <s v="00000070"/>
    <x v="69"/>
    <s v="F2B530"/>
    <d v="2019-10-24T00:00:00"/>
    <s v="20100041953"/>
    <s v="RIMAC SEGUROS  Y REASEGUROS S.A"/>
    <s v="1302020001"/>
    <s v="PINTURA"/>
    <s v="000"/>
    <s v="001"/>
    <s v="CONTADO"/>
    <s v="009"/>
    <s v="PINTURA"/>
    <s v="$"/>
    <n v="3.3359999999999999"/>
    <n v="1"/>
    <n v="236"/>
    <n v="236"/>
    <n v="42.48001"/>
    <n v="278.48000999999999"/>
    <n v="787.29599999999994"/>
    <d v="2020-02-06T00:00:00"/>
    <s v="005-00000294"/>
    <n v="11839.652410000001"/>
    <n v="3024.8386610999992"/>
    <n v="0"/>
    <n v="326.27000000000004"/>
    <n v="290.19375000000002"/>
    <n v="542.70000000000005"/>
    <n v="1266.3"/>
    <n v="0"/>
    <n v="5450.3024110999995"/>
    <n v="6389.3499989000011"/>
    <n v="0.53965689005392015"/>
    <s v="ACCESO"/>
    <s v="GRAVE"/>
    <s v="Febrero"/>
    <n v="2020"/>
    <n v="41"/>
    <n v="1"/>
    <d v="2019-12-27T00:00:00"/>
    <s v="AXU411"/>
    <s v="CHEVROLET"/>
    <s v="N300"/>
    <s v="EDPYME ACCESO CREDITICIO SOCIEDAD ANONIMA"/>
  </r>
  <r>
    <x v="17"/>
    <s v="FAC"/>
    <s v="005"/>
    <s v="00000070"/>
    <x v="69"/>
    <s v="F2B530"/>
    <d v="2019-10-24T00:00:00"/>
    <s v="20100041953"/>
    <s v="RIMAC SEGUROS  Y REASEGUROS S.A"/>
    <s v="1201020001"/>
    <s v="PLANCHADO"/>
    <s v="000"/>
    <s v="001"/>
    <s v="CONTADO"/>
    <s v="001"/>
    <s v="PLANCHADO"/>
    <s v="$"/>
    <n v="3.3359999999999999"/>
    <n v="1"/>
    <n v="480"/>
    <n v="480"/>
    <n v="86.400020000000083"/>
    <n v="566.40002000000004"/>
    <n v="1601.28"/>
    <d v="2020-02-07T00:00:00"/>
    <s v="005-00000358"/>
    <n v="1823.7110540999997"/>
    <n v="0"/>
    <n v="0"/>
    <n v="0"/>
    <n v="15.075000000000001"/>
    <n v="120.60000000000001"/>
    <n v="281.40000000000003"/>
    <n v="0"/>
    <n v="417.07500000000005"/>
    <n v="1406.6360540999997"/>
    <n v="0.77130423206990628"/>
    <s v="RIMAC"/>
    <s v="MEDIANO"/>
    <s v="Febrero"/>
    <n v="2020"/>
    <n v="11"/>
    <n v="1"/>
    <d v="2020-01-27T00:00:00"/>
    <s v="BLZ136"/>
    <s v="HYUNDAI"/>
    <s v="ELANTRA"/>
    <s v="LUJAN MENDOZA ANGEL ARTURO"/>
  </r>
  <r>
    <x v="17"/>
    <s v="FAC"/>
    <s v="005"/>
    <s v="00000070"/>
    <x v="69"/>
    <s v="F2B530"/>
    <d v="2019-10-24T00:00:00"/>
    <s v="20100041953"/>
    <s v="RIMAC SEGUROS  Y REASEGUROS S.A"/>
    <s v="2908010001"/>
    <s v="TERCEROS"/>
    <s v="000"/>
    <s v="001"/>
    <s v="CONTADO"/>
    <s v="002"/>
    <s v="MANTENIMIENTO-MECANICA"/>
    <s v="$"/>
    <n v="3.3359999999999999"/>
    <n v="1"/>
    <n v="80"/>
    <n v="80"/>
    <n v="14.400002000000004"/>
    <n v="94.400002000000001"/>
    <n v="266.88"/>
    <d v="2020-02-07T00:00:00"/>
    <s v="005-00000359"/>
    <n v="831.80844635942026"/>
    <n v="0"/>
    <n v="0"/>
    <n v="0"/>
    <n v="0"/>
    <n v="45.225000000000001"/>
    <n v="140.70000000000002"/>
    <n v="0"/>
    <n v="185.92500000000001"/>
    <n v="645.8834463594203"/>
    <n v="0.77648099052884267"/>
    <s v="RIMAC"/>
    <s v="LEVE"/>
    <s v="Febrero"/>
    <n v="2020"/>
    <n v="11"/>
    <n v="1"/>
    <d v="2020-01-27T00:00:00"/>
    <s v="D5M328"/>
    <s v="NISSAN"/>
    <s v="QASHQAI"/>
    <s v="RIMAC SEGUROS  Y REASEGUROS S.A"/>
  </r>
  <r>
    <x v="17"/>
    <s v="FAC"/>
    <s v="005"/>
    <s v="00000070"/>
    <x v="69"/>
    <s v="F2B530"/>
    <d v="2019-10-24T00:00:00"/>
    <s v="20100041953"/>
    <s v="RIMAC SEGUROS  Y REASEGUROS S.A"/>
    <s v="310120"/>
    <s v="FRANQUICIA"/>
    <s v="000"/>
    <s v="001"/>
    <s v="CONTADO"/>
    <s v="002"/>
    <s v="MANTENIMIENTO-MECANICA"/>
    <s v="$"/>
    <n v="3.3359999999999999"/>
    <n v="-1"/>
    <n v="150"/>
    <n v="-150"/>
    <n v="-27"/>
    <n v="-177"/>
    <n v="-500.4"/>
    <d v="2020-02-07T00:00:00"/>
    <s v="005-00000372"/>
    <n v="1306.26253875"/>
    <n v="0"/>
    <n v="0"/>
    <n v="59.322033898305087"/>
    <n v="0"/>
    <n v="0"/>
    <n v="0"/>
    <n v="0"/>
    <n v="59.322033898305087"/>
    <n v="1246.9405048516949"/>
    <n v="0.95458643868400905"/>
    <s v="RIMAC"/>
    <s v="LEVE"/>
    <s v="Febrero"/>
    <n v="2020"/>
    <n v="7"/>
    <n v="1"/>
    <d v="2020-01-31T00:00:00"/>
    <s v="BNL501"/>
    <s v="S/MARCA"/>
    <s v="S/MODELO"/>
    <s v="RIMAC SEGUROS  Y REASEGUROS S.A"/>
  </r>
  <r>
    <x v="17"/>
    <s v="FAC"/>
    <s v="005"/>
    <s v="00000070"/>
    <x v="69"/>
    <s v="F2B530"/>
    <d v="2019-10-24T00:00:00"/>
    <s v="20100041953"/>
    <s v="RIMAC SEGUROS  Y REASEGUROS S.A"/>
    <s v="320001"/>
    <s v="REPUESTOS"/>
    <s v="000"/>
    <s v="001"/>
    <s v="CONTADO"/>
    <s v="002"/>
    <s v="MANTENIMIENTO-MECANICA"/>
    <s v="$"/>
    <n v="3.3359999999999999"/>
    <n v="1"/>
    <n v="0"/>
    <n v="0"/>
    <n v="0"/>
    <n v="0"/>
    <n v="0"/>
    <d v="2020-02-08T00:00:00"/>
    <s v="005-00000364"/>
    <n v="1814.2740000000001"/>
    <n v="0"/>
    <n v="0"/>
    <n v="0"/>
    <n v="0"/>
    <n v="150.75"/>
    <n v="316.57499999999999"/>
    <n v="0"/>
    <n v="467.32499999999999"/>
    <n v="1346.9490000000001"/>
    <n v="0.74241762820830814"/>
    <s v="RIMAC"/>
    <s v="MEDIANO"/>
    <s v="Febrero"/>
    <n v="2020"/>
    <n v="11"/>
    <n v="1"/>
    <d v="2020-01-28T00:00:00"/>
    <s v="D6X505"/>
    <s v="WV"/>
    <s v="GOL"/>
    <s v="RIMAC SEGUROS  Y REASEGUROS S.A"/>
  </r>
  <r>
    <x v="17"/>
    <s v="FAC"/>
    <s v="005"/>
    <s v="00000071"/>
    <x v="70"/>
    <s v="C4A237"/>
    <d v="2019-10-28T00:00:00"/>
    <s v="20100041953"/>
    <s v="RIMAC SEGUROS  Y REASEGUROS S.A"/>
    <s v="1302020001"/>
    <s v="PINTURA"/>
    <s v="000"/>
    <s v="001"/>
    <s v="CONTADO"/>
    <s v="009"/>
    <s v="PINTURA"/>
    <s v="$"/>
    <n v="3.3359999999999999"/>
    <n v="1"/>
    <n v="118"/>
    <n v="118"/>
    <n v="21.240010000000019"/>
    <n v="139.24001000000001"/>
    <n v="393.64799999999997"/>
    <d v="2020-02-11T00:00:00"/>
    <s v="005-00000367"/>
    <n v="807.77202379999994"/>
    <n v="0"/>
    <n v="0"/>
    <n v="0"/>
    <n v="0"/>
    <n v="90.45"/>
    <n v="140.70000000000002"/>
    <n v="0"/>
    <n v="231.15000000000003"/>
    <n v="576.62202379999985"/>
    <n v="0.71384252835026185"/>
    <s v="RIMAC"/>
    <s v="LEVE"/>
    <s v="Febrero"/>
    <n v="2020"/>
    <n v="13"/>
    <n v="1"/>
    <d v="2020-01-29T00:00:00"/>
    <s v="BJF224"/>
    <s v="MAZDA"/>
    <s v="MAZDA 6"/>
    <s v="RIMAC SEGUROS  Y REASEGUROS S.A"/>
  </r>
  <r>
    <x v="17"/>
    <s v="FAC"/>
    <s v="005"/>
    <s v="00000071"/>
    <x v="70"/>
    <s v="C4A237"/>
    <d v="2019-10-28T00:00:00"/>
    <s v="20100041953"/>
    <s v="RIMAC SEGUROS  Y REASEGUROS S.A"/>
    <s v="1201020001"/>
    <s v="PLANCHADO"/>
    <s v="000"/>
    <s v="001"/>
    <s v="CONTADO"/>
    <s v="001"/>
    <s v="PLANCHADO"/>
    <s v="$"/>
    <n v="3.3359999999999999"/>
    <n v="1"/>
    <n v="60"/>
    <n v="60"/>
    <n v="10.800002999999997"/>
    <n v="70.800003000000004"/>
    <n v="200.16"/>
    <d v="2020-02-11T00:00:00"/>
    <s v="005-00000265"/>
    <n v="441.22001299999999"/>
    <n v="0"/>
    <n v="0"/>
    <n v="0"/>
    <n v="0"/>
    <n v="52.762500000000003"/>
    <n v="70.350000000000009"/>
    <n v="0"/>
    <n v="123.11250000000001"/>
    <n v="318.10751299999998"/>
    <n v="0.72097253893150126"/>
    <s v="C.C"/>
    <s v="LEVE"/>
    <s v="Febrero"/>
    <n v="2020"/>
    <n v="60"/>
    <n v="1"/>
    <d v="2019-12-13T00:00:00"/>
    <s v="AND446"/>
    <s v="RENAULT"/>
    <s v="RENAULT"/>
    <s v="RENTAEQUIPOS LEASING PERU S.A."/>
  </r>
  <r>
    <x v="17"/>
    <s v="FAC"/>
    <s v="005"/>
    <s v="00000071"/>
    <x v="70"/>
    <s v="C4A237"/>
    <d v="2019-10-28T00:00:00"/>
    <s v="20100041953"/>
    <s v="RIMAC SEGUROS  Y REASEGUROS S.A"/>
    <s v="2908010001"/>
    <s v="TERCEROS"/>
    <s v="000"/>
    <s v="001"/>
    <s v="CONTADO"/>
    <s v="002"/>
    <s v="MANTENIMIENTO-MECANICA"/>
    <s v="$"/>
    <n v="3.3359999999999999"/>
    <n v="1"/>
    <n v="110"/>
    <n v="110"/>
    <n v="19.8"/>
    <n v="129.80000000000001"/>
    <n v="366.96"/>
    <d v="2020-02-11T00:00:00"/>
    <s v="005-00000378"/>
    <n v="50.9100015"/>
    <n v="0"/>
    <n v="0"/>
    <n v="0"/>
    <n v="0"/>
    <n v="15.075000000000001"/>
    <n v="0"/>
    <n v="0"/>
    <n v="15.075000000000001"/>
    <n v="35.835001499999997"/>
    <n v="0.7038892249885319"/>
    <s v="C.C"/>
    <s v="LEVE"/>
    <s v="Febrero"/>
    <n v="2020"/>
    <n v="7"/>
    <n v="1"/>
    <d v="2020-02-04T00:00:00"/>
    <s v="BAN755"/>
    <s v="MAZDA"/>
    <s v="CX5"/>
    <s v="RIMAC SEGUROS  Y REASEGUROS S.A"/>
  </r>
  <r>
    <x v="17"/>
    <s v="FAC"/>
    <s v="005"/>
    <s v="00000071"/>
    <x v="70"/>
    <s v="C4A237"/>
    <d v="2019-10-28T00:00:00"/>
    <s v="20100041953"/>
    <s v="RIMAC SEGUROS  Y REASEGUROS S.A"/>
    <s v="320001"/>
    <s v="REPUESTOS"/>
    <s v="000"/>
    <s v="001"/>
    <s v="CONTADO"/>
    <s v="002"/>
    <s v="MANTENIMIENTO-MECANICA"/>
    <s v="$"/>
    <n v="3.3359999999999999"/>
    <n v="1"/>
    <n v="0"/>
    <n v="0"/>
    <n v="0"/>
    <n v="0"/>
    <n v="0"/>
    <d v="2020-02-13T00:00:00"/>
    <s v="005-00000368"/>
    <n v="301.08699110000003"/>
    <n v="0"/>
    <n v="0"/>
    <n v="0"/>
    <n v="0"/>
    <n v="30.150000000000002"/>
    <n v="70.350000000000009"/>
    <n v="0"/>
    <n v="100.50000000000001"/>
    <n v="200.58699110000003"/>
    <n v="0.66620942461568877"/>
    <s v="RIMAC"/>
    <s v="LEVE"/>
    <s v="Febrero"/>
    <n v="2020"/>
    <n v="15"/>
    <n v="1"/>
    <d v="2020-01-29T00:00:00"/>
    <s v="BJF224"/>
    <s v="MAZDA"/>
    <s v="MAZDA 6"/>
    <s v="RIMAC SEGUROS  Y REASEGUROS S.A"/>
  </r>
  <r>
    <x v="18"/>
    <s v="FAC"/>
    <s v="005"/>
    <s v="00000072"/>
    <x v="71"/>
    <s v="A1M006"/>
    <d v="2019-10-25T00:00:00"/>
    <s v="10079552394"/>
    <s v="PATRON JORGE RICARDO GALLEGOS RIZO"/>
    <s v="310120"/>
    <s v="FRANQUICIA"/>
    <s v="000"/>
    <s v="001"/>
    <s v="CONTADO"/>
    <s v="002"/>
    <s v="MANTENIMIENTO-MECANICA"/>
    <s v="$"/>
    <n v="3.339"/>
    <n v="1"/>
    <n v="100"/>
    <n v="100"/>
    <n v="18"/>
    <n v="118"/>
    <n v="333.9"/>
    <d v="2020-02-13T00:00:00"/>
    <s v="005-00000375"/>
    <n v="436.40698710000009"/>
    <n v="0"/>
    <n v="0"/>
    <n v="0"/>
    <n v="0"/>
    <n v="30.150000000000002"/>
    <n v="70.350000000000009"/>
    <n v="0"/>
    <n v="100.50000000000001"/>
    <n v="335.90698710000009"/>
    <n v="0.76971037822322719"/>
    <s v="RIMAC"/>
    <s v="LEVE"/>
    <s v="Febrero"/>
    <n v="2020"/>
    <n v="9"/>
    <n v="1"/>
    <d v="2020-02-04T00:00:00"/>
    <s v="A3E362"/>
    <s v="TOYOTA"/>
    <s v="RAV 4"/>
    <s v="PATRON JORGE RICARDO GALLEGOS RIZO"/>
  </r>
  <r>
    <x v="18"/>
    <s v="FAC"/>
    <s v="005"/>
    <s v="00000073"/>
    <x v="72"/>
    <s v="ARP079"/>
    <d v="2019-10-21T00:00:00"/>
    <s v="20438563084"/>
    <s v="EDPYME ACCESO CREDITICIO SOCIEDAD ANONIMA"/>
    <s v="1302020001"/>
    <s v="PINTURA"/>
    <s v="000"/>
    <s v="001"/>
    <s v="CONTADO"/>
    <s v="009"/>
    <s v="PINTURA"/>
    <s v="S/."/>
    <n v="3.339"/>
    <n v="1"/>
    <n v="2160"/>
    <n v="2160"/>
    <n v="388.8"/>
    <n v="2548.8000000000002"/>
    <n v="2160"/>
    <d v="2020-02-14T00:00:00"/>
    <s v="005-00000379"/>
    <n v="1646.8025"/>
    <n v="0"/>
    <n v="0"/>
    <n v="0"/>
    <n v="30.150000000000002"/>
    <n v="135.67500000000001"/>
    <n v="246.22499999999999"/>
    <n v="0"/>
    <n v="412.05"/>
    <n v="1234.7525000000001"/>
    <n v="0.74978784644788921"/>
    <s v="RIMAC"/>
    <s v="MEDIANO"/>
    <s v="Febrero"/>
    <n v="2020"/>
    <n v="9"/>
    <n v="1"/>
    <d v="2020-02-05T00:00:00"/>
    <s v="BDO197"/>
    <s v="HYUNDAI"/>
    <s v="ELANTRA"/>
    <s v="RIMAC SEGUROS  Y REASEGUROS S.A"/>
  </r>
  <r>
    <x v="18"/>
    <s v="FAC"/>
    <s v="005"/>
    <s v="00000073"/>
    <x v="72"/>
    <s v="ARP079"/>
    <d v="2019-10-21T00:00:00"/>
    <s v="20438563084"/>
    <s v="EDPYME ACCESO CREDITICIO SOCIEDAD ANONIMA"/>
    <s v="1201020001"/>
    <s v="PLANCHADO"/>
    <s v="000"/>
    <s v="001"/>
    <s v="CONTADO"/>
    <s v="001"/>
    <s v="PLANCHADO"/>
    <s v="S/."/>
    <n v="3.339"/>
    <n v="1"/>
    <n v="1575"/>
    <n v="1575"/>
    <n v="283.5"/>
    <n v="1858.5"/>
    <n v="1575"/>
    <d v="2020-02-15T00:00:00"/>
    <s v="005-00000392"/>
    <n v="2115.0000625000002"/>
    <n v="0"/>
    <n v="0"/>
    <n v="0"/>
    <n v="0"/>
    <n v="105.52500000000001"/>
    <n v="351.75"/>
    <n v="0"/>
    <n v="457.27499999999998"/>
    <n v="1657.7250625000001"/>
    <n v="0.78379433263019105"/>
    <s v="RIMAC"/>
    <s v="MEDIANO"/>
    <s v="Febrero"/>
    <n v="2020"/>
    <n v="5"/>
    <n v="1"/>
    <d v="2020-02-10T00:00:00"/>
    <s v="ATO331"/>
    <s v="MAZDA"/>
    <s v="CX5"/>
    <s v="RIMAC SEGUROS  Y REASEGUROS S.A"/>
  </r>
  <r>
    <x v="18"/>
    <s v="FAC"/>
    <s v="005"/>
    <s v="00000073"/>
    <x v="72"/>
    <s v="ARP079"/>
    <d v="2019-10-21T00:00:00"/>
    <s v="20438563084"/>
    <s v="EDPYME ACCESO CREDITICIO SOCIEDAD ANONIMA"/>
    <s v="2908010001"/>
    <s v="TERCEROS"/>
    <s v="000"/>
    <s v="001"/>
    <s v="CONTADO"/>
    <s v="002"/>
    <s v="MANTENIMIENTO-MECANICA"/>
    <s v="S/."/>
    <n v="3.339"/>
    <n v="1"/>
    <n v="820"/>
    <n v="820"/>
    <n v="147.59998000000007"/>
    <n v="967.59998000000007"/>
    <n v="820"/>
    <d v="2020-02-15T00:00:00"/>
    <s v="005-00000383"/>
    <n v="690.33602039999994"/>
    <n v="0"/>
    <n v="0"/>
    <n v="0"/>
    <n v="0"/>
    <n v="30.150000000000002"/>
    <n v="70.350000000000009"/>
    <n v="0"/>
    <n v="100.50000000000001"/>
    <n v="589.83602039999994"/>
    <n v="0.85441872214379389"/>
    <s v="RIMAC"/>
    <s v="LEVE"/>
    <s v="Febrero"/>
    <n v="2020"/>
    <n v="7"/>
    <n v="1"/>
    <d v="2020-02-08T00:00:00"/>
    <s v="AZS168"/>
    <s v="KIA"/>
    <s v="SPORTAGE"/>
    <s v="RIMAC SEGUROS  Y REASEGUROS S.A"/>
  </r>
  <r>
    <x v="18"/>
    <s v="FAC"/>
    <s v="005"/>
    <s v="00000073"/>
    <x v="72"/>
    <s v="ARP079"/>
    <d v="2019-10-21T00:00:00"/>
    <s v="20438563084"/>
    <s v="EDPYME ACCESO CREDITICIO SOCIEDAD ANONIMA"/>
    <s v="2805010001"/>
    <s v="SERVICIOS"/>
    <s v="000"/>
    <s v="001"/>
    <s v="CONTADO"/>
    <s v="002"/>
    <s v="MANTENIMIENTO-MECANICA"/>
    <s v="S/."/>
    <n v="3.339"/>
    <n v="1"/>
    <n v="568.75420999999994"/>
    <n v="568.75420999999994"/>
    <n v="102.37579000000005"/>
    <n v="671.13"/>
    <n v="568.75420999999994"/>
    <d v="2020-02-15T00:00:00"/>
    <s v="005-00000371"/>
    <n v="1913.6520565500002"/>
    <n v="0"/>
    <n v="0"/>
    <n v="252.55"/>
    <n v="0"/>
    <n v="90.45"/>
    <n v="316.57499999999999"/>
    <n v="0"/>
    <n v="659.57500000000005"/>
    <n v="1254.0770565500002"/>
    <n v="0.65533180509883016"/>
    <s v="RIMAC"/>
    <s v="LEVE"/>
    <s v="Febrero"/>
    <n v="2020"/>
    <n v="16"/>
    <n v="1"/>
    <d v="2020-01-30T00:00:00"/>
    <s v="BFO123"/>
    <s v="MAZDA"/>
    <s v="MAZDA 5 "/>
    <s v="RIMAC SEGUROS  Y REASEGUROS S.A"/>
  </r>
  <r>
    <x v="18"/>
    <s v="FAC"/>
    <s v="005"/>
    <s v="00000073"/>
    <x v="72"/>
    <s v="ARP079"/>
    <d v="2019-10-21T00:00:00"/>
    <s v="20438563084"/>
    <s v="EDPYME ACCESO CREDITICIO SOCIEDAD ANONIMA"/>
    <s v="320001"/>
    <s v="REPUESTOS"/>
    <s v="000"/>
    <s v="001"/>
    <s v="CONTADO"/>
    <s v="002"/>
    <s v="MANTENIMIENTO-MECANICA"/>
    <s v="S/."/>
    <n v="3.339"/>
    <n v="1"/>
    <n v="4212"/>
    <n v="4212"/>
    <n v="758.16020000000015"/>
    <n v="4970.1602000000003"/>
    <n v="4212"/>
    <d v="2020-02-15T00:00:00"/>
    <s v="005-00000381"/>
    <n v="710.64002100000005"/>
    <n v="0"/>
    <n v="0"/>
    <n v="0"/>
    <n v="0"/>
    <n v="30.150000000000002"/>
    <n v="70.350000000000009"/>
    <n v="0"/>
    <n v="100.50000000000001"/>
    <n v="610.14002100000005"/>
    <n v="0.85857818722539969"/>
    <s v="RIMAC"/>
    <s v="LEVE"/>
    <s v="Febrero"/>
    <n v="2020"/>
    <n v="9"/>
    <n v="1"/>
    <d v="2020-02-06T00:00:00"/>
    <s v="BFO123"/>
    <s v="MAZDA"/>
    <s v="MAZDA 5 "/>
    <s v="RIMAC SEGUROS  Y REASEGUROS S.A"/>
  </r>
  <r>
    <x v="18"/>
    <s v="FAC"/>
    <s v="005"/>
    <s v="00000074"/>
    <x v="73"/>
    <s v="AMJ333"/>
    <d v="2019-10-16T00:00:00"/>
    <s v="20438563084"/>
    <s v="EDPYME ACCESO CREDITICIO SOCIEDAD ANONIMA"/>
    <s v="1302020001"/>
    <s v="PINTURA"/>
    <s v="000"/>
    <s v="001"/>
    <s v="CONTADO"/>
    <s v="009"/>
    <s v="PINTURA"/>
    <s v="S/."/>
    <n v="3.339"/>
    <n v="1"/>
    <n v="2497.5"/>
    <n v="2497.5"/>
    <n v="449.55"/>
    <n v="2947.05"/>
    <n v="2497.5"/>
    <d v="2020-02-17T00:00:00"/>
    <s v="005-00000377"/>
    <n v="2777.4322948754207"/>
    <n v="0"/>
    <n v="0"/>
    <n v="0"/>
    <n v="0"/>
    <n v="271.35000000000002"/>
    <n v="281.40000000000003"/>
    <n v="0"/>
    <n v="552.75"/>
    <n v="2224.6822948754207"/>
    <n v="0.80098524777008362"/>
    <s v="RIMAC"/>
    <s v="GRAVE"/>
    <s v="Febrero"/>
    <n v="2020"/>
    <n v="13"/>
    <n v="1"/>
    <d v="2020-02-04T00:00:00"/>
    <s v="B4F196"/>
    <s v="VOLKWAGEN"/>
    <s v="PASSANT"/>
    <s v="RIMAC SEGUROS  Y REASEGUROS S.A"/>
  </r>
  <r>
    <x v="18"/>
    <s v="FAC"/>
    <s v="005"/>
    <s v="00000074"/>
    <x v="73"/>
    <s v="AMJ333"/>
    <d v="2019-10-16T00:00:00"/>
    <s v="20438563084"/>
    <s v="EDPYME ACCESO CREDITICIO SOCIEDAD ANONIMA"/>
    <s v="1201020001"/>
    <s v="PLANCHADO"/>
    <s v="000"/>
    <s v="001"/>
    <s v="CONTADO"/>
    <s v="001"/>
    <s v="PLANCHADO"/>
    <s v="S/."/>
    <n v="3.339"/>
    <n v="1"/>
    <n v="1610"/>
    <n v="1610"/>
    <n v="289.8"/>
    <n v="1899.8"/>
    <n v="1610"/>
    <d v="2020-02-17T00:00:00"/>
    <s v="005-00000346"/>
    <n v="372.24001100000004"/>
    <n v="0"/>
    <n v="0"/>
    <n v="169.49"/>
    <n v="45.225000000000001"/>
    <n v="0"/>
    <n v="0"/>
    <n v="0"/>
    <n v="214.715"/>
    <n v="157.52501100000003"/>
    <n v="0.42318129793951681"/>
    <s v="RIMAC"/>
    <s v="LEVE"/>
    <s v="Febrero"/>
    <n v="2020"/>
    <n v="27"/>
    <n v="1"/>
    <d v="2020-01-21T00:00:00"/>
    <s v="AVF200"/>
    <s v="VOLVO"/>
    <s v="S60"/>
    <s v="RIMAC SEGUROS  Y REASEGUROS S.A"/>
  </r>
  <r>
    <x v="18"/>
    <s v="FAC"/>
    <s v="005"/>
    <s v="00000074"/>
    <x v="73"/>
    <s v="AMJ333"/>
    <d v="2019-10-16T00:00:00"/>
    <s v="20438563084"/>
    <s v="EDPYME ACCESO CREDITICIO SOCIEDAD ANONIMA"/>
    <s v="2908010001"/>
    <s v="TERCEROS"/>
    <s v="000"/>
    <s v="001"/>
    <s v="CONTADO"/>
    <s v="002"/>
    <s v="MANTENIMIENTO-MECANICA"/>
    <s v="S/."/>
    <n v="3.339"/>
    <n v="1"/>
    <n v="750"/>
    <n v="750"/>
    <n v="135"/>
    <n v="885"/>
    <n v="750"/>
    <d v="2020-02-17T00:00:00"/>
    <s v="005-00000395"/>
    <n v="521.13601539999991"/>
    <n v="0"/>
    <n v="0"/>
    <n v="0"/>
    <n v="0"/>
    <n v="15.075000000000001"/>
    <n v="70.350000000000009"/>
    <n v="0"/>
    <n v="85.425000000000011"/>
    <n v="435.71101539999989"/>
    <n v="0.83607926246580422"/>
    <s v="RIMAC"/>
    <s v="LEVE"/>
    <s v="Febrero"/>
    <n v="2020"/>
    <n v="6"/>
    <n v="1"/>
    <d v="2020-02-11T00:00:00"/>
    <s v="ABI176"/>
    <s v="CHEVROLET"/>
    <s v="TRACKER"/>
    <s v="PROMUNE S.A.C"/>
  </r>
  <r>
    <x v="18"/>
    <s v="FAC"/>
    <s v="005"/>
    <s v="00000074"/>
    <x v="73"/>
    <s v="AMJ333"/>
    <d v="2019-10-16T00:00:00"/>
    <s v="20438563084"/>
    <s v="EDPYME ACCESO CREDITICIO SOCIEDAD ANONIMA"/>
    <s v="2805010001"/>
    <s v="SERVICIOS"/>
    <s v="000"/>
    <s v="001"/>
    <s v="CONTADO"/>
    <s v="002"/>
    <s v="MANTENIMIENTO-MECANICA"/>
    <s v="S/."/>
    <n v="3.339"/>
    <n v="1"/>
    <n v="813.75420999999972"/>
    <n v="813.75420999999972"/>
    <n v="146.47577000000035"/>
    <n v="960.22998000000007"/>
    <n v="813.75420999999972"/>
    <d v="2020-02-18T00:00:00"/>
    <s v="005-00000366"/>
    <n v="168.36821777542002"/>
    <n v="0"/>
    <n v="42.37"/>
    <n v="0"/>
    <n v="0"/>
    <n v="15.075000000000001"/>
    <n v="17.587500000000002"/>
    <n v="0"/>
    <n v="75.032499999999999"/>
    <n v="93.335717775420022"/>
    <n v="0.55435472922756124"/>
    <s v="RIMAC"/>
    <s v="LEVE"/>
    <s v="Febrero"/>
    <n v="2020"/>
    <n v="20"/>
    <n v="1"/>
    <d v="2020-01-29T00:00:00"/>
    <s v="BKW218"/>
    <s v="HONDA"/>
    <s v="PILOT"/>
    <s v="RIMAC SEGUROS  Y REASEGUROS S.A"/>
  </r>
  <r>
    <x v="18"/>
    <s v="FAC"/>
    <s v="005"/>
    <s v="00000074"/>
    <x v="73"/>
    <s v="AMJ333"/>
    <d v="2019-10-16T00:00:00"/>
    <s v="20438563084"/>
    <s v="EDPYME ACCESO CREDITICIO SOCIEDAD ANONIMA"/>
    <s v="320001"/>
    <s v="REPUESTOS"/>
    <s v="000"/>
    <s v="001"/>
    <s v="CONTADO"/>
    <s v="002"/>
    <s v="MANTENIMIENTO-MECANICA"/>
    <s v="S/."/>
    <n v="3.339"/>
    <n v="1"/>
    <n v="3921"/>
    <n v="3921"/>
    <n v="705.7797999999998"/>
    <n v="4626.7798000000003"/>
    <n v="3921"/>
    <d v="2020-02-19T00:00:00"/>
    <s v="005-00000411"/>
    <n v="807.21661996016996"/>
    <n v="0"/>
    <n v="0"/>
    <n v="0"/>
    <n v="0"/>
    <n v="30.150000000000002"/>
    <n v="140.70000000000002"/>
    <n v="0"/>
    <n v="170.85000000000002"/>
    <n v="636.36661996016994"/>
    <n v="0.78834677610028625"/>
    <s v="RIMAC"/>
    <s v="LEVE"/>
    <s v="Febrero"/>
    <n v="2020"/>
    <n v="2"/>
    <n v="1"/>
    <d v="2020-02-17T00:00:00"/>
    <s v="F1D251"/>
    <s v="SUBARU"/>
    <s v="NEW XV"/>
    <s v="RIMAC SEGUROS  Y REASEGUROS S.A"/>
  </r>
  <r>
    <x v="18"/>
    <s v="FAC"/>
    <s v="005"/>
    <s v="00000075"/>
    <x v="74"/>
    <s v="BDS657"/>
    <d v="2019-10-23T00:00:00"/>
    <s v="20438563084"/>
    <s v="EDPYME ACCESO CREDITICIO SOCIEDAD ANONIMA"/>
    <s v="1302020001"/>
    <s v="PINTURA"/>
    <s v="000"/>
    <s v="001"/>
    <s v="CONTADO"/>
    <s v="009"/>
    <s v="PINTURA"/>
    <s v="S/."/>
    <n v="3.339"/>
    <n v="1"/>
    <n v="1687.5"/>
    <n v="1687.5"/>
    <n v="303.75"/>
    <n v="1991.25"/>
    <n v="1687.5"/>
    <d v="2020-02-19T00:00:00"/>
    <s v="005-00000362"/>
    <n v="310.50770322966002"/>
    <n v="0"/>
    <n v="0"/>
    <n v="0"/>
    <n v="0"/>
    <n v="15.075000000000001"/>
    <n v="70.350000000000009"/>
    <n v="0"/>
    <n v="85.425000000000011"/>
    <n v="225.08270322966001"/>
    <n v="0.72488605238621939"/>
    <s v="RIMAC"/>
    <s v="LEVE"/>
    <s v="Febrero"/>
    <n v="2020"/>
    <n v="22"/>
    <n v="1"/>
    <d v="2020-01-28T00:00:00"/>
    <s v="F1D251"/>
    <s v="SUBARU"/>
    <s v="NEXU"/>
    <s v="RIMAC SEGUROS  Y REASEGUROS S.A"/>
  </r>
  <r>
    <x v="18"/>
    <s v="FAC"/>
    <s v="005"/>
    <s v="00000075"/>
    <x v="74"/>
    <s v="BDS657"/>
    <d v="2019-10-23T00:00:00"/>
    <s v="20438563084"/>
    <s v="EDPYME ACCESO CREDITICIO SOCIEDAD ANONIMA"/>
    <s v="1201020001"/>
    <s v="PLANCHADO"/>
    <s v="000"/>
    <s v="001"/>
    <s v="CONTADO"/>
    <s v="001"/>
    <s v="PLANCHADO"/>
    <s v="S/."/>
    <n v="3.339"/>
    <n v="1"/>
    <n v="560"/>
    <n v="560"/>
    <n v="100.79998999999997"/>
    <n v="660.79998999999998"/>
    <n v="560"/>
    <d v="2020-02-20T00:00:00"/>
    <s v="005-00000380"/>
    <n v="301.1760089"/>
    <n v="0"/>
    <n v="0"/>
    <n v="0"/>
    <n v="0"/>
    <n v="30.150000000000002"/>
    <n v="70.350000000000009"/>
    <n v="0"/>
    <n v="100.50000000000001"/>
    <n v="200.6760089"/>
    <n v="0.66630808221723536"/>
    <s v="RIMAC"/>
    <s v="LEVE"/>
    <s v="Febrero"/>
    <n v="2020"/>
    <n v="14"/>
    <n v="1"/>
    <d v="2020-02-06T00:00:00"/>
    <s v="BKS038"/>
    <s v="MAZDA"/>
    <s v="CX9"/>
    <s v="RIMAC SEGUROS  Y REASEGUROS S.A"/>
  </r>
  <r>
    <x v="18"/>
    <s v="FAC"/>
    <s v="005"/>
    <s v="00000075"/>
    <x v="74"/>
    <s v="BDS657"/>
    <d v="2019-10-23T00:00:00"/>
    <s v="20438563084"/>
    <s v="EDPYME ACCESO CREDITICIO SOCIEDAD ANONIMA"/>
    <s v="2908010001"/>
    <s v="TERCEROS"/>
    <s v="000"/>
    <s v="001"/>
    <s v="CONTADO"/>
    <s v="002"/>
    <s v="MANTENIMIENTO-MECANICA"/>
    <s v="S/."/>
    <n v="3.339"/>
    <n v="1"/>
    <n v="140"/>
    <n v="140"/>
    <n v="25.2"/>
    <n v="165.2"/>
    <n v="140"/>
    <d v="2020-02-20T00:00:00"/>
    <s v="005-00000396"/>
    <n v="856.1520253000001"/>
    <n v="0"/>
    <n v="0"/>
    <n v="0"/>
    <n v="0"/>
    <n v="60.300000000000004"/>
    <n v="140.70000000000002"/>
    <n v="0"/>
    <n v="201.00000000000003"/>
    <n v="655.1520253000001"/>
    <n v="0.76522861120422092"/>
    <s v="RIMAC"/>
    <s v="LEVE"/>
    <s v="Febrero"/>
    <n v="2020"/>
    <n v="8"/>
    <n v="1"/>
    <d v="2020-02-12T00:00:00"/>
    <s v="BKF172"/>
    <s v="MAZDA"/>
    <s v="MAZDA3"/>
    <s v="RIMAC SEGUROS  Y REASEGUROS S.A"/>
  </r>
  <r>
    <x v="18"/>
    <s v="FAC"/>
    <s v="005"/>
    <s v="00000075"/>
    <x v="74"/>
    <s v="BDS657"/>
    <d v="2019-10-23T00:00:00"/>
    <s v="20438563084"/>
    <s v="EDPYME ACCESO CREDITICIO SOCIEDAD ANONIMA"/>
    <s v="2805010001"/>
    <s v="SERVICIOS"/>
    <s v="000"/>
    <s v="001"/>
    <s v="CONTADO"/>
    <s v="002"/>
    <s v="MANTENIMIENTO-MECANICA"/>
    <s v="S/."/>
    <n v="3.339"/>
    <n v="1"/>
    <n v="323.75421"/>
    <n v="323.75420999999994"/>
    <n v="58.275790000000015"/>
    <n v="382.03"/>
    <n v="323.75420999999994"/>
    <d v="2020-02-21T00:00:00"/>
    <s v="005-00000330"/>
    <n v="2430.3679999999995"/>
    <n v="0"/>
    <n v="0"/>
    <n v="220.33999999999997"/>
    <n v="30.150000000000002"/>
    <n v="226.125"/>
    <n v="211.05"/>
    <n v="0"/>
    <n v="687.66499999999996"/>
    <n v="1742.7029999999995"/>
    <n v="0.71705313763183187"/>
    <s v="RIMAC"/>
    <s v="MEDIANO"/>
    <s v="Febrero"/>
    <n v="2020"/>
    <n v="37"/>
    <n v="1"/>
    <d v="2020-01-15T00:00:00"/>
    <s v="BDS618"/>
    <s v="JEEP"/>
    <s v="RENEGADE"/>
    <s v="RIMAC SEGUROS  Y REASEGUROS S.A"/>
  </r>
  <r>
    <x v="18"/>
    <s v="FAC"/>
    <s v="005"/>
    <s v="00000075"/>
    <x v="74"/>
    <s v="BDS657"/>
    <d v="2019-10-23T00:00:00"/>
    <s v="20438563084"/>
    <s v="EDPYME ACCESO CREDITICIO SOCIEDAD ANONIMA"/>
    <s v="320001"/>
    <s v="REPUESTOS"/>
    <s v="000"/>
    <s v="001"/>
    <s v="CONTADO"/>
    <s v="002"/>
    <s v="MANTENIMIENTO-MECANICA"/>
    <s v="S/."/>
    <n v="3.339"/>
    <n v="1"/>
    <n v="1230"/>
    <n v="1230"/>
    <n v="221.4"/>
    <n v="1451.4"/>
    <n v="1230"/>
    <d v="2020-02-21T00:00:00"/>
    <s v="005-00000408"/>
    <n v="909.05600000000004"/>
    <n v="0"/>
    <n v="0"/>
    <n v="0"/>
    <n v="0"/>
    <n v="105.52500000000001"/>
    <n v="175.875"/>
    <n v="0"/>
    <n v="281.39999999999998"/>
    <n v="627.65600000000006"/>
    <n v="0.69044811320754718"/>
    <s v="RIMAC"/>
    <s v="LEVE"/>
    <s v="Febrero"/>
    <n v="2020"/>
    <n v="4"/>
    <n v="1"/>
    <d v="2020-02-17T00:00:00"/>
    <s v="C4R002"/>
    <s v="KIA"/>
    <s v="SPORTAGE"/>
    <s v="RIMAC SEGUROS  Y REASEGUROS S.A"/>
  </r>
  <r>
    <x v="18"/>
    <s v="FAC"/>
    <s v="005"/>
    <s v="00000076"/>
    <x v="75"/>
    <s v="ARI452"/>
    <d v="2019-10-24T00:00:00"/>
    <s v="20438563084"/>
    <s v="EDPYME ACCESO CREDITICIO SOCIEDAD ANONIMA"/>
    <s v="1302020001"/>
    <s v="PINTURA"/>
    <s v="000"/>
    <s v="001"/>
    <s v="CONTADO"/>
    <s v="009"/>
    <s v="PINTURA"/>
    <s v="S/."/>
    <n v="3.339"/>
    <n v="1"/>
    <n v="1957.5"/>
    <n v="1957.5"/>
    <n v="352.35010000000011"/>
    <n v="2309.8501000000001"/>
    <n v="1957.5"/>
    <d v="2020-02-21T00:00:00"/>
    <s v="005-00000393"/>
    <n v="1482.3039999999999"/>
    <n v="0"/>
    <n v="0"/>
    <n v="0"/>
    <n v="30.150000000000002"/>
    <n v="105.52500000000001"/>
    <n v="351.75"/>
    <n v="0"/>
    <n v="487.42500000000001"/>
    <n v="994.87899999999991"/>
    <n v="0.67117069103233884"/>
    <s v="RIMAC"/>
    <s v="MEDIANO"/>
    <s v="Febrero"/>
    <n v="2020"/>
    <n v="11"/>
    <n v="1"/>
    <d v="2020-02-10T00:00:00"/>
    <s v="V4K291"/>
    <s v="TOYOTA"/>
    <s v="COROLLA"/>
    <s v="RIMAC SEGUROS  Y REASEGUROS S.A"/>
  </r>
  <r>
    <x v="18"/>
    <s v="FAC"/>
    <s v="005"/>
    <s v="00000076"/>
    <x v="75"/>
    <s v="ARI452"/>
    <d v="2019-10-24T00:00:00"/>
    <s v="20438563084"/>
    <s v="EDPYME ACCESO CREDITICIO SOCIEDAD ANONIMA"/>
    <s v="1201020001"/>
    <s v="PLANCHADO"/>
    <s v="000"/>
    <s v="001"/>
    <s v="CONTADO"/>
    <s v="001"/>
    <s v="PLANCHADO"/>
    <s v="S/."/>
    <n v="3.339"/>
    <n v="1"/>
    <n v="1085"/>
    <n v="1085"/>
    <n v="195.3"/>
    <n v="1280.3"/>
    <n v="1085"/>
    <d v="2020-02-22T00:00:00"/>
    <s v="005-00000406"/>
    <n v="50.9100015"/>
    <n v="0"/>
    <n v="0"/>
    <n v="0"/>
    <n v="0"/>
    <n v="286.42500000000001"/>
    <n v="386.92500000000001"/>
    <n v="0"/>
    <n v="673.35"/>
    <n v="-622.4399985"/>
    <n v="-12.226281283845573"/>
    <s v="C.C"/>
    <s v="LEVE"/>
    <s v="Febrero"/>
    <n v="2020"/>
    <n v="7"/>
    <n v="1"/>
    <d v="2020-02-15T00:00:00"/>
    <s v="AXW530"/>
    <s v="AUDI"/>
    <s v="Q5"/>
    <s v="RIMAC SEGUROS  Y REASEGUROS S.A"/>
  </r>
  <r>
    <x v="18"/>
    <s v="FAC"/>
    <s v="005"/>
    <s v="00000076"/>
    <x v="75"/>
    <s v="ARI452"/>
    <d v="2019-10-24T00:00:00"/>
    <s v="20438563084"/>
    <s v="EDPYME ACCESO CREDITICIO SOCIEDAD ANONIMA"/>
    <s v="2908010001"/>
    <s v="TERCEROS"/>
    <s v="000"/>
    <s v="001"/>
    <s v="CONTADO"/>
    <s v="002"/>
    <s v="MANTENIMIENTO-MECANICA"/>
    <s v="S/."/>
    <n v="3.339"/>
    <n v="1"/>
    <n v="870"/>
    <n v="870"/>
    <n v="156.59999999999985"/>
    <n v="1026.5999999999999"/>
    <n v="870"/>
    <d v="2020-02-22T00:00:00"/>
    <s v="005-00000430"/>
    <n v="290"/>
    <n v="0"/>
    <n v="0"/>
    <n v="169.49"/>
    <n v="0"/>
    <n v="0"/>
    <n v="0"/>
    <n v="0"/>
    <n v="169.49"/>
    <n v="120.50999999999999"/>
    <n v="0.41555172413793101"/>
    <s v="ACCESO"/>
    <s v="MECANICA"/>
    <s v="Febrero"/>
    <n v="2020"/>
    <n v="2"/>
    <n v="1"/>
    <d v="2020-02-20T00:00:00"/>
    <s v="F0B164"/>
    <s v="S/MARCA"/>
    <s v="S/MODELO"/>
    <s v="EDPYME ACCESO CREDITICIO SOCIEDAD ANONIMA"/>
  </r>
  <r>
    <x v="18"/>
    <s v="FAC"/>
    <s v="005"/>
    <s v="00000076"/>
    <x v="75"/>
    <s v="ARI452"/>
    <d v="2019-10-24T00:00:00"/>
    <s v="20438563084"/>
    <s v="EDPYME ACCESO CREDITICIO SOCIEDAD ANONIMA"/>
    <s v="2805010001"/>
    <s v="SERVICIOS"/>
    <s v="000"/>
    <s v="001"/>
    <s v="CONTADO"/>
    <s v="002"/>
    <s v="MANTENIMIENTO-MECANICA"/>
    <s v="S/."/>
    <n v="3.339"/>
    <n v="1"/>
    <n v="708.75420999999972"/>
    <n v="708.75420999999972"/>
    <n v="127.57581000000006"/>
    <n v="836.33001999999976"/>
    <n v="708.75420999999972"/>
    <d v="2020-02-22T00:00:00"/>
    <s v="005-00000382"/>
    <n v="1601.9680472"/>
    <n v="0"/>
    <n v="0"/>
    <n v="0"/>
    <n v="0"/>
    <n v="97.987499999999997"/>
    <n v="211.05"/>
    <n v="0"/>
    <n v="309.03750000000002"/>
    <n v="1292.9305472000001"/>
    <n v="0.80708884890672372"/>
    <s v="RIMAC"/>
    <s v="MEDIANO"/>
    <s v="Febrero"/>
    <n v="2020"/>
    <n v="15"/>
    <n v="1"/>
    <d v="2020-02-07T00:00:00"/>
    <s v="BHG013"/>
    <s v="SSAN YONG"/>
    <s v="RODIOUS"/>
    <s v="RIMAC SEGUROS  Y REASEGUROS S.A"/>
  </r>
  <r>
    <x v="18"/>
    <s v="FAC"/>
    <s v="005"/>
    <s v="00000076"/>
    <x v="75"/>
    <s v="ARI452"/>
    <d v="2019-10-24T00:00:00"/>
    <s v="20438563084"/>
    <s v="EDPYME ACCESO CREDITICIO SOCIEDAD ANONIMA"/>
    <s v="320001"/>
    <s v="REPUESTOS"/>
    <s v="000"/>
    <s v="001"/>
    <s v="CONTADO"/>
    <s v="002"/>
    <s v="MANTENIMIENTO-MECANICA"/>
    <s v="S/."/>
    <n v="3.339"/>
    <n v="1"/>
    <n v="3500"/>
    <n v="3500"/>
    <n v="630"/>
    <n v="4130"/>
    <n v="3500"/>
    <d v="2020-02-24T00:00:00"/>
    <s v="005-00000386"/>
    <n v="3438.9848900654215"/>
    <n v="0"/>
    <n v="0"/>
    <n v="0"/>
    <n v="30.150000000000002"/>
    <n v="241.20000000000002"/>
    <n v="474.86250000000001"/>
    <n v="0"/>
    <n v="746.21250000000009"/>
    <n v="2692.7723900654214"/>
    <n v="0.78301373112872141"/>
    <s v="RIMAC"/>
    <s v="GRAVE"/>
    <s v="Febrero"/>
    <n v="2020"/>
    <n v="14"/>
    <n v="1"/>
    <d v="2020-02-10T00:00:00"/>
    <s v="D9G573"/>
    <s v="HYUNDAI"/>
    <s v="TUCSON"/>
    <s v="RIMAC SEGUROS  Y REASEGUROS S.A"/>
  </r>
  <r>
    <x v="18"/>
    <s v="FAC"/>
    <s v="005"/>
    <s v="00000077"/>
    <x v="71"/>
    <s v="A1M006"/>
    <d v="2019-10-25T00:00:00"/>
    <s v="20100041953"/>
    <s v="RIMAC SEGUROS  Y REASEGUROS S.A"/>
    <s v="1302020001"/>
    <s v="PINTURA"/>
    <s v="000"/>
    <s v="001"/>
    <s v="CONTADO"/>
    <s v="009"/>
    <s v="PINTURA"/>
    <s v="$"/>
    <n v="3.339"/>
    <n v="1"/>
    <n v="177"/>
    <n v="177"/>
    <n v="31.86"/>
    <n v="208.86"/>
    <n v="591.00300000000004"/>
    <d v="2020-02-24T00:00:00"/>
    <s v="005-00000409"/>
    <n v="1062.3220313000002"/>
    <n v="0"/>
    <n v="0"/>
    <n v="0"/>
    <n v="0"/>
    <n v="120.60000000000001"/>
    <n v="140.70000000000002"/>
    <n v="0"/>
    <n v="261.3"/>
    <n v="801.02203130000021"/>
    <n v="0.75402938816938769"/>
    <s v="RIMAC"/>
    <s v="MEDIANO"/>
    <s v="Febrero"/>
    <n v="2020"/>
    <n v="7"/>
    <n v="1"/>
    <d v="2020-02-17T00:00:00"/>
    <s v="BBM137"/>
    <s v="SUBARU"/>
    <s v="NEW XV"/>
    <s v="RIMAC SEGUROS  Y REASEGUROS S.A"/>
  </r>
  <r>
    <x v="18"/>
    <s v="FAC"/>
    <s v="005"/>
    <s v="00000077"/>
    <x v="71"/>
    <s v="A1M006"/>
    <d v="2019-10-25T00:00:00"/>
    <s v="20100041953"/>
    <s v="RIMAC SEGUROS  Y REASEGUROS S.A"/>
    <s v="1201020001"/>
    <s v="PLANCHADO"/>
    <s v="000"/>
    <s v="001"/>
    <s v="CONTADO"/>
    <s v="001"/>
    <s v="PLANCHADO"/>
    <s v="$"/>
    <n v="3.339"/>
    <n v="1"/>
    <n v="90"/>
    <n v="90"/>
    <n v="16.2"/>
    <n v="106.2"/>
    <n v="300.51"/>
    <d v="2020-02-25T00:00:00"/>
    <s v="005-00000399"/>
    <n v="1501.1640000000002"/>
    <n v="0"/>
    <n v="0"/>
    <n v="0"/>
    <n v="0"/>
    <n v="0"/>
    <n v="0"/>
    <n v="0"/>
    <n v="0"/>
    <n v="1501.1640000000002"/>
    <n v="1"/>
    <s v="RIMAC"/>
    <s v="MEDIANO"/>
    <s v="Febrero"/>
    <n v="2020"/>
    <n v="12"/>
    <n v="1"/>
    <d v="2020-02-13T00:00:00"/>
    <s v="AFW077"/>
    <s v="S/MARCA"/>
    <s v="S/MODELO"/>
    <s v="RIMAC SEGUROS  Y REASEGUROS S.A"/>
  </r>
  <r>
    <x v="18"/>
    <s v="FAC"/>
    <s v="005"/>
    <s v="00000077"/>
    <x v="71"/>
    <s v="A1M006"/>
    <d v="2019-10-25T00:00:00"/>
    <s v="20100041953"/>
    <s v="RIMAC SEGUROS  Y REASEGUROS S.A"/>
    <s v="2908010001"/>
    <s v="TERCEROS"/>
    <s v="000"/>
    <s v="001"/>
    <s v="CONTADO"/>
    <s v="002"/>
    <s v="MANTENIMIENTO-MECANICA"/>
    <s v="$"/>
    <n v="3.339"/>
    <n v="1"/>
    <n v="35"/>
    <n v="35"/>
    <n v="6.299998999999989"/>
    <n v="41.299998999999985"/>
    <n v="116.86499999999999"/>
    <d v="2020-02-25T00:00:00"/>
    <s v="005-00000400"/>
    <n v="1911.346"/>
    <n v="0"/>
    <n v="0"/>
    <n v="0"/>
    <n v="0"/>
    <n v="211.05"/>
    <n v="246.22499999999999"/>
    <n v="0"/>
    <n v="457.27499999999998"/>
    <n v="1454.0709999999999"/>
    <n v="0.76075760223423694"/>
    <s v="RIMAC"/>
    <s v="GRAVE"/>
    <s v="Febrero"/>
    <n v="2020"/>
    <n v="11"/>
    <n v="1"/>
    <d v="2020-02-14T00:00:00"/>
    <s v="AFX260"/>
    <s v="SUZUKI"/>
    <s v="SCROOS"/>
    <s v="RIMAC SEGUROS  Y REASEGUROS S.A"/>
  </r>
  <r>
    <x v="18"/>
    <s v="FAC"/>
    <s v="005"/>
    <s v="00000077"/>
    <x v="71"/>
    <s v="A1M006"/>
    <d v="2019-10-25T00:00:00"/>
    <s v="20100041953"/>
    <s v="RIMAC SEGUROS  Y REASEGUROS S.A"/>
    <s v="310120"/>
    <s v="FRANQUICIA"/>
    <s v="000"/>
    <s v="001"/>
    <s v="CONTADO"/>
    <s v="002"/>
    <s v="MANTENIMIENTO-MECANICA"/>
    <s v="$"/>
    <n v="3.339"/>
    <n v="-1"/>
    <n v="100"/>
    <n v="-100"/>
    <n v="-18"/>
    <n v="-118"/>
    <n v="-333.9"/>
    <d v="2020-02-26T00:00:00"/>
    <s v="005-00000337"/>
    <n v="1648.02"/>
    <n v="0"/>
    <n v="0"/>
    <n v="33.9"/>
    <n v="0"/>
    <n v="120.60000000000001"/>
    <n v="246.22499999999999"/>
    <n v="0"/>
    <n v="400.72500000000002"/>
    <n v="1247.2950000000001"/>
    <n v="0.75684457712891839"/>
    <s v="RIMAC"/>
    <s v="MEDIANO"/>
    <s v="Febrero"/>
    <n v="2020"/>
    <n v="41"/>
    <n v="1"/>
    <d v="2020-01-16T00:00:00"/>
    <s v="M3K474"/>
    <s v="TOYOTA"/>
    <s v="RAV 4"/>
    <s v="RIMAC SEGUROS  Y REASEGUROS S.A"/>
  </r>
  <r>
    <x v="18"/>
    <s v="FAC"/>
    <s v="005"/>
    <s v="00000077"/>
    <x v="71"/>
    <s v="A1M006"/>
    <d v="2019-10-25T00:00:00"/>
    <s v="20100041953"/>
    <s v="RIMAC SEGUROS  Y REASEGUROS S.A"/>
    <s v="320001"/>
    <s v="REPUESTOS"/>
    <s v="000"/>
    <s v="001"/>
    <s v="CONTADO"/>
    <s v="002"/>
    <s v="MANTENIMIENTO-MECANICA"/>
    <s v="$"/>
    <n v="3.339"/>
    <n v="1"/>
    <n v="0"/>
    <n v="0"/>
    <n v="0"/>
    <n v="0"/>
    <n v="0"/>
    <d v="2020-02-26T00:00:00"/>
    <s v="005-00000200"/>
    <n v="3772.74"/>
    <n v="0"/>
    <n v="0"/>
    <n v="101.69"/>
    <n v="60.300000000000004"/>
    <n v="331.65000000000003"/>
    <n v="422.1"/>
    <n v="0"/>
    <n v="915.74"/>
    <n v="2857"/>
    <n v="0.75727455377258968"/>
    <s v="RIMAC"/>
    <s v="GRAVE"/>
    <s v="Febrero"/>
    <n v="2020"/>
    <n v="96"/>
    <n v="1"/>
    <d v="2019-11-22T00:00:00"/>
    <s v="A4H567"/>
    <s v="CITROEN"/>
    <s v="C4"/>
    <s v="RIMAC SEGUROS  Y REASEGUROS S.A"/>
  </r>
  <r>
    <x v="19"/>
    <s v="FAC"/>
    <s v="005"/>
    <s v="00000078"/>
    <x v="76"/>
    <s v="BEV036"/>
    <d v="2019-10-16T00:00:00"/>
    <s v="20438563084"/>
    <s v="EDPYME ACCESO CREDITICIO SOCIEDAD ANONIMA"/>
    <s v="1302020001"/>
    <s v="PINTURA"/>
    <s v="000"/>
    <s v="001"/>
    <s v="CONTADO"/>
    <s v="009"/>
    <s v="PINTURA"/>
    <s v="S/."/>
    <n v="3.3410001"/>
    <n v="1"/>
    <n v="1485"/>
    <n v="1485"/>
    <n v="267.3"/>
    <n v="1752.3"/>
    <n v="1485"/>
    <d v="2020-02-26T00:00:00"/>
    <s v="005-00000407"/>
    <n v="1384.1324999999999"/>
    <n v="0"/>
    <n v="0"/>
    <n v="0"/>
    <n v="0"/>
    <n v="90.45"/>
    <n v="246.22499999999999"/>
    <n v="0"/>
    <n v="336.67500000000001"/>
    <n v="1047.4575"/>
    <n v="0.7567610037333854"/>
    <s v="RIMAC"/>
    <s v="LEVE"/>
    <s v="Febrero"/>
    <n v="2020"/>
    <n v="11"/>
    <n v="1"/>
    <d v="2020-02-15T00:00:00"/>
    <s v="ANL279"/>
    <s v="HYUNDAI"/>
    <s v="ACCENT"/>
    <s v="RIMAC SEGUROS  Y REASEGUROS S.A"/>
  </r>
  <r>
    <x v="19"/>
    <s v="FAC"/>
    <s v="005"/>
    <s v="00000078"/>
    <x v="76"/>
    <s v="BEV036"/>
    <d v="2019-10-16T00:00:00"/>
    <s v="20438563084"/>
    <s v="EDPYME ACCESO CREDITICIO SOCIEDAD ANONIMA"/>
    <s v="1201020001"/>
    <s v="PLANCHADO"/>
    <s v="000"/>
    <s v="001"/>
    <s v="CONTADO"/>
    <s v="001"/>
    <s v="PLANCHADO"/>
    <s v="S/."/>
    <n v="3.3410001"/>
    <n v="1"/>
    <n v="770"/>
    <n v="770"/>
    <n v="138.59998000000007"/>
    <n v="908.59998000000007"/>
    <n v="770"/>
    <d v="2020-02-14T00:00:00"/>
    <s v="005-00000387"/>
    <n v="297.88"/>
    <n v="0"/>
    <n v="0"/>
    <n v="0"/>
    <n v="0"/>
    <n v="0"/>
    <n v="0"/>
    <n v="0"/>
    <n v="0"/>
    <n v="297.88"/>
    <n v="1"/>
    <s v="C.C"/>
    <s v="MECANICA"/>
    <s v="Febrero"/>
    <n v="2020"/>
    <n v="4"/>
    <n v="1"/>
    <d v="2020-02-10T00:00:00"/>
    <s v="C3N598"/>
    <s v="S/MARCA"/>
    <s v="S/MODELO"/>
    <s v="RUIZ PALACIOS ANGEL GUSTAVO"/>
  </r>
  <r>
    <x v="19"/>
    <s v="FAC"/>
    <s v="005"/>
    <s v="00000078"/>
    <x v="76"/>
    <s v="BEV036"/>
    <d v="2019-10-16T00:00:00"/>
    <s v="20438563084"/>
    <s v="EDPYME ACCESO CREDITICIO SOCIEDAD ANONIMA"/>
    <s v="2908010001"/>
    <s v="TERCEROS"/>
    <s v="000"/>
    <s v="001"/>
    <s v="CONTADO"/>
    <s v="002"/>
    <s v="MANTENIMIENTO-MECANICA"/>
    <s v="S/."/>
    <n v="3.3410001"/>
    <n v="1"/>
    <n v="450"/>
    <n v="450"/>
    <n v="81"/>
    <n v="531"/>
    <n v="450"/>
    <d v="2020-02-14T00:00:00"/>
    <s v="005-00000388"/>
    <n v="279"/>
    <n v="159.07990009999997"/>
    <n v="0"/>
    <n v="0"/>
    <n v="70.40025"/>
    <n v="0"/>
    <n v="0"/>
    <n v="0"/>
    <n v="229.48015009999997"/>
    <n v="49.519849900000025"/>
    <n v="0.17749050143369186"/>
    <s v="C.C"/>
    <s v="MECANICA"/>
    <s v="Febrero"/>
    <n v="2020"/>
    <n v="4"/>
    <n v="1"/>
    <d v="2020-02-10T00:00:00"/>
    <s v="C3N598"/>
    <s v="NISSAN"/>
    <s v="TIIDA"/>
    <s v="RUIZ PALACIOS ANGEL GUSTAVO"/>
  </r>
  <r>
    <x v="19"/>
    <s v="FAC"/>
    <s v="005"/>
    <s v="00000078"/>
    <x v="76"/>
    <s v="BEV036"/>
    <d v="2019-10-16T00:00:00"/>
    <s v="20438563084"/>
    <s v="EDPYME ACCESO CREDITICIO SOCIEDAD ANONIMA"/>
    <s v="2805010001"/>
    <s v="SERVICIOS"/>
    <s v="000"/>
    <s v="001"/>
    <s v="CONTADO"/>
    <s v="002"/>
    <s v="MANTENIMIENTO-MECANICA"/>
    <s v="S/."/>
    <n v="3.3410001"/>
    <n v="1"/>
    <n v="323.75421"/>
    <n v="323.75420999999994"/>
    <n v="58.275790000000015"/>
    <n v="382.03"/>
    <n v="323.75420999999994"/>
    <d v="2020-02-14T00:00:00"/>
    <s v="005-00000391"/>
    <n v="358.58050038499994"/>
    <n v="0"/>
    <n v="0"/>
    <n v="0"/>
    <n v="0"/>
    <n v="15.075000000000001"/>
    <n v="70.350000000000009"/>
    <n v="0"/>
    <n v="85.425000000000011"/>
    <n v="273.15550038499993"/>
    <n v="0.76176897542314459"/>
    <s v="C.C"/>
    <s v="LEVE"/>
    <s v="Febrero"/>
    <n v="2020"/>
    <n v="4"/>
    <n v="1"/>
    <d v="2020-02-10T00:00:00"/>
    <s v="AWJ049"/>
    <s v="RENAULT"/>
    <s v="DUSTER"/>
    <s v="VALENZUELA IZURRIETA SILVIA"/>
  </r>
  <r>
    <x v="19"/>
    <s v="FAC"/>
    <s v="005"/>
    <s v="00000078"/>
    <x v="76"/>
    <s v="BEV036"/>
    <d v="2019-10-16T00:00:00"/>
    <s v="20438563084"/>
    <s v="EDPYME ACCESO CREDITICIO SOCIEDAD ANONIMA"/>
    <s v="320001"/>
    <s v="REPUESTOS"/>
    <s v="000"/>
    <s v="001"/>
    <s v="CONTADO"/>
    <s v="002"/>
    <s v="MANTENIMIENTO-MECANICA"/>
    <s v="S/."/>
    <n v="3.3410001"/>
    <n v="1"/>
    <n v="4204"/>
    <n v="4204"/>
    <n v="756.72019999999964"/>
    <n v="4960.7201999999997"/>
    <n v="4204"/>
    <d v="2020-02-15T00:00:00"/>
    <s v="005-00000394"/>
    <n v="33.898400000000002"/>
    <n v="0"/>
    <n v="0"/>
    <n v="0"/>
    <n v="0"/>
    <n v="0"/>
    <n v="0"/>
    <n v="0"/>
    <n v="0"/>
    <n v="33.898400000000002"/>
    <n v="1"/>
    <s v="C.C"/>
    <s v="MECANICA"/>
    <s v="Febrero"/>
    <n v="2020"/>
    <n v="4"/>
    <n v="1"/>
    <d v="2020-02-11T00:00:00"/>
    <s v="BFO123"/>
    <s v="S/MARCA"/>
    <s v="S/MODELO"/>
    <s v="DE LA CRUZ TENORIO JULIAN"/>
  </r>
  <r>
    <x v="19"/>
    <s v="FAC"/>
    <s v="005"/>
    <s v="00000079"/>
    <x v="77"/>
    <s v="ARV341"/>
    <d v="2019-10-29T00:00:00"/>
    <s v="20100041953"/>
    <s v="RIMAC SEGUROS  Y REASEGUROS S.A"/>
    <s v="1302020001"/>
    <s v="PINTURA"/>
    <s v="000"/>
    <s v="001"/>
    <s v="CONTADO"/>
    <s v="009"/>
    <s v="PINTURA"/>
    <s v="$"/>
    <n v="3.3410001"/>
    <n v="1"/>
    <n v="236"/>
    <n v="236"/>
    <n v="42.48001"/>
    <n v="278.48000999999999"/>
    <n v="788.47602359999996"/>
    <d v="2020-02-17T00:00:00"/>
    <s v="005-00000398"/>
    <n v="25.423700000000004"/>
    <n v="0"/>
    <n v="0"/>
    <n v="0"/>
    <n v="0"/>
    <n v="0"/>
    <n v="0"/>
    <n v="0"/>
    <n v="0"/>
    <n v="25.423700000000004"/>
    <n v="1"/>
    <s v="C.C"/>
    <s v="MECANICA"/>
    <s v="Febrero"/>
    <n v="2020"/>
    <n v="4"/>
    <n v="1"/>
    <d v="2020-02-13T00:00:00"/>
    <s v="AVF200"/>
    <s v="S/MARCA"/>
    <s v="S/MODELO"/>
    <s v="GALLESE D ANGELO STEFANO"/>
  </r>
  <r>
    <x v="19"/>
    <s v="FAC"/>
    <s v="005"/>
    <s v="00000079"/>
    <x v="77"/>
    <s v="ARV341"/>
    <d v="2019-10-29T00:00:00"/>
    <s v="20100041953"/>
    <s v="RIMAC SEGUROS  Y REASEGUROS S.A"/>
    <s v="1201020001"/>
    <s v="PLANCHADO"/>
    <s v="000"/>
    <s v="001"/>
    <s v="CONTADO"/>
    <s v="001"/>
    <s v="PLANCHADO"/>
    <s v="$"/>
    <n v="3.3410001"/>
    <n v="1"/>
    <n v="390"/>
    <n v="390"/>
    <n v="70.200010000000105"/>
    <n v="460.20001000000013"/>
    <n v="1302.990039"/>
    <d v="2020-02-17T00:00:00"/>
    <s v="005-00000404"/>
    <n v="338.40001000000001"/>
    <n v="0"/>
    <n v="0"/>
    <n v="0"/>
    <n v="0"/>
    <n v="0"/>
    <n v="0"/>
    <n v="0"/>
    <n v="0"/>
    <n v="338.40001000000001"/>
    <n v="1"/>
    <s v="C.C"/>
    <s v="MECANICA"/>
    <s v="Febrero"/>
    <n v="2020"/>
    <n v="2"/>
    <n v="1"/>
    <d v="2020-02-15T00:00:00"/>
    <s v="AVF200"/>
    <s v="S/MARCA"/>
    <s v="S/MODELO"/>
    <s v="GALLESE D ANGELO STEFANO"/>
  </r>
  <r>
    <x v="19"/>
    <s v="FAC"/>
    <s v="005"/>
    <s v="00000079"/>
    <x v="77"/>
    <s v="ARV341"/>
    <d v="2019-10-29T00:00:00"/>
    <s v="20100041953"/>
    <s v="RIMAC SEGUROS  Y REASEGUROS S.A"/>
    <s v="2908010001"/>
    <s v="TERCEROS"/>
    <s v="000"/>
    <s v="001"/>
    <s v="CONTADO"/>
    <s v="002"/>
    <s v="MANTENIMIENTO-MECANICA"/>
    <s v="$"/>
    <n v="3.3410001"/>
    <n v="1"/>
    <n v="65"/>
    <n v="65"/>
    <n v="11.699996999999994"/>
    <n v="76.699996999999996"/>
    <n v="217.1650065"/>
    <d v="2020-02-19T00:00:00"/>
    <s v="005-00000414"/>
    <n v="1084.7542000000003"/>
    <n v="0"/>
    <n v="0"/>
    <n v="0"/>
    <n v="0"/>
    <n v="0"/>
    <n v="0"/>
    <n v="0"/>
    <n v="0"/>
    <n v="1084.7542000000003"/>
    <n v="1"/>
    <s v="C.C"/>
    <s v="MECANICA"/>
    <s v="Febrero"/>
    <n v="2020"/>
    <n v="1"/>
    <n v="1"/>
    <d v="2020-02-18T00:00:00"/>
    <s v="BEE120"/>
    <s v="S/MARCA"/>
    <s v="S/MODELO"/>
    <s v="RENE PARLONA ALVARADO"/>
  </r>
  <r>
    <x v="19"/>
    <s v="FAC"/>
    <s v="005"/>
    <s v="00000079"/>
    <x v="77"/>
    <s v="ARV341"/>
    <d v="2019-10-29T00:00:00"/>
    <s v="20100041953"/>
    <s v="RIMAC SEGUROS  Y REASEGUROS S.A"/>
    <s v="2805010001"/>
    <s v="SERVICIOS"/>
    <s v="000"/>
    <s v="001"/>
    <s v="CONTADO"/>
    <s v="002"/>
    <s v="MANTENIMIENTO-MECANICA"/>
    <s v="$"/>
    <n v="3.3410001"/>
    <n v="1"/>
    <n v="15"/>
    <n v="15"/>
    <n v="2.7000009999999999"/>
    <n v="17.700001"/>
    <n v="50.115001499999998"/>
    <d v="2020-02-19T00:00:00"/>
    <s v="005-00000422"/>
    <n v="286.97772626857966"/>
    <n v="0"/>
    <n v="0"/>
    <n v="0"/>
    <n v="0"/>
    <n v="0"/>
    <n v="0"/>
    <n v="0"/>
    <n v="0"/>
    <n v="286.97772626857966"/>
    <n v="1"/>
    <s v="C.C"/>
    <s v="MECANICA"/>
    <s v="Febrero"/>
    <n v="2020"/>
    <n v="0"/>
    <n v="1"/>
    <d v="2020-02-19T00:00:00"/>
    <s v="BEE120"/>
    <s v="CHERY"/>
    <s v="QQ"/>
    <s v="RENE PARLONA ALVARADO"/>
  </r>
  <r>
    <x v="19"/>
    <s v="FAC"/>
    <s v="005"/>
    <s v="00000079"/>
    <x v="77"/>
    <s v="ARV341"/>
    <d v="2019-10-29T00:00:00"/>
    <s v="20100041953"/>
    <s v="RIMAC SEGUROS  Y REASEGUROS S.A"/>
    <s v="310120"/>
    <s v="FRANQUICIA"/>
    <s v="000"/>
    <s v="001"/>
    <s v="CONTADO"/>
    <s v="002"/>
    <s v="MANTENIMIENTO-MECANICA"/>
    <s v="$"/>
    <n v="3.3410001"/>
    <n v="-1"/>
    <n v="100"/>
    <n v="-100"/>
    <n v="-18"/>
    <n v="-118"/>
    <n v="-334.10001"/>
    <d v="2020-02-20T00:00:00"/>
    <s v="005-00000420"/>
    <n v="101.520003"/>
    <n v="0"/>
    <n v="0"/>
    <n v="0"/>
    <n v="0"/>
    <n v="0"/>
    <n v="35.175000000000004"/>
    <n v="0"/>
    <n v="35.175000000000004"/>
    <n v="66.345002999999991"/>
    <n v="0.65351655870222924"/>
    <s v="C.C"/>
    <s v="LEVE"/>
    <s v="Febrero"/>
    <n v="2020"/>
    <n v="1"/>
    <n v="1"/>
    <d v="2020-02-19T00:00:00"/>
    <s v="BKS038"/>
    <s v="MAZDA"/>
    <s v="CX9"/>
    <s v="KELLY SANTOS TRUJILLO"/>
  </r>
  <r>
    <x v="19"/>
    <s v="FAC"/>
    <s v="005"/>
    <s v="00000079"/>
    <x v="77"/>
    <s v="ARV341"/>
    <d v="2019-10-29T00:00:00"/>
    <s v="20100041953"/>
    <s v="RIMAC SEGUROS  Y REASEGUROS S.A"/>
    <s v="320001"/>
    <s v="REPUESTOS"/>
    <s v="000"/>
    <s v="001"/>
    <s v="CONTADO"/>
    <s v="002"/>
    <s v="MANTENIMIENTO-MECANICA"/>
    <s v="$"/>
    <n v="3.3410001"/>
    <n v="1"/>
    <n v="0"/>
    <n v="0"/>
    <n v="0"/>
    <n v="0"/>
    <n v="0"/>
    <d v="2020-02-24T00:00:00"/>
    <s v="005-00000397"/>
    <n v="763.65002249999998"/>
    <n v="0"/>
    <n v="0"/>
    <n v="0"/>
    <n v="0"/>
    <n v="45.225000000000001"/>
    <n v="211.05"/>
    <n v="0"/>
    <n v="256.27500000000003"/>
    <n v="507.37502249999994"/>
    <n v="0.6644077883203362"/>
    <s v="C.C"/>
    <s v="LEVE"/>
    <s v="Febrero"/>
    <n v="2020"/>
    <n v="11"/>
    <n v="1"/>
    <d v="2020-02-13T00:00:00"/>
    <s v="D9G573"/>
    <s v="HYUNDAI"/>
    <s v="TUCSON"/>
    <s v="MONTESINOS TORRES ORLANDO"/>
  </r>
  <r>
    <x v="20"/>
    <s v="FAC"/>
    <s v="005"/>
    <s v="00000080"/>
    <x v="78"/>
    <s v="BKP647"/>
    <d v="2019-11-06T00:00:00"/>
    <s v="10038627185"/>
    <s v="JUAN SMITH ORTIZ ORTIZ"/>
    <s v="310120"/>
    <s v="FRANQUICIA"/>
    <s v="000"/>
    <s v="001"/>
    <s v="CONTADO"/>
    <s v="002"/>
    <s v="MANTENIMIENTO-MECANICA"/>
    <s v="$"/>
    <n v="3.3450000000000002"/>
    <n v="1"/>
    <n v="100"/>
    <n v="100"/>
    <n v="18"/>
    <n v="118"/>
    <n v="334.5"/>
    <d v="2020-02-25T00:00:00"/>
    <s v="005-00000446"/>
    <n v="241.20339999999999"/>
    <n v="0"/>
    <n v="0"/>
    <n v="0"/>
    <n v="30.150000000000002"/>
    <n v="0"/>
    <n v="0"/>
    <n v="0"/>
    <n v="30.150000000000002"/>
    <n v="211.05339999999998"/>
    <n v="0.87500176199837976"/>
    <s v="C.C"/>
    <s v="MECANICA"/>
    <s v="Febrero"/>
    <n v="2020"/>
    <n v="0"/>
    <n v="1"/>
    <d v="2020-02-25T00:00:00"/>
    <s v="F5B055"/>
    <s v="CHANGAN"/>
    <s v="C835"/>
    <s v="ZEGARRA RAMIREZ LEONOR MARIA"/>
  </r>
  <r>
    <x v="20"/>
    <s v="FAC"/>
    <s v="005"/>
    <s v="00000081"/>
    <x v="79"/>
    <s v="BKP647"/>
    <d v="2019-11-06T00:00:00"/>
    <s v="10038627185"/>
    <s v="JUAN SMITH ORTIZ ORTIZ"/>
    <s v="1302020001"/>
    <s v="PINTURA"/>
    <s v="000"/>
    <s v="001"/>
    <s v="CONTADO"/>
    <s v="009"/>
    <s v="PINTURA"/>
    <s v="$"/>
    <n v="3.3450000000000002"/>
    <n v="1"/>
    <n v="120"/>
    <n v="120"/>
    <n v="21.600010000000019"/>
    <n v="141.60001000000003"/>
    <n v="401.40000000000003"/>
    <m/>
    <m/>
    <m/>
    <m/>
    <m/>
    <m/>
    <m/>
    <m/>
    <m/>
    <m/>
    <m/>
    <m/>
    <m/>
    <m/>
    <m/>
    <m/>
    <m/>
    <m/>
    <m/>
    <m/>
    <m/>
    <m/>
    <m/>
    <m/>
  </r>
  <r>
    <x v="20"/>
    <s v="FAC"/>
    <s v="005"/>
    <s v="00000081"/>
    <x v="79"/>
    <s v="BKP647"/>
    <d v="2019-11-06T00:00:00"/>
    <s v="10038627185"/>
    <s v="JUAN SMITH ORTIZ ORTIZ"/>
    <s v="1201020001"/>
    <s v="PLANCHADO"/>
    <s v="000"/>
    <s v="001"/>
    <s v="CONTADO"/>
    <s v="001"/>
    <s v="PLANCHADO"/>
    <s v="$"/>
    <n v="3.3450000000000002"/>
    <n v="1"/>
    <n v="80.008499"/>
    <n v="80.008499"/>
    <n v="14.401505000000025"/>
    <n v="94.410004000000029"/>
    <n v="267.62842915499999"/>
    <m/>
    <m/>
    <m/>
    <m/>
    <m/>
    <m/>
    <m/>
    <m/>
    <m/>
    <m/>
    <m/>
    <m/>
    <m/>
    <m/>
    <m/>
    <m/>
    <m/>
    <m/>
    <m/>
    <m/>
    <m/>
    <m/>
    <m/>
    <m/>
  </r>
  <r>
    <x v="20"/>
    <s v="FAC"/>
    <s v="005"/>
    <s v="00000082"/>
    <x v="80"/>
    <s v="ASK213"/>
    <d v="2019-10-25T00:00:00"/>
    <s v="20100041953"/>
    <s v="RIMAC SEGUROS  Y REASEGUROS S.A"/>
    <s v="1302020001"/>
    <s v="PINTURA"/>
    <s v="000"/>
    <s v="001"/>
    <s v="CONTADO"/>
    <s v="009"/>
    <s v="PINTURA"/>
    <s v="$"/>
    <n v="3.3450000000000002"/>
    <n v="1"/>
    <n v="118"/>
    <n v="118"/>
    <n v="21.240010000000019"/>
    <n v="139.24001000000001"/>
    <n v="394.71000000000004"/>
    <m/>
    <m/>
    <m/>
    <m/>
    <m/>
    <m/>
    <m/>
    <m/>
    <m/>
    <m/>
    <m/>
    <m/>
    <m/>
    <m/>
    <m/>
    <m/>
    <m/>
    <m/>
    <m/>
    <m/>
    <m/>
    <m/>
    <m/>
    <m/>
  </r>
  <r>
    <x v="20"/>
    <s v="FAC"/>
    <s v="005"/>
    <s v="00000082"/>
    <x v="80"/>
    <s v="ASK213"/>
    <d v="2019-10-25T00:00:00"/>
    <s v="20100041953"/>
    <s v="RIMAC SEGUROS  Y REASEGUROS S.A"/>
    <s v="1201020001"/>
    <s v="PLANCHADO"/>
    <s v="000"/>
    <s v="001"/>
    <s v="CONTADO"/>
    <s v="001"/>
    <s v="PLANCHADO"/>
    <s v="$"/>
    <n v="3.3450000000000002"/>
    <n v="1"/>
    <n v="210"/>
    <n v="210"/>
    <n v="37.799999999999997"/>
    <n v="247.8"/>
    <n v="702.45"/>
    <m/>
    <m/>
    <m/>
    <m/>
    <m/>
    <m/>
    <m/>
    <m/>
    <m/>
    <m/>
    <m/>
    <m/>
    <m/>
    <m/>
    <m/>
    <m/>
    <m/>
    <m/>
    <m/>
    <m/>
    <m/>
    <m/>
    <m/>
    <m/>
  </r>
  <r>
    <x v="20"/>
    <s v="FAC"/>
    <s v="005"/>
    <s v="00000082"/>
    <x v="80"/>
    <s v="ASK213"/>
    <d v="2019-10-25T00:00:00"/>
    <s v="20100041953"/>
    <s v="RIMAC SEGUROS  Y REASEGUROS S.A"/>
    <s v="2908010001"/>
    <s v="TERCEROS"/>
    <s v="000"/>
    <s v="001"/>
    <s v="CONTADO"/>
    <s v="002"/>
    <s v="MANTENIMIENTO-MECANICA"/>
    <s v="$"/>
    <n v="3.3450000000000002"/>
    <n v="1"/>
    <n v="35"/>
    <n v="35"/>
    <n v="6.299998999999989"/>
    <n v="41.299998999999985"/>
    <n v="117.075"/>
    <m/>
    <m/>
    <m/>
    <m/>
    <m/>
    <m/>
    <m/>
    <m/>
    <m/>
    <m/>
    <m/>
    <m/>
    <m/>
    <m/>
    <m/>
    <m/>
    <m/>
    <m/>
    <m/>
    <m/>
    <m/>
    <m/>
    <m/>
    <m/>
  </r>
  <r>
    <x v="20"/>
    <s v="FAC"/>
    <s v="005"/>
    <s v="00000082"/>
    <x v="80"/>
    <s v="ASK213"/>
    <d v="2019-10-25T00:00:00"/>
    <s v="20100041953"/>
    <s v="RIMAC SEGUROS  Y REASEGUROS S.A"/>
    <s v="310120"/>
    <s v="FRANQUICIA"/>
    <s v="000"/>
    <s v="001"/>
    <s v="CONTADO"/>
    <s v="002"/>
    <s v="MANTENIMIENTO-MECANICA"/>
    <s v="$"/>
    <n v="3.3450000000000002"/>
    <n v="-1"/>
    <n v="100"/>
    <n v="-100"/>
    <n v="-18"/>
    <n v="-118"/>
    <n v="-334.5"/>
    <m/>
    <m/>
    <m/>
    <m/>
    <m/>
    <m/>
    <m/>
    <m/>
    <m/>
    <m/>
    <m/>
    <m/>
    <m/>
    <m/>
    <m/>
    <m/>
    <m/>
    <m/>
    <m/>
    <m/>
    <m/>
    <m/>
    <m/>
    <m/>
  </r>
  <r>
    <x v="20"/>
    <s v="FAC"/>
    <s v="005"/>
    <s v="00000082"/>
    <x v="80"/>
    <s v="ASK213"/>
    <d v="2019-10-25T00:00:00"/>
    <s v="20100041953"/>
    <s v="RIMAC SEGUROS  Y REASEGUROS S.A"/>
    <s v="320001"/>
    <s v="REPUESTOS"/>
    <s v="000"/>
    <s v="001"/>
    <s v="CONTADO"/>
    <s v="002"/>
    <s v="MANTENIMIENTO-MECANICA"/>
    <s v="$"/>
    <n v="3.3450000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0"/>
    <s v="FAC"/>
    <s v="005"/>
    <s v="00000083"/>
    <x v="78"/>
    <s v="BKP647"/>
    <d v="2019-11-06T00:00:00"/>
    <s v="20100041953"/>
    <s v="RIMAC SEGUROS  Y REASEGUROS S.A"/>
    <s v="1302020001"/>
    <s v="PINTURA"/>
    <s v="000"/>
    <s v="001"/>
    <s v="CONTADO"/>
    <s v="009"/>
    <s v="PINTURA"/>
    <s v="$"/>
    <n v="3.3450000000000002"/>
    <n v="1"/>
    <n v="132.75419999999997"/>
    <n v="132.75419999999997"/>
    <n v="23.895790000000034"/>
    <n v="156.64999"/>
    <n v="444.06279899999993"/>
    <m/>
    <m/>
    <m/>
    <m/>
    <m/>
    <m/>
    <m/>
    <m/>
    <m/>
    <m/>
    <m/>
    <m/>
    <m/>
    <m/>
    <m/>
    <m/>
    <m/>
    <m/>
    <m/>
    <m/>
    <m/>
    <m/>
    <m/>
    <m/>
  </r>
  <r>
    <x v="20"/>
    <s v="FAC"/>
    <s v="005"/>
    <s v="00000083"/>
    <x v="78"/>
    <s v="BKP647"/>
    <d v="2019-11-06T00:00:00"/>
    <s v="20100041953"/>
    <s v="RIMAC SEGUROS  Y REASEGUROS S.A"/>
    <s v="1201020001"/>
    <s v="PLANCHADO"/>
    <s v="000"/>
    <s v="001"/>
    <s v="CONTADO"/>
    <s v="001"/>
    <s v="PLANCHADO"/>
    <s v="$"/>
    <n v="3.3450000000000002"/>
    <n v="1"/>
    <n v="135"/>
    <n v="135"/>
    <n v="24.3"/>
    <n v="159.30000000000001"/>
    <n v="451.57500000000005"/>
    <m/>
    <m/>
    <m/>
    <m/>
    <m/>
    <m/>
    <m/>
    <m/>
    <m/>
    <m/>
    <m/>
    <m/>
    <m/>
    <m/>
    <m/>
    <m/>
    <m/>
    <m/>
    <m/>
    <m/>
    <m/>
    <m/>
    <m/>
    <m/>
  </r>
  <r>
    <x v="20"/>
    <s v="FAC"/>
    <s v="005"/>
    <s v="00000083"/>
    <x v="78"/>
    <s v="BKP647"/>
    <d v="2019-11-06T00:00:00"/>
    <s v="20100041953"/>
    <s v="RIMAC SEGUROS  Y REASEGUROS S.A"/>
    <s v="2908010001"/>
    <s v="TERCEROS"/>
    <s v="000"/>
    <s v="001"/>
    <s v="CONTADO"/>
    <s v="002"/>
    <s v="MANTENIMIENTO-MECANICA"/>
    <s v="$"/>
    <n v="3.3450000000000002"/>
    <n v="1"/>
    <n v="35"/>
    <n v="35"/>
    <n v="6.299998999999989"/>
    <n v="41.299998999999985"/>
    <n v="117.075"/>
    <m/>
    <m/>
    <m/>
    <m/>
    <m/>
    <m/>
    <m/>
    <m/>
    <m/>
    <m/>
    <m/>
    <m/>
    <m/>
    <m/>
    <m/>
    <m/>
    <m/>
    <m/>
    <m/>
    <m/>
    <m/>
    <m/>
    <m/>
    <m/>
  </r>
  <r>
    <x v="20"/>
    <s v="FAC"/>
    <s v="005"/>
    <s v="00000083"/>
    <x v="78"/>
    <s v="BKP647"/>
    <d v="2019-11-06T00:00:00"/>
    <s v="20100041953"/>
    <s v="RIMAC SEGUROS  Y REASEGUROS S.A"/>
    <s v="310120"/>
    <s v="FRANQUICIA"/>
    <s v="000"/>
    <s v="001"/>
    <s v="CONTADO"/>
    <s v="002"/>
    <s v="MANTENIMIENTO-MECANICA"/>
    <s v="$"/>
    <n v="3.3450000000000002"/>
    <n v="-1"/>
    <n v="100"/>
    <n v="-100"/>
    <n v="-18"/>
    <n v="-118"/>
    <n v="-334.5"/>
    <m/>
    <m/>
    <m/>
    <m/>
    <m/>
    <m/>
    <m/>
    <m/>
    <m/>
    <m/>
    <m/>
    <m/>
    <m/>
    <m/>
    <m/>
    <m/>
    <m/>
    <m/>
    <m/>
    <m/>
    <m/>
    <m/>
    <m/>
    <m/>
  </r>
  <r>
    <x v="20"/>
    <s v="FAC"/>
    <s v="005"/>
    <s v="00000083"/>
    <x v="78"/>
    <s v="BKP647"/>
    <d v="2019-11-06T00:00:00"/>
    <s v="20100041953"/>
    <s v="RIMAC SEGUROS  Y REASEGUROS S.A"/>
    <s v="320001"/>
    <s v="REPUESTOS"/>
    <s v="000"/>
    <s v="001"/>
    <s v="CONTADO"/>
    <s v="002"/>
    <s v="MANTENIMIENTO-MECANICA"/>
    <s v="$"/>
    <n v="3.3450000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1"/>
    <s v="FAC"/>
    <s v="005"/>
    <s v="00000084"/>
    <x v="81"/>
    <s v="APB579"/>
    <d v="2019-10-24T00:00:00"/>
    <s v="20438563084"/>
    <s v="EDPYME ACCESO CREDITICIO SOCIEDAD ANONIMA"/>
    <s v="1302020001"/>
    <s v="PINTURA"/>
    <s v="000"/>
    <s v="001"/>
    <s v="CONTADO"/>
    <s v="009"/>
    <s v="PINTURA"/>
    <s v="S/."/>
    <n v="3.3529998999999999"/>
    <n v="1"/>
    <n v="2396.2542000000003"/>
    <n v="2396.2542000000003"/>
    <n v="431.32589999999999"/>
    <n v="2827.5801000000001"/>
    <n v="2396.2542000000003"/>
    <m/>
    <m/>
    <m/>
    <m/>
    <m/>
    <m/>
    <m/>
    <m/>
    <m/>
    <m/>
    <m/>
    <m/>
    <m/>
    <m/>
    <m/>
    <m/>
    <m/>
    <m/>
    <m/>
    <m/>
    <m/>
    <m/>
    <m/>
    <m/>
  </r>
  <r>
    <x v="21"/>
    <s v="FAC"/>
    <s v="005"/>
    <s v="00000084"/>
    <x v="81"/>
    <s v="APB579"/>
    <d v="2019-10-24T00:00:00"/>
    <s v="20438563084"/>
    <s v="EDPYME ACCESO CREDITICIO SOCIEDAD ANONIMA"/>
    <s v="1201020001"/>
    <s v="PLANCHADO"/>
    <s v="000"/>
    <s v="001"/>
    <s v="CONTADO"/>
    <s v="001"/>
    <s v="PLANCHADO"/>
    <s v="S/."/>
    <n v="3.3529998999999999"/>
    <n v="1"/>
    <n v="1575"/>
    <n v="1575"/>
    <n v="283.5"/>
    <n v="1858.5"/>
    <n v="1575"/>
    <m/>
    <m/>
    <m/>
    <m/>
    <m/>
    <m/>
    <m/>
    <m/>
    <m/>
    <m/>
    <m/>
    <m/>
    <m/>
    <m/>
    <m/>
    <m/>
    <m/>
    <m/>
    <m/>
    <m/>
    <m/>
    <m/>
    <m/>
    <m/>
  </r>
  <r>
    <x v="21"/>
    <s v="FAC"/>
    <s v="005"/>
    <s v="00000084"/>
    <x v="81"/>
    <s v="APB579"/>
    <d v="2019-10-24T00:00:00"/>
    <s v="20438563084"/>
    <s v="EDPYME ACCESO CREDITICIO SOCIEDAD ANONIMA"/>
    <s v="2908010001"/>
    <s v="TERCEROS"/>
    <s v="000"/>
    <s v="001"/>
    <s v="CONTADO"/>
    <s v="002"/>
    <s v="MANTENIMIENTO-MECANICA"/>
    <s v="S/."/>
    <n v="3.3529998999999999"/>
    <n v="1"/>
    <n v="850"/>
    <n v="850"/>
    <n v="153"/>
    <n v="1003"/>
    <n v="850"/>
    <m/>
    <m/>
    <m/>
    <m/>
    <m/>
    <m/>
    <m/>
    <m/>
    <m/>
    <m/>
    <m/>
    <m/>
    <m/>
    <m/>
    <m/>
    <m/>
    <m/>
    <m/>
    <m/>
    <m/>
    <m/>
    <m/>
    <m/>
    <m/>
  </r>
  <r>
    <x v="21"/>
    <s v="FAC"/>
    <s v="005"/>
    <s v="00000084"/>
    <x v="81"/>
    <s v="APB579"/>
    <d v="2019-10-24T00:00:00"/>
    <s v="20438563084"/>
    <s v="EDPYME ACCESO CREDITICIO SOCIEDAD ANONIMA"/>
    <s v="2805010001"/>
    <s v="SERVICIOS"/>
    <s v="000"/>
    <s v="001"/>
    <s v="CONTADO"/>
    <s v="002"/>
    <s v="MANTENIMIENTO-MECANICA"/>
    <s v="S/."/>
    <n v="3.3529998999999999"/>
    <n v="1"/>
    <n v="568.75420999999994"/>
    <n v="568.75420999999994"/>
    <n v="102.37579000000005"/>
    <n v="671.13"/>
    <n v="568.75420999999994"/>
    <m/>
    <m/>
    <m/>
    <m/>
    <m/>
    <m/>
    <m/>
    <m/>
    <m/>
    <m/>
    <m/>
    <m/>
    <m/>
    <m/>
    <m/>
    <m/>
    <m/>
    <m/>
    <m/>
    <m/>
    <m/>
    <m/>
    <m/>
    <m/>
  </r>
  <r>
    <x v="21"/>
    <s v="FAC"/>
    <s v="005"/>
    <s v="00000084"/>
    <x v="81"/>
    <s v="APB579"/>
    <d v="2019-10-24T00:00:00"/>
    <s v="20438563084"/>
    <s v="EDPYME ACCESO CREDITICIO SOCIEDAD ANONIMA"/>
    <s v="320001"/>
    <s v="REPUESTOS"/>
    <s v="000"/>
    <s v="001"/>
    <s v="CONTADO"/>
    <s v="002"/>
    <s v="MANTENIMIENTO-MECANICA"/>
    <s v="S/."/>
    <n v="3.3529998999999999"/>
    <n v="1"/>
    <n v="3263"/>
    <n v="3263"/>
    <n v="587.34010000000012"/>
    <n v="3850.3400999999999"/>
    <n v="3263"/>
    <m/>
    <m/>
    <m/>
    <m/>
    <m/>
    <m/>
    <m/>
    <m/>
    <m/>
    <m/>
    <m/>
    <m/>
    <m/>
    <m/>
    <m/>
    <m/>
    <m/>
    <m/>
    <m/>
    <m/>
    <m/>
    <m/>
    <m/>
    <m/>
  </r>
  <r>
    <x v="21"/>
    <s v="FAC"/>
    <s v="005"/>
    <s v="00000085"/>
    <x v="82"/>
    <s v="BKX624"/>
    <d v="2019-10-26T00:00:00"/>
    <s v="20100041953"/>
    <s v="RIMAC SEGUROS  Y REASEGUROS S.A"/>
    <s v="1302020001"/>
    <s v="PINTURA"/>
    <s v="000"/>
    <s v="001"/>
    <s v="CONTADO"/>
    <s v="009"/>
    <s v="PINTURA"/>
    <s v="$"/>
    <n v="3.3529998999999999"/>
    <n v="1"/>
    <n v="59"/>
    <n v="59"/>
    <n v="10.620002999999997"/>
    <n v="69.620002999999997"/>
    <n v="197.82699410000001"/>
    <m/>
    <m/>
    <m/>
    <m/>
    <m/>
    <m/>
    <m/>
    <m/>
    <m/>
    <m/>
    <m/>
    <m/>
    <m/>
    <m/>
    <m/>
    <m/>
    <m/>
    <m/>
    <m/>
    <m/>
    <m/>
    <m/>
    <m/>
    <m/>
  </r>
  <r>
    <x v="21"/>
    <s v="FAC"/>
    <s v="005"/>
    <s v="00000085"/>
    <x v="82"/>
    <s v="BKX624"/>
    <d v="2019-10-26T00:00:00"/>
    <s v="20100041953"/>
    <s v="RIMAC SEGUROS  Y REASEGUROS S.A"/>
    <s v="1201020001"/>
    <s v="PLANCHADO"/>
    <s v="000"/>
    <s v="001"/>
    <s v="CONTADO"/>
    <s v="001"/>
    <s v="PLANCHADO"/>
    <s v="$"/>
    <n v="3.3529998999999999"/>
    <n v="1"/>
    <n v="30"/>
    <n v="30"/>
    <n v="5.4000019999999997"/>
    <n v="35.400002000000001"/>
    <n v="100.589997"/>
    <m/>
    <m/>
    <m/>
    <m/>
    <m/>
    <m/>
    <m/>
    <m/>
    <m/>
    <m/>
    <m/>
    <m/>
    <m/>
    <m/>
    <m/>
    <m/>
    <m/>
    <m/>
    <m/>
    <m/>
    <m/>
    <m/>
    <m/>
    <m/>
  </r>
  <r>
    <x v="21"/>
    <s v="FAC"/>
    <s v="005"/>
    <s v="00000085"/>
    <x v="82"/>
    <s v="BKX624"/>
    <d v="2019-10-26T00:00:00"/>
    <s v="20100041953"/>
    <s v="RIMAC SEGUROS  Y REASEGUROS S.A"/>
    <s v="320001"/>
    <s v="REPUESTOS"/>
    <s v="000"/>
    <s v="001"/>
    <s v="CONTADO"/>
    <s v="002"/>
    <s v="MANTENIMIENTO-MECANICA"/>
    <s v="$"/>
    <n v="3.3529998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1"/>
    <s v="FAC"/>
    <s v="005"/>
    <s v="00000086"/>
    <x v="83"/>
    <s v="BKX624"/>
    <d v="2019-11-04T00:00:00"/>
    <s v="20509959766"/>
    <s v="RENTAEQUIPOS LEASING PERU S.A."/>
    <s v="1302020001"/>
    <s v="PINTURA"/>
    <s v="000"/>
    <s v="001"/>
    <s v="CONTADO"/>
    <s v="009"/>
    <s v="PINTURA"/>
    <s v="$"/>
    <n v="3.3529998999999999"/>
    <n v="1"/>
    <n v="14.754200000000001"/>
    <n v="14.754200000000001"/>
    <n v="2.6557999999999993"/>
    <n v="17.41"/>
    <n v="49.470831124580002"/>
    <m/>
    <m/>
    <m/>
    <m/>
    <m/>
    <m/>
    <m/>
    <m/>
    <m/>
    <m/>
    <m/>
    <m/>
    <m/>
    <m/>
    <m/>
    <m/>
    <m/>
    <m/>
    <m/>
    <m/>
    <m/>
    <m/>
    <m/>
    <m/>
  </r>
  <r>
    <x v="21"/>
    <s v="FAC"/>
    <s v="005"/>
    <s v="00000086"/>
    <x v="83"/>
    <s v="BKX624"/>
    <d v="2019-11-04T00:00:00"/>
    <s v="20509959766"/>
    <s v="RENTAEQUIPOS LEASING PERU S.A."/>
    <s v="1201020001"/>
    <s v="PLANCHADO"/>
    <s v="000"/>
    <s v="001"/>
    <s v="CONTADO"/>
    <s v="001"/>
    <s v="PLANCHADO"/>
    <s v="$"/>
    <n v="3.3529998999999999"/>
    <n v="1"/>
    <n v="15"/>
    <n v="15"/>
    <n v="2.7000009999999999"/>
    <n v="17.700001"/>
    <n v="50.294998499999998"/>
    <m/>
    <m/>
    <m/>
    <m/>
    <m/>
    <m/>
    <m/>
    <m/>
    <m/>
    <m/>
    <m/>
    <m/>
    <m/>
    <m/>
    <m/>
    <m/>
    <m/>
    <m/>
    <m/>
    <m/>
    <m/>
    <m/>
    <m/>
    <m/>
  </r>
  <r>
    <x v="21"/>
    <s v="FAC"/>
    <s v="005"/>
    <s v="00000086"/>
    <x v="83"/>
    <s v="BKX624"/>
    <d v="2019-11-04T00:00:00"/>
    <s v="20509959766"/>
    <s v="RENTAEQUIPOS LEASING PERU S.A."/>
    <s v="320001"/>
    <s v="REPUESTOS"/>
    <s v="000"/>
    <s v="001"/>
    <s v="CONTADO"/>
    <s v="002"/>
    <s v="MANTENIMIENTO-MECANICA"/>
    <s v="$"/>
    <n v="3.3529998999999999"/>
    <n v="1"/>
    <n v="35"/>
    <n v="35"/>
    <n v="6.299998999999989"/>
    <n v="41.299998999999985"/>
    <n v="117.3549965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87"/>
    <x v="84"/>
    <s v="ANJ035"/>
    <d v="2019-10-28T00:00:00"/>
    <s v="20509959766"/>
    <s v="RENTAEQUIPOS LEASING PERU S.A."/>
    <s v="310120"/>
    <s v="FRANQUICIA"/>
    <s v="000"/>
    <s v="001"/>
    <s v="CONTADO"/>
    <s v="002"/>
    <s v="MANTENIMIENTO-MECANICA"/>
    <s v="$"/>
    <n v="3.3529998999999999"/>
    <n v="1"/>
    <n v="100"/>
    <n v="100"/>
    <n v="18"/>
    <n v="118"/>
    <n v="335.29998999999998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88"/>
    <x v="84"/>
    <s v="ANJ035"/>
    <d v="2019-10-28T00:00:00"/>
    <s v="20100041953"/>
    <s v="RIMAC SEGUROS  Y REASEGUROS S.A"/>
    <s v="1302020001"/>
    <s v="PINTURA"/>
    <s v="000"/>
    <s v="001"/>
    <s v="CONTADO"/>
    <s v="009"/>
    <s v="PINTURA"/>
    <s v="$"/>
    <n v="3.3529998999999999"/>
    <n v="1"/>
    <n v="147.5"/>
    <n v="147.5"/>
    <n v="26.55"/>
    <n v="174.05"/>
    <n v="494.56748525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88"/>
    <x v="84"/>
    <s v="ANJ035"/>
    <d v="2019-10-28T00:00:00"/>
    <s v="20100041953"/>
    <s v="RIMAC SEGUROS  Y REASEGUROS S.A"/>
    <s v="1201020001"/>
    <s v="PLANCHADO"/>
    <s v="000"/>
    <s v="001"/>
    <s v="CONTADO"/>
    <s v="001"/>
    <s v="PLANCHADO"/>
    <s v="$"/>
    <n v="3.3529998999999999"/>
    <n v="1"/>
    <n v="90"/>
    <n v="90"/>
    <n v="16.2"/>
    <n v="106.2"/>
    <n v="301.769991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88"/>
    <x v="84"/>
    <s v="ANJ035"/>
    <d v="2019-10-28T00:00:00"/>
    <s v="20100041953"/>
    <s v="RIMAC SEGUROS  Y REASEGUROS S.A"/>
    <s v="310120"/>
    <s v="FRANQUICIA"/>
    <s v="000"/>
    <s v="001"/>
    <s v="CONTADO"/>
    <s v="002"/>
    <s v="MANTENIMIENTO-MECANICA"/>
    <s v="$"/>
    <n v="3.3529998999999999"/>
    <n v="-1"/>
    <n v="100"/>
    <n v="-100"/>
    <n v="-18"/>
    <n v="-118"/>
    <n v="-335.29998999999998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88"/>
    <x v="84"/>
    <s v="ANJ035"/>
    <d v="2019-10-28T00:00:00"/>
    <s v="20100041953"/>
    <s v="RIMAC SEGUROS  Y REASEGUROS S.A"/>
    <s v="320001"/>
    <s v="REPUESTOS"/>
    <s v="000"/>
    <s v="001"/>
    <s v="CONTADO"/>
    <s v="002"/>
    <s v="MANTENIMIENTO-MECANICA"/>
    <s v="$"/>
    <n v="3.3529998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89"/>
    <x v="85"/>
    <s v="ANE312"/>
    <d v="2019-10-29T00:00:00"/>
    <s v="20100041953"/>
    <s v="RIMAC SEGUROS  Y REASEGUROS S.A"/>
    <s v="1302020001"/>
    <s v="PINTURA"/>
    <s v="000"/>
    <s v="001"/>
    <s v="CONTADO"/>
    <s v="009"/>
    <s v="PINTURA"/>
    <s v="$"/>
    <n v="3.3529998999999999"/>
    <n v="1"/>
    <n v="59"/>
    <n v="59"/>
    <n v="10.620002999999997"/>
    <n v="69.620002999999997"/>
    <n v="197.82699410000001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89"/>
    <x v="85"/>
    <s v="ANE312"/>
    <d v="2019-10-29T00:00:00"/>
    <s v="20100041953"/>
    <s v="RIMAC SEGUROS  Y REASEGUROS S.A"/>
    <s v="1201020001"/>
    <s v="PLANCHADO"/>
    <s v="000"/>
    <s v="001"/>
    <s v="CONTADO"/>
    <s v="001"/>
    <s v="PLANCHADO"/>
    <s v="$"/>
    <n v="3.3529998999999999"/>
    <n v="1"/>
    <n v="30"/>
    <n v="30"/>
    <n v="5.4000019999999997"/>
    <n v="35.400002000000001"/>
    <n v="100.589997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89"/>
    <x v="85"/>
    <s v="ANE312"/>
    <d v="2019-10-29T00:00:00"/>
    <s v="20100041953"/>
    <s v="RIMAC SEGUROS  Y REASEGUROS S.A"/>
    <s v="2908010001"/>
    <s v="TERCEROS"/>
    <s v="000"/>
    <s v="001"/>
    <s v="CONTADO"/>
    <s v="002"/>
    <s v="MANTENIMIENTO-MECANICA"/>
    <s v="$"/>
    <n v="3.3529998999999999"/>
    <n v="1"/>
    <n v="50"/>
    <n v="50"/>
    <n v="9"/>
    <n v="59"/>
    <n v="167.64999499999999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90"/>
    <x v="86"/>
    <s v="AWV260"/>
    <d v="2019-10-29T00:00:00"/>
    <s v="20509959766"/>
    <s v="RENTAEQUIPOS LEASING PERU S.A."/>
    <s v="310120"/>
    <s v="FRANQUICIA"/>
    <s v="000"/>
    <s v="001"/>
    <s v="CONTADO"/>
    <s v="002"/>
    <s v="MANTENIMIENTO-MECANICA"/>
    <s v="$"/>
    <n v="3.3529998999999999"/>
    <n v="1"/>
    <n v="100"/>
    <n v="100"/>
    <n v="18"/>
    <n v="118"/>
    <n v="335.29998999999998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91"/>
    <x v="86"/>
    <s v="AWV260"/>
    <d v="2019-10-29T00:00:00"/>
    <s v="20100041953"/>
    <s v="RIMAC SEGUROS  Y REASEGUROS S.A"/>
    <s v="1302020001"/>
    <s v="PINTURA"/>
    <s v="000"/>
    <s v="001"/>
    <s v="CONTADO"/>
    <s v="009"/>
    <s v="PINTURA"/>
    <s v="$"/>
    <n v="3.3529998999999999"/>
    <n v="1"/>
    <n v="73.754203999999987"/>
    <n v="73.754203999999987"/>
    <n v="13.275795000000016"/>
    <n v="87.029999000000004"/>
    <n v="247.29783863657954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91"/>
    <x v="86"/>
    <s v="AWV260"/>
    <d v="2019-10-29T00:00:00"/>
    <s v="20100041953"/>
    <s v="RIMAC SEGUROS  Y REASEGUROS S.A"/>
    <s v="1201020001"/>
    <s v="PLANCHADO"/>
    <s v="000"/>
    <s v="001"/>
    <s v="CONTADO"/>
    <s v="001"/>
    <s v="PLANCHADO"/>
    <s v="$"/>
    <n v="3.3529998999999999"/>
    <n v="1"/>
    <n v="37.5"/>
    <n v="37.5"/>
    <n v="6.75"/>
    <n v="44.25"/>
    <n v="125.73749624999999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91"/>
    <x v="86"/>
    <s v="AWV260"/>
    <d v="2019-10-29T00:00:00"/>
    <s v="20100041953"/>
    <s v="RIMAC SEGUROS  Y REASEGUROS S.A"/>
    <s v="2908010001"/>
    <s v="TERCEROS"/>
    <s v="000"/>
    <s v="001"/>
    <s v="CONTADO"/>
    <s v="002"/>
    <s v="MANTENIMIENTO-MECANICA"/>
    <s v="$"/>
    <n v="3.3529998999999999"/>
    <n v="1"/>
    <n v="15"/>
    <n v="15"/>
    <n v="2.7000009999999999"/>
    <n v="17.700001"/>
    <n v="50.294998499999998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91"/>
    <x v="86"/>
    <s v="AWV260"/>
    <d v="2019-10-29T00:00:00"/>
    <s v="20100041953"/>
    <s v="RIMAC SEGUROS  Y REASEGUROS S.A"/>
    <s v="310120"/>
    <s v="FRANQUICIA"/>
    <s v="000"/>
    <s v="001"/>
    <s v="CONTADO"/>
    <s v="002"/>
    <s v="MANTENIMIENTO-MECANICA"/>
    <s v="$"/>
    <n v="3.3529998999999999"/>
    <n v="-1"/>
    <n v="100"/>
    <n v="-100"/>
    <n v="-18"/>
    <n v="-118"/>
    <n v="-335.29998999999998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91"/>
    <x v="86"/>
    <s v="AWV260"/>
    <d v="2019-10-29T00:00:00"/>
    <s v="20100041953"/>
    <s v="RIMAC SEGUROS  Y REASEGUROS S.A"/>
    <s v="320001"/>
    <s v="REPUESTOS"/>
    <s v="000"/>
    <s v="001"/>
    <s v="CONTADO"/>
    <s v="002"/>
    <s v="MANTENIMIENTO-MECANICA"/>
    <s v="$"/>
    <n v="3.3529998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92"/>
    <x v="87"/>
    <s v="ATF409"/>
    <d v="2019-10-29T00:00:00"/>
    <s v="20509959766"/>
    <s v="RENTAEQUIPOS LEASING PERU S.A."/>
    <s v="1302020001"/>
    <s v="PINTURA"/>
    <s v="000"/>
    <s v="001"/>
    <s v="CONTADO"/>
    <s v="009"/>
    <s v="PINTURA"/>
    <s v="$"/>
    <n v="3.3529998999999999"/>
    <n v="1"/>
    <n v="586.75420999999994"/>
    <n v="586.75420999999994"/>
    <n v="105.61579000000005"/>
    <n v="692.37"/>
    <n v="1967.3868074545787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92"/>
    <x v="87"/>
    <s v="ATF409"/>
    <d v="2019-10-29T00:00:00"/>
    <s v="20509959766"/>
    <s v="RENTAEQUIPOS LEASING PERU S.A."/>
    <s v="1201020001"/>
    <s v="PLANCHADO"/>
    <s v="000"/>
    <s v="001"/>
    <s v="CONTADO"/>
    <s v="001"/>
    <s v="PLANCHADO"/>
    <s v="$"/>
    <n v="3.3529998999999999"/>
    <n v="1"/>
    <n v="420"/>
    <n v="420"/>
    <n v="75.600009999999898"/>
    <n v="495.60000999999988"/>
    <n v="1408.2599579999999"/>
    <m/>
    <m/>
    <m/>
    <m/>
    <m/>
    <m/>
    <m/>
    <m/>
    <m/>
    <m/>
    <m/>
    <m/>
    <m/>
    <m/>
    <m/>
    <m/>
    <m/>
    <m/>
    <m/>
    <m/>
    <m/>
    <m/>
    <m/>
    <m/>
  </r>
  <r>
    <x v="22"/>
    <s v="FAC"/>
    <s v="005"/>
    <s v="00000092"/>
    <x v="87"/>
    <s v="ATF409"/>
    <d v="2019-10-29T00:00:00"/>
    <s v="20509959766"/>
    <s v="RENTAEQUIPOS LEASING PERU S.A."/>
    <s v="2908010001"/>
    <s v="TERCEROS"/>
    <s v="000"/>
    <s v="001"/>
    <s v="CONTADO"/>
    <s v="002"/>
    <s v="MANTENIMIENTO-MECANICA"/>
    <s v="$"/>
    <n v="3.3529998999999999"/>
    <n v="1"/>
    <n v="105"/>
    <n v="105"/>
    <n v="18.899999999999999"/>
    <n v="123.9"/>
    <n v="352.06498949999997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3"/>
    <x v="88"/>
    <s v="AHQ605"/>
    <d v="2019-11-07T00:00:00"/>
    <s v="20426128803"/>
    <s v="MASEDI CONTRATISTAS GENERALES SAC"/>
    <s v="2805010001"/>
    <s v="SERVICIOS"/>
    <s v="000"/>
    <s v="001"/>
    <s v="CONTADO"/>
    <s v="002"/>
    <s v="MANTENIMIENTO-MECANICA"/>
    <s v="S/."/>
    <n v="3.3640001000000002"/>
    <n v="1"/>
    <n v="240"/>
    <n v="240"/>
    <n v="43.200010000000042"/>
    <n v="283.20001000000002"/>
    <n v="240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3"/>
    <x v="88"/>
    <s v="AHQ605"/>
    <d v="2019-11-07T00:00:00"/>
    <s v="20426128803"/>
    <s v="MASEDI CONTRATISTAS GENERALES SAC"/>
    <s v="320001"/>
    <s v="REPUESTOS"/>
    <s v="000"/>
    <s v="001"/>
    <s v="CONTADO"/>
    <s v="002"/>
    <s v="MANTENIMIENTO-MECANICA"/>
    <s v="S/."/>
    <n v="3.3640001000000002"/>
    <n v="1"/>
    <n v="280"/>
    <n v="280"/>
    <n v="50.399990000000031"/>
    <n v="330.39999000000006"/>
    <n v="280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4"/>
    <x v="89"/>
    <s v="APB579"/>
    <d v="2019-11-12T00:00:00"/>
    <s v="20438563084"/>
    <s v="EDPYME ACCESO CREDITICIO SOCIEDAD ANONIMA"/>
    <s v="320001"/>
    <s v="REPUESTOS"/>
    <s v="000"/>
    <s v="001"/>
    <s v="CONTADO"/>
    <s v="002"/>
    <s v="MANTENIMIENTO-MECANICA"/>
    <s v="S/."/>
    <n v="3.3640001000000002"/>
    <n v="1"/>
    <n v="350"/>
    <n v="350"/>
    <n v="63"/>
    <n v="413"/>
    <n v="350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5"/>
    <x v="90"/>
    <s v="AKZ422"/>
    <d v="2019-10-16T00:00:00"/>
    <s v="20438563084"/>
    <s v="EDPYME ACCESO CREDITICIO SOCIEDAD ANONIMA"/>
    <s v="1302020001"/>
    <s v="PINTURA"/>
    <s v="000"/>
    <s v="001"/>
    <s v="CONTADO"/>
    <s v="009"/>
    <s v="PINTURA"/>
    <s v="S/."/>
    <n v="3.3640001000000002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5"/>
    <x v="90"/>
    <s v="AKZ422"/>
    <d v="2019-10-16T00:00:00"/>
    <s v="20438563084"/>
    <s v="EDPYME ACCESO CREDITICIO SOCIEDAD ANONIMA"/>
    <s v="1201020001"/>
    <s v="PLANCHADO"/>
    <s v="000"/>
    <s v="001"/>
    <s v="CONTADO"/>
    <s v="001"/>
    <s v="PLANCHADO"/>
    <s v="S/."/>
    <n v="3.3640001000000002"/>
    <n v="1"/>
    <n v="1330"/>
    <n v="1330"/>
    <n v="239.4"/>
    <n v="1569.4"/>
    <n v="1330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5"/>
    <x v="90"/>
    <s v="AKZ422"/>
    <d v="2019-10-16T00:00:00"/>
    <s v="20438563084"/>
    <s v="EDPYME ACCESO CREDITICIO SOCIEDAD ANONIMA"/>
    <s v="2908010001"/>
    <s v="TERCEROS"/>
    <s v="000"/>
    <s v="001"/>
    <s v="CONTADO"/>
    <s v="002"/>
    <s v="MANTENIMIENTO-MECANICA"/>
    <s v="S/."/>
    <n v="3.3640001000000002"/>
    <n v="1"/>
    <n v="570"/>
    <n v="570"/>
    <n v="102.59998000000007"/>
    <n v="672.59998000000007"/>
    <n v="570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5"/>
    <x v="90"/>
    <s v="AKZ422"/>
    <d v="2019-10-16T00:00:00"/>
    <s v="20438563084"/>
    <s v="EDPYME ACCESO CREDITICIO SOCIEDAD ANONIMA"/>
    <s v="2908010002"/>
    <s v="AMPLIACION PLANCHADO"/>
    <s v="000"/>
    <s v="001"/>
    <s v="CONTADO"/>
    <s v="002"/>
    <s v="MANTENIMIENTO-MECANICA"/>
    <s v="S/."/>
    <n v="3.3640001000000002"/>
    <n v="48"/>
    <n v="35"/>
    <n v="1680"/>
    <n v="302.39995199999953"/>
    <n v="1982.3999519999995"/>
    <n v="1680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5"/>
    <x v="90"/>
    <s v="AKZ422"/>
    <d v="2019-10-16T00:00:00"/>
    <s v="20438563084"/>
    <s v="EDPYME ACCESO CREDITICIO SOCIEDAD ANONIMA"/>
    <s v="2908010003"/>
    <s v="AMPLIACION REPUESTOS"/>
    <s v="000"/>
    <s v="001"/>
    <s v="CONTADO"/>
    <s v="002"/>
    <s v="MANTENIMIENTO-MECANICA"/>
    <s v="S/."/>
    <n v="3.3640001000000002"/>
    <n v="1"/>
    <n v="1304"/>
    <n v="1304"/>
    <n v="234.72"/>
    <n v="1538.72"/>
    <n v="1304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5"/>
    <x v="90"/>
    <s v="AKZ422"/>
    <d v="2019-10-16T00:00:00"/>
    <s v="20438563084"/>
    <s v="EDPYME ACCESO CREDITICIO SOCIEDAD ANONIMA"/>
    <s v="2805010001"/>
    <s v="SERVICIOS"/>
    <s v="000"/>
    <s v="001"/>
    <s v="CONTADO"/>
    <s v="002"/>
    <s v="MANTENIMIENTO-MECANICA"/>
    <s v="S/."/>
    <n v="3.3640001000000002"/>
    <n v="1"/>
    <n v="288.75421"/>
    <n v="288.75420999999994"/>
    <n v="51.975799999999907"/>
    <n v="340.73000999999988"/>
    <n v="288.75420999999994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5"/>
    <x v="90"/>
    <s v="AKZ422"/>
    <d v="2019-10-16T00:00:00"/>
    <s v="20438563084"/>
    <s v="EDPYME ACCESO CREDITICIO SOCIEDAD ANONIMA"/>
    <s v="320001"/>
    <s v="REPUESTOS"/>
    <s v="000"/>
    <s v="001"/>
    <s v="CONTADO"/>
    <s v="002"/>
    <s v="MANTENIMIENTO-MECANICA"/>
    <s v="S/."/>
    <n v="3.3640001000000002"/>
    <n v="1"/>
    <n v="2296.7542000000003"/>
    <n v="2296.7542000000003"/>
    <n v="413.41569999999979"/>
    <n v="2710.1698999999999"/>
    <n v="2296.7542000000003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6"/>
    <x v="91"/>
    <s v="F0S053"/>
    <d v="2019-11-08T00:00:00"/>
    <s v="20438563084"/>
    <s v="EDPYME ACCESO CREDITICIO SOCIEDAD ANONIMA"/>
    <s v="2805010001"/>
    <s v="SERVICIOS"/>
    <s v="000"/>
    <s v="001"/>
    <s v="CONTADO"/>
    <s v="002"/>
    <s v="MANTENIMIENTO-MECANICA"/>
    <s v="S/."/>
    <n v="3.3640001000000002"/>
    <n v="1"/>
    <n v="105"/>
    <n v="105"/>
    <n v="18.899999999999999"/>
    <n v="123.9"/>
    <n v="105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6"/>
    <x v="91"/>
    <s v="F0S053"/>
    <d v="2019-11-08T00:00:00"/>
    <s v="20438563084"/>
    <s v="EDPYME ACCESO CREDITICIO SOCIEDAD ANONIMA"/>
    <s v="320001"/>
    <s v="REPUESTOS"/>
    <s v="000"/>
    <s v="001"/>
    <s v="CONTADO"/>
    <s v="002"/>
    <s v="MANTENIMIENTO-MECANICA"/>
    <s v="S/."/>
    <n v="3.3640001000000002"/>
    <n v="1"/>
    <n v="210"/>
    <n v="210"/>
    <n v="37.799999999999997"/>
    <n v="247.8"/>
    <n v="210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7"/>
    <x v="92"/>
    <s v="BEJ174"/>
    <d v="2019-10-29T00:00:00"/>
    <s v="20100041953"/>
    <s v="RIMAC SEGUROS  Y REASEGUROS S.A"/>
    <s v="1302020001"/>
    <s v="PINTURA"/>
    <s v="000"/>
    <s v="001"/>
    <s v="CONTADO"/>
    <s v="009"/>
    <s v="PINTURA"/>
    <s v="$"/>
    <n v="3.3640001000000002"/>
    <n v="1"/>
    <n v="309.75421"/>
    <n v="309.75420999999994"/>
    <n v="55.755800000000129"/>
    <n v="365.51001000000014"/>
    <n v="1042.0131934154208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7"/>
    <x v="92"/>
    <s v="BEJ174"/>
    <d v="2019-10-29T00:00:00"/>
    <s v="20100041953"/>
    <s v="RIMAC SEGUROS  Y REASEGUROS S.A"/>
    <s v="1201020001"/>
    <s v="PLANCHADO"/>
    <s v="000"/>
    <s v="001"/>
    <s v="CONTADO"/>
    <s v="001"/>
    <s v="PLANCHADO"/>
    <s v="$"/>
    <n v="3.3640001000000002"/>
    <n v="1"/>
    <n v="330"/>
    <n v="330"/>
    <n v="59.399990000000031"/>
    <n v="389.39999000000006"/>
    <n v="1110.1200330000001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7"/>
    <x v="92"/>
    <s v="BEJ174"/>
    <d v="2019-10-29T00:00:00"/>
    <s v="20100041953"/>
    <s v="RIMAC SEGUROS  Y REASEGUROS S.A"/>
    <s v="2908010001"/>
    <s v="TERCEROS"/>
    <s v="000"/>
    <s v="001"/>
    <s v="CONTADO"/>
    <s v="002"/>
    <s v="MANTENIMIENTO-MECANICA"/>
    <s v="$"/>
    <n v="3.3640001000000002"/>
    <n v="1"/>
    <n v="70"/>
    <n v="70"/>
    <n v="12.599997999999978"/>
    <n v="82.599997999999971"/>
    <n v="235.480007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7"/>
    <x v="92"/>
    <s v="BEJ174"/>
    <d v="2019-10-29T00:00:00"/>
    <s v="20100041953"/>
    <s v="RIMAC SEGUROS  Y REASEGUROS S.A"/>
    <s v="2908010002"/>
    <s v="AMPLIACION REPUESTOS"/>
    <s v="000"/>
    <s v="001"/>
    <s v="CONTADO"/>
    <s v="002"/>
    <s v="MANTENIMIENTO-MECANICA"/>
    <s v="$"/>
    <n v="3.36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7"/>
    <x v="92"/>
    <s v="BEJ174"/>
    <d v="2019-10-29T00:00:00"/>
    <s v="20100041953"/>
    <s v="RIMAC SEGUROS  Y REASEGUROS S.A"/>
    <s v="2805010001"/>
    <s v="SERVICIOS"/>
    <s v="000"/>
    <s v="001"/>
    <s v="CONTADO"/>
    <s v="002"/>
    <s v="MANTENIMIENTO-MECANICA"/>
    <s v="$"/>
    <n v="3.3640001000000002"/>
    <n v="1"/>
    <n v="30"/>
    <n v="30"/>
    <n v="5.4000019999999997"/>
    <n v="35.400002000000001"/>
    <n v="100.92000300000001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7"/>
    <x v="92"/>
    <s v="BEJ174"/>
    <d v="2019-10-29T00:00:00"/>
    <s v="20100041953"/>
    <s v="RIMAC SEGUROS  Y REASEGUROS S.A"/>
    <s v="310120"/>
    <s v="FRANQUICIA"/>
    <s v="000"/>
    <s v="001"/>
    <s v="CONTADO"/>
    <s v="002"/>
    <s v="MANTENIMIENTO-MECANICA"/>
    <s v="$"/>
    <n v="3.3640001000000002"/>
    <n v="-1"/>
    <n v="215.27968999999996"/>
    <n v="-215.27968999999996"/>
    <n v="-38.750310000000027"/>
    <n v="-254.03"/>
    <n v="-724.2008986879689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7"/>
    <x v="92"/>
    <s v="BEJ174"/>
    <d v="2019-10-29T00:00:00"/>
    <s v="20100041953"/>
    <s v="RIMAC SEGUROS  Y REASEGUROS S.A"/>
    <s v="320001"/>
    <s v="REPUESTOS"/>
    <s v="000"/>
    <s v="001"/>
    <s v="CONTADO"/>
    <s v="002"/>
    <s v="MANTENIMIENTO-MECANICA"/>
    <s v="$"/>
    <n v="3.36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8"/>
    <x v="93"/>
    <s v="C4W101"/>
    <d v="2019-11-04T00:00:00"/>
    <s v="20100041953"/>
    <s v="RIMAC SEGUROS  Y REASEGUROS S.A"/>
    <s v="1302020001"/>
    <s v="PINTURA"/>
    <s v="000"/>
    <s v="001"/>
    <s v="CONTADO"/>
    <s v="009"/>
    <s v="PINTURA"/>
    <s v="$"/>
    <n v="3.3640001000000002"/>
    <n v="1"/>
    <n v="59"/>
    <n v="59"/>
    <n v="10.620002999999997"/>
    <n v="69.620002999999997"/>
    <n v="198.47600590000002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8"/>
    <x v="93"/>
    <s v="C4W101"/>
    <d v="2019-11-04T00:00:00"/>
    <s v="20100041953"/>
    <s v="RIMAC SEGUROS  Y REASEGUROS S.A"/>
    <s v="1201020001"/>
    <s v="PLANCHADO"/>
    <s v="000"/>
    <s v="001"/>
    <s v="CONTADO"/>
    <s v="001"/>
    <s v="PLANCHADO"/>
    <s v="$"/>
    <n v="3.3640001000000002"/>
    <n v="1"/>
    <n v="30"/>
    <n v="30"/>
    <n v="5.4000019999999997"/>
    <n v="35.400002000000001"/>
    <n v="100.92000300000001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8"/>
    <x v="93"/>
    <s v="C4W101"/>
    <d v="2019-11-04T00:00:00"/>
    <s v="20100041953"/>
    <s v="RIMAC SEGUROS  Y REASEGUROS S.A"/>
    <s v="320001"/>
    <s v="REPUESTOS"/>
    <s v="000"/>
    <s v="001"/>
    <s v="CONTADO"/>
    <s v="002"/>
    <s v="MANTENIMIENTO-MECANICA"/>
    <s v="$"/>
    <n v="3.36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9"/>
    <x v="94"/>
    <s v="C4W101"/>
    <d v="2019-11-06T00:00:00"/>
    <s v="20100041953"/>
    <s v="RIMAC SEGUROS  Y REASEGUROS S.A"/>
    <s v="1302020001"/>
    <s v="PINTURA"/>
    <s v="000"/>
    <s v="001"/>
    <s v="CONTADO"/>
    <s v="009"/>
    <s v="PINTURA"/>
    <s v="$"/>
    <n v="3.3640001000000002"/>
    <n v="1"/>
    <n v="59"/>
    <n v="59"/>
    <n v="10.620002999999997"/>
    <n v="69.620002999999997"/>
    <n v="198.47600590000002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9"/>
    <x v="94"/>
    <s v="C4W101"/>
    <d v="2019-11-06T00:00:00"/>
    <s v="20100041953"/>
    <s v="RIMAC SEGUROS  Y REASEGUROS S.A"/>
    <s v="1201020001"/>
    <s v="PLANCHADO"/>
    <s v="000"/>
    <s v="001"/>
    <s v="CONTADO"/>
    <s v="001"/>
    <s v="PLANCHADO"/>
    <s v="$"/>
    <n v="3.3640001000000002"/>
    <n v="1"/>
    <n v="30"/>
    <n v="30"/>
    <n v="5.4000019999999997"/>
    <n v="35.400002000000001"/>
    <n v="100.92000300000001"/>
    <m/>
    <m/>
    <m/>
    <m/>
    <m/>
    <m/>
    <m/>
    <m/>
    <m/>
    <m/>
    <m/>
    <m/>
    <m/>
    <m/>
    <m/>
    <m/>
    <m/>
    <m/>
    <m/>
    <m/>
    <m/>
    <m/>
    <m/>
    <m/>
  </r>
  <r>
    <x v="23"/>
    <s v="FAC"/>
    <s v="005"/>
    <s v="00000099"/>
    <x v="94"/>
    <s v="C4W101"/>
    <d v="2019-11-06T00:00:00"/>
    <s v="20100041953"/>
    <s v="RIMAC SEGUROS  Y REASEGUROS S.A"/>
    <s v="320001"/>
    <s v="REPUESTOS"/>
    <s v="000"/>
    <s v="001"/>
    <s v="CONTADO"/>
    <s v="002"/>
    <s v="MANTENIMIENTO-MECANICA"/>
    <s v="$"/>
    <n v="3.36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4"/>
    <s v="FAC"/>
    <s v="005"/>
    <s v="00000100"/>
    <x v="95"/>
    <s v="F1P230"/>
    <d v="2019-11-08T00:00:00"/>
    <s v="20438563084"/>
    <s v="EDPYME ACCESO CREDITICIO SOCIEDAD ANONIMA"/>
    <s v="2805010001"/>
    <s v="SERVICIOS"/>
    <s v="000"/>
    <s v="001"/>
    <s v="CONTADO"/>
    <s v="002"/>
    <s v="MANTENIMIENTO-MECANICA"/>
    <s v="S/."/>
    <n v="3.3759999000000001"/>
    <n v="1"/>
    <n v="105"/>
    <n v="105"/>
    <n v="18.899999999999999"/>
    <n v="123.9"/>
    <n v="105"/>
    <m/>
    <m/>
    <m/>
    <m/>
    <m/>
    <m/>
    <m/>
    <m/>
    <m/>
    <m/>
    <m/>
    <m/>
    <m/>
    <m/>
    <m/>
    <m/>
    <m/>
    <m/>
    <m/>
    <m/>
    <m/>
    <m/>
    <m/>
    <m/>
  </r>
  <r>
    <x v="24"/>
    <s v="FAC"/>
    <s v="005"/>
    <s v="00000100"/>
    <x v="95"/>
    <s v="F1P230"/>
    <d v="2019-11-08T00:00:00"/>
    <s v="20438563084"/>
    <s v="EDPYME ACCESO CREDITICIO SOCIEDAD ANONIMA"/>
    <s v="320001"/>
    <s v="REPUESTOS"/>
    <s v="000"/>
    <s v="001"/>
    <s v="CONTADO"/>
    <s v="002"/>
    <s v="MANTENIMIENTO-MECANICA"/>
    <s v="S/."/>
    <n v="3.3759999000000001"/>
    <n v="1"/>
    <n v="620"/>
    <n v="620"/>
    <n v="111.59998000000007"/>
    <n v="731.59998000000007"/>
    <n v="620"/>
    <m/>
    <m/>
    <m/>
    <m/>
    <m/>
    <m/>
    <m/>
    <m/>
    <m/>
    <m/>
    <m/>
    <m/>
    <m/>
    <m/>
    <m/>
    <m/>
    <m/>
    <m/>
    <m/>
    <m/>
    <m/>
    <m/>
    <m/>
    <m/>
  </r>
  <r>
    <x v="24"/>
    <s v="FAC"/>
    <s v="005"/>
    <s v="00000101"/>
    <x v="96"/>
    <s v="AXA172"/>
    <d v="2019-11-07T00:00:00"/>
    <s v="20509959766"/>
    <s v="RENTAEQUIPOS LEASING PERU S.A."/>
    <s v="310120"/>
    <s v="FRANQUICIA"/>
    <s v="000"/>
    <s v="001"/>
    <s v="CONTADO"/>
    <s v="002"/>
    <s v="MANTENIMIENTO-MECANICA"/>
    <s v="$"/>
    <n v="3.3759999000000001"/>
    <n v="1"/>
    <n v="100"/>
    <n v="100"/>
    <n v="18"/>
    <n v="118"/>
    <n v="337.59998999999999"/>
    <m/>
    <m/>
    <m/>
    <m/>
    <m/>
    <m/>
    <m/>
    <m/>
    <m/>
    <m/>
    <m/>
    <m/>
    <m/>
    <m/>
    <m/>
    <m/>
    <m/>
    <m/>
    <m/>
    <m/>
    <m/>
    <m/>
    <m/>
    <m/>
  </r>
  <r>
    <x v="24"/>
    <s v="FAC"/>
    <s v="005"/>
    <s v="00000102"/>
    <x v="96"/>
    <s v="AXA172"/>
    <d v="2019-11-07T00:00:00"/>
    <s v="20100041953"/>
    <s v="RIMAC SEGUROS  Y REASEGUROS S.A"/>
    <s v="1302020001"/>
    <s v="PINTURA"/>
    <s v="000"/>
    <s v="001"/>
    <s v="CONTADO"/>
    <s v="009"/>
    <s v="PINTURA"/>
    <s v="$"/>
    <n v="3.3759999000000001"/>
    <n v="1"/>
    <n v="59"/>
    <n v="59"/>
    <n v="10.620002999999997"/>
    <n v="69.620002999999997"/>
    <n v="199.18399410000001"/>
    <m/>
    <m/>
    <m/>
    <m/>
    <m/>
    <m/>
    <m/>
    <m/>
    <m/>
    <m/>
    <m/>
    <m/>
    <m/>
    <m/>
    <m/>
    <m/>
    <m/>
    <m/>
    <m/>
    <m/>
    <m/>
    <m/>
    <m/>
    <m/>
  </r>
  <r>
    <x v="24"/>
    <s v="FAC"/>
    <s v="005"/>
    <s v="00000102"/>
    <x v="96"/>
    <s v="AXA172"/>
    <d v="2019-11-07T00:00:00"/>
    <s v="20100041953"/>
    <s v="RIMAC SEGUROS  Y REASEGUROS S.A"/>
    <s v="1201020001"/>
    <s v="PLANCHADO"/>
    <s v="000"/>
    <s v="001"/>
    <s v="CONTADO"/>
    <s v="001"/>
    <s v="PLANCHADO"/>
    <s v="$"/>
    <n v="3.3759999000000001"/>
    <n v="1"/>
    <n v="30"/>
    <n v="30"/>
    <n v="5.4000019999999997"/>
    <n v="35.400002000000001"/>
    <n v="101.27999700000001"/>
    <m/>
    <m/>
    <m/>
    <m/>
    <m/>
    <m/>
    <m/>
    <m/>
    <m/>
    <m/>
    <m/>
    <m/>
    <m/>
    <m/>
    <m/>
    <m/>
    <m/>
    <m/>
    <m/>
    <m/>
    <m/>
    <m/>
    <m/>
    <m/>
  </r>
  <r>
    <x v="24"/>
    <s v="FAC"/>
    <s v="005"/>
    <s v="00000102"/>
    <x v="96"/>
    <s v="AXA172"/>
    <d v="2019-11-07T00:00:00"/>
    <s v="20100041953"/>
    <s v="RIMAC SEGUROS  Y REASEGUROS S.A"/>
    <s v="2908010001"/>
    <s v="TERCEROS"/>
    <s v="000"/>
    <s v="001"/>
    <s v="CONTADO"/>
    <s v="002"/>
    <s v="MANTENIMIENTO-MECANICA"/>
    <s v="$"/>
    <n v="3.3759999000000001"/>
    <n v="1"/>
    <n v="37.5"/>
    <n v="37.5"/>
    <n v="6.75"/>
    <n v="44.25"/>
    <n v="126.59999625"/>
    <m/>
    <m/>
    <m/>
    <m/>
    <m/>
    <m/>
    <m/>
    <m/>
    <m/>
    <m/>
    <m/>
    <m/>
    <m/>
    <m/>
    <m/>
    <m/>
    <m/>
    <m/>
    <m/>
    <m/>
    <m/>
    <m/>
    <m/>
    <m/>
  </r>
  <r>
    <x v="24"/>
    <s v="FAC"/>
    <s v="005"/>
    <s v="00000102"/>
    <x v="96"/>
    <s v="AXA172"/>
    <d v="2019-11-07T00:00:00"/>
    <s v="20100041953"/>
    <s v="RIMAC SEGUROS  Y REASEGUROS S.A"/>
    <s v="310120"/>
    <s v="FRANQUICIA"/>
    <s v="000"/>
    <s v="001"/>
    <s v="CONTADO"/>
    <s v="002"/>
    <s v="MANTENIMIENTO-MECANICA"/>
    <s v="$"/>
    <n v="3.3759999000000001"/>
    <n v="-1"/>
    <n v="100"/>
    <n v="-100"/>
    <n v="-18"/>
    <n v="-118"/>
    <n v="-337.59998999999999"/>
    <m/>
    <m/>
    <m/>
    <m/>
    <m/>
    <m/>
    <m/>
    <m/>
    <m/>
    <m/>
    <m/>
    <m/>
    <m/>
    <m/>
    <m/>
    <m/>
    <m/>
    <m/>
    <m/>
    <m/>
    <m/>
    <m/>
    <m/>
    <m/>
  </r>
  <r>
    <x v="24"/>
    <s v="FAC"/>
    <s v="005"/>
    <s v="00000103"/>
    <x v="97"/>
    <s v="AXA172"/>
    <d v="2019-11-04T00:00:00"/>
    <s v="20509959766"/>
    <s v="RENTAEQUIPOS LEASING PERU S.A."/>
    <s v="310120"/>
    <s v="FRANQUICIA"/>
    <s v="000"/>
    <s v="001"/>
    <s v="CONTADO"/>
    <s v="002"/>
    <s v="MANTENIMIENTO-MECANICA"/>
    <s v="$"/>
    <n v="3.3759999000000001"/>
    <n v="1"/>
    <n v="100"/>
    <n v="100"/>
    <n v="18"/>
    <n v="118"/>
    <n v="337.59998999999999"/>
    <m/>
    <m/>
    <m/>
    <m/>
    <m/>
    <m/>
    <m/>
    <m/>
    <m/>
    <m/>
    <m/>
    <m/>
    <m/>
    <m/>
    <m/>
    <m/>
    <m/>
    <m/>
    <m/>
    <m/>
    <m/>
    <m/>
    <m/>
    <m/>
  </r>
  <r>
    <x v="24"/>
    <s v="FAC"/>
    <s v="005"/>
    <s v="00000104"/>
    <x v="97"/>
    <s v="AXA172"/>
    <d v="2019-11-04T00:00:00"/>
    <s v="20100041953"/>
    <s v="RIMAC SEGUROS  Y REASEGUROS S.A"/>
    <s v="1302020001"/>
    <s v="PINTURA"/>
    <s v="000"/>
    <s v="001"/>
    <s v="CONTADO"/>
    <s v="009"/>
    <s v="PINTURA"/>
    <s v="$"/>
    <n v="3.3759999000000001"/>
    <n v="1"/>
    <n v="88.5"/>
    <n v="88.5"/>
    <n v="15.93"/>
    <n v="104.43"/>
    <n v="298.77599114999998"/>
    <m/>
    <m/>
    <m/>
    <m/>
    <m/>
    <m/>
    <m/>
    <m/>
    <m/>
    <m/>
    <m/>
    <m/>
    <m/>
    <m/>
    <m/>
    <m/>
    <m/>
    <m/>
    <m/>
    <m/>
    <m/>
    <m/>
    <m/>
    <m/>
  </r>
  <r>
    <x v="24"/>
    <s v="FAC"/>
    <s v="005"/>
    <s v="00000104"/>
    <x v="97"/>
    <s v="AXA172"/>
    <d v="2019-11-04T00:00:00"/>
    <s v="20100041953"/>
    <s v="RIMAC SEGUROS  Y REASEGUROS S.A"/>
    <s v="1201020001"/>
    <s v="PLANCHADO"/>
    <s v="000"/>
    <s v="001"/>
    <s v="CONTADO"/>
    <s v="001"/>
    <s v="PLANCHADO"/>
    <s v="$"/>
    <n v="3.3759999000000001"/>
    <n v="1"/>
    <n v="30"/>
    <n v="30"/>
    <n v="5.4000019999999997"/>
    <n v="35.400002000000001"/>
    <n v="101.27999700000001"/>
    <m/>
    <m/>
    <m/>
    <m/>
    <m/>
    <m/>
    <m/>
    <m/>
    <m/>
    <m/>
    <m/>
    <m/>
    <m/>
    <m/>
    <m/>
    <m/>
    <m/>
    <m/>
    <m/>
    <m/>
    <m/>
    <m/>
    <m/>
    <m/>
  </r>
  <r>
    <x v="24"/>
    <s v="FAC"/>
    <s v="005"/>
    <s v="00000104"/>
    <x v="97"/>
    <s v="AXA172"/>
    <d v="2019-11-04T00:00:00"/>
    <s v="20100041953"/>
    <s v="RIMAC SEGUROS  Y REASEGUROS S.A"/>
    <s v="2908010001"/>
    <s v="TERCEROS"/>
    <s v="000"/>
    <s v="001"/>
    <s v="CONTADO"/>
    <s v="002"/>
    <s v="MANTENIMIENTO-MECANICA"/>
    <s v="$"/>
    <n v="3.3759999000000001"/>
    <n v="1"/>
    <n v="30"/>
    <n v="30"/>
    <n v="5.4000019999999997"/>
    <n v="35.400002000000001"/>
    <n v="101.27999700000001"/>
    <m/>
    <m/>
    <m/>
    <m/>
    <m/>
    <m/>
    <m/>
    <m/>
    <m/>
    <m/>
    <m/>
    <m/>
    <m/>
    <m/>
    <m/>
    <m/>
    <m/>
    <m/>
    <m/>
    <m/>
    <m/>
    <m/>
    <m/>
    <m/>
  </r>
  <r>
    <x v="24"/>
    <s v="FAC"/>
    <s v="005"/>
    <s v="00000104"/>
    <x v="97"/>
    <s v="AXA172"/>
    <d v="2019-11-04T00:00:00"/>
    <s v="20100041953"/>
    <s v="RIMAC SEGUROS  Y REASEGUROS S.A"/>
    <s v="310120"/>
    <s v="FRANQUICIA"/>
    <s v="000"/>
    <s v="001"/>
    <s v="CONTADO"/>
    <s v="002"/>
    <s v="MANTENIMIENTO-MECANICA"/>
    <s v="$"/>
    <n v="3.3759999000000001"/>
    <n v="-1"/>
    <n v="100"/>
    <n v="-100"/>
    <n v="-18"/>
    <n v="-118"/>
    <n v="-337.59998999999999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5"/>
    <x v="98"/>
    <s v="B2F354"/>
    <d v="2019-11-05T00:00:00"/>
    <s v="10474822261"/>
    <s v="ALVARO MARQUEZ VERTIZ"/>
    <s v="310120"/>
    <s v="FRANQUICIA"/>
    <s v="000"/>
    <s v="001"/>
    <s v="CONTADO"/>
    <s v="002"/>
    <s v="MANTENIMIENTO-MECANICA"/>
    <s v="$"/>
    <n v="3.3919999999999999"/>
    <n v="1"/>
    <n v="100"/>
    <n v="100"/>
    <n v="18"/>
    <n v="118"/>
    <n v="339.2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6"/>
    <x v="99"/>
    <s v="F5O086"/>
    <d v="2019-10-16T00:00:00"/>
    <s v="20438563084"/>
    <s v="EDPYME ACCESO CREDITICIO SOCIEDAD ANONIMA"/>
    <s v="1302020001"/>
    <s v="PINTURA"/>
    <s v="000"/>
    <s v="001"/>
    <s v="CONTADO"/>
    <s v="009"/>
    <s v="PINTURA"/>
    <s v="S/."/>
    <n v="3.3919999999999999"/>
    <n v="1"/>
    <n v="2295"/>
    <n v="2295"/>
    <n v="413.10010000000011"/>
    <n v="2708.1001000000001"/>
    <n v="2295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6"/>
    <x v="99"/>
    <s v="F5O086"/>
    <d v="2019-10-16T00:00:00"/>
    <s v="20438563084"/>
    <s v="EDPYME ACCESO CREDITICIO SOCIEDAD ANONIMA"/>
    <s v="1201020001"/>
    <s v="PLANCHADO"/>
    <s v="000"/>
    <s v="001"/>
    <s v="CONTADO"/>
    <s v="001"/>
    <s v="PLANCHADO"/>
    <s v="S/."/>
    <n v="3.3919999999999999"/>
    <n v="1"/>
    <n v="1225"/>
    <n v="1225"/>
    <n v="220.5"/>
    <n v="1445.5"/>
    <n v="1225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6"/>
    <x v="99"/>
    <s v="F5O086"/>
    <d v="2019-10-16T00:00:00"/>
    <s v="20438563084"/>
    <s v="EDPYME ACCESO CREDITICIO SOCIEDAD ANONIMA"/>
    <s v="2908010001"/>
    <s v="TERCEROS"/>
    <s v="000"/>
    <s v="001"/>
    <s v="CONTADO"/>
    <s v="002"/>
    <s v="MANTENIMIENTO-MECANICA"/>
    <s v="S/."/>
    <n v="3.3919999999999999"/>
    <n v="1"/>
    <n v="380"/>
    <n v="380"/>
    <n v="68.399990000000031"/>
    <n v="448.39999000000006"/>
    <n v="38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6"/>
    <x v="99"/>
    <s v="F5O086"/>
    <d v="2019-10-16T00:00:00"/>
    <s v="20438563084"/>
    <s v="EDPYME ACCESO CREDITICIO SOCIEDAD ANONIMA"/>
    <s v="2908010002"/>
    <s v="AMPLIACION TERCEROS"/>
    <s v="000"/>
    <s v="001"/>
    <s v="CONTADO"/>
    <s v="002"/>
    <s v="MANTENIMIENTO-MECANICA"/>
    <s v="S/."/>
    <n v="3.3919999999999999"/>
    <n v="1"/>
    <n v="310"/>
    <n v="310"/>
    <n v="55.799990000000037"/>
    <n v="365.79999000000004"/>
    <n v="31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6"/>
    <x v="99"/>
    <s v="F5O086"/>
    <d v="2019-10-16T00:00:00"/>
    <s v="20438563084"/>
    <s v="EDPYME ACCESO CREDITICIO SOCIEDAD ANONIMA"/>
    <s v="2908010003"/>
    <s v="AMPLIACION DE REPUESTOS"/>
    <s v="000"/>
    <s v="001"/>
    <s v="CONTADO"/>
    <s v="002"/>
    <s v="MANTENIMIENTO-MECANICA"/>
    <s v="S/."/>
    <n v="3.3919999999999999"/>
    <n v="1"/>
    <n v="1529"/>
    <n v="1529"/>
    <n v="275.22000000000003"/>
    <n v="1804.22"/>
    <n v="1529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6"/>
    <x v="99"/>
    <s v="F5O086"/>
    <d v="2019-10-16T00:00:00"/>
    <s v="20438563084"/>
    <s v="EDPYME ACCESO CREDITICIO SOCIEDAD ANONIMA"/>
    <s v="2805010001"/>
    <s v="SERVICIOS"/>
    <s v="000"/>
    <s v="001"/>
    <s v="CONTADO"/>
    <s v="002"/>
    <s v="MANTENIMIENTO-MECANICA"/>
    <s v="S/."/>
    <n v="3.3919999999999999"/>
    <n v="1"/>
    <n v="358.75421"/>
    <n v="358.75421"/>
    <n v="64.575780000000009"/>
    <n v="423.32999000000001"/>
    <n v="358.75421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6"/>
    <x v="99"/>
    <s v="F5O086"/>
    <d v="2019-10-16T00:00:00"/>
    <s v="20438563084"/>
    <s v="EDPYME ACCESO CREDITICIO SOCIEDAD ANONIMA"/>
    <s v="320001"/>
    <s v="REPUESTOS"/>
    <s v="000"/>
    <s v="001"/>
    <s v="CONTADO"/>
    <s v="002"/>
    <s v="MANTENIMIENTO-MECANICA"/>
    <s v="S/."/>
    <n v="3.3919999999999999"/>
    <n v="1"/>
    <n v="3777"/>
    <n v="3777"/>
    <n v="679.85989999999993"/>
    <n v="4456.8598999999995"/>
    <n v="3777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7"/>
    <x v="100"/>
    <s v="ANZ637"/>
    <d v="2019-10-16T00:00:00"/>
    <s v="20438563084"/>
    <s v="EDPYME ACCESO CREDITICIO SOCIEDAD ANONIMA"/>
    <s v="1302020001"/>
    <s v="PINTURA"/>
    <s v="000"/>
    <s v="001"/>
    <s v="CONTADO"/>
    <s v="009"/>
    <s v="PINTURA"/>
    <s v="S/."/>
    <n v="3.3919999999999999"/>
    <n v="1"/>
    <n v="2295"/>
    <n v="2295"/>
    <n v="413.10010000000011"/>
    <n v="2708.1001000000001"/>
    <n v="2295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7"/>
    <x v="100"/>
    <s v="ANZ637"/>
    <d v="2019-10-16T00:00:00"/>
    <s v="20438563084"/>
    <s v="EDPYME ACCESO CREDITICIO SOCIEDAD ANONIMA"/>
    <s v="1201020001"/>
    <s v="PLANCHADO"/>
    <s v="000"/>
    <s v="001"/>
    <s v="CONTADO"/>
    <s v="001"/>
    <s v="PLANCHADO"/>
    <s v="S/."/>
    <n v="3.3919999999999999"/>
    <n v="1"/>
    <n v="2030"/>
    <n v="2030"/>
    <n v="365.39989999999989"/>
    <n v="2395.3998999999999"/>
    <n v="203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7"/>
    <x v="100"/>
    <s v="ANZ637"/>
    <d v="2019-10-16T00:00:00"/>
    <s v="20438563084"/>
    <s v="EDPYME ACCESO CREDITICIO SOCIEDAD ANONIMA"/>
    <s v="2908010001"/>
    <s v="TERCEROS"/>
    <s v="000"/>
    <s v="001"/>
    <s v="CONTADO"/>
    <s v="002"/>
    <s v="MANTENIMIENTO-MECANICA"/>
    <s v="S/."/>
    <n v="3.3919999999999999"/>
    <n v="1"/>
    <n v="420"/>
    <n v="420"/>
    <n v="75.600009999999898"/>
    <n v="495.60000999999988"/>
    <n v="42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7"/>
    <x v="100"/>
    <s v="ANZ637"/>
    <d v="2019-10-16T00:00:00"/>
    <s v="20438563084"/>
    <s v="EDPYME ACCESO CREDITICIO SOCIEDAD ANONIMA"/>
    <s v="2908010002"/>
    <s v="AMPLIACION MECANICA"/>
    <s v="000"/>
    <s v="001"/>
    <s v="CONTADO"/>
    <s v="002"/>
    <s v="MANTENIMIENTO-MECANICA"/>
    <s v="S/."/>
    <n v="3.3919999999999999"/>
    <n v="1"/>
    <n v="35"/>
    <n v="35"/>
    <n v="6.299998999999989"/>
    <n v="41.299998999999985"/>
    <n v="35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7"/>
    <x v="100"/>
    <s v="ANZ637"/>
    <d v="2019-10-16T00:00:00"/>
    <s v="20438563084"/>
    <s v="EDPYME ACCESO CREDITICIO SOCIEDAD ANONIMA"/>
    <s v="2908010003"/>
    <s v="AMPLIACION REPUESTOS"/>
    <s v="000"/>
    <s v="001"/>
    <s v="CONTADO"/>
    <s v="002"/>
    <s v="MANTENIMIENTO-MECANICA"/>
    <s v="S/."/>
    <n v="3.3919999999999999"/>
    <n v="2"/>
    <n v="120"/>
    <n v="240"/>
    <n v="43.200020000000038"/>
    <n v="283.20002000000005"/>
    <n v="24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7"/>
    <x v="100"/>
    <s v="ANZ637"/>
    <d v="2019-10-16T00:00:00"/>
    <s v="20438563084"/>
    <s v="EDPYME ACCESO CREDITICIO SOCIEDAD ANONIMA"/>
    <s v="2805010001"/>
    <s v="SERVICIOS"/>
    <s v="000"/>
    <s v="001"/>
    <s v="CONTADO"/>
    <s v="002"/>
    <s v="MANTENIMIENTO-MECANICA"/>
    <s v="S/."/>
    <n v="3.3919999999999999"/>
    <n v="1"/>
    <n v="358.75421"/>
    <n v="358.75421"/>
    <n v="64.575780000000009"/>
    <n v="423.32999000000001"/>
    <n v="358.75421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7"/>
    <x v="100"/>
    <s v="ANZ637"/>
    <d v="2019-10-16T00:00:00"/>
    <s v="20438563084"/>
    <s v="EDPYME ACCESO CREDITICIO SOCIEDAD ANONIMA"/>
    <s v="320001"/>
    <s v="REPUESTOS"/>
    <s v="000"/>
    <s v="001"/>
    <s v="CONTADO"/>
    <s v="002"/>
    <s v="MANTENIMIENTO-MECANICA"/>
    <s v="S/."/>
    <n v="3.3919999999999999"/>
    <n v="1"/>
    <n v="2460"/>
    <n v="2460"/>
    <n v="442.8"/>
    <n v="2902.8"/>
    <n v="246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8"/>
    <x v="101"/>
    <s v="F2I424"/>
    <d v="2019-11-08T00:00:00"/>
    <s v="20438563084"/>
    <s v="EDPYME ACCESO CREDITICIO SOCIEDAD ANONIMA"/>
    <s v="1302020001"/>
    <s v="PINTURA"/>
    <s v="000"/>
    <s v="001"/>
    <s v="CONTADO"/>
    <s v="009"/>
    <s v="PINTURA"/>
    <s v="S/."/>
    <n v="3.3919999999999999"/>
    <n v="1"/>
    <n v="405"/>
    <n v="405"/>
    <n v="72.899990000000031"/>
    <n v="477.89999000000006"/>
    <n v="405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8"/>
    <x v="101"/>
    <s v="F2I424"/>
    <d v="2019-11-08T00:00:00"/>
    <s v="20438563084"/>
    <s v="EDPYME ACCESO CREDITICIO SOCIEDAD ANONIMA"/>
    <s v="2908010001"/>
    <s v="TERCEROS"/>
    <s v="000"/>
    <s v="001"/>
    <s v="CONTADO"/>
    <s v="002"/>
    <s v="MANTENIMIENTO-MECANICA"/>
    <s v="S/."/>
    <n v="3.3919999999999999"/>
    <n v="1"/>
    <n v="360"/>
    <n v="360"/>
    <n v="64.799990000000037"/>
    <n v="424.79999000000004"/>
    <n v="36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8"/>
    <x v="101"/>
    <s v="F2I424"/>
    <d v="2019-11-08T00:00:00"/>
    <s v="20438563084"/>
    <s v="EDPYME ACCESO CREDITICIO SOCIEDAD ANONIMA"/>
    <s v="2805010001"/>
    <s v="SERVICIOS"/>
    <s v="000"/>
    <s v="001"/>
    <s v="CONTADO"/>
    <s v="002"/>
    <s v="MANTENIMIENTO-MECANICA"/>
    <s v="S/."/>
    <n v="3.3919999999999999"/>
    <n v="1"/>
    <n v="70"/>
    <n v="70"/>
    <n v="12.599997999999978"/>
    <n v="82.599997999999971"/>
    <n v="7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8"/>
    <x v="101"/>
    <s v="F2I424"/>
    <d v="2019-11-08T00:00:00"/>
    <s v="20438563084"/>
    <s v="EDPYME ACCESO CREDITICIO SOCIEDAD ANONIMA"/>
    <s v="320001"/>
    <s v="REPUESTOS"/>
    <s v="000"/>
    <s v="001"/>
    <s v="CONTADO"/>
    <s v="002"/>
    <s v="MANTENIMIENTO-MECANICA"/>
    <s v="S/."/>
    <n v="3.3919999999999999"/>
    <n v="1"/>
    <n v="1058"/>
    <n v="1058"/>
    <n v="190.43989999999991"/>
    <n v="1248.4398999999999"/>
    <n v="1058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9"/>
    <x v="102"/>
    <s v="AMD392"/>
    <d v="2019-11-06T00:00:00"/>
    <s v="20438563084"/>
    <s v="EDPYME ACCESO CREDITICIO SOCIEDAD ANONIMA"/>
    <s v="1302020001"/>
    <s v="PINTURA"/>
    <s v="000"/>
    <s v="001"/>
    <s v="CONTADO"/>
    <s v="009"/>
    <s v="PINTURA"/>
    <s v="S/."/>
    <n v="3.3919999999999999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9"/>
    <x v="102"/>
    <s v="AMD392"/>
    <d v="2019-11-06T00:00:00"/>
    <s v="20438563084"/>
    <s v="EDPYME ACCESO CREDITICIO SOCIEDAD ANONIMA"/>
    <s v="1201020001"/>
    <s v="PLANCHADO"/>
    <s v="000"/>
    <s v="001"/>
    <s v="CONTADO"/>
    <s v="001"/>
    <s v="PLANCHADO"/>
    <s v="S/."/>
    <n v="3.3919999999999999"/>
    <n v="1"/>
    <n v="1470"/>
    <n v="1470"/>
    <n v="264.60000000000002"/>
    <n v="1734.6"/>
    <n v="147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9"/>
    <x v="102"/>
    <s v="AMD392"/>
    <d v="2019-11-06T00:00:00"/>
    <s v="20438563084"/>
    <s v="EDPYME ACCESO CREDITICIO SOCIEDAD ANONIMA"/>
    <s v="2908010001"/>
    <s v="TERCEROS"/>
    <s v="000"/>
    <s v="001"/>
    <s v="CONTADO"/>
    <s v="002"/>
    <s v="MANTENIMIENTO-MECANICA"/>
    <s v="S/."/>
    <n v="3.3919999999999999"/>
    <n v="1"/>
    <n v="970"/>
    <n v="970"/>
    <n v="174.59999999999985"/>
    <n v="1144.5999999999999"/>
    <n v="97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9"/>
    <x v="102"/>
    <s v="AMD392"/>
    <d v="2019-11-06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919999999999999"/>
    <n v="1"/>
    <n v="1340"/>
    <n v="1340"/>
    <n v="241.2"/>
    <n v="1581.2"/>
    <n v="134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9"/>
    <x v="102"/>
    <s v="AMD392"/>
    <d v="2019-11-06T00:00:00"/>
    <s v="20438563084"/>
    <s v="EDPYME ACCESO CREDITICIO SOCIEDAD ANONIMA"/>
    <s v="2908010003"/>
    <s v="AMPLIACION REPUESTOS"/>
    <s v="000"/>
    <s v="001"/>
    <s v="CONTADO"/>
    <s v="002"/>
    <s v="MANTENIMIENTO-MECANICA"/>
    <s v="S/."/>
    <n v="3.3919999999999999"/>
    <n v="1"/>
    <n v="170"/>
    <n v="170"/>
    <n v="30.600010000000001"/>
    <n v="200.60001"/>
    <n v="17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9"/>
    <x v="102"/>
    <s v="AMD392"/>
    <d v="2019-11-06T00:00:00"/>
    <s v="20438563084"/>
    <s v="EDPYME ACCESO CREDITICIO SOCIEDAD ANONIMA"/>
    <s v="2908010003"/>
    <s v="AMPLIACION DE TERCEROS"/>
    <s v="000"/>
    <s v="001"/>
    <s v="CONTADO"/>
    <s v="002"/>
    <s v="MANTENIMIENTO-MECANICA"/>
    <s v="S/."/>
    <n v="3.3919999999999999"/>
    <n v="1"/>
    <n v="100"/>
    <n v="100"/>
    <n v="18"/>
    <n v="118"/>
    <n v="10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9"/>
    <x v="102"/>
    <s v="AMD392"/>
    <d v="2019-11-06T00:00:00"/>
    <s v="20438563084"/>
    <s v="EDPYME ACCESO CREDITICIO SOCIEDAD ANONIMA"/>
    <s v="2908010003"/>
    <s v="AMPLIACION PLANCHADO"/>
    <s v="000"/>
    <s v="001"/>
    <s v="CONTADO"/>
    <s v="002"/>
    <s v="MANTENIMIENTO-MECANICA"/>
    <s v="S/."/>
    <n v="3.3919999999999999"/>
    <n v="3"/>
    <n v="35"/>
    <n v="105"/>
    <n v="18.899996999999971"/>
    <n v="123.89999699999997"/>
    <n v="105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9"/>
    <x v="102"/>
    <s v="AMD392"/>
    <d v="2019-11-06T00:00:00"/>
    <s v="20438563084"/>
    <s v="EDPYME ACCESO CREDITICIO SOCIEDAD ANONIMA"/>
    <s v="2805010001"/>
    <s v="SERVICIOS"/>
    <s v="000"/>
    <s v="001"/>
    <s v="CONTADO"/>
    <s v="002"/>
    <s v="MANTENIMIENTO-MECANICA"/>
    <s v="S/."/>
    <n v="3.3919999999999999"/>
    <n v="1"/>
    <n v="778.75420999999972"/>
    <n v="778.75420999999972"/>
    <n v="140.17578000000023"/>
    <n v="918.92998999999998"/>
    <n v="778.75420999999972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09"/>
    <x v="102"/>
    <s v="AMD392"/>
    <d v="2019-11-06T00:00:00"/>
    <s v="20438563084"/>
    <s v="EDPYME ACCESO CREDITICIO SOCIEDAD ANONIMA"/>
    <s v="320001"/>
    <s v="REPUESTOS"/>
    <s v="000"/>
    <s v="001"/>
    <s v="CONTADO"/>
    <s v="002"/>
    <s v="MANTENIMIENTO-MECANICA"/>
    <s v="S/."/>
    <n v="3.3919999999999999"/>
    <n v="1"/>
    <n v="2162"/>
    <n v="2162"/>
    <n v="389.15989999999988"/>
    <n v="2551.1599000000001"/>
    <n v="2162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0"/>
    <x v="103"/>
    <s v="AXC049"/>
    <d v="2019-10-16T00:00:00"/>
    <s v="20438563084"/>
    <s v="EDPYME ACCESO CREDITICIO SOCIEDAD ANONIMA"/>
    <s v="1302020001"/>
    <s v="PINTURA"/>
    <s v="000"/>
    <s v="001"/>
    <s v="CONTADO"/>
    <s v="009"/>
    <s v="PINTURA"/>
    <s v="S/."/>
    <n v="3.3919999999999999"/>
    <n v="1"/>
    <n v="2565"/>
    <n v="2565"/>
    <n v="461.7"/>
    <n v="3026.7"/>
    <n v="2565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0"/>
    <x v="103"/>
    <s v="AXC049"/>
    <d v="2019-10-16T00:00:00"/>
    <s v="20438563084"/>
    <s v="EDPYME ACCESO CREDITICIO SOCIEDAD ANONIMA"/>
    <s v="1201020001"/>
    <s v="PLANCHADO"/>
    <s v="000"/>
    <s v="001"/>
    <s v="CONTADO"/>
    <s v="001"/>
    <s v="PLANCHADO"/>
    <s v="S/."/>
    <n v="3.3919999999999999"/>
    <n v="1"/>
    <n v="1540"/>
    <n v="1540"/>
    <n v="277.2"/>
    <n v="1817.2"/>
    <n v="154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0"/>
    <x v="103"/>
    <s v="AXC049"/>
    <d v="2019-10-16T00:00:00"/>
    <s v="20438563084"/>
    <s v="EDPYME ACCESO CREDITICIO SOCIEDAD ANONIMA"/>
    <s v="2908010001"/>
    <s v="TERCEROS"/>
    <s v="000"/>
    <s v="001"/>
    <s v="CONTADO"/>
    <s v="002"/>
    <s v="MANTENIMIENTO-MECANICA"/>
    <s v="S/."/>
    <n v="3.3919999999999999"/>
    <n v="1"/>
    <n v="480"/>
    <n v="480"/>
    <n v="86.400020000000083"/>
    <n v="566.40002000000004"/>
    <n v="48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0"/>
    <x v="103"/>
    <s v="AXC049"/>
    <d v="2019-10-16T00:00:00"/>
    <s v="20438563084"/>
    <s v="EDPYME ACCESO CREDITICIO SOCIEDAD ANONIMA"/>
    <s v="2908010002"/>
    <s v="RESPUESTO SEGUNDA PARTE"/>
    <s v="000"/>
    <s v="001"/>
    <s v="CONTADO"/>
    <s v="002"/>
    <s v="MANTENIMIENTO-MECANICA"/>
    <s v="S/."/>
    <n v="3.3919999999999999"/>
    <n v="1"/>
    <n v="658"/>
    <n v="658"/>
    <n v="118.44"/>
    <n v="776.44"/>
    <n v="658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0"/>
    <x v="103"/>
    <s v="AXC049"/>
    <d v="2019-10-16T00:00:00"/>
    <s v="20438563084"/>
    <s v="EDPYME ACCESO CREDITICIO SOCIEDAD ANONIMA"/>
    <s v="2908010003"/>
    <s v="AMPLIACION REPUESTOS"/>
    <s v="000"/>
    <s v="001"/>
    <s v="CONTADO"/>
    <s v="002"/>
    <s v="MANTENIMIENTO-MECANICA"/>
    <s v="S/."/>
    <n v="3.3919999999999999"/>
    <n v="2"/>
    <n v="130"/>
    <n v="260"/>
    <n v="46.799980000000033"/>
    <n v="306.79998000000001"/>
    <n v="26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0"/>
    <x v="103"/>
    <s v="AXC049"/>
    <d v="2019-10-16T00:00:00"/>
    <s v="20438563084"/>
    <s v="EDPYME ACCESO CREDITICIO SOCIEDAD ANONIMA"/>
    <s v="2805010001"/>
    <s v="SERVICIOS"/>
    <s v="000"/>
    <s v="001"/>
    <s v="CONTADO"/>
    <s v="002"/>
    <s v="MANTENIMIENTO-MECANICA"/>
    <s v="S/."/>
    <n v="3.3919999999999999"/>
    <n v="1"/>
    <n v="463.75421"/>
    <n v="463.75421"/>
    <n v="83.475769999999898"/>
    <n v="547.22997999999995"/>
    <n v="463.75421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0"/>
    <x v="103"/>
    <s v="AXC049"/>
    <d v="2019-10-16T00:00:00"/>
    <s v="20438563084"/>
    <s v="EDPYME ACCESO CREDITICIO SOCIEDAD ANONIMA"/>
    <s v="320001"/>
    <s v="REPUESTOS"/>
    <s v="000"/>
    <s v="001"/>
    <s v="CONTADO"/>
    <s v="002"/>
    <s v="MANTENIMIENTO-MECANICA"/>
    <s v="S/."/>
    <n v="3.3919999999999999"/>
    <n v="1"/>
    <n v="3120"/>
    <n v="3120"/>
    <n v="561.60010000000011"/>
    <n v="3681.6001000000001"/>
    <n v="312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1"/>
    <x v="104"/>
    <s v="AJV347"/>
    <d v="2019-11-05T00:00:00"/>
    <s v="10078574181"/>
    <s v="LUIS ALEJANDRO ARRIARAN SIERRALTA"/>
    <s v="310120"/>
    <s v="FRANQUICIA"/>
    <s v="000"/>
    <s v="001"/>
    <s v="CONTADO"/>
    <s v="002"/>
    <s v="MANTENIMIENTO-MECANICA"/>
    <s v="$"/>
    <n v="3.3919999999999999"/>
    <n v="1"/>
    <n v="100"/>
    <n v="100"/>
    <n v="18"/>
    <n v="118"/>
    <n v="339.2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2"/>
    <x v="105"/>
    <s v="AXC070"/>
    <d v="2019-11-05T00:00:00"/>
    <s v="10722994944"/>
    <s v="FERNANDO ANTONIO MOLINA SHULLCA"/>
    <s v="310120"/>
    <s v="FRANQUICIA"/>
    <s v="000"/>
    <s v="001"/>
    <s v="CONTADO"/>
    <s v="002"/>
    <s v="MANTENIMIENTO-MECANICA"/>
    <s v="$"/>
    <n v="3.3919999999999999"/>
    <n v="1"/>
    <n v="100"/>
    <n v="100"/>
    <n v="18"/>
    <n v="118"/>
    <n v="339.2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3"/>
    <x v="106"/>
    <s v="AXC070"/>
    <d v="2019-11-07T00:00:00"/>
    <s v="10722994944"/>
    <s v="FERNANDO ANTONIO MOLINA SHULLCA"/>
    <s v="1302020001"/>
    <s v="PINTURA"/>
    <s v="000"/>
    <s v="001"/>
    <s v="CONTADO"/>
    <s v="009"/>
    <s v="PINTURA"/>
    <s v="$"/>
    <n v="3.3919999999999999"/>
    <n v="1"/>
    <n v="60"/>
    <n v="60"/>
    <n v="10.800002999999997"/>
    <n v="70.800003000000004"/>
    <n v="203.51999999999998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3"/>
    <x v="106"/>
    <s v="AXC070"/>
    <d v="2019-11-07T00:00:00"/>
    <s v="10722994944"/>
    <s v="FERNANDO ANTONIO MOLINA SHULLCA"/>
    <s v="1201020001"/>
    <s v="PLANCHADO"/>
    <s v="000"/>
    <s v="001"/>
    <s v="CONTADO"/>
    <s v="001"/>
    <s v="PLANCHADO"/>
    <s v="$"/>
    <n v="3.3919999999999999"/>
    <n v="1"/>
    <n v="40.008499000000008"/>
    <n v="40.008499000000008"/>
    <n v="7.20150000000001"/>
    <n v="47.209999000000018"/>
    <n v="135.70882860800003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4"/>
    <x v="98"/>
    <s v="B2F354"/>
    <d v="2019-11-05T00:00:00"/>
    <s v="20100041953"/>
    <s v="RIMAC SEGUROS  Y REASEGUROS S.A"/>
    <s v="1302020001"/>
    <s v="PINTURA"/>
    <s v="000"/>
    <s v="001"/>
    <s v="CONTADO"/>
    <s v="009"/>
    <s v="PINTURA"/>
    <s v="$"/>
    <n v="3.3919999999999999"/>
    <n v="1"/>
    <n v="177"/>
    <n v="177"/>
    <n v="31.86"/>
    <n v="208.86"/>
    <n v="600.38400000000001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4"/>
    <x v="98"/>
    <s v="B2F354"/>
    <d v="2019-11-05T00:00:00"/>
    <s v="20100041953"/>
    <s v="RIMAC SEGUROS  Y REASEGUROS S.A"/>
    <s v="1201020001"/>
    <s v="PLANCHADO"/>
    <s v="000"/>
    <s v="001"/>
    <s v="CONTADO"/>
    <s v="001"/>
    <s v="PLANCHADO"/>
    <s v="$"/>
    <n v="3.3919999999999999"/>
    <n v="1"/>
    <n v="120"/>
    <n v="120"/>
    <n v="21.600010000000019"/>
    <n v="141.60001000000003"/>
    <n v="407.03999999999996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4"/>
    <x v="98"/>
    <s v="B2F354"/>
    <d v="2019-11-05T00:00:00"/>
    <s v="20100041953"/>
    <s v="RIMAC SEGUROS  Y REASEGUROS S.A"/>
    <s v="2908010001"/>
    <s v="TERCEROS"/>
    <s v="000"/>
    <s v="001"/>
    <s v="CONTADO"/>
    <s v="002"/>
    <s v="MANTENIMIENTO-MECANICA"/>
    <s v="$"/>
    <n v="3.3919999999999999"/>
    <n v="1"/>
    <n v="30"/>
    <n v="30"/>
    <n v="5.4000019999999997"/>
    <n v="35.400002000000001"/>
    <n v="101.75999999999999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4"/>
    <x v="98"/>
    <s v="B2F354"/>
    <d v="2019-11-05T00:00:00"/>
    <s v="20100041953"/>
    <s v="RIMAC SEGUROS  Y REASEGUROS S.A"/>
    <s v="310120"/>
    <s v="FRANQUICIA"/>
    <s v="000"/>
    <s v="001"/>
    <s v="CONTADO"/>
    <s v="002"/>
    <s v="MANTENIMIENTO-MECANICA"/>
    <s v="$"/>
    <n v="3.3919999999999999"/>
    <n v="-1"/>
    <n v="100"/>
    <n v="-100"/>
    <n v="-18"/>
    <n v="-118"/>
    <n v="-339.2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4"/>
    <x v="98"/>
    <s v="B2F354"/>
    <d v="2019-11-05T00:00:00"/>
    <s v="20100041953"/>
    <s v="RIMAC SEGUROS  Y REASEGUROS S.A"/>
    <s v="320001"/>
    <s v="REPUESTOS"/>
    <s v="000"/>
    <s v="001"/>
    <s v="CONTADO"/>
    <s v="002"/>
    <s v="MANTENIMIENTO-MECANICA"/>
    <s v="$"/>
    <n v="3.3919999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6"/>
    <x v="107"/>
    <s v="B8U062"/>
    <d v="2019-11-06T00:00:00"/>
    <s v="20100041953"/>
    <s v="RIMAC SEGUROS  Y REASEGUROS S.A"/>
    <s v="1302020001"/>
    <s v="PINTURA"/>
    <s v="000"/>
    <s v="001"/>
    <s v="CONTADO"/>
    <s v="009"/>
    <s v="PINTURA"/>
    <s v="$"/>
    <n v="3.3919999999999999"/>
    <n v="1"/>
    <n v="118"/>
    <n v="118"/>
    <n v="21.240010000000019"/>
    <n v="139.24001000000001"/>
    <n v="400.25599999999997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6"/>
    <x v="107"/>
    <s v="B8U062"/>
    <d v="2019-11-06T00:00:00"/>
    <s v="20100041953"/>
    <s v="RIMAC SEGUROS  Y REASEGUROS S.A"/>
    <s v="1201020001"/>
    <s v="PLANCHADO"/>
    <s v="000"/>
    <s v="001"/>
    <s v="CONTADO"/>
    <s v="001"/>
    <s v="PLANCHADO"/>
    <s v="$"/>
    <n v="3.3919999999999999"/>
    <n v="1"/>
    <n v="75"/>
    <n v="75"/>
    <n v="13.5"/>
    <n v="88.5"/>
    <n v="254.4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6"/>
    <x v="107"/>
    <s v="B8U062"/>
    <d v="2019-11-06T00:00:00"/>
    <s v="20100041953"/>
    <s v="RIMAC SEGUROS  Y REASEGUROS S.A"/>
    <s v="310120"/>
    <s v="FRANQUICIA"/>
    <s v="000"/>
    <s v="001"/>
    <s v="CONTADO"/>
    <s v="002"/>
    <s v="MANTENIMIENTO-MECANICA"/>
    <s v="$"/>
    <n v="3.3919999999999999"/>
    <n v="-1"/>
    <n v="100"/>
    <n v="-100"/>
    <n v="-18"/>
    <n v="-118"/>
    <n v="-339.2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7"/>
    <x v="104"/>
    <s v="AJV347"/>
    <d v="2019-11-05T00:00:00"/>
    <s v="20100041953"/>
    <s v="RIMAC SEGUROS  Y REASEGUROS S.A"/>
    <s v="1302020001"/>
    <s v="PINTURA"/>
    <s v="000"/>
    <s v="001"/>
    <s v="CONTADO"/>
    <s v="009"/>
    <s v="PINTURA"/>
    <s v="$"/>
    <n v="3.3919999999999999"/>
    <n v="1"/>
    <n v="147.5"/>
    <n v="147.5"/>
    <n v="26.55"/>
    <n v="174.05"/>
    <n v="500.32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7"/>
    <x v="104"/>
    <s v="AJV347"/>
    <d v="2019-11-05T00:00:00"/>
    <s v="20100041953"/>
    <s v="RIMAC SEGUROS  Y REASEGUROS S.A"/>
    <s v="1201020001"/>
    <s v="PLANCHADO"/>
    <s v="000"/>
    <s v="001"/>
    <s v="CONTADO"/>
    <s v="001"/>
    <s v="PLANCHADO"/>
    <s v="$"/>
    <n v="3.3919999999999999"/>
    <n v="1"/>
    <n v="120"/>
    <n v="120"/>
    <n v="21.600010000000019"/>
    <n v="141.60001000000003"/>
    <n v="407.03999999999996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7"/>
    <x v="104"/>
    <s v="AJV347"/>
    <d v="2019-11-05T00:00:00"/>
    <s v="20100041953"/>
    <s v="RIMAC SEGUROS  Y REASEGUROS S.A"/>
    <s v="2908010001"/>
    <s v="TERCEROS"/>
    <s v="000"/>
    <s v="001"/>
    <s v="CONTADO"/>
    <s v="002"/>
    <s v="MANTENIMIENTO-MECANICA"/>
    <s v="$"/>
    <n v="3.3919999999999999"/>
    <n v="1"/>
    <n v="55"/>
    <n v="55"/>
    <n v="9.9000020000000131"/>
    <n v="64.900002000000015"/>
    <n v="186.56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7"/>
    <x v="104"/>
    <s v="AJV347"/>
    <d v="2019-11-05T00:00:00"/>
    <s v="20100041953"/>
    <s v="RIMAC SEGUROS  Y REASEGUROS S.A"/>
    <s v="310120"/>
    <s v="FRANQUICIA"/>
    <s v="000"/>
    <s v="001"/>
    <s v="CONTADO"/>
    <s v="002"/>
    <s v="MANTENIMIENTO-MECANICA"/>
    <s v="$"/>
    <n v="3.3919999999999999"/>
    <n v="-1"/>
    <n v="100"/>
    <n v="-100"/>
    <n v="-18"/>
    <n v="-118"/>
    <n v="-339.2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8"/>
    <x v="105"/>
    <s v="AXC070"/>
    <d v="2019-11-05T00:00:00"/>
    <s v="20100041953"/>
    <s v="RIMAC SEGUROS  Y REASEGUROS S.A"/>
    <s v="1302020001"/>
    <s v="PINTURA"/>
    <s v="000"/>
    <s v="001"/>
    <s v="CONTADO"/>
    <s v="009"/>
    <s v="PINTURA"/>
    <s v="$"/>
    <n v="3.3919999999999999"/>
    <n v="1"/>
    <n v="118"/>
    <n v="118"/>
    <n v="21.240010000000019"/>
    <n v="139.24001000000001"/>
    <n v="400.25599999999997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8"/>
    <x v="105"/>
    <s v="AXC070"/>
    <d v="2019-11-05T00:00:00"/>
    <s v="20100041953"/>
    <s v="RIMAC SEGUROS  Y REASEGUROS S.A"/>
    <s v="1201020001"/>
    <s v="PLANCHADO"/>
    <s v="000"/>
    <s v="001"/>
    <s v="CONTADO"/>
    <s v="001"/>
    <s v="PLANCHADO"/>
    <s v="$"/>
    <n v="3.3919999999999999"/>
    <n v="1"/>
    <n v="225"/>
    <n v="225"/>
    <n v="40.5"/>
    <n v="265.5"/>
    <n v="763.19999999999993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8"/>
    <x v="105"/>
    <s v="AXC070"/>
    <d v="2019-11-05T00:00:00"/>
    <s v="20100041953"/>
    <s v="RIMAC SEGUROS  Y REASEGUROS S.A"/>
    <s v="310120"/>
    <s v="FRANQUICIA"/>
    <s v="000"/>
    <s v="001"/>
    <s v="CONTADO"/>
    <s v="002"/>
    <s v="MANTENIMIENTO-MECANICA"/>
    <s v="$"/>
    <n v="3.3919999999999999"/>
    <n v="-1"/>
    <n v="100"/>
    <n v="-100"/>
    <n v="-18"/>
    <n v="-118"/>
    <n v="-339.2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8"/>
    <x v="105"/>
    <s v="AXC070"/>
    <d v="2019-11-05T00:00:00"/>
    <s v="20100041953"/>
    <s v="RIMAC SEGUROS  Y REASEGUROS S.A"/>
    <s v="320001"/>
    <s v="REPUESTOS"/>
    <s v="000"/>
    <s v="001"/>
    <s v="CONTADO"/>
    <s v="002"/>
    <s v="MANTENIMIENTO-MECANICA"/>
    <s v="$"/>
    <n v="3.3919999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9"/>
    <x v="108"/>
    <s v="AWQ505"/>
    <d v="2019-11-04T00:00:00"/>
    <s v="20100041953"/>
    <s v="RIMAC SEGUROS  Y REASEGUROS S.A"/>
    <s v="1302020001"/>
    <s v="PINTURA"/>
    <s v="000"/>
    <s v="001"/>
    <s v="CONTADO"/>
    <s v="009"/>
    <s v="PINTURA"/>
    <s v="$"/>
    <n v="3.3919999999999999"/>
    <n v="1"/>
    <n v="295"/>
    <n v="295"/>
    <n v="53.100009999999891"/>
    <n v="348.10000999999988"/>
    <n v="1000.64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9"/>
    <x v="108"/>
    <s v="AWQ505"/>
    <d v="2019-11-04T00:00:00"/>
    <s v="20100041953"/>
    <s v="RIMAC SEGUROS  Y REASEGUROS S.A"/>
    <s v="1201020001"/>
    <s v="PLANCHADO"/>
    <s v="000"/>
    <s v="001"/>
    <s v="CONTADO"/>
    <s v="001"/>
    <s v="PLANCHADO"/>
    <s v="$"/>
    <n v="3.3919999999999999"/>
    <n v="1"/>
    <n v="135"/>
    <n v="135"/>
    <n v="24.3"/>
    <n v="159.30000000000001"/>
    <n v="457.91999999999996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9"/>
    <x v="108"/>
    <s v="AWQ505"/>
    <d v="2019-11-04T00:00:00"/>
    <s v="20100041953"/>
    <s v="RIMAC SEGUROS  Y REASEGUROS S.A"/>
    <s v="2908010001"/>
    <s v="TERCEROS"/>
    <s v="000"/>
    <s v="001"/>
    <s v="CONTADO"/>
    <s v="002"/>
    <s v="MANTENIMIENTO-MECANICA"/>
    <s v="$"/>
    <n v="3.3919999999999999"/>
    <n v="1"/>
    <n v="90"/>
    <n v="90"/>
    <n v="16.2"/>
    <n v="106.2"/>
    <n v="305.27999999999997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9"/>
    <x v="108"/>
    <s v="AWQ505"/>
    <d v="2019-11-04T00:00:00"/>
    <s v="20100041953"/>
    <s v="RIMAC SEGUROS  Y REASEGUROS S.A"/>
    <s v="310120"/>
    <s v="FRANQUICIA"/>
    <s v="000"/>
    <s v="001"/>
    <s v="CONTADO"/>
    <s v="002"/>
    <s v="MANTENIMIENTO-MECANICA"/>
    <s v="$"/>
    <n v="3.3919999999999999"/>
    <n v="-1"/>
    <n v="110.20340000000002"/>
    <n v="-110.20340000000002"/>
    <n v="-19.836589999999998"/>
    <n v="-130.03999000000002"/>
    <n v="-373.80993280000007"/>
    <m/>
    <m/>
    <m/>
    <m/>
    <m/>
    <m/>
    <m/>
    <m/>
    <m/>
    <m/>
    <m/>
    <m/>
    <m/>
    <m/>
    <m/>
    <m/>
    <m/>
    <m/>
    <m/>
    <m/>
    <m/>
    <m/>
    <m/>
    <m/>
  </r>
  <r>
    <x v="25"/>
    <s v="FAC"/>
    <s v="005"/>
    <s v="00000119"/>
    <x v="108"/>
    <s v="AWQ505"/>
    <d v="2019-11-04T00:00:00"/>
    <s v="20100041953"/>
    <s v="RIMAC SEGUROS  Y REASEGUROS S.A"/>
    <s v="320001"/>
    <s v="REPUESTOS"/>
    <s v="000"/>
    <s v="001"/>
    <s v="CONTADO"/>
    <s v="002"/>
    <s v="MANTENIMIENTO-MECANICA"/>
    <s v="$"/>
    <n v="3.3919999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0"/>
    <x v="109"/>
    <s v="BKQ223"/>
    <d v="2019-11-07T00:00:00"/>
    <s v="20510274009"/>
    <s v="ECOLAB PERU HOLDINGS S.R.L."/>
    <s v="310120"/>
    <s v="FRANQUICIA"/>
    <s v="000"/>
    <s v="001"/>
    <s v="CONTADO"/>
    <s v="002"/>
    <s v="MANTENIMIENTO-MECANICA"/>
    <s v="$"/>
    <n v="3.391"/>
    <n v="1"/>
    <n v="100"/>
    <n v="100"/>
    <n v="18"/>
    <n v="118"/>
    <n v="339.1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1"/>
    <x v="110"/>
    <s v="AXN474"/>
    <d v="2019-11-06T00:00:00"/>
    <s v="20100041953"/>
    <s v="RIMAC SEGUROS  Y REASEGUROS S.A"/>
    <s v="1302020001"/>
    <s v="PINTURA"/>
    <s v="000"/>
    <s v="001"/>
    <s v="CONTADO"/>
    <s v="009"/>
    <s v="PINTURA"/>
    <s v="$"/>
    <n v="3.391"/>
    <n v="1"/>
    <n v="177"/>
    <n v="177"/>
    <n v="31.86"/>
    <n v="208.86"/>
    <n v="600.20699999999999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1"/>
    <x v="110"/>
    <s v="AXN474"/>
    <d v="2019-11-06T00:00:00"/>
    <s v="20100041953"/>
    <s v="RIMAC SEGUROS  Y REASEGUROS S.A"/>
    <s v="1201020001"/>
    <s v="PLANCHADO"/>
    <s v="000"/>
    <s v="001"/>
    <s v="CONTADO"/>
    <s v="001"/>
    <s v="PLANCHADO"/>
    <s v="$"/>
    <n v="3.391"/>
    <n v="1"/>
    <n v="285"/>
    <n v="285"/>
    <n v="51.299990000000037"/>
    <n v="336.29999000000004"/>
    <n v="966.43500000000006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1"/>
    <x v="110"/>
    <s v="AXN474"/>
    <d v="2019-11-06T00:00:00"/>
    <s v="20100041953"/>
    <s v="RIMAC SEGUROS  Y REASEGUROS S.A"/>
    <s v="2908010001"/>
    <s v="TERCEROS"/>
    <s v="000"/>
    <s v="001"/>
    <s v="CONTADO"/>
    <s v="002"/>
    <s v="MANTENIMIENTO-MECANICA"/>
    <s v="$"/>
    <n v="3.391"/>
    <n v="1"/>
    <n v="60"/>
    <n v="60"/>
    <n v="10.800002999999997"/>
    <n v="70.800003000000004"/>
    <n v="203.46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1"/>
    <x v="110"/>
    <s v="AXN474"/>
    <d v="2019-11-06T00:00:00"/>
    <s v="20100041953"/>
    <s v="RIMAC SEGUROS  Y REASEGUROS S.A"/>
    <s v="310120"/>
    <s v="FRANQUICIA"/>
    <s v="000"/>
    <s v="001"/>
    <s v="CONTADO"/>
    <s v="002"/>
    <s v="MANTENIMIENTO-MECANICA"/>
    <s v="$"/>
    <n v="3.391"/>
    <n v="-1"/>
    <n v="100"/>
    <n v="-100"/>
    <n v="-18"/>
    <n v="-118"/>
    <n v="-339.1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1"/>
    <x v="110"/>
    <s v="AXN474"/>
    <d v="2019-11-06T00:00:00"/>
    <s v="20100041953"/>
    <s v="RIMAC SEGUROS  Y REASEGUROS S.A"/>
    <s v="320001"/>
    <s v="REPUESTOS"/>
    <s v="000"/>
    <s v="001"/>
    <s v="CONTADO"/>
    <s v="002"/>
    <s v="MANTENIMIENTO-MECANICA"/>
    <s v="$"/>
    <n v="3.39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2"/>
    <x v="109"/>
    <s v="BKQ223"/>
    <d v="2019-11-07T00:00:00"/>
    <s v="20100041953"/>
    <s v="RIMAC SEGUROS  Y REASEGUROS S.A"/>
    <s v="1302020001"/>
    <s v="PINTURA"/>
    <s v="000"/>
    <s v="001"/>
    <s v="CONTADO"/>
    <s v="009"/>
    <s v="PINTURA"/>
    <s v="$"/>
    <n v="3.391"/>
    <n v="1"/>
    <n v="177"/>
    <n v="177"/>
    <n v="31.86"/>
    <n v="208.86"/>
    <n v="600.20699999999999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2"/>
    <x v="109"/>
    <s v="BKQ223"/>
    <d v="2019-11-07T00:00:00"/>
    <s v="20100041953"/>
    <s v="RIMAC SEGUROS  Y REASEGUROS S.A"/>
    <s v="1201020001"/>
    <s v="PLANCHADO"/>
    <s v="000"/>
    <s v="001"/>
    <s v="CONTADO"/>
    <s v="001"/>
    <s v="PLANCHADO"/>
    <s v="$"/>
    <n v="3.391"/>
    <n v="1"/>
    <n v="165"/>
    <n v="165"/>
    <n v="29.7"/>
    <n v="194.7"/>
    <n v="559.51499999999999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2"/>
    <x v="109"/>
    <s v="BKQ223"/>
    <d v="2019-11-07T00:00:00"/>
    <s v="20100041953"/>
    <s v="RIMAC SEGUROS  Y REASEGUROS S.A"/>
    <s v="2908010001"/>
    <s v="TERCEROS"/>
    <s v="000"/>
    <s v="001"/>
    <s v="CONTADO"/>
    <s v="002"/>
    <s v="MANTENIMIENTO-MECANICA"/>
    <s v="$"/>
    <n v="3.391"/>
    <n v="1"/>
    <n v="30"/>
    <n v="30"/>
    <n v="5.4000019999999997"/>
    <n v="35.400002000000001"/>
    <n v="101.73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2"/>
    <x v="109"/>
    <s v="BKQ223"/>
    <d v="2019-11-07T00:00:00"/>
    <s v="20100041953"/>
    <s v="RIMAC SEGUROS  Y REASEGUROS S.A"/>
    <s v="310120"/>
    <s v="FRANQUICIA"/>
    <s v="000"/>
    <s v="001"/>
    <s v="CONTADO"/>
    <s v="002"/>
    <s v="MANTENIMIENTO-MECANICA"/>
    <s v="$"/>
    <n v="3.391"/>
    <n v="-1"/>
    <n v="100"/>
    <n v="-100"/>
    <n v="-18"/>
    <n v="-118"/>
    <n v="-339.1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2"/>
    <x v="109"/>
    <s v="BKQ223"/>
    <d v="2019-11-07T00:00:00"/>
    <s v="20100041953"/>
    <s v="RIMAC SEGUROS  Y REASEGUROS S.A"/>
    <s v="320001"/>
    <s v="REPUESTOS"/>
    <s v="000"/>
    <s v="001"/>
    <s v="CONTADO"/>
    <s v="002"/>
    <s v="MANTENIMIENTO-MECANICA"/>
    <s v="$"/>
    <n v="3.39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3"/>
    <x v="111"/>
    <s v="AXX712"/>
    <d v="2019-10-31T00:00:00"/>
    <s v="20100041953"/>
    <s v="RIMAC SEGUROS  Y REASEGUROS S.A"/>
    <s v="1302020001"/>
    <s v="PINTURA"/>
    <s v="000"/>
    <s v="001"/>
    <s v="CONTADO"/>
    <s v="009"/>
    <s v="PINTURA"/>
    <s v="$"/>
    <n v="3.391"/>
    <n v="1"/>
    <n v="309.75421"/>
    <n v="309.75420999999994"/>
    <n v="55.755800000000129"/>
    <n v="365.51001000000014"/>
    <n v="1050.3765261099998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3"/>
    <x v="111"/>
    <s v="AXX712"/>
    <d v="2019-10-31T00:00:00"/>
    <s v="20100041953"/>
    <s v="RIMAC SEGUROS  Y REASEGUROS S.A"/>
    <s v="1201020001"/>
    <s v="PLANCHADO"/>
    <s v="000"/>
    <s v="001"/>
    <s v="CONTADO"/>
    <s v="001"/>
    <s v="PLANCHADO"/>
    <s v="$"/>
    <n v="3.391"/>
    <n v="1"/>
    <n v="285"/>
    <n v="285"/>
    <n v="51.299990000000037"/>
    <n v="336.29999000000004"/>
    <n v="966.43500000000006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3"/>
    <x v="111"/>
    <s v="AXX712"/>
    <d v="2019-10-31T00:00:00"/>
    <s v="20100041953"/>
    <s v="RIMAC SEGUROS  Y REASEGUROS S.A"/>
    <s v="2908010001"/>
    <s v="TERCEROS"/>
    <s v="000"/>
    <s v="001"/>
    <s v="CONTADO"/>
    <s v="002"/>
    <s v="MANTENIMIENTO-MECANICA"/>
    <s v="$"/>
    <n v="3.391"/>
    <n v="1"/>
    <n v="140"/>
    <n v="140"/>
    <n v="25.2"/>
    <n v="165.2"/>
    <n v="474.74"/>
    <m/>
    <m/>
    <m/>
    <m/>
    <m/>
    <m/>
    <m/>
    <m/>
    <m/>
    <m/>
    <m/>
    <m/>
    <m/>
    <m/>
    <m/>
    <m/>
    <m/>
    <m/>
    <m/>
    <m/>
    <m/>
    <m/>
    <m/>
    <m/>
  </r>
  <r>
    <x v="26"/>
    <s v="FAC"/>
    <s v="005"/>
    <s v="00000123"/>
    <x v="111"/>
    <s v="AXX712"/>
    <d v="2019-10-31T00:00:00"/>
    <s v="20100041953"/>
    <s v="RIMAC SEGUROS  Y REASEGUROS S.A"/>
    <s v="320001"/>
    <s v="REPUESTOS"/>
    <s v="000"/>
    <s v="001"/>
    <s v="CONTADO"/>
    <s v="002"/>
    <s v="MANTENIMIENTO-MECANICA"/>
    <s v="$"/>
    <n v="3.39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7"/>
    <s v="FAC"/>
    <s v="005"/>
    <s v="00000124"/>
    <x v="112"/>
    <s v="AKY655"/>
    <d v="2019-11-02T00:00:00"/>
    <s v="20100041953"/>
    <s v="RIMAC SEGUROS  Y REASEGUROS S.A"/>
    <s v="1302020001"/>
    <s v="PINTURA"/>
    <s v="000"/>
    <s v="001"/>
    <s v="CONTADO"/>
    <s v="009"/>
    <s v="PINTURA"/>
    <s v="$"/>
    <n v="3.3729998999999999"/>
    <n v="1"/>
    <n v="118"/>
    <n v="118"/>
    <n v="21.240010000000019"/>
    <n v="139.24001000000001"/>
    <n v="398.01398819999997"/>
    <m/>
    <m/>
    <m/>
    <m/>
    <m/>
    <m/>
    <m/>
    <m/>
    <m/>
    <m/>
    <m/>
    <m/>
    <m/>
    <m/>
    <m/>
    <m/>
    <m/>
    <m/>
    <m/>
    <m/>
    <m/>
    <m/>
    <m/>
    <m/>
  </r>
  <r>
    <x v="27"/>
    <s v="FAC"/>
    <s v="005"/>
    <s v="00000124"/>
    <x v="112"/>
    <s v="AKY655"/>
    <d v="2019-11-02T00:00:00"/>
    <s v="20100041953"/>
    <s v="RIMAC SEGUROS  Y REASEGUROS S.A"/>
    <s v="1201020001"/>
    <s v="PLANCHADO"/>
    <s v="000"/>
    <s v="001"/>
    <s v="CONTADO"/>
    <s v="001"/>
    <s v="PLANCHADO"/>
    <s v="$"/>
    <n v="3.3729998999999999"/>
    <n v="1"/>
    <n v="300"/>
    <n v="300"/>
    <n v="54"/>
    <n v="354"/>
    <n v="1011.8999699999999"/>
    <m/>
    <m/>
    <m/>
    <m/>
    <m/>
    <m/>
    <m/>
    <m/>
    <m/>
    <m/>
    <m/>
    <m/>
    <m/>
    <m/>
    <m/>
    <m/>
    <m/>
    <m/>
    <m/>
    <m/>
    <m/>
    <m/>
    <m/>
    <m/>
  </r>
  <r>
    <x v="27"/>
    <s v="FAC"/>
    <s v="005"/>
    <s v="00000124"/>
    <x v="112"/>
    <s v="AKY655"/>
    <d v="2019-11-02T00:00:00"/>
    <s v="20100041953"/>
    <s v="RIMAC SEGUROS  Y REASEGUROS S.A"/>
    <s v="2908010001"/>
    <s v="TERCEROS"/>
    <s v="000"/>
    <s v="001"/>
    <s v="CONTADO"/>
    <s v="002"/>
    <s v="MANTENIMIENTO-MECANICA"/>
    <s v="$"/>
    <n v="3.3729998999999999"/>
    <n v="1"/>
    <n v="25"/>
    <n v="25"/>
    <n v="4.5"/>
    <n v="29.5"/>
    <n v="84.324997499999995"/>
    <m/>
    <m/>
    <m/>
    <m/>
    <m/>
    <m/>
    <m/>
    <m/>
    <m/>
    <m/>
    <m/>
    <m/>
    <m/>
    <m/>
    <m/>
    <m/>
    <m/>
    <m/>
    <m/>
    <m/>
    <m/>
    <m/>
    <m/>
    <m/>
  </r>
  <r>
    <x v="27"/>
    <s v="FAC"/>
    <s v="005"/>
    <s v="00000124"/>
    <x v="112"/>
    <s v="AKY655"/>
    <d v="2019-11-02T00:00:00"/>
    <s v="20100041953"/>
    <s v="RIMAC SEGUROS  Y REASEGUROS S.A"/>
    <s v="310120"/>
    <s v="FRANQUICIA"/>
    <s v="000"/>
    <s v="001"/>
    <s v="CONTADO"/>
    <s v="002"/>
    <s v="MANTENIMIENTO-MECANICA"/>
    <s v="$"/>
    <n v="3.3729998999999999"/>
    <n v="-1"/>
    <n v="100"/>
    <n v="-100"/>
    <n v="-18"/>
    <n v="-118"/>
    <n v="-337.29998999999998"/>
    <m/>
    <m/>
    <m/>
    <m/>
    <m/>
    <m/>
    <m/>
    <m/>
    <m/>
    <m/>
    <m/>
    <m/>
    <m/>
    <m/>
    <m/>
    <m/>
    <m/>
    <m/>
    <m/>
    <m/>
    <m/>
    <m/>
    <m/>
    <m/>
  </r>
  <r>
    <x v="27"/>
    <s v="FAC"/>
    <s v="005"/>
    <s v="00000124"/>
    <x v="112"/>
    <s v="AKY655"/>
    <d v="2019-11-02T00:00:00"/>
    <s v="20100041953"/>
    <s v="RIMAC SEGUROS  Y REASEGUROS S.A"/>
    <s v="320001"/>
    <s v="REPUESTOS"/>
    <s v="000"/>
    <s v="001"/>
    <s v="CONTADO"/>
    <s v="002"/>
    <s v="MANTENIMIENTO-MECANICA"/>
    <s v="$"/>
    <n v="3.3729998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7"/>
    <s v="FAC"/>
    <s v="005"/>
    <s v="00000125"/>
    <x v="113"/>
    <s v="AXV440"/>
    <d v="2019-11-04T00:00:00"/>
    <s v="20100041953"/>
    <s v="RIMAC SEGUROS  Y REASEGUROS S.A"/>
    <s v="1302020001"/>
    <s v="PINTURA"/>
    <s v="000"/>
    <s v="001"/>
    <s v="CONTADO"/>
    <s v="009"/>
    <s v="PINTURA"/>
    <s v="$"/>
    <n v="3.3729998999999999"/>
    <n v="1"/>
    <n v="268.44918999999993"/>
    <n v="268.44918999999993"/>
    <n v="48.32080000000002"/>
    <n v="316.76998999999995"/>
    <n v="905.47909102508072"/>
    <m/>
    <m/>
    <m/>
    <m/>
    <m/>
    <m/>
    <m/>
    <m/>
    <m/>
    <m/>
    <m/>
    <m/>
    <m/>
    <m/>
    <m/>
    <m/>
    <m/>
    <m/>
    <m/>
    <m/>
    <m/>
    <m/>
    <m/>
    <m/>
  </r>
  <r>
    <x v="27"/>
    <s v="FAC"/>
    <s v="005"/>
    <s v="00000125"/>
    <x v="113"/>
    <s v="AXV440"/>
    <d v="2019-11-04T00:00:00"/>
    <s v="20100041953"/>
    <s v="RIMAC SEGUROS  Y REASEGUROS S.A"/>
    <s v="1201020001"/>
    <s v="PLANCHADO"/>
    <s v="000"/>
    <s v="001"/>
    <s v="CONTADO"/>
    <s v="001"/>
    <s v="PLANCHADO"/>
    <s v="$"/>
    <n v="3.3729998999999999"/>
    <n v="1"/>
    <n v="90"/>
    <n v="90"/>
    <n v="16.2"/>
    <n v="106.2"/>
    <n v="303.56999100000002"/>
    <m/>
    <m/>
    <m/>
    <m/>
    <m/>
    <m/>
    <m/>
    <m/>
    <m/>
    <m/>
    <m/>
    <m/>
    <m/>
    <m/>
    <m/>
    <m/>
    <m/>
    <m/>
    <m/>
    <m/>
    <m/>
    <m/>
    <m/>
    <m/>
  </r>
  <r>
    <x v="27"/>
    <s v="FAC"/>
    <s v="005"/>
    <s v="00000125"/>
    <x v="113"/>
    <s v="AXV440"/>
    <d v="2019-11-04T00:00:00"/>
    <s v="20100041953"/>
    <s v="RIMAC SEGUROS  Y REASEGUROS S.A"/>
    <s v="2908010001"/>
    <s v="TERCEROS"/>
    <s v="000"/>
    <s v="001"/>
    <s v="CONTADO"/>
    <s v="002"/>
    <s v="MANTENIMIENTO-MECANICA"/>
    <s v="$"/>
    <n v="3.3729998999999999"/>
    <n v="1"/>
    <n v="25"/>
    <n v="25"/>
    <n v="4.5"/>
    <n v="29.5"/>
    <n v="84.324997499999995"/>
    <m/>
    <m/>
    <m/>
    <m/>
    <m/>
    <m/>
    <m/>
    <m/>
    <m/>
    <m/>
    <m/>
    <m/>
    <m/>
    <m/>
    <m/>
    <m/>
    <m/>
    <m/>
    <m/>
    <m/>
    <m/>
    <m/>
    <m/>
    <m/>
  </r>
  <r>
    <x v="27"/>
    <s v="FAC"/>
    <s v="005"/>
    <s v="00000125"/>
    <x v="113"/>
    <s v="AXV440"/>
    <d v="2019-11-04T00:00:00"/>
    <s v="20100041953"/>
    <s v="RIMAC SEGUROS  Y REASEGUROS S.A"/>
    <s v="320001"/>
    <s v="REPUESTOS"/>
    <s v="000"/>
    <s v="001"/>
    <s v="CONTADO"/>
    <s v="002"/>
    <s v="MANTENIMIENTO-MECANICA"/>
    <s v="$"/>
    <n v="3.3729998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8"/>
    <s v="FAC"/>
    <s v="005"/>
    <s v="00000126"/>
    <x v="114"/>
    <s v="ATT247"/>
    <d v="2019-11-05T00:00:00"/>
    <s v="20100041953"/>
    <s v="RIMAC SEGUROS  Y REASEGUROS S.A"/>
    <s v="1302020001"/>
    <s v="PINTURA"/>
    <s v="000"/>
    <s v="001"/>
    <s v="CONTADO"/>
    <s v="009"/>
    <s v="PINTURA"/>
    <s v="$"/>
    <n v="3.3729998999999999"/>
    <n v="1"/>
    <n v="118"/>
    <n v="118"/>
    <n v="21.240010000000019"/>
    <n v="139.24001000000001"/>
    <n v="398.01398819999997"/>
    <m/>
    <m/>
    <m/>
    <m/>
    <m/>
    <m/>
    <m/>
    <m/>
    <m/>
    <m/>
    <m/>
    <m/>
    <m/>
    <m/>
    <m/>
    <m/>
    <m/>
    <m/>
    <m/>
    <m/>
    <m/>
    <m/>
    <m/>
    <m/>
  </r>
  <r>
    <x v="28"/>
    <s v="FAC"/>
    <s v="005"/>
    <s v="00000126"/>
    <x v="114"/>
    <s v="ATT247"/>
    <d v="2019-11-05T00:00:00"/>
    <s v="20100041953"/>
    <s v="RIMAC SEGUROS  Y REASEGUROS S.A"/>
    <s v="1201020001"/>
    <s v="PLANCHADO"/>
    <s v="000"/>
    <s v="001"/>
    <s v="CONTADO"/>
    <s v="001"/>
    <s v="PLANCHADO"/>
    <s v="$"/>
    <n v="3.3729998999999999"/>
    <n v="1"/>
    <n v="105"/>
    <n v="105"/>
    <n v="18.899999999999999"/>
    <n v="123.9"/>
    <n v="354.16498949999999"/>
    <m/>
    <m/>
    <m/>
    <m/>
    <m/>
    <m/>
    <m/>
    <m/>
    <m/>
    <m/>
    <m/>
    <m/>
    <m/>
    <m/>
    <m/>
    <m/>
    <m/>
    <m/>
    <m/>
    <m/>
    <m/>
    <m/>
    <m/>
    <m/>
  </r>
  <r>
    <x v="28"/>
    <s v="FAC"/>
    <s v="005"/>
    <s v="00000126"/>
    <x v="114"/>
    <s v="ATT247"/>
    <d v="2019-11-05T00:00:00"/>
    <s v="20100041953"/>
    <s v="RIMAC SEGUROS  Y REASEGUROS S.A"/>
    <s v="310120"/>
    <s v="FRANQUICIA"/>
    <s v="000"/>
    <s v="001"/>
    <s v="CONTADO"/>
    <s v="002"/>
    <s v="MANTENIMIENTO-MECANICA"/>
    <s v="$"/>
    <n v="3.3729998999999999"/>
    <n v="-1"/>
    <n v="68.762703000000002"/>
    <n v="-68.762703000000002"/>
    <n v="-12.377296000000015"/>
    <n v="-81.139999000000017"/>
    <n v="-231.93659034272972"/>
    <m/>
    <m/>
    <m/>
    <m/>
    <m/>
    <m/>
    <m/>
    <m/>
    <m/>
    <m/>
    <m/>
    <m/>
    <m/>
    <m/>
    <m/>
    <m/>
    <m/>
    <m/>
    <m/>
    <m/>
    <m/>
    <m/>
    <m/>
    <m/>
  </r>
  <r>
    <x v="28"/>
    <s v="FAC"/>
    <s v="005"/>
    <s v="00000127"/>
    <x v="115"/>
    <s v="ATF661"/>
    <d v="2019-11-04T00:00:00"/>
    <s v="20100041953"/>
    <s v="RIMAC SEGUROS  Y REASEGUROS S.A"/>
    <s v="1302020001"/>
    <s v="PINTURA"/>
    <s v="000"/>
    <s v="001"/>
    <s v="CONTADO"/>
    <s v="009"/>
    <s v="PINTURA"/>
    <s v="$"/>
    <n v="3.3729998999999999"/>
    <n v="1"/>
    <n v="118"/>
    <n v="118"/>
    <n v="21.240010000000019"/>
    <n v="139.24001000000001"/>
    <n v="398.01398819999997"/>
    <m/>
    <m/>
    <m/>
    <m/>
    <m/>
    <m/>
    <m/>
    <m/>
    <m/>
    <m/>
    <m/>
    <m/>
    <m/>
    <m/>
    <m/>
    <m/>
    <m/>
    <m/>
    <m/>
    <m/>
    <m/>
    <m/>
    <m/>
    <m/>
  </r>
  <r>
    <x v="28"/>
    <s v="FAC"/>
    <s v="005"/>
    <s v="00000127"/>
    <x v="115"/>
    <s v="ATF661"/>
    <d v="2019-11-04T00:00:00"/>
    <s v="20100041953"/>
    <s v="RIMAC SEGUROS  Y REASEGUROS S.A"/>
    <s v="1201020001"/>
    <s v="PLANCHADO"/>
    <s v="000"/>
    <s v="001"/>
    <s v="CONTADO"/>
    <s v="001"/>
    <s v="PLANCHADO"/>
    <s v="$"/>
    <n v="3.3729998999999999"/>
    <n v="1"/>
    <n v="210"/>
    <n v="210"/>
    <n v="37.799999999999997"/>
    <n v="247.8"/>
    <n v="708.32997899999998"/>
    <m/>
    <m/>
    <m/>
    <m/>
    <m/>
    <m/>
    <m/>
    <m/>
    <m/>
    <m/>
    <m/>
    <m/>
    <m/>
    <m/>
    <m/>
    <m/>
    <m/>
    <m/>
    <m/>
    <m/>
    <m/>
    <m/>
    <m/>
    <m/>
  </r>
  <r>
    <x v="28"/>
    <s v="FAC"/>
    <s v="005"/>
    <s v="00000127"/>
    <x v="115"/>
    <s v="ATF661"/>
    <d v="2019-11-04T00:00:00"/>
    <s v="20100041953"/>
    <s v="RIMAC SEGUROS  Y REASEGUROS S.A"/>
    <s v="320001"/>
    <s v="REPUESTOS"/>
    <s v="000"/>
    <s v="001"/>
    <s v="CONTADO"/>
    <s v="002"/>
    <s v="MANTENIMIENTO-MECANICA"/>
    <s v="$"/>
    <n v="3.3729998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8"/>
    <s v="FAC"/>
    <s v="005"/>
    <s v="00000128"/>
    <x v="116"/>
    <s v="ATF661"/>
    <d v="2019-11-02T00:00:00"/>
    <s v="20100041953"/>
    <s v="RIMAC SEGUROS  Y REASEGUROS S.A"/>
    <s v="1302020001"/>
    <s v="PINTURA"/>
    <s v="000"/>
    <s v="001"/>
    <s v="CONTADO"/>
    <s v="009"/>
    <s v="PINTURA"/>
    <s v="$"/>
    <n v="3.3729998999999999"/>
    <n v="1"/>
    <n v="118"/>
    <n v="118"/>
    <n v="21.240010000000019"/>
    <n v="139.24001000000001"/>
    <n v="398.01398819999997"/>
    <m/>
    <m/>
    <m/>
    <m/>
    <m/>
    <m/>
    <m/>
    <m/>
    <m/>
    <m/>
    <m/>
    <m/>
    <m/>
    <m/>
    <m/>
    <m/>
    <m/>
    <m/>
    <m/>
    <m/>
    <m/>
    <m/>
    <m/>
    <m/>
  </r>
  <r>
    <x v="28"/>
    <s v="FAC"/>
    <s v="005"/>
    <s v="00000128"/>
    <x v="116"/>
    <s v="ATF661"/>
    <d v="2019-11-02T00:00:00"/>
    <s v="20100041953"/>
    <s v="RIMAC SEGUROS  Y REASEGUROS S.A"/>
    <s v="1201020001"/>
    <s v="PLANCHADO"/>
    <s v="000"/>
    <s v="001"/>
    <s v="CONTADO"/>
    <s v="001"/>
    <s v="PLANCHADO"/>
    <s v="$"/>
    <n v="3.3729998999999999"/>
    <n v="1"/>
    <n v="165"/>
    <n v="165"/>
    <n v="29.7"/>
    <n v="194.7"/>
    <n v="556.54498349999994"/>
    <m/>
    <m/>
    <m/>
    <m/>
    <m/>
    <m/>
    <m/>
    <m/>
    <m/>
    <m/>
    <m/>
    <m/>
    <m/>
    <m/>
    <m/>
    <m/>
    <m/>
    <m/>
    <m/>
    <m/>
    <m/>
    <m/>
    <m/>
    <m/>
  </r>
  <r>
    <x v="28"/>
    <s v="FAC"/>
    <s v="005"/>
    <s v="00000128"/>
    <x v="116"/>
    <s v="ATF661"/>
    <d v="2019-11-02T00:00:00"/>
    <s v="20100041953"/>
    <s v="RIMAC SEGUROS  Y REASEGUROS S.A"/>
    <s v="2908010001"/>
    <s v="TERCEROS"/>
    <s v="000"/>
    <s v="001"/>
    <s v="CONTADO"/>
    <s v="002"/>
    <s v="MANTENIMIENTO-MECANICA"/>
    <s v="$"/>
    <n v="3.3729998999999999"/>
    <n v="1"/>
    <n v="25"/>
    <n v="25"/>
    <n v="4.5"/>
    <n v="29.5"/>
    <n v="84.324997499999995"/>
    <m/>
    <m/>
    <m/>
    <m/>
    <m/>
    <m/>
    <m/>
    <m/>
    <m/>
    <m/>
    <m/>
    <m/>
    <m/>
    <m/>
    <m/>
    <m/>
    <m/>
    <m/>
    <m/>
    <m/>
    <m/>
    <m/>
    <m/>
    <m/>
  </r>
  <r>
    <x v="28"/>
    <s v="FAC"/>
    <s v="005"/>
    <s v="00000128"/>
    <x v="116"/>
    <s v="ATF661"/>
    <d v="2019-11-02T00:00:00"/>
    <s v="20100041953"/>
    <s v="RIMAC SEGUROS  Y REASEGUROS S.A"/>
    <s v="310120"/>
    <s v="FRANQUICIA"/>
    <s v="000"/>
    <s v="001"/>
    <s v="CONTADO"/>
    <s v="002"/>
    <s v="MANTENIMIENTO-MECANICA"/>
    <s v="$"/>
    <n v="3.3729998999999999"/>
    <n v="-1"/>
    <n v="100"/>
    <n v="-100"/>
    <n v="-18"/>
    <n v="-118"/>
    <n v="-337.29998999999998"/>
    <m/>
    <m/>
    <m/>
    <m/>
    <m/>
    <m/>
    <m/>
    <m/>
    <m/>
    <m/>
    <m/>
    <m/>
    <m/>
    <m/>
    <m/>
    <m/>
    <m/>
    <m/>
    <m/>
    <m/>
    <m/>
    <m/>
    <m/>
    <m/>
  </r>
  <r>
    <x v="28"/>
    <s v="FAC"/>
    <s v="005"/>
    <s v="00000128"/>
    <x v="116"/>
    <s v="ATF661"/>
    <d v="2019-11-02T00:00:00"/>
    <s v="20100041953"/>
    <s v="RIMAC SEGUROS  Y REASEGUROS S.A"/>
    <s v="320001"/>
    <s v="REPUESTOS"/>
    <s v="000"/>
    <s v="001"/>
    <s v="CONTADO"/>
    <s v="002"/>
    <s v="MANTENIMIENTO-MECANICA"/>
    <s v="$"/>
    <n v="3.3729998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9"/>
    <s v="FAC"/>
    <s v="005"/>
    <s v="00000129"/>
    <x v="117"/>
    <s v="BLO680"/>
    <d v="2019-10-26T00:00:00"/>
    <s v="20100041953"/>
    <s v="RIMAC SEGUROS  Y REASEGUROS S.A"/>
    <s v="1302020001"/>
    <s v="PINTURA"/>
    <s v="000"/>
    <s v="001"/>
    <s v="CONTADO"/>
    <s v="009"/>
    <s v="PINTURA"/>
    <s v="$"/>
    <n v="3.3719999999999999"/>
    <n v="1"/>
    <n v="177"/>
    <n v="177"/>
    <n v="31.86"/>
    <n v="208.86"/>
    <n v="596.84399999999994"/>
    <m/>
    <m/>
    <m/>
    <m/>
    <m/>
    <m/>
    <m/>
    <m/>
    <m/>
    <m/>
    <m/>
    <m/>
    <m/>
    <m/>
    <m/>
    <m/>
    <m/>
    <m/>
    <m/>
    <m/>
    <m/>
    <m/>
    <m/>
    <m/>
  </r>
  <r>
    <x v="29"/>
    <s v="FAC"/>
    <s v="005"/>
    <s v="00000129"/>
    <x v="117"/>
    <s v="BLO680"/>
    <d v="2019-10-26T00:00:00"/>
    <s v="20100041953"/>
    <s v="RIMAC SEGUROS  Y REASEGUROS S.A"/>
    <s v="1201020001"/>
    <s v="PLANCHADO"/>
    <s v="000"/>
    <s v="001"/>
    <s v="CONTADO"/>
    <s v="001"/>
    <s v="PLANCHADO"/>
    <s v="$"/>
    <n v="3.3719999999999999"/>
    <n v="1"/>
    <n v="240"/>
    <n v="240"/>
    <n v="43.200010000000042"/>
    <n v="283.20001000000002"/>
    <n v="809.28"/>
    <m/>
    <m/>
    <m/>
    <m/>
    <m/>
    <m/>
    <m/>
    <m/>
    <m/>
    <m/>
    <m/>
    <m/>
    <m/>
    <m/>
    <m/>
    <m/>
    <m/>
    <m/>
    <m/>
    <m/>
    <m/>
    <m/>
    <m/>
    <m/>
  </r>
  <r>
    <x v="29"/>
    <s v="FAC"/>
    <s v="005"/>
    <s v="00000129"/>
    <x v="117"/>
    <s v="BLO680"/>
    <d v="2019-10-26T00:00:00"/>
    <s v="20100041953"/>
    <s v="RIMAC SEGUROS  Y REASEGUROS S.A"/>
    <s v="2908010001"/>
    <s v="TERCEROS"/>
    <s v="000"/>
    <s v="001"/>
    <s v="CONTADO"/>
    <s v="002"/>
    <s v="MANTENIMIENTO-MECANICA"/>
    <s v="$"/>
    <n v="3.3719999999999999"/>
    <n v="1"/>
    <n v="30"/>
    <n v="30"/>
    <n v="5.4000019999999997"/>
    <n v="35.400002000000001"/>
    <n v="101.16"/>
    <m/>
    <m/>
    <m/>
    <m/>
    <m/>
    <m/>
    <m/>
    <m/>
    <m/>
    <m/>
    <m/>
    <m/>
    <m/>
    <m/>
    <m/>
    <m/>
    <m/>
    <m/>
    <m/>
    <m/>
    <m/>
    <m/>
    <m/>
    <m/>
  </r>
  <r>
    <x v="29"/>
    <s v="FAC"/>
    <s v="005"/>
    <s v="00000129"/>
    <x v="117"/>
    <s v="BLO680"/>
    <d v="2019-10-26T00:00:00"/>
    <s v="20100041953"/>
    <s v="RIMAC SEGUROS  Y REASEGUROS S.A"/>
    <s v="310120"/>
    <s v="FRANQUICIA"/>
    <s v="000"/>
    <s v="001"/>
    <s v="CONTADO"/>
    <s v="002"/>
    <s v="MANTENIMIENTO-MECANICA"/>
    <s v="$"/>
    <n v="3.3719999999999999"/>
    <n v="-1"/>
    <n v="100"/>
    <n v="-100"/>
    <n v="-18"/>
    <n v="-118"/>
    <n v="-337.2"/>
    <m/>
    <m/>
    <m/>
    <m/>
    <m/>
    <m/>
    <m/>
    <m/>
    <m/>
    <m/>
    <m/>
    <m/>
    <m/>
    <m/>
    <m/>
    <m/>
    <m/>
    <m/>
    <m/>
    <m/>
    <m/>
    <m/>
    <m/>
    <m/>
  </r>
  <r>
    <x v="29"/>
    <s v="FAC"/>
    <s v="005"/>
    <s v="00000129"/>
    <x v="117"/>
    <s v="BLO680"/>
    <d v="2019-10-26T00:00:00"/>
    <s v="20100041953"/>
    <s v="RIMAC SEGUROS  Y REASEGUROS S.A"/>
    <s v="320001"/>
    <s v="REPUESTOS"/>
    <s v="000"/>
    <s v="001"/>
    <s v="CONTADO"/>
    <s v="002"/>
    <s v="MANTENIMIENTO-MECANICA"/>
    <s v="$"/>
    <n v="3.3719999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0"/>
    <x v="118"/>
    <s v="BCP022"/>
    <d v="2019-11-05T00:00:00"/>
    <s v="20514184331"/>
    <s v="INTEROC SOCIEDAD ANONIMA"/>
    <s v="310120"/>
    <s v="FRANQUICIA"/>
    <s v="000"/>
    <s v="001"/>
    <s v="CONTADO"/>
    <s v="002"/>
    <s v="MANTENIMIENTO-MECANICA"/>
    <s v="$"/>
    <n v="3.3809999999999998"/>
    <n v="1"/>
    <n v="150"/>
    <n v="150"/>
    <n v="27"/>
    <n v="177"/>
    <n v="507.15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1"/>
    <x v="119"/>
    <s v="APU227"/>
    <d v="2019-11-06T00:00:00"/>
    <s v="20100041953"/>
    <s v="RIMAC SEGUROS  Y REASEGUROS S.A"/>
    <s v="1302020001"/>
    <s v="PINTURA"/>
    <s v="000"/>
    <s v="001"/>
    <s v="CONTADO"/>
    <s v="009"/>
    <s v="PINTURA"/>
    <s v="$"/>
    <n v="3.3809999999999998"/>
    <n v="1"/>
    <n v="250.75419999999997"/>
    <n v="250.75419999999997"/>
    <n v="45.135810000000021"/>
    <n v="295.89001000000002"/>
    <n v="847.79995019999978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1"/>
    <x v="119"/>
    <s v="APU227"/>
    <d v="2019-11-06T00:00:00"/>
    <s v="20100041953"/>
    <s v="RIMAC SEGUROS  Y REASEGUROS S.A"/>
    <s v="1201020001"/>
    <s v="PLANCHADO"/>
    <s v="000"/>
    <s v="001"/>
    <s v="CONTADO"/>
    <s v="001"/>
    <s v="PLANCHADO"/>
    <s v="$"/>
    <n v="3.3809999999999998"/>
    <n v="1"/>
    <n v="135"/>
    <n v="135"/>
    <n v="24.3"/>
    <n v="159.30000000000001"/>
    <n v="456.43499999999995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1"/>
    <x v="119"/>
    <s v="APU227"/>
    <d v="2019-11-06T00:00:00"/>
    <s v="20100041953"/>
    <s v="RIMAC SEGUROS  Y REASEGUROS S.A"/>
    <s v="2908010001"/>
    <s v="TERCEROS"/>
    <s v="000"/>
    <s v="001"/>
    <s v="CONTADO"/>
    <s v="002"/>
    <s v="MANTENIMIENTO-MECANICA"/>
    <s v="$"/>
    <n v="3.3809999999999998"/>
    <n v="1"/>
    <n v="30"/>
    <n v="30"/>
    <n v="5.4000019999999997"/>
    <n v="35.400002000000001"/>
    <n v="101.42999999999999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1"/>
    <x v="119"/>
    <s v="APU227"/>
    <d v="2019-11-06T00:00:00"/>
    <s v="20100041953"/>
    <s v="RIMAC SEGUROS  Y REASEGUROS S.A"/>
    <s v="2805010001"/>
    <s v="SERVICIOS"/>
    <s v="000"/>
    <s v="001"/>
    <s v="CONTADO"/>
    <s v="002"/>
    <s v="MANTENIMIENTO-MECANICA"/>
    <s v="$"/>
    <n v="3.3809999999999998"/>
    <n v="1"/>
    <n v="45"/>
    <n v="45"/>
    <n v="8.0999980000000047"/>
    <n v="53.099998000000006"/>
    <n v="152.14499999999998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1"/>
    <x v="119"/>
    <s v="APU227"/>
    <d v="2019-11-06T00:00:00"/>
    <s v="20100041953"/>
    <s v="RIMAC SEGUROS  Y REASEGUROS S.A"/>
    <s v="310120"/>
    <s v="FRANQUICIA"/>
    <s v="000"/>
    <s v="001"/>
    <s v="CONTADO"/>
    <s v="002"/>
    <s v="MANTENIMIENTO-MECANICA"/>
    <s v="$"/>
    <n v="3.3809999999999998"/>
    <n v="-1"/>
    <n v="212.22881000000004"/>
    <n v="-212.22881000000004"/>
    <n v="-38.201179999999916"/>
    <n v="-250.42998999999998"/>
    <n v="-717.54560661000005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1"/>
    <x v="119"/>
    <s v="APU227"/>
    <d v="2019-11-06T00:00:00"/>
    <s v="20100041953"/>
    <s v="RIMAC SEGUROS  Y REASEGUROS S.A"/>
    <s v="320001"/>
    <s v="REPUESTOS"/>
    <s v="000"/>
    <s v="001"/>
    <s v="CONTADO"/>
    <s v="002"/>
    <s v="MANTENIMIENTO-MECANICA"/>
    <s v="$"/>
    <n v="3.380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2"/>
    <x v="120"/>
    <s v="BBE558"/>
    <d v="2019-11-11T00:00:00"/>
    <s v="20100041953"/>
    <s v="RIMAC SEGUROS  Y REASEGUROS S.A"/>
    <s v="1302020001"/>
    <s v="PINTURA"/>
    <s v="000"/>
    <s v="001"/>
    <s v="CONTADO"/>
    <s v="009"/>
    <s v="PINTURA"/>
    <s v="$"/>
    <n v="3.3809999999999998"/>
    <n v="1"/>
    <n v="162.25419999999997"/>
    <n v="162.25419999999997"/>
    <n v="29.205810000000021"/>
    <n v="191.46001000000001"/>
    <n v="548.58145019999984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2"/>
    <x v="120"/>
    <s v="BBE558"/>
    <d v="2019-11-11T00:00:00"/>
    <s v="20100041953"/>
    <s v="RIMAC SEGUROS  Y REASEGUROS S.A"/>
    <s v="1201020001"/>
    <s v="PLANCHADO"/>
    <s v="000"/>
    <s v="001"/>
    <s v="CONTADO"/>
    <s v="001"/>
    <s v="PLANCHADO"/>
    <s v="$"/>
    <n v="3.3809999999999998"/>
    <n v="1"/>
    <n v="150"/>
    <n v="150"/>
    <n v="27"/>
    <n v="177"/>
    <n v="507.15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2"/>
    <x v="120"/>
    <s v="BBE558"/>
    <d v="2019-11-11T00:00:00"/>
    <s v="20100041953"/>
    <s v="RIMAC SEGUROS  Y REASEGUROS S.A"/>
    <s v="2908010001"/>
    <s v="TERCEROS"/>
    <s v="000"/>
    <s v="001"/>
    <s v="CONTADO"/>
    <s v="002"/>
    <s v="MANTENIMIENTO-MECANICA"/>
    <s v="$"/>
    <n v="3.3809999999999998"/>
    <n v="1"/>
    <n v="50"/>
    <n v="50"/>
    <n v="9"/>
    <n v="59"/>
    <n v="169.04999999999998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2"/>
    <x v="120"/>
    <s v="BBE558"/>
    <d v="2019-11-11T00:00:00"/>
    <s v="20100041953"/>
    <s v="RIMAC SEGUROS  Y REASEGUROS S.A"/>
    <s v="2805010001"/>
    <s v="SERVICIOS"/>
    <s v="000"/>
    <s v="001"/>
    <s v="CONTADO"/>
    <s v="002"/>
    <s v="MANTENIMIENTO-MECANICA"/>
    <s v="$"/>
    <n v="3.3809999999999998"/>
    <n v="1"/>
    <n v="30"/>
    <n v="30"/>
    <n v="5.4000019999999997"/>
    <n v="35.400002000000001"/>
    <n v="101.42999999999999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2"/>
    <x v="120"/>
    <s v="BBE558"/>
    <d v="2019-11-11T00:00:00"/>
    <s v="20100041953"/>
    <s v="RIMAC SEGUROS  Y REASEGUROS S.A"/>
    <s v="310120"/>
    <s v="FRANQUICIA"/>
    <s v="000"/>
    <s v="001"/>
    <s v="CONTADO"/>
    <s v="002"/>
    <s v="MANTENIMIENTO-MECANICA"/>
    <s v="$"/>
    <n v="3.3809999999999998"/>
    <n v="-1"/>
    <n v="334.31360000000006"/>
    <n v="-334.31360000000006"/>
    <n v="-60.176389999999955"/>
    <n v="-394.48999000000003"/>
    <n v="-1130.3142816000002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2"/>
    <x v="120"/>
    <s v="BBE558"/>
    <d v="2019-11-11T00:00:00"/>
    <s v="20100041953"/>
    <s v="RIMAC SEGUROS  Y REASEGUROS S.A"/>
    <s v="320001"/>
    <s v="REPUESTOS"/>
    <s v="000"/>
    <s v="001"/>
    <s v="CONTADO"/>
    <s v="002"/>
    <s v="MANTENIMIENTO-MECANICA"/>
    <s v="$"/>
    <n v="3.380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3"/>
    <x v="121"/>
    <s v="AXJ309"/>
    <d v="2019-10-22T00:00:00"/>
    <s v="20100041953"/>
    <s v="RIMAC SEGUROS  Y REASEGUROS S.A"/>
    <s v="1302020001"/>
    <s v="PINTURA"/>
    <s v="000"/>
    <s v="001"/>
    <s v="CONTADO"/>
    <s v="009"/>
    <s v="PINTURA"/>
    <s v="$"/>
    <n v="3.3809999999999998"/>
    <n v="1"/>
    <n v="324.5"/>
    <n v="324.5"/>
    <n v="58.41"/>
    <n v="382.91"/>
    <n v="1097.1344999999999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3"/>
    <x v="121"/>
    <s v="AXJ309"/>
    <d v="2019-10-22T00:00:00"/>
    <s v="20100041953"/>
    <s v="RIMAC SEGUROS  Y REASEGUROS S.A"/>
    <s v="1201020001"/>
    <s v="PLANCHADO"/>
    <s v="000"/>
    <s v="001"/>
    <s v="CONTADO"/>
    <s v="001"/>
    <s v="PLANCHADO"/>
    <s v="$"/>
    <n v="3.3809999999999998"/>
    <n v="1"/>
    <n v="480"/>
    <n v="480"/>
    <n v="86.400020000000083"/>
    <n v="566.40002000000004"/>
    <n v="1622.8799999999999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3"/>
    <x v="121"/>
    <s v="AXJ309"/>
    <d v="2019-10-22T00:00:00"/>
    <s v="20100041953"/>
    <s v="RIMAC SEGUROS  Y REASEGUROS S.A"/>
    <s v="2908010001"/>
    <s v="TERCEROS"/>
    <s v="000"/>
    <s v="001"/>
    <s v="CONTADO"/>
    <s v="002"/>
    <s v="MANTENIMIENTO-MECANICA"/>
    <s v="$"/>
    <n v="3.3809999999999998"/>
    <n v="1"/>
    <n v="50"/>
    <n v="50"/>
    <n v="9"/>
    <n v="59"/>
    <n v="169.04999999999998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3"/>
    <x v="121"/>
    <s v="AXJ309"/>
    <d v="2019-10-22T00:00:00"/>
    <s v="20100041953"/>
    <s v="RIMAC SEGUROS  Y REASEGUROS S.A"/>
    <s v="2805010001"/>
    <s v="SERVICIOS"/>
    <s v="000"/>
    <s v="001"/>
    <s v="CONTADO"/>
    <s v="002"/>
    <s v="MANTENIMIENTO-MECANICA"/>
    <s v="$"/>
    <n v="3.3809999999999998"/>
    <n v="1"/>
    <n v="45"/>
    <n v="45"/>
    <n v="8.0999980000000047"/>
    <n v="53.099998000000006"/>
    <n v="152.14499999999998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3"/>
    <x v="121"/>
    <s v="AXJ309"/>
    <d v="2019-10-22T00:00:00"/>
    <s v="20100041953"/>
    <s v="RIMAC SEGUROS  Y REASEGUROS S.A"/>
    <s v="310120"/>
    <s v="FRANQUICIA"/>
    <s v="000"/>
    <s v="001"/>
    <s v="CONTADO"/>
    <s v="002"/>
    <s v="MANTENIMIENTO-MECANICA"/>
    <s v="$"/>
    <n v="3.3809999999999998"/>
    <n v="-1"/>
    <n v="264.48309000000006"/>
    <n v="-264.48309000000006"/>
    <n v="-47.606909999999914"/>
    <n v="-312.08999999999997"/>
    <n v="-894.21732729000018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3"/>
    <x v="121"/>
    <s v="AXJ309"/>
    <d v="2019-10-22T00:00:00"/>
    <s v="20100041953"/>
    <s v="RIMAC SEGUROS  Y REASEGUROS S.A"/>
    <s v="320001"/>
    <s v="REPUESTOS"/>
    <s v="000"/>
    <s v="001"/>
    <s v="CONTADO"/>
    <s v="002"/>
    <s v="MANTENIMIENTO-MECANICA"/>
    <s v="$"/>
    <n v="3.380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4"/>
    <x v="118"/>
    <s v="BCP022"/>
    <d v="2019-11-05T00:00:00"/>
    <s v="20100041953"/>
    <s v="RIMAC SEGUROS  Y REASEGUROS S.A"/>
    <s v="1302020001"/>
    <s v="PINTURA"/>
    <s v="000"/>
    <s v="001"/>
    <s v="CONTADO"/>
    <s v="009"/>
    <s v="PINTURA"/>
    <s v="$"/>
    <n v="3.3809999999999998"/>
    <n v="1"/>
    <n v="137.5"/>
    <n v="137.5"/>
    <n v="24.75"/>
    <n v="162.25"/>
    <n v="464.88749999999999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4"/>
    <x v="118"/>
    <s v="BCP022"/>
    <d v="2019-11-05T00:00:00"/>
    <s v="20100041953"/>
    <s v="RIMAC SEGUROS  Y REASEGUROS S.A"/>
    <s v="1201020001"/>
    <s v="PLANCHADO"/>
    <s v="000"/>
    <s v="001"/>
    <s v="CONTADO"/>
    <s v="001"/>
    <s v="PLANCHADO"/>
    <s v="$"/>
    <n v="3.3809999999999998"/>
    <n v="1"/>
    <n v="156"/>
    <n v="156"/>
    <n v="28.08"/>
    <n v="184.08"/>
    <n v="527.43599999999992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4"/>
    <x v="118"/>
    <s v="BCP022"/>
    <d v="2019-11-05T00:00:00"/>
    <s v="20100041953"/>
    <s v="RIMAC SEGUROS  Y REASEGUROS S.A"/>
    <s v="2908010001"/>
    <s v="TERCEROS"/>
    <s v="000"/>
    <s v="001"/>
    <s v="CONTADO"/>
    <s v="002"/>
    <s v="MANTENIMIENTO-MECANICA"/>
    <s v="$"/>
    <n v="3.3809999999999998"/>
    <n v="1"/>
    <n v="55"/>
    <n v="55"/>
    <n v="9.9000020000000131"/>
    <n v="64.900002000000015"/>
    <n v="185.95499999999998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4"/>
    <x v="118"/>
    <s v="BCP022"/>
    <d v="2019-11-05T00:00:00"/>
    <s v="20100041953"/>
    <s v="RIMAC SEGUROS  Y REASEGUROS S.A"/>
    <s v="310120"/>
    <s v="FRANQUICIA"/>
    <s v="000"/>
    <s v="001"/>
    <s v="CONTADO"/>
    <s v="002"/>
    <s v="MANTENIMIENTO-MECANICA"/>
    <s v="$"/>
    <n v="3.3809999999999998"/>
    <n v="-1"/>
    <n v="150"/>
    <n v="-150"/>
    <n v="-27"/>
    <n v="-177"/>
    <n v="-507.15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4"/>
    <x v="118"/>
    <s v="BCP022"/>
    <d v="2019-11-05T00:00:00"/>
    <s v="20100041953"/>
    <s v="RIMAC SEGUROS  Y REASEGUROS S.A"/>
    <s v="320001"/>
    <s v="REPUESTOS"/>
    <s v="000"/>
    <s v="001"/>
    <s v="CONTADO"/>
    <s v="002"/>
    <s v="MANTENIMIENTO-MECANICA"/>
    <s v="$"/>
    <n v="3.380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5"/>
    <x v="122"/>
    <s v="C3K443"/>
    <d v="2019-11-11T00:00:00"/>
    <s v="20100041953"/>
    <s v="RIMAC SEGUROS  Y REASEGUROS S.A"/>
    <s v="1302020001"/>
    <s v="PINTURA"/>
    <s v="000"/>
    <s v="001"/>
    <s v="CONTADO"/>
    <s v="009"/>
    <s v="PINTURA"/>
    <s v="$"/>
    <n v="3.3809999999999998"/>
    <n v="1"/>
    <n v="118"/>
    <n v="118"/>
    <n v="21.240010000000019"/>
    <n v="139.24001000000001"/>
    <n v="398.95799999999997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5"/>
    <x v="122"/>
    <s v="C3K443"/>
    <d v="2019-11-11T00:00:00"/>
    <s v="20100041953"/>
    <s v="RIMAC SEGUROS  Y REASEGUROS S.A"/>
    <s v="1201020001"/>
    <s v="PLANCHADO"/>
    <s v="000"/>
    <s v="001"/>
    <s v="CONTADO"/>
    <s v="001"/>
    <s v="PLANCHADO"/>
    <s v="$"/>
    <n v="3.3809999999999998"/>
    <n v="1"/>
    <n v="75"/>
    <n v="75"/>
    <n v="13.5"/>
    <n v="88.5"/>
    <n v="253.57499999999999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5"/>
    <x v="122"/>
    <s v="C3K443"/>
    <d v="2019-11-11T00:00:00"/>
    <s v="20100041953"/>
    <s v="RIMAC SEGUROS  Y REASEGUROS S.A"/>
    <s v="2908010001"/>
    <s v="TERCEROS"/>
    <s v="000"/>
    <s v="001"/>
    <s v="CONTADO"/>
    <s v="002"/>
    <s v="MANTENIMIENTO-MECANICA"/>
    <s v="$"/>
    <n v="3.3809999999999998"/>
    <n v="1"/>
    <n v="45"/>
    <n v="45"/>
    <n v="8.0999980000000047"/>
    <n v="53.099998000000006"/>
    <n v="152.14499999999998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5"/>
    <x v="122"/>
    <s v="C3K443"/>
    <d v="2019-11-11T00:00:00"/>
    <s v="20100041953"/>
    <s v="RIMAC SEGUROS  Y REASEGUROS S.A"/>
    <s v="310120"/>
    <s v="FRANQUICIA"/>
    <s v="000"/>
    <s v="001"/>
    <s v="CONTADO"/>
    <s v="002"/>
    <s v="MANTENIMIENTO-MECANICA"/>
    <s v="$"/>
    <n v="3.3809999999999998"/>
    <n v="-1"/>
    <n v="100"/>
    <n v="-100"/>
    <n v="-18"/>
    <n v="-118"/>
    <n v="-338.09999999999997"/>
    <m/>
    <m/>
    <m/>
    <m/>
    <m/>
    <m/>
    <m/>
    <m/>
    <m/>
    <m/>
    <m/>
    <m/>
    <m/>
    <m/>
    <m/>
    <m/>
    <m/>
    <m/>
    <m/>
    <m/>
    <m/>
    <m/>
    <m/>
    <m/>
  </r>
  <r>
    <x v="30"/>
    <s v="FAC"/>
    <s v="005"/>
    <s v="00000135"/>
    <x v="122"/>
    <s v="C3K443"/>
    <d v="2019-11-11T00:00:00"/>
    <s v="20100041953"/>
    <s v="RIMAC SEGUROS  Y REASEGUROS S.A"/>
    <s v="320001"/>
    <s v="REPUESTOS"/>
    <s v="000"/>
    <s v="001"/>
    <s v="CONTADO"/>
    <s v="002"/>
    <s v="MANTENIMIENTO-MECANICA"/>
    <s v="$"/>
    <n v="3.380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1"/>
    <s v="FAC"/>
    <s v="005"/>
    <s v="00000136"/>
    <x v="123"/>
    <s v="BFC146"/>
    <d v="2019-10-23T00:00:00"/>
    <s v="20509959766"/>
    <s v="RENTAEQUIPOS LEASING PERU S.A."/>
    <s v="310120"/>
    <s v="FRANQUICIA"/>
    <s v="000"/>
    <s v="001"/>
    <s v="CONTADO"/>
    <s v="002"/>
    <s v="MANTENIMIENTO-MECANICA"/>
    <s v="$"/>
    <n v="3.3870000999999998"/>
    <n v="1"/>
    <n v="146.5085"/>
    <n v="146.5085"/>
    <n v="26.371500000000012"/>
    <n v="172.88"/>
    <n v="496.22430415084995"/>
    <m/>
    <m/>
    <m/>
    <m/>
    <m/>
    <m/>
    <m/>
    <m/>
    <m/>
    <m/>
    <m/>
    <m/>
    <m/>
    <m/>
    <m/>
    <m/>
    <m/>
    <m/>
    <m/>
    <m/>
    <m/>
    <m/>
    <m/>
    <m/>
  </r>
  <r>
    <x v="31"/>
    <s v="FAC"/>
    <s v="005"/>
    <s v="00000137"/>
    <x v="124"/>
    <s v="BFC146"/>
    <d v="2019-11-21T00:00:00"/>
    <s v="20509959766"/>
    <s v="RENTAEQUIPOS LEASING PERU S.A."/>
    <s v="2908010001"/>
    <s v="TERCEROS"/>
    <s v="000"/>
    <s v="001"/>
    <s v="CONTADO"/>
    <s v="002"/>
    <s v="MANTENIMIENTO-MECANICA"/>
    <s v="$"/>
    <n v="3.3870000999999998"/>
    <n v="1"/>
    <n v="30"/>
    <n v="30"/>
    <n v="5.4000019999999997"/>
    <n v="35.400002000000001"/>
    <n v="101.61000299999999"/>
    <m/>
    <m/>
    <m/>
    <m/>
    <m/>
    <m/>
    <m/>
    <m/>
    <m/>
    <m/>
    <m/>
    <m/>
    <m/>
    <m/>
    <m/>
    <m/>
    <m/>
    <m/>
    <m/>
    <m/>
    <m/>
    <m/>
    <m/>
    <m/>
  </r>
  <r>
    <x v="31"/>
    <s v="FAC"/>
    <s v="005"/>
    <s v="00000138"/>
    <x v="123"/>
    <s v="BFC146"/>
    <d v="2019-10-23T00:00:00"/>
    <s v="20100041953"/>
    <s v="RIMAC SEGUROS  Y REASEGUROS S.A"/>
    <s v="2908010001"/>
    <s v="TERCEROS"/>
    <s v="000"/>
    <s v="001"/>
    <s v="CONTADO"/>
    <s v="002"/>
    <s v="MANTENIMIENTO-MECANICA"/>
    <s v="$"/>
    <n v="3.3870000999999998"/>
    <n v="1"/>
    <n v="90"/>
    <n v="90"/>
    <n v="16.2"/>
    <n v="106.2"/>
    <n v="304.83000899999996"/>
    <m/>
    <m/>
    <m/>
    <m/>
    <m/>
    <m/>
    <m/>
    <m/>
    <m/>
    <m/>
    <m/>
    <m/>
    <m/>
    <m/>
    <m/>
    <m/>
    <m/>
    <m/>
    <m/>
    <m/>
    <m/>
    <m/>
    <m/>
    <m/>
  </r>
  <r>
    <x v="31"/>
    <s v="FAC"/>
    <s v="005"/>
    <s v="00000138"/>
    <x v="123"/>
    <s v="BFC146"/>
    <d v="2019-10-23T00:00:00"/>
    <s v="20100041953"/>
    <s v="RIMAC SEGUROS  Y REASEGUROS S.A"/>
    <s v="2805010001"/>
    <s v="SERVICIOS"/>
    <s v="000"/>
    <s v="001"/>
    <s v="CONTADO"/>
    <s v="002"/>
    <s v="MANTENIMIENTO-MECANICA"/>
    <s v="$"/>
    <n v="3.3870000999999998"/>
    <n v="1"/>
    <n v="60"/>
    <n v="60"/>
    <n v="10.800002999999997"/>
    <n v="70.800003000000004"/>
    <n v="203.22000599999998"/>
    <m/>
    <m/>
    <m/>
    <m/>
    <m/>
    <m/>
    <m/>
    <m/>
    <m/>
    <m/>
    <m/>
    <m/>
    <m/>
    <m/>
    <m/>
    <m/>
    <m/>
    <m/>
    <m/>
    <m/>
    <m/>
    <m/>
    <m/>
    <m/>
  </r>
  <r>
    <x v="31"/>
    <s v="FAC"/>
    <s v="005"/>
    <s v="00000138"/>
    <x v="123"/>
    <s v="BFC146"/>
    <d v="2019-10-23T00:00:00"/>
    <s v="20100041953"/>
    <s v="RIMAC SEGUROS  Y REASEGUROS S.A"/>
    <s v="310120"/>
    <s v="FRANQUICIA"/>
    <s v="000"/>
    <s v="001"/>
    <s v="CONTADO"/>
    <s v="002"/>
    <s v="MANTENIMIENTO-MECANICA"/>
    <s v="$"/>
    <n v="3.3870000999999998"/>
    <n v="-1"/>
    <n v="146.5085"/>
    <n v="-146.5085"/>
    <n v="-26.371500000000012"/>
    <n v="-172.88"/>
    <n v="-496.22430415084995"/>
    <m/>
    <m/>
    <m/>
    <m/>
    <m/>
    <m/>
    <m/>
    <m/>
    <m/>
    <m/>
    <m/>
    <m/>
    <m/>
    <m/>
    <m/>
    <m/>
    <m/>
    <m/>
    <m/>
    <m/>
    <m/>
    <m/>
    <m/>
    <m/>
  </r>
  <r>
    <x v="31"/>
    <s v="FAC"/>
    <s v="005"/>
    <s v="00000138"/>
    <x v="123"/>
    <s v="BFC146"/>
    <d v="2019-10-23T00:00:00"/>
    <s v="20100041953"/>
    <s v="RIMAC SEGUROS  Y REASEGUROS S.A"/>
    <s v="320001"/>
    <s v="REPUESTOS"/>
    <s v="000"/>
    <s v="001"/>
    <s v="CONTADO"/>
    <s v="002"/>
    <s v="MANTENIMIENTO-MECANICA"/>
    <s v="$"/>
    <n v="3.3870000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2"/>
    <s v="FAC"/>
    <s v="005"/>
    <s v="00000139"/>
    <x v="125"/>
    <s v="F5C188"/>
    <d v="2019-10-17T00:00:00"/>
    <s v="20100041953"/>
    <s v="RIMAC SEGUROS  Y REASEGUROS S.A"/>
    <s v="1302020001"/>
    <s v="PINTURA"/>
    <s v="000"/>
    <s v="001"/>
    <s v="CONTADO"/>
    <s v="009"/>
    <s v="PINTURA"/>
    <s v="$"/>
    <n v="3.3800001000000002"/>
    <n v="1"/>
    <n v="88.5"/>
    <n v="88.5"/>
    <n v="15.93"/>
    <n v="104.43"/>
    <n v="299.13000885000002"/>
    <m/>
    <m/>
    <m/>
    <m/>
    <m/>
    <m/>
    <m/>
    <m/>
    <m/>
    <m/>
    <m/>
    <m/>
    <m/>
    <m/>
    <m/>
    <m/>
    <m/>
    <m/>
    <m/>
    <m/>
    <m/>
    <m/>
    <m/>
    <m/>
  </r>
  <r>
    <x v="32"/>
    <s v="FAC"/>
    <s v="005"/>
    <s v="00000139"/>
    <x v="125"/>
    <s v="F5C188"/>
    <d v="2019-10-17T00:00:00"/>
    <s v="20100041953"/>
    <s v="RIMAC SEGUROS  Y REASEGUROS S.A"/>
    <s v="1201020001"/>
    <s v="PLANCHADO"/>
    <s v="000"/>
    <s v="001"/>
    <s v="CONTADO"/>
    <s v="001"/>
    <s v="PLANCHADO"/>
    <s v="$"/>
    <n v="3.3800001000000002"/>
    <n v="1"/>
    <n v="30"/>
    <n v="30"/>
    <n v="5.4000019999999997"/>
    <n v="35.400002000000001"/>
    <n v="101.400003"/>
    <m/>
    <m/>
    <m/>
    <m/>
    <m/>
    <m/>
    <m/>
    <m/>
    <m/>
    <m/>
    <m/>
    <m/>
    <m/>
    <m/>
    <m/>
    <m/>
    <m/>
    <m/>
    <m/>
    <m/>
    <m/>
    <m/>
    <m/>
    <m/>
  </r>
  <r>
    <x v="32"/>
    <s v="FAC"/>
    <s v="005"/>
    <s v="00000139"/>
    <x v="125"/>
    <s v="F5C188"/>
    <d v="2019-10-17T00:00:00"/>
    <s v="20100041953"/>
    <s v="RIMAC SEGUROS  Y REASEGUROS S.A"/>
    <s v="2908010001"/>
    <s v="TERCEROS"/>
    <s v="000"/>
    <s v="001"/>
    <s v="CONTADO"/>
    <s v="002"/>
    <s v="MANTENIMIENTO-MECANICA"/>
    <s v="$"/>
    <n v="3.3800001000000002"/>
    <n v="1"/>
    <n v="20"/>
    <n v="20"/>
    <n v="3.6"/>
    <n v="23.6"/>
    <n v="67.600002000000003"/>
    <m/>
    <m/>
    <m/>
    <m/>
    <m/>
    <m/>
    <m/>
    <m/>
    <m/>
    <m/>
    <m/>
    <m/>
    <m/>
    <m/>
    <m/>
    <m/>
    <m/>
    <m/>
    <m/>
    <m/>
    <m/>
    <m/>
    <m/>
    <m/>
  </r>
  <r>
    <x v="32"/>
    <s v="FAC"/>
    <s v="005"/>
    <s v="00000139"/>
    <x v="125"/>
    <s v="F5C188"/>
    <d v="2019-10-17T00:00:00"/>
    <s v="20100041953"/>
    <s v="RIMAC SEGUROS  Y REASEGUROS S.A"/>
    <s v="320001"/>
    <s v="REPUESTOS"/>
    <s v="000"/>
    <s v="001"/>
    <s v="CONTADO"/>
    <s v="002"/>
    <s v="MANTENIMIENTO-MECANICA"/>
    <s v="$"/>
    <n v="3.380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2"/>
    <s v="FAC"/>
    <s v="005"/>
    <s v="00000140"/>
    <x v="126"/>
    <s v="F2I424"/>
    <d v="2019-11-21T00:00:00"/>
    <s v="20438563084"/>
    <s v="EDPYME ACCESO CREDITICIO SOCIEDAD ANONIMA"/>
    <s v="2908010001"/>
    <s v="TERCEROS"/>
    <s v="000"/>
    <s v="001"/>
    <s v="CONTADO"/>
    <s v="002"/>
    <s v="MANTENIMIENTO-MECANICA"/>
    <s v="S/."/>
    <n v="3.3800001000000002"/>
    <n v="1"/>
    <n v="270"/>
    <n v="270"/>
    <n v="48.600010000000005"/>
    <n v="318.60001"/>
    <n v="270"/>
    <m/>
    <m/>
    <m/>
    <m/>
    <m/>
    <m/>
    <m/>
    <m/>
    <m/>
    <m/>
    <m/>
    <m/>
    <m/>
    <m/>
    <m/>
    <m/>
    <m/>
    <m/>
    <m/>
    <m/>
    <m/>
    <m/>
    <m/>
    <m/>
  </r>
  <r>
    <x v="32"/>
    <s v="FAC"/>
    <s v="005"/>
    <s v="00000140"/>
    <x v="126"/>
    <s v="F2I424"/>
    <d v="2019-11-21T00:00:00"/>
    <s v="20438563084"/>
    <s v="EDPYME ACCESO CREDITICIO SOCIEDAD ANONIMA"/>
    <s v="2805010001"/>
    <s v="SERVICIOS"/>
    <s v="000"/>
    <s v="001"/>
    <s v="CONTADO"/>
    <s v="002"/>
    <s v="MANTENIMIENTO-MECANICA"/>
    <s v="S/."/>
    <n v="3.3800001000000002"/>
    <n v="1"/>
    <n v="210"/>
    <n v="210"/>
    <n v="37.799999999999997"/>
    <n v="247.8"/>
    <n v="210"/>
    <m/>
    <m/>
    <m/>
    <m/>
    <m/>
    <m/>
    <m/>
    <m/>
    <m/>
    <m/>
    <m/>
    <m/>
    <m/>
    <m/>
    <m/>
    <m/>
    <m/>
    <m/>
    <m/>
    <m/>
    <m/>
    <m/>
    <m/>
    <m/>
  </r>
  <r>
    <x v="32"/>
    <s v="FAC"/>
    <s v="005"/>
    <s v="00000140"/>
    <x v="126"/>
    <s v="F2I424"/>
    <d v="2019-11-21T00:00:00"/>
    <s v="20438563084"/>
    <s v="EDPYME ACCESO CREDITICIO SOCIEDAD ANONIMA"/>
    <s v="320001"/>
    <s v="REPUESTOS"/>
    <s v="000"/>
    <s v="001"/>
    <s v="CONTADO"/>
    <s v="002"/>
    <s v="MANTENIMIENTO-MECANICA"/>
    <s v="S/."/>
    <n v="3.3800001000000002"/>
    <n v="1"/>
    <n v="1644"/>
    <n v="1644"/>
    <n v="295.92"/>
    <n v="1939.92"/>
    <n v="1644"/>
    <m/>
    <m/>
    <m/>
    <m/>
    <m/>
    <m/>
    <m/>
    <m/>
    <m/>
    <m/>
    <m/>
    <m/>
    <m/>
    <m/>
    <m/>
    <m/>
    <m/>
    <m/>
    <m/>
    <m/>
    <m/>
    <m/>
    <m/>
    <m/>
  </r>
  <r>
    <x v="32"/>
    <s v="FAC"/>
    <s v="005"/>
    <s v="00000142"/>
    <x v="118"/>
    <s v="BCP022"/>
    <d v="2019-11-05T00:00:00"/>
    <s v="20100210909"/>
    <s v="LA POSITIVA SEGUROS Y REASEGUROS"/>
    <s v="1302020001"/>
    <s v="PINTURA"/>
    <s v="000"/>
    <s v="001"/>
    <s v="CONTADO"/>
    <s v="009"/>
    <s v="PINTURA"/>
    <s v="$"/>
    <n v="3.3800001000000002"/>
    <n v="1"/>
    <n v="137.5"/>
    <n v="137.5"/>
    <n v="24.75"/>
    <n v="162.25"/>
    <n v="464.75001375000005"/>
    <m/>
    <m/>
    <m/>
    <m/>
    <m/>
    <m/>
    <m/>
    <m/>
    <m/>
    <m/>
    <m/>
    <m/>
    <m/>
    <m/>
    <m/>
    <m/>
    <m/>
    <m/>
    <m/>
    <m/>
    <m/>
    <m/>
    <m/>
    <m/>
  </r>
  <r>
    <x v="32"/>
    <s v="FAC"/>
    <s v="005"/>
    <s v="00000142"/>
    <x v="118"/>
    <s v="BCP022"/>
    <d v="2019-11-05T00:00:00"/>
    <s v="20100210909"/>
    <s v="LA POSITIVA SEGUROS Y REASEGUROS"/>
    <s v="1201020001"/>
    <s v="PLANCHADO"/>
    <s v="000"/>
    <s v="001"/>
    <s v="CONTADO"/>
    <s v="001"/>
    <s v="PLANCHADO"/>
    <s v="$"/>
    <n v="3.3800001000000002"/>
    <n v="1"/>
    <n v="156"/>
    <n v="156"/>
    <n v="28.08"/>
    <n v="184.08"/>
    <n v="527.28001560000007"/>
    <m/>
    <m/>
    <m/>
    <m/>
    <m/>
    <m/>
    <m/>
    <m/>
    <m/>
    <m/>
    <m/>
    <m/>
    <m/>
    <m/>
    <m/>
    <m/>
    <m/>
    <m/>
    <m/>
    <m/>
    <m/>
    <m/>
    <m/>
    <m/>
  </r>
  <r>
    <x v="32"/>
    <s v="FAC"/>
    <s v="005"/>
    <s v="00000142"/>
    <x v="118"/>
    <s v="BCP022"/>
    <d v="2019-11-05T00:00:00"/>
    <s v="20100210909"/>
    <s v="LA POSITIVA SEGUROS Y REASEGUROS"/>
    <s v="2908010001"/>
    <s v="TERCEROS"/>
    <s v="000"/>
    <s v="001"/>
    <s v="CONTADO"/>
    <s v="002"/>
    <s v="MANTENIMIENTO-MECANICA"/>
    <s v="$"/>
    <n v="3.3800001000000002"/>
    <n v="1"/>
    <n v="55"/>
    <n v="55"/>
    <n v="9.9000020000000131"/>
    <n v="64.900002000000015"/>
    <n v="185.90000550000002"/>
    <m/>
    <m/>
    <m/>
    <m/>
    <m/>
    <m/>
    <m/>
    <m/>
    <m/>
    <m/>
    <m/>
    <m/>
    <m/>
    <m/>
    <m/>
    <m/>
    <m/>
    <m/>
    <m/>
    <m/>
    <m/>
    <m/>
    <m/>
    <m/>
  </r>
  <r>
    <x v="32"/>
    <s v="FAC"/>
    <s v="005"/>
    <s v="00000142"/>
    <x v="118"/>
    <s v="BCP022"/>
    <d v="2019-11-05T00:00:00"/>
    <s v="20100210909"/>
    <s v="LA POSITIVA SEGUROS Y REASEGUROS"/>
    <s v="310120"/>
    <s v="FRANQUICIA"/>
    <s v="000"/>
    <s v="001"/>
    <s v="CONTADO"/>
    <s v="002"/>
    <s v="MANTENIMIENTO-MECANICA"/>
    <s v="$"/>
    <n v="3.3800001000000002"/>
    <n v="-1"/>
    <n v="150"/>
    <n v="-150"/>
    <n v="-27"/>
    <n v="-177"/>
    <n v="-507.00001500000002"/>
    <m/>
    <m/>
    <m/>
    <m/>
    <m/>
    <m/>
    <m/>
    <m/>
    <m/>
    <m/>
    <m/>
    <m/>
    <m/>
    <m/>
    <m/>
    <m/>
    <m/>
    <m/>
    <m/>
    <m/>
    <m/>
    <m/>
    <m/>
    <m/>
  </r>
  <r>
    <x v="32"/>
    <s v="FAC"/>
    <s v="005"/>
    <s v="00000142"/>
    <x v="118"/>
    <s v="BCP022"/>
    <d v="2019-11-05T00:00:00"/>
    <s v="20100210909"/>
    <s v="LA POSITIVA SEGUROS Y REASEGUROS"/>
    <s v="320001"/>
    <s v="REPUESTOS"/>
    <s v="000"/>
    <s v="001"/>
    <s v="CONTADO"/>
    <s v="002"/>
    <s v="MANTENIMIENTO-MECANICA"/>
    <s v="$"/>
    <n v="3.380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3"/>
    <s v="FAC"/>
    <s v="005"/>
    <s v="00000143"/>
    <x v="127"/>
    <s v="AZF323"/>
    <d v="2019-10-28T00:00:00"/>
    <s v="20438563084"/>
    <s v="EDPYME ACCESO CREDITICIO SOCIEDAD ANONIMA"/>
    <s v="1302020001"/>
    <s v="PINTURA"/>
    <s v="000"/>
    <s v="001"/>
    <s v="CONTADO"/>
    <s v="009"/>
    <s v="PINTURA"/>
    <s v="S/."/>
    <n v="3.3849999999999998"/>
    <n v="1"/>
    <n v="1687.5"/>
    <n v="1687.5"/>
    <n v="303.75"/>
    <n v="1991.25"/>
    <n v="1687.5"/>
    <m/>
    <m/>
    <m/>
    <m/>
    <m/>
    <m/>
    <m/>
    <m/>
    <m/>
    <m/>
    <m/>
    <m/>
    <m/>
    <m/>
    <m/>
    <m/>
    <m/>
    <m/>
    <m/>
    <m/>
    <m/>
    <m/>
    <m/>
    <m/>
  </r>
  <r>
    <x v="33"/>
    <s v="FAC"/>
    <s v="005"/>
    <s v="00000143"/>
    <x v="127"/>
    <s v="AZF323"/>
    <d v="2019-10-28T00:00:00"/>
    <s v="20438563084"/>
    <s v="EDPYME ACCESO CREDITICIO SOCIEDAD ANONIMA"/>
    <s v="1201020001"/>
    <s v="PLANCHADO"/>
    <s v="000"/>
    <s v="001"/>
    <s v="CONTADO"/>
    <s v="001"/>
    <s v="PLANCHADO"/>
    <s v="S/."/>
    <n v="3.3849999999999998"/>
    <n v="1"/>
    <n v="910"/>
    <n v="910"/>
    <n v="163.80000000000001"/>
    <n v="1073.8"/>
    <n v="910"/>
    <m/>
    <m/>
    <m/>
    <m/>
    <m/>
    <m/>
    <m/>
    <m/>
    <m/>
    <m/>
    <m/>
    <m/>
    <m/>
    <m/>
    <m/>
    <m/>
    <m/>
    <m/>
    <m/>
    <m/>
    <m/>
    <m/>
    <m/>
    <m/>
  </r>
  <r>
    <x v="33"/>
    <s v="FAC"/>
    <s v="005"/>
    <s v="00000143"/>
    <x v="127"/>
    <s v="AZF323"/>
    <d v="2019-10-28T00:00:00"/>
    <s v="20438563084"/>
    <s v="EDPYME ACCESO CREDITICIO SOCIEDAD ANONIMA"/>
    <s v="2908010001"/>
    <s v="TERCEROS"/>
    <s v="000"/>
    <s v="001"/>
    <s v="CONTADO"/>
    <s v="002"/>
    <s v="MANTENIMIENTO-MECANICA"/>
    <s v="S/."/>
    <n v="3.3849999999999998"/>
    <n v="1"/>
    <n v="1320"/>
    <n v="1320"/>
    <n v="237.6"/>
    <n v="1557.6"/>
    <n v="1320"/>
    <m/>
    <m/>
    <m/>
    <m/>
    <m/>
    <m/>
    <m/>
    <m/>
    <m/>
    <m/>
    <m/>
    <m/>
    <m/>
    <m/>
    <m/>
    <m/>
    <m/>
    <m/>
    <m/>
    <m/>
    <m/>
    <m/>
    <m/>
    <m/>
  </r>
  <r>
    <x v="33"/>
    <s v="FAC"/>
    <s v="005"/>
    <s v="00000143"/>
    <x v="127"/>
    <s v="AZF323"/>
    <d v="2019-10-28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849999999999998"/>
    <n v="1"/>
    <n v="1265"/>
    <n v="1265"/>
    <n v="227.7"/>
    <n v="1492.7"/>
    <n v="1265"/>
    <m/>
    <m/>
    <m/>
    <m/>
    <m/>
    <m/>
    <m/>
    <m/>
    <m/>
    <m/>
    <m/>
    <m/>
    <m/>
    <m/>
    <m/>
    <m/>
    <m/>
    <m/>
    <m/>
    <m/>
    <m/>
    <m/>
    <m/>
    <m/>
  </r>
  <r>
    <x v="33"/>
    <s v="FAC"/>
    <s v="005"/>
    <s v="00000143"/>
    <x v="127"/>
    <s v="AZF323"/>
    <d v="2019-10-28T00:00:00"/>
    <s v="20438563084"/>
    <s v="EDPYME ACCESO CREDITICIO SOCIEDAD ANONIMA"/>
    <s v="2805010001"/>
    <s v="SERVICIOS"/>
    <s v="000"/>
    <s v="001"/>
    <s v="CONTADO"/>
    <s v="002"/>
    <s v="MANTENIMIENTO-MECANICA"/>
    <s v="S/."/>
    <n v="3.3849999999999998"/>
    <n v="1"/>
    <n v="848.75420999999972"/>
    <n v="848.75420999999972"/>
    <n v="152.77579000000026"/>
    <n v="1001.53"/>
    <n v="848.75420999999972"/>
    <m/>
    <m/>
    <m/>
    <m/>
    <m/>
    <m/>
    <m/>
    <m/>
    <m/>
    <m/>
    <m/>
    <m/>
    <m/>
    <m/>
    <m/>
    <m/>
    <m/>
    <m/>
    <m/>
    <m/>
    <m/>
    <m/>
    <m/>
    <m/>
  </r>
  <r>
    <x v="33"/>
    <s v="FAC"/>
    <s v="005"/>
    <s v="00000143"/>
    <x v="127"/>
    <s v="AZF323"/>
    <d v="2019-10-28T00:00:00"/>
    <s v="20438563084"/>
    <s v="EDPYME ACCESO CREDITICIO SOCIEDAD ANONIMA"/>
    <s v="320001"/>
    <s v="REPUESTOS"/>
    <s v="000"/>
    <s v="001"/>
    <s v="CONTADO"/>
    <s v="002"/>
    <s v="MANTENIMIENTO-MECANICA"/>
    <s v="S/."/>
    <n v="3.3849999999999998"/>
    <n v="1"/>
    <n v="3426"/>
    <n v="3426"/>
    <n v="616.67989999999986"/>
    <n v="4042.6799000000001"/>
    <n v="3426"/>
    <m/>
    <m/>
    <m/>
    <m/>
    <m/>
    <m/>
    <m/>
    <m/>
    <m/>
    <m/>
    <m/>
    <m/>
    <m/>
    <m/>
    <m/>
    <m/>
    <m/>
    <m/>
    <m/>
    <m/>
    <m/>
    <m/>
    <m/>
    <m/>
  </r>
  <r>
    <x v="33"/>
    <s v="FAC"/>
    <s v="005"/>
    <s v="00000144"/>
    <x v="128"/>
    <s v="AZQ074"/>
    <d v="2019-11-08T00:00:00"/>
    <s v="20438563084"/>
    <s v="EDPYME ACCESO CREDITICIO SOCIEDAD ANONIMA"/>
    <s v="1302020001"/>
    <s v="PINTURA"/>
    <s v="000"/>
    <s v="001"/>
    <s v="CONTADO"/>
    <s v="009"/>
    <s v="PINTURA"/>
    <s v="S/."/>
    <n v="3.3849999999999998"/>
    <n v="1"/>
    <n v="2025"/>
    <n v="2025"/>
    <n v="364.5"/>
    <n v="2389.5"/>
    <n v="2025"/>
    <m/>
    <m/>
    <m/>
    <m/>
    <m/>
    <m/>
    <m/>
    <m/>
    <m/>
    <m/>
    <m/>
    <m/>
    <m/>
    <m/>
    <m/>
    <m/>
    <m/>
    <m/>
    <m/>
    <m/>
    <m/>
    <m/>
    <m/>
    <m/>
  </r>
  <r>
    <x v="33"/>
    <s v="FAC"/>
    <s v="005"/>
    <s v="00000144"/>
    <x v="128"/>
    <s v="AZQ074"/>
    <d v="2019-11-08T00:00:00"/>
    <s v="20438563084"/>
    <s v="EDPYME ACCESO CREDITICIO SOCIEDAD ANONIMA"/>
    <s v="1201020001"/>
    <s v="PLANCHADO"/>
    <s v="000"/>
    <s v="001"/>
    <s v="CONTADO"/>
    <s v="001"/>
    <s v="PLANCHADO"/>
    <s v="S/."/>
    <n v="3.3849999999999998"/>
    <n v="1"/>
    <n v="1540"/>
    <n v="1540"/>
    <n v="277.2"/>
    <n v="1817.2"/>
    <n v="1540"/>
    <m/>
    <m/>
    <m/>
    <m/>
    <m/>
    <m/>
    <m/>
    <m/>
    <m/>
    <m/>
    <m/>
    <m/>
    <m/>
    <m/>
    <m/>
    <m/>
    <m/>
    <m/>
    <m/>
    <m/>
    <m/>
    <m/>
    <m/>
    <m/>
  </r>
  <r>
    <x v="33"/>
    <s v="FAC"/>
    <s v="005"/>
    <s v="00000144"/>
    <x v="128"/>
    <s v="AZQ074"/>
    <d v="2019-11-08T00:00:00"/>
    <s v="20438563084"/>
    <s v="EDPYME ACCESO CREDITICIO SOCIEDAD ANONIMA"/>
    <s v="2908010001"/>
    <s v="TERCEROS"/>
    <s v="000"/>
    <s v="001"/>
    <s v="CONTADO"/>
    <s v="002"/>
    <s v="MANTENIMIENTO-MECANICA"/>
    <s v="S/."/>
    <n v="3.3849999999999998"/>
    <n v="1"/>
    <n v="605"/>
    <n v="605"/>
    <n v="108.90002000000023"/>
    <n v="713.90002000000027"/>
    <n v="605"/>
    <m/>
    <m/>
    <m/>
    <m/>
    <m/>
    <m/>
    <m/>
    <m/>
    <m/>
    <m/>
    <m/>
    <m/>
    <m/>
    <m/>
    <m/>
    <m/>
    <m/>
    <m/>
    <m/>
    <m/>
    <m/>
    <m/>
    <m/>
    <m/>
  </r>
  <r>
    <x v="33"/>
    <s v="FAC"/>
    <s v="005"/>
    <s v="00000144"/>
    <x v="128"/>
    <s v="AZQ074"/>
    <d v="2019-11-08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849999999999998"/>
    <n v="1"/>
    <n v="1495"/>
    <n v="1495"/>
    <n v="269.10000000000002"/>
    <n v="1764.1"/>
    <n v="1495"/>
    <m/>
    <m/>
    <m/>
    <m/>
    <m/>
    <m/>
    <m/>
    <m/>
    <m/>
    <m/>
    <m/>
    <m/>
    <m/>
    <m/>
    <m/>
    <m/>
    <m/>
    <m/>
    <m/>
    <m/>
    <m/>
    <m/>
    <m/>
    <m/>
  </r>
  <r>
    <x v="33"/>
    <s v="FAC"/>
    <s v="005"/>
    <s v="00000144"/>
    <x v="128"/>
    <s v="AZQ074"/>
    <d v="2019-11-08T00:00:00"/>
    <s v="20438563084"/>
    <s v="EDPYME ACCESO CREDITICIO SOCIEDAD ANONIMA"/>
    <s v="2805010001"/>
    <s v="SERVICIOS"/>
    <s v="000"/>
    <s v="001"/>
    <s v="CONTADO"/>
    <s v="002"/>
    <s v="MANTENIMIENTO-MECANICA"/>
    <s v="S/."/>
    <n v="3.3849999999999998"/>
    <n v="1"/>
    <n v="883.75420999999972"/>
    <n v="883.75420999999972"/>
    <n v="159.07579000000027"/>
    <n v="1042.83"/>
    <n v="883.75420999999972"/>
    <m/>
    <m/>
    <m/>
    <m/>
    <m/>
    <m/>
    <m/>
    <m/>
    <m/>
    <m/>
    <m/>
    <m/>
    <m/>
    <m/>
    <m/>
    <m/>
    <m/>
    <m/>
    <m/>
    <m/>
    <m/>
    <m/>
    <m/>
    <m/>
  </r>
  <r>
    <x v="33"/>
    <s v="FAC"/>
    <s v="005"/>
    <s v="00000144"/>
    <x v="128"/>
    <s v="AZQ074"/>
    <d v="2019-11-08T00:00:00"/>
    <s v="20438563084"/>
    <s v="EDPYME ACCESO CREDITICIO SOCIEDAD ANONIMA"/>
    <s v="320001"/>
    <s v="REPUESTOS"/>
    <s v="000"/>
    <s v="001"/>
    <s v="CONTADO"/>
    <s v="002"/>
    <s v="MANTENIMIENTO-MECANICA"/>
    <s v="S/."/>
    <n v="3.3849999999999998"/>
    <n v="1"/>
    <n v="2672"/>
    <n v="2672"/>
    <n v="480.96"/>
    <n v="3152.96"/>
    <n v="2672"/>
    <m/>
    <m/>
    <m/>
    <m/>
    <m/>
    <m/>
    <m/>
    <m/>
    <m/>
    <m/>
    <m/>
    <m/>
    <m/>
    <m/>
    <m/>
    <m/>
    <m/>
    <m/>
    <m/>
    <m/>
    <m/>
    <m/>
    <m/>
    <m/>
  </r>
  <r>
    <x v="34"/>
    <s v="FAC"/>
    <s v="005"/>
    <s v="00000145"/>
    <x v="129"/>
    <s v="AYQ451"/>
    <d v="2019-11-19T00:00:00"/>
    <s v="20100041953"/>
    <s v="RIMAC SEGUROS  Y REASEGUROS S.A"/>
    <s v="2908010001"/>
    <s v="TERCEROS"/>
    <s v="000"/>
    <s v="001"/>
    <s v="CONTADO"/>
    <s v="002"/>
    <s v="MANTENIMIENTO-MECANICA"/>
    <s v="$"/>
    <n v="3.3849999999999998"/>
    <n v="1"/>
    <n v="80"/>
    <n v="80"/>
    <n v="14.400002000000004"/>
    <n v="94.400002000000001"/>
    <n v="270.79999999999995"/>
    <m/>
    <m/>
    <m/>
    <m/>
    <m/>
    <m/>
    <m/>
    <m/>
    <m/>
    <m/>
    <m/>
    <m/>
    <m/>
    <m/>
    <m/>
    <m/>
    <m/>
    <m/>
    <m/>
    <m/>
    <m/>
    <m/>
    <m/>
    <m/>
  </r>
  <r>
    <x v="34"/>
    <s v="FAC"/>
    <s v="005"/>
    <s v="00000145"/>
    <x v="129"/>
    <s v="AYQ451"/>
    <d v="2019-11-19T00:00:00"/>
    <s v="20100041953"/>
    <s v="RIMAC SEGUROS  Y REASEGUROS S.A"/>
    <s v="2805010001"/>
    <s v="SERVICIOS"/>
    <s v="000"/>
    <s v="001"/>
    <s v="CONTADO"/>
    <s v="002"/>
    <s v="MANTENIMIENTO-MECANICA"/>
    <s v="$"/>
    <n v="3.3849999999999998"/>
    <n v="1"/>
    <n v="15"/>
    <n v="15"/>
    <n v="2.7000009999999999"/>
    <n v="17.700001"/>
    <n v="50.774999999999999"/>
    <m/>
    <m/>
    <m/>
    <m/>
    <m/>
    <m/>
    <m/>
    <m/>
    <m/>
    <m/>
    <m/>
    <m/>
    <m/>
    <m/>
    <m/>
    <m/>
    <m/>
    <m/>
    <m/>
    <m/>
    <m/>
    <m/>
    <m/>
    <m/>
  </r>
  <r>
    <x v="34"/>
    <s v="FAC"/>
    <s v="005"/>
    <s v="00000145"/>
    <x v="129"/>
    <s v="AYQ451"/>
    <d v="2019-11-19T00:00:00"/>
    <s v="20100041953"/>
    <s v="RIMAC SEGUROS  Y REASEGUROS S.A"/>
    <s v="320001"/>
    <s v="REPUESTOS"/>
    <s v="000"/>
    <s v="001"/>
    <s v="CONTADO"/>
    <s v="002"/>
    <s v="MANTENIMIENTO-MECANICA"/>
    <s v="$"/>
    <n v="3.384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4"/>
    <s v="FAC"/>
    <s v="005"/>
    <s v="00000146"/>
    <x v="130"/>
    <s v="AHV171"/>
    <d v="2019-10-28T00:00:00"/>
    <s v="20438563084"/>
    <s v="EDPYME ACCESO CREDITICIO SOCIEDAD ANONIMA"/>
    <s v="1302020001"/>
    <s v="PINTURA"/>
    <s v="000"/>
    <s v="001"/>
    <s v="CONTADO"/>
    <s v="009"/>
    <s v="PINTURA"/>
    <s v="S/."/>
    <n v="3.3849999999999998"/>
    <n v="1"/>
    <n v="2295"/>
    <n v="2295"/>
    <n v="413.10010000000011"/>
    <n v="2708.1001000000001"/>
    <n v="2295"/>
    <m/>
    <m/>
    <m/>
    <m/>
    <m/>
    <m/>
    <m/>
    <m/>
    <m/>
    <m/>
    <m/>
    <m/>
    <m/>
    <m/>
    <m/>
    <m/>
    <m/>
    <m/>
    <m/>
    <m/>
    <m/>
    <m/>
    <m/>
    <m/>
  </r>
  <r>
    <x v="34"/>
    <s v="FAC"/>
    <s v="005"/>
    <s v="00000146"/>
    <x v="130"/>
    <s v="AHV171"/>
    <d v="2019-10-28T00:00:00"/>
    <s v="20438563084"/>
    <s v="EDPYME ACCESO CREDITICIO SOCIEDAD ANONIMA"/>
    <s v="1201020001"/>
    <s v="PLANCHADO"/>
    <s v="000"/>
    <s v="001"/>
    <s v="CONTADO"/>
    <s v="001"/>
    <s v="PLANCHADO"/>
    <s v="S/."/>
    <n v="3.3849999999999998"/>
    <n v="1"/>
    <n v="1015"/>
    <n v="1015"/>
    <n v="182.7"/>
    <n v="1197.7"/>
    <n v="1015"/>
    <m/>
    <m/>
    <m/>
    <m/>
    <m/>
    <m/>
    <m/>
    <m/>
    <m/>
    <m/>
    <m/>
    <m/>
    <m/>
    <m/>
    <m/>
    <m/>
    <m/>
    <m/>
    <m/>
    <m/>
    <m/>
    <m/>
    <m/>
    <m/>
  </r>
  <r>
    <x v="34"/>
    <s v="FAC"/>
    <s v="005"/>
    <s v="00000146"/>
    <x v="130"/>
    <s v="AHV171"/>
    <d v="2019-10-28T00:00:00"/>
    <s v="20438563084"/>
    <s v="EDPYME ACCESO CREDITICIO SOCIEDAD ANONIMA"/>
    <s v="2908010001"/>
    <s v="TERCEROS"/>
    <s v="000"/>
    <s v="001"/>
    <s v="CONTADO"/>
    <s v="002"/>
    <s v="MANTENIMIENTO-MECANICA"/>
    <s v="S/."/>
    <n v="3.3849999999999998"/>
    <n v="1"/>
    <n v="1140"/>
    <n v="1140"/>
    <n v="205.2"/>
    <n v="1345.2"/>
    <n v="1140"/>
    <m/>
    <m/>
    <m/>
    <m/>
    <m/>
    <m/>
    <m/>
    <m/>
    <m/>
    <m/>
    <m/>
    <m/>
    <m/>
    <m/>
    <m/>
    <m/>
    <m/>
    <m/>
    <m/>
    <m/>
    <m/>
    <m/>
    <m/>
    <m/>
  </r>
  <r>
    <x v="34"/>
    <s v="FAC"/>
    <s v="005"/>
    <s v="00000146"/>
    <x v="130"/>
    <s v="AHV171"/>
    <d v="2019-10-28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849999999999998"/>
    <n v="1"/>
    <n v="1903"/>
    <n v="1903"/>
    <n v="342.54"/>
    <n v="2245.54"/>
    <n v="1903"/>
    <m/>
    <m/>
    <m/>
    <m/>
    <m/>
    <m/>
    <m/>
    <m/>
    <m/>
    <m/>
    <m/>
    <m/>
    <m/>
    <m/>
    <m/>
    <m/>
    <m/>
    <m/>
    <m/>
    <m/>
    <m/>
    <m/>
    <m/>
    <m/>
  </r>
  <r>
    <x v="34"/>
    <s v="FAC"/>
    <s v="005"/>
    <s v="00000146"/>
    <x v="130"/>
    <s v="AHV171"/>
    <d v="2019-10-28T00:00:00"/>
    <s v="20438563084"/>
    <s v="EDPYME ACCESO CREDITICIO SOCIEDAD ANONIMA"/>
    <s v="2805010001"/>
    <s v="SERVICIOS"/>
    <s v="000"/>
    <s v="001"/>
    <s v="CONTADO"/>
    <s v="002"/>
    <s v="MANTENIMIENTO-MECANICA"/>
    <s v="S/."/>
    <n v="3.3849999999999998"/>
    <n v="1"/>
    <n v="988.75420999999972"/>
    <n v="988.75420999999972"/>
    <n v="177.97579000000027"/>
    <n v="1166.73"/>
    <n v="988.75420999999972"/>
    <m/>
    <m/>
    <m/>
    <m/>
    <m/>
    <m/>
    <m/>
    <m/>
    <m/>
    <m/>
    <m/>
    <m/>
    <m/>
    <m/>
    <m/>
    <m/>
    <m/>
    <m/>
    <m/>
    <m/>
    <m/>
    <m/>
    <m/>
    <m/>
  </r>
  <r>
    <x v="34"/>
    <s v="FAC"/>
    <s v="005"/>
    <s v="00000146"/>
    <x v="130"/>
    <s v="AHV171"/>
    <d v="2019-10-28T00:00:00"/>
    <s v="20438563084"/>
    <s v="EDPYME ACCESO CREDITICIO SOCIEDAD ANONIMA"/>
    <s v="320001"/>
    <s v="REPUESTOS"/>
    <s v="000"/>
    <s v="001"/>
    <s v="CONTADO"/>
    <s v="002"/>
    <s v="MANTENIMIENTO-MECANICA"/>
    <s v="S/."/>
    <n v="3.3849999999999998"/>
    <n v="1"/>
    <n v="2319"/>
    <n v="2319"/>
    <n v="417.41989999999993"/>
    <n v="2736.4198999999999"/>
    <n v="2319"/>
    <m/>
    <m/>
    <m/>
    <m/>
    <m/>
    <m/>
    <m/>
    <m/>
    <m/>
    <m/>
    <m/>
    <m/>
    <m/>
    <m/>
    <m/>
    <m/>
    <m/>
    <m/>
    <m/>
    <m/>
    <m/>
    <m/>
    <m/>
    <m/>
  </r>
  <r>
    <x v="35"/>
    <s v="FAC"/>
    <s v="005"/>
    <s v="00000147"/>
    <x v="131"/>
    <s v="BFM214"/>
    <d v="2019-10-29T00:00:00"/>
    <s v="20509959766"/>
    <s v="RENTAEQUIPOS LEASING PERU S.A."/>
    <s v="310120"/>
    <s v="FRANQUICIA"/>
    <s v="000"/>
    <s v="001"/>
    <s v="CONTADO"/>
    <s v="002"/>
    <s v="MANTENIMIENTO-MECANICA"/>
    <s v="$"/>
    <n v="3.391"/>
    <n v="1"/>
    <n v="234.85589999999996"/>
    <n v="234.85589999999996"/>
    <n v="42.274100000000033"/>
    <n v="277.13"/>
    <n v="796.39635689999989"/>
    <m/>
    <m/>
    <m/>
    <m/>
    <m/>
    <m/>
    <m/>
    <m/>
    <m/>
    <m/>
    <m/>
    <m/>
    <m/>
    <m/>
    <m/>
    <m/>
    <m/>
    <m/>
    <m/>
    <m/>
    <m/>
    <m/>
    <m/>
    <m/>
  </r>
  <r>
    <x v="35"/>
    <s v="FAC"/>
    <s v="005"/>
    <s v="00000148"/>
    <x v="131"/>
    <s v="BFM214"/>
    <d v="2019-10-29T00:00:00"/>
    <s v="20100041953"/>
    <s v="RIMAC SEGUROS  Y REASEGUROS S.A"/>
    <s v="1302020001"/>
    <s v="PINTURA"/>
    <s v="000"/>
    <s v="001"/>
    <s v="CONTADO"/>
    <s v="009"/>
    <s v="PINTURA"/>
    <s v="$"/>
    <n v="3.391"/>
    <n v="1"/>
    <n v="162.25419999999997"/>
    <n v="162.25419999999997"/>
    <n v="29.205810000000021"/>
    <n v="191.46001000000001"/>
    <n v="550.2039921999999"/>
    <m/>
    <m/>
    <m/>
    <m/>
    <m/>
    <m/>
    <m/>
    <m/>
    <m/>
    <m/>
    <m/>
    <m/>
    <m/>
    <m/>
    <m/>
    <m/>
    <m/>
    <m/>
    <m/>
    <m/>
    <m/>
    <m/>
    <m/>
    <m/>
  </r>
  <r>
    <x v="35"/>
    <s v="FAC"/>
    <s v="005"/>
    <s v="00000148"/>
    <x v="131"/>
    <s v="BFM214"/>
    <d v="2019-10-29T00:00:00"/>
    <s v="20100041953"/>
    <s v="RIMAC SEGUROS  Y REASEGUROS S.A"/>
    <s v="1201020001"/>
    <s v="PLANCHADO"/>
    <s v="000"/>
    <s v="001"/>
    <s v="CONTADO"/>
    <s v="001"/>
    <s v="PLANCHADO"/>
    <s v="$"/>
    <n v="3.391"/>
    <n v="1"/>
    <n v="135"/>
    <n v="135"/>
    <n v="24.3"/>
    <n v="159.30000000000001"/>
    <n v="457.78500000000003"/>
    <m/>
    <m/>
    <m/>
    <m/>
    <m/>
    <m/>
    <m/>
    <m/>
    <m/>
    <m/>
    <m/>
    <m/>
    <m/>
    <m/>
    <m/>
    <m/>
    <m/>
    <m/>
    <m/>
    <m/>
    <m/>
    <m/>
    <m/>
    <m/>
  </r>
  <r>
    <x v="35"/>
    <s v="FAC"/>
    <s v="005"/>
    <s v="00000148"/>
    <x v="131"/>
    <s v="BFM214"/>
    <d v="2019-10-29T00:00:00"/>
    <s v="20100041953"/>
    <s v="RIMAC SEGUROS  Y REASEGUROS S.A"/>
    <s v="2908010001"/>
    <s v="TERCEROS"/>
    <s v="000"/>
    <s v="001"/>
    <s v="CONTADO"/>
    <s v="002"/>
    <s v="MANTENIMIENTO-MECANICA"/>
    <s v="$"/>
    <n v="3.391"/>
    <n v="1"/>
    <n v="35"/>
    <n v="35"/>
    <n v="6.299998999999989"/>
    <n v="41.299998999999985"/>
    <n v="118.685"/>
    <m/>
    <m/>
    <m/>
    <m/>
    <m/>
    <m/>
    <m/>
    <m/>
    <m/>
    <m/>
    <m/>
    <m/>
    <m/>
    <m/>
    <m/>
    <m/>
    <m/>
    <m/>
    <m/>
    <m/>
    <m/>
    <m/>
    <m/>
    <m/>
  </r>
  <r>
    <x v="35"/>
    <s v="FAC"/>
    <s v="005"/>
    <s v="00000148"/>
    <x v="131"/>
    <s v="BFM214"/>
    <d v="2019-10-29T00:00:00"/>
    <s v="20100041953"/>
    <s v="RIMAC SEGUROS  Y REASEGUROS S.A"/>
    <s v="2908010002"/>
    <s v="AMPLIACION TERCEROS"/>
    <s v="000"/>
    <s v="001"/>
    <s v="CONTADO"/>
    <s v="002"/>
    <s v="MANTENIMIENTO-MECANICA"/>
    <s v="$"/>
    <n v="3.391"/>
    <n v="1"/>
    <n v="45"/>
    <n v="45"/>
    <n v="8.0999980000000047"/>
    <n v="53.099998000000006"/>
    <n v="152.595"/>
    <m/>
    <m/>
    <m/>
    <m/>
    <m/>
    <m/>
    <m/>
    <m/>
    <m/>
    <m/>
    <m/>
    <m/>
    <m/>
    <m/>
    <m/>
    <m/>
    <m/>
    <m/>
    <m/>
    <m/>
    <m/>
    <m/>
    <m/>
    <m/>
  </r>
  <r>
    <x v="35"/>
    <s v="FAC"/>
    <s v="005"/>
    <s v="00000148"/>
    <x v="131"/>
    <s v="BFM214"/>
    <d v="2019-10-29T00:00:00"/>
    <s v="20100041953"/>
    <s v="RIMAC SEGUROS  Y REASEGUROS S.A"/>
    <s v="2805010001"/>
    <s v="SERVICIOS"/>
    <s v="000"/>
    <s v="001"/>
    <s v="CONTADO"/>
    <s v="002"/>
    <s v="MANTENIMIENTO-MECANICA"/>
    <s v="$"/>
    <n v="3.391"/>
    <n v="1"/>
    <n v="30"/>
    <n v="30"/>
    <n v="5.4000019999999997"/>
    <n v="35.400002000000001"/>
    <n v="101.73"/>
    <m/>
    <m/>
    <m/>
    <m/>
    <m/>
    <m/>
    <m/>
    <m/>
    <m/>
    <m/>
    <m/>
    <m/>
    <m/>
    <m/>
    <m/>
    <m/>
    <m/>
    <m/>
    <m/>
    <m/>
    <m/>
    <m/>
    <m/>
    <m/>
  </r>
  <r>
    <x v="35"/>
    <s v="FAC"/>
    <s v="005"/>
    <s v="00000148"/>
    <x v="131"/>
    <s v="BFM214"/>
    <d v="2019-10-29T00:00:00"/>
    <s v="20100041953"/>
    <s v="RIMAC SEGUROS  Y REASEGUROS S.A"/>
    <s v="310120"/>
    <s v="FRANQUICIA"/>
    <s v="000"/>
    <s v="001"/>
    <s v="CONTADO"/>
    <s v="002"/>
    <s v="MANTENIMIENTO-MECANICA"/>
    <s v="$"/>
    <n v="3.391"/>
    <n v="-1"/>
    <n v="234.85589999999996"/>
    <n v="-234.85589999999996"/>
    <n v="-42.274100000000033"/>
    <n v="-277.13"/>
    <n v="-796.39635689999989"/>
    <m/>
    <m/>
    <m/>
    <m/>
    <m/>
    <m/>
    <m/>
    <m/>
    <m/>
    <m/>
    <m/>
    <m/>
    <m/>
    <m/>
    <m/>
    <m/>
    <m/>
    <m/>
    <m/>
    <m/>
    <m/>
    <m/>
    <m/>
    <m/>
  </r>
  <r>
    <x v="35"/>
    <s v="FAC"/>
    <s v="005"/>
    <s v="00000148"/>
    <x v="131"/>
    <s v="BFM214"/>
    <d v="2019-10-29T00:00:00"/>
    <s v="20100041953"/>
    <s v="RIMAC SEGUROS  Y REASEGUROS S.A"/>
    <s v="320001"/>
    <s v="REPUESTOS"/>
    <s v="000"/>
    <s v="001"/>
    <s v="CONTADO"/>
    <s v="002"/>
    <s v="MANTENIMIENTO-MECANICA"/>
    <s v="$"/>
    <n v="3.39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6"/>
    <s v="FAC"/>
    <s v="005"/>
    <s v="00000149"/>
    <x v="132"/>
    <s v="ADY124"/>
    <d v="2019-11-18T00:00:00"/>
    <s v="10100547274"/>
    <s v="ROBERTO CARLOS TORRES JULCA"/>
    <s v="310120"/>
    <s v="FRANQUICIA"/>
    <s v="000"/>
    <s v="001"/>
    <s v="CONTADO"/>
    <s v="002"/>
    <s v="MANTENIMIENTO-MECANICA"/>
    <s v="$"/>
    <n v="3.3849999999999998"/>
    <n v="1"/>
    <n v="133.51691"/>
    <n v="133.51691"/>
    <n v="24.033090000000012"/>
    <n v="157.55000000000001"/>
    <n v="451.95474034999995"/>
    <m/>
    <m/>
    <m/>
    <m/>
    <m/>
    <m/>
    <m/>
    <m/>
    <m/>
    <m/>
    <m/>
    <m/>
    <m/>
    <m/>
    <m/>
    <m/>
    <m/>
    <m/>
    <m/>
    <m/>
    <m/>
    <m/>
    <m/>
    <m/>
  </r>
  <r>
    <x v="36"/>
    <s v="FAC"/>
    <s v="005"/>
    <s v="00000150"/>
    <x v="132"/>
    <s v="ADY124"/>
    <d v="2019-11-18T00:00:00"/>
    <s v="20100041953"/>
    <s v="RIMAC SEGUROS  Y REASEGUROS S.A"/>
    <s v="1302020001"/>
    <s v="PINTURA"/>
    <s v="000"/>
    <s v="001"/>
    <s v="CONTADO"/>
    <s v="009"/>
    <s v="PINTURA"/>
    <s v="$"/>
    <n v="3.3849999999999998"/>
    <n v="1"/>
    <n v="265.5"/>
    <n v="265.5"/>
    <n v="47.790010000000002"/>
    <n v="313.29001"/>
    <n v="898.71749999999997"/>
    <m/>
    <m/>
    <m/>
    <m/>
    <m/>
    <m/>
    <m/>
    <m/>
    <m/>
    <m/>
    <m/>
    <m/>
    <m/>
    <m/>
    <m/>
    <m/>
    <m/>
    <m/>
    <m/>
    <m/>
    <m/>
    <m/>
    <m/>
    <m/>
  </r>
  <r>
    <x v="36"/>
    <s v="FAC"/>
    <s v="005"/>
    <s v="00000150"/>
    <x v="132"/>
    <s v="ADY124"/>
    <d v="2019-11-18T00:00:00"/>
    <s v="20100041953"/>
    <s v="RIMAC SEGUROS  Y REASEGUROS S.A"/>
    <s v="1201020001"/>
    <s v="PLANCHADO"/>
    <s v="000"/>
    <s v="001"/>
    <s v="CONTADO"/>
    <s v="001"/>
    <s v="PLANCHADO"/>
    <s v="$"/>
    <n v="3.3849999999999998"/>
    <n v="1"/>
    <n v="135"/>
    <n v="135"/>
    <n v="24.3"/>
    <n v="159.30000000000001"/>
    <n v="456.97499999999997"/>
    <m/>
    <m/>
    <m/>
    <m/>
    <m/>
    <m/>
    <m/>
    <m/>
    <m/>
    <m/>
    <m/>
    <m/>
    <m/>
    <m/>
    <m/>
    <m/>
    <m/>
    <m/>
    <m/>
    <m/>
    <m/>
    <m/>
    <m/>
    <m/>
  </r>
  <r>
    <x v="36"/>
    <s v="FAC"/>
    <s v="005"/>
    <s v="00000150"/>
    <x v="132"/>
    <s v="ADY124"/>
    <d v="2019-11-18T00:00:00"/>
    <s v="20100041953"/>
    <s v="RIMAC SEGUROS  Y REASEGUROS S.A"/>
    <s v="2908010001"/>
    <s v="TERCEROS"/>
    <s v="000"/>
    <s v="001"/>
    <s v="CONTADO"/>
    <s v="002"/>
    <s v="MANTENIMIENTO-MECANICA"/>
    <s v="$"/>
    <n v="3.3849999999999998"/>
    <n v="1"/>
    <n v="15"/>
    <n v="15"/>
    <n v="2.7000009999999999"/>
    <n v="17.700001"/>
    <n v="50.774999999999999"/>
    <m/>
    <m/>
    <m/>
    <m/>
    <m/>
    <m/>
    <m/>
    <m/>
    <m/>
    <m/>
    <m/>
    <m/>
    <m/>
    <m/>
    <m/>
    <m/>
    <m/>
    <m/>
    <m/>
    <m/>
    <m/>
    <m/>
    <m/>
    <m/>
  </r>
  <r>
    <x v="36"/>
    <s v="FAC"/>
    <s v="005"/>
    <s v="00000150"/>
    <x v="132"/>
    <s v="ADY124"/>
    <d v="2019-11-18T00:00:00"/>
    <s v="20100041953"/>
    <s v="RIMAC SEGUROS  Y REASEGUROS S.A"/>
    <s v="310120"/>
    <s v="FRANQUICIA"/>
    <s v="000"/>
    <s v="001"/>
    <s v="CONTADO"/>
    <s v="002"/>
    <s v="MANTENIMIENTO-MECANICA"/>
    <s v="$"/>
    <n v="3.3849999999999998"/>
    <n v="-1"/>
    <n v="133.51691"/>
    <n v="-133.51691"/>
    <n v="-24.033090000000012"/>
    <n v="-157.55000000000001"/>
    <n v="-451.95474034999995"/>
    <m/>
    <m/>
    <m/>
    <m/>
    <m/>
    <m/>
    <m/>
    <m/>
    <m/>
    <m/>
    <m/>
    <m/>
    <m/>
    <m/>
    <m/>
    <m/>
    <m/>
    <m/>
    <m/>
    <m/>
    <m/>
    <m/>
    <m/>
    <m/>
  </r>
  <r>
    <x v="36"/>
    <s v="FAC"/>
    <s v="005"/>
    <s v="00000150"/>
    <x v="132"/>
    <s v="ADY124"/>
    <d v="2019-11-18T00:00:00"/>
    <s v="20100041953"/>
    <s v="RIMAC SEGUROS  Y REASEGUROS S.A"/>
    <s v="320001"/>
    <s v="REPUESTOS"/>
    <s v="000"/>
    <s v="001"/>
    <s v="CONTADO"/>
    <s v="002"/>
    <s v="MANTENIMIENTO-MECANICA"/>
    <s v="$"/>
    <n v="3.384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7"/>
    <s v="FAC"/>
    <s v="005"/>
    <s v="00000151"/>
    <x v="133"/>
    <s v="AFS362"/>
    <d v="2019-10-10T00:00:00"/>
    <s v="20550071101"/>
    <s v="SERVICIOS HOTELEROS LIMA S.A.C."/>
    <s v="310120"/>
    <s v="FRANQUICIA"/>
    <s v="000"/>
    <s v="001"/>
    <s v="CONTADO"/>
    <s v="002"/>
    <s v="MANTENIMIENTO-MECANICA"/>
    <s v="$"/>
    <n v="3.3940001"/>
    <n v="1"/>
    <n v="150"/>
    <n v="150"/>
    <n v="27"/>
    <n v="177"/>
    <n v="509.10001499999998"/>
    <m/>
    <m/>
    <m/>
    <m/>
    <m/>
    <m/>
    <m/>
    <m/>
    <m/>
    <m/>
    <m/>
    <m/>
    <m/>
    <m/>
    <m/>
    <m/>
    <m/>
    <m/>
    <m/>
    <m/>
    <m/>
    <m/>
    <m/>
    <m/>
  </r>
  <r>
    <x v="37"/>
    <s v="FAC"/>
    <s v="005"/>
    <s v="00000152"/>
    <x v="133"/>
    <s v="AFS362"/>
    <d v="2019-10-10T00:00:00"/>
    <s v="20100041953"/>
    <s v="RIMAC SEGUROS  Y REASEGUROS S.A"/>
    <s v="1201020001"/>
    <s v="PLANCHADO"/>
    <s v="000"/>
    <s v="001"/>
    <s v="CONTADO"/>
    <s v="001"/>
    <s v="PLANCHADO"/>
    <s v="$"/>
    <n v="3.3940001"/>
    <n v="1"/>
    <n v="90"/>
    <n v="90"/>
    <n v="16.2"/>
    <n v="106.2"/>
    <n v="305.46000900000001"/>
    <m/>
    <m/>
    <m/>
    <m/>
    <m/>
    <m/>
    <m/>
    <m/>
    <m/>
    <m/>
    <m/>
    <m/>
    <m/>
    <m/>
    <m/>
    <m/>
    <m/>
    <m/>
    <m/>
    <m/>
    <m/>
    <m/>
    <m/>
    <m/>
  </r>
  <r>
    <x v="37"/>
    <s v="FAC"/>
    <s v="005"/>
    <s v="00000152"/>
    <x v="133"/>
    <s v="AFS362"/>
    <d v="2019-10-10T00:00:00"/>
    <s v="20100041953"/>
    <s v="RIMAC SEGUROS  Y REASEGUROS S.A"/>
    <s v="2908010001"/>
    <s v="TERCEROS"/>
    <s v="000"/>
    <s v="001"/>
    <s v="CONTADO"/>
    <s v="002"/>
    <s v="MANTENIMIENTO-MECANICA"/>
    <s v="$"/>
    <n v="3.3940001"/>
    <n v="1"/>
    <n v="135"/>
    <n v="135"/>
    <n v="24.3"/>
    <n v="159.30000000000001"/>
    <n v="458.19001350000002"/>
    <m/>
    <m/>
    <m/>
    <m/>
    <m/>
    <m/>
    <m/>
    <m/>
    <m/>
    <m/>
    <m/>
    <m/>
    <m/>
    <m/>
    <m/>
    <m/>
    <m/>
    <m/>
    <m/>
    <m/>
    <m/>
    <m/>
    <m/>
    <m/>
  </r>
  <r>
    <x v="37"/>
    <s v="FAC"/>
    <s v="005"/>
    <s v="00000152"/>
    <x v="133"/>
    <s v="AFS362"/>
    <d v="2019-10-10T00:00:00"/>
    <s v="20100041953"/>
    <s v="RIMAC SEGUROS  Y REASEGUROS S.A"/>
    <s v="2805010001"/>
    <s v="SERVICIOS"/>
    <s v="000"/>
    <s v="001"/>
    <s v="CONTADO"/>
    <s v="002"/>
    <s v="MANTENIMIENTO-MECANICA"/>
    <s v="$"/>
    <n v="3.3940001"/>
    <n v="1"/>
    <n v="15"/>
    <n v="15"/>
    <n v="2.7000009999999999"/>
    <n v="17.700001"/>
    <n v="50.9100015"/>
    <m/>
    <m/>
    <m/>
    <m/>
    <m/>
    <m/>
    <m/>
    <m/>
    <m/>
    <m/>
    <m/>
    <m/>
    <m/>
    <m/>
    <m/>
    <m/>
    <m/>
    <m/>
    <m/>
    <m/>
    <m/>
    <m/>
    <m/>
    <m/>
  </r>
  <r>
    <x v="37"/>
    <s v="FAC"/>
    <s v="005"/>
    <s v="00000152"/>
    <x v="133"/>
    <s v="AFS362"/>
    <d v="2019-10-10T00:00:00"/>
    <s v="20100041953"/>
    <s v="RIMAC SEGUROS  Y REASEGUROS S.A"/>
    <s v="310120"/>
    <s v="FRANQUICIA"/>
    <s v="000"/>
    <s v="001"/>
    <s v="CONTADO"/>
    <s v="002"/>
    <s v="MANTENIMIENTO-MECANICA"/>
    <s v="$"/>
    <n v="3.3940001"/>
    <n v="-1"/>
    <n v="150"/>
    <n v="-150"/>
    <n v="-27"/>
    <n v="-177"/>
    <n v="-509.10001499999998"/>
    <m/>
    <m/>
    <m/>
    <m/>
    <m/>
    <m/>
    <m/>
    <m/>
    <m/>
    <m/>
    <m/>
    <m/>
    <m/>
    <m/>
    <m/>
    <m/>
    <m/>
    <m/>
    <m/>
    <m/>
    <m/>
    <m/>
    <m/>
    <m/>
  </r>
  <r>
    <x v="37"/>
    <s v="FAC"/>
    <s v="005"/>
    <s v="00000152"/>
    <x v="133"/>
    <s v="AFS362"/>
    <d v="2019-10-10T00:00:00"/>
    <s v="20100041953"/>
    <s v="RIMAC SEGUROS  Y REASEGUROS S.A"/>
    <s v="320001"/>
    <s v="REPUESTOS"/>
    <s v="000"/>
    <s v="001"/>
    <s v="CONTADO"/>
    <s v="002"/>
    <s v="MANTENIMIENTO-MECANICA"/>
    <s v="$"/>
    <n v="3.394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3"/>
    <x v="134"/>
    <s v="BBQ678"/>
    <d v="2019-11-21T00:00:00"/>
    <s v="20537088118"/>
    <s v="DARDOS COMUNICACION VISUAL SAC"/>
    <s v="310120"/>
    <s v="FRANQUICIA"/>
    <s v="000"/>
    <s v="001"/>
    <s v="CONTADO"/>
    <s v="002"/>
    <s v="MANTENIMIENTO-MECANICA"/>
    <s v="$"/>
    <n v="3.3900001"/>
    <n v="1"/>
    <n v="301.54239000000001"/>
    <n v="301.54239000000007"/>
    <n v="54.277620000000098"/>
    <n v="355.82001000000014"/>
    <n v="1022.2287322542393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4"/>
    <x v="135"/>
    <s v="ANB605"/>
    <d v="2019-11-08T00:00:00"/>
    <s v="20547583168"/>
    <s v="AUTOCLASS S.A.C."/>
    <s v="1302020001"/>
    <s v="PINTURA"/>
    <s v="000"/>
    <s v="001"/>
    <s v="CONTADO"/>
    <s v="009"/>
    <s v="PINTURA"/>
    <s v="S/."/>
    <n v="3.3900001"/>
    <n v="1"/>
    <n v="2565"/>
    <n v="2565"/>
    <n v="461.7"/>
    <n v="3026.7"/>
    <n v="2565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4"/>
    <x v="135"/>
    <s v="ANB605"/>
    <d v="2019-11-08T00:00:00"/>
    <s v="20547583168"/>
    <s v="AUTOCLASS S.A.C."/>
    <s v="1201020001"/>
    <s v="PLANCHADO"/>
    <s v="000"/>
    <s v="001"/>
    <s v="CONTADO"/>
    <s v="001"/>
    <s v="PLANCHADO"/>
    <s v="S/."/>
    <n v="3.3900001"/>
    <n v="1"/>
    <n v="1960"/>
    <n v="1960"/>
    <n v="352.8"/>
    <n v="2312.8000000000002"/>
    <n v="1960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4"/>
    <x v="135"/>
    <s v="ANB605"/>
    <d v="2019-11-08T00:00:00"/>
    <s v="20547583168"/>
    <s v="AUTOCLASS S.A.C."/>
    <s v="2908010001"/>
    <s v="TERCEROS"/>
    <s v="000"/>
    <s v="001"/>
    <s v="CONTADO"/>
    <s v="002"/>
    <s v="MANTENIMIENTO-MECANICA"/>
    <s v="S/."/>
    <n v="3.3900001"/>
    <n v="1"/>
    <n v="985"/>
    <n v="985"/>
    <n v="177.3"/>
    <n v="1162.3"/>
    <n v="985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4"/>
    <x v="135"/>
    <s v="ANB605"/>
    <d v="2019-11-08T00:00:00"/>
    <s v="20547583168"/>
    <s v="AUTOCLASS S.A.C."/>
    <s v="2908010002"/>
    <s v="AMPLIACION REPUESTOS"/>
    <s v="000"/>
    <s v="001"/>
    <s v="CONTADO"/>
    <s v="002"/>
    <s v="MANTENIMIENTO-MECANICA"/>
    <s v="S/."/>
    <n v="3.3900001"/>
    <n v="1"/>
    <n v="3070"/>
    <n v="3070"/>
    <n v="552.60010000000011"/>
    <n v="3622.6001000000001"/>
    <n v="3070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4"/>
    <x v="135"/>
    <s v="ANB605"/>
    <d v="2019-11-08T00:00:00"/>
    <s v="20547583168"/>
    <s v="AUTOCLASS S.A.C."/>
    <s v="2908010003"/>
    <s v="REPARACION CONCENTRADOR"/>
    <s v="000"/>
    <s v="001"/>
    <s v="CONTADO"/>
    <s v="002"/>
    <s v="MANTENIMIENTO-MECANICA"/>
    <s v="S/."/>
    <n v="3.3900001"/>
    <n v="1"/>
    <n v="70"/>
    <n v="70"/>
    <n v="12.599997999999978"/>
    <n v="82.599997999999971"/>
    <n v="70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4"/>
    <x v="135"/>
    <s v="ANB605"/>
    <d v="2019-11-08T00:00:00"/>
    <s v="20547583168"/>
    <s v="AUTOCLASS S.A.C."/>
    <s v="2805010001"/>
    <s v="SERVICIOS"/>
    <s v="000"/>
    <s v="001"/>
    <s v="CONTADO"/>
    <s v="002"/>
    <s v="MANTENIMIENTO-MECANICA"/>
    <s v="S/."/>
    <n v="3.3900001"/>
    <n v="1"/>
    <n v="673.75420999999972"/>
    <n v="673.75420999999972"/>
    <n v="121.27582000000038"/>
    <n v="795.03003000000012"/>
    <n v="673.75420999999972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4"/>
    <x v="135"/>
    <s v="ANB605"/>
    <d v="2019-11-08T00:00:00"/>
    <s v="20547583168"/>
    <s v="AUTOCLASS S.A.C."/>
    <s v="320001"/>
    <s v="REPUESTOS"/>
    <s v="000"/>
    <s v="001"/>
    <s v="CONTADO"/>
    <s v="002"/>
    <s v="MANTENIMIENTO-MECANICA"/>
    <s v="S/."/>
    <n v="3.3900001"/>
    <n v="1"/>
    <n v="1967"/>
    <n v="1967"/>
    <n v="354.06010000000009"/>
    <n v="2321.0601000000001"/>
    <n v="1967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5"/>
    <x v="136"/>
    <s v="F6Q533"/>
    <d v="2019-10-28T00:00:00"/>
    <s v="20547583168"/>
    <s v="AUTOCLASS S.A.C."/>
    <s v="1302020001"/>
    <s v="PINTURA"/>
    <s v="000"/>
    <s v="001"/>
    <s v="CONTADO"/>
    <s v="009"/>
    <s v="PINTURA"/>
    <s v="S/."/>
    <n v="3.3900001"/>
    <n v="1"/>
    <n v="1822.5"/>
    <n v="1822.5"/>
    <n v="328.05"/>
    <n v="2150.5500000000002"/>
    <n v="1822.5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5"/>
    <x v="136"/>
    <s v="F6Q533"/>
    <d v="2019-10-28T00:00:00"/>
    <s v="20547583168"/>
    <s v="AUTOCLASS S.A.C."/>
    <s v="1201020001"/>
    <s v="PLANCHADO"/>
    <s v="000"/>
    <s v="001"/>
    <s v="CONTADO"/>
    <s v="001"/>
    <s v="PLANCHADO"/>
    <s v="S/."/>
    <n v="3.3900001"/>
    <n v="1"/>
    <n v="875"/>
    <n v="875"/>
    <n v="157.5"/>
    <n v="1032.5"/>
    <n v="875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5"/>
    <x v="136"/>
    <s v="F6Q533"/>
    <d v="2019-10-28T00:00:00"/>
    <s v="20547583168"/>
    <s v="AUTOCLASS S.A.C."/>
    <s v="2908010001"/>
    <s v="TERCEROS"/>
    <s v="000"/>
    <s v="001"/>
    <s v="CONTADO"/>
    <s v="002"/>
    <s v="MANTENIMIENTO-MECANICA"/>
    <s v="S/."/>
    <n v="3.3900001"/>
    <n v="1"/>
    <n v="1185"/>
    <n v="1185"/>
    <n v="213.3"/>
    <n v="1398.3"/>
    <n v="1185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5"/>
    <x v="136"/>
    <s v="F6Q533"/>
    <d v="2019-10-28T00:00:00"/>
    <s v="20547583168"/>
    <s v="AUTOCLASS S.A.C."/>
    <s v="2908010002"/>
    <s v="AMPLIACION REPUESTOS"/>
    <s v="000"/>
    <s v="001"/>
    <s v="CONTADO"/>
    <s v="002"/>
    <s v="MANTENIMIENTO-MECANICA"/>
    <s v="S/."/>
    <n v="3.3900001"/>
    <n v="1"/>
    <n v="1512"/>
    <n v="1512"/>
    <n v="272.16000000000003"/>
    <n v="1784.16"/>
    <n v="1512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5"/>
    <x v="136"/>
    <s v="F6Q533"/>
    <d v="2019-10-28T00:00:00"/>
    <s v="20547583168"/>
    <s v="AUTOCLASS S.A.C."/>
    <s v="2908010003"/>
    <s v="AMPLIACION REPUESTO"/>
    <s v="000"/>
    <s v="001"/>
    <s v="CONTADO"/>
    <s v="002"/>
    <s v="MANTENIMIENTO-MECANICA"/>
    <s v="S/."/>
    <n v="3.3900001"/>
    <n v="1"/>
    <n v="110"/>
    <n v="110"/>
    <n v="19.8"/>
    <n v="129.80000000000001"/>
    <n v="110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5"/>
    <x v="136"/>
    <s v="F6Q533"/>
    <d v="2019-10-28T00:00:00"/>
    <s v="20547583168"/>
    <s v="AUTOCLASS S.A.C."/>
    <s v="2908010003"/>
    <s v="AMPLIACION PLANCHADO"/>
    <s v="000"/>
    <s v="001"/>
    <s v="CONTADO"/>
    <s v="002"/>
    <s v="MANTENIMIENTO-MECANICA"/>
    <s v="S/."/>
    <n v="3.3900001"/>
    <n v="6"/>
    <n v="35"/>
    <n v="210"/>
    <n v="37.799993999999941"/>
    <n v="247.79999399999994"/>
    <n v="210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5"/>
    <x v="136"/>
    <s v="F6Q533"/>
    <d v="2019-10-28T00:00:00"/>
    <s v="20547583168"/>
    <s v="AUTOCLASS S.A.C."/>
    <s v="2908010003"/>
    <s v="REPARACION TERCEROS"/>
    <s v="000"/>
    <s v="001"/>
    <s v="CONTADO"/>
    <s v="002"/>
    <s v="MANTENIMIENTO-MECANICA"/>
    <s v="S/."/>
    <n v="3.3900001"/>
    <n v="2"/>
    <n v="70"/>
    <n v="140"/>
    <n v="25.199995999999956"/>
    <n v="165.19999599999994"/>
    <n v="140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5"/>
    <x v="136"/>
    <s v="F6Q533"/>
    <d v="2019-10-28T00:00:00"/>
    <s v="20547583168"/>
    <s v="AUTOCLASS S.A.C."/>
    <s v="2805010001"/>
    <s v="SERVICIOS"/>
    <s v="000"/>
    <s v="001"/>
    <s v="CONTADO"/>
    <s v="002"/>
    <s v="MANTENIMIENTO-MECANICA"/>
    <s v="S/."/>
    <n v="3.3900001"/>
    <n v="1"/>
    <n v="743.75420999999972"/>
    <n v="743.75420999999972"/>
    <n v="133.87579000000028"/>
    <n v="877.63"/>
    <n v="743.75420999999972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5"/>
    <x v="136"/>
    <s v="F6Q533"/>
    <d v="2019-10-28T00:00:00"/>
    <s v="20547583168"/>
    <s v="AUTOCLASS S.A.C."/>
    <s v="320001"/>
    <s v="REPUESTOS"/>
    <s v="000"/>
    <s v="001"/>
    <s v="CONTADO"/>
    <s v="002"/>
    <s v="MANTENIMIENTO-MECANICA"/>
    <s v="S/."/>
    <n v="3.3900001"/>
    <n v="1"/>
    <n v="1607"/>
    <n v="1607"/>
    <n v="289.26"/>
    <n v="1896.26"/>
    <n v="1607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6"/>
    <x v="137"/>
    <s v="AMZ619"/>
    <d v="2019-11-06T00:00:00"/>
    <s v="20547583168"/>
    <s v="AUTOCLASS S.A.C."/>
    <s v="1302020001"/>
    <s v="PINTURA"/>
    <s v="000"/>
    <s v="001"/>
    <s v="CONTADO"/>
    <s v="009"/>
    <s v="PINTURA"/>
    <s v="S/."/>
    <n v="3.3900001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6"/>
    <x v="137"/>
    <s v="AMZ619"/>
    <d v="2019-11-06T00:00:00"/>
    <s v="20547583168"/>
    <s v="AUTOCLASS S.A.C."/>
    <s v="1201020001"/>
    <s v="PLANCHADO"/>
    <s v="000"/>
    <s v="001"/>
    <s v="CONTADO"/>
    <s v="001"/>
    <s v="PLANCHADO"/>
    <s v="S/."/>
    <n v="3.3900001"/>
    <n v="1"/>
    <n v="1575"/>
    <n v="1575"/>
    <n v="283.5"/>
    <n v="1858.5"/>
    <n v="1575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6"/>
    <x v="137"/>
    <s v="AMZ619"/>
    <d v="2019-11-06T00:00:00"/>
    <s v="20547583168"/>
    <s v="AUTOCLASS S.A.C."/>
    <s v="2908010001"/>
    <s v="TERCEROS"/>
    <s v="000"/>
    <s v="001"/>
    <s v="CONTADO"/>
    <s v="002"/>
    <s v="MANTENIMIENTO-MECANICA"/>
    <s v="S/."/>
    <n v="3.3900001"/>
    <n v="1"/>
    <n v="890"/>
    <n v="890"/>
    <n v="160.19999999999999"/>
    <n v="1050.2"/>
    <n v="890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6"/>
    <x v="137"/>
    <s v="AMZ619"/>
    <d v="2019-11-06T00:00:00"/>
    <s v="20547583168"/>
    <s v="AUTOCLASS S.A.C."/>
    <s v="2908010002"/>
    <s v="AMPLIACION RESPUESTO"/>
    <s v="000"/>
    <s v="001"/>
    <s v="CONTADO"/>
    <s v="002"/>
    <s v="MANTENIMIENTO-MECANICA"/>
    <s v="S/."/>
    <n v="3.3900001"/>
    <n v="1"/>
    <n v="730"/>
    <n v="730"/>
    <n v="131.40002000000021"/>
    <n v="861.40002000000027"/>
    <n v="730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6"/>
    <x v="137"/>
    <s v="AMZ619"/>
    <d v="2019-11-06T00:00:00"/>
    <s v="20547583168"/>
    <s v="AUTOCLASS S.A.C."/>
    <s v="2805010001"/>
    <s v="SERVICIOS"/>
    <s v="000"/>
    <s v="001"/>
    <s v="CONTADO"/>
    <s v="002"/>
    <s v="MANTENIMIENTO-MECANICA"/>
    <s v="S/."/>
    <n v="3.3900001"/>
    <n v="1"/>
    <n v="848.75420999999972"/>
    <n v="848.75420999999972"/>
    <n v="152.77579000000026"/>
    <n v="1001.53"/>
    <n v="848.75420999999972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6"/>
    <x v="137"/>
    <s v="AMZ619"/>
    <d v="2019-11-06T00:00:00"/>
    <s v="20547583168"/>
    <s v="AUTOCLASS S.A.C."/>
    <s v="320001"/>
    <s v="REPUESTOS"/>
    <s v="000"/>
    <s v="001"/>
    <s v="CONTADO"/>
    <s v="002"/>
    <s v="MANTENIMIENTO-MECANICA"/>
    <s v="S/."/>
    <n v="3.3900001"/>
    <n v="1"/>
    <n v="3057"/>
    <n v="3057"/>
    <n v="550.26"/>
    <n v="3607.26"/>
    <n v="3057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7"/>
    <x v="138"/>
    <s v="BFW224"/>
    <d v="2019-10-11T00:00:00"/>
    <s v="20509959766"/>
    <s v="RENTAEQUIPOS LEASING PERU S.A."/>
    <s v="2908010001"/>
    <s v="TERCEROS"/>
    <s v="000"/>
    <s v="001"/>
    <s v="CONTADO"/>
    <s v="002"/>
    <s v="MANTENIMIENTO-MECANICA"/>
    <s v="$"/>
    <n v="3.3900001"/>
    <n v="1"/>
    <n v="130"/>
    <n v="130"/>
    <n v="23.399990000000017"/>
    <n v="153.39999"/>
    <n v="440.70001300000001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7"/>
    <x v="138"/>
    <s v="BFW224"/>
    <d v="2019-10-11T00:00:00"/>
    <s v="20509959766"/>
    <s v="RENTAEQUIPOS LEASING PERU S.A."/>
    <s v="2805010001"/>
    <s v="SERVICIOS"/>
    <s v="000"/>
    <s v="001"/>
    <s v="CONTADO"/>
    <s v="002"/>
    <s v="MANTENIMIENTO-MECANICA"/>
    <s v="$"/>
    <n v="3.3900001"/>
    <n v="1"/>
    <n v="127.5"/>
    <n v="127.5"/>
    <n v="22.949999999999982"/>
    <n v="150.44999999999999"/>
    <n v="432.22501275000002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7"/>
    <x v="138"/>
    <s v="BFW224"/>
    <d v="2019-10-11T00:00:00"/>
    <s v="20509959766"/>
    <s v="RENTAEQUIPOS LEASING PERU S.A."/>
    <s v="320001"/>
    <s v="REPUESTOS"/>
    <s v="000"/>
    <s v="001"/>
    <s v="CONTADO"/>
    <s v="002"/>
    <s v="MANTENIMIENTO-MECANICA"/>
    <s v="$"/>
    <n v="3.3900001"/>
    <n v="1"/>
    <n v="1802.4492"/>
    <n v="1802.4492"/>
    <n v="324.44069999999977"/>
    <n v="2126.8899000000001"/>
    <n v="6110.3029682449196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9"/>
    <x v="139"/>
    <s v="BED593"/>
    <d v="2019-11-19T00:00:00"/>
    <s v="20100041953"/>
    <s v="RIMAC SEGUROS  Y REASEGUROS S.A"/>
    <s v="1302020001"/>
    <s v="PINTURA"/>
    <s v="000"/>
    <s v="001"/>
    <s v="CONTADO"/>
    <s v="009"/>
    <s v="PINTURA"/>
    <s v="$"/>
    <n v="3.3900001"/>
    <n v="1"/>
    <n v="118"/>
    <n v="118"/>
    <n v="21.240010000000019"/>
    <n v="139.24001000000001"/>
    <n v="400.02001180000002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9"/>
    <x v="139"/>
    <s v="BED593"/>
    <d v="2019-11-19T00:00:00"/>
    <s v="20100041953"/>
    <s v="RIMAC SEGUROS  Y REASEGUROS S.A"/>
    <s v="1201020001"/>
    <s v="PLANCHADO"/>
    <s v="000"/>
    <s v="001"/>
    <s v="CONTADO"/>
    <s v="001"/>
    <s v="PLANCHADO"/>
    <s v="$"/>
    <n v="3.3900001"/>
    <n v="1"/>
    <n v="90"/>
    <n v="90"/>
    <n v="16.2"/>
    <n v="106.2"/>
    <n v="305.100009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9"/>
    <x v="139"/>
    <s v="BED593"/>
    <d v="2019-11-19T00:00:00"/>
    <s v="20100041953"/>
    <s v="RIMAC SEGUROS  Y REASEGUROS S.A"/>
    <s v="2908010001"/>
    <s v="TERCEROS"/>
    <s v="000"/>
    <s v="001"/>
    <s v="CONTADO"/>
    <s v="002"/>
    <s v="MANTENIMIENTO-MECANICA"/>
    <s v="$"/>
    <n v="3.3900001"/>
    <n v="1"/>
    <n v="65"/>
    <n v="65"/>
    <n v="11.699996999999994"/>
    <n v="76.699996999999996"/>
    <n v="220.35000650000001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9"/>
    <x v="139"/>
    <s v="BED593"/>
    <d v="2019-11-19T00:00:00"/>
    <s v="20100041953"/>
    <s v="RIMAC SEGUROS  Y REASEGUROS S.A"/>
    <s v="2805010001"/>
    <s v="SERVICIOS"/>
    <s v="000"/>
    <s v="001"/>
    <s v="CONTADO"/>
    <s v="002"/>
    <s v="MANTENIMIENTO-MECANICA"/>
    <s v="$"/>
    <n v="3.3900001"/>
    <n v="1"/>
    <n v="30"/>
    <n v="30"/>
    <n v="5.4000019999999997"/>
    <n v="35.400002000000001"/>
    <n v="101.700003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9"/>
    <x v="139"/>
    <s v="BED593"/>
    <d v="2019-11-19T00:00:00"/>
    <s v="20100041953"/>
    <s v="RIMAC SEGUROS  Y REASEGUROS S.A"/>
    <s v="310120"/>
    <s v="FRANQUICIA"/>
    <s v="000"/>
    <s v="001"/>
    <s v="CONTADO"/>
    <s v="002"/>
    <s v="MANTENIMIENTO-MECANICA"/>
    <s v="$"/>
    <n v="3.3900001"/>
    <n v="-1"/>
    <n v="100"/>
    <n v="-100"/>
    <n v="-18"/>
    <n v="-118"/>
    <n v="-339.00000999999997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59"/>
    <x v="139"/>
    <s v="BED593"/>
    <d v="2019-11-19T00:00:00"/>
    <s v="20100041953"/>
    <s v="RIMAC SEGUROS  Y REASEGUROS S.A"/>
    <s v="320001"/>
    <s v="REPUESTOS"/>
    <s v="000"/>
    <s v="001"/>
    <s v="CONTADO"/>
    <s v="002"/>
    <s v="MANTENIMIENTO-MECANICA"/>
    <s v="$"/>
    <n v="3.390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60"/>
    <x v="140"/>
    <s v="BEQ190"/>
    <d v="2019-10-11T00:00:00"/>
    <s v="20509959766"/>
    <s v="RENTAEQUIPOS LEASING PERU S.A."/>
    <s v="310120"/>
    <s v="FRANQUICIA"/>
    <s v="000"/>
    <s v="001"/>
    <s v="CONTADO"/>
    <s v="002"/>
    <s v="MANTENIMIENTO-MECANICA"/>
    <s v="$"/>
    <n v="3.3900001"/>
    <n v="1"/>
    <n v="235.90680000000003"/>
    <n v="235.90680000000003"/>
    <n v="42.463199999999958"/>
    <n v="278.37"/>
    <n v="799.72407559068006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62"/>
    <x v="134"/>
    <s v="BBQ678"/>
    <d v="2019-11-21T00:00:00"/>
    <s v="20100041953"/>
    <s v="RIMAC SEGUROS  Y REASEGUROS S.A"/>
    <s v="1302020001"/>
    <s v="PINTURA"/>
    <s v="000"/>
    <s v="001"/>
    <s v="CONTADO"/>
    <s v="009"/>
    <s v="PINTURA"/>
    <s v="$"/>
    <n v="3.3900001"/>
    <n v="1"/>
    <n v="295"/>
    <n v="295"/>
    <n v="53.100009999999891"/>
    <n v="348.10000999999988"/>
    <n v="1000.0500294999999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62"/>
    <x v="134"/>
    <s v="BBQ678"/>
    <d v="2019-11-21T00:00:00"/>
    <s v="20100041953"/>
    <s v="RIMAC SEGUROS  Y REASEGUROS S.A"/>
    <s v="1201020001"/>
    <s v="PLANCHADO"/>
    <s v="000"/>
    <s v="001"/>
    <s v="CONTADO"/>
    <s v="001"/>
    <s v="PLANCHADO"/>
    <s v="$"/>
    <n v="3.3900001"/>
    <n v="1"/>
    <n v="300"/>
    <n v="300"/>
    <n v="54"/>
    <n v="354"/>
    <n v="1017.00003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62"/>
    <x v="134"/>
    <s v="BBQ678"/>
    <d v="2019-11-21T00:00:00"/>
    <s v="20100041953"/>
    <s v="RIMAC SEGUROS  Y REASEGUROS S.A"/>
    <s v="2908010001"/>
    <s v="TERCEROS"/>
    <s v="000"/>
    <s v="001"/>
    <s v="CONTADO"/>
    <s v="002"/>
    <s v="MANTENIMIENTO-MECANICA"/>
    <s v="$"/>
    <n v="3.3900001"/>
    <n v="1"/>
    <n v="105"/>
    <n v="105"/>
    <n v="18.899999999999999"/>
    <n v="123.9"/>
    <n v="355.95001050000002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62"/>
    <x v="134"/>
    <s v="BBQ678"/>
    <d v="2019-11-21T00:00:00"/>
    <s v="20100041953"/>
    <s v="RIMAC SEGUROS  Y REASEGUROS S.A"/>
    <s v="310120"/>
    <s v="FRANQUICIA"/>
    <s v="000"/>
    <s v="001"/>
    <s v="CONTADO"/>
    <s v="002"/>
    <s v="MANTENIMIENTO-MECANICA"/>
    <s v="$"/>
    <n v="3.3900001"/>
    <n v="-1"/>
    <n v="301.54239000000001"/>
    <n v="-301.54239000000007"/>
    <n v="-54.277620000000098"/>
    <n v="-355.82001000000014"/>
    <n v="-1022.2287322542393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62"/>
    <x v="134"/>
    <s v="BBQ678"/>
    <d v="2019-11-21T00:00:00"/>
    <s v="20100041953"/>
    <s v="RIMAC SEGUROS  Y REASEGUROS S.A"/>
    <s v="320001"/>
    <s v="REPUESTOS"/>
    <s v="000"/>
    <s v="001"/>
    <s v="CONTADO"/>
    <s v="002"/>
    <s v="MANTENIMIENTO-MECANICA"/>
    <s v="$"/>
    <n v="3.390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63"/>
    <x v="140"/>
    <s v="BEQ190"/>
    <d v="2019-10-11T00:00:00"/>
    <s v="20100041953"/>
    <s v="RIMAC SEGUROS  Y REASEGUROS S.A"/>
    <s v="1302020001"/>
    <s v="PINTURA"/>
    <s v="000"/>
    <s v="001"/>
    <s v="CONTADO"/>
    <s v="009"/>
    <s v="PINTURA"/>
    <s v="$"/>
    <n v="3.3900001"/>
    <n v="1"/>
    <n v="324.5"/>
    <n v="324.5"/>
    <n v="58.41"/>
    <n v="382.91"/>
    <n v="1100.05503245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63"/>
    <x v="140"/>
    <s v="BEQ190"/>
    <d v="2019-10-11T00:00:00"/>
    <s v="20100041953"/>
    <s v="RIMAC SEGUROS  Y REASEGUROS S.A"/>
    <s v="1201020001"/>
    <s v="PLANCHADO"/>
    <s v="000"/>
    <s v="001"/>
    <s v="CONTADO"/>
    <s v="001"/>
    <s v="PLANCHADO"/>
    <s v="$"/>
    <n v="3.3900001"/>
    <n v="1"/>
    <n v="360"/>
    <n v="360"/>
    <n v="64.799990000000037"/>
    <n v="424.79999000000004"/>
    <n v="1220.400036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63"/>
    <x v="140"/>
    <s v="BEQ190"/>
    <d v="2019-10-11T00:00:00"/>
    <s v="20100041953"/>
    <s v="RIMAC SEGUROS  Y REASEGUROS S.A"/>
    <s v="2908010001"/>
    <s v="TERCEROS"/>
    <s v="000"/>
    <s v="001"/>
    <s v="CONTADO"/>
    <s v="002"/>
    <s v="MANTENIMIENTO-MECANICA"/>
    <s v="$"/>
    <n v="3.3900001"/>
    <n v="1"/>
    <n v="110"/>
    <n v="110"/>
    <n v="19.8"/>
    <n v="129.80000000000001"/>
    <n v="372.90001100000001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63"/>
    <x v="140"/>
    <s v="BEQ190"/>
    <d v="2019-10-11T00:00:00"/>
    <s v="20100041953"/>
    <s v="RIMAC SEGUROS  Y REASEGUROS S.A"/>
    <s v="2908010002"/>
    <s v="AMPLIACION TERCEROS"/>
    <s v="000"/>
    <s v="001"/>
    <s v="CONTADO"/>
    <s v="002"/>
    <s v="MANTENIMIENTO-MECANICA"/>
    <s v="$"/>
    <n v="3.3900001"/>
    <n v="1"/>
    <n v="40"/>
    <n v="40"/>
    <n v="7.2000010000000021"/>
    <n v="47.200001"/>
    <n v="135.60000400000001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63"/>
    <x v="140"/>
    <s v="BEQ190"/>
    <d v="2019-10-11T00:00:00"/>
    <s v="20100041953"/>
    <s v="RIMAC SEGUROS  Y REASEGUROS S.A"/>
    <s v="2805010001"/>
    <s v="SERVICIOS"/>
    <s v="000"/>
    <s v="001"/>
    <s v="CONTADO"/>
    <s v="002"/>
    <s v="MANTENIMIENTO-MECANICA"/>
    <s v="$"/>
    <n v="3.3900001"/>
    <n v="1"/>
    <n v="30"/>
    <n v="30"/>
    <n v="5.4000019999999997"/>
    <n v="35.400002000000001"/>
    <n v="101.700003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63"/>
    <x v="140"/>
    <s v="BEQ190"/>
    <d v="2019-10-11T00:00:00"/>
    <s v="20100041953"/>
    <s v="RIMAC SEGUROS  Y REASEGUROS S.A"/>
    <s v="310120"/>
    <s v="FRANQUICIA"/>
    <s v="000"/>
    <s v="001"/>
    <s v="CONTADO"/>
    <s v="002"/>
    <s v="MANTENIMIENTO-MECANICA"/>
    <s v="$"/>
    <n v="3.3900001"/>
    <n v="-1"/>
    <n v="235.90680000000003"/>
    <n v="-235.90680000000003"/>
    <n v="-42.463199999999958"/>
    <n v="-278.37"/>
    <n v="-799.72407559068006"/>
    <m/>
    <m/>
    <m/>
    <m/>
    <m/>
    <m/>
    <m/>
    <m/>
    <m/>
    <m/>
    <m/>
    <m/>
    <m/>
    <m/>
    <m/>
    <m/>
    <m/>
    <m/>
    <m/>
    <m/>
    <m/>
    <m/>
    <m/>
    <m/>
  </r>
  <r>
    <x v="38"/>
    <s v="FAC"/>
    <s v="005"/>
    <s v="00000163"/>
    <x v="140"/>
    <s v="BEQ190"/>
    <d v="2019-10-11T00:00:00"/>
    <s v="20100041953"/>
    <s v="RIMAC SEGUROS  Y REASEGUROS S.A"/>
    <s v="320001"/>
    <s v="REPUESTOS"/>
    <s v="000"/>
    <s v="001"/>
    <s v="CONTADO"/>
    <s v="002"/>
    <s v="MANTENIMIENTO-MECANICA"/>
    <s v="$"/>
    <n v="3.390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9"/>
    <s v="FAC"/>
    <s v="005"/>
    <s v="00000164"/>
    <x v="141"/>
    <s v="C4R002"/>
    <d v="2019-11-22T00:00:00"/>
    <s v="20463001651"/>
    <s v="SPRIND SAC"/>
    <s v="310120"/>
    <s v="FRANQUICIA"/>
    <s v="000"/>
    <s v="001"/>
    <s v="CONTADO"/>
    <s v="002"/>
    <s v="MANTENIMIENTO-MECANICA"/>
    <s v="$"/>
    <n v="3.4000001000000002"/>
    <n v="1"/>
    <n v="100"/>
    <n v="100"/>
    <n v="18"/>
    <n v="118"/>
    <n v="340.00001000000003"/>
    <m/>
    <m/>
    <m/>
    <m/>
    <m/>
    <m/>
    <m/>
    <m/>
    <m/>
    <m/>
    <m/>
    <m/>
    <m/>
    <m/>
    <m/>
    <m/>
    <m/>
    <m/>
    <m/>
    <m/>
    <m/>
    <m/>
    <m/>
    <m/>
  </r>
  <r>
    <x v="39"/>
    <s v="FAC"/>
    <s v="005"/>
    <s v="00000165"/>
    <x v="142"/>
    <s v="C4R002"/>
    <d v="2019-11-26T00:00:00"/>
    <s v="20463001651"/>
    <s v="SPRIND SAC"/>
    <s v="1302020001"/>
    <s v="PINTURA"/>
    <s v="000"/>
    <s v="001"/>
    <s v="CONTADO"/>
    <s v="009"/>
    <s v="PINTURA"/>
    <s v="$"/>
    <n v="3.4000001000000002"/>
    <n v="1"/>
    <n v="20"/>
    <n v="20"/>
    <n v="3.6"/>
    <n v="23.6"/>
    <n v="68.000002000000009"/>
    <m/>
    <m/>
    <m/>
    <m/>
    <m/>
    <m/>
    <m/>
    <m/>
    <m/>
    <m/>
    <m/>
    <m/>
    <m/>
    <m/>
    <m/>
    <m/>
    <m/>
    <m/>
    <m/>
    <m/>
    <m/>
    <m/>
    <m/>
    <m/>
  </r>
  <r>
    <x v="39"/>
    <s v="FAC"/>
    <s v="005"/>
    <s v="00000165"/>
    <x v="142"/>
    <s v="C4R002"/>
    <d v="2019-11-26T00:00:00"/>
    <s v="20463001651"/>
    <s v="SPRIND SAC"/>
    <s v="2908010001"/>
    <s v="TERCEROS"/>
    <s v="000"/>
    <s v="001"/>
    <s v="CONTADO"/>
    <s v="002"/>
    <s v="MANTENIMIENTO-MECANICA"/>
    <s v="$"/>
    <n v="3.4000001000000002"/>
    <n v="1"/>
    <n v="25"/>
    <n v="25"/>
    <n v="4.5"/>
    <n v="29.5"/>
    <n v="85.000002500000008"/>
    <m/>
    <m/>
    <m/>
    <m/>
    <m/>
    <m/>
    <m/>
    <m/>
    <m/>
    <m/>
    <m/>
    <m/>
    <m/>
    <m/>
    <m/>
    <m/>
    <m/>
    <m/>
    <m/>
    <m/>
    <m/>
    <m/>
    <m/>
    <m/>
  </r>
  <r>
    <x v="39"/>
    <s v="FAC"/>
    <s v="005"/>
    <s v="00000166"/>
    <x v="141"/>
    <s v="C4R002"/>
    <d v="2019-11-22T00:00:00"/>
    <s v="20100041953"/>
    <s v="RIMAC SEGUROS  Y REASEGUROS S.A"/>
    <s v="1302020001"/>
    <s v="PINTURA"/>
    <s v="000"/>
    <s v="001"/>
    <s v="CONTADO"/>
    <s v="009"/>
    <s v="PINTURA"/>
    <s v="$"/>
    <n v="3.4000001000000002"/>
    <n v="1"/>
    <n v="324.5"/>
    <n v="324.5"/>
    <n v="58.41"/>
    <n v="382.91"/>
    <n v="1103.3000324500001"/>
    <m/>
    <m/>
    <m/>
    <m/>
    <m/>
    <m/>
    <m/>
    <m/>
    <m/>
    <m/>
    <m/>
    <m/>
    <m/>
    <m/>
    <m/>
    <m/>
    <m/>
    <m/>
    <m/>
    <m/>
    <m/>
    <m/>
    <m/>
    <m/>
  </r>
  <r>
    <x v="39"/>
    <s v="FAC"/>
    <s v="005"/>
    <s v="00000166"/>
    <x v="141"/>
    <s v="C4R002"/>
    <d v="2019-11-22T00:00:00"/>
    <s v="20100041953"/>
    <s v="RIMAC SEGUROS  Y REASEGUROS S.A"/>
    <s v="1201020001"/>
    <s v="PLANCHADO"/>
    <s v="000"/>
    <s v="001"/>
    <s v="CONTADO"/>
    <s v="001"/>
    <s v="PLANCHADO"/>
    <s v="$"/>
    <n v="3.4000001000000002"/>
    <n v="1"/>
    <n v="292.5"/>
    <n v="292.5"/>
    <n v="52.649990000000031"/>
    <n v="345.14999000000006"/>
    <n v="994.50002925000001"/>
    <m/>
    <m/>
    <m/>
    <m/>
    <m/>
    <m/>
    <m/>
    <m/>
    <m/>
    <m/>
    <m/>
    <m/>
    <m/>
    <m/>
    <m/>
    <m/>
    <m/>
    <m/>
    <m/>
    <m/>
    <m/>
    <m/>
    <m/>
    <m/>
  </r>
  <r>
    <x v="39"/>
    <s v="FAC"/>
    <s v="005"/>
    <s v="00000166"/>
    <x v="141"/>
    <s v="C4R002"/>
    <d v="2019-11-22T00:00:00"/>
    <s v="20100041953"/>
    <s v="RIMAC SEGUROS  Y REASEGUROS S.A"/>
    <s v="2908010001"/>
    <s v="TERCEROS"/>
    <s v="000"/>
    <s v="001"/>
    <s v="CONTADO"/>
    <s v="002"/>
    <s v="MANTENIMIENTO-MECANICA"/>
    <s v="$"/>
    <n v="3.4000001000000002"/>
    <n v="1"/>
    <n v="30"/>
    <n v="30"/>
    <n v="5.4000019999999997"/>
    <n v="35.400002000000001"/>
    <n v="102.00000300000001"/>
    <m/>
    <m/>
    <m/>
    <m/>
    <m/>
    <m/>
    <m/>
    <m/>
    <m/>
    <m/>
    <m/>
    <m/>
    <m/>
    <m/>
    <m/>
    <m/>
    <m/>
    <m/>
    <m/>
    <m/>
    <m/>
    <m/>
    <m/>
    <m/>
  </r>
  <r>
    <x v="39"/>
    <s v="FAC"/>
    <s v="005"/>
    <s v="00000166"/>
    <x v="141"/>
    <s v="C4R002"/>
    <d v="2019-11-22T00:00:00"/>
    <s v="20100041953"/>
    <s v="RIMAC SEGUROS  Y REASEGUROS S.A"/>
    <s v="2805010001"/>
    <s v="SERVICIOS"/>
    <s v="000"/>
    <s v="001"/>
    <s v="CONTADO"/>
    <s v="002"/>
    <s v="MANTENIMIENTO-MECANICA"/>
    <s v="$"/>
    <n v="3.4000001000000002"/>
    <n v="1"/>
    <n v="30"/>
    <n v="30"/>
    <n v="5.4000019999999997"/>
    <n v="35.400002000000001"/>
    <n v="102.00000300000001"/>
    <m/>
    <m/>
    <m/>
    <m/>
    <m/>
    <m/>
    <m/>
    <m/>
    <m/>
    <m/>
    <m/>
    <m/>
    <m/>
    <m/>
    <m/>
    <m/>
    <m/>
    <m/>
    <m/>
    <m/>
    <m/>
    <m/>
    <m/>
    <m/>
  </r>
  <r>
    <x v="39"/>
    <s v="FAC"/>
    <s v="005"/>
    <s v="00000166"/>
    <x v="141"/>
    <s v="C4R002"/>
    <d v="2019-11-22T00:00:00"/>
    <s v="20100041953"/>
    <s v="RIMAC SEGUROS  Y REASEGUROS S.A"/>
    <s v="310120"/>
    <s v="FRANQUICIA"/>
    <s v="000"/>
    <s v="001"/>
    <s v="CONTADO"/>
    <s v="002"/>
    <s v="MANTENIMIENTO-MECANICA"/>
    <s v="$"/>
    <n v="3.4000001000000002"/>
    <n v="-1"/>
    <n v="100"/>
    <n v="-100"/>
    <n v="-18"/>
    <n v="-118"/>
    <n v="-340.00001000000003"/>
    <m/>
    <m/>
    <m/>
    <m/>
    <m/>
    <m/>
    <m/>
    <m/>
    <m/>
    <m/>
    <m/>
    <m/>
    <m/>
    <m/>
    <m/>
    <m/>
    <m/>
    <m/>
    <m/>
    <m/>
    <m/>
    <m/>
    <m/>
    <m/>
  </r>
  <r>
    <x v="39"/>
    <s v="FAC"/>
    <s v="005"/>
    <s v="00000166"/>
    <x v="141"/>
    <s v="C4R002"/>
    <d v="2019-11-22T00:00:00"/>
    <s v="20100041953"/>
    <s v="RIMAC SEGUROS  Y REASEGUROS S.A"/>
    <s v="320001"/>
    <s v="REPUESTOS"/>
    <s v="000"/>
    <s v="001"/>
    <s v="CONTADO"/>
    <s v="002"/>
    <s v="MANTENIMIENTO-MECANICA"/>
    <s v="$"/>
    <n v="3.400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15"/>
    <s v="BOL"/>
    <s v="005"/>
    <s v="00000028"/>
    <x v="67"/>
    <s v="APW245"/>
    <d v="2019-10-23T00:00:00"/>
    <s v="26620706"/>
    <s v="PASTOR DE LA PUENTE ALEJANDRO"/>
    <s v="310120"/>
    <s v="FRANQUICIA"/>
    <s v="000"/>
    <s v="001"/>
    <s v="CONTADO"/>
    <s v="002"/>
    <s v="MANTENIMIENTO-MECANICA"/>
    <s v="$"/>
    <n v="3.3490000000000002"/>
    <n v="1"/>
    <n v="50"/>
    <n v="50"/>
    <n v="9"/>
    <n v="59"/>
    <n v="167.45000000000002"/>
    <m/>
    <m/>
    <m/>
    <m/>
    <m/>
    <m/>
    <m/>
    <m/>
    <m/>
    <m/>
    <m/>
    <m/>
    <m/>
    <m/>
    <m/>
    <m/>
    <m/>
    <m/>
    <m/>
    <m/>
    <m/>
    <m/>
    <m/>
    <m/>
  </r>
  <r>
    <x v="15"/>
    <s v="BOL"/>
    <s v="005"/>
    <s v="00000029"/>
    <x v="143"/>
    <s v="ADP623"/>
    <d v="2019-11-02T00:00:00"/>
    <s v="10451093"/>
    <s v="JIMENEZ MESIA JORGE"/>
    <s v="2805010001"/>
    <s v="SERVICIOS"/>
    <s v="000"/>
    <s v="001"/>
    <s v="CONTADO"/>
    <s v="002"/>
    <s v="MANTENIMIENTO-MECANICA"/>
    <s v="S/."/>
    <n v="3.3490000000000002"/>
    <n v="1"/>
    <n v="211.87289000000001"/>
    <n v="211.87289000000001"/>
    <n v="38.137099999999954"/>
    <n v="250.00998999999996"/>
    <n v="211.87289000000001"/>
    <m/>
    <m/>
    <m/>
    <m/>
    <m/>
    <m/>
    <m/>
    <m/>
    <m/>
    <m/>
    <m/>
    <m/>
    <m/>
    <m/>
    <m/>
    <m/>
    <m/>
    <m/>
    <m/>
    <m/>
    <m/>
    <m/>
    <m/>
    <m/>
  </r>
  <r>
    <x v="15"/>
    <s v="BOL"/>
    <s v="005"/>
    <s v="00000029"/>
    <x v="143"/>
    <s v="ADP623"/>
    <d v="2019-11-02T00:00:00"/>
    <s v="10451093"/>
    <s v="JIMENEZ MESIA JORGE"/>
    <s v="320001"/>
    <s v="REPUESTOS"/>
    <s v="000"/>
    <s v="001"/>
    <s v="CONTADO"/>
    <s v="002"/>
    <s v="MANTENIMIENTO-MECANICA"/>
    <s v="S/."/>
    <n v="3.3490000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16"/>
    <s v="BOL"/>
    <s v="005"/>
    <s v="00000030"/>
    <x v="68"/>
    <s v="ACT191"/>
    <d v="2019-10-22T00:00:00"/>
    <s v="07305520"/>
    <s v="CRUCES LIBERT CESAR DOMINGO"/>
    <s v="310120"/>
    <s v="FRANQUICIA"/>
    <s v="000"/>
    <s v="001"/>
    <s v="CONTADO"/>
    <s v="002"/>
    <s v="MANTENIMIENTO-MECANICA"/>
    <s v="$"/>
    <n v="3.3490000000000002"/>
    <n v="1"/>
    <n v="100"/>
    <n v="100"/>
    <n v="18"/>
    <n v="118"/>
    <n v="334.90000000000003"/>
    <m/>
    <m/>
    <m/>
    <m/>
    <m/>
    <m/>
    <m/>
    <m/>
    <m/>
    <m/>
    <m/>
    <m/>
    <m/>
    <m/>
    <m/>
    <m/>
    <m/>
    <m/>
    <m/>
    <m/>
    <m/>
    <m/>
    <m/>
    <m/>
  </r>
  <r>
    <x v="17"/>
    <s v="BOL"/>
    <s v="005"/>
    <s v="00000031"/>
    <x v="69"/>
    <s v="F2B530"/>
    <d v="2019-10-24T00:00:00"/>
    <s v="07877678"/>
    <s v="GAYOSO MEZA GUSTAVO ALBERTO"/>
    <s v="310120"/>
    <s v="FRANQUICIA"/>
    <s v="000"/>
    <s v="001"/>
    <s v="CONTADO"/>
    <s v="002"/>
    <s v="MANTENIMIENTO-MECANICA"/>
    <s v="$"/>
    <n v="3.3359999999999999"/>
    <n v="1"/>
    <n v="150"/>
    <n v="150"/>
    <n v="27"/>
    <n v="177"/>
    <n v="500.4"/>
    <m/>
    <m/>
    <m/>
    <m/>
    <m/>
    <m/>
    <m/>
    <m/>
    <m/>
    <m/>
    <m/>
    <m/>
    <m/>
    <m/>
    <m/>
    <m/>
    <m/>
    <m/>
    <m/>
    <m/>
    <m/>
    <m/>
    <m/>
    <m/>
  </r>
  <r>
    <x v="17"/>
    <s v="BOL"/>
    <s v="005"/>
    <s v="00000032"/>
    <x v="144"/>
    <s v="C4A237"/>
    <d v="2019-10-28T00:00:00"/>
    <s v="25831381"/>
    <s v="MIñAN VARGAS JULIO CESAR"/>
    <s v="2805010001"/>
    <s v="SERVICIOS"/>
    <s v="000"/>
    <s v="001"/>
    <s v="CONTADO"/>
    <s v="002"/>
    <s v="MANTENIMIENTO-MECANICA"/>
    <s v="S/."/>
    <n v="3.3359999999999999"/>
    <n v="1"/>
    <n v="150"/>
    <n v="150"/>
    <n v="27"/>
    <n v="177"/>
    <n v="150"/>
    <m/>
    <m/>
    <m/>
    <m/>
    <m/>
    <m/>
    <m/>
    <m/>
    <m/>
    <m/>
    <m/>
    <m/>
    <m/>
    <m/>
    <m/>
    <m/>
    <m/>
    <m/>
    <m/>
    <m/>
    <m/>
    <m/>
    <m/>
    <m/>
  </r>
  <r>
    <x v="17"/>
    <s v="BOL"/>
    <s v="005"/>
    <s v="00000032"/>
    <x v="144"/>
    <s v="C4A237"/>
    <d v="2019-10-28T00:00:00"/>
    <s v="25831381"/>
    <s v="MIñAN VARGAS JULIO CESAR"/>
    <s v="320001"/>
    <s v="REPUESTOS"/>
    <s v="000"/>
    <s v="001"/>
    <s v="CONTADO"/>
    <s v="002"/>
    <s v="MANTENIMIENTO-MECANICA"/>
    <s v="S/."/>
    <n v="3.3359999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19"/>
    <s v="BOL"/>
    <s v="005"/>
    <s v="00000033"/>
    <x v="77"/>
    <s v="ARV341"/>
    <d v="2019-10-29T00:00:00"/>
    <s v="43419829"/>
    <s v="JIMENEZ GUERRERO CHRISTIAN GUILLERMO"/>
    <s v="310120"/>
    <s v="FRANQUICIA"/>
    <s v="000"/>
    <s v="001"/>
    <s v="CONTADO"/>
    <s v="002"/>
    <s v="MANTENIMIENTO-MECANICA"/>
    <s v="$"/>
    <n v="3.3410001"/>
    <n v="1"/>
    <n v="100"/>
    <n v="100"/>
    <n v="18"/>
    <n v="118"/>
    <n v="334.10001"/>
    <m/>
    <m/>
    <m/>
    <m/>
    <m/>
    <m/>
    <m/>
    <m/>
    <m/>
    <m/>
    <m/>
    <m/>
    <m/>
    <m/>
    <m/>
    <m/>
    <m/>
    <m/>
    <m/>
    <m/>
    <m/>
    <m/>
    <m/>
    <m/>
  </r>
  <r>
    <x v="19"/>
    <s v="BOL"/>
    <s v="005"/>
    <s v="00000034"/>
    <x v="145"/>
    <s v="AFS436"/>
    <d v="2019-10-30T00:00:00"/>
    <s v="06802452"/>
    <s v="FERNANDEZ RENGIFO ESSENIN FERNANDO"/>
    <s v="2805010001"/>
    <s v="SERVICIOS"/>
    <s v="000"/>
    <s v="001"/>
    <s v="CONTADO"/>
    <s v="002"/>
    <s v="MANTENIMIENTO-MECANICA"/>
    <s v="S/."/>
    <n v="3.3410001"/>
    <n v="1"/>
    <n v="427"/>
    <n v="427"/>
    <n v="76.859990000000039"/>
    <n v="503.85999000000004"/>
    <n v="427"/>
    <m/>
    <m/>
    <m/>
    <m/>
    <m/>
    <m/>
    <m/>
    <m/>
    <m/>
    <m/>
    <m/>
    <m/>
    <m/>
    <m/>
    <m/>
    <m/>
    <m/>
    <m/>
    <m/>
    <m/>
    <m/>
    <m/>
    <m/>
    <m/>
  </r>
  <r>
    <x v="19"/>
    <s v="BOL"/>
    <s v="005"/>
    <s v="00000034"/>
    <x v="145"/>
    <s v="AFS436"/>
    <d v="2019-10-30T00:00:00"/>
    <s v="06802452"/>
    <s v="FERNANDEZ RENGIFO ESSENIN FERNANDO"/>
    <s v="320001"/>
    <s v="REPUESTOS"/>
    <s v="000"/>
    <s v="001"/>
    <s v="CONTADO"/>
    <s v="002"/>
    <s v="MANTENIMIENTO-MECANICA"/>
    <s v="S/."/>
    <n v="3.3410001"/>
    <n v="1"/>
    <n v="675.4237099999998"/>
    <n v="675.4237099999998"/>
    <n v="121.57629000000016"/>
    <n v="797"/>
    <n v="675.4237099999998"/>
    <m/>
    <m/>
    <m/>
    <m/>
    <m/>
    <m/>
    <m/>
    <m/>
    <m/>
    <m/>
    <m/>
    <m/>
    <m/>
    <m/>
    <m/>
    <m/>
    <m/>
    <m/>
    <m/>
    <m/>
    <m/>
    <m/>
    <m/>
    <m/>
  </r>
  <r>
    <x v="19"/>
    <s v="BOL"/>
    <s v="005"/>
    <s v="00000035"/>
    <x v="146"/>
    <s v="AFS436"/>
    <d v="2019-10-25T00:00:00"/>
    <s v="06802452"/>
    <s v="FERNANDEZ RENGIFO ESSENIN FERNANDO"/>
    <s v="2805010001"/>
    <s v="SERVICIOS"/>
    <s v="000"/>
    <s v="001"/>
    <s v="CONTADO"/>
    <s v="002"/>
    <s v="MANTENIMIENTO-MECANICA"/>
    <s v="S/."/>
    <n v="3.3410001"/>
    <n v="1"/>
    <n v="211.87289000000001"/>
    <n v="211.87289000000001"/>
    <n v="38.137099999999954"/>
    <n v="250.00998999999996"/>
    <n v="211.87289000000001"/>
    <m/>
    <m/>
    <m/>
    <m/>
    <m/>
    <m/>
    <m/>
    <m/>
    <m/>
    <m/>
    <m/>
    <m/>
    <m/>
    <m/>
    <m/>
    <m/>
    <m/>
    <m/>
    <m/>
    <m/>
    <m/>
    <m/>
    <m/>
    <m/>
  </r>
  <r>
    <x v="19"/>
    <s v="BOL"/>
    <s v="005"/>
    <s v="00000035"/>
    <x v="146"/>
    <s v="AFS436"/>
    <d v="2019-10-25T00:00:00"/>
    <s v="06802452"/>
    <s v="FERNANDEZ RENGIFO ESSENIN FERNANDO"/>
    <s v="320001"/>
    <s v="REPUESTOS"/>
    <s v="000"/>
    <s v="001"/>
    <s v="CONTADO"/>
    <s v="002"/>
    <s v="MANTENIMIENTO-MECANICA"/>
    <s v="S/."/>
    <n v="3.341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0"/>
    <s v="BOL"/>
    <s v="005"/>
    <s v="00000036"/>
    <x v="80"/>
    <s v="ASK213"/>
    <d v="2019-10-25T00:00:00"/>
    <s v="40638694"/>
    <s v="PALACIOS RUIZ GONZALO ANIBAL"/>
    <s v="310120"/>
    <s v="FRANQUICIA"/>
    <s v="000"/>
    <s v="001"/>
    <s v="CONTADO"/>
    <s v="002"/>
    <s v="MANTENIMIENTO-MECANICA"/>
    <s v="$"/>
    <n v="3.3450000000000002"/>
    <n v="1"/>
    <n v="100"/>
    <n v="100"/>
    <n v="18"/>
    <n v="118"/>
    <n v="334.5"/>
    <m/>
    <m/>
    <m/>
    <m/>
    <m/>
    <m/>
    <m/>
    <m/>
    <m/>
    <m/>
    <m/>
    <m/>
    <m/>
    <m/>
    <m/>
    <m/>
    <m/>
    <m/>
    <m/>
    <m/>
    <m/>
    <m/>
    <m/>
    <m/>
  </r>
  <r>
    <x v="23"/>
    <s v="BOL"/>
    <s v="005"/>
    <s v="00000037"/>
    <x v="92"/>
    <s v="BEJ174"/>
    <d v="2019-10-29T00:00:00"/>
    <s v="47538843"/>
    <s v="ORBEGOSO CHAVEZ RAFAEL ALBERTO"/>
    <s v="310120"/>
    <s v="FRANQUICIA"/>
    <s v="000"/>
    <s v="001"/>
    <s v="CONTADO"/>
    <s v="002"/>
    <s v="MANTENIMIENTO-MECANICA"/>
    <s v="$"/>
    <n v="3.3640001000000002"/>
    <n v="1"/>
    <n v="215.27968999999996"/>
    <n v="215.27968999999996"/>
    <n v="38.750310000000027"/>
    <n v="254.03"/>
    <n v="724.2008986879689"/>
    <m/>
    <m/>
    <m/>
    <m/>
    <m/>
    <m/>
    <m/>
    <m/>
    <m/>
    <m/>
    <m/>
    <m/>
    <m/>
    <m/>
    <m/>
    <m/>
    <m/>
    <m/>
    <m/>
    <m/>
    <m/>
    <m/>
    <m/>
    <m/>
  </r>
  <r>
    <x v="23"/>
    <s v="BOL"/>
    <s v="005"/>
    <s v="00000038"/>
    <x v="147"/>
    <s v="C4W101"/>
    <d v="2019-11-06T00:00:00"/>
    <s v="09380890"/>
    <s v="MONTEZA SAAVEDRA RODOLFO"/>
    <s v="2805010001"/>
    <s v="SERVICIOS"/>
    <s v="000"/>
    <s v="001"/>
    <s v="CONTADO"/>
    <s v="002"/>
    <s v="MANTENIMIENTO-MECANICA"/>
    <s v="S/."/>
    <n v="3.3640001000000002"/>
    <n v="1"/>
    <n v="449"/>
    <n v="449"/>
    <n v="80.82001000000011"/>
    <n v="529.82001000000014"/>
    <n v="449"/>
    <m/>
    <m/>
    <m/>
    <m/>
    <m/>
    <m/>
    <m/>
    <m/>
    <m/>
    <m/>
    <m/>
    <m/>
    <m/>
    <m/>
    <m/>
    <m/>
    <m/>
    <m/>
    <m/>
    <m/>
    <m/>
    <m/>
    <m/>
    <m/>
  </r>
  <r>
    <x v="23"/>
    <s v="BOL"/>
    <s v="005"/>
    <s v="00000038"/>
    <x v="147"/>
    <s v="C4W101"/>
    <d v="2019-11-06T00:00:00"/>
    <s v="09380890"/>
    <s v="MONTEZA SAAVEDRA RODOLFO"/>
    <s v="320001"/>
    <s v="REPUESTOS"/>
    <s v="000"/>
    <s v="001"/>
    <s v="CONTADO"/>
    <s v="002"/>
    <s v="MANTENIMIENTO-MECANICA"/>
    <s v="S/."/>
    <n v="3.36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3"/>
    <s v="BOL"/>
    <s v="005"/>
    <s v="00000039"/>
    <x v="148"/>
    <s v="C4W101"/>
    <d v="2019-11-08T00:00:00"/>
    <s v="09380890"/>
    <s v="MONTEZA SAAVEDRA RODOLFO"/>
    <s v="2908010001"/>
    <s v="AMPLIACION"/>
    <s v="000"/>
    <s v="001"/>
    <s v="CONTADO"/>
    <s v="002"/>
    <s v="MANTENIMIENTO-MECANICA"/>
    <s v="S/."/>
    <n v="3.3640001000000002"/>
    <n v="1"/>
    <n v="50"/>
    <n v="50"/>
    <n v="9"/>
    <n v="59"/>
    <n v="50"/>
    <m/>
    <m/>
    <m/>
    <m/>
    <m/>
    <m/>
    <m/>
    <m/>
    <m/>
    <m/>
    <m/>
    <m/>
    <m/>
    <m/>
    <m/>
    <m/>
    <m/>
    <m/>
    <m/>
    <m/>
    <m/>
    <m/>
    <m/>
    <m/>
  </r>
  <r>
    <x v="23"/>
    <s v="BOL"/>
    <s v="005"/>
    <s v="00000039"/>
    <x v="148"/>
    <s v="C4W101"/>
    <d v="2019-11-08T00:00:00"/>
    <s v="09380890"/>
    <s v="MONTEZA SAAVEDRA RODOLFO"/>
    <s v="2805010001"/>
    <s v="SERVICIOS"/>
    <s v="000"/>
    <s v="001"/>
    <s v="CONTADO"/>
    <s v="002"/>
    <s v="MANTENIMIENTO-MECANICA"/>
    <s v="S/."/>
    <n v="3.3640001000000002"/>
    <n v="1"/>
    <n v="100"/>
    <n v="100"/>
    <n v="18"/>
    <n v="118"/>
    <n v="100"/>
    <m/>
    <m/>
    <m/>
    <m/>
    <m/>
    <m/>
    <m/>
    <m/>
    <m/>
    <m/>
    <m/>
    <m/>
    <m/>
    <m/>
    <m/>
    <m/>
    <m/>
    <m/>
    <m/>
    <m/>
    <m/>
    <m/>
    <m/>
    <m/>
  </r>
  <r>
    <x v="23"/>
    <s v="BOL"/>
    <s v="005"/>
    <s v="00000039"/>
    <x v="148"/>
    <s v="C4W101"/>
    <d v="2019-11-08T00:00:00"/>
    <s v="09380890"/>
    <s v="MONTEZA SAAVEDRA RODOLFO"/>
    <s v="320001"/>
    <s v="REPUESTOS"/>
    <s v="000"/>
    <s v="001"/>
    <s v="CONTADO"/>
    <s v="002"/>
    <s v="MANTENIMIENTO-MECANICA"/>
    <s v="S/."/>
    <n v="3.3640001000000002"/>
    <n v="1"/>
    <n v="717.5"/>
    <n v="717.5"/>
    <n v="129.15002000000021"/>
    <n v="846.65002000000027"/>
    <n v="717.5"/>
    <m/>
    <m/>
    <m/>
    <m/>
    <m/>
    <m/>
    <m/>
    <m/>
    <m/>
    <m/>
    <m/>
    <m/>
    <m/>
    <m/>
    <m/>
    <m/>
    <m/>
    <m/>
    <m/>
    <m/>
    <m/>
    <m/>
    <m/>
    <m/>
  </r>
  <r>
    <x v="25"/>
    <s v="BOL"/>
    <s v="005"/>
    <s v="00000040"/>
    <x v="107"/>
    <s v="B8U062"/>
    <d v="2019-11-06T00:00:00"/>
    <s v="08764281"/>
    <s v="NUÑEZ SALINAS RAUL ENRIQUE"/>
    <s v="310120"/>
    <s v="FRANQUICIA"/>
    <s v="000"/>
    <s v="001"/>
    <s v="CONTADO"/>
    <s v="002"/>
    <s v="MANTENIMIENTO-MECANICA"/>
    <s v="$"/>
    <n v="3.3919999999999999"/>
    <n v="1"/>
    <n v="100"/>
    <n v="100"/>
    <n v="18"/>
    <n v="118"/>
    <n v="339.2"/>
    <m/>
    <m/>
    <m/>
    <m/>
    <m/>
    <m/>
    <m/>
    <m/>
    <m/>
    <m/>
    <m/>
    <m/>
    <m/>
    <m/>
    <m/>
    <m/>
    <m/>
    <m/>
    <m/>
    <m/>
    <m/>
    <m/>
    <m/>
    <m/>
  </r>
  <r>
    <x v="25"/>
    <s v="BOL"/>
    <s v="005"/>
    <s v="00000041"/>
    <x v="149"/>
    <s v="B8U062"/>
    <d v="2019-11-11T00:00:00"/>
    <s v="08764281"/>
    <s v="NUÑEZ SALINAS RAUL ENRIQUE"/>
    <s v="1302020001"/>
    <s v="PINTURA"/>
    <s v="000"/>
    <s v="001"/>
    <s v="CONTADO"/>
    <s v="009"/>
    <s v="PINTURA"/>
    <s v="$"/>
    <n v="3.3919999999999999"/>
    <n v="1"/>
    <n v="69.754203999999987"/>
    <n v="69.754203999999987"/>
    <n v="12.555793999999986"/>
    <n v="82.309997999999979"/>
    <n v="236.60625996799996"/>
    <m/>
    <m/>
    <m/>
    <m/>
    <m/>
    <m/>
    <m/>
    <m/>
    <m/>
    <m/>
    <m/>
    <m/>
    <m/>
    <m/>
    <m/>
    <m/>
    <m/>
    <m/>
    <m/>
    <m/>
    <m/>
    <m/>
    <m/>
    <m/>
  </r>
  <r>
    <x v="25"/>
    <s v="BOL"/>
    <s v="005"/>
    <s v="00000041"/>
    <x v="149"/>
    <s v="B8U062"/>
    <d v="2019-11-11T00:00:00"/>
    <s v="08764281"/>
    <s v="NUÑEZ SALINAS RAUL ENRIQUE"/>
    <s v="1201020001"/>
    <s v="PLANCHADO"/>
    <s v="000"/>
    <s v="001"/>
    <s v="CONTADO"/>
    <s v="001"/>
    <s v="PLANCHADO"/>
    <s v="$"/>
    <n v="3.3919999999999999"/>
    <n v="1"/>
    <n v="15"/>
    <n v="15"/>
    <n v="2.7000009999999999"/>
    <n v="17.700001"/>
    <n v="50.879999999999995"/>
    <m/>
    <m/>
    <m/>
    <m/>
    <m/>
    <m/>
    <m/>
    <m/>
    <m/>
    <m/>
    <m/>
    <m/>
    <m/>
    <m/>
    <m/>
    <m/>
    <m/>
    <m/>
    <m/>
    <m/>
    <m/>
    <m/>
    <m/>
    <m/>
  </r>
  <r>
    <x v="25"/>
    <s v="BOL"/>
    <s v="005"/>
    <s v="00000042"/>
    <x v="150"/>
    <s v="A2Q372"/>
    <d v="2019-11-14T00:00:00"/>
    <s v="40104004"/>
    <s v="SALVATIERRA YARACSA KARINA"/>
    <s v="2805010001"/>
    <s v="SERVICIOS"/>
    <s v="000"/>
    <s v="001"/>
    <s v="CONTADO"/>
    <s v="002"/>
    <s v="MANTENIMIENTO-MECANICA"/>
    <s v="S/."/>
    <n v="3.3919999999999999"/>
    <n v="1"/>
    <n v="450"/>
    <n v="450"/>
    <n v="81"/>
    <n v="531"/>
    <n v="450"/>
    <m/>
    <m/>
    <m/>
    <m/>
    <m/>
    <m/>
    <m/>
    <m/>
    <m/>
    <m/>
    <m/>
    <m/>
    <m/>
    <m/>
    <m/>
    <m/>
    <m/>
    <m/>
    <m/>
    <m/>
    <m/>
    <m/>
    <m/>
    <m/>
  </r>
  <r>
    <x v="25"/>
    <s v="BOL"/>
    <s v="005"/>
    <s v="00000042"/>
    <x v="150"/>
    <s v="A2Q372"/>
    <d v="2019-11-14T00:00:00"/>
    <s v="40104004"/>
    <s v="SALVATIERRA YARACSA KARINA"/>
    <s v="320001"/>
    <s v="REPUESTOS"/>
    <s v="000"/>
    <s v="001"/>
    <s v="CONTADO"/>
    <s v="002"/>
    <s v="MANTENIMIENTO-MECANICA"/>
    <s v="S/."/>
    <n v="3.3919999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5"/>
    <s v="BOL"/>
    <s v="005"/>
    <s v="00000043"/>
    <x v="108"/>
    <s v="AWQ505"/>
    <d v="2019-11-04T00:00:00"/>
    <s v="03690852"/>
    <s v="REQUENA CASTILLO LORENA GUADALUPE"/>
    <s v="310120"/>
    <s v="FRANQUICIA"/>
    <s v="000"/>
    <s v="001"/>
    <s v="CONTADO"/>
    <s v="002"/>
    <s v="MANTENIMIENTO-MECANICA"/>
    <s v="$"/>
    <n v="3.3919999999999999"/>
    <n v="1"/>
    <n v="110.20340000000002"/>
    <n v="110.20340000000002"/>
    <n v="19.836589999999998"/>
    <n v="130.03999000000002"/>
    <n v="373.80993280000007"/>
    <m/>
    <m/>
    <m/>
    <m/>
    <m/>
    <m/>
    <m/>
    <m/>
    <m/>
    <m/>
    <m/>
    <m/>
    <m/>
    <m/>
    <m/>
    <m/>
    <m/>
    <m/>
    <m/>
    <m/>
    <m/>
    <m/>
    <m/>
    <m/>
  </r>
  <r>
    <x v="26"/>
    <s v="BOL"/>
    <s v="005"/>
    <s v="00000044"/>
    <x v="110"/>
    <s v="AXN474"/>
    <d v="2019-11-06T00:00:00"/>
    <s v="07787358"/>
    <s v="CASTILLO MALDONADO EDUARDO"/>
    <s v="310120"/>
    <s v="FRANQUICIA"/>
    <s v="000"/>
    <s v="001"/>
    <s v="CONTADO"/>
    <s v="002"/>
    <s v="MANTENIMIENTO-MECANICA"/>
    <s v="$"/>
    <n v="3.391"/>
    <n v="1"/>
    <n v="100"/>
    <n v="100"/>
    <n v="18"/>
    <n v="118"/>
    <n v="339.1"/>
    <m/>
    <m/>
    <m/>
    <m/>
    <m/>
    <m/>
    <m/>
    <m/>
    <m/>
    <m/>
    <m/>
    <m/>
    <m/>
    <m/>
    <m/>
    <m/>
    <m/>
    <m/>
    <m/>
    <m/>
    <m/>
    <m/>
    <m/>
    <m/>
  </r>
  <r>
    <x v="27"/>
    <s v="BOL"/>
    <s v="005"/>
    <s v="00000045"/>
    <x v="112"/>
    <s v="AKY655"/>
    <d v="2019-11-02T00:00:00"/>
    <s v="43315348"/>
    <s v="VIGIL LEON JOSE LUIS"/>
    <s v="310120"/>
    <s v="FRANQUICIA"/>
    <s v="000"/>
    <s v="001"/>
    <s v="CONTADO"/>
    <s v="002"/>
    <s v="MANTENIMIENTO-MECANICA"/>
    <s v="$"/>
    <n v="3.3729998999999999"/>
    <n v="1"/>
    <n v="100"/>
    <n v="100"/>
    <n v="18"/>
    <n v="118"/>
    <n v="337.29998999999998"/>
    <m/>
    <m/>
    <m/>
    <m/>
    <m/>
    <m/>
    <m/>
    <m/>
    <m/>
    <m/>
    <m/>
    <m/>
    <m/>
    <m/>
    <m/>
    <m/>
    <m/>
    <m/>
    <m/>
    <m/>
    <m/>
    <m/>
    <m/>
    <m/>
  </r>
  <r>
    <x v="27"/>
    <s v="BOL"/>
    <s v="005"/>
    <s v="00000046"/>
    <x v="151"/>
    <s v="APE333"/>
    <d v="2019-11-16T00:00:00"/>
    <s v="07866589"/>
    <s v="ALIAGA MORALES GUSTAVO"/>
    <s v="2805010001"/>
    <s v="SERVICIOS"/>
    <s v="000"/>
    <s v="001"/>
    <s v="CONTADO"/>
    <s v="002"/>
    <s v="MANTENIMIENTO-MECANICA"/>
    <s v="S/."/>
    <n v="3.3729998999999999"/>
    <n v="1"/>
    <n v="349"/>
    <n v="349"/>
    <n v="62.82001000000011"/>
    <n v="411.82001000000014"/>
    <n v="349"/>
    <m/>
    <m/>
    <m/>
    <m/>
    <m/>
    <m/>
    <m/>
    <m/>
    <m/>
    <m/>
    <m/>
    <m/>
    <m/>
    <m/>
    <m/>
    <m/>
    <m/>
    <m/>
    <m/>
    <m/>
    <m/>
    <m/>
    <m/>
    <m/>
  </r>
  <r>
    <x v="27"/>
    <s v="BOL"/>
    <s v="005"/>
    <s v="00000046"/>
    <x v="151"/>
    <s v="APE333"/>
    <d v="2019-11-16T00:00:00"/>
    <s v="07866589"/>
    <s v="ALIAGA MORALES GUSTAVO"/>
    <s v="320001"/>
    <s v="REPUESTOS"/>
    <s v="000"/>
    <s v="001"/>
    <s v="CONTADO"/>
    <s v="002"/>
    <s v="MANTENIMIENTO-MECANICA"/>
    <s v="S/."/>
    <n v="3.3729998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28"/>
    <s v="BOL"/>
    <s v="005"/>
    <s v="00000047"/>
    <x v="116"/>
    <s v="ATF661"/>
    <d v="2019-11-02T00:00:00"/>
    <s v="07976203"/>
    <s v="PRIETO DUCLOS MARIA ELSA"/>
    <s v="310120"/>
    <s v="FRANQUICIA"/>
    <s v="000"/>
    <s v="001"/>
    <s v="CONTADO"/>
    <s v="002"/>
    <s v="MANTENIMIENTO-MECANICA"/>
    <s v="$"/>
    <n v="3.3729998999999999"/>
    <n v="1"/>
    <n v="100"/>
    <n v="100"/>
    <n v="18"/>
    <n v="118"/>
    <n v="337.29998999999998"/>
    <m/>
    <m/>
    <m/>
    <m/>
    <m/>
    <m/>
    <m/>
    <m/>
    <m/>
    <m/>
    <m/>
    <m/>
    <m/>
    <m/>
    <m/>
    <m/>
    <m/>
    <m/>
    <m/>
    <m/>
    <m/>
    <m/>
    <m/>
    <m/>
  </r>
  <r>
    <x v="28"/>
    <s v="BOL"/>
    <s v="005"/>
    <s v="00000048"/>
    <x v="152"/>
    <s v="ATF661"/>
    <d v="2019-11-04T00:00:00"/>
    <s v="07976203"/>
    <s v="PRIETO DUCLOS MARIA ELSA"/>
    <s v="1302020001"/>
    <s v="PINTURA"/>
    <s v="000"/>
    <s v="001"/>
    <s v="CONTADO"/>
    <s v="009"/>
    <s v="PINTURA"/>
    <s v="$"/>
    <n v="3.3729998999999999"/>
    <n v="1"/>
    <n v="288.75421"/>
    <n v="288.75420999999994"/>
    <n v="51.975799999999907"/>
    <n v="340.73000999999988"/>
    <n v="973.9679214545788"/>
    <m/>
    <m/>
    <m/>
    <m/>
    <m/>
    <m/>
    <m/>
    <m/>
    <m/>
    <m/>
    <m/>
    <m/>
    <m/>
    <m/>
    <m/>
    <m/>
    <m/>
    <m/>
    <m/>
    <m/>
    <m/>
    <m/>
    <m/>
    <m/>
  </r>
  <r>
    <x v="28"/>
    <s v="BOL"/>
    <s v="005"/>
    <s v="00000048"/>
    <x v="152"/>
    <s v="ATF661"/>
    <d v="2019-11-04T00:00:00"/>
    <s v="07976203"/>
    <s v="PRIETO DUCLOS MARIA ELSA"/>
    <s v="1201020001"/>
    <s v="PLANCHADO"/>
    <s v="000"/>
    <s v="001"/>
    <s v="CONTADO"/>
    <s v="001"/>
    <s v="PLANCHADO"/>
    <s v="$"/>
    <n v="3.3729998999999999"/>
    <n v="1"/>
    <n v="121.2458"/>
    <n v="121.2458"/>
    <n v="21.824210000000022"/>
    <n v="143.07001000000002"/>
    <n v="408.96207127541999"/>
    <m/>
    <m/>
    <m/>
    <m/>
    <m/>
    <m/>
    <m/>
    <m/>
    <m/>
    <m/>
    <m/>
    <m/>
    <m/>
    <m/>
    <m/>
    <m/>
    <m/>
    <m/>
    <m/>
    <m/>
    <m/>
    <m/>
    <m/>
    <m/>
  </r>
  <r>
    <x v="28"/>
    <s v="BOL"/>
    <s v="005"/>
    <s v="00000048"/>
    <x v="152"/>
    <s v="ATF661"/>
    <d v="2019-11-04T00:00:00"/>
    <s v="07976203"/>
    <s v="PRIETO DUCLOS MARIA ELSA"/>
    <s v="2908010001"/>
    <s v="TERCEROS"/>
    <s v="000"/>
    <s v="001"/>
    <s v="CONTADO"/>
    <s v="002"/>
    <s v="MANTENIMIENTO-MECANICA"/>
    <s v="$"/>
    <n v="3.3729998999999999"/>
    <n v="1"/>
    <n v="90"/>
    <n v="90"/>
    <n v="16.2"/>
    <n v="106.2"/>
    <n v="303.56999100000002"/>
    <m/>
    <m/>
    <m/>
    <m/>
    <m/>
    <m/>
    <m/>
    <m/>
    <m/>
    <m/>
    <m/>
    <m/>
    <m/>
    <m/>
    <m/>
    <m/>
    <m/>
    <m/>
    <m/>
    <m/>
    <m/>
    <m/>
    <m/>
    <m/>
  </r>
  <r>
    <x v="28"/>
    <s v="BOL"/>
    <s v="005"/>
    <s v="00000049"/>
    <x v="114"/>
    <s v="ATT247"/>
    <d v="2019-11-05T00:00:00"/>
    <s v="45838819"/>
    <s v="JAYO PACHECO JORGE LUIS"/>
    <s v="310120"/>
    <s v="FRANQUICIA"/>
    <s v="000"/>
    <s v="001"/>
    <s v="CONTADO"/>
    <s v="002"/>
    <s v="MANTENIMIENTO-MECANICA"/>
    <s v="$"/>
    <n v="3.3729998999999999"/>
    <n v="1"/>
    <n v="68.762703000000002"/>
    <n v="68.762703000000002"/>
    <n v="12.377296000000015"/>
    <n v="81.139999000000017"/>
    <n v="231.93659034272972"/>
    <m/>
    <m/>
    <m/>
    <m/>
    <m/>
    <m/>
    <m/>
    <m/>
    <m/>
    <m/>
    <m/>
    <m/>
    <m/>
    <m/>
    <m/>
    <m/>
    <m/>
    <m/>
    <m/>
    <m/>
    <m/>
    <m/>
    <m/>
    <m/>
  </r>
  <r>
    <x v="28"/>
    <s v="BOL"/>
    <s v="005"/>
    <s v="00000050"/>
    <x v="153"/>
    <s v="ATT247"/>
    <d v="2019-11-12T00:00:00"/>
    <s v="45838819"/>
    <s v="JAYO PACHECO JORGE LUIS"/>
    <s v="1302020001"/>
    <s v="PINTURA"/>
    <s v="000"/>
    <s v="001"/>
    <s v="CONTADO"/>
    <s v="009"/>
    <s v="PINTURA"/>
    <s v="$"/>
    <n v="3.3729998999999999"/>
    <n v="1"/>
    <n v="60"/>
    <n v="60"/>
    <n v="10.800002999999997"/>
    <n v="70.800003000000004"/>
    <n v="202.37999400000001"/>
    <m/>
    <m/>
    <m/>
    <m/>
    <m/>
    <m/>
    <m/>
    <m/>
    <m/>
    <m/>
    <m/>
    <m/>
    <m/>
    <m/>
    <m/>
    <m/>
    <m/>
    <m/>
    <m/>
    <m/>
    <m/>
    <m/>
    <m/>
    <m/>
  </r>
  <r>
    <x v="28"/>
    <s v="BOL"/>
    <s v="005"/>
    <s v="00000050"/>
    <x v="153"/>
    <s v="ATT247"/>
    <d v="2019-11-12T00:00:00"/>
    <s v="45838819"/>
    <s v="JAYO PACHECO JORGE LUIS"/>
    <s v="1201020001"/>
    <s v="PLANCHADO"/>
    <s v="000"/>
    <s v="001"/>
    <s v="CONTADO"/>
    <s v="001"/>
    <s v="PLANCHADO"/>
    <s v="$"/>
    <n v="3.3729998999999999"/>
    <n v="1"/>
    <n v="40"/>
    <n v="40"/>
    <n v="7.2000010000000021"/>
    <n v="47.200001"/>
    <n v="134.919996"/>
    <m/>
    <m/>
    <m/>
    <m/>
    <m/>
    <m/>
    <m/>
    <m/>
    <m/>
    <m/>
    <m/>
    <m/>
    <m/>
    <m/>
    <m/>
    <m/>
    <m/>
    <m/>
    <m/>
    <m/>
    <m/>
    <m/>
    <m/>
    <m/>
  </r>
  <r>
    <x v="29"/>
    <s v="BOL"/>
    <s v="005"/>
    <s v="00000051"/>
    <x v="117"/>
    <s v="BLO680"/>
    <d v="2019-10-26T00:00:00"/>
    <s v="09590507"/>
    <s v="LAZO HUAYLINOS MAXIMO GELACIO"/>
    <s v="310120"/>
    <s v="FRANQUICIA"/>
    <s v="000"/>
    <s v="001"/>
    <s v="CONTADO"/>
    <s v="002"/>
    <s v="MANTENIMIENTO-MECANICA"/>
    <s v="$"/>
    <n v="3.3719999999999999"/>
    <n v="1"/>
    <n v="100"/>
    <n v="100"/>
    <n v="18"/>
    <n v="118"/>
    <n v="337.2"/>
    <m/>
    <m/>
    <m/>
    <m/>
    <m/>
    <m/>
    <m/>
    <m/>
    <m/>
    <m/>
    <m/>
    <m/>
    <m/>
    <m/>
    <m/>
    <m/>
    <m/>
    <m/>
    <m/>
    <m/>
    <m/>
    <m/>
    <m/>
    <m/>
  </r>
  <r>
    <x v="30"/>
    <s v="BOL"/>
    <s v="005"/>
    <s v="00000052"/>
    <x v="122"/>
    <s v="C3K443"/>
    <d v="2019-11-11T00:00:00"/>
    <s v="70452108"/>
    <s v="CARRERA DONDERO JOSE ANTONIO"/>
    <s v="310120"/>
    <s v="FRANQUICIA"/>
    <s v="000"/>
    <s v="001"/>
    <s v="CONTADO"/>
    <s v="002"/>
    <s v="MANTENIMIENTO-MECANICA"/>
    <s v="$"/>
    <n v="3.3809999999999998"/>
    <n v="1"/>
    <n v="100"/>
    <n v="100"/>
    <n v="18"/>
    <n v="118"/>
    <n v="338.09999999999997"/>
    <m/>
    <m/>
    <m/>
    <m/>
    <m/>
    <m/>
    <m/>
    <m/>
    <m/>
    <m/>
    <m/>
    <m/>
    <m/>
    <m/>
    <m/>
    <m/>
    <m/>
    <m/>
    <m/>
    <m/>
    <m/>
    <m/>
    <m/>
    <m/>
  </r>
  <r>
    <x v="30"/>
    <s v="BOL"/>
    <s v="005"/>
    <s v="00000053"/>
    <x v="154"/>
    <s v="C3K443"/>
    <d v="2019-11-19T00:00:00"/>
    <s v="70452108"/>
    <s v="CARRERA DONDERO JOSE ANTONIO"/>
    <s v="320001"/>
    <s v="REPUESTOS"/>
    <s v="000"/>
    <s v="001"/>
    <s v="CONTADO"/>
    <s v="002"/>
    <s v="MANTENIMIENTO-MECANICA"/>
    <s v="S/."/>
    <n v="3.3809999999999998"/>
    <n v="1"/>
    <n v="260"/>
    <n v="260"/>
    <n v="46.799989999999958"/>
    <n v="306.79998999999998"/>
    <n v="260"/>
    <m/>
    <m/>
    <m/>
    <m/>
    <m/>
    <m/>
    <m/>
    <m/>
    <m/>
    <m/>
    <m/>
    <m/>
    <m/>
    <m/>
    <m/>
    <m/>
    <m/>
    <m/>
    <m/>
    <m/>
    <m/>
    <m/>
    <m/>
    <m/>
  </r>
  <r>
    <x v="30"/>
    <s v="BOL"/>
    <s v="005"/>
    <s v="00000054"/>
    <x v="121"/>
    <s v="AXJ309"/>
    <d v="2019-10-22T00:00:00"/>
    <s v="46776419"/>
    <s v="CABALLERO RAMOS JAIR"/>
    <s v="310120"/>
    <s v="FRANQUICIA"/>
    <s v="000"/>
    <s v="001"/>
    <s v="CONTADO"/>
    <s v="002"/>
    <s v="MANTENIMIENTO-MECANICA"/>
    <s v="$"/>
    <n v="3.3809999999999998"/>
    <n v="1"/>
    <n v="264.48309000000006"/>
    <n v="264.48309000000006"/>
    <n v="47.606909999999914"/>
    <n v="312.08999999999997"/>
    <n v="894.21732729000018"/>
    <m/>
    <m/>
    <m/>
    <m/>
    <m/>
    <m/>
    <m/>
    <m/>
    <m/>
    <m/>
    <m/>
    <m/>
    <m/>
    <m/>
    <m/>
    <m/>
    <m/>
    <m/>
    <m/>
    <m/>
    <m/>
    <m/>
    <m/>
    <m/>
  </r>
  <r>
    <x v="30"/>
    <s v="BOL"/>
    <s v="005"/>
    <s v="00000055"/>
    <x v="120"/>
    <s v="BBE558"/>
    <d v="2019-11-11T00:00:00"/>
    <s v="16660905"/>
    <s v="SANCHEZ ALVARADO JULIO MOISES"/>
    <s v="310120"/>
    <s v="FRANQUICIA"/>
    <s v="000"/>
    <s v="001"/>
    <s v="CONTADO"/>
    <s v="002"/>
    <s v="MANTENIMIENTO-MECANICA"/>
    <s v="$"/>
    <n v="3.3809999999999998"/>
    <n v="1"/>
    <n v="334.31360000000006"/>
    <n v="334.31360000000006"/>
    <n v="60.176389999999955"/>
    <n v="394.48999000000003"/>
    <n v="1130.3142816000002"/>
    <m/>
    <m/>
    <m/>
    <m/>
    <m/>
    <m/>
    <m/>
    <m/>
    <m/>
    <m/>
    <m/>
    <m/>
    <m/>
    <m/>
    <m/>
    <m/>
    <m/>
    <m/>
    <m/>
    <m/>
    <m/>
    <m/>
    <m/>
    <m/>
  </r>
  <r>
    <x v="30"/>
    <s v="BOL"/>
    <s v="005"/>
    <s v="00000056"/>
    <x v="155"/>
    <s v="BBE558"/>
    <d v="2019-11-20T00:00:00"/>
    <s v="16660905"/>
    <s v="SANCHEZ ALVARADO JULIO MOISES"/>
    <s v="320001"/>
    <s v="REPUESTOS"/>
    <s v="000"/>
    <s v="001"/>
    <s v="CONTADO"/>
    <s v="002"/>
    <s v="MANTENIMIENTO-MECANICA"/>
    <s v="S/."/>
    <n v="3.3809999999999998"/>
    <n v="1"/>
    <n v="16.949200000000001"/>
    <n v="16.949200000000001"/>
    <n v="3.0507999999999993"/>
    <n v="20"/>
    <n v="16.949200000000001"/>
    <m/>
    <m/>
    <m/>
    <m/>
    <m/>
    <m/>
    <m/>
    <m/>
    <m/>
    <m/>
    <m/>
    <m/>
    <m/>
    <m/>
    <m/>
    <m/>
    <m/>
    <m/>
    <m/>
    <m/>
    <m/>
    <m/>
    <m/>
    <m/>
  </r>
  <r>
    <x v="30"/>
    <s v="BOL"/>
    <s v="005"/>
    <s v="00000057"/>
    <x v="119"/>
    <s v="APU227"/>
    <d v="2019-11-06T00:00:00"/>
    <s v="43476826"/>
    <s v="ALBURQUEQUE BENAVIDES LUIS JAVIER"/>
    <s v="310120"/>
    <s v="FRANQUICIA"/>
    <s v="000"/>
    <s v="001"/>
    <s v="CONTADO"/>
    <s v="002"/>
    <s v="MANTENIMIENTO-MECANICA"/>
    <s v="$"/>
    <n v="3.3809999999999998"/>
    <n v="1"/>
    <n v="212.22881000000004"/>
    <n v="212.22881000000004"/>
    <n v="38.201179999999916"/>
    <n v="250.42998999999998"/>
    <n v="717.54560661000005"/>
    <m/>
    <m/>
    <m/>
    <m/>
    <m/>
    <m/>
    <m/>
    <m/>
    <m/>
    <m/>
    <m/>
    <m/>
    <m/>
    <m/>
    <m/>
    <m/>
    <m/>
    <m/>
    <m/>
    <m/>
    <m/>
    <m/>
    <m/>
    <m/>
  </r>
  <r>
    <x v="38"/>
    <s v="BOL"/>
    <s v="005"/>
    <s v="00000058"/>
    <x v="139"/>
    <s v="BED593"/>
    <d v="2019-11-19T00:00:00"/>
    <s v="000623019"/>
    <s v="EMILY VASQUEZ FORNERINO"/>
    <s v="310120"/>
    <s v="FRANQUICIA"/>
    <s v="000"/>
    <s v="001"/>
    <s v="CONTADO"/>
    <s v="002"/>
    <s v="MANTENIMIENTO-MECANICA"/>
    <s v="$"/>
    <n v="3.3900001"/>
    <n v="1"/>
    <n v="100"/>
    <n v="100"/>
    <n v="18"/>
    <n v="118"/>
    <n v="339.00000999999997"/>
    <m/>
    <m/>
    <m/>
    <m/>
    <m/>
    <m/>
    <m/>
    <m/>
    <m/>
    <m/>
    <m/>
    <m/>
    <m/>
    <m/>
    <m/>
    <m/>
    <m/>
    <m/>
    <m/>
    <m/>
    <m/>
    <m/>
    <m/>
    <m/>
  </r>
  <r>
    <x v="39"/>
    <s v="BOL"/>
    <s v="005"/>
    <s v="00000059"/>
    <x v="156"/>
    <s v="C3K443"/>
    <d v="2019-11-30T00:00:00"/>
    <s v="70452108"/>
    <s v="CARRERA DONDERO JOSE ANTONIO"/>
    <s v="2805010001"/>
    <s v="SERVICIOS"/>
    <s v="000"/>
    <s v="001"/>
    <s v="CONTADO"/>
    <s v="002"/>
    <s v="MANTENIMIENTO-MECANICA"/>
    <s v="S/."/>
    <n v="3.4000001000000002"/>
    <n v="1"/>
    <n v="350"/>
    <n v="350"/>
    <n v="63"/>
    <n v="413"/>
    <n v="350"/>
    <m/>
    <m/>
    <m/>
    <m/>
    <m/>
    <m/>
    <m/>
    <m/>
    <m/>
    <m/>
    <m/>
    <m/>
    <m/>
    <m/>
    <m/>
    <m/>
    <m/>
    <m/>
    <m/>
    <m/>
    <m/>
    <m/>
    <m/>
    <m/>
  </r>
  <r>
    <x v="39"/>
    <s v="BOL"/>
    <s v="005"/>
    <s v="00000059"/>
    <x v="156"/>
    <s v="C3K443"/>
    <d v="2019-11-30T00:00:00"/>
    <s v="70452108"/>
    <s v="CARRERA DONDERO JOSE ANTONIO"/>
    <s v="320001"/>
    <s v="REPUESTOS"/>
    <s v="000"/>
    <s v="001"/>
    <s v="CONTADO"/>
    <s v="002"/>
    <s v="MANTENIMIENTO-MECANICA"/>
    <s v="S/."/>
    <n v="3.400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2"/>
    <s v="ABO"/>
    <s v="005"/>
    <s v="00000004"/>
    <x v="157"/>
    <n v="0"/>
    <d v="2019-11-22T00:00:00"/>
    <s v="20100041953"/>
    <s v="RIMAC SEGUROS  Y REASEGUROS S.A"/>
    <s v="1302020001"/>
    <s v="PINTURA"/>
    <s v="001"/>
    <s v="001"/>
    <s v="CONTADO"/>
    <s v="009"/>
    <s v="PINTURA"/>
    <s v="$"/>
    <n v="3.3809999999999998"/>
    <n v="-1"/>
    <n v="-137.5"/>
    <n v="-137.5"/>
    <n v="-24.75"/>
    <n v="-162.25"/>
    <n v="-464.88749999999999"/>
    <m/>
    <m/>
    <m/>
    <m/>
    <m/>
    <m/>
    <m/>
    <m/>
    <m/>
    <m/>
    <m/>
    <m/>
    <m/>
    <m/>
    <m/>
    <m/>
    <m/>
    <m/>
    <m/>
    <m/>
    <m/>
    <m/>
    <m/>
    <m/>
  </r>
  <r>
    <x v="32"/>
    <s v="ABO"/>
    <s v="005"/>
    <s v="00000004"/>
    <x v="157"/>
    <n v="0"/>
    <d v="2019-11-22T00:00:00"/>
    <s v="20100041953"/>
    <s v="RIMAC SEGUROS  Y REASEGUROS S.A"/>
    <s v="1201020001"/>
    <s v="PLANCHADO"/>
    <s v="001"/>
    <s v="001"/>
    <s v="CONTADO"/>
    <s v="001"/>
    <s v="PLANCHADO"/>
    <s v="$"/>
    <n v="3.3809999999999998"/>
    <n v="-1"/>
    <n v="-156"/>
    <n v="-156"/>
    <n v="-28.08"/>
    <n v="-184.08"/>
    <n v="-527.43599999999992"/>
    <m/>
    <m/>
    <m/>
    <m/>
    <m/>
    <m/>
    <m/>
    <m/>
    <m/>
    <m/>
    <m/>
    <m/>
    <m/>
    <m/>
    <m/>
    <m/>
    <m/>
    <m/>
    <m/>
    <m/>
    <m/>
    <m/>
    <m/>
    <m/>
  </r>
  <r>
    <x v="32"/>
    <s v="ABO"/>
    <s v="005"/>
    <s v="00000004"/>
    <x v="157"/>
    <n v="0"/>
    <d v="2019-11-22T00:00:00"/>
    <s v="20100041953"/>
    <s v="RIMAC SEGUROS  Y REASEGUROS S.A"/>
    <s v="2908010001"/>
    <s v="TERCEROS"/>
    <s v="001"/>
    <s v="001"/>
    <s v="CONTADO"/>
    <s v="002"/>
    <s v="MANTENIMIENTO-MECANICA"/>
    <s v="$"/>
    <n v="3.3809999999999998"/>
    <n v="-1"/>
    <n v="-55"/>
    <n v="-55"/>
    <n v="-9.9000020000000131"/>
    <n v="-64.900002000000015"/>
    <n v="-185.95499999999998"/>
    <m/>
    <m/>
    <m/>
    <m/>
    <m/>
    <m/>
    <m/>
    <m/>
    <m/>
    <m/>
    <m/>
    <m/>
    <m/>
    <m/>
    <m/>
    <m/>
    <m/>
    <m/>
    <m/>
    <m/>
    <m/>
    <m/>
    <m/>
    <m/>
  </r>
  <r>
    <x v="32"/>
    <s v="ABO"/>
    <s v="005"/>
    <s v="00000004"/>
    <x v="157"/>
    <n v="0"/>
    <d v="2019-11-22T00:00:00"/>
    <s v="20100041953"/>
    <s v="RIMAC SEGUROS  Y REASEGUROS S.A"/>
    <s v="310120"/>
    <s v="FRANQUICIA"/>
    <s v="001"/>
    <s v="001"/>
    <s v="CONTADO"/>
    <s v="002"/>
    <s v="MANTENIMIENTO-MECANICA"/>
    <s v="$"/>
    <n v="3.3809999999999998"/>
    <n v="1"/>
    <n v="-150"/>
    <n v="150"/>
    <n v="27"/>
    <n v="177"/>
    <n v="507.15"/>
    <m/>
    <m/>
    <m/>
    <m/>
    <m/>
    <m/>
    <m/>
    <m/>
    <m/>
    <m/>
    <m/>
    <m/>
    <m/>
    <m/>
    <m/>
    <m/>
    <m/>
    <m/>
    <m/>
    <m/>
    <m/>
    <m/>
    <m/>
    <m/>
  </r>
  <r>
    <x v="32"/>
    <s v="ABO"/>
    <s v="005"/>
    <s v="00000004"/>
    <x v="157"/>
    <n v="0"/>
    <d v="2019-11-22T00:00:00"/>
    <s v="20100041953"/>
    <s v="RIMAC SEGUROS  Y REASEGUROS S.A"/>
    <s v="320001"/>
    <s v="REPUESTOS"/>
    <s v="001"/>
    <s v="001"/>
    <s v="CONTADO"/>
    <s v="002"/>
    <s v="MANTENIMIENTO-MECANICA"/>
    <s v="$"/>
    <n v="3.3809999999999998"/>
    <n v="-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34"/>
    <s v="ABO"/>
    <s v="005"/>
    <s v="00000005"/>
    <x v="96"/>
    <s v="AXA172"/>
    <d v="2019-11-07T00:00:00"/>
    <s v="20100041953"/>
    <s v="RIMAC SEGUROS  Y REASEGUROS S.A"/>
    <s v="310255"/>
    <s v="DESCUENTO"/>
    <s v="001"/>
    <s v="001"/>
    <s v="CONTADO"/>
    <s v="002"/>
    <s v="MANTENIMIENTO-MECANICA"/>
    <s v="$"/>
    <n v="3.3759999000000001"/>
    <n v="-1"/>
    <n v="-7.5"/>
    <n v="-7.5"/>
    <n v="-1.3500004000000023"/>
    <n v="-8.8500004000000025"/>
    <n v="-25.319999250000002"/>
    <m/>
    <m/>
    <m/>
    <m/>
    <m/>
    <m/>
    <m/>
    <m/>
    <m/>
    <m/>
    <m/>
    <m/>
    <m/>
    <m/>
    <m/>
    <m/>
    <m/>
    <m/>
    <m/>
    <m/>
    <m/>
    <m/>
    <m/>
    <m/>
  </r>
  <r>
    <x v="36"/>
    <s v="ABO"/>
    <s v="005"/>
    <s v="00000006"/>
    <x v="158"/>
    <n v="0"/>
    <d v="2019-11-27T00:00:00"/>
    <s v="20100041953"/>
    <s v="RIMAC SEGUROS  Y REASEGUROS S.A"/>
    <s v="310255"/>
    <s v="DESCUENTO"/>
    <s v="001"/>
    <s v="001"/>
    <s v="CONTADO"/>
    <s v="002"/>
    <s v="MANTENIMIENTO-MECANICA"/>
    <s v="$"/>
    <n v="3.3640001000000002"/>
    <n v="-1"/>
    <n v="-14.96"/>
    <n v="-14.96"/>
    <n v="-2.6927999999999974"/>
    <n v="-17.652799999999999"/>
    <n v="-50.325441496000003"/>
    <m/>
    <m/>
    <m/>
    <m/>
    <m/>
    <m/>
    <m/>
    <m/>
    <m/>
    <m/>
    <m/>
    <m/>
    <m/>
    <m/>
    <m/>
    <m/>
    <m/>
    <m/>
    <m/>
    <m/>
    <m/>
    <m/>
    <m/>
    <m/>
  </r>
  <r>
    <x v="34"/>
    <s v="CAR"/>
    <s v="005"/>
    <s v="00000002"/>
    <x v="159"/>
    <n v="0"/>
    <d v="2019-11-25T00:00:00"/>
    <s v="20602003346"/>
    <s v="FAST ENGENHARIA E MONTAGENS SA"/>
    <s v="1201020001"/>
    <s v="PLANCHAR"/>
    <s v="001"/>
    <s v="001"/>
    <s v="CONTADO"/>
    <s v="001"/>
    <s v="PLANCHADO"/>
    <s v="$"/>
    <n v="3.3849999999999998"/>
    <n v="1"/>
    <n v="57.450001"/>
    <n v="57.450001"/>
    <n v="10.34"/>
    <n v="67.790001000000004"/>
    <n v="194.468253385"/>
    <m/>
    <m/>
    <m/>
    <m/>
    <m/>
    <m/>
    <m/>
    <m/>
    <m/>
    <m/>
    <m/>
    <m/>
    <m/>
    <m/>
    <m/>
    <m/>
    <m/>
    <m/>
    <m/>
    <m/>
    <m/>
    <m/>
    <m/>
    <m/>
  </r>
  <r>
    <x v="40"/>
    <s v="FAC"/>
    <s v="005"/>
    <s v="00000172"/>
    <x v="160"/>
    <s v="R00885"/>
    <d v="2019-11-07T00:00:00"/>
    <s v="20100041953"/>
    <s v="RIMAC SEGUROS  Y REASEGUROS S.A"/>
    <s v="1302020001"/>
    <s v="PINTURA"/>
    <s v="000"/>
    <s v="001"/>
    <s v="CONTADO"/>
    <s v="009"/>
    <s v="PINTURA"/>
    <s v="$"/>
    <n v="3.4030000999999999"/>
    <n v="1"/>
    <n v="295"/>
    <n v="295"/>
    <n v="53.100009999999891"/>
    <n v="348.10000999999988"/>
    <n v="1003.8850295"/>
    <m/>
    <m/>
    <m/>
    <m/>
    <m/>
    <m/>
    <m/>
    <m/>
    <m/>
    <m/>
    <m/>
    <m/>
    <m/>
    <m/>
    <m/>
    <m/>
    <m/>
    <m/>
    <m/>
    <m/>
    <m/>
    <m/>
    <m/>
    <m/>
  </r>
  <r>
    <x v="40"/>
    <s v="FAC"/>
    <s v="005"/>
    <s v="00000172"/>
    <x v="160"/>
    <s v="R00885"/>
    <d v="2019-11-07T00:00:00"/>
    <s v="20100041953"/>
    <s v="RIMAC SEGUROS  Y REASEGUROS S.A"/>
    <s v="1201020001"/>
    <s v="PLANCHADO"/>
    <s v="000"/>
    <s v="001"/>
    <s v="CONTADO"/>
    <s v="001"/>
    <s v="PLANCHADO"/>
    <s v="$"/>
    <n v="3.4030000999999999"/>
    <n v="1"/>
    <n v="180"/>
    <n v="180"/>
    <n v="32.39998999999996"/>
    <n v="212.39998999999997"/>
    <n v="612.54001799999992"/>
    <m/>
    <m/>
    <m/>
    <m/>
    <m/>
    <m/>
    <m/>
    <m/>
    <m/>
    <m/>
    <m/>
    <m/>
    <m/>
    <m/>
    <m/>
    <m/>
    <m/>
    <m/>
    <m/>
    <m/>
    <m/>
    <m/>
    <m/>
    <m/>
  </r>
  <r>
    <x v="40"/>
    <s v="FAC"/>
    <s v="005"/>
    <s v="00000172"/>
    <x v="160"/>
    <s v="R00885"/>
    <d v="2019-11-07T00:00:00"/>
    <s v="20100041953"/>
    <s v="RIMAC SEGUROS  Y REASEGUROS S.A"/>
    <s v="2908010001"/>
    <s v="TERCEROS"/>
    <s v="000"/>
    <s v="001"/>
    <s v="CONTADO"/>
    <s v="002"/>
    <s v="MANTENIMIENTO-MECANICA"/>
    <s v="$"/>
    <n v="3.4030000999999999"/>
    <n v="1"/>
    <n v="50"/>
    <n v="50"/>
    <n v="9"/>
    <n v="59"/>
    <n v="170.15000499999999"/>
    <m/>
    <m/>
    <m/>
    <m/>
    <m/>
    <m/>
    <m/>
    <m/>
    <m/>
    <m/>
    <m/>
    <m/>
    <m/>
    <m/>
    <m/>
    <m/>
    <m/>
    <m/>
    <m/>
    <m/>
    <m/>
    <m/>
    <m/>
    <m/>
  </r>
  <r>
    <x v="40"/>
    <s v="FAC"/>
    <s v="005"/>
    <s v="00000172"/>
    <x v="160"/>
    <s v="R00885"/>
    <d v="2019-11-07T00:00:00"/>
    <s v="20100041953"/>
    <s v="RIMAC SEGUROS  Y REASEGUROS S.A"/>
    <s v="310120"/>
    <s v="FRANQUICIA"/>
    <s v="000"/>
    <s v="001"/>
    <s v="CONTADO"/>
    <s v="002"/>
    <s v="MANTENIMIENTO-MECANICA"/>
    <s v="$"/>
    <n v="3.4030000999999999"/>
    <n v="-1"/>
    <n v="108.85590000000002"/>
    <n v="-108.85590000000002"/>
    <n v="-19.594099999999962"/>
    <n v="-128.44999999999999"/>
    <n v="-370.43663858559006"/>
    <m/>
    <m/>
    <m/>
    <m/>
    <m/>
    <m/>
    <m/>
    <m/>
    <m/>
    <m/>
    <m/>
    <m/>
    <m/>
    <m/>
    <m/>
    <m/>
    <m/>
    <m/>
    <m/>
    <m/>
    <m/>
    <m/>
    <m/>
    <m/>
  </r>
  <r>
    <x v="40"/>
    <s v="FAC"/>
    <s v="005"/>
    <s v="00000172"/>
    <x v="160"/>
    <s v="R00885"/>
    <d v="2019-11-07T00:00:00"/>
    <s v="20100041953"/>
    <s v="RIMAC SEGUROS  Y REASEGUROS S.A"/>
    <s v="320001"/>
    <s v="REPUESTOS"/>
    <s v="000"/>
    <s v="001"/>
    <s v="CONTADO"/>
    <s v="002"/>
    <s v="MANTENIMIENTO-MECANICA"/>
    <s v="$"/>
    <n v="3.4030000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0"/>
    <s v="FAC"/>
    <s v="005"/>
    <s v="00000173"/>
    <x v="161"/>
    <s v="BDG262"/>
    <d v="2019-11-26T00:00:00"/>
    <s v="20100041953"/>
    <s v="RIMAC SEGUROS  Y REASEGUROS S.A"/>
    <s v="1302020001"/>
    <s v="PINTURA"/>
    <s v="000"/>
    <s v="001"/>
    <s v="CONTADO"/>
    <s v="009"/>
    <s v="PINTURA"/>
    <s v="$"/>
    <n v="3.4030000999999999"/>
    <n v="1"/>
    <n v="118"/>
    <n v="118"/>
    <n v="21.240010000000019"/>
    <n v="139.24001000000001"/>
    <n v="401.55401180000001"/>
    <m/>
    <m/>
    <m/>
    <m/>
    <m/>
    <m/>
    <m/>
    <m/>
    <m/>
    <m/>
    <m/>
    <m/>
    <m/>
    <m/>
    <m/>
    <m/>
    <m/>
    <m/>
    <m/>
    <m/>
    <m/>
    <m/>
    <m/>
    <m/>
  </r>
  <r>
    <x v="40"/>
    <s v="FAC"/>
    <s v="005"/>
    <s v="00000173"/>
    <x v="161"/>
    <s v="BDG262"/>
    <d v="2019-11-26T00:00:00"/>
    <s v="20100041953"/>
    <s v="RIMAC SEGUROS  Y REASEGUROS S.A"/>
    <s v="1201020001"/>
    <s v="PLANCHADO"/>
    <s v="000"/>
    <s v="001"/>
    <s v="CONTADO"/>
    <s v="001"/>
    <s v="PLANCHADO"/>
    <s v="$"/>
    <n v="3.4030000999999999"/>
    <n v="1"/>
    <n v="52.5"/>
    <n v="52.5"/>
    <n v="9.4500010000000021"/>
    <n v="61.950001"/>
    <n v="178.65750524999999"/>
    <m/>
    <m/>
    <m/>
    <m/>
    <m/>
    <m/>
    <m/>
    <m/>
    <m/>
    <m/>
    <m/>
    <m/>
    <m/>
    <m/>
    <m/>
    <m/>
    <m/>
    <m/>
    <m/>
    <m/>
    <m/>
    <m/>
    <m/>
    <m/>
  </r>
  <r>
    <x v="40"/>
    <s v="FAC"/>
    <s v="005"/>
    <s v="00000173"/>
    <x v="161"/>
    <s v="BDG262"/>
    <d v="2019-11-26T00:00:00"/>
    <s v="20100041953"/>
    <s v="RIMAC SEGUROS  Y REASEGUROS S.A"/>
    <s v="2908010001"/>
    <s v="TERCEROS"/>
    <s v="000"/>
    <s v="001"/>
    <s v="CONTADO"/>
    <s v="002"/>
    <s v="MANTENIMIENTO-MECANICA"/>
    <s v="$"/>
    <n v="3.4030000999999999"/>
    <n v="1"/>
    <n v="30"/>
    <n v="30"/>
    <n v="5.4000019999999997"/>
    <n v="35.400002000000001"/>
    <n v="102.090003"/>
    <m/>
    <m/>
    <m/>
    <m/>
    <m/>
    <m/>
    <m/>
    <m/>
    <m/>
    <m/>
    <m/>
    <m/>
    <m/>
    <m/>
    <m/>
    <m/>
    <m/>
    <m/>
    <m/>
    <m/>
    <m/>
    <m/>
    <m/>
    <m/>
  </r>
  <r>
    <x v="40"/>
    <s v="FAC"/>
    <s v="005"/>
    <s v="00000173"/>
    <x v="161"/>
    <s v="BDG262"/>
    <d v="2019-11-26T00:00:00"/>
    <s v="20100041953"/>
    <s v="RIMAC SEGUROS  Y REASEGUROS S.A"/>
    <s v="310120"/>
    <s v="FRANQUICIA"/>
    <s v="000"/>
    <s v="001"/>
    <s v="CONTADO"/>
    <s v="002"/>
    <s v="MANTENIMIENTO-MECANICA"/>
    <s v="$"/>
    <n v="3.4030000999999999"/>
    <n v="-1"/>
    <n v="100"/>
    <n v="-100"/>
    <n v="-18"/>
    <n v="-118"/>
    <n v="-340.30000999999999"/>
    <m/>
    <m/>
    <m/>
    <m/>
    <m/>
    <m/>
    <m/>
    <m/>
    <m/>
    <m/>
    <m/>
    <m/>
    <m/>
    <m/>
    <m/>
    <m/>
    <m/>
    <m/>
    <m/>
    <m/>
    <m/>
    <m/>
    <m/>
    <m/>
  </r>
  <r>
    <x v="41"/>
    <s v="FAC"/>
    <s v="005"/>
    <s v="00000174"/>
    <x v="162"/>
    <s v="ARN470"/>
    <d v="2019-11-21T00:00:00"/>
    <s v="20438563084"/>
    <s v="EDPYME ACCESO CREDITICIO SOCIEDAD ANONIMA"/>
    <s v="2908010001"/>
    <s v="TERCEROS"/>
    <s v="000"/>
    <s v="001"/>
    <s v="CONTADO"/>
    <s v="002"/>
    <s v="MANTENIMIENTO-MECANICA"/>
    <s v="S/."/>
    <n v="3.3859998999999998"/>
    <n v="1"/>
    <n v="100"/>
    <n v="100"/>
    <n v="18"/>
    <n v="118"/>
    <n v="100"/>
    <m/>
    <m/>
    <m/>
    <m/>
    <m/>
    <m/>
    <m/>
    <m/>
    <m/>
    <m/>
    <m/>
    <m/>
    <m/>
    <m/>
    <m/>
    <m/>
    <m/>
    <m/>
    <m/>
    <m/>
    <m/>
    <m/>
    <m/>
    <m/>
  </r>
  <r>
    <x v="41"/>
    <s v="FAC"/>
    <s v="005"/>
    <s v="00000174"/>
    <x v="162"/>
    <s v="ARN470"/>
    <d v="2019-11-21T00:00:00"/>
    <s v="20438563084"/>
    <s v="EDPYME ACCESO CREDITICIO SOCIEDAD ANONIMA"/>
    <s v="2805010001"/>
    <s v="SERVICIOS"/>
    <s v="000"/>
    <s v="001"/>
    <s v="CONTADO"/>
    <s v="002"/>
    <s v="MANTENIMIENTO-MECANICA"/>
    <s v="S/."/>
    <n v="3.3859998999999998"/>
    <n v="1"/>
    <n v="428.75421"/>
    <n v="428.75421"/>
    <n v="77.175780000000017"/>
    <n v="505.92999000000003"/>
    <n v="428.75421"/>
    <m/>
    <m/>
    <m/>
    <m/>
    <m/>
    <m/>
    <m/>
    <m/>
    <m/>
    <m/>
    <m/>
    <m/>
    <m/>
    <m/>
    <m/>
    <m/>
    <m/>
    <m/>
    <m/>
    <m/>
    <m/>
    <m/>
    <m/>
    <m/>
  </r>
  <r>
    <x v="41"/>
    <s v="FAC"/>
    <s v="005"/>
    <s v="00000174"/>
    <x v="162"/>
    <s v="ARN470"/>
    <d v="2019-11-21T00:00:00"/>
    <s v="20438563084"/>
    <s v="EDPYME ACCESO CREDITICIO SOCIEDAD ANONIMA"/>
    <s v="320001"/>
    <s v="REPUESTOS"/>
    <s v="000"/>
    <s v="001"/>
    <s v="CONTADO"/>
    <s v="002"/>
    <s v="MANTENIMIENTO-MECANICA"/>
    <s v="S/."/>
    <n v="3.3859998999999998"/>
    <n v="1"/>
    <n v="1377"/>
    <n v="1377"/>
    <n v="247.86"/>
    <n v="1624.86"/>
    <n v="1377"/>
    <m/>
    <m/>
    <m/>
    <m/>
    <m/>
    <m/>
    <m/>
    <m/>
    <m/>
    <m/>
    <m/>
    <m/>
    <m/>
    <m/>
    <m/>
    <m/>
    <m/>
    <m/>
    <m/>
    <m/>
    <m/>
    <m/>
    <m/>
    <m/>
  </r>
  <r>
    <x v="41"/>
    <s v="FAC"/>
    <s v="005"/>
    <s v="00000175"/>
    <x v="163"/>
    <s v="AVA610"/>
    <d v="2019-11-08T00:00:00"/>
    <s v="20438563084"/>
    <s v="EDPYME ACCESO CREDITICIO SOCIEDAD ANONIMA"/>
    <s v="1302020001"/>
    <s v="PINTURA"/>
    <s v="000"/>
    <s v="001"/>
    <s v="CONTADO"/>
    <s v="009"/>
    <s v="PINTURA"/>
    <s v="S/."/>
    <n v="3.3859998999999998"/>
    <n v="1"/>
    <n v="2430"/>
    <n v="2430"/>
    <n v="437.39989999999989"/>
    <n v="2867.3998999999999"/>
    <n v="2430"/>
    <m/>
    <m/>
    <m/>
    <m/>
    <m/>
    <m/>
    <m/>
    <m/>
    <m/>
    <m/>
    <m/>
    <m/>
    <m/>
    <m/>
    <m/>
    <m/>
    <m/>
    <m/>
    <m/>
    <m/>
    <m/>
    <m/>
    <m/>
    <m/>
  </r>
  <r>
    <x v="41"/>
    <s v="FAC"/>
    <s v="005"/>
    <s v="00000175"/>
    <x v="163"/>
    <s v="AVA610"/>
    <d v="2019-11-08T00:00:00"/>
    <s v="20438563084"/>
    <s v="EDPYME ACCESO CREDITICIO SOCIEDAD ANONIMA"/>
    <s v="1201020001"/>
    <s v="PLANCHADO"/>
    <s v="000"/>
    <s v="001"/>
    <s v="CONTADO"/>
    <s v="001"/>
    <s v="PLANCHADO"/>
    <s v="S/."/>
    <n v="3.3859998999999998"/>
    <n v="1"/>
    <n v="1715"/>
    <n v="1715"/>
    <n v="308.7"/>
    <n v="2023.7"/>
    <n v="1715"/>
    <m/>
    <m/>
    <m/>
    <m/>
    <m/>
    <m/>
    <m/>
    <m/>
    <m/>
    <m/>
    <m/>
    <m/>
    <m/>
    <m/>
    <m/>
    <m/>
    <m/>
    <m/>
    <m/>
    <m/>
    <m/>
    <m/>
    <m/>
    <m/>
  </r>
  <r>
    <x v="41"/>
    <s v="FAC"/>
    <s v="005"/>
    <s v="00000175"/>
    <x v="163"/>
    <s v="AVA610"/>
    <d v="2019-11-08T00:00:00"/>
    <s v="20438563084"/>
    <s v="EDPYME ACCESO CREDITICIO SOCIEDAD ANONIMA"/>
    <s v="2908010001"/>
    <s v="TERCEROS"/>
    <s v="000"/>
    <s v="001"/>
    <s v="CONTADO"/>
    <s v="002"/>
    <s v="MANTENIMIENTO-MECANICA"/>
    <s v="S/."/>
    <n v="3.3859998999999998"/>
    <n v="1"/>
    <n v="460"/>
    <n v="460"/>
    <n v="82.799990000000037"/>
    <n v="542.79998999999998"/>
    <n v="460"/>
    <m/>
    <m/>
    <m/>
    <m/>
    <m/>
    <m/>
    <m/>
    <m/>
    <m/>
    <m/>
    <m/>
    <m/>
    <m/>
    <m/>
    <m/>
    <m/>
    <m/>
    <m/>
    <m/>
    <m/>
    <m/>
    <m/>
    <m/>
    <m/>
  </r>
  <r>
    <x v="41"/>
    <s v="FAC"/>
    <s v="005"/>
    <s v="00000175"/>
    <x v="163"/>
    <s v="AVA610"/>
    <d v="2019-11-08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859998999999998"/>
    <n v="1"/>
    <n v="1344"/>
    <n v="1344"/>
    <n v="241.92"/>
    <n v="1585.92"/>
    <n v="1344"/>
    <m/>
    <m/>
    <m/>
    <m/>
    <m/>
    <m/>
    <m/>
    <m/>
    <m/>
    <m/>
    <m/>
    <m/>
    <m/>
    <m/>
    <m/>
    <m/>
    <m/>
    <m/>
    <m/>
    <m/>
    <m/>
    <m/>
    <m/>
    <m/>
  </r>
  <r>
    <x v="41"/>
    <s v="FAC"/>
    <s v="005"/>
    <s v="00000175"/>
    <x v="163"/>
    <s v="AVA610"/>
    <d v="2019-11-08T00:00:00"/>
    <s v="20438563084"/>
    <s v="EDPYME ACCESO CREDITICIO SOCIEDAD ANONIMA"/>
    <s v="2908010003"/>
    <s v="AMPLIACION MANO DE OBRA PL"/>
    <s v="000"/>
    <s v="001"/>
    <s v="CONTADO"/>
    <s v="002"/>
    <s v="MANTENIMIENTO-MECANICA"/>
    <s v="S/."/>
    <n v="3.3859998999999998"/>
    <n v="12"/>
    <n v="35"/>
    <n v="420"/>
    <n v="75.599987999999883"/>
    <n v="495.59998799999988"/>
    <n v="420"/>
    <m/>
    <m/>
    <m/>
    <m/>
    <m/>
    <m/>
    <m/>
    <m/>
    <m/>
    <m/>
    <m/>
    <m/>
    <m/>
    <m/>
    <m/>
    <m/>
    <m/>
    <m/>
    <m/>
    <m/>
    <m/>
    <m/>
    <m/>
    <m/>
  </r>
  <r>
    <x v="41"/>
    <s v="FAC"/>
    <s v="005"/>
    <s v="00000175"/>
    <x v="163"/>
    <s v="AVA610"/>
    <d v="2019-11-08T00:00:00"/>
    <s v="20438563084"/>
    <s v="EDPYME ACCESO CREDITICIO SOCIEDAD ANONIMA"/>
    <s v="2805010001"/>
    <s v="SERVICIOS"/>
    <s v="000"/>
    <s v="001"/>
    <s v="CONTADO"/>
    <s v="002"/>
    <s v="MANTENIMIENTO-MECANICA"/>
    <s v="S/."/>
    <n v="3.3859998999999998"/>
    <n v="1"/>
    <n v="288.75421"/>
    <n v="288.75420999999994"/>
    <n v="51.975799999999907"/>
    <n v="340.73000999999988"/>
    <n v="288.75420999999994"/>
    <m/>
    <m/>
    <m/>
    <m/>
    <m/>
    <m/>
    <m/>
    <m/>
    <m/>
    <m/>
    <m/>
    <m/>
    <m/>
    <m/>
    <m/>
    <m/>
    <m/>
    <m/>
    <m/>
    <m/>
    <m/>
    <m/>
    <m/>
    <m/>
  </r>
  <r>
    <x v="41"/>
    <s v="FAC"/>
    <s v="005"/>
    <s v="00000175"/>
    <x v="163"/>
    <s v="AVA610"/>
    <d v="2019-11-08T00:00:00"/>
    <s v="20438563084"/>
    <s v="EDPYME ACCESO CREDITICIO SOCIEDAD ANONIMA"/>
    <s v="320001"/>
    <s v="REPUESTOS"/>
    <s v="000"/>
    <s v="001"/>
    <s v="CONTADO"/>
    <s v="002"/>
    <s v="MANTENIMIENTO-MECANICA"/>
    <s v="S/."/>
    <n v="3.3859998999999998"/>
    <n v="1"/>
    <n v="2888"/>
    <n v="2888"/>
    <n v="519.84010000000012"/>
    <n v="3407.8400999999999"/>
    <n v="2888"/>
    <m/>
    <m/>
    <m/>
    <m/>
    <m/>
    <m/>
    <m/>
    <m/>
    <m/>
    <m/>
    <m/>
    <m/>
    <m/>
    <m/>
    <m/>
    <m/>
    <m/>
    <m/>
    <m/>
    <m/>
    <m/>
    <m/>
    <m/>
    <m/>
  </r>
  <r>
    <x v="42"/>
    <s v="FAC"/>
    <s v="005"/>
    <s v="00000176"/>
    <x v="164"/>
    <s v="ASW232"/>
    <d v="2019-11-25T00:00:00"/>
    <s v="20100041953"/>
    <s v="RIMAC SEGUROS  Y REASEGUROS S.A"/>
    <s v="1302020001"/>
    <s v="PINTURA"/>
    <s v="000"/>
    <s v="001"/>
    <s v="CONTADO"/>
    <s v="009"/>
    <s v="PINTURA"/>
    <s v="$"/>
    <n v="3.3800001000000002"/>
    <n v="1"/>
    <n v="147.5"/>
    <n v="147.5"/>
    <n v="26.55"/>
    <n v="174.05"/>
    <n v="498.55001475"/>
    <m/>
    <m/>
    <m/>
    <m/>
    <m/>
    <m/>
    <m/>
    <m/>
    <m/>
    <m/>
    <m/>
    <m/>
    <m/>
    <m/>
    <m/>
    <m/>
    <m/>
    <m/>
    <m/>
    <m/>
    <m/>
    <m/>
    <m/>
    <m/>
  </r>
  <r>
    <x v="42"/>
    <s v="FAC"/>
    <s v="005"/>
    <s v="00000176"/>
    <x v="164"/>
    <s v="ASW232"/>
    <d v="2019-11-25T00:00:00"/>
    <s v="20100041953"/>
    <s v="RIMAC SEGUROS  Y REASEGUROS S.A"/>
    <s v="1201020001"/>
    <s v="PLANCHADO"/>
    <s v="000"/>
    <s v="001"/>
    <s v="CONTADO"/>
    <s v="001"/>
    <s v="PLANCHADO"/>
    <s v="$"/>
    <n v="3.3800001000000002"/>
    <n v="1"/>
    <n v="120"/>
    <n v="120"/>
    <n v="21.600010000000019"/>
    <n v="141.60001000000003"/>
    <n v="405.60001199999999"/>
    <m/>
    <m/>
    <m/>
    <m/>
    <m/>
    <m/>
    <m/>
    <m/>
    <m/>
    <m/>
    <m/>
    <m/>
    <m/>
    <m/>
    <m/>
    <m/>
    <m/>
    <m/>
    <m/>
    <m/>
    <m/>
    <m/>
    <m/>
    <m/>
  </r>
  <r>
    <x v="42"/>
    <s v="FAC"/>
    <s v="005"/>
    <s v="00000176"/>
    <x v="164"/>
    <s v="ASW232"/>
    <d v="2019-11-25T00:00:00"/>
    <s v="20100041953"/>
    <s v="RIMAC SEGUROS  Y REASEGUROS S.A"/>
    <s v="2908010001"/>
    <s v="TERCEROS"/>
    <s v="000"/>
    <s v="001"/>
    <s v="CONTADO"/>
    <s v="002"/>
    <s v="MANTENIMIENTO-MECANICA"/>
    <s v="$"/>
    <n v="3.3800001000000002"/>
    <n v="1"/>
    <n v="75"/>
    <n v="75"/>
    <n v="13.5"/>
    <n v="88.5"/>
    <n v="253.50000750000001"/>
    <m/>
    <m/>
    <m/>
    <m/>
    <m/>
    <m/>
    <m/>
    <m/>
    <m/>
    <m/>
    <m/>
    <m/>
    <m/>
    <m/>
    <m/>
    <m/>
    <m/>
    <m/>
    <m/>
    <m/>
    <m/>
    <m/>
    <m/>
    <m/>
  </r>
  <r>
    <x v="42"/>
    <s v="FAC"/>
    <s v="005"/>
    <s v="00000176"/>
    <x v="164"/>
    <s v="ASW232"/>
    <d v="2019-11-25T00:00:00"/>
    <s v="20100041953"/>
    <s v="RIMAC SEGUROS  Y REASEGUROS S.A"/>
    <s v="320001"/>
    <s v="REPUESTOS"/>
    <s v="000"/>
    <s v="001"/>
    <s v="CONTADO"/>
    <s v="002"/>
    <s v="MANTENIMIENTO-MECANICA"/>
    <s v="$"/>
    <n v="3.380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2"/>
    <s v="FAC"/>
    <s v="005"/>
    <s v="00000177"/>
    <x v="165"/>
    <s v="F5O086"/>
    <d v="2019-12-02T00:00:00"/>
    <s v="20438563084"/>
    <s v="EDPYME ACCESO CREDITICIO SOCIEDAD ANONIMA"/>
    <s v="2908010001"/>
    <s v="TERCEROS"/>
    <s v="000"/>
    <s v="001"/>
    <s v="CONTADO"/>
    <s v="002"/>
    <s v="MANTENIMIENTO-MECANICA"/>
    <s v="S/."/>
    <n v="3.3800001000000002"/>
    <n v="1"/>
    <n v="310"/>
    <n v="310"/>
    <n v="55.799990000000037"/>
    <n v="365.79999000000004"/>
    <n v="310"/>
    <m/>
    <m/>
    <m/>
    <m/>
    <m/>
    <m/>
    <m/>
    <m/>
    <m/>
    <m/>
    <m/>
    <m/>
    <m/>
    <m/>
    <m/>
    <m/>
    <m/>
    <m/>
    <m/>
    <m/>
    <m/>
    <m/>
    <m/>
    <m/>
  </r>
  <r>
    <x v="42"/>
    <s v="FAC"/>
    <s v="005"/>
    <s v="00000177"/>
    <x v="165"/>
    <s v="F5O086"/>
    <d v="2019-12-02T00:00:00"/>
    <s v="20438563084"/>
    <s v="EDPYME ACCESO CREDITICIO SOCIEDAD ANONIMA"/>
    <s v="2805010001"/>
    <s v="SERVICIOS"/>
    <s v="000"/>
    <s v="001"/>
    <s v="CONTADO"/>
    <s v="002"/>
    <s v="MANTENIMIENTO-MECANICA"/>
    <s v="S/."/>
    <n v="3.3800001000000002"/>
    <n v="1"/>
    <n v="70"/>
    <n v="70"/>
    <n v="12.599997999999978"/>
    <n v="82.599997999999971"/>
    <n v="70"/>
    <m/>
    <m/>
    <m/>
    <m/>
    <m/>
    <m/>
    <m/>
    <m/>
    <m/>
    <m/>
    <m/>
    <m/>
    <m/>
    <m/>
    <m/>
    <m/>
    <m/>
    <m/>
    <m/>
    <m/>
    <m/>
    <m/>
    <m/>
    <m/>
  </r>
  <r>
    <x v="42"/>
    <s v="FAC"/>
    <s v="005"/>
    <s v="00000177"/>
    <x v="165"/>
    <s v="F5O086"/>
    <d v="2019-12-02T00:00:00"/>
    <s v="20438563084"/>
    <s v="EDPYME ACCESO CREDITICIO SOCIEDAD ANONIMA"/>
    <s v="320001"/>
    <s v="REPUESTOS"/>
    <s v="000"/>
    <s v="001"/>
    <s v="CONTADO"/>
    <s v="002"/>
    <s v="MANTENIMIENTO-MECANICA"/>
    <s v="S/."/>
    <n v="3.3800001000000002"/>
    <n v="1"/>
    <n v="350"/>
    <n v="350"/>
    <n v="63"/>
    <n v="413"/>
    <n v="350"/>
    <m/>
    <m/>
    <m/>
    <m/>
    <m/>
    <m/>
    <m/>
    <m/>
    <m/>
    <m/>
    <m/>
    <m/>
    <m/>
    <m/>
    <m/>
    <m/>
    <m/>
    <m/>
    <m/>
    <m/>
    <m/>
    <m/>
    <m/>
    <m/>
  </r>
  <r>
    <x v="42"/>
    <s v="FAC"/>
    <s v="005"/>
    <s v="00000178"/>
    <x v="166"/>
    <s v="BDW631"/>
    <d v="2019-11-25T00:00:00"/>
    <s v="20100041953"/>
    <s v="RIMAC SEGUROS  Y REASEGUROS S.A"/>
    <s v="1302020001"/>
    <s v="PINTURA"/>
    <s v="000"/>
    <s v="001"/>
    <s v="CONTADO"/>
    <s v="009"/>
    <s v="PINTURA"/>
    <s v="$"/>
    <n v="3.3800001000000002"/>
    <n v="1"/>
    <n v="354"/>
    <n v="354"/>
    <n v="63.72"/>
    <n v="417.72"/>
    <n v="1196.5200354000001"/>
    <m/>
    <m/>
    <m/>
    <m/>
    <m/>
    <m/>
    <m/>
    <m/>
    <m/>
    <m/>
    <m/>
    <m/>
    <m/>
    <m/>
    <m/>
    <m/>
    <m/>
    <m/>
    <m/>
    <m/>
    <m/>
    <m/>
    <m/>
    <m/>
  </r>
  <r>
    <x v="42"/>
    <s v="FAC"/>
    <s v="005"/>
    <s v="00000178"/>
    <x v="166"/>
    <s v="BDW631"/>
    <d v="2019-11-25T00:00:00"/>
    <s v="20100041953"/>
    <s v="RIMAC SEGUROS  Y REASEGUROS S.A"/>
    <s v="1201020001"/>
    <s v="PLANCHADO"/>
    <s v="000"/>
    <s v="001"/>
    <s v="CONTADO"/>
    <s v="001"/>
    <s v="PLANCHADO"/>
    <s v="$"/>
    <n v="3.3800001000000002"/>
    <n v="1"/>
    <n v="135"/>
    <n v="135"/>
    <n v="24.3"/>
    <n v="159.30000000000001"/>
    <n v="456.30001350000003"/>
    <m/>
    <m/>
    <m/>
    <m/>
    <m/>
    <m/>
    <m/>
    <m/>
    <m/>
    <m/>
    <m/>
    <m/>
    <m/>
    <m/>
    <m/>
    <m/>
    <m/>
    <m/>
    <m/>
    <m/>
    <m/>
    <m/>
    <m/>
    <m/>
  </r>
  <r>
    <x v="42"/>
    <s v="FAC"/>
    <s v="005"/>
    <s v="00000178"/>
    <x v="166"/>
    <s v="BDW631"/>
    <d v="2019-11-25T00:00:00"/>
    <s v="20100041953"/>
    <s v="RIMAC SEGUROS  Y REASEGUROS S.A"/>
    <s v="310120"/>
    <s v="FRANQUICIA"/>
    <s v="000"/>
    <s v="001"/>
    <s v="CONTADO"/>
    <s v="002"/>
    <s v="MANTENIMIENTO-MECANICA"/>
    <s v="$"/>
    <n v="3.3800001000000002"/>
    <n v="-1"/>
    <n v="100"/>
    <n v="-100"/>
    <n v="-18"/>
    <n v="-118"/>
    <n v="-338.00001000000003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79"/>
    <x v="167"/>
    <s v="ASM675"/>
    <d v="2019-11-29T00:00:00"/>
    <s v="20100041953"/>
    <s v="RIMAC SEGUROS  Y REASEGUROS S.A"/>
    <s v="1302020001"/>
    <s v="PINTURA"/>
    <s v="000"/>
    <s v="001"/>
    <s v="CONTADO"/>
    <s v="009"/>
    <s v="PINTURA"/>
    <s v="$"/>
    <n v="3.3809999999999998"/>
    <n v="1"/>
    <n v="147.5"/>
    <n v="147.5"/>
    <n v="26.55"/>
    <n v="174.05"/>
    <n v="498.69749999999999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79"/>
    <x v="167"/>
    <s v="ASM675"/>
    <d v="2019-11-29T00:00:00"/>
    <s v="20100041953"/>
    <s v="RIMAC SEGUROS  Y REASEGUROS S.A"/>
    <s v="1201020001"/>
    <s v="PLANCHADO"/>
    <s v="000"/>
    <s v="001"/>
    <s v="CONTADO"/>
    <s v="001"/>
    <s v="PLANCHADO"/>
    <s v="$"/>
    <n v="3.3809999999999998"/>
    <n v="1"/>
    <n v="210"/>
    <n v="210"/>
    <n v="37.799999999999997"/>
    <n v="247.8"/>
    <n v="710.01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79"/>
    <x v="167"/>
    <s v="ASM675"/>
    <d v="2019-11-29T00:00:00"/>
    <s v="20100041953"/>
    <s v="RIMAC SEGUROS  Y REASEGUROS S.A"/>
    <s v="2908010001"/>
    <s v="TERCEROS"/>
    <s v="000"/>
    <s v="001"/>
    <s v="CONTADO"/>
    <s v="002"/>
    <s v="MANTENIMIENTO-MECANICA"/>
    <s v="$"/>
    <n v="3.3809999999999998"/>
    <n v="1"/>
    <n v="25"/>
    <n v="25"/>
    <n v="4.5"/>
    <n v="29.5"/>
    <n v="84.524999999999991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79"/>
    <x v="167"/>
    <s v="ASM675"/>
    <d v="2019-11-29T00:00:00"/>
    <s v="20100041953"/>
    <s v="RIMAC SEGUROS  Y REASEGUROS S.A"/>
    <s v="310120"/>
    <s v="FRANQUICIA"/>
    <s v="000"/>
    <s v="001"/>
    <s v="CONTADO"/>
    <s v="002"/>
    <s v="MANTENIMIENTO-MECANICA"/>
    <s v="$"/>
    <n v="3.3809999999999998"/>
    <n v="-1"/>
    <n v="100"/>
    <n v="-100"/>
    <n v="-18"/>
    <n v="-118"/>
    <n v="-338.09999999999997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0"/>
    <x v="168"/>
    <s v="BFS488"/>
    <d v="2019-11-26T00:00:00"/>
    <s v="20100041953"/>
    <s v="RIMAC SEGUROS  Y REASEGUROS S.A"/>
    <s v="1302020001"/>
    <s v="PINTURA"/>
    <s v="000"/>
    <s v="001"/>
    <s v="CONTADO"/>
    <s v="009"/>
    <s v="PINTURA"/>
    <s v="$"/>
    <n v="3.3809999999999998"/>
    <n v="1"/>
    <n v="295"/>
    <n v="295"/>
    <n v="53.100009999999891"/>
    <n v="348.10000999999988"/>
    <n v="997.39499999999998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0"/>
    <x v="168"/>
    <s v="BFS488"/>
    <d v="2019-11-26T00:00:00"/>
    <s v="20100041953"/>
    <s v="RIMAC SEGUROS  Y REASEGUROS S.A"/>
    <s v="1201020001"/>
    <s v="PLANCHADO"/>
    <s v="000"/>
    <s v="001"/>
    <s v="CONTADO"/>
    <s v="001"/>
    <s v="PLANCHADO"/>
    <s v="$"/>
    <n v="3.3809999999999998"/>
    <n v="1"/>
    <n v="300"/>
    <n v="300"/>
    <n v="54"/>
    <n v="354"/>
    <n v="1014.3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0"/>
    <x v="168"/>
    <s v="BFS488"/>
    <d v="2019-11-26T00:00:00"/>
    <s v="20100041953"/>
    <s v="RIMAC SEGUROS  Y REASEGUROS S.A"/>
    <s v="2908010001"/>
    <s v="TERCEROS"/>
    <s v="000"/>
    <s v="001"/>
    <s v="CONTADO"/>
    <s v="002"/>
    <s v="MANTENIMIENTO-MECANICA"/>
    <s v="$"/>
    <n v="3.3809999999999998"/>
    <n v="1"/>
    <n v="15"/>
    <n v="15"/>
    <n v="2.7000009999999999"/>
    <n v="17.700001"/>
    <n v="50.714999999999996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0"/>
    <x v="168"/>
    <s v="BFS488"/>
    <d v="2019-11-26T00:00:00"/>
    <s v="20100041953"/>
    <s v="RIMAC SEGUROS  Y REASEGUROS S.A"/>
    <s v="310120"/>
    <s v="FRANQUICIA"/>
    <s v="000"/>
    <s v="001"/>
    <s v="CONTADO"/>
    <s v="002"/>
    <s v="MANTENIMIENTO-MECANICA"/>
    <s v="$"/>
    <n v="3.3809999999999998"/>
    <n v="-1"/>
    <n v="152.6525"/>
    <n v="-152.6525"/>
    <n v="-27.477499999999999"/>
    <n v="-180.13"/>
    <n v="-516.11810249999996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0"/>
    <x v="168"/>
    <s v="BFS488"/>
    <d v="2019-11-26T00:00:00"/>
    <s v="20100041953"/>
    <s v="RIMAC SEGUROS  Y REASEGUROS S.A"/>
    <s v="320001"/>
    <s v="REPUESTOS"/>
    <s v="000"/>
    <s v="001"/>
    <s v="CONTADO"/>
    <s v="002"/>
    <s v="MANTENIMIENTO-MECANICA"/>
    <s v="$"/>
    <n v="3.380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2"/>
    <x v="169"/>
    <s v="AJJ599"/>
    <d v="2019-11-21T00:00:00"/>
    <s v="20438563084"/>
    <s v="EDPYME ACCESO CREDITICIO SOCIEDAD ANONIMA"/>
    <s v="1302020001"/>
    <s v="PINTURA"/>
    <s v="000"/>
    <s v="001"/>
    <s v="CONTADO"/>
    <s v="009"/>
    <s v="PINTURA"/>
    <s v="S/."/>
    <n v="3.3809999999999998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2"/>
    <x v="169"/>
    <s v="AJJ599"/>
    <d v="2019-11-21T00:00:00"/>
    <s v="20438563084"/>
    <s v="EDPYME ACCESO CREDITICIO SOCIEDAD ANONIMA"/>
    <s v="1201020001"/>
    <s v="PLANCHADO"/>
    <s v="000"/>
    <s v="001"/>
    <s v="CONTADO"/>
    <s v="001"/>
    <s v="PLANCHADO"/>
    <s v="S/."/>
    <n v="3.3809999999999998"/>
    <n v="1"/>
    <n v="1680"/>
    <n v="1680"/>
    <n v="302.39999999999998"/>
    <n v="1982.4"/>
    <n v="1680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2"/>
    <x v="169"/>
    <s v="AJJ599"/>
    <d v="2019-11-21T00:00:00"/>
    <s v="20438563084"/>
    <s v="EDPYME ACCESO CREDITICIO SOCIEDAD ANONIMA"/>
    <s v="2908010001"/>
    <s v="TERCEROS"/>
    <s v="000"/>
    <s v="001"/>
    <s v="CONTADO"/>
    <s v="002"/>
    <s v="MANTENIMIENTO-MECANICA"/>
    <s v="S/."/>
    <n v="3.3809999999999998"/>
    <n v="1"/>
    <n v="500"/>
    <n v="500"/>
    <n v="90"/>
    <n v="590"/>
    <n v="500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2"/>
    <x v="169"/>
    <s v="AJJ599"/>
    <d v="2019-11-21T00:00:00"/>
    <s v="20438563084"/>
    <s v="EDPYME ACCESO CREDITICIO SOCIEDAD ANONIMA"/>
    <s v="2908010002"/>
    <s v="REPUESTOS CONTINUIDAD"/>
    <s v="000"/>
    <s v="001"/>
    <s v="CONTADO"/>
    <s v="002"/>
    <s v="MANTENIMIENTO-MECANICA"/>
    <s v="S/."/>
    <n v="3.3809999999999998"/>
    <n v="1"/>
    <n v="1717"/>
    <n v="1717"/>
    <n v="309.06009999999981"/>
    <n v="2026.0600999999997"/>
    <n v="1717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2"/>
    <x v="169"/>
    <s v="AJJ599"/>
    <d v="2019-11-21T00:00:00"/>
    <s v="20438563084"/>
    <s v="EDPYME ACCESO CREDITICIO SOCIEDAD ANONIMA"/>
    <s v="2805010001"/>
    <s v="SERVICIOS"/>
    <s v="000"/>
    <s v="001"/>
    <s v="CONTADO"/>
    <s v="002"/>
    <s v="MANTENIMIENTO-MECANICA"/>
    <s v="S/."/>
    <n v="3.3809999999999998"/>
    <n v="1"/>
    <n v="673.75420999999972"/>
    <n v="673.75420999999972"/>
    <n v="121.27582000000038"/>
    <n v="795.03003000000012"/>
    <n v="673.75420999999972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2"/>
    <x v="169"/>
    <s v="AJJ599"/>
    <d v="2019-11-21T00:00:00"/>
    <s v="20438563084"/>
    <s v="EDPYME ACCESO CREDITICIO SOCIEDAD ANONIMA"/>
    <s v="320001"/>
    <s v="REPUESTOS"/>
    <s v="000"/>
    <s v="001"/>
    <s v="CONTADO"/>
    <s v="002"/>
    <s v="MANTENIMIENTO-MECANICA"/>
    <s v="S/."/>
    <n v="3.3809999999999998"/>
    <n v="1"/>
    <n v="2645"/>
    <n v="2645"/>
    <n v="476.10010000000011"/>
    <n v="3121.1001000000001"/>
    <n v="2645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3"/>
    <x v="170"/>
    <s v="BDU537"/>
    <d v="2019-11-25T00:00:00"/>
    <s v="20509959766"/>
    <s v="RENTAEQUIPOS LEASING PERU S.A."/>
    <s v="1302020001"/>
    <s v="PINTURA"/>
    <s v="000"/>
    <s v="001"/>
    <s v="CONTADO"/>
    <s v="009"/>
    <s v="PINTURA"/>
    <s v="$"/>
    <n v="3.3809999999999998"/>
    <n v="1"/>
    <n v="180"/>
    <n v="180"/>
    <n v="32.39998999999996"/>
    <n v="212.39998999999997"/>
    <n v="608.57999999999993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3"/>
    <x v="170"/>
    <s v="BDU537"/>
    <d v="2019-11-25T00:00:00"/>
    <s v="20509959766"/>
    <s v="RENTAEQUIPOS LEASING PERU S.A."/>
    <s v="1201020001"/>
    <s v="PLANCHADO"/>
    <s v="000"/>
    <s v="001"/>
    <s v="CONTADO"/>
    <s v="001"/>
    <s v="PLANCHADO"/>
    <s v="$"/>
    <n v="3.3809999999999998"/>
    <n v="1"/>
    <n v="187.5"/>
    <n v="187.5"/>
    <n v="33.75"/>
    <n v="221.25"/>
    <n v="633.9375"/>
    <m/>
    <m/>
    <m/>
    <m/>
    <m/>
    <m/>
    <m/>
    <m/>
    <m/>
    <m/>
    <m/>
    <m/>
    <m/>
    <m/>
    <m/>
    <m/>
    <m/>
    <m/>
    <m/>
    <m/>
    <m/>
    <m/>
    <m/>
    <m/>
  </r>
  <r>
    <x v="43"/>
    <s v="FAC"/>
    <s v="005"/>
    <s v="00000183"/>
    <x v="170"/>
    <s v="BDU537"/>
    <d v="2019-11-25T00:00:00"/>
    <s v="20509959766"/>
    <s v="RENTAEQUIPOS LEASING PERU S.A."/>
    <s v="2908010001"/>
    <s v="TERCEROS"/>
    <s v="000"/>
    <s v="001"/>
    <s v="CONTADO"/>
    <s v="002"/>
    <s v="MANTENIMIENTO-MECANICA"/>
    <s v="$"/>
    <n v="3.3809999999999998"/>
    <n v="1"/>
    <n v="60"/>
    <n v="60"/>
    <n v="10.800002999999997"/>
    <n v="70.800003000000004"/>
    <n v="202.85999999999999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4"/>
    <x v="171"/>
    <s v="BFE603"/>
    <d v="2019-12-03T00:00:00"/>
    <s v="20509959766"/>
    <s v="RENTAEQUIPOS LEASING PERU S.A."/>
    <s v="1302020001"/>
    <s v="PINTURA"/>
    <s v="000"/>
    <s v="001"/>
    <s v="CONTADO"/>
    <s v="009"/>
    <s v="PINTURA"/>
    <s v="$"/>
    <n v="3.3809999999999998"/>
    <n v="1"/>
    <n v="59"/>
    <n v="59"/>
    <n v="10.620002999999997"/>
    <n v="69.620002999999997"/>
    <n v="199.47899999999998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4"/>
    <x v="171"/>
    <s v="BFE603"/>
    <d v="2019-12-03T00:00:00"/>
    <s v="20509959766"/>
    <s v="RENTAEQUIPOS LEASING PERU S.A."/>
    <s v="1201020001"/>
    <s v="PLANCHADO"/>
    <s v="000"/>
    <s v="001"/>
    <s v="CONTADO"/>
    <s v="001"/>
    <s v="PLANCHADO"/>
    <s v="$"/>
    <n v="3.3809999999999998"/>
    <n v="1"/>
    <n v="30"/>
    <n v="30"/>
    <n v="5.4000019999999997"/>
    <n v="35.400002000000001"/>
    <n v="101.42999999999999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4"/>
    <x v="171"/>
    <s v="BFE603"/>
    <d v="2019-12-03T00:00:00"/>
    <s v="20509959766"/>
    <s v="RENTAEQUIPOS LEASING PERU S.A."/>
    <s v="2908010001"/>
    <s v="TERCEROS"/>
    <s v="000"/>
    <s v="001"/>
    <s v="CONTADO"/>
    <s v="002"/>
    <s v="MANTENIMIENTO-MECANICA"/>
    <s v="$"/>
    <n v="3.3809999999999998"/>
    <n v="1"/>
    <n v="30"/>
    <n v="30"/>
    <n v="5.4000019999999997"/>
    <n v="35.400002000000001"/>
    <n v="101.42999999999999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4"/>
    <x v="171"/>
    <s v="BFE603"/>
    <d v="2019-12-03T00:00:00"/>
    <s v="20509959766"/>
    <s v="RENTAEQUIPOS LEASING PERU S.A."/>
    <s v="320001"/>
    <s v="REPUESTOS"/>
    <s v="000"/>
    <s v="001"/>
    <s v="CONTADO"/>
    <s v="002"/>
    <s v="MANTENIMIENTO-MECANICA"/>
    <s v="$"/>
    <n v="3.380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5"/>
    <x v="172"/>
    <s v="BFE603"/>
    <d v="2019-12-03T00:00:00"/>
    <s v="20100041953"/>
    <s v="RIMAC SEGUROS  Y REASEGUROS S.A"/>
    <s v="1302020001"/>
    <s v="PINTURA"/>
    <s v="000"/>
    <s v="001"/>
    <s v="CONTADO"/>
    <s v="009"/>
    <s v="PINTURA"/>
    <s v="$"/>
    <n v="3.3809999999999998"/>
    <n v="1"/>
    <n v="118"/>
    <n v="118"/>
    <n v="21.240010000000019"/>
    <n v="139.24001000000001"/>
    <n v="398.95799999999997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5"/>
    <x v="172"/>
    <s v="BFE603"/>
    <d v="2019-12-03T00:00:00"/>
    <s v="20100041953"/>
    <s v="RIMAC SEGUROS  Y REASEGUROS S.A"/>
    <s v="1201020001"/>
    <s v="PLANCHADO"/>
    <s v="000"/>
    <s v="001"/>
    <s v="CONTADO"/>
    <s v="001"/>
    <s v="PLANCHADO"/>
    <s v="$"/>
    <n v="3.3809999999999998"/>
    <n v="1"/>
    <n v="75"/>
    <n v="75"/>
    <n v="13.5"/>
    <n v="88.5"/>
    <n v="253.57499999999999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5"/>
    <x v="172"/>
    <s v="BFE603"/>
    <d v="2019-12-03T00:00:00"/>
    <s v="20100041953"/>
    <s v="RIMAC SEGUROS  Y REASEGUROS S.A"/>
    <s v="310120"/>
    <s v="FRANQUICIA"/>
    <s v="000"/>
    <s v="001"/>
    <s v="CONTADO"/>
    <s v="002"/>
    <s v="MANTENIMIENTO-MECANICA"/>
    <s v="$"/>
    <n v="3.3809999999999998"/>
    <n v="1"/>
    <n v="100"/>
    <n v="100"/>
    <n v="18"/>
    <n v="118"/>
    <n v="338.09999999999997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5"/>
    <x v="172"/>
    <s v="BFE603"/>
    <d v="2019-12-03T00:00:00"/>
    <s v="20100041953"/>
    <s v="RIMAC SEGUROS  Y REASEGUROS S.A"/>
    <s v="310120"/>
    <s v="FRANQUICIA"/>
    <s v="000"/>
    <s v="001"/>
    <s v="CONTADO"/>
    <s v="002"/>
    <s v="MANTENIMIENTO-MECANICA"/>
    <s v="$"/>
    <n v="3.3809999999999998"/>
    <n v="-1"/>
    <n v="100"/>
    <n v="-100"/>
    <n v="-18"/>
    <n v="-118"/>
    <n v="-338.09999999999997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5"/>
    <x v="172"/>
    <s v="BFE603"/>
    <d v="2019-12-03T00:00:00"/>
    <s v="20100041953"/>
    <s v="RIMAC SEGUROS  Y REASEGUROS S.A"/>
    <s v="320001"/>
    <s v="REPUESTOS"/>
    <s v="000"/>
    <s v="001"/>
    <s v="CONTADO"/>
    <s v="002"/>
    <s v="MANTENIMIENTO-MECANICA"/>
    <s v="$"/>
    <n v="3.380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6"/>
    <x v="173"/>
    <s v="BBQ678"/>
    <d v="2019-12-03T00:00:00"/>
    <s v="20100041953"/>
    <s v="RIMAC SEGUROS  Y REASEGUROS S.A"/>
    <s v="1302020001"/>
    <s v="PINTURA"/>
    <s v="000"/>
    <s v="001"/>
    <s v="CONTADO"/>
    <s v="009"/>
    <s v="PINTURA"/>
    <s v="$"/>
    <n v="3.3809999999999998"/>
    <n v="1"/>
    <n v="221.25419999999997"/>
    <n v="221.25419999999997"/>
    <n v="39.825789999999976"/>
    <n v="261.07998999999995"/>
    <n v="748.06045019999988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6"/>
    <x v="173"/>
    <s v="BBQ678"/>
    <d v="2019-12-03T00:00:00"/>
    <s v="20100041953"/>
    <s v="RIMAC SEGUROS  Y REASEGUROS S.A"/>
    <s v="1201020001"/>
    <s v="PLANCHADO"/>
    <s v="000"/>
    <s v="001"/>
    <s v="CONTADO"/>
    <s v="001"/>
    <s v="PLANCHADO"/>
    <s v="$"/>
    <n v="3.3809999999999998"/>
    <n v="1"/>
    <n v="165"/>
    <n v="165"/>
    <n v="29.7"/>
    <n v="194.7"/>
    <n v="557.86500000000001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6"/>
    <x v="173"/>
    <s v="BBQ678"/>
    <d v="2019-12-03T00:00:00"/>
    <s v="20100041953"/>
    <s v="RIMAC SEGUROS  Y REASEGUROS S.A"/>
    <s v="2908010001"/>
    <s v="TERCEROS"/>
    <s v="000"/>
    <s v="001"/>
    <s v="CONTADO"/>
    <s v="002"/>
    <s v="MANTENIMIENTO-MECANICA"/>
    <s v="$"/>
    <n v="3.3809999999999998"/>
    <n v="1"/>
    <n v="10"/>
    <n v="10"/>
    <n v="1.8"/>
    <n v="11.8"/>
    <n v="33.809999999999995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6"/>
    <x v="173"/>
    <s v="BBQ678"/>
    <d v="2019-12-03T00:00:00"/>
    <s v="20100041953"/>
    <s v="RIMAC SEGUROS  Y REASEGUROS S.A"/>
    <s v="320001"/>
    <s v="REPUESTOS"/>
    <s v="000"/>
    <s v="001"/>
    <s v="CONTADO"/>
    <s v="002"/>
    <s v="MANTENIMIENTO-MECANICA"/>
    <s v="$"/>
    <n v="3.380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7"/>
    <x v="172"/>
    <s v="BFE603"/>
    <d v="2019-12-03T00:00:00"/>
    <s v="20509959766"/>
    <s v="RENTAEQUIPOS LEASING PERU S.A."/>
    <s v="310120"/>
    <s v="FRANQUICIA"/>
    <s v="000"/>
    <s v="001"/>
    <s v="CONTADO"/>
    <s v="002"/>
    <s v="MANTENIMIENTO-MECANICA"/>
    <s v="$"/>
    <n v="3.3809999999999998"/>
    <n v="1"/>
    <n v="100"/>
    <n v="100"/>
    <n v="18"/>
    <n v="118"/>
    <n v="338.09999999999997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8"/>
    <x v="171"/>
    <s v="BFE603"/>
    <d v="2019-12-03T00:00:00"/>
    <s v="20509959766"/>
    <s v="RENTAEQUIPOS LEASING PERU S.A."/>
    <s v="310120"/>
    <s v="FRANQUICIA"/>
    <s v="000"/>
    <s v="001"/>
    <s v="CONTADO"/>
    <s v="002"/>
    <s v="MANTENIMIENTO-MECANICA"/>
    <s v="$"/>
    <n v="3.3809999999999998"/>
    <n v="1"/>
    <n v="100"/>
    <n v="100"/>
    <n v="18"/>
    <n v="118"/>
    <n v="338.09999999999997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9"/>
    <x v="171"/>
    <s v="BFE603"/>
    <d v="2019-12-03T00:00:00"/>
    <s v="20100041953"/>
    <s v="RIMAC SEGUROS  Y REASEGUROS S.A"/>
    <s v="1302020001"/>
    <s v="PINTURA"/>
    <s v="000"/>
    <s v="001"/>
    <s v="CONTADO"/>
    <s v="009"/>
    <s v="PINTURA"/>
    <s v="$"/>
    <n v="3.3809999999999998"/>
    <n v="1"/>
    <n v="59"/>
    <n v="59"/>
    <n v="10.620002999999997"/>
    <n v="69.620002999999997"/>
    <n v="199.47899999999998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9"/>
    <x v="171"/>
    <s v="BFE603"/>
    <d v="2019-12-03T00:00:00"/>
    <s v="20100041953"/>
    <s v="RIMAC SEGUROS  Y REASEGUROS S.A"/>
    <s v="1201020001"/>
    <s v="PLANCHADO"/>
    <s v="000"/>
    <s v="001"/>
    <s v="CONTADO"/>
    <s v="001"/>
    <s v="PLANCHADO"/>
    <s v="$"/>
    <n v="3.3809999999999998"/>
    <n v="1"/>
    <n v="30"/>
    <n v="30"/>
    <n v="5.4000019999999997"/>
    <n v="35.400002000000001"/>
    <n v="101.42999999999999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9"/>
    <x v="171"/>
    <s v="BFE603"/>
    <d v="2019-12-03T00:00:00"/>
    <s v="20100041953"/>
    <s v="RIMAC SEGUROS  Y REASEGUROS S.A"/>
    <s v="2908010001"/>
    <s v="TERCEROS"/>
    <s v="000"/>
    <s v="001"/>
    <s v="CONTADO"/>
    <s v="002"/>
    <s v="MANTENIMIENTO-MECANICA"/>
    <s v="$"/>
    <n v="3.3809999999999998"/>
    <n v="1"/>
    <n v="30"/>
    <n v="30"/>
    <n v="5.4000019999999997"/>
    <n v="35.400002000000001"/>
    <n v="101.42999999999999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9"/>
    <x v="171"/>
    <s v="BFE603"/>
    <d v="2019-12-03T00:00:00"/>
    <s v="20100041953"/>
    <s v="RIMAC SEGUROS  Y REASEGUROS S.A"/>
    <s v="310120"/>
    <s v="FRANQUICIA"/>
    <s v="000"/>
    <s v="001"/>
    <s v="CONTADO"/>
    <s v="002"/>
    <s v="MANTENIMIENTO-MECANICA"/>
    <s v="$"/>
    <n v="3.3809999999999998"/>
    <n v="-1"/>
    <n v="100"/>
    <n v="-100"/>
    <n v="-18"/>
    <n v="-118"/>
    <n v="-338.09999999999997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89"/>
    <x v="171"/>
    <s v="BFE603"/>
    <d v="2019-12-03T00:00:00"/>
    <s v="20100041953"/>
    <s v="RIMAC SEGUROS  Y REASEGUROS S.A"/>
    <s v="320001"/>
    <s v="REPUESTOS"/>
    <s v="000"/>
    <s v="001"/>
    <s v="CONTADO"/>
    <s v="002"/>
    <s v="MANTENIMIENTO-MECANICA"/>
    <s v="$"/>
    <n v="3.380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90"/>
    <x v="172"/>
    <s v="BFE603"/>
    <d v="2019-12-03T00:00:00"/>
    <s v="20100041953"/>
    <s v="RIMAC SEGUROS  Y REASEGUROS S.A"/>
    <s v="1302020001"/>
    <s v="PINTURA"/>
    <s v="000"/>
    <s v="001"/>
    <s v="CONTADO"/>
    <s v="009"/>
    <s v="PINTURA"/>
    <s v="$"/>
    <n v="3.3809999999999998"/>
    <n v="1"/>
    <n v="118"/>
    <n v="118"/>
    <n v="21.240010000000019"/>
    <n v="139.24001000000001"/>
    <n v="398.95799999999997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90"/>
    <x v="172"/>
    <s v="BFE603"/>
    <d v="2019-12-03T00:00:00"/>
    <s v="20100041953"/>
    <s v="RIMAC SEGUROS  Y REASEGUROS S.A"/>
    <s v="1201020001"/>
    <s v="PLANCHADO"/>
    <s v="000"/>
    <s v="001"/>
    <s v="CONTADO"/>
    <s v="001"/>
    <s v="PLANCHADO"/>
    <s v="$"/>
    <n v="3.3809999999999998"/>
    <n v="1"/>
    <n v="75"/>
    <n v="75"/>
    <n v="13.5"/>
    <n v="88.5"/>
    <n v="253.57499999999999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90"/>
    <x v="172"/>
    <s v="BFE603"/>
    <d v="2019-12-03T00:00:00"/>
    <s v="20100041953"/>
    <s v="RIMAC SEGUROS  Y REASEGUROS S.A"/>
    <s v="310120"/>
    <s v="FRANQUICIA"/>
    <s v="000"/>
    <s v="001"/>
    <s v="CONTADO"/>
    <s v="002"/>
    <s v="MANTENIMIENTO-MECANICA"/>
    <s v="$"/>
    <n v="3.3809999999999998"/>
    <n v="-1"/>
    <n v="100"/>
    <n v="-100"/>
    <n v="-18"/>
    <n v="-118"/>
    <n v="-338.09999999999997"/>
    <m/>
    <m/>
    <m/>
    <m/>
    <m/>
    <m/>
    <m/>
    <m/>
    <m/>
    <m/>
    <m/>
    <m/>
    <m/>
    <m/>
    <m/>
    <m/>
    <m/>
    <m/>
    <m/>
    <m/>
    <m/>
    <m/>
    <m/>
    <m/>
  </r>
  <r>
    <x v="44"/>
    <s v="FAC"/>
    <s v="005"/>
    <s v="00000190"/>
    <x v="172"/>
    <s v="BFE603"/>
    <d v="2019-12-03T00:00:00"/>
    <s v="20100041953"/>
    <s v="RIMAC SEGUROS  Y REASEGUROS S.A"/>
    <s v="320001"/>
    <s v="REPUESTOS"/>
    <s v="000"/>
    <s v="001"/>
    <s v="CONTADO"/>
    <s v="002"/>
    <s v="MANTENIMIENTO-MECANICA"/>
    <s v="$"/>
    <n v="3.380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1"/>
    <x v="136"/>
    <s v="F6Q533"/>
    <d v="2019-10-28T00:00:00"/>
    <s v="20438563084"/>
    <s v="EDPYME ACCESO CREDITICIO SOCIEDAD ANONIMA"/>
    <s v="1302020001"/>
    <s v="PINTURA"/>
    <s v="000"/>
    <s v="001"/>
    <s v="CONTADO"/>
    <s v="009"/>
    <s v="PINTURA"/>
    <s v="S/."/>
    <n v="3.3800001000000002"/>
    <n v="1"/>
    <n v="1822.5"/>
    <n v="1822.5"/>
    <n v="328.05"/>
    <n v="2150.5500000000002"/>
    <n v="1822.5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1"/>
    <x v="136"/>
    <s v="F6Q533"/>
    <d v="2019-10-28T00:00:00"/>
    <s v="20438563084"/>
    <s v="EDPYME ACCESO CREDITICIO SOCIEDAD ANONIMA"/>
    <s v="1201020001"/>
    <s v="PLANCHADO"/>
    <s v="000"/>
    <s v="001"/>
    <s v="CONTADO"/>
    <s v="001"/>
    <s v="PLANCHADO"/>
    <s v="S/."/>
    <n v="3.3800001000000002"/>
    <n v="1"/>
    <n v="875"/>
    <n v="875"/>
    <n v="157.5"/>
    <n v="1032.5"/>
    <n v="875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1"/>
    <x v="136"/>
    <s v="F6Q533"/>
    <d v="2019-10-28T00:00:00"/>
    <s v="20438563084"/>
    <s v="EDPYME ACCESO CREDITICIO SOCIEDAD ANONIMA"/>
    <s v="2908010001"/>
    <s v="TERCEROS"/>
    <s v="000"/>
    <s v="001"/>
    <s v="CONTADO"/>
    <s v="002"/>
    <s v="MANTENIMIENTO-MECANICA"/>
    <s v="S/."/>
    <n v="3.3800001000000002"/>
    <n v="1"/>
    <n v="1185"/>
    <n v="1185"/>
    <n v="213.3"/>
    <n v="1398.3"/>
    <n v="1185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1"/>
    <x v="136"/>
    <s v="F6Q533"/>
    <d v="2019-10-28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800001000000002"/>
    <n v="1"/>
    <n v="1512"/>
    <n v="1512"/>
    <n v="272.16000000000003"/>
    <n v="1784.16"/>
    <n v="1512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1"/>
    <x v="136"/>
    <s v="F6Q533"/>
    <d v="2019-10-28T00:00:00"/>
    <s v="20438563084"/>
    <s v="EDPYME ACCESO CREDITICIO SOCIEDAD ANONIMA"/>
    <s v="2908010003"/>
    <s v="AMPLIACION REPUESTO"/>
    <s v="000"/>
    <s v="001"/>
    <s v="CONTADO"/>
    <s v="002"/>
    <s v="MANTENIMIENTO-MECANICA"/>
    <s v="S/."/>
    <n v="3.3800001000000002"/>
    <n v="1"/>
    <n v="110"/>
    <n v="110"/>
    <n v="19.8"/>
    <n v="129.80000000000001"/>
    <n v="110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1"/>
    <x v="136"/>
    <s v="F6Q533"/>
    <d v="2019-10-28T00:00:00"/>
    <s v="20438563084"/>
    <s v="EDPYME ACCESO CREDITICIO SOCIEDAD ANONIMA"/>
    <s v="2908010003"/>
    <s v="AMPLIACION PLANCHADO"/>
    <s v="000"/>
    <s v="001"/>
    <s v="CONTADO"/>
    <s v="002"/>
    <s v="MANTENIMIENTO-MECANICA"/>
    <s v="S/."/>
    <n v="3.3800001000000002"/>
    <n v="6"/>
    <n v="35"/>
    <n v="210"/>
    <n v="37.799993999999941"/>
    <n v="247.79999399999994"/>
    <n v="210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1"/>
    <x v="136"/>
    <s v="F6Q533"/>
    <d v="2019-10-28T00:00:00"/>
    <s v="20438563084"/>
    <s v="EDPYME ACCESO CREDITICIO SOCIEDAD ANONIMA"/>
    <s v="2908010003"/>
    <s v="REPARACION TERCEROS"/>
    <s v="000"/>
    <s v="001"/>
    <s v="CONTADO"/>
    <s v="002"/>
    <s v="MANTENIMIENTO-MECANICA"/>
    <s v="S/."/>
    <n v="3.3800001000000002"/>
    <n v="2"/>
    <n v="70"/>
    <n v="140"/>
    <n v="25.199995999999956"/>
    <n v="165.19999599999994"/>
    <n v="140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1"/>
    <x v="136"/>
    <s v="F6Q533"/>
    <d v="2019-10-28T00:00:00"/>
    <s v="20438563084"/>
    <s v="EDPYME ACCESO CREDITICIO SOCIEDAD ANONIMA"/>
    <s v="2805010001"/>
    <s v="SERVICIOS"/>
    <s v="000"/>
    <s v="001"/>
    <s v="CONTADO"/>
    <s v="002"/>
    <s v="MANTENIMIENTO-MECANICA"/>
    <s v="S/."/>
    <n v="3.3800001000000002"/>
    <n v="1"/>
    <n v="743.75420999999972"/>
    <n v="743.75420999999972"/>
    <n v="133.87579000000028"/>
    <n v="877.63"/>
    <n v="743.75420999999972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1"/>
    <x v="136"/>
    <s v="F6Q533"/>
    <d v="2019-10-28T00:00:00"/>
    <s v="20438563084"/>
    <s v="EDPYME ACCESO CREDITICIO SOCIEDAD ANONIMA"/>
    <s v="320001"/>
    <s v="REPUESTOS"/>
    <s v="000"/>
    <s v="001"/>
    <s v="CONTADO"/>
    <s v="002"/>
    <s v="MANTENIMIENTO-MECANICA"/>
    <s v="S/."/>
    <n v="3.3800001000000002"/>
    <n v="1"/>
    <n v="1607"/>
    <n v="1607"/>
    <n v="289.26"/>
    <n v="1896.26"/>
    <n v="1607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2"/>
    <x v="137"/>
    <s v="AMZ619"/>
    <d v="2019-11-06T00:00:00"/>
    <s v="20438563084"/>
    <s v="EDPYME ACCESO CREDITICIO SOCIEDAD ANONIMA"/>
    <s v="1302020001"/>
    <s v="PINTURA"/>
    <s v="000"/>
    <s v="001"/>
    <s v="CONTADO"/>
    <s v="009"/>
    <s v="PINTURA"/>
    <s v="S/."/>
    <n v="3.3800001000000002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2"/>
    <x v="137"/>
    <s v="AMZ619"/>
    <d v="2019-11-06T00:00:00"/>
    <s v="20438563084"/>
    <s v="EDPYME ACCESO CREDITICIO SOCIEDAD ANONIMA"/>
    <s v="1201020001"/>
    <s v="PLANCHADO"/>
    <s v="000"/>
    <s v="001"/>
    <s v="CONTADO"/>
    <s v="001"/>
    <s v="PLANCHADO"/>
    <s v="S/."/>
    <n v="3.3800001000000002"/>
    <n v="1"/>
    <n v="1575"/>
    <n v="1575"/>
    <n v="283.5"/>
    <n v="1858.5"/>
    <n v="1575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2"/>
    <x v="137"/>
    <s v="AMZ619"/>
    <d v="2019-11-06T00:00:00"/>
    <s v="20438563084"/>
    <s v="EDPYME ACCESO CREDITICIO SOCIEDAD ANONIMA"/>
    <s v="2908010001"/>
    <s v="TERCEROS"/>
    <s v="000"/>
    <s v="001"/>
    <s v="CONTADO"/>
    <s v="002"/>
    <s v="MANTENIMIENTO-MECANICA"/>
    <s v="S/."/>
    <n v="3.3800001000000002"/>
    <n v="1"/>
    <n v="890"/>
    <n v="890"/>
    <n v="160.19999999999999"/>
    <n v="1050.2"/>
    <n v="890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2"/>
    <x v="137"/>
    <s v="AMZ619"/>
    <d v="2019-11-06T00:00:00"/>
    <s v="20438563084"/>
    <s v="EDPYME ACCESO CREDITICIO SOCIEDAD ANONIMA"/>
    <s v="2908010002"/>
    <s v="AMPLIACION RESPUESTO"/>
    <s v="000"/>
    <s v="001"/>
    <s v="CONTADO"/>
    <s v="002"/>
    <s v="MANTENIMIENTO-MECANICA"/>
    <s v="S/."/>
    <n v="3.3800001000000002"/>
    <n v="1"/>
    <n v="730"/>
    <n v="730"/>
    <n v="131.40002000000021"/>
    <n v="861.40002000000027"/>
    <n v="730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2"/>
    <x v="137"/>
    <s v="AMZ619"/>
    <d v="2019-11-06T00:00:00"/>
    <s v="20438563084"/>
    <s v="EDPYME ACCESO CREDITICIO SOCIEDAD ANONIMA"/>
    <s v="2805010001"/>
    <s v="SERVICIOS"/>
    <s v="000"/>
    <s v="001"/>
    <s v="CONTADO"/>
    <s v="002"/>
    <s v="MANTENIMIENTO-MECANICA"/>
    <s v="S/."/>
    <n v="3.3800001000000002"/>
    <n v="1"/>
    <n v="848.75420999999972"/>
    <n v="848.75420999999972"/>
    <n v="152.77579000000026"/>
    <n v="1001.53"/>
    <n v="848.75420999999972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2"/>
    <x v="137"/>
    <s v="AMZ619"/>
    <d v="2019-11-06T00:00:00"/>
    <s v="20438563084"/>
    <s v="EDPYME ACCESO CREDITICIO SOCIEDAD ANONIMA"/>
    <s v="320001"/>
    <s v="REPUESTOS"/>
    <s v="000"/>
    <s v="001"/>
    <s v="CONTADO"/>
    <s v="002"/>
    <s v="MANTENIMIENTO-MECANICA"/>
    <s v="S/."/>
    <n v="3.3800001000000002"/>
    <n v="1"/>
    <n v="3057"/>
    <n v="3057"/>
    <n v="550.26"/>
    <n v="3607.26"/>
    <n v="3057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3"/>
    <x v="135"/>
    <s v="ANB605"/>
    <d v="2019-11-08T00:00:00"/>
    <s v="20438563084"/>
    <s v="EDPYME ACCESO CREDITICIO SOCIEDAD ANONIMA"/>
    <s v="1302020001"/>
    <s v="PINTURA"/>
    <s v="000"/>
    <s v="001"/>
    <s v="CONTADO"/>
    <s v="009"/>
    <s v="PINTURA"/>
    <s v="S/."/>
    <n v="3.3800001000000002"/>
    <n v="1"/>
    <n v="2565"/>
    <n v="2565"/>
    <n v="461.7"/>
    <n v="3026.7"/>
    <n v="2565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3"/>
    <x v="135"/>
    <s v="ANB605"/>
    <d v="2019-11-08T00:00:00"/>
    <s v="20438563084"/>
    <s v="EDPYME ACCESO CREDITICIO SOCIEDAD ANONIMA"/>
    <s v="1201020001"/>
    <s v="PLANCHADO"/>
    <s v="000"/>
    <s v="001"/>
    <s v="CONTADO"/>
    <s v="001"/>
    <s v="PLANCHADO"/>
    <s v="S/."/>
    <n v="3.3800001000000002"/>
    <n v="1"/>
    <n v="1960"/>
    <n v="1960"/>
    <n v="352.8"/>
    <n v="2312.8000000000002"/>
    <n v="1960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3"/>
    <x v="135"/>
    <s v="ANB605"/>
    <d v="2019-11-08T00:00:00"/>
    <s v="20438563084"/>
    <s v="EDPYME ACCESO CREDITICIO SOCIEDAD ANONIMA"/>
    <s v="2908010001"/>
    <s v="TERCEROS"/>
    <s v="000"/>
    <s v="001"/>
    <s v="CONTADO"/>
    <s v="002"/>
    <s v="MANTENIMIENTO-MECANICA"/>
    <s v="S/."/>
    <n v="3.3800001000000002"/>
    <n v="1"/>
    <n v="985"/>
    <n v="985"/>
    <n v="177.3"/>
    <n v="1162.3"/>
    <n v="985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3"/>
    <x v="135"/>
    <s v="ANB605"/>
    <d v="2019-11-08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800001000000002"/>
    <n v="1"/>
    <n v="3070"/>
    <n v="3070"/>
    <n v="552.60010000000011"/>
    <n v="3622.6001000000001"/>
    <n v="3070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3"/>
    <x v="135"/>
    <s v="ANB605"/>
    <d v="2019-11-08T00:00:00"/>
    <s v="20438563084"/>
    <s v="EDPYME ACCESO CREDITICIO SOCIEDAD ANONIMA"/>
    <s v="2908010003"/>
    <s v="REPARACION CONCENTRADOR"/>
    <s v="000"/>
    <s v="001"/>
    <s v="CONTADO"/>
    <s v="002"/>
    <s v="MANTENIMIENTO-MECANICA"/>
    <s v="S/."/>
    <n v="3.3800001000000002"/>
    <n v="1"/>
    <n v="70"/>
    <n v="70"/>
    <n v="12.599997999999978"/>
    <n v="82.599997999999971"/>
    <n v="70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3"/>
    <x v="135"/>
    <s v="ANB605"/>
    <d v="2019-11-08T00:00:00"/>
    <s v="20438563084"/>
    <s v="EDPYME ACCESO CREDITICIO SOCIEDAD ANONIMA"/>
    <s v="2805010001"/>
    <s v="SERVICIOS"/>
    <s v="000"/>
    <s v="001"/>
    <s v="CONTADO"/>
    <s v="002"/>
    <s v="MANTENIMIENTO-MECANICA"/>
    <s v="S/."/>
    <n v="3.3800001000000002"/>
    <n v="1"/>
    <n v="673.75420999999972"/>
    <n v="673.75420999999972"/>
    <n v="121.27582000000038"/>
    <n v="795.03003000000012"/>
    <n v="673.75420999999972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3"/>
    <x v="135"/>
    <s v="ANB605"/>
    <d v="2019-11-08T00:00:00"/>
    <s v="20438563084"/>
    <s v="EDPYME ACCESO CREDITICIO SOCIEDAD ANONIMA"/>
    <s v="320001"/>
    <s v="REPUESTOS"/>
    <s v="000"/>
    <s v="001"/>
    <s v="CONTADO"/>
    <s v="002"/>
    <s v="MANTENIMIENTO-MECANICA"/>
    <s v="S/."/>
    <n v="3.3800001000000002"/>
    <n v="1"/>
    <n v="1967"/>
    <n v="1967"/>
    <n v="354.06010000000009"/>
    <n v="2321.0601000000001"/>
    <n v="1967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4"/>
    <x v="174"/>
    <s v="AYK320"/>
    <d v="2019-12-02T00:00:00"/>
    <s v="20100041953"/>
    <s v="RIMAC SEGUROS  Y REASEGUROS S.A"/>
    <s v="1302020001"/>
    <s v="PINTURA"/>
    <s v="000"/>
    <s v="001"/>
    <s v="CONTADO"/>
    <s v="009"/>
    <s v="PINTURA"/>
    <s v="$"/>
    <n v="3.3800001000000002"/>
    <n v="1"/>
    <n v="88.5"/>
    <n v="88.5"/>
    <n v="15.93"/>
    <n v="104.43"/>
    <n v="299.13000885000002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4"/>
    <x v="174"/>
    <s v="AYK320"/>
    <d v="2019-12-02T00:00:00"/>
    <s v="20100041953"/>
    <s v="RIMAC SEGUROS  Y REASEGUROS S.A"/>
    <s v="1201020001"/>
    <s v="PLANCHADO"/>
    <s v="000"/>
    <s v="001"/>
    <s v="CONTADO"/>
    <s v="001"/>
    <s v="PLANCHADO"/>
    <s v="$"/>
    <n v="3.3800001000000002"/>
    <n v="1"/>
    <n v="105"/>
    <n v="105"/>
    <n v="18.899999999999999"/>
    <n v="123.9"/>
    <n v="354.90001050000001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4"/>
    <x v="174"/>
    <s v="AYK320"/>
    <d v="2019-12-02T00:00:00"/>
    <s v="20100041953"/>
    <s v="RIMAC SEGUROS  Y REASEGUROS S.A"/>
    <s v="310120"/>
    <s v="FRANQUICIA"/>
    <s v="000"/>
    <s v="001"/>
    <s v="CONTADO"/>
    <s v="002"/>
    <s v="MANTENIMIENTO-MECANICA"/>
    <s v="$"/>
    <n v="3.3800001000000002"/>
    <n v="-1"/>
    <n v="100"/>
    <n v="-100"/>
    <n v="-18"/>
    <n v="-118"/>
    <n v="-338.00001000000003"/>
    <m/>
    <m/>
    <m/>
    <m/>
    <m/>
    <m/>
    <m/>
    <m/>
    <m/>
    <m/>
    <m/>
    <m/>
    <m/>
    <m/>
    <m/>
    <m/>
    <m/>
    <m/>
    <m/>
    <m/>
    <m/>
    <m/>
    <m/>
    <m/>
  </r>
  <r>
    <x v="45"/>
    <s v="FAC"/>
    <s v="005"/>
    <s v="00000194"/>
    <x v="174"/>
    <s v="AYK320"/>
    <d v="2019-12-02T00:00:00"/>
    <s v="20100041953"/>
    <s v="RIMAC SEGUROS  Y REASEGUROS S.A"/>
    <s v="320001"/>
    <s v="REPUESTOS"/>
    <s v="000"/>
    <s v="001"/>
    <s v="CONTADO"/>
    <s v="002"/>
    <s v="MANTENIMIENTO-MECANICA"/>
    <s v="$"/>
    <n v="3.380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197"/>
    <x v="175"/>
    <s v="AWG333"/>
    <d v="2019-10-22T00:00:00"/>
    <s v="20438563084"/>
    <s v="EDPYME ACCESO CREDITICIO SOCIEDAD ANONIMA"/>
    <s v="1302020001"/>
    <s v="PINTURA"/>
    <s v="000"/>
    <s v="001"/>
    <s v="CONTADO"/>
    <s v="009"/>
    <s v="PINTURA"/>
    <s v="S/."/>
    <n v="3.391"/>
    <n v="1"/>
    <n v="2565"/>
    <n v="2565"/>
    <n v="461.7"/>
    <n v="3026.7"/>
    <n v="2565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197"/>
    <x v="175"/>
    <s v="AWG333"/>
    <d v="2019-10-22T00:00:00"/>
    <s v="20438563084"/>
    <s v="EDPYME ACCESO CREDITICIO SOCIEDAD ANONIMA"/>
    <s v="1201020001"/>
    <s v="PLANCHADO"/>
    <s v="000"/>
    <s v="001"/>
    <s v="CONTADO"/>
    <s v="001"/>
    <s v="PLANCHADO"/>
    <s v="S/."/>
    <n v="3.391"/>
    <n v="1"/>
    <n v="1417.5"/>
    <n v="1417.5"/>
    <n v="255.15"/>
    <n v="1672.65"/>
    <n v="1417.5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197"/>
    <x v="175"/>
    <s v="AWG333"/>
    <d v="2019-10-22T00:00:00"/>
    <s v="20438563084"/>
    <s v="EDPYME ACCESO CREDITICIO SOCIEDAD ANONIMA"/>
    <s v="2908010001"/>
    <s v="TERCEROS"/>
    <s v="000"/>
    <s v="001"/>
    <s v="CONTADO"/>
    <s v="002"/>
    <s v="MANTENIMIENTO-MECANICA"/>
    <s v="S/."/>
    <n v="3.391"/>
    <n v="1"/>
    <n v="930"/>
    <n v="930"/>
    <n v="167.4"/>
    <n v="1097.4000000000001"/>
    <n v="930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197"/>
    <x v="175"/>
    <s v="AWG333"/>
    <d v="2019-10-22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91"/>
    <n v="1"/>
    <n v="166"/>
    <n v="166"/>
    <n v="29.88"/>
    <n v="195.88"/>
    <n v="166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197"/>
    <x v="175"/>
    <s v="AWG333"/>
    <d v="2019-10-22T00:00:00"/>
    <s v="20438563084"/>
    <s v="EDPYME ACCESO CREDITICIO SOCIEDAD ANONIMA"/>
    <s v="2805010001"/>
    <s v="SERVICIOS"/>
    <s v="000"/>
    <s v="001"/>
    <s v="CONTADO"/>
    <s v="002"/>
    <s v="MANTENIMIENTO-MECANICA"/>
    <s v="S/."/>
    <n v="3.391"/>
    <n v="1"/>
    <n v="603.75420999999994"/>
    <n v="603.75420999999994"/>
    <n v="108.67578000000002"/>
    <n v="712.42998999999998"/>
    <n v="603.75420999999994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197"/>
    <x v="175"/>
    <s v="AWG333"/>
    <d v="2019-10-22T00:00:00"/>
    <s v="20438563084"/>
    <s v="EDPYME ACCESO CREDITICIO SOCIEDAD ANONIMA"/>
    <s v="320001"/>
    <s v="REPUESTOS"/>
    <s v="000"/>
    <s v="001"/>
    <s v="CONTADO"/>
    <s v="002"/>
    <s v="MANTENIMIENTO-MECANICA"/>
    <s v="S/."/>
    <n v="3.391"/>
    <n v="1"/>
    <n v="3044"/>
    <n v="3044"/>
    <n v="547.91989999999987"/>
    <n v="3591.9198999999999"/>
    <n v="3044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198"/>
    <x v="176"/>
    <s v="F4T034"/>
    <d v="2019-11-22T00:00:00"/>
    <s v="20438563084"/>
    <s v="EDPYME ACCESO CREDITICIO SOCIEDAD ANONIMA"/>
    <s v="1302020001"/>
    <s v="PINTURA"/>
    <s v="000"/>
    <s v="001"/>
    <s v="CONTADO"/>
    <s v="009"/>
    <s v="PINTURA"/>
    <s v="S/."/>
    <n v="3.391"/>
    <n v="1"/>
    <n v="2835"/>
    <n v="2835"/>
    <n v="510.3"/>
    <n v="3345.3"/>
    <n v="2835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198"/>
    <x v="176"/>
    <s v="F4T034"/>
    <d v="2019-11-22T00:00:00"/>
    <s v="20438563084"/>
    <s v="EDPYME ACCESO CREDITICIO SOCIEDAD ANONIMA"/>
    <s v="1201020001"/>
    <s v="PLANCHADO"/>
    <s v="000"/>
    <s v="001"/>
    <s v="CONTADO"/>
    <s v="001"/>
    <s v="PLANCHADO"/>
    <s v="S/."/>
    <n v="3.391"/>
    <n v="1"/>
    <n v="1540"/>
    <n v="1540"/>
    <n v="277.2"/>
    <n v="1817.2"/>
    <n v="1540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198"/>
    <x v="176"/>
    <s v="F4T034"/>
    <d v="2019-11-22T00:00:00"/>
    <s v="20438563084"/>
    <s v="EDPYME ACCESO CREDITICIO SOCIEDAD ANONIMA"/>
    <s v="2908010001"/>
    <s v="TERCEROS"/>
    <s v="000"/>
    <s v="001"/>
    <s v="CONTADO"/>
    <s v="002"/>
    <s v="MANTENIMIENTO-MECANICA"/>
    <s v="S/."/>
    <n v="3.391"/>
    <n v="1"/>
    <n v="1180"/>
    <n v="1180"/>
    <n v="212.4"/>
    <n v="1392.4"/>
    <n v="1180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198"/>
    <x v="176"/>
    <s v="F4T034"/>
    <d v="2019-11-22T00:00:00"/>
    <s v="20438563084"/>
    <s v="EDPYME ACCESO CREDITICIO SOCIEDAD ANONIMA"/>
    <s v="2908010002"/>
    <s v="AMPLIACION MECANICA"/>
    <s v="000"/>
    <s v="001"/>
    <s v="CONTADO"/>
    <s v="002"/>
    <s v="MANTENIMIENTO-MECANICA"/>
    <s v="S/."/>
    <n v="3.391"/>
    <n v="1"/>
    <n v="3571"/>
    <n v="3571"/>
    <n v="642.7797999999998"/>
    <n v="4213.7798000000003"/>
    <n v="3571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198"/>
    <x v="176"/>
    <s v="F4T034"/>
    <d v="2019-11-22T00:00:00"/>
    <s v="20438563084"/>
    <s v="EDPYME ACCESO CREDITICIO SOCIEDAD ANONIMA"/>
    <s v="2805010001"/>
    <s v="SERVICIOS"/>
    <s v="000"/>
    <s v="001"/>
    <s v="CONTADO"/>
    <s v="002"/>
    <s v="MANTENIMIENTO-MECANICA"/>
    <s v="S/."/>
    <n v="3.391"/>
    <n v="1"/>
    <n v="813.75420999999972"/>
    <n v="813.75420999999972"/>
    <n v="146.47577000000035"/>
    <n v="960.22998000000007"/>
    <n v="813.75420999999972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198"/>
    <x v="176"/>
    <s v="F4T034"/>
    <d v="2019-11-22T00:00:00"/>
    <s v="20438563084"/>
    <s v="EDPYME ACCESO CREDITICIO SOCIEDAD ANONIMA"/>
    <s v="320001"/>
    <s v="REPUESTOS"/>
    <s v="000"/>
    <s v="001"/>
    <s v="CONTADO"/>
    <s v="002"/>
    <s v="MANTENIMIENTO-MECANICA"/>
    <s v="S/."/>
    <n v="3.391"/>
    <n v="1"/>
    <n v="2777"/>
    <n v="2777"/>
    <n v="499.8601000000001"/>
    <n v="3276.8600999999999"/>
    <n v="2777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201"/>
    <x v="177"/>
    <s v="ADG324"/>
    <d v="2019-12-04T00:00:00"/>
    <s v="20547583168"/>
    <s v="AUTOCLASS S.A.C."/>
    <s v="2908010001"/>
    <s v="TERCEROS"/>
    <s v="000"/>
    <s v="001"/>
    <s v="CONTADO"/>
    <s v="002"/>
    <s v="MANTENIMIENTO-MECANICA"/>
    <s v="S/."/>
    <n v="3.391"/>
    <n v="1"/>
    <n v="205"/>
    <n v="205"/>
    <n v="36.89998999999996"/>
    <n v="241.89998999999997"/>
    <n v="205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201"/>
    <x v="177"/>
    <s v="ADG324"/>
    <d v="2019-12-04T00:00:00"/>
    <s v="20547583168"/>
    <s v="AUTOCLASS S.A.C."/>
    <s v="2805010001"/>
    <s v="SERVICIOS"/>
    <s v="000"/>
    <s v="001"/>
    <s v="CONTADO"/>
    <s v="002"/>
    <s v="MANTENIMIENTO-MECANICA"/>
    <s v="S/."/>
    <n v="3.391"/>
    <n v="1"/>
    <n v="280"/>
    <n v="280"/>
    <n v="50.399990000000031"/>
    <n v="330.39999000000006"/>
    <n v="280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201"/>
    <x v="177"/>
    <s v="ADG324"/>
    <d v="2019-12-04T00:00:00"/>
    <s v="20547583168"/>
    <s v="AUTOCLASS S.A.C."/>
    <s v="320001"/>
    <s v="REPUESTOS"/>
    <s v="000"/>
    <s v="001"/>
    <s v="CONTADO"/>
    <s v="002"/>
    <s v="MANTENIMIENTO-MECANICA"/>
    <s v="S/."/>
    <n v="3.391"/>
    <n v="1"/>
    <n v="2031"/>
    <n v="2031"/>
    <n v="365.58010000000007"/>
    <n v="2396.5801000000001"/>
    <n v="2031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202"/>
    <x v="178"/>
    <s v="ADG324"/>
    <d v="2019-10-28T00:00:00"/>
    <s v="20547583168"/>
    <s v="AUTOCLASS S.A.C."/>
    <s v="1302020001"/>
    <s v="PINTURA"/>
    <s v="000"/>
    <s v="001"/>
    <s v="CONTADO"/>
    <s v="009"/>
    <s v="PINTURA"/>
    <s v="S/."/>
    <n v="3.391"/>
    <n v="1"/>
    <n v="2430"/>
    <n v="2430"/>
    <n v="437.39989999999989"/>
    <n v="2867.3998999999999"/>
    <n v="2430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202"/>
    <x v="178"/>
    <s v="ADG324"/>
    <d v="2019-10-28T00:00:00"/>
    <s v="20547583168"/>
    <s v="AUTOCLASS S.A.C."/>
    <s v="1201020001"/>
    <s v="PLANCHADO"/>
    <s v="000"/>
    <s v="001"/>
    <s v="CONTADO"/>
    <s v="001"/>
    <s v="PLANCHADO"/>
    <s v="S/."/>
    <n v="3.391"/>
    <n v="1"/>
    <n v="1715"/>
    <n v="1715"/>
    <n v="308.7"/>
    <n v="2023.7"/>
    <n v="1715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202"/>
    <x v="178"/>
    <s v="ADG324"/>
    <d v="2019-10-28T00:00:00"/>
    <s v="20547583168"/>
    <s v="AUTOCLASS S.A.C."/>
    <s v="2908010001"/>
    <s v="TERCEROS"/>
    <s v="000"/>
    <s v="001"/>
    <s v="CONTADO"/>
    <s v="002"/>
    <s v="MANTENIMIENTO-MECANICA"/>
    <s v="S/."/>
    <n v="3.391"/>
    <n v="1"/>
    <n v="975"/>
    <n v="975"/>
    <n v="175.5"/>
    <n v="1150.5"/>
    <n v="975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202"/>
    <x v="178"/>
    <s v="ADG324"/>
    <d v="2019-10-28T00:00:00"/>
    <s v="20547583168"/>
    <s v="AUTOCLASS S.A.C."/>
    <s v="2908010002"/>
    <s v="AMPLIACION REPUESTOS"/>
    <s v="000"/>
    <s v="001"/>
    <s v="CONTADO"/>
    <s v="002"/>
    <s v="MANTENIMIENTO-MECANICA"/>
    <s v="S/."/>
    <n v="3.391"/>
    <n v="1"/>
    <n v="1825"/>
    <n v="1825"/>
    <n v="328.5"/>
    <n v="2153.5"/>
    <n v="1825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202"/>
    <x v="178"/>
    <s v="ADG324"/>
    <d v="2019-10-28T00:00:00"/>
    <s v="20547583168"/>
    <s v="AUTOCLASS S.A.C."/>
    <s v="2805010001"/>
    <s v="SERVICIOS"/>
    <s v="000"/>
    <s v="001"/>
    <s v="CONTADO"/>
    <s v="002"/>
    <s v="MANTENIMIENTO-MECANICA"/>
    <s v="S/."/>
    <n v="3.391"/>
    <n v="1"/>
    <n v="498.75421"/>
    <n v="498.75421"/>
    <n v="89.775819999999953"/>
    <n v="588.53003000000001"/>
    <n v="498.75421"/>
    <m/>
    <m/>
    <m/>
    <m/>
    <m/>
    <m/>
    <m/>
    <m/>
    <m/>
    <m/>
    <m/>
    <m/>
    <m/>
    <m/>
    <m/>
    <m/>
    <m/>
    <m/>
    <m/>
    <m/>
    <m/>
    <m/>
    <m/>
    <m/>
  </r>
  <r>
    <x v="46"/>
    <s v="FAC"/>
    <s v="005"/>
    <s v="00000202"/>
    <x v="178"/>
    <s v="ADG324"/>
    <d v="2019-10-28T00:00:00"/>
    <s v="20547583168"/>
    <s v="AUTOCLASS S.A.C."/>
    <s v="320001"/>
    <s v="REPUESTOS"/>
    <s v="000"/>
    <s v="001"/>
    <s v="CONTADO"/>
    <s v="002"/>
    <s v="MANTENIMIENTO-MECANICA"/>
    <s v="S/."/>
    <n v="3.391"/>
    <n v="1"/>
    <n v="3601"/>
    <n v="3601"/>
    <n v="648.18019999999956"/>
    <n v="4249.1801999999998"/>
    <n v="3601"/>
    <m/>
    <m/>
    <m/>
    <m/>
    <m/>
    <m/>
    <m/>
    <m/>
    <m/>
    <m/>
    <m/>
    <m/>
    <m/>
    <m/>
    <m/>
    <m/>
    <m/>
    <m/>
    <m/>
    <m/>
    <m/>
    <m/>
    <m/>
    <m/>
  </r>
  <r>
    <x v="47"/>
    <s v="FAC"/>
    <s v="005"/>
    <s v="00000203"/>
    <x v="179"/>
    <s v="EGH498"/>
    <d v="2019-12-05T00:00:00"/>
    <s v="20100041953"/>
    <s v="RIMAC SEGUROS  Y REASEGUROS S.A"/>
    <s v="1302020001"/>
    <s v="PINTURA"/>
    <s v="000"/>
    <s v="001"/>
    <s v="CONTADO"/>
    <s v="009"/>
    <s v="PINTURA"/>
    <s v="$"/>
    <n v="3.3929999"/>
    <n v="1"/>
    <n v="118"/>
    <n v="118"/>
    <n v="21.240010000000019"/>
    <n v="139.24001000000001"/>
    <n v="400.37398819999999"/>
    <m/>
    <m/>
    <m/>
    <m/>
    <m/>
    <m/>
    <m/>
    <m/>
    <m/>
    <m/>
    <m/>
    <m/>
    <m/>
    <m/>
    <m/>
    <m/>
    <m/>
    <m/>
    <m/>
    <m/>
    <m/>
    <m/>
    <m/>
    <m/>
  </r>
  <r>
    <x v="47"/>
    <s v="FAC"/>
    <s v="005"/>
    <s v="00000203"/>
    <x v="179"/>
    <s v="EGH498"/>
    <d v="2019-12-05T00:00:00"/>
    <s v="20100041953"/>
    <s v="RIMAC SEGUROS  Y REASEGUROS S.A"/>
    <s v="1201020001"/>
    <s v="PLANCHADO"/>
    <s v="000"/>
    <s v="001"/>
    <s v="CONTADO"/>
    <s v="001"/>
    <s v="PLANCHADO"/>
    <s v="$"/>
    <n v="3.3929999"/>
    <n v="1"/>
    <n v="180"/>
    <n v="180"/>
    <n v="32.39998999999996"/>
    <n v="212.39998999999997"/>
    <n v="610.73998199999994"/>
    <m/>
    <m/>
    <m/>
    <m/>
    <m/>
    <m/>
    <m/>
    <m/>
    <m/>
    <m/>
    <m/>
    <m/>
    <m/>
    <m/>
    <m/>
    <m/>
    <m/>
    <m/>
    <m/>
    <m/>
    <m/>
    <m/>
    <m/>
    <m/>
  </r>
  <r>
    <x v="48"/>
    <s v="FAC"/>
    <s v="005"/>
    <s v="00000205"/>
    <x v="180"/>
    <s v="AWP639"/>
    <d v="2019-11-29T00:00:00"/>
    <s v="20509959766"/>
    <s v="RENTAEQUIPOS LEASING PERU S.A."/>
    <s v="310120"/>
    <s v="FRANQUICIA"/>
    <s v="000"/>
    <s v="001"/>
    <s v="CONTADO"/>
    <s v="002"/>
    <s v="MANTENIMIENTO-MECANICA"/>
    <s v="$"/>
    <n v="3.3929999"/>
    <n v="1"/>
    <n v="100"/>
    <n v="100"/>
    <n v="18"/>
    <n v="118"/>
    <n v="339.29998999999998"/>
    <m/>
    <m/>
    <m/>
    <m/>
    <m/>
    <m/>
    <m/>
    <m/>
    <m/>
    <m/>
    <m/>
    <m/>
    <m/>
    <m/>
    <m/>
    <m/>
    <m/>
    <m/>
    <m/>
    <m/>
    <m/>
    <m/>
    <m/>
    <m/>
  </r>
  <r>
    <x v="48"/>
    <s v="FAC"/>
    <s v="005"/>
    <s v="00000206"/>
    <x v="180"/>
    <s v="AWP639"/>
    <d v="2019-11-29T00:00:00"/>
    <s v="20100041953"/>
    <s v="RIMAC SEGUROS  Y REASEGUROS S.A"/>
    <s v="1302020001"/>
    <s v="PINTURA"/>
    <s v="000"/>
    <s v="001"/>
    <s v="CONTADO"/>
    <s v="009"/>
    <s v="PINTURA"/>
    <s v="$"/>
    <n v="3.3929999"/>
    <n v="1"/>
    <n v="118"/>
    <n v="118"/>
    <n v="21.240010000000019"/>
    <n v="139.24001000000001"/>
    <n v="400.37398819999999"/>
    <m/>
    <m/>
    <m/>
    <m/>
    <m/>
    <m/>
    <m/>
    <m/>
    <m/>
    <m/>
    <m/>
    <m/>
    <m/>
    <m/>
    <m/>
    <m/>
    <m/>
    <m/>
    <m/>
    <m/>
    <m/>
    <m/>
    <m/>
    <m/>
  </r>
  <r>
    <x v="48"/>
    <s v="FAC"/>
    <s v="005"/>
    <s v="00000206"/>
    <x v="180"/>
    <s v="AWP639"/>
    <d v="2019-11-29T00:00:00"/>
    <s v="20100041953"/>
    <s v="RIMAC SEGUROS  Y REASEGUROS S.A"/>
    <s v="1201020001"/>
    <s v="PLANCHADO"/>
    <s v="000"/>
    <s v="001"/>
    <s v="CONTADO"/>
    <s v="001"/>
    <s v="PLANCHADO"/>
    <s v="$"/>
    <n v="3.3929999"/>
    <n v="1"/>
    <n v="165"/>
    <n v="165"/>
    <n v="29.7"/>
    <n v="194.7"/>
    <n v="559.84498350000001"/>
    <m/>
    <m/>
    <m/>
    <m/>
    <m/>
    <m/>
    <m/>
    <m/>
    <m/>
    <m/>
    <m/>
    <m/>
    <m/>
    <m/>
    <m/>
    <m/>
    <m/>
    <m/>
    <m/>
    <m/>
    <m/>
    <m/>
    <m/>
    <m/>
  </r>
  <r>
    <x v="48"/>
    <s v="FAC"/>
    <s v="005"/>
    <s v="00000206"/>
    <x v="180"/>
    <s v="AWP639"/>
    <d v="2019-11-29T00:00:00"/>
    <s v="20100041953"/>
    <s v="RIMAC SEGUROS  Y REASEGUROS S.A"/>
    <s v="310120"/>
    <s v="FRANQUICIA"/>
    <s v="000"/>
    <s v="001"/>
    <s v="CONTADO"/>
    <s v="002"/>
    <s v="MANTENIMIENTO-MECANICA"/>
    <s v="$"/>
    <n v="3.3929999"/>
    <n v="-1"/>
    <n v="100"/>
    <n v="-100"/>
    <n v="-18"/>
    <n v="-118"/>
    <n v="-339.29998999999998"/>
    <m/>
    <m/>
    <m/>
    <m/>
    <m/>
    <m/>
    <m/>
    <m/>
    <m/>
    <m/>
    <m/>
    <m/>
    <m/>
    <m/>
    <m/>
    <m/>
    <m/>
    <m/>
    <m/>
    <m/>
    <m/>
    <m/>
    <m/>
    <m/>
  </r>
  <r>
    <x v="48"/>
    <s v="FAC"/>
    <s v="005"/>
    <s v="00000206"/>
    <x v="180"/>
    <s v="AWP639"/>
    <d v="2019-11-29T00:00:00"/>
    <s v="20100041953"/>
    <s v="RIMAC SEGUROS  Y REASEGUROS S.A"/>
    <s v="320001"/>
    <s v="REPUESTOS"/>
    <s v="000"/>
    <s v="001"/>
    <s v="CONTADO"/>
    <s v="002"/>
    <s v="MANTENIMIENTO-MECANICA"/>
    <s v="$"/>
    <n v="3.392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9"/>
    <s v="FAC"/>
    <s v="005"/>
    <s v="00000207"/>
    <x v="181"/>
    <s v="F4J046"/>
    <d v="2019-12-02T00:00:00"/>
    <s v="20604455066"/>
    <s v="CORPORACION MINERA PALOMA S.A.C."/>
    <s v="310120"/>
    <s v="FRANQUICIA"/>
    <s v="000"/>
    <s v="001"/>
    <s v="CONTADO"/>
    <s v="002"/>
    <s v="MANTENIMIENTO-MECANICA"/>
    <s v="$"/>
    <n v="3.3729998999999999"/>
    <n v="1"/>
    <n v="126.17800000000001"/>
    <n v="126.178"/>
    <n v="22.711999999999971"/>
    <n v="148.88999999999999"/>
    <n v="425.59838138219999"/>
    <m/>
    <m/>
    <m/>
    <m/>
    <m/>
    <m/>
    <m/>
    <m/>
    <m/>
    <m/>
    <m/>
    <m/>
    <m/>
    <m/>
    <m/>
    <m/>
    <m/>
    <m/>
    <m/>
    <m/>
    <m/>
    <m/>
    <m/>
    <m/>
  </r>
  <r>
    <x v="49"/>
    <s v="FAC"/>
    <s v="005"/>
    <s v="00000208"/>
    <x v="181"/>
    <s v="F4J046"/>
    <d v="2019-12-02T00:00:00"/>
    <s v="20100041953"/>
    <s v="RIMAC SEGUROS  Y REASEGUROS S.A"/>
    <s v="1302020001"/>
    <s v="PINTURA"/>
    <s v="000"/>
    <s v="001"/>
    <s v="CONTADO"/>
    <s v="009"/>
    <s v="PINTURA"/>
    <s v="$"/>
    <n v="3.3729998999999999"/>
    <n v="1"/>
    <n v="324.5"/>
    <n v="324.5"/>
    <n v="58.41"/>
    <n v="382.91"/>
    <n v="1094.53846755"/>
    <m/>
    <m/>
    <m/>
    <m/>
    <m/>
    <m/>
    <m/>
    <m/>
    <m/>
    <m/>
    <m/>
    <m/>
    <m/>
    <m/>
    <m/>
    <m/>
    <m/>
    <m/>
    <m/>
    <m/>
    <m/>
    <m/>
    <m/>
    <m/>
  </r>
  <r>
    <x v="49"/>
    <s v="FAC"/>
    <s v="005"/>
    <s v="00000208"/>
    <x v="181"/>
    <s v="F4J046"/>
    <d v="2019-12-02T00:00:00"/>
    <s v="20100041953"/>
    <s v="RIMAC SEGUROS  Y REASEGUROS S.A"/>
    <s v="1201020001"/>
    <s v="PLANCHADO"/>
    <s v="000"/>
    <s v="001"/>
    <s v="CONTADO"/>
    <s v="001"/>
    <s v="PLANCHADO"/>
    <s v="$"/>
    <n v="3.3729998999999999"/>
    <n v="1"/>
    <n v="450"/>
    <n v="450"/>
    <n v="81"/>
    <n v="531"/>
    <n v="1517.8499549999999"/>
    <m/>
    <m/>
    <m/>
    <m/>
    <m/>
    <m/>
    <m/>
    <m/>
    <m/>
    <m/>
    <m/>
    <m/>
    <m/>
    <m/>
    <m/>
    <m/>
    <m/>
    <m/>
    <m/>
    <m/>
    <m/>
    <m/>
    <m/>
    <m/>
  </r>
  <r>
    <x v="49"/>
    <s v="FAC"/>
    <s v="005"/>
    <s v="00000208"/>
    <x v="181"/>
    <s v="F4J046"/>
    <d v="2019-12-02T00:00:00"/>
    <s v="20100041953"/>
    <s v="RIMAC SEGUROS  Y REASEGUROS S.A"/>
    <s v="2908010001"/>
    <s v="TERCEROS"/>
    <s v="000"/>
    <s v="001"/>
    <s v="CONTADO"/>
    <s v="002"/>
    <s v="MANTENIMIENTO-MECANICA"/>
    <s v="$"/>
    <n v="3.3729998999999999"/>
    <n v="1"/>
    <n v="65"/>
    <n v="65"/>
    <n v="11.699996999999994"/>
    <n v="76.699996999999996"/>
    <n v="219.24499349999999"/>
    <m/>
    <m/>
    <m/>
    <m/>
    <m/>
    <m/>
    <m/>
    <m/>
    <m/>
    <m/>
    <m/>
    <m/>
    <m/>
    <m/>
    <m/>
    <m/>
    <m/>
    <m/>
    <m/>
    <m/>
    <m/>
    <m/>
    <m/>
    <m/>
  </r>
  <r>
    <x v="49"/>
    <s v="FAC"/>
    <s v="005"/>
    <s v="00000208"/>
    <x v="181"/>
    <s v="F4J046"/>
    <d v="2019-12-02T00:00:00"/>
    <s v="20100041953"/>
    <s v="RIMAC SEGUROS  Y REASEGUROS S.A"/>
    <s v="310120"/>
    <s v="FRANQUICIA"/>
    <s v="000"/>
    <s v="001"/>
    <s v="CONTADO"/>
    <s v="002"/>
    <s v="MANTENIMIENTO-MECANICA"/>
    <s v="$"/>
    <n v="3.3729998999999999"/>
    <n v="-1"/>
    <n v="126.17800000000001"/>
    <n v="-126.178"/>
    <n v="-22.711999999999971"/>
    <n v="-148.88999999999999"/>
    <n v="-425.59838138219999"/>
    <m/>
    <m/>
    <m/>
    <m/>
    <m/>
    <m/>
    <m/>
    <m/>
    <m/>
    <m/>
    <m/>
    <m/>
    <m/>
    <m/>
    <m/>
    <m/>
    <m/>
    <m/>
    <m/>
    <m/>
    <m/>
    <m/>
    <m/>
    <m/>
  </r>
  <r>
    <x v="49"/>
    <s v="FAC"/>
    <s v="005"/>
    <s v="00000208"/>
    <x v="181"/>
    <s v="F4J046"/>
    <d v="2019-12-02T00:00:00"/>
    <s v="20100041953"/>
    <s v="RIMAC SEGUROS  Y REASEGUROS S.A"/>
    <s v="320001"/>
    <s v="REPUESTOS"/>
    <s v="000"/>
    <s v="001"/>
    <s v="CONTADO"/>
    <s v="002"/>
    <s v="MANTENIMIENTO-MECANICA"/>
    <s v="$"/>
    <n v="3.3729998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9"/>
    <s v="FAC"/>
    <s v="005"/>
    <s v="00000209"/>
    <x v="182"/>
    <s v="ASL101"/>
    <d v="2019-12-05T00:00:00"/>
    <s v="20499250771"/>
    <s v="INTER PLUS ASESORIA Y SERV GENERALES SRL"/>
    <s v="310120"/>
    <s v="FRANQUICIA"/>
    <s v="000"/>
    <s v="001"/>
    <s v="CONTADO"/>
    <s v="002"/>
    <s v="MANTENIMIENTO-MECANICA"/>
    <s v="$"/>
    <n v="3.3729998999999999"/>
    <n v="1"/>
    <n v="150"/>
    <n v="150"/>
    <n v="27"/>
    <n v="177"/>
    <n v="505.94998499999997"/>
    <m/>
    <m/>
    <m/>
    <m/>
    <m/>
    <m/>
    <m/>
    <m/>
    <m/>
    <m/>
    <m/>
    <m/>
    <m/>
    <m/>
    <m/>
    <m/>
    <m/>
    <m/>
    <m/>
    <m/>
    <m/>
    <m/>
    <m/>
    <m/>
  </r>
  <r>
    <x v="49"/>
    <s v="FAC"/>
    <s v="005"/>
    <s v="00000210"/>
    <x v="182"/>
    <s v="ASL101"/>
    <d v="2019-12-05T00:00:00"/>
    <s v="20100041953"/>
    <s v="RIMAC SEGUROS  Y REASEGUROS S.A"/>
    <s v="1302020001"/>
    <s v="PINTURA"/>
    <s v="000"/>
    <s v="001"/>
    <s v="CONTADO"/>
    <s v="009"/>
    <s v="PINTURA"/>
    <s v="$"/>
    <n v="3.3729998999999999"/>
    <n v="1"/>
    <n v="236"/>
    <n v="236"/>
    <n v="42.48001"/>
    <n v="278.48000999999999"/>
    <n v="796.02797639999994"/>
    <m/>
    <m/>
    <m/>
    <m/>
    <m/>
    <m/>
    <m/>
    <m/>
    <m/>
    <m/>
    <m/>
    <m/>
    <m/>
    <m/>
    <m/>
    <m/>
    <m/>
    <m/>
    <m/>
    <m/>
    <m/>
    <m/>
    <m/>
    <m/>
  </r>
  <r>
    <x v="49"/>
    <s v="FAC"/>
    <s v="005"/>
    <s v="00000210"/>
    <x v="182"/>
    <s v="ASL101"/>
    <d v="2019-12-05T00:00:00"/>
    <s v="20100041953"/>
    <s v="RIMAC SEGUROS  Y REASEGUROS S.A"/>
    <s v="1201020001"/>
    <s v="PLANCHADO"/>
    <s v="000"/>
    <s v="001"/>
    <s v="CONTADO"/>
    <s v="001"/>
    <s v="PLANCHADO"/>
    <s v="$"/>
    <n v="3.3729998999999999"/>
    <n v="1"/>
    <n v="450"/>
    <n v="450"/>
    <n v="81"/>
    <n v="531"/>
    <n v="1517.8499549999999"/>
    <m/>
    <m/>
    <m/>
    <m/>
    <m/>
    <m/>
    <m/>
    <m/>
    <m/>
    <m/>
    <m/>
    <m/>
    <m/>
    <m/>
    <m/>
    <m/>
    <m/>
    <m/>
    <m/>
    <m/>
    <m/>
    <m/>
    <m/>
    <m/>
  </r>
  <r>
    <x v="49"/>
    <s v="FAC"/>
    <s v="005"/>
    <s v="00000210"/>
    <x v="182"/>
    <s v="ASL101"/>
    <d v="2019-12-05T00:00:00"/>
    <s v="20100041953"/>
    <s v="RIMAC SEGUROS  Y REASEGUROS S.A"/>
    <s v="2908010001"/>
    <s v="TERCEROS"/>
    <s v="000"/>
    <s v="001"/>
    <s v="CONTADO"/>
    <s v="002"/>
    <s v="MANTENIMIENTO-MECANICA"/>
    <s v="$"/>
    <n v="3.3729998999999999"/>
    <n v="1"/>
    <n v="50"/>
    <n v="50"/>
    <n v="9"/>
    <n v="59"/>
    <n v="168.64999499999999"/>
    <m/>
    <m/>
    <m/>
    <m/>
    <m/>
    <m/>
    <m/>
    <m/>
    <m/>
    <m/>
    <m/>
    <m/>
    <m/>
    <m/>
    <m/>
    <m/>
    <m/>
    <m/>
    <m/>
    <m/>
    <m/>
    <m/>
    <m/>
    <m/>
  </r>
  <r>
    <x v="49"/>
    <s v="FAC"/>
    <s v="005"/>
    <s v="00000210"/>
    <x v="182"/>
    <s v="ASL101"/>
    <d v="2019-12-05T00:00:00"/>
    <s v="20100041953"/>
    <s v="RIMAC SEGUROS  Y REASEGUROS S.A"/>
    <s v="310120"/>
    <s v="FRANQUICIA"/>
    <s v="000"/>
    <s v="001"/>
    <s v="CONTADO"/>
    <s v="002"/>
    <s v="MANTENIMIENTO-MECANICA"/>
    <s v="$"/>
    <n v="3.3729998999999999"/>
    <n v="-1"/>
    <n v="150"/>
    <n v="-150"/>
    <n v="-27"/>
    <n v="-177"/>
    <n v="-505.94998499999997"/>
    <m/>
    <m/>
    <m/>
    <m/>
    <m/>
    <m/>
    <m/>
    <m/>
    <m/>
    <m/>
    <m/>
    <m/>
    <m/>
    <m/>
    <m/>
    <m/>
    <m/>
    <m/>
    <m/>
    <m/>
    <m/>
    <m/>
    <m/>
    <m/>
  </r>
  <r>
    <x v="49"/>
    <s v="FAC"/>
    <s v="005"/>
    <s v="00000210"/>
    <x v="182"/>
    <s v="ASL101"/>
    <d v="2019-12-05T00:00:00"/>
    <s v="20100041953"/>
    <s v="RIMAC SEGUROS  Y REASEGUROS S.A"/>
    <s v="320001"/>
    <s v="REPUESTOS"/>
    <s v="000"/>
    <s v="001"/>
    <s v="CONTADO"/>
    <s v="002"/>
    <s v="MANTENIMIENTO-MECANICA"/>
    <s v="$"/>
    <n v="3.3729998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50"/>
    <s v="FAC"/>
    <s v="005"/>
    <s v="00000211"/>
    <x v="183"/>
    <s v="EGX296"/>
    <d v="2019-12-10T00:00:00"/>
    <s v="20100041953"/>
    <s v="RIMAC SEGUROS  Y REASEGUROS S.A"/>
    <s v="1302020001"/>
    <s v="PINTURA"/>
    <s v="000"/>
    <s v="001"/>
    <s v="CONTADO"/>
    <s v="009"/>
    <s v="PINTURA"/>
    <s v="$"/>
    <n v="3.3729998999999999"/>
    <n v="1"/>
    <n v="88.5"/>
    <n v="88.5"/>
    <n v="15.93"/>
    <n v="104.43"/>
    <n v="298.51049115000001"/>
    <m/>
    <m/>
    <m/>
    <m/>
    <m/>
    <m/>
    <m/>
    <m/>
    <m/>
    <m/>
    <m/>
    <m/>
    <m/>
    <m/>
    <m/>
    <m/>
    <m/>
    <m/>
    <m/>
    <m/>
    <m/>
    <m/>
    <m/>
    <m/>
  </r>
  <r>
    <x v="50"/>
    <s v="FAC"/>
    <s v="005"/>
    <s v="00000211"/>
    <x v="183"/>
    <s v="EGX296"/>
    <d v="2019-12-10T00:00:00"/>
    <s v="20100041953"/>
    <s v="RIMAC SEGUROS  Y REASEGUROS S.A"/>
    <s v="1201020001"/>
    <s v="PLANCHADO"/>
    <s v="000"/>
    <s v="001"/>
    <s v="CONTADO"/>
    <s v="001"/>
    <s v="PLANCHADO"/>
    <s v="$"/>
    <n v="3.3729998999999999"/>
    <n v="1"/>
    <n v="30"/>
    <n v="30"/>
    <n v="5.4000019999999997"/>
    <n v="35.400002000000001"/>
    <n v="101.18999700000001"/>
    <m/>
    <m/>
    <m/>
    <m/>
    <m/>
    <m/>
    <m/>
    <m/>
    <m/>
    <m/>
    <m/>
    <m/>
    <m/>
    <m/>
    <m/>
    <m/>
    <m/>
    <m/>
    <m/>
    <m/>
    <m/>
    <m/>
    <m/>
    <m/>
  </r>
  <r>
    <x v="50"/>
    <s v="FAC"/>
    <s v="005"/>
    <s v="00000211"/>
    <x v="183"/>
    <s v="EGX296"/>
    <d v="2019-12-10T00:00:00"/>
    <s v="20100041953"/>
    <s v="RIMAC SEGUROS  Y REASEGUROS S.A"/>
    <s v="2908010001"/>
    <s v="TERCEROS"/>
    <s v="000"/>
    <s v="001"/>
    <s v="CONTADO"/>
    <s v="002"/>
    <s v="MANTENIMIENTO-MECANICA"/>
    <s v="$"/>
    <n v="3.3729998999999999"/>
    <n v="1"/>
    <n v="45"/>
    <n v="45"/>
    <n v="8.0999980000000047"/>
    <n v="53.099998000000006"/>
    <n v="151.78499550000001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3"/>
    <x v="184"/>
    <s v="BFB527"/>
    <d v="2019-12-05T00:00:00"/>
    <s v="20100041953"/>
    <s v="RIMAC SEGUROS  Y REASEGUROS S.A"/>
    <s v="1302020001"/>
    <s v="PINTURA"/>
    <s v="000"/>
    <s v="001"/>
    <s v="CONTADO"/>
    <s v="009"/>
    <s v="PINTURA"/>
    <s v="$"/>
    <n v="3.3599999"/>
    <n v="1"/>
    <n v="324.5"/>
    <n v="324.5"/>
    <n v="58.41"/>
    <n v="382.91"/>
    <n v="1090.31996755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3"/>
    <x v="184"/>
    <s v="BFB527"/>
    <d v="2019-12-05T00:00:00"/>
    <s v="20100041953"/>
    <s v="RIMAC SEGUROS  Y REASEGUROS S.A"/>
    <s v="1201020001"/>
    <s v="PLANCHADO"/>
    <s v="000"/>
    <s v="001"/>
    <s v="CONTADO"/>
    <s v="001"/>
    <s v="PLANCHADO"/>
    <s v="$"/>
    <n v="3.3599999"/>
    <n v="1"/>
    <n v="180"/>
    <n v="180"/>
    <n v="32.39998999999996"/>
    <n v="212.39998999999997"/>
    <n v="604.799982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3"/>
    <x v="184"/>
    <s v="BFB527"/>
    <d v="2019-12-05T00:00:00"/>
    <s v="20100041953"/>
    <s v="RIMAC SEGUROS  Y REASEGUROS S.A"/>
    <s v="2908010001"/>
    <s v="TERCEROS"/>
    <s v="000"/>
    <s v="001"/>
    <s v="CONTADO"/>
    <s v="002"/>
    <s v="MANTENIMIENTO-MECANICA"/>
    <s v="$"/>
    <n v="3.3599999"/>
    <n v="1"/>
    <n v="70"/>
    <n v="70"/>
    <n v="12.599997999999978"/>
    <n v="82.599997999999971"/>
    <n v="235.19999300000001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3"/>
    <x v="184"/>
    <s v="BFB527"/>
    <d v="2019-12-05T00:00:00"/>
    <s v="20100041953"/>
    <s v="RIMAC SEGUROS  Y REASEGUROS S.A"/>
    <s v="310120"/>
    <s v="FRANQUICIA"/>
    <s v="000"/>
    <s v="001"/>
    <s v="CONTADO"/>
    <s v="002"/>
    <s v="MANTENIMIENTO-MECANICA"/>
    <s v="$"/>
    <n v="3.3599999"/>
    <n v="-1"/>
    <n v="200"/>
    <n v="-200"/>
    <n v="-36"/>
    <n v="-236"/>
    <n v="-671.99998000000005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3"/>
    <x v="184"/>
    <s v="BFB527"/>
    <d v="2019-12-05T00:00:00"/>
    <s v="20100041953"/>
    <s v="RIMAC SEGUROS  Y REASEGUROS S.A"/>
    <s v="320001"/>
    <s v="REPUESTOS"/>
    <s v="000"/>
    <s v="001"/>
    <s v="CONTADO"/>
    <s v="002"/>
    <s v="MANTENIMIENTO-MECANICA"/>
    <s v="$"/>
    <n v="3.35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4"/>
    <x v="185"/>
    <s v="BET306"/>
    <d v="2019-12-09T00:00:00"/>
    <s v="20509959766"/>
    <s v="RENTAEQUIPOS LEASING PERU S.A."/>
    <s v="310120"/>
    <s v="FRANQUICIA"/>
    <s v="000"/>
    <s v="001"/>
    <s v="CONTADO"/>
    <s v="002"/>
    <s v="MANTENIMIENTO-MECANICA"/>
    <s v="$"/>
    <n v="3.3599999"/>
    <n v="1"/>
    <n v="100"/>
    <n v="100"/>
    <n v="18"/>
    <n v="118"/>
    <n v="335.99999000000003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5"/>
    <x v="185"/>
    <s v="BET306"/>
    <d v="2019-12-09T00:00:00"/>
    <s v="20100041953"/>
    <s v="RIMAC SEGUROS  Y REASEGUROS S.A"/>
    <s v="1302020001"/>
    <s v="PINTURA"/>
    <s v="000"/>
    <s v="001"/>
    <s v="CONTADO"/>
    <s v="009"/>
    <s v="PINTURA"/>
    <s v="$"/>
    <n v="3.3599999"/>
    <n v="1"/>
    <n v="76.703400000000002"/>
    <n v="76.703400000000002"/>
    <n v="13.806602000000003"/>
    <n v="90.510002"/>
    <n v="257.72341632965998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5"/>
    <x v="185"/>
    <s v="BET306"/>
    <d v="2019-12-09T00:00:00"/>
    <s v="20100041953"/>
    <s v="RIMAC SEGUROS  Y REASEGUROS S.A"/>
    <s v="1201020001"/>
    <s v="PLANCHADO"/>
    <s v="000"/>
    <s v="001"/>
    <s v="CONTADO"/>
    <s v="001"/>
    <s v="PLANCHADO"/>
    <s v="$"/>
    <n v="3.3599999"/>
    <n v="1"/>
    <n v="30"/>
    <n v="30"/>
    <n v="5.4000019999999997"/>
    <n v="35.400002000000001"/>
    <n v="100.799997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5"/>
    <x v="185"/>
    <s v="BET306"/>
    <d v="2019-12-09T00:00:00"/>
    <s v="20100041953"/>
    <s v="RIMAC SEGUROS  Y REASEGUROS S.A"/>
    <s v="2908010001"/>
    <s v="TERCEROS"/>
    <s v="000"/>
    <s v="001"/>
    <s v="CONTADO"/>
    <s v="002"/>
    <s v="MANTENIMIENTO-MECANICA"/>
    <s v="$"/>
    <n v="3.3599999"/>
    <n v="1"/>
    <n v="30"/>
    <n v="30"/>
    <n v="5.4000019999999997"/>
    <n v="35.400002000000001"/>
    <n v="100.799997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5"/>
    <x v="185"/>
    <s v="BET306"/>
    <d v="2019-12-09T00:00:00"/>
    <s v="20100041953"/>
    <s v="RIMAC SEGUROS  Y REASEGUROS S.A"/>
    <s v="310120"/>
    <s v="FRANQUICIA"/>
    <s v="000"/>
    <s v="001"/>
    <s v="CONTADO"/>
    <s v="002"/>
    <s v="MANTENIMIENTO-MECANICA"/>
    <s v="$"/>
    <n v="3.3599999"/>
    <n v="-1"/>
    <n v="100"/>
    <n v="-100"/>
    <n v="-18"/>
    <n v="-118"/>
    <n v="-335.99999000000003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5"/>
    <x v="185"/>
    <s v="BET306"/>
    <d v="2019-12-09T00:00:00"/>
    <s v="20100041953"/>
    <s v="RIMAC SEGUROS  Y REASEGUROS S.A"/>
    <s v="320001"/>
    <s v="REPUESTOS"/>
    <s v="000"/>
    <s v="001"/>
    <s v="CONTADO"/>
    <s v="002"/>
    <s v="MANTENIMIENTO-MECANICA"/>
    <s v="$"/>
    <n v="3.35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6"/>
    <x v="186"/>
    <s v="BET590"/>
    <d v="2019-12-05T00:00:00"/>
    <s v="20509959766"/>
    <s v="RENTAEQUIPOS LEASING PERU S.A."/>
    <s v="310120"/>
    <s v="FRANQUICIA"/>
    <s v="000"/>
    <s v="001"/>
    <s v="CONTADO"/>
    <s v="002"/>
    <s v="MANTENIMIENTO-MECANICA"/>
    <s v="$"/>
    <n v="3.3599999"/>
    <n v="1"/>
    <n v="100"/>
    <n v="100"/>
    <n v="18"/>
    <n v="118"/>
    <n v="335.99999000000003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7"/>
    <x v="186"/>
    <s v="BET590"/>
    <d v="2019-12-05T00:00:00"/>
    <s v="20100041953"/>
    <s v="RIMAC SEGUROS  Y REASEGUROS S.A"/>
    <s v="1302020001"/>
    <s v="PINTURA"/>
    <s v="000"/>
    <s v="001"/>
    <s v="CONTADO"/>
    <s v="009"/>
    <s v="PINTURA"/>
    <s v="$"/>
    <n v="3.3599999"/>
    <n v="1"/>
    <n v="88.5"/>
    <n v="88.5"/>
    <n v="15.93"/>
    <n v="104.43"/>
    <n v="297.35999114999998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7"/>
    <x v="186"/>
    <s v="BET590"/>
    <d v="2019-12-05T00:00:00"/>
    <s v="20100041953"/>
    <s v="RIMAC SEGUROS  Y REASEGUROS S.A"/>
    <s v="1201020001"/>
    <s v="PLANCHADO"/>
    <s v="000"/>
    <s v="001"/>
    <s v="CONTADO"/>
    <s v="001"/>
    <s v="PLANCHADO"/>
    <s v="$"/>
    <n v="3.3599999"/>
    <n v="1"/>
    <n v="30"/>
    <n v="30"/>
    <n v="5.4000019999999997"/>
    <n v="35.400002000000001"/>
    <n v="100.799997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7"/>
    <x v="186"/>
    <s v="BET590"/>
    <d v="2019-12-05T00:00:00"/>
    <s v="20100041953"/>
    <s v="RIMAC SEGUROS  Y REASEGUROS S.A"/>
    <s v="2908010001"/>
    <s v="TERCEROS"/>
    <s v="000"/>
    <s v="001"/>
    <s v="CONTADO"/>
    <s v="002"/>
    <s v="MANTENIMIENTO-MECANICA"/>
    <s v="$"/>
    <n v="3.3599999"/>
    <n v="1"/>
    <n v="25"/>
    <n v="25"/>
    <n v="4.5"/>
    <n v="29.5"/>
    <n v="83.999997500000006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7"/>
    <x v="186"/>
    <s v="BET590"/>
    <d v="2019-12-05T00:00:00"/>
    <s v="20100041953"/>
    <s v="RIMAC SEGUROS  Y REASEGUROS S.A"/>
    <s v="310120"/>
    <s v="FRANQUICIA"/>
    <s v="000"/>
    <s v="001"/>
    <s v="CONTADO"/>
    <s v="002"/>
    <s v="MANTENIMIENTO-MECANICA"/>
    <s v="$"/>
    <n v="3.3599999"/>
    <n v="-1"/>
    <n v="100"/>
    <n v="-100"/>
    <n v="-18"/>
    <n v="-118"/>
    <n v="-335.99999000000003"/>
    <m/>
    <m/>
    <m/>
    <m/>
    <m/>
    <m/>
    <m/>
    <m/>
    <m/>
    <m/>
    <m/>
    <m/>
    <m/>
    <m/>
    <m/>
    <m/>
    <m/>
    <m/>
    <m/>
    <m/>
    <m/>
    <m/>
    <m/>
    <m/>
  </r>
  <r>
    <x v="51"/>
    <s v="FAC"/>
    <s v="005"/>
    <s v="00000217"/>
    <x v="186"/>
    <s v="BET590"/>
    <d v="2019-12-05T00:00:00"/>
    <s v="20100041953"/>
    <s v="RIMAC SEGUROS  Y REASEGUROS S.A"/>
    <s v="320001"/>
    <s v="REPUESTOS"/>
    <s v="000"/>
    <s v="001"/>
    <s v="CONTADO"/>
    <s v="002"/>
    <s v="MANTENIMIENTO-MECANICA"/>
    <s v="$"/>
    <n v="3.35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52"/>
    <s v="FAC"/>
    <s v="005"/>
    <s v="00000218"/>
    <x v="187"/>
    <s v="BFW224"/>
    <d v="2019-12-14T00:00:00"/>
    <s v="20509959766"/>
    <s v="RENTAEQUIPOS LEASING PERU S.A."/>
    <s v="320001"/>
    <s v="REPUESTOS"/>
    <s v="000"/>
    <s v="001"/>
    <s v="CONTADO"/>
    <s v="002"/>
    <s v="MANTENIMIENTO-MECANICA"/>
    <s v="S/."/>
    <n v="3.3490000000000002"/>
    <n v="1"/>
    <n v="42.372897999999985"/>
    <n v="42.372897999999985"/>
    <n v="7.6271020000000131"/>
    <n v="50"/>
    <n v="42.372897999999985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19"/>
    <x v="188"/>
    <s v="AJD170"/>
    <d v="2019-11-25T00:00:00"/>
    <s v="20100041953"/>
    <s v="RIMAC SEGUROS  Y REASEGUROS S.A"/>
    <s v="2908010001"/>
    <s v="TERCEROS"/>
    <s v="000"/>
    <s v="001"/>
    <s v="CONTADO"/>
    <s v="002"/>
    <s v="MANTENIMIENTO-MECANICA"/>
    <s v="$"/>
    <n v="3.3399999000000005"/>
    <n v="1"/>
    <n v="25"/>
    <n v="25"/>
    <n v="4.5"/>
    <n v="29.5"/>
    <n v="83.499997500000006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19"/>
    <x v="188"/>
    <s v="AJD170"/>
    <d v="2019-11-25T00:00:00"/>
    <s v="20100041953"/>
    <s v="RIMAC SEGUROS  Y REASEGUROS S.A"/>
    <s v="2805010001"/>
    <s v="SERVICIOS"/>
    <s v="000"/>
    <s v="001"/>
    <s v="CONTADO"/>
    <s v="002"/>
    <s v="MANTENIMIENTO-MECANICA"/>
    <s v="$"/>
    <n v="3.3399999000000005"/>
    <n v="1"/>
    <n v="30"/>
    <n v="30"/>
    <n v="5.4000019999999997"/>
    <n v="35.400002000000001"/>
    <n v="100.19999700000001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19"/>
    <x v="188"/>
    <s v="AJD170"/>
    <d v="2019-11-25T00:00:00"/>
    <s v="20100041953"/>
    <s v="RIMAC SEGUROS  Y REASEGUROS S.A"/>
    <s v="320001"/>
    <s v="REPUESTOS"/>
    <s v="000"/>
    <s v="001"/>
    <s v="CONTADO"/>
    <s v="002"/>
    <s v="MANTENIMIENTO-MECANICA"/>
    <s v="$"/>
    <n v="3.3399999000000005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0"/>
    <x v="130"/>
    <s v="AHV171"/>
    <d v="2019-10-28T00:00:00"/>
    <s v="20438563084"/>
    <s v="EDPYME ACCESO CREDITICIO SOCIEDAD ANONIMA"/>
    <s v="1302020001"/>
    <s v="PINTURA"/>
    <s v="000"/>
    <s v="001"/>
    <s v="CONTADO"/>
    <s v="009"/>
    <s v="PINTURA"/>
    <s v="S/."/>
    <n v="3.3399999000000005"/>
    <n v="1"/>
    <n v="2295"/>
    <n v="2295"/>
    <n v="413.10010000000011"/>
    <n v="2708.1001000000001"/>
    <n v="2295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0"/>
    <x v="130"/>
    <s v="AHV171"/>
    <d v="2019-10-28T00:00:00"/>
    <s v="20438563084"/>
    <s v="EDPYME ACCESO CREDITICIO SOCIEDAD ANONIMA"/>
    <s v="1201020001"/>
    <s v="PLANCHADO"/>
    <s v="000"/>
    <s v="001"/>
    <s v="CONTADO"/>
    <s v="001"/>
    <s v="PLANCHADO"/>
    <s v="S/."/>
    <n v="3.3399999000000005"/>
    <n v="1"/>
    <n v="1015"/>
    <n v="1015"/>
    <n v="182.7"/>
    <n v="1197.7"/>
    <n v="1015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0"/>
    <x v="130"/>
    <s v="AHV171"/>
    <d v="2019-10-28T00:00:00"/>
    <s v="20438563084"/>
    <s v="EDPYME ACCESO CREDITICIO SOCIEDAD ANONIMA"/>
    <s v="2908010001"/>
    <s v="TERCEROS"/>
    <s v="000"/>
    <s v="001"/>
    <s v="CONTADO"/>
    <s v="002"/>
    <s v="MANTENIMIENTO-MECANICA"/>
    <s v="S/."/>
    <n v="3.3399999000000005"/>
    <n v="1"/>
    <n v="1140"/>
    <n v="1140"/>
    <n v="205.2"/>
    <n v="1345.2"/>
    <n v="1140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0"/>
    <x v="130"/>
    <s v="AHV171"/>
    <d v="2019-10-28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399999000000005"/>
    <n v="1"/>
    <n v="1903"/>
    <n v="1903"/>
    <n v="342.54"/>
    <n v="2245.54"/>
    <n v="1903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0"/>
    <x v="130"/>
    <s v="AHV171"/>
    <d v="2019-10-28T00:00:00"/>
    <s v="20438563084"/>
    <s v="EDPYME ACCESO CREDITICIO SOCIEDAD ANONIMA"/>
    <s v="2805010001"/>
    <s v="SERVICIOS"/>
    <s v="000"/>
    <s v="001"/>
    <s v="CONTADO"/>
    <s v="002"/>
    <s v="MANTENIMIENTO-MECANICA"/>
    <s v="S/."/>
    <n v="3.3399999000000005"/>
    <n v="1"/>
    <n v="988.75420999999972"/>
    <n v="988.75420999999972"/>
    <n v="177.97579000000027"/>
    <n v="1166.73"/>
    <n v="988.75420999999972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0"/>
    <x v="130"/>
    <s v="AHV171"/>
    <d v="2019-10-28T00:00:00"/>
    <s v="20438563084"/>
    <s v="EDPYME ACCESO CREDITICIO SOCIEDAD ANONIMA"/>
    <s v="320001"/>
    <s v="REPUESTOS"/>
    <s v="000"/>
    <s v="001"/>
    <s v="CONTADO"/>
    <s v="002"/>
    <s v="MANTENIMIENTO-MECANICA"/>
    <s v="S/."/>
    <n v="3.3399999000000005"/>
    <n v="1"/>
    <n v="2319"/>
    <n v="2319"/>
    <n v="417.41989999999993"/>
    <n v="2736.4198999999999"/>
    <n v="2319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1"/>
    <x v="189"/>
    <s v="BKQ559"/>
    <d v="2019-12-16T00:00:00"/>
    <s v="20600392132"/>
    <s v="ARSEGUIN PERU S.A.C."/>
    <s v="310120"/>
    <s v="FRANQUICIA"/>
    <s v="000"/>
    <s v="001"/>
    <s v="CONTADO"/>
    <s v="002"/>
    <s v="MANTENIMIENTO-MECANICA"/>
    <s v="$"/>
    <n v="3.3399999000000005"/>
    <n v="1"/>
    <n v="67.050797000000017"/>
    <n v="67.050797000000017"/>
    <n v="12.069205999999985"/>
    <n v="79.120002999999997"/>
    <n v="223.94965527492039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2"/>
    <x v="190"/>
    <s v="BEQ177"/>
    <d v="2019-10-24T00:00:00"/>
    <s v="20509959766"/>
    <s v="RENTAEQUIPOS LEASING PERU S.A."/>
    <s v="310120"/>
    <s v="FRANQUICIA"/>
    <s v="000"/>
    <s v="001"/>
    <s v="CONTADO"/>
    <s v="002"/>
    <s v="MANTENIMIENTO-MECANICA"/>
    <s v="$"/>
    <n v="3.3399999000000005"/>
    <n v="1"/>
    <n v="313.05081000000001"/>
    <n v="313.05081000000001"/>
    <n v="56.349180000000018"/>
    <n v="369.39999000000006"/>
    <n v="1045.5896740949192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4"/>
    <x v="190"/>
    <s v="BEQ177"/>
    <d v="2019-10-24T00:00:00"/>
    <s v="20100041953"/>
    <s v="RIMAC SEGUROS  Y REASEGUROS S.A"/>
    <s v="1302020001"/>
    <s v="PINTURA"/>
    <s v="000"/>
    <s v="001"/>
    <s v="CONTADO"/>
    <s v="009"/>
    <s v="PINTURA"/>
    <s v="$"/>
    <n v="3.3399999000000005"/>
    <n v="1"/>
    <n v="295"/>
    <n v="295"/>
    <n v="53.100009999999891"/>
    <n v="348.10000999999988"/>
    <n v="985.29997050000009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4"/>
    <x v="190"/>
    <s v="BEQ177"/>
    <d v="2019-10-24T00:00:00"/>
    <s v="20100041953"/>
    <s v="RIMAC SEGUROS  Y REASEGUROS S.A"/>
    <s v="1201020001"/>
    <s v="PLANCHADO"/>
    <s v="000"/>
    <s v="001"/>
    <s v="CONTADO"/>
    <s v="001"/>
    <s v="PLANCHADO"/>
    <s v="$"/>
    <n v="3.3399999000000005"/>
    <n v="1"/>
    <n v="270"/>
    <n v="270"/>
    <n v="48.600010000000005"/>
    <n v="318.60001"/>
    <n v="901.79997300000014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4"/>
    <x v="190"/>
    <s v="BEQ177"/>
    <d v="2019-10-24T00:00:00"/>
    <s v="20100041953"/>
    <s v="RIMAC SEGUROS  Y REASEGUROS S.A"/>
    <s v="2908010001"/>
    <s v="TERCEROS"/>
    <s v="000"/>
    <s v="001"/>
    <s v="CONTADO"/>
    <s v="002"/>
    <s v="MANTENIMIENTO-MECANICA"/>
    <s v="$"/>
    <n v="3.3399999000000005"/>
    <n v="1"/>
    <n v="90"/>
    <n v="90"/>
    <n v="16.2"/>
    <n v="106.2"/>
    <n v="300.59999100000005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4"/>
    <x v="190"/>
    <s v="BEQ177"/>
    <d v="2019-10-24T00:00:00"/>
    <s v="20100041953"/>
    <s v="RIMAC SEGUROS  Y REASEGUROS S.A"/>
    <s v="2805010001"/>
    <s v="SERVICIOS"/>
    <s v="000"/>
    <s v="001"/>
    <s v="CONTADO"/>
    <s v="002"/>
    <s v="MANTENIMIENTO-MECANICA"/>
    <s v="$"/>
    <n v="3.3399999000000005"/>
    <n v="1"/>
    <n v="30"/>
    <n v="30"/>
    <n v="5.4000019999999997"/>
    <n v="35.400002000000001"/>
    <n v="100.19999700000001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4"/>
    <x v="190"/>
    <s v="BEQ177"/>
    <d v="2019-10-24T00:00:00"/>
    <s v="20100041953"/>
    <s v="RIMAC SEGUROS  Y REASEGUROS S.A"/>
    <s v="310120"/>
    <s v="FRANQUICIA"/>
    <s v="000"/>
    <s v="001"/>
    <s v="CONTADO"/>
    <s v="002"/>
    <s v="MANTENIMIENTO-MECANICA"/>
    <s v="$"/>
    <n v="3.3399999000000005"/>
    <n v="-1"/>
    <n v="313.05081000000001"/>
    <n v="-313.05081000000001"/>
    <n v="-56.349180000000018"/>
    <n v="-369.39999000000006"/>
    <n v="-1045.5896740949192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4"/>
    <x v="190"/>
    <s v="BEQ177"/>
    <d v="2019-10-24T00:00:00"/>
    <s v="20100041953"/>
    <s v="RIMAC SEGUROS  Y REASEGUROS S.A"/>
    <s v="320001"/>
    <s v="REPUESTOS"/>
    <s v="000"/>
    <s v="001"/>
    <s v="CONTADO"/>
    <s v="002"/>
    <s v="MANTENIMIENTO-MECANICA"/>
    <s v="$"/>
    <n v="3.3399999000000005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5"/>
    <x v="189"/>
    <s v="BKQ559"/>
    <d v="2019-12-16T00:00:00"/>
    <s v="20100041953"/>
    <s v="RIMAC SEGUROS  Y REASEGUROS S.A"/>
    <s v="1302020001"/>
    <s v="PINTURA"/>
    <s v="000"/>
    <s v="001"/>
    <s v="CONTADO"/>
    <s v="009"/>
    <s v="PINTURA"/>
    <s v="$"/>
    <n v="3.3399999000000005"/>
    <n v="1"/>
    <n v="118"/>
    <n v="118"/>
    <n v="21.240010000000019"/>
    <n v="139.24001000000001"/>
    <n v="394.11998820000008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5"/>
    <x v="189"/>
    <s v="BKQ559"/>
    <d v="2019-12-16T00:00:00"/>
    <s v="20100041953"/>
    <s v="RIMAC SEGUROS  Y REASEGUROS S.A"/>
    <s v="1201020001"/>
    <s v="PLANCHADO"/>
    <s v="000"/>
    <s v="001"/>
    <s v="CONTADO"/>
    <s v="001"/>
    <s v="PLANCHADO"/>
    <s v="$"/>
    <n v="3.3399999000000005"/>
    <n v="1"/>
    <n v="150"/>
    <n v="150"/>
    <n v="27"/>
    <n v="177"/>
    <n v="500.99998500000009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5"/>
    <x v="189"/>
    <s v="BKQ559"/>
    <d v="2019-12-16T00:00:00"/>
    <s v="20100041953"/>
    <s v="RIMAC SEGUROS  Y REASEGUROS S.A"/>
    <s v="310120"/>
    <s v="FRANQUICIA"/>
    <s v="000"/>
    <s v="001"/>
    <s v="CONTADO"/>
    <s v="002"/>
    <s v="MANTENIMIENTO-MECANICA"/>
    <s v="$"/>
    <n v="3.3399999000000005"/>
    <n v="-1"/>
    <n v="67.050797000000017"/>
    <n v="-67.050797000000017"/>
    <n v="-12.069205999999985"/>
    <n v="-79.120002999999997"/>
    <n v="-223.94965527492039"/>
    <m/>
    <m/>
    <m/>
    <m/>
    <m/>
    <m/>
    <m/>
    <m/>
    <m/>
    <m/>
    <m/>
    <m/>
    <m/>
    <m/>
    <m/>
    <m/>
    <m/>
    <m/>
    <m/>
    <m/>
    <m/>
    <m/>
    <m/>
    <m/>
  </r>
  <r>
    <x v="53"/>
    <s v="FAC"/>
    <s v="005"/>
    <s v="00000225"/>
    <x v="189"/>
    <s v="BKQ559"/>
    <d v="2019-12-16T00:00:00"/>
    <s v="20100041953"/>
    <s v="RIMAC SEGUROS  Y REASEGUROS S.A"/>
    <s v="320001"/>
    <s v="REPUESTOS"/>
    <s v="000"/>
    <s v="001"/>
    <s v="CONTADO"/>
    <s v="002"/>
    <s v="MANTENIMIENTO-MECANICA"/>
    <s v="$"/>
    <n v="3.3399999000000005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54"/>
    <s v="FAC"/>
    <s v="005"/>
    <s v="00000226"/>
    <x v="191"/>
    <s v="F8V681"/>
    <d v="2019-12-26T00:00:00"/>
    <s v="20516542692"/>
    <s v="CONSULTING CENTER SAC"/>
    <s v="2805010001"/>
    <s v="SERVICIOS"/>
    <s v="000"/>
    <s v="001"/>
    <s v="CONTADO"/>
    <s v="002"/>
    <s v="MANTENIMIENTO-MECANICA"/>
    <s v="S/."/>
    <n v="3.3220000000000001"/>
    <n v="1"/>
    <n v="649"/>
    <n v="649"/>
    <n v="116.8200099999999"/>
    <n v="765.82000999999991"/>
    <n v="649"/>
    <m/>
    <m/>
    <m/>
    <m/>
    <m/>
    <m/>
    <m/>
    <m/>
    <m/>
    <m/>
    <m/>
    <m/>
    <m/>
    <m/>
    <m/>
    <m/>
    <m/>
    <m/>
    <m/>
    <m/>
    <m/>
    <m/>
    <m/>
    <m/>
  </r>
  <r>
    <x v="54"/>
    <s v="FAC"/>
    <s v="005"/>
    <s v="00000226"/>
    <x v="191"/>
    <s v="F8V681"/>
    <d v="2019-12-26T00:00:00"/>
    <s v="20516542692"/>
    <s v="CONSULTING CENTER SAC"/>
    <s v="320001"/>
    <s v="REPUESTOS"/>
    <s v="000"/>
    <s v="001"/>
    <s v="CONTADO"/>
    <s v="002"/>
    <s v="MANTENIMIENTO-MECANICA"/>
    <s v="S/."/>
    <n v="3.322000000000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55"/>
    <s v="FAC"/>
    <s v="005"/>
    <s v="00000227"/>
    <x v="192"/>
    <s v="F2Y614"/>
    <d v="2019-12-19T00:00:00"/>
    <s v="20548521263"/>
    <s v="NGV SUMINISTROS S.A.C."/>
    <s v="310120"/>
    <s v="FRANQUICIA"/>
    <s v="000"/>
    <s v="001"/>
    <s v="CONTADO"/>
    <s v="002"/>
    <s v="MANTENIMIENTO-MECANICA"/>
    <s v="$"/>
    <n v="3.3239999"/>
    <n v="1"/>
    <n v="130.18639999999999"/>
    <n v="130.18639999999999"/>
    <n v="23.433600000000006"/>
    <n v="153.62"/>
    <n v="432.73958058135997"/>
    <m/>
    <m/>
    <m/>
    <m/>
    <m/>
    <m/>
    <m/>
    <m/>
    <m/>
    <m/>
    <m/>
    <m/>
    <m/>
    <m/>
    <m/>
    <m/>
    <m/>
    <m/>
    <m/>
    <m/>
    <m/>
    <m/>
    <m/>
    <m/>
  </r>
  <r>
    <x v="55"/>
    <s v="FAC"/>
    <s v="005"/>
    <s v="00000228"/>
    <x v="193"/>
    <s v="F2Y614"/>
    <d v="2019-12-23T00:00:00"/>
    <s v="20548521263"/>
    <s v="NGV SUMINISTROS S.A.C."/>
    <s v="1302020001"/>
    <s v="PINTURA"/>
    <s v="000"/>
    <s v="001"/>
    <s v="CONTADO"/>
    <s v="009"/>
    <s v="PINTURA"/>
    <s v="$"/>
    <n v="3.3239999"/>
    <n v="1"/>
    <n v="189"/>
    <n v="189"/>
    <n v="34.020000000000003"/>
    <n v="223.02"/>
    <n v="628.2359811"/>
    <m/>
    <m/>
    <m/>
    <m/>
    <m/>
    <m/>
    <m/>
    <m/>
    <m/>
    <m/>
    <m/>
    <m/>
    <m/>
    <m/>
    <m/>
    <m/>
    <m/>
    <m/>
    <m/>
    <m/>
    <m/>
    <m/>
    <m/>
    <m/>
  </r>
  <r>
    <x v="55"/>
    <s v="FAC"/>
    <s v="005"/>
    <s v="00000228"/>
    <x v="193"/>
    <s v="F2Y614"/>
    <d v="2019-12-23T00:00:00"/>
    <s v="20548521263"/>
    <s v="NGV SUMINISTROS S.A.C."/>
    <s v="1201020001"/>
    <s v="PLANCHADO"/>
    <s v="000"/>
    <s v="001"/>
    <s v="CONTADO"/>
    <s v="001"/>
    <s v="PLANCHADO"/>
    <s v="$"/>
    <n v="3.3239999"/>
    <n v="1"/>
    <n v="67.5"/>
    <n v="67.5"/>
    <n v="12.150002000000013"/>
    <n v="79.650002000000015"/>
    <n v="224.36999324999999"/>
    <m/>
    <m/>
    <m/>
    <m/>
    <m/>
    <m/>
    <m/>
    <m/>
    <m/>
    <m/>
    <m/>
    <m/>
    <m/>
    <m/>
    <m/>
    <m/>
    <m/>
    <m/>
    <m/>
    <m/>
    <m/>
    <m/>
    <m/>
    <m/>
  </r>
  <r>
    <x v="55"/>
    <s v="FAC"/>
    <s v="005"/>
    <s v="00000228"/>
    <x v="193"/>
    <s v="F2Y614"/>
    <d v="2019-12-23T00:00:00"/>
    <s v="20548521263"/>
    <s v="NGV SUMINISTROS S.A.C."/>
    <s v="2908010002"/>
    <s v="AMPLIACION REPARACION"/>
    <s v="000"/>
    <s v="001"/>
    <s v="CONTADO"/>
    <s v="002"/>
    <s v="MANTENIMIENTO-MECANICA"/>
    <s v="$"/>
    <n v="3.3239999"/>
    <n v="1"/>
    <n v="10"/>
    <n v="10"/>
    <n v="1.8"/>
    <n v="11.8"/>
    <n v="33.239998999999997"/>
    <m/>
    <m/>
    <m/>
    <m/>
    <m/>
    <m/>
    <m/>
    <m/>
    <m/>
    <m/>
    <m/>
    <m/>
    <m/>
    <m/>
    <m/>
    <m/>
    <m/>
    <m/>
    <m/>
    <m/>
    <m/>
    <m/>
    <m/>
    <m/>
  </r>
  <r>
    <x v="40"/>
    <s v="BOL"/>
    <s v="005"/>
    <s v="00000060"/>
    <x v="161"/>
    <s v="BDG262"/>
    <d v="2019-11-26T00:00:00"/>
    <s v="07566397"/>
    <s v="MILLA HUAYAKAWA ELEONORA"/>
    <s v="310120"/>
    <s v="FRANQUICIA"/>
    <s v="000"/>
    <s v="001"/>
    <s v="CONTADO"/>
    <s v="002"/>
    <s v="MANTENIMIENTO-MECANICA"/>
    <s v="$"/>
    <n v="3.4030000999999999"/>
    <n v="1"/>
    <n v="100"/>
    <n v="100"/>
    <n v="18"/>
    <n v="118"/>
    <n v="340.30000999999999"/>
    <m/>
    <m/>
    <m/>
    <m/>
    <m/>
    <m/>
    <m/>
    <m/>
    <m/>
    <m/>
    <m/>
    <m/>
    <m/>
    <m/>
    <m/>
    <m/>
    <m/>
    <m/>
    <m/>
    <m/>
    <m/>
    <m/>
    <m/>
    <m/>
  </r>
  <r>
    <x v="40"/>
    <s v="BOL"/>
    <s v="005"/>
    <s v="00000061"/>
    <x v="194"/>
    <s v="BDG262"/>
    <d v="2019-11-28T00:00:00"/>
    <s v="07566397"/>
    <s v="MILLA HUAYAKAWA ELEONORA"/>
    <s v="1302020001"/>
    <s v="PINTURA"/>
    <s v="000"/>
    <s v="001"/>
    <s v="CONTADO"/>
    <s v="009"/>
    <s v="PINTURA"/>
    <s v="$"/>
    <n v="3.4030000999999999"/>
    <n v="1"/>
    <n v="120"/>
    <n v="120"/>
    <n v="21.600010000000019"/>
    <n v="141.60001000000003"/>
    <n v="408.36001199999998"/>
    <m/>
    <m/>
    <m/>
    <m/>
    <m/>
    <m/>
    <m/>
    <m/>
    <m/>
    <m/>
    <m/>
    <m/>
    <m/>
    <m/>
    <m/>
    <m/>
    <m/>
    <m/>
    <m/>
    <m/>
    <m/>
    <m/>
    <m/>
    <m/>
  </r>
  <r>
    <x v="40"/>
    <s v="BOL"/>
    <s v="005"/>
    <s v="00000061"/>
    <x v="194"/>
    <s v="BDG262"/>
    <d v="2019-11-28T00:00:00"/>
    <s v="07566397"/>
    <s v="MILLA HUAYAKAWA ELEONORA"/>
    <s v="1201020001"/>
    <s v="PLANCHADO"/>
    <s v="000"/>
    <s v="001"/>
    <s v="CONTADO"/>
    <s v="001"/>
    <s v="PLANCHADO"/>
    <s v="$"/>
    <n v="3.4030000999999999"/>
    <n v="1"/>
    <n v="69.898300000000006"/>
    <n v="69.898300000000006"/>
    <n v="12.581702999999989"/>
    <n v="82.480002999999996"/>
    <n v="237.86392188983001"/>
    <m/>
    <m/>
    <m/>
    <m/>
    <m/>
    <m/>
    <m/>
    <m/>
    <m/>
    <m/>
    <m/>
    <m/>
    <m/>
    <m/>
    <m/>
    <m/>
    <m/>
    <m/>
    <m/>
    <m/>
    <m/>
    <m/>
    <m/>
    <m/>
  </r>
  <r>
    <x v="40"/>
    <s v="BOL"/>
    <s v="005"/>
    <s v="00000061"/>
    <x v="194"/>
    <s v="BDG262"/>
    <d v="2019-11-28T00:00:00"/>
    <s v="07566397"/>
    <s v="MILLA HUAYAKAWA ELEONORA"/>
    <s v="320001"/>
    <s v="REPUESTOS"/>
    <s v="000"/>
    <s v="001"/>
    <s v="CONTADO"/>
    <s v="002"/>
    <s v="MANTENIMIENTO-MECANICA"/>
    <s v="$"/>
    <n v="3.4030000999999999"/>
    <n v="1"/>
    <n v="38"/>
    <n v="38"/>
    <n v="6.84"/>
    <n v="44.84"/>
    <n v="129.31400379999999"/>
    <m/>
    <m/>
    <m/>
    <m/>
    <m/>
    <m/>
    <m/>
    <m/>
    <m/>
    <m/>
    <m/>
    <m/>
    <m/>
    <m/>
    <m/>
    <m/>
    <m/>
    <m/>
    <m/>
    <m/>
    <m/>
    <m/>
    <m/>
    <m/>
  </r>
  <r>
    <x v="40"/>
    <s v="BOL"/>
    <s v="005"/>
    <s v="00000062"/>
    <x v="160"/>
    <s v="R00885"/>
    <d v="2019-11-07T00:00:00"/>
    <s v="41237139"/>
    <s v="AMAYA ARAUJO RAUL EDUARDO"/>
    <s v="310120"/>
    <s v="FRANQUICIA"/>
    <s v="000"/>
    <s v="001"/>
    <s v="CONTADO"/>
    <s v="002"/>
    <s v="MANTENIMIENTO-MECANICA"/>
    <s v="$"/>
    <n v="3.4030000999999999"/>
    <n v="1"/>
    <n v="108.85590000000002"/>
    <n v="108.85590000000002"/>
    <n v="19.594099999999962"/>
    <n v="128.44999999999999"/>
    <n v="370.43663858559006"/>
    <m/>
    <m/>
    <m/>
    <m/>
    <m/>
    <m/>
    <m/>
    <m/>
    <m/>
    <m/>
    <m/>
    <m/>
    <m/>
    <m/>
    <m/>
    <m/>
    <m/>
    <m/>
    <m/>
    <m/>
    <m/>
    <m/>
    <m/>
    <m/>
  </r>
  <r>
    <x v="40"/>
    <s v="BOL"/>
    <s v="005"/>
    <s v="00000063"/>
    <x v="195"/>
    <s v="D3X162"/>
    <d v="2019-12-02T00:00:00"/>
    <s v="07635775"/>
    <s v="TEJADA LIZA DE DEL MOS CLAUDIA"/>
    <s v="2805010001"/>
    <s v="SERVICIOS"/>
    <s v="000"/>
    <s v="001"/>
    <s v="CONTADO"/>
    <s v="002"/>
    <s v="MANTENIMIENTO-MECANICA"/>
    <s v="S/."/>
    <n v="3.4030000999999999"/>
    <n v="1"/>
    <n v="650"/>
    <n v="650"/>
    <n v="117"/>
    <n v="767"/>
    <n v="650"/>
    <m/>
    <m/>
    <m/>
    <m/>
    <m/>
    <m/>
    <m/>
    <m/>
    <m/>
    <m/>
    <m/>
    <m/>
    <m/>
    <m/>
    <m/>
    <m/>
    <m/>
    <m/>
    <m/>
    <m/>
    <m/>
    <m/>
    <m/>
    <m/>
  </r>
  <r>
    <x v="40"/>
    <s v="BOL"/>
    <s v="005"/>
    <s v="00000063"/>
    <x v="195"/>
    <s v="D3X162"/>
    <d v="2019-12-02T00:00:00"/>
    <s v="07635775"/>
    <s v="TEJADA LIZA DE DEL MOS CLAUDIA"/>
    <s v="320001"/>
    <s v="REPUESTOS"/>
    <s v="000"/>
    <s v="001"/>
    <s v="CONTADO"/>
    <s v="002"/>
    <s v="MANTENIMIENTO-MECANICA"/>
    <s v="S/."/>
    <n v="3.4030000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1"/>
    <s v="BOL"/>
    <s v="005"/>
    <s v="00000064"/>
    <x v="166"/>
    <s v="BDW631"/>
    <d v="2019-11-25T00:00:00"/>
    <s v="42625196"/>
    <s v="DIAZ PAURO RAUL"/>
    <s v="310120"/>
    <s v="FRANQUICIA"/>
    <s v="000"/>
    <s v="001"/>
    <s v="CONTADO"/>
    <s v="002"/>
    <s v="MANTENIMIENTO-MECANICA"/>
    <s v="$"/>
    <n v="3.3859998999999998"/>
    <n v="1"/>
    <n v="100"/>
    <n v="100"/>
    <n v="18"/>
    <n v="118"/>
    <n v="338.59998999999999"/>
    <m/>
    <m/>
    <m/>
    <m/>
    <m/>
    <m/>
    <m/>
    <m/>
    <m/>
    <m/>
    <m/>
    <m/>
    <m/>
    <m/>
    <m/>
    <m/>
    <m/>
    <m/>
    <m/>
    <m/>
    <m/>
    <m/>
    <m/>
    <m/>
  </r>
  <r>
    <x v="41"/>
    <s v="BOL"/>
    <s v="005"/>
    <s v="00000065"/>
    <x v="196"/>
    <s v="BDW631"/>
    <d v="2019-12-02T00:00:00"/>
    <s v="42625196"/>
    <s v="DIAZ PAURO RAUL"/>
    <s v="1302020001"/>
    <s v="PINTURA"/>
    <s v="000"/>
    <s v="001"/>
    <s v="CONTADO"/>
    <s v="009"/>
    <s v="PINTURA"/>
    <s v="$"/>
    <n v="3.3859998999999998"/>
    <n v="1"/>
    <n v="30"/>
    <n v="30"/>
    <n v="5.4000019999999997"/>
    <n v="35.400002000000001"/>
    <n v="101.57999699999999"/>
    <m/>
    <m/>
    <m/>
    <m/>
    <m/>
    <m/>
    <m/>
    <m/>
    <m/>
    <m/>
    <m/>
    <m/>
    <m/>
    <m/>
    <m/>
    <m/>
    <m/>
    <m/>
    <m/>
    <m/>
    <m/>
    <m/>
    <m/>
    <m/>
  </r>
  <r>
    <x v="43"/>
    <s v="BOL"/>
    <s v="005"/>
    <s v="00000066"/>
    <x v="167"/>
    <s v="ASM675"/>
    <d v="2019-11-29T00:00:00"/>
    <s v="07596242"/>
    <s v="VASQUEZ NASSI SAUL ENRIQUE"/>
    <s v="310120"/>
    <s v="FRANQUICIA"/>
    <s v="000"/>
    <s v="001"/>
    <s v="CONTADO"/>
    <s v="002"/>
    <s v="MANTENIMIENTO-MECANICA"/>
    <s v="$"/>
    <n v="3.3809999999999998"/>
    <n v="1"/>
    <n v="100"/>
    <n v="100"/>
    <n v="18"/>
    <n v="118"/>
    <n v="338.09999999999997"/>
    <m/>
    <m/>
    <m/>
    <m/>
    <m/>
    <m/>
    <m/>
    <m/>
    <m/>
    <m/>
    <m/>
    <m/>
    <m/>
    <m/>
    <m/>
    <m/>
    <m/>
    <m/>
    <m/>
    <m/>
    <m/>
    <m/>
    <m/>
    <m/>
  </r>
  <r>
    <x v="43"/>
    <s v="BOL"/>
    <s v="005"/>
    <s v="00000068"/>
    <x v="168"/>
    <s v="BFS488"/>
    <d v="2019-11-26T00:00:00"/>
    <s v="09004745"/>
    <s v="ARANDA RAMIREZ DIOSES FREDI"/>
    <s v="310120"/>
    <s v="FRANQUICIA"/>
    <s v="000"/>
    <s v="001"/>
    <s v="CONTADO"/>
    <s v="002"/>
    <s v="MANTENIMIENTO-MECANICA"/>
    <s v="$"/>
    <n v="3.3809999999999998"/>
    <n v="1"/>
    <n v="152.6525"/>
    <n v="152.6525"/>
    <n v="27.477499999999999"/>
    <n v="180.13"/>
    <n v="516.11810249999996"/>
    <m/>
    <m/>
    <m/>
    <m/>
    <m/>
    <m/>
    <m/>
    <m/>
    <m/>
    <m/>
    <m/>
    <m/>
    <m/>
    <m/>
    <m/>
    <m/>
    <m/>
    <m/>
    <m/>
    <m/>
    <m/>
    <m/>
    <m/>
    <m/>
  </r>
  <r>
    <x v="45"/>
    <s v="BOL"/>
    <s v="005"/>
    <s v="00000069"/>
    <x v="174"/>
    <s v="AYK320"/>
    <d v="2019-12-02T00:00:00"/>
    <s v="10547159"/>
    <s v="CHUMBIPUMA SEGURA JUAN PABLO"/>
    <s v="310120"/>
    <s v="FRANQUICIA"/>
    <s v="000"/>
    <s v="001"/>
    <s v="CONTADO"/>
    <s v="002"/>
    <s v="MANTENIMIENTO-MECANICA"/>
    <s v="$"/>
    <n v="3.3800001000000002"/>
    <n v="1"/>
    <n v="100"/>
    <n v="100"/>
    <n v="18"/>
    <n v="118"/>
    <n v="338.00001000000003"/>
    <m/>
    <m/>
    <m/>
    <m/>
    <m/>
    <m/>
    <m/>
    <m/>
    <m/>
    <m/>
    <m/>
    <m/>
    <m/>
    <m/>
    <m/>
    <m/>
    <m/>
    <m/>
    <m/>
    <m/>
    <m/>
    <m/>
    <m/>
    <m/>
  </r>
  <r>
    <x v="48"/>
    <s v="BOL"/>
    <s v="005"/>
    <s v="00000070"/>
    <x v="197"/>
    <s v="APE333"/>
    <d v="2019-12-07T00:00:00"/>
    <s v="07866589"/>
    <s v="ALIAGA MORALES GUSTAVO"/>
    <s v="2805010001"/>
    <s v="SERVICIOS"/>
    <s v="000"/>
    <s v="001"/>
    <s v="CONTADO"/>
    <s v="002"/>
    <s v="MANTENIMIENTO-MECANICA"/>
    <s v="S/."/>
    <n v="3.3929999"/>
    <n v="1"/>
    <n v="120"/>
    <n v="120"/>
    <n v="21.600010000000019"/>
    <n v="141.60001000000003"/>
    <n v="120"/>
    <m/>
    <m/>
    <m/>
    <m/>
    <m/>
    <m/>
    <m/>
    <m/>
    <m/>
    <m/>
    <m/>
    <m/>
    <m/>
    <m/>
    <m/>
    <m/>
    <m/>
    <m/>
    <m/>
    <m/>
    <m/>
    <m/>
    <m/>
    <m/>
  </r>
  <r>
    <x v="48"/>
    <s v="BOL"/>
    <s v="005"/>
    <s v="00000070"/>
    <x v="197"/>
    <s v="APE333"/>
    <d v="2019-12-07T00:00:00"/>
    <s v="07866589"/>
    <s v="ALIAGA MORALES GUSTAVO"/>
    <s v="320001"/>
    <s v="REPUESTOS"/>
    <s v="000"/>
    <s v="001"/>
    <s v="CONTADO"/>
    <s v="002"/>
    <s v="MANTENIMIENTO-MECANICA"/>
    <s v="S/."/>
    <n v="3.3929999"/>
    <n v="1"/>
    <n v="503"/>
    <n v="503"/>
    <n v="90.539979999999929"/>
    <n v="593.5399799999999"/>
    <n v="503"/>
    <m/>
    <m/>
    <m/>
    <m/>
    <m/>
    <m/>
    <m/>
    <m/>
    <m/>
    <m/>
    <m/>
    <m/>
    <m/>
    <m/>
    <m/>
    <m/>
    <m/>
    <m/>
    <m/>
    <m/>
    <m/>
    <m/>
    <m/>
    <m/>
  </r>
  <r>
    <x v="51"/>
    <s v="BOL"/>
    <s v="005"/>
    <s v="00000071"/>
    <x v="184"/>
    <s v="BFB527"/>
    <d v="2019-12-05T00:00:00"/>
    <s v="07702673"/>
    <s v="RIVAROLA GANOZA IVAN"/>
    <s v="310120"/>
    <s v="FRANQUICIA"/>
    <s v="000"/>
    <s v="001"/>
    <s v="CONTADO"/>
    <s v="002"/>
    <s v="MANTENIMIENTO-MECANICA"/>
    <s v="$"/>
    <n v="3.3599999"/>
    <n v="1"/>
    <n v="200"/>
    <n v="200"/>
    <n v="36"/>
    <n v="236"/>
    <n v="671.99998000000005"/>
    <m/>
    <m/>
    <m/>
    <m/>
    <m/>
    <m/>
    <m/>
    <m/>
    <m/>
    <m/>
    <m/>
    <m/>
    <m/>
    <m/>
    <m/>
    <m/>
    <m/>
    <m/>
    <m/>
    <m/>
    <m/>
    <m/>
    <m/>
    <m/>
  </r>
  <r>
    <x v="56"/>
    <s v="BOL"/>
    <s v="005"/>
    <s v="00000072"/>
    <x v="198"/>
    <s v="AKI444"/>
    <d v="2019-12-16T00:00:00"/>
    <s v="07525328"/>
    <s v="RUIZ FLORES OMAR"/>
    <s v="1302020001"/>
    <s v="PINTURA"/>
    <s v="000"/>
    <s v="001"/>
    <s v="CONTADO"/>
    <s v="009"/>
    <s v="PINTURA"/>
    <s v="$"/>
    <n v="3.3380000999999999"/>
    <n v="1"/>
    <n v="30"/>
    <n v="30"/>
    <n v="5.4000019999999997"/>
    <n v="35.400002000000001"/>
    <n v="100.14000299999999"/>
    <m/>
    <m/>
    <m/>
    <m/>
    <m/>
    <m/>
    <m/>
    <m/>
    <m/>
    <m/>
    <m/>
    <m/>
    <m/>
    <m/>
    <m/>
    <m/>
    <m/>
    <m/>
    <m/>
    <m/>
    <m/>
    <m/>
    <m/>
    <m/>
  </r>
  <r>
    <x v="56"/>
    <s v="BOL"/>
    <s v="005"/>
    <s v="00000072"/>
    <x v="198"/>
    <s v="AKI444"/>
    <d v="2019-12-16T00:00:00"/>
    <s v="07525328"/>
    <s v="RUIZ FLORES OMAR"/>
    <s v="2908010001"/>
    <s v="TERCEROS"/>
    <s v="000"/>
    <s v="001"/>
    <s v="CONTADO"/>
    <s v="002"/>
    <s v="MANTENIMIENTO-MECANICA"/>
    <s v="$"/>
    <n v="3.3380000999999999"/>
    <n v="1"/>
    <n v="30"/>
    <n v="30"/>
    <n v="5.4000019999999997"/>
    <n v="35.400002000000001"/>
    <n v="100.14000299999999"/>
    <m/>
    <m/>
    <m/>
    <m/>
    <m/>
    <m/>
    <m/>
    <m/>
    <m/>
    <m/>
    <m/>
    <m/>
    <m/>
    <m/>
    <m/>
    <m/>
    <m/>
    <m/>
    <m/>
    <m/>
    <m/>
    <m/>
    <m/>
    <m/>
  </r>
  <r>
    <x v="56"/>
    <s v="BOL"/>
    <s v="005"/>
    <s v="00000073"/>
    <x v="199"/>
    <s v="BFS508"/>
    <d v="2019-12-12T00:00:00"/>
    <s v="40208356"/>
    <s v="RODRIGUEZ CHUMPITAZ MARCOS"/>
    <s v="2805010001"/>
    <s v="SERVICIOS"/>
    <s v="000"/>
    <s v="001"/>
    <s v="CONTADO"/>
    <s v="002"/>
    <s v="MANTENIMIENTO-MECANICA"/>
    <s v="S/."/>
    <n v="3.3380000999999999"/>
    <n v="1"/>
    <n v="349"/>
    <n v="349"/>
    <n v="62.82001000000011"/>
    <n v="411.82001000000014"/>
    <n v="349"/>
    <m/>
    <m/>
    <m/>
    <m/>
    <m/>
    <m/>
    <m/>
    <m/>
    <m/>
    <m/>
    <m/>
    <m/>
    <m/>
    <m/>
    <m/>
    <m/>
    <m/>
    <m/>
    <m/>
    <m/>
    <m/>
    <m/>
    <m/>
    <m/>
  </r>
  <r>
    <x v="56"/>
    <s v="BOL"/>
    <s v="005"/>
    <s v="00000073"/>
    <x v="199"/>
    <s v="BFS508"/>
    <d v="2019-12-12T00:00:00"/>
    <s v="40208356"/>
    <s v="RODRIGUEZ CHUMPITAZ MARCOS"/>
    <s v="320001"/>
    <s v="REPUESTOS"/>
    <s v="000"/>
    <s v="001"/>
    <s v="CONTADO"/>
    <s v="002"/>
    <s v="MANTENIMIENTO-MECANICA"/>
    <s v="S/."/>
    <n v="3.3380000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56"/>
    <s v="BOL"/>
    <s v="005"/>
    <s v="00000074"/>
    <x v="200"/>
    <s v="BFS508"/>
    <d v="2019-12-11T00:00:00"/>
    <s v="40208356"/>
    <s v="RODRIGUEZ CHUMPITAZ MARCOS"/>
    <s v="310120"/>
    <s v="FRANQUICIA"/>
    <s v="000"/>
    <s v="001"/>
    <s v="CONTADO"/>
    <s v="002"/>
    <s v="MANTENIMIENTO-MECANICA"/>
    <s v="$"/>
    <n v="3.3380000999999999"/>
    <n v="1"/>
    <n v="150"/>
    <n v="150"/>
    <n v="27"/>
    <n v="177"/>
    <n v="500.70001500000001"/>
    <m/>
    <m/>
    <m/>
    <m/>
    <m/>
    <m/>
    <m/>
    <m/>
    <m/>
    <m/>
    <m/>
    <m/>
    <m/>
    <m/>
    <m/>
    <m/>
    <m/>
    <m/>
    <m/>
    <m/>
    <m/>
    <m/>
    <m/>
    <m/>
  </r>
  <r>
    <x v="57"/>
    <s v="BOL"/>
    <s v="005"/>
    <s v="00000075"/>
    <x v="201"/>
    <s v="BEE024"/>
    <d v="2019-12-16T00:00:00"/>
    <s v="26733435"/>
    <s v="MARTOS SALCEDO KARIN LILIANA"/>
    <s v="310120"/>
    <s v="FRANQUICIA"/>
    <s v="000"/>
    <s v="001"/>
    <s v="CONTADO"/>
    <s v="002"/>
    <s v="MANTENIMIENTO-MECANICA"/>
    <s v="$"/>
    <n v="3.3260000000000001"/>
    <n v="1"/>
    <n v="50"/>
    <n v="50"/>
    <n v="9"/>
    <n v="59"/>
    <n v="166.3"/>
    <m/>
    <m/>
    <m/>
    <m/>
    <m/>
    <m/>
    <m/>
    <m/>
    <m/>
    <m/>
    <m/>
    <m/>
    <m/>
    <m/>
    <m/>
    <m/>
    <m/>
    <m/>
    <m/>
    <m/>
    <m/>
    <m/>
    <m/>
    <m/>
  </r>
  <r>
    <x v="57"/>
    <s v="BOL"/>
    <s v="005"/>
    <s v="00000076"/>
    <x v="202"/>
    <s v="A2Q372"/>
    <d v="2019-12-19T00:00:00"/>
    <s v="40104004"/>
    <s v="SALVATIERRA YARACSA KARINA"/>
    <s v="2805010001"/>
    <s v="SERVICIOS"/>
    <s v="000"/>
    <s v="001"/>
    <s v="CONTADO"/>
    <s v="002"/>
    <s v="MANTENIMIENTO-MECANICA"/>
    <s v="S/."/>
    <n v="3.3260000000000001"/>
    <n v="1"/>
    <n v="300"/>
    <n v="300"/>
    <n v="54"/>
    <n v="354"/>
    <n v="300"/>
    <m/>
    <m/>
    <m/>
    <m/>
    <m/>
    <m/>
    <m/>
    <m/>
    <m/>
    <m/>
    <m/>
    <m/>
    <m/>
    <m/>
    <m/>
    <m/>
    <m/>
    <m/>
    <m/>
    <m/>
    <m/>
    <m/>
    <m/>
    <m/>
  </r>
  <r>
    <x v="57"/>
    <s v="BOL"/>
    <s v="005"/>
    <s v="00000076"/>
    <x v="202"/>
    <s v="A2Q372"/>
    <d v="2019-12-19T00:00:00"/>
    <s v="40104004"/>
    <s v="SALVATIERRA YARACSA KARINA"/>
    <s v="310255"/>
    <s v="DESCUENTO"/>
    <s v="000"/>
    <s v="001"/>
    <s v="CONTADO"/>
    <s v="002"/>
    <s v="MANTENIMIENTO-MECANICA"/>
    <s v="S/."/>
    <n v="3.3260000000000001"/>
    <n v="-1"/>
    <n v="252.20339999999996"/>
    <n v="-252.20339999999996"/>
    <n v="-45.396610000000038"/>
    <n v="-297.60001"/>
    <n v="-252.20339999999996"/>
    <m/>
    <m/>
    <m/>
    <m/>
    <m/>
    <m/>
    <m/>
    <m/>
    <m/>
    <m/>
    <m/>
    <m/>
    <m/>
    <m/>
    <m/>
    <m/>
    <m/>
    <m/>
    <m/>
    <m/>
    <m/>
    <m/>
    <m/>
    <m/>
  </r>
  <r>
    <x v="57"/>
    <s v="BOL"/>
    <s v="005"/>
    <s v="00000076"/>
    <x v="202"/>
    <s v="A2Q372"/>
    <d v="2019-12-19T00:00:00"/>
    <s v="40104004"/>
    <s v="SALVATIERRA YARACSA KARINA"/>
    <s v="320001"/>
    <s v="REPUESTOS"/>
    <s v="000"/>
    <s v="001"/>
    <s v="CONTADO"/>
    <s v="002"/>
    <s v="MANTENIMIENTO-MECANICA"/>
    <s v="S/."/>
    <n v="3.3260000000000001"/>
    <n v="1"/>
    <n v="2222"/>
    <n v="2222"/>
    <n v="399.96"/>
    <n v="2621.96"/>
    <n v="2222"/>
    <m/>
    <m/>
    <m/>
    <m/>
    <m/>
    <m/>
    <m/>
    <m/>
    <m/>
    <m/>
    <m/>
    <m/>
    <m/>
    <m/>
    <m/>
    <m/>
    <m/>
    <m/>
    <m/>
    <m/>
    <m/>
    <m/>
    <m/>
    <m/>
  </r>
  <r>
    <x v="58"/>
    <s v="BOL"/>
    <s v="005"/>
    <s v="00000077"/>
    <x v="203"/>
    <s v="BKA372"/>
    <d v="2019-12-23T00:00:00"/>
    <s v="46919544"/>
    <s v="VERME ALVA RODRIGO"/>
    <s v="310255"/>
    <s v="DESCUENTO"/>
    <s v="000"/>
    <s v="001"/>
    <s v="CONTADO"/>
    <s v="002"/>
    <s v="MANTENIMIENTO-MECANICA"/>
    <s v="S/."/>
    <n v="3.3260000000000001"/>
    <n v="-1"/>
    <n v="44.898300000000006"/>
    <n v="-44.898300000000006"/>
    <n v="-8.0816999999999908"/>
    <n v="-52.98"/>
    <n v="-44.898300000000006"/>
    <m/>
    <m/>
    <m/>
    <m/>
    <m/>
    <m/>
    <m/>
    <m/>
    <m/>
    <m/>
    <m/>
    <m/>
    <m/>
    <m/>
    <m/>
    <m/>
    <m/>
    <m/>
    <m/>
    <m/>
    <m/>
    <m/>
    <m/>
    <m/>
  </r>
  <r>
    <x v="58"/>
    <s v="BOL"/>
    <s v="005"/>
    <s v="00000077"/>
    <x v="203"/>
    <s v="BKA372"/>
    <d v="2019-12-23T00:00:00"/>
    <s v="46919544"/>
    <s v="VERME ALVA RODRIGO"/>
    <s v="2805010001"/>
    <s v="SERVICIOS"/>
    <s v="000"/>
    <s v="001"/>
    <s v="CONTADO"/>
    <s v="002"/>
    <s v="MANTENIMIENTO-MECANICA"/>
    <s v="S/."/>
    <n v="3.3260000000000001"/>
    <n v="1"/>
    <n v="449"/>
    <n v="449"/>
    <n v="80.82001000000011"/>
    <n v="529.82001000000014"/>
    <n v="449"/>
    <m/>
    <m/>
    <m/>
    <m/>
    <m/>
    <m/>
    <m/>
    <m/>
    <m/>
    <m/>
    <m/>
    <m/>
    <m/>
    <m/>
    <m/>
    <m/>
    <m/>
    <m/>
    <m/>
    <m/>
    <m/>
    <m/>
    <m/>
    <m/>
  </r>
  <r>
    <x v="58"/>
    <s v="BOL"/>
    <s v="005"/>
    <s v="00000077"/>
    <x v="203"/>
    <s v="BKA372"/>
    <d v="2019-12-23T00:00:00"/>
    <s v="46919544"/>
    <s v="VERME ALVA RODRIGO"/>
    <s v="320001"/>
    <s v="REPUESTOS"/>
    <s v="000"/>
    <s v="001"/>
    <s v="CONTADO"/>
    <s v="002"/>
    <s v="MANTENIMIENTO-MECANICA"/>
    <s v="S/."/>
    <n v="3.326000000000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54"/>
    <s v="BOL"/>
    <s v="005"/>
    <s v="00000078"/>
    <x v="204"/>
    <s v="F7V531"/>
    <d v="2019-12-20T00:00:00"/>
    <s v="07274474"/>
    <s v="DIAZ SALCEDO LUIS FELIPE"/>
    <s v="310120"/>
    <s v="FRANQUICIA"/>
    <s v="000"/>
    <s v="001"/>
    <s v="CONTADO"/>
    <s v="002"/>
    <s v="MANTENIMIENTO-MECANICA"/>
    <s v="$"/>
    <n v="3.3220000000000001"/>
    <n v="1"/>
    <n v="100"/>
    <n v="100"/>
    <n v="18"/>
    <n v="118"/>
    <n v="332.2"/>
    <m/>
    <m/>
    <m/>
    <m/>
    <m/>
    <m/>
    <m/>
    <m/>
    <m/>
    <m/>
    <m/>
    <m/>
    <m/>
    <m/>
    <m/>
    <m/>
    <m/>
    <m/>
    <m/>
    <m/>
    <m/>
    <m/>
    <m/>
    <m/>
  </r>
  <r>
    <x v="59"/>
    <s v="BOL"/>
    <s v="005"/>
    <s v="00000079"/>
    <x v="205"/>
    <s v="BAK021"/>
    <d v="2019-12-21T00:00:00"/>
    <s v="42916668"/>
    <s v="LOAYZA VEGA FELIPE"/>
    <s v="1302020001"/>
    <s v="PINTURA"/>
    <s v="000"/>
    <s v="001"/>
    <s v="CONTADO"/>
    <s v="009"/>
    <s v="PINTURA"/>
    <s v="$"/>
    <n v="3.3239999"/>
    <n v="1"/>
    <n v="270"/>
    <n v="270"/>
    <n v="48.600010000000005"/>
    <n v="318.60001"/>
    <n v="897.47997299999997"/>
    <m/>
    <m/>
    <m/>
    <m/>
    <m/>
    <m/>
    <m/>
    <m/>
    <m/>
    <m/>
    <m/>
    <m/>
    <m/>
    <m/>
    <m/>
    <m/>
    <m/>
    <m/>
    <m/>
    <m/>
    <m/>
    <m/>
    <m/>
    <m/>
  </r>
  <r>
    <x v="59"/>
    <s v="BOL"/>
    <s v="005"/>
    <s v="00000079"/>
    <x v="205"/>
    <s v="BAK021"/>
    <d v="2019-12-21T00:00:00"/>
    <s v="42916668"/>
    <s v="LOAYZA VEGA FELIPE"/>
    <s v="1201020001"/>
    <s v="PLANCHADO"/>
    <s v="000"/>
    <s v="001"/>
    <s v="CONTADO"/>
    <s v="001"/>
    <s v="PLANCHADO"/>
    <s v="$"/>
    <n v="3.3239999"/>
    <n v="1"/>
    <n v="240"/>
    <n v="240"/>
    <n v="43.200010000000042"/>
    <n v="283.20001000000002"/>
    <n v="797.75997600000005"/>
    <m/>
    <m/>
    <m/>
    <m/>
    <m/>
    <m/>
    <m/>
    <m/>
    <m/>
    <m/>
    <m/>
    <m/>
    <m/>
    <m/>
    <m/>
    <m/>
    <m/>
    <m/>
    <m/>
    <m/>
    <m/>
    <m/>
    <m/>
    <m/>
  </r>
  <r>
    <x v="59"/>
    <s v="BOL"/>
    <s v="005"/>
    <s v="00000079"/>
    <x v="205"/>
    <s v="BAK021"/>
    <d v="2019-12-21T00:00:00"/>
    <s v="42916668"/>
    <s v="LOAYZA VEGA FELIPE"/>
    <s v="2908010001"/>
    <s v="TERCEROS"/>
    <s v="000"/>
    <s v="001"/>
    <s v="CONTADO"/>
    <s v="002"/>
    <s v="MANTENIMIENTO-MECANICA"/>
    <s v="$"/>
    <n v="3.3239999"/>
    <n v="1"/>
    <n v="60"/>
    <n v="60"/>
    <n v="10.800002999999997"/>
    <n v="70.800003000000004"/>
    <n v="199.43999400000001"/>
    <m/>
    <m/>
    <m/>
    <m/>
    <m/>
    <m/>
    <m/>
    <m/>
    <m/>
    <m/>
    <m/>
    <m/>
    <m/>
    <m/>
    <m/>
    <m/>
    <m/>
    <m/>
    <m/>
    <m/>
    <m/>
    <m/>
    <m/>
    <m/>
  </r>
  <r>
    <x v="59"/>
    <s v="BOL"/>
    <s v="005"/>
    <s v="00000079"/>
    <x v="205"/>
    <s v="BAK021"/>
    <d v="2019-12-21T00:00:00"/>
    <s v="42916668"/>
    <s v="LOAYZA VEGA FELIPE"/>
    <s v="310255"/>
    <s v="DESCUENTO"/>
    <s v="000"/>
    <s v="001"/>
    <s v="CONTADO"/>
    <s v="002"/>
    <s v="MANTENIMIENTO-MECANICA"/>
    <s v="$"/>
    <n v="3.3239999"/>
    <n v="-1"/>
    <n v="61.533900999999993"/>
    <n v="-61.533901000000007"/>
    <n v="-11.076100000000006"/>
    <n v="-72.610001000000011"/>
    <n v="-204.53868077060991"/>
    <m/>
    <m/>
    <m/>
    <m/>
    <m/>
    <m/>
    <m/>
    <m/>
    <m/>
    <m/>
    <m/>
    <m/>
    <m/>
    <m/>
    <m/>
    <m/>
    <m/>
    <m/>
    <m/>
    <m/>
    <m/>
    <m/>
    <m/>
    <m/>
  </r>
  <r>
    <x v="59"/>
    <s v="BOL"/>
    <s v="005"/>
    <s v="00000080"/>
    <x v="206"/>
    <s v="BEA170"/>
    <d v="2019-12-23T00:00:00"/>
    <s v="06157806"/>
    <s v="GUZMAN ZUÑIGA CARLOS LEONARDO"/>
    <s v="1302020001"/>
    <s v="PINTURA"/>
    <s v="000"/>
    <s v="001"/>
    <s v="CONTADO"/>
    <s v="009"/>
    <s v="PINTURA"/>
    <s v="S/."/>
    <n v="3.3239999"/>
    <n v="1"/>
    <n v="42.372897999999985"/>
    <n v="42.372897999999985"/>
    <n v="7.6271020000000131"/>
    <n v="50"/>
    <n v="42.372897999999985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7"/>
    <x v="207"/>
    <n v="0"/>
    <d v="2019-12-02T00:00:00"/>
    <s v="20547583168"/>
    <s v="AUTOCLASS S.A.C."/>
    <s v="1302020001"/>
    <s v="PINTURA"/>
    <s v="001"/>
    <s v="001"/>
    <s v="CONTADO"/>
    <s v="009"/>
    <s v="PINTURA"/>
    <s v="S/."/>
    <n v="3.3900001"/>
    <n v="-1"/>
    <n v="-1822.5"/>
    <n v="-1822.5"/>
    <n v="-328.05"/>
    <n v="-2150.5500000000002"/>
    <n v="-1822.5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7"/>
    <x v="207"/>
    <n v="0"/>
    <d v="2019-12-02T00:00:00"/>
    <s v="20547583168"/>
    <s v="AUTOCLASS S.A.C."/>
    <s v="1201020001"/>
    <s v="PLANCHADO"/>
    <s v="001"/>
    <s v="001"/>
    <s v="CONTADO"/>
    <s v="001"/>
    <s v="PLANCHADO"/>
    <s v="S/."/>
    <n v="3.3900001"/>
    <n v="-1"/>
    <n v="-875"/>
    <n v="-875"/>
    <n v="-157.5"/>
    <n v="-1032.5"/>
    <n v="-875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7"/>
    <x v="207"/>
    <n v="0"/>
    <d v="2019-12-02T00:00:00"/>
    <s v="20547583168"/>
    <s v="AUTOCLASS S.A.C."/>
    <s v="2908010001"/>
    <s v="TERCEROS"/>
    <s v="001"/>
    <s v="001"/>
    <s v="CONTADO"/>
    <s v="002"/>
    <s v="MANTENIMIENTO-MECANICA"/>
    <s v="S/."/>
    <n v="3.3900001"/>
    <n v="-1"/>
    <n v="-1185"/>
    <n v="-1185"/>
    <n v="-213.3"/>
    <n v="-1398.3"/>
    <n v="-1185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7"/>
    <x v="207"/>
    <n v="0"/>
    <d v="2019-12-02T00:00:00"/>
    <s v="20547583168"/>
    <s v="AUTOCLASS S.A.C."/>
    <s v="2908010002"/>
    <s v="AMPLIACION REPUESTOS"/>
    <s v="001"/>
    <s v="001"/>
    <s v="CONTADO"/>
    <s v="002"/>
    <s v="MANTENIMIENTO-MECANICA"/>
    <s v="S/."/>
    <n v="3.3900001"/>
    <n v="-1"/>
    <n v="-1512"/>
    <n v="-1512"/>
    <n v="-272.16000000000003"/>
    <n v="-1784.16"/>
    <n v="-1512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7"/>
    <x v="207"/>
    <n v="0"/>
    <d v="2019-12-02T00:00:00"/>
    <s v="20547583168"/>
    <s v="AUTOCLASS S.A.C."/>
    <s v="2908010003"/>
    <s v="AMPLIACION REPUESTO"/>
    <s v="001"/>
    <s v="001"/>
    <s v="CONTADO"/>
    <s v="002"/>
    <s v="MANTENIMIENTO-MECANICA"/>
    <s v="S/."/>
    <n v="3.3900001"/>
    <n v="-1"/>
    <n v="-110"/>
    <n v="-110"/>
    <n v="-19.8"/>
    <n v="-129.80000000000001"/>
    <n v="-110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7"/>
    <x v="207"/>
    <n v="0"/>
    <d v="2019-12-02T00:00:00"/>
    <s v="20547583168"/>
    <s v="AUTOCLASS S.A.C."/>
    <s v="2908010003"/>
    <s v="AMPLIACION PLANCHADO"/>
    <s v="001"/>
    <s v="001"/>
    <s v="CONTADO"/>
    <s v="002"/>
    <s v="MANTENIMIENTO-MECANICA"/>
    <s v="S/."/>
    <n v="3.3900001"/>
    <n v="-6"/>
    <n v="-35"/>
    <n v="-210"/>
    <n v="-37.799993999999941"/>
    <n v="-247.79999399999994"/>
    <n v="-210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7"/>
    <x v="207"/>
    <n v="0"/>
    <d v="2019-12-02T00:00:00"/>
    <s v="20547583168"/>
    <s v="AUTOCLASS S.A.C."/>
    <s v="2908010003"/>
    <s v="REPARACION TERCEROS"/>
    <s v="001"/>
    <s v="001"/>
    <s v="CONTADO"/>
    <s v="002"/>
    <s v="MANTENIMIENTO-MECANICA"/>
    <s v="S/."/>
    <n v="3.3900001"/>
    <n v="-2"/>
    <n v="-70"/>
    <n v="-140"/>
    <n v="-25.199995999999956"/>
    <n v="-165.19999599999994"/>
    <n v="-140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7"/>
    <x v="207"/>
    <n v="0"/>
    <d v="2019-12-02T00:00:00"/>
    <s v="20547583168"/>
    <s v="AUTOCLASS S.A.C."/>
    <s v="2805010001"/>
    <s v="SERVICIOS"/>
    <s v="001"/>
    <s v="001"/>
    <s v="CONTADO"/>
    <s v="002"/>
    <s v="MANTENIMIENTO-MECANICA"/>
    <s v="S/."/>
    <n v="3.3900001"/>
    <n v="-1"/>
    <n v="-743.75420999999972"/>
    <n v="-743.75420999999972"/>
    <n v="-133.87579000000028"/>
    <n v="-877.63"/>
    <n v="-743.75420999999972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7"/>
    <x v="207"/>
    <n v="0"/>
    <d v="2019-12-02T00:00:00"/>
    <s v="20547583168"/>
    <s v="AUTOCLASS S.A.C."/>
    <s v="320001"/>
    <s v="REPUESTOS"/>
    <s v="001"/>
    <s v="001"/>
    <s v="CONTADO"/>
    <s v="002"/>
    <s v="MANTENIMIENTO-MECANICA"/>
    <s v="S/."/>
    <n v="3.3900001"/>
    <n v="-1"/>
    <n v="-1607"/>
    <n v="-1607"/>
    <n v="-289.26"/>
    <n v="-1896.26"/>
    <n v="-1607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8"/>
    <x v="208"/>
    <n v="0"/>
    <d v="2019-12-02T00:00:00"/>
    <s v="20547583168"/>
    <s v="AUTOCLASS S.A.C."/>
    <s v="1302020001"/>
    <s v="PINTURA"/>
    <s v="001"/>
    <s v="001"/>
    <s v="CONTADO"/>
    <s v="009"/>
    <s v="PINTURA"/>
    <s v="S/."/>
    <n v="3.3900001"/>
    <n v="-1"/>
    <n v="-2700"/>
    <n v="-2700"/>
    <n v="-486"/>
    <n v="-3186"/>
    <n v="-2700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8"/>
    <x v="208"/>
    <n v="0"/>
    <d v="2019-12-02T00:00:00"/>
    <s v="20547583168"/>
    <s v="AUTOCLASS S.A.C."/>
    <s v="1201020001"/>
    <s v="PLANCHADO"/>
    <s v="001"/>
    <s v="001"/>
    <s v="CONTADO"/>
    <s v="001"/>
    <s v="PLANCHADO"/>
    <s v="S/."/>
    <n v="3.3900001"/>
    <n v="-1"/>
    <n v="-1575"/>
    <n v="-1575"/>
    <n v="-283.5"/>
    <n v="-1858.5"/>
    <n v="-1575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8"/>
    <x v="208"/>
    <n v="0"/>
    <d v="2019-12-02T00:00:00"/>
    <s v="20547583168"/>
    <s v="AUTOCLASS S.A.C."/>
    <s v="2908010001"/>
    <s v="TERCEROS"/>
    <s v="001"/>
    <s v="001"/>
    <s v="CONTADO"/>
    <s v="002"/>
    <s v="MANTENIMIENTO-MECANICA"/>
    <s v="S/."/>
    <n v="3.3900001"/>
    <n v="-1"/>
    <n v="-890"/>
    <n v="-890"/>
    <n v="-160.19999999999999"/>
    <n v="-1050.2"/>
    <n v="-890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8"/>
    <x v="208"/>
    <n v="0"/>
    <d v="2019-12-02T00:00:00"/>
    <s v="20547583168"/>
    <s v="AUTOCLASS S.A.C."/>
    <s v="2908010002"/>
    <s v="AMPLIACION RESPUESTO"/>
    <s v="001"/>
    <s v="001"/>
    <s v="CONTADO"/>
    <s v="002"/>
    <s v="MANTENIMIENTO-MECANICA"/>
    <s v="S/."/>
    <n v="3.3900001"/>
    <n v="-1"/>
    <n v="-730"/>
    <n v="-730"/>
    <n v="-131.40002000000021"/>
    <n v="-861.40002000000027"/>
    <n v="-730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8"/>
    <x v="208"/>
    <n v="0"/>
    <d v="2019-12-02T00:00:00"/>
    <s v="20547583168"/>
    <s v="AUTOCLASS S.A.C."/>
    <s v="2805010001"/>
    <s v="SERVICIOS"/>
    <s v="001"/>
    <s v="001"/>
    <s v="CONTADO"/>
    <s v="002"/>
    <s v="MANTENIMIENTO-MECANICA"/>
    <s v="S/."/>
    <n v="3.3900001"/>
    <n v="-1"/>
    <n v="-848.75420999999972"/>
    <n v="-848.75420999999972"/>
    <n v="-152.77579000000026"/>
    <n v="-1001.53"/>
    <n v="-848.75420999999972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8"/>
    <x v="208"/>
    <n v="0"/>
    <d v="2019-12-02T00:00:00"/>
    <s v="20547583168"/>
    <s v="AUTOCLASS S.A.C."/>
    <s v="320001"/>
    <s v="REPUESTOS"/>
    <s v="001"/>
    <s v="001"/>
    <s v="CONTADO"/>
    <s v="002"/>
    <s v="MANTENIMIENTO-MECANICA"/>
    <s v="S/."/>
    <n v="3.3900001"/>
    <n v="-1"/>
    <n v="-3057"/>
    <n v="-3057"/>
    <n v="-550.26"/>
    <n v="-3607.26"/>
    <n v="-3057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9"/>
    <x v="209"/>
    <n v="0"/>
    <d v="2019-12-02T00:00:00"/>
    <s v="20547583168"/>
    <s v="AUTOCLASS S.A.C."/>
    <s v="1302020001"/>
    <s v="PINTURA"/>
    <s v="001"/>
    <s v="001"/>
    <s v="CONTADO"/>
    <s v="009"/>
    <s v="PINTURA"/>
    <s v="S/."/>
    <n v="3.3900001"/>
    <n v="-1"/>
    <n v="-2565"/>
    <n v="-2565"/>
    <n v="-461.7"/>
    <n v="-3026.7"/>
    <n v="-2565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9"/>
    <x v="209"/>
    <n v="0"/>
    <d v="2019-12-02T00:00:00"/>
    <s v="20547583168"/>
    <s v="AUTOCLASS S.A.C."/>
    <s v="1201020001"/>
    <s v="PLANCHADO"/>
    <s v="001"/>
    <s v="001"/>
    <s v="CONTADO"/>
    <s v="001"/>
    <s v="PLANCHADO"/>
    <s v="S/."/>
    <n v="3.3900001"/>
    <n v="-1"/>
    <n v="-1960"/>
    <n v="-1960"/>
    <n v="-352.8"/>
    <n v="-2312.8000000000002"/>
    <n v="-1960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9"/>
    <x v="209"/>
    <n v="0"/>
    <d v="2019-12-02T00:00:00"/>
    <s v="20547583168"/>
    <s v="AUTOCLASS S.A.C."/>
    <s v="2908010001"/>
    <s v="TERCEROS"/>
    <s v="001"/>
    <s v="001"/>
    <s v="CONTADO"/>
    <s v="002"/>
    <s v="MANTENIMIENTO-MECANICA"/>
    <s v="S/."/>
    <n v="3.3900001"/>
    <n v="-1"/>
    <n v="-985"/>
    <n v="-985"/>
    <n v="-177.3"/>
    <n v="-1162.3"/>
    <n v="-985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9"/>
    <x v="209"/>
    <n v="0"/>
    <d v="2019-12-02T00:00:00"/>
    <s v="20547583168"/>
    <s v="AUTOCLASS S.A.C."/>
    <s v="2908010002"/>
    <s v="AMPLIACION REPUESTOS"/>
    <s v="001"/>
    <s v="001"/>
    <s v="CONTADO"/>
    <s v="002"/>
    <s v="MANTENIMIENTO-MECANICA"/>
    <s v="S/."/>
    <n v="3.3900001"/>
    <n v="-1"/>
    <n v="-3070"/>
    <n v="-3070"/>
    <n v="-552.60010000000011"/>
    <n v="-3622.6001000000001"/>
    <n v="-3070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9"/>
    <x v="209"/>
    <n v="0"/>
    <d v="2019-12-02T00:00:00"/>
    <s v="20547583168"/>
    <s v="AUTOCLASS S.A.C."/>
    <s v="2908010003"/>
    <s v="REPARACION CONCENTRADOR"/>
    <s v="001"/>
    <s v="001"/>
    <s v="CONTADO"/>
    <s v="002"/>
    <s v="MANTENIMIENTO-MECANICA"/>
    <s v="S/."/>
    <n v="3.3900001"/>
    <n v="-1"/>
    <n v="-70"/>
    <n v="-70"/>
    <n v="-12.599997999999978"/>
    <n v="-82.599997999999971"/>
    <n v="-70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9"/>
    <x v="209"/>
    <n v="0"/>
    <d v="2019-12-02T00:00:00"/>
    <s v="20547583168"/>
    <s v="AUTOCLASS S.A.C."/>
    <s v="2805010001"/>
    <s v="SERVICIOS"/>
    <s v="001"/>
    <s v="001"/>
    <s v="CONTADO"/>
    <s v="002"/>
    <s v="MANTENIMIENTO-MECANICA"/>
    <s v="S/."/>
    <n v="3.3900001"/>
    <n v="-1"/>
    <n v="-673.75420999999972"/>
    <n v="-673.75420999999972"/>
    <n v="-121.27582000000038"/>
    <n v="-795.03003000000012"/>
    <n v="-673.75420999999972"/>
    <m/>
    <m/>
    <m/>
    <m/>
    <m/>
    <m/>
    <m/>
    <m/>
    <m/>
    <m/>
    <m/>
    <m/>
    <m/>
    <m/>
    <m/>
    <m/>
    <m/>
    <m/>
    <m/>
    <m/>
    <m/>
    <m/>
    <m/>
    <m/>
  </r>
  <r>
    <x v="60"/>
    <s v="ABO"/>
    <s v="005"/>
    <s v="00000009"/>
    <x v="209"/>
    <n v="0"/>
    <d v="2019-12-02T00:00:00"/>
    <s v="20547583168"/>
    <s v="AUTOCLASS S.A.C."/>
    <s v="320001"/>
    <s v="REPUESTOS"/>
    <s v="001"/>
    <s v="001"/>
    <s v="CONTADO"/>
    <s v="002"/>
    <s v="MANTENIMIENTO-MECANICA"/>
    <s v="S/."/>
    <n v="3.3900001"/>
    <n v="-1"/>
    <n v="-1967"/>
    <n v="-1967"/>
    <n v="-354.06010000000009"/>
    <n v="-2321.0601000000001"/>
    <n v="-1967"/>
    <m/>
    <m/>
    <m/>
    <m/>
    <m/>
    <m/>
    <m/>
    <m/>
    <m/>
    <m/>
    <m/>
    <m/>
    <m/>
    <m/>
    <m/>
    <m/>
    <m/>
    <m/>
    <m/>
    <m/>
    <m/>
    <m/>
    <m/>
    <m/>
  </r>
  <r>
    <x v="44"/>
    <s v="ABO"/>
    <s v="005"/>
    <s v="00000010"/>
    <x v="210"/>
    <n v="0"/>
    <d v="2019-12-09T00:00:00"/>
    <s v="20509959766"/>
    <s v="RENTAEQUIPOS LEASING PERU S.A."/>
    <s v="1302020001"/>
    <s v="PINTURA"/>
    <s v="001"/>
    <s v="001"/>
    <s v="CONTADO"/>
    <s v="009"/>
    <s v="PINTURA"/>
    <s v="$"/>
    <n v="3.3809999999999998"/>
    <n v="-1"/>
    <n v="-59"/>
    <n v="-59"/>
    <n v="-10.620002999999997"/>
    <n v="-69.620002999999997"/>
    <n v="-199.47899999999998"/>
    <m/>
    <m/>
    <m/>
    <m/>
    <m/>
    <m/>
    <m/>
    <m/>
    <m/>
    <m/>
    <m/>
    <m/>
    <m/>
    <m/>
    <m/>
    <m/>
    <m/>
    <m/>
    <m/>
    <m/>
    <m/>
    <m/>
    <m/>
    <m/>
  </r>
  <r>
    <x v="44"/>
    <s v="ABO"/>
    <s v="005"/>
    <s v="00000010"/>
    <x v="210"/>
    <n v="0"/>
    <d v="2019-12-09T00:00:00"/>
    <s v="20509959766"/>
    <s v="RENTAEQUIPOS LEASING PERU S.A."/>
    <s v="1201020001"/>
    <s v="PLANCHADO"/>
    <s v="001"/>
    <s v="001"/>
    <s v="CONTADO"/>
    <s v="001"/>
    <s v="PLANCHADO"/>
    <s v="$"/>
    <n v="3.3809999999999998"/>
    <n v="-1"/>
    <n v="-30"/>
    <n v="-30"/>
    <n v="-5.4000019999999997"/>
    <n v="-35.400002000000001"/>
    <n v="-101.42999999999999"/>
    <m/>
    <m/>
    <m/>
    <m/>
    <m/>
    <m/>
    <m/>
    <m/>
    <m/>
    <m/>
    <m/>
    <m/>
    <m/>
    <m/>
    <m/>
    <m/>
    <m/>
    <m/>
    <m/>
    <m/>
    <m/>
    <m/>
    <m/>
    <m/>
  </r>
  <r>
    <x v="44"/>
    <s v="ABO"/>
    <s v="005"/>
    <s v="00000010"/>
    <x v="210"/>
    <n v="0"/>
    <d v="2019-12-09T00:00:00"/>
    <s v="20509959766"/>
    <s v="RENTAEQUIPOS LEASING PERU S.A."/>
    <s v="2908010001"/>
    <s v="TERCEROS"/>
    <s v="001"/>
    <s v="001"/>
    <s v="CONTADO"/>
    <s v="002"/>
    <s v="MANTENIMIENTO-MECANICA"/>
    <s v="$"/>
    <n v="3.3809999999999998"/>
    <n v="-1"/>
    <n v="-30"/>
    <n v="-30"/>
    <n v="-5.4000019999999997"/>
    <n v="-35.400002000000001"/>
    <n v="-101.42999999999999"/>
    <m/>
    <m/>
    <m/>
    <m/>
    <m/>
    <m/>
    <m/>
    <m/>
    <m/>
    <m/>
    <m/>
    <m/>
    <m/>
    <m/>
    <m/>
    <m/>
    <m/>
    <m/>
    <m/>
    <m/>
    <m/>
    <m/>
    <m/>
    <m/>
  </r>
  <r>
    <x v="44"/>
    <s v="ABO"/>
    <s v="005"/>
    <s v="00000010"/>
    <x v="210"/>
    <n v="0"/>
    <d v="2019-12-09T00:00:00"/>
    <s v="20509959766"/>
    <s v="RENTAEQUIPOS LEASING PERU S.A."/>
    <s v="320001"/>
    <s v="REPUESTOS"/>
    <s v="001"/>
    <s v="001"/>
    <s v="CONTADO"/>
    <s v="002"/>
    <s v="MANTENIMIENTO-MECANICA"/>
    <s v="$"/>
    <n v="3.3809999999999998"/>
    <n v="-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4"/>
    <s v="ABO"/>
    <s v="005"/>
    <s v="00000011"/>
    <x v="211"/>
    <n v="0"/>
    <d v="2019-12-09T00:00:00"/>
    <s v="20100041953"/>
    <s v="RIMAC SEGUROS  Y REASEGUROS S.A"/>
    <s v="1302020001"/>
    <s v="PINTURA"/>
    <s v="001"/>
    <s v="001"/>
    <s v="CONTADO"/>
    <s v="009"/>
    <s v="PINTURA"/>
    <s v="$"/>
    <n v="3.3809999999999998"/>
    <n v="-1"/>
    <n v="-118"/>
    <n v="-118"/>
    <n v="-21.240010000000019"/>
    <n v="-139.24001000000001"/>
    <n v="-398.95799999999997"/>
    <m/>
    <m/>
    <m/>
    <m/>
    <m/>
    <m/>
    <m/>
    <m/>
    <m/>
    <m/>
    <m/>
    <m/>
    <m/>
    <m/>
    <m/>
    <m/>
    <m/>
    <m/>
    <m/>
    <m/>
    <m/>
    <m/>
    <m/>
    <m/>
  </r>
  <r>
    <x v="44"/>
    <s v="ABO"/>
    <s v="005"/>
    <s v="00000011"/>
    <x v="211"/>
    <n v="0"/>
    <d v="2019-12-09T00:00:00"/>
    <s v="20100041953"/>
    <s v="RIMAC SEGUROS  Y REASEGUROS S.A"/>
    <s v="1201020001"/>
    <s v="PLANCHADO"/>
    <s v="001"/>
    <s v="001"/>
    <s v="CONTADO"/>
    <s v="001"/>
    <s v="PLANCHADO"/>
    <s v="$"/>
    <n v="3.3809999999999998"/>
    <n v="-1"/>
    <n v="-75"/>
    <n v="-75"/>
    <n v="-13.5"/>
    <n v="-88.5"/>
    <n v="-253.57499999999999"/>
    <m/>
    <m/>
    <m/>
    <m/>
    <m/>
    <m/>
    <m/>
    <m/>
    <m/>
    <m/>
    <m/>
    <m/>
    <m/>
    <m/>
    <m/>
    <m/>
    <m/>
    <m/>
    <m/>
    <m/>
    <m/>
    <m/>
    <m/>
    <m/>
  </r>
  <r>
    <x v="44"/>
    <s v="ABO"/>
    <s v="005"/>
    <s v="00000011"/>
    <x v="211"/>
    <n v="0"/>
    <d v="2019-12-09T00:00:00"/>
    <s v="20100041953"/>
    <s v="RIMAC SEGUROS  Y REASEGUROS S.A"/>
    <s v="310120"/>
    <s v="FRANQUICIA"/>
    <s v="001"/>
    <s v="001"/>
    <s v="CONTADO"/>
    <s v="002"/>
    <s v="MANTENIMIENTO-MECANICA"/>
    <s v="$"/>
    <n v="3.3809999999999998"/>
    <n v="-1"/>
    <n v="-100"/>
    <n v="-100"/>
    <n v="-18"/>
    <n v="-118"/>
    <n v="-338.09999999999997"/>
    <m/>
    <m/>
    <m/>
    <m/>
    <m/>
    <m/>
    <m/>
    <m/>
    <m/>
    <m/>
    <m/>
    <m/>
    <m/>
    <m/>
    <m/>
    <m/>
    <m/>
    <m/>
    <m/>
    <m/>
    <m/>
    <m/>
    <m/>
    <m/>
  </r>
  <r>
    <x v="44"/>
    <s v="ABO"/>
    <s v="005"/>
    <s v="00000011"/>
    <x v="211"/>
    <n v="0"/>
    <d v="2019-12-09T00:00:00"/>
    <s v="20100041953"/>
    <s v="RIMAC SEGUROS  Y REASEGUROS S.A"/>
    <s v="310120"/>
    <s v="FRANQUICIA"/>
    <s v="001"/>
    <s v="001"/>
    <s v="CONTADO"/>
    <s v="002"/>
    <s v="MANTENIMIENTO-MECANICA"/>
    <s v="$"/>
    <n v="3.3809999999999998"/>
    <n v="1"/>
    <n v="-100"/>
    <n v="100"/>
    <n v="18"/>
    <n v="118"/>
    <n v="338.09999999999997"/>
    <m/>
    <m/>
    <m/>
    <m/>
    <m/>
    <m/>
    <m/>
    <m/>
    <m/>
    <m/>
    <m/>
    <m/>
    <m/>
    <m/>
    <m/>
    <m/>
    <m/>
    <m/>
    <m/>
    <m/>
    <m/>
    <m/>
    <m/>
    <m/>
  </r>
  <r>
    <x v="44"/>
    <s v="ABO"/>
    <s v="005"/>
    <s v="00000011"/>
    <x v="211"/>
    <n v="0"/>
    <d v="2019-12-09T00:00:00"/>
    <s v="20100041953"/>
    <s v="RIMAC SEGUROS  Y REASEGUROS S.A"/>
    <s v="320001"/>
    <s v="REPUESTOS"/>
    <s v="001"/>
    <s v="001"/>
    <s v="CONTADO"/>
    <s v="002"/>
    <s v="MANTENIMIENTO-MECANICA"/>
    <s v="$"/>
    <n v="3.3809999999999998"/>
    <n v="-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47"/>
    <s v="ABO"/>
    <s v="005"/>
    <s v="00000012"/>
    <x v="212"/>
    <n v="0"/>
    <d v="2019-12-12T00:00:00"/>
    <s v="20100041953"/>
    <s v="RIMAC SEGUROS  Y REASEGUROS S.A"/>
    <s v="310255"/>
    <s v="DESCUENTO"/>
    <s v="001"/>
    <s v="001"/>
    <s v="CONTADO"/>
    <s v="002"/>
    <s v="MANTENIMIENTO-MECANICA"/>
    <s v="$"/>
    <n v="3.3800001000000002"/>
    <n v="-1"/>
    <n v="-30"/>
    <n v="-30"/>
    <n v="-5.4000019999999997"/>
    <n v="-35.400002000000001"/>
    <n v="-101.400003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0"/>
    <x v="192"/>
    <s v="F2Y614"/>
    <d v="2019-12-19T00:00:00"/>
    <s v="20100041953"/>
    <s v="RIMAC SEGUROS  Y REASEGUROS S.A"/>
    <s v="1302020001"/>
    <s v="PINTURA"/>
    <s v="000"/>
    <s v="001"/>
    <s v="CONTADO"/>
    <s v="009"/>
    <s v="PINTURA"/>
    <s v="$"/>
    <n v="3.3169999000000003"/>
    <n v="1"/>
    <n v="236"/>
    <n v="236"/>
    <n v="42.48001"/>
    <n v="278.48000999999999"/>
    <n v="782.8119764000000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0"/>
    <x v="192"/>
    <s v="F2Y614"/>
    <d v="2019-12-19T00:00:00"/>
    <s v="20100041953"/>
    <s v="RIMAC SEGUROS  Y REASEGUROS S.A"/>
    <s v="1201020001"/>
    <s v="PLANCHADO"/>
    <s v="000"/>
    <s v="001"/>
    <s v="CONTADO"/>
    <s v="001"/>
    <s v="PLANCHADO"/>
    <s v="$"/>
    <n v="3.3169999000000003"/>
    <n v="1"/>
    <n v="183.75419999999997"/>
    <n v="183.75419999999997"/>
    <n v="33.075800000000015"/>
    <n v="216.83"/>
    <n v="609.51266302457998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0"/>
    <x v="192"/>
    <s v="F2Y614"/>
    <d v="2019-12-19T00:00:00"/>
    <s v="20100041953"/>
    <s v="RIMAC SEGUROS  Y REASEGUROS S.A"/>
    <s v="310120"/>
    <s v="FRANQUICIA"/>
    <s v="000"/>
    <s v="001"/>
    <s v="CONTADO"/>
    <s v="002"/>
    <s v="MANTENIMIENTO-MECANICA"/>
    <s v="$"/>
    <n v="3.3169999000000003"/>
    <n v="-1"/>
    <n v="130.18639999999999"/>
    <n v="-130.18639999999999"/>
    <n v="-23.433600000000006"/>
    <n v="-153.62"/>
    <n v="-431.82827578135999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0"/>
    <x v="192"/>
    <s v="F2Y614"/>
    <d v="2019-12-19T00:00:00"/>
    <s v="20100041953"/>
    <s v="RIMAC SEGUROS  Y REASEGUROS S.A"/>
    <s v="320001"/>
    <s v="REPUESTOS"/>
    <s v="000"/>
    <s v="001"/>
    <s v="CONTADO"/>
    <s v="002"/>
    <s v="MANTENIMIENTO-MECANICA"/>
    <s v="$"/>
    <n v="3.3169999000000003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2"/>
    <x v="213"/>
    <s v="BEA170"/>
    <d v="2019-12-23T00:00:00"/>
    <s v="20100041953"/>
    <s v="RIMAC SEGUROS  Y REASEGUROS S.A"/>
    <s v="1302020001"/>
    <s v="PINTURA"/>
    <s v="000"/>
    <s v="001"/>
    <s v="CONTADO"/>
    <s v="009"/>
    <s v="PINTURA"/>
    <s v="$"/>
    <n v="3.3169999000000003"/>
    <n v="1"/>
    <n v="147.5"/>
    <n v="147.5"/>
    <n v="26.55"/>
    <n v="174.05"/>
    <n v="489.25748525000006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2"/>
    <x v="213"/>
    <s v="BEA170"/>
    <d v="2019-12-23T00:00:00"/>
    <s v="20100041953"/>
    <s v="RIMAC SEGUROS  Y REASEGUROS S.A"/>
    <s v="1201020001"/>
    <s v="PLANCHADO"/>
    <s v="000"/>
    <s v="001"/>
    <s v="CONTADO"/>
    <s v="001"/>
    <s v="PLANCHADO"/>
    <s v="$"/>
    <n v="3.3169999000000003"/>
    <n v="1"/>
    <n v="127.5"/>
    <n v="127.5"/>
    <n v="22.949999999999982"/>
    <n v="150.44999999999999"/>
    <n v="422.91748725000002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2"/>
    <x v="213"/>
    <s v="BEA170"/>
    <d v="2019-12-23T00:00:00"/>
    <s v="20100041953"/>
    <s v="RIMAC SEGUROS  Y REASEGUROS S.A"/>
    <s v="320001"/>
    <s v="REPUESTOS"/>
    <s v="000"/>
    <s v="001"/>
    <s v="CONTADO"/>
    <s v="002"/>
    <s v="MANTENIMIENTO-MECANICA"/>
    <s v="$"/>
    <n v="3.3169999000000003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3"/>
    <x v="204"/>
    <s v="F7V531"/>
    <d v="2019-12-20T00:00:00"/>
    <s v="20100041953"/>
    <s v="RIMAC SEGUROS  Y REASEGUROS S.A"/>
    <s v="1302020001"/>
    <s v="PINTURA"/>
    <s v="000"/>
    <s v="001"/>
    <s v="CONTADO"/>
    <s v="009"/>
    <s v="PINTURA"/>
    <s v="$"/>
    <n v="3.3169999000000003"/>
    <n v="1"/>
    <n v="118"/>
    <n v="118"/>
    <n v="21.240010000000019"/>
    <n v="139.24001000000001"/>
    <n v="391.40598820000002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3"/>
    <x v="204"/>
    <s v="F7V531"/>
    <d v="2019-12-20T00:00:00"/>
    <s v="20100041953"/>
    <s v="RIMAC SEGUROS  Y REASEGUROS S.A"/>
    <s v="1201020001"/>
    <s v="PLANCHADO"/>
    <s v="000"/>
    <s v="001"/>
    <s v="CONTADO"/>
    <s v="001"/>
    <s v="PLANCHADO"/>
    <s v="$"/>
    <n v="3.3169999000000003"/>
    <n v="1"/>
    <n v="67.5"/>
    <n v="67.5"/>
    <n v="12.150002000000013"/>
    <n v="79.650002000000015"/>
    <n v="223.89749325000003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3"/>
    <x v="204"/>
    <s v="F7V531"/>
    <d v="2019-12-20T00:00:00"/>
    <s v="20100041953"/>
    <s v="RIMAC SEGUROS  Y REASEGUROS S.A"/>
    <s v="2908010001"/>
    <s v="TERCEROS"/>
    <s v="000"/>
    <s v="001"/>
    <s v="CONTADO"/>
    <s v="002"/>
    <s v="MANTENIMIENTO-MECANICA"/>
    <s v="$"/>
    <n v="3.3169999000000003"/>
    <n v="1"/>
    <n v="30"/>
    <n v="30"/>
    <n v="5.4000019999999997"/>
    <n v="35.400002000000001"/>
    <n v="99.509997000000013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3"/>
    <x v="204"/>
    <s v="F7V531"/>
    <d v="2019-12-20T00:00:00"/>
    <s v="20100041953"/>
    <s v="RIMAC SEGUROS  Y REASEGUROS S.A"/>
    <s v="310120"/>
    <s v="FRANQUICIA"/>
    <s v="000"/>
    <s v="001"/>
    <s v="CONTADO"/>
    <s v="002"/>
    <s v="MANTENIMIENTO-MECANICA"/>
    <s v="$"/>
    <n v="3.3169999000000003"/>
    <n v="-1"/>
    <n v="100"/>
    <n v="-100"/>
    <n v="-18"/>
    <n v="-118"/>
    <n v="-331.69999000000001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3"/>
    <x v="204"/>
    <s v="F7V531"/>
    <d v="2019-12-20T00:00:00"/>
    <s v="20100041953"/>
    <s v="RIMAC SEGUROS  Y REASEGUROS S.A"/>
    <s v="320001"/>
    <s v="REPUESTOS"/>
    <s v="000"/>
    <s v="001"/>
    <s v="CONTADO"/>
    <s v="002"/>
    <s v="MANTENIMIENTO-MECANICA"/>
    <s v="$"/>
    <n v="3.3169999000000003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4"/>
    <x v="214"/>
    <s v="ATT083"/>
    <d v="2019-12-18T00:00:00"/>
    <s v="20100041953"/>
    <s v="RIMAC SEGUROS  Y REASEGUROS S.A"/>
    <s v="1302020001"/>
    <s v="PINTURA"/>
    <s v="000"/>
    <s v="001"/>
    <s v="CONTADO"/>
    <s v="009"/>
    <s v="PINTURA"/>
    <s v="$"/>
    <n v="3.3169999000000003"/>
    <n v="1"/>
    <n v="147.5"/>
    <n v="147.5"/>
    <n v="26.55"/>
    <n v="174.05"/>
    <n v="489.25748525000006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4"/>
    <x v="214"/>
    <s v="ATT083"/>
    <d v="2019-12-18T00:00:00"/>
    <s v="20100041953"/>
    <s v="RIMAC SEGUROS  Y REASEGUROS S.A"/>
    <s v="1201020001"/>
    <s v="PLANCHADO"/>
    <s v="000"/>
    <s v="001"/>
    <s v="CONTADO"/>
    <s v="001"/>
    <s v="PLANCHADO"/>
    <s v="$"/>
    <n v="3.3169999000000003"/>
    <n v="1"/>
    <n v="157.5"/>
    <n v="157.5"/>
    <n v="28.350010000000001"/>
    <n v="185.85001"/>
    <n v="522.42748425000002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4"/>
    <x v="214"/>
    <s v="ATT083"/>
    <d v="2019-12-18T00:00:00"/>
    <s v="20100041953"/>
    <s v="RIMAC SEGUROS  Y REASEGUROS S.A"/>
    <s v="2908010001"/>
    <s v="TERCEROS"/>
    <s v="000"/>
    <s v="001"/>
    <s v="CONTADO"/>
    <s v="002"/>
    <s v="MANTENIMIENTO-MECANICA"/>
    <s v="$"/>
    <n v="3.3169999000000003"/>
    <n v="1"/>
    <n v="15"/>
    <n v="15"/>
    <n v="2.7000009999999999"/>
    <n v="17.700001"/>
    <n v="49.754998500000006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4"/>
    <x v="214"/>
    <s v="ATT083"/>
    <d v="2019-12-18T00:00:00"/>
    <s v="20100041953"/>
    <s v="RIMAC SEGUROS  Y REASEGUROS S.A"/>
    <s v="2908010002"/>
    <s v="AMPLIACION TERCEROS"/>
    <s v="000"/>
    <s v="001"/>
    <s v="CONTADO"/>
    <s v="002"/>
    <s v="MANTENIMIENTO-MECANICA"/>
    <s v="$"/>
    <n v="3.3169999000000003"/>
    <n v="1"/>
    <n v="85"/>
    <n v="85"/>
    <n v="15.3"/>
    <n v="100.3"/>
    <n v="281.94499150000001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4"/>
    <x v="214"/>
    <s v="ATT083"/>
    <d v="2019-12-18T00:00:00"/>
    <s v="20100041953"/>
    <s v="RIMAC SEGUROS  Y REASEGUROS S.A"/>
    <s v="320001"/>
    <s v="REPUESTOS"/>
    <s v="000"/>
    <s v="001"/>
    <s v="CONTADO"/>
    <s v="002"/>
    <s v="MANTENIMIENTO-MECANICA"/>
    <s v="$"/>
    <n v="3.3169999000000003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5"/>
    <x v="215"/>
    <s v="BMD515"/>
    <d v="2019-12-12T00:00:00"/>
    <s v="20100041953"/>
    <s v="RIMAC SEGUROS  Y REASEGUROS S.A"/>
    <s v="1302020001"/>
    <s v="PINTURA"/>
    <s v="000"/>
    <s v="001"/>
    <s v="CONTADO"/>
    <s v="009"/>
    <s v="PINTURA"/>
    <s v="$"/>
    <n v="3.3169999000000003"/>
    <n v="1"/>
    <n v="118"/>
    <n v="118"/>
    <n v="21.240010000000019"/>
    <n v="139.24001000000001"/>
    <n v="391.40598820000002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5"/>
    <x v="215"/>
    <s v="BMD515"/>
    <d v="2019-12-12T00:00:00"/>
    <s v="20100041953"/>
    <s v="RIMAC SEGUROS  Y REASEGUROS S.A"/>
    <s v="1201020001"/>
    <s v="PLANCHADO"/>
    <s v="000"/>
    <s v="001"/>
    <s v="CONTADO"/>
    <s v="001"/>
    <s v="PLANCHADO"/>
    <s v="$"/>
    <n v="3.3169999000000003"/>
    <n v="1"/>
    <n v="150"/>
    <n v="150"/>
    <n v="27"/>
    <n v="177"/>
    <n v="497.5499850000000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5"/>
    <x v="215"/>
    <s v="BMD515"/>
    <d v="2019-12-12T00:00:00"/>
    <s v="20100041953"/>
    <s v="RIMAC SEGUROS  Y REASEGUROS S.A"/>
    <s v="2908010001"/>
    <s v="TERCEROS"/>
    <s v="000"/>
    <s v="001"/>
    <s v="CONTADO"/>
    <s v="002"/>
    <s v="MANTENIMIENTO-MECANICA"/>
    <s v="$"/>
    <n v="3.3169999000000003"/>
    <n v="1"/>
    <n v="65"/>
    <n v="65"/>
    <n v="11.699996999999994"/>
    <n v="76.699996999999996"/>
    <n v="215.60499350000003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6"/>
    <x v="200"/>
    <s v="BFS508"/>
    <d v="2019-12-11T00:00:00"/>
    <s v="20100041953"/>
    <s v="RIMAC SEGUROS  Y REASEGUROS S.A"/>
    <s v="1302020001"/>
    <s v="PINTURA"/>
    <s v="000"/>
    <s v="001"/>
    <s v="CONTADO"/>
    <s v="009"/>
    <s v="PINTURA"/>
    <s v="$"/>
    <n v="3.3169999000000003"/>
    <n v="1"/>
    <n v="118"/>
    <n v="118"/>
    <n v="21.240010000000019"/>
    <n v="139.24001000000001"/>
    <n v="391.40598820000002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6"/>
    <x v="200"/>
    <s v="BFS508"/>
    <d v="2019-12-11T00:00:00"/>
    <s v="20100041953"/>
    <s v="RIMAC SEGUROS  Y REASEGUROS S.A"/>
    <s v="1201020001"/>
    <s v="PLANCHADO"/>
    <s v="000"/>
    <s v="001"/>
    <s v="CONTADO"/>
    <s v="001"/>
    <s v="PLANCHADO"/>
    <s v="$"/>
    <n v="3.3169999000000003"/>
    <n v="1"/>
    <n v="90"/>
    <n v="90"/>
    <n v="16.2"/>
    <n v="106.2"/>
    <n v="298.5299910000000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6"/>
    <x v="200"/>
    <s v="BFS508"/>
    <d v="2019-12-11T00:00:00"/>
    <s v="20100041953"/>
    <s v="RIMAC SEGUROS  Y REASEGUROS S.A"/>
    <s v="310120"/>
    <s v="FRANQUICIA"/>
    <s v="000"/>
    <s v="001"/>
    <s v="CONTADO"/>
    <s v="002"/>
    <s v="MANTENIMIENTO-MECANICA"/>
    <s v="$"/>
    <n v="3.3169999000000003"/>
    <n v="-1"/>
    <n v="150"/>
    <n v="-150"/>
    <n v="-27"/>
    <n v="-177"/>
    <n v="-497.5499850000000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6"/>
    <x v="200"/>
    <s v="BFS508"/>
    <d v="2019-12-11T00:00:00"/>
    <s v="20100041953"/>
    <s v="RIMAC SEGUROS  Y REASEGUROS S.A"/>
    <s v="320001"/>
    <s v="REPUESTOS"/>
    <s v="000"/>
    <s v="001"/>
    <s v="CONTADO"/>
    <s v="002"/>
    <s v="MANTENIMIENTO-MECANICA"/>
    <s v="$"/>
    <n v="3.3169999000000003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7"/>
    <x v="216"/>
    <s v="AKI444"/>
    <d v="2019-12-13T00:00:00"/>
    <s v="20100041953"/>
    <s v="RIMAC SEGUROS  Y REASEGUROS S.A"/>
    <s v="1302020001"/>
    <s v="PINTURA"/>
    <s v="000"/>
    <s v="001"/>
    <s v="CONTADO"/>
    <s v="009"/>
    <s v="PINTURA"/>
    <s v="$"/>
    <n v="3.3169999000000003"/>
    <n v="1"/>
    <n v="59"/>
    <n v="59"/>
    <n v="10.620002999999997"/>
    <n v="69.620002999999997"/>
    <n v="195.70299410000001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7"/>
    <x v="216"/>
    <s v="AKI444"/>
    <d v="2019-12-13T00:00:00"/>
    <s v="20100041953"/>
    <s v="RIMAC SEGUROS  Y REASEGUROS S.A"/>
    <s v="1201020001"/>
    <s v="PLANCHADO"/>
    <s v="000"/>
    <s v="001"/>
    <s v="CONTADO"/>
    <s v="001"/>
    <s v="PLANCHADO"/>
    <s v="$"/>
    <n v="3.3169999000000003"/>
    <n v="1"/>
    <n v="22.5"/>
    <n v="22.5"/>
    <n v="4.0499990000000023"/>
    <n v="26.549999000000003"/>
    <n v="74.632497750000013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7"/>
    <x v="216"/>
    <s v="AKI444"/>
    <d v="2019-12-13T00:00:00"/>
    <s v="20100041953"/>
    <s v="RIMAC SEGUROS  Y REASEGUROS S.A"/>
    <s v="2908010001"/>
    <s v="TERCEROS"/>
    <s v="000"/>
    <s v="001"/>
    <s v="CONTADO"/>
    <s v="002"/>
    <s v="MANTENIMIENTO-MECANICA"/>
    <s v="$"/>
    <n v="3.3169999000000003"/>
    <n v="1"/>
    <n v="30"/>
    <n v="30"/>
    <n v="5.4000019999999997"/>
    <n v="35.400002000000001"/>
    <n v="99.509997000000013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8"/>
    <x v="201"/>
    <s v="BEE024"/>
    <d v="2019-12-16T00:00:00"/>
    <s v="20100041953"/>
    <s v="RIMAC SEGUROS  Y REASEGUROS S.A"/>
    <s v="1302020001"/>
    <s v="PINTURA"/>
    <s v="000"/>
    <s v="001"/>
    <s v="CONTADO"/>
    <s v="009"/>
    <s v="PINTURA"/>
    <s v="$"/>
    <n v="3.3169999000000003"/>
    <n v="1"/>
    <n v="88.5"/>
    <n v="88.5"/>
    <n v="15.93"/>
    <n v="104.43"/>
    <n v="293.5544911500000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8"/>
    <x v="201"/>
    <s v="BEE024"/>
    <d v="2019-12-16T00:00:00"/>
    <s v="20100041953"/>
    <s v="RIMAC SEGUROS  Y REASEGUROS S.A"/>
    <s v="1201020001"/>
    <s v="PLANCHADO"/>
    <s v="000"/>
    <s v="001"/>
    <s v="CONTADO"/>
    <s v="001"/>
    <s v="PLANCHADO"/>
    <s v="$"/>
    <n v="3.3169999000000003"/>
    <n v="1"/>
    <n v="30"/>
    <n v="30"/>
    <n v="5.4000019999999997"/>
    <n v="35.400002000000001"/>
    <n v="99.509997000000013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8"/>
    <x v="201"/>
    <s v="BEE024"/>
    <d v="2019-12-16T00:00:00"/>
    <s v="20100041953"/>
    <s v="RIMAC SEGUROS  Y REASEGUROS S.A"/>
    <s v="2908010001"/>
    <s v="TERCEROS"/>
    <s v="000"/>
    <s v="001"/>
    <s v="CONTADO"/>
    <s v="002"/>
    <s v="MANTENIMIENTO-MECANICA"/>
    <s v="$"/>
    <n v="3.3169999000000003"/>
    <n v="1"/>
    <n v="45"/>
    <n v="45"/>
    <n v="8.0999980000000047"/>
    <n v="53.099998000000006"/>
    <n v="149.26499550000003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8"/>
    <x v="201"/>
    <s v="BEE024"/>
    <d v="2019-12-16T00:00:00"/>
    <s v="20100041953"/>
    <s v="RIMAC SEGUROS  Y REASEGUROS S.A"/>
    <s v="310120"/>
    <s v="FRANQUICIA"/>
    <s v="000"/>
    <s v="001"/>
    <s v="CONTADO"/>
    <s v="002"/>
    <s v="MANTENIMIENTO-MECANICA"/>
    <s v="$"/>
    <n v="3.3169999000000003"/>
    <n v="-1"/>
    <n v="50"/>
    <n v="-50"/>
    <n v="-9"/>
    <n v="-59"/>
    <n v="-165.84999500000001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8"/>
    <x v="201"/>
    <s v="BEE024"/>
    <d v="2019-12-16T00:00:00"/>
    <s v="20100041953"/>
    <s v="RIMAC SEGUROS  Y REASEGUROS S.A"/>
    <s v="320001"/>
    <s v="REPUESTOS"/>
    <s v="000"/>
    <s v="001"/>
    <s v="CONTADO"/>
    <s v="002"/>
    <s v="MANTENIMIENTO-MECANICA"/>
    <s v="$"/>
    <n v="3.3169999000000003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9"/>
    <x v="217"/>
    <s v="AVV131"/>
    <d v="2019-12-06T00:00:00"/>
    <s v="20438563084"/>
    <s v="EDPYME ACCESO CREDITICIO SOCIEDAD ANONIMA"/>
    <s v="2908010001"/>
    <s v="TERCEROS"/>
    <s v="000"/>
    <s v="001"/>
    <s v="CONTADO"/>
    <s v="002"/>
    <s v="MANTENIMIENTO-MECANICA"/>
    <s v="S/."/>
    <n v="3.3169999000000003"/>
    <n v="1"/>
    <n v="70"/>
    <n v="70"/>
    <n v="12.599997999999978"/>
    <n v="82.599997999999971"/>
    <n v="7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9"/>
    <x v="217"/>
    <s v="AVV131"/>
    <d v="2019-12-06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169999000000003"/>
    <n v="1"/>
    <n v="350"/>
    <n v="350"/>
    <n v="63"/>
    <n v="413"/>
    <n v="35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39"/>
    <x v="217"/>
    <s v="AVV131"/>
    <d v="2019-12-06T00:00:00"/>
    <s v="20438563084"/>
    <s v="EDPYME ACCESO CREDITICIO SOCIEDAD ANONIMA"/>
    <s v="320001"/>
    <s v="REPUESTOS"/>
    <s v="000"/>
    <s v="001"/>
    <s v="CONTADO"/>
    <s v="002"/>
    <s v="MANTENIMIENTO-MECANICA"/>
    <s v="S/."/>
    <n v="3.3169999000000003"/>
    <n v="1"/>
    <n v="1250"/>
    <n v="1250"/>
    <n v="225"/>
    <n v="1475"/>
    <n v="125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0"/>
    <x v="218"/>
    <s v="AYW081"/>
    <d v="2019-11-23T00:00:00"/>
    <s v="20438563084"/>
    <s v="EDPYME ACCESO CREDITICIO SOCIEDAD ANONIMA"/>
    <s v="1302020001"/>
    <s v="PINTURA"/>
    <s v="000"/>
    <s v="001"/>
    <s v="CONTADO"/>
    <s v="009"/>
    <s v="PINTURA"/>
    <s v="S/."/>
    <n v="3.3169999000000003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0"/>
    <x v="218"/>
    <s v="AYW081"/>
    <d v="2019-11-23T00:00:00"/>
    <s v="20438563084"/>
    <s v="EDPYME ACCESO CREDITICIO SOCIEDAD ANONIMA"/>
    <s v="1201020001"/>
    <s v="PLANCHADO"/>
    <s v="000"/>
    <s v="001"/>
    <s v="CONTADO"/>
    <s v="001"/>
    <s v="PLANCHADO"/>
    <s v="S/."/>
    <n v="3.3169999000000003"/>
    <n v="1"/>
    <n v="1435"/>
    <n v="1435"/>
    <n v="258.3"/>
    <n v="1693.3"/>
    <n v="143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0"/>
    <x v="218"/>
    <s v="AYW081"/>
    <d v="2019-11-23T00:00:00"/>
    <s v="20438563084"/>
    <s v="EDPYME ACCESO CREDITICIO SOCIEDAD ANONIMA"/>
    <s v="2908010001"/>
    <s v="TERCEROS"/>
    <s v="000"/>
    <s v="001"/>
    <s v="CONTADO"/>
    <s v="002"/>
    <s v="MANTENIMIENTO-MECANICA"/>
    <s v="S/."/>
    <n v="3.3169999000000003"/>
    <n v="1"/>
    <n v="760"/>
    <n v="760"/>
    <n v="136.79998999999995"/>
    <n v="896.79998999999998"/>
    <n v="76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0"/>
    <x v="218"/>
    <s v="AYW081"/>
    <d v="2019-11-23T00:00:00"/>
    <s v="20438563084"/>
    <s v="EDPYME ACCESO CREDITICIO SOCIEDAD ANONIMA"/>
    <s v="2908010002"/>
    <s v="AMPLIACION PLANCHADO"/>
    <s v="000"/>
    <s v="001"/>
    <s v="CONTADO"/>
    <s v="002"/>
    <s v="MANTENIMIENTO-MECANICA"/>
    <s v="S/."/>
    <n v="3.3169999000000003"/>
    <n v="1"/>
    <n v="140"/>
    <n v="140"/>
    <n v="25.2"/>
    <n v="165.2"/>
    <n v="14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0"/>
    <x v="218"/>
    <s v="AYW081"/>
    <d v="2019-11-23T00:00:00"/>
    <s v="20438563084"/>
    <s v="EDPYME ACCESO CREDITICIO SOCIEDAD ANONIMA"/>
    <s v="2908010003"/>
    <s v="AMPLIACION REPUESTO"/>
    <s v="000"/>
    <s v="001"/>
    <s v="CONTADO"/>
    <s v="002"/>
    <s v="MANTENIMIENTO-MECANICA"/>
    <s v="S/."/>
    <n v="3.3169999000000003"/>
    <n v="1"/>
    <n v="320"/>
    <n v="320"/>
    <n v="57.600009999999891"/>
    <n v="377.60000999999988"/>
    <n v="32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0"/>
    <x v="218"/>
    <s v="AYW081"/>
    <d v="2019-11-23T00:00:00"/>
    <s v="20438563084"/>
    <s v="EDPYME ACCESO CREDITICIO SOCIEDAD ANONIMA"/>
    <s v="2908010003"/>
    <s v="AMPLIACION TERCEROS"/>
    <s v="000"/>
    <s v="001"/>
    <s v="CONTADO"/>
    <s v="002"/>
    <s v="MANTENIMIENTO-MECANICA"/>
    <s v="S/."/>
    <n v="3.3169999000000003"/>
    <n v="1"/>
    <n v="35"/>
    <n v="35"/>
    <n v="6.299998999999989"/>
    <n v="41.299998999999985"/>
    <n v="3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0"/>
    <x v="218"/>
    <s v="AYW081"/>
    <d v="2019-11-23T00:00:00"/>
    <s v="20438563084"/>
    <s v="EDPYME ACCESO CREDITICIO SOCIEDAD ANONIMA"/>
    <s v="2805010001"/>
    <s v="SERVICIOS"/>
    <s v="000"/>
    <s v="001"/>
    <s v="CONTADO"/>
    <s v="002"/>
    <s v="MANTENIMIENTO-MECANICA"/>
    <s v="S/."/>
    <n v="3.3169999000000003"/>
    <n v="1"/>
    <n v="813.75420999999972"/>
    <n v="813.75420999999972"/>
    <n v="146.47577000000035"/>
    <n v="960.22998000000007"/>
    <n v="813.75420999999972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0"/>
    <x v="218"/>
    <s v="AYW081"/>
    <d v="2019-11-23T00:00:00"/>
    <s v="20438563084"/>
    <s v="EDPYME ACCESO CREDITICIO SOCIEDAD ANONIMA"/>
    <s v="320001"/>
    <s v="REPUESTOS"/>
    <s v="000"/>
    <s v="001"/>
    <s v="CONTADO"/>
    <s v="002"/>
    <s v="MANTENIMIENTO-MECANICA"/>
    <s v="S/."/>
    <n v="3.3169999000000003"/>
    <n v="1"/>
    <n v="3215"/>
    <n v="3215"/>
    <n v="578.70000000000005"/>
    <n v="3793.7"/>
    <n v="321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1"/>
    <x v="219"/>
    <s v="AYE380"/>
    <d v="2019-11-21T00:00:00"/>
    <s v="20438563084"/>
    <s v="EDPYME ACCESO CREDITICIO SOCIEDAD ANONIMA"/>
    <s v="1302020001"/>
    <s v="PINTURA"/>
    <s v="000"/>
    <s v="001"/>
    <s v="CONTADO"/>
    <s v="009"/>
    <s v="PINTURA"/>
    <s v="S/."/>
    <n v="3.3169999000000003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1"/>
    <x v="219"/>
    <s v="AYE380"/>
    <d v="2019-11-21T00:00:00"/>
    <s v="20438563084"/>
    <s v="EDPYME ACCESO CREDITICIO SOCIEDAD ANONIMA"/>
    <s v="1201020001"/>
    <s v="PLANCHADO"/>
    <s v="000"/>
    <s v="001"/>
    <s v="CONTADO"/>
    <s v="001"/>
    <s v="PLANCHADO"/>
    <s v="S/."/>
    <n v="3.3169999000000003"/>
    <n v="1"/>
    <n v="1890"/>
    <n v="1890"/>
    <n v="340.1999999999997"/>
    <n v="2230.1999999999998"/>
    <n v="189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1"/>
    <x v="219"/>
    <s v="AYE380"/>
    <d v="2019-11-21T00:00:00"/>
    <s v="20438563084"/>
    <s v="EDPYME ACCESO CREDITICIO SOCIEDAD ANONIMA"/>
    <s v="2908010001"/>
    <s v="TERCEROS"/>
    <s v="000"/>
    <s v="001"/>
    <s v="CONTADO"/>
    <s v="002"/>
    <s v="MANTENIMIENTO-MECANICA"/>
    <s v="S/."/>
    <n v="3.3169999000000003"/>
    <n v="1"/>
    <n v="1575"/>
    <n v="1575"/>
    <n v="283.5"/>
    <n v="1858.5"/>
    <n v="157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1"/>
    <x v="219"/>
    <s v="AYE380"/>
    <d v="2019-11-21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169999000000003"/>
    <n v="1"/>
    <n v="3565"/>
    <n v="3565"/>
    <n v="641.70020000000022"/>
    <n v="4206.7002000000002"/>
    <n v="356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1"/>
    <x v="219"/>
    <s v="AYE380"/>
    <d v="2019-11-21T00:00:00"/>
    <s v="20438563084"/>
    <s v="EDPYME ACCESO CREDITICIO SOCIEDAD ANONIMA"/>
    <s v="2805010001"/>
    <s v="SERVICIOS"/>
    <s v="000"/>
    <s v="001"/>
    <s v="CONTADO"/>
    <s v="002"/>
    <s v="MANTENIMIENTO-MECANICA"/>
    <s v="S/."/>
    <n v="3.3169999000000003"/>
    <n v="1"/>
    <n v="708.75420999999972"/>
    <n v="708.75420999999972"/>
    <n v="127.57581000000006"/>
    <n v="836.33001999999976"/>
    <n v="708.75420999999972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1"/>
    <x v="219"/>
    <s v="AYE380"/>
    <d v="2019-11-21T00:00:00"/>
    <s v="20438563084"/>
    <s v="EDPYME ACCESO CREDITICIO SOCIEDAD ANONIMA"/>
    <s v="320001"/>
    <s v="REPUESTOS"/>
    <s v="000"/>
    <s v="001"/>
    <s v="CONTADO"/>
    <s v="002"/>
    <s v="MANTENIMIENTO-MECANICA"/>
    <s v="S/."/>
    <n v="3.3169999000000003"/>
    <n v="1"/>
    <n v="3027"/>
    <n v="3027"/>
    <n v="544.8601000000001"/>
    <n v="3571.8600999999999"/>
    <n v="3027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2"/>
    <x v="220"/>
    <s v="F0B164"/>
    <d v="2019-11-21T00:00:00"/>
    <s v="20438563084"/>
    <s v="EDPYME ACCESO CREDITICIO SOCIEDAD ANONIMA"/>
    <s v="1302020001"/>
    <s v="PINTURA"/>
    <s v="000"/>
    <s v="001"/>
    <s v="CONTADO"/>
    <s v="009"/>
    <s v="PINTURA"/>
    <s v="S/."/>
    <n v="3.3169999000000003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2"/>
    <x v="220"/>
    <s v="F0B164"/>
    <d v="2019-11-21T00:00:00"/>
    <s v="20438563084"/>
    <s v="EDPYME ACCESO CREDITICIO SOCIEDAD ANONIMA"/>
    <s v="1201020001"/>
    <s v="PLANCHADO"/>
    <s v="000"/>
    <s v="001"/>
    <s v="CONTADO"/>
    <s v="001"/>
    <s v="PLANCHADO"/>
    <s v="S/."/>
    <n v="3.3169999000000003"/>
    <n v="1"/>
    <n v="2415"/>
    <n v="2415"/>
    <n v="434.7"/>
    <n v="2849.7"/>
    <n v="241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2"/>
    <x v="220"/>
    <s v="F0B164"/>
    <d v="2019-11-21T00:00:00"/>
    <s v="20438563084"/>
    <s v="EDPYME ACCESO CREDITICIO SOCIEDAD ANONIMA"/>
    <s v="2908010001"/>
    <s v="TERCEROS"/>
    <s v="000"/>
    <s v="001"/>
    <s v="CONTADO"/>
    <s v="002"/>
    <s v="MANTENIMIENTO-MECANICA"/>
    <s v="S/."/>
    <n v="3.3169999000000003"/>
    <n v="1"/>
    <n v="600"/>
    <n v="600"/>
    <n v="108"/>
    <n v="708"/>
    <n v="60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2"/>
    <x v="220"/>
    <s v="F0B164"/>
    <d v="2019-11-21T00:00:00"/>
    <s v="20438563084"/>
    <s v="EDPYME ACCESO CREDITICIO SOCIEDAD ANONIMA"/>
    <s v="2908010002"/>
    <s v="REPUESTOS AMPLIACION"/>
    <s v="000"/>
    <s v="001"/>
    <s v="CONTADO"/>
    <s v="002"/>
    <s v="MANTENIMIENTO-MECANICA"/>
    <s v="S/."/>
    <n v="3.3169999000000003"/>
    <n v="1"/>
    <n v="2140"/>
    <n v="2140"/>
    <n v="385.1999999999997"/>
    <n v="2525.1999999999998"/>
    <n v="214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2"/>
    <x v="220"/>
    <s v="F0B164"/>
    <d v="2019-11-21T00:00:00"/>
    <s v="20438563084"/>
    <s v="EDPYME ACCESO CREDITICIO SOCIEDAD ANONIMA"/>
    <s v="2805010001"/>
    <s v="SERVICIOS"/>
    <s v="000"/>
    <s v="001"/>
    <s v="CONTADO"/>
    <s v="002"/>
    <s v="MANTENIMIENTO-MECANICA"/>
    <s v="S/."/>
    <n v="3.3169999000000003"/>
    <n v="1"/>
    <n v="638.75420999999994"/>
    <n v="638.75420999999994"/>
    <n v="114.97577000000013"/>
    <n v="753.72998000000007"/>
    <n v="638.75420999999994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2"/>
    <x v="220"/>
    <s v="F0B164"/>
    <d v="2019-11-21T00:00:00"/>
    <s v="20438563084"/>
    <s v="EDPYME ACCESO CREDITICIO SOCIEDAD ANONIMA"/>
    <s v="320001"/>
    <s v="REPUESTOS"/>
    <s v="000"/>
    <s v="001"/>
    <s v="CONTADO"/>
    <s v="002"/>
    <s v="MANTENIMIENTO-MECANICA"/>
    <s v="S/."/>
    <n v="3.3169999000000003"/>
    <n v="1"/>
    <n v="3221"/>
    <n v="3221"/>
    <n v="579.78"/>
    <n v="3800.78"/>
    <n v="3221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3"/>
    <x v="221"/>
    <s v="AMR639"/>
    <d v="2019-10-16T00:00:00"/>
    <s v="20438563084"/>
    <s v="EDPYME ACCESO CREDITICIO SOCIEDAD ANONIMA"/>
    <s v="1302020001"/>
    <s v="PINTURA"/>
    <s v="000"/>
    <s v="001"/>
    <s v="CONTADO"/>
    <s v="009"/>
    <s v="PINTURA"/>
    <s v="S/."/>
    <n v="3.3169999000000003"/>
    <n v="1"/>
    <n v="2430"/>
    <n v="2430"/>
    <n v="437.39989999999989"/>
    <n v="2867.3998999999999"/>
    <n v="243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3"/>
    <x v="221"/>
    <s v="AMR639"/>
    <d v="2019-10-16T00:00:00"/>
    <s v="20438563084"/>
    <s v="EDPYME ACCESO CREDITICIO SOCIEDAD ANONIMA"/>
    <s v="1201020001"/>
    <s v="PLANCHADO"/>
    <s v="000"/>
    <s v="001"/>
    <s v="CONTADO"/>
    <s v="001"/>
    <s v="PLANCHADO"/>
    <s v="S/."/>
    <n v="3.3169999000000003"/>
    <n v="1"/>
    <n v="2240"/>
    <n v="2240"/>
    <n v="403.2"/>
    <n v="2643.2"/>
    <n v="224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3"/>
    <x v="221"/>
    <s v="AMR639"/>
    <d v="2019-10-16T00:00:00"/>
    <s v="20438563084"/>
    <s v="EDPYME ACCESO CREDITICIO SOCIEDAD ANONIMA"/>
    <s v="2908010001"/>
    <s v="TERCEROS"/>
    <s v="000"/>
    <s v="001"/>
    <s v="CONTADO"/>
    <s v="002"/>
    <s v="MANTENIMIENTO-MECANICA"/>
    <s v="S/."/>
    <n v="3.3169999000000003"/>
    <n v="1"/>
    <n v="880"/>
    <n v="880"/>
    <n v="158.4"/>
    <n v="1038.4000000000001"/>
    <n v="88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3"/>
    <x v="221"/>
    <s v="AMR639"/>
    <d v="2019-10-16T00:00:00"/>
    <s v="20438563084"/>
    <s v="EDPYME ACCESO CREDITICIO SOCIEDAD ANONIMA"/>
    <s v="2908010002"/>
    <s v="AMPLIACION TERCEROS"/>
    <s v="000"/>
    <s v="001"/>
    <s v="CONTADO"/>
    <s v="002"/>
    <s v="MANTENIMIENTO-MECANICA"/>
    <s v="S/."/>
    <n v="3.3169999000000003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3"/>
    <x v="221"/>
    <s v="AMR639"/>
    <d v="2019-10-16T00:00:00"/>
    <s v="20438563084"/>
    <s v="EDPYME ACCESO CREDITICIO SOCIEDAD ANONIMA"/>
    <s v="2805010001"/>
    <s v="SERVICIOS"/>
    <s v="000"/>
    <s v="001"/>
    <s v="CONTADO"/>
    <s v="002"/>
    <s v="MANTENIMIENTO-MECANICA"/>
    <s v="S/."/>
    <n v="3.3169999000000003"/>
    <n v="1"/>
    <n v="580"/>
    <n v="580"/>
    <n v="104.40002000000023"/>
    <n v="684.40002000000027"/>
    <n v="58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3"/>
    <x v="221"/>
    <s v="AMR639"/>
    <d v="2019-10-16T00:00:00"/>
    <s v="20438563084"/>
    <s v="EDPYME ACCESO CREDITICIO SOCIEDAD ANONIMA"/>
    <s v="2805010002"/>
    <s v="REPUESTOS II"/>
    <s v="000"/>
    <s v="001"/>
    <s v="CONTADO"/>
    <s v="002"/>
    <s v="MANTENIMIENTO-MECANICA"/>
    <s v="S/."/>
    <n v="3.3169999000000003"/>
    <n v="1"/>
    <n v="1112"/>
    <n v="1112"/>
    <n v="200.16"/>
    <n v="1312.16"/>
    <n v="1112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3"/>
    <x v="221"/>
    <s v="AMR639"/>
    <d v="2019-10-16T00:00:00"/>
    <s v="20438563084"/>
    <s v="EDPYME ACCESO CREDITICIO SOCIEDAD ANONIMA"/>
    <s v="320001"/>
    <s v="REPUESTOS"/>
    <s v="000"/>
    <s v="001"/>
    <s v="CONTADO"/>
    <s v="002"/>
    <s v="MANTENIMIENTO-MECANICA"/>
    <s v="S/."/>
    <n v="3.3169999000000003"/>
    <n v="1"/>
    <n v="2624"/>
    <n v="2624"/>
    <n v="472.32010000000008"/>
    <n v="3096.3200999999999"/>
    <n v="2624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4"/>
    <x v="222"/>
    <s v="AMR639"/>
    <d v="2019-11-21T00:00:00"/>
    <s v="20438563084"/>
    <s v="EDPYME ACCESO CREDITICIO SOCIEDAD ANONIMA"/>
    <s v="2908010001"/>
    <s v="TERCEROS"/>
    <s v="000"/>
    <s v="001"/>
    <s v="CONTADO"/>
    <s v="002"/>
    <s v="MANTENIMIENTO-MECANICA"/>
    <s v="S/."/>
    <n v="3.3169999000000003"/>
    <n v="1"/>
    <n v="1200"/>
    <n v="1200"/>
    <n v="216"/>
    <n v="1416"/>
    <n v="120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4"/>
    <x v="222"/>
    <s v="AMR639"/>
    <d v="2019-11-21T00:00:00"/>
    <s v="20438563084"/>
    <s v="EDPYME ACCESO CREDITICIO SOCIEDAD ANONIMA"/>
    <s v="2805010001"/>
    <s v="SERVICIOS"/>
    <s v="000"/>
    <s v="001"/>
    <s v="CONTADO"/>
    <s v="002"/>
    <s v="MANTENIMIENTO-MECANICA"/>
    <s v="S/."/>
    <n v="3.3169999000000003"/>
    <n v="1"/>
    <n v="1350"/>
    <n v="1350"/>
    <n v="243"/>
    <n v="1593"/>
    <n v="135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4"/>
    <x v="222"/>
    <s v="AMR639"/>
    <d v="2019-11-21T00:00:00"/>
    <s v="20438563084"/>
    <s v="EDPYME ACCESO CREDITICIO SOCIEDAD ANONIMA"/>
    <s v="320001"/>
    <s v="REPUESTOS"/>
    <s v="000"/>
    <s v="001"/>
    <s v="CONTADO"/>
    <s v="002"/>
    <s v="MANTENIMIENTO-MECANICA"/>
    <s v="S/."/>
    <n v="3.3169999000000003"/>
    <n v="1"/>
    <n v="2160"/>
    <n v="2160"/>
    <n v="388.8"/>
    <n v="2548.8000000000002"/>
    <n v="216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5"/>
    <x v="223"/>
    <s v="BJJ554"/>
    <d v="2019-12-09T00:00:00"/>
    <s v="20438563084"/>
    <s v="EDPYME ACCESO CREDITICIO SOCIEDAD ANONIMA"/>
    <s v="1302020001"/>
    <s v="PINTURA"/>
    <s v="000"/>
    <s v="001"/>
    <s v="CONTADO"/>
    <s v="009"/>
    <s v="PINTURA"/>
    <s v="S/."/>
    <n v="3.3169999000000003"/>
    <n v="1"/>
    <n v="1080"/>
    <n v="1080"/>
    <n v="194.4"/>
    <n v="1274.4000000000001"/>
    <n v="108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5"/>
    <x v="223"/>
    <s v="BJJ554"/>
    <d v="2019-12-09T00:00:00"/>
    <s v="20438563084"/>
    <s v="EDPYME ACCESO CREDITICIO SOCIEDAD ANONIMA"/>
    <s v="1201020001"/>
    <s v="PLANCHADO"/>
    <s v="000"/>
    <s v="001"/>
    <s v="CONTADO"/>
    <s v="001"/>
    <s v="PLANCHADO"/>
    <s v="S/."/>
    <n v="3.3169999000000003"/>
    <n v="1"/>
    <n v="385"/>
    <n v="385"/>
    <n v="69.299990000000037"/>
    <n v="454.29999000000004"/>
    <n v="38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5"/>
    <x v="223"/>
    <s v="BJJ554"/>
    <d v="2019-12-09T00:00:00"/>
    <s v="20438563084"/>
    <s v="EDPYME ACCESO CREDITICIO SOCIEDAD ANONIMA"/>
    <s v="2908010001"/>
    <s v="TERCEROS"/>
    <s v="000"/>
    <s v="001"/>
    <s v="CONTADO"/>
    <s v="002"/>
    <s v="MANTENIMIENTO-MECANICA"/>
    <s v="S/."/>
    <n v="3.3169999000000003"/>
    <n v="1"/>
    <n v="205"/>
    <n v="205"/>
    <n v="36.89998999999996"/>
    <n v="241.89998999999997"/>
    <n v="20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5"/>
    <x v="223"/>
    <s v="BJJ554"/>
    <d v="2019-12-09T00:00:00"/>
    <s v="20438563084"/>
    <s v="EDPYME ACCESO CREDITICIO SOCIEDAD ANONIMA"/>
    <s v="2805010001"/>
    <s v="SERVICIOS"/>
    <s v="000"/>
    <s v="001"/>
    <s v="CONTADO"/>
    <s v="002"/>
    <s v="MANTENIMIENTO-MECANICA"/>
    <s v="S/."/>
    <n v="3.3169999000000003"/>
    <n v="1"/>
    <n v="323.75421"/>
    <n v="323.75420999999994"/>
    <n v="58.275790000000015"/>
    <n v="382.03"/>
    <n v="323.75420999999994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5"/>
    <x v="223"/>
    <s v="BJJ554"/>
    <d v="2019-12-09T00:00:00"/>
    <s v="20438563084"/>
    <s v="EDPYME ACCESO CREDITICIO SOCIEDAD ANONIMA"/>
    <s v="320001"/>
    <s v="REPUESTOS"/>
    <s v="000"/>
    <s v="001"/>
    <s v="CONTADO"/>
    <s v="002"/>
    <s v="MANTENIMIENTO-MECANICA"/>
    <s v="S/."/>
    <n v="3.3169999000000003"/>
    <n v="1"/>
    <n v="495"/>
    <n v="495"/>
    <n v="89.099979999999917"/>
    <n v="584.09997999999996"/>
    <n v="49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6"/>
    <x v="224"/>
    <s v="AUN101"/>
    <d v="2019-11-21T00:00:00"/>
    <s v="20438563084"/>
    <s v="EDPYME ACCESO CREDITICIO SOCIEDAD ANONIMA"/>
    <s v="1302020001"/>
    <s v="PINTURA"/>
    <s v="000"/>
    <s v="001"/>
    <s v="CONTADO"/>
    <s v="009"/>
    <s v="PINTURA"/>
    <s v="S/."/>
    <n v="3.3169999000000003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6"/>
    <x v="224"/>
    <s v="AUN101"/>
    <d v="2019-11-21T00:00:00"/>
    <s v="20438563084"/>
    <s v="EDPYME ACCESO CREDITICIO SOCIEDAD ANONIMA"/>
    <s v="1201020001"/>
    <s v="PLANCHADO"/>
    <s v="000"/>
    <s v="001"/>
    <s v="CONTADO"/>
    <s v="001"/>
    <s v="PLANCHADO"/>
    <s v="S/."/>
    <n v="3.3169999000000003"/>
    <n v="1"/>
    <n v="1400"/>
    <n v="1400"/>
    <n v="252"/>
    <n v="1652"/>
    <n v="140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6"/>
    <x v="224"/>
    <s v="AUN101"/>
    <d v="2019-11-21T00:00:00"/>
    <s v="20438563084"/>
    <s v="EDPYME ACCESO CREDITICIO SOCIEDAD ANONIMA"/>
    <s v="2908010001"/>
    <s v="TERCEROS"/>
    <s v="000"/>
    <s v="001"/>
    <s v="CONTADO"/>
    <s v="002"/>
    <s v="MANTENIMIENTO-MECANICA"/>
    <s v="S/."/>
    <n v="3.3169999000000003"/>
    <n v="1"/>
    <n v="950"/>
    <n v="950"/>
    <n v="171"/>
    <n v="1121"/>
    <n v="95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6"/>
    <x v="224"/>
    <s v="AUN101"/>
    <d v="2019-11-21T00:00:00"/>
    <s v="20438563084"/>
    <s v="EDPYME ACCESO CREDITICIO SOCIEDAD ANONIMA"/>
    <s v="2908010002"/>
    <s v="REPUESTOS PRESUPUESTO INICIAL AMPLIACION"/>
    <s v="000"/>
    <s v="001"/>
    <s v="CONTADO"/>
    <s v="002"/>
    <s v="MANTENIMIENTO-MECANICA"/>
    <s v="S/."/>
    <n v="3.3169999000000003"/>
    <n v="1"/>
    <n v="2358"/>
    <n v="2358"/>
    <n v="424.43989999999991"/>
    <n v="2782.4398999999999"/>
    <n v="2358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6"/>
    <x v="224"/>
    <s v="AUN101"/>
    <d v="2019-11-21T00:00:00"/>
    <s v="20438563084"/>
    <s v="EDPYME ACCESO CREDITICIO SOCIEDAD ANONIMA"/>
    <s v="2805010001"/>
    <s v="SERVICIOS"/>
    <s v="000"/>
    <s v="001"/>
    <s v="CONTADO"/>
    <s v="002"/>
    <s v="MANTENIMIENTO-MECANICA"/>
    <s v="S/."/>
    <n v="3.3169999000000003"/>
    <n v="1"/>
    <n v="735"/>
    <n v="735"/>
    <n v="132.29998999999995"/>
    <n v="867.29998999999998"/>
    <n v="735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6"/>
    <x v="224"/>
    <s v="AUN101"/>
    <d v="2019-11-21T00:00:00"/>
    <s v="20438563084"/>
    <s v="EDPYME ACCESO CREDITICIO SOCIEDAD ANONIMA"/>
    <s v="320001"/>
    <s v="REPUESTOS"/>
    <s v="000"/>
    <s v="001"/>
    <s v="CONTADO"/>
    <s v="002"/>
    <s v="MANTENIMIENTO-MECANICA"/>
    <s v="S/."/>
    <n v="3.3169999000000003"/>
    <n v="1"/>
    <n v="2309"/>
    <n v="2309"/>
    <n v="415.62010000000009"/>
    <n v="2724.6201000000001"/>
    <n v="2309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7"/>
    <x v="225"/>
    <s v="F2O046"/>
    <d v="2019-12-19T00:00:00"/>
    <s v="20100041953"/>
    <s v="RIMAC SEGUROS  Y REASEGUROS S.A"/>
    <s v="1302020001"/>
    <s v="PINTURA"/>
    <s v="000"/>
    <s v="001"/>
    <s v="CONTADO"/>
    <s v="009"/>
    <s v="PINTURA"/>
    <s v="$"/>
    <n v="3.3169999000000003"/>
    <n v="1"/>
    <n v="191.75419999999997"/>
    <n v="191.75419999999997"/>
    <n v="34.51580000000002"/>
    <n v="226.27"/>
    <n v="636.04866222457997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7"/>
    <x v="225"/>
    <s v="F2O046"/>
    <d v="2019-12-19T00:00:00"/>
    <s v="20100041953"/>
    <s v="RIMAC SEGUROS  Y REASEGUROS S.A"/>
    <s v="1201020001"/>
    <s v="PLANCHADO"/>
    <s v="000"/>
    <s v="001"/>
    <s v="CONTADO"/>
    <s v="001"/>
    <s v="PLANCHADO"/>
    <s v="$"/>
    <n v="3.3169999000000003"/>
    <n v="1"/>
    <n v="60"/>
    <n v="60"/>
    <n v="10.800002999999997"/>
    <n v="70.800003000000004"/>
    <n v="199.01999400000003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7"/>
    <x v="225"/>
    <s v="F2O046"/>
    <d v="2019-12-19T00:00:00"/>
    <s v="20100041953"/>
    <s v="RIMAC SEGUROS  Y REASEGUROS S.A"/>
    <s v="2908010001"/>
    <s v="TERCEROS"/>
    <s v="000"/>
    <s v="001"/>
    <s v="CONTADO"/>
    <s v="002"/>
    <s v="MANTENIMIENTO-MECANICA"/>
    <s v="$"/>
    <n v="3.3169999000000003"/>
    <n v="1"/>
    <n v="80"/>
    <n v="80"/>
    <n v="14.400002000000004"/>
    <n v="94.400002000000001"/>
    <n v="265.35999200000003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7"/>
    <x v="225"/>
    <s v="F2O046"/>
    <d v="2019-12-19T00:00:00"/>
    <s v="20100041953"/>
    <s v="RIMAC SEGUROS  Y REASEGUROS S.A"/>
    <s v="310120"/>
    <s v="FRANQUICIA"/>
    <s v="000"/>
    <s v="001"/>
    <s v="CONTADO"/>
    <s v="002"/>
    <s v="MANTENIMIENTO-MECANICA"/>
    <s v="$"/>
    <n v="3.3169999000000003"/>
    <n v="-1"/>
    <n v="111.28809999999997"/>
    <n v="-111.28809999999997"/>
    <n v="-20.031910000000043"/>
    <n v="-131.32001000000002"/>
    <n v="-369.14261657118993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7"/>
    <x v="225"/>
    <s v="F2O046"/>
    <d v="2019-12-19T00:00:00"/>
    <s v="20100041953"/>
    <s v="RIMAC SEGUROS  Y REASEGUROS S.A"/>
    <s v="320001"/>
    <s v="REPUESTOS"/>
    <s v="000"/>
    <s v="001"/>
    <s v="CONTADO"/>
    <s v="002"/>
    <s v="MANTENIMIENTO-MECANICA"/>
    <s v="$"/>
    <n v="3.3169999000000003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8"/>
    <x v="226"/>
    <s v="C4S259"/>
    <d v="2019-12-28T00:00:00"/>
    <s v="20473938929"/>
    <s v="INDURA PERU S.A."/>
    <s v="2805010001"/>
    <s v="SERVICIOS"/>
    <s v="000"/>
    <s v="005"/>
    <s v="FACTURA A 30 DIAS"/>
    <s v="002"/>
    <s v="MANTENIMIENTO-MECANICA"/>
    <s v="S/."/>
    <n v="3.3169999000000003"/>
    <n v="1"/>
    <n v="499"/>
    <n v="499"/>
    <n v="89.82001000000011"/>
    <n v="588.82001000000014"/>
    <n v="499"/>
    <m/>
    <m/>
    <m/>
    <m/>
    <m/>
    <m/>
    <m/>
    <m/>
    <m/>
    <m/>
    <m/>
    <m/>
    <m/>
    <m/>
    <m/>
    <m/>
    <m/>
    <m/>
    <m/>
    <m/>
    <m/>
    <m/>
    <m/>
    <m/>
  </r>
  <r>
    <x v="61"/>
    <s v="FAC"/>
    <s v="005"/>
    <s v="00000248"/>
    <x v="226"/>
    <s v="C4S259"/>
    <d v="2019-12-28T00:00:00"/>
    <s v="20473938929"/>
    <s v="INDURA PERU S.A."/>
    <s v="320001"/>
    <s v="REPUESTOS"/>
    <s v="000"/>
    <s v="005"/>
    <s v="FACTURA A 30 DIAS"/>
    <s v="002"/>
    <s v="MANTENIMIENTO-MECANICA"/>
    <s v="S/."/>
    <n v="3.3169999000000003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2"/>
    <s v="FAC"/>
    <s v="005"/>
    <s v="00000249"/>
    <x v="227"/>
    <s v="F3M334"/>
    <d v="2019-12-23T00:00:00"/>
    <s v="20100041953"/>
    <s v="RIMAC SEGUROS  Y REASEGUROS S.A"/>
    <s v="1302020001"/>
    <s v="PINTURA"/>
    <s v="000"/>
    <s v="001"/>
    <s v="CONTADO"/>
    <s v="009"/>
    <s v="PINTURA"/>
    <s v="$"/>
    <n v="3.3110000999999998"/>
    <n v="1"/>
    <n v="177"/>
    <n v="177"/>
    <n v="31.86"/>
    <n v="208.86"/>
    <n v="586.04701769999997"/>
    <m/>
    <m/>
    <m/>
    <m/>
    <m/>
    <m/>
    <m/>
    <m/>
    <m/>
    <m/>
    <m/>
    <m/>
    <m/>
    <m/>
    <m/>
    <m/>
    <m/>
    <m/>
    <m/>
    <m/>
    <m/>
    <m/>
    <m/>
    <m/>
  </r>
  <r>
    <x v="62"/>
    <s v="FAC"/>
    <s v="005"/>
    <s v="00000249"/>
    <x v="227"/>
    <s v="F3M334"/>
    <d v="2019-12-23T00:00:00"/>
    <s v="20100041953"/>
    <s v="RIMAC SEGUROS  Y REASEGUROS S.A"/>
    <s v="1201020001"/>
    <s v="PLANCHADO"/>
    <s v="000"/>
    <s v="001"/>
    <s v="CONTADO"/>
    <s v="001"/>
    <s v="PLANCHADO"/>
    <s v="$"/>
    <n v="3.3110000999999998"/>
    <n v="1"/>
    <n v="127.5"/>
    <n v="127.5"/>
    <n v="22.949999999999982"/>
    <n v="150.44999999999999"/>
    <n v="422.15251274999997"/>
    <m/>
    <m/>
    <m/>
    <m/>
    <m/>
    <m/>
    <m/>
    <m/>
    <m/>
    <m/>
    <m/>
    <m/>
    <m/>
    <m/>
    <m/>
    <m/>
    <m/>
    <m/>
    <m/>
    <m/>
    <m/>
    <m/>
    <m/>
    <m/>
  </r>
  <r>
    <x v="62"/>
    <s v="FAC"/>
    <s v="005"/>
    <s v="00000249"/>
    <x v="227"/>
    <s v="F3M334"/>
    <d v="2019-12-23T00:00:00"/>
    <s v="20100041953"/>
    <s v="RIMAC SEGUROS  Y REASEGUROS S.A"/>
    <s v="2908010001"/>
    <s v="TERCEROS"/>
    <s v="000"/>
    <s v="001"/>
    <s v="CONTADO"/>
    <s v="002"/>
    <s v="MANTENIMIENTO-MECANICA"/>
    <s v="$"/>
    <n v="3.3110000999999998"/>
    <n v="1"/>
    <n v="60"/>
    <n v="60"/>
    <n v="10.800002999999997"/>
    <n v="70.800003000000004"/>
    <n v="198.66000599999998"/>
    <m/>
    <m/>
    <m/>
    <m/>
    <m/>
    <m/>
    <m/>
    <m/>
    <m/>
    <m/>
    <m/>
    <m/>
    <m/>
    <m/>
    <m/>
    <m/>
    <m/>
    <m/>
    <m/>
    <m/>
    <m/>
    <m/>
    <m/>
    <m/>
  </r>
  <r>
    <x v="62"/>
    <s v="FAC"/>
    <s v="005"/>
    <s v="00000249"/>
    <x v="227"/>
    <s v="F3M334"/>
    <d v="2019-12-23T00:00:00"/>
    <s v="20100041953"/>
    <s v="RIMAC SEGUROS  Y REASEGUROS S.A"/>
    <s v="2908010002"/>
    <s v="AMPLIACION MANO DE OBRA"/>
    <s v="000"/>
    <s v="001"/>
    <s v="CONTADO"/>
    <s v="002"/>
    <s v="MANTENIMIENTO-MECANICA"/>
    <s v="$"/>
    <n v="3.3110000999999998"/>
    <n v="1"/>
    <n v="22.5"/>
    <n v="22.5"/>
    <n v="4.0499990000000023"/>
    <n v="26.549999000000003"/>
    <n v="74.497502249999997"/>
    <m/>
    <m/>
    <m/>
    <m/>
    <m/>
    <m/>
    <m/>
    <m/>
    <m/>
    <m/>
    <m/>
    <m/>
    <m/>
    <m/>
    <m/>
    <m/>
    <m/>
    <m/>
    <m/>
    <m/>
    <m/>
    <m/>
    <m/>
    <m/>
  </r>
  <r>
    <x v="62"/>
    <s v="FAC"/>
    <s v="005"/>
    <s v="00000249"/>
    <x v="227"/>
    <s v="F3M334"/>
    <d v="2019-12-23T00:00:00"/>
    <s v="20100041953"/>
    <s v="RIMAC SEGUROS  Y REASEGUROS S.A"/>
    <s v="310120"/>
    <s v="FRANQUICIA"/>
    <s v="000"/>
    <s v="001"/>
    <s v="CONTADO"/>
    <s v="002"/>
    <s v="MANTENIMIENTO-MECANICA"/>
    <s v="$"/>
    <n v="3.3110000999999998"/>
    <n v="-1"/>
    <n v="100"/>
    <n v="-100"/>
    <n v="-18"/>
    <n v="-118"/>
    <n v="-331.10001"/>
    <m/>
    <m/>
    <m/>
    <m/>
    <m/>
    <m/>
    <m/>
    <m/>
    <m/>
    <m/>
    <m/>
    <m/>
    <m/>
    <m/>
    <m/>
    <m/>
    <m/>
    <m/>
    <m/>
    <m/>
    <m/>
    <m/>
    <m/>
    <m/>
  </r>
  <r>
    <x v="62"/>
    <s v="FAC"/>
    <s v="005"/>
    <s v="00000249"/>
    <x v="227"/>
    <s v="F3M334"/>
    <d v="2019-12-23T00:00:00"/>
    <s v="20100041953"/>
    <s v="RIMAC SEGUROS  Y REASEGUROS S.A"/>
    <s v="320001"/>
    <s v="REPUESTOS"/>
    <s v="000"/>
    <s v="001"/>
    <s v="CONTADO"/>
    <s v="002"/>
    <s v="MANTENIMIENTO-MECANICA"/>
    <s v="$"/>
    <n v="3.3110000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3"/>
    <s v="FAC"/>
    <s v="005"/>
    <s v="00000250"/>
    <x v="228"/>
    <s v="F2F448"/>
    <d v="2020-01-02T00:00:00"/>
    <s v="20600184289"/>
    <s v="LADO B EDUCACION EMOCIONAL S.A.C."/>
    <s v="2805010001"/>
    <s v="SERVICIOS"/>
    <s v="000"/>
    <s v="001"/>
    <s v="CONTADO"/>
    <s v="002"/>
    <s v="MANTENIMIENTO-MECANICA"/>
    <s v="S/."/>
    <n v="3.3110000999999998"/>
    <n v="1"/>
    <n v="270"/>
    <n v="270"/>
    <n v="48.600010000000005"/>
    <n v="318.60001"/>
    <n v="270"/>
    <m/>
    <m/>
    <m/>
    <m/>
    <m/>
    <m/>
    <m/>
    <m/>
    <m/>
    <m/>
    <m/>
    <m/>
    <m/>
    <m/>
    <m/>
    <m/>
    <m/>
    <m/>
    <m/>
    <m/>
    <m/>
    <m/>
    <m/>
    <m/>
  </r>
  <r>
    <x v="63"/>
    <s v="FAC"/>
    <s v="005"/>
    <s v="00000250"/>
    <x v="228"/>
    <s v="F2F448"/>
    <d v="2020-01-02T00:00:00"/>
    <s v="20600184289"/>
    <s v="LADO B EDUCACION EMOCIONAL S.A.C."/>
    <s v="320001"/>
    <s v="REPUESTOS"/>
    <s v="000"/>
    <s v="001"/>
    <s v="CONTADO"/>
    <s v="002"/>
    <s v="MANTENIMIENTO-MECANICA"/>
    <s v="S/."/>
    <n v="3.3110000999999998"/>
    <n v="1"/>
    <n v="609"/>
    <n v="609"/>
    <n v="109.62"/>
    <n v="718.62"/>
    <n v="609"/>
    <m/>
    <m/>
    <m/>
    <m/>
    <m/>
    <m/>
    <m/>
    <m/>
    <m/>
    <m/>
    <m/>
    <m/>
    <m/>
    <m/>
    <m/>
    <m/>
    <m/>
    <m/>
    <m/>
    <m/>
    <m/>
    <m/>
    <m/>
    <m/>
  </r>
  <r>
    <x v="63"/>
    <s v="FAC"/>
    <s v="005"/>
    <s v="00000251"/>
    <x v="229"/>
    <s v="AEM292"/>
    <d v="2019-12-27T00:00:00"/>
    <s v="20438563084"/>
    <s v="EDPYME ACCESO CREDITICIO SOCIEDAD ANONIMA"/>
    <s v="1302020001"/>
    <s v="PINTURA"/>
    <s v="000"/>
    <s v="001"/>
    <s v="CONTADO"/>
    <s v="009"/>
    <s v="PINTURA"/>
    <s v="S/."/>
    <n v="3.3110000999999998"/>
    <n v="1"/>
    <n v="101.25419999999998"/>
    <n v="101.25419999999998"/>
    <n v="18.225800000000017"/>
    <n v="119.48"/>
    <n v="101.25419999999998"/>
    <m/>
    <m/>
    <m/>
    <m/>
    <m/>
    <m/>
    <m/>
    <m/>
    <m/>
    <m/>
    <m/>
    <m/>
    <m/>
    <m/>
    <m/>
    <m/>
    <m/>
    <m/>
    <m/>
    <m/>
    <m/>
    <m/>
    <m/>
    <m/>
  </r>
  <r>
    <x v="63"/>
    <s v="FAC"/>
    <s v="005"/>
    <s v="00000251"/>
    <x v="229"/>
    <s v="AEM292"/>
    <d v="2019-12-27T00:00:00"/>
    <s v="20438563084"/>
    <s v="EDPYME ACCESO CREDITICIO SOCIEDAD ANONIMA"/>
    <s v="1201020001"/>
    <s v="PLANCHADO"/>
    <s v="000"/>
    <s v="001"/>
    <s v="CONTADO"/>
    <s v="001"/>
    <s v="PLANCHADO"/>
    <s v="S/."/>
    <n v="3.3110000999999998"/>
    <n v="1"/>
    <n v="105"/>
    <n v="105"/>
    <n v="18.899999999999999"/>
    <n v="123.9"/>
    <n v="105"/>
    <m/>
    <m/>
    <m/>
    <m/>
    <m/>
    <m/>
    <m/>
    <m/>
    <m/>
    <m/>
    <m/>
    <m/>
    <m/>
    <m/>
    <m/>
    <m/>
    <m/>
    <m/>
    <m/>
    <m/>
    <m/>
    <m/>
    <m/>
    <m/>
  </r>
  <r>
    <x v="63"/>
    <s v="FAC"/>
    <s v="005"/>
    <s v="00000251"/>
    <x v="229"/>
    <s v="AEM292"/>
    <d v="2019-12-27T00:00:00"/>
    <s v="20438563084"/>
    <s v="EDPYME ACCESO CREDITICIO SOCIEDAD ANONIMA"/>
    <s v="2908010001"/>
    <s v="TERCEROS"/>
    <s v="000"/>
    <s v="001"/>
    <s v="CONTADO"/>
    <s v="002"/>
    <s v="MANTENIMIENTO-MECANICA"/>
    <s v="S/."/>
    <n v="3.3110000999999998"/>
    <n v="1"/>
    <n v="120"/>
    <n v="120"/>
    <n v="21.600010000000019"/>
    <n v="141.60001000000003"/>
    <n v="120"/>
    <m/>
    <m/>
    <m/>
    <m/>
    <m/>
    <m/>
    <m/>
    <m/>
    <m/>
    <m/>
    <m/>
    <m/>
    <m/>
    <m/>
    <m/>
    <m/>
    <m/>
    <m/>
    <m/>
    <m/>
    <m/>
    <m/>
    <m/>
    <m/>
  </r>
  <r>
    <x v="63"/>
    <s v="FAC"/>
    <s v="005"/>
    <s v="00000251"/>
    <x v="229"/>
    <s v="AEM292"/>
    <d v="2019-12-27T00:00:00"/>
    <s v="20438563084"/>
    <s v="EDPYME ACCESO CREDITICIO SOCIEDAD ANONIMA"/>
    <s v="2805010001"/>
    <s v="SERVICIOS"/>
    <s v="000"/>
    <s v="001"/>
    <s v="CONTADO"/>
    <s v="002"/>
    <s v="MANTENIMIENTO-MECANICA"/>
    <s v="S/."/>
    <n v="3.3110000999999998"/>
    <n v="1"/>
    <n v="35"/>
    <n v="35"/>
    <n v="6.299998999999989"/>
    <n v="41.299998999999985"/>
    <n v="35"/>
    <m/>
    <m/>
    <m/>
    <m/>
    <m/>
    <m/>
    <m/>
    <m/>
    <m/>
    <m/>
    <m/>
    <m/>
    <m/>
    <m/>
    <m/>
    <m/>
    <m/>
    <m/>
    <m/>
    <m/>
    <m/>
    <m/>
    <m/>
    <m/>
  </r>
  <r>
    <x v="63"/>
    <s v="FAC"/>
    <s v="005"/>
    <s v="00000251"/>
    <x v="229"/>
    <s v="AEM292"/>
    <d v="2019-12-27T00:00:00"/>
    <s v="20438563084"/>
    <s v="EDPYME ACCESO CREDITICIO SOCIEDAD ANONIMA"/>
    <s v="320001"/>
    <s v="REPUESTOS"/>
    <s v="000"/>
    <s v="001"/>
    <s v="CONTADO"/>
    <s v="002"/>
    <s v="MANTENIMIENTO-MECANICA"/>
    <s v="S/."/>
    <n v="3.3110000999999998"/>
    <n v="1"/>
    <n v="200"/>
    <n v="200"/>
    <n v="36"/>
    <n v="236"/>
    <n v="200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2"/>
    <x v="230"/>
    <s v="BDK341"/>
    <d v="2019-12-30T00:00:00"/>
    <s v="20100041953"/>
    <s v="RIMAC SEGUROS  Y REASEGUROS S.A"/>
    <s v="1302020001"/>
    <s v="PINTURA"/>
    <s v="000"/>
    <s v="001"/>
    <s v="CONTADO"/>
    <s v="009"/>
    <s v="PINTURA"/>
    <s v="$"/>
    <n v="3.323"/>
    <n v="1"/>
    <n v="147.5"/>
    <n v="147.5"/>
    <n v="26.55"/>
    <n v="174.05"/>
    <n v="490.14249999999998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2"/>
    <x v="230"/>
    <s v="BDK341"/>
    <d v="2019-12-30T00:00:00"/>
    <s v="20100041953"/>
    <s v="RIMAC SEGUROS  Y REASEGUROS S.A"/>
    <s v="1201020001"/>
    <s v="PLANCHADO"/>
    <s v="000"/>
    <s v="001"/>
    <s v="CONTADO"/>
    <s v="001"/>
    <s v="PLANCHADO"/>
    <s v="$"/>
    <n v="3.323"/>
    <n v="1"/>
    <n v="120"/>
    <n v="120"/>
    <n v="21.600010000000019"/>
    <n v="141.60001000000003"/>
    <n v="398.76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2"/>
    <x v="230"/>
    <s v="BDK341"/>
    <d v="2019-12-30T00:00:00"/>
    <s v="20100041953"/>
    <s v="RIMAC SEGUROS  Y REASEGUROS S.A"/>
    <s v="2908010001"/>
    <s v="TERCEROS"/>
    <s v="000"/>
    <s v="001"/>
    <s v="CONTADO"/>
    <s v="002"/>
    <s v="MANTENIMIENTO-MECANICA"/>
    <s v="$"/>
    <n v="3.323"/>
    <n v="1"/>
    <n v="25"/>
    <n v="25"/>
    <n v="4.5"/>
    <n v="29.5"/>
    <n v="83.075000000000003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2"/>
    <x v="230"/>
    <s v="BDK341"/>
    <d v="2019-12-30T00:00:00"/>
    <s v="20100041953"/>
    <s v="RIMAC SEGUROS  Y REASEGUROS S.A"/>
    <s v="310120"/>
    <s v="FRANQUICIA"/>
    <s v="000"/>
    <s v="001"/>
    <s v="CONTADO"/>
    <s v="002"/>
    <s v="MANTENIMIENTO-MECANICA"/>
    <s v="$"/>
    <n v="3.323"/>
    <n v="-1"/>
    <n v="200"/>
    <n v="-200"/>
    <n v="-36"/>
    <n v="-236"/>
    <n v="-664.6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3"/>
    <x v="231"/>
    <s v="F6K132"/>
    <d v="2020-01-07T00:00:00"/>
    <s v="20473938929"/>
    <s v="INDURA PERU S.A."/>
    <s v="320001"/>
    <s v="REPUESTOS"/>
    <s v="000"/>
    <s v="005"/>
    <s v="FACTURA A 30 DIAS"/>
    <s v="002"/>
    <s v="MANTENIMIENTO-MECANICA"/>
    <s v="S/."/>
    <n v="3.323"/>
    <n v="1"/>
    <n v="355"/>
    <n v="355"/>
    <n v="63.899990000000031"/>
    <n v="418.89999000000006"/>
    <n v="355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4"/>
    <x v="232"/>
    <s v="F6K132"/>
    <d v="2019-11-25T00:00:00"/>
    <s v="20473938929"/>
    <s v="INDURA PERU S.A."/>
    <s v="1201020001"/>
    <s v="PLANCHADO"/>
    <s v="000"/>
    <s v="005"/>
    <s v="FACTURA A 30 DIAS"/>
    <s v="001"/>
    <s v="PLANCHADO"/>
    <s v="S/."/>
    <n v="3.323"/>
    <n v="1"/>
    <n v="70"/>
    <n v="70"/>
    <n v="12.599997999999978"/>
    <n v="82.599997999999971"/>
    <n v="70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4"/>
    <x v="232"/>
    <s v="F6K132"/>
    <d v="2019-11-25T00:00:00"/>
    <s v="20473938929"/>
    <s v="INDURA PERU S.A."/>
    <s v="2908010001"/>
    <s v="TERCEROS"/>
    <s v="000"/>
    <s v="005"/>
    <s v="FACTURA A 30 DIAS"/>
    <s v="002"/>
    <s v="MANTENIMIENTO-MECANICA"/>
    <s v="S/."/>
    <n v="3.323"/>
    <n v="1"/>
    <n v="1505"/>
    <n v="1505"/>
    <n v="270.89999999999998"/>
    <n v="1775.9"/>
    <n v="1505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4"/>
    <x v="232"/>
    <s v="F6K132"/>
    <d v="2019-11-25T00:00:00"/>
    <s v="20473938929"/>
    <s v="INDURA PERU S.A."/>
    <s v="2805010001"/>
    <s v="SERVICIOS"/>
    <s v="000"/>
    <s v="005"/>
    <s v="FACTURA A 30 DIAS"/>
    <s v="002"/>
    <s v="MANTENIMIENTO-MECANICA"/>
    <s v="S/."/>
    <n v="3.323"/>
    <n v="1"/>
    <n v="1500"/>
    <n v="1500"/>
    <n v="270"/>
    <n v="1770"/>
    <n v="1500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4"/>
    <x v="232"/>
    <s v="F6K132"/>
    <d v="2019-11-25T00:00:00"/>
    <s v="20473938929"/>
    <s v="INDURA PERU S.A."/>
    <s v="320001"/>
    <s v="REPUESTOS"/>
    <s v="000"/>
    <s v="005"/>
    <s v="FACTURA A 30 DIAS"/>
    <s v="002"/>
    <s v="MANTENIMIENTO-MECANICA"/>
    <s v="S/."/>
    <n v="3.323"/>
    <n v="1"/>
    <n v="4653"/>
    <n v="4653"/>
    <n v="837.54"/>
    <n v="5490.54"/>
    <n v="4653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5"/>
    <x v="192"/>
    <s v="F2Y614"/>
    <d v="2019-12-19T00:00:00"/>
    <s v="20100041953"/>
    <s v="RIMAC SEGUROS  Y REASEGUROS S.A"/>
    <s v="1302020001"/>
    <s v="PINTURA"/>
    <s v="000"/>
    <s v="001"/>
    <s v="CONTADO"/>
    <s v="009"/>
    <s v="PINTURA"/>
    <s v="$"/>
    <n v="3.323"/>
    <n v="1"/>
    <n v="236"/>
    <n v="236"/>
    <n v="42.48001"/>
    <n v="278.48000999999999"/>
    <n v="784.22799999999995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5"/>
    <x v="192"/>
    <s v="F2Y614"/>
    <d v="2019-12-19T00:00:00"/>
    <s v="20100041953"/>
    <s v="RIMAC SEGUROS  Y REASEGUROS S.A"/>
    <s v="1201020001"/>
    <s v="PLANCHADO"/>
    <s v="000"/>
    <s v="001"/>
    <s v="CONTADO"/>
    <s v="001"/>
    <s v="PLANCHADO"/>
    <s v="$"/>
    <n v="3.323"/>
    <n v="1"/>
    <n v="183.75419999999997"/>
    <n v="183.75419999999997"/>
    <n v="33.075800000000015"/>
    <n v="216.83"/>
    <n v="610.61520659999985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5"/>
    <x v="192"/>
    <s v="F2Y614"/>
    <d v="2019-12-19T00:00:00"/>
    <s v="20100041953"/>
    <s v="RIMAC SEGUROS  Y REASEGUROS S.A"/>
    <s v="310120"/>
    <s v="FRANQUICIA"/>
    <s v="000"/>
    <s v="001"/>
    <s v="CONTADO"/>
    <s v="002"/>
    <s v="MANTENIMIENTO-MECANICA"/>
    <s v="$"/>
    <n v="3.323"/>
    <n v="-1"/>
    <n v="130.18639999999999"/>
    <n v="-130.18639999999999"/>
    <n v="-23.433600000000006"/>
    <n v="-153.62"/>
    <n v="-432.60940719999996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5"/>
    <x v="192"/>
    <s v="F2Y614"/>
    <d v="2019-12-19T00:00:00"/>
    <s v="20100041953"/>
    <s v="RIMAC SEGUROS  Y REASEGUROS S.A"/>
    <s v="310120"/>
    <s v="FRANQUICIA"/>
    <s v="000"/>
    <s v="001"/>
    <s v="CONTADO"/>
    <s v="002"/>
    <s v="MANTENIMIENTO-MECANICA"/>
    <s v="$"/>
    <n v="3.323"/>
    <n v="-1"/>
    <n v="9.932200400000001"/>
    <n v="-9.932200400000001"/>
    <n v="-1.7877995999999996"/>
    <n v="-11.72"/>
    <n v="-33.004701929200003"/>
    <m/>
    <m/>
    <m/>
    <m/>
    <m/>
    <m/>
    <m/>
    <m/>
    <m/>
    <m/>
    <m/>
    <m/>
    <m/>
    <m/>
    <m/>
    <m/>
    <m/>
    <m/>
    <m/>
    <m/>
    <m/>
    <m/>
    <m/>
    <m/>
  </r>
  <r>
    <x v="64"/>
    <s v="FAC"/>
    <s v="005"/>
    <s v="00000255"/>
    <x v="192"/>
    <s v="F2Y614"/>
    <d v="2019-12-19T00:00:00"/>
    <s v="20100041953"/>
    <s v="RIMAC SEGUROS  Y REASEGUROS S.A"/>
    <s v="320001"/>
    <s v="REPUESTOS"/>
    <s v="000"/>
    <s v="001"/>
    <s v="CONTADO"/>
    <s v="002"/>
    <s v="MANTENIMIENTO-MECANICA"/>
    <s v="$"/>
    <n v="3.323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5"/>
    <s v="FAC"/>
    <s v="005"/>
    <s v="00000256"/>
    <x v="233"/>
    <s v="AVV131"/>
    <d v="2019-11-21T00:00:00"/>
    <s v="20438563084"/>
    <s v="EDPYME ACCESO CREDITICIO SOCIEDAD ANONIMA"/>
    <s v="1302020001"/>
    <s v="PINTURA"/>
    <s v="000"/>
    <s v="001"/>
    <s v="CONTADO"/>
    <s v="009"/>
    <s v="PINTURA"/>
    <s v="S/."/>
    <n v="3.3269999000000001"/>
    <n v="1"/>
    <n v="2092.5"/>
    <n v="2092.5"/>
    <n v="376.64989999999989"/>
    <n v="2469.1498999999999"/>
    <n v="2092.5"/>
    <m/>
    <m/>
    <m/>
    <m/>
    <m/>
    <m/>
    <m/>
    <m/>
    <m/>
    <m/>
    <m/>
    <m/>
    <m/>
    <m/>
    <m/>
    <m/>
    <m/>
    <m/>
    <m/>
    <m/>
    <m/>
    <m/>
    <m/>
    <m/>
  </r>
  <r>
    <x v="65"/>
    <s v="FAC"/>
    <s v="005"/>
    <s v="00000256"/>
    <x v="233"/>
    <s v="AVV131"/>
    <d v="2019-11-21T00:00:00"/>
    <s v="20438563084"/>
    <s v="EDPYME ACCESO CREDITICIO SOCIEDAD ANONIMA"/>
    <s v="1201020001"/>
    <s v="PLANCHADO"/>
    <s v="000"/>
    <s v="001"/>
    <s v="CONTADO"/>
    <s v="001"/>
    <s v="PLANCHADO"/>
    <s v="S/."/>
    <n v="3.3269999000000001"/>
    <n v="1"/>
    <n v="1365"/>
    <n v="1365"/>
    <n v="245.7"/>
    <n v="1610.7"/>
    <n v="1365"/>
    <m/>
    <m/>
    <m/>
    <m/>
    <m/>
    <m/>
    <m/>
    <m/>
    <m/>
    <m/>
    <m/>
    <m/>
    <m/>
    <m/>
    <m/>
    <m/>
    <m/>
    <m/>
    <m/>
    <m/>
    <m/>
    <m/>
    <m/>
    <m/>
  </r>
  <r>
    <x v="65"/>
    <s v="FAC"/>
    <s v="005"/>
    <s v="00000256"/>
    <x v="233"/>
    <s v="AVV131"/>
    <d v="2019-11-21T00:00:00"/>
    <s v="20438563084"/>
    <s v="EDPYME ACCESO CREDITICIO SOCIEDAD ANONIMA"/>
    <s v="2908010001"/>
    <s v="TERCEROS"/>
    <s v="000"/>
    <s v="001"/>
    <s v="CONTADO"/>
    <s v="002"/>
    <s v="MANTENIMIENTO-MECANICA"/>
    <s v="S/."/>
    <n v="3.3269999000000001"/>
    <n v="1"/>
    <n v="840"/>
    <n v="840"/>
    <n v="151.20000999999991"/>
    <n v="991.20000999999991"/>
    <n v="840"/>
    <m/>
    <m/>
    <m/>
    <m/>
    <m/>
    <m/>
    <m/>
    <m/>
    <m/>
    <m/>
    <m/>
    <m/>
    <m/>
    <m/>
    <m/>
    <m/>
    <m/>
    <m/>
    <m/>
    <m/>
    <m/>
    <m/>
    <m/>
    <m/>
  </r>
  <r>
    <x v="65"/>
    <s v="FAC"/>
    <s v="005"/>
    <s v="00000256"/>
    <x v="233"/>
    <s v="AVV131"/>
    <d v="2019-11-21T00:00:00"/>
    <s v="20438563084"/>
    <s v="EDPYME ACCESO CREDITICIO SOCIEDAD ANONIMA"/>
    <s v="2908010002"/>
    <s v="AMPLIACION PRESUPUESTO"/>
    <s v="000"/>
    <s v="001"/>
    <s v="CONTADO"/>
    <s v="002"/>
    <s v="MANTENIMIENTO-MECANICA"/>
    <s v="S/."/>
    <n v="3.3269999000000001"/>
    <n v="1"/>
    <n v="5154.5171"/>
    <n v="5154.5171"/>
    <n v="927.81300000000158"/>
    <n v="6082.330100000001"/>
    <n v="5154.5171"/>
    <m/>
    <m/>
    <m/>
    <m/>
    <m/>
    <m/>
    <m/>
    <m/>
    <m/>
    <m/>
    <m/>
    <m/>
    <m/>
    <m/>
    <m/>
    <m/>
    <m/>
    <m/>
    <m/>
    <m/>
    <m/>
    <m/>
    <m/>
    <m/>
  </r>
  <r>
    <x v="65"/>
    <s v="FAC"/>
    <s v="005"/>
    <s v="00000256"/>
    <x v="233"/>
    <s v="AVV131"/>
    <d v="2019-11-21T00:00:00"/>
    <s v="20438563084"/>
    <s v="EDPYME ACCESO CREDITICIO SOCIEDAD ANONIMA"/>
    <s v="2805010001"/>
    <s v="SERVICIOS"/>
    <s v="000"/>
    <s v="001"/>
    <s v="CONTADO"/>
    <s v="002"/>
    <s v="MANTENIMIENTO-MECANICA"/>
    <s v="S/."/>
    <n v="3.3269999000000001"/>
    <n v="1"/>
    <n v="813.75420999999972"/>
    <n v="813.75420999999972"/>
    <n v="146.47577000000035"/>
    <n v="960.22998000000007"/>
    <n v="813.75420999999972"/>
    <m/>
    <m/>
    <m/>
    <m/>
    <m/>
    <m/>
    <m/>
    <m/>
    <m/>
    <m/>
    <m/>
    <m/>
    <m/>
    <m/>
    <m/>
    <m/>
    <m/>
    <m/>
    <m/>
    <m/>
    <m/>
    <m/>
    <m/>
    <m/>
  </r>
  <r>
    <x v="65"/>
    <s v="FAC"/>
    <s v="005"/>
    <s v="00000256"/>
    <x v="233"/>
    <s v="AVV131"/>
    <d v="2019-11-21T00:00:00"/>
    <s v="20438563084"/>
    <s v="EDPYME ACCESO CREDITICIO SOCIEDAD ANONIMA"/>
    <s v="320001"/>
    <s v="REPUESTOS"/>
    <s v="000"/>
    <s v="001"/>
    <s v="CONTADO"/>
    <s v="002"/>
    <s v="MANTENIMIENTO-MECANICA"/>
    <s v="S/."/>
    <n v="3.3269999000000001"/>
    <n v="1"/>
    <n v="3320.8219999999997"/>
    <n v="3320.8219999999997"/>
    <n v="597.74810000000059"/>
    <n v="3918.5700999999999"/>
    <n v="3320.8219999999997"/>
    <m/>
    <m/>
    <m/>
    <m/>
    <m/>
    <m/>
    <m/>
    <m/>
    <m/>
    <m/>
    <m/>
    <m/>
    <m/>
    <m/>
    <m/>
    <m/>
    <m/>
    <m/>
    <m/>
    <m/>
    <m/>
    <m/>
    <m/>
    <m/>
  </r>
  <r>
    <x v="65"/>
    <s v="FAC"/>
    <s v="005"/>
    <s v="00000257"/>
    <x v="234"/>
    <s v="BAG855"/>
    <d v="2020-01-02T00:00:00"/>
    <s v="20117331823"/>
    <s v="GRUPO BONNETT SA"/>
    <s v="310120"/>
    <s v="FRANQUICIA"/>
    <s v="000"/>
    <s v="001"/>
    <s v="CONTADO"/>
    <s v="002"/>
    <s v="MANTENIMIENTO-MECANICA"/>
    <s v="$"/>
    <n v="3.3269999000000001"/>
    <n v="1"/>
    <n v="100"/>
    <n v="100"/>
    <n v="18"/>
    <n v="118"/>
    <n v="332.69999000000001"/>
    <m/>
    <m/>
    <m/>
    <m/>
    <m/>
    <m/>
    <m/>
    <m/>
    <m/>
    <m/>
    <m/>
    <m/>
    <m/>
    <m/>
    <m/>
    <m/>
    <m/>
    <m/>
    <m/>
    <m/>
    <m/>
    <m/>
    <m/>
    <m/>
  </r>
  <r>
    <x v="65"/>
    <s v="FAC"/>
    <s v="005"/>
    <s v="00000258"/>
    <x v="234"/>
    <s v="BAG855"/>
    <d v="2020-01-02T00:00:00"/>
    <s v="20100041953"/>
    <s v="RIMAC SEGUROS  Y REASEGUROS S.A"/>
    <s v="1302020001"/>
    <s v="PINTURA"/>
    <s v="000"/>
    <s v="001"/>
    <s v="CONTADO"/>
    <s v="009"/>
    <s v="PINTURA"/>
    <s v="$"/>
    <n v="3.3269999000000001"/>
    <n v="1"/>
    <n v="118"/>
    <n v="118"/>
    <n v="21.240010000000019"/>
    <n v="139.24001000000001"/>
    <n v="392.58598820000003"/>
    <m/>
    <m/>
    <m/>
    <m/>
    <m/>
    <m/>
    <m/>
    <m/>
    <m/>
    <m/>
    <m/>
    <m/>
    <m/>
    <m/>
    <m/>
    <m/>
    <m/>
    <m/>
    <m/>
    <m/>
    <m/>
    <m/>
    <m/>
    <m/>
  </r>
  <r>
    <x v="65"/>
    <s v="FAC"/>
    <s v="005"/>
    <s v="00000258"/>
    <x v="234"/>
    <s v="BAG855"/>
    <d v="2020-01-02T00:00:00"/>
    <s v="20100041953"/>
    <s v="RIMAC SEGUROS  Y REASEGUROS S.A"/>
    <s v="1201020001"/>
    <s v="PLANCHADO"/>
    <s v="000"/>
    <s v="001"/>
    <s v="CONTADO"/>
    <s v="001"/>
    <s v="PLANCHADO"/>
    <s v="$"/>
    <n v="3.3269999000000001"/>
    <n v="1"/>
    <n v="150"/>
    <n v="150"/>
    <n v="27"/>
    <n v="177"/>
    <n v="499.04998499999999"/>
    <m/>
    <m/>
    <m/>
    <m/>
    <m/>
    <m/>
    <m/>
    <m/>
    <m/>
    <m/>
    <m/>
    <m/>
    <m/>
    <m/>
    <m/>
    <m/>
    <m/>
    <m/>
    <m/>
    <m/>
    <m/>
    <m/>
    <m/>
    <m/>
  </r>
  <r>
    <x v="65"/>
    <s v="FAC"/>
    <s v="005"/>
    <s v="00000258"/>
    <x v="234"/>
    <s v="BAG855"/>
    <d v="2020-01-02T00:00:00"/>
    <s v="20100041953"/>
    <s v="RIMAC SEGUROS  Y REASEGUROS S.A"/>
    <s v="2908010001"/>
    <s v="TERCEROS"/>
    <s v="000"/>
    <s v="001"/>
    <s v="CONTADO"/>
    <s v="002"/>
    <s v="MANTENIMIENTO-MECANICA"/>
    <s v="$"/>
    <n v="3.3269999000000001"/>
    <n v="1"/>
    <n v="15"/>
    <n v="15"/>
    <n v="2.7000009999999999"/>
    <n v="17.700001"/>
    <n v="49.904998500000005"/>
    <m/>
    <m/>
    <m/>
    <m/>
    <m/>
    <m/>
    <m/>
    <m/>
    <m/>
    <m/>
    <m/>
    <m/>
    <m/>
    <m/>
    <m/>
    <m/>
    <m/>
    <m/>
    <m/>
    <m/>
    <m/>
    <m/>
    <m/>
    <m/>
  </r>
  <r>
    <x v="65"/>
    <s v="FAC"/>
    <s v="005"/>
    <s v="00000258"/>
    <x v="234"/>
    <s v="BAG855"/>
    <d v="2020-01-02T00:00:00"/>
    <s v="20100041953"/>
    <s v="RIMAC SEGUROS  Y REASEGUROS S.A"/>
    <s v="310120"/>
    <s v="FRANQUICIA"/>
    <s v="000"/>
    <s v="001"/>
    <s v="CONTADO"/>
    <s v="002"/>
    <s v="MANTENIMIENTO-MECANICA"/>
    <s v="$"/>
    <n v="3.3269999000000001"/>
    <n v="-1"/>
    <n v="100"/>
    <n v="-100"/>
    <n v="-18"/>
    <n v="-118"/>
    <n v="-332.69999000000001"/>
    <m/>
    <m/>
    <m/>
    <m/>
    <m/>
    <m/>
    <m/>
    <m/>
    <m/>
    <m/>
    <m/>
    <m/>
    <m/>
    <m/>
    <m/>
    <m/>
    <m/>
    <m/>
    <m/>
    <m/>
    <m/>
    <m/>
    <m/>
    <m/>
  </r>
  <r>
    <x v="66"/>
    <s v="FAC"/>
    <s v="005"/>
    <s v="00000259"/>
    <x v="235"/>
    <s v="BFZ509"/>
    <d v="2019-10-29T00:00:00"/>
    <s v="20602703526"/>
    <s v="SOLUCION INTEGRAL DE TECNOLOGIAS DE INFORMACION Y COMUNICACION E.I.R.L."/>
    <s v="310120"/>
    <s v="FRANQUICIA"/>
    <s v="000"/>
    <s v="001"/>
    <s v="CONTADO"/>
    <s v="002"/>
    <s v="MANTENIMIENTO-MECANICA"/>
    <s v="$"/>
    <n v="3.3210001"/>
    <n v="1"/>
    <n v="301.38141000000002"/>
    <n v="301.38141000000007"/>
    <n v="54.248589999999965"/>
    <n v="355.63"/>
    <n v="1000.8876927481413"/>
    <m/>
    <m/>
    <m/>
    <m/>
    <m/>
    <m/>
    <m/>
    <m/>
    <m/>
    <m/>
    <m/>
    <m/>
    <m/>
    <m/>
    <m/>
    <m/>
    <m/>
    <m/>
    <m/>
    <m/>
    <m/>
    <m/>
    <m/>
    <m/>
  </r>
  <r>
    <x v="66"/>
    <s v="FAC"/>
    <s v="005"/>
    <s v="00000260"/>
    <x v="235"/>
    <s v="BFZ509"/>
    <d v="2019-10-29T00:00:00"/>
    <s v="20100041953"/>
    <s v="RIMAC SEGUROS  Y REASEGUROS S.A"/>
    <s v="1302020001"/>
    <s v="PINTURA"/>
    <s v="000"/>
    <s v="001"/>
    <s v="CONTADO"/>
    <s v="009"/>
    <s v="PINTURA"/>
    <s v="$"/>
    <n v="3.3210001"/>
    <n v="1"/>
    <n v="324.5"/>
    <n v="324.5"/>
    <n v="58.41"/>
    <n v="382.91"/>
    <n v="1077.66453245"/>
    <m/>
    <m/>
    <m/>
    <m/>
    <m/>
    <m/>
    <m/>
    <m/>
    <m/>
    <m/>
    <m/>
    <m/>
    <m/>
    <m/>
    <m/>
    <m/>
    <m/>
    <m/>
    <m/>
    <m/>
    <m/>
    <m/>
    <m/>
    <m/>
  </r>
  <r>
    <x v="66"/>
    <s v="FAC"/>
    <s v="005"/>
    <s v="00000260"/>
    <x v="235"/>
    <s v="BFZ509"/>
    <d v="2019-10-29T00:00:00"/>
    <s v="20100041953"/>
    <s v="RIMAC SEGUROS  Y REASEGUROS S.A"/>
    <s v="1201020001"/>
    <s v="PLANCHADO"/>
    <s v="000"/>
    <s v="001"/>
    <s v="CONTADO"/>
    <s v="001"/>
    <s v="PLANCHADO"/>
    <s v="$"/>
    <n v="3.3210001"/>
    <n v="1"/>
    <n v="240"/>
    <n v="240"/>
    <n v="43.200010000000042"/>
    <n v="283.20001000000002"/>
    <n v="797.04002400000002"/>
    <m/>
    <m/>
    <m/>
    <m/>
    <m/>
    <m/>
    <m/>
    <m/>
    <m/>
    <m/>
    <m/>
    <m/>
    <m/>
    <m/>
    <m/>
    <m/>
    <m/>
    <m/>
    <m/>
    <m/>
    <m/>
    <m/>
    <m/>
    <m/>
  </r>
  <r>
    <x v="66"/>
    <s v="FAC"/>
    <s v="005"/>
    <s v="00000260"/>
    <x v="235"/>
    <s v="BFZ509"/>
    <d v="2019-10-29T00:00:00"/>
    <s v="20100041953"/>
    <s v="RIMAC SEGUROS  Y REASEGUROS S.A"/>
    <s v="2908010001"/>
    <s v="TERCEROS"/>
    <s v="000"/>
    <s v="001"/>
    <s v="CONTADO"/>
    <s v="002"/>
    <s v="MANTENIMIENTO-MECANICA"/>
    <s v="$"/>
    <n v="3.3210001"/>
    <n v="1"/>
    <n v="130"/>
    <n v="130"/>
    <n v="23.399990000000017"/>
    <n v="153.39999"/>
    <n v="431.73001299999999"/>
    <m/>
    <m/>
    <m/>
    <m/>
    <m/>
    <m/>
    <m/>
    <m/>
    <m/>
    <m/>
    <m/>
    <m/>
    <m/>
    <m/>
    <m/>
    <m/>
    <m/>
    <m/>
    <m/>
    <m/>
    <m/>
    <m/>
    <m/>
    <m/>
  </r>
  <r>
    <x v="66"/>
    <s v="FAC"/>
    <s v="005"/>
    <s v="00000260"/>
    <x v="235"/>
    <s v="BFZ509"/>
    <d v="2019-10-29T00:00:00"/>
    <s v="20100041953"/>
    <s v="RIMAC SEGUROS  Y REASEGUROS S.A"/>
    <s v="2908010002"/>
    <s v="AMPLIACION MANO DE OBRA"/>
    <s v="000"/>
    <s v="001"/>
    <s v="CONTADO"/>
    <s v="002"/>
    <s v="MANTENIMIENTO-MECANICA"/>
    <s v="$"/>
    <n v="3.3210001"/>
    <n v="1"/>
    <n v="15"/>
    <n v="15"/>
    <n v="2.7000009999999999"/>
    <n v="17.700001"/>
    <n v="49.815001500000001"/>
    <m/>
    <m/>
    <m/>
    <m/>
    <m/>
    <m/>
    <m/>
    <m/>
    <m/>
    <m/>
    <m/>
    <m/>
    <m/>
    <m/>
    <m/>
    <m/>
    <m/>
    <m/>
    <m/>
    <m/>
    <m/>
    <m/>
    <m/>
    <m/>
  </r>
  <r>
    <x v="66"/>
    <s v="FAC"/>
    <s v="005"/>
    <s v="00000260"/>
    <x v="235"/>
    <s v="BFZ509"/>
    <d v="2019-10-29T00:00:00"/>
    <s v="20100041953"/>
    <s v="RIMAC SEGUROS  Y REASEGUROS S.A"/>
    <s v="2805010001"/>
    <s v="SERVICIOS"/>
    <s v="000"/>
    <s v="001"/>
    <s v="CONTADO"/>
    <s v="002"/>
    <s v="MANTENIMIENTO-MECANICA"/>
    <s v="$"/>
    <n v="3.3210001"/>
    <n v="1"/>
    <n v="37.5"/>
    <n v="37.5"/>
    <n v="6.75"/>
    <n v="44.25"/>
    <n v="124.53750375"/>
    <m/>
    <m/>
    <m/>
    <m/>
    <m/>
    <m/>
    <m/>
    <m/>
    <m/>
    <m/>
    <m/>
    <m/>
    <m/>
    <m/>
    <m/>
    <m/>
    <m/>
    <m/>
    <m/>
    <m/>
    <m/>
    <m/>
    <m/>
    <m/>
  </r>
  <r>
    <x v="66"/>
    <s v="FAC"/>
    <s v="005"/>
    <s v="00000260"/>
    <x v="235"/>
    <s v="BFZ509"/>
    <d v="2019-10-29T00:00:00"/>
    <s v="20100041953"/>
    <s v="RIMAC SEGUROS  Y REASEGUROS S.A"/>
    <s v="310120"/>
    <s v="FRANQUICIA"/>
    <s v="000"/>
    <s v="001"/>
    <s v="CONTADO"/>
    <s v="002"/>
    <s v="MANTENIMIENTO-MECANICA"/>
    <s v="$"/>
    <n v="3.3210001"/>
    <n v="-1"/>
    <n v="301.38141000000002"/>
    <n v="-301.38141000000007"/>
    <n v="-54.248589999999965"/>
    <n v="-355.63"/>
    <n v="-1000.8876927481413"/>
    <m/>
    <m/>
    <m/>
    <m/>
    <m/>
    <m/>
    <m/>
    <m/>
    <m/>
    <m/>
    <m/>
    <m/>
    <m/>
    <m/>
    <m/>
    <m/>
    <m/>
    <m/>
    <m/>
    <m/>
    <m/>
    <m/>
    <m/>
    <m/>
  </r>
  <r>
    <x v="66"/>
    <s v="FAC"/>
    <s v="005"/>
    <s v="00000260"/>
    <x v="235"/>
    <s v="BFZ509"/>
    <d v="2019-10-29T00:00:00"/>
    <s v="20100041953"/>
    <s v="RIMAC SEGUROS  Y REASEGUROS S.A"/>
    <s v="320001"/>
    <s v="REPUESTOS"/>
    <s v="000"/>
    <s v="001"/>
    <s v="CONTADO"/>
    <s v="002"/>
    <s v="MANTENIMIENTO-MECANICA"/>
    <s v="$"/>
    <n v="3.321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6"/>
    <s v="FAC"/>
    <s v="005"/>
    <s v="00000262"/>
    <x v="236"/>
    <s v="AWJ049"/>
    <d v="2019-12-27T00:00:00"/>
    <s v="20100041953"/>
    <s v="RIMAC SEGUROS  Y REASEGUROS S.A"/>
    <s v="1302020001"/>
    <s v="PINTURA"/>
    <s v="000"/>
    <s v="001"/>
    <s v="CONTADO"/>
    <s v="009"/>
    <s v="PINTURA"/>
    <s v="$"/>
    <n v="3.3210001"/>
    <n v="1"/>
    <n v="118"/>
    <n v="118"/>
    <n v="21.240010000000019"/>
    <n v="139.24001000000001"/>
    <n v="391.87801180000002"/>
    <m/>
    <m/>
    <m/>
    <m/>
    <m/>
    <m/>
    <m/>
    <m/>
    <m/>
    <m/>
    <m/>
    <m/>
    <m/>
    <m/>
    <m/>
    <m/>
    <m/>
    <m/>
    <m/>
    <m/>
    <m/>
    <m/>
    <m/>
    <m/>
  </r>
  <r>
    <x v="66"/>
    <s v="FAC"/>
    <s v="005"/>
    <s v="00000262"/>
    <x v="236"/>
    <s v="AWJ049"/>
    <d v="2019-12-27T00:00:00"/>
    <s v="20100041953"/>
    <s v="RIMAC SEGUROS  Y REASEGUROS S.A"/>
    <s v="1201020001"/>
    <s v="PLANCHADO"/>
    <s v="000"/>
    <s v="001"/>
    <s v="CONTADO"/>
    <s v="001"/>
    <s v="PLANCHADO"/>
    <s v="$"/>
    <n v="3.3210001"/>
    <n v="1"/>
    <n v="90"/>
    <n v="90"/>
    <n v="16.2"/>
    <n v="106.2"/>
    <n v="298.89000900000002"/>
    <m/>
    <m/>
    <m/>
    <m/>
    <m/>
    <m/>
    <m/>
    <m/>
    <m/>
    <m/>
    <m/>
    <m/>
    <m/>
    <m/>
    <m/>
    <m/>
    <m/>
    <m/>
    <m/>
    <m/>
    <m/>
    <m/>
    <m/>
    <m/>
  </r>
  <r>
    <x v="66"/>
    <s v="FAC"/>
    <s v="005"/>
    <s v="00000262"/>
    <x v="236"/>
    <s v="AWJ049"/>
    <d v="2019-12-27T00:00:00"/>
    <s v="20100041953"/>
    <s v="RIMAC SEGUROS  Y REASEGUROS S.A"/>
    <s v="2908010001"/>
    <s v="TERCEROS"/>
    <s v="000"/>
    <s v="001"/>
    <s v="CONTADO"/>
    <s v="002"/>
    <s v="MANTENIMIENTO-MECANICA"/>
    <s v="$"/>
    <n v="3.3210001"/>
    <n v="1"/>
    <n v="45"/>
    <n v="45"/>
    <n v="8.0999980000000047"/>
    <n v="53.099998000000006"/>
    <n v="149.44500450000001"/>
    <m/>
    <m/>
    <m/>
    <m/>
    <m/>
    <m/>
    <m/>
    <m/>
    <m/>
    <m/>
    <m/>
    <m/>
    <m/>
    <m/>
    <m/>
    <m/>
    <m/>
    <m/>
    <m/>
    <m/>
    <m/>
    <m/>
    <m/>
    <m/>
  </r>
  <r>
    <x v="66"/>
    <s v="FAC"/>
    <s v="005"/>
    <s v="00000262"/>
    <x v="236"/>
    <s v="AWJ049"/>
    <d v="2019-12-27T00:00:00"/>
    <s v="20100041953"/>
    <s v="RIMAC SEGUROS  Y REASEGUROS S.A"/>
    <s v="310120"/>
    <s v="FRANQUICIA"/>
    <s v="000"/>
    <s v="001"/>
    <s v="CONTADO"/>
    <s v="002"/>
    <s v="MANTENIMIENTO-MECANICA"/>
    <s v="$"/>
    <n v="3.3210001"/>
    <n v="-1"/>
    <n v="100"/>
    <n v="-100"/>
    <n v="-18"/>
    <n v="-118"/>
    <n v="-332.10001"/>
    <m/>
    <m/>
    <m/>
    <m/>
    <m/>
    <m/>
    <m/>
    <m/>
    <m/>
    <m/>
    <m/>
    <m/>
    <m/>
    <m/>
    <m/>
    <m/>
    <m/>
    <m/>
    <m/>
    <m/>
    <m/>
    <m/>
    <m/>
    <m/>
  </r>
  <r>
    <x v="66"/>
    <s v="FAC"/>
    <s v="005"/>
    <s v="00000262"/>
    <x v="236"/>
    <s v="AWJ049"/>
    <d v="2019-12-27T00:00:00"/>
    <s v="20100041953"/>
    <s v="RIMAC SEGUROS  Y REASEGUROS S.A"/>
    <s v="320001"/>
    <s v="REPUESTOS"/>
    <s v="000"/>
    <s v="001"/>
    <s v="CONTADO"/>
    <s v="002"/>
    <s v="MANTENIMIENTO-MECANICA"/>
    <s v="$"/>
    <n v="3.321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7"/>
    <s v="FAC"/>
    <s v="005"/>
    <s v="00000263"/>
    <x v="237"/>
    <s v="AJE585"/>
    <d v="2019-12-23T00:00:00"/>
    <s v="20100041953"/>
    <s v="RIMAC SEGUROS  Y REASEGUROS S.A"/>
    <s v="1302020001"/>
    <s v="PINTURA"/>
    <s v="000"/>
    <s v="001"/>
    <s v="CONTADO"/>
    <s v="009"/>
    <s v="PINTURA"/>
    <s v="$"/>
    <n v="3.3239999"/>
    <n v="1"/>
    <n v="59"/>
    <n v="59"/>
    <n v="10.620002999999997"/>
    <n v="69.620002999999997"/>
    <n v="196.11599409999999"/>
    <m/>
    <m/>
    <m/>
    <m/>
    <m/>
    <m/>
    <m/>
    <m/>
    <m/>
    <m/>
    <m/>
    <m/>
    <m/>
    <m/>
    <m/>
    <m/>
    <m/>
    <m/>
    <m/>
    <m/>
    <m/>
    <m/>
    <m/>
    <m/>
  </r>
  <r>
    <x v="67"/>
    <s v="FAC"/>
    <s v="005"/>
    <s v="00000263"/>
    <x v="237"/>
    <s v="AJE585"/>
    <d v="2019-12-23T00:00:00"/>
    <s v="20100041953"/>
    <s v="RIMAC SEGUROS  Y REASEGUROS S.A"/>
    <s v="1201020001"/>
    <s v="PLANCHADO"/>
    <s v="000"/>
    <s v="001"/>
    <s v="CONTADO"/>
    <s v="001"/>
    <s v="PLANCHADO"/>
    <s v="$"/>
    <n v="3.3239999"/>
    <n v="1"/>
    <n v="97.5"/>
    <n v="97.5"/>
    <n v="17.55"/>
    <n v="115.05"/>
    <n v="324.08999025000003"/>
    <m/>
    <m/>
    <m/>
    <m/>
    <m/>
    <m/>
    <m/>
    <m/>
    <m/>
    <m/>
    <m/>
    <m/>
    <m/>
    <m/>
    <m/>
    <m/>
    <m/>
    <m/>
    <m/>
    <m/>
    <m/>
    <m/>
    <m/>
    <m/>
  </r>
  <r>
    <x v="67"/>
    <s v="FAC"/>
    <s v="005"/>
    <s v="00000263"/>
    <x v="237"/>
    <s v="AJE585"/>
    <d v="2019-12-23T00:00:00"/>
    <s v="20100041953"/>
    <s v="RIMAC SEGUROS  Y REASEGUROS S.A"/>
    <s v="2908010001"/>
    <s v="TERCEROS"/>
    <s v="000"/>
    <s v="001"/>
    <s v="CONTADO"/>
    <s v="002"/>
    <s v="MANTENIMIENTO-MECANICA"/>
    <s v="$"/>
    <n v="3.3239999"/>
    <n v="1"/>
    <n v="15"/>
    <n v="15"/>
    <n v="2.7000009999999999"/>
    <n v="17.700001"/>
    <n v="49.859998500000003"/>
    <m/>
    <m/>
    <m/>
    <m/>
    <m/>
    <m/>
    <m/>
    <m/>
    <m/>
    <m/>
    <m/>
    <m/>
    <m/>
    <m/>
    <m/>
    <m/>
    <m/>
    <m/>
    <m/>
    <m/>
    <m/>
    <m/>
    <m/>
    <m/>
  </r>
  <r>
    <x v="67"/>
    <s v="FAC"/>
    <s v="005"/>
    <s v="00000263"/>
    <x v="237"/>
    <s v="AJE585"/>
    <d v="2019-12-23T00:00:00"/>
    <s v="20100041953"/>
    <s v="RIMAC SEGUROS  Y REASEGUROS S.A"/>
    <s v="310120"/>
    <s v="FRANQUICIA"/>
    <s v="000"/>
    <s v="001"/>
    <s v="CONTADO"/>
    <s v="002"/>
    <s v="MANTENIMIENTO-MECANICA"/>
    <s v="$"/>
    <n v="3.3239999"/>
    <n v="-1"/>
    <n v="100"/>
    <n v="-100"/>
    <n v="-18"/>
    <n v="-118"/>
    <n v="-332.39999"/>
    <m/>
    <m/>
    <m/>
    <m/>
    <m/>
    <m/>
    <m/>
    <m/>
    <m/>
    <m/>
    <m/>
    <m/>
    <m/>
    <m/>
    <m/>
    <m/>
    <m/>
    <m/>
    <m/>
    <m/>
    <m/>
    <m/>
    <m/>
    <m/>
  </r>
  <r>
    <x v="67"/>
    <s v="FAC"/>
    <s v="005"/>
    <s v="00000264"/>
    <x v="238"/>
    <s v="BFF666"/>
    <d v="2020-01-03T00:00:00"/>
    <s v="20100041953"/>
    <s v="RIMAC SEGUROS  Y REASEGUROS S.A"/>
    <s v="1302020001"/>
    <s v="PINTURA"/>
    <s v="000"/>
    <s v="001"/>
    <s v="CONTADO"/>
    <s v="009"/>
    <s v="PINTURA"/>
    <s v="$"/>
    <n v="3.3239999"/>
    <n v="1"/>
    <n v="177"/>
    <n v="177"/>
    <n v="31.86"/>
    <n v="208.86"/>
    <n v="588.34798230000001"/>
    <m/>
    <m/>
    <m/>
    <m/>
    <m/>
    <m/>
    <m/>
    <m/>
    <m/>
    <m/>
    <m/>
    <m/>
    <m/>
    <m/>
    <m/>
    <m/>
    <m/>
    <m/>
    <m/>
    <m/>
    <m/>
    <m/>
    <m/>
    <m/>
  </r>
  <r>
    <x v="67"/>
    <s v="FAC"/>
    <s v="005"/>
    <s v="00000264"/>
    <x v="238"/>
    <s v="BFF666"/>
    <d v="2020-01-03T00:00:00"/>
    <s v="20100041953"/>
    <s v="RIMAC SEGUROS  Y REASEGUROS S.A"/>
    <s v="1201020001"/>
    <s v="PLANCHADO"/>
    <s v="000"/>
    <s v="001"/>
    <s v="CONTADO"/>
    <s v="001"/>
    <s v="PLANCHADO"/>
    <s v="$"/>
    <n v="3.3239999"/>
    <n v="1"/>
    <n v="63.754200000000012"/>
    <n v="63.754200000000012"/>
    <n v="11.475802999999987"/>
    <n v="75.230002999999996"/>
    <n v="211.91895442458005"/>
    <m/>
    <m/>
    <m/>
    <m/>
    <m/>
    <m/>
    <m/>
    <m/>
    <m/>
    <m/>
    <m/>
    <m/>
    <m/>
    <m/>
    <m/>
    <m/>
    <m/>
    <m/>
    <m/>
    <m/>
    <m/>
    <m/>
    <m/>
    <m/>
  </r>
  <r>
    <x v="67"/>
    <s v="FAC"/>
    <s v="005"/>
    <s v="00000264"/>
    <x v="238"/>
    <s v="BFF666"/>
    <d v="2020-01-03T00:00:00"/>
    <s v="20100041953"/>
    <s v="RIMAC SEGUROS  Y REASEGUROS S.A"/>
    <s v="2908010001"/>
    <s v="TERCEROS"/>
    <s v="000"/>
    <s v="001"/>
    <s v="CONTADO"/>
    <s v="002"/>
    <s v="MANTENIMIENTO-MECANICA"/>
    <s v="$"/>
    <n v="3.3239999"/>
    <n v="1"/>
    <n v="30"/>
    <n v="30"/>
    <n v="5.4000019999999997"/>
    <n v="35.400002000000001"/>
    <n v="99.719997000000006"/>
    <m/>
    <m/>
    <m/>
    <m/>
    <m/>
    <m/>
    <m/>
    <m/>
    <m/>
    <m/>
    <m/>
    <m/>
    <m/>
    <m/>
    <m/>
    <m/>
    <m/>
    <m/>
    <m/>
    <m/>
    <m/>
    <m/>
    <m/>
    <m/>
  </r>
  <r>
    <x v="67"/>
    <s v="FAC"/>
    <s v="005"/>
    <s v="00000264"/>
    <x v="238"/>
    <s v="BFF666"/>
    <d v="2020-01-03T00:00:00"/>
    <s v="20100041953"/>
    <s v="RIMAC SEGUROS  Y REASEGUROS S.A"/>
    <s v="310120"/>
    <s v="FRANQUICIA"/>
    <s v="000"/>
    <s v="001"/>
    <s v="CONTADO"/>
    <s v="002"/>
    <s v="MANTENIMIENTO-MECANICA"/>
    <s v="$"/>
    <n v="3.3239999"/>
    <n v="-1"/>
    <n v="100"/>
    <n v="-100"/>
    <n v="-18"/>
    <n v="-118"/>
    <n v="-332.39999"/>
    <m/>
    <m/>
    <m/>
    <m/>
    <m/>
    <m/>
    <m/>
    <m/>
    <m/>
    <m/>
    <m/>
    <m/>
    <m/>
    <m/>
    <m/>
    <m/>
    <m/>
    <m/>
    <m/>
    <m/>
    <m/>
    <m/>
    <m/>
    <m/>
  </r>
  <r>
    <x v="67"/>
    <s v="FAC"/>
    <s v="005"/>
    <s v="00000264"/>
    <x v="238"/>
    <s v="BFF666"/>
    <d v="2020-01-03T00:00:00"/>
    <s v="20100041953"/>
    <s v="RIMAC SEGUROS  Y REASEGUROS S.A"/>
    <s v="320001"/>
    <s v="REPUESTOS"/>
    <s v="000"/>
    <s v="001"/>
    <s v="CONTADO"/>
    <s v="002"/>
    <s v="MANTENIMIENTO-MECANICA"/>
    <s v="$"/>
    <n v="3.323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7"/>
    <s v="FAC"/>
    <s v="005"/>
    <s v="00000266"/>
    <x v="239"/>
    <s v="BFF666"/>
    <d v="2020-01-03T00:00:00"/>
    <s v="20100041953"/>
    <s v="RIMAC SEGUROS  Y REASEGUROS S.A"/>
    <s v="1302020001"/>
    <s v="PINTURA"/>
    <s v="000"/>
    <s v="001"/>
    <s v="CONTADO"/>
    <s v="009"/>
    <s v="PINTURA"/>
    <s v="$"/>
    <n v="3.3239999"/>
    <n v="1"/>
    <n v="14.754200000000001"/>
    <n v="14.754200000000001"/>
    <n v="2.6557999999999993"/>
    <n v="17.41"/>
    <n v="49.042959324580004"/>
    <m/>
    <m/>
    <m/>
    <m/>
    <m/>
    <m/>
    <m/>
    <m/>
    <m/>
    <m/>
    <m/>
    <m/>
    <m/>
    <m/>
    <m/>
    <m/>
    <m/>
    <m/>
    <m/>
    <m/>
    <m/>
    <m/>
    <m/>
    <m/>
  </r>
  <r>
    <x v="67"/>
    <s v="FAC"/>
    <s v="005"/>
    <s v="00000266"/>
    <x v="239"/>
    <s v="BFF666"/>
    <d v="2020-01-03T00:00:00"/>
    <s v="20100041953"/>
    <s v="RIMAC SEGUROS  Y REASEGUROS S.A"/>
    <s v="1201020001"/>
    <s v="PLANCHADO"/>
    <s v="000"/>
    <s v="001"/>
    <s v="CONTADO"/>
    <s v="001"/>
    <s v="PLANCHADO"/>
    <s v="$"/>
    <n v="3.3239999"/>
    <n v="1"/>
    <n v="7.5"/>
    <n v="7.5"/>
    <n v="1.3500004000000023"/>
    <n v="8.8500004000000025"/>
    <n v="24.929999250000002"/>
    <m/>
    <m/>
    <m/>
    <m/>
    <m/>
    <m/>
    <m/>
    <m/>
    <m/>
    <m/>
    <m/>
    <m/>
    <m/>
    <m/>
    <m/>
    <m/>
    <m/>
    <m/>
    <m/>
    <m/>
    <m/>
    <m/>
    <m/>
    <m/>
  </r>
  <r>
    <x v="67"/>
    <s v="FAC"/>
    <s v="005"/>
    <s v="00000266"/>
    <x v="239"/>
    <s v="BFF666"/>
    <d v="2020-01-03T00:00:00"/>
    <s v="20100041953"/>
    <s v="RIMAC SEGUROS  Y REASEGUROS S.A"/>
    <s v="320001"/>
    <s v="REPUESTOS"/>
    <s v="000"/>
    <s v="001"/>
    <s v="CONTADO"/>
    <s v="002"/>
    <s v="MANTENIMIENTO-MECANICA"/>
    <s v="$"/>
    <n v="3.323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7"/>
    <x v="240"/>
    <s v="D9T310"/>
    <d v="2019-11-23T00:00:00"/>
    <s v="20438563084"/>
    <s v="EDPYME ACCESO CREDITICIO SOCIEDAD ANONIMA"/>
    <s v="1302020001"/>
    <s v="PINTURA"/>
    <s v="000"/>
    <s v="001"/>
    <s v="CONTADO"/>
    <s v="009"/>
    <s v="PINTURA"/>
    <s v="S/."/>
    <n v="3.3239999"/>
    <n v="1"/>
    <n v="2430"/>
    <n v="2430"/>
    <n v="437.39989999999989"/>
    <n v="2867.3998999999999"/>
    <n v="243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7"/>
    <x v="240"/>
    <s v="D9T310"/>
    <d v="2019-11-23T00:00:00"/>
    <s v="20438563084"/>
    <s v="EDPYME ACCESO CREDITICIO SOCIEDAD ANONIMA"/>
    <s v="1201020001"/>
    <s v="PLANCHADO"/>
    <s v="000"/>
    <s v="001"/>
    <s v="CONTADO"/>
    <s v="001"/>
    <s v="PLANCHADO"/>
    <s v="S/."/>
    <n v="3.3239999"/>
    <n v="1"/>
    <n v="1330"/>
    <n v="1330"/>
    <n v="239.4"/>
    <n v="1569.4"/>
    <n v="133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7"/>
    <x v="240"/>
    <s v="D9T310"/>
    <d v="2019-11-23T00:00:00"/>
    <s v="20438563084"/>
    <s v="EDPYME ACCESO CREDITICIO SOCIEDAD ANONIMA"/>
    <s v="2908010001"/>
    <s v="TERCEROS"/>
    <s v="000"/>
    <s v="001"/>
    <s v="CONTADO"/>
    <s v="002"/>
    <s v="MANTENIMIENTO-MECANICA"/>
    <s v="S/."/>
    <n v="3.3239999"/>
    <n v="1"/>
    <n v="1009.5678000000001"/>
    <n v="1009.5678000000001"/>
    <n v="181.72219999999987"/>
    <n v="1191.29"/>
    <n v="1009.5678000000001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7"/>
    <x v="240"/>
    <s v="D9T310"/>
    <d v="2019-11-23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239999"/>
    <n v="1"/>
    <n v="1757"/>
    <n v="1757"/>
    <n v="316.26"/>
    <n v="2073.2600000000002"/>
    <n v="1757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7"/>
    <x v="240"/>
    <s v="D9T310"/>
    <d v="2019-11-23T00:00:00"/>
    <s v="20438563084"/>
    <s v="EDPYME ACCESO CREDITICIO SOCIEDAD ANONIMA"/>
    <s v="2908010003"/>
    <s v="AMPLIACION PLANCHADO"/>
    <s v="000"/>
    <s v="001"/>
    <s v="CONTADO"/>
    <s v="002"/>
    <s v="MANTENIMIENTO-MECANICA"/>
    <s v="S/."/>
    <n v="3.3239999"/>
    <n v="1"/>
    <n v="402.5"/>
    <n v="402.5"/>
    <n v="72.450010000000105"/>
    <n v="474.95001000000013"/>
    <n v="402.5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7"/>
    <x v="240"/>
    <s v="D9T310"/>
    <d v="2019-11-23T00:00:00"/>
    <s v="20438563084"/>
    <s v="EDPYME ACCESO CREDITICIO SOCIEDAD ANONIMA"/>
    <s v="2908010003"/>
    <s v="AMPLIACION MECANICA"/>
    <s v="000"/>
    <s v="001"/>
    <s v="CONTADO"/>
    <s v="002"/>
    <s v="MANTENIMIENTO-MECANICA"/>
    <s v="S/."/>
    <n v="3.3239999"/>
    <n v="1"/>
    <n v="250.25419999999997"/>
    <n v="250.25419999999997"/>
    <n v="45.045789999999982"/>
    <n v="295.29998999999998"/>
    <n v="250.25419999999997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7"/>
    <x v="240"/>
    <s v="D9T310"/>
    <d v="2019-11-23T00:00:00"/>
    <s v="20438563084"/>
    <s v="EDPYME ACCESO CREDITICIO SOCIEDAD ANONIMA"/>
    <s v="2908010003"/>
    <s v="AMPLIACION REPUESTOS"/>
    <s v="000"/>
    <s v="001"/>
    <s v="CONTADO"/>
    <s v="002"/>
    <s v="MANTENIMIENTO-MECANICA"/>
    <s v="S/."/>
    <n v="3.3239999"/>
    <n v="1"/>
    <n v="1400"/>
    <n v="1400"/>
    <n v="252"/>
    <n v="1652"/>
    <n v="140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7"/>
    <x v="240"/>
    <s v="D9T310"/>
    <d v="2019-11-23T00:00:00"/>
    <s v="20438563084"/>
    <s v="EDPYME ACCESO CREDITICIO SOCIEDAD ANONIMA"/>
    <s v="2805010001"/>
    <s v="SERVICIOS"/>
    <s v="000"/>
    <s v="001"/>
    <s v="CONTADO"/>
    <s v="002"/>
    <s v="MANTENIMIENTO-MECANICA"/>
    <s v="S/."/>
    <n v="3.3239999"/>
    <n v="1"/>
    <n v="700"/>
    <n v="700"/>
    <n v="126"/>
    <n v="826"/>
    <n v="70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7"/>
    <x v="240"/>
    <s v="D9T310"/>
    <d v="2019-11-23T00:00:00"/>
    <s v="20438563084"/>
    <s v="EDPYME ACCESO CREDITICIO SOCIEDAD ANONIMA"/>
    <s v="320001"/>
    <s v="REPUESTOS"/>
    <s v="000"/>
    <s v="001"/>
    <s v="CONTADO"/>
    <s v="002"/>
    <s v="MANTENIMIENTO-MECANICA"/>
    <s v="S/."/>
    <n v="3.3239999"/>
    <n v="1"/>
    <n v="4280"/>
    <n v="4280"/>
    <n v="770.39989999999989"/>
    <n v="5050.3999000000003"/>
    <n v="428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9"/>
    <x v="241"/>
    <s v="ARM473"/>
    <d v="2019-11-23T00:00:00"/>
    <s v="20438563084"/>
    <s v="EDPYME ACCESO CREDITICIO SOCIEDAD ANONIMA"/>
    <s v="1302020001"/>
    <s v="PINTURA"/>
    <s v="000"/>
    <s v="001"/>
    <s v="CONTADO"/>
    <s v="009"/>
    <s v="PINTURA"/>
    <s v="S/."/>
    <n v="3.3239999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9"/>
    <x v="241"/>
    <s v="ARM473"/>
    <d v="2019-11-23T00:00:00"/>
    <s v="20438563084"/>
    <s v="EDPYME ACCESO CREDITICIO SOCIEDAD ANONIMA"/>
    <s v="2908010003"/>
    <s v="AMPLIACION MECANICA"/>
    <s v="000"/>
    <s v="001"/>
    <s v="CONTADO"/>
    <s v="002"/>
    <s v="MANTENIMIENTO-MECANICA"/>
    <s v="S/."/>
    <n v="3.3239999"/>
    <n v="1"/>
    <n v="105"/>
    <n v="105"/>
    <n v="18.899999999999999"/>
    <n v="123.9"/>
    <n v="105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9"/>
    <x v="241"/>
    <s v="ARM473"/>
    <d v="2019-11-23T00:00:00"/>
    <s v="20438563084"/>
    <s v="EDPYME ACCESO CREDITICIO SOCIEDAD ANONIMA"/>
    <s v="2908010003"/>
    <s v="AMPLAICION PLANCHADO"/>
    <s v="000"/>
    <s v="001"/>
    <s v="CONTADO"/>
    <s v="002"/>
    <s v="MANTENIMIENTO-MECANICA"/>
    <s v="S/."/>
    <n v="3.3239999"/>
    <n v="1"/>
    <n v="140"/>
    <n v="140"/>
    <n v="25.2"/>
    <n v="165.2"/>
    <n v="14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9"/>
    <x v="241"/>
    <s v="ARM473"/>
    <d v="2019-11-23T00:00:00"/>
    <s v="20438563084"/>
    <s v="EDPYME ACCESO CREDITICIO SOCIEDAD ANONIMA"/>
    <s v="2805010001"/>
    <s v="SERVICIOS"/>
    <s v="000"/>
    <s v="001"/>
    <s v="CONTADO"/>
    <s v="002"/>
    <s v="MANTENIMIENTO-MECANICA"/>
    <s v="S/."/>
    <n v="3.3239999"/>
    <n v="1"/>
    <n v="918.75420999999972"/>
    <n v="918.75420999999972"/>
    <n v="165.37579000000028"/>
    <n v="1084.1300000000001"/>
    <n v="918.75420999999972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9"/>
    <x v="241"/>
    <s v="ARM473"/>
    <d v="2019-11-23T00:00:00"/>
    <s v="20438563084"/>
    <s v="EDPYME ACCESO CREDITICIO SOCIEDAD ANONIMA"/>
    <s v="320001"/>
    <s v="REPUESTOS"/>
    <s v="000"/>
    <s v="001"/>
    <s v="CONTADO"/>
    <s v="002"/>
    <s v="MANTENIMIENTO-MECANICA"/>
    <s v="S/."/>
    <n v="3.3239999"/>
    <n v="1"/>
    <n v="2902"/>
    <n v="2902"/>
    <n v="522.3601000000001"/>
    <n v="3424.3600999999999"/>
    <n v="2902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9"/>
    <x v="241"/>
    <s v="ARM473"/>
    <d v="2019-11-23T00:00:00"/>
    <s v="20438563084"/>
    <s v="EDPYME ACCESO CREDITICIO SOCIEDAD ANONIMA"/>
    <s v="2908010003"/>
    <s v="AMPLIACION REPUESTOS"/>
    <s v="000"/>
    <s v="001"/>
    <s v="CONTADO"/>
    <s v="002"/>
    <s v="MANTENIMIENTO-MECANICA"/>
    <s v="S/."/>
    <n v="3.3239999"/>
    <n v="1"/>
    <n v="2554"/>
    <n v="2554"/>
    <n v="459.72"/>
    <n v="3013.72"/>
    <n v="2554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9"/>
    <x v="241"/>
    <s v="ARM473"/>
    <d v="2019-11-23T00:00:00"/>
    <s v="20438563084"/>
    <s v="EDPYME ACCESO CREDITICIO SOCIEDAD ANONIMA"/>
    <s v="2908010003"/>
    <s v="AMPLIACION REPUESTOS"/>
    <s v="000"/>
    <s v="001"/>
    <s v="CONTADO"/>
    <s v="002"/>
    <s v="MANTENIMIENTO-MECANICA"/>
    <s v="S/."/>
    <n v="3.3239999"/>
    <n v="1"/>
    <n v="360"/>
    <n v="360"/>
    <n v="64.799990000000037"/>
    <n v="424.79999000000004"/>
    <n v="36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9"/>
    <x v="241"/>
    <s v="ARM473"/>
    <d v="2019-11-23T00:00:00"/>
    <s v="20438563084"/>
    <s v="EDPYME ACCESO CREDITICIO SOCIEDAD ANONIMA"/>
    <s v="2908010003"/>
    <s v="AMPLIACION MECANICA"/>
    <s v="000"/>
    <s v="001"/>
    <s v="CONTADO"/>
    <s v="002"/>
    <s v="MANTENIMIENTO-MECANICA"/>
    <s v="S/."/>
    <n v="3.3239999"/>
    <n v="1"/>
    <n v="140"/>
    <n v="140"/>
    <n v="25.2"/>
    <n v="165.2"/>
    <n v="14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9"/>
    <x v="241"/>
    <s v="ARM473"/>
    <d v="2019-11-23T00:00:00"/>
    <s v="20438563084"/>
    <s v="EDPYME ACCESO CREDITICIO SOCIEDAD ANONIMA"/>
    <s v="2908010003"/>
    <s v="AMPLIACION REPUESTOS"/>
    <s v="000"/>
    <s v="001"/>
    <s v="CONTADO"/>
    <s v="002"/>
    <s v="MANTENIMIENTO-MECANICA"/>
    <s v="S/."/>
    <n v="3.3239999"/>
    <n v="1"/>
    <n v="360"/>
    <n v="360"/>
    <n v="64.799990000000037"/>
    <n v="424.79999000000004"/>
    <n v="36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9"/>
    <x v="241"/>
    <s v="ARM473"/>
    <d v="2019-11-23T00:00:00"/>
    <s v="20438563084"/>
    <s v="EDPYME ACCESO CREDITICIO SOCIEDAD ANONIMA"/>
    <s v="2908010003"/>
    <s v="AMPLIACION TERCEROS REPARACION"/>
    <s v="000"/>
    <s v="001"/>
    <s v="CONTADO"/>
    <s v="002"/>
    <s v="MANTENIMIENTO-MECANICA"/>
    <s v="S/."/>
    <n v="3.3239999"/>
    <n v="1"/>
    <n v="70"/>
    <n v="70"/>
    <n v="12.599997999999978"/>
    <n v="82.599997999999971"/>
    <n v="7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9"/>
    <x v="241"/>
    <s v="ARM473"/>
    <d v="2019-11-23T00:00:00"/>
    <s v="20438563084"/>
    <s v="EDPYME ACCESO CREDITICIO SOCIEDAD ANONIMA"/>
    <s v="1201020001"/>
    <s v="PLANCHADO"/>
    <s v="000"/>
    <s v="001"/>
    <s v="CONTADO"/>
    <s v="001"/>
    <s v="PLANCHADO"/>
    <s v="S/."/>
    <n v="3.3239999"/>
    <n v="1"/>
    <n v="2030"/>
    <n v="2030"/>
    <n v="365.39989999999989"/>
    <n v="2395.3998999999999"/>
    <n v="203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9"/>
    <x v="241"/>
    <s v="ARM473"/>
    <d v="2019-11-23T00:00:00"/>
    <s v="20438563084"/>
    <s v="EDPYME ACCESO CREDITICIO SOCIEDAD ANONIMA"/>
    <s v="2908010001"/>
    <s v="TERCEROS"/>
    <s v="000"/>
    <s v="001"/>
    <s v="CONTADO"/>
    <s v="002"/>
    <s v="MANTENIMIENTO-MECANICA"/>
    <s v="S/."/>
    <n v="3.3239999"/>
    <n v="1"/>
    <n v="1580"/>
    <n v="1580"/>
    <n v="284.39999999999998"/>
    <n v="1864.4"/>
    <n v="158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69"/>
    <x v="241"/>
    <s v="ARM473"/>
    <d v="2019-11-23T00:00:00"/>
    <s v="20438563084"/>
    <s v="EDPYME ACCESO CREDITICIO SOCIEDAD ANONIMA"/>
    <s v="2908010002"/>
    <s v="AMPLIACION PLANCHADO"/>
    <s v="000"/>
    <s v="001"/>
    <s v="CONTADO"/>
    <s v="002"/>
    <s v="MANTENIMIENTO-MECANICA"/>
    <s v="S/."/>
    <n v="3.3239999"/>
    <n v="1"/>
    <n v="140"/>
    <n v="140"/>
    <n v="25.2"/>
    <n v="165.2"/>
    <n v="140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70"/>
    <x v="242"/>
    <s v="BEJ577"/>
    <d v="2019-10-24T00:00:00"/>
    <s v="20509959766"/>
    <s v="RENTAEQUIPOS LEASING PERU S.A."/>
    <s v="1201020001"/>
    <s v="PLANCHADO"/>
    <s v="000"/>
    <s v="001"/>
    <s v="CONTADO"/>
    <s v="001"/>
    <s v="PLANCHADO"/>
    <s v="$"/>
    <n v="3.3239999"/>
    <n v="1"/>
    <n v="15"/>
    <n v="15"/>
    <n v="2.7000009999999999"/>
    <n v="17.700001"/>
    <n v="49.859998500000003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70"/>
    <x v="242"/>
    <s v="BEJ577"/>
    <d v="2019-10-24T00:00:00"/>
    <s v="20509959766"/>
    <s v="RENTAEQUIPOS LEASING PERU S.A."/>
    <s v="320001"/>
    <s v="REPUESTOS"/>
    <s v="000"/>
    <s v="001"/>
    <s v="CONTADO"/>
    <s v="002"/>
    <s v="MANTENIMIENTO-MECANICA"/>
    <s v="$"/>
    <n v="3.3239999"/>
    <n v="1"/>
    <n v="88.5"/>
    <n v="88.5"/>
    <n v="15.93"/>
    <n v="104.43"/>
    <n v="294.17399115000001"/>
    <m/>
    <m/>
    <m/>
    <m/>
    <m/>
    <m/>
    <m/>
    <m/>
    <m/>
    <m/>
    <m/>
    <m/>
    <m/>
    <m/>
    <m/>
    <m/>
    <m/>
    <m/>
    <m/>
    <m/>
    <m/>
    <m/>
    <m/>
    <m/>
  </r>
  <r>
    <x v="68"/>
    <s v="FAC"/>
    <s v="005"/>
    <s v="00000271"/>
    <x v="225"/>
    <s v="F2O046"/>
    <d v="2019-12-19T00:00:00"/>
    <s v="10093540251"/>
    <s v="GONZALES  AMADO GUIA"/>
    <s v="310120"/>
    <s v="FRANQUICIA"/>
    <s v="000"/>
    <s v="001"/>
    <s v="CONTADO"/>
    <s v="002"/>
    <s v="MANTENIMIENTO-MECANICA"/>
    <s v="$"/>
    <n v="3.3239999"/>
    <n v="1"/>
    <n v="111.28809999999997"/>
    <n v="111.28809999999997"/>
    <n v="20.031910000000043"/>
    <n v="131.32001000000002"/>
    <n v="369.92163327118993"/>
    <m/>
    <m/>
    <m/>
    <m/>
    <m/>
    <m/>
    <m/>
    <m/>
    <m/>
    <m/>
    <m/>
    <m/>
    <m/>
    <m/>
    <m/>
    <m/>
    <m/>
    <m/>
    <m/>
    <m/>
    <m/>
    <m/>
    <m/>
    <m/>
  </r>
  <r>
    <x v="69"/>
    <s v="FAC"/>
    <s v="005"/>
    <s v="00000272"/>
    <x v="243"/>
    <s v="AUO555"/>
    <d v="2020-01-02T00:00:00"/>
    <s v="20545994985"/>
    <s v="CERAMICOS BARCELONA SAC"/>
    <s v="310120"/>
    <s v="FRANQUICIA"/>
    <s v="000"/>
    <s v="001"/>
    <s v="CONTADO"/>
    <s v="002"/>
    <s v="MANTENIMIENTO-MECANICA"/>
    <s v="$"/>
    <n v="3.3359999999999999"/>
    <n v="1"/>
    <n v="123.57630000000003"/>
    <n v="123.57630000000003"/>
    <n v="22.243709999999993"/>
    <n v="145.82001000000002"/>
    <n v="412.25053680000008"/>
    <m/>
    <m/>
    <m/>
    <m/>
    <m/>
    <m/>
    <m/>
    <m/>
    <m/>
    <m/>
    <m/>
    <m/>
    <m/>
    <m/>
    <m/>
    <m/>
    <m/>
    <m/>
    <m/>
    <m/>
    <m/>
    <m/>
    <m/>
    <m/>
  </r>
  <r>
    <x v="69"/>
    <s v="FAC"/>
    <s v="005"/>
    <s v="00000273"/>
    <x v="243"/>
    <s v="AUO555"/>
    <d v="2020-01-02T00:00:00"/>
    <s v="20100041953"/>
    <s v="RIMAC SEGUROS  Y REASEGUROS S.A"/>
    <s v="1302020001"/>
    <s v="PINTURA"/>
    <s v="000"/>
    <s v="001"/>
    <s v="CONTADO"/>
    <s v="009"/>
    <s v="PINTURA"/>
    <s v="$"/>
    <n v="3.3359999999999999"/>
    <n v="1"/>
    <n v="191.75419999999997"/>
    <n v="191.75419999999997"/>
    <n v="34.51580000000002"/>
    <n v="226.27"/>
    <n v="639.69201119999991"/>
    <m/>
    <m/>
    <m/>
    <m/>
    <m/>
    <m/>
    <m/>
    <m/>
    <m/>
    <m/>
    <m/>
    <m/>
    <m/>
    <m/>
    <m/>
    <m/>
    <m/>
    <m/>
    <m/>
    <m/>
    <m/>
    <m/>
    <m/>
    <m/>
  </r>
  <r>
    <x v="69"/>
    <s v="FAC"/>
    <s v="005"/>
    <s v="00000273"/>
    <x v="243"/>
    <s v="AUO555"/>
    <d v="2020-01-02T00:00:00"/>
    <s v="20100041953"/>
    <s v="RIMAC SEGUROS  Y REASEGUROS S.A"/>
    <s v="1201020001"/>
    <s v="PLANCHADO"/>
    <s v="000"/>
    <s v="001"/>
    <s v="CONTADO"/>
    <s v="001"/>
    <s v="PLANCHADO"/>
    <s v="$"/>
    <n v="3.3359999999999999"/>
    <n v="1"/>
    <n v="67.5"/>
    <n v="67.5"/>
    <n v="12.150002000000013"/>
    <n v="79.650002000000015"/>
    <n v="225.17999999999998"/>
    <m/>
    <m/>
    <m/>
    <m/>
    <m/>
    <m/>
    <m/>
    <m/>
    <m/>
    <m/>
    <m/>
    <m/>
    <m/>
    <m/>
    <m/>
    <m/>
    <m/>
    <m/>
    <m/>
    <m/>
    <m/>
    <m/>
    <m/>
    <m/>
  </r>
  <r>
    <x v="69"/>
    <s v="FAC"/>
    <s v="005"/>
    <s v="00000273"/>
    <x v="243"/>
    <s v="AUO555"/>
    <d v="2020-01-02T00:00:00"/>
    <s v="20100041953"/>
    <s v="RIMAC SEGUROS  Y REASEGUROS S.A"/>
    <s v="2908010001"/>
    <s v="TERCEROS"/>
    <s v="000"/>
    <s v="001"/>
    <s v="CONTADO"/>
    <s v="002"/>
    <s v="MANTENIMIENTO-MECANICA"/>
    <s v="$"/>
    <n v="3.3359999999999999"/>
    <n v="1"/>
    <n v="85"/>
    <n v="85"/>
    <n v="15.3"/>
    <n v="100.3"/>
    <n v="283.56"/>
    <m/>
    <m/>
    <m/>
    <m/>
    <m/>
    <m/>
    <m/>
    <m/>
    <m/>
    <m/>
    <m/>
    <m/>
    <m/>
    <m/>
    <m/>
    <m/>
    <m/>
    <m/>
    <m/>
    <m/>
    <m/>
    <m/>
    <m/>
    <m/>
  </r>
  <r>
    <x v="69"/>
    <s v="FAC"/>
    <s v="005"/>
    <s v="00000273"/>
    <x v="243"/>
    <s v="AUO555"/>
    <d v="2020-01-02T00:00:00"/>
    <s v="20100041953"/>
    <s v="RIMAC SEGUROS  Y REASEGUROS S.A"/>
    <s v="2908010002"/>
    <s v="AMPLIACION MANO DE OBRA"/>
    <s v="000"/>
    <s v="001"/>
    <s v="CONTADO"/>
    <s v="002"/>
    <s v="MANTENIMIENTO-MECANICA"/>
    <s v="$"/>
    <n v="3.3359999999999999"/>
    <n v="1"/>
    <n v="60"/>
    <n v="60"/>
    <n v="10.800002999999997"/>
    <n v="70.800003000000004"/>
    <n v="200.16"/>
    <m/>
    <m/>
    <m/>
    <m/>
    <m/>
    <m/>
    <m/>
    <m/>
    <m/>
    <m/>
    <m/>
    <m/>
    <m/>
    <m/>
    <m/>
    <m/>
    <m/>
    <m/>
    <m/>
    <m/>
    <m/>
    <m/>
    <m/>
    <m/>
  </r>
  <r>
    <x v="69"/>
    <s v="FAC"/>
    <s v="005"/>
    <s v="00000273"/>
    <x v="243"/>
    <s v="AUO555"/>
    <d v="2020-01-02T00:00:00"/>
    <s v="20100041953"/>
    <s v="RIMAC SEGUROS  Y REASEGUROS S.A"/>
    <s v="2908010003"/>
    <s v="AMPLIACION TERCEROS"/>
    <s v="000"/>
    <s v="001"/>
    <s v="CONTADO"/>
    <s v="002"/>
    <s v="MANTENIMIENTO-MECANICA"/>
    <s v="$"/>
    <n v="3.3359999999999999"/>
    <n v="1"/>
    <n v="70"/>
    <n v="70"/>
    <n v="12.599997999999978"/>
    <n v="82.599997999999971"/>
    <n v="233.51999999999998"/>
    <m/>
    <m/>
    <m/>
    <m/>
    <m/>
    <m/>
    <m/>
    <m/>
    <m/>
    <m/>
    <m/>
    <m/>
    <m/>
    <m/>
    <m/>
    <m/>
    <m/>
    <m/>
    <m/>
    <m/>
    <m/>
    <m/>
    <m/>
    <m/>
  </r>
  <r>
    <x v="69"/>
    <s v="FAC"/>
    <s v="005"/>
    <s v="00000273"/>
    <x v="243"/>
    <s v="AUO555"/>
    <d v="2020-01-02T00:00:00"/>
    <s v="20100041953"/>
    <s v="RIMAC SEGUROS  Y REASEGUROS S.A"/>
    <s v="2805010001"/>
    <s v="SERVICIOS"/>
    <s v="000"/>
    <s v="001"/>
    <s v="CONTADO"/>
    <s v="002"/>
    <s v="MANTENIMIENTO-MECANICA"/>
    <s v="$"/>
    <n v="3.3359999999999999"/>
    <n v="1"/>
    <n v="30"/>
    <n v="30"/>
    <n v="5.4000019999999997"/>
    <n v="35.400002000000001"/>
    <n v="100.08"/>
    <m/>
    <m/>
    <m/>
    <m/>
    <m/>
    <m/>
    <m/>
    <m/>
    <m/>
    <m/>
    <m/>
    <m/>
    <m/>
    <m/>
    <m/>
    <m/>
    <m/>
    <m/>
    <m/>
    <m/>
    <m/>
    <m/>
    <m/>
    <m/>
  </r>
  <r>
    <x v="69"/>
    <s v="FAC"/>
    <s v="005"/>
    <s v="00000273"/>
    <x v="243"/>
    <s v="AUO555"/>
    <d v="2020-01-02T00:00:00"/>
    <s v="20100041953"/>
    <s v="RIMAC SEGUROS  Y REASEGUROS S.A"/>
    <s v="310120"/>
    <s v="FRANQUICIA"/>
    <s v="000"/>
    <s v="001"/>
    <s v="CONTADO"/>
    <s v="002"/>
    <s v="MANTENIMIENTO-MECANICA"/>
    <s v="$"/>
    <n v="3.3359999999999999"/>
    <n v="-1"/>
    <n v="123.57630000000003"/>
    <n v="-123.57630000000003"/>
    <n v="-22.243709999999993"/>
    <n v="-145.82001000000002"/>
    <n v="-412.25053680000008"/>
    <m/>
    <m/>
    <m/>
    <m/>
    <m/>
    <m/>
    <m/>
    <m/>
    <m/>
    <m/>
    <m/>
    <m/>
    <m/>
    <m/>
    <m/>
    <m/>
    <m/>
    <m/>
    <m/>
    <m/>
    <m/>
    <m/>
    <m/>
    <m/>
  </r>
  <r>
    <x v="69"/>
    <s v="FAC"/>
    <s v="005"/>
    <s v="00000273"/>
    <x v="243"/>
    <s v="AUO555"/>
    <d v="2020-01-02T00:00:00"/>
    <s v="20100041953"/>
    <s v="RIMAC SEGUROS  Y REASEGUROS S.A"/>
    <s v="320001"/>
    <s v="REPUESTOS"/>
    <s v="000"/>
    <s v="001"/>
    <s v="CONTADO"/>
    <s v="002"/>
    <s v="MANTENIMIENTO-MECANICA"/>
    <s v="$"/>
    <n v="3.3359999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0"/>
    <s v="FAC"/>
    <s v="005"/>
    <s v="00000274"/>
    <x v="244"/>
    <s v="BES112"/>
    <d v="2020-01-03T00:00:00"/>
    <s v="20100041953"/>
    <s v="RIMAC SEGUROS  Y REASEGUROS S.A"/>
    <s v="1302020001"/>
    <s v="PINTURA"/>
    <s v="000"/>
    <s v="001"/>
    <s v="CONTADO"/>
    <s v="009"/>
    <s v="PINTURA"/>
    <s v="$"/>
    <n v="3.3269999000000001"/>
    <n v="1"/>
    <n v="147.5"/>
    <n v="147.5"/>
    <n v="26.55"/>
    <n v="174.05"/>
    <n v="490.73248525000002"/>
    <m/>
    <m/>
    <m/>
    <m/>
    <m/>
    <m/>
    <m/>
    <m/>
    <m/>
    <m/>
    <m/>
    <m/>
    <m/>
    <m/>
    <m/>
    <m/>
    <m/>
    <m/>
    <m/>
    <m/>
    <m/>
    <m/>
    <m/>
    <m/>
  </r>
  <r>
    <x v="70"/>
    <s v="FAC"/>
    <s v="005"/>
    <s v="00000274"/>
    <x v="244"/>
    <s v="BES112"/>
    <d v="2020-01-03T00:00:00"/>
    <s v="20100041953"/>
    <s v="RIMAC SEGUROS  Y REASEGUROS S.A"/>
    <s v="1201020001"/>
    <s v="PLANCHADO"/>
    <s v="000"/>
    <s v="001"/>
    <s v="CONTADO"/>
    <s v="001"/>
    <s v="PLANCHADO"/>
    <s v="$"/>
    <n v="3.3269999000000001"/>
    <n v="1"/>
    <n v="165"/>
    <n v="165"/>
    <n v="29.7"/>
    <n v="194.7"/>
    <n v="548.95498350000003"/>
    <m/>
    <m/>
    <m/>
    <m/>
    <m/>
    <m/>
    <m/>
    <m/>
    <m/>
    <m/>
    <m/>
    <m/>
    <m/>
    <m/>
    <m/>
    <m/>
    <m/>
    <m/>
    <m/>
    <m/>
    <m/>
    <m/>
    <m/>
    <m/>
  </r>
  <r>
    <x v="70"/>
    <s v="FAC"/>
    <s v="005"/>
    <s v="00000274"/>
    <x v="244"/>
    <s v="BES112"/>
    <d v="2020-01-03T00:00:00"/>
    <s v="20100041953"/>
    <s v="RIMAC SEGUROS  Y REASEGUROS S.A"/>
    <s v="310120"/>
    <s v="FRANQUICIA"/>
    <s v="000"/>
    <s v="001"/>
    <s v="CONTADO"/>
    <s v="002"/>
    <s v="MANTENIMIENTO-MECANICA"/>
    <s v="$"/>
    <n v="3.3269999000000001"/>
    <n v="-1"/>
    <n v="269.15249999999997"/>
    <n v="-269.15249999999997"/>
    <n v="-48.447510000000037"/>
    <n v="-317.60001"/>
    <n v="-895.47034058474992"/>
    <m/>
    <m/>
    <m/>
    <m/>
    <m/>
    <m/>
    <m/>
    <m/>
    <m/>
    <m/>
    <m/>
    <m/>
    <m/>
    <m/>
    <m/>
    <m/>
    <m/>
    <m/>
    <m/>
    <m/>
    <m/>
    <m/>
    <m/>
    <m/>
  </r>
  <r>
    <x v="70"/>
    <s v="FAC"/>
    <s v="005"/>
    <s v="00000274"/>
    <x v="244"/>
    <s v="BES112"/>
    <d v="2020-01-03T00:00:00"/>
    <s v="20100041953"/>
    <s v="RIMAC SEGUROS  Y REASEGUROS S.A"/>
    <s v="320001"/>
    <s v="REPUESTOS"/>
    <s v="000"/>
    <s v="001"/>
    <s v="CONTADO"/>
    <s v="002"/>
    <s v="MANTENIMIENTO-MECANICA"/>
    <s v="$"/>
    <n v="3.326999900000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0"/>
    <s v="FAC"/>
    <s v="005"/>
    <s v="00000275"/>
    <x v="245"/>
    <s v="BDW631"/>
    <d v="2020-01-03T00:00:00"/>
    <s v="20100041953"/>
    <s v="RIMAC SEGUROS  Y REASEGUROS S.A"/>
    <s v="1302020001"/>
    <s v="PINTURA"/>
    <s v="000"/>
    <s v="001"/>
    <s v="CONTADO"/>
    <s v="009"/>
    <s v="PINTURA"/>
    <s v="$"/>
    <n v="3.3269999000000001"/>
    <n v="1"/>
    <n v="354"/>
    <n v="354"/>
    <n v="63.72"/>
    <n v="417.72"/>
    <n v="1177.7579646000002"/>
    <m/>
    <m/>
    <m/>
    <m/>
    <m/>
    <m/>
    <m/>
    <m/>
    <m/>
    <m/>
    <m/>
    <m/>
    <m/>
    <m/>
    <m/>
    <m/>
    <m/>
    <m/>
    <m/>
    <m/>
    <m/>
    <m/>
    <m/>
    <m/>
  </r>
  <r>
    <x v="70"/>
    <s v="FAC"/>
    <s v="005"/>
    <s v="00000275"/>
    <x v="245"/>
    <s v="BDW631"/>
    <d v="2020-01-03T00:00:00"/>
    <s v="20100041953"/>
    <s v="RIMAC SEGUROS  Y REASEGUROS S.A"/>
    <s v="1201020001"/>
    <s v="PLANCHADO"/>
    <s v="000"/>
    <s v="001"/>
    <s v="CONTADO"/>
    <s v="001"/>
    <s v="PLANCHADO"/>
    <s v="$"/>
    <n v="3.3269999000000001"/>
    <n v="1"/>
    <n v="210"/>
    <n v="210"/>
    <n v="37.799999999999997"/>
    <n v="247.8"/>
    <n v="698.66997900000001"/>
    <m/>
    <m/>
    <m/>
    <m/>
    <m/>
    <m/>
    <m/>
    <m/>
    <m/>
    <m/>
    <m/>
    <m/>
    <m/>
    <m/>
    <m/>
    <m/>
    <m/>
    <m/>
    <m/>
    <m/>
    <m/>
    <m/>
    <m/>
    <m/>
  </r>
  <r>
    <x v="70"/>
    <s v="FAC"/>
    <s v="005"/>
    <s v="00000275"/>
    <x v="245"/>
    <s v="BDW631"/>
    <d v="2020-01-03T00:00:00"/>
    <s v="20100041953"/>
    <s v="RIMAC SEGUROS  Y REASEGUROS S.A"/>
    <s v="2908010001"/>
    <s v="TERCEROS"/>
    <s v="000"/>
    <s v="001"/>
    <s v="CONTADO"/>
    <s v="002"/>
    <s v="MANTENIMIENTO-MECANICA"/>
    <s v="$"/>
    <n v="3.3269999000000001"/>
    <n v="1"/>
    <n v="35"/>
    <n v="35"/>
    <n v="6.299998999999989"/>
    <n v="41.299998999999985"/>
    <n v="116.4449965"/>
    <m/>
    <m/>
    <m/>
    <m/>
    <m/>
    <m/>
    <m/>
    <m/>
    <m/>
    <m/>
    <m/>
    <m/>
    <m/>
    <m/>
    <m/>
    <m/>
    <m/>
    <m/>
    <m/>
    <m/>
    <m/>
    <m/>
    <m/>
    <m/>
  </r>
  <r>
    <x v="70"/>
    <s v="FAC"/>
    <s v="005"/>
    <s v="00000275"/>
    <x v="245"/>
    <s v="BDW631"/>
    <d v="2020-01-03T00:00:00"/>
    <s v="20100041953"/>
    <s v="RIMAC SEGUROS  Y REASEGUROS S.A"/>
    <s v="2805010001"/>
    <s v="SERVICIOS"/>
    <s v="000"/>
    <s v="001"/>
    <s v="CONTADO"/>
    <s v="002"/>
    <s v="MANTENIMIENTO-MECANICA"/>
    <s v="$"/>
    <n v="3.3269999000000001"/>
    <n v="1"/>
    <n v="15"/>
    <n v="15"/>
    <n v="2.7000009999999999"/>
    <n v="17.700001"/>
    <n v="49.904998500000005"/>
    <m/>
    <m/>
    <m/>
    <m/>
    <m/>
    <m/>
    <m/>
    <m/>
    <m/>
    <m/>
    <m/>
    <m/>
    <m/>
    <m/>
    <m/>
    <m/>
    <m/>
    <m/>
    <m/>
    <m/>
    <m/>
    <m/>
    <m/>
    <m/>
  </r>
  <r>
    <x v="70"/>
    <s v="FAC"/>
    <s v="005"/>
    <s v="00000275"/>
    <x v="245"/>
    <s v="BDW631"/>
    <d v="2020-01-03T00:00:00"/>
    <s v="20100041953"/>
    <s v="RIMAC SEGUROS  Y REASEGUROS S.A"/>
    <s v="310120"/>
    <s v="FRANQUICIA"/>
    <s v="000"/>
    <s v="001"/>
    <s v="CONTADO"/>
    <s v="002"/>
    <s v="MANTENIMIENTO-MECANICA"/>
    <s v="$"/>
    <n v="3.3269999000000001"/>
    <n v="-1"/>
    <n v="341.09320000000002"/>
    <n v="-341.09320000000002"/>
    <n v="-61.396790000000038"/>
    <n v="-402.48999000000003"/>
    <n v="-1134.8170422906801"/>
    <m/>
    <m/>
    <m/>
    <m/>
    <m/>
    <m/>
    <m/>
    <m/>
    <m/>
    <m/>
    <m/>
    <m/>
    <m/>
    <m/>
    <m/>
    <m/>
    <m/>
    <m/>
    <m/>
    <m/>
    <m/>
    <m/>
    <m/>
    <m/>
  </r>
  <r>
    <x v="70"/>
    <s v="FAC"/>
    <s v="005"/>
    <s v="00000275"/>
    <x v="245"/>
    <s v="BDW631"/>
    <d v="2020-01-03T00:00:00"/>
    <s v="20100041953"/>
    <s v="RIMAC SEGUROS  Y REASEGUROS S.A"/>
    <s v="320001"/>
    <s v="REPUESTOS"/>
    <s v="000"/>
    <s v="001"/>
    <s v="CONTADO"/>
    <s v="002"/>
    <s v="MANTENIMIENTO-MECANICA"/>
    <s v="$"/>
    <n v="3.326999900000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6"/>
    <x v="246"/>
    <s v="BFZ575"/>
    <d v="2019-11-29T00:00:00"/>
    <s v="20438563084"/>
    <s v="EDPYME ACCESO CREDITICIO SOCIEDAD ANONIMA"/>
    <s v="1302020001"/>
    <s v="PINTURA"/>
    <s v="000"/>
    <s v="001"/>
    <s v="CONTADO"/>
    <s v="009"/>
    <s v="PINTURA"/>
    <s v="S/."/>
    <n v="3.3260000000000001"/>
    <n v="1"/>
    <n v="2565"/>
    <n v="2565"/>
    <n v="461.7"/>
    <n v="3026.7"/>
    <n v="2565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6"/>
    <x v="246"/>
    <s v="BFZ575"/>
    <d v="2019-11-29T00:00:00"/>
    <s v="20438563084"/>
    <s v="EDPYME ACCESO CREDITICIO SOCIEDAD ANONIMA"/>
    <s v="1201020001"/>
    <s v="PLANCHADO"/>
    <s v="000"/>
    <s v="001"/>
    <s v="CONTADO"/>
    <s v="001"/>
    <s v="PLANCHADO"/>
    <s v="S/."/>
    <n v="3.3260000000000001"/>
    <n v="1"/>
    <n v="1050"/>
    <n v="1050"/>
    <n v="189"/>
    <n v="1239"/>
    <n v="105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6"/>
    <x v="246"/>
    <s v="BFZ575"/>
    <d v="2019-11-29T00:00:00"/>
    <s v="20438563084"/>
    <s v="EDPYME ACCESO CREDITICIO SOCIEDAD ANONIMA"/>
    <s v="2908010001"/>
    <s v="TERCEROS"/>
    <s v="000"/>
    <s v="001"/>
    <s v="CONTADO"/>
    <s v="002"/>
    <s v="MANTENIMIENTO-MECANICA"/>
    <s v="S/."/>
    <n v="3.3260000000000001"/>
    <n v="1"/>
    <n v="680"/>
    <n v="680"/>
    <n v="122.40002000000023"/>
    <n v="802.40002000000027"/>
    <n v="68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6"/>
    <x v="246"/>
    <s v="BFZ575"/>
    <d v="2019-11-29T00:00:00"/>
    <s v="20438563084"/>
    <s v="EDPYME ACCESO CREDITICIO SOCIEDAD ANONIMA"/>
    <s v="2908010002"/>
    <s v="AMPLIACION RESPUESTOS"/>
    <s v="000"/>
    <s v="001"/>
    <s v="CONTADO"/>
    <s v="002"/>
    <s v="MANTENIMIENTO-MECANICA"/>
    <s v="S/."/>
    <n v="3.3260000000000001"/>
    <n v="1"/>
    <n v="543"/>
    <n v="543"/>
    <n v="97.739990000000034"/>
    <n v="640.73999000000003"/>
    <n v="543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6"/>
    <x v="246"/>
    <s v="BFZ575"/>
    <d v="2019-11-29T00:00:00"/>
    <s v="20438563084"/>
    <s v="EDPYME ACCESO CREDITICIO SOCIEDAD ANONIMA"/>
    <s v="2805010001"/>
    <s v="SERVICIOS"/>
    <s v="000"/>
    <s v="001"/>
    <s v="CONTADO"/>
    <s v="002"/>
    <s v="MANTENIMIENTO-MECANICA"/>
    <s v="S/."/>
    <n v="3.3260000000000001"/>
    <n v="1"/>
    <n v="673.75420999999972"/>
    <n v="673.75420999999972"/>
    <n v="121.27582000000038"/>
    <n v="795.03003000000012"/>
    <n v="673.75420999999972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6"/>
    <x v="246"/>
    <s v="BFZ575"/>
    <d v="2019-11-29T00:00:00"/>
    <s v="20438563084"/>
    <s v="EDPYME ACCESO CREDITICIO SOCIEDAD ANONIMA"/>
    <s v="320001"/>
    <s v="REPUESTOS"/>
    <s v="000"/>
    <s v="001"/>
    <s v="CONTADO"/>
    <s v="002"/>
    <s v="MANTENIMIENTO-MECANICA"/>
    <s v="S/."/>
    <n v="3.3260000000000001"/>
    <n v="1"/>
    <n v="3360"/>
    <n v="3360"/>
    <n v="604.79999999999995"/>
    <n v="3964.8"/>
    <n v="336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7"/>
    <x v="247"/>
    <s v="D3W105"/>
    <d v="2019-12-10T00:00:00"/>
    <s v="20438563084"/>
    <s v="EDPYME ACCESO CREDITICIO SOCIEDAD ANONIMA"/>
    <s v="1302020001"/>
    <s v="PINTURA"/>
    <s v="000"/>
    <s v="001"/>
    <s v="CONTADO"/>
    <s v="009"/>
    <s v="PINTURA"/>
    <s v="S/."/>
    <n v="3.3260000000000001"/>
    <n v="1"/>
    <n v="1822.5"/>
    <n v="1822.5"/>
    <n v="328.05"/>
    <n v="2150.5500000000002"/>
    <n v="1822.5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7"/>
    <x v="247"/>
    <s v="D3W105"/>
    <d v="2019-12-10T00:00:00"/>
    <s v="20438563084"/>
    <s v="EDPYME ACCESO CREDITICIO SOCIEDAD ANONIMA"/>
    <s v="1201020001"/>
    <s v="PLANCHADO"/>
    <s v="000"/>
    <s v="001"/>
    <s v="CONTADO"/>
    <s v="001"/>
    <s v="PLANCHADO"/>
    <s v="S/."/>
    <n v="3.3260000000000001"/>
    <n v="1"/>
    <n v="665"/>
    <n v="665"/>
    <n v="119.70000999999989"/>
    <n v="784.70000999999991"/>
    <n v="665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7"/>
    <x v="247"/>
    <s v="D3W105"/>
    <d v="2019-12-10T00:00:00"/>
    <s v="20438563084"/>
    <s v="EDPYME ACCESO CREDITICIO SOCIEDAD ANONIMA"/>
    <s v="2908010001"/>
    <s v="TERCEROS"/>
    <s v="000"/>
    <s v="001"/>
    <s v="CONTADO"/>
    <s v="002"/>
    <s v="MANTENIMIENTO-MECANICA"/>
    <s v="S/."/>
    <n v="3.3260000000000001"/>
    <n v="1"/>
    <n v="850"/>
    <n v="850"/>
    <n v="153"/>
    <n v="1003"/>
    <n v="85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7"/>
    <x v="247"/>
    <s v="D3W105"/>
    <d v="2019-12-10T00:00:00"/>
    <s v="20438563084"/>
    <s v="EDPYME ACCESO CREDITICIO SOCIEDAD ANONIMA"/>
    <s v="2908010002"/>
    <s v="AMPLIACION REPSUESTOS"/>
    <s v="000"/>
    <s v="001"/>
    <s v="CONTADO"/>
    <s v="002"/>
    <s v="MANTENIMIENTO-MECANICA"/>
    <s v="S/."/>
    <n v="3.3260000000000001"/>
    <n v="1"/>
    <n v="2633"/>
    <n v="2633"/>
    <n v="473.93989999999991"/>
    <n v="3106.9398999999999"/>
    <n v="2633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7"/>
    <x v="247"/>
    <s v="D3W105"/>
    <d v="2019-12-10T00:00:00"/>
    <s v="20438563084"/>
    <s v="EDPYME ACCESO CREDITICIO SOCIEDAD ANONIMA"/>
    <s v="2805010001"/>
    <s v="SERVICIOS"/>
    <s v="000"/>
    <s v="001"/>
    <s v="CONTADO"/>
    <s v="002"/>
    <s v="MANTENIMIENTO-MECANICA"/>
    <s v="S/."/>
    <n v="3.3260000000000001"/>
    <n v="1"/>
    <n v="953.75420999999972"/>
    <n v="953.75420999999972"/>
    <n v="171.67589000000035"/>
    <n v="1125.4301"/>
    <n v="953.75420999999972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7"/>
    <x v="247"/>
    <s v="D3W105"/>
    <d v="2019-12-10T00:00:00"/>
    <s v="20438563084"/>
    <s v="EDPYME ACCESO CREDITICIO SOCIEDAD ANONIMA"/>
    <s v="320001"/>
    <s v="REPUESTOS"/>
    <s v="000"/>
    <s v="001"/>
    <s v="CONTADO"/>
    <s v="002"/>
    <s v="MANTENIMIENTO-MECANICA"/>
    <s v="S/."/>
    <n v="3.3260000000000001"/>
    <n v="1"/>
    <n v="2447"/>
    <n v="2447"/>
    <n v="440.46"/>
    <n v="2887.46"/>
    <n v="2447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8"/>
    <x v="248"/>
    <s v="BKY290"/>
    <d v="2020-01-03T00:00:00"/>
    <s v="20438563084"/>
    <s v="EDPYME ACCESO CREDITICIO SOCIEDAD ANONIMA"/>
    <s v="1302020001"/>
    <s v="PINTURA"/>
    <s v="000"/>
    <s v="001"/>
    <s v="CONTADO"/>
    <s v="009"/>
    <s v="PINTURA"/>
    <s v="S/."/>
    <n v="3.3260000000000001"/>
    <n v="1"/>
    <n v="1485"/>
    <n v="1485"/>
    <n v="267.3"/>
    <n v="1752.3"/>
    <n v="1485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8"/>
    <x v="248"/>
    <s v="BKY290"/>
    <d v="2020-01-03T00:00:00"/>
    <s v="20438563084"/>
    <s v="EDPYME ACCESO CREDITICIO SOCIEDAD ANONIMA"/>
    <s v="1201020001"/>
    <s v="PLANCHADO"/>
    <s v="000"/>
    <s v="001"/>
    <s v="CONTADO"/>
    <s v="001"/>
    <s v="PLANCHADO"/>
    <s v="S/."/>
    <n v="3.3260000000000001"/>
    <n v="1"/>
    <n v="490"/>
    <n v="490"/>
    <n v="88.200010000000105"/>
    <n v="578.20001000000013"/>
    <n v="49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8"/>
    <x v="248"/>
    <s v="BKY290"/>
    <d v="2020-01-03T00:00:00"/>
    <s v="20438563084"/>
    <s v="EDPYME ACCESO CREDITICIO SOCIEDAD ANONIMA"/>
    <s v="2908010001"/>
    <s v="TERCEROS"/>
    <s v="000"/>
    <s v="001"/>
    <s v="CONTADO"/>
    <s v="002"/>
    <s v="MANTENIMIENTO-MECANICA"/>
    <s v="S/."/>
    <n v="3.3260000000000001"/>
    <n v="1"/>
    <n v="90"/>
    <n v="90"/>
    <n v="16.2"/>
    <n v="106.2"/>
    <n v="9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8"/>
    <x v="248"/>
    <s v="BKY290"/>
    <d v="2020-01-03T00:00:00"/>
    <s v="20438563084"/>
    <s v="EDPYME ACCESO CREDITICIO SOCIEDAD ANONIMA"/>
    <s v="2805010001"/>
    <s v="SERVICIOS"/>
    <s v="000"/>
    <s v="001"/>
    <s v="CONTADO"/>
    <s v="002"/>
    <s v="MANTENIMIENTO-MECANICA"/>
    <s v="S/."/>
    <n v="3.3260000000000001"/>
    <n v="1"/>
    <n v="262.5"/>
    <n v="262.5"/>
    <n v="47.25"/>
    <n v="309.75"/>
    <n v="262.5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8"/>
    <x v="248"/>
    <s v="BKY290"/>
    <d v="2020-01-03T00:00:00"/>
    <s v="20438563084"/>
    <s v="EDPYME ACCESO CREDITICIO SOCIEDAD ANONIMA"/>
    <s v="320001"/>
    <s v="REPUESTOS"/>
    <s v="000"/>
    <s v="001"/>
    <s v="CONTADO"/>
    <s v="002"/>
    <s v="MANTENIMIENTO-MECANICA"/>
    <s v="S/."/>
    <n v="3.3260000000000001"/>
    <n v="1"/>
    <n v="222"/>
    <n v="222"/>
    <n v="39.959989999999962"/>
    <n v="261.95998999999995"/>
    <n v="222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9"/>
    <x v="249"/>
    <s v="BKD354"/>
    <d v="2020-01-03T00:00:00"/>
    <s v="20438563084"/>
    <s v="EDPYME ACCESO CREDITICIO SOCIEDAD ANONIMA"/>
    <s v="1302020001"/>
    <s v="PINTURA"/>
    <s v="000"/>
    <s v="001"/>
    <s v="CONTADO"/>
    <s v="009"/>
    <s v="PINTURA"/>
    <s v="S/."/>
    <n v="3.3260000000000001"/>
    <n v="1"/>
    <n v="1282.5"/>
    <n v="1282.5"/>
    <n v="230.85"/>
    <n v="1513.35"/>
    <n v="1282.5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9"/>
    <x v="249"/>
    <s v="BKD354"/>
    <d v="2020-01-03T00:00:00"/>
    <s v="20438563084"/>
    <s v="EDPYME ACCESO CREDITICIO SOCIEDAD ANONIMA"/>
    <s v="1201020001"/>
    <s v="PLANCHADO"/>
    <s v="000"/>
    <s v="001"/>
    <s v="CONTADO"/>
    <s v="001"/>
    <s v="PLANCHADO"/>
    <s v="S/."/>
    <n v="3.3260000000000001"/>
    <n v="1"/>
    <n v="840"/>
    <n v="840"/>
    <n v="151.20000999999991"/>
    <n v="991.20000999999991"/>
    <n v="84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9"/>
    <x v="249"/>
    <s v="BKD354"/>
    <d v="2020-01-03T00:00:00"/>
    <s v="20438563084"/>
    <s v="EDPYME ACCESO CREDITICIO SOCIEDAD ANONIMA"/>
    <s v="2908010001"/>
    <s v="TERCEROS"/>
    <s v="000"/>
    <s v="001"/>
    <s v="CONTADO"/>
    <s v="002"/>
    <s v="MANTENIMIENTO-MECANICA"/>
    <s v="S/."/>
    <n v="3.3260000000000001"/>
    <n v="1"/>
    <n v="300"/>
    <n v="300"/>
    <n v="54"/>
    <n v="354"/>
    <n v="30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9"/>
    <x v="249"/>
    <s v="BKD354"/>
    <d v="2020-01-03T00:00:00"/>
    <s v="20438563084"/>
    <s v="EDPYME ACCESO CREDITICIO SOCIEDAD ANONIMA"/>
    <s v="2805010001"/>
    <s v="SERVICIOS"/>
    <s v="000"/>
    <s v="001"/>
    <s v="CONTADO"/>
    <s v="002"/>
    <s v="MANTENIMIENTO-MECANICA"/>
    <s v="S/."/>
    <n v="3.3260000000000001"/>
    <n v="1"/>
    <n v="218.75419999999997"/>
    <n v="218.75419999999997"/>
    <n v="39.375800000000019"/>
    <n v="258.13"/>
    <n v="218.75419999999997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79"/>
    <x v="249"/>
    <s v="BKD354"/>
    <d v="2020-01-03T00:00:00"/>
    <s v="20438563084"/>
    <s v="EDPYME ACCESO CREDITICIO SOCIEDAD ANONIMA"/>
    <s v="320001"/>
    <s v="REPUESTOS"/>
    <s v="000"/>
    <s v="001"/>
    <s v="CONTADO"/>
    <s v="002"/>
    <s v="MANTENIMIENTO-MECANICA"/>
    <s v="S/."/>
    <n v="3.3260000000000001"/>
    <n v="1"/>
    <n v="914"/>
    <n v="914"/>
    <n v="164.52"/>
    <n v="1078.52"/>
    <n v="914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0"/>
    <x v="250"/>
    <s v="BEA419"/>
    <d v="2020-01-03T00:00:00"/>
    <s v="20438563084"/>
    <s v="EDPYME ACCESO CREDITICIO SOCIEDAD ANONIMA"/>
    <s v="1302020001"/>
    <s v="PINTURA"/>
    <s v="000"/>
    <s v="001"/>
    <s v="CONTADO"/>
    <s v="009"/>
    <s v="PINTURA"/>
    <s v="S/."/>
    <n v="3.3260000000000001"/>
    <n v="1"/>
    <n v="2295"/>
    <n v="2295"/>
    <n v="413.10010000000011"/>
    <n v="2708.1001000000001"/>
    <n v="2295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0"/>
    <x v="250"/>
    <s v="BEA419"/>
    <d v="2020-01-03T00:00:00"/>
    <s v="20438563084"/>
    <s v="EDPYME ACCESO CREDITICIO SOCIEDAD ANONIMA"/>
    <s v="1201020001"/>
    <s v="PLANCHADO"/>
    <s v="000"/>
    <s v="001"/>
    <s v="CONTADO"/>
    <s v="001"/>
    <s v="PLANCHADO"/>
    <s v="S/."/>
    <n v="3.3260000000000001"/>
    <n v="1"/>
    <n v="1400"/>
    <n v="1400"/>
    <n v="252"/>
    <n v="1652"/>
    <n v="140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0"/>
    <x v="250"/>
    <s v="BEA419"/>
    <d v="2020-01-03T00:00:00"/>
    <s v="20438563084"/>
    <s v="EDPYME ACCESO CREDITICIO SOCIEDAD ANONIMA"/>
    <s v="2908010001"/>
    <s v="TERCEROS"/>
    <s v="000"/>
    <s v="001"/>
    <s v="CONTADO"/>
    <s v="002"/>
    <s v="MANTENIMIENTO-MECANICA"/>
    <s v="S/."/>
    <n v="3.3260000000000001"/>
    <n v="1"/>
    <n v="420"/>
    <n v="420"/>
    <n v="75.600009999999898"/>
    <n v="495.60000999999988"/>
    <n v="42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0"/>
    <x v="250"/>
    <s v="BEA419"/>
    <d v="2020-01-03T00:00:00"/>
    <s v="20438563084"/>
    <s v="EDPYME ACCESO CREDITICIO SOCIEDAD ANONIMA"/>
    <s v="2805010001"/>
    <s v="SERVICIOS"/>
    <s v="000"/>
    <s v="001"/>
    <s v="CONTADO"/>
    <s v="002"/>
    <s v="MANTENIMIENTO-MECANICA"/>
    <s v="S/."/>
    <n v="3.3260000000000001"/>
    <n v="1"/>
    <n v="297.5"/>
    <n v="297.5"/>
    <n v="53.549990000000037"/>
    <n v="351.04999000000004"/>
    <n v="297.5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0"/>
    <x v="250"/>
    <s v="BEA419"/>
    <d v="2020-01-03T00:00:00"/>
    <s v="20438563084"/>
    <s v="EDPYME ACCESO CREDITICIO SOCIEDAD ANONIMA"/>
    <s v="320001"/>
    <s v="REPUESTOS"/>
    <s v="000"/>
    <s v="001"/>
    <s v="CONTADO"/>
    <s v="002"/>
    <s v="MANTENIMIENTO-MECANICA"/>
    <s v="S/."/>
    <n v="3.3260000000000001"/>
    <n v="1"/>
    <n v="1562"/>
    <n v="1562"/>
    <n v="281.16000000000003"/>
    <n v="1843.16"/>
    <n v="1562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1"/>
    <x v="251"/>
    <s v="BJS447"/>
    <d v="2020-01-03T00:00:00"/>
    <s v="20438563084"/>
    <s v="EDPYME ACCESO CREDITICIO SOCIEDAD ANONIMA"/>
    <s v="1302020001"/>
    <s v="PINTURA"/>
    <s v="000"/>
    <s v="001"/>
    <s v="CONTADO"/>
    <s v="009"/>
    <s v="PINTURA"/>
    <s v="S/."/>
    <n v="3.3260000000000001"/>
    <n v="1"/>
    <n v="1822.5"/>
    <n v="1822.5"/>
    <n v="328.05"/>
    <n v="2150.5500000000002"/>
    <n v="1822.5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1"/>
    <x v="251"/>
    <s v="BJS447"/>
    <d v="2020-01-03T00:00:00"/>
    <s v="20438563084"/>
    <s v="EDPYME ACCESO CREDITICIO SOCIEDAD ANONIMA"/>
    <s v="1201020001"/>
    <s v="PLANCHADO"/>
    <s v="000"/>
    <s v="001"/>
    <s v="CONTADO"/>
    <s v="001"/>
    <s v="PLANCHADO"/>
    <s v="S/."/>
    <n v="3.3260000000000001"/>
    <n v="1"/>
    <n v="770"/>
    <n v="770"/>
    <n v="138.59998000000007"/>
    <n v="908.59998000000007"/>
    <n v="77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1"/>
    <x v="251"/>
    <s v="BJS447"/>
    <d v="2020-01-03T00:00:00"/>
    <s v="20438563084"/>
    <s v="EDPYME ACCESO CREDITICIO SOCIEDAD ANONIMA"/>
    <s v="2908010001"/>
    <s v="TERCEROS"/>
    <s v="000"/>
    <s v="001"/>
    <s v="CONTADO"/>
    <s v="002"/>
    <s v="MANTENIMIENTO-MECANICA"/>
    <s v="S/."/>
    <n v="3.3260000000000001"/>
    <n v="1"/>
    <n v="90"/>
    <n v="90"/>
    <n v="16.2"/>
    <n v="106.2"/>
    <n v="9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1"/>
    <x v="251"/>
    <s v="BJS447"/>
    <d v="2020-01-03T00:00:00"/>
    <s v="20438563084"/>
    <s v="EDPYME ACCESO CREDITICIO SOCIEDAD ANONIMA"/>
    <s v="2805010001"/>
    <s v="SERVICIOS"/>
    <s v="000"/>
    <s v="001"/>
    <s v="CONTADO"/>
    <s v="002"/>
    <s v="MANTENIMIENTO-MECANICA"/>
    <s v="S/."/>
    <n v="3.3260000000000001"/>
    <n v="1"/>
    <n v="105"/>
    <n v="105"/>
    <n v="18.899999999999999"/>
    <n v="123.9"/>
    <n v="105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1"/>
    <x v="251"/>
    <s v="BJS447"/>
    <d v="2020-01-03T00:00:00"/>
    <s v="20438563084"/>
    <s v="EDPYME ACCESO CREDITICIO SOCIEDAD ANONIMA"/>
    <s v="320001"/>
    <s v="REPUESTOS"/>
    <s v="000"/>
    <s v="001"/>
    <s v="CONTADO"/>
    <s v="002"/>
    <s v="MANTENIMIENTO-MECANICA"/>
    <s v="S/."/>
    <n v="3.3260000000000001"/>
    <n v="1"/>
    <n v="287"/>
    <n v="287"/>
    <n v="51.66"/>
    <n v="338.66"/>
    <n v="287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2"/>
    <x v="252"/>
    <s v="BCI195"/>
    <d v="2020-01-04T00:00:00"/>
    <s v="20438563084"/>
    <s v="EDPYME ACCESO CREDITICIO SOCIEDAD ANONIMA"/>
    <s v="1302020001"/>
    <s v="PINTURA"/>
    <s v="000"/>
    <s v="001"/>
    <s v="CONTADO"/>
    <s v="009"/>
    <s v="PINTURA"/>
    <s v="S/."/>
    <n v="3.3260000000000001"/>
    <n v="1"/>
    <n v="2025"/>
    <n v="2025"/>
    <n v="364.5"/>
    <n v="2389.5"/>
    <n v="2025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2"/>
    <x v="252"/>
    <s v="BCI195"/>
    <d v="2020-01-04T00:00:00"/>
    <s v="20438563084"/>
    <s v="EDPYME ACCESO CREDITICIO SOCIEDAD ANONIMA"/>
    <s v="1201020001"/>
    <s v="PLANCHADO"/>
    <s v="000"/>
    <s v="001"/>
    <s v="CONTADO"/>
    <s v="001"/>
    <s v="PLANCHADO"/>
    <s v="S/."/>
    <n v="3.3260000000000001"/>
    <n v="1"/>
    <n v="1015"/>
    <n v="1015"/>
    <n v="182.7"/>
    <n v="1197.7"/>
    <n v="1015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2"/>
    <x v="252"/>
    <s v="BCI195"/>
    <d v="2020-01-04T00:00:00"/>
    <s v="20438563084"/>
    <s v="EDPYME ACCESO CREDITICIO SOCIEDAD ANONIMA"/>
    <s v="2908010001"/>
    <s v="TERCEROS"/>
    <s v="000"/>
    <s v="001"/>
    <s v="CONTADO"/>
    <s v="002"/>
    <s v="MANTENIMIENTO-MECANICA"/>
    <s v="S/."/>
    <n v="3.3260000000000001"/>
    <n v="1"/>
    <n v="340"/>
    <n v="340"/>
    <n v="61.200010000000113"/>
    <n v="401.20001000000013"/>
    <n v="340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2"/>
    <x v="252"/>
    <s v="BCI195"/>
    <d v="2020-01-04T00:00:00"/>
    <s v="20438563084"/>
    <s v="EDPYME ACCESO CREDITICIO SOCIEDAD ANONIMA"/>
    <s v="2805010001"/>
    <s v="SERVICIOS"/>
    <s v="000"/>
    <s v="001"/>
    <s v="CONTADO"/>
    <s v="002"/>
    <s v="MANTENIMIENTO-MECANICA"/>
    <s v="S/."/>
    <n v="3.3260000000000001"/>
    <n v="1"/>
    <n v="297.5"/>
    <n v="297.5"/>
    <n v="53.549990000000037"/>
    <n v="351.04999000000004"/>
    <n v="297.5"/>
    <m/>
    <m/>
    <m/>
    <m/>
    <m/>
    <m/>
    <m/>
    <m/>
    <m/>
    <m/>
    <m/>
    <m/>
    <m/>
    <m/>
    <m/>
    <m/>
    <m/>
    <m/>
    <m/>
    <m/>
    <m/>
    <m/>
    <m/>
    <m/>
  </r>
  <r>
    <x v="71"/>
    <s v="FAC"/>
    <s v="005"/>
    <s v="00000282"/>
    <x v="252"/>
    <s v="BCI195"/>
    <d v="2020-01-04T00:00:00"/>
    <s v="20438563084"/>
    <s v="EDPYME ACCESO CREDITICIO SOCIEDAD ANONIMA"/>
    <s v="320001"/>
    <s v="REPUESTOS"/>
    <s v="000"/>
    <s v="001"/>
    <s v="CONTADO"/>
    <s v="002"/>
    <s v="MANTENIMIENTO-MECANICA"/>
    <s v="S/."/>
    <n v="3.3260000000000001"/>
    <n v="1"/>
    <n v="1502"/>
    <n v="1502"/>
    <n v="270.36"/>
    <n v="1772.36"/>
    <n v="1502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3"/>
    <x v="253"/>
    <s v="D2X491"/>
    <d v="2019-12-06T00:00:00"/>
    <s v="20438563084"/>
    <s v="EDPYME ACCESO CREDITICIO SOCIEDAD ANONIMA"/>
    <s v="2805010001"/>
    <s v="SERVICIOS"/>
    <s v="000"/>
    <s v="001"/>
    <s v="CONTADO"/>
    <s v="002"/>
    <s v="MANTENIMIENTO-MECANICA"/>
    <s v="S/."/>
    <n v="3.3239999"/>
    <n v="1"/>
    <n v="35"/>
    <n v="35"/>
    <n v="6.299998999999989"/>
    <n v="41.299998999999985"/>
    <n v="35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3"/>
    <x v="253"/>
    <s v="D2X491"/>
    <d v="2019-12-06T00:00:00"/>
    <s v="20438563084"/>
    <s v="EDPYME ACCESO CREDITICIO SOCIEDAD ANONIMA"/>
    <s v="320001"/>
    <s v="REPUESTOS"/>
    <s v="000"/>
    <s v="001"/>
    <s v="CONTADO"/>
    <s v="002"/>
    <s v="MANTENIMIENTO-MECANICA"/>
    <s v="S/."/>
    <n v="3.3239999"/>
    <n v="1"/>
    <n v="810"/>
    <n v="810"/>
    <n v="145.79998999999995"/>
    <n v="955.79998999999998"/>
    <n v="81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4"/>
    <x v="254"/>
    <s v="D2X491"/>
    <d v="2019-10-28T00:00:00"/>
    <s v="20438563084"/>
    <s v="EDPYME ACCESO CREDITICIO SOCIEDAD ANONIMA"/>
    <s v="1302020001"/>
    <s v="PINTURA"/>
    <s v="000"/>
    <s v="001"/>
    <s v="CONTADO"/>
    <s v="009"/>
    <s v="PINTURA"/>
    <s v="S/."/>
    <n v="3.3239999"/>
    <n v="1"/>
    <n v="2362.5"/>
    <n v="2362.5"/>
    <n v="425.25"/>
    <n v="2787.75"/>
    <n v="2362.5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4"/>
    <x v="254"/>
    <s v="D2X491"/>
    <d v="2019-10-28T00:00:00"/>
    <s v="20438563084"/>
    <s v="EDPYME ACCESO CREDITICIO SOCIEDAD ANONIMA"/>
    <s v="1201020001"/>
    <s v="PLANCHADO"/>
    <s v="000"/>
    <s v="001"/>
    <s v="CONTADO"/>
    <s v="001"/>
    <s v="PLANCHADO"/>
    <s v="S/."/>
    <n v="3.3239999"/>
    <n v="1"/>
    <n v="1820"/>
    <n v="1820"/>
    <n v="327.60010000000011"/>
    <n v="2147.6001000000001"/>
    <n v="182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4"/>
    <x v="254"/>
    <s v="D2X491"/>
    <d v="2019-10-28T00:00:00"/>
    <s v="20438563084"/>
    <s v="EDPYME ACCESO CREDITICIO SOCIEDAD ANONIMA"/>
    <s v="2908010001"/>
    <s v="TERCEROS"/>
    <s v="000"/>
    <s v="001"/>
    <s v="CONTADO"/>
    <s v="002"/>
    <s v="MANTENIMIENTO-MECANICA"/>
    <s v="S/."/>
    <n v="3.3239999"/>
    <n v="1"/>
    <n v="530"/>
    <n v="530"/>
    <n v="95.400020000000083"/>
    <n v="625.40002000000004"/>
    <n v="53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4"/>
    <x v="254"/>
    <s v="D2X491"/>
    <d v="2019-10-28T00:00:00"/>
    <s v="20438563084"/>
    <s v="EDPYME ACCESO CREDITICIO SOCIEDAD ANONIMA"/>
    <s v="2908010002"/>
    <s v="AMPLIACION PRESUPUESTO"/>
    <s v="000"/>
    <s v="001"/>
    <s v="CONTADO"/>
    <s v="002"/>
    <s v="MANTENIMIENTO-MECANICA"/>
    <s v="S/."/>
    <n v="3.3239999"/>
    <n v="1"/>
    <n v="2550"/>
    <n v="2550"/>
    <n v="459"/>
    <n v="3009"/>
    <n v="255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4"/>
    <x v="254"/>
    <s v="D2X491"/>
    <d v="2019-10-28T00:00:00"/>
    <s v="20438563084"/>
    <s v="EDPYME ACCESO CREDITICIO SOCIEDAD ANONIMA"/>
    <s v="2805010001"/>
    <s v="SERVICIOS"/>
    <s v="000"/>
    <s v="001"/>
    <s v="CONTADO"/>
    <s v="002"/>
    <s v="MANTENIMIENTO-MECANICA"/>
    <s v="S/."/>
    <n v="3.3239999"/>
    <n v="1"/>
    <n v="673.75420999999972"/>
    <n v="673.75420999999972"/>
    <n v="121.27582000000038"/>
    <n v="795.03003000000012"/>
    <n v="673.75420999999972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4"/>
    <x v="254"/>
    <s v="D2X491"/>
    <d v="2019-10-28T00:00:00"/>
    <s v="20438563084"/>
    <s v="EDPYME ACCESO CREDITICIO SOCIEDAD ANONIMA"/>
    <s v="320001"/>
    <s v="REPUESTOS"/>
    <s v="000"/>
    <s v="001"/>
    <s v="CONTADO"/>
    <s v="002"/>
    <s v="MANTENIMIENTO-MECANICA"/>
    <s v="S/."/>
    <n v="3.3239999"/>
    <n v="1"/>
    <n v="3267"/>
    <n v="3267"/>
    <n v="588.06010000000015"/>
    <n v="3855.0601000000001"/>
    <n v="3267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5"/>
    <x v="255"/>
    <s v="D2X491"/>
    <d v="2019-12-18T00:00:00"/>
    <s v="20438563084"/>
    <s v="EDPYME ACCESO CREDITICIO SOCIEDAD ANONIMA"/>
    <s v="2908010001"/>
    <s v="TERCEROS"/>
    <s v="000"/>
    <s v="001"/>
    <s v="CONTADO"/>
    <s v="002"/>
    <s v="MANTENIMIENTO-MECANICA"/>
    <s v="S/."/>
    <n v="3.3239999"/>
    <n v="1"/>
    <n v="1350"/>
    <n v="1350"/>
    <n v="243"/>
    <n v="1593"/>
    <n v="135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5"/>
    <x v="255"/>
    <s v="D2X491"/>
    <d v="2019-12-18T00:00:00"/>
    <s v="20438563084"/>
    <s v="EDPYME ACCESO CREDITICIO SOCIEDAD ANONIMA"/>
    <s v="2805010001"/>
    <s v="SERVICIOS"/>
    <s v="000"/>
    <s v="001"/>
    <s v="CONTADO"/>
    <s v="002"/>
    <s v="MANTENIMIENTO-MECANICA"/>
    <s v="S/."/>
    <n v="3.3239999"/>
    <n v="1"/>
    <n v="1200"/>
    <n v="1200"/>
    <n v="216"/>
    <n v="1416"/>
    <n v="120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5"/>
    <x v="255"/>
    <s v="D2X491"/>
    <d v="2019-12-18T00:00:00"/>
    <s v="20438563084"/>
    <s v="EDPYME ACCESO CREDITICIO SOCIEDAD ANONIMA"/>
    <s v="320001"/>
    <s v="REPUESTOS"/>
    <s v="000"/>
    <s v="001"/>
    <s v="CONTADO"/>
    <s v="002"/>
    <s v="MANTENIMIENTO-MECANICA"/>
    <s v="S/."/>
    <n v="3.3239999"/>
    <n v="1"/>
    <n v="2350"/>
    <n v="2350"/>
    <n v="423"/>
    <n v="2773"/>
    <n v="235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6"/>
    <x v="256"/>
    <s v="AVP525"/>
    <d v="2019-12-03T00:00:00"/>
    <s v="20438563084"/>
    <s v="EDPYME ACCESO CREDITICIO SOCIEDAD ANONIMA"/>
    <s v="1302020001"/>
    <s v="PINTURA"/>
    <s v="000"/>
    <s v="001"/>
    <s v="CONTADO"/>
    <s v="009"/>
    <s v="PINTURA"/>
    <s v="S/."/>
    <n v="3.3239999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6"/>
    <x v="256"/>
    <s v="AVP525"/>
    <d v="2019-12-03T00:00:00"/>
    <s v="20438563084"/>
    <s v="EDPYME ACCESO CREDITICIO SOCIEDAD ANONIMA"/>
    <s v="1201020001"/>
    <s v="PLANCHADO"/>
    <s v="000"/>
    <s v="001"/>
    <s v="CONTADO"/>
    <s v="001"/>
    <s v="PLANCHADO"/>
    <s v="S/."/>
    <n v="3.3239999"/>
    <n v="1"/>
    <n v="1575"/>
    <n v="1575"/>
    <n v="283.5"/>
    <n v="1858.5"/>
    <n v="1575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6"/>
    <x v="256"/>
    <s v="AVP525"/>
    <d v="2019-12-03T00:00:00"/>
    <s v="20438563084"/>
    <s v="EDPYME ACCESO CREDITICIO SOCIEDAD ANONIMA"/>
    <s v="2908010001"/>
    <s v="TERCEROS"/>
    <s v="000"/>
    <s v="001"/>
    <s v="CONTADO"/>
    <s v="002"/>
    <s v="MANTENIMIENTO-MECANICA"/>
    <s v="S/."/>
    <n v="3.3239999"/>
    <n v="1"/>
    <n v="1325"/>
    <n v="1325"/>
    <n v="238.5"/>
    <n v="1563.5"/>
    <n v="1325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6"/>
    <x v="256"/>
    <s v="AVP525"/>
    <d v="2019-12-03T00:00:00"/>
    <s v="20438563084"/>
    <s v="EDPYME ACCESO CREDITICIO SOCIEDAD ANONIMA"/>
    <s v="2908010002"/>
    <s v="AMPLIACION PLANCHADO"/>
    <s v="000"/>
    <s v="001"/>
    <s v="CONTADO"/>
    <s v="002"/>
    <s v="MANTENIMIENTO-MECANICA"/>
    <s v="S/."/>
    <n v="3.3239999"/>
    <n v="1"/>
    <n v="945"/>
    <n v="945"/>
    <n v="170.09999999999985"/>
    <n v="1115.0999999999999"/>
    <n v="945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6"/>
    <x v="256"/>
    <s v="AVP525"/>
    <d v="2019-12-03T00:00:00"/>
    <s v="20438563084"/>
    <s v="EDPYME ACCESO CREDITICIO SOCIEDAD ANONIMA"/>
    <s v="2908010003"/>
    <s v="AMPLIACION REPUESTOS"/>
    <s v="000"/>
    <s v="001"/>
    <s v="CONTADO"/>
    <s v="002"/>
    <s v="MANTENIMIENTO-MECANICA"/>
    <s v="S/."/>
    <n v="3.3239999"/>
    <n v="1"/>
    <n v="3350"/>
    <n v="3350"/>
    <n v="603"/>
    <n v="3953"/>
    <n v="335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6"/>
    <x v="256"/>
    <s v="AVP525"/>
    <d v="2019-12-03T00:00:00"/>
    <s v="20438563084"/>
    <s v="EDPYME ACCESO CREDITICIO SOCIEDAD ANONIMA"/>
    <s v="2908010003"/>
    <s v="AMPLIACION REPUESTOS"/>
    <s v="000"/>
    <s v="001"/>
    <s v="CONTADO"/>
    <s v="002"/>
    <s v="MANTENIMIENTO-MECANICA"/>
    <s v="S/."/>
    <n v="3.3239999"/>
    <n v="1"/>
    <n v="312"/>
    <n v="312"/>
    <n v="56.16"/>
    <n v="368.16"/>
    <n v="312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6"/>
    <x v="256"/>
    <s v="AVP525"/>
    <d v="2019-12-03T00:00:00"/>
    <s v="20438563084"/>
    <s v="EDPYME ACCESO CREDITICIO SOCIEDAD ANONIMA"/>
    <s v="2805010001"/>
    <s v="SERVICIOS"/>
    <s v="000"/>
    <s v="001"/>
    <s v="CONTADO"/>
    <s v="002"/>
    <s v="MANTENIMIENTO-MECANICA"/>
    <s v="S/."/>
    <n v="3.3239999"/>
    <n v="1"/>
    <n v="1023.7541999999999"/>
    <n v="1023.7541999999999"/>
    <n v="184.27580000000017"/>
    <n v="1208.03"/>
    <n v="1023.7541999999999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6"/>
    <x v="256"/>
    <s v="AVP525"/>
    <d v="2019-12-03T00:00:00"/>
    <s v="20438563084"/>
    <s v="EDPYME ACCESO CREDITICIO SOCIEDAD ANONIMA"/>
    <s v="320001"/>
    <s v="REPUESTOS"/>
    <s v="000"/>
    <s v="001"/>
    <s v="CONTADO"/>
    <s v="002"/>
    <s v="MANTENIMIENTO-MECANICA"/>
    <s v="S/."/>
    <n v="3.3239999"/>
    <n v="1"/>
    <n v="3675"/>
    <n v="3675"/>
    <n v="661.5"/>
    <n v="4336.5"/>
    <n v="3675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7"/>
    <x v="257"/>
    <s v="AKY377"/>
    <d v="2019-10-16T00:00:00"/>
    <s v="20438563084"/>
    <s v="EDPYME ACCESO CREDITICIO SOCIEDAD ANONIMA"/>
    <s v="1302020001"/>
    <s v="PINTURA"/>
    <s v="000"/>
    <s v="001"/>
    <s v="CONTADO"/>
    <s v="009"/>
    <s v="PINTURA"/>
    <s v="S/."/>
    <n v="3.3239999"/>
    <n v="1"/>
    <n v="2430"/>
    <n v="2430"/>
    <n v="437.39989999999989"/>
    <n v="2867.3998999999999"/>
    <n v="243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7"/>
    <x v="257"/>
    <s v="AKY377"/>
    <d v="2019-10-16T00:00:00"/>
    <s v="20438563084"/>
    <s v="EDPYME ACCESO CREDITICIO SOCIEDAD ANONIMA"/>
    <s v="1201020001"/>
    <s v="PLANCHADO"/>
    <s v="000"/>
    <s v="001"/>
    <s v="CONTADO"/>
    <s v="001"/>
    <s v="PLANCHADO"/>
    <s v="S/."/>
    <n v="3.3239999"/>
    <n v="1"/>
    <n v="1400"/>
    <n v="1400"/>
    <n v="252"/>
    <n v="1652"/>
    <n v="140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7"/>
    <x v="257"/>
    <s v="AKY377"/>
    <d v="2019-10-16T00:00:00"/>
    <s v="20438563084"/>
    <s v="EDPYME ACCESO CREDITICIO SOCIEDAD ANONIMA"/>
    <s v="2908010001"/>
    <s v="TERCEROS"/>
    <s v="000"/>
    <s v="001"/>
    <s v="CONTADO"/>
    <s v="002"/>
    <s v="MANTENIMIENTO-MECANICA"/>
    <s v="S/."/>
    <n v="3.3239999"/>
    <n v="1"/>
    <n v="1310"/>
    <n v="1310"/>
    <n v="235.8"/>
    <n v="1545.8"/>
    <n v="131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7"/>
    <x v="257"/>
    <s v="AKY377"/>
    <d v="2019-10-16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239999"/>
    <n v="1"/>
    <n v="1759.7796999999998"/>
    <n v="1759.7796999999998"/>
    <n v="316.76030000000026"/>
    <n v="2076.54"/>
    <n v="1759.7796999999998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7"/>
    <x v="257"/>
    <s v="AKY377"/>
    <d v="2019-10-16T00:00:00"/>
    <s v="20438563084"/>
    <s v="EDPYME ACCESO CREDITICIO SOCIEDAD ANONIMA"/>
    <s v="2805010001"/>
    <s v="SERVICIOS"/>
    <s v="000"/>
    <s v="001"/>
    <s v="CONTADO"/>
    <s v="002"/>
    <s v="MANTENIMIENTO-MECANICA"/>
    <s v="S/."/>
    <n v="3.3239999"/>
    <n v="1"/>
    <n v="1280"/>
    <n v="1280"/>
    <n v="230.4"/>
    <n v="1510.4"/>
    <n v="128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7"/>
    <x v="257"/>
    <s v="AKY377"/>
    <d v="2019-10-16T00:00:00"/>
    <s v="20438563084"/>
    <s v="EDPYME ACCESO CREDITICIO SOCIEDAD ANONIMA"/>
    <s v="320001"/>
    <s v="REPUESTOS"/>
    <s v="000"/>
    <s v="001"/>
    <s v="CONTADO"/>
    <s v="002"/>
    <s v="MANTENIMIENTO-MECANICA"/>
    <s v="S/."/>
    <n v="3.3239999"/>
    <n v="1"/>
    <n v="6227"/>
    <n v="6227"/>
    <n v="1120.8599000000011"/>
    <n v="7347.8599000000013"/>
    <n v="6227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8"/>
    <x v="258"/>
    <s v="F9A025"/>
    <d v="2019-11-21T00:00:00"/>
    <s v="20438563084"/>
    <s v="EDPYME ACCESO CREDITICIO SOCIEDAD ANONIMA"/>
    <s v="1302020001"/>
    <s v="PINTURA"/>
    <s v="000"/>
    <s v="001"/>
    <s v="CONTADO"/>
    <s v="009"/>
    <s v="PINTURA"/>
    <s v="S/."/>
    <n v="3.3239999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8"/>
    <x v="258"/>
    <s v="F9A025"/>
    <d v="2019-11-21T00:00:00"/>
    <s v="20438563084"/>
    <s v="EDPYME ACCESO CREDITICIO SOCIEDAD ANONIMA"/>
    <s v="1201020001"/>
    <s v="PLANCHADO"/>
    <s v="000"/>
    <s v="001"/>
    <s v="CONTADO"/>
    <s v="001"/>
    <s v="PLANCHADO"/>
    <s v="S/."/>
    <n v="3.3239999"/>
    <n v="1"/>
    <n v="1820"/>
    <n v="1820"/>
    <n v="327.60010000000011"/>
    <n v="2147.6001000000001"/>
    <n v="182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8"/>
    <x v="258"/>
    <s v="F9A025"/>
    <d v="2019-11-21T00:00:00"/>
    <s v="20438563084"/>
    <s v="EDPYME ACCESO CREDITICIO SOCIEDAD ANONIMA"/>
    <s v="2908010001"/>
    <s v="TERCEROS"/>
    <s v="000"/>
    <s v="001"/>
    <s v="CONTADO"/>
    <s v="002"/>
    <s v="MANTENIMIENTO-MECANICA"/>
    <s v="S/."/>
    <n v="3.3239999"/>
    <n v="1"/>
    <n v="1185"/>
    <n v="1185"/>
    <n v="213.3"/>
    <n v="1398.3"/>
    <n v="1185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8"/>
    <x v="258"/>
    <s v="F9A025"/>
    <d v="2019-11-21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239999"/>
    <n v="1"/>
    <n v="2155"/>
    <n v="2155"/>
    <n v="387.89989999999989"/>
    <n v="2542.8998999999999"/>
    <n v="2155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8"/>
    <x v="258"/>
    <s v="F9A025"/>
    <d v="2019-11-21T00:00:00"/>
    <s v="20438563084"/>
    <s v="EDPYME ACCESO CREDITICIO SOCIEDAD ANONIMA"/>
    <s v="2805010001"/>
    <s v="SERVICIOS"/>
    <s v="000"/>
    <s v="001"/>
    <s v="CONTADO"/>
    <s v="002"/>
    <s v="MANTENIMIENTO-MECANICA"/>
    <s v="S/."/>
    <n v="3.3239999"/>
    <n v="1"/>
    <n v="743.75420999999972"/>
    <n v="743.75420999999972"/>
    <n v="133.87579000000028"/>
    <n v="877.63"/>
    <n v="743.75420999999972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8"/>
    <x v="258"/>
    <s v="F9A025"/>
    <d v="2019-11-21T00:00:00"/>
    <s v="20438563084"/>
    <s v="EDPYME ACCESO CREDITICIO SOCIEDAD ANONIMA"/>
    <s v="320001"/>
    <s v="REPUESTOS"/>
    <s v="000"/>
    <s v="001"/>
    <s v="CONTADO"/>
    <s v="002"/>
    <s v="MANTENIMIENTO-MECANICA"/>
    <s v="S/."/>
    <n v="3.3239999"/>
    <n v="1"/>
    <n v="3423"/>
    <n v="3423"/>
    <n v="616.1398999999999"/>
    <n v="4039.1399000000001"/>
    <n v="3423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9"/>
    <x v="259"/>
    <s v="C4S259"/>
    <d v="2020-01-16T00:00:00"/>
    <s v="20473938929"/>
    <s v="INDURA PERU S.A."/>
    <s v="2908010001"/>
    <s v="TERCEROS"/>
    <s v="000"/>
    <s v="005"/>
    <s v="FACTURA A 30 DIAS"/>
    <s v="002"/>
    <s v="MANTENIMIENTO-MECANICA"/>
    <s v="S/."/>
    <n v="3.3239999"/>
    <n v="1"/>
    <n v="250"/>
    <n v="250"/>
    <n v="45"/>
    <n v="295"/>
    <n v="25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9"/>
    <x v="259"/>
    <s v="C4S259"/>
    <d v="2020-01-16T00:00:00"/>
    <s v="20473938929"/>
    <s v="INDURA PERU S.A."/>
    <s v="2805010001"/>
    <s v="SERVICIOS"/>
    <s v="000"/>
    <s v="005"/>
    <s v="FACTURA A 30 DIAS"/>
    <s v="002"/>
    <s v="MANTENIMIENTO-MECANICA"/>
    <s v="S/."/>
    <n v="3.3239999"/>
    <n v="1"/>
    <n v="450"/>
    <n v="450"/>
    <n v="81"/>
    <n v="531"/>
    <n v="450"/>
    <m/>
    <m/>
    <m/>
    <m/>
    <m/>
    <m/>
    <m/>
    <m/>
    <m/>
    <m/>
    <m/>
    <m/>
    <m/>
    <m/>
    <m/>
    <m/>
    <m/>
    <m/>
    <m/>
    <m/>
    <m/>
    <m/>
    <m/>
    <m/>
  </r>
  <r>
    <x v="72"/>
    <s v="FAC"/>
    <s v="005"/>
    <s v="00000289"/>
    <x v="259"/>
    <s v="C4S259"/>
    <d v="2020-01-16T00:00:00"/>
    <s v="20473938929"/>
    <s v="INDURA PERU S.A."/>
    <s v="320001"/>
    <s v="REPUESTOS"/>
    <s v="000"/>
    <s v="005"/>
    <s v="FACTURA A 30 DIAS"/>
    <s v="002"/>
    <s v="MANTENIMIENTO-MECANICA"/>
    <s v="S/."/>
    <n v="3.3239999"/>
    <n v="1"/>
    <n v="2401"/>
    <n v="2401"/>
    <n v="432.17989999999992"/>
    <n v="2833.1799000000001"/>
    <n v="2401"/>
    <m/>
    <m/>
    <m/>
    <m/>
    <m/>
    <m/>
    <m/>
    <m/>
    <m/>
    <m/>
    <m/>
    <m/>
    <m/>
    <m/>
    <m/>
    <m/>
    <m/>
    <m/>
    <m/>
    <m/>
    <m/>
    <m/>
    <m/>
    <m/>
  </r>
  <r>
    <x v="73"/>
    <s v="FAC"/>
    <s v="005"/>
    <s v="00000290"/>
    <x v="260"/>
    <s v="AND446"/>
    <d v="2019-11-28T00:00:00"/>
    <s v="20509959766"/>
    <s v="RENTAEQUIPOS LEASING PERU S.A."/>
    <s v="310120"/>
    <s v="FRANQUICIA"/>
    <s v="000"/>
    <s v="001"/>
    <s v="CONTADO"/>
    <s v="002"/>
    <s v="MANTENIMIENTO-MECANICA"/>
    <s v="$"/>
    <n v="3.3239999"/>
    <n v="1"/>
    <n v="100"/>
    <n v="100"/>
    <n v="18"/>
    <n v="118"/>
    <n v="332.39999"/>
    <m/>
    <m/>
    <m/>
    <m/>
    <m/>
    <m/>
    <m/>
    <m/>
    <m/>
    <m/>
    <m/>
    <m/>
    <m/>
    <m/>
    <m/>
    <m/>
    <m/>
    <m/>
    <m/>
    <m/>
    <m/>
    <m/>
    <m/>
    <m/>
  </r>
  <r>
    <x v="73"/>
    <s v="FAC"/>
    <s v="005"/>
    <s v="00000291"/>
    <x v="260"/>
    <s v="AND446"/>
    <d v="2019-11-28T00:00:00"/>
    <s v="20100041953"/>
    <s v="RIMAC SEGUROS  Y REASEGUROS S.A"/>
    <s v="1302020001"/>
    <s v="PINTURA"/>
    <s v="000"/>
    <s v="001"/>
    <s v="CONTADO"/>
    <s v="009"/>
    <s v="PINTURA"/>
    <s v="$"/>
    <n v="3.3239999"/>
    <n v="1"/>
    <n v="59"/>
    <n v="59"/>
    <n v="10.620002999999997"/>
    <n v="69.620002999999997"/>
    <n v="196.11599409999999"/>
    <m/>
    <m/>
    <m/>
    <m/>
    <m/>
    <m/>
    <m/>
    <m/>
    <m/>
    <m/>
    <m/>
    <m/>
    <m/>
    <m/>
    <m/>
    <m/>
    <m/>
    <m/>
    <m/>
    <m/>
    <m/>
    <m/>
    <m/>
    <m/>
  </r>
  <r>
    <x v="73"/>
    <s v="FAC"/>
    <s v="005"/>
    <s v="00000291"/>
    <x v="260"/>
    <s v="AND446"/>
    <d v="2019-11-28T00:00:00"/>
    <s v="20100041953"/>
    <s v="RIMAC SEGUROS  Y REASEGUROS S.A"/>
    <s v="1201020001"/>
    <s v="PLANCHADO"/>
    <s v="000"/>
    <s v="001"/>
    <s v="CONTADO"/>
    <s v="001"/>
    <s v="PLANCHADO"/>
    <s v="$"/>
    <n v="3.3239999"/>
    <n v="1"/>
    <n v="30"/>
    <n v="30"/>
    <n v="5.4000019999999997"/>
    <n v="35.400002000000001"/>
    <n v="99.719997000000006"/>
    <m/>
    <m/>
    <m/>
    <m/>
    <m/>
    <m/>
    <m/>
    <m/>
    <m/>
    <m/>
    <m/>
    <m/>
    <m/>
    <m/>
    <m/>
    <m/>
    <m/>
    <m/>
    <m/>
    <m/>
    <m/>
    <m/>
    <m/>
    <m/>
  </r>
  <r>
    <x v="73"/>
    <s v="FAC"/>
    <s v="005"/>
    <s v="00000291"/>
    <x v="260"/>
    <s v="AND446"/>
    <d v="2019-11-28T00:00:00"/>
    <s v="20100041953"/>
    <s v="RIMAC SEGUROS  Y REASEGUROS S.A"/>
    <s v="2908010001"/>
    <s v="TERCEROS"/>
    <s v="000"/>
    <s v="001"/>
    <s v="CONTADO"/>
    <s v="002"/>
    <s v="MANTENIMIENTO-MECANICA"/>
    <s v="$"/>
    <n v="3.3239999"/>
    <n v="1"/>
    <n v="30"/>
    <n v="30"/>
    <n v="5.4000019999999997"/>
    <n v="35.400002000000001"/>
    <n v="99.719997000000006"/>
    <m/>
    <m/>
    <m/>
    <m/>
    <m/>
    <m/>
    <m/>
    <m/>
    <m/>
    <m/>
    <m/>
    <m/>
    <m/>
    <m/>
    <m/>
    <m/>
    <m/>
    <m/>
    <m/>
    <m/>
    <m/>
    <m/>
    <m/>
    <m/>
  </r>
  <r>
    <x v="73"/>
    <s v="FAC"/>
    <s v="005"/>
    <s v="00000291"/>
    <x v="260"/>
    <s v="AND446"/>
    <d v="2019-11-28T00:00:00"/>
    <s v="20100041953"/>
    <s v="RIMAC SEGUROS  Y REASEGUROS S.A"/>
    <s v="310120"/>
    <s v="FRANQUICIA"/>
    <s v="000"/>
    <s v="001"/>
    <s v="CONTADO"/>
    <s v="002"/>
    <s v="MANTENIMIENTO-MECANICA"/>
    <s v="$"/>
    <n v="3.3239999"/>
    <n v="-1"/>
    <n v="100"/>
    <n v="-100"/>
    <n v="-18"/>
    <n v="-118"/>
    <n v="-332.39999"/>
    <m/>
    <m/>
    <m/>
    <m/>
    <m/>
    <m/>
    <m/>
    <m/>
    <m/>
    <m/>
    <m/>
    <m/>
    <m/>
    <m/>
    <m/>
    <m/>
    <m/>
    <m/>
    <m/>
    <m/>
    <m/>
    <m/>
    <m/>
    <m/>
  </r>
  <r>
    <x v="73"/>
    <s v="FAC"/>
    <s v="005"/>
    <s v="00000291"/>
    <x v="260"/>
    <s v="AND446"/>
    <d v="2019-11-28T00:00:00"/>
    <s v="20100041953"/>
    <s v="RIMAC SEGUROS  Y REASEGUROS S.A"/>
    <s v="320001"/>
    <s v="REPUESTOS"/>
    <s v="000"/>
    <s v="001"/>
    <s v="CONTADO"/>
    <s v="002"/>
    <s v="MANTENIMIENTO-MECANICA"/>
    <s v="$"/>
    <n v="3.323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4"/>
    <s v="FAC"/>
    <s v="005"/>
    <s v="00000292"/>
    <x v="261"/>
    <s v="AVL461"/>
    <d v="2020-01-07T00:00:00"/>
    <s v="20100041953"/>
    <s v="RIMAC SEGUROS  Y REASEGUROS S.A"/>
    <s v="1302020001"/>
    <s v="PINTURA"/>
    <s v="000"/>
    <s v="001"/>
    <s v="CONTADO"/>
    <s v="009"/>
    <s v="PINTURA"/>
    <s v="$"/>
    <n v="3.323"/>
    <n v="1"/>
    <n v="88.5"/>
    <n v="88.5"/>
    <n v="15.93"/>
    <n v="104.43"/>
    <n v="294.08549999999997"/>
    <m/>
    <m/>
    <m/>
    <m/>
    <m/>
    <m/>
    <m/>
    <m/>
    <m/>
    <m/>
    <m/>
    <m/>
    <m/>
    <m/>
    <m/>
    <m/>
    <m/>
    <m/>
    <m/>
    <m/>
    <m/>
    <m/>
    <m/>
    <m/>
  </r>
  <r>
    <x v="74"/>
    <s v="FAC"/>
    <s v="005"/>
    <s v="00000292"/>
    <x v="261"/>
    <s v="AVL461"/>
    <d v="2020-01-07T00:00:00"/>
    <s v="20100041953"/>
    <s v="RIMAC SEGUROS  Y REASEGUROS S.A"/>
    <s v="1201020001"/>
    <s v="PLANCHADO"/>
    <s v="000"/>
    <s v="001"/>
    <s v="CONTADO"/>
    <s v="001"/>
    <s v="PLANCHADO"/>
    <s v="$"/>
    <n v="3.323"/>
    <n v="1"/>
    <n v="270"/>
    <n v="270"/>
    <n v="48.600010000000005"/>
    <n v="318.60001"/>
    <n v="897.21"/>
    <m/>
    <m/>
    <m/>
    <m/>
    <m/>
    <m/>
    <m/>
    <m/>
    <m/>
    <m/>
    <m/>
    <m/>
    <m/>
    <m/>
    <m/>
    <m/>
    <m/>
    <m/>
    <m/>
    <m/>
    <m/>
    <m/>
    <m/>
    <m/>
  </r>
  <r>
    <x v="74"/>
    <s v="FAC"/>
    <s v="005"/>
    <s v="00000292"/>
    <x v="261"/>
    <s v="AVL461"/>
    <d v="2020-01-07T00:00:00"/>
    <s v="20100041953"/>
    <s v="RIMAC SEGUROS  Y REASEGUROS S.A"/>
    <s v="310120"/>
    <s v="FRANQUICIA"/>
    <s v="000"/>
    <s v="001"/>
    <s v="CONTADO"/>
    <s v="002"/>
    <s v="MANTENIMIENTO-MECANICA"/>
    <s v="$"/>
    <n v="3.323"/>
    <n v="-1"/>
    <n v="100"/>
    <n v="-100"/>
    <n v="-18"/>
    <n v="-118"/>
    <n v="-332.3"/>
    <m/>
    <m/>
    <m/>
    <m/>
    <m/>
    <m/>
    <m/>
    <m/>
    <m/>
    <m/>
    <m/>
    <m/>
    <m/>
    <m/>
    <m/>
    <m/>
    <m/>
    <m/>
    <m/>
    <m/>
    <m/>
    <m/>
    <m/>
    <m/>
  </r>
  <r>
    <x v="74"/>
    <s v="FAC"/>
    <s v="005"/>
    <s v="00000292"/>
    <x v="261"/>
    <s v="AVL461"/>
    <d v="2020-01-07T00:00:00"/>
    <s v="20100041953"/>
    <s v="RIMAC SEGUROS  Y REASEGUROS S.A"/>
    <s v="320001"/>
    <s v="REPUESTOS"/>
    <s v="000"/>
    <s v="001"/>
    <s v="CONTADO"/>
    <s v="002"/>
    <s v="MANTENIMIENTO-MECANICA"/>
    <s v="$"/>
    <n v="3.323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5"/>
    <s v="FAC"/>
    <s v="005"/>
    <s v="00000293"/>
    <x v="262"/>
    <s v="D1M272"/>
    <d v="2020-01-14T00:00:00"/>
    <s v="20100041953"/>
    <s v="RIMAC SEGUROS  Y REASEGUROS S.A"/>
    <s v="1302020001"/>
    <s v="PINTURA"/>
    <s v="000"/>
    <s v="001"/>
    <s v="CONTADO"/>
    <s v="009"/>
    <s v="PINTURA"/>
    <s v="$"/>
    <n v="3.3199999000000004"/>
    <n v="1"/>
    <n v="147.5"/>
    <n v="147.5"/>
    <n v="26.55"/>
    <n v="174.05"/>
    <n v="489.69998525000005"/>
    <m/>
    <m/>
    <m/>
    <m/>
    <m/>
    <m/>
    <m/>
    <m/>
    <m/>
    <m/>
    <m/>
    <m/>
    <m/>
    <m/>
    <m/>
    <m/>
    <m/>
    <m/>
    <m/>
    <m/>
    <m/>
    <m/>
    <m/>
    <m/>
  </r>
  <r>
    <x v="75"/>
    <s v="FAC"/>
    <s v="005"/>
    <s v="00000293"/>
    <x v="262"/>
    <s v="D1M272"/>
    <d v="2020-01-14T00:00:00"/>
    <s v="20100041953"/>
    <s v="RIMAC SEGUROS  Y REASEGUROS S.A"/>
    <s v="1201020001"/>
    <s v="PLANCHADO"/>
    <s v="000"/>
    <s v="001"/>
    <s v="CONTADO"/>
    <s v="001"/>
    <s v="PLANCHADO"/>
    <s v="$"/>
    <n v="3.3199999000000004"/>
    <n v="1"/>
    <n v="90"/>
    <n v="90"/>
    <n v="16.2"/>
    <n v="106.2"/>
    <n v="298.79999100000003"/>
    <m/>
    <m/>
    <m/>
    <m/>
    <m/>
    <m/>
    <m/>
    <m/>
    <m/>
    <m/>
    <m/>
    <m/>
    <m/>
    <m/>
    <m/>
    <m/>
    <m/>
    <m/>
    <m/>
    <m/>
    <m/>
    <m/>
    <m/>
    <m/>
  </r>
  <r>
    <x v="75"/>
    <s v="FAC"/>
    <s v="005"/>
    <s v="00000293"/>
    <x v="262"/>
    <s v="D1M272"/>
    <d v="2020-01-14T00:00:00"/>
    <s v="20100041953"/>
    <s v="RIMAC SEGUROS  Y REASEGUROS S.A"/>
    <s v="2908010001"/>
    <s v="TERCEROS"/>
    <s v="000"/>
    <s v="001"/>
    <s v="CONTADO"/>
    <s v="002"/>
    <s v="MANTENIMIENTO-MECANICA"/>
    <s v="$"/>
    <n v="3.3199999000000004"/>
    <n v="1"/>
    <n v="30"/>
    <n v="30"/>
    <n v="5.4000019999999997"/>
    <n v="35.400002000000001"/>
    <n v="99.599997000000016"/>
    <m/>
    <m/>
    <m/>
    <m/>
    <m/>
    <m/>
    <m/>
    <m/>
    <m/>
    <m/>
    <m/>
    <m/>
    <m/>
    <m/>
    <m/>
    <m/>
    <m/>
    <m/>
    <m/>
    <m/>
    <m/>
    <m/>
    <m/>
    <m/>
  </r>
  <r>
    <x v="75"/>
    <s v="FAC"/>
    <s v="005"/>
    <s v="00000293"/>
    <x v="262"/>
    <s v="D1M272"/>
    <d v="2020-01-14T00:00:00"/>
    <s v="20100041953"/>
    <s v="RIMAC SEGUROS  Y REASEGUROS S.A"/>
    <s v="310120"/>
    <s v="FRANQUICIA"/>
    <s v="000"/>
    <s v="001"/>
    <s v="CONTADO"/>
    <s v="002"/>
    <s v="MANTENIMIENTO-MECANICA"/>
    <s v="$"/>
    <n v="3.3199999000000004"/>
    <n v="-1"/>
    <n v="100"/>
    <n v="-100"/>
    <n v="-18"/>
    <n v="-118"/>
    <n v="-331.99999000000003"/>
    <m/>
    <m/>
    <m/>
    <m/>
    <m/>
    <m/>
    <m/>
    <m/>
    <m/>
    <m/>
    <m/>
    <m/>
    <m/>
    <m/>
    <m/>
    <m/>
    <m/>
    <m/>
    <m/>
    <m/>
    <m/>
    <m/>
    <m/>
    <m/>
  </r>
  <r>
    <x v="75"/>
    <s v="FAC"/>
    <s v="005"/>
    <s v="00000293"/>
    <x v="262"/>
    <s v="D1M272"/>
    <d v="2020-01-14T00:00:00"/>
    <s v="20100041953"/>
    <s v="RIMAC SEGUROS  Y REASEGUROS S.A"/>
    <s v="320001"/>
    <s v="REPUESTOS"/>
    <s v="000"/>
    <s v="001"/>
    <s v="CONTADO"/>
    <s v="002"/>
    <s v="MANTENIMIENTO-MECANICA"/>
    <s v="$"/>
    <n v="3.3199999000000004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4"/>
    <x v="263"/>
    <s v="AJD170"/>
    <d v="2020-01-08T00:00:00"/>
    <s v="20100041953"/>
    <s v="RIMAC SEGUROS  Y REASEGUROS S.A"/>
    <s v="1302020001"/>
    <s v="PINTURA"/>
    <s v="000"/>
    <s v="001"/>
    <s v="CONTADO"/>
    <s v="009"/>
    <s v="PINTURA"/>
    <s v="$"/>
    <n v="3.3169999000000003"/>
    <n v="1"/>
    <n v="147.5"/>
    <n v="147.5"/>
    <n v="26.55"/>
    <n v="174.05"/>
    <n v="489.25748525000006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4"/>
    <x v="263"/>
    <s v="AJD170"/>
    <d v="2020-01-08T00:00:00"/>
    <s v="20100041953"/>
    <s v="RIMAC SEGUROS  Y REASEGUROS S.A"/>
    <s v="1201020001"/>
    <s v="PLANCHADO"/>
    <s v="000"/>
    <s v="001"/>
    <s v="CONTADO"/>
    <s v="001"/>
    <s v="PLANCHADO"/>
    <s v="$"/>
    <n v="3.3169999000000003"/>
    <n v="1"/>
    <n v="105"/>
    <n v="105"/>
    <n v="18.899999999999999"/>
    <n v="123.9"/>
    <n v="348.28498950000005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4"/>
    <x v="263"/>
    <s v="AJD170"/>
    <d v="2020-01-08T00:00:00"/>
    <s v="20100041953"/>
    <s v="RIMAC SEGUROS  Y REASEGUROS S.A"/>
    <s v="2908010001"/>
    <s v="TERCEROS"/>
    <s v="000"/>
    <s v="001"/>
    <s v="CONTADO"/>
    <s v="002"/>
    <s v="MANTENIMIENTO-MECANICA"/>
    <s v="$"/>
    <n v="3.3169999000000003"/>
    <n v="1"/>
    <n v="95"/>
    <n v="95"/>
    <n v="17.100000000000001"/>
    <n v="112.1"/>
    <n v="315.11499050000003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4"/>
    <x v="263"/>
    <s v="AJD170"/>
    <d v="2020-01-08T00:00:00"/>
    <s v="20100041953"/>
    <s v="RIMAC SEGUROS  Y REASEGUROS S.A"/>
    <s v="2805010001"/>
    <s v="SERVICIOS"/>
    <s v="000"/>
    <s v="001"/>
    <s v="CONTADO"/>
    <s v="002"/>
    <s v="MANTENIMIENTO-MECANICA"/>
    <s v="$"/>
    <n v="3.3169999000000003"/>
    <n v="1"/>
    <n v="30"/>
    <n v="30"/>
    <n v="5.4000019999999997"/>
    <n v="35.400002000000001"/>
    <n v="99.509997000000013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4"/>
    <x v="263"/>
    <s v="AJD170"/>
    <d v="2020-01-08T00:00:00"/>
    <s v="20100041953"/>
    <s v="RIMAC SEGUROS  Y REASEGUROS S.A"/>
    <s v="310120"/>
    <s v="FRANQUICIA"/>
    <s v="000"/>
    <s v="001"/>
    <s v="CONTADO"/>
    <s v="002"/>
    <s v="MANTENIMIENTO-MECANICA"/>
    <s v="$"/>
    <n v="3.3169999000000003"/>
    <n v="-1"/>
    <n v="315.43218999999999"/>
    <n v="-315.43218999999999"/>
    <n v="-56.777800000000063"/>
    <n v="-372.20999000000006"/>
    <n v="-1046.2885426867811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4"/>
    <x v="263"/>
    <s v="AJD170"/>
    <d v="2020-01-08T00:00:00"/>
    <s v="20100041953"/>
    <s v="RIMAC SEGUROS  Y REASEGUROS S.A"/>
    <s v="320001"/>
    <s v="REPUESTOS"/>
    <s v="000"/>
    <s v="001"/>
    <s v="CONTADO"/>
    <s v="002"/>
    <s v="MANTENIMIENTO-MECANICA"/>
    <s v="$"/>
    <n v="3.3169999000000003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5"/>
    <x v="264"/>
    <s v="ANE092"/>
    <d v="2020-01-13T00:00:00"/>
    <s v="20100041953"/>
    <s v="RIMAC SEGUROS  Y REASEGUROS S.A"/>
    <s v="1302020001"/>
    <s v="PINTURA"/>
    <s v="000"/>
    <s v="001"/>
    <s v="CONTADO"/>
    <s v="009"/>
    <s v="PINTURA"/>
    <s v="$"/>
    <n v="3.3169999000000003"/>
    <n v="1"/>
    <n v="280.25421"/>
    <n v="280.25420999999994"/>
    <n v="50.445800000000126"/>
    <n v="330.70001000000013"/>
    <n v="929.60318654457888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5"/>
    <x v="264"/>
    <s v="ANE092"/>
    <d v="2020-01-13T00:00:00"/>
    <s v="20100041953"/>
    <s v="RIMAC SEGUROS  Y REASEGUROS S.A"/>
    <s v="1201020001"/>
    <s v="PLANCHADO"/>
    <s v="000"/>
    <s v="001"/>
    <s v="CONTADO"/>
    <s v="001"/>
    <s v="PLANCHADO"/>
    <s v="$"/>
    <n v="3.3169999000000003"/>
    <n v="1"/>
    <n v="285"/>
    <n v="285"/>
    <n v="51.299990000000037"/>
    <n v="336.29999000000004"/>
    <n v="945.34497150000004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5"/>
    <x v="264"/>
    <s v="ANE092"/>
    <d v="2020-01-13T00:00:00"/>
    <s v="20100041953"/>
    <s v="RIMAC SEGUROS  Y REASEGUROS S.A"/>
    <s v="2908010001"/>
    <s v="TERCEROS"/>
    <s v="000"/>
    <s v="001"/>
    <s v="CONTADO"/>
    <s v="002"/>
    <s v="MANTENIMIENTO-MECANICA"/>
    <s v="$"/>
    <n v="3.3169999000000003"/>
    <n v="1"/>
    <n v="70"/>
    <n v="70"/>
    <n v="12.599997999999978"/>
    <n v="82.599997999999971"/>
    <n v="232.18999300000002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5"/>
    <x v="264"/>
    <s v="ANE092"/>
    <d v="2020-01-13T00:00:00"/>
    <s v="20100041953"/>
    <s v="RIMAC SEGUROS  Y REASEGUROS S.A"/>
    <s v="2805010001"/>
    <s v="SERVICIOS"/>
    <s v="000"/>
    <s v="001"/>
    <s v="CONTADO"/>
    <s v="002"/>
    <s v="MANTENIMIENTO-MECANICA"/>
    <s v="$"/>
    <n v="3.3169999000000003"/>
    <n v="1"/>
    <n v="30"/>
    <n v="30"/>
    <n v="5.4000019999999997"/>
    <n v="35.400002000000001"/>
    <n v="99.509997000000013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5"/>
    <x v="264"/>
    <s v="ANE092"/>
    <d v="2020-01-13T00:00:00"/>
    <s v="20100041953"/>
    <s v="RIMAC SEGUROS  Y REASEGUROS S.A"/>
    <s v="310120"/>
    <s v="FRANQUICIA"/>
    <s v="000"/>
    <s v="001"/>
    <s v="CONTADO"/>
    <s v="002"/>
    <s v="MANTENIMIENTO-MECANICA"/>
    <s v="$"/>
    <n v="3.3169999000000003"/>
    <n v="-1"/>
    <n v="156.3475"/>
    <n v="-156.3475"/>
    <n v="-28.142510000000001"/>
    <n v="-184.49001000000001"/>
    <n v="-518.60464186525007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5"/>
    <x v="264"/>
    <s v="ANE092"/>
    <d v="2020-01-13T00:00:00"/>
    <s v="20100041953"/>
    <s v="RIMAC SEGUROS  Y REASEGUROS S.A"/>
    <s v="320001"/>
    <s v="REPUESTOS"/>
    <s v="000"/>
    <s v="001"/>
    <s v="CONTADO"/>
    <s v="002"/>
    <s v="MANTENIMIENTO-MECANICA"/>
    <s v="$"/>
    <n v="3.3169999000000003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6"/>
    <x v="265"/>
    <s v="AUV610"/>
    <d v="2020-01-16T00:00:00"/>
    <s v="20509254711"/>
    <s v="FASHIONLIGHT SA"/>
    <s v="1302020001"/>
    <s v="PINTURA"/>
    <s v="000"/>
    <s v="001"/>
    <s v="CONTADO"/>
    <s v="009"/>
    <s v="PINTURA"/>
    <s v="$"/>
    <n v="3.3169999000000003"/>
    <n v="1"/>
    <n v="270"/>
    <n v="270"/>
    <n v="48.600010000000005"/>
    <n v="318.60001"/>
    <n v="895.5899730000001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6"/>
    <x v="265"/>
    <s v="AUV610"/>
    <d v="2020-01-16T00:00:00"/>
    <s v="20509254711"/>
    <s v="FASHIONLIGHT SA"/>
    <s v="1201020001"/>
    <s v="PLANCHADO"/>
    <s v="000"/>
    <s v="001"/>
    <s v="CONTADO"/>
    <s v="001"/>
    <s v="PLANCHADO"/>
    <s v="$"/>
    <n v="3.3169999000000003"/>
    <n v="1"/>
    <n v="105"/>
    <n v="105"/>
    <n v="18.899999999999999"/>
    <n v="123.9"/>
    <n v="348.28498950000005"/>
    <m/>
    <m/>
    <m/>
    <m/>
    <m/>
    <m/>
    <m/>
    <m/>
    <m/>
    <m/>
    <m/>
    <m/>
    <m/>
    <m/>
    <m/>
    <m/>
    <m/>
    <m/>
    <m/>
    <m/>
    <m/>
    <m/>
    <m/>
    <m/>
  </r>
  <r>
    <x v="76"/>
    <s v="FAC"/>
    <s v="005"/>
    <s v="00000296"/>
    <x v="265"/>
    <s v="AUV610"/>
    <d v="2020-01-16T00:00:00"/>
    <s v="20509254711"/>
    <s v="FASHIONLIGHT SA"/>
    <s v="2908010001"/>
    <s v="TERCEROS"/>
    <s v="000"/>
    <s v="001"/>
    <s v="CONTADO"/>
    <s v="002"/>
    <s v="MANTENIMIENTO-MECANICA"/>
    <s v="$"/>
    <n v="3.3169999000000003"/>
    <n v="1"/>
    <n v="48.728801999999995"/>
    <n v="48.728801999999995"/>
    <n v="8.7711980000000036"/>
    <n v="57.5"/>
    <n v="161.63343136111979"/>
    <m/>
    <m/>
    <m/>
    <m/>
    <m/>
    <m/>
    <m/>
    <m/>
    <m/>
    <m/>
    <m/>
    <m/>
    <m/>
    <m/>
    <m/>
    <m/>
    <m/>
    <m/>
    <m/>
    <m/>
    <m/>
    <m/>
    <m/>
    <m/>
  </r>
  <r>
    <x v="77"/>
    <s v="FAC"/>
    <s v="005"/>
    <s v="00000297"/>
    <x v="266"/>
    <s v="AXU177"/>
    <d v="2020-01-15T00:00:00"/>
    <s v="20100041953"/>
    <s v="RIMAC SEGUROS  Y REASEGUROS S.A"/>
    <s v="1302020001"/>
    <s v="PINTURA"/>
    <s v="000"/>
    <s v="001"/>
    <s v="CONTADO"/>
    <s v="009"/>
    <s v="PINTURA"/>
    <s v="$"/>
    <n v="3.3220000000000001"/>
    <n v="1"/>
    <n v="191.75419999999997"/>
    <n v="191.75419999999997"/>
    <n v="34.51580000000002"/>
    <n v="226.27"/>
    <n v="637.00745239999992"/>
    <m/>
    <m/>
    <m/>
    <m/>
    <m/>
    <m/>
    <m/>
    <m/>
    <m/>
    <m/>
    <m/>
    <m/>
    <m/>
    <m/>
    <m/>
    <m/>
    <m/>
    <m/>
    <m/>
    <m/>
    <m/>
    <m/>
    <m/>
    <m/>
  </r>
  <r>
    <x v="77"/>
    <s v="FAC"/>
    <s v="005"/>
    <s v="00000297"/>
    <x v="266"/>
    <s v="AXU177"/>
    <d v="2020-01-15T00:00:00"/>
    <s v="20100041953"/>
    <s v="RIMAC SEGUROS  Y REASEGUROS S.A"/>
    <s v="1201020001"/>
    <s v="PLANCHADO"/>
    <s v="000"/>
    <s v="001"/>
    <s v="CONTADO"/>
    <s v="001"/>
    <s v="PLANCHADO"/>
    <s v="$"/>
    <n v="3.3220000000000001"/>
    <n v="1"/>
    <n v="131.25419999999997"/>
    <n v="131.25419999999997"/>
    <n v="23.625800000000016"/>
    <n v="154.88"/>
    <n v="436.02645239999993"/>
    <m/>
    <m/>
    <m/>
    <m/>
    <m/>
    <m/>
    <m/>
    <m/>
    <m/>
    <m/>
    <m/>
    <m/>
    <m/>
    <m/>
    <m/>
    <m/>
    <m/>
    <m/>
    <m/>
    <m/>
    <m/>
    <m/>
    <m/>
    <m/>
  </r>
  <r>
    <x v="77"/>
    <s v="FAC"/>
    <s v="005"/>
    <s v="00000297"/>
    <x v="266"/>
    <s v="AXU177"/>
    <d v="2020-01-15T00:00:00"/>
    <s v="20100041953"/>
    <s v="RIMAC SEGUROS  Y REASEGUROS S.A"/>
    <s v="2908010001"/>
    <s v="TERCEROS"/>
    <s v="000"/>
    <s v="001"/>
    <s v="CONTADO"/>
    <s v="002"/>
    <s v="MANTENIMIENTO-MECANICA"/>
    <s v="$"/>
    <n v="3.3220000000000001"/>
    <n v="1"/>
    <n v="15"/>
    <n v="15"/>
    <n v="2.7000009999999999"/>
    <n v="17.700001"/>
    <n v="49.83"/>
    <m/>
    <m/>
    <m/>
    <m/>
    <m/>
    <m/>
    <m/>
    <m/>
    <m/>
    <m/>
    <m/>
    <m/>
    <m/>
    <m/>
    <m/>
    <m/>
    <m/>
    <m/>
    <m/>
    <m/>
    <m/>
    <m/>
    <m/>
    <m/>
  </r>
  <r>
    <x v="77"/>
    <s v="FAC"/>
    <s v="005"/>
    <s v="00000297"/>
    <x v="266"/>
    <s v="AXU177"/>
    <d v="2020-01-15T00:00:00"/>
    <s v="20100041953"/>
    <s v="RIMAC SEGUROS  Y REASEGUROS S.A"/>
    <s v="310120"/>
    <s v="FRANQUICIA"/>
    <s v="000"/>
    <s v="001"/>
    <s v="CONTADO"/>
    <s v="002"/>
    <s v="MANTENIMIENTO-MECANICA"/>
    <s v="$"/>
    <n v="3.3220000000000001"/>
    <n v="-1"/>
    <n v="100"/>
    <n v="-100"/>
    <n v="-18"/>
    <n v="-118"/>
    <n v="-332.2"/>
    <m/>
    <m/>
    <m/>
    <m/>
    <m/>
    <m/>
    <m/>
    <m/>
    <m/>
    <m/>
    <m/>
    <m/>
    <m/>
    <m/>
    <m/>
    <m/>
    <m/>
    <m/>
    <m/>
    <m/>
    <m/>
    <m/>
    <m/>
    <m/>
  </r>
  <r>
    <x v="77"/>
    <s v="FAC"/>
    <s v="005"/>
    <s v="00000297"/>
    <x v="266"/>
    <s v="AXU177"/>
    <d v="2020-01-15T00:00:00"/>
    <s v="20100041953"/>
    <s v="RIMAC SEGUROS  Y REASEGUROS S.A"/>
    <s v="320001"/>
    <s v="REPUESTOS"/>
    <s v="000"/>
    <s v="001"/>
    <s v="CONTADO"/>
    <s v="002"/>
    <s v="MANTENIMIENTO-MECANICA"/>
    <s v="$"/>
    <n v="3.322000000000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7"/>
    <s v="FAC"/>
    <s v="005"/>
    <s v="00000298"/>
    <x v="267"/>
    <s v="F6L635"/>
    <d v="2020-01-24T00:00:00"/>
    <s v="20473938929"/>
    <s v="INDURA PERU S.A."/>
    <s v="320001"/>
    <s v="REPUESTOS"/>
    <s v="000"/>
    <s v="005"/>
    <s v="FACTURA A 30 DIAS"/>
    <s v="002"/>
    <s v="MANTENIMIENTO-MECANICA"/>
    <s v="S/."/>
    <n v="3.3220000000000001"/>
    <n v="1"/>
    <n v="343.22030999999987"/>
    <n v="343.22030999999987"/>
    <n v="61.779690000000116"/>
    <n v="405"/>
    <n v="343.22030999999987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299"/>
    <x v="268"/>
    <s v="ASP160"/>
    <d v="2020-01-09T00:00:00"/>
    <s v="20100041953"/>
    <s v="RIMAC SEGUROS  Y REASEGUROS S.A"/>
    <s v="1302020001"/>
    <s v="PINTURA"/>
    <s v="000"/>
    <s v="001"/>
    <s v="CONTADO"/>
    <s v="009"/>
    <s v="PINTURA"/>
    <s v="$"/>
    <n v="3.3250000000000002"/>
    <n v="1"/>
    <n v="147.5"/>
    <n v="147.5"/>
    <n v="26.55"/>
    <n v="174.05"/>
    <n v="490.437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299"/>
    <x v="268"/>
    <s v="ASP160"/>
    <d v="2020-01-09T00:00:00"/>
    <s v="20100041953"/>
    <s v="RIMAC SEGUROS  Y REASEGUROS S.A"/>
    <s v="1201020001"/>
    <s v="PLANCHADO"/>
    <s v="000"/>
    <s v="001"/>
    <s v="CONTADO"/>
    <s v="001"/>
    <s v="PLANCHADO"/>
    <s v="$"/>
    <n v="3.3250000000000002"/>
    <n v="1"/>
    <n v="240"/>
    <n v="240"/>
    <n v="43.200010000000042"/>
    <n v="283.20001000000002"/>
    <n v="798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299"/>
    <x v="268"/>
    <s v="ASP160"/>
    <d v="2020-01-09T00:00:00"/>
    <s v="20100041953"/>
    <s v="RIMAC SEGUROS  Y REASEGUROS S.A"/>
    <s v="2908010001"/>
    <s v="TERCEROS"/>
    <s v="000"/>
    <s v="001"/>
    <s v="CONTADO"/>
    <s v="002"/>
    <s v="MANTENIMIENTO-MECANICA"/>
    <s v="$"/>
    <n v="3.3250000000000002"/>
    <n v="1"/>
    <n v="15"/>
    <n v="15"/>
    <n v="2.7000009999999999"/>
    <n v="17.700001"/>
    <n v="49.87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299"/>
    <x v="268"/>
    <s v="ASP160"/>
    <d v="2020-01-09T00:00:00"/>
    <s v="20100041953"/>
    <s v="RIMAC SEGUROS  Y REASEGUROS S.A"/>
    <s v="310120"/>
    <s v="FRANQUICIA"/>
    <s v="000"/>
    <s v="001"/>
    <s v="CONTADO"/>
    <s v="002"/>
    <s v="MANTENIMIENTO-MECANICA"/>
    <s v="$"/>
    <n v="3.3250000000000002"/>
    <n v="-1"/>
    <n v="200"/>
    <n v="-200"/>
    <n v="-36"/>
    <n v="-236"/>
    <n v="-66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299"/>
    <x v="268"/>
    <s v="ASP160"/>
    <d v="2020-01-09T00:00:00"/>
    <s v="20100041953"/>
    <s v="RIMAC SEGUROS  Y REASEGUROS S.A"/>
    <s v="320001"/>
    <s v="REPUESTOS"/>
    <s v="000"/>
    <s v="001"/>
    <s v="CONTADO"/>
    <s v="002"/>
    <s v="MANTENIMIENTO-MECANICA"/>
    <s v="$"/>
    <n v="3.3250000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0"/>
    <x v="269"/>
    <s v="BFR644"/>
    <d v="2019-12-26T00:00:00"/>
    <s v="20557435841"/>
    <s v="ESTRUCTURAS Y MONTAJE JC EIRL"/>
    <s v="310120"/>
    <s v="FRANQUICIA"/>
    <s v="000"/>
    <s v="001"/>
    <s v="CONTADO"/>
    <s v="002"/>
    <s v="MANTENIMIENTO-MECANICA"/>
    <s v="$"/>
    <n v="3.3250000000000002"/>
    <n v="1"/>
    <n v="473.15249999999997"/>
    <n v="473.15249999999997"/>
    <n v="85.167510000000107"/>
    <n v="558.32001000000014"/>
    <n v="1573.232062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1"/>
    <x v="270"/>
    <s v="BFR644"/>
    <d v="2020-01-20T00:00:00"/>
    <s v="20557435841"/>
    <s v="ESTRUCTURAS Y MONTAJE JC EIRL"/>
    <s v="320001"/>
    <s v="REPUESTOS"/>
    <s v="000"/>
    <s v="001"/>
    <s v="CONTADO"/>
    <s v="002"/>
    <s v="MANTENIMIENTO-MECANICA"/>
    <s v="S/."/>
    <n v="3.3250000000000002"/>
    <n v="1"/>
    <n v="46.610198999999994"/>
    <n v="46.610198999999994"/>
    <n v="8.3898010000000074"/>
    <n v="55"/>
    <n v="46.610198999999994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2"/>
    <x v="269"/>
    <s v="BFR644"/>
    <d v="2019-12-26T00:00:00"/>
    <s v="20100041953"/>
    <s v="RIMAC SEGUROS  Y REASEGUROS S.A"/>
    <s v="1302020001"/>
    <s v="PINTURA"/>
    <s v="000"/>
    <s v="001"/>
    <s v="CONTADO"/>
    <s v="009"/>
    <s v="PINTURA"/>
    <s v="$"/>
    <n v="3.3250000000000002"/>
    <n v="1"/>
    <n v="383.5"/>
    <n v="383.5"/>
    <n v="69.03"/>
    <n v="452.53"/>
    <n v="1275.137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2"/>
    <x v="269"/>
    <s v="BFR644"/>
    <d v="2019-12-26T00:00:00"/>
    <s v="20100041953"/>
    <s v="RIMAC SEGUROS  Y REASEGUROS S.A"/>
    <s v="1201020001"/>
    <s v="PLANCHADO"/>
    <s v="000"/>
    <s v="001"/>
    <s v="CONTADO"/>
    <s v="001"/>
    <s v="PLANCHADO"/>
    <s v="$"/>
    <n v="3.3250000000000002"/>
    <n v="1"/>
    <n v="630"/>
    <n v="630"/>
    <n v="113.40002000000023"/>
    <n v="743.40002000000027"/>
    <n v="2094.7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2"/>
    <x v="269"/>
    <s v="BFR644"/>
    <d v="2019-12-26T00:00:00"/>
    <s v="20100041953"/>
    <s v="RIMAC SEGUROS  Y REASEGUROS S.A"/>
    <s v="2908010001"/>
    <s v="TERCEROS"/>
    <s v="000"/>
    <s v="001"/>
    <s v="CONTADO"/>
    <s v="002"/>
    <s v="MANTENIMIENTO-MECANICA"/>
    <s v="$"/>
    <n v="3.3250000000000002"/>
    <n v="1"/>
    <n v="205"/>
    <n v="205"/>
    <n v="36.89998999999996"/>
    <n v="241.89998999999997"/>
    <n v="681.62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2"/>
    <x v="269"/>
    <s v="BFR644"/>
    <d v="2019-12-26T00:00:00"/>
    <s v="20100041953"/>
    <s v="RIMAC SEGUROS  Y REASEGUROS S.A"/>
    <s v="2908010002"/>
    <s v="CONTINUIDAD DE REPUESTOS NUEVO PRESUPUEST"/>
    <s v="000"/>
    <s v="001"/>
    <s v="CONTADO"/>
    <s v="002"/>
    <s v="MANTENIMIENTO-MECANICA"/>
    <s v="$"/>
    <n v="3.3250000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2"/>
    <x v="269"/>
    <s v="BFR644"/>
    <d v="2019-12-26T00:00:00"/>
    <s v="20100041953"/>
    <s v="RIMAC SEGUROS  Y REASEGUROS S.A"/>
    <s v="2805010001"/>
    <s v="SERVICIOS"/>
    <s v="000"/>
    <s v="001"/>
    <s v="CONTADO"/>
    <s v="002"/>
    <s v="MANTENIMIENTO-MECANICA"/>
    <s v="$"/>
    <n v="3.3250000000000002"/>
    <n v="1"/>
    <n v="45"/>
    <n v="45"/>
    <n v="8.0999980000000047"/>
    <n v="53.099998000000006"/>
    <n v="149.62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2"/>
    <x v="269"/>
    <s v="BFR644"/>
    <d v="2019-12-26T00:00:00"/>
    <s v="20100041953"/>
    <s v="RIMAC SEGUROS  Y REASEGUROS S.A"/>
    <s v="310120"/>
    <s v="FRANQUICIA"/>
    <s v="000"/>
    <s v="001"/>
    <s v="CONTADO"/>
    <s v="002"/>
    <s v="MANTENIMIENTO-MECANICA"/>
    <s v="$"/>
    <n v="3.3250000000000002"/>
    <n v="-1"/>
    <n v="473.15249999999997"/>
    <n v="-473.15249999999997"/>
    <n v="-85.167510000000107"/>
    <n v="-558.32001000000014"/>
    <n v="-1573.232062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2"/>
    <x v="269"/>
    <s v="BFR644"/>
    <d v="2019-12-26T00:00:00"/>
    <s v="20100041953"/>
    <s v="RIMAC SEGUROS  Y REASEGUROS S.A"/>
    <s v="320001"/>
    <s v="REPUESTOS"/>
    <s v="000"/>
    <s v="001"/>
    <s v="CONTADO"/>
    <s v="002"/>
    <s v="MANTENIMIENTO-MECANICA"/>
    <s v="$"/>
    <n v="3.3250000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3"/>
    <x v="271"/>
    <s v="AVK314"/>
    <d v="2020-01-09T00:00:00"/>
    <s v="20553455201"/>
    <s v="EXPORT &amp;IMPORT VANISTSAC"/>
    <s v="310120"/>
    <s v="FRANQUICIA"/>
    <s v="000"/>
    <s v="001"/>
    <s v="CONTADO"/>
    <s v="002"/>
    <s v="MANTENIMIENTO-MECANICA"/>
    <s v="$"/>
    <n v="3.3250000000000002"/>
    <n v="1"/>
    <n v="100"/>
    <n v="100"/>
    <n v="18"/>
    <n v="118"/>
    <n v="332.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4"/>
    <x v="272"/>
    <s v="AVK314"/>
    <d v="2020-01-20T00:00:00"/>
    <s v="20553455201"/>
    <s v="EXPORT &amp;IMPORT VANISTSAC"/>
    <s v="1302020001"/>
    <s v="PINTURA"/>
    <s v="000"/>
    <s v="001"/>
    <s v="CONTADO"/>
    <s v="009"/>
    <s v="PINTURA"/>
    <s v="$"/>
    <n v="3.3250000000000002"/>
    <n v="1"/>
    <n v="412.5"/>
    <n v="412.5"/>
    <n v="74.25"/>
    <n v="486.75"/>
    <n v="1371.562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4"/>
    <x v="272"/>
    <s v="AVK314"/>
    <d v="2020-01-20T00:00:00"/>
    <s v="20553455201"/>
    <s v="EXPORT &amp;IMPORT VANISTSAC"/>
    <s v="1201020001"/>
    <s v="PLANCHADO"/>
    <s v="000"/>
    <s v="001"/>
    <s v="CONTADO"/>
    <s v="001"/>
    <s v="PLANCHADO"/>
    <s v="$"/>
    <n v="3.3250000000000002"/>
    <n v="1"/>
    <n v="202.5"/>
    <n v="202.5"/>
    <n v="36.450000000000003"/>
    <n v="238.95"/>
    <n v="673.312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4"/>
    <x v="272"/>
    <s v="AVK314"/>
    <d v="2020-01-20T00:00:00"/>
    <s v="20553455201"/>
    <s v="EXPORT &amp;IMPORT VANISTSAC"/>
    <s v="2908010001"/>
    <s v="TERCEROS"/>
    <s v="000"/>
    <s v="001"/>
    <s v="CONTADO"/>
    <s v="002"/>
    <s v="MANTENIMIENTO-MECANICA"/>
    <s v="$"/>
    <n v="3.3250000000000002"/>
    <n v="1"/>
    <n v="60"/>
    <n v="60"/>
    <n v="10.800002999999997"/>
    <n v="70.800003000000004"/>
    <n v="199.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4"/>
    <x v="272"/>
    <s v="AVK314"/>
    <d v="2020-01-20T00:00:00"/>
    <s v="20553455201"/>
    <s v="EXPORT &amp;IMPORT VANISTSAC"/>
    <s v="310255"/>
    <s v="DESCUENTO"/>
    <s v="000"/>
    <s v="001"/>
    <s v="CONTADO"/>
    <s v="002"/>
    <s v="MANTENIMIENTO-MECANICA"/>
    <s v="$"/>
    <n v="3.3250000000000002"/>
    <n v="-1"/>
    <n v="81.771202000000002"/>
    <n v="-81.771202000000002"/>
    <n v="-14.718795999999974"/>
    <n v="-96.489997999999972"/>
    <n v="-271.88924665000002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5"/>
    <x v="271"/>
    <s v="AVK314"/>
    <d v="2020-01-09T00:00:00"/>
    <s v="20100041953"/>
    <s v="RIMAC SEGUROS  Y REASEGUROS S.A"/>
    <s v="1302020001"/>
    <s v="PINTURA"/>
    <s v="000"/>
    <s v="001"/>
    <s v="CONTADO"/>
    <s v="009"/>
    <s v="PINTURA"/>
    <s v="$"/>
    <n v="3.3250000000000002"/>
    <n v="1"/>
    <n v="147.5"/>
    <n v="147.5"/>
    <n v="26.55"/>
    <n v="174.05"/>
    <n v="490.437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5"/>
    <x v="271"/>
    <s v="AVK314"/>
    <d v="2020-01-09T00:00:00"/>
    <s v="20100041953"/>
    <s v="RIMAC SEGUROS  Y REASEGUROS S.A"/>
    <s v="1201020001"/>
    <s v="PLANCHADO"/>
    <s v="000"/>
    <s v="001"/>
    <s v="CONTADO"/>
    <s v="001"/>
    <s v="PLANCHADO"/>
    <s v="$"/>
    <n v="3.3250000000000002"/>
    <n v="1"/>
    <n v="165"/>
    <n v="165"/>
    <n v="29.7"/>
    <n v="194.7"/>
    <n v="548.62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5"/>
    <x v="271"/>
    <s v="AVK314"/>
    <d v="2020-01-09T00:00:00"/>
    <s v="20100041953"/>
    <s v="RIMAC SEGUROS  Y REASEGUROS S.A"/>
    <s v="2908010001"/>
    <s v="TERCEROS"/>
    <s v="000"/>
    <s v="001"/>
    <s v="CONTADO"/>
    <s v="002"/>
    <s v="MANTENIMIENTO-MECANICA"/>
    <s v="$"/>
    <n v="3.3250000000000002"/>
    <n v="1"/>
    <n v="15"/>
    <n v="15"/>
    <n v="2.7000009999999999"/>
    <n v="17.700001"/>
    <n v="49.87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5"/>
    <x v="271"/>
    <s v="AVK314"/>
    <d v="2020-01-09T00:00:00"/>
    <s v="20100041953"/>
    <s v="RIMAC SEGUROS  Y REASEGUROS S.A"/>
    <s v="310120"/>
    <s v="FRANQUICIA"/>
    <s v="000"/>
    <s v="001"/>
    <s v="CONTADO"/>
    <s v="002"/>
    <s v="MANTENIMIENTO-MECANICA"/>
    <s v="$"/>
    <n v="3.3250000000000002"/>
    <n v="-1"/>
    <n v="100"/>
    <n v="-100"/>
    <n v="-18"/>
    <n v="-118"/>
    <n v="-332.5"/>
    <m/>
    <m/>
    <m/>
    <m/>
    <m/>
    <m/>
    <m/>
    <m/>
    <m/>
    <m/>
    <m/>
    <m/>
    <m/>
    <m/>
    <m/>
    <m/>
    <m/>
    <m/>
    <m/>
    <m/>
    <m/>
    <m/>
    <m/>
    <m/>
  </r>
  <r>
    <x v="78"/>
    <s v="FAC"/>
    <s v="005"/>
    <s v="00000305"/>
    <x v="271"/>
    <s v="AVK314"/>
    <d v="2020-01-09T00:00:00"/>
    <s v="20100041953"/>
    <s v="RIMAC SEGUROS  Y REASEGUROS S.A"/>
    <s v="320001"/>
    <s v="REPUESTOS"/>
    <s v="000"/>
    <s v="001"/>
    <s v="CONTADO"/>
    <s v="002"/>
    <s v="MANTENIMIENTO-MECANICA"/>
    <s v="$"/>
    <n v="3.3250000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9"/>
    <s v="FAC"/>
    <s v="005"/>
    <s v="00000306"/>
    <x v="273"/>
    <s v="AYD066"/>
    <d v="2020-01-20T00:00:00"/>
    <s v="20100041953"/>
    <s v="RIMAC SEGUROS  Y REASEGUROS S.A"/>
    <s v="1302020001"/>
    <s v="PINTURA"/>
    <s v="000"/>
    <s v="001"/>
    <s v="CONTADO"/>
    <s v="009"/>
    <s v="PINTURA"/>
    <s v="$"/>
    <n v="3.339"/>
    <n v="1"/>
    <n v="147.5"/>
    <n v="147.5"/>
    <n v="26.55"/>
    <n v="174.05"/>
    <n v="492.5025"/>
    <m/>
    <m/>
    <m/>
    <m/>
    <m/>
    <m/>
    <m/>
    <m/>
    <m/>
    <m/>
    <m/>
    <m/>
    <m/>
    <m/>
    <m/>
    <m/>
    <m/>
    <m/>
    <m/>
    <m/>
    <m/>
    <m/>
    <m/>
    <m/>
  </r>
  <r>
    <x v="79"/>
    <s v="FAC"/>
    <s v="005"/>
    <s v="00000306"/>
    <x v="273"/>
    <s v="AYD066"/>
    <d v="2020-01-20T00:00:00"/>
    <s v="20100041953"/>
    <s v="RIMAC SEGUROS  Y REASEGUROS S.A"/>
    <s v="1201020001"/>
    <s v="PLANCHADO"/>
    <s v="000"/>
    <s v="001"/>
    <s v="CONTADO"/>
    <s v="001"/>
    <s v="PLANCHADO"/>
    <s v="$"/>
    <n v="3.339"/>
    <n v="1"/>
    <n v="90"/>
    <n v="90"/>
    <n v="16.2"/>
    <n v="106.2"/>
    <n v="300.51"/>
    <m/>
    <m/>
    <m/>
    <m/>
    <m/>
    <m/>
    <m/>
    <m/>
    <m/>
    <m/>
    <m/>
    <m/>
    <m/>
    <m/>
    <m/>
    <m/>
    <m/>
    <m/>
    <m/>
    <m/>
    <m/>
    <m/>
    <m/>
    <m/>
  </r>
  <r>
    <x v="79"/>
    <s v="FAC"/>
    <s v="005"/>
    <s v="00000306"/>
    <x v="273"/>
    <s v="AYD066"/>
    <d v="2020-01-20T00:00:00"/>
    <s v="20100041953"/>
    <s v="RIMAC SEGUROS  Y REASEGUROS S.A"/>
    <s v="2908010001"/>
    <s v="TERCEROS"/>
    <s v="000"/>
    <s v="001"/>
    <s v="CONTADO"/>
    <s v="002"/>
    <s v="MANTENIMIENTO-MECANICA"/>
    <s v="$"/>
    <n v="3.339"/>
    <n v="1"/>
    <n v="45"/>
    <n v="45"/>
    <n v="8.0999980000000047"/>
    <n v="53.099998000000006"/>
    <n v="150.255"/>
    <m/>
    <m/>
    <m/>
    <m/>
    <m/>
    <m/>
    <m/>
    <m/>
    <m/>
    <m/>
    <m/>
    <m/>
    <m/>
    <m/>
    <m/>
    <m/>
    <m/>
    <m/>
    <m/>
    <m/>
    <m/>
    <m/>
    <m/>
    <m/>
  </r>
  <r>
    <x v="79"/>
    <s v="FAC"/>
    <s v="005"/>
    <s v="00000306"/>
    <x v="273"/>
    <s v="AYD066"/>
    <d v="2020-01-20T00:00:00"/>
    <s v="20100041953"/>
    <s v="RIMAC SEGUROS  Y REASEGUROS S.A"/>
    <s v="310120"/>
    <s v="FRANQUICIA"/>
    <s v="000"/>
    <s v="001"/>
    <s v="CONTADO"/>
    <s v="002"/>
    <s v="MANTENIMIENTO-MECANICA"/>
    <s v="$"/>
    <n v="3.339"/>
    <n v="-1"/>
    <n v="100"/>
    <n v="-100"/>
    <n v="-18"/>
    <n v="-118"/>
    <n v="-333.9"/>
    <m/>
    <m/>
    <m/>
    <m/>
    <m/>
    <m/>
    <m/>
    <m/>
    <m/>
    <m/>
    <m/>
    <m/>
    <m/>
    <m/>
    <m/>
    <m/>
    <m/>
    <m/>
    <m/>
    <m/>
    <m/>
    <m/>
    <m/>
    <m/>
  </r>
  <r>
    <x v="79"/>
    <s v="FAC"/>
    <s v="005"/>
    <s v="00000306"/>
    <x v="273"/>
    <s v="AYD066"/>
    <d v="2020-01-20T00:00:00"/>
    <s v="20100041953"/>
    <s v="RIMAC SEGUROS  Y REASEGUROS S.A"/>
    <s v="320001"/>
    <s v="REPUESTOS"/>
    <s v="000"/>
    <s v="001"/>
    <s v="CONTADO"/>
    <s v="002"/>
    <s v="MANTENIMIENTO-MECANICA"/>
    <s v="$"/>
    <n v="3.33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7"/>
    <x v="274"/>
    <s v="AZN215"/>
    <d v="2020-01-04T00:00:00"/>
    <s v="20438563084"/>
    <s v="EDPYME ACCESO CREDITICIO SOCIEDAD ANONIMA"/>
    <s v="1302020001"/>
    <s v="PINTURA"/>
    <s v="000"/>
    <s v="001"/>
    <s v="CONTADO"/>
    <s v="009"/>
    <s v="PINTURA"/>
    <s v="S/."/>
    <n v="3.335"/>
    <n v="1"/>
    <n v="2362.5"/>
    <n v="2362.5"/>
    <n v="425.25"/>
    <n v="2787.75"/>
    <n v="2362.5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7"/>
    <x v="274"/>
    <s v="AZN215"/>
    <d v="2020-01-04T00:00:00"/>
    <s v="20438563084"/>
    <s v="EDPYME ACCESO CREDITICIO SOCIEDAD ANONIMA"/>
    <s v="1201020001"/>
    <s v="PLANCHADO"/>
    <s v="000"/>
    <s v="001"/>
    <s v="CONTADO"/>
    <s v="001"/>
    <s v="PLANCHADO"/>
    <s v="S/."/>
    <n v="3.335"/>
    <n v="1"/>
    <n v="1470"/>
    <n v="1470"/>
    <n v="264.60000000000002"/>
    <n v="1734.6"/>
    <n v="1470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7"/>
    <x v="274"/>
    <s v="AZN215"/>
    <d v="2020-01-04T00:00:00"/>
    <s v="20438563084"/>
    <s v="EDPYME ACCESO CREDITICIO SOCIEDAD ANONIMA"/>
    <s v="2908010001"/>
    <s v="TERCEROS"/>
    <s v="000"/>
    <s v="001"/>
    <s v="CONTADO"/>
    <s v="002"/>
    <s v="MANTENIMIENTO-MECANICA"/>
    <s v="S/."/>
    <n v="3.335"/>
    <n v="1"/>
    <n v="715"/>
    <n v="715"/>
    <n v="128.70000999999991"/>
    <n v="843.70000999999991"/>
    <n v="715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7"/>
    <x v="274"/>
    <s v="AZN215"/>
    <d v="2020-01-04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35"/>
    <n v="1"/>
    <n v="2098"/>
    <n v="2098"/>
    <n v="377.6398999999999"/>
    <n v="2475.6399000000001"/>
    <n v="2098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7"/>
    <x v="274"/>
    <s v="AZN215"/>
    <d v="2020-01-04T00:00:00"/>
    <s v="20438563084"/>
    <s v="EDPYME ACCESO CREDITICIO SOCIEDAD ANONIMA"/>
    <s v="2908010003"/>
    <s v="AMPLIACION REPUESTO"/>
    <s v="000"/>
    <s v="001"/>
    <s v="CONTADO"/>
    <s v="002"/>
    <s v="MANTENIMIENTO-MECANICA"/>
    <s v="S/."/>
    <n v="3.335"/>
    <n v="1"/>
    <n v="350"/>
    <n v="350"/>
    <n v="63"/>
    <n v="413"/>
    <n v="350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7"/>
    <x v="274"/>
    <s v="AZN215"/>
    <d v="2020-01-04T00:00:00"/>
    <s v="20438563084"/>
    <s v="EDPYME ACCESO CREDITICIO SOCIEDAD ANONIMA"/>
    <s v="2805010001"/>
    <s v="SERVICIOS"/>
    <s v="000"/>
    <s v="001"/>
    <s v="CONTADO"/>
    <s v="002"/>
    <s v="MANTENIMIENTO-MECANICA"/>
    <s v="S/."/>
    <n v="3.335"/>
    <n v="1"/>
    <n v="910"/>
    <n v="910"/>
    <n v="163.80000000000001"/>
    <n v="1073.8"/>
    <n v="910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7"/>
    <x v="274"/>
    <s v="AZN215"/>
    <d v="2020-01-04T00:00:00"/>
    <s v="20438563084"/>
    <s v="EDPYME ACCESO CREDITICIO SOCIEDAD ANONIMA"/>
    <s v="320001"/>
    <s v="REPUESTOS"/>
    <s v="000"/>
    <s v="001"/>
    <s v="CONTADO"/>
    <s v="002"/>
    <s v="MANTENIMIENTO-MECANICA"/>
    <s v="S/."/>
    <n v="3.335"/>
    <n v="1"/>
    <n v="2776"/>
    <n v="2776"/>
    <n v="499.67989999999992"/>
    <n v="3275.6799000000001"/>
    <n v="2776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8"/>
    <x v="275"/>
    <s v="D1Q268"/>
    <d v="2019-12-03T00:00:00"/>
    <s v="20438563084"/>
    <s v="EDPYME ACCESO CREDITICIO SOCIEDAD ANONIMA"/>
    <s v="1302020001"/>
    <s v="PINTURA"/>
    <s v="000"/>
    <s v="001"/>
    <s v="CONTADO"/>
    <s v="009"/>
    <s v="PINTURA"/>
    <s v="S/."/>
    <n v="3.335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8"/>
    <x v="275"/>
    <s v="D1Q268"/>
    <d v="2019-12-03T00:00:00"/>
    <s v="20438563084"/>
    <s v="EDPYME ACCESO CREDITICIO SOCIEDAD ANONIMA"/>
    <s v="1201020001"/>
    <s v="PLANCHADO"/>
    <s v="000"/>
    <s v="001"/>
    <s v="CONTADO"/>
    <s v="001"/>
    <s v="PLANCHADO"/>
    <s v="S/."/>
    <n v="3.335"/>
    <n v="1"/>
    <n v="1715"/>
    <n v="1715"/>
    <n v="308.7"/>
    <n v="2023.7"/>
    <n v="1715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8"/>
    <x v="275"/>
    <s v="D1Q268"/>
    <d v="2019-12-03T00:00:00"/>
    <s v="20438563084"/>
    <s v="EDPYME ACCESO CREDITICIO SOCIEDAD ANONIMA"/>
    <s v="2908010001"/>
    <s v="TERCEROS"/>
    <s v="000"/>
    <s v="001"/>
    <s v="CONTADO"/>
    <s v="002"/>
    <s v="MANTENIMIENTO-MECANICA"/>
    <s v="S/."/>
    <n v="3.335"/>
    <n v="1"/>
    <n v="980"/>
    <n v="980"/>
    <n v="176.4"/>
    <n v="1156.4000000000001"/>
    <n v="980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8"/>
    <x v="275"/>
    <s v="D1Q268"/>
    <d v="2019-12-03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35"/>
    <n v="1"/>
    <n v="2784"/>
    <n v="2784"/>
    <n v="501.12010000000009"/>
    <n v="3285.1201000000001"/>
    <n v="2784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8"/>
    <x v="275"/>
    <s v="D1Q268"/>
    <d v="2019-12-03T00:00:00"/>
    <s v="20438563084"/>
    <s v="EDPYME ACCESO CREDITICIO SOCIEDAD ANONIMA"/>
    <s v="2908010002"/>
    <s v="AMPLIACION MECANICA"/>
    <s v="000"/>
    <s v="001"/>
    <s v="CONTADO"/>
    <s v="002"/>
    <s v="MANTENIMIENTO-MECANICA"/>
    <s v="S/."/>
    <n v="3.335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8"/>
    <x v="275"/>
    <s v="D1Q268"/>
    <d v="2019-12-03T00:00:00"/>
    <s v="20438563084"/>
    <s v="EDPYME ACCESO CREDITICIO SOCIEDAD ANONIMA"/>
    <s v="2805010001"/>
    <s v="SERVICIOS"/>
    <s v="000"/>
    <s v="001"/>
    <s v="CONTADO"/>
    <s v="002"/>
    <s v="MANTENIMIENTO-MECANICA"/>
    <s v="S/."/>
    <n v="3.335"/>
    <n v="1"/>
    <n v="918.75420999999972"/>
    <n v="918.75420999999972"/>
    <n v="165.37579000000028"/>
    <n v="1084.1300000000001"/>
    <n v="918.75420999999972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8"/>
    <x v="275"/>
    <s v="D1Q268"/>
    <d v="2019-12-03T00:00:00"/>
    <s v="20438563084"/>
    <s v="EDPYME ACCESO CREDITICIO SOCIEDAD ANONIMA"/>
    <s v="320001"/>
    <s v="REPUESTOS"/>
    <s v="000"/>
    <s v="001"/>
    <s v="CONTADO"/>
    <s v="002"/>
    <s v="MANTENIMIENTO-MECANICA"/>
    <s v="S/."/>
    <n v="3.335"/>
    <n v="1"/>
    <n v="3348"/>
    <n v="3348"/>
    <n v="602.6398999999999"/>
    <n v="3950.6399000000001"/>
    <n v="3348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09"/>
    <x v="276"/>
    <s v="F7Y120"/>
    <d v="2019-12-19T00:00:00"/>
    <s v="20438563084"/>
    <s v="EDPYME ACCESO CREDITICIO SOCIEDAD ANONIMA"/>
    <s v="320001"/>
    <s v="REPUESTOS"/>
    <s v="000"/>
    <s v="001"/>
    <s v="CONTADO"/>
    <s v="002"/>
    <s v="MANTENIMIENTO-MECANICA"/>
    <s v="S/."/>
    <n v="3.335"/>
    <n v="1"/>
    <n v="933"/>
    <n v="933"/>
    <n v="167.93989999999991"/>
    <n v="1100.9398999999999"/>
    <n v="933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10"/>
    <x v="277"/>
    <s v="F7Y120"/>
    <d v="2019-11-22T00:00:00"/>
    <s v="20438563084"/>
    <s v="EDPYME ACCESO CREDITICIO SOCIEDAD ANONIMA"/>
    <s v="1302020001"/>
    <s v="PINTURA"/>
    <s v="000"/>
    <s v="001"/>
    <s v="CONTADO"/>
    <s v="009"/>
    <s v="PINTURA"/>
    <s v="S/."/>
    <n v="3.335"/>
    <n v="1"/>
    <n v="2700"/>
    <n v="2700"/>
    <n v="486"/>
    <n v="3186"/>
    <n v="2700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10"/>
    <x v="277"/>
    <s v="F7Y120"/>
    <d v="2019-11-22T00:00:00"/>
    <s v="20438563084"/>
    <s v="EDPYME ACCESO CREDITICIO SOCIEDAD ANONIMA"/>
    <s v="1201020001"/>
    <s v="PLANCHADO"/>
    <s v="000"/>
    <s v="001"/>
    <s v="CONTADO"/>
    <s v="001"/>
    <s v="PLANCHADO"/>
    <s v="S/."/>
    <n v="3.335"/>
    <n v="1"/>
    <n v="1785"/>
    <n v="1785"/>
    <n v="321.3"/>
    <n v="2106.3000000000002"/>
    <n v="1785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10"/>
    <x v="277"/>
    <s v="F7Y120"/>
    <d v="2019-11-22T00:00:00"/>
    <s v="20438563084"/>
    <s v="EDPYME ACCESO CREDITICIO SOCIEDAD ANONIMA"/>
    <s v="2908010001"/>
    <s v="TERCEROS"/>
    <s v="000"/>
    <s v="001"/>
    <s v="CONTADO"/>
    <s v="002"/>
    <s v="MANTENIMIENTO-MECANICA"/>
    <s v="S/."/>
    <n v="3.335"/>
    <n v="1"/>
    <n v="1380"/>
    <n v="1380"/>
    <n v="248.4"/>
    <n v="1628.4"/>
    <n v="1380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10"/>
    <x v="277"/>
    <s v="F7Y120"/>
    <d v="2019-11-22T00:00:00"/>
    <s v="20438563084"/>
    <s v="EDPYME ACCESO CREDITICIO SOCIEDAD ANONIMA"/>
    <s v="2908010002"/>
    <s v="AMPLIACION MECANICA"/>
    <s v="000"/>
    <s v="001"/>
    <s v="CONTADO"/>
    <s v="002"/>
    <s v="MANTENIMIENTO-MECANICA"/>
    <s v="S/."/>
    <n v="3.335"/>
    <n v="1"/>
    <n v="175"/>
    <n v="175"/>
    <n v="31.5"/>
    <n v="206.5"/>
    <n v="175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10"/>
    <x v="277"/>
    <s v="F7Y120"/>
    <d v="2019-11-22T00:00:00"/>
    <s v="20438563084"/>
    <s v="EDPYME ACCESO CREDITICIO SOCIEDAD ANONIMA"/>
    <s v="2908010003"/>
    <s v="AMPLIACION REPUESTOS"/>
    <s v="000"/>
    <s v="001"/>
    <s v="CONTADO"/>
    <s v="002"/>
    <s v="MANTENIMIENTO-MECANICA"/>
    <s v="S/."/>
    <n v="3.335"/>
    <n v="1"/>
    <n v="4655"/>
    <n v="4655"/>
    <n v="837.89990000000103"/>
    <n v="5492.8999000000013"/>
    <n v="4655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10"/>
    <x v="277"/>
    <s v="F7Y120"/>
    <d v="2019-11-22T00:00:00"/>
    <s v="20438563084"/>
    <s v="EDPYME ACCESO CREDITICIO SOCIEDAD ANONIMA"/>
    <s v="2805010001"/>
    <s v="SERVICIOS"/>
    <s v="000"/>
    <s v="001"/>
    <s v="CONTADO"/>
    <s v="002"/>
    <s v="MANTENIMIENTO-MECANICA"/>
    <s v="S/."/>
    <n v="3.335"/>
    <n v="1"/>
    <n v="743.75420999999972"/>
    <n v="743.75420999999972"/>
    <n v="133.87579000000028"/>
    <n v="877.63"/>
    <n v="743.75420999999972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10"/>
    <x v="277"/>
    <s v="F7Y120"/>
    <d v="2019-11-22T00:00:00"/>
    <s v="20438563084"/>
    <s v="EDPYME ACCESO CREDITICIO SOCIEDAD ANONIMA"/>
    <s v="320001"/>
    <s v="REPUESTOS"/>
    <s v="000"/>
    <s v="001"/>
    <s v="CONTADO"/>
    <s v="002"/>
    <s v="MANTENIMIENTO-MECANICA"/>
    <s v="S/."/>
    <n v="3.335"/>
    <n v="1"/>
    <n v="4065"/>
    <n v="4065"/>
    <n v="731.70020000000022"/>
    <n v="4796.7002000000002"/>
    <n v="4065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11"/>
    <x v="278"/>
    <s v="F2S454"/>
    <d v="2020-01-14T00:00:00"/>
    <s v="20100041953"/>
    <s v="RIMAC SEGUROS  Y REASEGUROS S.A"/>
    <s v="1302020001"/>
    <s v="PINTURA"/>
    <s v="000"/>
    <s v="001"/>
    <s v="CONTADO"/>
    <s v="009"/>
    <s v="PINTURA"/>
    <s v="$"/>
    <n v="3.335"/>
    <n v="1"/>
    <n v="118"/>
    <n v="118"/>
    <n v="21.240010000000019"/>
    <n v="139.24001000000001"/>
    <n v="393.53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11"/>
    <x v="278"/>
    <s v="F2S454"/>
    <d v="2020-01-14T00:00:00"/>
    <s v="20100041953"/>
    <s v="RIMAC SEGUROS  Y REASEGUROS S.A"/>
    <s v="1201020001"/>
    <s v="PLANCHADO"/>
    <s v="000"/>
    <s v="001"/>
    <s v="CONTADO"/>
    <s v="001"/>
    <s v="PLANCHADO"/>
    <s v="$"/>
    <n v="3.335"/>
    <n v="1"/>
    <n v="105"/>
    <n v="105"/>
    <n v="18.899999999999999"/>
    <n v="123.9"/>
    <n v="350.17500000000001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11"/>
    <x v="278"/>
    <s v="F2S454"/>
    <d v="2020-01-14T00:00:00"/>
    <s v="20100041953"/>
    <s v="RIMAC SEGUROS  Y REASEGUROS S.A"/>
    <s v="2908010001"/>
    <s v="TERCEROS"/>
    <s v="000"/>
    <s v="001"/>
    <s v="CONTADO"/>
    <s v="002"/>
    <s v="MANTENIMIENTO-MECANICA"/>
    <s v="$"/>
    <n v="3.335"/>
    <n v="1"/>
    <n v="95"/>
    <n v="95"/>
    <n v="17.100000000000001"/>
    <n v="112.1"/>
    <n v="316.82499999999999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11"/>
    <x v="278"/>
    <s v="F2S454"/>
    <d v="2020-01-14T00:00:00"/>
    <s v="20100041953"/>
    <s v="RIMAC SEGUROS  Y REASEGUROS S.A"/>
    <s v="310120"/>
    <s v="FRANQUICIA"/>
    <s v="000"/>
    <s v="001"/>
    <s v="CONTADO"/>
    <s v="002"/>
    <s v="MANTENIMIENTO-MECANICA"/>
    <s v="$"/>
    <n v="3.335"/>
    <n v="-1"/>
    <n v="50"/>
    <n v="-50"/>
    <n v="-9"/>
    <n v="-59"/>
    <n v="-166.75"/>
    <m/>
    <m/>
    <m/>
    <m/>
    <m/>
    <m/>
    <m/>
    <m/>
    <m/>
    <m/>
    <m/>
    <m/>
    <m/>
    <m/>
    <m/>
    <m/>
    <m/>
    <m/>
    <m/>
    <m/>
    <m/>
    <m/>
    <m/>
    <m/>
  </r>
  <r>
    <x v="80"/>
    <s v="FAC"/>
    <s v="005"/>
    <s v="00000311"/>
    <x v="278"/>
    <s v="F2S454"/>
    <d v="2020-01-14T00:00:00"/>
    <s v="20100041953"/>
    <s v="RIMAC SEGUROS  Y REASEGUROS S.A"/>
    <s v="320001"/>
    <s v="REPUESTOS"/>
    <s v="000"/>
    <s v="001"/>
    <s v="CONTADO"/>
    <s v="002"/>
    <s v="MANTENIMIENTO-MECANICA"/>
    <s v="$"/>
    <n v="3.335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1"/>
    <s v="FAC"/>
    <s v="005"/>
    <s v="00000312"/>
    <x v="279"/>
    <s v="BKR397"/>
    <d v="2020-01-20T00:00:00"/>
    <s v="20100041953"/>
    <s v="RIMAC SEGUROS  Y REASEGUROS S.A"/>
    <s v="1302020001"/>
    <s v="PINTURA"/>
    <s v="000"/>
    <s v="001"/>
    <s v="CONTADO"/>
    <s v="009"/>
    <s v="PINTURA"/>
    <s v="$"/>
    <n v="3.3599999"/>
    <n v="1"/>
    <n v="206.5"/>
    <n v="206.5"/>
    <n v="37.17"/>
    <n v="243.67"/>
    <n v="693.83997935000002"/>
    <m/>
    <m/>
    <m/>
    <m/>
    <m/>
    <m/>
    <m/>
    <m/>
    <m/>
    <m/>
    <m/>
    <m/>
    <m/>
    <m/>
    <m/>
    <m/>
    <m/>
    <m/>
    <m/>
    <m/>
    <m/>
    <m/>
    <m/>
    <m/>
  </r>
  <r>
    <x v="81"/>
    <s v="FAC"/>
    <s v="005"/>
    <s v="00000312"/>
    <x v="279"/>
    <s v="BKR397"/>
    <d v="2020-01-20T00:00:00"/>
    <s v="20100041953"/>
    <s v="RIMAC SEGUROS  Y REASEGUROS S.A"/>
    <s v="1201020001"/>
    <s v="PLANCHADO"/>
    <s v="000"/>
    <s v="001"/>
    <s v="CONTADO"/>
    <s v="001"/>
    <s v="PLANCHADO"/>
    <s v="$"/>
    <n v="3.3599999"/>
    <n v="1"/>
    <n v="300"/>
    <n v="300"/>
    <n v="54"/>
    <n v="354"/>
    <n v="1007.99997"/>
    <m/>
    <m/>
    <m/>
    <m/>
    <m/>
    <m/>
    <m/>
    <m/>
    <m/>
    <m/>
    <m/>
    <m/>
    <m/>
    <m/>
    <m/>
    <m/>
    <m/>
    <m/>
    <m/>
    <m/>
    <m/>
    <m/>
    <m/>
    <m/>
  </r>
  <r>
    <x v="81"/>
    <s v="FAC"/>
    <s v="005"/>
    <s v="00000312"/>
    <x v="279"/>
    <s v="BKR397"/>
    <d v="2020-01-20T00:00:00"/>
    <s v="20100041953"/>
    <s v="RIMAC SEGUROS  Y REASEGUROS S.A"/>
    <s v="2908010001"/>
    <s v="TERCEROS"/>
    <s v="000"/>
    <s v="001"/>
    <s v="CONTADO"/>
    <s v="002"/>
    <s v="MANTENIMIENTO-MECANICA"/>
    <s v="$"/>
    <n v="3.3599999"/>
    <n v="1"/>
    <n v="30"/>
    <n v="30"/>
    <n v="5.4000019999999997"/>
    <n v="35.400002000000001"/>
    <n v="100.799997"/>
    <m/>
    <m/>
    <m/>
    <m/>
    <m/>
    <m/>
    <m/>
    <m/>
    <m/>
    <m/>
    <m/>
    <m/>
    <m/>
    <m/>
    <m/>
    <m/>
    <m/>
    <m/>
    <m/>
    <m/>
    <m/>
    <m/>
    <m/>
    <m/>
  </r>
  <r>
    <x v="81"/>
    <s v="FAC"/>
    <s v="005"/>
    <s v="00000312"/>
    <x v="279"/>
    <s v="BKR397"/>
    <d v="2020-01-20T00:00:00"/>
    <s v="20100041953"/>
    <s v="RIMAC SEGUROS  Y REASEGUROS S.A"/>
    <s v="2805010001"/>
    <s v="SERVICIOS"/>
    <s v="000"/>
    <s v="001"/>
    <s v="CONTADO"/>
    <s v="002"/>
    <s v="MANTENIMIENTO-MECANICA"/>
    <s v="$"/>
    <n v="3.3599999"/>
    <n v="1"/>
    <n v="15"/>
    <n v="15"/>
    <n v="2.7000009999999999"/>
    <n v="17.700001"/>
    <n v="50.399998500000002"/>
    <m/>
    <m/>
    <m/>
    <m/>
    <m/>
    <m/>
    <m/>
    <m/>
    <m/>
    <m/>
    <m/>
    <m/>
    <m/>
    <m/>
    <m/>
    <m/>
    <m/>
    <m/>
    <m/>
    <m/>
    <m/>
    <m/>
    <m/>
    <m/>
  </r>
  <r>
    <x v="81"/>
    <s v="FAC"/>
    <s v="005"/>
    <s v="00000312"/>
    <x v="279"/>
    <s v="BKR397"/>
    <d v="2020-01-20T00:00:00"/>
    <s v="20100041953"/>
    <s v="RIMAC SEGUROS  Y REASEGUROS S.A"/>
    <s v="310120"/>
    <s v="FRANQUICIA"/>
    <s v="000"/>
    <s v="001"/>
    <s v="CONTADO"/>
    <s v="002"/>
    <s v="MANTENIMIENTO-MECANICA"/>
    <s v="$"/>
    <n v="3.3599999"/>
    <n v="-1"/>
    <n v="270.38979999999998"/>
    <n v="-270.38979999999998"/>
    <n v="-48.670200000000044"/>
    <n v="-319.06"/>
    <n v="-908.50970096101992"/>
    <m/>
    <m/>
    <m/>
    <m/>
    <m/>
    <m/>
    <m/>
    <m/>
    <m/>
    <m/>
    <m/>
    <m/>
    <m/>
    <m/>
    <m/>
    <m/>
    <m/>
    <m/>
    <m/>
    <m/>
    <m/>
    <m/>
    <m/>
    <m/>
  </r>
  <r>
    <x v="81"/>
    <s v="FAC"/>
    <s v="005"/>
    <s v="00000312"/>
    <x v="279"/>
    <s v="BKR397"/>
    <d v="2020-01-20T00:00:00"/>
    <s v="20100041953"/>
    <s v="RIMAC SEGUROS  Y REASEGUROS S.A"/>
    <s v="320001"/>
    <s v="REPUESTOS"/>
    <s v="000"/>
    <s v="001"/>
    <s v="CONTADO"/>
    <s v="002"/>
    <s v="MANTENIMIENTO-MECANICA"/>
    <s v="$"/>
    <n v="3.35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1"/>
    <s v="FAC"/>
    <s v="005"/>
    <s v="00000313"/>
    <x v="280"/>
    <s v="C0X378"/>
    <d v="2020-01-16T00:00:00"/>
    <s v="20100041953"/>
    <s v="RIMAC SEGUROS  Y REASEGUROS S.A"/>
    <s v="1302020001"/>
    <s v="PINTURA"/>
    <s v="000"/>
    <s v="001"/>
    <s v="CONTADO"/>
    <s v="009"/>
    <s v="PINTURA"/>
    <s v="$"/>
    <n v="3.3599999"/>
    <n v="1"/>
    <n v="206.5"/>
    <n v="206.5"/>
    <n v="37.17"/>
    <n v="243.67"/>
    <n v="693.83997935000002"/>
    <m/>
    <m/>
    <m/>
    <m/>
    <m/>
    <m/>
    <m/>
    <m/>
    <m/>
    <m/>
    <m/>
    <m/>
    <m/>
    <m/>
    <m/>
    <m/>
    <m/>
    <m/>
    <m/>
    <m/>
    <m/>
    <m/>
    <m/>
    <m/>
  </r>
  <r>
    <x v="81"/>
    <s v="FAC"/>
    <s v="005"/>
    <s v="00000313"/>
    <x v="280"/>
    <s v="C0X378"/>
    <d v="2020-01-16T00:00:00"/>
    <s v="20100041953"/>
    <s v="RIMAC SEGUROS  Y REASEGUROS S.A"/>
    <s v="1201020001"/>
    <s v="PLANCHADO"/>
    <s v="000"/>
    <s v="001"/>
    <s v="CONTADO"/>
    <s v="001"/>
    <s v="PLANCHADO"/>
    <s v="$"/>
    <n v="3.3599999"/>
    <n v="1"/>
    <n v="217.5"/>
    <n v="217.5"/>
    <n v="39.14998999999996"/>
    <n v="256.64998999999995"/>
    <n v="730.79997824999998"/>
    <m/>
    <m/>
    <m/>
    <m/>
    <m/>
    <m/>
    <m/>
    <m/>
    <m/>
    <m/>
    <m/>
    <m/>
    <m/>
    <m/>
    <m/>
    <m/>
    <m/>
    <m/>
    <m/>
    <m/>
    <m/>
    <m/>
    <m/>
    <m/>
  </r>
  <r>
    <x v="81"/>
    <s v="FAC"/>
    <s v="005"/>
    <s v="00000313"/>
    <x v="280"/>
    <s v="C0X378"/>
    <d v="2020-01-16T00:00:00"/>
    <s v="20100041953"/>
    <s v="RIMAC SEGUROS  Y REASEGUROS S.A"/>
    <s v="2908010001"/>
    <s v="TERCEROS"/>
    <s v="000"/>
    <s v="001"/>
    <s v="CONTADO"/>
    <s v="002"/>
    <s v="MANTENIMIENTO-MECANICA"/>
    <s v="$"/>
    <n v="3.3599999"/>
    <n v="1"/>
    <n v="50"/>
    <n v="50"/>
    <n v="9"/>
    <n v="59"/>
    <n v="167.99999500000001"/>
    <m/>
    <m/>
    <m/>
    <m/>
    <m/>
    <m/>
    <m/>
    <m/>
    <m/>
    <m/>
    <m/>
    <m/>
    <m/>
    <m/>
    <m/>
    <m/>
    <m/>
    <m/>
    <m/>
    <m/>
    <m/>
    <m/>
    <m/>
    <m/>
  </r>
  <r>
    <x v="81"/>
    <s v="FAC"/>
    <s v="005"/>
    <s v="00000313"/>
    <x v="280"/>
    <s v="C0X378"/>
    <d v="2020-01-16T00:00:00"/>
    <s v="20100041953"/>
    <s v="RIMAC SEGUROS  Y REASEGUROS S.A"/>
    <s v="310120"/>
    <s v="FRANQUICIA"/>
    <s v="000"/>
    <s v="001"/>
    <s v="CONTADO"/>
    <s v="002"/>
    <s v="MANTENIMIENTO-MECANICA"/>
    <s v="$"/>
    <n v="3.3599999"/>
    <n v="-1"/>
    <n v="412.87288999999987"/>
    <n v="-412.87288999999987"/>
    <n v="-74.317110000000099"/>
    <n v="-487.19"/>
    <n v="-1387.2528691127106"/>
    <m/>
    <m/>
    <m/>
    <m/>
    <m/>
    <m/>
    <m/>
    <m/>
    <m/>
    <m/>
    <m/>
    <m/>
    <m/>
    <m/>
    <m/>
    <m/>
    <m/>
    <m/>
    <m/>
    <m/>
    <m/>
    <m/>
    <m/>
    <m/>
  </r>
  <r>
    <x v="81"/>
    <s v="FAC"/>
    <s v="005"/>
    <s v="00000313"/>
    <x v="280"/>
    <s v="C0X378"/>
    <d v="2020-01-16T00:00:00"/>
    <s v="20100041953"/>
    <s v="RIMAC SEGUROS  Y REASEGUROS S.A"/>
    <s v="320001"/>
    <s v="REPUESTOS"/>
    <s v="000"/>
    <s v="001"/>
    <s v="CONTADO"/>
    <s v="002"/>
    <s v="MANTENIMIENTO-MECANICA"/>
    <s v="$"/>
    <n v="3.35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62"/>
    <s v="BOL"/>
    <s v="005"/>
    <s v="00000081"/>
    <x v="227"/>
    <s v="F3M334"/>
    <d v="2019-12-23T00:00:00"/>
    <s v="46413935"/>
    <s v="GARCIA PERALTA GLADYS LIZZETTHE"/>
    <s v="310120"/>
    <s v="FRANQUICIA"/>
    <s v="000"/>
    <s v="001"/>
    <s v="CONTADO"/>
    <s v="002"/>
    <s v="MANTENIMIENTO-MECANICA"/>
    <s v="$"/>
    <n v="3.3110000999999998"/>
    <n v="1"/>
    <n v="100"/>
    <n v="100"/>
    <n v="18"/>
    <n v="118"/>
    <n v="331.10001"/>
    <m/>
    <m/>
    <m/>
    <m/>
    <m/>
    <m/>
    <m/>
    <m/>
    <m/>
    <m/>
    <m/>
    <m/>
    <m/>
    <m/>
    <m/>
    <m/>
    <m/>
    <m/>
    <m/>
    <m/>
    <m/>
    <m/>
    <m/>
    <m/>
  </r>
  <r>
    <x v="64"/>
    <s v="BOL"/>
    <s v="005"/>
    <s v="00000082"/>
    <x v="230"/>
    <s v="BDK341"/>
    <d v="2019-12-30T00:00:00"/>
    <s v="07944017"/>
    <s v="KONG SAC LUIS ANTONIO"/>
    <s v="310120"/>
    <s v="FRANQUICIA"/>
    <s v="000"/>
    <s v="001"/>
    <s v="CONTADO"/>
    <s v="002"/>
    <s v="MANTENIMIENTO-MECANICA"/>
    <s v="$"/>
    <n v="3.323"/>
    <n v="1"/>
    <n v="200"/>
    <n v="200"/>
    <n v="36"/>
    <n v="236"/>
    <n v="664.6"/>
    <m/>
    <m/>
    <m/>
    <m/>
    <m/>
    <m/>
    <m/>
    <m/>
    <m/>
    <m/>
    <m/>
    <m/>
    <m/>
    <m/>
    <m/>
    <m/>
    <m/>
    <m/>
    <m/>
    <m/>
    <m/>
    <m/>
    <m/>
    <m/>
  </r>
  <r>
    <x v="64"/>
    <s v="BOL"/>
    <s v="005"/>
    <s v="00000083"/>
    <x v="192"/>
    <s v="F2Y614"/>
    <d v="2019-12-19T00:00:00"/>
    <s v="41000895"/>
    <s v="SOTO SALAZAR JAVIER"/>
    <s v="310120"/>
    <s v="FRANQUICIA"/>
    <s v="000"/>
    <s v="001"/>
    <s v="CONTADO"/>
    <s v="002"/>
    <s v="MANTENIMIENTO-MECANICA"/>
    <s v="$"/>
    <n v="3.323"/>
    <n v="1"/>
    <n v="9.932200400000001"/>
    <n v="9.932200400000001"/>
    <n v="1.7877995999999996"/>
    <n v="11.72"/>
    <n v="33.004701929200003"/>
    <m/>
    <m/>
    <m/>
    <m/>
    <m/>
    <m/>
    <m/>
    <m/>
    <m/>
    <m/>
    <m/>
    <m/>
    <m/>
    <m/>
    <m/>
    <m/>
    <m/>
    <m/>
    <m/>
    <m/>
    <m/>
    <m/>
    <m/>
    <m/>
  </r>
  <r>
    <x v="66"/>
    <s v="BOL"/>
    <s v="005"/>
    <s v="00000084"/>
    <x v="236"/>
    <s v="AWJ049"/>
    <d v="2019-12-27T00:00:00"/>
    <s v="10344250"/>
    <s v="VALENZUELA IZURRIETA SILVIA"/>
    <s v="310120"/>
    <s v="FRANQUICIA"/>
    <s v="000"/>
    <s v="001"/>
    <s v="CONTADO"/>
    <s v="002"/>
    <s v="MANTENIMIENTO-MECANICA"/>
    <s v="$"/>
    <n v="3.3210001"/>
    <n v="1"/>
    <n v="100"/>
    <n v="100"/>
    <n v="18"/>
    <n v="118"/>
    <n v="332.10001"/>
    <m/>
    <m/>
    <m/>
    <m/>
    <m/>
    <m/>
    <m/>
    <m/>
    <m/>
    <m/>
    <m/>
    <m/>
    <m/>
    <m/>
    <m/>
    <m/>
    <m/>
    <m/>
    <m/>
    <m/>
    <m/>
    <m/>
    <m/>
    <m/>
  </r>
  <r>
    <x v="67"/>
    <s v="BOL"/>
    <s v="005"/>
    <s v="00000085"/>
    <x v="237"/>
    <s v="AJE585"/>
    <d v="2019-12-23T00:00:00"/>
    <s v="43462147"/>
    <s v="MERCADO DIAZ GABRIEL"/>
    <s v="310120"/>
    <s v="FRANQUICIA"/>
    <s v="000"/>
    <s v="001"/>
    <s v="CONTADO"/>
    <s v="002"/>
    <s v="MANTENIMIENTO-MECANICA"/>
    <s v="$"/>
    <n v="3.3239999"/>
    <n v="1"/>
    <n v="100"/>
    <n v="100"/>
    <n v="18"/>
    <n v="118"/>
    <n v="332.39999"/>
    <m/>
    <m/>
    <m/>
    <m/>
    <m/>
    <m/>
    <m/>
    <m/>
    <m/>
    <m/>
    <m/>
    <m/>
    <m/>
    <m/>
    <m/>
    <m/>
    <m/>
    <m/>
    <m/>
    <m/>
    <m/>
    <m/>
    <m/>
    <m/>
  </r>
  <r>
    <x v="67"/>
    <s v="BOL"/>
    <s v="005"/>
    <s v="00000086"/>
    <x v="238"/>
    <s v="BFF666"/>
    <d v="2020-01-03T00:00:00"/>
    <s v="47629056"/>
    <s v="OCHOA CACERES OSWALDO"/>
    <s v="310120"/>
    <s v="FRANQUICIA"/>
    <s v="000"/>
    <s v="001"/>
    <s v="CONTADO"/>
    <s v="002"/>
    <s v="MANTENIMIENTO-MECANICA"/>
    <s v="$"/>
    <n v="3.3239999"/>
    <n v="1"/>
    <n v="100"/>
    <n v="100"/>
    <n v="18"/>
    <n v="118"/>
    <n v="332.39999"/>
    <m/>
    <m/>
    <m/>
    <m/>
    <m/>
    <m/>
    <m/>
    <m/>
    <m/>
    <m/>
    <m/>
    <m/>
    <m/>
    <m/>
    <m/>
    <m/>
    <m/>
    <m/>
    <m/>
    <m/>
    <m/>
    <m/>
    <m/>
    <m/>
  </r>
  <r>
    <x v="70"/>
    <s v="BOL"/>
    <s v="005"/>
    <s v="00000087"/>
    <x v="244"/>
    <s v="BES112"/>
    <d v="2020-01-03T00:00:00"/>
    <s v="03890465"/>
    <s v="PRECIADO SAAVEDRA JORGE LUIS"/>
    <s v="310120"/>
    <s v="FRANQUICIA"/>
    <s v="000"/>
    <s v="001"/>
    <s v="CONTADO"/>
    <s v="002"/>
    <s v="MANTENIMIENTO-MECANICA"/>
    <s v="$"/>
    <n v="3.3269999000000001"/>
    <n v="1"/>
    <n v="269.15249999999997"/>
    <n v="269.15249999999997"/>
    <n v="48.447510000000037"/>
    <n v="317.60001"/>
    <n v="895.47034058474992"/>
    <m/>
    <m/>
    <m/>
    <m/>
    <m/>
    <m/>
    <m/>
    <m/>
    <m/>
    <m/>
    <m/>
    <m/>
    <m/>
    <m/>
    <m/>
    <m/>
    <m/>
    <m/>
    <m/>
    <m/>
    <m/>
    <m/>
    <m/>
    <m/>
  </r>
  <r>
    <x v="70"/>
    <s v="BOL"/>
    <s v="005"/>
    <s v="00000088"/>
    <x v="245"/>
    <s v="BDW631"/>
    <d v="2020-01-03T00:00:00"/>
    <s v="42625196"/>
    <s v="DIAZ PAURO RAUL"/>
    <s v="310120"/>
    <s v="FRANQUICIA"/>
    <s v="000"/>
    <s v="001"/>
    <s v="CONTADO"/>
    <s v="002"/>
    <s v="MANTENIMIENTO-MECANICA"/>
    <s v="$"/>
    <n v="3.3269999000000001"/>
    <n v="1"/>
    <n v="341.09320000000002"/>
    <n v="341.09320000000002"/>
    <n v="61.396790000000038"/>
    <n v="402.48999000000003"/>
    <n v="1134.8170422906801"/>
    <m/>
    <m/>
    <m/>
    <m/>
    <m/>
    <m/>
    <m/>
    <m/>
    <m/>
    <m/>
    <m/>
    <m/>
    <m/>
    <m/>
    <m/>
    <m/>
    <m/>
    <m/>
    <m/>
    <m/>
    <m/>
    <m/>
    <m/>
    <m/>
  </r>
  <r>
    <x v="70"/>
    <s v="BOL"/>
    <s v="005"/>
    <s v="00000089"/>
    <x v="281"/>
    <s v="BDW631"/>
    <d v="2020-01-06T00:00:00"/>
    <s v="42625196"/>
    <s v="DIAZ PAURO RAUL"/>
    <s v="1302020001"/>
    <s v="PINTURA"/>
    <s v="000"/>
    <s v="001"/>
    <s v="CONTADO"/>
    <s v="009"/>
    <s v="PINTURA"/>
    <s v="$"/>
    <n v="3.3269999000000001"/>
    <n v="1"/>
    <n v="60"/>
    <n v="60"/>
    <n v="10.800002999999997"/>
    <n v="70.800003000000004"/>
    <n v="199.61999400000002"/>
    <m/>
    <m/>
    <m/>
    <m/>
    <m/>
    <m/>
    <m/>
    <m/>
    <m/>
    <m/>
    <m/>
    <m/>
    <m/>
    <m/>
    <m/>
    <m/>
    <m/>
    <m/>
    <m/>
    <m/>
    <m/>
    <m/>
    <m/>
    <m/>
  </r>
  <r>
    <x v="70"/>
    <s v="BOL"/>
    <s v="005"/>
    <s v="00000089"/>
    <x v="281"/>
    <s v="BDW631"/>
    <d v="2020-01-06T00:00:00"/>
    <s v="42625196"/>
    <s v="DIAZ PAURO RAUL"/>
    <s v="1201020001"/>
    <s v="PLANCHADO"/>
    <s v="000"/>
    <s v="001"/>
    <s v="CONTADO"/>
    <s v="001"/>
    <s v="PLANCHADO"/>
    <s v="$"/>
    <n v="3.3269999000000001"/>
    <n v="1"/>
    <n v="15"/>
    <n v="15"/>
    <n v="2.7000009999999999"/>
    <n v="17.700001"/>
    <n v="49.904998500000005"/>
    <m/>
    <m/>
    <m/>
    <m/>
    <m/>
    <m/>
    <m/>
    <m/>
    <m/>
    <m/>
    <m/>
    <m/>
    <m/>
    <m/>
    <m/>
    <m/>
    <m/>
    <m/>
    <m/>
    <m/>
    <m/>
    <m/>
    <m/>
    <m/>
  </r>
  <r>
    <x v="70"/>
    <s v="BOL"/>
    <s v="005"/>
    <s v="00000089"/>
    <x v="281"/>
    <s v="BDW631"/>
    <d v="2020-01-06T00:00:00"/>
    <s v="42625196"/>
    <s v="DIAZ PAURO RAUL"/>
    <s v="310255"/>
    <s v="DESCUENTO"/>
    <s v="000"/>
    <s v="001"/>
    <s v="CONTADO"/>
    <s v="002"/>
    <s v="MANTENIMIENTO-MECANICA"/>
    <s v="$"/>
    <n v="3.3269999000000001"/>
    <n v="-1"/>
    <n v="15"/>
    <n v="-15"/>
    <n v="-2.7000009999999999"/>
    <n v="-17.700001"/>
    <n v="-49.904998500000005"/>
    <m/>
    <m/>
    <m/>
    <m/>
    <m/>
    <m/>
    <m/>
    <m/>
    <m/>
    <m/>
    <m/>
    <m/>
    <m/>
    <m/>
    <m/>
    <m/>
    <m/>
    <m/>
    <m/>
    <m/>
    <m/>
    <m/>
    <m/>
    <m/>
  </r>
  <r>
    <x v="74"/>
    <s v="BOL"/>
    <s v="005"/>
    <s v="00000090"/>
    <x v="261"/>
    <s v="AVL461"/>
    <d v="2020-01-07T00:00:00"/>
    <s v="42944188"/>
    <s v="ALFARO ZAVALETA SILVIA"/>
    <s v="310120"/>
    <s v="FRANQUICIA"/>
    <s v="000"/>
    <s v="001"/>
    <s v="CONTADO"/>
    <s v="002"/>
    <s v="MANTENIMIENTO-MECANICA"/>
    <s v="$"/>
    <n v="3.323"/>
    <n v="1"/>
    <n v="100"/>
    <n v="100"/>
    <n v="18"/>
    <n v="118"/>
    <n v="332.3"/>
    <m/>
    <m/>
    <m/>
    <m/>
    <m/>
    <m/>
    <m/>
    <m/>
    <m/>
    <m/>
    <m/>
    <m/>
    <m/>
    <m/>
    <m/>
    <m/>
    <m/>
    <m/>
    <m/>
    <m/>
    <m/>
    <m/>
    <m/>
    <m/>
  </r>
  <r>
    <x v="75"/>
    <s v="BOL"/>
    <s v="005"/>
    <s v="00000091"/>
    <x v="262"/>
    <s v="D1M272"/>
    <d v="2020-01-14T00:00:00"/>
    <s v="08251735"/>
    <s v="RIVERA RIVERA ARNALDO"/>
    <s v="310120"/>
    <s v="FRANQUICIA"/>
    <s v="000"/>
    <s v="001"/>
    <s v="CONTADO"/>
    <s v="002"/>
    <s v="MANTENIMIENTO-MECANICA"/>
    <s v="$"/>
    <n v="3.3199999000000004"/>
    <n v="1"/>
    <n v="100"/>
    <n v="100"/>
    <n v="18"/>
    <n v="118"/>
    <n v="331.99999000000003"/>
    <m/>
    <m/>
    <m/>
    <m/>
    <m/>
    <m/>
    <m/>
    <m/>
    <m/>
    <m/>
    <m/>
    <m/>
    <m/>
    <m/>
    <m/>
    <m/>
    <m/>
    <m/>
    <m/>
    <m/>
    <m/>
    <m/>
    <m/>
    <m/>
  </r>
  <r>
    <x v="75"/>
    <s v="BOL"/>
    <s v="005"/>
    <s v="00000092"/>
    <x v="282"/>
    <s v="BEN226"/>
    <d v="2020-01-20T00:00:00"/>
    <s v="46524152"/>
    <s v="LUIS DANIEL PAIRAZAMAN GRADOS"/>
    <s v="1302020001"/>
    <s v="PINTURA"/>
    <s v="000"/>
    <s v="001"/>
    <s v="CONTADO"/>
    <s v="009"/>
    <s v="PINTURA"/>
    <s v="$"/>
    <n v="3.3199999000000004"/>
    <n v="1"/>
    <n v="60"/>
    <n v="60"/>
    <n v="10.800002999999997"/>
    <n v="70.800003000000004"/>
    <n v="199.19999400000003"/>
    <m/>
    <m/>
    <m/>
    <m/>
    <m/>
    <m/>
    <m/>
    <m/>
    <m/>
    <m/>
    <m/>
    <m/>
    <m/>
    <m/>
    <m/>
    <m/>
    <m/>
    <m/>
    <m/>
    <m/>
    <m/>
    <m/>
    <m/>
    <m/>
  </r>
  <r>
    <x v="75"/>
    <s v="BOL"/>
    <s v="005"/>
    <s v="00000092"/>
    <x v="282"/>
    <s v="BEN226"/>
    <d v="2020-01-20T00:00:00"/>
    <s v="46524152"/>
    <s v="LUIS DANIEL PAIRAZAMAN GRADOS"/>
    <s v="1201020001"/>
    <s v="PLANCHADO"/>
    <s v="000"/>
    <s v="001"/>
    <s v="CONTADO"/>
    <s v="001"/>
    <s v="PLANCHADO"/>
    <s v="$"/>
    <n v="3.3199999000000004"/>
    <n v="1"/>
    <n v="45"/>
    <n v="45"/>
    <n v="8.0999980000000047"/>
    <n v="53.099998000000006"/>
    <n v="149.39999550000002"/>
    <m/>
    <m/>
    <m/>
    <m/>
    <m/>
    <m/>
    <m/>
    <m/>
    <m/>
    <m/>
    <m/>
    <m/>
    <m/>
    <m/>
    <m/>
    <m/>
    <m/>
    <m/>
    <m/>
    <m/>
    <m/>
    <m/>
    <m/>
    <m/>
  </r>
  <r>
    <x v="75"/>
    <s v="BOL"/>
    <s v="005"/>
    <s v="00000092"/>
    <x v="282"/>
    <s v="BEN226"/>
    <d v="2020-01-20T00:00:00"/>
    <s v="46524152"/>
    <s v="LUIS DANIEL PAIRAZAMAN GRADOS"/>
    <s v="320001"/>
    <s v="REPUESTOS"/>
    <s v="000"/>
    <s v="001"/>
    <s v="CONTADO"/>
    <s v="002"/>
    <s v="MANTENIMIENTO-MECANICA"/>
    <s v="$"/>
    <n v="3.3199999000000004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76"/>
    <s v="BOL"/>
    <s v="005"/>
    <s v="00000093"/>
    <x v="263"/>
    <s v="AJD170"/>
    <d v="2020-01-08T00:00:00"/>
    <s v="70448516"/>
    <s v="NUÑEZ MANRIQUE FABRICIO ALEXANDER"/>
    <s v="310120"/>
    <s v="FRANQUICIA"/>
    <s v="000"/>
    <s v="001"/>
    <s v="CONTADO"/>
    <s v="002"/>
    <s v="MANTENIMIENTO-MECANICA"/>
    <s v="$"/>
    <n v="3.3169999000000003"/>
    <n v="1"/>
    <n v="315.43218999999999"/>
    <n v="315.43218999999999"/>
    <n v="56.777800000000063"/>
    <n v="372.20999000000006"/>
    <n v="1046.2885426867811"/>
    <m/>
    <m/>
    <m/>
    <m/>
    <m/>
    <m/>
    <m/>
    <m/>
    <m/>
    <m/>
    <m/>
    <m/>
    <m/>
    <m/>
    <m/>
    <m/>
    <m/>
    <m/>
    <m/>
    <m/>
    <m/>
    <m/>
    <m/>
    <m/>
  </r>
  <r>
    <x v="76"/>
    <s v="BOL"/>
    <s v="005"/>
    <s v="00000094"/>
    <x v="264"/>
    <s v="ANE092"/>
    <d v="2020-01-13T00:00:00"/>
    <s v="07817513"/>
    <s v="MORZAN MONSANTE MARTIN"/>
    <s v="310120"/>
    <s v="FRANQUICIA"/>
    <s v="000"/>
    <s v="001"/>
    <s v="CONTADO"/>
    <s v="002"/>
    <s v="MANTENIMIENTO-MECANICA"/>
    <s v="$"/>
    <n v="3.3169999000000003"/>
    <n v="1"/>
    <n v="156.3475"/>
    <n v="156.3475"/>
    <n v="28.142510000000001"/>
    <n v="184.49001000000001"/>
    <n v="518.60464186525007"/>
    <m/>
    <m/>
    <m/>
    <m/>
    <m/>
    <m/>
    <m/>
    <m/>
    <m/>
    <m/>
    <m/>
    <m/>
    <m/>
    <m/>
    <m/>
    <m/>
    <m/>
    <m/>
    <m/>
    <m/>
    <m/>
    <m/>
    <m/>
    <m/>
  </r>
  <r>
    <x v="77"/>
    <s v="BOL"/>
    <s v="005"/>
    <s v="00000095"/>
    <x v="283"/>
    <s v="BEN226"/>
    <d v="2020-01-24T00:00:00"/>
    <s v="46524152"/>
    <s v="LUIS DANIEL PAIRAZAMAN GRADOS"/>
    <s v="2908010001"/>
    <s v="TERCEROS"/>
    <s v="000"/>
    <s v="001"/>
    <s v="CONTADO"/>
    <s v="002"/>
    <s v="MANTENIMIENTO-MECANICA"/>
    <s v="$"/>
    <n v="3.3220000000000001"/>
    <n v="1"/>
    <n v="53.389800999999999"/>
    <n v="53.389800999999999"/>
    <n v="9.6101990000000015"/>
    <n v="63"/>
    <n v="177.360918922"/>
    <m/>
    <m/>
    <m/>
    <m/>
    <m/>
    <m/>
    <m/>
    <m/>
    <m/>
    <m/>
    <m/>
    <m/>
    <m/>
    <m/>
    <m/>
    <m/>
    <m/>
    <m/>
    <m/>
    <m/>
    <m/>
    <m/>
    <m/>
    <m/>
  </r>
  <r>
    <x v="77"/>
    <s v="BOL"/>
    <s v="005"/>
    <s v="00000096"/>
    <x v="266"/>
    <s v="AXU177"/>
    <d v="2020-01-15T00:00:00"/>
    <s v="44547155"/>
    <s v="CAMPOS MATA TERESA"/>
    <s v="310120"/>
    <s v="FRANQUICIA"/>
    <s v="000"/>
    <s v="001"/>
    <s v="CONTADO"/>
    <s v="002"/>
    <s v="MANTENIMIENTO-MECANICA"/>
    <s v="$"/>
    <n v="3.3220000000000001"/>
    <n v="1"/>
    <n v="100"/>
    <n v="100"/>
    <n v="18"/>
    <n v="118"/>
    <n v="332.2"/>
    <m/>
    <m/>
    <m/>
    <m/>
    <m/>
    <m/>
    <m/>
    <m/>
    <m/>
    <m/>
    <m/>
    <m/>
    <m/>
    <m/>
    <m/>
    <m/>
    <m/>
    <m/>
    <m/>
    <m/>
    <m/>
    <m/>
    <m/>
    <m/>
  </r>
  <r>
    <x v="78"/>
    <s v="BOL"/>
    <s v="005"/>
    <s v="00000097"/>
    <x v="284"/>
    <s v="B0M243"/>
    <d v="2020-01-25T00:00:00"/>
    <s v="45805783"/>
    <s v="TORRES CAMACHO JOSE GABRIEL"/>
    <s v="2805010001"/>
    <s v="SERVICIOS"/>
    <s v="000"/>
    <s v="001"/>
    <s v="CONTADO"/>
    <s v="002"/>
    <s v="MANTENIMIENTO-MECANICA"/>
    <s v="S/."/>
    <n v="3.3250000000000002"/>
    <n v="1"/>
    <n v="59.321998999999998"/>
    <n v="59.321998999999998"/>
    <n v="10.678001000000004"/>
    <n v="70"/>
    <n v="59.321998999999998"/>
    <m/>
    <m/>
    <m/>
    <m/>
    <m/>
    <m/>
    <m/>
    <m/>
    <m/>
    <m/>
    <m/>
    <m/>
    <m/>
    <m/>
    <m/>
    <m/>
    <m/>
    <m/>
    <m/>
    <m/>
    <m/>
    <m/>
    <m/>
    <m/>
  </r>
  <r>
    <x v="78"/>
    <s v="BOL"/>
    <s v="005"/>
    <s v="00000098"/>
    <x v="285"/>
    <s v="ASP160"/>
    <d v="2020-01-21T00:00:00"/>
    <s v="08075804"/>
    <s v="ALVA CUNEO CARLOS ENRIQUE"/>
    <s v="1302020001"/>
    <s v="PINTURA"/>
    <s v="000"/>
    <s v="001"/>
    <s v="CONTADO"/>
    <s v="009"/>
    <s v="PINTURA"/>
    <s v="$"/>
    <n v="3.3250000000000002"/>
    <n v="1"/>
    <n v="60"/>
    <n v="60"/>
    <n v="10.800002999999997"/>
    <n v="70.800003000000004"/>
    <n v="199.5"/>
    <m/>
    <m/>
    <m/>
    <m/>
    <m/>
    <m/>
    <m/>
    <m/>
    <m/>
    <m/>
    <m/>
    <m/>
    <m/>
    <m/>
    <m/>
    <m/>
    <m/>
    <m/>
    <m/>
    <m/>
    <m/>
    <m/>
    <m/>
    <m/>
  </r>
  <r>
    <x v="78"/>
    <s v="BOL"/>
    <s v="005"/>
    <s v="00000098"/>
    <x v="285"/>
    <s v="ASP160"/>
    <d v="2020-01-21T00:00:00"/>
    <s v="08075804"/>
    <s v="ALVA CUNEO CARLOS ENRIQUE"/>
    <s v="1201020001"/>
    <s v="PLANCHADO"/>
    <s v="000"/>
    <s v="001"/>
    <s v="CONTADO"/>
    <s v="001"/>
    <s v="PLANCHADO"/>
    <s v="$"/>
    <n v="3.3250000000000002"/>
    <n v="1"/>
    <n v="45"/>
    <n v="45"/>
    <n v="8.0999980000000047"/>
    <n v="53.099998000000006"/>
    <n v="149.625"/>
    <m/>
    <m/>
    <m/>
    <m/>
    <m/>
    <m/>
    <m/>
    <m/>
    <m/>
    <m/>
    <m/>
    <m/>
    <m/>
    <m/>
    <m/>
    <m/>
    <m/>
    <m/>
    <m/>
    <m/>
    <m/>
    <m/>
    <m/>
    <m/>
  </r>
  <r>
    <x v="78"/>
    <s v="BOL"/>
    <s v="005"/>
    <s v="00000099"/>
    <x v="286"/>
    <s v="ASP160"/>
    <d v="2020-01-17T00:00:00"/>
    <s v="08075804"/>
    <s v="ALVA CUNEO CARLOS ENRIQUE"/>
    <s v="320001"/>
    <s v="REPUESTOS"/>
    <s v="000"/>
    <s v="001"/>
    <s v="CONTADO"/>
    <s v="002"/>
    <s v="MANTENIMIENTO-MECANICA"/>
    <s v="S/."/>
    <n v="3.3250000000000002"/>
    <n v="1"/>
    <n v="430.39828"/>
    <n v="430.39828"/>
    <n v="77.471719999999991"/>
    <n v="507.87"/>
    <n v="430.39828"/>
    <m/>
    <m/>
    <m/>
    <m/>
    <m/>
    <m/>
    <m/>
    <m/>
    <m/>
    <m/>
    <m/>
    <m/>
    <m/>
    <m/>
    <m/>
    <m/>
    <m/>
    <m/>
    <m/>
    <m/>
    <m/>
    <m/>
    <m/>
    <m/>
  </r>
  <r>
    <x v="78"/>
    <s v="BOL"/>
    <s v="005"/>
    <s v="00000100"/>
    <x v="268"/>
    <s v="ASP160"/>
    <d v="2020-01-09T00:00:00"/>
    <s v="08075804"/>
    <s v="ALVA CUNEO CARLOS ENRIQUE"/>
    <s v="310120"/>
    <s v="FRANQUICIA"/>
    <s v="000"/>
    <s v="001"/>
    <s v="CONTADO"/>
    <s v="002"/>
    <s v="MANTENIMIENTO-MECANICA"/>
    <s v="$"/>
    <n v="3.3250000000000002"/>
    <n v="1"/>
    <n v="200"/>
    <n v="200"/>
    <n v="36"/>
    <n v="236"/>
    <n v="665"/>
    <m/>
    <m/>
    <m/>
    <m/>
    <m/>
    <m/>
    <m/>
    <m/>
    <m/>
    <m/>
    <m/>
    <m/>
    <m/>
    <m/>
    <m/>
    <m/>
    <m/>
    <m/>
    <m/>
    <m/>
    <m/>
    <m/>
    <m/>
    <m/>
  </r>
  <r>
    <x v="79"/>
    <s v="BOL"/>
    <s v="005"/>
    <s v="00000101"/>
    <x v="273"/>
    <s v="AYD066"/>
    <d v="2020-01-20T00:00:00"/>
    <s v="41736941"/>
    <s v="PAU LEYVA RICARDO"/>
    <s v="310120"/>
    <s v="FRANQUICIA"/>
    <s v="000"/>
    <s v="001"/>
    <s v="CONTADO"/>
    <s v="002"/>
    <s v="MANTENIMIENTO-MECANICA"/>
    <s v="$"/>
    <n v="3.339"/>
    <n v="1"/>
    <n v="100"/>
    <n v="100"/>
    <n v="18"/>
    <n v="118"/>
    <n v="333.9"/>
    <m/>
    <m/>
    <m/>
    <m/>
    <m/>
    <m/>
    <m/>
    <m/>
    <m/>
    <m/>
    <m/>
    <m/>
    <m/>
    <m/>
    <m/>
    <m/>
    <m/>
    <m/>
    <m/>
    <m/>
    <m/>
    <m/>
    <m/>
    <m/>
  </r>
  <r>
    <x v="80"/>
    <s v="BOL"/>
    <s v="005"/>
    <s v="00000102"/>
    <x v="287"/>
    <s v="F2S454"/>
    <d v="2020-01-28T00:00:00"/>
    <s v="09994082"/>
    <s v="FONSECA PALOMINO MIGUEL"/>
    <s v="2908010001"/>
    <s v="TERCEROS"/>
    <s v="000"/>
    <s v="001"/>
    <s v="CONTADO"/>
    <s v="002"/>
    <s v="MANTENIMIENTO-MECANICA"/>
    <s v="S/."/>
    <n v="3.335"/>
    <n v="1"/>
    <n v="8.4830999000000009"/>
    <n v="8.4830999000000009"/>
    <n v="1.5269000999999991"/>
    <n v="10.01"/>
    <n v="8.4830999000000009"/>
    <m/>
    <m/>
    <m/>
    <m/>
    <m/>
    <m/>
    <m/>
    <m/>
    <m/>
    <m/>
    <m/>
    <m/>
    <m/>
    <m/>
    <m/>
    <m/>
    <m/>
    <m/>
    <m/>
    <m/>
    <m/>
    <m/>
    <m/>
    <m/>
  </r>
  <r>
    <x v="80"/>
    <s v="BOL"/>
    <s v="005"/>
    <s v="00000103"/>
    <x v="278"/>
    <s v="F2S454"/>
    <d v="2020-01-14T00:00:00"/>
    <s v="09994082"/>
    <s v="FONSECA PALOMINO MIGUEL"/>
    <s v="310120"/>
    <s v="FRANQUICIA"/>
    <s v="000"/>
    <s v="001"/>
    <s v="CONTADO"/>
    <s v="002"/>
    <s v="MANTENIMIENTO-MECANICA"/>
    <s v="$"/>
    <n v="3.335"/>
    <n v="1"/>
    <n v="50"/>
    <n v="50"/>
    <n v="9"/>
    <n v="59"/>
    <n v="166.75"/>
    <m/>
    <m/>
    <m/>
    <m/>
    <m/>
    <m/>
    <m/>
    <m/>
    <m/>
    <m/>
    <m/>
    <m/>
    <m/>
    <m/>
    <m/>
    <m/>
    <m/>
    <m/>
    <m/>
    <m/>
    <m/>
    <m/>
    <m/>
    <m/>
  </r>
  <r>
    <x v="80"/>
    <s v="BOL"/>
    <s v="005"/>
    <s v="00000104"/>
    <x v="288"/>
    <s v="C7L474"/>
    <d v="2020-01-09T00:00:00"/>
    <s v="70524507"/>
    <s v="HAYOR LATOUR ALESSANDRA ISABEL"/>
    <s v="2805010001"/>
    <s v="SERVICIOS"/>
    <s v="000"/>
    <s v="001"/>
    <s v="CONTADO"/>
    <s v="002"/>
    <s v="MANTENIMIENTO-MECANICA"/>
    <s v="S/."/>
    <n v="3.335"/>
    <n v="1"/>
    <n v="549"/>
    <n v="549"/>
    <n v="98.82001000000011"/>
    <n v="647.82001000000014"/>
    <n v="549"/>
    <m/>
    <m/>
    <m/>
    <m/>
    <m/>
    <m/>
    <m/>
    <m/>
    <m/>
    <m/>
    <m/>
    <m/>
    <m/>
    <m/>
    <m/>
    <m/>
    <m/>
    <m/>
    <m/>
    <m/>
    <m/>
    <m/>
    <m/>
    <m/>
  </r>
  <r>
    <x v="80"/>
    <s v="BOL"/>
    <s v="005"/>
    <s v="00000104"/>
    <x v="288"/>
    <s v="C7L474"/>
    <d v="2020-01-09T00:00:00"/>
    <s v="70524507"/>
    <s v="HAYOR LATOUR ALESSANDRA ISABEL"/>
    <s v="310255"/>
    <s v="DESCUENTO"/>
    <s v="000"/>
    <s v="001"/>
    <s v="CONTADO"/>
    <s v="002"/>
    <s v="MANTENIMIENTO-MECANICA"/>
    <s v="S/."/>
    <n v="3.335"/>
    <n v="-1"/>
    <n v="437.49149"/>
    <n v="-437.49149"/>
    <n v="-78.748500000000064"/>
    <n v="-516.23999000000003"/>
    <n v="-437.49149"/>
    <m/>
    <m/>
    <m/>
    <m/>
    <m/>
    <m/>
    <m/>
    <m/>
    <m/>
    <m/>
    <m/>
    <m/>
    <m/>
    <m/>
    <m/>
    <m/>
    <m/>
    <m/>
    <m/>
    <m/>
    <m/>
    <m/>
    <m/>
    <m/>
  </r>
  <r>
    <x v="80"/>
    <s v="BOL"/>
    <s v="005"/>
    <s v="00000104"/>
    <x v="288"/>
    <s v="C7L474"/>
    <d v="2020-01-09T00:00:00"/>
    <s v="70524507"/>
    <s v="HAYOR LATOUR ALESSANDRA ISABEL"/>
    <s v="2908010002"/>
    <s v="AMPLIACION REPUESTOS"/>
    <s v="000"/>
    <s v="001"/>
    <s v="CONTADO"/>
    <s v="002"/>
    <s v="MANTENIMIENTO-MECANICA"/>
    <s v="S/."/>
    <n v="3.335"/>
    <n v="1"/>
    <n v="2122.0338999999999"/>
    <n v="2122.0339000000004"/>
    <n v="381.96610000000015"/>
    <n v="2504.0000000000005"/>
    <n v="2122.0339000000004"/>
    <m/>
    <m/>
    <m/>
    <m/>
    <m/>
    <m/>
    <m/>
    <m/>
    <m/>
    <m/>
    <m/>
    <m/>
    <m/>
    <m/>
    <m/>
    <m/>
    <m/>
    <m/>
    <m/>
    <m/>
    <m/>
    <m/>
    <m/>
    <m/>
  </r>
  <r>
    <x v="80"/>
    <s v="BOL"/>
    <s v="005"/>
    <s v="00000104"/>
    <x v="288"/>
    <s v="C7L474"/>
    <d v="2020-01-09T00:00:00"/>
    <s v="70524507"/>
    <s v="HAYOR LATOUR ALESSANDRA ISABEL"/>
    <s v="2908010003"/>
    <s v="AMPLIACION MEC"/>
    <s v="000"/>
    <s v="001"/>
    <s v="CONTADO"/>
    <s v="002"/>
    <s v="MANTENIMIENTO-MECANICA"/>
    <s v="S/."/>
    <n v="3.335"/>
    <n v="1"/>
    <n v="120"/>
    <n v="120"/>
    <n v="21.600010000000019"/>
    <n v="141.60001000000003"/>
    <n v="120"/>
    <m/>
    <m/>
    <m/>
    <m/>
    <m/>
    <m/>
    <m/>
    <m/>
    <m/>
    <m/>
    <m/>
    <m/>
    <m/>
    <m/>
    <m/>
    <m/>
    <m/>
    <m/>
    <m/>
    <m/>
    <m/>
    <m/>
    <m/>
    <m/>
  </r>
  <r>
    <x v="80"/>
    <s v="BOL"/>
    <s v="005"/>
    <s v="00000104"/>
    <x v="288"/>
    <s v="C7L474"/>
    <d v="2020-01-09T00:00:00"/>
    <s v="70524507"/>
    <s v="HAYOR LATOUR ALESSANDRA ISABEL"/>
    <s v="2908010003"/>
    <s v="AMPLIACION Y CORRECION DE ANGULO"/>
    <s v="000"/>
    <s v="001"/>
    <s v="CONTADO"/>
    <s v="002"/>
    <s v="MANTENIMIENTO-MECANICA"/>
    <s v="S/."/>
    <n v="3.335"/>
    <n v="1"/>
    <n v="150"/>
    <n v="150"/>
    <n v="27"/>
    <n v="177"/>
    <n v="150"/>
    <m/>
    <m/>
    <m/>
    <m/>
    <m/>
    <m/>
    <m/>
    <m/>
    <m/>
    <m/>
    <m/>
    <m/>
    <m/>
    <m/>
    <m/>
    <m/>
    <m/>
    <m/>
    <m/>
    <m/>
    <m/>
    <m/>
    <m/>
    <m/>
  </r>
  <r>
    <x v="80"/>
    <s v="BOL"/>
    <s v="005"/>
    <s v="00000104"/>
    <x v="288"/>
    <s v="C7L474"/>
    <d v="2020-01-09T00:00:00"/>
    <s v="70524507"/>
    <s v="HAYOR LATOUR ALESSANDRA ISABEL"/>
    <s v="2908010003"/>
    <s v="AMPLIACION REPUESTOS"/>
    <s v="000"/>
    <s v="001"/>
    <s v="CONTADO"/>
    <s v="002"/>
    <s v="MANTENIMIENTO-MECANICA"/>
    <s v="S/."/>
    <n v="3.335"/>
    <n v="1"/>
    <n v="1373.9576000000002"/>
    <n v="1373.9576000000002"/>
    <n v="247.31239999999991"/>
    <n v="1621.27"/>
    <n v="1373.9576000000002"/>
    <m/>
    <m/>
    <m/>
    <m/>
    <m/>
    <m/>
    <m/>
    <m/>
    <m/>
    <m/>
    <m/>
    <m/>
    <m/>
    <m/>
    <m/>
    <m/>
    <m/>
    <m/>
    <m/>
    <m/>
    <m/>
    <m/>
    <m/>
    <m/>
  </r>
  <r>
    <x v="80"/>
    <s v="BOL"/>
    <s v="005"/>
    <s v="00000104"/>
    <x v="288"/>
    <s v="C7L474"/>
    <d v="2020-01-09T00:00:00"/>
    <s v="70524507"/>
    <s v="HAYOR LATOUR ALESSANDRA ISABEL"/>
    <s v="2908010003"/>
    <s v="REP TERCEROS"/>
    <s v="000"/>
    <s v="001"/>
    <s v="CONTADO"/>
    <s v="002"/>
    <s v="MANTENIMIENTO-MECANICA"/>
    <s v="S/."/>
    <n v="3.335"/>
    <n v="1"/>
    <n v="60"/>
    <n v="60"/>
    <n v="10.800002999999997"/>
    <n v="70.800003000000004"/>
    <n v="60"/>
    <m/>
    <m/>
    <m/>
    <m/>
    <m/>
    <m/>
    <m/>
    <m/>
    <m/>
    <m/>
    <m/>
    <m/>
    <m/>
    <m/>
    <m/>
    <m/>
    <m/>
    <m/>
    <m/>
    <m/>
    <m/>
    <m/>
    <m/>
    <m/>
  </r>
  <r>
    <x v="80"/>
    <s v="BOL"/>
    <s v="005"/>
    <s v="00000104"/>
    <x v="288"/>
    <s v="C7L474"/>
    <d v="2020-01-09T00:00:00"/>
    <s v="70524507"/>
    <s v="HAYOR LATOUR ALESSANDRA ISABEL"/>
    <s v="2908010003"/>
    <s v="ampliacion repuesto"/>
    <s v="000"/>
    <s v="001"/>
    <s v="CONTADO"/>
    <s v="002"/>
    <s v="MANTENIMIENTO-MECANICA"/>
    <s v="S/."/>
    <n v="3.335"/>
    <n v="1"/>
    <n v="300"/>
    <n v="300"/>
    <n v="54"/>
    <n v="354"/>
    <n v="300"/>
    <m/>
    <m/>
    <m/>
    <m/>
    <m/>
    <m/>
    <m/>
    <m/>
    <m/>
    <m/>
    <m/>
    <m/>
    <m/>
    <m/>
    <m/>
    <m/>
    <m/>
    <m/>
    <m/>
    <m/>
    <m/>
    <m/>
    <m/>
    <m/>
  </r>
  <r>
    <x v="80"/>
    <s v="BOL"/>
    <s v="005"/>
    <s v="00000104"/>
    <x v="288"/>
    <s v="C7L474"/>
    <d v="2020-01-09T00:00:00"/>
    <s v="70524507"/>
    <s v="HAYOR LATOUR ALESSANDRA ISABEL"/>
    <s v="320001"/>
    <s v="REPUESTOS"/>
    <s v="000"/>
    <s v="001"/>
    <s v="CONTADO"/>
    <s v="002"/>
    <s v="MANTENIMIENTO-MECANICA"/>
    <s v="S/."/>
    <n v="3.335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1"/>
    <s v="BOL"/>
    <s v="005"/>
    <s v="00000105"/>
    <x v="279"/>
    <s v="BKR397"/>
    <d v="2020-01-20T00:00:00"/>
    <s v="42906478"/>
    <s v="LLALLICO GAMARRA MARCO"/>
    <s v="310120"/>
    <s v="FRANQUICIA"/>
    <s v="000"/>
    <s v="001"/>
    <s v="CONTADO"/>
    <s v="002"/>
    <s v="MANTENIMIENTO-MECANICA"/>
    <s v="$"/>
    <n v="3.3599999"/>
    <n v="1"/>
    <n v="270.38979999999998"/>
    <n v="270.38979999999998"/>
    <n v="48.670200000000044"/>
    <n v="319.06"/>
    <n v="908.50970096101992"/>
    <m/>
    <m/>
    <m/>
    <m/>
    <m/>
    <m/>
    <m/>
    <m/>
    <m/>
    <m/>
    <m/>
    <m/>
    <m/>
    <m/>
    <m/>
    <m/>
    <m/>
    <m/>
    <m/>
    <m/>
    <m/>
    <m/>
    <m/>
    <m/>
  </r>
  <r>
    <x v="81"/>
    <s v="BOL"/>
    <s v="005"/>
    <s v="00000106"/>
    <x v="280"/>
    <s v="C0X378"/>
    <d v="2020-01-16T00:00:00"/>
    <s v="08386734"/>
    <s v="TEJADA CONCEPCION RICARDO"/>
    <s v="310120"/>
    <s v="FRANQUICIA"/>
    <s v="000"/>
    <s v="001"/>
    <s v="CONTADO"/>
    <s v="002"/>
    <s v="MANTENIMIENTO-MECANICA"/>
    <s v="$"/>
    <n v="3.3599999"/>
    <n v="1"/>
    <n v="412.87288999999987"/>
    <n v="412.87288999999987"/>
    <n v="74.317110000000099"/>
    <n v="487.19"/>
    <n v="1387.2528691127106"/>
    <m/>
    <m/>
    <m/>
    <m/>
    <m/>
    <m/>
    <m/>
    <m/>
    <m/>
    <m/>
    <m/>
    <m/>
    <m/>
    <m/>
    <m/>
    <m/>
    <m/>
    <m/>
    <m/>
    <m/>
    <m/>
    <m/>
    <m/>
    <m/>
  </r>
  <r>
    <x v="81"/>
    <s v="BOL"/>
    <s v="005"/>
    <s v="00000107"/>
    <x v="289"/>
    <s v="C0X378"/>
    <d v="2020-01-22T00:00:00"/>
    <s v="08386734"/>
    <s v="TEJADA CONCEPCION RICARDO"/>
    <s v="1302020001"/>
    <s v="PINTURA"/>
    <s v="000"/>
    <s v="001"/>
    <s v="CONTADO"/>
    <s v="009"/>
    <s v="PINTURA"/>
    <s v="$"/>
    <n v="3.3599999"/>
    <n v="1"/>
    <n v="120"/>
    <n v="120"/>
    <n v="21.600010000000019"/>
    <n v="141.60001000000003"/>
    <n v="403.19998800000002"/>
    <m/>
    <m/>
    <m/>
    <m/>
    <m/>
    <m/>
    <m/>
    <m/>
    <m/>
    <m/>
    <m/>
    <m/>
    <m/>
    <m/>
    <m/>
    <m/>
    <m/>
    <m/>
    <m/>
    <m/>
    <m/>
    <m/>
    <m/>
    <m/>
  </r>
  <r>
    <x v="81"/>
    <s v="BOL"/>
    <s v="005"/>
    <s v="00000107"/>
    <x v="289"/>
    <s v="C0X378"/>
    <d v="2020-01-22T00:00:00"/>
    <s v="08386734"/>
    <s v="TEJADA CONCEPCION RICARDO"/>
    <s v="1201020001"/>
    <s v="PLANCHADO"/>
    <s v="000"/>
    <s v="001"/>
    <s v="CONTADO"/>
    <s v="001"/>
    <s v="PLANCHADO"/>
    <s v="$"/>
    <n v="3.3599999"/>
    <n v="1"/>
    <n v="75"/>
    <n v="75"/>
    <n v="13.5"/>
    <n v="88.5"/>
    <n v="251.99999249999999"/>
    <m/>
    <m/>
    <m/>
    <m/>
    <m/>
    <m/>
    <m/>
    <m/>
    <m/>
    <m/>
    <m/>
    <m/>
    <m/>
    <m/>
    <m/>
    <m/>
    <m/>
    <m/>
    <m/>
    <m/>
    <m/>
    <m/>
    <m/>
    <m/>
  </r>
  <r>
    <x v="81"/>
    <s v="BOL"/>
    <s v="005"/>
    <s v="00000107"/>
    <x v="289"/>
    <s v="C0X378"/>
    <d v="2020-01-22T00:00:00"/>
    <s v="08386734"/>
    <s v="TEJADA CONCEPCION RICARDO"/>
    <s v="2908010001"/>
    <s v="TERCEROS"/>
    <s v="000"/>
    <s v="001"/>
    <s v="CONTADO"/>
    <s v="002"/>
    <s v="MANTENIMIENTO-MECANICA"/>
    <s v="$"/>
    <n v="3.3599999"/>
    <n v="1"/>
    <n v="30"/>
    <n v="30"/>
    <n v="5.4000019999999997"/>
    <n v="35.400002000000001"/>
    <n v="100.799997"/>
    <m/>
    <m/>
    <m/>
    <m/>
    <m/>
    <m/>
    <m/>
    <m/>
    <m/>
    <m/>
    <m/>
    <m/>
    <m/>
    <m/>
    <m/>
    <m/>
    <m/>
    <m/>
    <m/>
    <m/>
    <m/>
    <m/>
    <m/>
    <m/>
  </r>
  <r>
    <x v="81"/>
    <s v="BOL"/>
    <s v="005"/>
    <s v="00000107"/>
    <x v="289"/>
    <s v="C0X378"/>
    <d v="2020-01-22T00:00:00"/>
    <s v="08386734"/>
    <s v="TEJADA CONCEPCION RICARDO"/>
    <s v="2908010002"/>
    <s v="AMPLIACION TERCEROS"/>
    <s v="000"/>
    <s v="001"/>
    <s v="CONTADO"/>
    <s v="002"/>
    <s v="MANTENIMIENTO-MECANICA"/>
    <s v="$"/>
    <n v="3.3599999"/>
    <n v="1"/>
    <n v="40"/>
    <n v="40"/>
    <n v="7.2000010000000021"/>
    <n v="47.200001"/>
    <n v="134.39999599999999"/>
    <m/>
    <m/>
    <m/>
    <m/>
    <m/>
    <m/>
    <m/>
    <m/>
    <m/>
    <m/>
    <m/>
    <m/>
    <m/>
    <m/>
    <m/>
    <m/>
    <m/>
    <m/>
    <m/>
    <m/>
    <m/>
    <m/>
    <m/>
    <m/>
  </r>
  <r>
    <x v="62"/>
    <s v="ABO"/>
    <s v="005"/>
    <s v="00000014"/>
    <x v="290"/>
    <n v="0"/>
    <d v="2020-01-04T00:00:00"/>
    <s v="20100041953"/>
    <s v="RIMAC SEGUROS  Y REASEGUROS S.A"/>
    <s v="1302020001"/>
    <s v="PINTURA"/>
    <s v="001"/>
    <s v="001"/>
    <s v="CONTADO"/>
    <s v="009"/>
    <s v="PINTURA"/>
    <s v="$"/>
    <n v="3.3169999000000003"/>
    <n v="-1"/>
    <n v="-236"/>
    <n v="-236"/>
    <n v="-42.48001"/>
    <n v="-278.48000999999999"/>
    <n v="-782.81197640000005"/>
    <m/>
    <m/>
    <m/>
    <m/>
    <m/>
    <m/>
    <m/>
    <m/>
    <m/>
    <m/>
    <m/>
    <m/>
    <m/>
    <m/>
    <m/>
    <m/>
    <m/>
    <m/>
    <m/>
    <m/>
    <m/>
    <m/>
    <m/>
    <m/>
  </r>
  <r>
    <x v="62"/>
    <s v="ABO"/>
    <s v="005"/>
    <s v="00000014"/>
    <x v="290"/>
    <n v="0"/>
    <d v="2020-01-04T00:00:00"/>
    <s v="20100041953"/>
    <s v="RIMAC SEGUROS  Y REASEGUROS S.A"/>
    <s v="1201020001"/>
    <s v="PLANCHADO"/>
    <s v="001"/>
    <s v="001"/>
    <s v="CONTADO"/>
    <s v="001"/>
    <s v="PLANCHADO"/>
    <s v="$"/>
    <n v="3.3169999000000003"/>
    <n v="-1"/>
    <n v="-183.75419999999997"/>
    <n v="-183.75419999999997"/>
    <n v="-33.075800000000015"/>
    <n v="-216.83"/>
    <n v="-609.51266302457998"/>
    <m/>
    <m/>
    <m/>
    <m/>
    <m/>
    <m/>
    <m/>
    <m/>
    <m/>
    <m/>
    <m/>
    <m/>
    <m/>
    <m/>
    <m/>
    <m/>
    <m/>
    <m/>
    <m/>
    <m/>
    <m/>
    <m/>
    <m/>
    <m/>
  </r>
  <r>
    <x v="62"/>
    <s v="ABO"/>
    <s v="005"/>
    <s v="00000014"/>
    <x v="290"/>
    <n v="0"/>
    <d v="2020-01-04T00:00:00"/>
    <s v="20100041953"/>
    <s v="RIMAC SEGUROS  Y REASEGUROS S.A"/>
    <s v="310120"/>
    <s v="FRANQUICIA"/>
    <s v="001"/>
    <s v="001"/>
    <s v="CONTADO"/>
    <s v="002"/>
    <s v="MANTENIMIENTO-MECANICA"/>
    <s v="$"/>
    <n v="3.3169999000000003"/>
    <n v="1"/>
    <n v="-130.18639999999999"/>
    <n v="130.18639999999999"/>
    <n v="23.433600000000006"/>
    <n v="153.62"/>
    <n v="431.82827578135999"/>
    <m/>
    <m/>
    <m/>
    <m/>
    <m/>
    <m/>
    <m/>
    <m/>
    <m/>
    <m/>
    <m/>
    <m/>
    <m/>
    <m/>
    <m/>
    <m/>
    <m/>
    <m/>
    <m/>
    <m/>
    <m/>
    <m/>
    <m/>
    <m/>
  </r>
  <r>
    <x v="62"/>
    <s v="ABO"/>
    <s v="005"/>
    <s v="00000014"/>
    <x v="290"/>
    <n v="0"/>
    <d v="2020-01-04T00:00:00"/>
    <s v="20100041953"/>
    <s v="RIMAC SEGUROS  Y REASEGUROS S.A"/>
    <s v="320001"/>
    <s v="REPUESTOS"/>
    <s v="001"/>
    <s v="001"/>
    <s v="CONTADO"/>
    <s v="002"/>
    <s v="MANTENIMIENTO-MECANICA"/>
    <s v="$"/>
    <n v="3.3169999000000003"/>
    <n v="-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2"/>
    <s v="FAC"/>
    <s v="005"/>
    <s v="00000314"/>
    <x v="291"/>
    <s v="AYQ680"/>
    <d v="2020-01-22T00:00:00"/>
    <s v="20100041953"/>
    <s v="RIMAC SEGUROS  Y REASEGUROS S.A"/>
    <s v="1302020001"/>
    <s v="PINTURA"/>
    <s v="000"/>
    <s v="001"/>
    <s v="CONTADO"/>
    <s v="009"/>
    <s v="PINTURA"/>
    <s v="$"/>
    <n v="3.3759999000000001"/>
    <n v="1"/>
    <n v="59"/>
    <n v="59"/>
    <n v="10.620002999999997"/>
    <n v="69.620002999999997"/>
    <n v="199.18399410000001"/>
    <m/>
    <m/>
    <m/>
    <m/>
    <m/>
    <m/>
    <m/>
    <m/>
    <m/>
    <m/>
    <m/>
    <m/>
    <m/>
    <m/>
    <m/>
    <m/>
    <m/>
    <m/>
    <m/>
    <m/>
    <m/>
    <m/>
    <m/>
    <m/>
  </r>
  <r>
    <x v="82"/>
    <s v="FAC"/>
    <s v="005"/>
    <s v="00000314"/>
    <x v="291"/>
    <s v="AYQ680"/>
    <d v="2020-01-22T00:00:00"/>
    <s v="20100041953"/>
    <s v="RIMAC SEGUROS  Y REASEGUROS S.A"/>
    <s v="1201020001"/>
    <s v="PLANCHADO"/>
    <s v="000"/>
    <s v="001"/>
    <s v="CONTADO"/>
    <s v="001"/>
    <s v="PLANCHADO"/>
    <s v="$"/>
    <n v="3.3759999000000001"/>
    <n v="1"/>
    <n v="45"/>
    <n v="45"/>
    <n v="8.0999980000000047"/>
    <n v="53.099998000000006"/>
    <n v="151.9199955"/>
    <m/>
    <m/>
    <m/>
    <m/>
    <m/>
    <m/>
    <m/>
    <m/>
    <m/>
    <m/>
    <m/>
    <m/>
    <m/>
    <m/>
    <m/>
    <m/>
    <m/>
    <m/>
    <m/>
    <m/>
    <m/>
    <m/>
    <m/>
    <m/>
  </r>
  <r>
    <x v="82"/>
    <s v="FAC"/>
    <s v="005"/>
    <s v="00000314"/>
    <x v="291"/>
    <s v="AYQ680"/>
    <d v="2020-01-22T00:00:00"/>
    <s v="20100041953"/>
    <s v="RIMAC SEGUROS  Y REASEGUROS S.A"/>
    <s v="2908010001"/>
    <s v="TERCEROS"/>
    <s v="000"/>
    <s v="001"/>
    <s v="CONTADO"/>
    <s v="002"/>
    <s v="MANTENIMIENTO-MECANICA"/>
    <s v="$"/>
    <n v="3.3759999000000001"/>
    <n v="1"/>
    <n v="30"/>
    <n v="30"/>
    <n v="5.4000019999999997"/>
    <n v="35.400002000000001"/>
    <n v="101.27999700000001"/>
    <m/>
    <m/>
    <m/>
    <m/>
    <m/>
    <m/>
    <m/>
    <m/>
    <m/>
    <m/>
    <m/>
    <m/>
    <m/>
    <m/>
    <m/>
    <m/>
    <m/>
    <m/>
    <m/>
    <m/>
    <m/>
    <m/>
    <m/>
    <m/>
  </r>
  <r>
    <x v="82"/>
    <s v="FAC"/>
    <s v="005"/>
    <s v="00000314"/>
    <x v="291"/>
    <s v="AYQ680"/>
    <d v="2020-01-22T00:00:00"/>
    <s v="20100041953"/>
    <s v="RIMAC SEGUROS  Y REASEGUROS S.A"/>
    <s v="310120"/>
    <s v="FRANQUICIA"/>
    <s v="000"/>
    <s v="001"/>
    <s v="CONTADO"/>
    <s v="002"/>
    <s v="MANTENIMIENTO-MECANICA"/>
    <s v="$"/>
    <n v="3.3759999000000001"/>
    <n v="-1"/>
    <n v="100"/>
    <n v="-100"/>
    <n v="-18"/>
    <n v="-118"/>
    <n v="-337.59998999999999"/>
    <m/>
    <m/>
    <m/>
    <m/>
    <m/>
    <m/>
    <m/>
    <m/>
    <m/>
    <m/>
    <m/>
    <m/>
    <m/>
    <m/>
    <m/>
    <m/>
    <m/>
    <m/>
    <m/>
    <m/>
    <m/>
    <m/>
    <m/>
    <m/>
  </r>
  <r>
    <x v="82"/>
    <s v="FAC"/>
    <s v="005"/>
    <s v="00000314"/>
    <x v="291"/>
    <s v="AYQ680"/>
    <d v="2020-01-22T00:00:00"/>
    <s v="20100041953"/>
    <s v="RIMAC SEGUROS  Y REASEGUROS S.A"/>
    <s v="320001"/>
    <s v="REPUESTOS"/>
    <s v="000"/>
    <s v="001"/>
    <s v="CONTADO"/>
    <s v="002"/>
    <s v="MANTENIMIENTO-MECANICA"/>
    <s v="$"/>
    <n v="3.375999900000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2"/>
    <s v="FAC"/>
    <s v="005"/>
    <s v="00000315"/>
    <x v="292"/>
    <s v="AYQ680"/>
    <d v="2020-01-22T00:00:00"/>
    <s v="20100041953"/>
    <s v="RIMAC SEGUROS  Y REASEGUROS S.A"/>
    <s v="1302020001"/>
    <s v="PINTURA"/>
    <s v="000"/>
    <s v="001"/>
    <s v="CONTADO"/>
    <s v="009"/>
    <s v="PINTURA"/>
    <s v="$"/>
    <n v="3.3759999000000001"/>
    <n v="1"/>
    <n v="147.5"/>
    <n v="147.5"/>
    <n v="26.55"/>
    <n v="174.05"/>
    <n v="497.95998524999999"/>
    <m/>
    <m/>
    <m/>
    <m/>
    <m/>
    <m/>
    <m/>
    <m/>
    <m/>
    <m/>
    <m/>
    <m/>
    <m/>
    <m/>
    <m/>
    <m/>
    <m/>
    <m/>
    <m/>
    <m/>
    <m/>
    <m/>
    <m/>
    <m/>
  </r>
  <r>
    <x v="82"/>
    <s v="FAC"/>
    <s v="005"/>
    <s v="00000315"/>
    <x v="292"/>
    <s v="AYQ680"/>
    <d v="2020-01-22T00:00:00"/>
    <s v="20100041953"/>
    <s v="RIMAC SEGUROS  Y REASEGUROS S.A"/>
    <s v="1201020001"/>
    <s v="PLANCHADO"/>
    <s v="000"/>
    <s v="001"/>
    <s v="CONTADO"/>
    <s v="001"/>
    <s v="PLANCHADO"/>
    <s v="$"/>
    <n v="3.3759999000000001"/>
    <n v="1"/>
    <n v="210"/>
    <n v="210"/>
    <n v="37.799999999999997"/>
    <n v="247.8"/>
    <n v="708.95997899999998"/>
    <m/>
    <m/>
    <m/>
    <m/>
    <m/>
    <m/>
    <m/>
    <m/>
    <m/>
    <m/>
    <m/>
    <m/>
    <m/>
    <m/>
    <m/>
    <m/>
    <m/>
    <m/>
    <m/>
    <m/>
    <m/>
    <m/>
    <m/>
    <m/>
  </r>
  <r>
    <x v="82"/>
    <s v="FAC"/>
    <s v="005"/>
    <s v="00000315"/>
    <x v="292"/>
    <s v="AYQ680"/>
    <d v="2020-01-22T00:00:00"/>
    <s v="20100041953"/>
    <s v="RIMAC SEGUROS  Y REASEGUROS S.A"/>
    <s v="2908010001"/>
    <s v="TERCEROS"/>
    <s v="000"/>
    <s v="001"/>
    <s v="CONTADO"/>
    <s v="002"/>
    <s v="MANTENIMIENTO-MECANICA"/>
    <s v="$"/>
    <n v="3.3759999000000001"/>
    <n v="1"/>
    <n v="50"/>
    <n v="50"/>
    <n v="9"/>
    <n v="59"/>
    <n v="168.799995"/>
    <m/>
    <m/>
    <m/>
    <m/>
    <m/>
    <m/>
    <m/>
    <m/>
    <m/>
    <m/>
    <m/>
    <m/>
    <m/>
    <m/>
    <m/>
    <m/>
    <m/>
    <m/>
    <m/>
    <m/>
    <m/>
    <m/>
    <m/>
    <m/>
  </r>
  <r>
    <x v="82"/>
    <s v="FAC"/>
    <s v="005"/>
    <s v="00000315"/>
    <x v="292"/>
    <s v="AYQ680"/>
    <d v="2020-01-22T00:00:00"/>
    <s v="20100041953"/>
    <s v="RIMAC SEGUROS  Y REASEGUROS S.A"/>
    <s v="310120"/>
    <s v="FRANQUICIA"/>
    <s v="000"/>
    <s v="001"/>
    <s v="CONTADO"/>
    <s v="002"/>
    <s v="MANTENIMIENTO-MECANICA"/>
    <s v="$"/>
    <n v="3.3759999000000001"/>
    <n v="-1"/>
    <n v="0"/>
    <n v="-"/>
    <n v="-"/>
    <n v="-"/>
    <n v="0"/>
    <m/>
    <m/>
    <m/>
    <m/>
    <m/>
    <m/>
    <m/>
    <m/>
    <m/>
    <m/>
    <m/>
    <m/>
    <m/>
    <m/>
    <m/>
    <m/>
    <m/>
    <m/>
    <m/>
    <m/>
    <m/>
    <m/>
    <m/>
    <m/>
  </r>
  <r>
    <x v="82"/>
    <s v="FAC"/>
    <s v="005"/>
    <s v="00000315"/>
    <x v="292"/>
    <s v="AYQ680"/>
    <d v="2020-01-22T00:00:00"/>
    <s v="20100041953"/>
    <s v="RIMAC SEGUROS  Y REASEGUROS S.A"/>
    <s v="320001"/>
    <s v="REPUESTOS"/>
    <s v="000"/>
    <s v="001"/>
    <s v="CONTADO"/>
    <s v="002"/>
    <s v="MANTENIMIENTO-MECANICA"/>
    <s v="$"/>
    <n v="3.375999900000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3"/>
    <s v="FAC"/>
    <s v="005"/>
    <s v="00000316"/>
    <x v="293"/>
    <s v="F8V681"/>
    <d v="2020-01-24T00:00:00"/>
    <s v="20516542692"/>
    <s v="CONSULTING CENTER SAC"/>
    <s v="2908010001"/>
    <s v="TERCEROS"/>
    <s v="000"/>
    <s v="001"/>
    <s v="CONTADO"/>
    <s v="002"/>
    <s v="MANTENIMIENTO-MECANICA"/>
    <s v="$"/>
    <n v="3.3759999000000001"/>
    <n v="1"/>
    <n v="95.60169999999998"/>
    <n v="95.60169999999998"/>
    <n v="17.208300000000019"/>
    <n v="112.81"/>
    <n v="322.75132963982992"/>
    <m/>
    <m/>
    <m/>
    <m/>
    <m/>
    <m/>
    <m/>
    <m/>
    <m/>
    <m/>
    <m/>
    <m/>
    <m/>
    <m/>
    <m/>
    <m/>
    <m/>
    <m/>
    <m/>
    <m/>
    <m/>
    <m/>
    <m/>
    <m/>
  </r>
  <r>
    <x v="83"/>
    <s v="FAC"/>
    <s v="005"/>
    <s v="00000316"/>
    <x v="293"/>
    <s v="F8V681"/>
    <d v="2020-01-24T00:00:00"/>
    <s v="20516542692"/>
    <s v="CONSULTING CENTER SAC"/>
    <s v="310255"/>
    <s v="DESCUENTO"/>
    <s v="000"/>
    <s v="001"/>
    <s v="CONTADO"/>
    <s v="002"/>
    <s v="MANTENIMIENTO-MECANICA"/>
    <s v="$"/>
    <n v="3.3759999000000001"/>
    <n v="-1"/>
    <n v="194.32201000000001"/>
    <n v="-194.32201000000001"/>
    <n v="-34.977989999999991"/>
    <n v="-229.3"/>
    <n v="-656.03108632779902"/>
    <m/>
    <m/>
    <m/>
    <m/>
    <m/>
    <m/>
    <m/>
    <m/>
    <m/>
    <m/>
    <m/>
    <m/>
    <m/>
    <m/>
    <m/>
    <m/>
    <m/>
    <m/>
    <m/>
    <m/>
    <m/>
    <m/>
    <m/>
    <m/>
  </r>
  <r>
    <x v="83"/>
    <s v="FAC"/>
    <s v="005"/>
    <s v="00000316"/>
    <x v="293"/>
    <s v="F8V681"/>
    <d v="2020-01-24T00:00:00"/>
    <s v="20516542692"/>
    <s v="CONSULTING CENTER SAC"/>
    <s v="2908010002"/>
    <s v="AMPLIACION TERCEROS"/>
    <s v="000"/>
    <s v="001"/>
    <s v="CONTADO"/>
    <s v="002"/>
    <s v="MANTENIMIENTO-MECANICA"/>
    <s v="$"/>
    <n v="3.3759999000000001"/>
    <n v="1"/>
    <n v="54"/>
    <n v="54"/>
    <n v="9.7200010000000017"/>
    <n v="63.720001000000003"/>
    <n v="182.30399460000001"/>
    <m/>
    <m/>
    <m/>
    <m/>
    <m/>
    <m/>
    <m/>
    <m/>
    <m/>
    <m/>
    <m/>
    <m/>
    <m/>
    <m/>
    <m/>
    <m/>
    <m/>
    <m/>
    <m/>
    <m/>
    <m/>
    <m/>
    <m/>
    <m/>
  </r>
  <r>
    <x v="83"/>
    <s v="FAC"/>
    <s v="005"/>
    <s v="00000316"/>
    <x v="293"/>
    <s v="F8V681"/>
    <d v="2020-01-24T00:00:00"/>
    <s v="20516542692"/>
    <s v="CONSULTING CENTER SAC"/>
    <s v="2805010001"/>
    <s v="SERVICIOS"/>
    <s v="000"/>
    <s v="001"/>
    <s v="CONTADO"/>
    <s v="002"/>
    <s v="MANTENIMIENTO-MECANICA"/>
    <s v="$"/>
    <n v="3.3759999000000001"/>
    <n v="1"/>
    <n v="90"/>
    <n v="90"/>
    <n v="16.2"/>
    <n v="106.2"/>
    <n v="303.839991"/>
    <m/>
    <m/>
    <m/>
    <m/>
    <m/>
    <m/>
    <m/>
    <m/>
    <m/>
    <m/>
    <m/>
    <m/>
    <m/>
    <m/>
    <m/>
    <m/>
    <m/>
    <m/>
    <m/>
    <m/>
    <m/>
    <m/>
    <m/>
    <m/>
  </r>
  <r>
    <x v="83"/>
    <s v="FAC"/>
    <s v="005"/>
    <s v="00000316"/>
    <x v="293"/>
    <s v="F8V681"/>
    <d v="2020-01-24T00:00:00"/>
    <s v="20516542692"/>
    <s v="CONSULTING CENTER SAC"/>
    <s v="320001"/>
    <s v="REPUESTOS"/>
    <s v="000"/>
    <s v="001"/>
    <s v="CONTADO"/>
    <s v="002"/>
    <s v="MANTENIMIENTO-MECANICA"/>
    <s v="$"/>
    <n v="3.3759999000000001"/>
    <n v="1"/>
    <n v="1757.6187"/>
    <n v="1757.6187"/>
    <n v="316.37129999999974"/>
    <n v="2073.9899999999998"/>
    <n v="5933.7205554381298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17"/>
    <x v="294"/>
    <s v="AUO555"/>
    <d v="2020-01-21T00:00:00"/>
    <s v="20545994985"/>
    <s v="CERAMICOS BARCELONA SAC"/>
    <s v="1302020001"/>
    <s v="PINTURA"/>
    <s v="000"/>
    <s v="001"/>
    <s v="CONTADO"/>
    <s v="009"/>
    <s v="PINTURA"/>
    <s v="S/."/>
    <n v="3.3740000999999999"/>
    <n v="1"/>
    <n v="199"/>
    <n v="199"/>
    <n v="35.820010000000003"/>
    <n v="234.82001"/>
    <n v="199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17"/>
    <x v="294"/>
    <s v="AUO555"/>
    <d v="2020-01-21T00:00:00"/>
    <s v="20545994985"/>
    <s v="CERAMICOS BARCELONA SAC"/>
    <s v="1201020001"/>
    <s v="PLANCHADO"/>
    <s v="000"/>
    <s v="001"/>
    <s v="CONTADO"/>
    <s v="001"/>
    <s v="PLANCHADO"/>
    <s v="S/."/>
    <n v="3.3740000999999999"/>
    <n v="1"/>
    <n v="97.610198999999994"/>
    <n v="97.610198999999994"/>
    <n v="17.569801000000005"/>
    <n v="115.18"/>
    <n v="97.610198999999994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17"/>
    <x v="294"/>
    <s v="AUO555"/>
    <d v="2020-01-21T00:00:00"/>
    <s v="20545994985"/>
    <s v="CERAMICOS BARCELONA SAC"/>
    <s v="2908010002"/>
    <s v="AMPLIACION TERCEROS"/>
    <s v="000"/>
    <s v="001"/>
    <s v="CONTADO"/>
    <s v="002"/>
    <s v="MANTENIMIENTO-MECANICA"/>
    <s v="S/."/>
    <n v="3.3740000999999999"/>
    <n v="1"/>
    <n v="244.06778999999995"/>
    <n v="244.06778999999995"/>
    <n v="43.932210000000048"/>
    <n v="288"/>
    <n v="244.06778999999995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18"/>
    <x v="295"/>
    <s v="D6B575"/>
    <d v="2020-01-28T00:00:00"/>
    <s v="20265797599"/>
    <s v="LINDER INGENIEROS GRAFICOS CONSULTORES SAC"/>
    <s v="310120"/>
    <s v="FRANQUICIA"/>
    <s v="000"/>
    <s v="001"/>
    <s v="CONTADO"/>
    <s v="002"/>
    <s v="MANTENIMIENTO-MECANICA"/>
    <s v="$"/>
    <n v="3.3740000999999999"/>
    <n v="1"/>
    <n v="100"/>
    <n v="100"/>
    <n v="18"/>
    <n v="118"/>
    <n v="337.40001000000001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19"/>
    <x v="295"/>
    <s v="D6B575"/>
    <d v="2020-01-28T00:00:00"/>
    <s v="20100041953"/>
    <s v="RIMAC SEGUROS  Y REASEGUROS S.A"/>
    <s v="1302020001"/>
    <s v="PINTURA"/>
    <s v="000"/>
    <s v="001"/>
    <s v="CONTADO"/>
    <s v="009"/>
    <s v="PINTURA"/>
    <s v="$"/>
    <n v="3.3740000999999999"/>
    <n v="1"/>
    <n v="73.754203999999987"/>
    <n v="73.754203999999987"/>
    <n v="13.275795000000016"/>
    <n v="87.029999000000004"/>
    <n v="248.84669167142036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19"/>
    <x v="295"/>
    <s v="D6B575"/>
    <d v="2020-01-28T00:00:00"/>
    <s v="20100041953"/>
    <s v="RIMAC SEGUROS  Y REASEGUROS S.A"/>
    <s v="1201020001"/>
    <s v="PLANCHADO"/>
    <s v="000"/>
    <s v="001"/>
    <s v="CONTADO"/>
    <s v="001"/>
    <s v="PLANCHADO"/>
    <s v="$"/>
    <n v="3.3740000999999999"/>
    <n v="1"/>
    <n v="15"/>
    <n v="15"/>
    <n v="2.7000009999999999"/>
    <n v="17.700001"/>
    <n v="50.610001499999996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19"/>
    <x v="295"/>
    <s v="D6B575"/>
    <d v="2020-01-28T00:00:00"/>
    <s v="20100041953"/>
    <s v="RIMAC SEGUROS  Y REASEGUROS S.A"/>
    <s v="2908010001"/>
    <s v="TERCEROS"/>
    <s v="000"/>
    <s v="001"/>
    <s v="CONTADO"/>
    <s v="002"/>
    <s v="MANTENIMIENTO-MECANICA"/>
    <s v="$"/>
    <n v="3.3740000999999999"/>
    <n v="1"/>
    <n v="45"/>
    <n v="45"/>
    <n v="8.0999980000000047"/>
    <n v="53.099998000000006"/>
    <n v="151.8300045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19"/>
    <x v="295"/>
    <s v="D6B575"/>
    <d v="2020-01-28T00:00:00"/>
    <s v="20100041953"/>
    <s v="RIMAC SEGUROS  Y REASEGUROS S.A"/>
    <s v="310120"/>
    <s v="FRANQUICIA"/>
    <s v="000"/>
    <s v="001"/>
    <s v="CONTADO"/>
    <s v="002"/>
    <s v="MANTENIMIENTO-MECANICA"/>
    <s v="$"/>
    <n v="3.3740000999999999"/>
    <n v="-1"/>
    <n v="100"/>
    <n v="-100"/>
    <n v="-18"/>
    <n v="-118"/>
    <n v="-337.40001000000001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19"/>
    <x v="295"/>
    <s v="D6B575"/>
    <d v="2020-01-28T00:00:00"/>
    <s v="20100041953"/>
    <s v="RIMAC SEGUROS  Y REASEGUROS S.A"/>
    <s v="320001"/>
    <s v="REPUESTOS"/>
    <s v="000"/>
    <s v="001"/>
    <s v="CONTADO"/>
    <s v="002"/>
    <s v="MANTENIMIENTO-MECANICA"/>
    <s v="$"/>
    <n v="3.3740000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20"/>
    <x v="296"/>
    <s v="D6B575"/>
    <d v="2020-01-23T00:00:00"/>
    <s v="20265797599"/>
    <s v="LINDER INGENIEROS GRAFICOS CONSULTORES SAC"/>
    <s v="1302020001"/>
    <s v="PINTURA"/>
    <s v="000"/>
    <s v="001"/>
    <s v="CONTADO"/>
    <s v="009"/>
    <s v="PINTURA"/>
    <s v="$"/>
    <n v="3.3740000999999999"/>
    <n v="1"/>
    <n v="60"/>
    <n v="60"/>
    <n v="10.800002999999997"/>
    <n v="70.800003000000004"/>
    <n v="202.44000599999998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20"/>
    <x v="296"/>
    <s v="D6B575"/>
    <d v="2020-01-23T00:00:00"/>
    <s v="20265797599"/>
    <s v="LINDER INGENIEROS GRAFICOS CONSULTORES SAC"/>
    <s v="1201020001"/>
    <s v="PLANCHADO"/>
    <s v="000"/>
    <s v="001"/>
    <s v="CONTADO"/>
    <s v="001"/>
    <s v="PLANCHADO"/>
    <s v="$"/>
    <n v="3.3740000999999999"/>
    <n v="1"/>
    <n v="30"/>
    <n v="30"/>
    <n v="5.4000019999999997"/>
    <n v="35.400002000000001"/>
    <n v="101.22000299999999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20"/>
    <x v="296"/>
    <s v="D6B575"/>
    <d v="2020-01-23T00:00:00"/>
    <s v="20265797599"/>
    <s v="LINDER INGENIEROS GRAFICOS CONSULTORES SAC"/>
    <s v="2908010001"/>
    <s v="TERCEROS"/>
    <s v="000"/>
    <s v="001"/>
    <s v="CONTADO"/>
    <s v="002"/>
    <s v="MANTENIMIENTO-MECANICA"/>
    <s v="$"/>
    <n v="3.3740000999999999"/>
    <n v="1"/>
    <n v="60"/>
    <n v="60"/>
    <n v="10.800002999999997"/>
    <n v="70.800003000000004"/>
    <n v="202.44000599999998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21"/>
    <x v="297"/>
    <s v="AWL408"/>
    <d v="2020-01-27T00:00:00"/>
    <s v="10088908886"/>
    <s v="SALMON CORNEJO JUAN CARLOS"/>
    <s v="310120"/>
    <s v="FRANQUICIA"/>
    <s v="000"/>
    <s v="001"/>
    <s v="CONTADO"/>
    <s v="002"/>
    <s v="MANTENIMIENTO-MECANICA"/>
    <s v="$"/>
    <n v="3.3740000999999999"/>
    <n v="1"/>
    <n v="100"/>
    <n v="100"/>
    <n v="18"/>
    <n v="118"/>
    <n v="337.40001000000001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22"/>
    <x v="297"/>
    <s v="AWL408"/>
    <d v="2020-01-27T00:00:00"/>
    <s v="20100041953"/>
    <s v="RIMAC SEGUROS  Y REASEGUROS S.A"/>
    <s v="1302020001"/>
    <s v="PINTURA"/>
    <s v="000"/>
    <s v="001"/>
    <s v="CONTADO"/>
    <s v="009"/>
    <s v="PINTURA"/>
    <s v="$"/>
    <n v="3.3740000999999999"/>
    <n v="1"/>
    <n v="177"/>
    <n v="177"/>
    <n v="31.86"/>
    <n v="208.86"/>
    <n v="597.19801770000004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22"/>
    <x v="297"/>
    <s v="AWL408"/>
    <d v="2020-01-27T00:00:00"/>
    <s v="20100041953"/>
    <s v="RIMAC SEGUROS  Y REASEGUROS S.A"/>
    <s v="1201020001"/>
    <s v="PLANCHADO"/>
    <s v="000"/>
    <s v="001"/>
    <s v="CONTADO"/>
    <s v="001"/>
    <s v="PLANCHADO"/>
    <s v="$"/>
    <n v="3.3740000999999999"/>
    <n v="1"/>
    <n v="135"/>
    <n v="135"/>
    <n v="24.3"/>
    <n v="159.30000000000001"/>
    <n v="455.49001349999998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22"/>
    <x v="297"/>
    <s v="AWL408"/>
    <d v="2020-01-27T00:00:00"/>
    <s v="20100041953"/>
    <s v="RIMAC SEGUROS  Y REASEGUROS S.A"/>
    <s v="2908010001"/>
    <s v="TERCEROS"/>
    <s v="000"/>
    <s v="001"/>
    <s v="CONTADO"/>
    <s v="002"/>
    <s v="MANTENIMIENTO-MECANICA"/>
    <s v="$"/>
    <n v="3.3740000999999999"/>
    <n v="1"/>
    <n v="25"/>
    <n v="25"/>
    <n v="4.5"/>
    <n v="29.5"/>
    <n v="84.350002500000002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22"/>
    <x v="297"/>
    <s v="AWL408"/>
    <d v="2020-01-27T00:00:00"/>
    <s v="20100041953"/>
    <s v="RIMAC SEGUROS  Y REASEGUROS S.A"/>
    <s v="310120"/>
    <s v="FRANQUICIA"/>
    <s v="000"/>
    <s v="001"/>
    <s v="CONTADO"/>
    <s v="002"/>
    <s v="MANTENIMIENTO-MECANICA"/>
    <s v="$"/>
    <n v="3.3740000999999999"/>
    <n v="-1"/>
    <n v="100"/>
    <n v="-100"/>
    <n v="-18"/>
    <n v="-118"/>
    <n v="-337.40001000000001"/>
    <m/>
    <m/>
    <m/>
    <m/>
    <m/>
    <m/>
    <m/>
    <m/>
    <m/>
    <m/>
    <m/>
    <m/>
    <m/>
    <m/>
    <m/>
    <m/>
    <m/>
    <m/>
    <m/>
    <m/>
    <m/>
    <m/>
    <m/>
    <m/>
  </r>
  <r>
    <x v="84"/>
    <s v="FAC"/>
    <s v="005"/>
    <s v="00000322"/>
    <x v="297"/>
    <s v="AWL408"/>
    <d v="2020-01-27T00:00:00"/>
    <s v="20100041953"/>
    <s v="RIMAC SEGUROS  Y REASEGUROS S.A"/>
    <s v="320001"/>
    <s v="REPUESTOS"/>
    <s v="000"/>
    <s v="001"/>
    <s v="CONTADO"/>
    <s v="002"/>
    <s v="MANTENIMIENTO-MECANICA"/>
    <s v="$"/>
    <n v="3.3740000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5"/>
    <s v="FAC"/>
    <s v="005"/>
    <s v="00000323"/>
    <x v="298"/>
    <s v="BDG262"/>
    <d v="2020-01-28T00:00:00"/>
    <s v="20100041953"/>
    <s v="RIMAC SEGUROS  Y REASEGUROS S.A"/>
    <s v="1302020001"/>
    <s v="PINTURA"/>
    <s v="000"/>
    <s v="001"/>
    <s v="CONTADO"/>
    <s v="009"/>
    <s v="PINTURA"/>
    <s v="$"/>
    <n v="3.3640001000000002"/>
    <n v="1"/>
    <n v="59"/>
    <n v="59"/>
    <n v="10.620002999999997"/>
    <n v="69.620002999999997"/>
    <n v="198.47600590000002"/>
    <m/>
    <m/>
    <m/>
    <m/>
    <m/>
    <m/>
    <m/>
    <m/>
    <m/>
    <m/>
    <m/>
    <m/>
    <m/>
    <m/>
    <m/>
    <m/>
    <m/>
    <m/>
    <m/>
    <m/>
    <m/>
    <m/>
    <m/>
    <m/>
  </r>
  <r>
    <x v="85"/>
    <s v="FAC"/>
    <s v="005"/>
    <s v="00000323"/>
    <x v="298"/>
    <s v="BDG262"/>
    <d v="2020-01-28T00:00:00"/>
    <s v="20100041953"/>
    <s v="RIMAC SEGUROS  Y REASEGUROS S.A"/>
    <s v="1201020001"/>
    <s v="PLANCHADO"/>
    <s v="000"/>
    <s v="001"/>
    <s v="CONTADO"/>
    <s v="001"/>
    <s v="PLANCHADO"/>
    <s v="$"/>
    <n v="3.3640001000000002"/>
    <n v="1"/>
    <n v="30"/>
    <n v="30"/>
    <n v="5.4000019999999997"/>
    <n v="35.400002000000001"/>
    <n v="100.92000300000001"/>
    <m/>
    <m/>
    <m/>
    <m/>
    <m/>
    <m/>
    <m/>
    <m/>
    <m/>
    <m/>
    <m/>
    <m/>
    <m/>
    <m/>
    <m/>
    <m/>
    <m/>
    <m/>
    <m/>
    <m/>
    <m/>
    <m/>
    <m/>
    <m/>
  </r>
  <r>
    <x v="85"/>
    <s v="FAC"/>
    <s v="005"/>
    <s v="00000323"/>
    <x v="298"/>
    <s v="BDG262"/>
    <d v="2020-01-28T00:00:00"/>
    <s v="20100041953"/>
    <s v="RIMAC SEGUROS  Y REASEGUROS S.A"/>
    <s v="2908010001"/>
    <s v="TERCEROS"/>
    <s v="000"/>
    <s v="001"/>
    <s v="CONTADO"/>
    <s v="002"/>
    <s v="MANTENIMIENTO-MECANICA"/>
    <s v="$"/>
    <n v="3.3640001000000002"/>
    <n v="1"/>
    <n v="55"/>
    <n v="55"/>
    <n v="9.9000020000000131"/>
    <n v="64.900002000000015"/>
    <n v="185.0200055"/>
    <m/>
    <m/>
    <m/>
    <m/>
    <m/>
    <m/>
    <m/>
    <m/>
    <m/>
    <m/>
    <m/>
    <m/>
    <m/>
    <m/>
    <m/>
    <m/>
    <m/>
    <m/>
    <m/>
    <m/>
    <m/>
    <m/>
    <m/>
    <m/>
  </r>
  <r>
    <x v="85"/>
    <s v="FAC"/>
    <s v="005"/>
    <s v="00000323"/>
    <x v="298"/>
    <s v="BDG262"/>
    <d v="2020-01-28T00:00:00"/>
    <s v="20100041953"/>
    <s v="RIMAC SEGUROS  Y REASEGUROS S.A"/>
    <s v="310120"/>
    <s v="FRANQUICIA"/>
    <s v="000"/>
    <s v="001"/>
    <s v="CONTADO"/>
    <s v="002"/>
    <s v="MANTENIMIENTO-MECANICA"/>
    <s v="$"/>
    <n v="3.3640001000000002"/>
    <n v="-1"/>
    <n v="100"/>
    <n v="-100"/>
    <n v="-18"/>
    <n v="-118"/>
    <n v="-336.40001000000001"/>
    <m/>
    <m/>
    <m/>
    <m/>
    <m/>
    <m/>
    <m/>
    <m/>
    <m/>
    <m/>
    <m/>
    <m/>
    <m/>
    <m/>
    <m/>
    <m/>
    <m/>
    <m/>
    <m/>
    <m/>
    <m/>
    <m/>
    <m/>
    <m/>
  </r>
  <r>
    <x v="85"/>
    <s v="FAC"/>
    <s v="005"/>
    <s v="00000323"/>
    <x v="298"/>
    <s v="BDG262"/>
    <d v="2020-01-28T00:00:00"/>
    <s v="20100041953"/>
    <s v="RIMAC SEGUROS  Y REASEGUROS S.A"/>
    <s v="320001"/>
    <s v="REPUESTOS"/>
    <s v="000"/>
    <s v="001"/>
    <s v="CONTADO"/>
    <s v="002"/>
    <s v="MANTENIMIENTO-MECANICA"/>
    <s v="$"/>
    <n v="3.36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5"/>
    <s v="FAC"/>
    <s v="005"/>
    <s v="00000324"/>
    <x v="299"/>
    <s v="C8O042"/>
    <d v="2020-01-25T00:00:00"/>
    <s v="20100041953"/>
    <s v="RIMAC SEGUROS  Y REASEGUROS S.A"/>
    <s v="1302020001"/>
    <s v="PINTURA"/>
    <s v="000"/>
    <s v="001"/>
    <s v="CONTADO"/>
    <s v="009"/>
    <s v="PINTURA"/>
    <s v="$"/>
    <n v="3.3640001000000002"/>
    <n v="1"/>
    <n v="354"/>
    <n v="354"/>
    <n v="63.72"/>
    <n v="417.72"/>
    <n v="1190.8560354000001"/>
    <m/>
    <m/>
    <m/>
    <m/>
    <m/>
    <m/>
    <m/>
    <m/>
    <m/>
    <m/>
    <m/>
    <m/>
    <m/>
    <m/>
    <m/>
    <m/>
    <m/>
    <m/>
    <m/>
    <m/>
    <m/>
    <m/>
    <m/>
    <m/>
  </r>
  <r>
    <x v="85"/>
    <s v="FAC"/>
    <s v="005"/>
    <s v="00000324"/>
    <x v="299"/>
    <s v="C8O042"/>
    <d v="2020-01-25T00:00:00"/>
    <s v="20100041953"/>
    <s v="RIMAC SEGUROS  Y REASEGUROS S.A"/>
    <s v="1201020001"/>
    <s v="PLANCHADO"/>
    <s v="000"/>
    <s v="001"/>
    <s v="CONTADO"/>
    <s v="001"/>
    <s v="PLANCHADO"/>
    <s v="$"/>
    <n v="3.3640001000000002"/>
    <n v="1"/>
    <n v="225"/>
    <n v="225"/>
    <n v="40.5"/>
    <n v="265.5"/>
    <n v="756.90002250000009"/>
    <m/>
    <m/>
    <m/>
    <m/>
    <m/>
    <m/>
    <m/>
    <m/>
    <m/>
    <m/>
    <m/>
    <m/>
    <m/>
    <m/>
    <m/>
    <m/>
    <m/>
    <m/>
    <m/>
    <m/>
    <m/>
    <m/>
    <m/>
    <m/>
  </r>
  <r>
    <x v="85"/>
    <s v="FAC"/>
    <s v="005"/>
    <s v="00000324"/>
    <x v="299"/>
    <s v="C8O042"/>
    <d v="2020-01-25T00:00:00"/>
    <s v="20100041953"/>
    <s v="RIMAC SEGUROS  Y REASEGUROS S.A"/>
    <s v="2908010001"/>
    <s v="TERCEROS"/>
    <s v="000"/>
    <s v="001"/>
    <s v="CONTADO"/>
    <s v="002"/>
    <s v="MANTENIMIENTO-MECANICA"/>
    <s v="$"/>
    <n v="3.3640001000000002"/>
    <n v="1"/>
    <n v="50"/>
    <n v="50"/>
    <n v="9"/>
    <n v="59"/>
    <n v="168.200005"/>
    <m/>
    <m/>
    <m/>
    <m/>
    <m/>
    <m/>
    <m/>
    <m/>
    <m/>
    <m/>
    <m/>
    <m/>
    <m/>
    <m/>
    <m/>
    <m/>
    <m/>
    <m/>
    <m/>
    <m/>
    <m/>
    <m/>
    <m/>
    <m/>
  </r>
  <r>
    <x v="85"/>
    <s v="FAC"/>
    <s v="005"/>
    <s v="00000324"/>
    <x v="299"/>
    <s v="C8O042"/>
    <d v="2020-01-25T00:00:00"/>
    <s v="20100041953"/>
    <s v="RIMAC SEGUROS  Y REASEGUROS S.A"/>
    <s v="2805010001"/>
    <s v="SERVICIOS"/>
    <s v="000"/>
    <s v="001"/>
    <s v="CONTADO"/>
    <s v="002"/>
    <s v="MANTENIMIENTO-MECANICA"/>
    <s v="$"/>
    <n v="3.3640001000000002"/>
    <n v="1"/>
    <n v="30"/>
    <n v="30"/>
    <n v="5.4000019999999997"/>
    <n v="35.400002000000001"/>
    <n v="100.92000300000001"/>
    <m/>
    <m/>
    <m/>
    <m/>
    <m/>
    <m/>
    <m/>
    <m/>
    <m/>
    <m/>
    <m/>
    <m/>
    <m/>
    <m/>
    <m/>
    <m/>
    <m/>
    <m/>
    <m/>
    <m/>
    <m/>
    <m/>
    <m/>
    <m/>
  </r>
  <r>
    <x v="85"/>
    <s v="FAC"/>
    <s v="005"/>
    <s v="00000324"/>
    <x v="299"/>
    <s v="C8O042"/>
    <d v="2020-01-25T00:00:00"/>
    <s v="20100041953"/>
    <s v="RIMAC SEGUROS  Y REASEGUROS S.A"/>
    <s v="310120"/>
    <s v="FRANQUICIA"/>
    <s v="000"/>
    <s v="001"/>
    <s v="CONTADO"/>
    <s v="002"/>
    <s v="MANTENIMIENTO-MECANICA"/>
    <s v="$"/>
    <n v="3.3640001000000002"/>
    <n v="-1"/>
    <n v="184.1525"/>
    <n v="-184.1525"/>
    <n v="-33.147500000000001"/>
    <n v="-217.3"/>
    <n v="-619.48902841525"/>
    <m/>
    <m/>
    <m/>
    <m/>
    <m/>
    <m/>
    <m/>
    <m/>
    <m/>
    <m/>
    <m/>
    <m/>
    <m/>
    <m/>
    <m/>
    <m/>
    <m/>
    <m/>
    <m/>
    <m/>
    <m/>
    <m/>
    <m/>
    <m/>
  </r>
  <r>
    <x v="85"/>
    <s v="FAC"/>
    <s v="005"/>
    <s v="00000324"/>
    <x v="299"/>
    <s v="C8O042"/>
    <d v="2020-01-25T00:00:00"/>
    <s v="20100041953"/>
    <s v="RIMAC SEGUROS  Y REASEGUROS S.A"/>
    <s v="320001"/>
    <s v="REPUESTOS"/>
    <s v="000"/>
    <s v="001"/>
    <s v="CONTADO"/>
    <s v="002"/>
    <s v="MANTENIMIENTO-MECANICA"/>
    <s v="$"/>
    <n v="3.36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5"/>
    <x v="300"/>
    <s v="D8F472"/>
    <d v="2019-12-09T00:00:00"/>
    <s v="20438563084"/>
    <s v="EDPYME ACCESO CREDITICIO SOCIEDAD ANONIMA"/>
    <s v="1302020001"/>
    <s v="PINTURA"/>
    <s v="000"/>
    <s v="001"/>
    <s v="CONTADO"/>
    <s v="009"/>
    <s v="PINTURA"/>
    <s v="S/."/>
    <n v="3.3599999"/>
    <n v="1"/>
    <n v="2430"/>
    <n v="2430"/>
    <n v="437.39989999999989"/>
    <n v="2867.3998999999999"/>
    <n v="243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5"/>
    <x v="300"/>
    <s v="D8F472"/>
    <d v="2019-12-09T00:00:00"/>
    <s v="20438563084"/>
    <s v="EDPYME ACCESO CREDITICIO SOCIEDAD ANONIMA"/>
    <s v="1201020001"/>
    <s v="PLANCHADO"/>
    <s v="000"/>
    <s v="001"/>
    <s v="CONTADO"/>
    <s v="001"/>
    <s v="PLANCHADO"/>
    <s v="S/."/>
    <n v="3.3599999"/>
    <n v="1"/>
    <n v="1190"/>
    <n v="1190"/>
    <n v="214.2"/>
    <n v="1404.2"/>
    <n v="119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5"/>
    <x v="300"/>
    <s v="D8F472"/>
    <d v="2019-12-09T00:00:00"/>
    <s v="20438563084"/>
    <s v="EDPYME ACCESO CREDITICIO SOCIEDAD ANONIMA"/>
    <s v="2908010001"/>
    <s v="TERCEROS"/>
    <s v="000"/>
    <s v="001"/>
    <s v="CONTADO"/>
    <s v="002"/>
    <s v="MANTENIMIENTO-MECANICA"/>
    <s v="S/."/>
    <n v="3.3599999"/>
    <n v="1"/>
    <n v="1465"/>
    <n v="1465"/>
    <n v="263.7"/>
    <n v="1728.7"/>
    <n v="1465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5"/>
    <x v="300"/>
    <s v="D8F472"/>
    <d v="2019-12-09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599999"/>
    <n v="1"/>
    <n v="1250"/>
    <n v="1250"/>
    <n v="225"/>
    <n v="1475"/>
    <n v="125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5"/>
    <x v="300"/>
    <s v="D8F472"/>
    <d v="2019-12-09T00:00:00"/>
    <s v="20438563084"/>
    <s v="EDPYME ACCESO CREDITICIO SOCIEDAD ANONIMA"/>
    <s v="2908010003"/>
    <s v="AMPLIACION PLANCHADO"/>
    <s v="000"/>
    <s v="001"/>
    <s v="CONTADO"/>
    <s v="002"/>
    <s v="MANTENIMIENTO-MECANICA"/>
    <s v="S/."/>
    <n v="3.3599999"/>
    <n v="1"/>
    <n v="140"/>
    <n v="140"/>
    <n v="25.2"/>
    <n v="165.2"/>
    <n v="14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5"/>
    <x v="300"/>
    <s v="D8F472"/>
    <d v="2019-12-09T00:00:00"/>
    <s v="20438563084"/>
    <s v="EDPYME ACCESO CREDITICIO SOCIEDAD ANONIMA"/>
    <s v="2805010001"/>
    <s v="SERVICIOS"/>
    <s v="000"/>
    <s v="001"/>
    <s v="CONTADO"/>
    <s v="002"/>
    <s v="MANTENIMIENTO-MECANICA"/>
    <s v="S/."/>
    <n v="3.3599999"/>
    <n v="1"/>
    <n v="918.75420999999972"/>
    <n v="918.75420999999972"/>
    <n v="165.37579000000028"/>
    <n v="1084.1300000000001"/>
    <n v="918.75420999999972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5"/>
    <x v="300"/>
    <s v="D8F472"/>
    <d v="2019-12-09T00:00:00"/>
    <s v="20438563084"/>
    <s v="EDPYME ACCESO CREDITICIO SOCIEDAD ANONIMA"/>
    <s v="320001"/>
    <s v="REPUESTOS"/>
    <s v="000"/>
    <s v="001"/>
    <s v="CONTADO"/>
    <s v="002"/>
    <s v="MANTENIMIENTO-MECANICA"/>
    <s v="S/."/>
    <n v="3.3599999"/>
    <n v="1"/>
    <n v="2437"/>
    <n v="2437"/>
    <n v="438.65989999999988"/>
    <n v="2875.6599000000001"/>
    <n v="2437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6"/>
    <x v="301"/>
    <s v="D9V073"/>
    <d v="2019-11-16T00:00:00"/>
    <s v="20438563084"/>
    <s v="EDPYME ACCESO CREDITICIO SOCIEDAD ANONIMA"/>
    <s v="1302020001"/>
    <s v="PINTURA"/>
    <s v="000"/>
    <s v="001"/>
    <s v="CONTADO"/>
    <s v="009"/>
    <s v="PINTURA"/>
    <s v="S/."/>
    <n v="3.3599999"/>
    <n v="1"/>
    <n v="2430"/>
    <n v="2430"/>
    <n v="437.39989999999989"/>
    <n v="2867.3998999999999"/>
    <n v="243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6"/>
    <x v="301"/>
    <s v="D9V073"/>
    <d v="2019-11-16T00:00:00"/>
    <s v="20438563084"/>
    <s v="EDPYME ACCESO CREDITICIO SOCIEDAD ANONIMA"/>
    <s v="1201020001"/>
    <s v="PLANCHADO"/>
    <s v="000"/>
    <s v="001"/>
    <s v="CONTADO"/>
    <s v="001"/>
    <s v="PLANCHADO"/>
    <s v="S/."/>
    <n v="3.3599999"/>
    <n v="1"/>
    <n v="1540"/>
    <n v="1540"/>
    <n v="277.2"/>
    <n v="1817.2"/>
    <n v="154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6"/>
    <x v="301"/>
    <s v="D9V073"/>
    <d v="2019-11-16T00:00:00"/>
    <s v="20438563084"/>
    <s v="EDPYME ACCESO CREDITICIO SOCIEDAD ANONIMA"/>
    <s v="2908010001"/>
    <s v="TERCEROS"/>
    <s v="000"/>
    <s v="001"/>
    <s v="CONTADO"/>
    <s v="002"/>
    <s v="MANTENIMIENTO-MECANICA"/>
    <s v="S/."/>
    <n v="3.3599999"/>
    <n v="1"/>
    <n v="830"/>
    <n v="830"/>
    <n v="149.40002000000021"/>
    <n v="979.40002000000027"/>
    <n v="83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6"/>
    <x v="301"/>
    <s v="D9V073"/>
    <d v="2019-11-16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599999"/>
    <n v="1"/>
    <n v="2150"/>
    <n v="2150"/>
    <n v="387"/>
    <n v="2537"/>
    <n v="215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6"/>
    <x v="301"/>
    <s v="D9V073"/>
    <d v="2019-11-16T00:00:00"/>
    <s v="20438563084"/>
    <s v="EDPYME ACCESO CREDITICIO SOCIEDAD ANONIMA"/>
    <s v="2908010003"/>
    <s v="AMPLIACION REPUESTOS"/>
    <s v="000"/>
    <s v="001"/>
    <s v="CONTADO"/>
    <s v="002"/>
    <s v="MANTENIMIENTO-MECANICA"/>
    <s v="S/."/>
    <n v="3.3599999"/>
    <n v="1"/>
    <n v="2136.4407000000006"/>
    <n v="2136.4407000000006"/>
    <n v="384.55929999999967"/>
    <n v="2521"/>
    <n v="2136.4407000000006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6"/>
    <x v="301"/>
    <s v="D9V073"/>
    <d v="2019-11-16T00:00:00"/>
    <s v="20438563084"/>
    <s v="EDPYME ACCESO CREDITICIO SOCIEDAD ANONIMA"/>
    <s v="2908010003"/>
    <s v="AMPLIACION PLANCHADO"/>
    <s v="000"/>
    <s v="001"/>
    <s v="CONTADO"/>
    <s v="002"/>
    <s v="MANTENIMIENTO-MECANICA"/>
    <s v="S/."/>
    <n v="3.35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6"/>
    <x v="301"/>
    <s v="D9V073"/>
    <d v="2019-11-16T00:00:00"/>
    <s v="20438563084"/>
    <s v="EDPYME ACCESO CREDITICIO SOCIEDAD ANONIMA"/>
    <s v="2908010003"/>
    <s v="AMPLIACION REPARACION"/>
    <s v="000"/>
    <s v="001"/>
    <s v="CONTADO"/>
    <s v="002"/>
    <s v="MANTENIMIENTO-MECANICA"/>
    <s v="S/."/>
    <n v="3.35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6"/>
    <x v="301"/>
    <s v="D9V073"/>
    <d v="2019-11-16T00:00:00"/>
    <s v="20438563084"/>
    <s v="EDPYME ACCESO CREDITICIO SOCIEDAD ANONIMA"/>
    <s v="2805010001"/>
    <s v="SERVICIOS"/>
    <s v="000"/>
    <s v="001"/>
    <s v="CONTADO"/>
    <s v="002"/>
    <s v="MANTENIMIENTO-MECANICA"/>
    <s v="S/."/>
    <n v="3.3599999"/>
    <n v="1"/>
    <n v="227.5"/>
    <n v="227.5"/>
    <n v="40.950010000000042"/>
    <n v="268.45001000000002"/>
    <n v="227.5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6"/>
    <x v="301"/>
    <s v="D9V073"/>
    <d v="2019-11-16T00:00:00"/>
    <s v="20438563084"/>
    <s v="EDPYME ACCESO CREDITICIO SOCIEDAD ANONIMA"/>
    <s v="320001"/>
    <s v="REPUESTOS"/>
    <s v="000"/>
    <s v="001"/>
    <s v="CONTADO"/>
    <s v="002"/>
    <s v="MANTENIMIENTO-MECANICA"/>
    <s v="S/."/>
    <n v="3.3599999"/>
    <n v="1"/>
    <n v="1703"/>
    <n v="1703"/>
    <n v="306.54000000000002"/>
    <n v="2009.54"/>
    <n v="1703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7"/>
    <x v="302"/>
    <s v="AJK417"/>
    <d v="2020-01-04T00:00:00"/>
    <s v="20438563084"/>
    <s v="EDPYME ACCESO CREDITICIO SOCIEDAD ANONIMA"/>
    <s v="1302020001"/>
    <s v="PINTURA"/>
    <s v="000"/>
    <s v="001"/>
    <s v="CONTADO"/>
    <s v="009"/>
    <s v="PINTURA"/>
    <s v="S/."/>
    <n v="3.3599999"/>
    <n v="1"/>
    <n v="2497.5"/>
    <n v="2497.5"/>
    <n v="449.55"/>
    <n v="2947.05"/>
    <n v="2497.5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7"/>
    <x v="302"/>
    <s v="AJK417"/>
    <d v="2020-01-04T00:00:00"/>
    <s v="20438563084"/>
    <s v="EDPYME ACCESO CREDITICIO SOCIEDAD ANONIMA"/>
    <s v="1201020001"/>
    <s v="PLANCHADO"/>
    <s v="000"/>
    <s v="001"/>
    <s v="CONTADO"/>
    <s v="001"/>
    <s v="PLANCHADO"/>
    <s v="S/."/>
    <n v="3.3599999"/>
    <n v="1"/>
    <n v="1435"/>
    <n v="1435"/>
    <n v="258.3"/>
    <n v="1693.3"/>
    <n v="1435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7"/>
    <x v="302"/>
    <s v="AJK417"/>
    <d v="2020-01-04T00:00:00"/>
    <s v="20438563084"/>
    <s v="EDPYME ACCESO CREDITICIO SOCIEDAD ANONIMA"/>
    <s v="2908010001"/>
    <s v="TERCEROS"/>
    <s v="000"/>
    <s v="001"/>
    <s v="CONTADO"/>
    <s v="002"/>
    <s v="MANTENIMIENTO-MECANICA"/>
    <s v="S/."/>
    <n v="3.3599999"/>
    <n v="1"/>
    <n v="1000"/>
    <n v="1000"/>
    <n v="180"/>
    <n v="1180"/>
    <n v="100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7"/>
    <x v="302"/>
    <s v="AJK417"/>
    <d v="2020-01-04T00:00:00"/>
    <s v="20438563084"/>
    <s v="EDPYME ACCESO CREDITICIO SOCIEDAD ANONIMA"/>
    <s v="2908010002"/>
    <s v="AMPLIACION REPUESTOS"/>
    <s v="000"/>
    <s v="001"/>
    <s v="CONTADO"/>
    <s v="002"/>
    <s v="MANTENIMIENTO-MECANICA"/>
    <s v="S/."/>
    <n v="3.3599999"/>
    <n v="1"/>
    <n v="3723"/>
    <n v="3723"/>
    <n v="670.14009999999951"/>
    <n v="4393.1400999999996"/>
    <n v="3723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7"/>
    <x v="302"/>
    <s v="AJK417"/>
    <d v="2020-01-04T00:00:00"/>
    <s v="20438563084"/>
    <s v="EDPYME ACCESO CREDITICIO SOCIEDAD ANONIMA"/>
    <s v="2908010003"/>
    <s v="AMPLIACION MANO DE OBRA"/>
    <s v="000"/>
    <s v="001"/>
    <s v="CONTADO"/>
    <s v="002"/>
    <s v="MANTENIMIENTO-MECANICA"/>
    <s v="S/."/>
    <n v="3.3599999"/>
    <n v="1"/>
    <n v="280"/>
    <n v="280"/>
    <n v="50.399990000000031"/>
    <n v="330.39999000000006"/>
    <n v="28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7"/>
    <x v="302"/>
    <s v="AJK417"/>
    <d v="2020-01-04T00:00:00"/>
    <s v="20438563084"/>
    <s v="EDPYME ACCESO CREDITICIO SOCIEDAD ANONIMA"/>
    <s v="2805010001"/>
    <s v="SERVICIOS"/>
    <s v="000"/>
    <s v="001"/>
    <s v="CONTADO"/>
    <s v="002"/>
    <s v="MANTENIMIENTO-MECANICA"/>
    <s v="S/."/>
    <n v="3.3599999"/>
    <n v="1"/>
    <n v="778.75420999999972"/>
    <n v="778.75420999999972"/>
    <n v="140.17578000000023"/>
    <n v="918.92998999999998"/>
    <n v="778.75420999999972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7"/>
    <x v="302"/>
    <s v="AJK417"/>
    <d v="2020-01-04T00:00:00"/>
    <s v="20438563084"/>
    <s v="EDPYME ACCESO CREDITICIO SOCIEDAD ANONIMA"/>
    <s v="320001"/>
    <s v="REPUESTOS"/>
    <s v="000"/>
    <s v="001"/>
    <s v="CONTADO"/>
    <s v="002"/>
    <s v="MANTENIMIENTO-MECANICA"/>
    <s v="S/."/>
    <n v="3.3599999"/>
    <n v="1"/>
    <n v="2981"/>
    <n v="2981"/>
    <n v="536.58010000000013"/>
    <n v="3517.5801000000001"/>
    <n v="2981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8"/>
    <x v="303"/>
    <s v="BKJ027"/>
    <d v="2020-01-04T00:00:00"/>
    <s v="20438563084"/>
    <s v="EDPYME ACCESO CREDITICIO SOCIEDAD ANONIMA"/>
    <s v="1302020001"/>
    <s v="PINTURA"/>
    <s v="000"/>
    <s v="001"/>
    <s v="CONTADO"/>
    <s v="009"/>
    <s v="PINTURA"/>
    <s v="S/."/>
    <n v="3.3599999"/>
    <n v="1"/>
    <n v="2295"/>
    <n v="2295"/>
    <n v="413.10010000000011"/>
    <n v="2708.1001000000001"/>
    <n v="2295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8"/>
    <x v="303"/>
    <s v="BKJ027"/>
    <d v="2020-01-04T00:00:00"/>
    <s v="20438563084"/>
    <s v="EDPYME ACCESO CREDITICIO SOCIEDAD ANONIMA"/>
    <s v="1201020001"/>
    <s v="PLANCHADO"/>
    <s v="000"/>
    <s v="001"/>
    <s v="CONTADO"/>
    <s v="001"/>
    <s v="PLANCHADO"/>
    <s v="S/."/>
    <n v="3.3599999"/>
    <n v="1"/>
    <n v="1155"/>
    <n v="1155"/>
    <n v="207.9"/>
    <n v="1362.9"/>
    <n v="1155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8"/>
    <x v="303"/>
    <s v="BKJ027"/>
    <d v="2020-01-04T00:00:00"/>
    <s v="20438563084"/>
    <s v="EDPYME ACCESO CREDITICIO SOCIEDAD ANONIMA"/>
    <s v="2908010001"/>
    <s v="TERCEROS"/>
    <s v="000"/>
    <s v="001"/>
    <s v="CONTADO"/>
    <s v="002"/>
    <s v="MANTENIMIENTO-MECANICA"/>
    <s v="S/."/>
    <n v="3.3599999"/>
    <n v="1"/>
    <n v="195"/>
    <n v="195"/>
    <n v="35.100010000000005"/>
    <n v="230.10001"/>
    <n v="195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8"/>
    <x v="303"/>
    <s v="BKJ027"/>
    <d v="2020-01-04T00:00:00"/>
    <s v="20438563084"/>
    <s v="EDPYME ACCESO CREDITICIO SOCIEDAD ANONIMA"/>
    <s v="2805010001"/>
    <s v="SERVICIOS"/>
    <s v="000"/>
    <s v="001"/>
    <s v="CONTADO"/>
    <s v="002"/>
    <s v="MANTENIMIENTO-MECANICA"/>
    <s v="S/."/>
    <n v="3.3599999"/>
    <n v="1"/>
    <n v="315"/>
    <n v="315"/>
    <n v="56.700010000000113"/>
    <n v="371.70001000000013"/>
    <n v="315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8"/>
    <x v="303"/>
    <s v="BKJ027"/>
    <d v="2020-01-04T00:00:00"/>
    <s v="20438563084"/>
    <s v="EDPYME ACCESO CREDITICIO SOCIEDAD ANONIMA"/>
    <s v="320001"/>
    <s v="REPUESTOS"/>
    <s v="000"/>
    <s v="001"/>
    <s v="CONTADO"/>
    <s v="002"/>
    <s v="MANTENIMIENTO-MECANICA"/>
    <s v="S/."/>
    <n v="3.3599999"/>
    <n v="1"/>
    <n v="1400"/>
    <n v="1400"/>
    <n v="252"/>
    <n v="1652"/>
    <n v="140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9"/>
    <x v="304"/>
    <s v="AXU411"/>
    <d v="2019-12-27T00:00:00"/>
    <s v="20438563084"/>
    <s v="EDPYME ACCESO CREDITICIO SOCIEDAD ANONIMA"/>
    <s v="1302020001"/>
    <s v="PINTURA"/>
    <s v="000"/>
    <s v="001"/>
    <s v="CONTADO"/>
    <s v="009"/>
    <s v="PINTURA"/>
    <s v="S/."/>
    <n v="3.3599999"/>
    <n v="1"/>
    <n v="2497.5"/>
    <n v="2497.5"/>
    <n v="449.55"/>
    <n v="2947.05"/>
    <n v="2497.5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9"/>
    <x v="304"/>
    <s v="AXU411"/>
    <d v="2019-12-27T00:00:00"/>
    <s v="20438563084"/>
    <s v="EDPYME ACCESO CREDITICIO SOCIEDAD ANONIMA"/>
    <s v="1201020001"/>
    <s v="PLANCHADO"/>
    <s v="000"/>
    <s v="001"/>
    <s v="CONTADO"/>
    <s v="001"/>
    <s v="PLANCHADO"/>
    <s v="S/."/>
    <n v="3.3599999"/>
    <n v="1"/>
    <n v="1540"/>
    <n v="1540"/>
    <n v="277.2"/>
    <n v="1817.2"/>
    <n v="154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9"/>
    <x v="304"/>
    <s v="AXU411"/>
    <d v="2019-12-27T00:00:00"/>
    <s v="20438563084"/>
    <s v="EDPYME ACCESO CREDITICIO SOCIEDAD ANONIMA"/>
    <s v="2908010001"/>
    <s v="TERCEROS"/>
    <s v="000"/>
    <s v="001"/>
    <s v="CONTADO"/>
    <s v="002"/>
    <s v="MANTENIMIENTO-MECANICA"/>
    <s v="S/."/>
    <n v="3.3599999"/>
    <n v="1"/>
    <n v="645"/>
    <n v="645"/>
    <n v="116.09998000000007"/>
    <n v="761.09998000000007"/>
    <n v="645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9"/>
    <x v="304"/>
    <s v="AXU411"/>
    <d v="2019-12-27T00:00:00"/>
    <s v="20438563084"/>
    <s v="EDPYME ACCESO CREDITICIO SOCIEDAD ANONIMA"/>
    <s v="2908010002"/>
    <s v="AMPLIACION RESPUESTOS"/>
    <s v="000"/>
    <s v="001"/>
    <s v="CONTADO"/>
    <s v="002"/>
    <s v="MANTENIMIENTO-MECANICA"/>
    <s v="S/."/>
    <n v="3.3599999"/>
    <n v="1"/>
    <n v="1189"/>
    <n v="1189"/>
    <n v="214.02"/>
    <n v="1403.02"/>
    <n v="1189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9"/>
    <x v="304"/>
    <s v="AXU411"/>
    <d v="2019-12-27T00:00:00"/>
    <s v="20438563084"/>
    <s v="EDPYME ACCESO CREDITICIO SOCIEDAD ANONIMA"/>
    <s v="2908010003"/>
    <s v="REPUESTOS"/>
    <s v="000"/>
    <s v="001"/>
    <s v="CONTADO"/>
    <s v="002"/>
    <s v="MANTENIMIENTO-MECANICA"/>
    <s v="S/."/>
    <n v="3.3599999"/>
    <n v="1"/>
    <n v="1119"/>
    <n v="1119"/>
    <n v="201.42"/>
    <n v="1320.42"/>
    <n v="1119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9"/>
    <x v="304"/>
    <s v="AXU411"/>
    <d v="2019-12-27T00:00:00"/>
    <s v="20438563084"/>
    <s v="EDPYME ACCESO CREDITICIO SOCIEDAD ANONIMA"/>
    <s v="2908010003"/>
    <s v="AMPLIACION TERCEROS"/>
    <s v="000"/>
    <s v="001"/>
    <s v="CONTADO"/>
    <s v="002"/>
    <s v="MANTENIMIENTO-MECANICA"/>
    <s v="S/."/>
    <n v="3.3599999"/>
    <n v="1"/>
    <n v="200"/>
    <n v="200"/>
    <n v="36"/>
    <n v="236"/>
    <n v="20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9"/>
    <x v="304"/>
    <s v="AXU411"/>
    <d v="2019-12-27T00:00:00"/>
    <s v="20438563084"/>
    <s v="EDPYME ACCESO CREDITICIO SOCIEDAD ANONIMA"/>
    <s v="2908010003"/>
    <s v="SERVICIO MECANICA"/>
    <s v="000"/>
    <s v="001"/>
    <s v="CONTADO"/>
    <s v="002"/>
    <s v="MANTENIMIENTO-MECANICA"/>
    <s v="S/."/>
    <n v="3.3599999"/>
    <n v="4"/>
    <n v="35"/>
    <n v="140"/>
    <n v="25.199995999999956"/>
    <n v="165.19999599999994"/>
    <n v="140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9"/>
    <x v="304"/>
    <s v="AXU411"/>
    <d v="2019-12-27T00:00:00"/>
    <s v="20438563084"/>
    <s v="EDPYME ACCESO CREDITICIO SOCIEDAD ANONIMA"/>
    <s v="2805010001"/>
    <s v="SERVICIOS"/>
    <s v="000"/>
    <s v="001"/>
    <s v="CONTADO"/>
    <s v="002"/>
    <s v="MANTENIMIENTO-MECANICA"/>
    <s v="S/."/>
    <n v="3.3599999"/>
    <n v="1"/>
    <n v="533.75420999999994"/>
    <n v="533.75420999999994"/>
    <n v="96.075810000000061"/>
    <n v="629.83001999999999"/>
    <n v="533.75420999999994"/>
    <m/>
    <m/>
    <m/>
    <m/>
    <m/>
    <m/>
    <m/>
    <m/>
    <m/>
    <m/>
    <m/>
    <m/>
    <m/>
    <m/>
    <m/>
    <m/>
    <m/>
    <m/>
    <m/>
    <m/>
    <m/>
    <m/>
    <m/>
    <m/>
  </r>
  <r>
    <x v="86"/>
    <s v="FAC"/>
    <s v="005"/>
    <s v="00000329"/>
    <x v="304"/>
    <s v="AXU411"/>
    <d v="2019-12-27T00:00:00"/>
    <s v="20438563084"/>
    <s v="EDPYME ACCESO CREDITICIO SOCIEDAD ANONIMA"/>
    <s v="320001"/>
    <s v="REPUESTOS"/>
    <s v="000"/>
    <s v="001"/>
    <s v="CONTADO"/>
    <s v="002"/>
    <s v="MANTENIMIENTO-MECANICA"/>
    <s v="S/."/>
    <n v="3.3599999"/>
    <n v="1"/>
    <n v="3975.3982000000001"/>
    <n v="3975.3982000000001"/>
    <n v="715.57199999999955"/>
    <n v="4690.9701999999997"/>
    <n v="3975.3982000000001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0"/>
    <x v="305"/>
    <s v="BLZ136"/>
    <d v="2020-01-27T00:00:00"/>
    <s v="10100661603"/>
    <s v="LUJAN MENDOZA ANGEL ARTURO"/>
    <s v="310120"/>
    <s v="FRANQUICIA"/>
    <s v="000"/>
    <s v="001"/>
    <s v="CONTADO"/>
    <s v="002"/>
    <s v="MANTENIMIENTO-MECANICA"/>
    <s v="$"/>
    <n v="3.3710000999999998"/>
    <n v="1"/>
    <n v="191.72031000000004"/>
    <n v="191.72031000000004"/>
    <n v="34.509689999999971"/>
    <n v="226.23"/>
    <n v="646.28918418203114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1"/>
    <x v="305"/>
    <s v="BLZ136"/>
    <d v="2020-01-27T00:00:00"/>
    <s v="20100041953"/>
    <s v="RIMAC SEGUROS  Y REASEGUROS S.A"/>
    <s v="1302020001"/>
    <s v="PINTURA"/>
    <s v="000"/>
    <s v="001"/>
    <s v="CONTADO"/>
    <s v="009"/>
    <s v="PINTURA"/>
    <s v="$"/>
    <n v="3.3710000999999998"/>
    <n v="1"/>
    <n v="236"/>
    <n v="236"/>
    <n v="42.48001"/>
    <n v="278.48000999999999"/>
    <n v="795.5560236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1"/>
    <x v="305"/>
    <s v="BLZ136"/>
    <d v="2020-01-27T00:00:00"/>
    <s v="20100041953"/>
    <s v="RIMAC SEGUROS  Y REASEGUROS S.A"/>
    <s v="1201020001"/>
    <s v="PLANCHADO"/>
    <s v="000"/>
    <s v="001"/>
    <s v="CONTADO"/>
    <s v="001"/>
    <s v="PLANCHADO"/>
    <s v="$"/>
    <n v="3.3710000999999998"/>
    <n v="1"/>
    <n v="210"/>
    <n v="210"/>
    <n v="37.799999999999997"/>
    <n v="247.8"/>
    <n v="707.91002099999992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1"/>
    <x v="305"/>
    <s v="BLZ136"/>
    <d v="2020-01-27T00:00:00"/>
    <s v="20100041953"/>
    <s v="RIMAC SEGUROS  Y REASEGUROS S.A"/>
    <s v="2908010001"/>
    <s v="TERCEROS"/>
    <s v="000"/>
    <s v="001"/>
    <s v="CONTADO"/>
    <s v="002"/>
    <s v="MANTENIMIENTO-MECANICA"/>
    <s v="$"/>
    <n v="3.3710000999999998"/>
    <n v="1"/>
    <n v="80"/>
    <n v="80"/>
    <n v="14.400002000000004"/>
    <n v="94.400002000000001"/>
    <n v="269.68000799999999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1"/>
    <x v="305"/>
    <s v="BLZ136"/>
    <d v="2020-01-27T00:00:00"/>
    <s v="20100041953"/>
    <s v="RIMAC SEGUROS  Y REASEGUROS S.A"/>
    <s v="2805010001"/>
    <s v="SERVICIOS"/>
    <s v="000"/>
    <s v="001"/>
    <s v="CONTADO"/>
    <s v="002"/>
    <s v="MANTENIMIENTO-MECANICA"/>
    <s v="$"/>
    <n v="3.3710000999999998"/>
    <n v="1"/>
    <n v="15"/>
    <n v="15"/>
    <n v="2.7000009999999999"/>
    <n v="17.700001"/>
    <n v="50.565001499999994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1"/>
    <x v="305"/>
    <s v="BLZ136"/>
    <d v="2020-01-27T00:00:00"/>
    <s v="20100041953"/>
    <s v="RIMAC SEGUROS  Y REASEGUROS S.A"/>
    <s v="310120"/>
    <s v="FRANQUICIA"/>
    <s v="000"/>
    <s v="001"/>
    <s v="CONTADO"/>
    <s v="002"/>
    <s v="MANTENIMIENTO-MECANICA"/>
    <s v="$"/>
    <n v="3.3710000999999998"/>
    <n v="-1"/>
    <n v="191.72031000000004"/>
    <n v="-191.72031000000004"/>
    <n v="-34.509689999999971"/>
    <n v="-226.23"/>
    <n v="-646.28918418203114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1"/>
    <x v="305"/>
    <s v="BLZ136"/>
    <d v="2020-01-27T00:00:00"/>
    <s v="20100041953"/>
    <s v="RIMAC SEGUROS  Y REASEGUROS S.A"/>
    <s v="320001"/>
    <s v="REPUESTOS"/>
    <s v="000"/>
    <s v="001"/>
    <s v="CONTADO"/>
    <s v="002"/>
    <s v="MANTENIMIENTO-MECANICA"/>
    <s v="$"/>
    <n v="3.3710000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2"/>
    <x v="306"/>
    <s v="D5M328"/>
    <d v="2020-01-27T00:00:00"/>
    <s v="20100041953"/>
    <s v="RIMAC SEGUROS  Y REASEGUROS S.A"/>
    <s v="1302020001"/>
    <s v="PINTURA"/>
    <s v="000"/>
    <s v="001"/>
    <s v="CONTADO"/>
    <s v="009"/>
    <s v="PINTURA"/>
    <s v="$"/>
    <n v="3.3710000999999998"/>
    <n v="1"/>
    <n v="118"/>
    <n v="118"/>
    <n v="21.240010000000019"/>
    <n v="139.24001000000001"/>
    <n v="397.7780118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2"/>
    <x v="306"/>
    <s v="D5M328"/>
    <d v="2020-01-27T00:00:00"/>
    <s v="20100041953"/>
    <s v="RIMAC SEGUROS  Y REASEGUROS S.A"/>
    <s v="1201020001"/>
    <s v="PLANCHADO"/>
    <s v="000"/>
    <s v="001"/>
    <s v="CONTADO"/>
    <s v="001"/>
    <s v="PLANCHADO"/>
    <s v="$"/>
    <n v="3.3710000999999998"/>
    <n v="1"/>
    <n v="78.754203999999987"/>
    <n v="78.754203999999987"/>
    <n v="14.175796000000009"/>
    <n v="92.93"/>
    <n v="265.48042955942032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2"/>
    <x v="306"/>
    <s v="D5M328"/>
    <d v="2020-01-27T00:00:00"/>
    <s v="20100041953"/>
    <s v="RIMAC SEGUROS  Y REASEGUROS S.A"/>
    <s v="2908010001"/>
    <s v="TERCEROS"/>
    <s v="000"/>
    <s v="001"/>
    <s v="CONTADO"/>
    <s v="002"/>
    <s v="MANTENIMIENTO-MECANICA"/>
    <s v="$"/>
    <n v="3.3710000999999998"/>
    <n v="1"/>
    <n v="50"/>
    <n v="50"/>
    <n v="9"/>
    <n v="59"/>
    <n v="168.550005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2"/>
    <x v="306"/>
    <s v="D5M328"/>
    <d v="2020-01-27T00:00:00"/>
    <s v="20100041953"/>
    <s v="RIMAC SEGUROS  Y REASEGUROS S.A"/>
    <s v="310120"/>
    <s v="FRANQUICIA"/>
    <s v="000"/>
    <s v="001"/>
    <s v="CONTADO"/>
    <s v="002"/>
    <s v="MANTENIMIENTO-MECANICA"/>
    <s v="$"/>
    <n v="3.3710000999999998"/>
    <n v="-1"/>
    <n v="100"/>
    <n v="-100"/>
    <n v="-18"/>
    <n v="-118"/>
    <n v="-337.10001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2"/>
    <x v="306"/>
    <s v="D5M328"/>
    <d v="2020-01-27T00:00:00"/>
    <s v="20100041953"/>
    <s v="RIMAC SEGUROS  Y REASEGUROS S.A"/>
    <s v="320001"/>
    <s v="REPUESTOS"/>
    <s v="000"/>
    <s v="001"/>
    <s v="CONTADO"/>
    <s v="002"/>
    <s v="MANTENIMIENTO-MECANICA"/>
    <s v="$"/>
    <n v="3.3710000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3"/>
    <x v="307"/>
    <s v="BNL501"/>
    <d v="2020-01-31T00:00:00"/>
    <s v="20100041953"/>
    <s v="RIMAC SEGUROS  Y REASEGUROS S.A"/>
    <s v="1302020001"/>
    <s v="PINTURA"/>
    <s v="000"/>
    <s v="001"/>
    <s v="CONTADO"/>
    <s v="009"/>
    <s v="PINTURA"/>
    <s v="$"/>
    <n v="3.3710000999999998"/>
    <n v="1"/>
    <n v="147.5"/>
    <n v="147.5"/>
    <n v="26.55"/>
    <n v="174.05"/>
    <n v="497.22251474999996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3"/>
    <x v="307"/>
    <s v="BNL501"/>
    <d v="2020-01-31T00:00:00"/>
    <s v="20100041953"/>
    <s v="RIMAC SEGUROS  Y REASEGUROS S.A"/>
    <s v="1201020001"/>
    <s v="PLANCHADO"/>
    <s v="000"/>
    <s v="001"/>
    <s v="CONTADO"/>
    <s v="001"/>
    <s v="PLANCHADO"/>
    <s v="$"/>
    <n v="3.3710000999999998"/>
    <n v="1"/>
    <n v="150"/>
    <n v="150"/>
    <n v="27"/>
    <n v="177"/>
    <n v="505.650015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3"/>
    <x v="307"/>
    <s v="BNL501"/>
    <d v="2020-01-31T00:00:00"/>
    <s v="20100041953"/>
    <s v="RIMAC SEGUROS  Y REASEGUROS S.A"/>
    <s v="2908010001"/>
    <s v="TERCEROS"/>
    <s v="000"/>
    <s v="001"/>
    <s v="CONTADO"/>
    <s v="002"/>
    <s v="MANTENIMIENTO-MECANICA"/>
    <s v="$"/>
    <n v="3.3710000999999998"/>
    <n v="1"/>
    <n v="90"/>
    <n v="90"/>
    <n v="16.2"/>
    <n v="106.2"/>
    <n v="303.39000899999996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3"/>
    <x v="307"/>
    <s v="BNL501"/>
    <d v="2020-01-31T00:00:00"/>
    <s v="20100041953"/>
    <s v="RIMAC SEGUROS  Y REASEGUROS S.A"/>
    <s v="310120"/>
    <s v="FRANQUICIA"/>
    <s v="000"/>
    <s v="001"/>
    <s v="CONTADO"/>
    <s v="002"/>
    <s v="MANTENIMIENTO-MECANICA"/>
    <s v="$"/>
    <n v="3.3710000999999998"/>
    <n v="-1"/>
    <n v="141.05930000000001"/>
    <n v="-141.05930000000001"/>
    <n v="-25.390699999999995"/>
    <n v="-166.45"/>
    <n v="-475.51091440593001"/>
    <m/>
    <m/>
    <m/>
    <m/>
    <m/>
    <m/>
    <m/>
    <m/>
    <m/>
    <m/>
    <m/>
    <m/>
    <m/>
    <m/>
    <m/>
    <m/>
    <m/>
    <m/>
    <m/>
    <m/>
    <m/>
    <m/>
    <m/>
    <m/>
  </r>
  <r>
    <x v="87"/>
    <s v="FAC"/>
    <s v="005"/>
    <s v="00000333"/>
    <x v="307"/>
    <s v="BNL501"/>
    <d v="2020-01-31T00:00:00"/>
    <s v="20100041953"/>
    <s v="RIMAC SEGUROS  Y REASEGUROS S.A"/>
    <s v="320001"/>
    <s v="REPUESTOS"/>
    <s v="000"/>
    <s v="001"/>
    <s v="CONTADO"/>
    <s v="002"/>
    <s v="MANTENIMIENTO-MECANICA"/>
    <s v="$"/>
    <n v="3.3710000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8"/>
    <s v="FAC"/>
    <s v="005"/>
    <s v="00000334"/>
    <x v="308"/>
    <s v="D6X505"/>
    <d v="2020-01-28T00:00:00"/>
    <s v="20100041953"/>
    <s v="RIMAC SEGUROS  Y REASEGUROS S.A"/>
    <s v="1302020001"/>
    <s v="PINTURA"/>
    <s v="000"/>
    <s v="001"/>
    <s v="CONTADO"/>
    <s v="009"/>
    <s v="PINTURA"/>
    <s v="$"/>
    <n v="3.3879999999999999"/>
    <n v="1"/>
    <n v="265.5"/>
    <n v="265.5"/>
    <n v="47.790010000000002"/>
    <n v="313.29001"/>
    <n v="899.51400000000001"/>
    <m/>
    <m/>
    <m/>
    <m/>
    <m/>
    <m/>
    <m/>
    <m/>
    <m/>
    <m/>
    <m/>
    <m/>
    <m/>
    <m/>
    <m/>
    <m/>
    <m/>
    <m/>
    <m/>
    <m/>
    <m/>
    <m/>
    <m/>
    <m/>
  </r>
  <r>
    <x v="88"/>
    <s v="FAC"/>
    <s v="005"/>
    <s v="00000334"/>
    <x v="308"/>
    <s v="D6X505"/>
    <d v="2020-01-28T00:00:00"/>
    <s v="20100041953"/>
    <s v="RIMAC SEGUROS  Y REASEGUROS S.A"/>
    <s v="1201020001"/>
    <s v="PLANCHADO"/>
    <s v="000"/>
    <s v="001"/>
    <s v="CONTADO"/>
    <s v="001"/>
    <s v="PLANCHADO"/>
    <s v="$"/>
    <n v="3.3879999999999999"/>
    <n v="1"/>
    <n v="240"/>
    <n v="240"/>
    <n v="43.200010000000042"/>
    <n v="283.20001000000002"/>
    <n v="813.12"/>
    <m/>
    <m/>
    <m/>
    <m/>
    <m/>
    <m/>
    <m/>
    <m/>
    <m/>
    <m/>
    <m/>
    <m/>
    <m/>
    <m/>
    <m/>
    <m/>
    <m/>
    <m/>
    <m/>
    <m/>
    <m/>
    <m/>
    <m/>
    <m/>
  </r>
  <r>
    <x v="88"/>
    <s v="FAC"/>
    <s v="005"/>
    <s v="00000334"/>
    <x v="308"/>
    <s v="D6X505"/>
    <d v="2020-01-28T00:00:00"/>
    <s v="20100041953"/>
    <s v="RIMAC SEGUROS  Y REASEGUROS S.A"/>
    <s v="2908010001"/>
    <s v="TERCEROS"/>
    <s v="000"/>
    <s v="001"/>
    <s v="CONTADO"/>
    <s v="002"/>
    <s v="MANTENIMIENTO-MECANICA"/>
    <s v="$"/>
    <n v="3.3879999999999999"/>
    <n v="1"/>
    <n v="30"/>
    <n v="30"/>
    <n v="5.4000019999999997"/>
    <n v="35.400002000000001"/>
    <n v="101.64"/>
    <m/>
    <m/>
    <m/>
    <m/>
    <m/>
    <m/>
    <m/>
    <m/>
    <m/>
    <m/>
    <m/>
    <m/>
    <m/>
    <m/>
    <m/>
    <m/>
    <m/>
    <m/>
    <m/>
    <m/>
    <m/>
    <m/>
    <m/>
    <m/>
  </r>
  <r>
    <x v="88"/>
    <s v="FAC"/>
    <s v="005"/>
    <s v="00000334"/>
    <x v="308"/>
    <s v="D6X505"/>
    <d v="2020-01-28T00:00:00"/>
    <s v="20100041953"/>
    <s v="RIMAC SEGUROS  Y REASEGUROS S.A"/>
    <s v="310120"/>
    <s v="FRANQUICIA"/>
    <s v="000"/>
    <s v="001"/>
    <s v="CONTADO"/>
    <s v="002"/>
    <s v="MANTENIMIENTO-MECANICA"/>
    <s v="$"/>
    <n v="3.3879999999999999"/>
    <n v="-1"/>
    <n v="100"/>
    <n v="-100"/>
    <n v="-18"/>
    <n v="-118"/>
    <n v="-338.8"/>
    <m/>
    <m/>
    <m/>
    <m/>
    <m/>
    <m/>
    <m/>
    <m/>
    <m/>
    <m/>
    <m/>
    <m/>
    <m/>
    <m/>
    <m/>
    <m/>
    <m/>
    <m/>
    <m/>
    <m/>
    <m/>
    <m/>
    <m/>
    <m/>
  </r>
  <r>
    <x v="88"/>
    <s v="FAC"/>
    <s v="005"/>
    <s v="00000334"/>
    <x v="308"/>
    <s v="D6X505"/>
    <d v="2020-01-28T00:00:00"/>
    <s v="20100041953"/>
    <s v="RIMAC SEGUROS  Y REASEGUROS S.A"/>
    <s v="320001"/>
    <s v="REPUESTOS"/>
    <s v="000"/>
    <s v="001"/>
    <s v="CONTADO"/>
    <s v="002"/>
    <s v="MANTENIMIENTO-MECANICA"/>
    <s v="$"/>
    <n v="3.3879999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9"/>
    <s v="FAC"/>
    <s v="005"/>
    <s v="00000335"/>
    <x v="309"/>
    <s v="BJF224"/>
    <d v="2020-01-29T00:00:00"/>
    <s v="20100041953"/>
    <s v="RIMAC SEGUROS  Y REASEGUROS S.A"/>
    <s v="1302020001"/>
    <s v="PINTURA"/>
    <s v="000"/>
    <s v="001"/>
    <s v="CONTADO"/>
    <s v="009"/>
    <s v="PINTURA"/>
    <s v="$"/>
    <n v="3.3940001"/>
    <n v="1"/>
    <n v="118"/>
    <n v="118"/>
    <n v="21.240010000000019"/>
    <n v="139.24001000000001"/>
    <n v="400.4920118"/>
    <m/>
    <m/>
    <m/>
    <m/>
    <m/>
    <m/>
    <m/>
    <m/>
    <m/>
    <m/>
    <m/>
    <m/>
    <m/>
    <m/>
    <m/>
    <m/>
    <m/>
    <m/>
    <m/>
    <m/>
    <m/>
    <m/>
    <m/>
    <m/>
  </r>
  <r>
    <x v="89"/>
    <s v="FAC"/>
    <s v="005"/>
    <s v="00000335"/>
    <x v="309"/>
    <s v="BJF224"/>
    <d v="2020-01-29T00:00:00"/>
    <s v="20100041953"/>
    <s v="RIMAC SEGUROS  Y REASEGUROS S.A"/>
    <s v="1201020001"/>
    <s v="PLANCHADO"/>
    <s v="000"/>
    <s v="001"/>
    <s v="CONTADO"/>
    <s v="001"/>
    <s v="PLANCHADO"/>
    <s v="$"/>
    <n v="3.3940001"/>
    <n v="1"/>
    <n v="120"/>
    <n v="120"/>
    <n v="21.600010000000019"/>
    <n v="141.60001000000003"/>
    <n v="407.280012"/>
    <m/>
    <m/>
    <m/>
    <m/>
    <m/>
    <m/>
    <m/>
    <m/>
    <m/>
    <m/>
    <m/>
    <m/>
    <m/>
    <m/>
    <m/>
    <m/>
    <m/>
    <m/>
    <m/>
    <m/>
    <m/>
    <m/>
    <m/>
    <m/>
  </r>
  <r>
    <x v="89"/>
    <s v="FAC"/>
    <s v="005"/>
    <s v="00000335"/>
    <x v="309"/>
    <s v="BJF224"/>
    <d v="2020-01-29T00:00:00"/>
    <s v="20100041953"/>
    <s v="RIMAC SEGUROS  Y REASEGUROS S.A"/>
    <s v="310120"/>
    <s v="FRANQUICIA"/>
    <s v="000"/>
    <s v="001"/>
    <s v="CONTADO"/>
    <s v="002"/>
    <s v="MANTENIMIENTO-MECANICA"/>
    <s v="$"/>
    <n v="3.3940001"/>
    <n v="-1"/>
    <n v="50"/>
    <n v="-50"/>
    <n v="-9"/>
    <n v="-59"/>
    <n v="-169.700005"/>
    <m/>
    <m/>
    <m/>
    <m/>
    <m/>
    <m/>
    <m/>
    <m/>
    <m/>
    <m/>
    <m/>
    <m/>
    <m/>
    <m/>
    <m/>
    <m/>
    <m/>
    <m/>
    <m/>
    <m/>
    <m/>
    <m/>
    <m/>
    <m/>
  </r>
  <r>
    <x v="89"/>
    <s v="FAC"/>
    <s v="005"/>
    <s v="00000335"/>
    <x v="309"/>
    <s v="BJF224"/>
    <d v="2020-01-29T00:00:00"/>
    <s v="20100041953"/>
    <s v="RIMAC SEGUROS  Y REASEGUROS S.A"/>
    <s v="320001"/>
    <s v="REPUESTOS"/>
    <s v="000"/>
    <s v="001"/>
    <s v="CONTADO"/>
    <s v="002"/>
    <s v="MANTENIMIENTO-MECANICA"/>
    <s v="$"/>
    <n v="3.394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9"/>
    <s v="FAC"/>
    <s v="005"/>
    <s v="00000336"/>
    <x v="310"/>
    <s v="AND446"/>
    <d v="2019-12-13T00:00:00"/>
    <s v="20509959766"/>
    <s v="RENTAEQUIPOS LEASING PERU S.A."/>
    <s v="1302020001"/>
    <s v="PINTURA"/>
    <s v="000"/>
    <s v="001"/>
    <s v="CONTADO"/>
    <s v="009"/>
    <s v="PINTURA"/>
    <s v="$"/>
    <n v="3.3940001"/>
    <n v="1"/>
    <n v="60"/>
    <n v="60"/>
    <n v="10.800002999999997"/>
    <n v="70.800003000000004"/>
    <n v="203.640006"/>
    <m/>
    <m/>
    <m/>
    <m/>
    <m/>
    <m/>
    <m/>
    <m/>
    <m/>
    <m/>
    <m/>
    <m/>
    <m/>
    <m/>
    <m/>
    <m/>
    <m/>
    <m/>
    <m/>
    <m/>
    <m/>
    <m/>
    <m/>
    <m/>
  </r>
  <r>
    <x v="89"/>
    <s v="FAC"/>
    <s v="005"/>
    <s v="00000336"/>
    <x v="310"/>
    <s v="AND446"/>
    <d v="2019-12-13T00:00:00"/>
    <s v="20509959766"/>
    <s v="RENTAEQUIPOS LEASING PERU S.A."/>
    <s v="1201020001"/>
    <s v="PLANCHADO"/>
    <s v="000"/>
    <s v="001"/>
    <s v="CONTADO"/>
    <s v="001"/>
    <s v="PLANCHADO"/>
    <s v="$"/>
    <n v="3.3940001"/>
    <n v="1"/>
    <n v="70"/>
    <n v="70"/>
    <n v="12.599997999999978"/>
    <n v="82.599997999999971"/>
    <n v="237.58000699999999"/>
    <m/>
    <m/>
    <m/>
    <m/>
    <m/>
    <m/>
    <m/>
    <m/>
    <m/>
    <m/>
    <m/>
    <m/>
    <m/>
    <m/>
    <m/>
    <m/>
    <m/>
    <m/>
    <m/>
    <m/>
    <m/>
    <m/>
    <m/>
    <m/>
  </r>
  <r>
    <x v="89"/>
    <s v="FAC"/>
    <s v="005"/>
    <s v="00000337"/>
    <x v="311"/>
    <s v="BAN755"/>
    <d v="2020-02-04T00:00:00"/>
    <s v="20100041953"/>
    <s v="RIMAC SEGUROS  Y REASEGUROS S.A"/>
    <s v="1201020001"/>
    <s v="PLANCHADO"/>
    <s v="000"/>
    <s v="001"/>
    <s v="CONTADO"/>
    <s v="001"/>
    <s v="PLANCHADO"/>
    <s v="$"/>
    <n v="3.3940001"/>
    <n v="1"/>
    <n v="15"/>
    <n v="15"/>
    <n v="2.7000009999999999"/>
    <n v="17.700001"/>
    <n v="50.9100015"/>
    <m/>
    <m/>
    <m/>
    <m/>
    <m/>
    <m/>
    <m/>
    <m/>
    <m/>
    <m/>
    <m/>
    <m/>
    <m/>
    <m/>
    <m/>
    <m/>
    <m/>
    <m/>
    <m/>
    <m/>
    <m/>
    <m/>
    <m/>
    <m/>
  </r>
  <r>
    <x v="89"/>
    <s v="FAC"/>
    <s v="005"/>
    <s v="00000337"/>
    <x v="311"/>
    <s v="BAN755"/>
    <d v="2020-02-04T00:00:00"/>
    <s v="20100041953"/>
    <s v="RIMAC SEGUROS  Y REASEGUROS S.A"/>
    <s v="320001"/>
    <s v="REPUESTOS"/>
    <s v="000"/>
    <s v="001"/>
    <s v="CONTADO"/>
    <s v="002"/>
    <s v="MANTENIMIENTO-MECANICA"/>
    <s v="$"/>
    <n v="3.394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0"/>
    <s v="FAC"/>
    <s v="005"/>
    <s v="00000338"/>
    <x v="312"/>
    <s v="BJF224"/>
    <d v="2020-01-29T00:00:00"/>
    <s v="20100041953"/>
    <s v="RIMAC SEGUROS  Y REASEGUROS S.A"/>
    <s v="1302020001"/>
    <s v="PINTURA"/>
    <s v="000"/>
    <s v="001"/>
    <s v="CONTADO"/>
    <s v="009"/>
    <s v="PINTURA"/>
    <s v="$"/>
    <n v="3.3829999000000002"/>
    <n v="1"/>
    <n v="59"/>
    <n v="59"/>
    <n v="10.620002999999997"/>
    <n v="69.620002999999997"/>
    <n v="199.59699410000002"/>
    <m/>
    <m/>
    <m/>
    <m/>
    <m/>
    <m/>
    <m/>
    <m/>
    <m/>
    <m/>
    <m/>
    <m/>
    <m/>
    <m/>
    <m/>
    <m/>
    <m/>
    <m/>
    <m/>
    <m/>
    <m/>
    <m/>
    <m/>
    <m/>
  </r>
  <r>
    <x v="90"/>
    <s v="FAC"/>
    <s v="005"/>
    <s v="00000338"/>
    <x v="312"/>
    <s v="BJF224"/>
    <d v="2020-01-29T00:00:00"/>
    <s v="20100041953"/>
    <s v="RIMAC SEGUROS  Y REASEGUROS S.A"/>
    <s v="1201020001"/>
    <s v="PLANCHADO"/>
    <s v="000"/>
    <s v="001"/>
    <s v="CONTADO"/>
    <s v="001"/>
    <s v="PLANCHADO"/>
    <s v="$"/>
    <n v="3.3829999000000002"/>
    <n v="1"/>
    <n v="30"/>
    <n v="30"/>
    <n v="5.4000019999999997"/>
    <n v="35.400002000000001"/>
    <n v="101.489997"/>
    <m/>
    <m/>
    <m/>
    <m/>
    <m/>
    <m/>
    <m/>
    <m/>
    <m/>
    <m/>
    <m/>
    <m/>
    <m/>
    <m/>
    <m/>
    <m/>
    <m/>
    <m/>
    <m/>
    <m/>
    <m/>
    <m/>
    <m/>
    <m/>
  </r>
  <r>
    <x v="90"/>
    <s v="FAC"/>
    <s v="005"/>
    <s v="00000338"/>
    <x v="312"/>
    <s v="BJF224"/>
    <d v="2020-01-29T00:00:00"/>
    <s v="20100041953"/>
    <s v="RIMAC SEGUROS  Y REASEGUROS S.A"/>
    <s v="320001"/>
    <s v="REPUESTOS"/>
    <s v="000"/>
    <s v="001"/>
    <s v="CONTADO"/>
    <s v="002"/>
    <s v="MANTENIMIENTO-MECANICA"/>
    <s v="$"/>
    <n v="3.3829999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0"/>
    <s v="FAC"/>
    <s v="005"/>
    <s v="00000339"/>
    <x v="313"/>
    <s v="A3E362"/>
    <d v="2020-02-04T00:00:00"/>
    <s v="10079552394"/>
    <s v="PATRON JORGE RICARDO GALLEGOS RIZO"/>
    <s v="310120"/>
    <s v="FRANQUICIA"/>
    <s v="000"/>
    <s v="001"/>
    <s v="CONTADO"/>
    <s v="002"/>
    <s v="MANTENIMIENTO-MECANICA"/>
    <s v="$"/>
    <n v="3.3829999000000002"/>
    <n v="1"/>
    <n v="100"/>
    <n v="100"/>
    <n v="18"/>
    <n v="118"/>
    <n v="338.29999000000004"/>
    <m/>
    <m/>
    <m/>
    <m/>
    <m/>
    <m/>
    <m/>
    <m/>
    <m/>
    <m/>
    <m/>
    <m/>
    <m/>
    <m/>
    <m/>
    <m/>
    <m/>
    <m/>
    <m/>
    <m/>
    <m/>
    <m/>
    <m/>
    <m/>
  </r>
  <r>
    <x v="90"/>
    <s v="FAC"/>
    <s v="005"/>
    <s v="00000340"/>
    <x v="313"/>
    <s v="A3E362"/>
    <d v="2020-02-04T00:00:00"/>
    <s v="20100041953"/>
    <s v="RIMAC SEGUROS  Y REASEGUROS S.A"/>
    <s v="1302020001"/>
    <s v="PINTURA"/>
    <s v="000"/>
    <s v="001"/>
    <s v="CONTADO"/>
    <s v="009"/>
    <s v="PINTURA"/>
    <s v="$"/>
    <n v="3.3829999000000002"/>
    <n v="1"/>
    <n v="59"/>
    <n v="59"/>
    <n v="10.620002999999997"/>
    <n v="69.620002999999997"/>
    <n v="199.59699410000002"/>
    <m/>
    <m/>
    <m/>
    <m/>
    <m/>
    <m/>
    <m/>
    <m/>
    <m/>
    <m/>
    <m/>
    <m/>
    <m/>
    <m/>
    <m/>
    <m/>
    <m/>
    <m/>
    <m/>
    <m/>
    <m/>
    <m/>
    <m/>
    <m/>
  </r>
  <r>
    <x v="90"/>
    <s v="FAC"/>
    <s v="005"/>
    <s v="00000340"/>
    <x v="313"/>
    <s v="A3E362"/>
    <d v="2020-02-04T00:00:00"/>
    <s v="20100041953"/>
    <s v="RIMAC SEGUROS  Y REASEGUROS S.A"/>
    <s v="1201020001"/>
    <s v="PLANCHADO"/>
    <s v="000"/>
    <s v="001"/>
    <s v="CONTADO"/>
    <s v="001"/>
    <s v="PLANCHADO"/>
    <s v="$"/>
    <n v="3.3829999000000002"/>
    <n v="1"/>
    <n v="30"/>
    <n v="30"/>
    <n v="5.4000019999999997"/>
    <n v="35.400002000000001"/>
    <n v="101.489997"/>
    <m/>
    <m/>
    <m/>
    <m/>
    <m/>
    <m/>
    <m/>
    <m/>
    <m/>
    <m/>
    <m/>
    <m/>
    <m/>
    <m/>
    <m/>
    <m/>
    <m/>
    <m/>
    <m/>
    <m/>
    <m/>
    <m/>
    <m/>
    <m/>
  </r>
  <r>
    <x v="90"/>
    <s v="FAC"/>
    <s v="005"/>
    <s v="00000340"/>
    <x v="313"/>
    <s v="A3E362"/>
    <d v="2020-02-04T00:00:00"/>
    <s v="20100041953"/>
    <s v="RIMAC SEGUROS  Y REASEGUROS S.A"/>
    <s v="2908010001"/>
    <s v="TERCEROS"/>
    <s v="000"/>
    <s v="001"/>
    <s v="CONTADO"/>
    <s v="002"/>
    <s v="MANTENIMIENTO-MECANICA"/>
    <s v="$"/>
    <n v="3.3829999000000002"/>
    <n v="1"/>
    <n v="40"/>
    <n v="40"/>
    <n v="7.2000010000000021"/>
    <n v="47.200001"/>
    <n v="135.319996"/>
    <m/>
    <m/>
    <m/>
    <m/>
    <m/>
    <m/>
    <m/>
    <m/>
    <m/>
    <m/>
    <m/>
    <m/>
    <m/>
    <m/>
    <m/>
    <m/>
    <m/>
    <m/>
    <m/>
    <m/>
    <m/>
    <m/>
    <m/>
    <m/>
  </r>
  <r>
    <x v="90"/>
    <s v="FAC"/>
    <s v="005"/>
    <s v="00000340"/>
    <x v="313"/>
    <s v="A3E362"/>
    <d v="2020-02-04T00:00:00"/>
    <s v="20100041953"/>
    <s v="RIMAC SEGUROS  Y REASEGUROS S.A"/>
    <s v="310120"/>
    <s v="FRANQUICIA"/>
    <s v="000"/>
    <s v="001"/>
    <s v="CONTADO"/>
    <s v="002"/>
    <s v="MANTENIMIENTO-MECANICA"/>
    <s v="$"/>
    <n v="3.3829999000000002"/>
    <n v="-1"/>
    <n v="100"/>
    <n v="-100"/>
    <n v="-18"/>
    <n v="-118"/>
    <n v="-338.29999000000004"/>
    <m/>
    <m/>
    <m/>
    <m/>
    <m/>
    <m/>
    <m/>
    <m/>
    <m/>
    <m/>
    <m/>
    <m/>
    <m/>
    <m/>
    <m/>
    <m/>
    <m/>
    <m/>
    <m/>
    <m/>
    <m/>
    <m/>
    <m/>
    <m/>
  </r>
  <r>
    <x v="90"/>
    <s v="FAC"/>
    <s v="005"/>
    <s v="00000340"/>
    <x v="313"/>
    <s v="A3E362"/>
    <d v="2020-02-04T00:00:00"/>
    <s v="20100041953"/>
    <s v="RIMAC SEGUROS  Y REASEGUROS S.A"/>
    <s v="320001"/>
    <s v="REPUESTOS"/>
    <s v="000"/>
    <s v="001"/>
    <s v="CONTADO"/>
    <s v="002"/>
    <s v="MANTENIMIENTO-MECANICA"/>
    <s v="$"/>
    <n v="3.3829999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1"/>
    <s v="FAC"/>
    <s v="005"/>
    <s v="00000341"/>
    <x v="314"/>
    <s v="BDO197"/>
    <d v="2020-02-05T00:00:00"/>
    <s v="20100041953"/>
    <s v="RIMAC SEGUROS  Y REASEGUROS S.A"/>
    <s v="1302020001"/>
    <s v="PINTURA"/>
    <s v="000"/>
    <s v="001"/>
    <s v="CONTADO"/>
    <s v="009"/>
    <s v="PINTURA"/>
    <s v="$"/>
    <n v="3.3849999999999998"/>
    <n v="1"/>
    <n v="206.5"/>
    <n v="206.5"/>
    <n v="37.17"/>
    <n v="243.67"/>
    <n v="699.00249999999994"/>
    <m/>
    <m/>
    <m/>
    <m/>
    <m/>
    <m/>
    <m/>
    <m/>
    <m/>
    <m/>
    <m/>
    <m/>
    <m/>
    <m/>
    <m/>
    <m/>
    <m/>
    <m/>
    <m/>
    <m/>
    <m/>
    <m/>
    <m/>
    <m/>
  </r>
  <r>
    <x v="91"/>
    <s v="FAC"/>
    <s v="005"/>
    <s v="00000341"/>
    <x v="314"/>
    <s v="BDO197"/>
    <d v="2020-02-05T00:00:00"/>
    <s v="20100041953"/>
    <s v="RIMAC SEGUROS  Y REASEGUROS S.A"/>
    <s v="1201020001"/>
    <s v="PLANCHADO"/>
    <s v="000"/>
    <s v="001"/>
    <s v="CONTADO"/>
    <s v="001"/>
    <s v="PLANCHADO"/>
    <s v="$"/>
    <n v="3.3849999999999998"/>
    <n v="1"/>
    <n v="210"/>
    <n v="210"/>
    <n v="37.799999999999997"/>
    <n v="247.8"/>
    <n v="710.84999999999991"/>
    <m/>
    <m/>
    <m/>
    <m/>
    <m/>
    <m/>
    <m/>
    <m/>
    <m/>
    <m/>
    <m/>
    <m/>
    <m/>
    <m/>
    <m/>
    <m/>
    <m/>
    <m/>
    <m/>
    <m/>
    <m/>
    <m/>
    <m/>
    <m/>
  </r>
  <r>
    <x v="91"/>
    <s v="FAC"/>
    <s v="005"/>
    <s v="00000341"/>
    <x v="314"/>
    <s v="BDO197"/>
    <d v="2020-02-05T00:00:00"/>
    <s v="20100041953"/>
    <s v="RIMAC SEGUROS  Y REASEGUROS S.A"/>
    <s v="2908010001"/>
    <s v="TERCEROS"/>
    <s v="000"/>
    <s v="001"/>
    <s v="CONTADO"/>
    <s v="002"/>
    <s v="MANTENIMIENTO-MECANICA"/>
    <s v="$"/>
    <n v="3.3849999999999998"/>
    <n v="1"/>
    <n v="40"/>
    <n v="40"/>
    <n v="7.2000010000000021"/>
    <n v="47.200001"/>
    <n v="135.39999999999998"/>
    <m/>
    <m/>
    <m/>
    <m/>
    <m/>
    <m/>
    <m/>
    <m/>
    <m/>
    <m/>
    <m/>
    <m/>
    <m/>
    <m/>
    <m/>
    <m/>
    <m/>
    <m/>
    <m/>
    <m/>
    <m/>
    <m/>
    <m/>
    <m/>
  </r>
  <r>
    <x v="91"/>
    <s v="FAC"/>
    <s v="005"/>
    <s v="00000341"/>
    <x v="314"/>
    <s v="BDO197"/>
    <d v="2020-02-05T00:00:00"/>
    <s v="20100041953"/>
    <s v="RIMAC SEGUROS  Y REASEGUROS S.A"/>
    <s v="2805010001"/>
    <s v="SERVICIOS"/>
    <s v="000"/>
    <s v="001"/>
    <s v="CONTADO"/>
    <s v="002"/>
    <s v="MANTENIMIENTO-MECANICA"/>
    <s v="$"/>
    <n v="3.3849999999999998"/>
    <n v="1"/>
    <n v="30"/>
    <n v="30"/>
    <n v="5.4000019999999997"/>
    <n v="35.400002000000001"/>
    <n v="101.55"/>
    <m/>
    <m/>
    <m/>
    <m/>
    <m/>
    <m/>
    <m/>
    <m/>
    <m/>
    <m/>
    <m/>
    <m/>
    <m/>
    <m/>
    <m/>
    <m/>
    <m/>
    <m/>
    <m/>
    <m/>
    <m/>
    <m/>
    <m/>
    <m/>
  </r>
  <r>
    <x v="91"/>
    <s v="FAC"/>
    <s v="005"/>
    <s v="00000341"/>
    <x v="314"/>
    <s v="BDO197"/>
    <d v="2020-02-05T00:00:00"/>
    <s v="20100041953"/>
    <s v="RIMAC SEGUROS  Y REASEGUROS S.A"/>
    <s v="310120"/>
    <s v="FRANQUICIA"/>
    <s v="000"/>
    <s v="001"/>
    <s v="CONTADO"/>
    <s v="002"/>
    <s v="MANTENIMIENTO-MECANICA"/>
    <s v="$"/>
    <n v="3.3849999999999998"/>
    <n v="-1"/>
    <n v="333.78809000000001"/>
    <n v="-333.78809000000001"/>
    <n v="-60.081909999999986"/>
    <n v="-393.87"/>
    <n v="-1129.8726846499999"/>
    <m/>
    <m/>
    <m/>
    <m/>
    <m/>
    <m/>
    <m/>
    <m/>
    <m/>
    <m/>
    <m/>
    <m/>
    <m/>
    <m/>
    <m/>
    <m/>
    <m/>
    <m/>
    <m/>
    <m/>
    <m/>
    <m/>
    <m/>
    <m/>
  </r>
  <r>
    <x v="91"/>
    <s v="FAC"/>
    <s v="005"/>
    <s v="00000341"/>
    <x v="314"/>
    <s v="BDO197"/>
    <d v="2020-02-05T00:00:00"/>
    <s v="20100041953"/>
    <s v="RIMAC SEGUROS  Y REASEGUROS S.A"/>
    <s v="320001"/>
    <s v="REPUESTOS"/>
    <s v="000"/>
    <s v="001"/>
    <s v="CONTADO"/>
    <s v="002"/>
    <s v="MANTENIMIENTO-MECANICA"/>
    <s v="$"/>
    <n v="3.384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2"/>
    <x v="315"/>
    <s v="ATO331"/>
    <d v="2020-02-10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295"/>
    <n v="295"/>
    <n v="53.100009999999891"/>
    <n v="348.10000999999988"/>
    <n v="998.28002950000007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2"/>
    <x v="315"/>
    <s v="ATO331"/>
    <d v="2020-02-10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195"/>
    <n v="195"/>
    <n v="35.100010000000005"/>
    <n v="230.10001"/>
    <n v="659.8800195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2"/>
    <x v="315"/>
    <s v="ATO331"/>
    <d v="2020-02-10T00:00:00"/>
    <s v="20100041953"/>
    <s v="RIMAC SEGUROS  Y REASEGUROS S.A"/>
    <s v="2908010001"/>
    <s v="TERCEROS"/>
    <s v="000"/>
    <s v="001"/>
    <s v="CONTADO"/>
    <s v="002"/>
    <s v="MANTENIMIENTO-MECANICA"/>
    <s v="$"/>
    <n v="3.3840001000000002"/>
    <n v="1"/>
    <n v="135"/>
    <n v="135"/>
    <n v="24.3"/>
    <n v="159.30000000000001"/>
    <n v="456.8400135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2"/>
    <x v="315"/>
    <s v="ATO331"/>
    <d v="2020-02-10T00:00:00"/>
    <s v="20100041953"/>
    <s v="RIMAC SEGUROS  Y REASEGUROS S.A"/>
    <s v="310120"/>
    <s v="FRANQUICIA"/>
    <s v="000"/>
    <s v="001"/>
    <s v="CONTADO"/>
    <s v="002"/>
    <s v="MANTENIMIENTO-MECANICA"/>
    <s v="$"/>
    <n v="3.3840001000000002"/>
    <n v="-1"/>
    <n v="70"/>
    <n v="-70"/>
    <n v="-12.599997999999978"/>
    <n v="-82.599997999999971"/>
    <n v="-236.880007000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2"/>
    <x v="315"/>
    <s v="ATO331"/>
    <d v="2020-02-10T00:00:00"/>
    <s v="20100041953"/>
    <s v="RIMAC SEGUROS  Y REASEGUROS S.A"/>
    <s v="320001"/>
    <s v="REPUESTOS"/>
    <s v="000"/>
    <s v="001"/>
    <s v="CONTADO"/>
    <s v="002"/>
    <s v="MANTENIMIENTO-MECANICA"/>
    <s v="$"/>
    <n v="3.38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3"/>
    <x v="316"/>
    <s v="AZS168"/>
    <d v="2020-02-08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59"/>
    <n v="59"/>
    <n v="10.620002999999997"/>
    <n v="69.620002999999997"/>
    <n v="199.6560059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3"/>
    <x v="316"/>
    <s v="AZS168"/>
    <d v="2020-02-08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60"/>
    <n v="60"/>
    <n v="10.800002999999997"/>
    <n v="70.800003000000004"/>
    <n v="203.040006000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3"/>
    <x v="316"/>
    <s v="AZS168"/>
    <d v="2020-02-08T00:00:00"/>
    <s v="20100041953"/>
    <s v="RIMAC SEGUROS  Y REASEGUROS S.A"/>
    <s v="2908010001"/>
    <s v="TERCEROS"/>
    <s v="000"/>
    <s v="001"/>
    <s v="CONTADO"/>
    <s v="002"/>
    <s v="MANTENIMIENTO-MECANICA"/>
    <s v="$"/>
    <n v="3.3840001000000002"/>
    <n v="1"/>
    <n v="60"/>
    <n v="60"/>
    <n v="10.800002999999997"/>
    <n v="70.800003000000004"/>
    <n v="203.040006000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3"/>
    <x v="316"/>
    <s v="AZS168"/>
    <d v="2020-02-08T00:00:00"/>
    <s v="20100041953"/>
    <s v="RIMAC SEGUROS  Y REASEGUROS S.A"/>
    <s v="2908010002"/>
    <s v="AMPLIACION TERCEROS"/>
    <s v="000"/>
    <s v="001"/>
    <s v="CONTADO"/>
    <s v="002"/>
    <s v="MANTENIMIENTO-MECANICA"/>
    <s v="$"/>
    <n v="3.3840001000000002"/>
    <n v="1"/>
    <n v="25"/>
    <n v="25"/>
    <n v="4.5"/>
    <n v="29.5"/>
    <n v="84.600002500000002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3"/>
    <x v="316"/>
    <s v="AZS168"/>
    <d v="2020-02-08T00:00:00"/>
    <s v="20100041953"/>
    <s v="RIMAC SEGUROS  Y REASEGUROS S.A"/>
    <s v="310120"/>
    <s v="FRANQUICIA"/>
    <s v="000"/>
    <s v="001"/>
    <s v="CONTADO"/>
    <s v="002"/>
    <s v="MANTENIMIENTO-MECANICA"/>
    <s v="$"/>
    <n v="3.3840001000000002"/>
    <n v="-1"/>
    <n v="100"/>
    <n v="-100"/>
    <n v="-18"/>
    <n v="-118"/>
    <n v="-338.400010000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4"/>
    <x v="317"/>
    <s v="BFO123"/>
    <d v="2020-01-30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265.5"/>
    <n v="265.5"/>
    <n v="47.790010000000002"/>
    <n v="313.29001"/>
    <n v="898.45202655000003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4"/>
    <x v="317"/>
    <s v="BFO123"/>
    <d v="2020-01-30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150"/>
    <n v="150"/>
    <n v="27"/>
    <n v="177"/>
    <n v="507.60001500000004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4"/>
    <x v="317"/>
    <s v="BFO123"/>
    <d v="2020-01-30T00:00:00"/>
    <s v="20100041953"/>
    <s v="RIMAC SEGUROS  Y REASEGUROS S.A"/>
    <s v="2908010001"/>
    <s v="TERCEROS"/>
    <s v="000"/>
    <s v="001"/>
    <s v="CONTADO"/>
    <s v="002"/>
    <s v="MANTENIMIENTO-MECANICA"/>
    <s v="$"/>
    <n v="3.3840001000000002"/>
    <n v="1"/>
    <n v="105"/>
    <n v="105"/>
    <n v="18.899999999999999"/>
    <n v="123.9"/>
    <n v="355.32001050000002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4"/>
    <x v="317"/>
    <s v="BFO123"/>
    <d v="2020-01-30T00:00:00"/>
    <s v="20100041953"/>
    <s v="RIMAC SEGUROS  Y REASEGUROS S.A"/>
    <s v="2908010002"/>
    <s v="AMPLIACION TERCERO"/>
    <s v="000"/>
    <s v="001"/>
    <s v="CONTADO"/>
    <s v="002"/>
    <s v="MANTENIMIENTO-MECANICA"/>
    <s v="$"/>
    <n v="3.3840001000000002"/>
    <n v="1"/>
    <n v="30"/>
    <n v="30"/>
    <n v="5.4000019999999997"/>
    <n v="35.400002000000001"/>
    <n v="101.520003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4"/>
    <x v="317"/>
    <s v="BFO123"/>
    <d v="2020-01-30T00:00:00"/>
    <s v="20100041953"/>
    <s v="RIMAC SEGUROS  Y REASEGUROS S.A"/>
    <s v="2805010001"/>
    <s v="SERVICIOS"/>
    <s v="000"/>
    <s v="001"/>
    <s v="CONTADO"/>
    <s v="002"/>
    <s v="MANTENIMIENTO-MECANICA"/>
    <s v="$"/>
    <n v="3.3840001000000002"/>
    <n v="1"/>
    <n v="15"/>
    <n v="15"/>
    <n v="2.7000009999999999"/>
    <n v="17.700001"/>
    <n v="50.7600015000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4"/>
    <x v="317"/>
    <s v="BFO123"/>
    <d v="2020-01-30T00:00:00"/>
    <s v="20100041953"/>
    <s v="RIMAC SEGUROS  Y REASEGUROS S.A"/>
    <s v="310120"/>
    <s v="FRANQUICIA"/>
    <s v="000"/>
    <s v="001"/>
    <s v="CONTADO"/>
    <s v="002"/>
    <s v="MANTENIMIENTO-MECANICA"/>
    <s v="$"/>
    <n v="3.3840001000000002"/>
    <n v="-1"/>
    <n v="153.60169999999999"/>
    <n v="-153.60169999999999"/>
    <n v="-27.648300000000017"/>
    <n v="-181.25"/>
    <n v="-519.78816816017002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4"/>
    <x v="317"/>
    <s v="BFO123"/>
    <d v="2020-01-30T00:00:00"/>
    <s v="20100041953"/>
    <s v="RIMAC SEGUROS  Y REASEGUROS S.A"/>
    <s v="320001"/>
    <s v="REPUESTOS"/>
    <s v="000"/>
    <s v="001"/>
    <s v="CONTADO"/>
    <s v="002"/>
    <s v="MANTENIMIENTO-MECANICA"/>
    <s v="$"/>
    <n v="3.38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5"/>
    <x v="318"/>
    <s v="BFO123"/>
    <d v="2020-02-06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120"/>
    <n v="120"/>
    <n v="21.600010000000019"/>
    <n v="141.60001000000003"/>
    <n v="406.080012000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5"/>
    <x v="318"/>
    <s v="BFO123"/>
    <d v="2020-02-06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60"/>
    <n v="60"/>
    <n v="10.800002999999997"/>
    <n v="70.800003000000004"/>
    <n v="203.040006000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5"/>
    <x v="318"/>
    <s v="BFO123"/>
    <d v="2020-02-06T00:00:00"/>
    <s v="20100041953"/>
    <s v="RIMAC SEGUROS  Y REASEGUROS S.A"/>
    <s v="2908010001"/>
    <s v="TERCEROS"/>
    <s v="000"/>
    <s v="001"/>
    <s v="CONTADO"/>
    <s v="002"/>
    <s v="MANTENIMIENTO-MECANICA"/>
    <s v="$"/>
    <n v="3.3840001000000002"/>
    <n v="1"/>
    <n v="30"/>
    <n v="30"/>
    <n v="5.4000019999999997"/>
    <n v="35.400002000000001"/>
    <n v="101.520003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5"/>
    <x v="318"/>
    <s v="BFO123"/>
    <d v="2020-02-06T00:00:00"/>
    <s v="20100041953"/>
    <s v="RIMAC SEGUROS  Y REASEGUROS S.A"/>
    <s v="310120"/>
    <s v="FRANQUICIA"/>
    <s v="000"/>
    <s v="001"/>
    <s v="CONTADO"/>
    <s v="002"/>
    <s v="MANTENIMIENTO-MECANICA"/>
    <s v="$"/>
    <n v="3.3840001000000002"/>
    <n v="-1"/>
    <n v="100"/>
    <n v="-100"/>
    <n v="-18"/>
    <n v="-118"/>
    <n v="-338.400010000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5"/>
    <x v="318"/>
    <s v="BFO123"/>
    <d v="2020-02-06T00:00:00"/>
    <s v="20100041953"/>
    <s v="RIMAC SEGUROS  Y REASEGUROS S.A"/>
    <s v="320001"/>
    <s v="REPUESTOS"/>
    <s v="000"/>
    <s v="001"/>
    <s v="CONTADO"/>
    <s v="002"/>
    <s v="MANTENIMIENTO-MECANICA"/>
    <s v="$"/>
    <n v="3.38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6"/>
    <x v="92"/>
    <s v="BEJ174"/>
    <d v="2019-10-29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309.75421"/>
    <n v="309.75421"/>
    <n v="55.755800000000129"/>
    <n v="365.51001000000014"/>
    <n v="1048.208277615421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6"/>
    <x v="92"/>
    <s v="BEJ174"/>
    <d v="2019-10-29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330"/>
    <n v="330"/>
    <n v="59.399990000000031"/>
    <n v="389.39999000000006"/>
    <n v="1116.72003300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6"/>
    <x v="92"/>
    <s v="BEJ174"/>
    <d v="2019-10-29T00:00:00"/>
    <s v="20100041953"/>
    <s v="RIMAC SEGUROS  Y REASEGUROS S.A"/>
    <s v="2908010001"/>
    <s v="TERCEROS"/>
    <s v="000"/>
    <s v="001"/>
    <s v="CONTADO"/>
    <s v="002"/>
    <s v="MANTENIMIENTO-MECANICA"/>
    <s v="$"/>
    <n v="3.3840001000000002"/>
    <n v="1"/>
    <n v="70"/>
    <n v="70"/>
    <n v="12.599997999999978"/>
    <n v="82.599997999999971"/>
    <n v="236.880007000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6"/>
    <x v="92"/>
    <s v="BEJ174"/>
    <d v="2019-10-29T00:00:00"/>
    <s v="20100041953"/>
    <s v="RIMAC SEGUROS  Y REASEGUROS S.A"/>
    <s v="2908010002"/>
    <s v="AMPLIACION REPUESTOS"/>
    <s v="000"/>
    <s v="001"/>
    <s v="CONTADO"/>
    <s v="002"/>
    <s v="MANTENIMIENTO-MECANICA"/>
    <s v="$"/>
    <n v="3.38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6"/>
    <x v="92"/>
    <s v="BEJ174"/>
    <d v="2019-10-29T00:00:00"/>
    <s v="20100041953"/>
    <s v="RIMAC SEGUROS  Y REASEGUROS S.A"/>
    <s v="2805010001"/>
    <s v="SERVICIOS"/>
    <s v="000"/>
    <s v="001"/>
    <s v="CONTADO"/>
    <s v="002"/>
    <s v="MANTENIMIENTO-MECANICA"/>
    <s v="$"/>
    <n v="3.3840001000000002"/>
    <n v="1"/>
    <n v="30"/>
    <n v="30"/>
    <n v="5.4000019999999997"/>
    <n v="35.400002000000001"/>
    <n v="101.520003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6"/>
    <x v="92"/>
    <s v="BEJ174"/>
    <d v="2019-10-29T00:00:00"/>
    <s v="20100041953"/>
    <s v="RIMAC SEGUROS  Y REASEGUROS S.A"/>
    <s v="310120"/>
    <s v="FRANQUICIA"/>
    <s v="000"/>
    <s v="001"/>
    <s v="CONTADO"/>
    <s v="002"/>
    <s v="MANTENIMIENTO-MECANICA"/>
    <s v="$"/>
    <n v="3.3840001000000002"/>
    <n v="-1"/>
    <n v="215.27968999999996"/>
    <n v="-215.27968999999996"/>
    <n v="-38.750310000000027"/>
    <n v="-254.03"/>
    <n v="-728.5064924879689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6"/>
    <x v="92"/>
    <s v="BEJ174"/>
    <d v="2019-10-29T00:00:00"/>
    <s v="20100041953"/>
    <s v="RIMAC SEGUROS  Y REASEGUROS S.A"/>
    <s v="310120"/>
    <s v="FRANQUICIA"/>
    <s v="000"/>
    <s v="001"/>
    <s v="CONTADO"/>
    <s v="002"/>
    <s v="MANTENIMIENTO-MECANICA"/>
    <s v="$"/>
    <n v="3.3840001000000002"/>
    <n v="-1"/>
    <n v="14.957599999999999"/>
    <n v="-14.957599999999999"/>
    <n v="-2.6923999999999979"/>
    <n v="-17.649999999999999"/>
    <n v="-50.61651989576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6"/>
    <x v="92"/>
    <s v="BEJ174"/>
    <d v="2019-10-29T00:00:00"/>
    <s v="20100041953"/>
    <s v="RIMAC SEGUROS  Y REASEGUROS S.A"/>
    <s v="320001"/>
    <s v="REPUESTOS"/>
    <s v="000"/>
    <s v="001"/>
    <s v="CONTADO"/>
    <s v="002"/>
    <s v="MANTENIMIENTO-MECANICA"/>
    <s v="$"/>
    <n v="3.38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7"/>
    <x v="140"/>
    <s v="BEQ190"/>
    <d v="2019-10-11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324.5"/>
    <n v="324.5"/>
    <n v="58.41"/>
    <n v="382.91"/>
    <n v="1098.10803245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7"/>
    <x v="140"/>
    <s v="BEQ190"/>
    <d v="2019-10-11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360"/>
    <n v="360"/>
    <n v="64.799990000000037"/>
    <n v="424.79999000000004"/>
    <n v="1218.24003600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7"/>
    <x v="140"/>
    <s v="BEQ190"/>
    <d v="2019-10-11T00:00:00"/>
    <s v="20100041953"/>
    <s v="RIMAC SEGUROS  Y REASEGUROS S.A"/>
    <s v="2908010001"/>
    <s v="TERCEROS"/>
    <s v="000"/>
    <s v="001"/>
    <s v="CONTADO"/>
    <s v="002"/>
    <s v="MANTENIMIENTO-MECANICA"/>
    <s v="$"/>
    <n v="3.3840001000000002"/>
    <n v="1"/>
    <n v="110"/>
    <n v="110"/>
    <n v="19.8"/>
    <n v="129.80000000000001"/>
    <n v="372.24001100000004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7"/>
    <x v="140"/>
    <s v="BEQ190"/>
    <d v="2019-10-11T00:00:00"/>
    <s v="20100041953"/>
    <s v="RIMAC SEGUROS  Y REASEGUROS S.A"/>
    <s v="2908010002"/>
    <s v="AMPLIACION TERCEROS"/>
    <s v="000"/>
    <s v="001"/>
    <s v="CONTADO"/>
    <s v="002"/>
    <s v="MANTENIMIENTO-MECANICA"/>
    <s v="$"/>
    <n v="3.3840001000000002"/>
    <n v="1"/>
    <n v="40"/>
    <n v="40"/>
    <n v="7.2000010000000021"/>
    <n v="47.200001"/>
    <n v="135.360004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7"/>
    <x v="140"/>
    <s v="BEQ190"/>
    <d v="2019-10-11T00:00:00"/>
    <s v="20100041953"/>
    <s v="RIMAC SEGUROS  Y REASEGUROS S.A"/>
    <s v="2805010001"/>
    <s v="SERVICIOS"/>
    <s v="000"/>
    <s v="001"/>
    <s v="CONTADO"/>
    <s v="002"/>
    <s v="MANTENIMIENTO-MECANICA"/>
    <s v="$"/>
    <n v="3.3840001000000002"/>
    <n v="1"/>
    <n v="30"/>
    <n v="30"/>
    <n v="5.4000019999999997"/>
    <n v="35.400002000000001"/>
    <n v="101.520003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7"/>
    <x v="140"/>
    <s v="BEQ190"/>
    <d v="2019-10-11T00:00:00"/>
    <s v="20100041953"/>
    <s v="RIMAC SEGUROS  Y REASEGUROS S.A"/>
    <s v="310120"/>
    <s v="FRANQUICIA"/>
    <s v="000"/>
    <s v="001"/>
    <s v="CONTADO"/>
    <s v="002"/>
    <s v="MANTENIMIENTO-MECANICA"/>
    <s v="$"/>
    <n v="3.3840001000000002"/>
    <n v="-1"/>
    <n v="235.90680000000003"/>
    <n v="-235.90680000000003"/>
    <n v="-42.463199999999958"/>
    <n v="-278.37"/>
    <n v="-798.30863479068012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7"/>
    <x v="140"/>
    <s v="BEQ190"/>
    <d v="2019-10-11T00:00:00"/>
    <s v="20100041953"/>
    <s v="RIMAC SEGUROS  Y REASEGUROS S.A"/>
    <s v="320001"/>
    <s v="REPUESTOS"/>
    <s v="000"/>
    <s v="001"/>
    <s v="CONTADO"/>
    <s v="002"/>
    <s v="MANTENIMIENTO-MECANICA"/>
    <s v="$"/>
    <n v="3.38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8"/>
    <x v="141"/>
    <s v="C4R002"/>
    <d v="2019-11-22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324.5"/>
    <n v="324.5"/>
    <n v="58.41"/>
    <n v="382.91"/>
    <n v="1098.10803245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8"/>
    <x v="141"/>
    <s v="C4R002"/>
    <d v="2019-11-22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292.5"/>
    <n v="292.5"/>
    <n v="52.649990000000031"/>
    <n v="345.14999000000006"/>
    <n v="989.82002925000006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8"/>
    <x v="141"/>
    <s v="C4R002"/>
    <d v="2019-11-22T00:00:00"/>
    <s v="20100041953"/>
    <s v="RIMAC SEGUROS  Y REASEGUROS S.A"/>
    <s v="2908010001"/>
    <s v="TERCEROS"/>
    <s v="000"/>
    <s v="001"/>
    <s v="CONTADO"/>
    <s v="002"/>
    <s v="MANTENIMIENTO-MECANICA"/>
    <s v="$"/>
    <n v="3.3840001000000002"/>
    <n v="1"/>
    <n v="30"/>
    <n v="30"/>
    <n v="5.4000019999999997"/>
    <n v="35.400002000000001"/>
    <n v="101.520003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8"/>
    <x v="141"/>
    <s v="C4R002"/>
    <d v="2019-11-22T00:00:00"/>
    <s v="20100041953"/>
    <s v="RIMAC SEGUROS  Y REASEGUROS S.A"/>
    <s v="2805010001"/>
    <s v="SERVICIOS"/>
    <s v="000"/>
    <s v="001"/>
    <s v="CONTADO"/>
    <s v="002"/>
    <s v="MANTENIMIENTO-MECANICA"/>
    <s v="$"/>
    <n v="3.3840001000000002"/>
    <n v="1"/>
    <n v="30"/>
    <n v="30"/>
    <n v="5.4000019999999997"/>
    <n v="35.400002000000001"/>
    <n v="101.520003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8"/>
    <x v="141"/>
    <s v="C4R002"/>
    <d v="2019-11-22T00:00:00"/>
    <s v="20100041953"/>
    <s v="RIMAC SEGUROS  Y REASEGUROS S.A"/>
    <s v="310120"/>
    <s v="FRANQUICIA"/>
    <s v="000"/>
    <s v="001"/>
    <s v="CONTADO"/>
    <s v="002"/>
    <s v="MANTENIMIENTO-MECANICA"/>
    <s v="$"/>
    <n v="3.3840001000000002"/>
    <n v="-1"/>
    <n v="100"/>
    <n v="-100"/>
    <n v="-18"/>
    <n v="-118"/>
    <n v="-338.400010000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8"/>
    <x v="141"/>
    <s v="C4R002"/>
    <d v="2019-11-22T00:00:00"/>
    <s v="20100041953"/>
    <s v="RIMAC SEGUROS  Y REASEGUROS S.A"/>
    <s v="320001"/>
    <s v="REPUESTOS"/>
    <s v="000"/>
    <s v="001"/>
    <s v="CONTADO"/>
    <s v="002"/>
    <s v="MANTENIMIENTO-MECANICA"/>
    <s v="$"/>
    <n v="3.38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9"/>
    <x v="184"/>
    <s v="BFB527"/>
    <d v="2019-12-05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324.5"/>
    <n v="324.5"/>
    <n v="58.41"/>
    <n v="382.91"/>
    <n v="1098.10803245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9"/>
    <x v="184"/>
    <s v="BFB527"/>
    <d v="2019-12-05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180"/>
    <n v="180"/>
    <n v="32.39998999999996"/>
    <n v="212.39998999999997"/>
    <n v="609.12001800000007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9"/>
    <x v="184"/>
    <s v="BFB527"/>
    <d v="2019-12-05T00:00:00"/>
    <s v="20100041953"/>
    <s v="RIMAC SEGUROS  Y REASEGUROS S.A"/>
    <s v="2908010001"/>
    <s v="TERCEROS"/>
    <s v="000"/>
    <s v="001"/>
    <s v="CONTADO"/>
    <s v="002"/>
    <s v="MANTENIMIENTO-MECANICA"/>
    <s v="$"/>
    <n v="3.3840001000000002"/>
    <n v="1"/>
    <n v="70"/>
    <n v="70"/>
    <n v="12.599997999999978"/>
    <n v="82.599997999999971"/>
    <n v="236.88000700000001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9"/>
    <x v="184"/>
    <s v="BFB527"/>
    <d v="2019-12-05T00:00:00"/>
    <s v="20100041953"/>
    <s v="RIMAC SEGUROS  Y REASEGUROS S.A"/>
    <s v="310120"/>
    <s v="FRANQUICIA"/>
    <s v="000"/>
    <s v="001"/>
    <s v="CONTADO"/>
    <s v="002"/>
    <s v="MANTENIMIENTO-MECANICA"/>
    <s v="$"/>
    <n v="3.3840001000000002"/>
    <n v="-1"/>
    <n v="200"/>
    <n v="-200"/>
    <n v="-36"/>
    <n v="-236"/>
    <n v="-676.80002000000002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49"/>
    <x v="184"/>
    <s v="BFB527"/>
    <d v="2019-12-05T00:00:00"/>
    <s v="20100041953"/>
    <s v="RIMAC SEGUROS  Y REASEGUROS S.A"/>
    <s v="320001"/>
    <s v="REPUESTOS"/>
    <s v="000"/>
    <s v="001"/>
    <s v="CONTADO"/>
    <s v="002"/>
    <s v="MANTENIMIENTO-MECANICA"/>
    <s v="$"/>
    <n v="3.38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50"/>
    <x v="166"/>
    <s v="BDW631"/>
    <d v="2019-11-25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354"/>
    <n v="354"/>
    <n v="63.72"/>
    <n v="417.72"/>
    <n v="1197.9360354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50"/>
    <x v="166"/>
    <s v="BDW631"/>
    <d v="2019-11-25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135"/>
    <n v="135"/>
    <n v="24.3"/>
    <n v="159.30000000000001"/>
    <n v="456.8400135"/>
    <m/>
    <m/>
    <m/>
    <m/>
    <m/>
    <m/>
    <m/>
    <m/>
    <m/>
    <m/>
    <m/>
    <m/>
    <m/>
    <m/>
    <m/>
    <m/>
    <m/>
    <m/>
    <m/>
    <m/>
    <m/>
    <m/>
    <m/>
    <m/>
  </r>
  <r>
    <x v="92"/>
    <s v="FAC"/>
    <s v="005"/>
    <s v="00000350"/>
    <x v="166"/>
    <s v="BDW631"/>
    <d v="2019-11-25T00:00:00"/>
    <s v="20100041953"/>
    <s v="RIMAC SEGUROS  Y REASEGUROS S.A"/>
    <s v="310120"/>
    <s v="FRANQUICIA"/>
    <s v="000"/>
    <s v="001"/>
    <s v="CONTADO"/>
    <s v="002"/>
    <s v="MANTENIMIENTO-MECANICA"/>
    <s v="$"/>
    <n v="3.3840001000000002"/>
    <n v="-1"/>
    <n v="100"/>
    <n v="-100"/>
    <n v="-18"/>
    <n v="-118"/>
    <n v="-338.40001000000001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1"/>
    <x v="319"/>
    <s v="B4F196"/>
    <d v="2020-02-04T00:00:00"/>
    <s v="20100041953"/>
    <s v="RIMAC SEGUROS  Y REASEGUROS S.A"/>
    <s v="1302020001"/>
    <s v="PINTURA"/>
    <s v="000"/>
    <s v="003"/>
    <s v="FACTURA A 7 DIAS"/>
    <s v="009"/>
    <s v="PINTURA"/>
    <s v="$"/>
    <n v="3.3840001000000002"/>
    <n v="1"/>
    <n v="236"/>
    <n v="236"/>
    <n v="42.48001"/>
    <n v="278.48000999999999"/>
    <n v="798.62402359999999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1"/>
    <x v="319"/>
    <s v="B4F196"/>
    <d v="2020-02-04T00:00:00"/>
    <s v="20100041953"/>
    <s v="RIMAC SEGUROS  Y REASEGUROS S.A"/>
    <s v="1201020001"/>
    <s v="PLANCHADO"/>
    <s v="000"/>
    <s v="003"/>
    <s v="FACTURA A 7 DIAS"/>
    <s v="001"/>
    <s v="PLANCHADO"/>
    <s v="$"/>
    <n v="3.3840001000000002"/>
    <n v="1"/>
    <n v="420"/>
    <n v="420"/>
    <n v="75.600009999999898"/>
    <n v="495.60000999999988"/>
    <n v="1421.2800420000001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1"/>
    <x v="319"/>
    <s v="B4F196"/>
    <d v="2020-02-04T00:00:00"/>
    <s v="20100041953"/>
    <s v="RIMAC SEGUROS  Y REASEGUROS S.A"/>
    <s v="2908010001"/>
    <s v="TERCEROS"/>
    <s v="000"/>
    <s v="003"/>
    <s v="FACTURA A 7 DIAS"/>
    <s v="002"/>
    <s v="MANTENIMIENTO-MECANICA"/>
    <s v="$"/>
    <n v="3.3840001000000002"/>
    <n v="1"/>
    <n v="90"/>
    <n v="90"/>
    <n v="16.2"/>
    <n v="106.2"/>
    <n v="304.56000900000004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1"/>
    <x v="319"/>
    <s v="B4F196"/>
    <d v="2020-02-04T00:00:00"/>
    <s v="20100041953"/>
    <s v="RIMAC SEGUROS  Y REASEGUROS S.A"/>
    <s v="2908010002"/>
    <s v="AMPLIACION PLANCHADO"/>
    <s v="000"/>
    <s v="003"/>
    <s v="FACTURA A 7 DIAS"/>
    <s v="002"/>
    <s v="MANTENIMIENTO-MECANICA"/>
    <s v="$"/>
    <n v="3.3840001000000002"/>
    <n v="1"/>
    <n v="60"/>
    <n v="60"/>
    <n v="10.800002999999997"/>
    <n v="70.800003000000004"/>
    <n v="203.04000600000001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1"/>
    <x v="319"/>
    <s v="B4F196"/>
    <d v="2020-02-04T00:00:00"/>
    <s v="20100041953"/>
    <s v="RIMAC SEGUROS  Y REASEGUROS S.A"/>
    <s v="2908010003"/>
    <s v="AMPLIACION DE PINTURA"/>
    <s v="000"/>
    <s v="003"/>
    <s v="FACTURA A 7 DIAS"/>
    <s v="002"/>
    <s v="MANTENIMIENTO-MECANICA"/>
    <s v="$"/>
    <n v="3.3840001000000002"/>
    <n v="1"/>
    <n v="14.754200000000001"/>
    <n v="14.754200000000001"/>
    <n v="2.6557999999999993"/>
    <n v="17.41"/>
    <n v="49.928214275420004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1"/>
    <x v="319"/>
    <s v="B4F196"/>
    <d v="2020-02-04T00:00:00"/>
    <s v="20100041953"/>
    <s v="RIMAC SEGUROS  Y REASEGUROS S.A"/>
    <s v="310120"/>
    <s v="FRANQUICIA"/>
    <s v="000"/>
    <s v="003"/>
    <s v="FACTURA A 7 DIAS"/>
    <s v="002"/>
    <s v="MANTENIMIENTO-MECANICA"/>
    <s v="$"/>
    <n v="3.3840001000000002"/>
    <n v="-1"/>
    <n v="100"/>
    <n v="-100"/>
    <n v="-18"/>
    <n v="-118"/>
    <n v="-338.40001000000001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1"/>
    <x v="319"/>
    <s v="B4F196"/>
    <d v="2020-02-04T00:00:00"/>
    <s v="20100041953"/>
    <s v="RIMAC SEGUROS  Y REASEGUROS S.A"/>
    <s v="320001"/>
    <s v="REPUESTOS"/>
    <s v="000"/>
    <s v="003"/>
    <s v="FACTURA A 7 DIAS"/>
    <s v="002"/>
    <s v="MANTENIMIENTO-MECANICA"/>
    <s v="$"/>
    <n v="3.38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2"/>
    <x v="320"/>
    <s v="AVF200"/>
    <d v="2020-01-21T00:00:00"/>
    <s v="20100041953"/>
    <s v="RIMAC SEGUROS  Y REASEGUROS S.A"/>
    <s v="2908010001"/>
    <s v="TERCEROS"/>
    <s v="000"/>
    <s v="001"/>
    <s v="CONTADO"/>
    <s v="002"/>
    <s v="MANTENIMIENTO-MECANICA"/>
    <s v="$"/>
    <n v="3.3840001000000002"/>
    <n v="1"/>
    <n v="65"/>
    <n v="65"/>
    <n v="11.699996999999994"/>
    <n v="76.699996999999996"/>
    <n v="219.96000650000002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2"/>
    <x v="320"/>
    <s v="AVF200"/>
    <d v="2020-01-21T00:00:00"/>
    <s v="20100041953"/>
    <s v="RIMAC SEGUROS  Y REASEGUROS S.A"/>
    <s v="2805010001"/>
    <s v="SERVICIOS"/>
    <s v="000"/>
    <s v="001"/>
    <s v="CONTADO"/>
    <s v="002"/>
    <s v="MANTENIMIENTO-MECANICA"/>
    <s v="$"/>
    <n v="3.3840001000000002"/>
    <n v="1"/>
    <n v="45"/>
    <n v="45"/>
    <n v="8.0999980000000047"/>
    <n v="53.099998000000006"/>
    <n v="152.28000450000002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2"/>
    <x v="320"/>
    <s v="AVF200"/>
    <d v="2020-01-21T00:00:00"/>
    <s v="20100041953"/>
    <s v="RIMAC SEGUROS  Y REASEGUROS S.A"/>
    <s v="310120"/>
    <s v="FRANQUICIA"/>
    <s v="000"/>
    <s v="001"/>
    <s v="CONTADO"/>
    <s v="002"/>
    <s v="MANTENIMIENTO-MECANICA"/>
    <s v="$"/>
    <n v="3.3840001000000002"/>
    <n v="-1"/>
    <n v="100"/>
    <n v="-100"/>
    <n v="-18"/>
    <n v="-118"/>
    <n v="-338.40001000000001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2"/>
    <x v="320"/>
    <s v="AVF200"/>
    <d v="2020-01-21T00:00:00"/>
    <s v="20100041953"/>
    <s v="RIMAC SEGUROS  Y REASEGUROS S.A"/>
    <s v="320001"/>
    <s v="REPUESTOS"/>
    <s v="000"/>
    <s v="001"/>
    <s v="CONTADO"/>
    <s v="002"/>
    <s v="MANTENIMIENTO-MECANICA"/>
    <s v="$"/>
    <n v="3.38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3"/>
    <x v="321"/>
    <s v="ABI176"/>
    <d v="2020-02-11T00:00:00"/>
    <s v="20556804932"/>
    <s v="PROMUNE S.A.C"/>
    <s v="310120"/>
    <s v="FRANQUICIA"/>
    <s v="000"/>
    <s v="001"/>
    <s v="CONTADO"/>
    <s v="002"/>
    <s v="MANTENIMIENTO-MECANICA"/>
    <s v="$"/>
    <n v="3.3840001000000002"/>
    <n v="1"/>
    <n v="100"/>
    <n v="100"/>
    <n v="18"/>
    <n v="118"/>
    <n v="338.40001000000001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4"/>
    <x v="321"/>
    <s v="ABI176"/>
    <d v="2020-02-11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59"/>
    <n v="59"/>
    <n v="10.620002999999997"/>
    <n v="69.620002999999997"/>
    <n v="199.6560059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4"/>
    <x v="321"/>
    <s v="ABI176"/>
    <d v="2020-02-11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30"/>
    <n v="30"/>
    <n v="5.4000019999999997"/>
    <n v="35.400002000000001"/>
    <n v="101.520003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4"/>
    <x v="321"/>
    <s v="ABI176"/>
    <d v="2020-02-11T00:00:00"/>
    <s v="20100041953"/>
    <s v="RIMAC SEGUROS  Y REASEGUROS S.A"/>
    <s v="2908010001"/>
    <s v="TERCEROS"/>
    <s v="000"/>
    <s v="001"/>
    <s v="CONTADO"/>
    <s v="002"/>
    <s v="MANTENIMIENTO-MECANICA"/>
    <s v="$"/>
    <n v="3.3840001000000002"/>
    <n v="1"/>
    <n v="65"/>
    <n v="65"/>
    <n v="11.699996999999994"/>
    <n v="76.699996999999996"/>
    <n v="219.96000650000002"/>
    <m/>
    <m/>
    <m/>
    <m/>
    <m/>
    <m/>
    <m/>
    <m/>
    <m/>
    <m/>
    <m/>
    <m/>
    <m/>
    <m/>
    <m/>
    <m/>
    <m/>
    <m/>
    <m/>
    <m/>
    <m/>
    <m/>
    <m/>
    <m/>
  </r>
  <r>
    <x v="93"/>
    <s v="FAC"/>
    <s v="005"/>
    <s v="00000354"/>
    <x v="321"/>
    <s v="ABI176"/>
    <d v="2020-02-11T00:00:00"/>
    <s v="20100041953"/>
    <s v="RIMAC SEGUROS  Y REASEGUROS S.A"/>
    <s v="310120"/>
    <s v="FRANQUICIA"/>
    <s v="000"/>
    <s v="001"/>
    <s v="CONTADO"/>
    <s v="002"/>
    <s v="MANTENIMIENTO-MECANICA"/>
    <s v="$"/>
    <n v="3.3840001000000002"/>
    <n v="-1"/>
    <n v="100"/>
    <n v="-100"/>
    <n v="-18"/>
    <n v="-118"/>
    <n v="-338.40001000000001"/>
    <m/>
    <m/>
    <m/>
    <m/>
    <m/>
    <m/>
    <m/>
    <m/>
    <m/>
    <m/>
    <m/>
    <m/>
    <m/>
    <m/>
    <m/>
    <m/>
    <m/>
    <m/>
    <m/>
    <m/>
    <m/>
    <m/>
    <m/>
    <m/>
  </r>
  <r>
    <x v="94"/>
    <s v="FAC"/>
    <s v="005"/>
    <s v="00000355"/>
    <x v="322"/>
    <s v="BKW218"/>
    <d v="2020-01-29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14.754200000000001"/>
    <n v="14.754200000000001"/>
    <n v="2.6557999999999993"/>
    <n v="17.41"/>
    <n v="49.928214275420004"/>
    <m/>
    <m/>
    <m/>
    <m/>
    <m/>
    <m/>
    <m/>
    <m/>
    <m/>
    <m/>
    <m/>
    <m/>
    <m/>
    <m/>
    <m/>
    <m/>
    <m/>
    <m/>
    <m/>
    <m/>
    <m/>
    <m/>
    <m/>
    <m/>
  </r>
  <r>
    <x v="94"/>
    <s v="FAC"/>
    <s v="005"/>
    <s v="00000355"/>
    <x v="322"/>
    <s v="BKW218"/>
    <d v="2020-01-29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15"/>
    <n v="15"/>
    <n v="2.7000009999999999"/>
    <n v="17.700001"/>
    <n v="50.760001500000001"/>
    <m/>
    <m/>
    <m/>
    <m/>
    <m/>
    <m/>
    <m/>
    <m/>
    <m/>
    <m/>
    <m/>
    <m/>
    <m/>
    <m/>
    <m/>
    <m/>
    <m/>
    <m/>
    <m/>
    <m/>
    <m/>
    <m/>
    <m/>
    <m/>
  </r>
  <r>
    <x v="94"/>
    <s v="FAC"/>
    <s v="005"/>
    <s v="00000355"/>
    <x v="322"/>
    <s v="BKW218"/>
    <d v="2020-01-29T00:00:00"/>
    <s v="20100041953"/>
    <s v="RIMAC SEGUROS  Y REASEGUROS S.A"/>
    <s v="2908010001"/>
    <s v="TERCEROS"/>
    <s v="000"/>
    <s v="001"/>
    <s v="CONTADO"/>
    <s v="002"/>
    <s v="MANTENIMIENTO-MECANICA"/>
    <s v="$"/>
    <n v="3.3840001000000002"/>
    <n v="1"/>
    <n v="20"/>
    <n v="20"/>
    <n v="3.6"/>
    <n v="23.6"/>
    <n v="67.680002000000002"/>
    <m/>
    <m/>
    <m/>
    <m/>
    <m/>
    <m/>
    <m/>
    <m/>
    <m/>
    <m/>
    <m/>
    <m/>
    <m/>
    <m/>
    <m/>
    <m/>
    <m/>
    <m/>
    <m/>
    <m/>
    <m/>
    <m/>
    <m/>
    <m/>
  </r>
  <r>
    <x v="94"/>
    <s v="FAC"/>
    <s v="005"/>
    <s v="00000355"/>
    <x v="322"/>
    <s v="BKW218"/>
    <d v="2020-01-29T00:00:00"/>
    <s v="20100041953"/>
    <s v="RIMAC SEGUROS  Y REASEGUROS S.A"/>
    <s v="320001"/>
    <s v="REPUESTOS"/>
    <s v="000"/>
    <s v="001"/>
    <s v="CONTADO"/>
    <s v="002"/>
    <s v="MANTENIMIENTO-MECANICA"/>
    <s v="$"/>
    <n v="3.38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4"/>
    <s v="FAC"/>
    <s v="005"/>
    <s v="00000356"/>
    <x v="183"/>
    <s v="EGX296"/>
    <d v="2019-12-10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88.5"/>
    <n v="88.5"/>
    <n v="15.93"/>
    <n v="104.43"/>
    <n v="299.48400885000001"/>
    <m/>
    <m/>
    <m/>
    <m/>
    <m/>
    <m/>
    <m/>
    <m/>
    <m/>
    <m/>
    <m/>
    <m/>
    <m/>
    <m/>
    <m/>
    <m/>
    <m/>
    <m/>
    <m/>
    <m/>
    <m/>
    <m/>
    <m/>
    <m/>
  </r>
  <r>
    <x v="94"/>
    <s v="FAC"/>
    <s v="005"/>
    <s v="00000356"/>
    <x v="183"/>
    <s v="EGX296"/>
    <d v="2019-12-10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30"/>
    <n v="30"/>
    <n v="5.4000019999999997"/>
    <n v="35.400002000000001"/>
    <n v="101.520003"/>
    <m/>
    <m/>
    <m/>
    <m/>
    <m/>
    <m/>
    <m/>
    <m/>
    <m/>
    <m/>
    <m/>
    <m/>
    <m/>
    <m/>
    <m/>
    <m/>
    <m/>
    <m/>
    <m/>
    <m/>
    <m/>
    <m/>
    <m/>
    <m/>
  </r>
  <r>
    <x v="94"/>
    <s v="FAC"/>
    <s v="005"/>
    <s v="00000356"/>
    <x v="183"/>
    <s v="EGX296"/>
    <d v="2019-12-10T00:00:00"/>
    <s v="20100041953"/>
    <s v="RIMAC SEGUROS  Y REASEGUROS S.A"/>
    <s v="2908010001"/>
    <s v="TERCEROS"/>
    <s v="000"/>
    <s v="001"/>
    <s v="CONTADO"/>
    <s v="002"/>
    <s v="MANTENIMIENTO-MECANICA"/>
    <s v="$"/>
    <n v="3.3840001000000002"/>
    <n v="1"/>
    <n v="45"/>
    <n v="45"/>
    <n v="8.0999980000000047"/>
    <n v="53.099998000000006"/>
    <n v="152.28000450000002"/>
    <m/>
    <m/>
    <m/>
    <m/>
    <m/>
    <m/>
    <m/>
    <m/>
    <m/>
    <m/>
    <m/>
    <m/>
    <m/>
    <m/>
    <m/>
    <m/>
    <m/>
    <m/>
    <m/>
    <m/>
    <m/>
    <m/>
    <m/>
    <m/>
  </r>
  <r>
    <x v="95"/>
    <s v="FAC"/>
    <s v="005"/>
    <s v="00000357"/>
    <x v="323"/>
    <s v="F1D251"/>
    <d v="2020-02-17T00:00:00"/>
    <s v="20100041953"/>
    <s v="RIMAC SEGUROS  Y REASEGUROS S.A"/>
    <s v="1302020001"/>
    <s v="PINTURA"/>
    <s v="000"/>
    <s v="001"/>
    <s v="CONTADO"/>
    <s v="009"/>
    <s v="PINTURA"/>
    <s v="$"/>
    <n v="3.3859998999999998"/>
    <n v="1"/>
    <n v="153.39830000000001"/>
    <n v="153.39830000000001"/>
    <n v="27.611689999999964"/>
    <n v="181.00998999999996"/>
    <n v="519.40662846016994"/>
    <m/>
    <m/>
    <m/>
    <m/>
    <m/>
    <m/>
    <m/>
    <m/>
    <m/>
    <m/>
    <m/>
    <m/>
    <m/>
    <m/>
    <m/>
    <m/>
    <m/>
    <m/>
    <m/>
    <m/>
    <m/>
    <m/>
    <m/>
    <m/>
  </r>
  <r>
    <x v="95"/>
    <s v="FAC"/>
    <s v="005"/>
    <s v="00000357"/>
    <x v="323"/>
    <s v="F1D251"/>
    <d v="2020-02-17T00:00:00"/>
    <s v="20100041953"/>
    <s v="RIMAC SEGUROS  Y REASEGUROS S.A"/>
    <s v="1201020001"/>
    <s v="PLANCHADO"/>
    <s v="000"/>
    <s v="001"/>
    <s v="CONTADO"/>
    <s v="001"/>
    <s v="PLANCHADO"/>
    <s v="$"/>
    <n v="3.3859998999999998"/>
    <n v="1"/>
    <n v="30"/>
    <n v="30"/>
    <n v="5.4000019999999997"/>
    <n v="35.400002000000001"/>
    <n v="101.57999699999999"/>
    <m/>
    <m/>
    <m/>
    <m/>
    <m/>
    <m/>
    <m/>
    <m/>
    <m/>
    <m/>
    <m/>
    <m/>
    <m/>
    <m/>
    <m/>
    <m/>
    <m/>
    <m/>
    <m/>
    <m/>
    <m/>
    <m/>
    <m/>
    <m/>
  </r>
  <r>
    <x v="95"/>
    <s v="FAC"/>
    <s v="005"/>
    <s v="00000357"/>
    <x v="323"/>
    <s v="F1D251"/>
    <d v="2020-02-17T00:00:00"/>
    <s v="20100041953"/>
    <s v="RIMAC SEGUROS  Y REASEGUROS S.A"/>
    <s v="2908010001"/>
    <s v="TERCEROS"/>
    <s v="000"/>
    <s v="001"/>
    <s v="CONTADO"/>
    <s v="002"/>
    <s v="MANTENIMIENTO-MECANICA"/>
    <s v="$"/>
    <n v="3.3859998999999998"/>
    <n v="1"/>
    <n v="55"/>
    <n v="55"/>
    <n v="9.9000020000000131"/>
    <n v="64.900002000000015"/>
    <n v="186.2299945"/>
    <m/>
    <m/>
    <m/>
    <m/>
    <m/>
    <m/>
    <m/>
    <m/>
    <m/>
    <m/>
    <m/>
    <m/>
    <m/>
    <m/>
    <m/>
    <m/>
    <m/>
    <m/>
    <m/>
    <m/>
    <m/>
    <m/>
    <m/>
    <m/>
  </r>
  <r>
    <x v="95"/>
    <s v="FAC"/>
    <s v="005"/>
    <s v="00000358"/>
    <x v="324"/>
    <s v="F1D251"/>
    <d v="2020-01-28T00:00:00"/>
    <s v="20100041953"/>
    <s v="RIMAC SEGUROS  Y REASEGUROS S.A"/>
    <s v="1302020001"/>
    <s v="PINTURA"/>
    <s v="000"/>
    <s v="001"/>
    <s v="CONTADO"/>
    <s v="009"/>
    <s v="PINTURA"/>
    <s v="$"/>
    <n v="3.3859998999999998"/>
    <n v="1"/>
    <n v="76.703400000000002"/>
    <n v="76.703400000000002"/>
    <n v="13.806602000000003"/>
    <n v="90.510002"/>
    <n v="259.71770472966"/>
    <m/>
    <m/>
    <m/>
    <m/>
    <m/>
    <m/>
    <m/>
    <m/>
    <m/>
    <m/>
    <m/>
    <m/>
    <m/>
    <m/>
    <m/>
    <m/>
    <m/>
    <m/>
    <m/>
    <m/>
    <m/>
    <m/>
    <m/>
    <m/>
  </r>
  <r>
    <x v="95"/>
    <s v="FAC"/>
    <s v="005"/>
    <s v="00000358"/>
    <x v="324"/>
    <s v="F1D251"/>
    <d v="2020-01-28T00:00:00"/>
    <s v="20100041953"/>
    <s v="RIMAC SEGUROS  Y REASEGUROS S.A"/>
    <s v="1201020001"/>
    <s v="PLANCHADO"/>
    <s v="000"/>
    <s v="001"/>
    <s v="CONTADO"/>
    <s v="001"/>
    <s v="PLANCHADO"/>
    <s v="$"/>
    <n v="3.3859998999999998"/>
    <n v="1"/>
    <n v="15"/>
    <n v="15"/>
    <n v="2.7000009999999999"/>
    <n v="17.700001"/>
    <n v="50.789998499999996"/>
    <m/>
    <m/>
    <m/>
    <m/>
    <m/>
    <m/>
    <m/>
    <m/>
    <m/>
    <m/>
    <m/>
    <m/>
    <m/>
    <m/>
    <m/>
    <m/>
    <m/>
    <m/>
    <m/>
    <m/>
    <m/>
    <m/>
    <m/>
    <m/>
  </r>
  <r>
    <x v="95"/>
    <s v="FAC"/>
    <s v="005"/>
    <s v="00000358"/>
    <x v="324"/>
    <s v="F1D251"/>
    <d v="2020-01-28T00:00:00"/>
    <s v="20100041953"/>
    <s v="RIMAC SEGUROS  Y REASEGUROS S.A"/>
    <s v="320001"/>
    <s v="REPUESTOS"/>
    <s v="000"/>
    <s v="001"/>
    <s v="CONTADO"/>
    <s v="002"/>
    <s v="MANTENIMIENTO-MECANICA"/>
    <s v="$"/>
    <n v="3.3859998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6"/>
    <s v="FAC"/>
    <s v="005"/>
    <s v="00000359"/>
    <x v="325"/>
    <s v="BKS038"/>
    <d v="2020-02-06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59"/>
    <n v="59"/>
    <n v="10.620002999999997"/>
    <n v="69.620002999999997"/>
    <n v="199.6560059"/>
    <m/>
    <m/>
    <m/>
    <m/>
    <m/>
    <m/>
    <m/>
    <m/>
    <m/>
    <m/>
    <m/>
    <m/>
    <m/>
    <m/>
    <m/>
    <m/>
    <m/>
    <m/>
    <m/>
    <m/>
    <m/>
    <m/>
    <m/>
    <m/>
  </r>
  <r>
    <x v="96"/>
    <s v="FAC"/>
    <s v="005"/>
    <s v="00000359"/>
    <x v="325"/>
    <s v="BKS038"/>
    <d v="2020-02-06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30"/>
    <n v="30"/>
    <n v="5.4000019999999997"/>
    <n v="35.400002000000001"/>
    <n v="101.520003"/>
    <m/>
    <m/>
    <m/>
    <m/>
    <m/>
    <m/>
    <m/>
    <m/>
    <m/>
    <m/>
    <m/>
    <m/>
    <m/>
    <m/>
    <m/>
    <m/>
    <m/>
    <m/>
    <m/>
    <m/>
    <m/>
    <m/>
    <m/>
    <m/>
  </r>
  <r>
    <x v="96"/>
    <s v="FAC"/>
    <s v="005"/>
    <s v="00000359"/>
    <x v="325"/>
    <s v="BKS038"/>
    <d v="2020-02-06T00:00:00"/>
    <s v="20100041953"/>
    <s v="RIMAC SEGUROS  Y REASEGUROS S.A"/>
    <s v="320001"/>
    <s v="REPUESTOS"/>
    <s v="000"/>
    <s v="001"/>
    <s v="CONTADO"/>
    <s v="002"/>
    <s v="MANTENIMIENTO-MECANICA"/>
    <s v="$"/>
    <n v="3.38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6"/>
    <s v="FAC"/>
    <s v="005"/>
    <s v="00000361"/>
    <x v="326"/>
    <s v="BKF172"/>
    <d v="2020-02-12T00:00:00"/>
    <s v="20100041953"/>
    <s v="RIMAC SEGUROS  Y REASEGUROS S.A"/>
    <s v="1302020001"/>
    <s v="PINTURA"/>
    <s v="000"/>
    <s v="001"/>
    <s v="CONTADO"/>
    <s v="009"/>
    <s v="PINTURA"/>
    <s v="$"/>
    <n v="3.3840001000000002"/>
    <n v="1"/>
    <n v="118"/>
    <n v="118"/>
    <n v="21.240010000000019"/>
    <n v="139.24001000000001"/>
    <n v="399.31201179999999"/>
    <m/>
    <m/>
    <m/>
    <m/>
    <m/>
    <m/>
    <m/>
    <m/>
    <m/>
    <m/>
    <m/>
    <m/>
    <m/>
    <m/>
    <m/>
    <m/>
    <m/>
    <m/>
    <m/>
    <m/>
    <m/>
    <m/>
    <m/>
    <m/>
  </r>
  <r>
    <x v="96"/>
    <s v="FAC"/>
    <s v="005"/>
    <s v="00000361"/>
    <x v="326"/>
    <s v="BKF172"/>
    <d v="2020-02-12T00:00:00"/>
    <s v="20100041953"/>
    <s v="RIMAC SEGUROS  Y REASEGUROS S.A"/>
    <s v="1201020001"/>
    <s v="PLANCHADO"/>
    <s v="000"/>
    <s v="001"/>
    <s v="CONTADO"/>
    <s v="001"/>
    <s v="PLANCHADO"/>
    <s v="$"/>
    <n v="3.3840001000000002"/>
    <n v="1"/>
    <n v="90"/>
    <n v="90"/>
    <n v="16.2"/>
    <n v="106.2"/>
    <n v="304.56000900000004"/>
    <m/>
    <m/>
    <m/>
    <m/>
    <m/>
    <m/>
    <m/>
    <m/>
    <m/>
    <m/>
    <m/>
    <m/>
    <m/>
    <m/>
    <m/>
    <m/>
    <m/>
    <m/>
    <m/>
    <m/>
    <m/>
    <m/>
    <m/>
    <m/>
  </r>
  <r>
    <x v="96"/>
    <s v="FAC"/>
    <s v="005"/>
    <s v="00000361"/>
    <x v="326"/>
    <s v="BKF172"/>
    <d v="2020-02-12T00:00:00"/>
    <s v="20100041953"/>
    <s v="RIMAC SEGUROS  Y REASEGUROS S.A"/>
    <s v="2908010001"/>
    <s v="TERCEROS"/>
    <s v="000"/>
    <s v="001"/>
    <s v="CONTADO"/>
    <s v="002"/>
    <s v="MANTENIMIENTO-MECANICA"/>
    <s v="$"/>
    <n v="3.3840001000000002"/>
    <n v="1"/>
    <n v="45"/>
    <n v="45"/>
    <n v="8.0999980000000047"/>
    <n v="53.099998000000006"/>
    <n v="152.28000450000002"/>
    <m/>
    <m/>
    <m/>
    <m/>
    <m/>
    <m/>
    <m/>
    <m/>
    <m/>
    <m/>
    <m/>
    <m/>
    <m/>
    <m/>
    <m/>
    <m/>
    <m/>
    <m/>
    <m/>
    <m/>
    <m/>
    <m/>
    <m/>
    <m/>
  </r>
  <r>
    <x v="96"/>
    <s v="FAC"/>
    <s v="005"/>
    <s v="00000361"/>
    <x v="326"/>
    <s v="BKF172"/>
    <d v="2020-02-12T00:00:00"/>
    <s v="20100041953"/>
    <s v="RIMAC SEGUROS  Y REASEGUROS S.A"/>
    <s v="310120"/>
    <s v="FRANQUICIA"/>
    <s v="000"/>
    <s v="001"/>
    <s v="CONTADO"/>
    <s v="002"/>
    <s v="MANTENIMIENTO-MECANICA"/>
    <s v="$"/>
    <n v="3.3840001000000002"/>
    <n v="-1"/>
    <n v="100"/>
    <n v="-100"/>
    <n v="-18"/>
    <n v="-118"/>
    <n v="-338.40001000000001"/>
    <m/>
    <m/>
    <m/>
    <m/>
    <m/>
    <m/>
    <m/>
    <m/>
    <m/>
    <m/>
    <m/>
    <m/>
    <m/>
    <m/>
    <m/>
    <m/>
    <m/>
    <m/>
    <m/>
    <m/>
    <m/>
    <m/>
    <m/>
    <m/>
  </r>
  <r>
    <x v="96"/>
    <s v="FAC"/>
    <s v="005"/>
    <s v="00000361"/>
    <x v="326"/>
    <s v="BKF172"/>
    <d v="2020-02-12T00:00:00"/>
    <s v="20100041953"/>
    <s v="RIMAC SEGUROS  Y REASEGUROS S.A"/>
    <s v="320001"/>
    <s v="REPUESTOS"/>
    <s v="000"/>
    <s v="001"/>
    <s v="CONTADO"/>
    <s v="002"/>
    <s v="MANTENIMIENTO-MECANICA"/>
    <s v="$"/>
    <n v="3.3840001000000002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2"/>
    <x v="327"/>
    <s v="BDS618"/>
    <d v="2020-01-15T00:00:00"/>
    <s v="20100041953"/>
    <s v="RIMAC SEGUROS  Y REASEGUROS S.A"/>
    <s v="1302020001"/>
    <s v="PINTURA"/>
    <s v="000"/>
    <s v="001"/>
    <s v="CONTADO"/>
    <s v="009"/>
    <s v="PINTURA"/>
    <s v="$"/>
    <n v="3.3919999999999999"/>
    <n v="1"/>
    <n v="177"/>
    <n v="177"/>
    <n v="31.86"/>
    <n v="208.86"/>
    <n v="600.38400000000001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2"/>
    <x v="327"/>
    <s v="BDS618"/>
    <d v="2020-01-15T00:00:00"/>
    <s v="20100041953"/>
    <s v="RIMAC SEGUROS  Y REASEGUROS S.A"/>
    <s v="1201020001"/>
    <s v="PLANCHADO"/>
    <s v="000"/>
    <s v="001"/>
    <s v="CONTADO"/>
    <s v="001"/>
    <s v="PLANCHADO"/>
    <s v="$"/>
    <n v="3.3919999999999999"/>
    <n v="1"/>
    <n v="240"/>
    <n v="240"/>
    <n v="43.200010000000042"/>
    <n v="283.20001000000002"/>
    <n v="814.07999999999993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2"/>
    <x v="327"/>
    <s v="BDS618"/>
    <d v="2020-01-15T00:00:00"/>
    <s v="20100041953"/>
    <s v="RIMAC SEGUROS  Y REASEGUROS S.A"/>
    <s v="2908010001"/>
    <s v="TERCEROS"/>
    <s v="000"/>
    <s v="001"/>
    <s v="CONTADO"/>
    <s v="002"/>
    <s v="MANTENIMIENTO-MECANICA"/>
    <s v="$"/>
    <n v="3.3919999999999999"/>
    <n v="1"/>
    <n v="195"/>
    <n v="195"/>
    <n v="35.100010000000005"/>
    <n v="230.10001"/>
    <n v="661.43999999999994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2"/>
    <x v="327"/>
    <s v="BDS618"/>
    <d v="2020-01-15T00:00:00"/>
    <s v="20100041953"/>
    <s v="RIMAC SEGUROS  Y REASEGUROS S.A"/>
    <s v="2908010002"/>
    <s v="AMPLIACION PLANCHADO"/>
    <s v="000"/>
    <s v="001"/>
    <s v="CONTADO"/>
    <s v="002"/>
    <s v="MANTENIMIENTO-MECANICA"/>
    <s v="$"/>
    <n v="3.3919999999999999"/>
    <n v="1"/>
    <n v="45"/>
    <n v="45"/>
    <n v="8.0999980000000047"/>
    <n v="53.099998000000006"/>
    <n v="152.63999999999999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2"/>
    <x v="327"/>
    <s v="BDS618"/>
    <d v="2020-01-15T00:00:00"/>
    <s v="20100041953"/>
    <s v="RIMAC SEGUROS  Y REASEGUROS S.A"/>
    <s v="2908010003"/>
    <s v="AMPLIACION PINTURA"/>
    <s v="000"/>
    <s v="001"/>
    <s v="CONTADO"/>
    <s v="002"/>
    <s v="MANTENIMIENTO-MECANICA"/>
    <s v="$"/>
    <n v="3.3919999999999999"/>
    <n v="1"/>
    <n v="29.5"/>
    <n v="29.5"/>
    <n v="5.3100010000000069"/>
    <n v="34.810001000000007"/>
    <n v="100.06399999999999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2"/>
    <x v="327"/>
    <s v="BDS618"/>
    <d v="2020-01-15T00:00:00"/>
    <s v="20100041953"/>
    <s v="RIMAC SEGUROS  Y REASEGUROS S.A"/>
    <s v="2805010001"/>
    <s v="SERVICIOS"/>
    <s v="000"/>
    <s v="001"/>
    <s v="CONTADO"/>
    <s v="002"/>
    <s v="MANTENIMIENTO-MECANICA"/>
    <s v="$"/>
    <n v="3.3919999999999999"/>
    <n v="1"/>
    <n v="30"/>
    <n v="30"/>
    <n v="5.4000019999999997"/>
    <n v="35.400002000000001"/>
    <n v="101.75999999999999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2"/>
    <x v="327"/>
    <s v="BDS618"/>
    <d v="2020-01-15T00:00:00"/>
    <s v="20100041953"/>
    <s v="RIMAC SEGUROS  Y REASEGUROS S.A"/>
    <s v="310120"/>
    <s v="FRANQUICIA"/>
    <s v="000"/>
    <s v="001"/>
    <s v="CONTADO"/>
    <s v="002"/>
    <s v="MANTENIMIENTO-MECANICA"/>
    <s v="$"/>
    <n v="3.3919999999999999"/>
    <n v="-1"/>
    <n v="614.81359999999984"/>
    <n v="-614.81359999999984"/>
    <n v="-110.6663800000002"/>
    <n v="-725.47998000000007"/>
    <n v="-2085.4477311999995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2"/>
    <x v="327"/>
    <s v="BDS618"/>
    <d v="2020-01-15T00:00:00"/>
    <s v="20100041953"/>
    <s v="RIMAC SEGUROS  Y REASEGUROS S.A"/>
    <s v="320001"/>
    <s v="REPUESTOS"/>
    <s v="000"/>
    <s v="001"/>
    <s v="CONTADO"/>
    <s v="002"/>
    <s v="MANTENIMIENTO-MECANICA"/>
    <s v="$"/>
    <n v="3.3919999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3"/>
    <x v="328"/>
    <s v="C4R002"/>
    <d v="2020-02-17T00:00:00"/>
    <s v="20100041953"/>
    <s v="RIMAC SEGUROS  Y REASEGUROS S.A"/>
    <s v="1302020001"/>
    <s v="PINTURA"/>
    <s v="000"/>
    <s v="001"/>
    <s v="CONTADO"/>
    <s v="009"/>
    <s v="PINTURA"/>
    <s v="$"/>
    <n v="3.3919999999999999"/>
    <n v="1"/>
    <n v="118"/>
    <n v="118"/>
    <n v="21.240010000000019"/>
    <n v="139.24001000000001"/>
    <n v="400.25599999999997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3"/>
    <x v="328"/>
    <s v="C4R002"/>
    <d v="2020-02-17T00:00:00"/>
    <s v="20100041953"/>
    <s v="RIMAC SEGUROS  Y REASEGUROS S.A"/>
    <s v="1201020001"/>
    <s v="PLANCHADO"/>
    <s v="000"/>
    <s v="001"/>
    <s v="CONTADO"/>
    <s v="001"/>
    <s v="PLANCHADO"/>
    <s v="$"/>
    <n v="3.3919999999999999"/>
    <n v="1"/>
    <n v="150"/>
    <n v="150"/>
    <n v="27"/>
    <n v="177"/>
    <n v="508.8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3"/>
    <x v="328"/>
    <s v="C4R002"/>
    <d v="2020-02-17T00:00:00"/>
    <s v="20100041953"/>
    <s v="RIMAC SEGUROS  Y REASEGUROS S.A"/>
    <s v="320001"/>
    <s v="REPUESTOS"/>
    <s v="000"/>
    <s v="001"/>
    <s v="CONTADO"/>
    <s v="002"/>
    <s v="MANTENIMIENTO-MECANICA"/>
    <s v="$"/>
    <n v="3.3919999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4"/>
    <x v="329"/>
    <s v="V4K291"/>
    <d v="2020-02-10T00:00:00"/>
    <s v="20100041953"/>
    <s v="RIMAC SEGUROS  Y REASEGUROS S.A"/>
    <s v="1302020001"/>
    <s v="PINTURA"/>
    <s v="000"/>
    <s v="001"/>
    <s v="CONTADO"/>
    <s v="009"/>
    <s v="PINTURA"/>
    <s v="$"/>
    <n v="3.3919999999999999"/>
    <n v="1"/>
    <n v="177"/>
    <n v="177"/>
    <n v="31.86"/>
    <n v="208.86"/>
    <n v="600.38400000000001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4"/>
    <x v="329"/>
    <s v="V4K291"/>
    <d v="2020-02-10T00:00:00"/>
    <s v="20100041953"/>
    <s v="RIMAC SEGUROS  Y REASEGUROS S.A"/>
    <s v="1201020001"/>
    <s v="PLANCHADO"/>
    <s v="000"/>
    <s v="001"/>
    <s v="CONTADO"/>
    <s v="001"/>
    <s v="PLANCHADO"/>
    <s v="$"/>
    <n v="3.3919999999999999"/>
    <n v="1"/>
    <n v="180"/>
    <n v="180"/>
    <n v="32.39998999999996"/>
    <n v="212.39998999999997"/>
    <n v="610.55999999999995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4"/>
    <x v="329"/>
    <s v="V4K291"/>
    <d v="2020-02-10T00:00:00"/>
    <s v="20100041953"/>
    <s v="RIMAC SEGUROS  Y REASEGUROS S.A"/>
    <s v="2908010001"/>
    <s v="TERCEROS"/>
    <s v="000"/>
    <s v="001"/>
    <s v="CONTADO"/>
    <s v="002"/>
    <s v="MANTENIMIENTO-MECANICA"/>
    <s v="$"/>
    <n v="3.3919999999999999"/>
    <n v="1"/>
    <n v="50"/>
    <n v="50"/>
    <n v="9"/>
    <n v="59"/>
    <n v="169.6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4"/>
    <x v="329"/>
    <s v="V4K291"/>
    <d v="2020-02-10T00:00:00"/>
    <s v="20100041953"/>
    <s v="RIMAC SEGUROS  Y REASEGUROS S.A"/>
    <s v="2805010001"/>
    <s v="SERVICIOS"/>
    <s v="000"/>
    <s v="001"/>
    <s v="CONTADO"/>
    <s v="002"/>
    <s v="MANTENIMIENTO-MECANICA"/>
    <s v="$"/>
    <n v="3.3919999999999999"/>
    <n v="1"/>
    <n v="30"/>
    <n v="30"/>
    <n v="5.4000019999999997"/>
    <n v="35.400002000000001"/>
    <n v="101.75999999999999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4"/>
    <x v="329"/>
    <s v="V4K291"/>
    <d v="2020-02-10T00:00:00"/>
    <s v="20100041953"/>
    <s v="RIMAC SEGUROS  Y REASEGUROS S.A"/>
    <s v="310120"/>
    <s v="FRANQUICIA"/>
    <s v="000"/>
    <s v="001"/>
    <s v="CONTADO"/>
    <s v="002"/>
    <s v="MANTENIMIENTO-MECANICA"/>
    <s v="$"/>
    <n v="3.3919999999999999"/>
    <n v="-1"/>
    <n v="100"/>
    <n v="-100"/>
    <n v="-18"/>
    <n v="-118"/>
    <n v="-339.2"/>
    <m/>
    <m/>
    <m/>
    <m/>
    <m/>
    <m/>
    <m/>
    <m/>
    <m/>
    <m/>
    <m/>
    <m/>
    <m/>
    <m/>
    <m/>
    <m/>
    <m/>
    <m/>
    <m/>
    <m/>
    <m/>
    <m/>
    <m/>
    <m/>
  </r>
  <r>
    <x v="97"/>
    <s v="FAC"/>
    <s v="005"/>
    <s v="00000364"/>
    <x v="329"/>
    <s v="V4K291"/>
    <d v="2020-02-10T00:00:00"/>
    <s v="20100041953"/>
    <s v="RIMAC SEGUROS  Y REASEGUROS S.A"/>
    <s v="320001"/>
    <s v="REPUESTOS"/>
    <s v="000"/>
    <s v="001"/>
    <s v="CONTADO"/>
    <s v="002"/>
    <s v="MANTENIMIENTO-MECANICA"/>
    <s v="$"/>
    <n v="3.3919999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8"/>
    <s v="FAC"/>
    <s v="005"/>
    <s v="00000366"/>
    <x v="330"/>
    <s v="AXW530"/>
    <d v="2020-02-15T00:00:00"/>
    <s v="20100041953"/>
    <s v="RIMAC SEGUROS  Y REASEGUROS S.A"/>
    <s v="2805010001"/>
    <s v="SERVICIOS"/>
    <s v="000"/>
    <s v="001"/>
    <s v="CONTADO"/>
    <s v="002"/>
    <s v="MANTENIMIENTO-MECANICA"/>
    <s v="$"/>
    <n v="3.3940001"/>
    <n v="1"/>
    <n v="15"/>
    <n v="15"/>
    <n v="2.7000009999999999"/>
    <n v="17.700001"/>
    <n v="50.9100015"/>
    <m/>
    <m/>
    <m/>
    <m/>
    <m/>
    <m/>
    <m/>
    <m/>
    <m/>
    <m/>
    <m/>
    <m/>
    <m/>
    <m/>
    <m/>
    <m/>
    <m/>
    <m/>
    <m/>
    <m/>
    <m/>
    <m/>
    <m/>
    <m/>
  </r>
  <r>
    <x v="98"/>
    <s v="FAC"/>
    <s v="005"/>
    <s v="00000366"/>
    <x v="330"/>
    <s v="AXW530"/>
    <d v="2020-02-15T00:00:00"/>
    <s v="20100041953"/>
    <s v="RIMAC SEGUROS  Y REASEGUROS S.A"/>
    <s v="320001"/>
    <s v="REPUESTOS"/>
    <s v="000"/>
    <s v="001"/>
    <s v="CONTADO"/>
    <s v="002"/>
    <s v="MANTENIMIENTO-MECANICA"/>
    <s v="$"/>
    <n v="3.394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8"/>
    <s v="FAC"/>
    <s v="005"/>
    <s v="00000367"/>
    <x v="331"/>
    <s v="F0B164"/>
    <d v="2020-02-20T00:00:00"/>
    <s v="20438563084"/>
    <s v="EDPYME ACCESO CREDITICIO SOCIEDAD ANONIMA"/>
    <s v="2908010001"/>
    <s v="TERCEROS"/>
    <s v="000"/>
    <s v="001"/>
    <s v="CONTADO"/>
    <s v="002"/>
    <s v="MANTENIMIENTO-MECANICA"/>
    <s v="S/."/>
    <n v="3.3940001"/>
    <n v="1"/>
    <n v="290"/>
    <n v="290"/>
    <n v="52.200010000000113"/>
    <n v="342.20001000000013"/>
    <n v="290"/>
    <m/>
    <m/>
    <m/>
    <m/>
    <m/>
    <m/>
    <m/>
    <m/>
    <m/>
    <m/>
    <m/>
    <m/>
    <m/>
    <m/>
    <m/>
    <m/>
    <m/>
    <m/>
    <m/>
    <m/>
    <m/>
    <m/>
    <m/>
    <m/>
  </r>
  <r>
    <x v="98"/>
    <s v="FAC"/>
    <s v="005"/>
    <s v="00000368"/>
    <x v="332"/>
    <s v="BHG013"/>
    <d v="2020-02-07T00:00:00"/>
    <s v="20100041953"/>
    <s v="RIMAC SEGUROS  Y REASEGUROS S.A"/>
    <s v="1302020001"/>
    <s v="PINTURA"/>
    <s v="000"/>
    <s v="001"/>
    <s v="CONTADO"/>
    <s v="009"/>
    <s v="PINTURA"/>
    <s v="$"/>
    <n v="3.3940001"/>
    <n v="1"/>
    <n v="177"/>
    <n v="177"/>
    <n v="31.86"/>
    <n v="208.86"/>
    <n v="600.7380177"/>
    <m/>
    <m/>
    <m/>
    <m/>
    <m/>
    <m/>
    <m/>
    <m/>
    <m/>
    <m/>
    <m/>
    <m/>
    <m/>
    <m/>
    <m/>
    <m/>
    <m/>
    <m/>
    <m/>
    <m/>
    <m/>
    <m/>
    <m/>
    <m/>
  </r>
  <r>
    <x v="98"/>
    <s v="FAC"/>
    <s v="005"/>
    <s v="00000368"/>
    <x v="332"/>
    <s v="BHG013"/>
    <d v="2020-02-07T00:00:00"/>
    <s v="20100041953"/>
    <s v="RIMAC SEGUROS  Y REASEGUROS S.A"/>
    <s v="1201020001"/>
    <s v="PLANCHADO"/>
    <s v="000"/>
    <s v="001"/>
    <s v="CONTADO"/>
    <s v="001"/>
    <s v="PLANCHADO"/>
    <s v="$"/>
    <n v="3.3940001"/>
    <n v="1"/>
    <n v="180"/>
    <n v="180"/>
    <n v="32.39998999999996"/>
    <n v="212.39998999999997"/>
    <n v="610.92001800000003"/>
    <m/>
    <m/>
    <m/>
    <m/>
    <m/>
    <m/>
    <m/>
    <m/>
    <m/>
    <m/>
    <m/>
    <m/>
    <m/>
    <m/>
    <m/>
    <m/>
    <m/>
    <m/>
    <m/>
    <m/>
    <m/>
    <m/>
    <m/>
    <m/>
  </r>
  <r>
    <x v="98"/>
    <s v="FAC"/>
    <s v="005"/>
    <s v="00000368"/>
    <x v="332"/>
    <s v="BHG013"/>
    <d v="2020-02-07T00:00:00"/>
    <s v="20100041953"/>
    <s v="RIMAC SEGUROS  Y REASEGUROS S.A"/>
    <s v="2908010001"/>
    <s v="TERCEROS"/>
    <s v="000"/>
    <s v="001"/>
    <s v="CONTADO"/>
    <s v="002"/>
    <s v="MANTENIMIENTO-MECANICA"/>
    <s v="$"/>
    <n v="3.3940001"/>
    <n v="1"/>
    <n v="55"/>
    <n v="55"/>
    <n v="9.9000020000000131"/>
    <n v="64.900002000000015"/>
    <n v="186.6700055"/>
    <m/>
    <m/>
    <m/>
    <m/>
    <m/>
    <m/>
    <m/>
    <m/>
    <m/>
    <m/>
    <m/>
    <m/>
    <m/>
    <m/>
    <m/>
    <m/>
    <m/>
    <m/>
    <m/>
    <m/>
    <m/>
    <m/>
    <m/>
    <m/>
  </r>
  <r>
    <x v="98"/>
    <s v="FAC"/>
    <s v="005"/>
    <s v="00000368"/>
    <x v="332"/>
    <s v="BHG013"/>
    <d v="2020-02-07T00:00:00"/>
    <s v="20100041953"/>
    <s v="RIMAC SEGUROS  Y REASEGUROS S.A"/>
    <s v="2908010002"/>
    <s v="AMPLIACION TECEROS"/>
    <s v="000"/>
    <s v="001"/>
    <s v="CONTADO"/>
    <s v="002"/>
    <s v="MANTENIMIENTO-MECANICA"/>
    <s v="$"/>
    <n v="3.3940001"/>
    <n v="1"/>
    <n v="60"/>
    <n v="60"/>
    <n v="10.800002999999997"/>
    <n v="70.800003000000004"/>
    <n v="203.640006"/>
    <m/>
    <m/>
    <m/>
    <m/>
    <m/>
    <m/>
    <m/>
    <m/>
    <m/>
    <m/>
    <m/>
    <m/>
    <m/>
    <m/>
    <m/>
    <m/>
    <m/>
    <m/>
    <m/>
    <m/>
    <m/>
    <m/>
    <m/>
    <m/>
  </r>
  <r>
    <x v="98"/>
    <s v="FAC"/>
    <s v="005"/>
    <s v="00000368"/>
    <x v="332"/>
    <s v="BHG013"/>
    <d v="2020-02-07T00:00:00"/>
    <s v="20100041953"/>
    <s v="RIMAC SEGUROS  Y REASEGUROS S.A"/>
    <s v="2908010003"/>
    <s v="AMPLIACION REPUESTOS"/>
    <s v="000"/>
    <s v="001"/>
    <s v="CONTADO"/>
    <s v="002"/>
    <s v="MANTENIMIENTO-MECANICA"/>
    <s v="$"/>
    <n v="3.394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8"/>
    <s v="FAC"/>
    <s v="005"/>
    <s v="00000368"/>
    <x v="332"/>
    <s v="BHG013"/>
    <d v="2020-02-07T00:00:00"/>
    <s v="20100041953"/>
    <s v="RIMAC SEGUROS  Y REASEGUROS S.A"/>
    <s v="310120"/>
    <s v="FRANQUICIA"/>
    <s v="000"/>
    <s v="001"/>
    <s v="CONTADO"/>
    <s v="002"/>
    <s v="MANTENIMIENTO-MECANICA"/>
    <s v="$"/>
    <n v="3.3940001"/>
    <n v="-1"/>
    <n v="105.98309999999998"/>
    <n v="-105.98309999999998"/>
    <n v="-19.076900000000023"/>
    <n v="-125.06"/>
    <n v="-359.70665199830995"/>
    <m/>
    <m/>
    <m/>
    <m/>
    <m/>
    <m/>
    <m/>
    <m/>
    <m/>
    <m/>
    <m/>
    <m/>
    <m/>
    <m/>
    <m/>
    <m/>
    <m/>
    <m/>
    <m/>
    <m/>
    <m/>
    <m/>
    <m/>
    <m/>
  </r>
  <r>
    <x v="98"/>
    <s v="FAC"/>
    <s v="005"/>
    <s v="00000368"/>
    <x v="332"/>
    <s v="BHG013"/>
    <d v="2020-02-07T00:00:00"/>
    <s v="20100041953"/>
    <s v="RIMAC SEGUROS  Y REASEGUROS S.A"/>
    <s v="320001"/>
    <s v="REPUESTOS"/>
    <s v="000"/>
    <s v="001"/>
    <s v="CONTADO"/>
    <s v="002"/>
    <s v="MANTENIMIENTO-MECANICA"/>
    <s v="$"/>
    <n v="3.394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9"/>
    <s v="FAC"/>
    <s v="005"/>
    <s v="00000369"/>
    <x v="333"/>
    <s v="D9G573"/>
    <d v="2020-02-10T00:00:00"/>
    <s v="20100041953"/>
    <s v="RIMAC SEGUROS  Y REASEGUROS S.A"/>
    <s v="1302020001"/>
    <s v="PINTURA"/>
    <s v="000"/>
    <s v="001"/>
    <s v="CONTADO"/>
    <s v="009"/>
    <s v="PINTURA"/>
    <s v="$"/>
    <n v="3.3940001"/>
    <n v="1"/>
    <n v="398.25421"/>
    <n v="398.25421"/>
    <n v="71.685789999999983"/>
    <n v="469.94"/>
    <n v="1351.674828565421"/>
    <m/>
    <m/>
    <m/>
    <m/>
    <m/>
    <m/>
    <m/>
    <m/>
    <m/>
    <m/>
    <m/>
    <m/>
    <m/>
    <m/>
    <m/>
    <m/>
    <m/>
    <m/>
    <m/>
    <m/>
    <m/>
    <m/>
    <m/>
    <m/>
  </r>
  <r>
    <x v="99"/>
    <s v="FAC"/>
    <s v="005"/>
    <s v="00000369"/>
    <x v="333"/>
    <s v="D9G573"/>
    <d v="2020-02-10T00:00:00"/>
    <s v="20100041953"/>
    <s v="RIMAC SEGUROS  Y REASEGUROS S.A"/>
    <s v="1201020001"/>
    <s v="PLANCHADO"/>
    <s v="000"/>
    <s v="001"/>
    <s v="CONTADO"/>
    <s v="001"/>
    <s v="PLANCHADO"/>
    <s v="$"/>
    <n v="3.3940001"/>
    <n v="1"/>
    <n v="390"/>
    <n v="390"/>
    <n v="70.200010000000105"/>
    <n v="460.20001000000013"/>
    <n v="1323.6600390000001"/>
    <m/>
    <m/>
    <m/>
    <m/>
    <m/>
    <m/>
    <m/>
    <m/>
    <m/>
    <m/>
    <m/>
    <m/>
    <m/>
    <m/>
    <m/>
    <m/>
    <m/>
    <m/>
    <m/>
    <m/>
    <m/>
    <m/>
    <m/>
    <m/>
  </r>
  <r>
    <x v="99"/>
    <s v="FAC"/>
    <s v="005"/>
    <s v="00000369"/>
    <x v="333"/>
    <s v="D9G573"/>
    <d v="2020-02-10T00:00:00"/>
    <s v="20100041953"/>
    <s v="RIMAC SEGUROS  Y REASEGUROS S.A"/>
    <s v="2908010001"/>
    <s v="TERCEROS"/>
    <s v="000"/>
    <s v="001"/>
    <s v="CONTADO"/>
    <s v="002"/>
    <s v="MANTENIMIENTO-MECANICA"/>
    <s v="$"/>
    <n v="3.3940001"/>
    <n v="1"/>
    <n v="195"/>
    <n v="195"/>
    <n v="35.100010000000005"/>
    <n v="230.10001"/>
    <n v="661.83001950000005"/>
    <m/>
    <m/>
    <m/>
    <m/>
    <m/>
    <m/>
    <m/>
    <m/>
    <m/>
    <m/>
    <m/>
    <m/>
    <m/>
    <m/>
    <m/>
    <m/>
    <m/>
    <m/>
    <m/>
    <m/>
    <m/>
    <m/>
    <m/>
    <m/>
  </r>
  <r>
    <x v="99"/>
    <s v="FAC"/>
    <s v="005"/>
    <s v="00000369"/>
    <x v="333"/>
    <s v="D9G573"/>
    <d v="2020-02-10T00:00:00"/>
    <s v="20100041953"/>
    <s v="RIMAC SEGUROS  Y REASEGUROS S.A"/>
    <s v="2805010001"/>
    <s v="SERVICIOS"/>
    <s v="000"/>
    <s v="001"/>
    <s v="CONTADO"/>
    <s v="002"/>
    <s v="MANTENIMIENTO-MECANICA"/>
    <s v="$"/>
    <n v="3.3940001"/>
    <n v="1"/>
    <n v="30"/>
    <n v="30"/>
    <n v="5.4000019999999997"/>
    <n v="35.400002000000001"/>
    <n v="101.820003"/>
    <m/>
    <m/>
    <m/>
    <m/>
    <m/>
    <m/>
    <m/>
    <m/>
    <m/>
    <m/>
    <m/>
    <m/>
    <m/>
    <m/>
    <m/>
    <m/>
    <m/>
    <m/>
    <m/>
    <m/>
    <m/>
    <m/>
    <m/>
    <m/>
  </r>
  <r>
    <x v="99"/>
    <s v="FAC"/>
    <s v="005"/>
    <s v="00000369"/>
    <x v="333"/>
    <s v="D9G573"/>
    <d v="2020-02-10T00:00:00"/>
    <s v="20100041953"/>
    <s v="RIMAC SEGUROS  Y REASEGUROS S.A"/>
    <s v="310120"/>
    <s v="FRANQUICIA"/>
    <s v="000"/>
    <s v="001"/>
    <s v="CONTADO"/>
    <s v="002"/>
    <s v="MANTENIMIENTO-MECANICA"/>
    <s v="$"/>
    <n v="3.3940001"/>
    <n v="-1"/>
    <n v="218.68639999999999"/>
    <n v="-218.68639999999999"/>
    <n v="-39.363589999999967"/>
    <n v="-258.04998999999998"/>
    <n v="-742.22166346863992"/>
    <m/>
    <m/>
    <m/>
    <m/>
    <m/>
    <m/>
    <m/>
    <m/>
    <m/>
    <m/>
    <m/>
    <m/>
    <m/>
    <m/>
    <m/>
    <m/>
    <m/>
    <m/>
    <m/>
    <m/>
    <m/>
    <m/>
    <m/>
    <m/>
  </r>
  <r>
    <x v="99"/>
    <s v="FAC"/>
    <s v="005"/>
    <s v="00000369"/>
    <x v="333"/>
    <s v="D9G573"/>
    <d v="2020-02-10T00:00:00"/>
    <s v="20100041953"/>
    <s v="RIMAC SEGUROS  Y REASEGUROS S.A"/>
    <s v="320001"/>
    <s v="REPUESTOS"/>
    <s v="000"/>
    <s v="001"/>
    <s v="CONTADO"/>
    <s v="002"/>
    <s v="MANTENIMIENTO-MECANICA"/>
    <s v="$"/>
    <n v="3.394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9"/>
    <s v="FAC"/>
    <s v="005"/>
    <s v="00000370"/>
    <x v="334"/>
    <s v="BBM137"/>
    <d v="2020-02-17T00:00:00"/>
    <s v="20100041953"/>
    <s v="RIMAC SEGUROS  Y REASEGUROS S.A"/>
    <s v="1302020001"/>
    <s v="PINTURA"/>
    <s v="000"/>
    <s v="001"/>
    <s v="CONTADO"/>
    <s v="009"/>
    <s v="PINTURA"/>
    <s v="$"/>
    <n v="3.3940001"/>
    <n v="1"/>
    <n v="118"/>
    <n v="118"/>
    <n v="21.240010000000019"/>
    <n v="139.24001000000001"/>
    <n v="400.4920118"/>
    <m/>
    <m/>
    <m/>
    <m/>
    <m/>
    <m/>
    <m/>
    <m/>
    <m/>
    <m/>
    <m/>
    <m/>
    <m/>
    <m/>
    <m/>
    <m/>
    <m/>
    <m/>
    <m/>
    <m/>
    <m/>
    <m/>
    <m/>
    <m/>
  </r>
  <r>
    <x v="99"/>
    <s v="FAC"/>
    <s v="005"/>
    <s v="00000370"/>
    <x v="334"/>
    <s v="BBM137"/>
    <d v="2020-02-17T00:00:00"/>
    <s v="20100041953"/>
    <s v="RIMAC SEGUROS  Y REASEGUROS S.A"/>
    <s v="1201020001"/>
    <s v="PLANCHADO"/>
    <s v="000"/>
    <s v="001"/>
    <s v="CONTADO"/>
    <s v="001"/>
    <s v="PLANCHADO"/>
    <s v="$"/>
    <n v="3.3940001"/>
    <n v="1"/>
    <n v="195"/>
    <n v="195"/>
    <n v="35.100010000000005"/>
    <n v="230.10001"/>
    <n v="661.83001950000005"/>
    <m/>
    <m/>
    <m/>
    <m/>
    <m/>
    <m/>
    <m/>
    <m/>
    <m/>
    <m/>
    <m/>
    <m/>
    <m/>
    <m/>
    <m/>
    <m/>
    <m/>
    <m/>
    <m/>
    <m/>
    <m/>
    <m/>
    <m/>
    <m/>
  </r>
  <r>
    <x v="99"/>
    <s v="FAC"/>
    <s v="005"/>
    <s v="00000370"/>
    <x v="334"/>
    <s v="BBM137"/>
    <d v="2020-02-17T00:00:00"/>
    <s v="20100041953"/>
    <s v="RIMAC SEGUROS  Y REASEGUROS S.A"/>
    <s v="310120"/>
    <s v="FRANQUICIA"/>
    <s v="000"/>
    <s v="001"/>
    <s v="CONTADO"/>
    <s v="002"/>
    <s v="MANTENIMIENTO-MECANICA"/>
    <s v="$"/>
    <n v="3.3940001"/>
    <n v="-1"/>
    <n v="100"/>
    <n v="-100"/>
    <n v="-18"/>
    <n v="-118"/>
    <n v="-339.40001000000001"/>
    <m/>
    <m/>
    <m/>
    <m/>
    <m/>
    <m/>
    <m/>
    <m/>
    <m/>
    <m/>
    <m/>
    <m/>
    <m/>
    <m/>
    <m/>
    <m/>
    <m/>
    <m/>
    <m/>
    <m/>
    <m/>
    <m/>
    <m/>
    <m/>
  </r>
  <r>
    <x v="100"/>
    <s v="FAC"/>
    <s v="005"/>
    <s v="00000371"/>
    <x v="335"/>
    <s v="AFW077"/>
    <d v="2020-02-13T00:00:00"/>
    <s v="20100041953"/>
    <s v="RIMAC SEGUROS  Y REASEGUROS S.A"/>
    <s v="1302020001"/>
    <s v="PINTURA"/>
    <s v="000"/>
    <s v="001"/>
    <s v="CONTADO"/>
    <s v="009"/>
    <s v="PINTURA"/>
    <s v="$"/>
    <n v="3.4039999999999999"/>
    <n v="1"/>
    <n v="236"/>
    <n v="236"/>
    <n v="42.48001"/>
    <n v="278.48000999999999"/>
    <n v="803.34399999999994"/>
    <m/>
    <m/>
    <m/>
    <m/>
    <m/>
    <m/>
    <m/>
    <m/>
    <m/>
    <m/>
    <m/>
    <m/>
    <m/>
    <m/>
    <m/>
    <m/>
    <m/>
    <m/>
    <m/>
    <m/>
    <m/>
    <m/>
    <m/>
    <m/>
  </r>
  <r>
    <x v="100"/>
    <s v="FAC"/>
    <s v="005"/>
    <s v="00000371"/>
    <x v="335"/>
    <s v="AFW077"/>
    <d v="2020-02-13T00:00:00"/>
    <s v="20100041953"/>
    <s v="RIMAC SEGUROS  Y REASEGUROS S.A"/>
    <s v="1201020001"/>
    <s v="PLANCHADO"/>
    <s v="000"/>
    <s v="001"/>
    <s v="CONTADO"/>
    <s v="001"/>
    <s v="PLANCHADO"/>
    <s v="$"/>
    <n v="3.4039999999999999"/>
    <n v="1"/>
    <n v="150"/>
    <n v="150"/>
    <n v="27"/>
    <n v="177"/>
    <n v="510.59999999999997"/>
    <m/>
    <m/>
    <m/>
    <m/>
    <m/>
    <m/>
    <m/>
    <m/>
    <m/>
    <m/>
    <m/>
    <m/>
    <m/>
    <m/>
    <m/>
    <m/>
    <m/>
    <m/>
    <m/>
    <m/>
    <m/>
    <m/>
    <m/>
    <m/>
  </r>
  <r>
    <x v="100"/>
    <s v="FAC"/>
    <s v="005"/>
    <s v="00000371"/>
    <x v="335"/>
    <s v="AFW077"/>
    <d v="2020-02-13T00:00:00"/>
    <s v="20100041953"/>
    <s v="RIMAC SEGUROS  Y REASEGUROS S.A"/>
    <s v="2908010001"/>
    <s v="TERCEROS"/>
    <s v="000"/>
    <s v="001"/>
    <s v="CONTADO"/>
    <s v="002"/>
    <s v="MANTENIMIENTO-MECANICA"/>
    <s v="$"/>
    <n v="3.4039999999999999"/>
    <n v="1"/>
    <n v="55"/>
    <n v="55"/>
    <n v="9.9000020000000131"/>
    <n v="64.900002000000015"/>
    <n v="187.22"/>
    <m/>
    <m/>
    <m/>
    <m/>
    <m/>
    <m/>
    <m/>
    <m/>
    <m/>
    <m/>
    <m/>
    <m/>
    <m/>
    <m/>
    <m/>
    <m/>
    <m/>
    <m/>
    <m/>
    <m/>
    <m/>
    <m/>
    <m/>
    <m/>
  </r>
  <r>
    <x v="100"/>
    <s v="FAC"/>
    <s v="005"/>
    <s v="00000371"/>
    <x v="335"/>
    <s v="AFW077"/>
    <d v="2020-02-13T00:00:00"/>
    <s v="20100041953"/>
    <s v="RIMAC SEGUROS  Y REASEGUROS S.A"/>
    <s v="310120"/>
    <s v="FRANQUICIA"/>
    <s v="000"/>
    <s v="001"/>
    <s v="CONTADO"/>
    <s v="002"/>
    <s v="MANTENIMIENTO-MECANICA"/>
    <s v="$"/>
    <n v="3.4039999999999999"/>
    <n v="-1"/>
    <n v="100"/>
    <n v="-100"/>
    <n v="-18"/>
    <n v="-118"/>
    <n v="-340.4"/>
    <m/>
    <m/>
    <m/>
    <m/>
    <m/>
    <m/>
    <m/>
    <m/>
    <m/>
    <m/>
    <m/>
    <m/>
    <m/>
    <m/>
    <m/>
    <m/>
    <m/>
    <m/>
    <m/>
    <m/>
    <m/>
    <m/>
    <m/>
    <m/>
  </r>
  <r>
    <x v="100"/>
    <s v="FAC"/>
    <s v="005"/>
    <s v="00000372"/>
    <x v="336"/>
    <s v="AFX260"/>
    <d v="2020-02-14T00:00:00"/>
    <s v="20100041953"/>
    <s v="RIMAC SEGUROS  Y REASEGUROS S.A"/>
    <s v="1302020001"/>
    <s v="PINTURA"/>
    <s v="000"/>
    <s v="001"/>
    <s v="CONTADO"/>
    <s v="009"/>
    <s v="PINTURA"/>
    <s v="$"/>
    <n v="3.4039999999999999"/>
    <n v="1"/>
    <n v="206.5"/>
    <n v="206.5"/>
    <n v="37.17"/>
    <n v="243.67"/>
    <n v="702.92599999999993"/>
    <m/>
    <m/>
    <m/>
    <m/>
    <m/>
    <m/>
    <m/>
    <m/>
    <m/>
    <m/>
    <m/>
    <m/>
    <m/>
    <m/>
    <m/>
    <m/>
    <m/>
    <m/>
    <m/>
    <m/>
    <m/>
    <m/>
    <m/>
    <m/>
  </r>
  <r>
    <x v="100"/>
    <s v="FAC"/>
    <s v="005"/>
    <s v="00000372"/>
    <x v="336"/>
    <s v="AFX260"/>
    <d v="2020-02-14T00:00:00"/>
    <s v="20100041953"/>
    <s v="RIMAC SEGUROS  Y REASEGUROS S.A"/>
    <s v="1201020001"/>
    <s v="PLANCHADO"/>
    <s v="000"/>
    <s v="001"/>
    <s v="CONTADO"/>
    <s v="001"/>
    <s v="PLANCHADO"/>
    <s v="$"/>
    <n v="3.4039999999999999"/>
    <n v="1"/>
    <n v="300"/>
    <n v="300"/>
    <n v="54"/>
    <n v="354"/>
    <n v="1021.1999999999999"/>
    <m/>
    <m/>
    <m/>
    <m/>
    <m/>
    <m/>
    <m/>
    <m/>
    <m/>
    <m/>
    <m/>
    <m/>
    <m/>
    <m/>
    <m/>
    <m/>
    <m/>
    <m/>
    <m/>
    <m/>
    <m/>
    <m/>
    <m/>
    <m/>
  </r>
  <r>
    <x v="100"/>
    <s v="FAC"/>
    <s v="005"/>
    <s v="00000372"/>
    <x v="336"/>
    <s v="AFX260"/>
    <d v="2020-02-14T00:00:00"/>
    <s v="20100041953"/>
    <s v="RIMAC SEGUROS  Y REASEGUROS S.A"/>
    <s v="2908010001"/>
    <s v="TERCEROS"/>
    <s v="000"/>
    <s v="001"/>
    <s v="CONTADO"/>
    <s v="002"/>
    <s v="MANTENIMIENTO-MECANICA"/>
    <s v="$"/>
    <n v="3.4039999999999999"/>
    <n v="1"/>
    <n v="55"/>
    <n v="55"/>
    <n v="9.9000020000000131"/>
    <n v="64.900002000000015"/>
    <n v="187.22"/>
    <m/>
    <m/>
    <m/>
    <m/>
    <m/>
    <m/>
    <m/>
    <m/>
    <m/>
    <m/>
    <m/>
    <m/>
    <m/>
    <m/>
    <m/>
    <m/>
    <m/>
    <m/>
    <m/>
    <m/>
    <m/>
    <m/>
    <m/>
    <m/>
  </r>
  <r>
    <x v="100"/>
    <s v="FAC"/>
    <s v="005"/>
    <s v="00000372"/>
    <x v="336"/>
    <s v="AFX260"/>
    <d v="2020-02-14T00:00:00"/>
    <s v="20100041953"/>
    <s v="RIMAC SEGUROS  Y REASEGUROS S.A"/>
    <s v="310120"/>
    <s v="FRANQUICIA"/>
    <s v="000"/>
    <s v="001"/>
    <s v="CONTADO"/>
    <s v="002"/>
    <s v="MANTENIMIENTO-MECANICA"/>
    <s v="$"/>
    <n v="3.4039999999999999"/>
    <n v="-1"/>
    <n v="100"/>
    <n v="-100"/>
    <n v="-18"/>
    <n v="-118"/>
    <n v="-340.4"/>
    <m/>
    <m/>
    <m/>
    <m/>
    <m/>
    <m/>
    <m/>
    <m/>
    <m/>
    <m/>
    <m/>
    <m/>
    <m/>
    <m/>
    <m/>
    <m/>
    <m/>
    <m/>
    <m/>
    <m/>
    <m/>
    <m/>
    <m/>
    <m/>
  </r>
  <r>
    <x v="100"/>
    <s v="FAC"/>
    <s v="005"/>
    <s v="00000372"/>
    <x v="336"/>
    <s v="AFX260"/>
    <d v="2020-02-14T00:00:00"/>
    <s v="20100041953"/>
    <s v="RIMAC SEGUROS  Y REASEGUROS S.A"/>
    <s v="320001"/>
    <s v="REPUESTOS"/>
    <s v="000"/>
    <s v="001"/>
    <s v="CONTADO"/>
    <s v="002"/>
    <s v="MANTENIMIENTO-MECANICA"/>
    <s v="$"/>
    <n v="3.4039999999999999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3"/>
    <x v="337"/>
    <s v="M3K474"/>
    <d v="2020-01-16T00:00:00"/>
    <s v="20100041953"/>
    <s v="RIMAC SEGUROS  Y REASEGUROS S.A"/>
    <s v="1302020001"/>
    <s v="PINTURA"/>
    <s v="000"/>
    <s v="001"/>
    <s v="CONTADO"/>
    <s v="009"/>
    <s v="PINTURA"/>
    <s v="$"/>
    <n v="3.4049999999999998"/>
    <n v="1"/>
    <n v="206.5"/>
    <n v="206.5"/>
    <n v="37.17"/>
    <n v="243.67"/>
    <n v="703.13249999999994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3"/>
    <x v="337"/>
    <s v="M3K474"/>
    <d v="2020-01-16T00:00:00"/>
    <s v="20100041953"/>
    <s v="RIMAC SEGUROS  Y REASEGUROS S.A"/>
    <s v="1201020001"/>
    <s v="PLANCHADO"/>
    <s v="000"/>
    <s v="001"/>
    <s v="CONTADO"/>
    <s v="001"/>
    <s v="PLANCHADO"/>
    <s v="$"/>
    <n v="3.4049999999999998"/>
    <n v="1"/>
    <n v="247.5"/>
    <n v="247.5"/>
    <n v="44.549989999999958"/>
    <n v="292.04998999999998"/>
    <n v="842.73749999999995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3"/>
    <x v="337"/>
    <s v="M3K474"/>
    <d v="2020-01-16T00:00:00"/>
    <s v="20100041953"/>
    <s v="RIMAC SEGUROS  Y REASEGUROS S.A"/>
    <s v="2908010001"/>
    <s v="TERCEROS"/>
    <s v="000"/>
    <s v="001"/>
    <s v="CONTADO"/>
    <s v="002"/>
    <s v="MANTENIMIENTO-MECANICA"/>
    <s v="$"/>
    <n v="3.4049999999999998"/>
    <n v="1"/>
    <n v="30"/>
    <n v="30"/>
    <n v="5.4000019999999997"/>
    <n v="35.400002000000001"/>
    <n v="102.14999999999999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3"/>
    <x v="337"/>
    <s v="M3K474"/>
    <d v="2020-01-16T00:00:00"/>
    <s v="20100041953"/>
    <s v="RIMAC SEGUROS  Y REASEGUROS S.A"/>
    <s v="320001"/>
    <s v="REPUESTOS"/>
    <s v="000"/>
    <s v="001"/>
    <s v="CONTADO"/>
    <s v="002"/>
    <s v="MANTENIMIENTO-MECANICA"/>
    <s v="$"/>
    <n v="3.404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4"/>
    <x v="338"/>
    <s v="A4H567"/>
    <d v="2019-11-22T00:00:00"/>
    <s v="20100041953"/>
    <s v="RIMAC SEGUROS  Y REASEGUROS S.A"/>
    <s v="1302020001"/>
    <s v="PINTURA"/>
    <s v="000"/>
    <s v="001"/>
    <s v="CONTADO"/>
    <s v="009"/>
    <s v="PINTURA"/>
    <s v="$"/>
    <n v="3.4049999999999998"/>
    <n v="1"/>
    <n v="413"/>
    <n v="413"/>
    <n v="74.34"/>
    <n v="487.34"/>
    <n v="1406.2649999999999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4"/>
    <x v="338"/>
    <s v="A4H567"/>
    <d v="2019-11-22T00:00:00"/>
    <s v="20100041953"/>
    <s v="RIMAC SEGUROS  Y REASEGUROS S.A"/>
    <s v="1201020001"/>
    <s v="PLANCHADO"/>
    <s v="000"/>
    <s v="001"/>
    <s v="CONTADO"/>
    <s v="001"/>
    <s v="PLANCHADO"/>
    <s v="$"/>
    <n v="3.4049999999999998"/>
    <n v="1"/>
    <n v="450"/>
    <n v="450"/>
    <n v="81"/>
    <n v="531"/>
    <n v="1532.25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4"/>
    <x v="338"/>
    <s v="A4H567"/>
    <d v="2019-11-22T00:00:00"/>
    <s v="20100041953"/>
    <s v="RIMAC SEGUROS  Y REASEGUROS S.A"/>
    <s v="2908010001"/>
    <s v="TERCEROS"/>
    <s v="000"/>
    <s v="001"/>
    <s v="CONTADO"/>
    <s v="002"/>
    <s v="MANTENIMIENTO-MECANICA"/>
    <s v="$"/>
    <n v="3.4049999999999998"/>
    <n v="1"/>
    <n v="155"/>
    <n v="155"/>
    <n v="27.89998999999996"/>
    <n v="182.89998999999997"/>
    <n v="527.77499999999998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4"/>
    <x v="338"/>
    <s v="A4H567"/>
    <d v="2019-11-22T00:00:00"/>
    <s v="20100041953"/>
    <s v="RIMAC SEGUROS  Y REASEGUROS S.A"/>
    <s v="2908010001"/>
    <s v="AMPLIACION TERCEROS"/>
    <s v="000"/>
    <s v="001"/>
    <s v="CONTADO"/>
    <s v="002"/>
    <s v="MANTENIMIENTO-MECANICA"/>
    <s v="$"/>
    <n v="3.4049999999999998"/>
    <n v="1"/>
    <n v="15"/>
    <n v="15"/>
    <n v="2.7000009999999999"/>
    <n v="17.700001"/>
    <n v="51.074999999999996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4"/>
    <x v="338"/>
    <s v="A4H567"/>
    <d v="2019-11-22T00:00:00"/>
    <s v="20100041953"/>
    <s v="RIMAC SEGUROS  Y REASEGUROS S.A"/>
    <s v="2805010001"/>
    <s v="SERVICIOS"/>
    <s v="000"/>
    <s v="001"/>
    <s v="CONTADO"/>
    <s v="002"/>
    <s v="MANTENIMIENTO-MECANICA"/>
    <s v="$"/>
    <n v="3.4049999999999998"/>
    <n v="1"/>
    <n v="75"/>
    <n v="75"/>
    <n v="13.5"/>
    <n v="88.5"/>
    <n v="255.37499999999997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4"/>
    <x v="338"/>
    <s v="A4H567"/>
    <d v="2019-11-22T00:00:00"/>
    <s v="20100041953"/>
    <s v="RIMAC SEGUROS  Y REASEGUROS S.A"/>
    <s v="310120"/>
    <s v="FRANQUICIA"/>
    <s v="000"/>
    <s v="001"/>
    <s v="CONTADO"/>
    <s v="002"/>
    <s v="MANTENIMIENTO-MECANICA"/>
    <s v="$"/>
    <n v="3.4049999999999998"/>
    <n v="-1"/>
    <n v="841.81359999999984"/>
    <n v="-841.81359999999984"/>
    <n v="-151.52643000000026"/>
    <n v="-993.34003000000007"/>
    <n v="-2866.3753079999992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4"/>
    <x v="338"/>
    <s v="A4H567"/>
    <d v="2019-11-22T00:00:00"/>
    <s v="20100041953"/>
    <s v="RIMAC SEGUROS  Y REASEGUROS S.A"/>
    <s v="320001"/>
    <s v="REPUESTOS"/>
    <s v="000"/>
    <s v="001"/>
    <s v="CONTADO"/>
    <s v="002"/>
    <s v="MANTENIMIENTO-MECANICA"/>
    <s v="$"/>
    <n v="3.404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5"/>
    <x v="339"/>
    <s v="ANL279"/>
    <d v="2020-02-15T00:00:00"/>
    <s v="20100041953"/>
    <s v="RIMAC SEGUROS  Y REASEGUROS S.A"/>
    <s v="1302020001"/>
    <s v="PINTURA"/>
    <s v="000"/>
    <s v="001"/>
    <s v="CONTADO"/>
    <s v="009"/>
    <s v="PINTURA"/>
    <s v="$"/>
    <n v="3.4049999999999998"/>
    <n v="1"/>
    <n v="206.5"/>
    <n v="206.5"/>
    <n v="37.17"/>
    <n v="243.67"/>
    <n v="703.13249999999994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5"/>
    <x v="339"/>
    <s v="ANL279"/>
    <d v="2020-02-15T00:00:00"/>
    <s v="20100041953"/>
    <s v="RIMAC SEGUROS  Y REASEGUROS S.A"/>
    <s v="1201020001"/>
    <s v="PLANCHADO"/>
    <s v="000"/>
    <s v="001"/>
    <s v="CONTADO"/>
    <s v="001"/>
    <s v="PLANCHADO"/>
    <s v="$"/>
    <n v="3.4049999999999998"/>
    <n v="1"/>
    <n v="150"/>
    <n v="150"/>
    <n v="27"/>
    <n v="177"/>
    <n v="510.74999999999994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5"/>
    <x v="339"/>
    <s v="ANL279"/>
    <d v="2020-02-15T00:00:00"/>
    <s v="20100041953"/>
    <s v="RIMAC SEGUROS  Y REASEGUROS S.A"/>
    <s v="2908010001"/>
    <s v="TERCEROS"/>
    <s v="000"/>
    <s v="001"/>
    <s v="CONTADO"/>
    <s v="002"/>
    <s v="MANTENIMIENTO-MECANICA"/>
    <s v="$"/>
    <n v="3.4049999999999998"/>
    <n v="1"/>
    <n v="50"/>
    <n v="50"/>
    <n v="9"/>
    <n v="59"/>
    <n v="170.25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5"/>
    <x v="339"/>
    <s v="ANL279"/>
    <d v="2020-02-15T00:00:00"/>
    <s v="20100041953"/>
    <s v="RIMAC SEGUROS  Y REASEGUROS S.A"/>
    <s v="310120"/>
    <s v="FRANQUICIA"/>
    <s v="000"/>
    <s v="001"/>
    <s v="CONTADO"/>
    <s v="002"/>
    <s v="MANTENIMIENTO-MECANICA"/>
    <s v="$"/>
    <n v="3.4049999999999998"/>
    <n v="-1"/>
    <n v="100"/>
    <n v="-100"/>
    <n v="-18"/>
    <n v="-118"/>
    <n v="-340.5"/>
    <m/>
    <m/>
    <m/>
    <m/>
    <m/>
    <m/>
    <m/>
    <m/>
    <m/>
    <m/>
    <m/>
    <m/>
    <m/>
    <m/>
    <m/>
    <m/>
    <m/>
    <m/>
    <m/>
    <m/>
    <m/>
    <m/>
    <m/>
    <m/>
  </r>
  <r>
    <x v="101"/>
    <s v="FAC"/>
    <s v="005"/>
    <s v="00000375"/>
    <x v="339"/>
    <s v="ANL279"/>
    <d v="2020-02-15T00:00:00"/>
    <s v="20100041953"/>
    <s v="RIMAC SEGUROS  Y REASEGUROS S.A"/>
    <s v="320001"/>
    <s v="REPUESTOS"/>
    <s v="000"/>
    <s v="001"/>
    <s v="CONTADO"/>
    <s v="002"/>
    <s v="MANTENIMIENTO-MECANICA"/>
    <s v="$"/>
    <n v="3.404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102"/>
    <s v="FAC"/>
    <s v="005"/>
    <s v="00000376"/>
    <x v="340"/>
    <s v="ADB122"/>
    <d v="2020-02-17T00:00:00"/>
    <s v="20100041953"/>
    <s v="RIMAC SEGUROS  Y REASEGUROS S.A"/>
    <s v="1302020001"/>
    <s v="PINTURA"/>
    <s v="000"/>
    <s v="001"/>
    <s v="CONTADO"/>
    <s v="009"/>
    <s v="PINTURA"/>
    <s v="$"/>
    <n v="3.4119999000000001"/>
    <n v="1"/>
    <n v="59"/>
    <n v="59"/>
    <n v="10.620002999999997"/>
    <n v="69.620002999999997"/>
    <n v="201.3079941"/>
    <m/>
    <m/>
    <m/>
    <m/>
    <m/>
    <m/>
    <m/>
    <m/>
    <m/>
    <m/>
    <m/>
    <m/>
    <m/>
    <m/>
    <m/>
    <m/>
    <m/>
    <m/>
    <m/>
    <m/>
    <m/>
    <m/>
    <m/>
    <m/>
  </r>
  <r>
    <x v="102"/>
    <s v="FAC"/>
    <s v="005"/>
    <s v="00000376"/>
    <x v="340"/>
    <s v="ADB122"/>
    <d v="2020-02-17T00:00:00"/>
    <s v="20100041953"/>
    <s v="RIMAC SEGUROS  Y REASEGUROS S.A"/>
    <s v="1201020001"/>
    <s v="PLANCHADO"/>
    <s v="000"/>
    <s v="001"/>
    <s v="CONTADO"/>
    <s v="001"/>
    <s v="PLANCHADO"/>
    <s v="$"/>
    <n v="3.4119999000000001"/>
    <n v="1"/>
    <n v="30"/>
    <n v="30"/>
    <n v="5.4000019999999997"/>
    <n v="35.400002000000001"/>
    <n v="102.35999700000001"/>
    <m/>
    <m/>
    <m/>
    <m/>
    <m/>
    <m/>
    <m/>
    <m/>
    <m/>
    <m/>
    <m/>
    <m/>
    <m/>
    <m/>
    <m/>
    <m/>
    <m/>
    <m/>
    <m/>
    <m/>
    <m/>
    <m/>
    <m/>
    <m/>
  </r>
  <r>
    <x v="102"/>
    <s v="FAC"/>
    <s v="005"/>
    <s v="00000376"/>
    <x v="340"/>
    <s v="ADB122"/>
    <d v="2020-02-17T00:00:00"/>
    <s v="20100041953"/>
    <s v="RIMAC SEGUROS  Y REASEGUROS S.A"/>
    <s v="2908010001"/>
    <s v="TERCEROS"/>
    <s v="000"/>
    <s v="001"/>
    <s v="CONTADO"/>
    <s v="002"/>
    <s v="MANTENIMIENTO-MECANICA"/>
    <s v="$"/>
    <n v="3.4119999000000001"/>
    <n v="1"/>
    <n v="30"/>
    <n v="30"/>
    <n v="5.4000019999999997"/>
    <n v="35.400002000000001"/>
    <n v="102.35999700000001"/>
    <m/>
    <m/>
    <m/>
    <m/>
    <m/>
    <m/>
    <m/>
    <m/>
    <m/>
    <m/>
    <m/>
    <m/>
    <m/>
    <m/>
    <m/>
    <m/>
    <m/>
    <m/>
    <m/>
    <m/>
    <m/>
    <m/>
    <m/>
    <m/>
  </r>
  <r>
    <x v="102"/>
    <s v="FAC"/>
    <s v="005"/>
    <s v="00000376"/>
    <x v="340"/>
    <s v="ADB122"/>
    <d v="2020-02-17T00:00:00"/>
    <s v="20100041953"/>
    <s v="RIMAC SEGUROS  Y REASEGUROS S.A"/>
    <s v="310120"/>
    <s v="FRANQUICIA"/>
    <s v="000"/>
    <s v="001"/>
    <s v="CONTADO"/>
    <s v="002"/>
    <s v="MANTENIMIENTO-MECANICA"/>
    <s v="$"/>
    <n v="3.4119999000000001"/>
    <n v="1"/>
    <n v="-100"/>
    <n v="-100"/>
    <n v="-18"/>
    <n v="-118"/>
    <n v="-341.19999000000001"/>
    <m/>
    <m/>
    <m/>
    <m/>
    <m/>
    <m/>
    <m/>
    <m/>
    <m/>
    <m/>
    <m/>
    <m/>
    <m/>
    <m/>
    <m/>
    <m/>
    <m/>
    <m/>
    <m/>
    <m/>
    <m/>
    <m/>
    <m/>
    <m/>
  </r>
  <r>
    <x v="102"/>
    <s v="FAC"/>
    <s v="005"/>
    <s v="00000376"/>
    <x v="340"/>
    <s v="ADB122"/>
    <d v="2020-02-17T00:00:00"/>
    <s v="20100041953"/>
    <s v="RIMAC SEGUROS  Y REASEGUROS S.A"/>
    <s v="320001"/>
    <s v="REPUESTOS"/>
    <s v="000"/>
    <s v="001"/>
    <s v="CONTADO"/>
    <s v="002"/>
    <s v="MANTENIMIENTO-MECANICA"/>
    <s v="$"/>
    <n v="3.411999900000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102"/>
    <s v="FAC"/>
    <s v="005"/>
    <s v="00000377"/>
    <x v="341"/>
    <s v="B0T312"/>
    <d v="2020-02-26T00:00:00"/>
    <s v="20510689551"/>
    <s v="AGB BUSINESS EIRL"/>
    <s v="310255"/>
    <s v="DESCUENTO"/>
    <s v="000"/>
    <s v="001"/>
    <s v="CONTADO"/>
    <s v="002"/>
    <s v="MANTENIMIENTO-MECANICA"/>
    <s v="S/."/>
    <n v="3.4119999000000001"/>
    <n v="-1"/>
    <n v="109.79660000000001"/>
    <n v="-109.79660000000001"/>
    <n v="-19.763399999999983"/>
    <n v="-129.56"/>
    <n v="-109.79660000000001"/>
    <m/>
    <m/>
    <m/>
    <m/>
    <m/>
    <m/>
    <m/>
    <m/>
    <m/>
    <m/>
    <m/>
    <m/>
    <m/>
    <m/>
    <m/>
    <m/>
    <m/>
    <m/>
    <m/>
    <m/>
    <m/>
    <m/>
    <m/>
    <m/>
  </r>
  <r>
    <x v="102"/>
    <s v="FAC"/>
    <s v="005"/>
    <s v="00000377"/>
    <x v="341"/>
    <s v="B0T312"/>
    <d v="2020-02-26T00:00:00"/>
    <s v="20510689551"/>
    <s v="AGB BUSINESS EIRL"/>
    <s v="2805010001"/>
    <s v="SERVICIOS"/>
    <s v="000"/>
    <s v="001"/>
    <s v="CONTADO"/>
    <s v="002"/>
    <s v="MANTENIMIENTO-MECANICA"/>
    <s v="S/."/>
    <n v="3.4119999000000001"/>
    <n v="1"/>
    <n v="549"/>
    <n v="549"/>
    <n v="98.82001000000011"/>
    <n v="647.82001000000014"/>
    <n v="549"/>
    <m/>
    <m/>
    <m/>
    <m/>
    <m/>
    <m/>
    <m/>
    <m/>
    <m/>
    <m/>
    <m/>
    <m/>
    <m/>
    <m/>
    <m/>
    <m/>
    <m/>
    <m/>
    <m/>
    <m/>
    <m/>
    <m/>
    <m/>
    <m/>
  </r>
  <r>
    <x v="102"/>
    <s v="FAC"/>
    <s v="005"/>
    <s v="00000377"/>
    <x v="341"/>
    <s v="B0T312"/>
    <d v="2020-02-26T00:00:00"/>
    <s v="20510689551"/>
    <s v="AGB BUSINESS EIRL"/>
    <s v="320001"/>
    <s v="REPUESTOS"/>
    <s v="000"/>
    <s v="001"/>
    <s v="CONTADO"/>
    <s v="002"/>
    <s v="MANTENIMIENTO-MECANICA"/>
    <s v="S/."/>
    <n v="3.411999900000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102"/>
    <s v="FAC"/>
    <s v="005"/>
    <s v="00000378"/>
    <x v="342"/>
    <s v="W3G525"/>
    <d v="2020-02-17T00:00:00"/>
    <s v="10207221258"/>
    <s v="AGUERO MARTINEZ JOSE LUIS"/>
    <s v="310120"/>
    <s v="FRANQUICIA"/>
    <s v="000"/>
    <s v="001"/>
    <s v="CONTADO"/>
    <s v="002"/>
    <s v="MANTENIMIENTO-MECANICA"/>
    <s v="$"/>
    <n v="3.4119999000000001"/>
    <n v="1"/>
    <n v="156.5932"/>
    <n v="156.5932"/>
    <n v="28.186800000000002"/>
    <n v="184.78"/>
    <n v="534.29598274067996"/>
    <m/>
    <m/>
    <m/>
    <m/>
    <m/>
    <m/>
    <m/>
    <m/>
    <m/>
    <m/>
    <m/>
    <m/>
    <m/>
    <m/>
    <m/>
    <m/>
    <m/>
    <m/>
    <m/>
    <m/>
    <m/>
    <m/>
    <m/>
    <m/>
  </r>
  <r>
    <x v="102"/>
    <s v="FAC"/>
    <s v="005"/>
    <s v="00000379"/>
    <x v="342"/>
    <s v="W3G525"/>
    <d v="2020-02-17T00:00:00"/>
    <s v="20100041953"/>
    <s v="RIMAC SEGUROS  Y REASEGUROS S.A"/>
    <s v="1302020001"/>
    <s v="PINTURA"/>
    <s v="000"/>
    <s v="001"/>
    <s v="CONTADO"/>
    <s v="009"/>
    <s v="PINTURA"/>
    <s v="$"/>
    <n v="3.4119999000000001"/>
    <n v="1"/>
    <n v="236"/>
    <n v="236"/>
    <n v="42.48001"/>
    <n v="278.48000999999999"/>
    <n v="805.23197640000001"/>
    <m/>
    <m/>
    <m/>
    <m/>
    <m/>
    <m/>
    <m/>
    <m/>
    <m/>
    <m/>
    <m/>
    <m/>
    <m/>
    <m/>
    <m/>
    <m/>
    <m/>
    <m/>
    <m/>
    <m/>
    <m/>
    <m/>
    <m/>
    <m/>
  </r>
  <r>
    <x v="102"/>
    <s v="FAC"/>
    <s v="005"/>
    <s v="00000379"/>
    <x v="342"/>
    <s v="W3G525"/>
    <d v="2020-02-17T00:00:00"/>
    <s v="20100041953"/>
    <s v="RIMAC SEGUROS  Y REASEGUROS S.A"/>
    <s v="1201020001"/>
    <s v="PLANCHADO"/>
    <s v="000"/>
    <s v="001"/>
    <s v="CONTADO"/>
    <s v="001"/>
    <s v="PLANCHADO"/>
    <s v="$"/>
    <n v="3.4119999000000001"/>
    <n v="1"/>
    <n v="150"/>
    <n v="150"/>
    <n v="27"/>
    <n v="177"/>
    <n v="511.79998499999999"/>
    <m/>
    <m/>
    <m/>
    <m/>
    <m/>
    <m/>
    <m/>
    <m/>
    <m/>
    <m/>
    <m/>
    <m/>
    <m/>
    <m/>
    <m/>
    <m/>
    <m/>
    <m/>
    <m/>
    <m/>
    <m/>
    <m/>
    <m/>
    <m/>
  </r>
  <r>
    <x v="102"/>
    <s v="FAC"/>
    <s v="005"/>
    <s v="00000379"/>
    <x v="342"/>
    <s v="W3G525"/>
    <d v="2020-02-17T00:00:00"/>
    <s v="20100041953"/>
    <s v="RIMAC SEGUROS  Y REASEGUROS S.A"/>
    <s v="310120"/>
    <s v="FRANQUICIA"/>
    <s v="000"/>
    <s v="001"/>
    <s v="CONTADO"/>
    <s v="002"/>
    <s v="MANTENIMIENTO-MECANICA"/>
    <s v="$"/>
    <n v="3.4119999000000001"/>
    <n v="-1"/>
    <n v="156.5932"/>
    <n v="-156.5932"/>
    <n v="-28.186800000000002"/>
    <n v="-184.78"/>
    <n v="-534.29598274067996"/>
    <m/>
    <m/>
    <m/>
    <m/>
    <m/>
    <m/>
    <m/>
    <m/>
    <m/>
    <m/>
    <m/>
    <m/>
    <m/>
    <m/>
    <m/>
    <m/>
    <m/>
    <m/>
    <m/>
    <m/>
    <m/>
    <m/>
    <m/>
    <m/>
  </r>
  <r>
    <x v="102"/>
    <s v="FAC"/>
    <s v="005"/>
    <s v="00000379"/>
    <x v="342"/>
    <s v="W3G525"/>
    <d v="2020-02-17T00:00:00"/>
    <s v="20100041953"/>
    <s v="RIMAC SEGUROS  Y REASEGUROS S.A"/>
    <s v="320001"/>
    <s v="REPUESTOS"/>
    <s v="000"/>
    <s v="001"/>
    <s v="CONTADO"/>
    <s v="002"/>
    <s v="MANTENIMIENTO-MECANICA"/>
    <s v="$"/>
    <n v="3.4119999000000001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0"/>
    <x v="343"/>
    <s v="CQW106"/>
    <d v="2020-02-25T00:00:00"/>
    <s v="20100041953"/>
    <s v="RIMAC SEGUROS  Y REASEGUROS S.A"/>
    <s v="2805010001"/>
    <s v="SERVICIOS"/>
    <s v="000"/>
    <s v="001"/>
    <s v="CONTADO"/>
    <s v="002"/>
    <s v="MANTENIMIENTO-MECANICA"/>
    <s v="$"/>
    <n v="3.4300000999999996"/>
    <n v="1"/>
    <n v="100"/>
    <n v="100"/>
    <n v="18"/>
    <n v="118"/>
    <n v="343.00000999999997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1"/>
    <x v="344"/>
    <s v="BAK335"/>
    <d v="2020-02-24T00:00:00"/>
    <s v="20603887353"/>
    <s v="DE PIEROLA, PIZARRO, ARCE &amp; BARRON ABOGADOS S.A.C."/>
    <s v="310120"/>
    <s v="FRANQUICIA"/>
    <s v="000"/>
    <s v="001"/>
    <s v="CONTADO"/>
    <s v="002"/>
    <s v="MANTENIMIENTO-MECANICA"/>
    <s v="$"/>
    <n v="3.4300000999999996"/>
    <n v="1"/>
    <n v="150"/>
    <n v="150"/>
    <n v="27"/>
    <n v="177"/>
    <n v="514.50001499999996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2"/>
    <x v="345"/>
    <s v="BAK335"/>
    <d v="2020-02-24T00:00:00"/>
    <s v="20603887353"/>
    <s v="DE PIEROLA, PIZARRO, ARCE &amp; BARRON ABOGADOS S.A.C."/>
    <s v="310120"/>
    <s v="FRANQUICIA"/>
    <s v="000"/>
    <s v="001"/>
    <s v="CONTADO"/>
    <s v="002"/>
    <s v="MANTENIMIENTO-MECANICA"/>
    <s v="$"/>
    <n v="3.4300000999999996"/>
    <n v="1"/>
    <n v="150"/>
    <n v="150"/>
    <n v="27"/>
    <n v="177"/>
    <n v="514.50001499999996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3"/>
    <x v="346"/>
    <s v="BAK335"/>
    <d v="2020-02-24T00:00:00"/>
    <s v="20603887353"/>
    <s v="DE PIEROLA, PIZARRO, ARCE &amp; BARRON ABOGADOS S.A.C."/>
    <s v="1302020001"/>
    <s v="PINTURA"/>
    <s v="000"/>
    <s v="001"/>
    <s v="CONTADO"/>
    <s v="009"/>
    <s v="PINTURA"/>
    <s v="$"/>
    <n v="3.4300000999999996"/>
    <n v="1"/>
    <n v="60"/>
    <n v="60"/>
    <n v="10.800002999999997"/>
    <n v="70.800003000000004"/>
    <n v="205.80000599999997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3"/>
    <x v="346"/>
    <s v="BAK335"/>
    <d v="2020-02-24T00:00:00"/>
    <s v="20603887353"/>
    <s v="DE PIEROLA, PIZARRO, ARCE &amp; BARRON ABOGADOS S.A.C."/>
    <s v="1201020001"/>
    <s v="PLANCHADO"/>
    <s v="000"/>
    <s v="001"/>
    <s v="CONTADO"/>
    <s v="001"/>
    <s v="PLANCHADO"/>
    <s v="$"/>
    <n v="3.4300000999999996"/>
    <n v="1"/>
    <n v="30"/>
    <n v="30"/>
    <n v="5.4000019999999997"/>
    <n v="35.400002000000001"/>
    <n v="102.90000299999998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4"/>
    <x v="347"/>
    <s v="F3Y336"/>
    <d v="2020-02-19T00:00:00"/>
    <s v="20264545812"/>
    <s v="SEVILLA RODRIGUEZ SRL"/>
    <s v="310120"/>
    <s v="FRANQUICIA"/>
    <s v="000"/>
    <s v="001"/>
    <s v="CONTADO"/>
    <s v="002"/>
    <s v="MANTENIMIENTO-MECANICA"/>
    <s v="$"/>
    <n v="3.4300000999999996"/>
    <n v="1"/>
    <n v="122.9576"/>
    <n v="122.9576"/>
    <n v="22.132399999999997"/>
    <n v="145.09"/>
    <n v="421.74458029575993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6"/>
    <x v="348"/>
    <s v="F3Y336"/>
    <d v="2020-02-20T00:00:00"/>
    <s v="20264545812"/>
    <s v="SEVILLA RODRIGUEZ SRL"/>
    <s v="1302020001"/>
    <s v="PINTURA"/>
    <s v="000"/>
    <s v="001"/>
    <s v="CONTADO"/>
    <s v="009"/>
    <s v="PINTURA"/>
    <s v="$"/>
    <n v="3.4300000999999996"/>
    <n v="1"/>
    <n v="120"/>
    <n v="120"/>
    <n v="21.600010000000019"/>
    <n v="141.60001000000003"/>
    <n v="411.60001199999994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6"/>
    <x v="348"/>
    <s v="F3Y336"/>
    <d v="2020-02-20T00:00:00"/>
    <s v="20264545812"/>
    <s v="SEVILLA RODRIGUEZ SRL"/>
    <s v="1201020001"/>
    <s v="PLANCHADO"/>
    <s v="000"/>
    <s v="001"/>
    <s v="CONTADO"/>
    <s v="001"/>
    <s v="PLANCHADO"/>
    <s v="$"/>
    <n v="3.4300000999999996"/>
    <n v="1"/>
    <n v="79.949203000000011"/>
    <n v="79.949203000000011"/>
    <n v="14.390793000000004"/>
    <n v="94.339996000000014"/>
    <n v="274.22577428492031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6"/>
    <x v="348"/>
    <s v="F3Y336"/>
    <d v="2020-02-20T00:00:00"/>
    <s v="20264545812"/>
    <s v="SEVILLA RODRIGUEZ SRL"/>
    <s v="2908010001"/>
    <s v="TERCEROS"/>
    <s v="000"/>
    <s v="001"/>
    <s v="CONTADO"/>
    <s v="002"/>
    <s v="MANTENIMIENTO-MECANICA"/>
    <s v="$"/>
    <n v="3.4300000999999996"/>
    <n v="1"/>
    <n v="50"/>
    <n v="50"/>
    <n v="9"/>
    <n v="59"/>
    <n v="171.50000499999999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7"/>
    <x v="349"/>
    <s v="BBM206"/>
    <d v="2020-02-01T00:00:00"/>
    <s v="20100041953"/>
    <s v="RIMAC SEGUROS  Y REASEGUROS S.A"/>
    <s v="1302020001"/>
    <s v="PINTURA"/>
    <s v="000"/>
    <s v="001"/>
    <s v="CONTADO"/>
    <s v="009"/>
    <s v="PINTURA"/>
    <s v="$"/>
    <n v="3.4300000999999996"/>
    <n v="1"/>
    <n v="59"/>
    <n v="59"/>
    <n v="10.620002999999997"/>
    <n v="69.620002999999997"/>
    <n v="202.37000589999997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7"/>
    <x v="349"/>
    <s v="BBM206"/>
    <d v="2020-02-01T00:00:00"/>
    <s v="20100041953"/>
    <s v="RIMAC SEGUROS  Y REASEGUROS S.A"/>
    <s v="1201020001"/>
    <s v="PLANCHADO"/>
    <s v="000"/>
    <s v="001"/>
    <s v="CONTADO"/>
    <s v="001"/>
    <s v="PLANCHADO"/>
    <s v="$"/>
    <n v="3.4300000999999996"/>
    <n v="1"/>
    <n v="60"/>
    <n v="60"/>
    <n v="10.800002999999997"/>
    <n v="70.800003000000004"/>
    <n v="205.80000599999997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7"/>
    <x v="349"/>
    <s v="BBM206"/>
    <d v="2020-02-01T00:00:00"/>
    <s v="20100041953"/>
    <s v="RIMAC SEGUROS  Y REASEGUROS S.A"/>
    <s v="310120"/>
    <s v="FRANQUICIA"/>
    <s v="000"/>
    <s v="001"/>
    <s v="CONTADO"/>
    <s v="002"/>
    <s v="MANTENIMIENTO-MECANICA"/>
    <s v="$"/>
    <n v="3.4300000999999996"/>
    <n v="-1"/>
    <n v="100"/>
    <n v="-100"/>
    <n v="-18"/>
    <n v="-118"/>
    <n v="-343.00000999999997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7"/>
    <x v="349"/>
    <s v="BBM206"/>
    <d v="2020-02-01T00:00:00"/>
    <s v="20100041953"/>
    <s v="RIMAC SEGUROS  Y REASEGUROS S.A"/>
    <s v="320001"/>
    <s v="REPUESTOS"/>
    <s v="000"/>
    <s v="001"/>
    <s v="CONTADO"/>
    <s v="002"/>
    <s v="MANTENIMIENTO-MECANICA"/>
    <s v="$"/>
    <n v="3.4300000999999996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8"/>
    <x v="347"/>
    <s v="F3Y336"/>
    <d v="2020-02-19T00:00:00"/>
    <s v="20100041953"/>
    <s v="RIMAC SEGUROS  Y REASEGUROS S.A"/>
    <s v="1302020001"/>
    <s v="PINTURA"/>
    <s v="000"/>
    <s v="001"/>
    <s v="CONTADO"/>
    <s v="009"/>
    <s v="PINTURA"/>
    <s v="$"/>
    <n v="3.4300000999999996"/>
    <n v="1"/>
    <n v="206.5"/>
    <n v="206.5"/>
    <n v="37.17"/>
    <n v="243.67"/>
    <n v="708.29502064999986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8"/>
    <x v="347"/>
    <s v="F3Y336"/>
    <d v="2020-02-19T00:00:00"/>
    <s v="20100041953"/>
    <s v="RIMAC SEGUROS  Y REASEGUROS S.A"/>
    <s v="1201020001"/>
    <s v="PLANCHADO"/>
    <s v="000"/>
    <s v="001"/>
    <s v="CONTADO"/>
    <s v="001"/>
    <s v="PLANCHADO"/>
    <s v="$"/>
    <n v="3.4300000999999996"/>
    <n v="1"/>
    <n v="292.5"/>
    <n v="292.5"/>
    <n v="52.649990000000031"/>
    <n v="345.14999000000006"/>
    <n v="1003.2750292499999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8"/>
    <x v="347"/>
    <s v="F3Y336"/>
    <d v="2020-02-19T00:00:00"/>
    <s v="20100041953"/>
    <s v="RIMAC SEGUROS  Y REASEGUROS S.A"/>
    <s v="310120"/>
    <s v="FRANQUICIA"/>
    <s v="000"/>
    <s v="001"/>
    <s v="CONTADO"/>
    <s v="002"/>
    <s v="MANTENIMIENTO-MECANICA"/>
    <s v="$"/>
    <n v="3.4300000999999996"/>
    <n v="-1"/>
    <n v="122.9576"/>
    <n v="-122.9576"/>
    <n v="-22.132399999999997"/>
    <n v="-145.09"/>
    <n v="-421.74458029575993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8"/>
    <x v="347"/>
    <s v="F3Y336"/>
    <d v="2020-02-19T00:00:00"/>
    <s v="20100041953"/>
    <s v="RIMAC SEGUROS  Y REASEGUROS S.A"/>
    <s v="320001"/>
    <s v="REPUESTOS"/>
    <s v="000"/>
    <s v="001"/>
    <s v="CONTADO"/>
    <s v="002"/>
    <s v="MANTENIMIENTO-MECANICA"/>
    <s v="$"/>
    <n v="3.4300000999999996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9"/>
    <x v="350"/>
    <s v="AVH107"/>
    <d v="2020-02-18T00:00:00"/>
    <s v="20100041953"/>
    <s v="RIMAC SEGUROS  Y REASEGUROS S.A"/>
    <s v="1302020001"/>
    <s v="PINTURA"/>
    <s v="000"/>
    <s v="001"/>
    <s v="CONTADO"/>
    <s v="009"/>
    <s v="PINTURA"/>
    <s v="$"/>
    <n v="3.4300000999999996"/>
    <n v="1"/>
    <n v="708"/>
    <n v="708"/>
    <n v="127.44"/>
    <n v="835.44"/>
    <n v="2428.4400707999998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9"/>
    <x v="350"/>
    <s v="AVH107"/>
    <d v="2020-02-18T00:00:00"/>
    <s v="20100041953"/>
    <s v="RIMAC SEGUROS  Y REASEGUROS S.A"/>
    <s v="1201020001"/>
    <s v="PLANCHADO"/>
    <s v="000"/>
    <s v="001"/>
    <s v="CONTADO"/>
    <s v="001"/>
    <s v="PLANCHADO"/>
    <s v="$"/>
    <n v="3.4300000999999996"/>
    <n v="1"/>
    <n v="180"/>
    <n v="180"/>
    <n v="32.39998999999996"/>
    <n v="212.39998999999997"/>
    <n v="617.40001799999993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9"/>
    <x v="350"/>
    <s v="AVH107"/>
    <d v="2020-02-18T00:00:00"/>
    <s v="20100041953"/>
    <s v="RIMAC SEGUROS  Y REASEGUROS S.A"/>
    <s v="310120"/>
    <s v="FRANQUICIA"/>
    <s v="000"/>
    <s v="001"/>
    <s v="CONTADO"/>
    <s v="002"/>
    <s v="MANTENIMIENTO-MECANICA"/>
    <s v="$"/>
    <n v="3.4300000999999996"/>
    <n v="-1"/>
    <n v="100"/>
    <n v="-100"/>
    <n v="-18"/>
    <n v="-118"/>
    <n v="-343.00000999999997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89"/>
    <x v="350"/>
    <s v="AVH107"/>
    <d v="2020-02-18T00:00:00"/>
    <s v="20100041953"/>
    <s v="RIMAC SEGUROS  Y REASEGUROS S.A"/>
    <s v="320001"/>
    <s v="REPUESTOS"/>
    <s v="000"/>
    <s v="001"/>
    <s v="CONTADO"/>
    <s v="002"/>
    <s v="MANTENIMIENTO-MECANICA"/>
    <s v="$"/>
    <n v="3.4300000999999996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90"/>
    <x v="345"/>
    <s v="BAK335"/>
    <d v="2020-02-24T00:00:00"/>
    <s v="20202380621"/>
    <s v="MAPFRE PERU COMPAÑIA DE SEGUROS Y REASEGUROS S.A"/>
    <s v="1302020001"/>
    <s v="PINTURA"/>
    <s v="000"/>
    <s v="001"/>
    <s v="CONTADO"/>
    <s v="009"/>
    <s v="PINTURA"/>
    <s v="$"/>
    <n v="3.4300000999999996"/>
    <n v="1"/>
    <n v="100"/>
    <n v="100"/>
    <n v="18"/>
    <n v="118"/>
    <n v="343.00000999999997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90"/>
    <x v="345"/>
    <s v="BAK335"/>
    <d v="2020-02-24T00:00:00"/>
    <s v="20202380621"/>
    <s v="MAPFRE PERU COMPAÑIA DE SEGUROS Y REASEGUROS S.A"/>
    <s v="1201020001"/>
    <s v="PLANCHADO"/>
    <s v="000"/>
    <s v="001"/>
    <s v="CONTADO"/>
    <s v="001"/>
    <s v="PLANCHADO"/>
    <s v="$"/>
    <n v="3.4300000999999996"/>
    <n v="1"/>
    <n v="60"/>
    <n v="60"/>
    <n v="10.800002999999997"/>
    <n v="70.800003000000004"/>
    <n v="205.80000599999997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90"/>
    <x v="345"/>
    <s v="BAK335"/>
    <d v="2020-02-24T00:00:00"/>
    <s v="20202380621"/>
    <s v="MAPFRE PERU COMPAÑIA DE SEGUROS Y REASEGUROS S.A"/>
    <s v="2908010001"/>
    <s v="TERCEROS"/>
    <s v="000"/>
    <s v="001"/>
    <s v="CONTADO"/>
    <s v="002"/>
    <s v="MANTENIMIENTO-MECANICA"/>
    <s v="$"/>
    <n v="3.4300000999999996"/>
    <n v="1"/>
    <n v="40"/>
    <n v="40"/>
    <n v="7.2000010000000021"/>
    <n v="47.200001"/>
    <n v="137.20000399999998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90"/>
    <x v="345"/>
    <s v="BAK335"/>
    <d v="2020-02-24T00:00:00"/>
    <s v="20202380621"/>
    <s v="MAPFRE PERU COMPAÑIA DE SEGUROS Y REASEGUROS S.A"/>
    <s v="310120"/>
    <s v="FRANQUICIA"/>
    <s v="000"/>
    <s v="001"/>
    <s v="CONTADO"/>
    <s v="002"/>
    <s v="MANTENIMIENTO-MECANICA"/>
    <s v="$"/>
    <n v="3.4300000999999996"/>
    <n v="-1"/>
    <n v="150"/>
    <n v="-150"/>
    <n v="-27"/>
    <n v="-177"/>
    <n v="-514.50001499999996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91"/>
    <x v="344"/>
    <s v="BAK335"/>
    <d v="2020-02-24T00:00:00"/>
    <s v="20202380621"/>
    <s v="MAPFRE PERU COMPAÑIA DE SEGUROS Y REASEGUROS S.A"/>
    <s v="1302020001"/>
    <s v="PINTURA"/>
    <s v="000"/>
    <s v="001"/>
    <s v="CONTADO"/>
    <s v="009"/>
    <s v="PINTURA"/>
    <s v="$"/>
    <n v="3.4300000999999996"/>
    <n v="1"/>
    <n v="75"/>
    <n v="75"/>
    <n v="13.5"/>
    <n v="88.5"/>
    <n v="257.25000749999998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91"/>
    <x v="344"/>
    <s v="BAK335"/>
    <d v="2020-02-24T00:00:00"/>
    <s v="20202380621"/>
    <s v="MAPFRE PERU COMPAÑIA DE SEGUROS Y REASEGUROS S.A"/>
    <s v="1201020001"/>
    <s v="PLANCHADO"/>
    <s v="000"/>
    <s v="001"/>
    <s v="CONTADO"/>
    <s v="001"/>
    <s v="PLANCHADO"/>
    <s v="$"/>
    <n v="3.4300000999999996"/>
    <n v="1"/>
    <n v="80"/>
    <n v="80"/>
    <n v="14.400002000000004"/>
    <n v="94.400002000000001"/>
    <n v="274.40000799999996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91"/>
    <x v="344"/>
    <s v="BAK335"/>
    <d v="2020-02-24T00:00:00"/>
    <s v="20202380621"/>
    <s v="MAPFRE PERU COMPAÑIA DE SEGUROS Y REASEGUROS S.A"/>
    <s v="310120"/>
    <s v="FRANQUICIA"/>
    <s v="000"/>
    <s v="001"/>
    <s v="CONTADO"/>
    <s v="002"/>
    <s v="MANTENIMIENTO-MECANICA"/>
    <s v="$"/>
    <n v="3.4300000999999996"/>
    <n v="-1"/>
    <n v="150"/>
    <n v="-150"/>
    <n v="-27"/>
    <n v="-177"/>
    <n v="-514.50001499999996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92"/>
    <x v="351"/>
    <s v="ACW155"/>
    <d v="2020-02-18T00:00:00"/>
    <s v="20100041953"/>
    <s v="RIMAC SEGUROS  Y REASEGUROS S.A"/>
    <s v="1302020001"/>
    <s v="PINTURA"/>
    <s v="000"/>
    <s v="001"/>
    <s v="CONTADO"/>
    <s v="009"/>
    <s v="PINTURA"/>
    <s v="$"/>
    <n v="3.4300000999999996"/>
    <n v="1"/>
    <n v="354"/>
    <n v="354"/>
    <n v="63.72"/>
    <n v="417.72"/>
    <n v="1214.2200353999999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92"/>
    <x v="351"/>
    <s v="ACW155"/>
    <d v="2020-02-18T00:00:00"/>
    <s v="20100041953"/>
    <s v="RIMAC SEGUROS  Y REASEGUROS S.A"/>
    <s v="1201020001"/>
    <s v="PLANCHADO"/>
    <s v="000"/>
    <s v="001"/>
    <s v="CONTADO"/>
    <s v="001"/>
    <s v="PLANCHADO"/>
    <s v="$"/>
    <n v="3.4300000999999996"/>
    <n v="1"/>
    <n v="300"/>
    <n v="300"/>
    <n v="54"/>
    <n v="354"/>
    <n v="1029.0000299999999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92"/>
    <x v="351"/>
    <s v="ACW155"/>
    <d v="2020-02-18T00:00:00"/>
    <s v="20100041953"/>
    <s v="RIMAC SEGUROS  Y REASEGUROS S.A"/>
    <s v="2908010001"/>
    <s v="TERCEROS"/>
    <s v="000"/>
    <s v="001"/>
    <s v="CONTADO"/>
    <s v="002"/>
    <s v="MANTENIMIENTO-MECANICA"/>
    <s v="$"/>
    <n v="3.4300000999999996"/>
    <n v="1"/>
    <n v="130"/>
    <n v="130"/>
    <n v="23.399990000000017"/>
    <n v="153.39999"/>
    <n v="445.90001299999994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92"/>
    <x v="351"/>
    <s v="ACW155"/>
    <d v="2020-02-18T00:00:00"/>
    <s v="20100041953"/>
    <s v="RIMAC SEGUROS  Y REASEGUROS S.A"/>
    <s v="310120"/>
    <s v="FRANQUICIA"/>
    <s v="000"/>
    <s v="001"/>
    <s v="CONTADO"/>
    <s v="002"/>
    <s v="MANTENIMIENTO-MECANICA"/>
    <s v="$"/>
    <n v="3.4300000999999996"/>
    <n v="-1"/>
    <n v="100"/>
    <n v="-100"/>
    <n v="-18"/>
    <n v="-118"/>
    <n v="-343.00000999999997"/>
    <m/>
    <m/>
    <m/>
    <m/>
    <m/>
    <m/>
    <m/>
    <m/>
    <m/>
    <m/>
    <m/>
    <m/>
    <m/>
    <m/>
    <m/>
    <m/>
    <m/>
    <m/>
    <m/>
    <m/>
    <m/>
    <m/>
    <m/>
    <m/>
  </r>
  <r>
    <x v="103"/>
    <s v="FAC"/>
    <s v="005"/>
    <s v="00000392"/>
    <x v="351"/>
    <s v="ACW155"/>
    <d v="2020-02-18T00:00:00"/>
    <s v="20100041953"/>
    <s v="RIMAC SEGUROS  Y REASEGUROS S.A"/>
    <s v="320001"/>
    <s v="REPUESTOS"/>
    <s v="000"/>
    <s v="001"/>
    <s v="CONTADO"/>
    <s v="002"/>
    <s v="MANTENIMIENTO-MECANICA"/>
    <s v="$"/>
    <n v="3.4300000999999996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82"/>
    <s v="BOL"/>
    <s v="005"/>
    <s v="00000108"/>
    <x v="291"/>
    <s v="AYQ680"/>
    <d v="2020-01-22T00:00:00"/>
    <s v="45156825"/>
    <s v="MAROCS HUGO FIGUEROA CANTERA"/>
    <s v="310120"/>
    <s v="FRANQUICIA"/>
    <s v="000"/>
    <s v="001"/>
    <s v="CONTADO"/>
    <s v="002"/>
    <s v="MANTENIMIENTO-MECANICA"/>
    <s v="$"/>
    <n v="3.3759999000000001"/>
    <n v="1"/>
    <n v="100"/>
    <n v="100"/>
    <n v="18"/>
    <n v="118"/>
    <n v="337.59998999999999"/>
    <m/>
    <m/>
    <m/>
    <m/>
    <m/>
    <m/>
    <m/>
    <m/>
    <m/>
    <m/>
    <m/>
    <m/>
    <m/>
    <m/>
    <m/>
    <m/>
    <m/>
    <m/>
    <m/>
    <m/>
    <m/>
    <m/>
    <m/>
    <m/>
  </r>
  <r>
    <x v="82"/>
    <s v="BOL"/>
    <s v="005"/>
    <s v="00000109"/>
    <x v="292"/>
    <s v="AYQ680"/>
    <d v="2020-01-22T00:00:00"/>
    <s v="45156825"/>
    <s v="MAROCS HUGO FIGUEROA CANTERA"/>
    <s v="310120"/>
    <s v="FRANQUICIA"/>
    <s v="000"/>
    <s v="001"/>
    <s v="CONTADO"/>
    <s v="002"/>
    <s v="MANTENIMIENTO-MECANICA"/>
    <s v="$"/>
    <n v="3.3759999000000001"/>
    <n v="1"/>
    <n v="100"/>
    <n v="100"/>
    <n v="18"/>
    <n v="118"/>
    <n v="337.59998999999999"/>
    <m/>
    <m/>
    <m/>
    <m/>
    <m/>
    <m/>
    <m/>
    <m/>
    <m/>
    <m/>
    <m/>
    <m/>
    <m/>
    <m/>
    <m/>
    <m/>
    <m/>
    <m/>
    <m/>
    <m/>
    <m/>
    <m/>
    <m/>
    <m/>
  </r>
  <r>
    <x v="85"/>
    <s v="BOL"/>
    <s v="005"/>
    <s v="00000110"/>
    <x v="298"/>
    <s v="BDG262"/>
    <d v="2020-01-28T00:00:00"/>
    <s v="07566397"/>
    <s v="MILLA HUAYAKAWA ELEONORA"/>
    <s v="310120"/>
    <s v="FRANQUICIA"/>
    <s v="000"/>
    <s v="001"/>
    <s v="CONTADO"/>
    <s v="002"/>
    <s v="MANTENIMIENTO-MECANICA"/>
    <s v="$"/>
    <n v="3.3640001000000002"/>
    <n v="1"/>
    <n v="100"/>
    <n v="100"/>
    <n v="18"/>
    <n v="118"/>
    <n v="336.40001000000001"/>
    <m/>
    <m/>
    <m/>
    <m/>
    <m/>
    <m/>
    <m/>
    <m/>
    <m/>
    <m/>
    <m/>
    <m/>
    <m/>
    <m/>
    <m/>
    <m/>
    <m/>
    <m/>
    <m/>
    <m/>
    <m/>
    <m/>
    <m/>
    <m/>
  </r>
  <r>
    <x v="85"/>
    <s v="BOL"/>
    <s v="005"/>
    <s v="00000111"/>
    <x v="299"/>
    <s v="C8O042"/>
    <d v="2020-01-25T00:00:00"/>
    <s v="46122414"/>
    <s v="CURO GUEVARA ALEX"/>
    <s v="310120"/>
    <s v="FRANQUICIA"/>
    <s v="000"/>
    <s v="001"/>
    <s v="CONTADO"/>
    <s v="002"/>
    <s v="MANTENIMIENTO-MECANICA"/>
    <s v="$"/>
    <n v="3.3640001000000002"/>
    <n v="1"/>
    <n v="184.1525"/>
    <n v="184.1525"/>
    <n v="33.147500000000001"/>
    <n v="217.3"/>
    <n v="619.48902841525"/>
    <m/>
    <m/>
    <m/>
    <m/>
    <m/>
    <m/>
    <m/>
    <m/>
    <m/>
    <m/>
    <m/>
    <m/>
    <m/>
    <m/>
    <m/>
    <m/>
    <m/>
    <m/>
    <m/>
    <m/>
    <m/>
    <m/>
    <m/>
    <m/>
  </r>
  <r>
    <x v="87"/>
    <s v="BOL"/>
    <s v="005"/>
    <s v="00000112"/>
    <x v="306"/>
    <s v="D5M328"/>
    <d v="2020-01-27T00:00:00"/>
    <s v="73153298"/>
    <s v="FERNANDEZ RAMOS LEANDRO"/>
    <s v="310120"/>
    <s v="FRANQUICIA"/>
    <s v="000"/>
    <s v="001"/>
    <s v="CONTADO"/>
    <s v="002"/>
    <s v="MANTENIMIENTO-MECANICA"/>
    <s v="$"/>
    <n v="3.3710000999999998"/>
    <n v="1"/>
    <n v="100"/>
    <n v="100"/>
    <n v="18"/>
    <n v="118"/>
    <n v="337.10001"/>
    <m/>
    <m/>
    <m/>
    <m/>
    <m/>
    <m/>
    <m/>
    <m/>
    <m/>
    <m/>
    <m/>
    <m/>
    <m/>
    <m/>
    <m/>
    <m/>
    <m/>
    <m/>
    <m/>
    <m/>
    <m/>
    <m/>
    <m/>
    <m/>
  </r>
  <r>
    <x v="87"/>
    <s v="BOL"/>
    <s v="005"/>
    <s v="00000113"/>
    <x v="307"/>
    <s v="BNL501"/>
    <d v="2020-01-31T00:00:00"/>
    <s v="45104606"/>
    <s v="GAMARRA ALEMAN GUILLERMO"/>
    <s v="310120"/>
    <s v="FRANQUICIA"/>
    <s v="000"/>
    <s v="001"/>
    <s v="CONTADO"/>
    <s v="002"/>
    <s v="MANTENIMIENTO-MECANICA"/>
    <s v="$"/>
    <n v="3.3710000999999998"/>
    <n v="1"/>
    <n v="141.05930000000001"/>
    <n v="141.05930000000001"/>
    <n v="25.390699999999995"/>
    <n v="166.45"/>
    <n v="475.51091440593001"/>
    <m/>
    <m/>
    <m/>
    <m/>
    <m/>
    <m/>
    <m/>
    <m/>
    <m/>
    <m/>
    <m/>
    <m/>
    <m/>
    <m/>
    <m/>
    <m/>
    <m/>
    <m/>
    <m/>
    <m/>
    <m/>
    <m/>
    <m/>
    <m/>
  </r>
  <r>
    <x v="88"/>
    <s v="BOL"/>
    <s v="005"/>
    <s v="00000114"/>
    <x v="308"/>
    <s v="D6X505"/>
    <d v="2020-01-28T00:00:00"/>
    <s v="47499679"/>
    <s v="VASQUEZ CAMPOS EVELYN"/>
    <s v="310120"/>
    <s v="FRANQUICIA"/>
    <s v="000"/>
    <s v="001"/>
    <s v="CONTADO"/>
    <s v="002"/>
    <s v="MANTENIMIENTO-MECANICA"/>
    <s v="$"/>
    <n v="3.3879999999999999"/>
    <n v="1"/>
    <n v="100"/>
    <n v="100"/>
    <n v="18"/>
    <n v="118"/>
    <n v="338.8"/>
    <m/>
    <m/>
    <m/>
    <m/>
    <m/>
    <m/>
    <m/>
    <m/>
    <m/>
    <m/>
    <m/>
    <m/>
    <m/>
    <m/>
    <m/>
    <m/>
    <m/>
    <m/>
    <m/>
    <m/>
    <m/>
    <m/>
    <m/>
    <m/>
  </r>
  <r>
    <x v="88"/>
    <s v="BOL"/>
    <s v="005"/>
    <s v="00000115"/>
    <x v="299"/>
    <s v="C8O042"/>
    <d v="2020-01-25T00:00:00"/>
    <s v="46122414"/>
    <s v="CURO GUEVARA ALEX"/>
    <s v="310120"/>
    <s v="FRANQUICIA"/>
    <s v="000"/>
    <s v="001"/>
    <s v="CONTADO"/>
    <s v="002"/>
    <s v="MANTENIMIENTO-MECANICA"/>
    <s v="$"/>
    <n v="3.3879999999999999"/>
    <n v="1"/>
    <n v="0.49149999"/>
    <n v="0.49149999"/>
    <n v="8.8499989999999973E-2"/>
    <n v="0.57999997999999997"/>
    <n v="1.6652019661199999"/>
    <m/>
    <m/>
    <m/>
    <m/>
    <m/>
    <m/>
    <m/>
    <m/>
    <m/>
    <m/>
    <m/>
    <m/>
    <m/>
    <m/>
    <m/>
    <m/>
    <m/>
    <m/>
    <m/>
    <m/>
    <m/>
    <m/>
    <m/>
    <m/>
  </r>
  <r>
    <x v="89"/>
    <s v="BOL"/>
    <s v="005"/>
    <s v="00000116"/>
    <x v="309"/>
    <s v="BJF224"/>
    <d v="2020-01-29T00:00:00"/>
    <s v="09739728"/>
    <s v="RAMOS BONIFAZ HILDA YSABEL"/>
    <s v="310120"/>
    <s v="FRANQUICIA"/>
    <s v="000"/>
    <s v="001"/>
    <s v="CONTADO"/>
    <s v="002"/>
    <s v="MANTENIMIENTO-MECANICA"/>
    <s v="$"/>
    <n v="3.3940001"/>
    <n v="1"/>
    <n v="50"/>
    <n v="50"/>
    <n v="9"/>
    <n v="59"/>
    <n v="169.700005"/>
    <m/>
    <m/>
    <m/>
    <m/>
    <m/>
    <m/>
    <m/>
    <m/>
    <m/>
    <m/>
    <m/>
    <m/>
    <m/>
    <m/>
    <m/>
    <m/>
    <m/>
    <m/>
    <m/>
    <m/>
    <m/>
    <m/>
    <m/>
    <m/>
  </r>
  <r>
    <x v="91"/>
    <s v="BOL"/>
    <s v="005"/>
    <s v="00000117"/>
    <x v="314"/>
    <s v="BDO197"/>
    <d v="2020-02-05T00:00:00"/>
    <s v="43134972"/>
    <s v="ESGAR BAZAN VILLALOBOS"/>
    <s v="310120"/>
    <s v="FRANQUICIA"/>
    <s v="000"/>
    <s v="001"/>
    <s v="CONTADO"/>
    <s v="002"/>
    <s v="MANTENIMIENTO-MECANICA"/>
    <s v="$"/>
    <n v="3.3849999999999998"/>
    <n v="1"/>
    <n v="333.78809000000001"/>
    <n v="333.78809000000001"/>
    <n v="60.081909999999986"/>
    <n v="393.87"/>
    <n v="1129.8726846499999"/>
    <m/>
    <m/>
    <m/>
    <m/>
    <m/>
    <m/>
    <m/>
    <m/>
    <m/>
    <m/>
    <m/>
    <m/>
    <m/>
    <m/>
    <m/>
    <m/>
    <m/>
    <m/>
    <m/>
    <m/>
    <m/>
    <m/>
    <m/>
    <m/>
  </r>
  <r>
    <x v="91"/>
    <s v="BOL"/>
    <s v="005"/>
    <s v="00000118"/>
    <x v="352"/>
    <s v="C3N598"/>
    <d v="2020-02-10T00:00:00"/>
    <s v="08750600"/>
    <s v="RUIZ PALACIOS ANGEL GUSTAVO"/>
    <s v="310255"/>
    <s v="DESCUENTO"/>
    <s v="000"/>
    <s v="001"/>
    <s v="CONTADO"/>
    <s v="002"/>
    <s v="MANTENIMIENTO-MECANICA"/>
    <s v="$"/>
    <n v="3.3849999999999998"/>
    <n v="-1"/>
    <n v="22"/>
    <n v="-22"/>
    <n v="-3.9599990000000025"/>
    <n v="-25.959999000000003"/>
    <n v="-74.47"/>
    <m/>
    <m/>
    <m/>
    <m/>
    <m/>
    <m/>
    <m/>
    <m/>
    <m/>
    <m/>
    <m/>
    <m/>
    <m/>
    <m/>
    <m/>
    <m/>
    <m/>
    <m/>
    <m/>
    <m/>
    <m/>
    <m/>
    <m/>
    <m/>
  </r>
  <r>
    <x v="91"/>
    <s v="BOL"/>
    <s v="005"/>
    <s v="00000118"/>
    <x v="352"/>
    <s v="C3N598"/>
    <d v="2020-02-10T00:00:00"/>
    <s v="08750600"/>
    <s v="RUIZ PALACIOS ANGEL GUSTAVO"/>
    <s v="2805010001"/>
    <s v="SERVICIOS"/>
    <s v="000"/>
    <s v="001"/>
    <s v="CONTADO"/>
    <s v="002"/>
    <s v="MANTENIMIENTO-MECANICA"/>
    <s v="$"/>
    <n v="3.3849999999999998"/>
    <n v="1"/>
    <n v="45"/>
    <n v="45"/>
    <n v="8.0999980000000047"/>
    <n v="53.099998000000006"/>
    <n v="152.32499999999999"/>
    <m/>
    <m/>
    <m/>
    <m/>
    <m/>
    <m/>
    <m/>
    <m/>
    <m/>
    <m/>
    <m/>
    <m/>
    <m/>
    <m/>
    <m/>
    <m/>
    <m/>
    <m/>
    <m/>
    <m/>
    <m/>
    <m/>
    <m/>
    <m/>
  </r>
  <r>
    <x v="91"/>
    <s v="BOL"/>
    <s v="005"/>
    <s v="00000118"/>
    <x v="352"/>
    <s v="C3N598"/>
    <d v="2020-02-10T00:00:00"/>
    <s v="08750600"/>
    <s v="RUIZ PALACIOS ANGEL GUSTAVO"/>
    <s v="320001"/>
    <s v="REPUESTOS"/>
    <s v="000"/>
    <s v="001"/>
    <s v="CONTADO"/>
    <s v="002"/>
    <s v="MANTENIMIENTO-MECANICA"/>
    <s v="$"/>
    <n v="3.3849999999999998"/>
    <n v="1"/>
    <n v="65"/>
    <n v="65"/>
    <n v="11.699996999999994"/>
    <n v="76.699996999999996"/>
    <n v="220.02499999999998"/>
    <m/>
    <m/>
    <m/>
    <m/>
    <m/>
    <m/>
    <m/>
    <m/>
    <m/>
    <m/>
    <m/>
    <m/>
    <m/>
    <m/>
    <m/>
    <m/>
    <m/>
    <m/>
    <m/>
    <m/>
    <m/>
    <m/>
    <m/>
    <m/>
  </r>
  <r>
    <x v="91"/>
    <s v="BOL"/>
    <s v="005"/>
    <s v="00000119"/>
    <x v="353"/>
    <s v="C3N598"/>
    <d v="2020-02-10T00:00:00"/>
    <s v="08750600"/>
    <s v="RUIZ PALACIOS ANGEL GUSTAVO"/>
    <s v="310255"/>
    <s v="DESCUENTO"/>
    <s v="000"/>
    <s v="001"/>
    <s v="CONTADO"/>
    <s v="002"/>
    <s v="MANTENIMIENTO-MECANICA"/>
    <s v="S/."/>
    <n v="3.384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1"/>
    <s v="BOL"/>
    <s v="005"/>
    <s v="00000119"/>
    <x v="353"/>
    <s v="C3N598"/>
    <d v="2020-02-10T00:00:00"/>
    <s v="08750600"/>
    <s v="RUIZ PALACIOS ANGEL GUSTAVO"/>
    <s v="2805010001"/>
    <s v="SERVICIOS"/>
    <s v="000"/>
    <s v="001"/>
    <s v="CONTADO"/>
    <s v="002"/>
    <s v="MANTENIMIENTO-MECANICA"/>
    <s v="S/."/>
    <n v="3.3849999999999998"/>
    <n v="1"/>
    <n v="279"/>
    <n v="279"/>
    <n v="50.22"/>
    <n v="329.22"/>
    <n v="279"/>
    <m/>
    <m/>
    <m/>
    <m/>
    <m/>
    <m/>
    <m/>
    <m/>
    <m/>
    <m/>
    <m/>
    <m/>
    <m/>
    <m/>
    <m/>
    <m/>
    <m/>
    <m/>
    <m/>
    <m/>
    <m/>
    <m/>
    <m/>
    <m/>
  </r>
  <r>
    <x v="91"/>
    <s v="BOL"/>
    <s v="005"/>
    <s v="00000119"/>
    <x v="353"/>
    <s v="C3N598"/>
    <d v="2020-02-10T00:00:00"/>
    <s v="08750600"/>
    <s v="RUIZ PALACIOS ANGEL GUSTAVO"/>
    <s v="320001"/>
    <s v="REPUESTOS"/>
    <s v="000"/>
    <s v="001"/>
    <s v="CONTADO"/>
    <s v="002"/>
    <s v="MANTENIMIENTO-MECANICA"/>
    <s v="S/."/>
    <n v="3.3849999999999998"/>
    <n v="1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</r>
  <r>
    <x v="91"/>
    <s v="BOL"/>
    <s v="005"/>
    <s v="00000120"/>
    <x v="354"/>
    <s v="AWJ049"/>
    <d v="2020-02-10T00:00:00"/>
    <s v="10344250"/>
    <s v="VALENZUELA IZURRIETA SILVIA"/>
    <s v="1302020001"/>
    <s v="PINTURA"/>
    <s v="000"/>
    <s v="001"/>
    <s v="CONTADO"/>
    <s v="009"/>
    <s v="PINTURA"/>
    <s v="$"/>
    <n v="3.3849999999999998"/>
    <n v="1"/>
    <n v="53.432200999999985"/>
    <n v="53.432200999999985"/>
    <n v="9.6177980000000023"/>
    <n v="63.049998999999985"/>
    <n v="180.86800038499993"/>
    <m/>
    <m/>
    <m/>
    <m/>
    <m/>
    <m/>
    <m/>
    <m/>
    <m/>
    <m/>
    <m/>
    <m/>
    <m/>
    <m/>
    <m/>
    <m/>
    <m/>
    <m/>
    <m/>
    <m/>
    <m/>
    <m/>
    <m/>
    <m/>
  </r>
  <r>
    <x v="91"/>
    <s v="BOL"/>
    <s v="005"/>
    <s v="00000120"/>
    <x v="354"/>
    <s v="AWJ049"/>
    <d v="2020-02-10T00:00:00"/>
    <s v="10344250"/>
    <s v="VALENZUELA IZURRIETA SILVIA"/>
    <s v="1201020001"/>
    <s v="PLANCHADO"/>
    <s v="000"/>
    <s v="001"/>
    <s v="CONTADO"/>
    <s v="001"/>
    <s v="PLANCHADO"/>
    <s v="$"/>
    <n v="3.3849999999999998"/>
    <n v="1"/>
    <n v="22.5"/>
    <n v="22.5"/>
    <n v="4.0499990000000023"/>
    <n v="26.549999000000003"/>
    <n v="76.162499999999994"/>
    <m/>
    <m/>
    <m/>
    <m/>
    <m/>
    <m/>
    <m/>
    <m/>
    <m/>
    <m/>
    <m/>
    <m/>
    <m/>
    <m/>
    <m/>
    <m/>
    <m/>
    <m/>
    <m/>
    <m/>
    <m/>
    <m/>
    <m/>
    <m/>
  </r>
  <r>
    <x v="91"/>
    <s v="BOL"/>
    <s v="005"/>
    <s v="00000120"/>
    <x v="354"/>
    <s v="AWJ049"/>
    <d v="2020-02-10T00:00:00"/>
    <s v="10344250"/>
    <s v="VALENZUELA IZURRIETA SILVIA"/>
    <s v="2908010001"/>
    <s v="TERCEROS"/>
    <s v="000"/>
    <s v="001"/>
    <s v="CONTADO"/>
    <s v="002"/>
    <s v="MANTENIMIENTO-MECANICA"/>
    <s v="$"/>
    <n v="3.3849999999999998"/>
    <n v="1"/>
    <n v="30"/>
    <n v="30"/>
    <n v="5.4000019999999997"/>
    <n v="35.400002000000001"/>
    <n v="101.55"/>
    <m/>
    <m/>
    <m/>
    <m/>
    <m/>
    <m/>
    <m/>
    <m/>
    <m/>
    <m/>
    <m/>
    <m/>
    <m/>
    <m/>
    <m/>
    <m/>
    <m/>
    <m/>
    <m/>
    <m/>
    <m/>
    <m/>
    <m/>
    <m/>
  </r>
  <r>
    <x v="92"/>
    <s v="BOL"/>
    <s v="005"/>
    <s v="00000121"/>
    <x v="315"/>
    <s v="ATO331"/>
    <d v="2020-02-10T00:00:00"/>
    <s v="000059733"/>
    <s v="TANG MEN YING"/>
    <s v="310120"/>
    <s v="FRANQUICIA"/>
    <s v="000"/>
    <s v="001"/>
    <s v="CONTADO"/>
    <s v="002"/>
    <s v="MANTENIMIENTO-MECANICA"/>
    <s v="$"/>
    <n v="3.3840001000000002"/>
    <n v="1"/>
    <n v="70"/>
    <n v="70"/>
    <n v="12.599997999999978"/>
    <n v="82.599997999999971"/>
    <n v="236.88000700000001"/>
    <m/>
    <m/>
    <m/>
    <m/>
    <m/>
    <m/>
    <m/>
    <m/>
    <m/>
    <m/>
    <m/>
    <m/>
    <m/>
    <m/>
    <m/>
    <m/>
    <m/>
    <m/>
    <m/>
    <m/>
    <m/>
    <m/>
    <m/>
    <m/>
  </r>
  <r>
    <x v="92"/>
    <s v="BOL"/>
    <s v="005"/>
    <s v="00000122"/>
    <x v="318"/>
    <s v="BFO123"/>
    <d v="2020-02-06T00:00:00"/>
    <s v="09418360"/>
    <s v="DE LA CRUZ TENORIO JULIAN"/>
    <s v="310120"/>
    <s v="FRANQUICIA"/>
    <s v="000"/>
    <s v="001"/>
    <s v="CONTADO"/>
    <s v="002"/>
    <s v="MANTENIMIENTO-MECANICA"/>
    <s v="$"/>
    <n v="3.3840001000000002"/>
    <n v="1"/>
    <n v="100"/>
    <n v="100"/>
    <n v="18"/>
    <n v="118"/>
    <n v="338.40001000000001"/>
    <m/>
    <m/>
    <m/>
    <m/>
    <m/>
    <m/>
    <m/>
    <m/>
    <m/>
    <m/>
    <m/>
    <m/>
    <m/>
    <m/>
    <m/>
    <m/>
    <m/>
    <m/>
    <m/>
    <m/>
    <m/>
    <m/>
    <m/>
    <m/>
  </r>
  <r>
    <x v="92"/>
    <s v="BOL"/>
    <s v="005"/>
    <s v="00000123"/>
    <x v="317"/>
    <s v="BFO123"/>
    <d v="2020-01-30T00:00:00"/>
    <s v="09418360"/>
    <s v="DE LA CRUZ TENORIO JULIAN"/>
    <s v="310120"/>
    <s v="FRANQUICIA"/>
    <s v="000"/>
    <s v="001"/>
    <s v="CONTADO"/>
    <s v="002"/>
    <s v="MANTENIMIENTO-MECANICA"/>
    <s v="$"/>
    <n v="3.3840001000000002"/>
    <n v="1"/>
    <n v="153.60169999999999"/>
    <n v="153.60169999999999"/>
    <n v="27.648300000000017"/>
    <n v="181.25"/>
    <n v="519.78816816017002"/>
    <m/>
    <m/>
    <m/>
    <m/>
    <m/>
    <m/>
    <m/>
    <m/>
    <m/>
    <m/>
    <m/>
    <m/>
    <m/>
    <m/>
    <m/>
    <m/>
    <m/>
    <m/>
    <m/>
    <m/>
    <m/>
    <m/>
    <m/>
    <m/>
  </r>
  <r>
    <x v="92"/>
    <s v="BOL"/>
    <s v="005"/>
    <s v="00000124"/>
    <x v="355"/>
    <s v="BFO123"/>
    <d v="2020-02-11T00:00:00"/>
    <s v="09418360"/>
    <s v="DE LA CRUZ TENORIO JULIAN"/>
    <s v="2908010001"/>
    <s v="TERCEROS"/>
    <s v="000"/>
    <s v="001"/>
    <s v="CONTADO"/>
    <s v="002"/>
    <s v="MANTENIMIENTO-MECANICA"/>
    <s v="S/."/>
    <n v="3.3840001000000002"/>
    <n v="1"/>
    <n v="16.949200000000001"/>
    <n v="16.949200000000001"/>
    <n v="3.0507999999999993"/>
    <n v="20"/>
    <n v="16.949200000000001"/>
    <m/>
    <m/>
    <m/>
    <m/>
    <m/>
    <m/>
    <m/>
    <m/>
    <m/>
    <m/>
    <m/>
    <m/>
    <m/>
    <m/>
    <m/>
    <m/>
    <m/>
    <m/>
    <m/>
    <m/>
    <m/>
    <m/>
    <m/>
    <m/>
  </r>
  <r>
    <x v="92"/>
    <s v="BOL"/>
    <s v="005"/>
    <s v="00000124"/>
    <x v="355"/>
    <s v="BFO123"/>
    <d v="2020-02-11T00:00:00"/>
    <s v="09418360"/>
    <s v="DE LA CRUZ TENORIO JULIAN"/>
    <s v="2908010002"/>
    <s v="AMPLIACION TECEROS"/>
    <s v="000"/>
    <s v="001"/>
    <s v="CONTADO"/>
    <s v="002"/>
    <s v="MANTENIMIENTO-MECANICA"/>
    <s v="S/."/>
    <n v="3.3840001000000002"/>
    <n v="1"/>
    <n v="16.949200000000001"/>
    <n v="16.949200000000001"/>
    <n v="3.0507999999999993"/>
    <n v="20"/>
    <n v="16.949200000000001"/>
    <m/>
    <m/>
    <m/>
    <m/>
    <m/>
    <m/>
    <m/>
    <m/>
    <m/>
    <m/>
    <m/>
    <m/>
    <m/>
    <m/>
    <m/>
    <m/>
    <m/>
    <m/>
    <m/>
    <m/>
    <m/>
    <m/>
    <m/>
    <m/>
  </r>
  <r>
    <x v="92"/>
    <s v="BOL"/>
    <s v="005"/>
    <s v="00000125"/>
    <x v="316"/>
    <s v="AZS168"/>
    <d v="2020-02-08T00:00:00"/>
    <s v="42192844"/>
    <s v="PALOMINO HUAMANI JULIO"/>
    <s v="310120"/>
    <s v="FRANQUICIA"/>
    <s v="000"/>
    <s v="001"/>
    <s v="CONTADO"/>
    <s v="002"/>
    <s v="MANTENIMIENTO-MECANICA"/>
    <s v="$"/>
    <n v="3.3840001000000002"/>
    <n v="1"/>
    <n v="100"/>
    <n v="100"/>
    <n v="18"/>
    <n v="118"/>
    <n v="338.40001000000001"/>
    <m/>
    <m/>
    <m/>
    <m/>
    <m/>
    <m/>
    <m/>
    <m/>
    <m/>
    <m/>
    <m/>
    <m/>
    <m/>
    <m/>
    <m/>
    <m/>
    <m/>
    <m/>
    <m/>
    <m/>
    <m/>
    <m/>
    <m/>
    <m/>
  </r>
  <r>
    <x v="92"/>
    <s v="BOL"/>
    <s v="005"/>
    <s v="00000126"/>
    <x v="92"/>
    <s v="BEJ174"/>
    <d v="2019-10-29T00:00:00"/>
    <s v="47538843"/>
    <s v="ORBEGOSO CHAVEZ RAFAEL ALBERTO"/>
    <s v="310120"/>
    <s v="FRANQUICIA"/>
    <s v="000"/>
    <s v="001"/>
    <s v="CONTADO"/>
    <s v="002"/>
    <s v="MANTENIMIENTO-MECANICA"/>
    <s v="$"/>
    <n v="3.3840001000000002"/>
    <n v="1"/>
    <n v="14.957599999999999"/>
    <n v="14.957599999999999"/>
    <n v="2.6923999999999979"/>
    <n v="17.649999999999999"/>
    <n v="50.61651989576"/>
    <m/>
    <m/>
    <m/>
    <m/>
    <m/>
    <m/>
    <m/>
    <m/>
    <m/>
    <m/>
    <m/>
    <m/>
    <m/>
    <m/>
    <m/>
    <m/>
    <m/>
    <m/>
    <m/>
    <m/>
    <m/>
    <m/>
    <m/>
    <m/>
  </r>
  <r>
    <x v="93"/>
    <s v="BOL"/>
    <s v="005"/>
    <s v="00000127"/>
    <x v="319"/>
    <s v="B4F196"/>
    <d v="2020-02-04T00:00:00"/>
    <s v="07260619"/>
    <s v="DUSAN GRANTHON FRANK"/>
    <s v="310120"/>
    <s v="FRANQUICIA"/>
    <s v="000"/>
    <s v="001"/>
    <s v="CONTADO"/>
    <s v="002"/>
    <s v="MANTENIMIENTO-MECANICA"/>
    <s v="$"/>
    <n v="3.3840001000000002"/>
    <n v="1"/>
    <n v="100"/>
    <n v="100"/>
    <n v="18"/>
    <n v="118"/>
    <n v="338.40001000000001"/>
    <m/>
    <m/>
    <m/>
    <m/>
    <m/>
    <m/>
    <m/>
    <m/>
    <m/>
    <m/>
    <m/>
    <m/>
    <m/>
    <m/>
    <m/>
    <m/>
    <m/>
    <m/>
    <m/>
    <m/>
    <m/>
    <m/>
    <m/>
    <m/>
  </r>
  <r>
    <x v="93"/>
    <s v="BOL"/>
    <s v="005"/>
    <s v="00000128"/>
    <x v="320"/>
    <s v="AVF200"/>
    <d v="2020-01-21T00:00:00"/>
    <s v="47326464"/>
    <s v="GALLESE D ANGELO STEFANO"/>
    <s v="310120"/>
    <s v="FRANQUICIA"/>
    <s v="000"/>
    <s v="001"/>
    <s v="CONTADO"/>
    <s v="002"/>
    <s v="MANTENIMIENTO-MECANICA"/>
    <s v="$"/>
    <n v="3.3840001000000002"/>
    <n v="1"/>
    <n v="100"/>
    <n v="100"/>
    <n v="18"/>
    <n v="118"/>
    <n v="338.40001000000001"/>
    <m/>
    <m/>
    <m/>
    <m/>
    <m/>
    <m/>
    <m/>
    <m/>
    <m/>
    <m/>
    <m/>
    <m/>
    <m/>
    <m/>
    <m/>
    <m/>
    <m/>
    <m/>
    <m/>
    <m/>
    <m/>
    <m/>
    <m/>
    <m/>
  </r>
  <r>
    <x v="93"/>
    <s v="BOL"/>
    <s v="005"/>
    <s v="00000129"/>
    <x v="356"/>
    <s v="AVF200"/>
    <d v="2020-02-13T00:00:00"/>
    <s v="47326464"/>
    <s v="GALLESE D ANGELO STEFANO"/>
    <s v="2908010001"/>
    <s v="TERCEROS"/>
    <s v="000"/>
    <s v="001"/>
    <s v="CONTADO"/>
    <s v="002"/>
    <s v="MANTENIMIENTO-MECANICA"/>
    <s v="S/."/>
    <n v="3.3840001000000002"/>
    <n v="1"/>
    <n v="25.423700000000004"/>
    <n v="25.423700000000004"/>
    <n v="4.5762999999999963"/>
    <n v="30"/>
    <n v="25.423700000000004"/>
    <m/>
    <m/>
    <m/>
    <m/>
    <m/>
    <m/>
    <m/>
    <m/>
    <m/>
    <m/>
    <m/>
    <m/>
    <m/>
    <m/>
    <m/>
    <m/>
    <m/>
    <m/>
    <m/>
    <m/>
    <m/>
    <m/>
    <m/>
    <m/>
  </r>
  <r>
    <x v="93"/>
    <s v="BOL"/>
    <s v="005"/>
    <s v="00000130"/>
    <x v="357"/>
    <s v="AVF200"/>
    <d v="2020-02-15T00:00:00"/>
    <s v="47326464"/>
    <s v="GALLESE D ANGELO STEFANO"/>
    <s v="2908010001"/>
    <s v="TERCEROS"/>
    <s v="000"/>
    <s v="001"/>
    <s v="CONTADO"/>
    <s v="002"/>
    <s v="MANTENIMIENTO-MECANICA"/>
    <s v="$"/>
    <n v="3.3840001000000002"/>
    <n v="1"/>
    <n v="100"/>
    <n v="100"/>
    <n v="18"/>
    <n v="118"/>
    <n v="338.40001000000001"/>
    <m/>
    <m/>
    <n v="901469.25742308924"/>
    <n v="179751.67708612006"/>
    <n v="10631.469717514121"/>
    <n v="30717.246610169503"/>
    <n v="18062.928250000008"/>
    <n v="47919.656249999985"/>
    <n v="107354.10000000014"/>
    <n v="0"/>
    <n v="394437.07791380351"/>
    <n v="507032.17950928584"/>
    <n v="0.56245088263871756"/>
    <m/>
    <m/>
    <m/>
    <m/>
    <m/>
    <m/>
    <m/>
    <m/>
    <m/>
    <m/>
    <m/>
  </r>
  <r>
    <x v="95"/>
    <s v="BOL"/>
    <s v="005"/>
    <s v="00000132"/>
    <x v="358"/>
    <s v="BEE120"/>
    <d v="2020-02-18T00:00:00"/>
    <s v="22103446"/>
    <s v="RENE PARLONA ALVARADO"/>
    <s v="2908010001"/>
    <s v="TERCEROS"/>
    <s v="000"/>
    <s v="001"/>
    <s v="CONTADO"/>
    <s v="002"/>
    <s v="MANTENIMIENTO-MECANICA"/>
    <s v="S/."/>
    <n v="3.3859998999999998"/>
    <n v="1"/>
    <n v="1084.7542000000003"/>
    <n v="1084.7542000000003"/>
    <n v="195.25579999999974"/>
    <n v="1280.01"/>
    <n v="1084.7542000000003"/>
    <m/>
    <m/>
    <m/>
    <m/>
    <m/>
    <m/>
    <m/>
    <m/>
    <m/>
    <m/>
    <m/>
    <m/>
    <m/>
    <m/>
    <m/>
    <m/>
    <m/>
    <m/>
    <m/>
    <m/>
    <m/>
    <m/>
    <m/>
    <m/>
  </r>
  <r>
    <x v="95"/>
    <s v="BOL"/>
    <s v="005"/>
    <s v="00000133"/>
    <x v="359"/>
    <s v="BEE120"/>
    <d v="2020-02-19T00:00:00"/>
    <s v="22103446"/>
    <s v="RENE PARLONA ALVARADO"/>
    <s v="2908010001"/>
    <s v="TERCEROS"/>
    <s v="000"/>
    <s v="001"/>
    <s v="CONTADO"/>
    <s v="002"/>
    <s v="MANTENIMIENTO-MECANICA"/>
    <s v="$"/>
    <n v="3.3859998999999998"/>
    <n v="1"/>
    <n v="84.754204000000016"/>
    <n v="84.754204000000016"/>
    <n v="15.255795999999991"/>
    <n v="100.01"/>
    <n v="286.97772626857966"/>
    <m/>
    <m/>
    <m/>
    <m/>
    <m/>
    <m/>
    <m/>
    <m/>
    <m/>
    <m/>
    <m/>
    <m/>
    <m/>
    <m/>
    <m/>
    <m/>
    <m/>
    <m/>
    <m/>
    <m/>
    <m/>
    <m/>
    <m/>
    <m/>
  </r>
  <r>
    <x v="96"/>
    <s v="BOL"/>
    <s v="005"/>
    <s v="00000134"/>
    <x v="360"/>
    <s v="BKS038"/>
    <d v="2020-02-19T00:00:00"/>
    <s v="41607449"/>
    <s v="KELLY SANTOS TRUJILLO"/>
    <s v="1302020001"/>
    <s v="PINTURA"/>
    <s v="000"/>
    <s v="001"/>
    <s v="CONTADO"/>
    <s v="009"/>
    <s v="PINTURA"/>
    <s v="$"/>
    <n v="3.3840001000000002"/>
    <n v="1"/>
    <n v="30"/>
    <n v="30"/>
    <n v="5.4000019999999997"/>
    <n v="35.400002000000001"/>
    <n v="101.520003"/>
    <m/>
    <m/>
    <m/>
    <m/>
    <m/>
    <m/>
    <m/>
    <m/>
    <m/>
    <m/>
    <m/>
    <m/>
    <m/>
    <m/>
    <m/>
    <m/>
    <m/>
    <m/>
    <m/>
    <m/>
    <m/>
    <m/>
    <m/>
    <m/>
  </r>
  <r>
    <x v="96"/>
    <s v="BOL"/>
    <s v="005"/>
    <s v="00000136"/>
    <x v="326"/>
    <s v="BKF172"/>
    <d v="2020-02-12T00:00:00"/>
    <s v="42034153"/>
    <s v="JORGE MARTIN CRISOLOGO DURAND"/>
    <s v="310120"/>
    <s v="FRANQUICIA"/>
    <s v="000"/>
    <s v="001"/>
    <s v="CONTADO"/>
    <s v="002"/>
    <s v="MANTENIMIENTO-MECANICA"/>
    <s v="$"/>
    <n v="3.3840001000000002"/>
    <n v="1"/>
    <n v="100"/>
    <n v="100"/>
    <n v="18"/>
    <n v="118"/>
    <n v="338.40001000000001"/>
    <m/>
    <m/>
    <m/>
    <m/>
    <m/>
    <m/>
    <m/>
    <m/>
    <m/>
    <m/>
    <m/>
    <m/>
    <m/>
    <m/>
    <m/>
    <m/>
    <m/>
    <m/>
    <m/>
    <m/>
    <m/>
    <m/>
    <m/>
    <m/>
  </r>
  <r>
    <x v="97"/>
    <s v="BOL"/>
    <s v="005"/>
    <s v="00000137"/>
    <x v="327"/>
    <s v="BDS618"/>
    <d v="2020-01-15T00:00:00"/>
    <s v="097911106"/>
    <s v="RODRIGUEZ VIVAR MIGUEL HERNAN"/>
    <s v="310120"/>
    <s v="FRANQUICIA"/>
    <s v="000"/>
    <s v="001"/>
    <s v="CONTADO"/>
    <s v="002"/>
    <s v="MANTENIMIENTO-MECANICA"/>
    <s v="$"/>
    <n v="3.3919999999999999"/>
    <n v="1"/>
    <n v="614.81359999999984"/>
    <n v="614.81359999999984"/>
    <n v="110.6663800000002"/>
    <n v="725.47998000000007"/>
    <n v="2085.4477311999995"/>
    <m/>
    <m/>
    <m/>
    <m/>
    <m/>
    <m/>
    <m/>
    <m/>
    <m/>
    <m/>
    <m/>
    <m/>
    <m/>
    <m/>
    <m/>
    <m/>
    <m/>
    <m/>
    <m/>
    <m/>
    <m/>
    <m/>
    <m/>
    <m/>
  </r>
  <r>
    <x v="97"/>
    <s v="BOL"/>
    <s v="005"/>
    <s v="00000138"/>
    <x v="329"/>
    <s v="V4K291"/>
    <d v="2020-02-10T00:00:00"/>
    <s v="47033479"/>
    <s v="SAMUEL SANCHEZ BELTRAME"/>
    <s v="310120"/>
    <s v="FRANQUICIA"/>
    <s v="000"/>
    <s v="001"/>
    <s v="CONTADO"/>
    <s v="002"/>
    <s v="MANTENIMIENTO-MECANICA"/>
    <s v="$"/>
    <n v="3.3919999999999999"/>
    <n v="1"/>
    <n v="100"/>
    <n v="100"/>
    <n v="18"/>
    <n v="118"/>
    <n v="339.2"/>
    <m/>
    <m/>
    <m/>
    <m/>
    <m/>
    <m/>
    <m/>
    <m/>
    <m/>
    <m/>
    <m/>
    <m/>
    <m/>
    <m/>
    <m/>
    <m/>
    <m/>
    <m/>
    <m/>
    <m/>
    <m/>
    <m/>
    <m/>
    <m/>
  </r>
  <r>
    <x v="98"/>
    <s v="BOL"/>
    <s v="005"/>
    <s v="00000139"/>
    <x v="332"/>
    <s v="BHG013"/>
    <d v="2020-02-07T00:00:00"/>
    <s v="44832037"/>
    <s v="CARHUAS BALVIN HENRY CESAR"/>
    <s v="310120"/>
    <s v="FRANQUICIA"/>
    <s v="000"/>
    <s v="001"/>
    <s v="CONTADO"/>
    <s v="002"/>
    <s v="MANTENIMIENTO-MECANICA"/>
    <s v="$"/>
    <n v="3.3940001"/>
    <n v="1"/>
    <n v="105.98309999999998"/>
    <n v="105.98309999999998"/>
    <n v="19.076900000000023"/>
    <n v="125.06"/>
    <n v="359.70665199830995"/>
    <m/>
    <m/>
    <m/>
    <m/>
    <m/>
    <m/>
    <m/>
    <m/>
    <m/>
    <m/>
    <m/>
    <m/>
    <m/>
    <m/>
    <m/>
    <m/>
    <m/>
    <m/>
    <m/>
    <m/>
    <m/>
    <m/>
    <m/>
    <m/>
  </r>
  <r>
    <x v="99"/>
    <s v="BOL"/>
    <s v="005"/>
    <s v="00000140"/>
    <x v="333"/>
    <s v="D9G573"/>
    <d v="2020-02-10T00:00:00"/>
    <s v="09161145"/>
    <s v="MONTESINOS TORRES ORLANDO"/>
    <s v="310120"/>
    <s v="FRANQUICIA"/>
    <s v="000"/>
    <s v="001"/>
    <s v="CONTADO"/>
    <s v="002"/>
    <s v="MANTENIMIENTO-MECANICA"/>
    <s v="$"/>
    <n v="3.3940001"/>
    <n v="1"/>
    <n v="218.68639999999999"/>
    <n v="218.68639999999999"/>
    <n v="39.363589999999967"/>
    <n v="258.04998999999998"/>
    <n v="742.22166346863992"/>
    <m/>
    <m/>
    <m/>
    <m/>
    <m/>
    <m/>
    <m/>
    <m/>
    <m/>
    <m/>
    <m/>
    <m/>
    <m/>
    <m/>
    <m/>
    <m/>
    <m/>
    <m/>
    <m/>
    <m/>
    <m/>
    <m/>
    <m/>
    <m/>
  </r>
  <r>
    <x v="99"/>
    <s v="BOL"/>
    <s v="005"/>
    <s v="00000141"/>
    <x v="361"/>
    <s v="D9G573"/>
    <d v="2020-02-13T00:00:00"/>
    <s v="09161145"/>
    <s v="MONTESINOS TORRES ORLANDO"/>
    <s v="1302020001"/>
    <s v="PINTURA"/>
    <s v="000"/>
    <s v="001"/>
    <s v="CONTADO"/>
    <s v="009"/>
    <s v="PINTURA"/>
    <s v="$"/>
    <n v="3.3940001"/>
    <n v="1"/>
    <n v="180"/>
    <n v="180"/>
    <n v="32.39998999999996"/>
    <n v="212.39998999999997"/>
    <n v="610.92001800000003"/>
    <m/>
    <m/>
    <m/>
    <m/>
    <m/>
    <m/>
    <m/>
    <m/>
    <m/>
    <m/>
    <m/>
    <m/>
    <m/>
    <m/>
    <m/>
    <m/>
    <m/>
    <m/>
    <m/>
    <m/>
    <m/>
    <m/>
    <m/>
    <m/>
  </r>
  <r>
    <x v="99"/>
    <s v="BOL"/>
    <s v="005"/>
    <s v="00000141"/>
    <x v="361"/>
    <s v="D9G573"/>
    <d v="2020-02-13T00:00:00"/>
    <s v="09161145"/>
    <s v="MONTESINOS TORRES ORLANDO"/>
    <s v="1201020001"/>
    <s v="PLANCHADO"/>
    <s v="000"/>
    <s v="001"/>
    <s v="CONTADO"/>
    <s v="001"/>
    <s v="PLANCHADO"/>
    <s v="$"/>
    <n v="3.3940001"/>
    <n v="1"/>
    <n v="45"/>
    <n v="45"/>
    <n v="8.0999980000000047"/>
    <n v="53.099998000000006"/>
    <n v="152.73000450000001"/>
    <m/>
    <m/>
    <m/>
    <m/>
    <m/>
    <m/>
    <m/>
    <m/>
    <m/>
    <m/>
    <m/>
    <m/>
    <m/>
    <m/>
    <m/>
    <m/>
    <m/>
    <m/>
    <m/>
    <m/>
    <m/>
    <m/>
    <m/>
    <m/>
  </r>
  <r>
    <x v="99"/>
    <s v="BOL"/>
    <s v="005"/>
    <s v="00000142"/>
    <x v="334"/>
    <s v="BBM137"/>
    <d v="2020-02-17T00:00:00"/>
    <s v="44399181"/>
    <s v="ORLANDO BELLO LIZARRAGA"/>
    <s v="310120"/>
    <s v="FRANQUICIA"/>
    <s v="000"/>
    <s v="001"/>
    <s v="CONTADO"/>
    <s v="002"/>
    <s v="MANTENIMIENTO-MECANICA"/>
    <s v="$"/>
    <n v="3.3940001"/>
    <n v="1"/>
    <n v="100"/>
    <n v="100"/>
    <n v="18"/>
    <n v="118"/>
    <n v="339.40001000000001"/>
    <m/>
    <m/>
    <m/>
    <m/>
    <m/>
    <m/>
    <m/>
    <m/>
    <m/>
    <m/>
    <m/>
    <m/>
    <m/>
    <m/>
    <m/>
    <m/>
    <m/>
    <m/>
    <m/>
    <m/>
    <m/>
    <m/>
    <m/>
    <m/>
  </r>
  <r>
    <x v="100"/>
    <s v="BOL"/>
    <s v="005"/>
    <s v="00000143"/>
    <x v="335"/>
    <s v="AFW077"/>
    <d v="2020-02-13T00:00:00"/>
    <s v="25738536"/>
    <s v="GARCIA PRESA RAFAEL GUSTAVO"/>
    <s v="310120"/>
    <s v="FRANQUICIA"/>
    <s v="000"/>
    <s v="001"/>
    <s v="CONTADO"/>
    <s v="002"/>
    <s v="MANTENIMIENTO-MECANICA"/>
    <s v="$"/>
    <n v="3.4039999999999999"/>
    <n v="1"/>
    <n v="100"/>
    <n v="100"/>
    <n v="18"/>
    <n v="118"/>
    <n v="340.4"/>
    <m/>
    <m/>
    <m/>
    <m/>
    <m/>
    <m/>
    <m/>
    <m/>
    <m/>
    <m/>
    <m/>
    <m/>
    <m/>
    <m/>
    <m/>
    <m/>
    <m/>
    <m/>
    <m/>
    <m/>
    <m/>
    <m/>
    <m/>
    <m/>
  </r>
  <r>
    <x v="100"/>
    <s v="BOL"/>
    <s v="005"/>
    <s v="00000144"/>
    <x v="336"/>
    <s v="AFX260"/>
    <d v="2020-02-14T00:00:00"/>
    <s v="07336839"/>
    <s v="SALINAS CARLOS JANCCEN"/>
    <s v="310120"/>
    <s v="FRANQUICIA"/>
    <s v="000"/>
    <s v="001"/>
    <s v="CONTADO"/>
    <s v="002"/>
    <s v="MANTENIMIENTO-MECANICA"/>
    <s v="$"/>
    <n v="3.4039999999999999"/>
    <n v="1"/>
    <n v="100"/>
    <n v="100"/>
    <n v="18"/>
    <n v="118"/>
    <n v="340.4"/>
    <m/>
    <m/>
    <m/>
    <m/>
    <m/>
    <m/>
    <m/>
    <m/>
    <m/>
    <m/>
    <m/>
    <m/>
    <m/>
    <m/>
    <m/>
    <m/>
    <m/>
    <m/>
    <m/>
    <m/>
    <m/>
    <m/>
    <m/>
    <m/>
  </r>
  <r>
    <x v="100"/>
    <s v="BOL"/>
    <s v="005"/>
    <s v="00000145"/>
    <x v="362"/>
    <s v="F5B055"/>
    <d v="2020-02-25T00:00:00"/>
    <s v="08519377"/>
    <s v="ZEGARRA RAMIREZ LEONOR MARIA"/>
    <s v="310255"/>
    <s v="DESCUENTO"/>
    <s v="000"/>
    <s v="001"/>
    <s v="CONTADO"/>
    <s v="002"/>
    <s v="MANTENIMIENTO-MECANICA"/>
    <s v="S/."/>
    <n v="3.4039999999999999"/>
    <n v="-1"/>
    <n v="26.796599999999998"/>
    <n v="-26.796599999999998"/>
    <n v="-4.8234009999999943"/>
    <n v="-31.620000999999991"/>
    <n v="-26.796599999999998"/>
    <m/>
    <m/>
    <m/>
    <m/>
    <m/>
    <m/>
    <m/>
    <m/>
    <m/>
    <m/>
    <m/>
    <m/>
    <m/>
    <m/>
    <m/>
    <m/>
    <m/>
    <m/>
    <m/>
    <m/>
    <m/>
    <m/>
    <m/>
    <m/>
  </r>
  <r>
    <x v="100"/>
    <s v="BOL"/>
    <s v="005"/>
    <s v="00000145"/>
    <x v="362"/>
    <s v="F5B055"/>
    <d v="2020-02-25T00:00:00"/>
    <s v="08519377"/>
    <s v="ZEGARRA RAMIREZ LEONOR MARIA"/>
    <s v="2805010001"/>
    <s v="SERVICIOS"/>
    <s v="000"/>
    <s v="001"/>
    <s v="CONTADO"/>
    <s v="002"/>
    <s v="MANTENIMIENTO-MECANICA"/>
    <s v="S/."/>
    <n v="3.4039999999999999"/>
    <n v="1"/>
    <n v="268"/>
    <n v="268"/>
    <n v="48.239989999999963"/>
    <n v="316.23998999999998"/>
    <n v="268"/>
    <m/>
    <m/>
    <m/>
    <m/>
    <m/>
    <m/>
    <m/>
    <m/>
    <m/>
    <m/>
    <m/>
    <m/>
    <m/>
    <m/>
    <m/>
    <m/>
    <m/>
    <m/>
    <m/>
    <m/>
    <m/>
    <m/>
    <m/>
    <m/>
  </r>
  <r>
    <x v="101"/>
    <s v="BOL"/>
    <s v="005"/>
    <s v="00000146"/>
    <x v="338"/>
    <s v="A4H567"/>
    <d v="2019-11-22T00:00:00"/>
    <s v="71231672"/>
    <s v="GUTIERREZ CASAS PIERO"/>
    <s v="310120"/>
    <s v="FRANQUICIA"/>
    <s v="000"/>
    <s v="001"/>
    <s v="CONTADO"/>
    <s v="002"/>
    <s v="MANTENIMIENTO-MECANICA"/>
    <s v="$"/>
    <n v="3.4049999999999998"/>
    <n v="1"/>
    <n v="841.81359999999984"/>
    <n v="841.81359999999984"/>
    <n v="151.52643000000026"/>
    <n v="993.34003000000007"/>
    <n v="2866.3753079999992"/>
    <m/>
    <m/>
    <m/>
    <m/>
    <m/>
    <m/>
    <m/>
    <m/>
    <m/>
    <m/>
    <m/>
    <m/>
    <m/>
    <m/>
    <m/>
    <m/>
    <m/>
    <m/>
    <m/>
    <m/>
    <m/>
    <m/>
    <m/>
    <m/>
  </r>
  <r>
    <x v="101"/>
    <s v="BOL"/>
    <s v="005"/>
    <s v="00000147"/>
    <x v="339"/>
    <s v="ANL279"/>
    <d v="2020-02-15T00:00:00"/>
    <s v="44031595"/>
    <s v="JUAN CARLOS ESPINOZA VIVANCO"/>
    <s v="310120"/>
    <s v="FRANQUICIA"/>
    <s v="000"/>
    <s v="001"/>
    <s v="CONTADO"/>
    <s v="002"/>
    <s v="MANTENIMIENTO-MECANICA"/>
    <s v="$"/>
    <n v="3.4049999999999998"/>
    <n v="1"/>
    <n v="100"/>
    <n v="100"/>
    <n v="18"/>
    <n v="118"/>
    <n v="340.5"/>
    <m/>
    <m/>
    <m/>
    <m/>
    <m/>
    <m/>
    <m/>
    <m/>
    <m/>
    <m/>
    <m/>
    <m/>
    <m/>
    <m/>
    <m/>
    <m/>
    <m/>
    <m/>
    <m/>
    <m/>
    <m/>
    <m/>
    <m/>
    <m/>
  </r>
  <r>
    <x v="102"/>
    <s v="BOL"/>
    <s v="005"/>
    <s v="00000148"/>
    <x v="340"/>
    <s v="ADB122"/>
    <d v="2020-02-17T00:00:00"/>
    <s v="09634615"/>
    <s v="SONIA SANCHEZ POLAR"/>
    <s v="310120"/>
    <s v="FRANQUICIA"/>
    <s v="000"/>
    <s v="001"/>
    <s v="CONTADO"/>
    <s v="002"/>
    <s v="MANTENIMIENTO-MECANICA"/>
    <s v="$"/>
    <n v="3.4119999000000001"/>
    <n v="1"/>
    <n v="100"/>
    <n v="100"/>
    <n v="18"/>
    <n v="118"/>
    <n v="341.19999000000001"/>
    <m/>
    <m/>
    <m/>
    <m/>
    <m/>
    <m/>
    <m/>
    <m/>
    <m/>
    <m/>
    <m/>
    <m/>
    <m/>
    <m/>
    <m/>
    <m/>
    <m/>
    <m/>
    <m/>
    <m/>
    <m/>
    <m/>
    <m/>
    <m/>
  </r>
  <r>
    <x v="103"/>
    <s v="BOL"/>
    <s v="005"/>
    <s v="00000149"/>
    <x v="349"/>
    <s v="BBM206"/>
    <d v="2020-02-01T00:00:00"/>
    <s v="08231738"/>
    <s v="NANCY DOMINGUEZ RODRIGUEZ"/>
    <s v="310120"/>
    <s v="FRANQUICIA"/>
    <s v="000"/>
    <s v="001"/>
    <s v="CONTADO"/>
    <s v="002"/>
    <s v="MANTENIMIENTO-MECANICA"/>
    <s v="$"/>
    <n v="3.4300000999999996"/>
    <n v="1"/>
    <n v="100"/>
    <n v="100"/>
    <n v="18"/>
    <n v="118"/>
    <n v="343.00000999999997"/>
    <m/>
    <m/>
    <m/>
    <m/>
    <m/>
    <m/>
    <m/>
    <m/>
    <m/>
    <m/>
    <m/>
    <m/>
    <m/>
    <m/>
    <m/>
    <m/>
    <m/>
    <m/>
    <m/>
    <m/>
    <m/>
    <m/>
    <m/>
    <m/>
  </r>
  <r>
    <x v="103"/>
    <s v="BOL"/>
    <s v="005"/>
    <s v="00000150"/>
    <x v="363"/>
    <s v="BBM206"/>
    <d v="2020-02-25T00:00:00"/>
    <s v="08231738"/>
    <s v="NANCY DOMINGUEZ RODRIGUEZ"/>
    <s v="1302020001"/>
    <s v="PINTURA"/>
    <s v="000"/>
    <s v="001"/>
    <s v="CONTADO"/>
    <s v="009"/>
    <s v="PINTURA"/>
    <s v="$"/>
    <n v="3.4300000999999996"/>
    <n v="1"/>
    <n v="72.033896999999996"/>
    <n v="72.033896999999996"/>
    <n v="12.966103000000002"/>
    <n v="85"/>
    <n v="247.07627391338966"/>
    <m/>
    <m/>
    <m/>
    <m/>
    <m/>
    <m/>
    <m/>
    <m/>
    <m/>
    <m/>
    <m/>
    <m/>
    <m/>
    <m/>
    <m/>
    <m/>
    <m/>
    <m/>
    <m/>
    <m/>
    <m/>
    <m/>
    <m/>
    <m/>
  </r>
  <r>
    <x v="103"/>
    <s v="BOL"/>
    <s v="005"/>
    <s v="00000150"/>
    <x v="363"/>
    <s v="BBM206"/>
    <d v="2020-02-25T00:00:00"/>
    <s v="08231738"/>
    <s v="NANCY DOMINGUEZ RODRIGUEZ"/>
    <s v="2908010001"/>
    <s v="TERCEROS"/>
    <s v="000"/>
    <s v="001"/>
    <s v="CONTADO"/>
    <s v="002"/>
    <s v="MANTENIMIENTO-MECANICA"/>
    <s v="$"/>
    <n v="3.4300000999999996"/>
    <n v="1"/>
    <n v="12.711900000000004"/>
    <n v="12.711900000000004"/>
    <n v="2.2880999999999974"/>
    <n v="15"/>
    <n v="43.601818271190005"/>
    <m/>
    <m/>
    <m/>
    <m/>
    <m/>
    <m/>
    <m/>
    <m/>
    <m/>
    <m/>
    <m/>
    <m/>
    <m/>
    <m/>
    <m/>
    <m/>
    <m/>
    <m/>
    <m/>
    <m/>
    <m/>
    <m/>
    <m/>
    <m/>
  </r>
  <r>
    <x v="103"/>
    <s v="BOL"/>
    <s v="005"/>
    <s v="00000151"/>
    <x v="350"/>
    <s v="AVH107"/>
    <d v="2020-02-18T00:00:00"/>
    <s v="10467371318"/>
    <s v="MARIO ENRIQUE SALIRROSAS GARCIA GODOS"/>
    <s v="310120"/>
    <s v="FRANQUICIA"/>
    <s v="000"/>
    <s v="001"/>
    <s v="CONTADO"/>
    <s v="002"/>
    <s v="MANTENIMIENTO-MECANICA"/>
    <s v="$"/>
    <n v="3.4300000999999996"/>
    <n v="1"/>
    <n v="100"/>
    <n v="100"/>
    <n v="18"/>
    <n v="118"/>
    <n v="343.00000999999997"/>
    <m/>
    <m/>
    <m/>
    <m/>
    <m/>
    <m/>
    <m/>
    <m/>
    <m/>
    <m/>
    <m/>
    <m/>
    <m/>
    <m/>
    <m/>
    <m/>
    <m/>
    <m/>
    <m/>
    <m/>
    <m/>
    <m/>
    <m/>
    <m/>
  </r>
  <r>
    <x v="103"/>
    <s v="BOL"/>
    <s v="005"/>
    <s v="00000152"/>
    <x v="351"/>
    <s v="ACW155"/>
    <d v="2020-02-18T00:00:00"/>
    <s v="10477068"/>
    <s v="TERRY DANIEL MEDINA MOLINA"/>
    <s v="310120"/>
    <s v="FRANQUICIA"/>
    <s v="000"/>
    <s v="001"/>
    <s v="CONTADO"/>
    <s v="002"/>
    <s v="MANTENIMIENTO-MECANICA"/>
    <s v="$"/>
    <n v="3.4300000999999996"/>
    <n v="1"/>
    <n v="100"/>
    <n v="100"/>
    <n v="18"/>
    <n v="118"/>
    <n v="343.00000999999997"/>
    <m/>
    <m/>
    <m/>
    <m/>
    <m/>
    <m/>
    <m/>
    <m/>
    <m/>
    <m/>
    <m/>
    <m/>
    <m/>
    <m/>
    <m/>
    <m/>
    <m/>
    <m/>
    <m/>
    <m/>
    <m/>
    <m/>
    <m/>
    <m/>
  </r>
  <r>
    <x v="104"/>
    <s v="ABO"/>
    <s v="005"/>
    <s v="00000015"/>
    <x v="364"/>
    <n v="0"/>
    <d v="2020-02-10T00:00:00"/>
    <s v="20100041953"/>
    <s v="RIMAC SEGUROS  Y REASEGUROS S.A"/>
    <s v="310255"/>
    <s v="DESCUENTO"/>
    <s v="001"/>
    <s v="001"/>
    <s v="CONTADO"/>
    <s v="002"/>
    <s v="MANTENIMIENTO-MECANICA"/>
    <s v="$"/>
    <n v="3.3640001000000002"/>
    <n v="-1"/>
    <n v="-0.49000000999999999"/>
    <n v="-0.49000000999999999"/>
    <n v="-8.8199970000000003E-2"/>
    <n v="-0.57819997999999995"/>
    <n v="-1.6483600826400011"/>
    <m/>
    <m/>
    <m/>
    <m/>
    <m/>
    <m/>
    <m/>
    <m/>
    <m/>
    <m/>
    <m/>
    <m/>
    <m/>
    <m/>
    <m/>
    <m/>
    <m/>
    <m/>
    <m/>
    <m/>
    <m/>
    <m/>
    <m/>
    <m/>
  </r>
  <r>
    <x v="89"/>
    <s v="ABO"/>
    <s v="005"/>
    <s v="00000016"/>
    <x v="365"/>
    <n v="0"/>
    <d v="2020-02-11T00:00:00"/>
    <s v="20100041953"/>
    <s v="RIMAC SEGUROS  Y REASEGUROS S.A"/>
    <s v="310255"/>
    <s v="DESCUENTO"/>
    <s v="001"/>
    <s v="001"/>
    <s v="CONTADO"/>
    <s v="002"/>
    <s v="MANTENIMIENTO-MECANICA"/>
    <s v="$"/>
    <n v="3.3759999000000001"/>
    <n v="-1"/>
    <n v="-100"/>
    <n v="-100"/>
    <n v="-18"/>
    <n v="-118"/>
    <n v="-337.59998999999999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7"/>
    <x v="366"/>
    <n v="0"/>
    <d v="2020-02-15T00:00:00"/>
    <s v="20100041953"/>
    <s v="RIMAC SEGUROS  Y REASEGUROS S.A"/>
    <s v="1302020001"/>
    <s v="PINTURA"/>
    <s v="001"/>
    <s v="001"/>
    <s v="CONTADO"/>
    <s v="009"/>
    <s v="PINTURA"/>
    <s v="$"/>
    <n v="3.3900001"/>
    <n v="-1"/>
    <n v="-324.5"/>
    <n v="-324.5"/>
    <n v="-58.41"/>
    <n v="-382.91"/>
    <n v="-1100.05503245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7"/>
    <x v="366"/>
    <n v="0"/>
    <d v="2020-02-15T00:00:00"/>
    <s v="20100041953"/>
    <s v="RIMAC SEGUROS  Y REASEGUROS S.A"/>
    <s v="1201020001"/>
    <s v="PLANCHADO"/>
    <s v="001"/>
    <s v="001"/>
    <s v="CONTADO"/>
    <s v="001"/>
    <s v="PLANCHADO"/>
    <s v="$"/>
    <n v="3.3900001"/>
    <n v="-1"/>
    <n v="-360"/>
    <n v="-360"/>
    <n v="-64.799990000000037"/>
    <n v="-424.79999000000004"/>
    <n v="-1220.400036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7"/>
    <x v="366"/>
    <n v="0"/>
    <d v="2020-02-15T00:00:00"/>
    <s v="20100041953"/>
    <s v="RIMAC SEGUROS  Y REASEGUROS S.A"/>
    <s v="2908010001"/>
    <s v="TERCEROS"/>
    <s v="001"/>
    <s v="001"/>
    <s v="CONTADO"/>
    <s v="002"/>
    <s v="MANTENIMIENTO-MECANICA"/>
    <s v="$"/>
    <n v="3.3900001"/>
    <n v="-1"/>
    <n v="-110"/>
    <n v="-110"/>
    <n v="-19.8"/>
    <n v="-129.80000000000001"/>
    <n v="-372.90001100000001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7"/>
    <x v="366"/>
    <n v="0"/>
    <d v="2020-02-15T00:00:00"/>
    <s v="20100041953"/>
    <s v="RIMAC SEGUROS  Y REASEGUROS S.A"/>
    <s v="2908010002"/>
    <s v="AMPLIACION TERCEROS"/>
    <s v="001"/>
    <s v="001"/>
    <s v="CONTADO"/>
    <s v="002"/>
    <s v="MANTENIMIENTO-MECANICA"/>
    <s v="$"/>
    <n v="3.3900001"/>
    <n v="-1"/>
    <n v="-40"/>
    <n v="-40"/>
    <n v="-7.2000010000000021"/>
    <n v="-47.200001"/>
    <n v="-135.60000400000001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7"/>
    <x v="366"/>
    <n v="0"/>
    <d v="2020-02-15T00:00:00"/>
    <s v="20100041953"/>
    <s v="RIMAC SEGUROS  Y REASEGUROS S.A"/>
    <s v="2805010001"/>
    <s v="SERVICIOS"/>
    <s v="001"/>
    <s v="001"/>
    <s v="CONTADO"/>
    <s v="002"/>
    <s v="MANTENIMIENTO-MECANICA"/>
    <s v="$"/>
    <n v="3.3900001"/>
    <n v="-1"/>
    <n v="-30"/>
    <n v="-30"/>
    <n v="-5.4000019999999997"/>
    <n v="-35.400002000000001"/>
    <n v="-101.700003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7"/>
    <x v="366"/>
    <n v="0"/>
    <d v="2020-02-15T00:00:00"/>
    <s v="20100041953"/>
    <s v="RIMAC SEGUROS  Y REASEGUROS S.A"/>
    <s v="310120"/>
    <s v="FRANQUICIA"/>
    <s v="001"/>
    <s v="001"/>
    <s v="CONTADO"/>
    <s v="002"/>
    <s v="MANTENIMIENTO-MECANICA"/>
    <s v="$"/>
    <n v="3.3900001"/>
    <n v="1"/>
    <n v="-235.90680000000003"/>
    <n v="235.90680000000003"/>
    <n v="42.463199999999958"/>
    <n v="278.37"/>
    <n v="799.72407559068006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7"/>
    <x v="366"/>
    <n v="0"/>
    <d v="2020-02-15T00:00:00"/>
    <s v="20100041953"/>
    <s v="RIMAC SEGUROS  Y REASEGUROS S.A"/>
    <s v="320001"/>
    <s v="REPUESTOS"/>
    <s v="001"/>
    <s v="001"/>
    <s v="CONTADO"/>
    <s v="002"/>
    <s v="MANTENIMIENTO-MECANICA"/>
    <s v="$"/>
    <n v="3.3900001"/>
    <n v="-1"/>
    <n v="-"/>
    <n v="-"/>
    <n v="-"/>
    <n v="-"/>
    <n v="0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8"/>
    <x v="367"/>
    <n v="0"/>
    <d v="2020-02-15T00:00:00"/>
    <s v="20100041953"/>
    <s v="RIMAC SEGUROS  Y REASEGUROS S.A"/>
    <s v="1302020001"/>
    <s v="PINTURA"/>
    <s v="001"/>
    <s v="001"/>
    <s v="CONTADO"/>
    <s v="009"/>
    <s v="PINTURA"/>
    <s v="$"/>
    <n v="3.4000001000000002"/>
    <n v="-1"/>
    <n v="-324.5"/>
    <n v="-324.5"/>
    <n v="-58.41"/>
    <n v="-382.91"/>
    <n v="-1103.3000324500001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8"/>
    <x v="367"/>
    <n v="0"/>
    <d v="2020-02-15T00:00:00"/>
    <s v="20100041953"/>
    <s v="RIMAC SEGUROS  Y REASEGUROS S.A"/>
    <s v="1201020001"/>
    <s v="PLANCHADO"/>
    <s v="001"/>
    <s v="001"/>
    <s v="CONTADO"/>
    <s v="001"/>
    <s v="PLANCHADO"/>
    <s v="$"/>
    <n v="3.4000001000000002"/>
    <n v="-1"/>
    <n v="-292.5"/>
    <n v="-292.5"/>
    <n v="-52.649990000000031"/>
    <n v="-345.14999000000006"/>
    <n v="-994.50002925000001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8"/>
    <x v="367"/>
    <n v="0"/>
    <d v="2020-02-15T00:00:00"/>
    <s v="20100041953"/>
    <s v="RIMAC SEGUROS  Y REASEGUROS S.A"/>
    <s v="2908010001"/>
    <s v="TERCEROS"/>
    <s v="001"/>
    <s v="001"/>
    <s v="CONTADO"/>
    <s v="002"/>
    <s v="MANTENIMIENTO-MECANICA"/>
    <s v="$"/>
    <n v="3.4000001000000002"/>
    <n v="-1"/>
    <n v="-30"/>
    <n v="-30"/>
    <n v="-5.4000019999999997"/>
    <n v="-35.400002000000001"/>
    <n v="-102.00000300000001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8"/>
    <x v="367"/>
    <n v="0"/>
    <d v="2020-02-15T00:00:00"/>
    <s v="20100041953"/>
    <s v="RIMAC SEGUROS  Y REASEGUROS S.A"/>
    <s v="2805010001"/>
    <s v="SERVICIOS"/>
    <s v="001"/>
    <s v="001"/>
    <s v="CONTADO"/>
    <s v="002"/>
    <s v="MANTENIMIENTO-MECANICA"/>
    <s v="$"/>
    <n v="3.4000001000000002"/>
    <n v="-1"/>
    <n v="-30"/>
    <n v="-30"/>
    <n v="-5.4000019999999997"/>
    <n v="-35.400002000000001"/>
    <n v="-102.00000300000001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8"/>
    <x v="367"/>
    <n v="0"/>
    <d v="2020-02-15T00:00:00"/>
    <s v="20100041953"/>
    <s v="RIMAC SEGUROS  Y REASEGUROS S.A"/>
    <s v="310120"/>
    <s v="FRANQUICIA"/>
    <s v="001"/>
    <s v="001"/>
    <s v="CONTADO"/>
    <s v="002"/>
    <s v="MANTENIMIENTO-MECANICA"/>
    <s v="$"/>
    <n v="3.4000001000000002"/>
    <n v="1"/>
    <n v="-100"/>
    <n v="100"/>
    <n v="18"/>
    <n v="118"/>
    <n v="340.00001000000003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8"/>
    <x v="367"/>
    <n v="0"/>
    <d v="2020-02-15T00:00:00"/>
    <s v="20100041953"/>
    <s v="RIMAC SEGUROS  Y REASEGUROS S.A"/>
    <s v="320001"/>
    <s v="REPUESTOS"/>
    <s v="001"/>
    <s v="001"/>
    <s v="CONTADO"/>
    <s v="002"/>
    <s v="MANTENIMIENTO-MECANICA"/>
    <s v="$"/>
    <n v="3.4000001000000002"/>
    <n v="-1"/>
    <n v="-"/>
    <n v="-"/>
    <n v="-"/>
    <n v="-"/>
    <n v="0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9"/>
    <x v="368"/>
    <n v="0"/>
    <d v="2020-02-15T00:00:00"/>
    <s v="20100041953"/>
    <s v="RIMAC SEGUROS  Y REASEGUROS S.A"/>
    <s v="1302020001"/>
    <s v="PINTURA"/>
    <s v="001"/>
    <s v="001"/>
    <s v="CONTADO"/>
    <s v="009"/>
    <s v="PINTURA"/>
    <s v="$"/>
    <n v="3.3599999"/>
    <n v="-1"/>
    <n v="-324.5"/>
    <n v="-324.5"/>
    <n v="-58.41"/>
    <n v="-382.91"/>
    <n v="-1090.31996755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9"/>
    <x v="368"/>
    <n v="0"/>
    <d v="2020-02-15T00:00:00"/>
    <s v="20100041953"/>
    <s v="RIMAC SEGUROS  Y REASEGUROS S.A"/>
    <s v="1201020001"/>
    <s v="PLANCHADO"/>
    <s v="001"/>
    <s v="001"/>
    <s v="CONTADO"/>
    <s v="001"/>
    <s v="PLANCHADO"/>
    <s v="$"/>
    <n v="3.3599999"/>
    <n v="-1"/>
    <n v="-180"/>
    <n v="-180"/>
    <n v="-32.39998999999996"/>
    <n v="-212.39998999999997"/>
    <n v="-604.799982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9"/>
    <x v="368"/>
    <n v="0"/>
    <d v="2020-02-15T00:00:00"/>
    <s v="20100041953"/>
    <s v="RIMAC SEGUROS  Y REASEGUROS S.A"/>
    <s v="2908010001"/>
    <s v="TERCEROS"/>
    <s v="001"/>
    <s v="001"/>
    <s v="CONTADO"/>
    <s v="002"/>
    <s v="MANTENIMIENTO-MECANICA"/>
    <s v="$"/>
    <n v="3.3599999"/>
    <n v="-1"/>
    <n v="-70"/>
    <n v="-70"/>
    <n v="-12.599997999999978"/>
    <n v="-82.599997999999971"/>
    <n v="-235.19999300000001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9"/>
    <x v="368"/>
    <n v="0"/>
    <d v="2020-02-15T00:00:00"/>
    <s v="20100041953"/>
    <s v="RIMAC SEGUROS  Y REASEGUROS S.A"/>
    <s v="310120"/>
    <s v="FRANQUICIA"/>
    <s v="001"/>
    <s v="001"/>
    <s v="CONTADO"/>
    <s v="002"/>
    <s v="MANTENIMIENTO-MECANICA"/>
    <s v="$"/>
    <n v="3.3599999"/>
    <n v="1"/>
    <n v="-200"/>
    <n v="200"/>
    <n v="36"/>
    <n v="236"/>
    <n v="671.99998000000005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19"/>
    <x v="368"/>
    <n v="0"/>
    <d v="2020-02-15T00:00:00"/>
    <s v="20100041953"/>
    <s v="RIMAC SEGUROS  Y REASEGUROS S.A"/>
    <s v="320001"/>
    <s v="REPUESTOS"/>
    <s v="001"/>
    <s v="001"/>
    <s v="CONTADO"/>
    <s v="002"/>
    <s v="MANTENIMIENTO-MECANICA"/>
    <s v="$"/>
    <n v="3.3599999"/>
    <n v="-1"/>
    <n v="-"/>
    <n v="-"/>
    <n v="-"/>
    <n v="-"/>
    <n v="0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20"/>
    <x v="369"/>
    <n v="0"/>
    <d v="2020-02-15T00:00:00"/>
    <s v="20100041953"/>
    <s v="RIMAC SEGUROS  Y REASEGUROS S.A"/>
    <s v="1302020001"/>
    <s v="PINTURA"/>
    <s v="001"/>
    <s v="001"/>
    <s v="CONTADO"/>
    <s v="009"/>
    <s v="PINTURA"/>
    <s v="$"/>
    <n v="3.3800001000000002"/>
    <n v="-1"/>
    <n v="-354"/>
    <n v="-354"/>
    <n v="-63.72"/>
    <n v="-417.72"/>
    <n v="-1196.5200354000001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20"/>
    <x v="369"/>
    <n v="0"/>
    <d v="2020-02-15T00:00:00"/>
    <s v="20100041953"/>
    <s v="RIMAC SEGUROS  Y REASEGUROS S.A"/>
    <s v="1201020001"/>
    <s v="PLANCHADO"/>
    <s v="001"/>
    <s v="001"/>
    <s v="CONTADO"/>
    <s v="001"/>
    <s v="PLANCHADO"/>
    <s v="$"/>
    <n v="3.3800001000000002"/>
    <n v="-1"/>
    <n v="-135"/>
    <n v="-135"/>
    <n v="-24.3"/>
    <n v="-159.30000000000001"/>
    <n v="-456.30001350000003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20"/>
    <x v="369"/>
    <n v="0"/>
    <d v="2020-02-15T00:00:00"/>
    <s v="20100041953"/>
    <s v="RIMAC SEGUROS  Y REASEGUROS S.A"/>
    <s v="310120"/>
    <s v="FRANQUICIA"/>
    <s v="001"/>
    <s v="001"/>
    <s v="CONTADO"/>
    <s v="002"/>
    <s v="MANTENIMIENTO-MECANICA"/>
    <s v="$"/>
    <n v="3.3800001000000002"/>
    <n v="1"/>
    <n v="-100"/>
    <n v="100"/>
    <n v="18"/>
    <n v="118"/>
    <n v="338.00001000000003"/>
    <m/>
    <m/>
    <m/>
    <m/>
    <m/>
    <m/>
    <m/>
    <m/>
    <m/>
    <m/>
    <m/>
    <m/>
    <m/>
    <m/>
    <m/>
    <m/>
    <m/>
    <m/>
    <m/>
    <m/>
    <m/>
    <m/>
    <m/>
    <m/>
  </r>
  <r>
    <x v="92"/>
    <s v="ABO"/>
    <s v="005"/>
    <s v="00000021"/>
    <x v="370"/>
    <n v="0"/>
    <d v="2020-02-15T00:00:00"/>
    <s v="20100041953"/>
    <s v="RIMAC SEGUROS  Y REASEGUROS S.A"/>
    <s v="310255"/>
    <s v="DESCUENTO"/>
    <s v="001"/>
    <s v="001"/>
    <s v="CONTADO"/>
    <s v="002"/>
    <s v="MANTENIMIENTO-MECANICA"/>
    <s v="$"/>
    <n v="3.3640001000000002"/>
    <n v="-1"/>
    <n v="-509.51001000000014"/>
    <n v="-509.51001000000014"/>
    <n v="-91.711789999999823"/>
    <n v="-601.22179999999992"/>
    <n v="-1713.9917245910015"/>
    <m/>
    <m/>
    <m/>
    <m/>
    <m/>
    <m/>
    <m/>
    <m/>
    <m/>
    <m/>
    <m/>
    <m/>
    <m/>
    <m/>
    <m/>
    <m/>
    <m/>
    <m/>
    <m/>
    <m/>
    <m/>
    <m/>
    <m/>
    <m/>
  </r>
  <r>
    <x v="94"/>
    <s v="ABO"/>
    <s v="005"/>
    <s v="00000022"/>
    <x v="371"/>
    <n v="0"/>
    <d v="2020-02-18T00:00:00"/>
    <s v="20100041953"/>
    <s v="RIMAC SEGUROS  Y REASEGUROS S.A"/>
    <s v="1302020001"/>
    <s v="PINTURA"/>
    <s v="001"/>
    <s v="001"/>
    <s v="CONTADO"/>
    <s v="009"/>
    <s v="PINTURA"/>
    <s v="$"/>
    <n v="3.3729998999999999"/>
    <n v="-1"/>
    <n v="-88.5"/>
    <n v="-88.5"/>
    <n v="-15.93"/>
    <n v="-104.43"/>
    <n v="-298.51049115000001"/>
    <m/>
    <m/>
    <m/>
    <m/>
    <m/>
    <m/>
    <m/>
    <m/>
    <m/>
    <m/>
    <m/>
    <m/>
    <m/>
    <m/>
    <m/>
    <m/>
    <m/>
    <m/>
    <m/>
    <m/>
    <m/>
    <m/>
    <m/>
    <m/>
  </r>
  <r>
    <x v="94"/>
    <s v="ABO"/>
    <s v="005"/>
    <s v="00000022"/>
    <x v="371"/>
    <n v="0"/>
    <d v="2020-02-18T00:00:00"/>
    <s v="20100041953"/>
    <s v="RIMAC SEGUROS  Y REASEGUROS S.A"/>
    <s v="1201020001"/>
    <s v="PLANCHADO"/>
    <s v="001"/>
    <s v="001"/>
    <s v="CONTADO"/>
    <s v="001"/>
    <s v="PLANCHADO"/>
    <s v="$"/>
    <n v="3.3729998999999999"/>
    <n v="-1"/>
    <n v="-30"/>
    <n v="-30"/>
    <n v="-5.4000019999999997"/>
    <n v="-35.400002000000001"/>
    <n v="-101.18999700000001"/>
    <m/>
    <m/>
    <m/>
    <m/>
    <m/>
    <m/>
    <m/>
    <m/>
    <m/>
    <m/>
    <m/>
    <m/>
    <m/>
    <m/>
    <m/>
    <m/>
    <m/>
    <m/>
    <m/>
    <m/>
    <m/>
    <m/>
    <m/>
    <m/>
  </r>
  <r>
    <x v="94"/>
    <s v="ABO"/>
    <s v="005"/>
    <s v="00000022"/>
    <x v="371"/>
    <n v="0"/>
    <d v="2020-02-18T00:00:00"/>
    <s v="20100041953"/>
    <s v="RIMAC SEGUROS  Y REASEGUROS S.A"/>
    <s v="2908010001"/>
    <s v="TERCEROS"/>
    <s v="001"/>
    <s v="001"/>
    <s v="CONTADO"/>
    <s v="002"/>
    <s v="MANTENIMIENTO-MECANICA"/>
    <s v="$"/>
    <n v="3.3729998999999999"/>
    <n v="-1"/>
    <n v="-45"/>
    <n v="-45"/>
    <n v="-8.0999980000000047"/>
    <n v="-53.099998000000006"/>
    <n v="-151.78499550000001"/>
    <m/>
    <m/>
    <m/>
    <m/>
    <m/>
    <m/>
    <m/>
    <m/>
    <m/>
    <m/>
    <m/>
    <m/>
    <m/>
    <m/>
    <m/>
    <m/>
    <m/>
    <m/>
    <m/>
    <m/>
    <m/>
    <m/>
    <m/>
    <m/>
  </r>
  <r>
    <x v="94"/>
    <s v="ABO"/>
    <s v="005"/>
    <s v="00000023"/>
    <x v="372"/>
    <n v="0"/>
    <d v="2020-02-18T00:00:00"/>
    <s v="47538843"/>
    <s v="ORBEGOSO CHAVEZ RAFAEL ALBERTO"/>
    <s v="310120"/>
    <s v="FRANQUICIA"/>
    <s v="001"/>
    <s v="001"/>
    <s v="CONTADO"/>
    <s v="002"/>
    <s v="MANTENIMIENTO-MECANICA"/>
    <s v="$"/>
    <n v="3.3849999999999998"/>
    <n v="-1"/>
    <n v="-14.957599999999999"/>
    <n v="-14.957599999999999"/>
    <n v="-2.6923999999999979"/>
    <n v="-17.649999999999999"/>
    <n v="-50.631475999999992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4">
  <r>
    <s v="005-00000004"/>
    <n v="955.97400000000005"/>
    <n v="0"/>
    <n v="0"/>
    <n v="0"/>
    <n v="0"/>
    <n v="60.300000000000004"/>
    <n v="140.70000000000002"/>
    <n v="0"/>
    <n v="201.00000000000003"/>
    <n v="754.97400000000005"/>
    <n v="0.78974323569469462"/>
    <x v="0"/>
    <x v="0"/>
    <x v="0"/>
    <x v="0"/>
    <n v="6"/>
    <n v="1"/>
    <d v="2019-10-01T00:00:00"/>
    <s v="ASW-540"/>
    <s v="KIA"/>
    <s v="RIO"/>
    <s v="FAST ENGENHARIA E MONTAGENS SA"/>
  </r>
  <r>
    <s v="005-00000005"/>
    <n v="270.24"/>
    <n v="65.580001999999979"/>
    <n v="0"/>
    <n v="67.79661016949153"/>
    <n v="0"/>
    <n v="0"/>
    <n v="0"/>
    <n v="0"/>
    <n v="133.37661216949152"/>
    <n v="136.86338783050849"/>
    <n v="0.50645125751372289"/>
    <x v="0"/>
    <x v="1"/>
    <x v="0"/>
    <x v="0"/>
    <n v="5"/>
    <n v="1"/>
    <d v="2019-10-02T00:00:00"/>
    <s v="ASW-540"/>
    <s v="KIA"/>
    <s v="RIO"/>
    <s v="FAST ENGENHARIA E MONTAGENS SA"/>
  </r>
  <r>
    <s v="005-00000023"/>
    <n v="841.87288999999998"/>
    <n v="209.40159500000004"/>
    <n v="0"/>
    <n v="115.2542372881356"/>
    <n v="40.250250000000001"/>
    <n v="0"/>
    <n v="0"/>
    <n v="0"/>
    <n v="364.90608228813562"/>
    <n v="476.96680771186436"/>
    <n v="0.56655442095523989"/>
    <x v="0"/>
    <x v="1"/>
    <x v="0"/>
    <x v="0"/>
    <n v="2"/>
    <n v="1"/>
    <d v="2019-10-09T00:00:00"/>
    <s v="F5B-699"/>
    <s v="NISSAN"/>
    <s v="VERSA"/>
    <s v="PACHECO PALOMINO RICARDO ALONSO"/>
  </r>
  <r>
    <s v="005-00000022"/>
    <n v="324.33650964999998"/>
    <n v="0"/>
    <n v="0"/>
    <n v="0"/>
    <n v="0"/>
    <n v="15.075000000000001"/>
    <n v="70.350000000000009"/>
    <n v="0"/>
    <n v="85.425000000000011"/>
    <n v="238.91150964999997"/>
    <n v="0.73661614570563039"/>
    <x v="1"/>
    <x v="0"/>
    <x v="0"/>
    <x v="0"/>
    <n v="5"/>
    <n v="1"/>
    <d v="2019-10-07T00:00:00"/>
    <s v="AHK-141"/>
    <s v="NISSAN"/>
    <s v="XTRAIL"/>
    <s v="RIMAC SEGUROS  Y REASEGUROS S.A"/>
  </r>
  <r>
    <s v="005-00000011"/>
    <n v="302.49000899999999"/>
    <n v="0"/>
    <n v="0"/>
    <n v="0"/>
    <n v="0"/>
    <n v="0"/>
    <n v="0"/>
    <n v="0"/>
    <n v="0"/>
    <n v="302.49000899999999"/>
    <n v="1"/>
    <x v="0"/>
    <x v="1"/>
    <x v="0"/>
    <x v="0"/>
    <n v="8"/>
    <n v="1"/>
    <d v="2019-10-04T00:00:00"/>
    <s v="D9C-481"/>
    <s v="JEEP"/>
    <s v="COMPASS"/>
    <s v="DIGITAL CONSULTING S.A.C."/>
  </r>
  <r>
    <s v="005-00000006"/>
    <n v="3293.7800979999997"/>
    <n v="1687.6875990000001"/>
    <n v="0"/>
    <n v="0"/>
    <n v="0"/>
    <n v="75.375"/>
    <n v="211.05"/>
    <n v="0"/>
    <n v="1974.112599"/>
    <n v="1319.6674989999997"/>
    <n v="0.40065440306756017"/>
    <x v="0"/>
    <x v="0"/>
    <x v="0"/>
    <x v="0"/>
    <n v="9"/>
    <n v="1"/>
    <d v="2019-10-03T00:00:00"/>
    <s v="D9C-481"/>
    <s v="JEEP"/>
    <s v="COMPASS"/>
    <s v="DIGITAL CONSULTING S.A.C."/>
  </r>
  <r>
    <s v="005-00000024"/>
    <n v="1426.7250425"/>
    <n v="0"/>
    <n v="0"/>
    <n v="0"/>
    <n v="0"/>
    <n v="120.60000000000001"/>
    <n v="281.40000000000003"/>
    <n v="0"/>
    <n v="402.00000000000006"/>
    <n v="1024.7250425"/>
    <n v="0.7182358281904202"/>
    <x v="0"/>
    <x v="0"/>
    <x v="0"/>
    <x v="0"/>
    <n v="5"/>
    <n v="1"/>
    <d v="2019-10-09T00:00:00"/>
    <s v="B4S-030"/>
    <s v="KIA"/>
    <s v="PICANTO"/>
    <s v="FAST ENGENHARIA E MONTAGENS SA"/>
  </r>
  <r>
    <s v="005-00000030"/>
    <n v="803.36498979746"/>
    <n v="0"/>
    <n v="0"/>
    <n v="0"/>
    <n v="0"/>
    <n v="33.918750000000003"/>
    <n v="211.05"/>
    <n v="0"/>
    <n v="244.96875"/>
    <n v="558.39623979746"/>
    <n v="0.69507166342690618"/>
    <x v="0"/>
    <x v="0"/>
    <x v="0"/>
    <x v="0"/>
    <n v="13"/>
    <n v="1"/>
    <d v="2019-10-09T00:00:00"/>
    <s v="AMY-524"/>
    <s v="TOYOTA"/>
    <s v="COROLLA"/>
    <s v="FAST ENGENHARIA E MONTAGENS SA"/>
  </r>
  <r>
    <s v="005-00000009"/>
    <n v="1315.98496095"/>
    <n v="0"/>
    <n v="0"/>
    <n v="0"/>
    <n v="52.762500000000003"/>
    <n v="90.45"/>
    <n v="140.70000000000002"/>
    <n v="0"/>
    <n v="283.91250000000002"/>
    <n v="1032.0724609499998"/>
    <n v="0.78425855277628265"/>
    <x v="1"/>
    <x v="0"/>
    <x v="0"/>
    <x v="0"/>
    <n v="13"/>
    <n v="1"/>
    <d v="2019-10-04T00:00:00"/>
    <s v="F0Z-446"/>
    <s v="RENAULT"/>
    <s v="DUSTER"/>
    <s v="RIMAC SEGUROS  Y REASEGUROS S.A"/>
  </r>
  <r>
    <s v="005-00000031"/>
    <n v="899.14"/>
    <n v="0"/>
    <n v="0"/>
    <n v="0"/>
    <n v="0"/>
    <n v="75.375"/>
    <n v="140.70000000000002"/>
    <n v="0"/>
    <n v="216.07500000000002"/>
    <n v="683.06499999999994"/>
    <n v="0.75968703427719819"/>
    <x v="1"/>
    <x v="0"/>
    <x v="0"/>
    <x v="0"/>
    <n v="8"/>
    <n v="1"/>
    <d v="2019-10-10T00:00:00"/>
    <s v="ANX-091"/>
    <s v="TOYOTA"/>
    <s v="AVENSIS"/>
    <s v="RIMAC SEGUROS  Y REASEGUROS S.A"/>
  </r>
  <r>
    <s v="005-00000039"/>
    <n v="1615"/>
    <n v="521.80870729999992"/>
    <n v="16.949152542372882"/>
    <n v="82.37"/>
    <n v="40.250250000000001"/>
    <n v="0"/>
    <n v="0"/>
    <n v="0"/>
    <n v="661.37810984237285"/>
    <n v="953.62189015762715"/>
    <n v="0.59047795056199825"/>
    <x v="2"/>
    <x v="1"/>
    <x v="0"/>
    <x v="0"/>
    <n v="7"/>
    <n v="1"/>
    <d v="2019-10-12T00:00:00"/>
    <s v="AHV-326"/>
    <s v="VOLKSWAGEN"/>
    <s v="GOL"/>
    <s v="AUTOCLASS S.A.C."/>
  </r>
  <r>
    <s v="005-00000038"/>
    <n v="1488"/>
    <n v="771.9944099999999"/>
    <n v="0"/>
    <n v="42.37"/>
    <n v="75.375"/>
    <n v="0"/>
    <n v="0"/>
    <n v="0"/>
    <n v="889.73940999999991"/>
    <n v="598.26059000000009"/>
    <n v="0.40205684811827963"/>
    <x v="2"/>
    <x v="1"/>
    <x v="0"/>
    <x v="0"/>
    <n v="7"/>
    <n v="1"/>
    <d v="2019-10-12T00:00:00"/>
    <s v="AJF-554"/>
    <s v="CHEVROLET"/>
    <s v="SAIL"/>
    <s v="AUTOCLASS S.A.C."/>
  </r>
  <r>
    <s v="005-00000041"/>
    <n v="890"/>
    <n v="45.762699000000005"/>
    <n v="0"/>
    <n v="0"/>
    <n v="0"/>
    <n v="15.075000000000001"/>
    <n v="0"/>
    <n v="0"/>
    <n v="60.837699000000008"/>
    <n v="829.16230099999996"/>
    <n v="0.9316430348314606"/>
    <x v="1"/>
    <x v="0"/>
    <x v="0"/>
    <x v="0"/>
    <n v="9"/>
    <n v="1"/>
    <d v="2019-10-14T00:00:00"/>
    <s v="B5M-803"/>
    <s v="NISSAN"/>
    <s v="NAVARA"/>
    <s v="INDURA PERU S.A."/>
  </r>
  <r>
    <s v="005-00000045"/>
    <n v="1617.11"/>
    <n v="0"/>
    <n v="0"/>
    <n v="76.27"/>
    <n v="0"/>
    <n v="180.9"/>
    <n v="211.05"/>
    <n v="0"/>
    <n v="468.22"/>
    <n v="1148.8899999999999"/>
    <n v="0.710458781406336"/>
    <x v="1"/>
    <x v="2"/>
    <x v="0"/>
    <x v="0"/>
    <n v="3"/>
    <n v="1"/>
    <d v="2019-10-16T00:00:00"/>
    <s v="ATZ-549"/>
    <s v="HYUNDAY"/>
    <s v="ACCENT"/>
    <s v="RIMAC SEGUROS  Y REASEGUROS S.A"/>
  </r>
  <r>
    <s v="005-00000015"/>
    <n v="697.84000000000015"/>
    <n v="0"/>
    <n v="0"/>
    <n v="0"/>
    <n v="0"/>
    <n v="45.225000000000001"/>
    <n v="140.70000000000002"/>
    <n v="0"/>
    <n v="185.92500000000001"/>
    <n v="511.91500000000013"/>
    <n v="0.73357073254614247"/>
    <x v="1"/>
    <x v="0"/>
    <x v="0"/>
    <x v="0"/>
    <n v="14"/>
    <n v="1"/>
    <d v="2019-10-05T00:00:00"/>
    <s v="ANE-346"/>
    <s v="RENAULT"/>
    <s v="LOGAN"/>
    <s v="RENTAEQUIPOS LEASING PERU S.A."/>
  </r>
  <r>
    <s v="005-00000014"/>
    <n v="898.31534099999988"/>
    <n v="0"/>
    <n v="0"/>
    <n v="0"/>
    <n v="0"/>
    <n v="75.375"/>
    <n v="158.28749999999999"/>
    <n v="0"/>
    <n v="233.66249999999999"/>
    <n v="664.65284099999985"/>
    <n v="0.73988811129520715"/>
    <x v="1"/>
    <x v="0"/>
    <x v="0"/>
    <x v="0"/>
    <n v="14"/>
    <n v="1"/>
    <d v="2019-10-05T00:00:00"/>
    <s v="ANE-346"/>
    <s v="RENAULT"/>
    <s v="LOGAN"/>
    <s v="RENTAEQUIPOS LEASING PERU S.A."/>
  </r>
  <r>
    <s v="005-00000010"/>
    <n v="2076.61"/>
    <n v="0"/>
    <n v="0"/>
    <n v="84.75"/>
    <n v="30.150000000000002"/>
    <n v="120.60000000000001"/>
    <n v="351.75"/>
    <n v="0"/>
    <n v="587.25"/>
    <n v="1489.3600000000001"/>
    <n v="0.71720737162972348"/>
    <x v="1"/>
    <x v="3"/>
    <x v="0"/>
    <x v="0"/>
    <n v="17"/>
    <n v="1"/>
    <d v="2019-10-04T00:00:00"/>
    <s v="AMD-263"/>
    <s v="HYUNDAY"/>
    <s v="ACCENT"/>
    <s v="RIMAC SEGUROS  Y REASEGUROS S.A"/>
  </r>
  <r>
    <s v="005-00000043"/>
    <n v="699.52297909999993"/>
    <n v="0"/>
    <n v="0"/>
    <n v="0"/>
    <n v="0"/>
    <n v="105.52500000000001"/>
    <n v="70.350000000000009"/>
    <n v="0"/>
    <n v="175.875"/>
    <n v="523.64797909999993"/>
    <n v="0.74857866681337726"/>
    <x v="1"/>
    <x v="0"/>
    <x v="0"/>
    <x v="0"/>
    <n v="7"/>
    <n v="1"/>
    <d v="2019-10-14T00:00:00"/>
    <s v="ANE-445"/>
    <s v="RENAULT"/>
    <s v="LOGAN"/>
    <s v="RENTAEQUIPOS LEASING PERU S.A."/>
  </r>
  <r>
    <s v="005-00000007"/>
    <n v="472.77780666257974"/>
    <n v="0"/>
    <n v="0"/>
    <n v="0"/>
    <n v="0"/>
    <n v="15.075000000000001"/>
    <n v="87.9375"/>
    <n v="0"/>
    <n v="103.0125"/>
    <n v="369.76530666257975"/>
    <n v="0.7821122342286263"/>
    <x v="1"/>
    <x v="0"/>
    <x v="0"/>
    <x v="0"/>
    <n v="18"/>
    <n v="1"/>
    <d v="2019-10-03T00:00:00"/>
    <s v="AHY-439"/>
    <s v="MITSUBISHI"/>
    <s v="OUTLANDER"/>
    <s v="RENTAEQUIPOS LEASING PERU S.A."/>
  </r>
  <r>
    <s v="005-00000028"/>
    <n v="2167.7542000000003"/>
    <n v="97.661901199999988"/>
    <n v="0"/>
    <n v="42.37"/>
    <n v="105.52500000000001"/>
    <n v="105.52500000000001"/>
    <n v="580.38750000000005"/>
    <n v="0"/>
    <n v="931.46940119999999"/>
    <n v="1236.2847988000003"/>
    <n v="0.57030672518129599"/>
    <x v="2"/>
    <x v="0"/>
    <x v="0"/>
    <x v="0"/>
    <n v="13"/>
    <n v="1"/>
    <d v="2019-10-09T00:00:00"/>
    <s v="BBH-363"/>
    <s v="KIA"/>
    <s v="RIO"/>
    <s v="AUTOCLASS S.A.C."/>
  </r>
  <r>
    <s v="005-00000016"/>
    <n v="5172"/>
    <n v="2097.2683343999997"/>
    <n v="0"/>
    <n v="53.672881355932205"/>
    <n v="135.67500000000001"/>
    <n v="180.9"/>
    <n v="703.5"/>
    <n v="0"/>
    <n v="3171.0162157559321"/>
    <n v="2000.9837842440679"/>
    <n v="0.38688781597913147"/>
    <x v="2"/>
    <x v="3"/>
    <x v="0"/>
    <x v="0"/>
    <n v="18"/>
    <n v="1"/>
    <d v="2019-10-05T00:00:00"/>
    <s v="AUK-009"/>
    <s v="KIA"/>
    <s v="RIO"/>
    <s v="AUTOCLASS S.A.C."/>
  </r>
  <r>
    <s v="005-00000026"/>
    <n v="4922.6017000000002"/>
    <n v="988.26797169999986"/>
    <n v="0"/>
    <n v="125.71000000000001"/>
    <n v="105.52500000000001"/>
    <n v="256.27500000000003"/>
    <n v="914.55000000000007"/>
    <n v="0"/>
    <n v="2390.3279717"/>
    <n v="2532.2737283000001"/>
    <n v="0.51441775764632758"/>
    <x v="2"/>
    <x v="2"/>
    <x v="0"/>
    <x v="0"/>
    <n v="14"/>
    <n v="1"/>
    <d v="2019-10-09T00:00:00"/>
    <s v="BEN-484"/>
    <s v="CHEVROLET"/>
    <s v="SAIL"/>
    <s v="AUTOCLASS S.A.C."/>
  </r>
  <r>
    <s v="005-00000070"/>
    <n v="100"/>
    <n v="0"/>
    <n v="0"/>
    <n v="0"/>
    <n v="15.075000000000001"/>
    <n v="0"/>
    <n v="0"/>
    <n v="0"/>
    <n v="15.075000000000001"/>
    <n v="84.924999999999997"/>
    <n v="0.84924999999999995"/>
    <x v="0"/>
    <x v="1"/>
    <x v="0"/>
    <x v="0"/>
    <n v="2"/>
    <n v="1"/>
    <d v="2019-10-21T00:00:00"/>
    <s v="ASN-143"/>
    <s v="NISSAN"/>
    <s v="QASHQAI"/>
    <s v="AGRIBRANDS PURINA PERU S.A"/>
  </r>
  <r>
    <s v="005-00000060"/>
    <n v="812.10599999999999"/>
    <n v="0"/>
    <n v="0"/>
    <n v="0"/>
    <n v="105.73"/>
    <n v="0"/>
    <n v="0"/>
    <n v="0"/>
    <n v="105.73"/>
    <n v="706.37599999999998"/>
    <n v="0.86980763594900168"/>
    <x v="1"/>
    <x v="0"/>
    <x v="0"/>
    <x v="0"/>
    <n v="6"/>
    <n v="1"/>
    <d v="2019-10-17T00:00:00"/>
    <s v="BDI-580"/>
    <s v="SUBARU"/>
    <s v="OUTBACK"/>
    <s v="RIMAC SEGUROS  Y REASEGUROS S.A"/>
  </r>
  <r>
    <s v="005-00000040"/>
    <n v="2585.8865698200002"/>
    <n v="0"/>
    <n v="0"/>
    <n v="0"/>
    <n v="0"/>
    <n v="256.27500000000003"/>
    <n v="439.6875"/>
    <n v="0"/>
    <n v="695.96250000000009"/>
    <n v="1889.9240698200001"/>
    <n v="0.73086116455276495"/>
    <x v="1"/>
    <x v="2"/>
    <x v="0"/>
    <x v="0"/>
    <n v="9"/>
    <n v="1"/>
    <d v="2019-10-14T00:00:00"/>
    <s v="BMA-272"/>
    <s v="GREAT WALL"/>
    <s v="H3"/>
    <s v="RIMAC SEGUROS  Y REASEGUROS S.A"/>
  </r>
  <r>
    <s v="005-00000033"/>
    <n v="1083.7249676499996"/>
    <n v="0"/>
    <n v="0"/>
    <n v="76.27"/>
    <n v="0"/>
    <n v="90.45"/>
    <n v="105.52500000000001"/>
    <n v="0"/>
    <n v="272.245"/>
    <n v="811.47996764999959"/>
    <n v="0.74878773846989155"/>
    <x v="1"/>
    <x v="0"/>
    <x v="0"/>
    <x v="0"/>
    <n v="15"/>
    <n v="1"/>
    <d v="2019-10-11T00:00:00"/>
    <s v="AZY-713"/>
    <s v="FORD"/>
    <s v="RANGER"/>
    <s v="RENTAEQUIPOS LEASING PERU S.A."/>
  </r>
  <r>
    <s v="005-00000071"/>
    <n v="1415.37495775"/>
    <n v="0"/>
    <n v="0"/>
    <n v="20.100000000000001"/>
    <n v="0"/>
    <n v="180.9"/>
    <n v="175.875"/>
    <n v="0"/>
    <n v="376.875"/>
    <n v="1038.49995775"/>
    <n v="0.73372780270246374"/>
    <x v="0"/>
    <x v="3"/>
    <x v="0"/>
    <x v="0"/>
    <n v="4"/>
    <n v="1"/>
    <d v="2019-10-22T00:00:00"/>
    <s v="D9K-336"/>
    <s v="KIA"/>
    <s v="SPORTAGE"/>
    <s v="RIMAC SEGUROS  Y REASEGUROS S.A"/>
  </r>
  <r>
    <s v="005-00000017"/>
    <n v="6205.2542000000003"/>
    <n v="951.58547179999994"/>
    <n v="0"/>
    <n v="145.59372881355932"/>
    <n v="120.60000000000001"/>
    <n v="452.25"/>
    <n v="949.72500000000002"/>
    <n v="0"/>
    <n v="2619.7542006135591"/>
    <n v="3585.4999993864412"/>
    <n v="0.57781677975197876"/>
    <x v="2"/>
    <x v="2"/>
    <x v="0"/>
    <x v="0"/>
    <n v="21"/>
    <n v="1"/>
    <d v="2019-10-07T00:00:00"/>
    <s v="ATK-580"/>
    <s v="KIA"/>
    <s v="CERATO"/>
    <s v="AUTOCLASS S.A.C."/>
  </r>
  <r>
    <s v="005-00000034"/>
    <n v="3649.98"/>
    <n v="0"/>
    <n v="0"/>
    <n v="0"/>
    <n v="0"/>
    <n v="361.8"/>
    <n v="545.21249999999998"/>
    <n v="0"/>
    <n v="907.01250000000005"/>
    <n v="2742.9674999999997"/>
    <n v="0.75150206302500278"/>
    <x v="1"/>
    <x v="2"/>
    <x v="0"/>
    <x v="0"/>
    <n v="17"/>
    <n v="1"/>
    <d v="2019-10-11T00:00:00"/>
    <s v="AWL-231"/>
    <s v="KIA"/>
    <s v="RIO"/>
    <s v="RENTAEQUIPOS LEASING PERU S.A."/>
  </r>
  <r>
    <s v="005-00000021"/>
    <n v="1600.9543719754197"/>
    <n v="0"/>
    <n v="0"/>
    <n v="0"/>
    <n v="0"/>
    <n v="241.20000000000002"/>
    <n v="158.28749999999999"/>
    <n v="0"/>
    <n v="399.48750000000001"/>
    <n v="1201.4668719754197"/>
    <n v="0.75046915327944552"/>
    <x v="1"/>
    <x v="2"/>
    <x v="0"/>
    <x v="0"/>
    <n v="21"/>
    <n v="1"/>
    <d v="2019-10-07T00:00:00"/>
    <s v="ATH-340"/>
    <s v="HONDA"/>
    <s v="PILOT"/>
    <s v="RENTAEQUIPOS LEASING PERU S.A."/>
  </r>
  <r>
    <s v="005-00000073"/>
    <n v="777.05499999999984"/>
    <n v="0"/>
    <n v="0"/>
    <n v="25.125"/>
    <n v="0"/>
    <n v="60.300000000000004"/>
    <n v="140.70000000000002"/>
    <n v="0"/>
    <n v="226.12500000000003"/>
    <n v="550.92999999999984"/>
    <n v="0.70899743261416492"/>
    <x v="1"/>
    <x v="0"/>
    <x v="0"/>
    <x v="0"/>
    <n v="7"/>
    <n v="1"/>
    <d v="2019-10-22T00:00:00"/>
    <s v="BCZ-165"/>
    <s v="CHEVROLET"/>
    <s v="COBALT"/>
    <s v="CORE MINERALS PERU S.A"/>
  </r>
  <r>
    <s v="005-00000013"/>
    <n v="6158.5"/>
    <n v="1076.6122704000002"/>
    <n v="0"/>
    <n v="172.54237288135593"/>
    <n v="241.20000000000002"/>
    <n v="301.5"/>
    <n v="984.9"/>
    <n v="0"/>
    <n v="2776.754643281356"/>
    <n v="3381.745356718644"/>
    <n v="0.54911834971480777"/>
    <x v="2"/>
    <x v="2"/>
    <x v="0"/>
    <x v="0"/>
    <n v="24"/>
    <n v="1"/>
    <d v="2019-10-05T00:00:00"/>
    <s v="AYM-428"/>
    <s v="CHEVROLET"/>
    <s v="SAIL"/>
    <s v="AUTOCLASS S.A.C."/>
  </r>
  <r>
    <s v="005-00000027"/>
    <n v="3044.7542000000003"/>
    <n v="439.48892599999994"/>
    <n v="0"/>
    <n v="59.324067796610173"/>
    <n v="90.45"/>
    <n v="211.05"/>
    <n v="633.15"/>
    <n v="0"/>
    <n v="1433.4629937966101"/>
    <n v="1611.2912062033902"/>
    <n v="0.52920239216794251"/>
    <x v="2"/>
    <x v="3"/>
    <x v="0"/>
    <x v="0"/>
    <n v="20"/>
    <n v="1"/>
    <d v="2019-10-09T00:00:00"/>
    <s v="BHA-218"/>
    <s v="CHEVROLET"/>
    <s v="SAIL"/>
    <s v="AUTOCLASS S.A.C."/>
  </r>
  <r>
    <s v="005-00000018"/>
    <n v="4644.5"/>
    <n v="621.35519875"/>
    <n v="0"/>
    <n v="111.69203389830508"/>
    <n v="120.60000000000001"/>
    <n v="256.27500000000003"/>
    <n v="844.2"/>
    <n v="0"/>
    <n v="1954.1222326483053"/>
    <n v="2690.3777673516947"/>
    <n v="0.57926101137941532"/>
    <x v="2"/>
    <x v="3"/>
    <x v="0"/>
    <x v="0"/>
    <n v="22"/>
    <n v="1"/>
    <d v="2019-10-07T00:00:00"/>
    <s v="AWG-565"/>
    <s v="KIA"/>
    <s v="CERATO"/>
    <s v="AUTOCLASS S.A.C."/>
  </r>
  <r>
    <s v="005-00000029"/>
    <n v="7582.5"/>
    <n v="2229.3106937999996"/>
    <n v="59.322033898305087"/>
    <n v="290.9571186440678"/>
    <n v="226.125"/>
    <n v="256.27500000000003"/>
    <n v="844.2"/>
    <n v="0"/>
    <n v="3906.1898463423731"/>
    <n v="3676.3101536576269"/>
    <n v="0.48484143140885289"/>
    <x v="2"/>
    <x v="2"/>
    <x v="0"/>
    <x v="0"/>
    <n v="20"/>
    <n v="1"/>
    <d v="2019-10-09T00:00:00"/>
    <s v="BEQ-226"/>
    <s v="CHEVROLET"/>
    <s v="SAIL"/>
    <s v="AUTOCLASS S.A.C."/>
  </r>
  <r>
    <s v="005-00000044"/>
    <n v="1735.04779035"/>
    <n v="0"/>
    <n v="0"/>
    <n v="0"/>
    <n v="0"/>
    <n v="150.75"/>
    <n v="334.16250000000002"/>
    <n v="0"/>
    <n v="484.91250000000002"/>
    <n v="1250.1352903500001"/>
    <n v="0.72051922563920756"/>
    <x v="1"/>
    <x v="3"/>
    <x v="0"/>
    <x v="0"/>
    <n v="14"/>
    <n v="1"/>
    <d v="2019-10-15T00:00:00"/>
    <s v="BLA-251"/>
    <s v="CHEVROLET"/>
    <s v="PRISMA"/>
    <s v="RENTAEQUIPOS LEASING PERU S.A."/>
  </r>
  <r>
    <s v="005-00000084"/>
    <n v="1140.57"/>
    <n v="0"/>
    <n v="0"/>
    <n v="51.150000000000006"/>
    <n v="0"/>
    <n v="90.45"/>
    <n v="211.05"/>
    <n v="0"/>
    <n v="352.65000000000003"/>
    <n v="787.91999999999985"/>
    <n v="0.69081248849259569"/>
    <x v="1"/>
    <x v="0"/>
    <x v="0"/>
    <x v="0"/>
    <n v="6"/>
    <n v="1"/>
    <d v="2019-10-23T00:00:00"/>
    <s v="BAF-310"/>
    <s v="MAZDA"/>
    <s v="MAZDA 2"/>
    <s v="RIMAC SEGUROS  Y REASEGUROS S.A"/>
  </r>
  <r>
    <s v="005-00000042"/>
    <n v="350"/>
    <n v="0"/>
    <n v="0"/>
    <n v="0"/>
    <n v="15.075000000000001"/>
    <n v="15.075000000000001"/>
    <n v="70.350000000000009"/>
    <n v="0"/>
    <n v="100.50000000000001"/>
    <n v="249.5"/>
    <n v="0.71285714285714286"/>
    <x v="0"/>
    <x v="0"/>
    <x v="0"/>
    <x v="0"/>
    <n v="15"/>
    <n v="1"/>
    <d v="2019-10-14T00:00:00"/>
    <s v="C3A-411"/>
    <s v="SUZUKI"/>
    <s v="CELERIO"/>
    <s v="FAST ENGENHARIA E MONTAGENS SA"/>
  </r>
  <r>
    <s v="005-00000019"/>
    <n v="6671.5"/>
    <n v="1593.0606048"/>
    <n v="110.16949152542374"/>
    <n v="91.27118644067798"/>
    <n v="150.75"/>
    <n v="376.875"/>
    <n v="1055.25"/>
    <n v="0"/>
    <n v="3377.3762827661017"/>
    <n v="3294.1237172338983"/>
    <n v="0.49376058116374105"/>
    <x v="2"/>
    <x v="2"/>
    <x v="0"/>
    <x v="0"/>
    <n v="23"/>
    <n v="1"/>
    <d v="2019-10-07T00:00:00"/>
    <s v="P2Y-146"/>
    <s v="KIA"/>
    <s v="RIO"/>
    <s v="AUTOCLASS S.A.C."/>
  </r>
  <r>
    <s v="005-00000065"/>
    <n v="3818.7542100000001"/>
    <n v="548.89210930000002"/>
    <n v="0"/>
    <n v="41"/>
    <n v="124.36875000000001"/>
    <n v="150.75"/>
    <n v="703.5"/>
    <n v="0"/>
    <n v="1568.5108593"/>
    <n v="2250.2433507000001"/>
    <n v="0.5892611115969153"/>
    <x v="2"/>
    <x v="3"/>
    <x v="0"/>
    <x v="0"/>
    <n v="11"/>
    <n v="1"/>
    <d v="2019-10-19T00:00:00"/>
    <s v="APA-238"/>
    <s v="HYUNDAY"/>
    <s v="ACCENT"/>
    <s v="EDPYME ACCESO CREDITICIO SOCIEDAD ANONIMA"/>
  </r>
  <r>
    <s v="005-00000088"/>
    <n v="637.93998090000014"/>
    <n v="0"/>
    <n v="0"/>
    <n v="65.325000000000003"/>
    <n v="0"/>
    <n v="30.150000000000002"/>
    <n v="105.52500000000001"/>
    <n v="0"/>
    <n v="201"/>
    <n v="436.93998090000014"/>
    <n v="0.68492333758979806"/>
    <x v="1"/>
    <x v="0"/>
    <x v="0"/>
    <x v="0"/>
    <n v="6"/>
    <n v="1"/>
    <d v="2019-10-24T00:00:00"/>
    <s v="AYW-424"/>
    <s v="KIA"/>
    <s v="SPORTAGE"/>
    <s v="RIMAC SEGUROS  Y REASEGUROS S.A"/>
  </r>
  <r>
    <s v="005-00000092"/>
    <n v="420.41548009270986"/>
    <n v="0"/>
    <n v="0"/>
    <n v="0"/>
    <n v="0"/>
    <n v="30.150000000000002"/>
    <n v="87.9375"/>
    <n v="0"/>
    <n v="118.08750000000001"/>
    <n v="302.32798009270982"/>
    <n v="0.71911714579596497"/>
    <x v="1"/>
    <x v="0"/>
    <x v="0"/>
    <x v="0"/>
    <n v="6"/>
    <n v="1"/>
    <d v="2019-10-24T00:00:00"/>
    <s v="BDM-636"/>
    <s v="MAZDA"/>
    <s v="MAZDA 2"/>
    <s v="RIMAC SEGUROS  Y REASEGUROS S.A"/>
  </r>
  <r>
    <s v="005-00000087"/>
    <n v="961.0989992245801"/>
    <n v="0"/>
    <n v="0"/>
    <n v="80.400000000000006"/>
    <n v="0"/>
    <n v="45.225000000000001"/>
    <n v="158.28749999999999"/>
    <n v="0"/>
    <n v="283.91250000000002"/>
    <n v="677.18649922458007"/>
    <n v="0.70459598831227355"/>
    <x v="1"/>
    <x v="0"/>
    <x v="0"/>
    <x v="0"/>
    <n v="6"/>
    <n v="1"/>
    <d v="2019-10-24T00:00:00"/>
    <s v="AYW-424"/>
    <s v="KIA"/>
    <s v="SPORTAGE"/>
    <s v="RIMAC SEGUROS  Y REASEGUROS S.A"/>
  </r>
  <r>
    <s v="005-00000081"/>
    <n v="794.09900422458009"/>
    <n v="0"/>
    <n v="0"/>
    <n v="30.150000000000002"/>
    <n v="0"/>
    <n v="45.225000000000001"/>
    <n v="140.70000000000002"/>
    <n v="0"/>
    <n v="216.07500000000002"/>
    <n v="578.02400422458004"/>
    <n v="0.72789916767243346"/>
    <x v="1"/>
    <x v="0"/>
    <x v="0"/>
    <x v="0"/>
    <n v="7"/>
    <n v="1"/>
    <d v="2019-10-23T00:00:00"/>
    <s v="ACZ-120"/>
    <s v="TOYOTA"/>
    <s v="RAV4"/>
    <s v="RIMAC SEGUROS  Y REASEGUROS S.A"/>
  </r>
  <r>
    <s v="005-00000078"/>
    <n v="895.1199732"/>
    <n v="0"/>
    <n v="0"/>
    <n v="30.150000000000002"/>
    <n v="0"/>
    <n v="75.375"/>
    <n v="140.70000000000002"/>
    <n v="0"/>
    <n v="246.22500000000002"/>
    <n v="648.89497319999998"/>
    <n v="0.72492514146482456"/>
    <x v="1"/>
    <x v="0"/>
    <x v="0"/>
    <x v="0"/>
    <n v="8"/>
    <n v="1"/>
    <d v="2019-10-22T00:00:00"/>
    <s v="AJB-285"/>
    <s v="MAZDA"/>
    <s v="MAZDA 3 "/>
    <s v="RIMAC SEGUROS  Y REASEGUROS S.A"/>
  </r>
  <r>
    <s v="005-00000068"/>
    <n v="1412.8199577000003"/>
    <n v="0"/>
    <n v="0"/>
    <n v="38.190000000000005"/>
    <n v="0"/>
    <n v="180.9"/>
    <n v="140.70000000000002"/>
    <n v="0"/>
    <n v="359.79"/>
    <n v="1053.0299577000003"/>
    <n v="0.74533910139143278"/>
    <x v="1"/>
    <x v="3"/>
    <x v="0"/>
    <x v="0"/>
    <n v="9"/>
    <n v="1"/>
    <d v="2019-10-21T00:00:00"/>
    <s v="AWY-319"/>
    <s v="JEEP"/>
    <s v="GRAND CHEROKE"/>
    <s v="RENTAEQUIPOS LEASING PERU S.A."/>
  </r>
  <r>
    <s v="005-00000049"/>
    <n v="6587.7542000000003"/>
    <n v="1383.0209572000003"/>
    <n v="76.271186440677965"/>
    <n v="122.32203389830509"/>
    <n v="154.51875000000001"/>
    <n v="241.20000000000002"/>
    <n v="1143.1875"/>
    <n v="0"/>
    <n v="3120.5204275389833"/>
    <n v="3467.233772461017"/>
    <n v="0.52631498796069487"/>
    <x v="2"/>
    <x v="2"/>
    <x v="0"/>
    <x v="0"/>
    <n v="15"/>
    <n v="1"/>
    <d v="2019-10-16T00:00:00"/>
    <s v="AKB-038"/>
    <s v="KIA"/>
    <s v="RIO"/>
    <s v="EDPYME ACCESO CREDITICIO SOCIEDAD ANONIMA"/>
  </r>
  <r>
    <s v="005-00000055"/>
    <n v="3862.7542100000001"/>
    <n v="1395.5710020000001"/>
    <n v="0"/>
    <n v="119.37288135593221"/>
    <n v="154.51875000000001"/>
    <n v="75.375"/>
    <n v="422.1"/>
    <n v="0"/>
    <n v="2166.9376333559321"/>
    <n v="1695.8165766440679"/>
    <n v="0.43901746900020022"/>
    <x v="2"/>
    <x v="0"/>
    <x v="0"/>
    <x v="0"/>
    <n v="15"/>
    <n v="1"/>
    <d v="2019-10-16T00:00:00"/>
    <s v="AEM-292"/>
    <s v="HYUNDAY"/>
    <s v="ACCENT"/>
    <s v="EDPYME ACCESO CREDITICIO SOCIEDAD ANONIMA"/>
  </r>
  <r>
    <s v="005-00000080"/>
    <n v="1595.7984999999999"/>
    <n v="0"/>
    <n v="0"/>
    <n v="15.075000000000001"/>
    <n v="0"/>
    <n v="180.9"/>
    <n v="246.22499999999999"/>
    <n v="0"/>
    <n v="442.2"/>
    <n v="1153.5984999999998"/>
    <n v="0.72289734574885234"/>
    <x v="1"/>
    <x v="3"/>
    <x v="0"/>
    <x v="0"/>
    <n v="8"/>
    <n v="1"/>
    <d v="2019-10-23T00:00:00"/>
    <s v="AFC-362"/>
    <s v="MAZDA"/>
    <s v="MAZDA 6"/>
    <s v="RIMAC SEGUROS  Y REASEGUROS S.A"/>
  </r>
  <r>
    <s v="005-00000020"/>
    <n v="296.61020000000002"/>
    <n v="140.75284975"/>
    <n v="0"/>
    <n v="0"/>
    <n v="40.250250000000001"/>
    <n v="0"/>
    <n v="0"/>
    <n v="0"/>
    <n v="181.00309974999999"/>
    <n v="115.60710025000003"/>
    <n v="0.38976104075315016"/>
    <x v="0"/>
    <x v="1"/>
    <x v="0"/>
    <x v="0"/>
    <n v="0"/>
    <n v="1"/>
    <d v="2019-10-07T00:00:00"/>
    <s v="BAZ-054"/>
    <s v="KIA"/>
    <s v="CERATO"/>
    <s v="MEZA CERNA JUNOR RAUL"/>
  </r>
  <r>
    <s v="005-00000008"/>
    <n v="1041.0838971754199"/>
    <n v="0"/>
    <n v="0"/>
    <n v="0"/>
    <n v="30.150000000000002"/>
    <n v="60.300000000000004"/>
    <n v="211.05"/>
    <n v="0"/>
    <n v="301.5"/>
    <n v="739.58389717541991"/>
    <n v="0.71039797962680618"/>
    <x v="0"/>
    <x v="0"/>
    <x v="0"/>
    <x v="0"/>
    <n v="8"/>
    <n v="1"/>
    <d v="2019-10-04T00:00:00"/>
    <s v="AHK-141"/>
    <s v="NISSAN"/>
    <s v="XTRAIL"/>
    <s v="JOSE ANTONIO MENENDEZ FERNANDEZ"/>
  </r>
  <r>
    <s v="005-00000058"/>
    <n v="237.28810000000001"/>
    <n v="82.528698849999984"/>
    <n v="0"/>
    <n v="0"/>
    <n v="40.250250000000001"/>
    <n v="0"/>
    <n v="0"/>
    <n v="0"/>
    <n v="122.77894884999998"/>
    <n v="114.50915115000004"/>
    <n v="0.48257435223258155"/>
    <x v="0"/>
    <x v="1"/>
    <x v="0"/>
    <x v="0"/>
    <n v="0"/>
    <n v="1"/>
    <d v="2019-10-17T00:00:00"/>
    <s v="B3A-304"/>
    <s v="HONDA"/>
    <s v="CIVIC"/>
    <s v="RIVERA AGUILAR JULIO"/>
  </r>
  <r>
    <s v="005-00000063"/>
    <n v="245.77129000000002"/>
    <n v="103.99239799999999"/>
    <n v="0"/>
    <n v="0"/>
    <n v="40.250250000000001"/>
    <n v="0"/>
    <n v="0"/>
    <n v="0"/>
    <n v="144.242648"/>
    <n v="101.52864200000002"/>
    <n v="0.41310212433681742"/>
    <x v="0"/>
    <x v="1"/>
    <x v="0"/>
    <x v="0"/>
    <n v="0"/>
    <n v="1"/>
    <d v="2019-10-18T00:00:00"/>
    <s v="BJL-074"/>
    <s v="CHERY"/>
    <s v="ARRIZO3"/>
    <s v="LONDOÑO LOPEZ JHAIR"/>
  </r>
  <r>
    <s v="005-00000064"/>
    <n v="29.660999000000007"/>
    <n v="12.711900000000004"/>
    <n v="0"/>
    <n v="0"/>
    <n v="0"/>
    <n v="0"/>
    <n v="0"/>
    <n v="0"/>
    <n v="12.711900000000004"/>
    <n v="16.949099000000004"/>
    <n v="0.57142711208074948"/>
    <x v="0"/>
    <x v="1"/>
    <x v="0"/>
    <x v="0"/>
    <n v="1"/>
    <n v="1"/>
    <d v="2019-10-18T00:00:00"/>
    <s v="ATZ-549"/>
    <s v="HYUNDAY"/>
    <s v="ACCENT"/>
    <s v="GAITAN PEREDA CESAR AUGUSTO"/>
  </r>
  <r>
    <s v="005-00000067"/>
    <n v="331.85589999999996"/>
    <n v="134.0984981"/>
    <n v="0"/>
    <n v="0"/>
    <n v="40.250250000000001"/>
    <n v="0"/>
    <n v="0"/>
    <n v="0"/>
    <n v="174.34874809999999"/>
    <n v="157.50715189999997"/>
    <n v="0.47462513669336598"/>
    <x v="0"/>
    <x v="1"/>
    <x v="0"/>
    <x v="0"/>
    <n v="0"/>
    <n v="1"/>
    <d v="2019-10-21T00:00:00"/>
    <s v="ALX-585"/>
    <s v="KIA"/>
    <s v="RIO"/>
    <s v="SALAZAR OYOLA HECTOR"/>
  </r>
  <r>
    <s v="005-00000074"/>
    <n v="150"/>
    <n v="57.35479879999999"/>
    <n v="0"/>
    <n v="0"/>
    <n v="79.2"/>
    <n v="0"/>
    <n v="0"/>
    <n v="0"/>
    <n v="136.55479879999999"/>
    <n v="13.445201200000014"/>
    <n v="8.9634674666666761E-2"/>
    <x v="0"/>
    <x v="1"/>
    <x v="0"/>
    <x v="0"/>
    <n v="0"/>
    <n v="1"/>
    <d v="2019-10-22T00:00:00"/>
    <s v="BKP389"/>
    <s v="HYUNDAI"/>
    <s v="I10"/>
    <s v="MILAN TRUGILLO FELIX"/>
  </r>
  <r>
    <s v="005-00000061"/>
    <n v="453.15249111000003"/>
    <n v="0"/>
    <n v="0"/>
    <n v="0"/>
    <n v="0"/>
    <n v="75.375"/>
    <n v="140.70000000000002"/>
    <n v="0"/>
    <n v="216.07500000000002"/>
    <n v="237.07749111000001"/>
    <n v="0.5231737566514908"/>
    <x v="1"/>
    <x v="0"/>
    <x v="0"/>
    <x v="0"/>
    <n v="6"/>
    <n v="1"/>
    <d v="2019-10-17T00:00:00"/>
    <s v="BDI-580"/>
    <s v="SUBARU"/>
    <s v="OUTBACK"/>
    <s v="VIALE BORDO JAVIER ALFONSO"/>
  </r>
  <r>
    <s v="005-00000057"/>
    <n v="902.34"/>
    <n v="0"/>
    <n v="0"/>
    <n v="0"/>
    <n v="0"/>
    <n v="60.300000000000004"/>
    <n v="158.28749999999999"/>
    <n v="0"/>
    <n v="218.58750000000001"/>
    <n v="683.75250000000005"/>
    <n v="0.757754837422701"/>
    <x v="0"/>
    <x v="0"/>
    <x v="0"/>
    <x v="0"/>
    <n v="6"/>
    <n v="1"/>
    <d v="2019-10-17T00:00:00"/>
    <s v="F5C-188"/>
    <s v="AUDI"/>
    <s v="Q5"/>
    <s v="BURGA VELASCO DIEGO ADRIAN"/>
  </r>
  <r>
    <s v="005-00000062"/>
    <n v="83.55"/>
    <n v="0"/>
    <n v="0"/>
    <n v="0"/>
    <n v="0"/>
    <n v="45.225000000000001"/>
    <n v="0"/>
    <n v="0"/>
    <n v="45.225000000000001"/>
    <n v="38.324999999999996"/>
    <n v="0.45870736086175939"/>
    <x v="0"/>
    <x v="1"/>
    <x v="0"/>
    <x v="0"/>
    <n v="6"/>
    <n v="1"/>
    <d v="2019-10-17T00:00:00"/>
    <s v="BMA-272"/>
    <s v="GREAT WALL"/>
    <s v="H3"/>
    <s v="VIDANTE CHINCHAY JOAO MARTIN"/>
  </r>
  <r>
    <s v="005-00000066"/>
    <n v="423.72879"/>
    <n v="179.36700285000001"/>
    <n v="0"/>
    <n v="101.69491525423729"/>
    <n v="40.250250000000001"/>
    <n v="0"/>
    <n v="0"/>
    <n v="0"/>
    <n v="321.31216810423729"/>
    <n v="102.41662189576272"/>
    <n v="0.24170324111270022"/>
    <x v="0"/>
    <x v="1"/>
    <x v="0"/>
    <x v="0"/>
    <n v="5"/>
    <n v="1"/>
    <d v="2019-10-21T00:00:00"/>
    <s v="D9K-336"/>
    <s v="KIA"/>
    <s v="SPORTAGE"/>
    <s v="MANLIO BASSINO PINASCO"/>
  </r>
  <r>
    <s v="005-00000083"/>
    <n v="66.799998000000016"/>
    <n v="0"/>
    <n v="0"/>
    <n v="20.100000000000001"/>
    <n v="39.6"/>
    <n v="0"/>
    <n v="0"/>
    <n v="0"/>
    <n v="59.7"/>
    <n v="7.0999980000000136"/>
    <n v="0.10628739839183846"/>
    <x v="1"/>
    <x v="0"/>
    <x v="0"/>
    <x v="0"/>
    <n v="7"/>
    <n v="1"/>
    <d v="2019-10-23T00:00:00"/>
    <s v="AYW-424"/>
    <s v="RENAULT"/>
    <s v="LOGAN"/>
    <s v="MONCADA PIEDRA EDUARDO"/>
  </r>
  <r>
    <s v="005-00000119"/>
    <n v="211.87289000000001"/>
    <n v="68.517799999999994"/>
    <n v="0"/>
    <n v="0"/>
    <n v="40.250250000000001"/>
    <n v="0"/>
    <n v="0"/>
    <n v="0"/>
    <n v="108.76804999999999"/>
    <n v="103.10484000000002"/>
    <n v="0.48663535953089621"/>
    <x v="0"/>
    <x v="1"/>
    <x v="0"/>
    <x v="0"/>
    <n v="0"/>
    <n v="1"/>
    <d v="2019-10-30T00:00:00"/>
    <s v="BKS-073"/>
    <s v="TOYOTA"/>
    <s v="ETIOS"/>
    <s v="CANAZA SANCHEZ VICTOR HORACIO"/>
  </r>
  <r>
    <s v="005-00000122"/>
    <n v="211.87289000000001"/>
    <n v="68.514600000000002"/>
    <n v="0"/>
    <n v="0"/>
    <n v="40.250250000000001"/>
    <n v="0"/>
    <n v="0"/>
    <n v="0"/>
    <n v="108.76485"/>
    <n v="103.10804000000002"/>
    <n v="0.48665046292614411"/>
    <x v="0"/>
    <x v="1"/>
    <x v="0"/>
    <x v="0"/>
    <n v="0"/>
    <n v="1"/>
    <d v="2019-10-31T00:00:00"/>
    <s v="D2E-026"/>
    <s v="TOYOTA"/>
    <s v="COROLLA"/>
    <s v="DE LA CRUZ PESCORAN ADA VERONICA"/>
  </r>
  <r>
    <s v="005-00000086"/>
    <n v="398.53100000000006"/>
    <n v="0"/>
    <n v="0"/>
    <n v="30.150000000000002"/>
    <n v="0"/>
    <n v="15.075000000000001"/>
    <n v="0"/>
    <n v="0"/>
    <n v="45.225000000000001"/>
    <n v="353.30600000000004"/>
    <n v="0.88652074744499165"/>
    <x v="1"/>
    <x v="0"/>
    <x v="1"/>
    <x v="0"/>
    <n v="10"/>
    <n v="1"/>
    <d v="2019-10-23T00:00:00"/>
    <s v="APW-245"/>
    <s v="NISSAN"/>
    <s v="SENTRA"/>
    <s v="RIMAC SEGUROS  Y REASEGUROS S.A"/>
  </r>
  <r>
    <s v="005-00000075"/>
    <n v="1725.0755932999998"/>
    <n v="0"/>
    <n v="0"/>
    <n v="0"/>
    <n v="0"/>
    <n v="211.05"/>
    <n v="158.28749999999999"/>
    <n v="0"/>
    <n v="369.33749999999998"/>
    <n v="1355.7380932999999"/>
    <n v="0.78590068665137613"/>
    <x v="1"/>
    <x v="3"/>
    <x v="1"/>
    <x v="0"/>
    <n v="13"/>
    <n v="1"/>
    <d v="2019-10-22T00:00:00"/>
    <s v="ACT-191"/>
    <s v="SUZUKI"/>
    <s v="SWIFT"/>
    <s v="RIMAC SEGUROS  Y REASEGUROS S.A"/>
  </r>
  <r>
    <s v="005-00000091"/>
    <n v="2655.4560000000001"/>
    <n v="0"/>
    <n v="0"/>
    <n v="91.344999999999999"/>
    <n v="0"/>
    <n v="361.8"/>
    <n v="281.40000000000003"/>
    <n v="0"/>
    <n v="734.54500000000007"/>
    <n v="1920.9110000000001"/>
    <n v="0.72338272598001996"/>
    <x v="1"/>
    <x v="2"/>
    <x v="1"/>
    <x v="0"/>
    <n v="12"/>
    <n v="1"/>
    <d v="2019-10-24T00:00:00"/>
    <s v="F2B-530"/>
    <s v="KIA"/>
    <s v="CERATO"/>
    <s v="RIMAC SEGUROS  Y REASEGUROS S.A"/>
  </r>
  <r>
    <s v="005-00000103"/>
    <n v="960.76800000000003"/>
    <n v="0"/>
    <n v="0"/>
    <n v="121.495"/>
    <n v="0"/>
    <n v="30.150000000000002"/>
    <n v="140.70000000000002"/>
    <n v="0"/>
    <n v="292.34500000000003"/>
    <n v="668.423"/>
    <n v="0.69571738442579267"/>
    <x v="1"/>
    <x v="0"/>
    <x v="1"/>
    <x v="0"/>
    <n v="8"/>
    <n v="1"/>
    <d v="2019-10-28T00:00:00"/>
    <s v="C4A-237"/>
    <s v="KIA"/>
    <s v="RIO"/>
    <s v="RIMAC SEGUROS  Y REASEGUROS S.A"/>
  </r>
  <r>
    <s v="005-00000098"/>
    <n v="1008.378"/>
    <n v="0"/>
    <n v="0"/>
    <n v="76.27"/>
    <n v="0"/>
    <n v="60.300000000000004"/>
    <n v="211.05"/>
    <n v="0"/>
    <n v="347.62"/>
    <n v="660.75800000000004"/>
    <n v="0.65526816332764104"/>
    <x v="1"/>
    <x v="0"/>
    <x v="1"/>
    <x v="0"/>
    <n v="12"/>
    <n v="1"/>
    <d v="2019-10-25T00:00:00"/>
    <s v="A1M-006"/>
    <s v="MINI"/>
    <s v="COOPER"/>
    <s v="PATRON JORGE RICARDO GALLEGOS RIZO"/>
  </r>
  <r>
    <s v="005-00000069"/>
    <n v="9335.7542099999991"/>
    <n v="2408.4089485200006"/>
    <n v="59.32"/>
    <n v="377.09288135593215"/>
    <n v="244.96875"/>
    <n v="527.625"/>
    <n v="1125.6000000000001"/>
    <n v="0"/>
    <n v="4743.0155798759333"/>
    <n v="4592.7386301240658"/>
    <n v="0.49195153672796471"/>
    <x v="2"/>
    <x v="2"/>
    <x v="1"/>
    <x v="0"/>
    <n v="16"/>
    <n v="1"/>
    <d v="2019-10-21T00:00:00"/>
    <s v="ARP-079"/>
    <s v="HYUNDAY"/>
    <s v="ACCENT"/>
    <s v="EDPYME ACCESO CREDITICIO SOCIEDAD ANONIMA"/>
  </r>
  <r>
    <s v="005-00000050"/>
    <n v="9592.2542099999991"/>
    <n v="2494.3001243000003"/>
    <n v="0"/>
    <n v="406.86237288135595"/>
    <n v="350.49375000000003"/>
    <n v="572.85"/>
    <n v="1301.4750000000001"/>
    <n v="0"/>
    <n v="5125.9812471813566"/>
    <n v="4466.2729628186426"/>
    <n v="0.46561244781883682"/>
    <x v="2"/>
    <x v="2"/>
    <x v="1"/>
    <x v="0"/>
    <n v="21"/>
    <n v="1"/>
    <d v="2019-10-16T00:00:00"/>
    <s v="AMJ-333"/>
    <s v="CHEVROLET"/>
    <s v="SAIL"/>
    <s v="EDPYME ACCESO CREDITICIO SOCIEDAD ANONIMA"/>
  </r>
  <r>
    <s v="005-00000085"/>
    <n v="3941.2542100000001"/>
    <n v="743.90671470000007"/>
    <n v="0"/>
    <n v="16.949152542372882"/>
    <n v="139.44374999999999"/>
    <n v="180.9"/>
    <n v="879.375"/>
    <n v="0"/>
    <n v="1960.5746172423731"/>
    <n v="1980.679592757627"/>
    <n v="0.50255058091206628"/>
    <x v="2"/>
    <x v="3"/>
    <x v="1"/>
    <x v="0"/>
    <n v="14"/>
    <n v="1"/>
    <d v="2019-10-23T00:00:00"/>
    <s v="BDS-657"/>
    <s v="CHEVROLET"/>
    <s v="SAIL"/>
    <s v="EDPYME ACCESO CREDITICIO SOCIEDAD ANONIMA"/>
  </r>
  <r>
    <s v="005-00000090"/>
    <n v="8121.2542100000001"/>
    <n v="1140.5525563000001"/>
    <n v="25.423728813559322"/>
    <n v="164.69491525423729"/>
    <n v="305.26875000000001"/>
    <n v="301.5"/>
    <n v="1020.075"/>
    <n v="0"/>
    <n v="2957.5149503677967"/>
    <n v="5163.7392596322034"/>
    <n v="0.6358302703139006"/>
    <x v="2"/>
    <x v="2"/>
    <x v="1"/>
    <x v="0"/>
    <n v="13"/>
    <n v="1"/>
    <d v="2019-10-24T00:00:00"/>
    <s v="ARI-452"/>
    <s v="KIA"/>
    <s v="RIO"/>
    <s v="EDPYME ACCESO CREDITICIO SOCIEDAD ANONIMA"/>
  </r>
  <r>
    <s v="005-00000046"/>
    <n v="7232.7542100000001"/>
    <n v="2267.7121939000003"/>
    <n v="177.96610169491527"/>
    <n v="118.26372881355931"/>
    <n v="139.44374999999999"/>
    <n v="165.82500000000002"/>
    <n v="633.15"/>
    <n v="0"/>
    <n v="3502.3607744084748"/>
    <n v="3730.3934355915253"/>
    <n v="0.51576388845536691"/>
    <x v="2"/>
    <x v="3"/>
    <x v="1"/>
    <x v="0"/>
    <n v="22"/>
    <n v="1"/>
    <d v="2019-10-16T00:00:00"/>
    <s v="BEV-036"/>
    <s v="CHEVROLET"/>
    <s v="COBALT"/>
    <s v="EDPYME ACCESO CREDITICIO SOCIEDAD ANONIMA"/>
  </r>
  <r>
    <s v="005-00000111"/>
    <n v="2358.7460705999997"/>
    <n v="0"/>
    <n v="0"/>
    <n v="106.42"/>
    <n v="0"/>
    <n v="301.5"/>
    <n v="281.40000000000003"/>
    <n v="0"/>
    <n v="689.32"/>
    <n v="1669.4260705999995"/>
    <n v="0.70775997951120861"/>
    <x v="1"/>
    <x v="2"/>
    <x v="1"/>
    <x v="0"/>
    <n v="9"/>
    <n v="1"/>
    <d v="2019-10-29T00:00:00"/>
    <s v="ARV-341"/>
    <s v="HYUNDAY"/>
    <s v="ELANTRA"/>
    <s v="RIMAC SEGUROS  Y REASEGUROS S.A"/>
  </r>
  <r>
    <s v="005-00000146"/>
    <n v="1012.7127990000001"/>
    <n v="0"/>
    <n v="0"/>
    <n v="0"/>
    <n v="0"/>
    <n v="90.45"/>
    <n v="140.70000000000002"/>
    <n v="0"/>
    <n v="231.15000000000003"/>
    <n v="781.56279900000004"/>
    <n v="0.77175167507683484"/>
    <x v="1"/>
    <x v="0"/>
    <x v="1"/>
    <x v="0"/>
    <n v="2"/>
    <n v="1"/>
    <d v="2019-11-06T00:00:00"/>
    <s v="BKP-647"/>
    <s v="TOYOTA"/>
    <s v="AVANZA"/>
    <s v="JUAN SMITH ORTIZ ORTIZ"/>
  </r>
  <r>
    <s v="005-00000147"/>
    <n v="669.02842915500003"/>
    <n v="0"/>
    <n v="0"/>
    <n v="0"/>
    <n v="0"/>
    <n v="0"/>
    <n v="0"/>
    <n v="0"/>
    <n v="0"/>
    <n v="669.02842915500003"/>
    <n v="1"/>
    <x v="0"/>
    <x v="0"/>
    <x v="1"/>
    <x v="0"/>
    <n v="2"/>
    <n v="1"/>
    <d v="2019-11-06T00:00:00"/>
    <s v="BKP647"/>
    <s v="TOYOTA"/>
    <s v="AVANZA"/>
    <s v="JUAN SMITH ORTIZ ORTIZ"/>
  </r>
  <r>
    <s v="005-00000095"/>
    <n v="1214.2350000000001"/>
    <n v="0"/>
    <n v="0"/>
    <n v="76.27"/>
    <n v="0"/>
    <n v="120.60000000000001"/>
    <n v="140.70000000000002"/>
    <n v="0"/>
    <n v="337.57000000000005"/>
    <n v="876.66500000000008"/>
    <n v="0.7219895654465569"/>
    <x v="1"/>
    <x v="3"/>
    <x v="1"/>
    <x v="0"/>
    <n v="14"/>
    <n v="1"/>
    <d v="2019-10-25T00:00:00"/>
    <s v="ASK-203"/>
    <s v="MAZDA"/>
    <s v="CX3"/>
    <s v="RIMAC SEGUROS  Y REASEGUROS S.A"/>
  </r>
  <r>
    <s v="005-00000089"/>
    <n v="8653.0084100000004"/>
    <n v="2320.8552497199998"/>
    <n v="504.66254237288098"/>
    <n v="302.95"/>
    <n v="244.96875"/>
    <n v="542.70000000000005"/>
    <n v="1195.95"/>
    <n v="0"/>
    <n v="5112.0865420928803"/>
    <n v="3540.92186790712"/>
    <n v="0.40921280786171338"/>
    <x v="2"/>
    <x v="2"/>
    <x v="1"/>
    <x v="0"/>
    <n v="16"/>
    <n v="1"/>
    <d v="2019-10-24T00:00:00"/>
    <s v="APB-579"/>
    <s v="HYUNDAY"/>
    <s v="ACCENT"/>
    <s v="EDPYME ACCESO CREDITICIO SOCIEDAD ANONIMA"/>
  </r>
  <r>
    <s v="005-00000100"/>
    <n v="298.41699110000002"/>
    <n v="0"/>
    <n v="0"/>
    <n v="0"/>
    <n v="0"/>
    <n v="15.075000000000001"/>
    <n v="0"/>
    <n v="0"/>
    <n v="15.075000000000001"/>
    <n v="283.34199110000003"/>
    <n v="0.94948343945017422"/>
    <x v="1"/>
    <x v="0"/>
    <x v="1"/>
    <x v="0"/>
    <n v="14"/>
    <n v="1"/>
    <d v="2019-10-26T00:00:00"/>
    <s v="BKX-624"/>
    <s v="MAZDA"/>
    <s v="CX3"/>
    <s v="RIMAC SEGUROS  Y REASEGUROS S.A"/>
  </r>
  <r>
    <s v="005-00000134"/>
    <n v="217.12082612457999"/>
    <n v="0"/>
    <n v="0"/>
    <n v="0"/>
    <n v="0"/>
    <n v="0"/>
    <n v="0"/>
    <n v="0"/>
    <n v="0"/>
    <n v="217.12082612457999"/>
    <n v="1"/>
    <x v="0"/>
    <x v="0"/>
    <x v="1"/>
    <x v="0"/>
    <n v="5"/>
    <n v="1"/>
    <d v="2019-11-04T00:00:00"/>
    <s v="BKX624"/>
    <s v="MAZDA"/>
    <s v="CX3"/>
    <s v="RENTAEQUIPOS LEASING PERU S.A."/>
  </r>
  <r>
    <s v="005-00000110"/>
    <n v="796.33747625000001"/>
    <n v="0"/>
    <n v="0"/>
    <n v="0"/>
    <n v="0"/>
    <n v="60.300000000000004"/>
    <n v="175.875"/>
    <n v="0"/>
    <n v="236.17500000000001"/>
    <n v="560.16247625000005"/>
    <n v="0.70342347680011008"/>
    <x v="1"/>
    <x v="0"/>
    <x v="1"/>
    <x v="0"/>
    <n v="14"/>
    <n v="1"/>
    <d v="2019-10-28T00:00:00"/>
    <s v="ANJ-035"/>
    <s v="RENAULT"/>
    <s v="LOGAN"/>
    <s v="RENTAEQUIPOS LEASING PERU S.A."/>
  </r>
  <r>
    <s v="005-00000118"/>
    <n v="466.06698610000001"/>
    <n v="0"/>
    <n v="0"/>
    <n v="50.25"/>
    <n v="0"/>
    <n v="15.075000000000001"/>
    <n v="70.350000000000009"/>
    <n v="0"/>
    <n v="135.67500000000001"/>
    <n v="330.3919861"/>
    <n v="0.70889377697546385"/>
    <x v="1"/>
    <x v="0"/>
    <x v="1"/>
    <x v="0"/>
    <n v="13"/>
    <n v="1"/>
    <d v="2019-10-29T00:00:00"/>
    <s v="ANE-312"/>
    <s v="RENAULT"/>
    <s v="LOGAN"/>
    <s v="RIMAC SEGUROS  Y REASEGUROS S.A"/>
  </r>
  <r>
    <s v="005-00000115"/>
    <n v="423.33033338657947"/>
    <n v="0"/>
    <n v="0"/>
    <n v="15.075000000000001"/>
    <n v="0"/>
    <n v="30.150000000000002"/>
    <n v="70.350000000000009"/>
    <n v="0"/>
    <n v="115.57500000000002"/>
    <n v="307.75533338657942"/>
    <n v="0.72698625426763708"/>
    <x v="1"/>
    <x v="0"/>
    <x v="1"/>
    <x v="0"/>
    <n v="13"/>
    <n v="1"/>
    <d v="2019-10-29T00:00:00"/>
    <s v="AWV-260"/>
    <s v="MAZDA"/>
    <s v="CX9"/>
    <s v="RENTAEQUIPOS LEASING PERU S.A."/>
  </r>
  <r>
    <s v="005-00000116"/>
    <n v="3727.7117549545787"/>
    <n v="0"/>
    <n v="0"/>
    <n v="0"/>
    <n v="0"/>
    <n v="180.9"/>
    <n v="756.26250000000005"/>
    <n v="0"/>
    <n v="937.16250000000002"/>
    <n v="2790.5492549545788"/>
    <n v="0.74859577091646157"/>
    <x v="0"/>
    <x v="0"/>
    <x v="1"/>
    <x v="0"/>
    <n v="13"/>
    <n v="1"/>
    <d v="2019-10-29T00:00:00"/>
    <s v="ATF-409"/>
    <s v="BWM"/>
    <s v="520I"/>
    <s v="RENTAEQUIPOS LEASING PERU S.A."/>
  </r>
  <r>
    <s v="005-00000160"/>
    <n v="520"/>
    <n v="259.91320001999998"/>
    <n v="0"/>
    <n v="20.34"/>
    <n v="40.250250000000001"/>
    <n v="0"/>
    <n v="0"/>
    <n v="0"/>
    <n v="320.50345001999995"/>
    <n v="199.49654998000005"/>
    <n v="0.38364721150000008"/>
    <x v="0"/>
    <x v="1"/>
    <x v="1"/>
    <x v="0"/>
    <n v="5"/>
    <n v="1"/>
    <d v="2019-11-07T00:00:00"/>
    <s v="AHQ-605"/>
    <s v="FORD"/>
    <s v="EXPLORER"/>
    <s v="MASEDI CONTRATISTAS GENERALES SAC"/>
  </r>
  <r>
    <s v="005-00000173"/>
    <n v="350"/>
    <n v="0"/>
    <n v="0"/>
    <n v="0"/>
    <n v="15.075000000000001"/>
    <n v="0"/>
    <n v="0"/>
    <n v="0"/>
    <n v="15.075000000000001"/>
    <n v="334.92500000000001"/>
    <n v="0.95692857142857146"/>
    <x v="2"/>
    <x v="3"/>
    <x v="1"/>
    <x v="0"/>
    <n v="0"/>
    <n v="1"/>
    <d v="2019-11-12T00:00:00"/>
    <s v="APB-579"/>
    <s v="HYUNDAI"/>
    <s v="ACCENT"/>
    <s v="EDPYME ACCESO CREDITICIO SOCIEDAD ANONIMA"/>
  </r>
  <r>
    <s v="005-00000048"/>
    <n v="10169.50841"/>
    <n v="2652.2064507200002"/>
    <n v="0"/>
    <n v="120"/>
    <n v="124.36875000000001"/>
    <n v="1055.25"/>
    <n v="1266.3"/>
    <n v="0"/>
    <n v="5218.1252007200001"/>
    <n v="4951.3832092800003"/>
    <n v="0.48688520719557576"/>
    <x v="2"/>
    <x v="2"/>
    <x v="1"/>
    <x v="0"/>
    <n v="27"/>
    <n v="1"/>
    <d v="2019-10-16T00:00:00"/>
    <s v="AKZ-422"/>
    <s v="HYUNDAY"/>
    <s v="ACCENT"/>
    <s v="EDPYME ACCESO CREDITICIO SOCIEDAD ANONIMA"/>
  </r>
  <r>
    <s v="005-00000162"/>
    <n v="315"/>
    <n v="97.930245999999997"/>
    <n v="0"/>
    <n v="0"/>
    <n v="45.225000000000001"/>
    <n v="0"/>
    <n v="0"/>
    <n v="0"/>
    <n v="143.15524600000001"/>
    <n v="171.84475399999999"/>
    <n v="0.54553890158730156"/>
    <x v="2"/>
    <x v="3"/>
    <x v="1"/>
    <x v="0"/>
    <n v="4"/>
    <n v="1"/>
    <d v="2019-11-08T00:00:00"/>
    <s v="F0S-053"/>
    <s v="NISSAN"/>
    <s v="SENTRA"/>
    <s v="EDPYME ACCESO CREDITICIO SOCIEDAD ANONIMA"/>
  </r>
  <r>
    <s v="005-00000113"/>
    <n v="2488.533236415421"/>
    <n v="0"/>
    <n v="0"/>
    <n v="99.825000000000003"/>
    <n v="0"/>
    <n v="271.35000000000002"/>
    <n v="369.33750000000003"/>
    <n v="0"/>
    <n v="740.51250000000005"/>
    <n v="1748.020736415421"/>
    <n v="0.70243013468180049"/>
    <x v="1"/>
    <x v="2"/>
    <x v="1"/>
    <x v="0"/>
    <n v="14"/>
    <n v="1"/>
    <d v="2019-10-29T00:00:00"/>
    <s v="BEJ-174"/>
    <s v="VOLKSWAGEN"/>
    <s v="GOL"/>
    <s v="RIMAC SEGUROS  Y REASEGUROS S.A"/>
  </r>
  <r>
    <s v="005-00000130"/>
    <n v="299.39600890000003"/>
    <n v="0"/>
    <n v="0"/>
    <n v="0"/>
    <n v="0"/>
    <n v="22.612500000000001"/>
    <n v="70.350000000000009"/>
    <n v="0"/>
    <n v="92.962500000000006"/>
    <n v="206.43350890000002"/>
    <n v="0.68949986894765181"/>
    <x v="2"/>
    <x v="0"/>
    <x v="1"/>
    <x v="0"/>
    <n v="8"/>
    <n v="1"/>
    <d v="2019-11-04T00:00:00"/>
    <s v="C4W-101"/>
    <s v="CHEVROLET"/>
    <s v="CRUZE"/>
    <s v="RIMAC SEGUROS  Y REASEGUROS S.A"/>
  </r>
  <r>
    <s v="005-00000155"/>
    <n v="299.39600890000003"/>
    <n v="0"/>
    <n v="0"/>
    <n v="0"/>
    <n v="0"/>
    <n v="22.612500000000001"/>
    <n v="70.350000000000009"/>
    <n v="0"/>
    <n v="92.962500000000006"/>
    <n v="206.43350890000002"/>
    <n v="0.68949986894765181"/>
    <x v="2"/>
    <x v="0"/>
    <x v="1"/>
    <x v="0"/>
    <n v="6"/>
    <n v="1"/>
    <d v="2019-11-06T00:00:00"/>
    <s v="C4W-101"/>
    <s v="CHEVROLET"/>
    <s v="CRUZE"/>
    <s v="RIMAC SEGUROS  Y REASEGUROS S.A"/>
  </r>
  <r>
    <s v="005-00000164"/>
    <n v="725"/>
    <n v="451.82970020000005"/>
    <n v="0"/>
    <n v="0"/>
    <n v="45.225000000000001"/>
    <n v="0"/>
    <n v="0"/>
    <n v="0"/>
    <n v="497.05470020000007"/>
    <n v="227.94529979999993"/>
    <n v="0.31440731006896544"/>
    <x v="2"/>
    <x v="3"/>
    <x v="1"/>
    <x v="0"/>
    <n v="5"/>
    <n v="1"/>
    <d v="2019-11-08T00:00:00"/>
    <s v="F1P-230"/>
    <s v="CHEVROLET"/>
    <s v="SAIL"/>
    <s v="EDPYME ACCESO CREDITICIO SOCIEDAD ANONIMA"/>
  </r>
  <r>
    <s v="005-00000159"/>
    <n v="427.06398734999999"/>
    <n v="0"/>
    <n v="0"/>
    <n v="0"/>
    <n v="0"/>
    <n v="30.150000000000002"/>
    <n v="70.350000000000009"/>
    <n v="0"/>
    <n v="100.50000000000001"/>
    <n v="326.56398734999999"/>
    <n v="0.76467226697428059"/>
    <x v="1"/>
    <x v="0"/>
    <x v="1"/>
    <x v="0"/>
    <n v="6"/>
    <n v="1"/>
    <d v="2019-11-07T00:00:00"/>
    <s v="AXA-172"/>
    <s v="CHEVROLET"/>
    <s v="TRAVERSE"/>
    <s v="RENTAEQUIPOS LEASING PERU S.A."/>
  </r>
  <r>
    <s v="005-00000137"/>
    <n v="501.33598514999989"/>
    <n v="0"/>
    <n v="0"/>
    <n v="0"/>
    <n v="0"/>
    <n v="30.150000000000002"/>
    <n v="70.350000000000009"/>
    <n v="0"/>
    <n v="100.50000000000001"/>
    <n v="400.83598514999989"/>
    <n v="0.79953563482994272"/>
    <x v="1"/>
    <x v="0"/>
    <x v="1"/>
    <x v="0"/>
    <n v="9"/>
    <n v="1"/>
    <d v="2019-11-04T00:00:00"/>
    <s v="AXA-172"/>
    <s v="CHEVROLET"/>
    <s v="TRAVERSE"/>
    <s v="RENTAEQUIPOS LEASING PERU S.A."/>
  </r>
  <r>
    <s v="005-00000140"/>
    <n v="1109.184"/>
    <n v="0"/>
    <n v="0"/>
    <n v="0"/>
    <n v="0"/>
    <n v="0"/>
    <n v="0"/>
    <n v="0"/>
    <n v="0"/>
    <n v="1109.184"/>
    <n v="1"/>
    <x v="1"/>
    <x v="0"/>
    <x v="1"/>
    <x v="0"/>
    <n v="9"/>
    <n v="1"/>
    <d v="2019-11-05T00:00:00"/>
    <s v="B2F354"/>
    <s v="VOLKSWAGEN"/>
    <s v="TIGUAN"/>
    <s v="ALVARO MARQUEZ VERTIZ"/>
  </r>
  <r>
    <s v="005-00000052"/>
    <n v="9874.7542099999991"/>
    <n v="3422.1936281999997"/>
    <n v="402.54"/>
    <n v="343.93"/>
    <n v="194.76900000000001"/>
    <n v="422.1"/>
    <n v="1160.7750000000001"/>
    <n v="0"/>
    <n v="5946.3076282000002"/>
    <n v="3928.446581799999"/>
    <n v="0.39782727734344281"/>
    <x v="2"/>
    <x v="2"/>
    <x v="1"/>
    <x v="0"/>
    <n v="29"/>
    <n v="1"/>
    <d v="2019-10-16T00:00:00"/>
    <s v="F5O-086"/>
    <s v="NISSAN"/>
    <s v="TIIDA"/>
    <s v="EDPYME ACCESO CREDITICIO SOCIEDAD ANONIMA"/>
  </r>
  <r>
    <s v="005-00000051"/>
    <n v="7838.7542100000001"/>
    <n v="1181.2768385200002"/>
    <n v="55.08"/>
    <n v="397.27288135593216"/>
    <n v="169.59375"/>
    <n v="648.22500000000002"/>
    <n v="1195.95"/>
    <n v="0"/>
    <n v="3647.3984698759323"/>
    <n v="4191.3557401240678"/>
    <n v="0.53469666580144859"/>
    <x v="2"/>
    <x v="2"/>
    <x v="1"/>
    <x v="0"/>
    <n v="29"/>
    <n v="1"/>
    <d v="2019-10-16T00:00:00"/>
    <s v="ANZ-637"/>
    <s v="CHEVROLET"/>
    <s v="SAIL"/>
    <s v="EDPYME ACCESO CREDITICIO SOCIEDAD ANONIMA"/>
  </r>
  <r>
    <s v="005-00000163"/>
    <n v="1893"/>
    <n v="127.11859799999998"/>
    <n v="372.2"/>
    <n v="38.130000000000003"/>
    <n v="15.075000000000001"/>
    <n v="45.225000000000001"/>
    <n v="0"/>
    <n v="0"/>
    <n v="597.74859800000002"/>
    <n v="1295.2514019999999"/>
    <n v="0.68423211938721595"/>
    <x v="2"/>
    <x v="0"/>
    <x v="1"/>
    <x v="0"/>
    <n v="6"/>
    <n v="1"/>
    <d v="2019-11-08T00:00:00"/>
    <s v="F2I-424"/>
    <s v="BYD"/>
    <s v="F3"/>
    <s v="EDPYME ACCESO CREDITICIO SOCIEDAD ANONIMA"/>
  </r>
  <r>
    <s v="005-00000151"/>
    <n v="9795.7542099999991"/>
    <n v="2058.18480142"/>
    <n v="320"/>
    <n v="663.22000000000014"/>
    <n v="335.41874999999999"/>
    <n v="512.55000000000007"/>
    <n v="1266.3"/>
    <n v="0"/>
    <n v="5155.67355142"/>
    <n v="4640.0806585799992"/>
    <n v="0.47368283841209197"/>
    <x v="2"/>
    <x v="2"/>
    <x v="1"/>
    <x v="0"/>
    <n v="8"/>
    <n v="1"/>
    <d v="2019-11-06T00:00:00"/>
    <s v="AMD-392"/>
    <s v="HYUNDAI"/>
    <s v="ACCENT"/>
    <s v="EDPYME ACCESO CREDITICIO SOCIEDAD ANONIMA"/>
  </r>
  <r>
    <s v="005-00000047"/>
    <n v="9086.7542099999991"/>
    <n v="2303.6169537200003"/>
    <n v="563.56474576271182"/>
    <n v="234.37"/>
    <n v="199.74375000000001"/>
    <n v="482.40000000000003"/>
    <n v="1266.3"/>
    <n v="0"/>
    <n v="5049.9954494827125"/>
    <n v="4036.7587605172866"/>
    <n v="0.44424650070041755"/>
    <x v="2"/>
    <x v="2"/>
    <x v="1"/>
    <x v="0"/>
    <n v="29"/>
    <n v="1"/>
    <d v="2019-10-16T00:00:00"/>
    <s v="AXC-049"/>
    <s v="KIA"/>
    <s v="RIO"/>
    <s v="EDPYME ACCESO CREDITICIO SOCIEDAD ANONIMA"/>
  </r>
  <r>
    <s v="005-00000141"/>
    <n v="1093.9199999999998"/>
    <n v="0"/>
    <n v="0"/>
    <n v="0"/>
    <n v="0"/>
    <n v="75.375"/>
    <n v="140.70000000000002"/>
    <n v="0"/>
    <n v="216.07500000000002"/>
    <n v="877.8449999999998"/>
    <n v="0.80247641509433953"/>
    <x v="1"/>
    <x v="0"/>
    <x v="1"/>
    <x v="0"/>
    <n v="9"/>
    <n v="1"/>
    <d v="2019-11-05T00:00:00"/>
    <s v="AJV-347"/>
    <s v="MERCEDEZ EBNZ"/>
    <s v="E500"/>
    <s v="LUIS ALEJANDRO ARRIARAN SIERRALTA"/>
  </r>
  <r>
    <s v="005-00000144"/>
    <n v="1163.4559999999999"/>
    <n v="0"/>
    <n v="0"/>
    <n v="0"/>
    <n v="0"/>
    <n v="165.82500000000002"/>
    <n v="140.70000000000002"/>
    <n v="0"/>
    <n v="306.52500000000003"/>
    <n v="856.93099999999981"/>
    <n v="0.73653924170746454"/>
    <x v="1"/>
    <x v="3"/>
    <x v="1"/>
    <x v="0"/>
    <n v="9"/>
    <n v="1"/>
    <d v="2019-11-05T00:00:00"/>
    <s v="AXC-070"/>
    <s v="NISSAN"/>
    <s v="KICKS"/>
    <s v="FERNANDO ANTONIO MOLINA SHULLCA"/>
  </r>
  <r>
    <s v="005-00000161"/>
    <n v="339.22882860800001"/>
    <n v="0"/>
    <n v="0"/>
    <n v="0"/>
    <n v="0"/>
    <n v="30.150000000000002"/>
    <n v="70.350000000000009"/>
    <n v="0"/>
    <n v="100.50000000000001"/>
    <n v="238.72882860800001"/>
    <n v="0.70373980179575479"/>
    <x v="0"/>
    <x v="0"/>
    <x v="1"/>
    <x v="0"/>
    <n v="7"/>
    <n v="1"/>
    <d v="2019-11-07T00:00:00"/>
    <s v="AXC-070"/>
    <s v="NISSAN"/>
    <s v="KICKS"/>
    <s v="FERNANDO ANTONIO MOLINA SHULLCA"/>
  </r>
  <r>
    <s v="005-00000150"/>
    <n v="654.65599999999995"/>
    <n v="0"/>
    <n v="0"/>
    <n v="0"/>
    <n v="0"/>
    <n v="45.225000000000001"/>
    <n v="140.70000000000002"/>
    <n v="0"/>
    <n v="185.92500000000001"/>
    <n v="468.73099999999994"/>
    <n v="0.71599588180662821"/>
    <x v="1"/>
    <x v="0"/>
    <x v="1"/>
    <x v="0"/>
    <n v="8"/>
    <n v="1"/>
    <d v="2019-11-06T00:00:00"/>
    <s v="B8U-602"/>
    <s v="SUBARU"/>
    <s v="FORESTER"/>
    <s v="RIMAC SEGUROS  Y REASEGUROS S.A"/>
  </r>
  <r>
    <s v="005-00000132"/>
    <n v="1763.84"/>
    <n v="0"/>
    <n v="0"/>
    <n v="86.27"/>
    <n v="0"/>
    <n v="75.375"/>
    <n v="351.75"/>
    <n v="0"/>
    <n v="513.39499999999998"/>
    <n v="1250.4449999999999"/>
    <n v="0.70893334996371549"/>
    <x v="1"/>
    <x v="0"/>
    <x v="1"/>
    <x v="0"/>
    <n v="10"/>
    <n v="1"/>
    <d v="2019-11-04T00:00:00"/>
    <s v="AWQ-505"/>
    <s v="NISSAN"/>
    <s v="SENTRA"/>
    <s v="RIMAC SEGUROS  Y REASEGUROS S.A"/>
  </r>
  <r>
    <s v="005-00000156"/>
    <n v="1261.4520000000002"/>
    <n v="0"/>
    <n v="0"/>
    <n v="0"/>
    <n v="0"/>
    <n v="120.60000000000001"/>
    <n v="211.05"/>
    <n v="0"/>
    <n v="331.65000000000003"/>
    <n v="929.80200000000013"/>
    <n v="0.73708868827351337"/>
    <x v="1"/>
    <x v="0"/>
    <x v="1"/>
    <x v="0"/>
    <n v="8"/>
    <n v="1"/>
    <d v="2019-11-07T00:00:00"/>
    <s v="BKQ-223"/>
    <s v="TOYOTA"/>
    <s v="ETIOS"/>
    <s v="ECOLAB PERU HOLDINGS S.R.L."/>
  </r>
  <r>
    <s v="005-00000153"/>
    <n v="1770.1019999999999"/>
    <n v="0"/>
    <n v="0"/>
    <n v="0"/>
    <n v="0"/>
    <n v="180.9"/>
    <n v="211.05"/>
    <n v="0"/>
    <n v="391.95000000000005"/>
    <n v="1378.1519999999998"/>
    <n v="0.77857208228678343"/>
    <x v="1"/>
    <x v="3"/>
    <x v="1"/>
    <x v="0"/>
    <n v="9"/>
    <n v="1"/>
    <d v="2019-11-06T00:00:00"/>
    <s v="AXN-474"/>
    <s v="NISSAN"/>
    <s v="VERSA"/>
    <s v="RIMAC SEGUROS  Y REASEGUROS S.A"/>
  </r>
  <r>
    <s v="005-00000123"/>
    <n v="2491.5515261099999"/>
    <n v="46.610001000000004"/>
    <n v="0"/>
    <n v="0"/>
    <n v="0"/>
    <n v="211.05"/>
    <n v="281.40000000000003"/>
    <n v="0"/>
    <n v="539.06000100000006"/>
    <n v="1952.4915251099999"/>
    <n v="0.78364485126999495"/>
    <x v="1"/>
    <x v="3"/>
    <x v="1"/>
    <x v="0"/>
    <n v="15"/>
    <n v="1"/>
    <d v="2019-10-31T00:00:00"/>
    <s v="AXX-712"/>
    <s v="CHEVROLET"/>
    <s v="N300"/>
    <s v="RIMAC SEGUROS  Y REASEGUROS S.A"/>
  </r>
  <r>
    <s v="005-00000125"/>
    <n v="1494.2389556999997"/>
    <n v="0"/>
    <n v="0"/>
    <n v="0"/>
    <n v="0"/>
    <n v="241.20000000000002"/>
    <n v="140.70000000000002"/>
    <n v="0"/>
    <n v="381.90000000000003"/>
    <n v="1112.3389556999996"/>
    <n v="0.74441838867660026"/>
    <x v="1"/>
    <x v="2"/>
    <x v="1"/>
    <x v="0"/>
    <n v="14"/>
    <n v="1"/>
    <d v="2019-11-02T00:00:00"/>
    <s v="AKY-655"/>
    <s v="HONDA"/>
    <s v="CRV"/>
    <s v="RIMAC SEGUROS  Y REASEGUROS S.A"/>
  </r>
  <r>
    <s v="005-00000128"/>
    <n v="1293.3740795250806"/>
    <n v="0"/>
    <n v="0"/>
    <n v="0"/>
    <n v="0"/>
    <n v="45.225000000000001"/>
    <n v="246.22499999999999"/>
    <n v="0"/>
    <n v="291.45"/>
    <n v="1001.9240795250805"/>
    <n v="0.7746591611708975"/>
    <x v="1"/>
    <x v="0"/>
    <x v="1"/>
    <x v="0"/>
    <n v="12"/>
    <n v="1"/>
    <d v="2019-11-04T00:00:00"/>
    <s v="AXV-440"/>
    <s v="MAZDA"/>
    <s v="CX5"/>
    <s v="RIMAC SEGUROS  Y REASEGUROS S.A"/>
  </r>
  <r>
    <s v="005-00000139"/>
    <n v="752.1789776999999"/>
    <n v="0"/>
    <n v="0"/>
    <n v="0"/>
    <n v="0"/>
    <n v="60.300000000000004"/>
    <n v="140.70000000000002"/>
    <n v="0"/>
    <n v="201.00000000000003"/>
    <n v="551.1789776999999"/>
    <n v="0.73277636578648553"/>
    <x v="1"/>
    <x v="0"/>
    <x v="1"/>
    <x v="0"/>
    <n v="13"/>
    <n v="1"/>
    <d v="2019-11-05T00:00:00"/>
    <s v="ATT-292"/>
    <s v="CHEVROLET"/>
    <s v="CRUZE"/>
    <s v="RIMAC SEGUROS  Y REASEGUROS S.A"/>
  </r>
  <r>
    <s v="005-00000135"/>
    <n v="1106.3439672"/>
    <n v="0"/>
    <n v="0"/>
    <n v="0"/>
    <n v="0"/>
    <n v="75.375"/>
    <n v="140.70000000000002"/>
    <n v="0"/>
    <n v="216.07500000000002"/>
    <n v="890.26896719999991"/>
    <n v="0.80469455575660132"/>
    <x v="1"/>
    <x v="0"/>
    <x v="1"/>
    <x v="0"/>
    <n v="14"/>
    <n v="1"/>
    <d v="2019-11-04T00:00:00"/>
    <s v="ATF-661"/>
    <s v="HONDA"/>
    <s v="PILOT"/>
    <s v="RIMAC SEGUROS  Y REASEGUROS S.A"/>
  </r>
  <r>
    <s v="005-00000126"/>
    <n v="1038.8839691999999"/>
    <n v="0"/>
    <n v="0"/>
    <n v="0"/>
    <n v="0"/>
    <n v="135.67500000000001"/>
    <n v="140.70000000000002"/>
    <n v="0"/>
    <n v="276.375"/>
    <n v="762.50896919999991"/>
    <n v="0.73396932843922447"/>
    <x v="1"/>
    <x v="3"/>
    <x v="1"/>
    <x v="0"/>
    <n v="16"/>
    <n v="1"/>
    <d v="2019-11-02T00:00:00"/>
    <s v="ATF-661"/>
    <s v="HONDA"/>
    <s v="PILOT"/>
    <s v="RIMAC SEGUROS  Y REASEGUROS S.A"/>
  </r>
  <r>
    <s v="005-00000099"/>
    <n v="1507.2839999999999"/>
    <n v="0"/>
    <n v="0"/>
    <n v="0"/>
    <n v="0"/>
    <n v="120.60000000000001"/>
    <n v="211.05"/>
    <n v="0"/>
    <n v="331.65000000000003"/>
    <n v="1175.6339999999998"/>
    <n v="0.77996847309465234"/>
    <x v="1"/>
    <x v="3"/>
    <x v="1"/>
    <x v="0"/>
    <n v="24"/>
    <n v="1"/>
    <d v="2019-10-26T00:00:00"/>
    <s v="BLO-680"/>
    <s v="TOYOTA"/>
    <s v="RUSH"/>
    <s v="RIMAC SEGUROS  Y REASEGUROS S.A"/>
  </r>
  <r>
    <s v="005-00000145"/>
    <n v="1849.21"/>
    <n v="0"/>
    <n v="0"/>
    <n v="0"/>
    <n v="0"/>
    <n v="135.67500000000001"/>
    <n v="140.70000000000002"/>
    <n v="0"/>
    <n v="276.375"/>
    <n v="1572.835"/>
    <n v="0.85054428647909108"/>
    <x v="3"/>
    <x v="0"/>
    <x v="1"/>
    <x v="0"/>
    <n v="15"/>
    <n v="1"/>
    <d v="2019-11-05T00:00:00"/>
    <s v="BCP-022"/>
    <s v="HONDA"/>
    <s v="CRV"/>
    <s v="INTEROC SOCIEDAD ANONIMA"/>
  </r>
  <r>
    <s v="005-00000148"/>
    <n v="1557.8099501999998"/>
    <n v="0"/>
    <n v="0"/>
    <n v="10"/>
    <n v="40.250250000000001"/>
    <n v="75.375"/>
    <n v="298.98750000000001"/>
    <n v="0"/>
    <n v="424.61275000000001"/>
    <n v="1133.1972001999998"/>
    <n v="0.72742968425289234"/>
    <x v="1"/>
    <x v="0"/>
    <x v="1"/>
    <x v="0"/>
    <n v="14"/>
    <n v="1"/>
    <d v="2019-11-06T00:00:00"/>
    <s v="APU-227"/>
    <s v="HYUNDAI"/>
    <s v="I20"/>
    <s v="RIMAC SEGUROS  Y REASEGUROS S.A"/>
  </r>
  <r>
    <s v="005-00000169"/>
    <n v="1326.2114501999999"/>
    <n v="5.4759001999999999"/>
    <n v="0"/>
    <n v="84.75"/>
    <n v="0"/>
    <n v="90.45"/>
    <n v="193.46250000000001"/>
    <n v="0"/>
    <n v="374.13840019999998"/>
    <n v="952.07304999999997"/>
    <n v="0.7178893304355215"/>
    <x v="1"/>
    <x v="0"/>
    <x v="1"/>
    <x v="0"/>
    <n v="9"/>
    <n v="1"/>
    <d v="2019-11-11T00:00:00"/>
    <s v="BBE-558"/>
    <s v="NISSAN"/>
    <s v="VERSA"/>
    <s v="RIMAC SEGUROS  Y REASEGUROS S.A"/>
  </r>
  <r>
    <s v="005-00000072"/>
    <n v="3041.2094999999999"/>
    <n v="0"/>
    <n v="0"/>
    <n v="0"/>
    <n v="0"/>
    <n v="422.1"/>
    <n v="386.92500000000001"/>
    <n v="0"/>
    <n v="809.02500000000009"/>
    <n v="2232.1844999999998"/>
    <n v="0.73397919479075668"/>
    <x v="1"/>
    <x v="2"/>
    <x v="1"/>
    <x v="0"/>
    <n v="29"/>
    <n v="1"/>
    <d v="2019-10-22T00:00:00"/>
    <s v="AXJ-309"/>
    <s v="NISSAN"/>
    <s v="VERSA"/>
    <s v="RIMAC SEGUROS  Y REASEGUROS S.A"/>
  </r>
  <r>
    <s v="005-00000171"/>
    <n v="804.67799999999988"/>
    <n v="0"/>
    <n v="0"/>
    <n v="0"/>
    <n v="0"/>
    <n v="45.225000000000001"/>
    <n v="140.70000000000002"/>
    <n v="0"/>
    <n v="185.92500000000001"/>
    <n v="618.75299999999993"/>
    <n v="0.76894484501875282"/>
    <x v="1"/>
    <x v="0"/>
    <x v="1"/>
    <x v="0"/>
    <n v="9"/>
    <n v="1"/>
    <d v="2019-11-11T00:00:00"/>
    <s v="C3K-443"/>
    <s v="KIA"/>
    <s v="RIO"/>
    <s v="RIMAC SEGUROS  Y REASEGUROS S.A"/>
  </r>
  <r>
    <s v="005-00000082"/>
    <n v="508.05001499999997"/>
    <n v="0"/>
    <n v="0"/>
    <n v="0"/>
    <n v="0"/>
    <n v="0"/>
    <n v="0"/>
    <n v="0"/>
    <n v="0"/>
    <n v="508.05001499999997"/>
    <n v="1"/>
    <x v="1"/>
    <x v="0"/>
    <x v="1"/>
    <x v="0"/>
    <n v="29"/>
    <n v="1"/>
    <d v="2019-10-23T00:00:00"/>
    <s v="BFC146"/>
    <s v="SUBARU"/>
    <s v="IMPREZA"/>
    <s v="RENTAEQUIPOS LEASING PERU S.A."/>
  </r>
  <r>
    <s v="005-00000187"/>
    <n v="101.61000299999999"/>
    <n v="0"/>
    <n v="0"/>
    <n v="20"/>
    <n v="0"/>
    <n v="0"/>
    <n v="0"/>
    <n v="0"/>
    <n v="20"/>
    <n v="81.610002999999992"/>
    <n v="0.80316898524252578"/>
    <x v="0"/>
    <x v="1"/>
    <x v="1"/>
    <x v="0"/>
    <n v="0"/>
    <n v="1"/>
    <d v="2019-11-21T00:00:00"/>
    <s v="BFC146"/>
    <s v="SUBARU"/>
    <s v="IMPREZA"/>
    <s v="RENTAEQUIPOS LEASING PERU S.A."/>
  </r>
  <r>
    <s v="005-00000059"/>
    <n v="468.13001385000007"/>
    <n v="0"/>
    <n v="0"/>
    <n v="0"/>
    <n v="452.25"/>
    <n v="15.075000000000001"/>
    <n v="70.350000000000009"/>
    <n v="0"/>
    <n v="537.67499999999995"/>
    <n v="-69.544986149999886"/>
    <n v="-0.14855912693579981"/>
    <x v="1"/>
    <x v="0"/>
    <x v="1"/>
    <x v="0"/>
    <n v="36"/>
    <n v="1"/>
    <d v="2019-10-17T00:00:00"/>
    <s v="F5C-188"/>
    <s v="AUDI"/>
    <s v="Q5"/>
    <s v="RIMAC SEGUROS  Y REASEGUROS S.A"/>
  </r>
  <r>
    <s v="005-00000189"/>
    <n v="2124"/>
    <n v="771.18348900000001"/>
    <n v="59.32"/>
    <n v="73.900000000000006"/>
    <n v="0"/>
    <n v="0"/>
    <n v="0"/>
    <n v="0"/>
    <n v="904.40348900000004"/>
    <n v="1219.596511"/>
    <n v="0.5741979806967985"/>
    <x v="2"/>
    <x v="3"/>
    <x v="1"/>
    <x v="0"/>
    <n v="1"/>
    <n v="1"/>
    <d v="2019-11-21T00:00:00"/>
    <s v="F2I-424"/>
    <s v="BYD"/>
    <s v="F3"/>
    <s v="EDPYME ACCESO CREDITICIO SOCIEDAD ANONIMA"/>
  </r>
  <r>
    <s v="005-00000105"/>
    <n v="9457.2542099999991"/>
    <n v="3893.9877475399994"/>
    <n v="359.24"/>
    <n v="258.67203389830507"/>
    <n v="0"/>
    <n v="391.95"/>
    <n v="1090.425"/>
    <n v="0"/>
    <n v="5994.2747814383047"/>
    <n v="3462.9794285616945"/>
    <n v="0.36617176102763288"/>
    <x v="2"/>
    <x v="2"/>
    <x v="1"/>
    <x v="0"/>
    <n v="26"/>
    <n v="1"/>
    <d v="2019-10-28T00:00:00"/>
    <s v="AZF-323"/>
    <s v="KIA"/>
    <s v="RIO"/>
    <s v="EDPYME ACCESO CREDITICIO SOCIEDAD ANONIMA"/>
  </r>
  <r>
    <s v="005-00000165"/>
    <n v="9220.7542099999991"/>
    <n v="2743.3440540599991"/>
    <n v="256.38"/>
    <n v="268.46999999999997"/>
    <n v="380.64375000000001"/>
    <n v="422.1"/>
    <n v="1055.25"/>
    <n v="0"/>
    <n v="5126.1878040599986"/>
    <n v="4094.5664059400005"/>
    <n v="0.44405981470576483"/>
    <x v="2"/>
    <x v="2"/>
    <x v="1"/>
    <x v="0"/>
    <n v="15"/>
    <n v="1"/>
    <d v="2019-11-08T00:00:00"/>
    <s v="AZQ-053"/>
    <s v="CHEVROLET"/>
    <s v="SAIL"/>
    <s v="EDPYME ACCESO CREDITICIO SOCIEDAD ANONIMA"/>
  </r>
  <r>
    <s v="005-00000181"/>
    <n v="321.57499999999993"/>
    <n v="0"/>
    <n v="0"/>
    <n v="76.27"/>
    <n v="0"/>
    <n v="0"/>
    <n v="0"/>
    <n v="0"/>
    <n v="76.27"/>
    <n v="245.30499999999995"/>
    <n v="0.76282360258104642"/>
    <x v="1"/>
    <x v="0"/>
    <x v="1"/>
    <x v="0"/>
    <n v="6"/>
    <n v="1"/>
    <d v="2019-11-19T00:00:00"/>
    <s v="AYQ-451"/>
    <s v="NISSAN"/>
    <s v="SENTRA"/>
    <s v="RIMAC SEGUROS  Y REASEGUROS S.A"/>
  </r>
  <r>
    <s v="005-00000107"/>
    <n v="9660.7542099999991"/>
    <n v="2156.2085459200002"/>
    <n v="262.72000000000003"/>
    <n v="466.63"/>
    <n v="425.86875000000003"/>
    <n v="271.35000000000002"/>
    <n v="1125.6000000000001"/>
    <n v="0"/>
    <n v="4708.3772959200005"/>
    <n v="4952.3769140799986"/>
    <n v="0.51262839385290593"/>
    <x v="2"/>
    <x v="2"/>
    <x v="1"/>
    <x v="0"/>
    <n v="28"/>
    <n v="1"/>
    <d v="2019-10-28T00:00:00"/>
    <s v="AHV-171"/>
    <s v="KIA"/>
    <s v="RIO"/>
    <s v="EDPYME ACCESO CREDITICIO SOCIEDAD ANONIMA"/>
  </r>
  <r>
    <s v="005-00000117"/>
    <n v="1380.9989922"/>
    <n v="0"/>
    <n v="0"/>
    <n v="0"/>
    <n v="0"/>
    <n v="60.300000000000004"/>
    <n v="193.46250000000001"/>
    <n v="0"/>
    <n v="253.76250000000002"/>
    <n v="1127.2364921999999"/>
    <n v="0.81624715048072283"/>
    <x v="1"/>
    <x v="0"/>
    <x v="1"/>
    <x v="0"/>
    <n v="28"/>
    <n v="1"/>
    <d v="2019-10-29T00:00:00"/>
    <s v="BFM-214"/>
    <s v="JEEP"/>
    <s v="CHEROKEE"/>
    <s v="RENTAEQUIPOS LEASING PERU S.A."/>
  </r>
  <r>
    <s v="005-00000179"/>
    <n v="1406.4674999999997"/>
    <n v="0"/>
    <n v="0"/>
    <n v="0"/>
    <n v="0"/>
    <n v="60.300000000000004"/>
    <n v="298.98750000000001"/>
    <n v="0"/>
    <n v="359.28750000000002"/>
    <n v="1047.1799999999998"/>
    <n v="0.7445461768579793"/>
    <x v="1"/>
    <x v="0"/>
    <x v="1"/>
    <x v="0"/>
    <n v="9"/>
    <n v="1"/>
    <d v="2019-11-18T00:00:00"/>
    <s v="ADY-124"/>
    <s v="NISSAN"/>
    <s v="X-TRAIL"/>
    <s v="ROBERTO CARLOS TORRES JULCA"/>
  </r>
  <r>
    <s v="005-00000032"/>
    <n v="814.56002399999988"/>
    <n v="76.270048499999987"/>
    <n v="0"/>
    <n v="55.08"/>
    <n v="30.150000000000002"/>
    <n v="60.300000000000004"/>
    <n v="0"/>
    <n v="0"/>
    <n v="221.8000485"/>
    <n v="592.75997549999988"/>
    <n v="0.72770570373583665"/>
    <x v="1"/>
    <x v="0"/>
    <x v="1"/>
    <x v="0"/>
    <n v="49"/>
    <n v="1"/>
    <d v="2019-10-10T00:00:00"/>
    <s v="AFS-362"/>
    <s v="MAZDA"/>
    <s v="MAZDA5"/>
    <s v="SERVICIOS HOTELEROS LIMA S.A.C."/>
  </r>
  <r>
    <s v="005-00000192"/>
    <n v="2373.0000700000001"/>
    <n v="0"/>
    <n v="0"/>
    <n v="59.322033898305087"/>
    <n v="0"/>
    <n v="211.05"/>
    <n v="351.75"/>
    <n v="0"/>
    <n v="622.12203389830506"/>
    <n v="1750.878036101695"/>
    <n v="0.73783311607811919"/>
    <x v="1"/>
    <x v="3"/>
    <x v="1"/>
    <x v="0"/>
    <n v="8"/>
    <n v="1"/>
    <d v="2019-11-21T00:00:00"/>
    <s v="BBQ-678"/>
    <s v="SUZUKI"/>
    <s v="SWIFT"/>
    <s v="DARDOS COMUNICACION VISUAL SAC"/>
  </r>
  <r>
    <s v="005-00000166"/>
    <n v="11290.754209999999"/>
    <n v="2593.2663401100008"/>
    <n v="264.65999999999997"/>
    <n v="156.78"/>
    <n v="290.19375000000002"/>
    <n v="633.15"/>
    <n v="1266.3"/>
    <n v="0"/>
    <n v="5204.3500901100006"/>
    <n v="6086.4041198899986"/>
    <n v="0.53906089944809799"/>
    <x v="2"/>
    <x v="2"/>
    <x v="1"/>
    <x v="0"/>
    <n v="21"/>
    <n v="1"/>
    <d v="2019-11-08T00:00:00"/>
    <s v="ANB-605"/>
    <s v="HYUNDAI"/>
    <s v="ACCENT"/>
    <s v="AUTOCLASS S.A.C."/>
  </r>
  <r>
    <s v="005-00000109"/>
    <n v="8205.2542099999991"/>
    <n v="2675.3039792599993"/>
    <n v="61.46"/>
    <n v="374.74203389830507"/>
    <n v="320.34375"/>
    <n v="271.35000000000002"/>
    <n v="949.72500000000002"/>
    <n v="0"/>
    <n v="4652.9247631583048"/>
    <n v="3552.3294468416943"/>
    <n v="0.43293350284167426"/>
    <x v="2"/>
    <x v="2"/>
    <x v="1"/>
    <x v="0"/>
    <n v="32"/>
    <n v="1"/>
    <d v="2019-10-28T00:00:00"/>
    <s v="F6Q-533"/>
    <s v="CHEVROLET"/>
    <s v="SAIL"/>
    <s v="AUTOCLASS S.A.C."/>
  </r>
  <r>
    <s v="005-00000152"/>
    <n v="9800.7542099999991"/>
    <n v="2134.08030164"/>
    <n v="473.15"/>
    <n v="325.25"/>
    <n v="365.56875000000002"/>
    <n v="542.70000000000005"/>
    <n v="1266.3"/>
    <n v="0"/>
    <n v="5107.0490516400005"/>
    <n v="4693.7051583599987"/>
    <n v="0.47891264873991762"/>
    <x v="2"/>
    <x v="2"/>
    <x v="1"/>
    <x v="0"/>
    <n v="23"/>
    <n v="1"/>
    <d v="2019-11-06T00:00:00"/>
    <s v="AMZ619"/>
    <s v="CHEVROLET"/>
    <s v="SAIL"/>
    <s v="AUTOCLASS S.A.C."/>
  </r>
  <r>
    <s v="005-00000036"/>
    <n v="6983.2279939949194"/>
    <n v="5608.7373900000002"/>
    <n v="0"/>
    <n v="86.27"/>
    <n v="0"/>
    <n v="0"/>
    <n v="0"/>
    <n v="0"/>
    <n v="5695.0073900000007"/>
    <n v="1288.2206039949187"/>
    <n v="0.18447351355314434"/>
    <x v="0"/>
    <x v="1"/>
    <x v="1"/>
    <x v="0"/>
    <n v="49"/>
    <n v="1"/>
    <d v="2019-10-11T00:00:00"/>
    <s v="BFW224"/>
    <s v="JEEP"/>
    <s v="CHEROKEE"/>
    <s v="RENTAEQUIPOS LEASING PERU S.A."/>
  </r>
  <r>
    <s v="005-00000180"/>
    <n v="1027.1700303"/>
    <n v="0"/>
    <n v="0"/>
    <n v="116.27"/>
    <n v="15.075000000000001"/>
    <n v="60.300000000000004"/>
    <n v="140.70000000000002"/>
    <n v="0"/>
    <n v="332.34500000000003"/>
    <n v="694.82503029999998"/>
    <n v="0.67644597272475537"/>
    <x v="1"/>
    <x v="0"/>
    <x v="1"/>
    <x v="0"/>
    <n v="10"/>
    <n v="1"/>
    <d v="2019-11-19T00:00:00"/>
    <s v="BED-593"/>
    <s v="CHEVROLET"/>
    <s v="PRISMA"/>
    <s v="RIMAC SEGUROS  Y REASEGUROS S.A"/>
  </r>
  <r>
    <s v="005-00000035"/>
    <n v="2930.65508645"/>
    <n v="0"/>
    <n v="0"/>
    <n v="824.5"/>
    <n v="0"/>
    <n v="241.20000000000002"/>
    <n v="369.33750000000003"/>
    <n v="0"/>
    <n v="1435.0375000000001"/>
    <n v="1495.6175864499999"/>
    <n v="0.51033558789126943"/>
    <x v="1"/>
    <x v="3"/>
    <x v="1"/>
    <x v="0"/>
    <n v="49"/>
    <n v="1"/>
    <d v="2019-10-11T00:00:00"/>
    <s v="BEQ-190"/>
    <s v="KIA"/>
    <s v="PICANTO"/>
    <s v="RENTAEQUIPOS LEASING PERU S.A."/>
  </r>
  <r>
    <s v="005-00000199"/>
    <n v="2301.8000677"/>
    <n v="0"/>
    <n v="0"/>
    <n v="0"/>
    <n v="0"/>
    <n v="195.97499999999999"/>
    <n v="386.92500000000001"/>
    <n v="0"/>
    <n v="582.9"/>
    <n v="1718.9000676999999"/>
    <n v="0.74676341000265756"/>
    <x v="1"/>
    <x v="3"/>
    <x v="1"/>
    <x v="0"/>
    <n v="8"/>
    <n v="1"/>
    <d v="2019-11-22T00:00:00"/>
    <s v="C4R-002"/>
    <s v="KIA"/>
    <s v="SPORTAGE"/>
    <s v="SPRIND SAC"/>
  </r>
  <r>
    <s v="005-00000210"/>
    <n v="153.00000450000002"/>
    <n v="0"/>
    <n v="0"/>
    <n v="0"/>
    <n v="0"/>
    <n v="0"/>
    <n v="17.587500000000002"/>
    <n v="0"/>
    <n v="17.587500000000002"/>
    <n v="135.41250450000001"/>
    <n v="0.88504902298875421"/>
    <x v="0"/>
    <x v="0"/>
    <x v="1"/>
    <x v="0"/>
    <n v="4"/>
    <n v="1"/>
    <d v="2019-11-26T00:00:00"/>
    <s v="C4R-002"/>
    <s v="KIA"/>
    <s v="SPORTAGE"/>
    <s v="SPRIND SAC"/>
  </r>
  <r>
    <s v="005-00000124"/>
    <n v="211.87289000000001"/>
    <n v="77.836399300000011"/>
    <n v="0"/>
    <n v="0"/>
    <n v="0"/>
    <n v="0"/>
    <n v="0"/>
    <n v="0"/>
    <n v="77.836399300000011"/>
    <n v="134.0364907"/>
    <n v="0.63262690521661358"/>
    <x v="0"/>
    <x v="1"/>
    <x v="1"/>
    <x v="0"/>
    <n v="0"/>
    <n v="1"/>
    <d v="2019-11-02T00:00:00"/>
    <s v="ADP623"/>
    <s v="HYUNDAI"/>
    <s v="ACCENT"/>
    <s v="JIMENEZ MESIA JORGE"/>
  </r>
  <r>
    <s v="005-00000102"/>
    <n v="150"/>
    <n v="44.7857001"/>
    <n v="0"/>
    <n v="0"/>
    <n v="40.250250000000001"/>
    <n v="0"/>
    <n v="0"/>
    <n v="0"/>
    <n v="85.035950100000008"/>
    <n v="64.964049899999992"/>
    <n v="0.43309366599999993"/>
    <x v="0"/>
    <x v="1"/>
    <x v="1"/>
    <x v="0"/>
    <n v="8"/>
    <n v="1"/>
    <d v="2019-10-28T00:00:00"/>
    <s v="C4A-237"/>
    <s v="KIA"/>
    <s v="RIO"/>
    <s v="MIñAN VARGAS JULIO CESAR"/>
  </r>
  <r>
    <s v="005-00000120"/>
    <n v="1102.4237099999998"/>
    <n v="273.30762249999998"/>
    <n v="277.96610169491527"/>
    <n v="135.59322033898306"/>
    <n v="40.250250000000001"/>
    <n v="0"/>
    <n v="0"/>
    <n v="0"/>
    <n v="727.11719453389844"/>
    <n v="375.30651546610136"/>
    <n v="0.34043763034278485"/>
    <x v="0"/>
    <x v="1"/>
    <x v="1"/>
    <x v="0"/>
    <n v="8"/>
    <n v="1"/>
    <d v="2019-10-30T00:00:00"/>
    <s v="AFS-436"/>
    <s v="MITSUBISHI"/>
    <s v="MIRAGE"/>
    <s v="FERNANDEZ RENGIFO ESSENIN FERNANDO"/>
  </r>
  <r>
    <s v="005-00000097"/>
    <n v="211.87289000000001"/>
    <n v="78.342899499999987"/>
    <n v="0"/>
    <n v="0"/>
    <n v="0"/>
    <n v="0"/>
    <n v="0"/>
    <n v="0"/>
    <n v="78.342899499999987"/>
    <n v="133.52999050000003"/>
    <n v="0.63023631999355845"/>
    <x v="0"/>
    <x v="1"/>
    <x v="1"/>
    <x v="0"/>
    <n v="13"/>
    <n v="1"/>
    <d v="2019-10-25T00:00:00"/>
    <s v="AFS436"/>
    <s v="MITSUBISHI"/>
    <s v="MIRAGE"/>
    <s v="FERNANDEZ RENGIFO ESSENIN FERNANDO"/>
  </r>
  <r>
    <s v="005-00000154"/>
    <n v="449"/>
    <n v="82.004799999999989"/>
    <n v="12.71"/>
    <n v="0"/>
    <n v="40.250250000000001"/>
    <n v="0"/>
    <n v="0"/>
    <n v="0"/>
    <n v="134.96504999999999"/>
    <n v="314.03494999999998"/>
    <n v="0.69940968819599103"/>
    <x v="0"/>
    <x v="1"/>
    <x v="1"/>
    <x v="0"/>
    <n v="6"/>
    <n v="1"/>
    <d v="2019-11-06T00:00:00"/>
    <s v="C4W-101"/>
    <s v="CHEVROLET"/>
    <s v="CRUZE"/>
    <s v="MONTEZA SAAVEDRA RODOLFO"/>
  </r>
  <r>
    <s v="005-00000168"/>
    <n v="867.5"/>
    <n v="822.02598999999998"/>
    <n v="0"/>
    <n v="0"/>
    <n v="40.250250000000001"/>
    <n v="0"/>
    <n v="0"/>
    <n v="0"/>
    <n v="862.27624000000003"/>
    <n v="5.2237599999999702"/>
    <n v="6.021625360230513E-3"/>
    <x v="0"/>
    <x v="1"/>
    <x v="1"/>
    <x v="0"/>
    <n v="4"/>
    <n v="1"/>
    <d v="2019-11-08T00:00:00"/>
    <s v="C4W-101"/>
    <s v="CHEVROLET"/>
    <s v="CRUZE"/>
    <s v="MONTEZA SAAVEDRA RODOLFO"/>
  </r>
  <r>
    <s v="005-00000170"/>
    <n v="287.48625996799996"/>
    <n v="0"/>
    <n v="0"/>
    <n v="0"/>
    <n v="0"/>
    <n v="15.075000000000001"/>
    <n v="70.350000000000009"/>
    <n v="0"/>
    <n v="85.425000000000011"/>
    <n v="202.06125996799994"/>
    <n v="0.70285536425459549"/>
    <x v="0"/>
    <x v="0"/>
    <x v="1"/>
    <x v="0"/>
    <n v="3"/>
    <n v="1"/>
    <d v="2019-11-11T00:00:00"/>
    <s v="B8U-602"/>
    <s v="SUBARU"/>
    <s v="FORESTER"/>
    <s v="NUÑEZ SALINAS RAUL ENRIQUE"/>
  </r>
  <r>
    <s v="005-00000174"/>
    <n v="450"/>
    <n v="112.27309794999998"/>
    <n v="20.34"/>
    <n v="0"/>
    <n v="40.250250000000001"/>
    <n v="0"/>
    <n v="0"/>
    <n v="0"/>
    <n v="172.86334794999996"/>
    <n v="277.13665205000007"/>
    <n v="0.61585922677777793"/>
    <x v="0"/>
    <x v="1"/>
    <x v="1"/>
    <x v="0"/>
    <n v="0"/>
    <n v="1"/>
    <d v="2019-11-14T00:00:00"/>
    <s v="A2Q-372"/>
    <s v="FORD"/>
    <s v="EXPLORER"/>
    <s v="SALVATIERRA YARACSA KARINA"/>
  </r>
  <r>
    <s v="005-00000176"/>
    <n v="349"/>
    <n v="121.7889"/>
    <n v="0"/>
    <n v="42.37"/>
    <n v="40.250250000000001"/>
    <n v="0"/>
    <n v="0"/>
    <n v="0"/>
    <n v="204.40914999999998"/>
    <n v="144.59085000000002"/>
    <n v="0.41430042979942699"/>
    <x v="0"/>
    <x v="1"/>
    <x v="1"/>
    <x v="0"/>
    <n v="0"/>
    <n v="1"/>
    <d v="2019-11-16T00:00:00"/>
    <s v="APE-333"/>
    <s v="VOLKSWAGEN"/>
    <s v="GOL"/>
    <s v="ALIAGA MORALES GUSTAVO"/>
  </r>
  <r>
    <s v="005-00000136"/>
    <n v="1686.4999837299988"/>
    <n v="0"/>
    <n v="0"/>
    <n v="0"/>
    <n v="0"/>
    <n v="90.45"/>
    <n v="369.33750000000003"/>
    <n v="0"/>
    <n v="459.78750000000002"/>
    <n v="1226.7124837299989"/>
    <n v="0.7273717732370818"/>
    <x v="1"/>
    <x v="0"/>
    <x v="1"/>
    <x v="0"/>
    <n v="14"/>
    <n v="1"/>
    <d v="2019-11-04T00:00:00"/>
    <s v="ATF-661"/>
    <s v="HONDA"/>
    <s v="PILOT"/>
    <s v="PRIETO DUCLOS MARIA ELSA"/>
  </r>
  <r>
    <s v="005-00000172"/>
    <n v="337.29998999999998"/>
    <n v="0"/>
    <n v="0"/>
    <n v="0"/>
    <n v="0"/>
    <n v="37.6875"/>
    <n v="70.350000000000009"/>
    <n v="0"/>
    <n v="108.03750000000001"/>
    <n v="229.26248999999996"/>
    <n v="0.6796990714408262"/>
    <x v="0"/>
    <x v="0"/>
    <x v="1"/>
    <x v="0"/>
    <n v="6"/>
    <n v="1"/>
    <d v="2019-11-12T00:00:00"/>
    <s v="ATT-292"/>
    <s v="CHEVROLET"/>
    <s v="CRUZE"/>
    <s v="JAYO PACHECO JORGE LUIS"/>
  </r>
  <r>
    <s v="005-00000182"/>
    <n v="260"/>
    <n v="160"/>
    <n v="0"/>
    <n v="0"/>
    <n v="0"/>
    <n v="0"/>
    <n v="0"/>
    <n v="0"/>
    <n v="160"/>
    <n v="100"/>
    <n v="0.38461538461538464"/>
    <x v="0"/>
    <x v="0"/>
    <x v="1"/>
    <x v="0"/>
    <n v="1"/>
    <n v="1"/>
    <d v="2019-11-19T00:00:00"/>
    <s v="C3K443"/>
    <s v="KIA"/>
    <s v="RIO"/>
    <s v="CARRERA DONDERO JOSE ANTONIO"/>
  </r>
  <r>
    <s v="005-00000185"/>
    <n v="16.949200000000001"/>
    <n v="3.8136001000000004"/>
    <n v="0"/>
    <n v="0"/>
    <n v="0"/>
    <n v="0"/>
    <n v="0"/>
    <n v="0"/>
    <n v="3.8136001000000004"/>
    <n v="13.135599900000001"/>
    <n v="0.77499822410497254"/>
    <x v="0"/>
    <x v="1"/>
    <x v="1"/>
    <x v="0"/>
    <n v="0"/>
    <n v="1"/>
    <d v="2019-11-20T00:00:00"/>
    <s v="BBE558"/>
    <s v="NISSAN"/>
    <s v="VERSA"/>
    <s v="SANCHEZ ALVARADO JULIO MOISES"/>
  </r>
  <r>
    <s v="005-00000220"/>
    <n v="350"/>
    <n v="75.577799099999993"/>
    <n v="0"/>
    <n v="71.19"/>
    <n v="40.250250000000001"/>
    <n v="0"/>
    <n v="0"/>
    <n v="0"/>
    <n v="187.01804909999998"/>
    <n v="162.98195090000002"/>
    <n v="0.46566271685714289"/>
    <x v="0"/>
    <x v="1"/>
    <x v="1"/>
    <x v="0"/>
    <n v="0"/>
    <n v="1"/>
    <d v="2019-11-30T00:00:00"/>
    <s v="C3K-443"/>
    <s v="KIA"/>
    <s v="RIO"/>
    <s v="CARRERA DONDERO JOSE ANTONIO"/>
  </r>
  <r>
    <s v="005-00000107"/>
    <n v="9660.7542099999991"/>
    <n v="2156.2085459200002"/>
    <n v="262.72000000000003"/>
    <n v="466.63"/>
    <n v="425.86875000000003"/>
    <n v="271.35000000000002"/>
    <n v="1125.6000000000001"/>
    <n v="0"/>
    <n v="4708.3772959200005"/>
    <n v="4952.3769140799986"/>
    <n v="0.51262839385290593"/>
    <x v="2"/>
    <x v="2"/>
    <x v="2"/>
    <x v="0"/>
    <n v="52"/>
    <n v="1"/>
    <d v="2019-10-28T00:00:00"/>
    <s v="AHV-171"/>
    <s v="KIA"/>
    <s v="RIO"/>
    <s v="EDPYME ACCESO CREDITICIO SOCIEDAD ANONIMA"/>
  </r>
  <r>
    <s v="005-00000166"/>
    <n v="11290.754209999999"/>
    <n v="2593.2663401100008"/>
    <n v="264.65999999999997"/>
    <n v="156.78"/>
    <n v="290.19375000000002"/>
    <n v="633.15"/>
    <n v="1266.3"/>
    <n v="0"/>
    <n v="5204.3500901100006"/>
    <n v="6086.4041198899986"/>
    <n v="0.53906089944809799"/>
    <x v="2"/>
    <x v="2"/>
    <x v="2"/>
    <x v="0"/>
    <n v="32"/>
    <n v="1"/>
    <d v="2019-11-08T00:00:00"/>
    <s v="ANB-605"/>
    <s v="HYUNDAI"/>
    <s v="ACCENT"/>
    <s v="AUTOCLASS S.A.C."/>
  </r>
  <r>
    <s v="005-00000109"/>
    <n v="8205.2542099999991"/>
    <n v="2675.3039792599993"/>
    <n v="61.46"/>
    <n v="374.74203389830507"/>
    <n v="320.34375"/>
    <n v="271.35000000000002"/>
    <n v="949.72500000000002"/>
    <n v="0"/>
    <n v="4652.9247631583048"/>
    <n v="3552.3294468416943"/>
    <n v="0.43293350284167426"/>
    <x v="2"/>
    <x v="2"/>
    <x v="2"/>
    <x v="0"/>
    <n v="43"/>
    <n v="1"/>
    <d v="2019-10-28T00:00:00"/>
    <s v="F6Q-533"/>
    <s v="CHEVROLET"/>
    <s v="SAIL"/>
    <s v="AUTOCLASS S.A.C."/>
  </r>
  <r>
    <s v="005-00000152"/>
    <n v="9800.7542099999991"/>
    <n v="2134.08030164"/>
    <n v="473.15"/>
    <n v="325.25"/>
    <n v="365.56875000000002"/>
    <n v="542.70000000000005"/>
    <n v="1266.3"/>
    <n v="0"/>
    <n v="5107.0490516400005"/>
    <n v="4693.7051583599987"/>
    <n v="0.47891264873991762"/>
    <x v="2"/>
    <x v="2"/>
    <x v="2"/>
    <x v="0"/>
    <n v="34"/>
    <n v="1"/>
    <d v="2019-11-06T00:00:00"/>
    <s v="AMZ619"/>
    <s v="CHEVROLET"/>
    <s v="SAIL"/>
    <s v="AUTOCLASS S.A.C."/>
  </r>
  <r>
    <s v="005-00000158"/>
    <n v="1786.5750524999999"/>
    <n v="0"/>
    <n v="0"/>
    <n v="0"/>
    <n v="0"/>
    <n v="120.60000000000001"/>
    <n v="351.75"/>
    <n v="0"/>
    <n v="472.35"/>
    <n v="1314.2250524999999"/>
    <n v="0.73561144305746995"/>
    <x v="1"/>
    <x v="0"/>
    <x v="2"/>
    <x v="0"/>
    <n v="26"/>
    <n v="1"/>
    <d v="2019-11-07T00:00:00"/>
    <s v="ROO-885"/>
    <s v="JEEP"/>
    <s v="GRANDCHEROKE"/>
    <s v="RIMAC SEGUROS  Y REASEGUROS S.A"/>
  </r>
  <r>
    <s v="005-00000211"/>
    <n v="682.30152005000002"/>
    <n v="0"/>
    <n v="0"/>
    <n v="0"/>
    <n v="0"/>
    <n v="30.150000000000002"/>
    <n v="140.70000000000002"/>
    <n v="0"/>
    <n v="170.85000000000002"/>
    <n v="511.45152005"/>
    <n v="0.74959750934238001"/>
    <x v="1"/>
    <x v="0"/>
    <x v="2"/>
    <x v="0"/>
    <n v="7"/>
    <n v="1"/>
    <d v="2019-11-26T00:00:00"/>
    <s v="BDG-262"/>
    <s v="KIA"/>
    <s v="RIO"/>
    <s v="RIMAC SEGUROS  Y REASEGUROS S.A"/>
  </r>
  <r>
    <s v="005-00000193"/>
    <n v="1905.7542100000001"/>
    <n v="395.91630899999996"/>
    <n v="0"/>
    <n v="16.95"/>
    <n v="185.42250000000001"/>
    <n v="0"/>
    <n v="0"/>
    <n v="0"/>
    <n v="598.2888089999999"/>
    <n v="1307.4654010000002"/>
    <n v="0.68606192453327974"/>
    <x v="2"/>
    <x v="3"/>
    <x v="2"/>
    <x v="0"/>
    <n v="14"/>
    <n v="1"/>
    <d v="2019-11-21T00:00:00"/>
    <s v="ARN-470"/>
    <s v="BYD"/>
    <s v="F3"/>
    <s v="EDPYME ACCESO CREDITICIO SOCIEDAD ANONIMA"/>
  </r>
  <r>
    <s v="005-00000167"/>
    <n v="9545.7542099999991"/>
    <n v="2700.1454673000003"/>
    <n v="170.84186440677968"/>
    <n v="284.58"/>
    <n v="124.36875000000001"/>
    <n v="633.15"/>
    <n v="1266.3"/>
    <n v="0"/>
    <n v="5179.3860817067798"/>
    <n v="4366.3681282932193"/>
    <n v="0.4574146821965176"/>
    <x v="2"/>
    <x v="2"/>
    <x v="2"/>
    <x v="0"/>
    <n v="27"/>
    <n v="1"/>
    <d v="2019-11-08T00:00:00"/>
    <s v="AVA-610"/>
    <s v="CHEVROLET"/>
    <s v="SAIL"/>
    <s v="EDPYME ACCESO CREDITICIO SOCIEDAD ANONIMA"/>
  </r>
  <r>
    <s v="005-00000205"/>
    <n v="1157.6500342500001"/>
    <n v="0"/>
    <n v="0"/>
    <n v="0"/>
    <n v="0"/>
    <n v="90.45"/>
    <n v="175.875"/>
    <n v="0"/>
    <n v="266.32499999999999"/>
    <n v="891.32503425000004"/>
    <n v="0.769943426665605"/>
    <x v="1"/>
    <x v="0"/>
    <x v="2"/>
    <x v="0"/>
    <n v="11"/>
    <n v="1"/>
    <d v="2019-11-25T00:00:00"/>
    <s v="ASW-232"/>
    <s v="MITSUBISHI"/>
    <s v="OUTLANDER"/>
    <s v="RIMAC SEGUROS  Y REASEGUROS S.A"/>
  </r>
  <r>
    <s v="005-00000222"/>
    <n v="730"/>
    <n v="0"/>
    <n v="0"/>
    <n v="0"/>
    <n v="30.150000000000002"/>
    <n v="0"/>
    <n v="0"/>
    <n v="0"/>
    <n v="30.150000000000002"/>
    <n v="699.85"/>
    <n v="0.95869863013698631"/>
    <x v="2"/>
    <x v="0"/>
    <x v="2"/>
    <x v="0"/>
    <n v="4"/>
    <n v="1"/>
    <d v="2019-12-02T00:00:00"/>
    <s v="F5O-186"/>
    <s v="NISSAN"/>
    <s v="TIIDA"/>
    <s v="EDPYME ACCESO CREDITICIO SOCIEDAD ANONIMA"/>
  </r>
  <r>
    <s v="005-00000209"/>
    <n v="1653.42"/>
    <n v="0"/>
    <n v="0"/>
    <n v="0"/>
    <n v="0"/>
    <n v="75.375"/>
    <n v="422.1"/>
    <n v="0"/>
    <n v="497.47500000000002"/>
    <n v="1155.9450000000002"/>
    <n v="0.69912363464818383"/>
    <x v="1"/>
    <x v="0"/>
    <x v="2"/>
    <x v="0"/>
    <n v="11"/>
    <n v="1"/>
    <d v="2019-11-25T00:00:00"/>
    <s v="BDW-631"/>
    <s v="MAZDA"/>
    <s v="MAZDA3"/>
    <s v="RIMAC SEGUROS  Y REASEGUROS S.A"/>
  </r>
  <r>
    <s v="005-00000215"/>
    <n v="1293.2325000000001"/>
    <n v="0"/>
    <n v="0"/>
    <n v="0"/>
    <n v="0"/>
    <n v="105.52500000000001"/>
    <n v="175.875"/>
    <n v="0"/>
    <n v="281.39999999999998"/>
    <n v="1011.8325000000001"/>
    <n v="0.78240571590955221"/>
    <x v="1"/>
    <x v="0"/>
    <x v="2"/>
    <x v="0"/>
    <n v="8"/>
    <n v="1"/>
    <d v="2019-11-29T00:00:00"/>
    <s v="ASM-675"/>
    <s v="NISSAN"/>
    <s v="SENTRA"/>
    <s v="RIMAC SEGUROS  Y REASEGUROS S.A"/>
  </r>
  <r>
    <s v="005-00000212"/>
    <n v="2062.41"/>
    <n v="0"/>
    <n v="0"/>
    <n v="0"/>
    <n v="0"/>
    <n v="211.05"/>
    <n v="351.75"/>
    <n v="0"/>
    <n v="562.79999999999995"/>
    <n v="1499.61"/>
    <n v="0.72711536503411056"/>
    <x v="1"/>
    <x v="3"/>
    <x v="2"/>
    <x v="0"/>
    <n v="11"/>
    <n v="1"/>
    <d v="2019-11-26T00:00:00"/>
    <s v="BFS-488"/>
    <s v="TOYOTA"/>
    <s v="AVANZA"/>
    <s v="RIMAC SEGUROS  Y REASEGUROS S.A"/>
  </r>
  <r>
    <s v="005-00000188"/>
    <n v="9915.7542099999991"/>
    <n v="1797.6908077000001"/>
    <n v="29.66"/>
    <n v="118.65"/>
    <n v="275.11875000000003"/>
    <n v="482.40000000000003"/>
    <n v="1301.4750000000001"/>
    <n v="0"/>
    <n v="4004.9945577000008"/>
    <n v="5910.7596522999984"/>
    <n v="0.5960978385627006"/>
    <x v="2"/>
    <x v="2"/>
    <x v="2"/>
    <x v="0"/>
    <n v="16"/>
    <n v="1"/>
    <d v="2019-11-21T00:00:00"/>
    <s v="AJJ-599"/>
    <s v="KIA"/>
    <s v="RIO"/>
    <s v="EDPYME ACCESO CREDITICIO SOCIEDAD ANONIMA"/>
  </r>
  <r>
    <s v="005-00000208"/>
    <n v="1445.3774999999998"/>
    <n v="0"/>
    <n v="0"/>
    <n v="110.16949152542374"/>
    <n v="0"/>
    <n v="120.60000000000001"/>
    <n v="158.28749999999999"/>
    <n v="0"/>
    <n v="389.05699152542377"/>
    <n v="1056.3205084745759"/>
    <n v="0.73082672760201128"/>
    <x v="0"/>
    <x v="0"/>
    <x v="2"/>
    <x v="0"/>
    <n v="12"/>
    <n v="1"/>
    <d v="2019-11-25T00:00:00"/>
    <s v="BDU-537"/>
    <s v="SUBARU"/>
    <s v="FORESTER"/>
    <s v="RENTAEQUIPOS LEASING PERU S.A."/>
  </r>
  <r>
    <s v="005-00000232"/>
    <n v="804.67800000000011"/>
    <n v="0"/>
    <n v="0"/>
    <n v="0"/>
    <n v="0"/>
    <n v="15.075000000000001"/>
    <n v="70.350000000000009"/>
    <n v="0"/>
    <n v="85.425000000000011"/>
    <n v="719.25300000000016"/>
    <n v="0.89383952338699457"/>
    <x v="1"/>
    <x v="0"/>
    <x v="2"/>
    <x v="0"/>
    <n v="6"/>
    <n v="1"/>
    <d v="2019-12-03T00:00:00"/>
    <s v="BFE-603"/>
    <s v="JEEP"/>
    <s v="GRANDCHEROKE"/>
    <s v="RENTAEQUIPOS LEASING PERU S.A."/>
  </r>
  <r>
    <s v="005-00000229"/>
    <n v="1305.066"/>
    <n v="0"/>
    <n v="118.64406779661017"/>
    <n v="0"/>
    <n v="0"/>
    <n v="45.225000000000001"/>
    <n v="140.70000000000002"/>
    <n v="0"/>
    <n v="304.56906779661017"/>
    <n v="1000.4969322033899"/>
    <n v="0.76662554399807359"/>
    <x v="1"/>
    <x v="0"/>
    <x v="2"/>
    <x v="0"/>
    <n v="6"/>
    <n v="1"/>
    <d v="2019-12-03T00:00:00"/>
    <s v="BFE-603"/>
    <s v="JEEP"/>
    <s v="GRANDCHEROKE"/>
    <s v="RIMAC SEGUROS  Y REASEGUROS S.A"/>
  </r>
  <r>
    <s v="005-00000227"/>
    <n v="1339.7354501999998"/>
    <n v="0"/>
    <n v="0"/>
    <n v="0"/>
    <n v="0"/>
    <n v="105.52500000000001"/>
    <n v="263.8125"/>
    <n v="0"/>
    <n v="369.33749999999998"/>
    <n v="970.39795019999985"/>
    <n v="0.72432057392758831"/>
    <x v="1"/>
    <x v="0"/>
    <x v="2"/>
    <x v="0"/>
    <n v="6"/>
    <n v="1"/>
    <d v="2019-12-03T00:00:00"/>
    <s v="BBQ-678"/>
    <s v="SUZUKI"/>
    <s v="SWIFT"/>
    <s v="RIMAC SEGUROS  Y REASEGUROS S.A"/>
  </r>
  <r>
    <s v="005-00000223"/>
    <n v="654.03001934999998"/>
    <n v="0"/>
    <n v="0"/>
    <n v="0"/>
    <n v="0"/>
    <n v="60.300000000000004"/>
    <n v="105.52500000000001"/>
    <n v="0"/>
    <n v="165.82500000000002"/>
    <n v="488.20501934999993"/>
    <n v="0.7464565920616254"/>
    <x v="1"/>
    <x v="0"/>
    <x v="2"/>
    <x v="0"/>
    <n v="8"/>
    <n v="1"/>
    <d v="2019-12-02T00:00:00"/>
    <s v="AYK-320"/>
    <s v="TOYOTA"/>
    <s v="ETIOS"/>
    <s v="RIMAC SEGUROS  Y REASEGUROS S.A"/>
  </r>
  <r>
    <s v="005-00000079"/>
    <n v="8726.2542099999991"/>
    <n v="1721.0893380000002"/>
    <n v="203.38779661016949"/>
    <n v="349.11"/>
    <n v="260.04374999999999"/>
    <n v="452.25"/>
    <n v="1266.3"/>
    <n v="0"/>
    <n v="4252.1808846101694"/>
    <n v="4474.0733253898297"/>
    <n v="0.512714071550046"/>
    <x v="2"/>
    <x v="2"/>
    <x v="2"/>
    <x v="0"/>
    <n v="50"/>
    <n v="1"/>
    <d v="2019-10-22T00:00:00"/>
    <s v="AWG-333"/>
    <s v="CHEVROLET"/>
    <s v="SAIL"/>
    <s v="EDPYME ACCESO CREDITICIO SOCIEDAD ANONIMA"/>
  </r>
  <r>
    <s v="005-00000197"/>
    <n v="12716.754209999999"/>
    <n v="3058.6534855999998"/>
    <n v="33.9"/>
    <n v="494.58000000000004"/>
    <n v="350.49375000000003"/>
    <n v="482.40000000000003"/>
    <n v="1266.3"/>
    <n v="0"/>
    <n v="5686.3272355999998"/>
    <n v="7030.4269743999994"/>
    <n v="0.55284759446490861"/>
    <x v="2"/>
    <x v="2"/>
    <x v="2"/>
    <x v="0"/>
    <n v="19"/>
    <n v="1"/>
    <d v="2019-11-22T00:00:00"/>
    <s v="F4T-034"/>
    <s v="BYD"/>
    <s v="F3"/>
    <s v="EDPYME ACCESO CREDITICIO SOCIEDAD ANONIMA"/>
  </r>
  <r>
    <s v="005-00000236"/>
    <n v="2516"/>
    <n v="1012.7076080000001"/>
    <n v="78.39"/>
    <n v="84.74"/>
    <n v="0"/>
    <n v="0"/>
    <n v="0"/>
    <n v="0"/>
    <n v="1175.837608"/>
    <n v="1340.162392"/>
    <n v="0.53265595866454685"/>
    <x v="2"/>
    <x v="3"/>
    <x v="2"/>
    <x v="0"/>
    <n v="7"/>
    <n v="1"/>
    <d v="2019-12-04T00:00:00"/>
    <s v="ADG324"/>
    <s v="BYD"/>
    <s v="F3"/>
    <s v="AUTOCLASS S.A.C."/>
  </r>
  <r>
    <s v="005-00000108"/>
    <n v="11044.754209999999"/>
    <n v="3189.7430857799995"/>
    <n v="372.88"/>
    <n v="260.34000000000003"/>
    <n v="335.41874999999999"/>
    <n v="542.70000000000005"/>
    <n v="1266.3"/>
    <n v="0"/>
    <n v="5967.3818357800001"/>
    <n v="5077.3723742199991"/>
    <n v="0.4597089512071631"/>
    <x v="2"/>
    <x v="2"/>
    <x v="2"/>
    <x v="0"/>
    <n v="44"/>
    <n v="1"/>
    <d v="2019-10-28T00:00:00"/>
    <s v="ADG-324"/>
    <s v="BYD"/>
    <s v="F3"/>
    <s v="AUTOCLASS S.A.C."/>
  </r>
  <r>
    <s v="005-00000241"/>
    <n v="1011.1139701999999"/>
    <n v="0"/>
    <n v="0"/>
    <n v="0"/>
    <n v="0"/>
    <n v="105.52500000000001"/>
    <n v="140.70000000000002"/>
    <n v="0"/>
    <n v="246.22500000000002"/>
    <n v="764.8889701999999"/>
    <n v="0.75648145782092568"/>
    <x v="1"/>
    <x v="0"/>
    <x v="2"/>
    <x v="0"/>
    <n v="7"/>
    <n v="1"/>
    <d v="2019-12-05T00:00:00"/>
    <s v="EGH-498"/>
    <s v="NISSAN"/>
    <s v="SENTRA"/>
    <s v="RIMAC SEGUROS  Y REASEGUROS S.A"/>
  </r>
  <r>
    <s v="005-00000218"/>
    <n v="960.21897170000011"/>
    <n v="0"/>
    <n v="0"/>
    <n v="0"/>
    <n v="0"/>
    <n v="105.52500000000001"/>
    <n v="140.70000000000002"/>
    <n v="0"/>
    <n v="246.22500000000002"/>
    <n v="713.99397170000009"/>
    <n v="0.7435741145958864"/>
    <x v="1"/>
    <x v="0"/>
    <x v="2"/>
    <x v="0"/>
    <n v="14"/>
    <n v="1"/>
    <d v="2019-11-29T00:00:00"/>
    <s v="AWP-639"/>
    <s v="HYUNDAI"/>
    <s v="TUCSON"/>
    <s v="RENTAEQUIPOS LEASING PERU S.A."/>
  </r>
  <r>
    <s v="005-00000226"/>
    <n v="2831.6334160500001"/>
    <n v="0"/>
    <n v="0"/>
    <n v="0"/>
    <n v="0"/>
    <n v="361.8"/>
    <n v="386.92500000000001"/>
    <n v="0"/>
    <n v="748.72500000000002"/>
    <n v="2082.9084160500001"/>
    <n v="0.73558547665239904"/>
    <x v="1"/>
    <x v="2"/>
    <x v="2"/>
    <x v="0"/>
    <n v="12"/>
    <n v="1"/>
    <d v="2019-12-02T00:00:00"/>
    <s v="F4J-046"/>
    <s v="NISSAN"/>
    <s v="VERSA"/>
    <s v="CORPORACION MINERA PALOMA S.A.C."/>
  </r>
  <r>
    <s v="005-00000237"/>
    <n v="2482.5279263999992"/>
    <n v="0"/>
    <n v="0"/>
    <n v="33.898305084745765"/>
    <n v="0"/>
    <n v="361.8"/>
    <n v="281.40000000000003"/>
    <n v="0"/>
    <n v="677.09830508474579"/>
    <n v="1805.4296213152534"/>
    <n v="0.72725450622961174"/>
    <x v="1"/>
    <x v="2"/>
    <x v="2"/>
    <x v="0"/>
    <n v="9"/>
    <n v="1"/>
    <d v="2019-12-05T00:00:00"/>
    <s v="ASL-101"/>
    <s v="NISSAN"/>
    <s v="SENTRA"/>
    <s v="INTER PLUS ASESORIA Y SERV GENERALES SRL"/>
  </r>
  <r>
    <s v="005-00000257"/>
    <n v="551.48548364999999"/>
    <n v="0"/>
    <n v="0"/>
    <n v="0"/>
    <n v="0"/>
    <n v="15.075000000000001"/>
    <n v="105.52500000000001"/>
    <n v="0"/>
    <n v="120.60000000000001"/>
    <n v="430.88548364999997"/>
    <n v="0.78131790668031664"/>
    <x v="1"/>
    <x v="0"/>
    <x v="2"/>
    <x v="0"/>
    <n v="6"/>
    <n v="1"/>
    <d v="2019-12-10T00:00:00"/>
    <s v="EGX-296"/>
    <s v="MAXUS"/>
    <s v="S8"/>
    <s v="RIMAC SEGUROS  Y REASEGUROS S.A"/>
  </r>
  <r>
    <s v="005-00000239"/>
    <n v="1930.31994255"/>
    <n v="0"/>
    <n v="0"/>
    <n v="59.32"/>
    <n v="0"/>
    <n v="105.52500000000001"/>
    <n v="386.92500000000001"/>
    <n v="0"/>
    <n v="551.77"/>
    <n v="1378.54994255"/>
    <n v="0.7141561935732279"/>
    <x v="1"/>
    <x v="0"/>
    <x v="2"/>
    <x v="0"/>
    <n v="12"/>
    <n v="1"/>
    <d v="2019-12-05T00:00:00"/>
    <s v="BFB-527"/>
    <s v="SUZUKI"/>
    <s v="BALENO"/>
    <s v="RIMAC SEGUROS  Y REASEGUROS S.A"/>
  </r>
  <r>
    <s v="005-00000256"/>
    <n v="459.32341032965996"/>
    <n v="0"/>
    <n v="0"/>
    <n v="0"/>
    <n v="0"/>
    <n v="15.075000000000001"/>
    <n v="70.350000000000009"/>
    <n v="0"/>
    <n v="85.425000000000011"/>
    <n v="373.89841032965995"/>
    <n v="0.81401993001251594"/>
    <x v="1"/>
    <x v="0"/>
    <x v="2"/>
    <x v="0"/>
    <n v="8"/>
    <n v="1"/>
    <d v="2019-12-09T00:00:00"/>
    <s v="BET-306"/>
    <s v="MAZDA"/>
    <s v="MAZDA3"/>
    <s v="RENTAEQUIPOS LEASING PERU S.A."/>
  </r>
  <r>
    <s v="005-00000238"/>
    <n v="482.15998564999995"/>
    <n v="0"/>
    <n v="0"/>
    <n v="0"/>
    <n v="0"/>
    <n v="15.075000000000001"/>
    <n v="105.52500000000001"/>
    <n v="0"/>
    <n v="120.60000000000001"/>
    <n v="361.55998564999993"/>
    <n v="0.74987555253590954"/>
    <x v="1"/>
    <x v="0"/>
    <x v="2"/>
    <x v="0"/>
    <n v="12"/>
    <n v="1"/>
    <d v="2019-12-05T00:00:00"/>
    <s v="BET-590"/>
    <s v="MAZDA"/>
    <s v="MAZDA3"/>
    <s v="RENTAEQUIPOS LEASING PERU S.A."/>
  </r>
  <r>
    <s v="005-00000266"/>
    <n v="42.372897999999985"/>
    <n v="0"/>
    <n v="0"/>
    <n v="0"/>
    <n v="0"/>
    <n v="0"/>
    <n v="0"/>
    <n v="0"/>
    <n v="0"/>
    <n v="42.372897999999985"/>
    <n v="1"/>
    <x v="0"/>
    <x v="1"/>
    <x v="2"/>
    <x v="0"/>
    <n v="4"/>
    <n v="1"/>
    <d v="2019-12-14T00:00:00"/>
    <s v="BFW224"/>
    <s v="JEEP"/>
    <s v="GRANDCHEROKE"/>
    <s v="RENTAEQUIPOS LEASING PERU S.A."/>
  </r>
  <r>
    <s v="005-00000206"/>
    <n v="183.6999945"/>
    <n v="0"/>
    <n v="0"/>
    <n v="0"/>
    <n v="15.075000000000001"/>
    <n v="0"/>
    <n v="0"/>
    <n v="0"/>
    <n v="15.075000000000001"/>
    <n v="168.62499450000001"/>
    <n v="0.91793685110861567"/>
    <x v="1"/>
    <x v="0"/>
    <x v="2"/>
    <x v="0"/>
    <n v="24"/>
    <n v="1"/>
    <d v="2019-11-25T00:00:00"/>
    <s v="AJD-170"/>
    <s v="NISSAN"/>
    <s v="XTRAIL"/>
    <s v="RIMAC SEGUROS  Y REASEGUROS S.A"/>
  </r>
  <r>
    <s v="005-00000268"/>
    <n v="895.11997320000023"/>
    <n v="0"/>
    <n v="0"/>
    <n v="0"/>
    <n v="0"/>
    <n v="120.60000000000001"/>
    <n v="140.70000000000002"/>
    <n v="0"/>
    <n v="261.3"/>
    <n v="633.81997320000028"/>
    <n v="0.70808382359532418"/>
    <x v="1"/>
    <x v="0"/>
    <x v="2"/>
    <x v="0"/>
    <n v="3"/>
    <n v="1"/>
    <d v="2019-12-16T00:00:00"/>
    <s v="BKQ-559"/>
    <s v="FORD"/>
    <s v="ECOSPORT"/>
    <s v="ARSEGUIN PERU S.A.C."/>
  </r>
  <r>
    <s v="005-00000094"/>
    <n v="2287.8999315000005"/>
    <n v="5.4759001999999999"/>
    <n v="0"/>
    <n v="84.75"/>
    <n v="30.150000000000002"/>
    <n v="180.9"/>
    <n v="351.75"/>
    <n v="0"/>
    <n v="653.02590020000002"/>
    <n v="1634.8740313000005"/>
    <n v="0.71457409862683063"/>
    <x v="1"/>
    <x v="3"/>
    <x v="2"/>
    <x v="0"/>
    <n v="56"/>
    <n v="1"/>
    <d v="2019-10-24T00:00:00"/>
    <s v="BEQ-177"/>
    <s v="KIA"/>
    <s v="PICANTO"/>
    <s v="RENTAEQUIPOS LEASING PERU S.A."/>
  </r>
  <r>
    <s v="005-00000288"/>
    <n v="649"/>
    <n v="162.29719799999998"/>
    <n v="0"/>
    <n v="0"/>
    <n v="40.250250000000001"/>
    <n v="0"/>
    <n v="0"/>
    <n v="0"/>
    <n v="202.54744799999997"/>
    <n v="446.45255200000003"/>
    <n v="0.68790840061633285"/>
    <x v="0"/>
    <x v="1"/>
    <x v="2"/>
    <x v="0"/>
    <n v="1"/>
    <n v="1"/>
    <d v="2019-12-26T00:00:00"/>
    <s v="F8V-681"/>
    <s v="DODGE"/>
    <s v="JOURNEY SXT"/>
    <s v="CONSULTING CENTER SAC"/>
  </r>
  <r>
    <s v="005-00000274"/>
    <n v="432.73958058135997"/>
    <n v="0"/>
    <n v="0"/>
    <n v="0"/>
    <n v="0"/>
    <n v="105.52500000000001"/>
    <n v="281.40000000000003"/>
    <n v="0"/>
    <n v="386.92500000000007"/>
    <n v="45.814580581359905"/>
    <n v="0.1058710195166588"/>
    <x v="1"/>
    <x v="0"/>
    <x v="2"/>
    <x v="0"/>
    <n v="11"/>
    <n v="1"/>
    <d v="2019-12-19T00:00:00"/>
    <s v="F2Y-614"/>
    <s v="MAZDA"/>
    <s v="MAZDA3"/>
    <s v="NGV SUMINISTROS S.A.C."/>
  </r>
  <r>
    <s v="005-00000280"/>
    <n v="885.84597335000001"/>
    <n v="0"/>
    <n v="0"/>
    <n v="0"/>
    <n v="0"/>
    <n v="45.225000000000001"/>
    <n v="228.63750000000002"/>
    <n v="0"/>
    <n v="273.86250000000001"/>
    <n v="611.98347334999994"/>
    <n v="0.69084636806065125"/>
    <x v="0"/>
    <x v="0"/>
    <x v="2"/>
    <x v="0"/>
    <n v="7"/>
    <n v="1"/>
    <d v="2019-12-23T00:00:00"/>
    <s v="F2Y-614"/>
    <s v="MAZDA"/>
    <s v="MAZDA3"/>
    <s v="NGV SUMINISTROS S.A.C."/>
  </r>
  <r>
    <s v="005-00000213"/>
    <n v="775.53793768983007"/>
    <n v="90"/>
    <n v="0"/>
    <n v="0"/>
    <n v="0"/>
    <n v="30.150000000000002"/>
    <n v="140.70000000000002"/>
    <n v="0"/>
    <n v="260.85000000000002"/>
    <n v="514.68793768983005"/>
    <n v="0.66365281784019592"/>
    <x v="0"/>
    <x v="0"/>
    <x v="2"/>
    <x v="0"/>
    <n v="5"/>
    <n v="1"/>
    <d v="2019-11-28T00:00:00"/>
    <s v="BDG-262"/>
    <s v="KIA"/>
    <s v="RIO"/>
    <s v="MILLA HUAYAKAWA ELEONORA"/>
  </r>
  <r>
    <s v="005-00000224"/>
    <n v="650"/>
    <n v="121.64754874999998"/>
    <n v="19.489999999999998"/>
    <n v="0"/>
    <n v="40.250250000000001"/>
    <n v="0"/>
    <n v="0"/>
    <n v="0"/>
    <n v="181.38779874999997"/>
    <n v="468.61220125"/>
    <n v="0.72094184807692308"/>
    <x v="0"/>
    <x v="1"/>
    <x v="2"/>
    <x v="0"/>
    <n v="1"/>
    <n v="1"/>
    <d v="2019-12-02T00:00:00"/>
    <s v="D3X-162"/>
    <s v="HONDA"/>
    <s v="CRV"/>
    <s v="TEJADA LIZA DE DEL MOS CLAUDIA"/>
  </r>
  <r>
    <s v="005-00000221"/>
    <n v="101.57999699999999"/>
    <n v="0"/>
    <n v="0"/>
    <n v="0"/>
    <n v="0"/>
    <n v="0"/>
    <n v="35.175000000000004"/>
    <n v="0"/>
    <n v="35.175000000000004"/>
    <n v="66.40499699999998"/>
    <n v="0.65372119473482548"/>
    <x v="0"/>
    <x v="0"/>
    <x v="2"/>
    <x v="0"/>
    <n v="3"/>
    <n v="1"/>
    <d v="2019-12-02T00:00:00"/>
    <s v="BDW-631"/>
    <s v="MAZDA"/>
    <s v="MAZDA3"/>
    <s v="DIAZ PAURO RAUL"/>
  </r>
  <r>
    <s v="005-00000248"/>
    <n v="623"/>
    <n v="259.32500099999999"/>
    <n v="0"/>
    <n v="0"/>
    <n v="0"/>
    <n v="0"/>
    <n v="0"/>
    <n v="0"/>
    <n v="259.32500099999999"/>
    <n v="363.67499900000001"/>
    <n v="0.58374799197431781"/>
    <x v="0"/>
    <x v="1"/>
    <x v="2"/>
    <x v="0"/>
    <n v="6"/>
    <n v="1"/>
    <d v="2019-12-07T00:00:00"/>
    <s v="APE333"/>
    <s v="VOLKSWAGEN"/>
    <s v="GOL"/>
    <s v="ALIAGA MORALES GUSTAVO"/>
  </r>
  <r>
    <s v="005-00000267"/>
    <n v="200.28000599999999"/>
    <n v="0"/>
    <n v="0"/>
    <n v="0"/>
    <n v="0"/>
    <n v="0"/>
    <n v="35.175000000000004"/>
    <n v="0"/>
    <n v="35.175000000000004"/>
    <n v="165.10500599999997"/>
    <n v="0.82437088602843356"/>
    <x v="0"/>
    <x v="0"/>
    <x v="2"/>
    <x v="0"/>
    <n v="4"/>
    <n v="1"/>
    <d v="2019-12-16T00:00:00"/>
    <s v="AKI-444"/>
    <s v="MAZDA"/>
    <s v="MAZDA3"/>
    <s v="RUIZ FLORES OMAR"/>
  </r>
  <r>
    <s v="005-00000262"/>
    <n v="349"/>
    <n v="76.520498599999996"/>
    <n v="15.25"/>
    <n v="0"/>
    <n v="40.250250000000001"/>
    <n v="0"/>
    <n v="0"/>
    <n v="0"/>
    <n v="132.02074859999999"/>
    <n v="216.97925140000001"/>
    <n v="0.62171705272206301"/>
    <x v="0"/>
    <x v="1"/>
    <x v="2"/>
    <x v="0"/>
    <n v="8"/>
    <n v="1"/>
    <d v="2019-12-12T00:00:00"/>
    <s v="BFS-508"/>
    <s v="CHERY"/>
    <s v="QQ"/>
    <s v="RODRIGUEZ CHUMPITAZ MARCOS"/>
  </r>
  <r>
    <s v="005-00000259"/>
    <n v="500.70001500000001"/>
    <n v="0"/>
    <n v="0"/>
    <n v="0"/>
    <n v="0"/>
    <n v="60.300000000000004"/>
    <n v="140.70000000000002"/>
    <n v="0"/>
    <n v="201.00000000000003"/>
    <n v="299.70001500000001"/>
    <n v="0.59856202520784829"/>
    <x v="1"/>
    <x v="0"/>
    <x v="2"/>
    <x v="0"/>
    <n v="9"/>
    <n v="1"/>
    <d v="2019-12-11T00:00:00"/>
    <s v="BFS-508"/>
    <s v="CHERY"/>
    <s v="QQ"/>
    <s v="RODRIGUEZ CHUMPITAZ MARCOS"/>
  </r>
  <r>
    <s v="005-00000269"/>
    <n v="166.3"/>
    <n v="0"/>
    <n v="0"/>
    <n v="0"/>
    <n v="0"/>
    <n v="22.612500000000001"/>
    <n v="105.52500000000001"/>
    <n v="0"/>
    <n v="128.13750000000002"/>
    <n v="38.162499999999994"/>
    <n v="0.22947985568250145"/>
    <x v="1"/>
    <x v="0"/>
    <x v="2"/>
    <x v="0"/>
    <n v="5"/>
    <n v="1"/>
    <d v="2019-12-16T00:00:00"/>
    <s v="BEE-024"/>
    <s v="HONDA"/>
    <s v="CRV"/>
    <s v="MARTOS SALCEDO KARIN LILIANA"/>
  </r>
  <r>
    <s v="005-00000273"/>
    <n v="2269.7966000000001"/>
    <n v="1208.8978894000002"/>
    <n v="0"/>
    <n v="101.69999999999999"/>
    <n v="40.250250000000001"/>
    <n v="0"/>
    <n v="0"/>
    <n v="0"/>
    <n v="1350.8481394000003"/>
    <n v="918.94846059999986"/>
    <n v="0.40485938722438819"/>
    <x v="0"/>
    <x v="1"/>
    <x v="2"/>
    <x v="0"/>
    <n v="2"/>
    <n v="1"/>
    <d v="2019-12-19T00:00:00"/>
    <s v="A2Q-372"/>
    <s v="HYUNDAI"/>
    <s v="TUCSON"/>
    <s v="SALVATIERRA YARACSA KARINA"/>
  </r>
  <r>
    <s v="005-00000284"/>
    <n v="404.10169999999999"/>
    <n v="0"/>
    <n v="0"/>
    <n v="0"/>
    <n v="0"/>
    <n v="0"/>
    <n v="0"/>
    <n v="0"/>
    <n v="0"/>
    <n v="404.10169999999999"/>
    <n v="1"/>
    <x v="0"/>
    <x v="1"/>
    <x v="2"/>
    <x v="0"/>
    <n v="0"/>
    <n v="1"/>
    <d v="2019-12-23T00:00:00"/>
    <s v="BKA372"/>
    <s v="MAZDA"/>
    <s v="CX3"/>
    <s v="VERME ALVA RODRIGO"/>
  </r>
  <r>
    <s v="005-00000277"/>
    <n v="332.2"/>
    <n v="0"/>
    <n v="0"/>
    <n v="0"/>
    <n v="0"/>
    <n v="45.225000000000001"/>
    <n v="140.70000000000002"/>
    <n v="0"/>
    <n v="185.92500000000001"/>
    <n v="146.27499999999998"/>
    <n v="0.44032209512341958"/>
    <x v="1"/>
    <x v="0"/>
    <x v="2"/>
    <x v="0"/>
    <n v="7"/>
    <n v="1"/>
    <d v="2019-12-20T00:00:00"/>
    <s v="F7V531"/>
    <s v="HONDA"/>
    <s v="ACCORD"/>
    <s v="DIAZ SALCEDO LUIS FELIPE"/>
  </r>
  <r>
    <s v="005-00000279"/>
    <n v="1690.1412622293901"/>
    <n v="0"/>
    <n v="0"/>
    <n v="186.44"/>
    <n v="0"/>
    <n v="0"/>
    <n v="0"/>
    <n v="0"/>
    <n v="186.44"/>
    <n v="1503.7012622293901"/>
    <n v="0.88968969389335228"/>
    <x v="0"/>
    <x v="3"/>
    <x v="2"/>
    <x v="0"/>
    <n v="7"/>
    <n v="1"/>
    <d v="2019-12-21T00:00:00"/>
    <s v="BAK021"/>
    <s v="KIA"/>
    <s v="SORENTO"/>
    <s v="LOAYZA VEGA FELIPE"/>
  </r>
  <r>
    <s v="005-00000286"/>
    <n v="42.372897999999985"/>
    <n v="0"/>
    <n v="0"/>
    <n v="0"/>
    <n v="0"/>
    <n v="0"/>
    <n v="70.350000000000009"/>
    <n v="0"/>
    <n v="70.350000000000009"/>
    <n v="-27.977102000000023"/>
    <n v="-0.66025934785012896"/>
    <x v="0"/>
    <x v="0"/>
    <x v="2"/>
    <x v="0"/>
    <n v="5"/>
    <n v="1"/>
    <d v="2019-12-23T00:00:00"/>
    <s v="BEA-170"/>
    <s v="KIA"/>
    <s v="CERATO"/>
    <s v="GUZMAN ZUÑIGA CARLOS LEONARDO"/>
  </r>
  <r>
    <s v="005-00000274"/>
    <n v="1922.73"/>
    <n v="0"/>
    <n v="0"/>
    <n v="0"/>
    <n v="0"/>
    <n v="105.52500000000001"/>
    <n v="281.40000000000003"/>
    <n v="0"/>
    <n v="386.92500000000007"/>
    <n v="1535.8049999999998"/>
    <n v="0.79876269679050094"/>
    <x v="1"/>
    <x v="0"/>
    <x v="3"/>
    <x v="1"/>
    <n v="14"/>
    <n v="1"/>
    <d v="2019-12-19T00:00:00"/>
    <s v="F2Y-614"/>
    <s v="MAZDA"/>
    <s v="MAZDA3"/>
    <s v="NGV SUMINISTROS S.A.C."/>
  </r>
  <r>
    <s v="005-00000259"/>
    <n v="192.38599419999997"/>
    <n v="0"/>
    <n v="0"/>
    <n v="0"/>
    <n v="0"/>
    <n v="60.300000000000004"/>
    <n v="140.70000000000002"/>
    <n v="0"/>
    <n v="201.00000000000003"/>
    <n v="-8.6140058000000579"/>
    <n v="-4.4774599293569882E-2"/>
    <x v="1"/>
    <x v="0"/>
    <x v="3"/>
    <x v="1"/>
    <n v="22"/>
    <n v="1"/>
    <d v="2019-12-11T00:00:00"/>
    <s v="BFS-508"/>
    <s v="CHERY"/>
    <s v="QQ"/>
    <s v="RODRIGUEZ CHUMPITAZ MARCOS"/>
  </r>
  <r>
    <s v="005-00000269"/>
    <n v="376.47948865000001"/>
    <n v="0"/>
    <n v="0"/>
    <n v="0"/>
    <n v="0"/>
    <n v="22.612500000000001"/>
    <n v="105.52500000000001"/>
    <n v="0"/>
    <n v="128.13750000000002"/>
    <n v="248.34198864999999"/>
    <n v="0.65964281225656618"/>
    <x v="1"/>
    <x v="0"/>
    <x v="3"/>
    <x v="1"/>
    <n v="17"/>
    <n v="1"/>
    <d v="2019-12-16T00:00:00"/>
    <s v="BEE-024"/>
    <s v="HONDA"/>
    <s v="CRV"/>
    <s v="MARTOS SALCEDO KARIN LILIANA"/>
  </r>
  <r>
    <s v="005-00000277"/>
    <n v="383.11348845000003"/>
    <n v="0"/>
    <n v="0"/>
    <n v="0"/>
    <n v="0"/>
    <n v="45.225000000000001"/>
    <n v="140.70000000000002"/>
    <n v="0"/>
    <n v="185.92500000000001"/>
    <n v="197.18848845000002"/>
    <n v="0.5146999372112554"/>
    <x v="1"/>
    <x v="0"/>
    <x v="3"/>
    <x v="1"/>
    <n v="13"/>
    <n v="1"/>
    <d v="2019-12-20T00:00:00"/>
    <s v="F7V-531"/>
    <s v="HONDA"/>
    <s v="ACCORD"/>
    <s v="DIAZ SALCEDO LUIS FELIPE"/>
  </r>
  <r>
    <s v="005-00000283"/>
    <n v="912.17497250000008"/>
    <n v="0"/>
    <n v="0"/>
    <n v="0"/>
    <n v="0"/>
    <n v="90.45"/>
    <n v="175.875"/>
    <n v="0"/>
    <n v="266.32499999999999"/>
    <n v="645.84997250000015"/>
    <n v="0.70803298925196079"/>
    <x v="1"/>
    <x v="0"/>
    <x v="3"/>
    <x v="1"/>
    <n v="10"/>
    <n v="1"/>
    <d v="2019-12-23T00:00:00"/>
    <s v="BEA-170"/>
    <s v="KIA"/>
    <s v="CERATO"/>
    <s v="RIMAC SEGUROS  Y REASEGUROS S.A"/>
  </r>
  <r>
    <s v="005-00000271"/>
    <n v="1343.3849595000002"/>
    <n v="0"/>
    <n v="0"/>
    <n v="0"/>
    <n v="0"/>
    <n v="105.52500000000001"/>
    <n v="175.875"/>
    <n v="0"/>
    <n v="281.39999999999998"/>
    <n v="1061.9849595000001"/>
    <n v="0.79052914206756086"/>
    <x v="1"/>
    <x v="0"/>
    <x v="3"/>
    <x v="1"/>
    <n v="15"/>
    <n v="1"/>
    <d v="2019-12-18T00:00:00"/>
    <s v="ATT-083"/>
    <s v="KIA"/>
    <s v="SPORTAGE"/>
    <s v="RIMAC SEGUROS  Y REASEGUROS S.A"/>
  </r>
  <r>
    <s v="005-00000261"/>
    <n v="1104.5609667000001"/>
    <n v="0"/>
    <n v="0"/>
    <n v="0"/>
    <n v="0"/>
    <n v="120.60000000000001"/>
    <n v="140.70000000000002"/>
    <n v="0"/>
    <n v="261.3"/>
    <n v="843.26096670000015"/>
    <n v="0.76343542106085549"/>
    <x v="1"/>
    <x v="0"/>
    <x v="3"/>
    <x v="1"/>
    <n v="21"/>
    <n v="1"/>
    <d v="2019-12-12T00:00:00"/>
    <s v="BMD-515"/>
    <s v="MITSUBISHI"/>
    <s v="XPANDER"/>
    <s v="RIMAC SEGUROS  Y REASEGUROS S.A"/>
  </r>
  <r>
    <s v="005-00000263"/>
    <n v="369.84548885000004"/>
    <n v="0"/>
    <n v="0"/>
    <n v="0"/>
    <n v="0"/>
    <n v="22.612500000000001"/>
    <n v="70.350000000000009"/>
    <n v="0"/>
    <n v="92.962500000000006"/>
    <n v="276.88298885000006"/>
    <n v="0.74864503474394628"/>
    <x v="1"/>
    <x v="0"/>
    <x v="3"/>
    <x v="1"/>
    <n v="20"/>
    <n v="1"/>
    <d v="2019-12-13T00:00:00"/>
    <s v="AKI-444"/>
    <s v="MAZDA"/>
    <s v="MAZDA3"/>
    <s v="RIMAC SEGUROS  Y REASEGUROS S.A"/>
  </r>
  <r>
    <s v="005-00000243"/>
    <n v="1670"/>
    <n v="1025.7909890000001"/>
    <n v="0"/>
    <n v="0"/>
    <n v="0"/>
    <n v="0"/>
    <n v="0"/>
    <n v="0"/>
    <n v="1025.7909890000001"/>
    <n v="644.20901099999992"/>
    <n v="0.38575389880239513"/>
    <x v="2"/>
    <x v="2"/>
    <x v="3"/>
    <x v="1"/>
    <n v="27"/>
    <n v="1"/>
    <d v="2019-12-06T00:00:00"/>
    <s v="AVV-131"/>
    <s v="HYUNDAI"/>
    <s v="HYUNDAI"/>
    <s v="EDPYME ACCESO CREDITICIO SOCIEDAD ANONIMA"/>
  </r>
  <r>
    <s v="005-00000202"/>
    <n v="9418.7542099999991"/>
    <n v="1850.9663059000002"/>
    <n v="0"/>
    <n v="197.21"/>
    <n v="350.49375000000003"/>
    <n v="542.70000000000005"/>
    <n v="1266.3"/>
    <n v="0"/>
    <n v="4207.6700559000001"/>
    <n v="5211.0841540999991"/>
    <n v="0.55326681617483253"/>
    <x v="2"/>
    <x v="2"/>
    <x v="3"/>
    <x v="1"/>
    <n v="40"/>
    <n v="1"/>
    <d v="2019-11-23T00:00:00"/>
    <s v="AYW-081"/>
    <s v="CHEVROLET"/>
    <s v="SAIL"/>
    <s v="EDPYME ACCESO CREDITICIO SOCIEDAD ANONIMA"/>
  </r>
  <r>
    <s v="005-00000195"/>
    <n v="13465.754209999999"/>
    <n v="4429.5701867999996"/>
    <n v="0"/>
    <n v="288.14"/>
    <n v="305.26875000000001"/>
    <n v="603"/>
    <n v="1266.3"/>
    <n v="0"/>
    <n v="6892.2789368000003"/>
    <n v="6573.4752731999988"/>
    <n v="0.48816242823728173"/>
    <x v="2"/>
    <x v="2"/>
    <x v="3"/>
    <x v="1"/>
    <n v="42"/>
    <n v="1"/>
    <d v="2019-11-21T00:00:00"/>
    <s v="AYE-380"/>
    <s v="CHEVROLET"/>
    <s v="SAIL"/>
    <s v="EDPYME ACCESO CREDITICIO SOCIEDAD ANONIMA"/>
  </r>
  <r>
    <s v="005-00000196"/>
    <n v="11714.754209999999"/>
    <n v="2998.95411074"/>
    <n v="0"/>
    <n v="209.15"/>
    <n v="275.11875000000003"/>
    <n v="753.75"/>
    <n v="1266.3"/>
    <n v="0"/>
    <n v="5503.2728607400004"/>
    <n v="6211.4813492599988"/>
    <n v="0.53022720220264863"/>
    <x v="2"/>
    <x v="2"/>
    <x v="3"/>
    <x v="1"/>
    <n v="42"/>
    <n v="1"/>
    <d v="2019-11-21T00:00:00"/>
    <s v="F0B-164"/>
    <s v="CHEVROLET"/>
    <s v="SAIL"/>
    <s v="EDPYME ACCESO CREDITICIO SOCIEDAD ANONIMA"/>
  </r>
  <r>
    <s v="005-00000054"/>
    <n v="9866"/>
    <n v="2023.7140816400004"/>
    <n v="415.25016949152536"/>
    <n v="164.74"/>
    <n v="165.82500000000002"/>
    <n v="678.375"/>
    <n v="1195.95"/>
    <n v="0"/>
    <n v="4643.8542511315254"/>
    <n v="5222.1457488684746"/>
    <n v="0.52930729260779186"/>
    <x v="2"/>
    <x v="3"/>
    <x v="3"/>
    <x v="1"/>
    <n v="78"/>
    <n v="1"/>
    <d v="2019-10-16T00:00:00"/>
    <s v="AMR-639"/>
    <s v="CHEVROLET"/>
    <s v="SAIL"/>
    <s v="EDPYME ACCESO CREDITICIO SOCIEDAD ANONIMA"/>
  </r>
  <r>
    <s v="005-00000191"/>
    <n v="4710"/>
    <n v="1218.8407061"/>
    <n v="76.260000000000005"/>
    <n v="842.37"/>
    <n v="0"/>
    <n v="0"/>
    <n v="0"/>
    <n v="0"/>
    <n v="2137.4707060999999"/>
    <n v="2572.5292939000001"/>
    <n v="0.54618456346072186"/>
    <x v="2"/>
    <x v="1"/>
    <x v="3"/>
    <x v="1"/>
    <n v="42"/>
    <n v="1"/>
    <d v="2019-11-21T00:00:00"/>
    <s v="AMR639"/>
    <s v="CHEVROLET"/>
    <s v="SAIL"/>
    <s v="EDPYME ACCESO CREDITICIO SOCIEDAD ANONIMA"/>
  </r>
  <r>
    <s v="005-00000252"/>
    <n v="2488.7542100000001"/>
    <n v="221.6296931"/>
    <n v="16.100000000000001"/>
    <n v="89.32"/>
    <n v="139.44374999999999"/>
    <n v="120.60000000000001"/>
    <n v="562.80000000000007"/>
    <n v="0"/>
    <n v="1149.8934431000002"/>
    <n v="1338.8607668999998"/>
    <n v="0.53796423990780506"/>
    <x v="2"/>
    <x v="0"/>
    <x v="3"/>
    <x v="1"/>
    <n v="24"/>
    <n v="1"/>
    <d v="2019-12-09T00:00:00"/>
    <s v="BJJ-554"/>
    <s v="CHEVROLET"/>
    <s v="COBALT"/>
    <s v="EDPYME ACCESO CREDITICIO SOCIEDAD ANONIMA"/>
  </r>
  <r>
    <s v="005-00000194"/>
    <n v="10452"/>
    <n v="2174.7578027"/>
    <n v="71.19"/>
    <n v="342.78999999999996"/>
    <n v="316.57499999999999"/>
    <n v="422.1"/>
    <n v="1266.3"/>
    <n v="0"/>
    <n v="4593.7128026999999"/>
    <n v="5858.2871973000001"/>
    <n v="0.56049437402411018"/>
    <x v="2"/>
    <x v="2"/>
    <x v="3"/>
    <x v="1"/>
    <n v="42"/>
    <n v="1"/>
    <d v="2019-11-21T00:00:00"/>
    <s v="AUN-101"/>
    <s v="CHEVROLET"/>
    <s v="SAIL"/>
    <s v="EDPYME ACCESO CREDITICIO SOCIEDAD ANONIMA"/>
  </r>
  <r>
    <s v="005-00000276"/>
    <n v="1101.21"/>
    <n v="152.54000000000002"/>
    <n v="0"/>
    <n v="59.32"/>
    <n v="0"/>
    <n v="45.225000000000001"/>
    <n v="158.28749999999999"/>
    <n v="0"/>
    <n v="415.37250000000006"/>
    <n v="685.83749999999998"/>
    <n v="0.62280355245593477"/>
    <x v="1"/>
    <x v="0"/>
    <x v="3"/>
    <x v="1"/>
    <n v="14"/>
    <n v="1"/>
    <d v="2019-12-19T00:00:00"/>
    <s v="F2O-046"/>
    <s v="MAZDA"/>
    <s v="CX-5"/>
    <s v="RIMAC SEGUROS  Y REASEGUROS S.A"/>
  </r>
  <r>
    <s v="005-00000295"/>
    <n v="499"/>
    <n v="125.31709879999997"/>
    <n v="0"/>
    <n v="0"/>
    <n v="40.250250000000001"/>
    <n v="0"/>
    <n v="0"/>
    <n v="0"/>
    <n v="165.56734879999996"/>
    <n v="333.43265120000001"/>
    <n v="0.6682017058116233"/>
    <x v="0"/>
    <x v="1"/>
    <x v="3"/>
    <x v="1"/>
    <n v="5"/>
    <n v="1"/>
    <d v="2019-12-28T00:00:00"/>
    <s v="C4S-251"/>
    <s v="KIA"/>
    <s v="SORENTO"/>
    <s v="INDURA PERU S.A."/>
  </r>
  <r>
    <s v="005-00000282"/>
    <n v="1281.3570387"/>
    <n v="0"/>
    <n v="0"/>
    <n v="0"/>
    <n v="0"/>
    <n v="60.300000000000004"/>
    <n v="0"/>
    <n v="0"/>
    <n v="60.300000000000004"/>
    <n v="1221.0570387"/>
    <n v="0.95294051682802061"/>
    <x v="1"/>
    <x v="0"/>
    <x v="3"/>
    <x v="1"/>
    <n v="12"/>
    <n v="1"/>
    <d v="2019-12-23T00:00:00"/>
    <s v="F3M-334"/>
    <s v="SUZUKI"/>
    <s v="SWIFT"/>
    <s v="RIMAC SEGUROS  Y REASEGUROS S.A"/>
  </r>
  <r>
    <s v="005-00000299"/>
    <n v="879"/>
    <n v="258.47460100000006"/>
    <n v="0"/>
    <n v="0"/>
    <n v="30.150000000000002"/>
    <n v="0"/>
    <n v="0"/>
    <n v="0"/>
    <n v="288.62460100000004"/>
    <n v="590.37539900000002"/>
    <n v="0.67164436746302614"/>
    <x v="1"/>
    <x v="0"/>
    <x v="3"/>
    <x v="1"/>
    <n v="4"/>
    <n v="1"/>
    <d v="2020-01-02T00:00:00"/>
    <s v="F2F-448"/>
    <s v="NISSAN"/>
    <s v="TIIDA"/>
    <s v="LADO B EDUCACION EMOCIONAL S.A.C."/>
  </r>
  <r>
    <s v="005-00000293"/>
    <n v="561.25419999999997"/>
    <n v="46.94"/>
    <n v="42.37"/>
    <n v="80"/>
    <n v="0"/>
    <n v="45.225000000000001"/>
    <n v="52.762500000000003"/>
    <n v="0"/>
    <n v="267.29750000000001"/>
    <n v="293.95669999999996"/>
    <n v="0.5237496663722071"/>
    <x v="2"/>
    <x v="0"/>
    <x v="3"/>
    <x v="1"/>
    <n v="10"/>
    <n v="1"/>
    <d v="2019-12-27T00:00:00"/>
    <s v="AEM-292"/>
    <s v="HYUNDAI"/>
    <s v="ACCENT"/>
    <s v="EDPYME ACCESO CREDITICIO SOCIEDAD ANONIMA"/>
  </r>
  <r>
    <s v="005-00000296"/>
    <n v="971.97749999999996"/>
    <n v="0"/>
    <n v="0"/>
    <n v="0"/>
    <n v="0"/>
    <n v="90.45"/>
    <n v="175.875"/>
    <n v="0"/>
    <n v="266.32499999999999"/>
    <n v="705.65249999999992"/>
    <n v="0.72599674375178436"/>
    <x v="1"/>
    <x v="0"/>
    <x v="3"/>
    <x v="1"/>
    <n v="8"/>
    <n v="1"/>
    <d v="2019-12-30T00:00:00"/>
    <s v="BDK-341"/>
    <s v="SUZUKI"/>
    <s v="SWIFT"/>
    <s v="RIMAC SEGUROS  Y REASEGUROS S.A"/>
  </r>
  <r>
    <s v="005-00000319"/>
    <n v="355"/>
    <n v="0"/>
    <n v="0"/>
    <n v="0"/>
    <n v="0"/>
    <n v="0"/>
    <n v="0"/>
    <n v="0"/>
    <n v="0"/>
    <n v="355"/>
    <n v="1"/>
    <x v="0"/>
    <x v="1"/>
    <x v="3"/>
    <x v="1"/>
    <n v="0"/>
    <n v="1"/>
    <d v="2020-01-07T00:00:00"/>
    <s v="F6K132"/>
    <s v="KIA"/>
    <s v="SORENTO"/>
    <s v="INDURA PERU S.A."/>
  </r>
  <r>
    <s v="005-00000207"/>
    <n v="7728"/>
    <n v="5149.3193375500005"/>
    <n v="0"/>
    <n v="1884.75"/>
    <n v="80.500500000000002"/>
    <n v="30.150000000000002"/>
    <n v="0"/>
    <n v="0"/>
    <n v="7144.7198375500002"/>
    <n v="583.28016244999981"/>
    <n v="7.5476211497153181E-2"/>
    <x v="0"/>
    <x v="1"/>
    <x v="3"/>
    <x v="1"/>
    <n v="43"/>
    <n v="1"/>
    <d v="2019-11-25T00:00:00"/>
    <s v="F6K-132"/>
    <s v="KIA"/>
    <s v="SORENTO"/>
    <s v="INDURA PERU S.A."/>
  </r>
  <r>
    <s v="005-00000190"/>
    <n v="13586.59331"/>
    <n v="5329.3985689000001"/>
    <n v="0"/>
    <n v="122.88"/>
    <n v="350.49375000000003"/>
    <n v="482.40000000000003"/>
    <n v="1090.425"/>
    <n v="0"/>
    <n v="7375.5973188999997"/>
    <n v="6210.9959911000005"/>
    <n v="0.4571415254277601"/>
    <x v="2"/>
    <x v="2"/>
    <x v="3"/>
    <x v="1"/>
    <n v="48"/>
    <n v="1"/>
    <d v="2019-11-21T00:00:00"/>
    <s v="AVV-131"/>
    <s v="HYUNDAI"/>
    <s v="ACCENT"/>
    <s v="EDPYME ACCESO CREDITICIO SOCIEDAD ANONIMA"/>
  </r>
  <r>
    <s v="005-00000298"/>
    <n v="941.5409717"/>
    <n v="0"/>
    <n v="0"/>
    <n v="0"/>
    <n v="0"/>
    <n v="90.45"/>
    <n v="140.70000000000002"/>
    <n v="0"/>
    <n v="231.15000000000003"/>
    <n v="710.39097169999991"/>
    <n v="0.75449820353261199"/>
    <x v="1"/>
    <x v="0"/>
    <x v="3"/>
    <x v="1"/>
    <n v="6"/>
    <n v="1"/>
    <d v="2020-01-02T00:00:00"/>
    <s v="BAG-855"/>
    <s v="RAM"/>
    <s v="V700"/>
    <s v="GRUPO BONNETT SA"/>
  </r>
  <r>
    <s v="005-00000114"/>
    <n v="2480.7870746999997"/>
    <n v="5.4759001999999999"/>
    <n v="0"/>
    <n v="84.75"/>
    <n v="0"/>
    <n v="180.9"/>
    <n v="386.92500000000001"/>
    <n v="0"/>
    <n v="658.0509002"/>
    <n v="1822.7361744999998"/>
    <n v="0.7347410799939057"/>
    <x v="1"/>
    <x v="3"/>
    <x v="3"/>
    <x v="1"/>
    <n v="73"/>
    <n v="1"/>
    <d v="2019-10-29T00:00:00"/>
    <s v="BFZ-509"/>
    <s v="KIA"/>
    <s v="SPORTAGE"/>
    <s v="SOLUCION INTEGRAL DE TECNOLOGIAS DE INFORMACION Y COMUNICACION E.I.R.L."/>
  </r>
  <r>
    <s v="005-00000291"/>
    <n v="840.21302530000003"/>
    <n v="0"/>
    <n v="0"/>
    <n v="0"/>
    <n v="0"/>
    <n v="60.300000000000004"/>
    <n v="140.70000000000002"/>
    <n v="0"/>
    <n v="201.00000000000003"/>
    <n v="639.21302530000003"/>
    <n v="0.7607749535562931"/>
    <x v="1"/>
    <x v="0"/>
    <x v="3"/>
    <x v="1"/>
    <n v="14"/>
    <n v="1"/>
    <d v="2019-12-27T00:00:00"/>
    <s v="AWJ-049"/>
    <s v="RENAULT"/>
    <s v="LOGAN"/>
    <s v="RIMAC SEGUROS  Y REASEGUROS S.A"/>
  </r>
  <r>
    <s v="005-00000281"/>
    <n v="570.06598284999995"/>
    <n v="0"/>
    <n v="0"/>
    <n v="0"/>
    <n v="0"/>
    <n v="45.225000000000001"/>
    <n v="0"/>
    <n v="0"/>
    <n v="45.225000000000001"/>
    <n v="524.84098284999993"/>
    <n v="0.92066707826714866"/>
    <x v="1"/>
    <x v="0"/>
    <x v="3"/>
    <x v="1"/>
    <n v="19"/>
    <n v="1"/>
    <d v="2019-12-23T00:00:00"/>
    <s v="AJE-585"/>
    <s v="AUDI"/>
    <s v="Q3"/>
    <s v="RIMAC SEGUROS  Y REASEGUROS S.A"/>
  </r>
  <r>
    <s v="005-00000304"/>
    <n v="899.98693372458013"/>
    <n v="0"/>
    <n v="0"/>
    <n v="0"/>
    <n v="0"/>
    <n v="60.300000000000004"/>
    <n v="211.05"/>
    <n v="0"/>
    <n v="271.35000000000002"/>
    <n v="628.6369337245801"/>
    <n v="0.69849562273418475"/>
    <x v="1"/>
    <x v="0"/>
    <x v="3"/>
    <x v="1"/>
    <n v="8"/>
    <n v="1"/>
    <d v="2020-01-03T00:00:00"/>
    <s v="BFF-666"/>
    <s v="KIA"/>
    <s v="RIO"/>
    <s v="RIMAC SEGUROS  Y REASEGUROS S.A"/>
  </r>
  <r>
    <s v="005-00000305"/>
    <n v="73.972958574580005"/>
    <n v="0"/>
    <n v="0"/>
    <n v="0"/>
    <n v="0"/>
    <n v="7.5375000000000005"/>
    <n v="17.587500000000002"/>
    <n v="0"/>
    <n v="25.125000000000004"/>
    <n v="48.847958574580005"/>
    <n v="0.66034885606652038"/>
    <x v="1"/>
    <x v="0"/>
    <x v="3"/>
    <x v="1"/>
    <n v="8"/>
    <n v="1"/>
    <d v="2020-01-03T00:00:00"/>
    <s v="BFF-666"/>
    <s v="KIA"/>
    <s v="RIO"/>
    <s v="RIMAC SEGUROS  Y REASEGUROS S.A"/>
  </r>
  <r>
    <s v="005-00000201"/>
    <n v="13559.322"/>
    <n v="4221.5106992799992"/>
    <n v="33.9"/>
    <n v="808.89"/>
    <n v="350.49375000000003"/>
    <n v="829.125"/>
    <n v="1371.825"/>
    <n v="0"/>
    <n v="7615.7444492799987"/>
    <n v="5943.5775507200015"/>
    <n v="0.43833884546144719"/>
    <x v="2"/>
    <x v="2"/>
    <x v="3"/>
    <x v="1"/>
    <n v="51"/>
    <n v="1"/>
    <d v="2019-11-23T00:00:00"/>
    <s v="D9T-310"/>
    <s v="CHEVROLET"/>
    <s v="SAIL"/>
    <s v="EDPYME ACCESO CREDITICIO SOCIEDAD ANONIMA"/>
  </r>
  <r>
    <s v="005-00000203"/>
    <n v="13999.754209999999"/>
    <n v="2707.6113702200005"/>
    <n v="153.97999999999999"/>
    <n v="714.1400000000001"/>
    <n v="440.94375000000002"/>
    <n v="783.9"/>
    <n v="1266.3"/>
    <n v="0"/>
    <n v="6066.875120220001"/>
    <n v="7932.8790897799981"/>
    <n v="0.56664416894644887"/>
    <x v="2"/>
    <x v="2"/>
    <x v="3"/>
    <x v="1"/>
    <n v="51"/>
    <n v="1"/>
    <d v="2019-11-23T00:00:00"/>
    <s v="ARM-473"/>
    <s v="CHEVROLET"/>
    <s v="SAIL"/>
    <s v="EDPYME ACCESO CREDITICIO SOCIEDAD ANONIMA"/>
  </r>
  <r>
    <s v="005-00000093"/>
    <n v="344.03398965000002"/>
    <n v="158.72000199999997"/>
    <n v="0"/>
    <n v="0"/>
    <n v="0"/>
    <n v="15.075000000000001"/>
    <n v="0"/>
    <n v="0"/>
    <n v="173.79500199999995"/>
    <n v="170.23898765000007"/>
    <n v="0.49483188513783544"/>
    <x v="0"/>
    <x v="1"/>
    <x v="3"/>
    <x v="1"/>
    <n v="81"/>
    <n v="1"/>
    <d v="2019-10-24T00:00:00"/>
    <s v="BEJ-577"/>
    <s v="MAZDA"/>
    <s v="MAZDA3"/>
    <s v="RENTAEQUIPOS LEASING PERU S.A."/>
  </r>
  <r>
    <s v="005-00000301"/>
    <n v="1682.1920111999998"/>
    <n v="5.4759001999999999"/>
    <n v="0"/>
    <n v="199.16"/>
    <n v="0"/>
    <n v="90.45"/>
    <n v="0"/>
    <n v="0"/>
    <n v="295.08590020000003"/>
    <n v="1387.1061109999998"/>
    <n v="0.82458251006108452"/>
    <x v="1"/>
    <x v="0"/>
    <x v="3"/>
    <x v="1"/>
    <n v="12"/>
    <n v="1"/>
    <d v="2020-01-02T00:00:00"/>
    <s v="AUO-555"/>
    <s v="HYUNDAI"/>
    <s v="TUCSON"/>
    <s v="CERAMICOS BARCELONA SAC"/>
  </r>
  <r>
    <s v="005-00000303"/>
    <n v="1039.6874687500001"/>
    <n v="0"/>
    <n v="0"/>
    <n v="0"/>
    <n v="0"/>
    <n v="150.75"/>
    <n v="175.875"/>
    <n v="0"/>
    <n v="326.625"/>
    <n v="713.06246875000011"/>
    <n v="0.68584309245094965"/>
    <x v="1"/>
    <x v="3"/>
    <x v="3"/>
    <x v="1"/>
    <n v="13"/>
    <n v="1"/>
    <d v="2020-01-03T00:00:00"/>
    <s v="BES-112"/>
    <s v="NISSAN"/>
    <s v="KICKS"/>
    <s v="RIMAC SEGUROS  Y REASEGUROS S.A"/>
  </r>
  <r>
    <s v="005-00000302"/>
    <n v="2042.7779386"/>
    <n v="0"/>
    <n v="0"/>
    <n v="84.75"/>
    <n v="15.075000000000001"/>
    <n v="120.60000000000001"/>
    <n v="422.1"/>
    <n v="0"/>
    <n v="642.52500000000009"/>
    <n v="1400.2529385999999"/>
    <n v="0.68546507779482435"/>
    <x v="1"/>
    <x v="3"/>
    <x v="3"/>
    <x v="1"/>
    <n v="13"/>
    <n v="1"/>
    <d v="2020-01-03T00:00:00"/>
    <s v="BDW-301"/>
    <s v="MAZDA"/>
    <s v="MAZDA3"/>
    <s v="RIMAC SEGUROS  Y REASEGUROS S.A"/>
  </r>
  <r>
    <s v="005-00000216"/>
    <n v="8871.7542099999991"/>
    <n v="1987.1938547000002"/>
    <n v="0"/>
    <n v="96.27"/>
    <n v="290.19375000000002"/>
    <n v="316.57499999999999"/>
    <n v="1266.3"/>
    <n v="0"/>
    <n v="3956.5326046999999"/>
    <n v="4915.2216052999993"/>
    <n v="0.55403040807416593"/>
    <x v="2"/>
    <x v="2"/>
    <x v="3"/>
    <x v="1"/>
    <n v="49"/>
    <n v="1"/>
    <d v="2019-11-29T00:00:00"/>
    <s v="BFZ-575"/>
    <s v="CHEVROLET"/>
    <s v="SAIL"/>
    <s v="EDPYME ACCESO CREDITICIO SOCIEDAD ANONIMA"/>
  </r>
  <r>
    <s v="005-00000258"/>
    <n v="9371.2542099999991"/>
    <n v="1318.8415390600001"/>
    <n v="72.03"/>
    <n v="265"/>
    <n v="0"/>
    <n v="180.9"/>
    <n v="949.72500000000002"/>
    <n v="0"/>
    <n v="2786.49653906"/>
    <n v="6584.7576709399991"/>
    <n v="0.70265489798723535"/>
    <x v="2"/>
    <x v="3"/>
    <x v="3"/>
    <x v="1"/>
    <n v="38"/>
    <n v="1"/>
    <d v="2019-12-10T00:00:00"/>
    <s v="D3W-105"/>
    <s v="CHEVROLET"/>
    <s v="SAIL"/>
    <s v="EDPYME ACCESO CREDITICIO SOCIEDAD ANONIMA"/>
  </r>
  <r>
    <s v="005-00000309"/>
    <n v="2549.5"/>
    <n v="77.660597499999994"/>
    <n v="0"/>
    <n v="57.37"/>
    <n v="0"/>
    <n v="120.60000000000001"/>
    <n v="0"/>
    <n v="0"/>
    <n v="255.63059750000002"/>
    <n v="2293.8694025"/>
    <n v="0.89973304667581877"/>
    <x v="2"/>
    <x v="0"/>
    <x v="3"/>
    <x v="1"/>
    <n v="14"/>
    <n v="1"/>
    <d v="2020-01-03T00:00:00"/>
    <s v="BKY-290"/>
    <s v="BYD"/>
    <s v="F3"/>
    <s v="EDPYME ACCESO CREDITICIO SOCIEDAD ANONIMA"/>
  </r>
  <r>
    <s v="005-00000308"/>
    <n v="3555.2541999999999"/>
    <n v="445.06809801999998"/>
    <n v="0"/>
    <n v="42.37"/>
    <n v="0"/>
    <n v="331.65000000000003"/>
    <n v="0"/>
    <n v="0"/>
    <n v="819.08809801999996"/>
    <n v="2736.1661019799999"/>
    <n v="0.76961194560433965"/>
    <x v="2"/>
    <x v="0"/>
    <x v="3"/>
    <x v="1"/>
    <n v="14"/>
    <n v="1"/>
    <d v="2020-01-03T00:00:00"/>
    <s v="BKD-354"/>
    <s v="CHEVROLET"/>
    <s v="SAIL"/>
    <s v="EDPYME ACCESO CREDITICIO SOCIEDAD ANONIMA"/>
  </r>
  <r>
    <s v="005-00000306"/>
    <n v="5974.5"/>
    <n v="768.97414461999995"/>
    <n v="7.62"/>
    <n v="102.19999999999999"/>
    <n v="0"/>
    <n v="361.8"/>
    <n v="1160.7750000000001"/>
    <n v="0"/>
    <n v="2401.36914462"/>
    <n v="3573.13085538"/>
    <n v="0.59806357944263122"/>
    <x v="2"/>
    <x v="2"/>
    <x v="3"/>
    <x v="1"/>
    <n v="14"/>
    <n v="1"/>
    <d v="2020-01-03T00:00:00"/>
    <s v="BEA-419"/>
    <s v="BYD"/>
    <s v="F3"/>
    <s v="EDPYME ACCESO CREDITICIO SOCIEDAD ANONIMA"/>
  </r>
  <r>
    <s v="005-00000307"/>
    <n v="3074.5"/>
    <n v="74.218697219999996"/>
    <n v="0"/>
    <n v="0"/>
    <n v="0"/>
    <n v="211.05"/>
    <n v="949.72500000000002"/>
    <n v="0"/>
    <n v="1234.9936972200001"/>
    <n v="1839.5063027799999"/>
    <n v="0.59831071809399905"/>
    <x v="2"/>
    <x v="2"/>
    <x v="3"/>
    <x v="1"/>
    <n v="14"/>
    <n v="1"/>
    <d v="2020-01-03T00:00:00"/>
    <s v="BJS-447"/>
    <s v="BYD"/>
    <s v="F3"/>
    <s v="EDPYME ACCESO CREDITICIO SOCIEDAD ANONIMA"/>
  </r>
  <r>
    <s v="005-00000314"/>
    <n v="5179.5"/>
    <n v="951.85274549999997"/>
    <n v="105.93"/>
    <n v="0"/>
    <n v="128.13750000000002"/>
    <n v="301.5"/>
    <n v="1055.25"/>
    <n v="0"/>
    <n v="2542.6702455"/>
    <n v="2636.8297545"/>
    <n v="0.5090896330726904"/>
    <x v="2"/>
    <x v="2"/>
    <x v="3"/>
    <x v="1"/>
    <n v="13"/>
    <n v="1"/>
    <d v="2020-01-04T00:00:00"/>
    <s v="BCI-195"/>
    <s v="GREAT WALL"/>
    <s v="VOLEX"/>
    <s v="EDPYME ACCESO CREDITICIO SOCIEDAD ANONIMA"/>
  </r>
  <r>
    <s v="005-00000244"/>
    <n v="845"/>
    <n v="332.20400100000001"/>
    <n v="461.85999999999996"/>
    <n v="16.95"/>
    <n v="15.075000000000001"/>
    <n v="0"/>
    <n v="0"/>
    <n v="0"/>
    <n v="826.08900100000005"/>
    <n v="18.910998999999947"/>
    <n v="2.2379880473372717E-2"/>
    <x v="2"/>
    <x v="2"/>
    <x v="3"/>
    <x v="1"/>
    <n v="43"/>
    <n v="1"/>
    <d v="2019-12-06T00:00:00"/>
    <s v="D2X-491"/>
    <s v="CHEVROLET"/>
    <s v="CHEVROLET"/>
    <s v="EDPYME ACCESO CREDITICIO SOCIEDAD ANONIMA"/>
  </r>
  <r>
    <s v="005-00000106"/>
    <n v="11203.254209999999"/>
    <n v="3510.2143903399988"/>
    <n v="136.28"/>
    <n v="156.76999999999998"/>
    <n v="290.19375000000002"/>
    <n v="512.55000000000007"/>
    <n v="1231.125"/>
    <n v="0"/>
    <n v="5837.133140339999"/>
    <n v="5366.1210696600001"/>
    <n v="0.47897878322445031"/>
    <x v="2"/>
    <x v="2"/>
    <x v="3"/>
    <x v="1"/>
    <n v="82"/>
    <n v="1"/>
    <d v="2019-10-28T00:00:00"/>
    <s v="D2X-491"/>
    <s v="CHEVROLET"/>
    <s v="SAIL"/>
    <s v="EDPYME ACCESO CREDITICIO SOCIEDAD ANONIMA"/>
  </r>
  <r>
    <s v="005-00000272"/>
    <n v="4900"/>
    <n v="1591.902887"/>
    <n v="0"/>
    <n v="1171.7733898305084"/>
    <n v="15.075000000000001"/>
    <n v="0"/>
    <n v="0"/>
    <n v="0"/>
    <n v="2778.7512768305082"/>
    <n v="2121.2487231694918"/>
    <n v="0.43290790268765139"/>
    <x v="0"/>
    <x v="1"/>
    <x v="3"/>
    <x v="1"/>
    <n v="31"/>
    <n v="1"/>
    <d v="2019-12-18T00:00:00"/>
    <s v="D2X-491"/>
    <s v="CHEVROLET"/>
    <s v="SAIL"/>
    <s v="EDPYME ACCESO CREDITICIO SOCIEDAD ANONIMA"/>
  </r>
  <r>
    <s v="005-00000233"/>
    <n v="14905.754199999999"/>
    <n v="4789.3089501200002"/>
    <n v="97.460000000000008"/>
    <n v="396.34000000000003"/>
    <n v="440.94375000000002"/>
    <n v="723.6"/>
    <n v="1266.3"/>
    <n v="0"/>
    <n v="7713.9527001200013"/>
    <n v="7191.8014998799981"/>
    <n v="0.48248491175844016"/>
    <x v="2"/>
    <x v="2"/>
    <x v="3"/>
    <x v="1"/>
    <n v="46"/>
    <n v="1"/>
    <d v="2019-12-03T00:00:00"/>
    <s v="AVP-525"/>
    <s v="CHEVROLET"/>
    <s v="SAIL"/>
    <s v="EDPYME ACCESO CREDITICIO SOCIEDAD ANONIMA"/>
  </r>
  <r>
    <s v="005-00000056"/>
    <n v="14406.779699999999"/>
    <n v="7280.8806479999985"/>
    <n v="526.09999999999991"/>
    <n v="1072.8699999999999"/>
    <n v="120.60000000000001"/>
    <n v="482.40000000000003"/>
    <n v="1266.3"/>
    <n v="0"/>
    <n v="10749.150647999999"/>
    <n v="3657.6290520000002"/>
    <n v="0.25388248645184741"/>
    <x v="2"/>
    <x v="2"/>
    <x v="3"/>
    <x v="1"/>
    <n v="94"/>
    <n v="1"/>
    <d v="2019-10-16T00:00:00"/>
    <s v="AKY-377"/>
    <s v="KIA"/>
    <s v="RIO"/>
    <s v="EDPYME ACCESO CREDITICIO SOCIEDAD ANONIMA"/>
  </r>
  <r>
    <s v="005-00000186"/>
    <n v="12026.754209999999"/>
    <n v="2758.8133256200003"/>
    <n v="135.58949152542374"/>
    <n v="418.13"/>
    <n v="320.34375"/>
    <n v="587.92500000000007"/>
    <n v="1266.3"/>
    <n v="0"/>
    <n v="5487.1015671454243"/>
    <n v="6539.6526428545749"/>
    <n v="0.54375873395807728"/>
    <x v="2"/>
    <x v="2"/>
    <x v="3"/>
    <x v="1"/>
    <n v="58"/>
    <n v="1"/>
    <d v="2019-11-21T00:00:00"/>
    <s v="F9A-025"/>
    <s v="CHEVROLET"/>
    <s v="SAIL"/>
    <s v="EDPYME ACCESO CREDITICIO SOCIEDAD ANONIMA"/>
  </r>
  <r>
    <s v="005-00000333"/>
    <n v="3101"/>
    <n v="1453.3899730000001"/>
    <n v="0"/>
    <n v="77.289999999999992"/>
    <n v="15.075000000000001"/>
    <n v="0"/>
    <n v="0"/>
    <n v="0"/>
    <n v="1545.7549730000001"/>
    <n v="1555.2450269999999"/>
    <n v="0.50153016027088038"/>
    <x v="0"/>
    <x v="1"/>
    <x v="3"/>
    <x v="1"/>
    <n v="2"/>
    <n v="1"/>
    <d v="2020-01-16T00:00:00"/>
    <s v="C4S-529"/>
    <s v="KIA"/>
    <s v="SORENTO"/>
    <s v="INDURA PERU S.A."/>
  </r>
  <r>
    <s v="005-00000214"/>
    <n v="395.55598810000004"/>
    <n v="0"/>
    <n v="0"/>
    <n v="0"/>
    <n v="0"/>
    <n v="15.075000000000001"/>
    <n v="70.350000000000009"/>
    <n v="0"/>
    <n v="85.425000000000011"/>
    <n v="310.13098810000002"/>
    <n v="0.78403815750501593"/>
    <x v="1"/>
    <x v="0"/>
    <x v="3"/>
    <x v="1"/>
    <n v="53"/>
    <n v="1"/>
    <d v="2019-11-28T00:00:00"/>
    <s v="AND-446"/>
    <s v="RENAULT"/>
    <s v="LOGAN"/>
    <s v="RENTAEQUIPOS LEASING PERU S.A."/>
  </r>
  <r>
    <s v="005-00000318"/>
    <n v="1191.2954999999999"/>
    <n v="0"/>
    <n v="0"/>
    <n v="0"/>
    <n v="0"/>
    <n v="180.9"/>
    <n v="105.52500000000001"/>
    <n v="0"/>
    <n v="286.42500000000001"/>
    <n v="904.87049999999999"/>
    <n v="0.75956846978772274"/>
    <x v="1"/>
    <x v="3"/>
    <x v="3"/>
    <x v="1"/>
    <n v="14"/>
    <n v="1"/>
    <d v="2020-01-07T00:00:00"/>
    <s v="AVL-461"/>
    <s v="HONDA"/>
    <s v="HR-V"/>
    <s v="RIMAC SEGUROS  Y REASEGUROS S.A"/>
  </r>
  <r>
    <s v="005-00000327"/>
    <n v="888.09997325000018"/>
    <n v="0"/>
    <n v="0"/>
    <n v="0"/>
    <n v="0"/>
    <n v="60.300000000000004"/>
    <n v="175.875"/>
    <n v="0"/>
    <n v="236.17500000000001"/>
    <n v="651.92497325000022"/>
    <n v="0.73406710154970733"/>
    <x v="1"/>
    <x v="0"/>
    <x v="3"/>
    <x v="1"/>
    <n v="8"/>
    <n v="1"/>
    <d v="2020-01-14T00:00:00"/>
    <s v="D1M-272"/>
    <s v="TOYOTA"/>
    <s v="COROLLA"/>
    <s v="RIMAC SEGUROS  Y REASEGUROS S.A"/>
  </r>
  <r>
    <s v="005-00000320"/>
    <n v="1252.1674622500002"/>
    <n v="0"/>
    <n v="0"/>
    <n v="84.75"/>
    <n v="0"/>
    <n v="75.375"/>
    <n v="175.875"/>
    <n v="0"/>
    <n v="336"/>
    <n v="916.1674622500002"/>
    <n v="0.731665284293327"/>
    <x v="1"/>
    <x v="0"/>
    <x v="3"/>
    <x v="1"/>
    <n v="15"/>
    <n v="1"/>
    <d v="2020-01-08T00:00:00"/>
    <s v="AJD-170"/>
    <s v="NISSAN"/>
    <s v="QASHQAI"/>
    <s v="RIMAC SEGUROS  Y REASEGUROS S.A"/>
  </r>
  <r>
    <s v="005-00000325"/>
    <n v="2206.6481480445791"/>
    <n v="0"/>
    <n v="0"/>
    <n v="84.75"/>
    <n v="0"/>
    <n v="180.9"/>
    <n v="334.16250000000002"/>
    <n v="0"/>
    <n v="599.8125"/>
    <n v="1606.8356480445791"/>
    <n v="0.72817936537298722"/>
    <x v="1"/>
    <x v="3"/>
    <x v="3"/>
    <x v="1"/>
    <n v="10"/>
    <n v="1"/>
    <d v="2020-01-13T00:00:00"/>
    <s v="ANE-092"/>
    <s v="MAZDA"/>
    <s v="MAZDA2"/>
    <s v="RIMAC SEGUROS  Y REASEGUROS S.A"/>
  </r>
  <r>
    <s v="005-00000335"/>
    <n v="1405.5083938611199"/>
    <n v="0"/>
    <n v="0"/>
    <n v="0"/>
    <n v="0"/>
    <n v="90.45"/>
    <n v="316.57499999999999"/>
    <n v="0"/>
    <n v="407.02499999999998"/>
    <n v="998.48339386111991"/>
    <n v="0.71040727911852042"/>
    <x v="0"/>
    <x v="0"/>
    <x v="3"/>
    <x v="1"/>
    <n v="7"/>
    <n v="1"/>
    <d v="2020-01-16T00:00:00"/>
    <s v="AUV-610"/>
    <s v="BMW"/>
    <s v="X3"/>
    <s v="FASHIONLIGHT SA"/>
  </r>
  <r>
    <s v="005-00000331"/>
    <n v="1122.8639047999998"/>
    <n v="0"/>
    <n v="0"/>
    <n v="0"/>
    <n v="0"/>
    <n v="0"/>
    <n v="0"/>
    <n v="0"/>
    <n v="0"/>
    <n v="1122.8639047999998"/>
    <n v="1"/>
    <x v="1"/>
    <x v="0"/>
    <x v="3"/>
    <x v="1"/>
    <n v="9"/>
    <n v="1"/>
    <d v="2020-01-15T00:00:00"/>
    <s v="AXU177"/>
    <s v="HYUNDAI"/>
    <s v="I10"/>
    <s v="RIMAC SEGUROS  Y REASEGUROS S.A"/>
  </r>
  <r>
    <s v="005-00000351"/>
    <n v="343.22030999999987"/>
    <n v="249.99001000000001"/>
    <n v="0"/>
    <n v="0"/>
    <n v="15.075000000000001"/>
    <n v="0"/>
    <n v="0"/>
    <n v="0"/>
    <n v="265.06501000000003"/>
    <n v="78.155299999999841"/>
    <n v="0.22771175750059741"/>
    <x v="0"/>
    <x v="1"/>
    <x v="3"/>
    <x v="1"/>
    <n v="0"/>
    <n v="1"/>
    <d v="2020-01-24T00:00:00"/>
    <s v="F6L-635"/>
    <s v="KIA"/>
    <s v="RIO"/>
    <s v="INDURA PERU S.A."/>
  </r>
  <r>
    <s v="005-00000324"/>
    <n v="1338.3125"/>
    <n v="0"/>
    <n v="0"/>
    <n v="0"/>
    <n v="0"/>
    <n v="180.9"/>
    <n v="175.875"/>
    <n v="0"/>
    <n v="356.77499999999998"/>
    <n v="981.53750000000002"/>
    <n v="0.73341428104422546"/>
    <x v="1"/>
    <x v="3"/>
    <x v="3"/>
    <x v="1"/>
    <n v="16"/>
    <n v="1"/>
    <d v="2020-01-09T00:00:00"/>
    <s v="ASP-160"/>
    <s v="SUZUKI"/>
    <s v="CIAZ"/>
    <s v="RIMAC SEGUROS  Y REASEGUROS S.A"/>
  </r>
  <r>
    <s v="005-00000287"/>
    <n v="4201.1374999999998"/>
    <n v="0"/>
    <n v="0"/>
    <n v="76.27"/>
    <n v="45.225000000000001"/>
    <n v="452.25"/>
    <n v="457.27500000000003"/>
    <n v="0"/>
    <n v="1031.02"/>
    <n v="3170.1174999999998"/>
    <n v="0.75458551404232777"/>
    <x v="1"/>
    <x v="2"/>
    <x v="3"/>
    <x v="1"/>
    <n v="30"/>
    <n v="1"/>
    <d v="2019-12-26T00:00:00"/>
    <s v="BFR-644"/>
    <s v="MITSUBHI"/>
    <s v="ASX"/>
    <s v="ESTRUCTURAS Y MONTAJE JC EIRL"/>
  </r>
  <r>
    <s v="005-00000341"/>
    <n v="46.610198999999994"/>
    <n v="0"/>
    <n v="0"/>
    <n v="0"/>
    <n v="0"/>
    <n v="0"/>
    <n v="0"/>
    <n v="0"/>
    <n v="0"/>
    <n v="46.610198999999994"/>
    <n v="1"/>
    <x v="0"/>
    <x v="1"/>
    <x v="3"/>
    <x v="1"/>
    <n v="5"/>
    <n v="1"/>
    <d v="2020-01-20T00:00:00"/>
    <s v="BFR644"/>
    <s v="MITSUBISHI"/>
    <s v="ASX"/>
    <s v="ESTRUCTURAS Y MONTAJE JC EIRL"/>
  </r>
  <r>
    <s v="005-00000323"/>
    <n v="1088.9375"/>
    <n v="0"/>
    <n v="0"/>
    <n v="0"/>
    <n v="0"/>
    <n v="105.52500000000001"/>
    <n v="175.875"/>
    <n v="0"/>
    <n v="281.39999999999998"/>
    <n v="807.53750000000002"/>
    <n v="0.74158296504620336"/>
    <x v="1"/>
    <x v="0"/>
    <x v="3"/>
    <x v="1"/>
    <n v="16"/>
    <n v="1"/>
    <d v="2020-01-09T00:00:00"/>
    <s v="AVK-314"/>
    <s v="HONDA"/>
    <s v="PILOT"/>
    <s v="EXPORT &amp;IMPORT VANISTSAC"/>
  </r>
  <r>
    <s v="005-00000340"/>
    <n v="1972.4857533499999"/>
    <n v="0"/>
    <n v="0"/>
    <n v="0"/>
    <n v="0"/>
    <n v="0"/>
    <n v="0"/>
    <n v="0"/>
    <n v="0"/>
    <n v="1972.4857533499999"/>
    <n v="1"/>
    <x v="0"/>
    <x v="0"/>
    <x v="3"/>
    <x v="1"/>
    <n v="5"/>
    <n v="1"/>
    <d v="2020-01-20T00:00:00"/>
    <s v="AVK-314"/>
    <s v="HONDA"/>
    <s v="PILOT"/>
    <s v="EXPORT &amp;IMPORT VANISTSAC"/>
  </r>
  <r>
    <s v="005-00000339"/>
    <n v="943.26750000000004"/>
    <n v="0"/>
    <n v="0"/>
    <n v="0"/>
    <n v="0"/>
    <n v="0"/>
    <n v="0"/>
    <n v="0"/>
    <n v="0"/>
    <n v="943.26750000000004"/>
    <n v="1"/>
    <x v="1"/>
    <x v="0"/>
    <x v="3"/>
    <x v="1"/>
    <n v="8"/>
    <n v="1"/>
    <d v="2020-01-20T00:00:00"/>
    <s v="AYD066"/>
    <s v="KIA"/>
    <s v="RIO"/>
    <s v="RIMAC SEGUROS  Y REASEGUROS S.A"/>
  </r>
  <r>
    <s v="005-00000310"/>
    <n v="10681.5"/>
    <n v="2491.0499542800003"/>
    <n v="114.40474576271187"/>
    <n v="457.61999999999995"/>
    <n v="391.95"/>
    <n v="452.25"/>
    <n v="1231.125"/>
    <n v="0"/>
    <n v="5138.3997000427116"/>
    <n v="5543.1002999572884"/>
    <n v="0.51894399662568824"/>
    <x v="2"/>
    <x v="2"/>
    <x v="3"/>
    <x v="1"/>
    <n v="25"/>
    <n v="1"/>
    <d v="2020-01-04T00:00:00"/>
    <s v="AZN-215"/>
    <s v="CHEVROLET"/>
    <s v="SAIL"/>
    <s v="EDPYME ACCESO CREDITICIO SOCIEDAD ANONIMA"/>
  </r>
  <r>
    <s v="005-00000228"/>
    <n v="12445.754209999999"/>
    <n v="3427.8843898200003"/>
    <n v="141.51999999999998"/>
    <n v="762.15000000000009"/>
    <n v="425.86875000000003"/>
    <n v="482.40000000000003"/>
    <n v="1266.3"/>
    <n v="0"/>
    <n v="6506.1231398199998"/>
    <n v="5939.6310701799994"/>
    <n v="0.4772415532204215"/>
    <x v="2"/>
    <x v="2"/>
    <x v="3"/>
    <x v="1"/>
    <n v="57"/>
    <n v="1"/>
    <d v="2019-12-03T00:00:00"/>
    <s v="D1Q-268"/>
    <s v="CHEVROLET"/>
    <s v="SAIL"/>
    <s v="EDPYME ACCESO CREDITICIO SOCIEDAD ANONIMA"/>
  </r>
  <r>
    <s v="005-00000275"/>
    <n v="933"/>
    <n v="599.70078960000012"/>
    <n v="118.64999999999999"/>
    <n v="127.78999999999999"/>
    <n v="0"/>
    <n v="0"/>
    <n v="0"/>
    <n v="0"/>
    <n v="846.14078960000006"/>
    <n v="86.859210399999938"/>
    <n v="9.3096688531618371E-2"/>
    <x v="2"/>
    <x v="1"/>
    <x v="3"/>
    <x v="1"/>
    <n v="41"/>
    <n v="1"/>
    <d v="2019-12-19T00:00:00"/>
    <s v="F7Y-120"/>
    <s v="BYD"/>
    <s v="F3"/>
    <s v="EDPYME ACCESO CREDITICIO SOCIEDAD ANONIMA"/>
  </r>
  <r>
    <s v="005-00000198"/>
    <n v="15503.754209999999"/>
    <n v="4787.8372151999993"/>
    <n v="461.87"/>
    <n v="1906.8100000000004"/>
    <n v="425.86875000000003"/>
    <n v="482.40000000000003"/>
    <n v="1371.825"/>
    <n v="0"/>
    <n v="9436.6109651999996"/>
    <n v="6067.1432447999996"/>
    <n v="0.39133381261208733"/>
    <x v="2"/>
    <x v="2"/>
    <x v="3"/>
    <x v="1"/>
    <n v="68"/>
    <n v="1"/>
    <d v="2019-11-22T00:00:00"/>
    <s v="F7Y-120"/>
    <s v="BYD"/>
    <s v="F3"/>
    <s v="EDPYME ACCESO CREDITICIO SOCIEDAD ANONIMA"/>
  </r>
  <r>
    <s v="005-00000326"/>
    <n v="1060.53"/>
    <n v="0"/>
    <n v="0"/>
    <n v="99.74"/>
    <n v="0"/>
    <n v="60.300000000000004"/>
    <n v="140.70000000000002"/>
    <n v="0"/>
    <n v="300.74"/>
    <n v="759.79"/>
    <n v="0.7164248064646922"/>
    <x v="1"/>
    <x v="0"/>
    <x v="3"/>
    <x v="1"/>
    <n v="15"/>
    <n v="1"/>
    <d v="2020-01-14T00:00:00"/>
    <s v="F2S454"/>
    <s v="CHEVROLET"/>
    <s v="CRUZE"/>
    <s v="RIMAC SEGUROS  Y REASEGUROS S.A"/>
  </r>
  <r>
    <s v="005-00000343"/>
    <n v="1853.0399448500002"/>
    <n v="0"/>
    <n v="0"/>
    <n v="0"/>
    <n v="15.075000000000001"/>
    <n v="211.05"/>
    <n v="246.22499999999999"/>
    <n v="0"/>
    <n v="472.35"/>
    <n v="1380.6899448500003"/>
    <n v="0.74509453975195572"/>
    <x v="1"/>
    <x v="2"/>
    <x v="3"/>
    <x v="1"/>
    <n v="11"/>
    <n v="1"/>
    <d v="2020-01-20T00:00:00"/>
    <s v="BKR-397"/>
    <s v="KIA"/>
    <s v="RIO"/>
    <s v="RIMAC SEGUROS  Y REASEGUROS S.A"/>
  </r>
  <r>
    <s v="005-00000334"/>
    <n v="1592.6399526"/>
    <n v="0"/>
    <n v="0"/>
    <n v="59.322033898305087"/>
    <n v="0"/>
    <n v="150.75"/>
    <n v="246.22499999999999"/>
    <n v="0"/>
    <n v="456.29703389830507"/>
    <n v="1136.342918701695"/>
    <n v="0.7134964288988257"/>
    <x v="1"/>
    <x v="3"/>
    <x v="3"/>
    <x v="1"/>
    <n v="15"/>
    <n v="1"/>
    <d v="2020-01-16T00:00:00"/>
    <s v="C0X-378"/>
    <s v="MAZDA"/>
    <s v="CX-5"/>
    <s v="RIMAC SEGUROS  Y REASEGUROS S.A"/>
  </r>
  <r>
    <s v="005-00000317"/>
    <n v="199.61999400000002"/>
    <n v="0"/>
    <n v="0"/>
    <n v="0"/>
    <n v="0"/>
    <n v="15.075000000000001"/>
    <n v="70.350000000000009"/>
    <n v="0"/>
    <n v="85.425000000000011"/>
    <n v="114.19499400000001"/>
    <n v="0.57206190478094088"/>
    <x v="1"/>
    <x v="0"/>
    <x v="3"/>
    <x v="1"/>
    <n v="10"/>
    <n v="1"/>
    <d v="2020-01-06T00:00:00"/>
    <s v="BDW-301"/>
    <s v="MAZDA"/>
    <s v="MAZDA3"/>
    <s v="DIAZ PAURO RAUL"/>
  </r>
  <r>
    <s v="005-00000342"/>
    <n v="348.59998950000005"/>
    <n v="0"/>
    <n v="0"/>
    <n v="0"/>
    <n v="0"/>
    <n v="45.225000000000001"/>
    <n v="70.350000000000009"/>
    <n v="0"/>
    <n v="115.57500000000002"/>
    <n v="233.02498950000003"/>
    <n v="0.66845954250953876"/>
    <x v="0"/>
    <x v="0"/>
    <x v="3"/>
    <x v="1"/>
    <n v="2"/>
    <n v="1"/>
    <d v="2020-01-20T00:00:00"/>
    <s v="BEN-226"/>
    <s v="NISSAN"/>
    <s v="KICKS"/>
    <s v="LUIS DANIEL PAIRAZAMAN GRADOS"/>
  </r>
  <r>
    <s v="005-00000352"/>
    <n v="177.360918922"/>
    <n v="0"/>
    <n v="0"/>
    <n v="0"/>
    <n v="0"/>
    <n v="0"/>
    <n v="0"/>
    <n v="0"/>
    <n v="0"/>
    <n v="177.360918922"/>
    <n v="1"/>
    <x v="0"/>
    <x v="0"/>
    <x v="3"/>
    <x v="1"/>
    <n v="0"/>
    <n v="1"/>
    <d v="2020-01-24T00:00:00"/>
    <s v="BEN-226"/>
    <s v="NISSAN"/>
    <s v="KICKS"/>
    <s v="LUIS DANIEL PAIRAZAMAN GRADOS"/>
  </r>
  <r>
    <s v="005-00000355"/>
    <n v="59.321998999999998"/>
    <n v="0"/>
    <n v="0"/>
    <n v="0"/>
    <n v="0"/>
    <n v="0"/>
    <n v="0"/>
    <n v="0"/>
    <n v="0"/>
    <n v="59.321998999999998"/>
    <n v="1"/>
    <x v="0"/>
    <x v="1"/>
    <x v="3"/>
    <x v="1"/>
    <n v="0"/>
    <n v="1"/>
    <d v="2020-01-25T00:00:00"/>
    <s v="B0M243"/>
    <s v="HYUNDAI"/>
    <s v="I10"/>
    <s v="TORRES CAMACHO JOSE GABRIEL"/>
  </r>
  <r>
    <s v="005-00000344"/>
    <n v="349.125"/>
    <n v="0"/>
    <n v="0"/>
    <n v="0"/>
    <n v="0"/>
    <n v="15.075000000000001"/>
    <n v="70.350000000000009"/>
    <n v="0"/>
    <n v="85.425000000000011"/>
    <n v="263.7"/>
    <n v="0.75531686358754024"/>
    <x v="0"/>
    <x v="0"/>
    <x v="3"/>
    <x v="1"/>
    <n v="4"/>
    <n v="1"/>
    <d v="2020-01-21T00:00:00"/>
    <s v="ASP-160"/>
    <s v="SUZUKI"/>
    <s v="CIAZ"/>
    <s v="ALVA CUNEO CARLOS ENRIQUE"/>
  </r>
  <r>
    <s v="005-00000338"/>
    <n v="430.39828"/>
    <n v="285.27998999999994"/>
    <n v="0"/>
    <n v="0"/>
    <n v="0"/>
    <n v="0"/>
    <n v="0"/>
    <n v="0"/>
    <n v="285.27998999999994"/>
    <n v="145.11829000000006"/>
    <n v="0.33717209557621852"/>
    <x v="0"/>
    <x v="0"/>
    <x v="3"/>
    <x v="1"/>
    <n v="8"/>
    <n v="1"/>
    <d v="2020-01-17T00:00:00"/>
    <s v="ASP-160"/>
    <s v="SUZUKI"/>
    <s v="CIAZ"/>
    <s v="ALVA CUNEO CARLOS ENRIQUE"/>
  </r>
  <r>
    <s v="005-00000363"/>
    <n v="8.4830999000000009"/>
    <n v="0"/>
    <n v="0"/>
    <n v="0"/>
    <n v="0"/>
    <n v="0"/>
    <n v="0"/>
    <n v="0"/>
    <n v="0"/>
    <n v="8.4830999000000009"/>
    <n v="1"/>
    <x v="0"/>
    <x v="1"/>
    <x v="3"/>
    <x v="1"/>
    <n v="1"/>
    <n v="1"/>
    <d v="2020-01-28T00:00:00"/>
    <s v="F2S454"/>
    <s v="CHEVROLET"/>
    <s v="CRUZE"/>
    <s v="FONSECA PALOMINO MIGUEL"/>
  </r>
  <r>
    <s v="005-00000322"/>
    <n v="4237.5000100000007"/>
    <n v="2772.2490367500004"/>
    <n v="175.42000000000002"/>
    <n v="50"/>
    <n v="55.325250000000004"/>
    <n v="0"/>
    <n v="0"/>
    <n v="0"/>
    <n v="3052.9942867500004"/>
    <n v="1184.5057232500003"/>
    <n v="0.27952937355863278"/>
    <x v="0"/>
    <x v="1"/>
    <x v="3"/>
    <x v="1"/>
    <n v="20"/>
    <n v="1"/>
    <d v="2020-01-09T00:00:00"/>
    <s v="C7L-474"/>
    <s v="CITROEN"/>
    <s v="NAUVELLE"/>
    <s v="HAYOR LATOUR ALESSANDRA ISABEL"/>
  </r>
  <r>
    <s v="005-00000349"/>
    <n v="890.39997349999999"/>
    <n v="0"/>
    <n v="0"/>
    <n v="0"/>
    <n v="0"/>
    <n v="45.225000000000001"/>
    <n v="140.70000000000002"/>
    <n v="0"/>
    <n v="185.92500000000001"/>
    <n v="704.47497350000003"/>
    <n v="0.79118934688512776"/>
    <x v="0"/>
    <x v="0"/>
    <x v="3"/>
    <x v="1"/>
    <n v="9"/>
    <n v="1"/>
    <d v="2020-01-22T00:00:00"/>
    <s v="C0X-378"/>
    <s v="MAZDA"/>
    <s v="CX-5"/>
    <s v="TEJADA CONCEPCION RICARDO"/>
  </r>
  <r>
    <s v="005-00000113"/>
    <n v="1774.8218281274526"/>
    <n v="0"/>
    <n v="0"/>
    <n v="99.825000000000003"/>
    <n v="0"/>
    <n v="271.35000000000002"/>
    <n v="369.33750000000003"/>
    <n v="0"/>
    <n v="740.51250000000005"/>
    <n v="1034.3093281274525"/>
    <n v="0.58276797802217317"/>
    <x v="1"/>
    <x v="2"/>
    <x v="4"/>
    <x v="1"/>
    <n v="109"/>
    <n v="1"/>
    <d v="2019-10-29T00:00:00"/>
    <s v="BEJ174"/>
    <s v="VOLKSWAGEN"/>
    <s v="GOL"/>
    <s v="RIMAC SEGUROS  Y REASEGUROS S.A"/>
  </r>
  <r>
    <s v="005-00000035"/>
    <n v="2127.15945165932"/>
    <n v="0"/>
    <n v="0"/>
    <n v="824.5"/>
    <n v="0"/>
    <n v="241.20000000000002"/>
    <n v="369.33750000000003"/>
    <n v="0"/>
    <n v="1435.0375000000001"/>
    <n v="692.12195165931985"/>
    <n v="0.3253737989032372"/>
    <x v="1"/>
    <x v="3"/>
    <x v="4"/>
    <x v="1"/>
    <n v="127"/>
    <n v="1"/>
    <d v="2019-10-11T00:00:00"/>
    <s v="BEQ190"/>
    <s v="KIA"/>
    <s v="PICANTO"/>
    <s v="RENTAEQUIPOS LEASING PERU S.A."/>
  </r>
  <r>
    <s v="005-00000199"/>
    <n v="1952.5680577000005"/>
    <n v="0"/>
    <n v="0"/>
    <n v="0"/>
    <n v="0"/>
    <n v="195.97499999999999"/>
    <n v="386.92500000000001"/>
    <n v="0"/>
    <n v="582.9"/>
    <n v="1369.6680577000006"/>
    <n v="0.7014700728605493"/>
    <x v="1"/>
    <x v="3"/>
    <x v="4"/>
    <x v="1"/>
    <n v="85"/>
    <n v="1"/>
    <d v="2019-11-22T00:00:00"/>
    <s v="C4R002"/>
    <s v="KIA"/>
    <s v="SPORTAGE"/>
    <s v="SPRIND SAC"/>
  </r>
  <r>
    <s v="005-00000209"/>
    <n v="1316.3760388999999"/>
    <n v="0"/>
    <n v="0"/>
    <n v="0"/>
    <n v="0"/>
    <n v="75.375"/>
    <n v="422.1"/>
    <n v="0"/>
    <n v="497.47500000000002"/>
    <n v="818.90103889999989"/>
    <n v="0.62208746946221849"/>
    <x v="1"/>
    <x v="0"/>
    <x v="4"/>
    <x v="1"/>
    <n v="82"/>
    <n v="1"/>
    <d v="2019-11-25T00:00:00"/>
    <s v="BDW631"/>
    <s v="MAZDA"/>
    <s v="MAZDA3"/>
    <s v="RIMAC SEGUROS  Y REASEGUROS S.A"/>
  </r>
  <r>
    <s v="005-00000257"/>
    <n v="553.28401635"/>
    <n v="0"/>
    <n v="0"/>
    <n v="0"/>
    <n v="0"/>
    <n v="15.075000000000001"/>
    <n v="105.52500000000001"/>
    <n v="0"/>
    <n v="120.60000000000001"/>
    <n v="432.68401634999998"/>
    <n v="0.78202876563180868"/>
    <x v="1"/>
    <x v="0"/>
    <x v="4"/>
    <x v="1"/>
    <n v="70"/>
    <n v="1"/>
    <d v="2019-12-10T00:00:00"/>
    <s v="EGX296"/>
    <s v="MAXUS"/>
    <s v="S8"/>
    <s v="RIMAC SEGUROS  Y REASEGUROS S.A"/>
  </r>
  <r>
    <s v="005-00000239"/>
    <n v="1267.30803745"/>
    <n v="0"/>
    <n v="0"/>
    <n v="59.32"/>
    <n v="0"/>
    <n v="105.52500000000001"/>
    <n v="386.92500000000001"/>
    <n v="0"/>
    <n v="551.77"/>
    <n v="715.53803745000005"/>
    <n v="0.56461256167029605"/>
    <x v="1"/>
    <x v="0"/>
    <x v="4"/>
    <x v="1"/>
    <n v="72"/>
    <n v="1"/>
    <d v="2019-12-05T00:00:00"/>
    <s v="BFB527"/>
    <s v="SUZUKI"/>
    <s v="BALENO"/>
    <s v="RIMAC SEGUROS  Y REASEGUROS S.A"/>
  </r>
  <r>
    <s v="005-00000347"/>
    <n v="452.38398659999996"/>
    <n v="0"/>
    <n v="0"/>
    <n v="0"/>
    <n v="0"/>
    <n v="30.150000000000002"/>
    <n v="70.350000000000009"/>
    <n v="0"/>
    <n v="100.50000000000001"/>
    <n v="351.88398659999996"/>
    <n v="0.77784359531527236"/>
    <x v="1"/>
    <x v="0"/>
    <x v="4"/>
    <x v="1"/>
    <n v="10"/>
    <n v="1"/>
    <d v="2020-01-22T00:00:00"/>
    <s v="AYQ680"/>
    <s v="HYUNDAI"/>
    <s v="ACCENT"/>
    <s v="RIMAC SEGUROS  Y REASEGUROS S.A"/>
  </r>
  <r>
    <s v="005-00000348"/>
    <n v="1713.31994925"/>
    <n v="0"/>
    <n v="0"/>
    <n v="0"/>
    <n v="0"/>
    <n v="120.60000000000001"/>
    <n v="175.875"/>
    <n v="0"/>
    <n v="296.47500000000002"/>
    <n v="1416.8449492499999"/>
    <n v="0.82695876498153131"/>
    <x v="1"/>
    <x v="3"/>
    <x v="4"/>
    <x v="1"/>
    <n v="10"/>
    <n v="1"/>
    <d v="2020-01-22T00:00:00"/>
    <s v="AYQ680"/>
    <s v="HYUNDAI"/>
    <s v="ACCENT"/>
    <s v="RIMAC SEGUROS  Y REASEGUROS S.A"/>
  </r>
  <r>
    <s v="005-00000353"/>
    <n v="6086.5847843501606"/>
    <n v="0"/>
    <n v="0"/>
    <n v="59.32"/>
    <n v="15.075000000000001"/>
    <n v="0"/>
    <n v="0"/>
    <n v="0"/>
    <n v="74.394999999999996"/>
    <n v="6012.1897843501602"/>
    <n v="0.98777721782644268"/>
    <x v="0"/>
    <x v="1"/>
    <x v="4"/>
    <x v="1"/>
    <n v="10"/>
    <n v="1"/>
    <d v="2020-01-24T00:00:00"/>
    <s v="F8V681"/>
    <s v="DODGE"/>
    <s v="JOURNEY"/>
    <s v="CONSULTING CENTER SAC"/>
  </r>
  <r>
    <s v="005-00000345"/>
    <n v="540.67798899999991"/>
    <n v="0"/>
    <n v="0"/>
    <n v="0"/>
    <n v="0"/>
    <n v="15.075000000000001"/>
    <n v="70.350000000000009"/>
    <n v="0"/>
    <n v="85.425000000000011"/>
    <n v="455.2529889999999"/>
    <n v="0.84200392518660483"/>
    <x v="0"/>
    <x v="0"/>
    <x v="4"/>
    <x v="1"/>
    <n v="14"/>
    <n v="1"/>
    <d v="2020-01-21T00:00:00"/>
    <s v="AUO555"/>
    <s v="HYUNDAI"/>
    <s v="TUCSON"/>
    <s v="CERAMICOS BARCELONA SAC"/>
  </r>
  <r>
    <s v="005-00000361"/>
    <n v="451.28669767142031"/>
    <n v="0"/>
    <n v="0"/>
    <n v="0"/>
    <n v="0"/>
    <n v="15.075000000000001"/>
    <n v="70.350000000000009"/>
    <n v="0"/>
    <n v="85.425000000000011"/>
    <n v="365.8616976714203"/>
    <n v="0.81070791485594029"/>
    <x v="1"/>
    <x v="0"/>
    <x v="4"/>
    <x v="1"/>
    <n v="7"/>
    <n v="1"/>
    <d v="2020-01-28T00:00:00"/>
    <s v="D6B575"/>
    <s v="TOYOTA"/>
    <s v="PRADO"/>
    <s v="LINDER INGENIEROS GRAFICOS CONSULTORES SAC"/>
  </r>
  <r>
    <s v="005-00000350"/>
    <n v="506.10001499999993"/>
    <n v="0"/>
    <n v="0"/>
    <n v="0"/>
    <n v="0"/>
    <n v="30.150000000000002"/>
    <n v="70.350000000000009"/>
    <n v="0"/>
    <n v="100.50000000000001"/>
    <n v="405.60001499999993"/>
    <n v="0.80142264963181242"/>
    <x v="0"/>
    <x v="0"/>
    <x v="4"/>
    <x v="1"/>
    <n v="12"/>
    <n v="1"/>
    <d v="2020-01-23T00:00:00"/>
    <s v="D6B575"/>
    <s v="TOYOTA"/>
    <s v="PRADO"/>
    <s v="LINDER INGENIEROS GRAFICOS CONSULTORES SAC"/>
  </r>
  <r>
    <s v="005-00000357"/>
    <n v="1137.0380337000001"/>
    <n v="0"/>
    <n v="0"/>
    <n v="0"/>
    <n v="0"/>
    <n v="90.45"/>
    <n v="211.05"/>
    <n v="0"/>
    <n v="301.5"/>
    <n v="835.53803370000014"/>
    <n v="0.73483736597719762"/>
    <x v="1"/>
    <x v="0"/>
    <x v="4"/>
    <x v="1"/>
    <n v="8"/>
    <n v="1"/>
    <d v="2020-01-27T00:00:00"/>
    <s v="AWL408"/>
    <s v="TOYOTA"/>
    <s v="COROLLA"/>
    <s v="SALMON CORNEJO JUAN CARLOS"/>
  </r>
  <r>
    <s v="005-00000365"/>
    <n v="484.41601439999999"/>
    <n v="0"/>
    <n v="0"/>
    <n v="0"/>
    <n v="0"/>
    <n v="30.150000000000002"/>
    <n v="140.70000000000002"/>
    <n v="0"/>
    <n v="170.85000000000002"/>
    <n v="313.56601439999997"/>
    <n v="0.6473072835719198"/>
    <x v="1"/>
    <x v="0"/>
    <x v="4"/>
    <x v="1"/>
    <n v="8"/>
    <n v="1"/>
    <d v="2020-01-28T00:00:00"/>
    <s v="BDG262"/>
    <s v="KIA"/>
    <s v="RIO"/>
    <s v="RIMAC SEGUROS  Y REASEGUROS S.A"/>
  </r>
  <r>
    <s v="005-00000354"/>
    <n v="2218.54"/>
    <n v="5.4759001999999999"/>
    <n v="0"/>
    <n v="84.75"/>
    <n v="0"/>
    <n v="150.75"/>
    <n v="422.1"/>
    <n v="0"/>
    <n v="663.07590019999998"/>
    <n v="1555.4640998"/>
    <n v="0.7011206017470949"/>
    <x v="1"/>
    <x v="3"/>
    <x v="4"/>
    <x v="1"/>
    <n v="11"/>
    <n v="1"/>
    <d v="2020-01-25T00:00:00"/>
    <s v="C8O042"/>
    <s v="HYUNDAI"/>
    <s v="I30"/>
    <s v="RIMAC SEGUROS  Y REASEGUROS S.A"/>
  </r>
  <r>
    <s v="005-00000249"/>
    <n v="9830.7542099999991"/>
    <n v="1708.0931575799996"/>
    <n v="148.30000000000001"/>
    <n v="355.91"/>
    <n v="395.71875"/>
    <n v="452.25"/>
    <n v="1266.3"/>
    <n v="0"/>
    <n v="4326.5719075799998"/>
    <n v="5504.1823024199994"/>
    <n v="0.55989420392802192"/>
    <x v="2"/>
    <x v="2"/>
    <x v="4"/>
    <x v="1"/>
    <n v="59"/>
    <n v="1"/>
    <d v="2019-12-09T00:00:00"/>
    <s v="D8F472"/>
    <s v="CHEVROLET"/>
    <s v="SAIL"/>
    <s v="EDPYME ACCESO CREDITICIO SOCIEDAD ANONIMA"/>
  </r>
  <r>
    <s v="005-00000178"/>
    <n v="11016.940700000001"/>
    <n v="4075.6317685000004"/>
    <n v="216.7766666666667"/>
    <n v="454.74"/>
    <n v="97.987499999999997"/>
    <n v="557.77499999999998"/>
    <n v="1266.3"/>
    <n v="0"/>
    <n v="6669.2109351666668"/>
    <n v="4347.7297648333342"/>
    <n v="0.39464038912665961"/>
    <x v="2"/>
    <x v="2"/>
    <x v="4"/>
    <x v="1"/>
    <n v="82"/>
    <n v="1"/>
    <d v="2019-11-16T00:00:00"/>
    <s v="D9V073"/>
    <s v="CHEVROLET"/>
    <s v="SAIL"/>
    <s v="EDPYME ACCESO CREDITICIO SOCIEDAD ANONIMA"/>
  </r>
  <r>
    <s v="005-00000311"/>
    <n v="12695.254209999999"/>
    <n v="2555.6669451199996"/>
    <n v="282.18983050847453"/>
    <n v="374.74999999999994"/>
    <n v="0"/>
    <n v="527.625"/>
    <n v="1266.3"/>
    <n v="0"/>
    <n v="5006.531775628474"/>
    <n v="7688.7224343715252"/>
    <n v="0.60563753251314578"/>
    <x v="2"/>
    <x v="2"/>
    <x v="4"/>
    <x v="1"/>
    <n v="33"/>
    <n v="1"/>
    <d v="2020-01-04T00:00:00"/>
    <s v="AJK417"/>
    <s v="CHEVROLET"/>
    <s v="SAIL"/>
    <s v="EDPYME ACCESO CREDITICIO SOCIEDAD ANONIMA"/>
  </r>
  <r>
    <s v="005-00000312"/>
    <n v="5360"/>
    <n v="831.43064564000008"/>
    <n v="0"/>
    <n v="78.56"/>
    <n v="135.67500000000001"/>
    <n v="361.8"/>
    <n v="1195.95"/>
    <n v="0"/>
    <n v="2603.4156456400001"/>
    <n v="2756.5843543599999"/>
    <n v="0.51428812581343286"/>
    <x v="2"/>
    <x v="2"/>
    <x v="4"/>
    <x v="1"/>
    <n v="33"/>
    <n v="1"/>
    <d v="2020-01-04T00:00:00"/>
    <s v="BKJ027"/>
    <s v="CHEVROLET"/>
    <s v="SAIL"/>
    <s v="EDPYME ACCESO CREDITICIO SOCIEDAD ANONIMA"/>
  </r>
  <r>
    <s v="005-00000294"/>
    <n v="11839.652410000001"/>
    <n v="3024.8386610999992"/>
    <n v="0"/>
    <n v="326.27000000000004"/>
    <n v="290.19375000000002"/>
    <n v="542.70000000000005"/>
    <n v="1266.3"/>
    <n v="0"/>
    <n v="5450.3024110999995"/>
    <n v="6389.3499989000011"/>
    <n v="0.53965689005392015"/>
    <x v="2"/>
    <x v="2"/>
    <x v="4"/>
    <x v="1"/>
    <n v="41"/>
    <n v="1"/>
    <d v="2019-12-27T00:00:00"/>
    <s v="AXU411"/>
    <s v="CHEVROLET"/>
    <s v="N300"/>
    <s v="EDPYME ACCESO CREDITICIO SOCIEDAD ANONIMA"/>
  </r>
  <r>
    <s v="005-00000358"/>
    <n v="1823.7110540999997"/>
    <n v="0"/>
    <n v="0"/>
    <n v="0"/>
    <n v="15.075000000000001"/>
    <n v="120.60000000000001"/>
    <n v="281.40000000000003"/>
    <n v="0"/>
    <n v="417.07500000000005"/>
    <n v="1406.6360540999997"/>
    <n v="0.77130423206990628"/>
    <x v="1"/>
    <x v="3"/>
    <x v="4"/>
    <x v="1"/>
    <n v="11"/>
    <n v="1"/>
    <d v="2020-01-27T00:00:00"/>
    <s v="BLZ136"/>
    <s v="HYUNDAI"/>
    <s v="ELANTRA"/>
    <s v="LUJAN MENDOZA ANGEL ARTURO"/>
  </r>
  <r>
    <s v="005-00000359"/>
    <n v="831.80844635942026"/>
    <n v="0"/>
    <n v="0"/>
    <n v="0"/>
    <n v="0"/>
    <n v="45.225000000000001"/>
    <n v="140.70000000000002"/>
    <n v="0"/>
    <n v="185.92500000000001"/>
    <n v="645.8834463594203"/>
    <n v="0.77648099052884267"/>
    <x v="1"/>
    <x v="0"/>
    <x v="4"/>
    <x v="1"/>
    <n v="11"/>
    <n v="1"/>
    <d v="2020-01-27T00:00:00"/>
    <s v="D5M328"/>
    <s v="NISSAN"/>
    <s v="QASHQAI"/>
    <s v="RIMAC SEGUROS  Y REASEGUROS S.A"/>
  </r>
  <r>
    <s v="005-00000372"/>
    <n v="1306.26253875"/>
    <n v="0"/>
    <n v="0"/>
    <n v="59.322033898305087"/>
    <n v="0"/>
    <n v="120.60000000000001"/>
    <n v="175.875"/>
    <n v="0"/>
    <n v="355.79703389830513"/>
    <n v="950.46550485169485"/>
    <n v="0.7276221101473388"/>
    <x v="1"/>
    <x v="0"/>
    <x v="4"/>
    <x v="1"/>
    <n v="7"/>
    <n v="1"/>
    <d v="2020-01-31T00:00:00"/>
    <s v="BNL501"/>
    <s v="HYUNDAI"/>
    <s v="CRETA"/>
    <s v="RIMAC SEGUROS  Y REASEGUROS S.A"/>
  </r>
  <r>
    <s v="005-00000364"/>
    <n v="1814.2740000000001"/>
    <n v="0"/>
    <n v="0"/>
    <n v="0"/>
    <n v="0"/>
    <n v="150.75"/>
    <n v="316.57499999999999"/>
    <n v="0"/>
    <n v="467.32499999999999"/>
    <n v="1346.9490000000001"/>
    <n v="0.74241762820830814"/>
    <x v="1"/>
    <x v="3"/>
    <x v="4"/>
    <x v="1"/>
    <n v="11"/>
    <n v="1"/>
    <d v="2020-01-28T00:00:00"/>
    <s v="D6X505"/>
    <s v="VOLKSWAGEN"/>
    <s v="GOL"/>
    <s v="RIMAC SEGUROS  Y REASEGUROS S.A"/>
  </r>
  <r>
    <s v="005-00000367"/>
    <n v="807.77202379999994"/>
    <n v="0"/>
    <n v="0"/>
    <n v="0"/>
    <n v="0"/>
    <n v="90.45"/>
    <n v="140.70000000000002"/>
    <n v="0"/>
    <n v="231.15000000000003"/>
    <n v="576.62202379999985"/>
    <n v="0.71384252835026185"/>
    <x v="1"/>
    <x v="0"/>
    <x v="4"/>
    <x v="1"/>
    <n v="13"/>
    <n v="1"/>
    <d v="2020-01-29T00:00:00"/>
    <s v="BJF224"/>
    <s v="MAZDA"/>
    <s v="MAZDA 6"/>
    <s v="RIMAC SEGUROS  Y REASEGUROS S.A"/>
  </r>
  <r>
    <s v="005-00000265"/>
    <n v="441.22001299999999"/>
    <n v="0"/>
    <n v="0"/>
    <n v="0"/>
    <n v="0"/>
    <n v="52.762500000000003"/>
    <n v="70.350000000000009"/>
    <n v="0"/>
    <n v="123.11250000000001"/>
    <n v="318.10751299999998"/>
    <n v="0.72097253893150126"/>
    <x v="0"/>
    <x v="0"/>
    <x v="4"/>
    <x v="1"/>
    <n v="60"/>
    <n v="1"/>
    <d v="2019-12-13T00:00:00"/>
    <s v="AND446"/>
    <s v="RENAULT"/>
    <s v="RENAULT"/>
    <s v="RENTAEQUIPOS LEASING PERU S.A."/>
  </r>
  <r>
    <s v="005-00000378"/>
    <n v="50.9100015"/>
    <n v="0"/>
    <n v="0"/>
    <n v="0"/>
    <n v="0"/>
    <n v="15.075000000000001"/>
    <n v="0"/>
    <n v="0"/>
    <n v="15.075000000000001"/>
    <n v="35.835001499999997"/>
    <n v="0.7038892249885319"/>
    <x v="0"/>
    <x v="0"/>
    <x v="4"/>
    <x v="1"/>
    <n v="7"/>
    <n v="1"/>
    <d v="2020-02-04T00:00:00"/>
    <s v="BAN755"/>
    <s v="MAZDA"/>
    <s v="CX5"/>
    <s v="RIMAC SEGUROS  Y REASEGUROS S.A"/>
  </r>
  <r>
    <s v="005-00000368"/>
    <n v="301.08699110000003"/>
    <n v="0"/>
    <n v="0"/>
    <n v="0"/>
    <n v="0"/>
    <n v="30.150000000000002"/>
    <n v="70.350000000000009"/>
    <n v="0"/>
    <n v="100.50000000000001"/>
    <n v="200.58699110000003"/>
    <n v="0.66620942461568877"/>
    <x v="1"/>
    <x v="0"/>
    <x v="4"/>
    <x v="1"/>
    <n v="15"/>
    <n v="1"/>
    <d v="2020-01-29T00:00:00"/>
    <s v="BJF224"/>
    <s v="MAZDA"/>
    <s v="MAZDA 6"/>
    <s v="RIMAC SEGUROS  Y REASEGUROS S.A"/>
  </r>
  <r>
    <s v="005-00000375"/>
    <n v="436.40698710000009"/>
    <n v="0"/>
    <n v="0"/>
    <n v="0"/>
    <n v="0"/>
    <n v="30.150000000000002"/>
    <n v="70.350000000000009"/>
    <n v="0"/>
    <n v="100.50000000000001"/>
    <n v="335.90698710000009"/>
    <n v="0.76971037822322719"/>
    <x v="1"/>
    <x v="0"/>
    <x v="4"/>
    <x v="1"/>
    <n v="9"/>
    <n v="1"/>
    <d v="2020-02-04T00:00:00"/>
    <s v="A3E362"/>
    <s v="TOYOTA"/>
    <s v="RAV 4"/>
    <s v="PATRON JORGE RICARDO GALLEGOS RIZO"/>
  </r>
  <r>
    <s v="005-00000379"/>
    <n v="1646.8025"/>
    <n v="0"/>
    <n v="0"/>
    <n v="0"/>
    <n v="30.150000000000002"/>
    <n v="135.67500000000001"/>
    <n v="246.22499999999999"/>
    <n v="0"/>
    <n v="412.05"/>
    <n v="1234.7525000000001"/>
    <n v="0.74978784644788921"/>
    <x v="1"/>
    <x v="3"/>
    <x v="4"/>
    <x v="1"/>
    <n v="9"/>
    <n v="1"/>
    <d v="2020-02-05T00:00:00"/>
    <s v="BDO197"/>
    <s v="HYUNDAI"/>
    <s v="ELANTRA"/>
    <s v="RIMAC SEGUROS  Y REASEGUROS S.A"/>
  </r>
  <r>
    <s v="005-00000392"/>
    <n v="2115.0000625000002"/>
    <n v="0"/>
    <n v="0"/>
    <n v="0"/>
    <n v="0"/>
    <n v="105.52500000000001"/>
    <n v="351.75"/>
    <n v="0"/>
    <n v="457.27499999999998"/>
    <n v="1657.7250625000001"/>
    <n v="0.78379433263019105"/>
    <x v="1"/>
    <x v="3"/>
    <x v="4"/>
    <x v="1"/>
    <n v="5"/>
    <n v="1"/>
    <d v="2020-02-10T00:00:00"/>
    <s v="ATO331"/>
    <s v="MAZDA"/>
    <s v="CX5"/>
    <s v="RIMAC SEGUROS  Y REASEGUROS S.A"/>
  </r>
  <r>
    <s v="005-00000383"/>
    <n v="690.33602039999994"/>
    <n v="0"/>
    <n v="0"/>
    <n v="76.27"/>
    <n v="0"/>
    <n v="30.150000000000002"/>
    <n v="70.350000000000009"/>
    <n v="0"/>
    <n v="176.77"/>
    <n v="513.56602039999996"/>
    <n v="0.74393629366525804"/>
    <x v="1"/>
    <x v="0"/>
    <x v="4"/>
    <x v="1"/>
    <n v="7"/>
    <n v="1"/>
    <d v="2020-02-08T00:00:00"/>
    <s v="AZS168"/>
    <s v="KIA"/>
    <s v="SPORTAGE"/>
    <s v="RIMAC SEGUROS  Y REASEGUROS S.A"/>
  </r>
  <r>
    <s v="005-00000371"/>
    <n v="1913.6520565500002"/>
    <n v="0"/>
    <n v="0"/>
    <n v="252.55"/>
    <n v="0"/>
    <n v="90.45"/>
    <n v="316.57499999999999"/>
    <n v="0"/>
    <n v="659.57500000000005"/>
    <n v="1254.0770565500002"/>
    <n v="0.65533180509883016"/>
    <x v="1"/>
    <x v="0"/>
    <x v="4"/>
    <x v="1"/>
    <n v="16"/>
    <n v="1"/>
    <d v="2020-01-30T00:00:00"/>
    <s v="BFO123"/>
    <s v="MAZDA"/>
    <s v="MAZDA 5 "/>
    <s v="RIMAC SEGUROS  Y REASEGUROS S.A"/>
  </r>
  <r>
    <s v="005-00000381"/>
    <n v="710.64002100000005"/>
    <n v="0"/>
    <n v="0"/>
    <n v="0"/>
    <n v="0"/>
    <n v="30.150000000000002"/>
    <n v="70.350000000000009"/>
    <n v="0"/>
    <n v="100.50000000000001"/>
    <n v="610.14002100000005"/>
    <n v="0.85857818722539969"/>
    <x v="1"/>
    <x v="0"/>
    <x v="4"/>
    <x v="1"/>
    <n v="9"/>
    <n v="1"/>
    <d v="2020-02-06T00:00:00"/>
    <s v="BFO123"/>
    <s v="MAZDA"/>
    <s v="MAZDA 5 "/>
    <s v="RIMAC SEGUROS  Y REASEGUROS S.A"/>
  </r>
  <r>
    <s v="005-00000377"/>
    <n v="2777.4322948754207"/>
    <n v="0"/>
    <n v="0"/>
    <n v="76.27"/>
    <n v="0"/>
    <n v="271.35000000000002"/>
    <n v="281.40000000000003"/>
    <n v="0"/>
    <n v="629.02"/>
    <n v="2148.4122948754207"/>
    <n v="0.77352463238776659"/>
    <x v="1"/>
    <x v="2"/>
    <x v="4"/>
    <x v="1"/>
    <n v="13"/>
    <n v="1"/>
    <d v="2020-02-04T00:00:00"/>
    <s v="B4F196"/>
    <s v="VOLKSWAGEN"/>
    <s v="PASSANT"/>
    <s v="RIMAC SEGUROS  Y REASEGUROS S.A"/>
  </r>
  <r>
    <s v="005-00000346"/>
    <n v="372.24001100000004"/>
    <n v="0"/>
    <n v="0"/>
    <n v="255.76"/>
    <n v="45.225000000000001"/>
    <n v="0"/>
    <n v="0"/>
    <n v="0"/>
    <n v="300.98500000000001"/>
    <n v="71.255011000000025"/>
    <n v="0.19142222462485373"/>
    <x v="1"/>
    <x v="0"/>
    <x v="4"/>
    <x v="1"/>
    <n v="27"/>
    <n v="1"/>
    <d v="2020-01-21T00:00:00"/>
    <s v="AVF200"/>
    <s v="VOLVO"/>
    <s v="S60"/>
    <s v="RIMAC SEGUROS  Y REASEGUROS S.A"/>
  </r>
  <r>
    <s v="005-00000395"/>
    <n v="521.13601539999991"/>
    <n v="0"/>
    <n v="0"/>
    <n v="0"/>
    <n v="0"/>
    <n v="15.075000000000001"/>
    <n v="70.350000000000009"/>
    <n v="0"/>
    <n v="85.425000000000011"/>
    <n v="435.71101539999989"/>
    <n v="0.83607926246580422"/>
    <x v="1"/>
    <x v="0"/>
    <x v="4"/>
    <x v="1"/>
    <n v="6"/>
    <n v="1"/>
    <d v="2020-02-11T00:00:00"/>
    <s v="ABI176"/>
    <s v="CHEVROLET"/>
    <s v="TRACKER"/>
    <s v="PROMUNE S.A.C"/>
  </r>
  <r>
    <s v="005-00000366"/>
    <n v="168.36821777542002"/>
    <n v="0"/>
    <n v="42.37"/>
    <n v="0"/>
    <n v="0"/>
    <n v="15.075000000000001"/>
    <n v="17.587500000000002"/>
    <n v="0"/>
    <n v="75.032499999999999"/>
    <n v="93.335717775420022"/>
    <n v="0.55435472922756124"/>
    <x v="1"/>
    <x v="0"/>
    <x v="4"/>
    <x v="1"/>
    <n v="20"/>
    <n v="1"/>
    <d v="2020-01-29T00:00:00"/>
    <s v="BKW218"/>
    <s v="HONDA"/>
    <s v="PILOT"/>
    <s v="RIMAC SEGUROS  Y REASEGUROS S.A"/>
  </r>
  <r>
    <s v="005-00000411"/>
    <n v="807.21661996016996"/>
    <n v="0"/>
    <n v="0"/>
    <n v="0"/>
    <n v="0"/>
    <n v="30.150000000000002"/>
    <n v="140.70000000000002"/>
    <n v="0"/>
    <n v="170.85000000000002"/>
    <n v="636.36661996016994"/>
    <n v="0.78834677610028625"/>
    <x v="1"/>
    <x v="0"/>
    <x v="4"/>
    <x v="1"/>
    <n v="2"/>
    <n v="1"/>
    <d v="2020-02-17T00:00:00"/>
    <s v="F1D251"/>
    <s v="SUBARU"/>
    <s v="NEW XV"/>
    <s v="RIMAC SEGUROS  Y REASEGUROS S.A"/>
  </r>
  <r>
    <s v="005-00000362"/>
    <n v="310.50770322966002"/>
    <n v="0"/>
    <n v="0"/>
    <n v="0"/>
    <n v="0"/>
    <n v="15.075000000000001"/>
    <n v="70.350000000000009"/>
    <n v="0"/>
    <n v="85.425000000000011"/>
    <n v="225.08270322966001"/>
    <n v="0.72488605238621939"/>
    <x v="1"/>
    <x v="0"/>
    <x v="4"/>
    <x v="1"/>
    <n v="22"/>
    <n v="1"/>
    <d v="2020-01-28T00:00:00"/>
    <s v="F1D251"/>
    <s v="SUBARU"/>
    <s v="NEXU"/>
    <s v="RIMAC SEGUROS  Y REASEGUROS S.A"/>
  </r>
  <r>
    <s v="005-00000380"/>
    <n v="301.1760089"/>
    <n v="0"/>
    <n v="0"/>
    <n v="0"/>
    <n v="0"/>
    <n v="30.150000000000002"/>
    <n v="70.350000000000009"/>
    <n v="0"/>
    <n v="100.50000000000001"/>
    <n v="200.6760089"/>
    <n v="0.66630808221723536"/>
    <x v="1"/>
    <x v="0"/>
    <x v="4"/>
    <x v="1"/>
    <n v="14"/>
    <n v="1"/>
    <d v="2020-02-06T00:00:00"/>
    <s v="BKS038"/>
    <s v="MAZDA"/>
    <s v="CX9"/>
    <s v="RIMAC SEGUROS  Y REASEGUROS S.A"/>
  </r>
  <r>
    <s v="005-00000396"/>
    <n v="856.1520253000001"/>
    <n v="0"/>
    <n v="0"/>
    <n v="0"/>
    <n v="0"/>
    <n v="60.300000000000004"/>
    <n v="140.70000000000002"/>
    <n v="0"/>
    <n v="201.00000000000003"/>
    <n v="655.1520253000001"/>
    <n v="0.76522861120422092"/>
    <x v="1"/>
    <x v="0"/>
    <x v="4"/>
    <x v="1"/>
    <n v="8"/>
    <n v="1"/>
    <d v="2020-02-12T00:00:00"/>
    <s v="BKF172"/>
    <s v="MAZDA"/>
    <s v="MAZDA3"/>
    <s v="RIMAC SEGUROS  Y REASEGUROS S.A"/>
  </r>
  <r>
    <s v="005-00000330"/>
    <n v="2430.3679999999995"/>
    <n v="0"/>
    <n v="0"/>
    <n v="220.33999999999997"/>
    <n v="30.150000000000002"/>
    <n v="226.125"/>
    <n v="211.05"/>
    <n v="0"/>
    <n v="687.66499999999996"/>
    <n v="1742.7029999999995"/>
    <n v="0.71705313763183187"/>
    <x v="1"/>
    <x v="3"/>
    <x v="4"/>
    <x v="1"/>
    <n v="37"/>
    <n v="1"/>
    <d v="2020-01-15T00:00:00"/>
    <s v="BDS618"/>
    <s v="JEEP"/>
    <s v="RENEGADE"/>
    <s v="RIMAC SEGUROS  Y REASEGUROS S.A"/>
  </r>
  <r>
    <s v="005-00000408"/>
    <n v="909.05600000000004"/>
    <n v="0"/>
    <n v="0"/>
    <n v="0"/>
    <n v="0"/>
    <n v="105.52500000000001"/>
    <n v="175.875"/>
    <n v="0"/>
    <n v="281.39999999999998"/>
    <n v="627.65600000000006"/>
    <n v="0.69044811320754718"/>
    <x v="1"/>
    <x v="0"/>
    <x v="4"/>
    <x v="1"/>
    <n v="4"/>
    <n v="1"/>
    <d v="2020-02-17T00:00:00"/>
    <s v="C4R002"/>
    <s v="KIA"/>
    <s v="SPORTAGE"/>
    <s v="RIMAC SEGUROS  Y REASEGUROS S.A"/>
  </r>
  <r>
    <s v="005-00000393"/>
    <n v="1482.3039999999999"/>
    <n v="0"/>
    <n v="0"/>
    <n v="0"/>
    <n v="30.150000000000002"/>
    <n v="105.52500000000001"/>
    <n v="351.75"/>
    <n v="0"/>
    <n v="487.42500000000001"/>
    <n v="994.87899999999991"/>
    <n v="0.67117069103233884"/>
    <x v="1"/>
    <x v="3"/>
    <x v="4"/>
    <x v="1"/>
    <n v="11"/>
    <n v="1"/>
    <d v="2020-02-10T00:00:00"/>
    <s v="V4K291"/>
    <s v="TOYOTA"/>
    <s v="COROLLA"/>
    <s v="RIMAC SEGUROS  Y REASEGUROS S.A"/>
  </r>
  <r>
    <s v="005-00000406"/>
    <n v="50.9100015"/>
    <n v="0"/>
    <n v="0"/>
    <n v="0"/>
    <n v="0"/>
    <n v="0"/>
    <n v="0"/>
    <n v="0"/>
    <n v="0"/>
    <n v="50.9100015"/>
    <n v="1"/>
    <x v="1"/>
    <x v="0"/>
    <x v="4"/>
    <x v="1"/>
    <n v="7"/>
    <n v="1"/>
    <d v="2020-02-15T00:00:00"/>
    <s v="AXW530"/>
    <s v="HYUNDAI"/>
    <s v="SANTA FE"/>
    <s v="RIMAC SEGUROS  Y REASEGUROS S.A"/>
  </r>
  <r>
    <s v="005-00000430"/>
    <n v="290"/>
    <n v="0"/>
    <n v="0"/>
    <n v="169.49"/>
    <n v="40.250250000000001"/>
    <n v="0"/>
    <n v="0"/>
    <n v="0"/>
    <n v="209.74025"/>
    <n v="80.259749999999997"/>
    <n v="0.27675775862068963"/>
    <x v="2"/>
    <x v="1"/>
    <x v="4"/>
    <x v="1"/>
    <n v="2"/>
    <n v="1"/>
    <d v="2020-02-20T00:00:00"/>
    <s v="F0B164"/>
    <s v="CHEVROLET"/>
    <s v="SAIL"/>
    <s v="EDPYME ACCESO CREDITICIO SOCIEDAD ANONIMA"/>
  </r>
  <r>
    <s v="005-00000382"/>
    <n v="1601.9680472"/>
    <n v="0"/>
    <n v="0"/>
    <n v="0"/>
    <n v="0"/>
    <n v="97.987499999999997"/>
    <n v="211.05"/>
    <n v="0"/>
    <n v="309.03750000000002"/>
    <n v="1292.9305472000001"/>
    <n v="0.80708884890672372"/>
    <x v="1"/>
    <x v="3"/>
    <x v="4"/>
    <x v="1"/>
    <n v="15"/>
    <n v="1"/>
    <d v="2020-02-07T00:00:00"/>
    <s v="BHG013"/>
    <s v="SSAN YONG"/>
    <s v="RODIOUS"/>
    <s v="RIMAC SEGUROS  Y REASEGUROS S.A"/>
  </r>
  <r>
    <s v="005-00000386"/>
    <n v="3438.9848900654215"/>
    <n v="0"/>
    <n v="0"/>
    <n v="144.07"/>
    <n v="30.150000000000002"/>
    <n v="241.20000000000002"/>
    <n v="474.86250000000001"/>
    <n v="0"/>
    <n v="890.28250000000003"/>
    <n v="2548.7023900654212"/>
    <n v="0.74112055491378914"/>
    <x v="1"/>
    <x v="2"/>
    <x v="4"/>
    <x v="1"/>
    <n v="14"/>
    <n v="1"/>
    <d v="2020-02-10T00:00:00"/>
    <s v="D9G573"/>
    <s v="HYUNDAI"/>
    <s v="TUCSON"/>
    <s v="RIMAC SEGUROS  Y REASEGUROS S.A"/>
  </r>
  <r>
    <s v="005-00000409"/>
    <n v="1062.3220313000002"/>
    <n v="0"/>
    <n v="0"/>
    <n v="0"/>
    <n v="0"/>
    <n v="120.60000000000001"/>
    <n v="140.70000000000002"/>
    <n v="0"/>
    <n v="261.3"/>
    <n v="801.02203130000021"/>
    <n v="0.75402938816938769"/>
    <x v="1"/>
    <x v="3"/>
    <x v="4"/>
    <x v="1"/>
    <n v="7"/>
    <n v="1"/>
    <d v="2020-02-17T00:00:00"/>
    <s v="BBM137"/>
    <s v="SUBARU"/>
    <s v="NEW XV"/>
    <s v="RIMAC SEGUROS  Y REASEGUROS S.A"/>
  </r>
  <r>
    <s v="005-00000399"/>
    <n v="1501.1640000000002"/>
    <n v="0"/>
    <n v="0"/>
    <n v="0"/>
    <n v="0"/>
    <n v="90.45"/>
    <n v="281.40000000000003"/>
    <n v="0"/>
    <n v="371.85"/>
    <n v="1129.3140000000003"/>
    <n v="0.75229222123632067"/>
    <x v="1"/>
    <x v="3"/>
    <x v="4"/>
    <x v="1"/>
    <n v="12"/>
    <n v="1"/>
    <d v="2020-02-13T00:00:00"/>
    <s v="AFW077"/>
    <s v="TOYOTA"/>
    <s v="YARIS"/>
    <s v="RIMAC SEGUROS  Y REASEGUROS S.A"/>
  </r>
  <r>
    <s v="005-00000400"/>
    <n v="1911.346"/>
    <n v="0"/>
    <n v="0"/>
    <n v="0"/>
    <n v="0"/>
    <n v="211.05"/>
    <n v="246.22499999999999"/>
    <n v="0"/>
    <n v="457.27499999999998"/>
    <n v="1454.0709999999999"/>
    <n v="0.76075760223423694"/>
    <x v="1"/>
    <x v="2"/>
    <x v="4"/>
    <x v="1"/>
    <n v="11"/>
    <n v="1"/>
    <d v="2020-02-14T00:00:00"/>
    <s v="AFX260"/>
    <s v="SUZUKI"/>
    <s v="SCROOS"/>
    <s v="RIMAC SEGUROS  Y REASEGUROS S.A"/>
  </r>
  <r>
    <s v="005-00000337"/>
    <n v="1648.02"/>
    <n v="0"/>
    <n v="0"/>
    <n v="33.9"/>
    <n v="0"/>
    <n v="120.60000000000001"/>
    <n v="246.22499999999999"/>
    <n v="0"/>
    <n v="400.72500000000002"/>
    <n v="1247.2950000000001"/>
    <n v="0.75684457712891839"/>
    <x v="1"/>
    <x v="3"/>
    <x v="4"/>
    <x v="1"/>
    <n v="41"/>
    <n v="1"/>
    <d v="2020-01-16T00:00:00"/>
    <s v="M3K474"/>
    <s v="TOYOTA"/>
    <s v="RAV 4"/>
    <s v="RIMAC SEGUROS  Y REASEGUROS S.A"/>
  </r>
  <r>
    <s v="005-00000200"/>
    <n v="3772.74"/>
    <n v="0"/>
    <n v="0"/>
    <n v="101.69"/>
    <n v="60.300000000000004"/>
    <n v="331.65000000000003"/>
    <n v="422.1"/>
    <n v="0"/>
    <n v="915.74"/>
    <n v="2857"/>
    <n v="0.75727455377258968"/>
    <x v="1"/>
    <x v="2"/>
    <x v="4"/>
    <x v="1"/>
    <n v="96"/>
    <n v="1"/>
    <d v="2019-11-22T00:00:00"/>
    <s v="A4H567"/>
    <s v="CITROEN"/>
    <s v="C4"/>
    <s v="RIMAC SEGUROS  Y REASEGUROS S.A"/>
  </r>
  <r>
    <s v="005-00000407"/>
    <n v="1384.1324999999999"/>
    <n v="0"/>
    <n v="0"/>
    <n v="0"/>
    <n v="0"/>
    <n v="90.45"/>
    <n v="246.22499999999999"/>
    <n v="0"/>
    <n v="336.67500000000001"/>
    <n v="1047.4575"/>
    <n v="0.7567610037333854"/>
    <x v="1"/>
    <x v="0"/>
    <x v="4"/>
    <x v="1"/>
    <n v="11"/>
    <n v="1"/>
    <d v="2020-02-15T00:00:00"/>
    <s v="ANL279"/>
    <s v="HYUNDAI"/>
    <s v="ACCENT"/>
    <s v="RIMAC SEGUROS  Y REASEGUROS S.A"/>
  </r>
  <r>
    <s v="005-00000387"/>
    <n v="297.88"/>
    <n v="0"/>
    <n v="0"/>
    <n v="0"/>
    <n v="40.250250000000001"/>
    <n v="0"/>
    <n v="0"/>
    <n v="0"/>
    <n v="40.250250000000001"/>
    <n v="257.62975"/>
    <n v="0.86487763528937833"/>
    <x v="0"/>
    <x v="1"/>
    <x v="4"/>
    <x v="1"/>
    <n v="4"/>
    <n v="1"/>
    <d v="2020-02-10T00:00:00"/>
    <s v="C3N598"/>
    <s v="NISSAN"/>
    <s v="TIIDA"/>
    <s v="RUIZ PALACIOS ANGEL GUSTAVO"/>
  </r>
  <r>
    <s v="005-00000388"/>
    <n v="279"/>
    <n v="159.07990009999997"/>
    <n v="0"/>
    <n v="0"/>
    <n v="30.150000000000002"/>
    <n v="0"/>
    <n v="0"/>
    <n v="0"/>
    <n v="189.22990009999998"/>
    <n v="89.770099900000019"/>
    <n v="0.32175663046594988"/>
    <x v="0"/>
    <x v="1"/>
    <x v="4"/>
    <x v="1"/>
    <n v="4"/>
    <n v="1"/>
    <d v="2020-02-10T00:00:00"/>
    <s v="C3N598"/>
    <s v="NISSAN"/>
    <s v="TIIDA"/>
    <s v="RUIZ PALACIOS ANGEL GUSTAVO"/>
  </r>
  <r>
    <s v="005-00000391"/>
    <n v="358.58050038499994"/>
    <n v="0"/>
    <n v="0"/>
    <n v="0"/>
    <n v="0"/>
    <n v="15.075000000000001"/>
    <n v="70.350000000000009"/>
    <n v="0"/>
    <n v="85.425000000000011"/>
    <n v="273.15550038499993"/>
    <n v="0.76176897542314459"/>
    <x v="0"/>
    <x v="0"/>
    <x v="4"/>
    <x v="1"/>
    <n v="4"/>
    <n v="1"/>
    <d v="2020-02-10T00:00:00"/>
    <s v="AWJ049"/>
    <s v="RENAULT"/>
    <s v="DUSTER"/>
    <s v="VALENZUELA IZURRIETA SILVIA"/>
  </r>
  <r>
    <s v="005-00000394"/>
    <n v="33.898400000000002"/>
    <n v="0"/>
    <n v="0"/>
    <n v="16.95"/>
    <n v="0"/>
    <n v="0"/>
    <n v="0"/>
    <n v="0"/>
    <n v="16.95"/>
    <n v="16.948400000000003"/>
    <n v="0.49997640006607985"/>
    <x v="0"/>
    <x v="1"/>
    <x v="4"/>
    <x v="1"/>
    <n v="4"/>
    <n v="1"/>
    <d v="2020-02-11T00:00:00"/>
    <s v="BFO123"/>
    <s v="MAZDA"/>
    <s v="MAZDA 3 "/>
    <s v="DE LA CRUZ TENORIO JULIAN"/>
  </r>
  <r>
    <s v="005-00000398"/>
    <n v="25.423700000000004"/>
    <n v="0"/>
    <n v="0"/>
    <n v="0"/>
    <n v="0"/>
    <n v="0"/>
    <n v="0"/>
    <n v="0"/>
    <n v="0"/>
    <n v="25.423700000000004"/>
    <n v="1"/>
    <x v="0"/>
    <x v="1"/>
    <x v="4"/>
    <x v="1"/>
    <n v="4"/>
    <n v="1"/>
    <d v="2020-02-13T00:00:00"/>
    <s v="AVF200"/>
    <s v="VOLVO"/>
    <s v="S60"/>
    <s v="GALLESE D ANGELO STEFANO"/>
  </r>
  <r>
    <s v="005-00000404"/>
    <n v="338.40001000000001"/>
    <n v="0"/>
    <n v="0"/>
    <n v="0"/>
    <n v="40.250250000000001"/>
    <n v="0"/>
    <n v="0"/>
    <n v="0"/>
    <n v="40.250250000000001"/>
    <n v="298.14976000000001"/>
    <n v="0.88105718436592251"/>
    <x v="0"/>
    <x v="1"/>
    <x v="4"/>
    <x v="1"/>
    <n v="2"/>
    <n v="1"/>
    <d v="2020-02-15T00:00:00"/>
    <s v="AVF200"/>
    <s v="VOLVO"/>
    <s v="S60"/>
    <s v="GALLESE D ANGELO STEFANO"/>
  </r>
  <r>
    <s v="005-00000414"/>
    <n v="1084.7542000000003"/>
    <n v="0"/>
    <n v="0"/>
    <n v="0"/>
    <n v="0"/>
    <n v="0"/>
    <n v="0"/>
    <n v="0"/>
    <n v="0"/>
    <n v="1084.7542000000003"/>
    <n v="1"/>
    <x v="0"/>
    <x v="1"/>
    <x v="4"/>
    <x v="1"/>
    <n v="1"/>
    <n v="1"/>
    <d v="2020-02-18T00:00:00"/>
    <s v="BEE120"/>
    <s v="CHERY"/>
    <s v="QQ"/>
    <s v="RENE PARLONA ALVARADO"/>
  </r>
  <r>
    <s v="005-00000422"/>
    <n v="286.97772626857966"/>
    <n v="0"/>
    <n v="0"/>
    <n v="0"/>
    <n v="0"/>
    <n v="0"/>
    <n v="0"/>
    <n v="0"/>
    <n v="0"/>
    <n v="286.97772626857966"/>
    <n v="1"/>
    <x v="0"/>
    <x v="1"/>
    <x v="4"/>
    <x v="1"/>
    <n v="0"/>
    <n v="1"/>
    <d v="2020-02-19T00:00:00"/>
    <s v="BEE120"/>
    <s v="CHERY"/>
    <s v="QQ"/>
    <s v="RENE PARLONA ALVARADO"/>
  </r>
  <r>
    <s v="005-00000420"/>
    <n v="101.520003"/>
    <n v="0"/>
    <n v="0"/>
    <n v="0"/>
    <n v="0"/>
    <n v="0"/>
    <n v="35.175000000000004"/>
    <n v="0"/>
    <n v="35.175000000000004"/>
    <n v="66.345002999999991"/>
    <n v="0.65351655870222924"/>
    <x v="0"/>
    <x v="0"/>
    <x v="4"/>
    <x v="1"/>
    <n v="1"/>
    <n v="1"/>
    <d v="2020-02-19T00:00:00"/>
    <s v="BKS038"/>
    <s v="MAZDA"/>
    <s v="CX9"/>
    <s v="KELLY SANTOS TRUJILLO"/>
  </r>
  <r>
    <s v="005-00000397"/>
    <n v="763.65002249999998"/>
    <n v="0"/>
    <n v="0"/>
    <n v="0"/>
    <n v="0"/>
    <n v="45.225000000000001"/>
    <n v="211.05"/>
    <n v="0"/>
    <n v="256.27500000000003"/>
    <n v="507.37502249999994"/>
    <n v="0.6644077883203362"/>
    <x v="0"/>
    <x v="0"/>
    <x v="4"/>
    <x v="1"/>
    <n v="11"/>
    <n v="1"/>
    <d v="2020-02-13T00:00:00"/>
    <s v="D9G573"/>
    <s v="HYUNDAI"/>
    <s v="TUCSON"/>
    <s v="MONTESINOS TORRES ORLANDO"/>
  </r>
  <r>
    <s v="005-00000446"/>
    <n v="241.20339999999999"/>
    <n v="0"/>
    <n v="0"/>
    <n v="0"/>
    <n v="30.150000000000002"/>
    <n v="0"/>
    <n v="0"/>
    <n v="0"/>
    <n v="30.150000000000002"/>
    <n v="211.05339999999998"/>
    <n v="0.87500176199837976"/>
    <x v="0"/>
    <x v="1"/>
    <x v="4"/>
    <x v="1"/>
    <n v="0"/>
    <n v="1"/>
    <d v="2020-02-25T00:00:00"/>
    <s v="F5B055"/>
    <s v="CHANGAN"/>
    <s v="C835"/>
    <s v="ZEGARRA RAMIREZ LEONOR MARIA"/>
  </r>
  <r>
    <s v="005-00000410"/>
    <n v="406.02798810000002"/>
    <n v="0"/>
    <n v="0"/>
    <n v="0"/>
    <n v="0"/>
    <n v="22.612500000000001"/>
    <n v="70.350000000000009"/>
    <n v="0"/>
    <n v="92.962500000000006"/>
    <n v="313.06548810000004"/>
    <n v="0.77104410847386118"/>
    <x v="1"/>
    <x v="0"/>
    <x v="4"/>
    <x v="1"/>
    <n v="10"/>
    <n v="1"/>
    <d v="2020-02-17T00:00:00"/>
    <s v="ADB122"/>
    <s v="TOYOTA"/>
    <s v="COROLLA"/>
    <s v="RIMAC SEGUROS  Y REASEGUROS S.A"/>
  </r>
  <r>
    <s v="005-00000449"/>
    <n v="439.20339999999999"/>
    <n v="0"/>
    <n v="12.71"/>
    <n v="0"/>
    <n v="40.250250000000001"/>
    <n v="0"/>
    <n v="0"/>
    <n v="0"/>
    <n v="52.960250000000002"/>
    <n v="386.24315000000001"/>
    <n v="0.87941748629450511"/>
    <x v="0"/>
    <x v="1"/>
    <x v="4"/>
    <x v="1"/>
    <n v="1"/>
    <n v="1"/>
    <d v="2020-02-26T00:00:00"/>
    <s v="B0T312"/>
    <s v="TOYOTA"/>
    <s v="RAV 4"/>
    <s v="AGB BUSINESS EIRL"/>
  </r>
  <r>
    <s v="005-00000412"/>
    <n v="1317.0319614"/>
    <n v="0"/>
    <n v="0"/>
    <n v="0"/>
    <n v="0"/>
    <n v="0"/>
    <n v="281.40000000000003"/>
    <n v="0"/>
    <n v="281.40000000000003"/>
    <n v="1035.6319613999999"/>
    <n v="0.78633775925918081"/>
    <x v="1"/>
    <x v="0"/>
    <x v="4"/>
    <x v="1"/>
    <n v="10"/>
    <n v="1"/>
    <d v="2020-02-17T00:00:00"/>
    <s v="W3G525"/>
    <s v="MAZDA"/>
    <s v="MAZDA3"/>
    <s v="AGUERO MARTINEZ JOSE LUIS"/>
  </r>
  <r>
    <s v="005-00000445"/>
    <n v="343.00000999999997"/>
    <n v="0"/>
    <n v="0"/>
    <n v="0"/>
    <n v="30.150000000000002"/>
    <n v="0"/>
    <n v="0"/>
    <n v="0"/>
    <n v="30.150000000000002"/>
    <n v="312.85001"/>
    <n v="0.91209912792713921"/>
    <x v="1"/>
    <x v="0"/>
    <x v="4"/>
    <x v="1"/>
    <n v="3"/>
    <n v="1"/>
    <d v="2020-02-25T00:00:00"/>
    <s v="CQW106"/>
    <s v="TOYOTA"/>
    <s v="COROLLA"/>
    <s v="RIMAC SEGUROS  Y REASEGUROS S.A"/>
  </r>
  <r>
    <s v="005-00000440"/>
    <n v="531.65001549999999"/>
    <n v="0"/>
    <n v="21.19"/>
    <n v="0"/>
    <n v="0"/>
    <n v="60.300000000000004"/>
    <n v="105.52500000000001"/>
    <n v="0"/>
    <n v="187.01500000000001"/>
    <n v="344.63501550000001"/>
    <n v="0.64823663209316695"/>
    <x v="1"/>
    <x v="0"/>
    <x v="4"/>
    <x v="1"/>
    <n v="4"/>
    <n v="1"/>
    <d v="2020-02-24T00:00:00"/>
    <s v="BAK335"/>
    <s v="JEEP"/>
    <s v="CHEROKE"/>
    <s v="DE PIEROLA, PIZARRO, ARCE &amp; BARRON ABOGADOS S.A.C."/>
  </r>
  <r>
    <s v="005-00000441"/>
    <n v="686.00002000000006"/>
    <n v="0"/>
    <n v="0"/>
    <n v="0"/>
    <n v="0"/>
    <n v="75.375"/>
    <n v="140.70000000000002"/>
    <n v="0"/>
    <n v="216.07500000000002"/>
    <n v="469.92502000000002"/>
    <n v="0.68502187507224854"/>
    <x v="1"/>
    <x v="0"/>
    <x v="4"/>
    <x v="1"/>
    <n v="4"/>
    <n v="1"/>
    <d v="2020-02-24T00:00:00"/>
    <s v="BAK335"/>
    <s v="JEEP"/>
    <s v="CHEROKE"/>
    <s v="DE PIEROLA, PIZARRO, ARCE &amp; BARRON ABOGADOS S.A.C."/>
  </r>
  <r>
    <s v="005-00000442"/>
    <n v="308.70000899999997"/>
    <n v="0"/>
    <n v="0"/>
    <n v="0"/>
    <n v="0"/>
    <n v="30.150000000000002"/>
    <n v="70.350000000000009"/>
    <n v="0"/>
    <n v="100.50000000000001"/>
    <n v="208.20000899999997"/>
    <n v="0.67444121454495964"/>
    <x v="1"/>
    <x v="0"/>
    <x v="4"/>
    <x v="1"/>
    <n v="4"/>
    <n v="1"/>
    <d v="2020-02-24T00:00:00"/>
    <s v="BAK335"/>
    <s v="JEEP"/>
    <s v="CHEROKE"/>
    <s v="DE PIEROLA, PIZARRO, ARCE &amp; BARRON ABOGADOS S.A.C."/>
  </r>
  <r>
    <s v="005-00000423"/>
    <n v="1711.5700498999995"/>
    <n v="0"/>
    <n v="0"/>
    <n v="0"/>
    <n v="0"/>
    <n v="241.20000000000002"/>
    <n v="246.22499999999999"/>
    <n v="0"/>
    <n v="487.42500000000001"/>
    <n v="1224.1450498999995"/>
    <n v="0.71521761552880736"/>
    <x v="1"/>
    <x v="2"/>
    <x v="4"/>
    <x v="1"/>
    <n v="9"/>
    <n v="1"/>
    <d v="2020-02-19T00:00:00"/>
    <s v="F3Y336"/>
    <s v="AUDI"/>
    <s v="Q5"/>
    <s v="SEVILLA RODRIGUEZ SRL"/>
  </r>
  <r>
    <s v="005-00000425"/>
    <n v="857.32579128492023"/>
    <n v="0"/>
    <n v="0"/>
    <n v="0"/>
    <n v="0"/>
    <n v="45.225000000000001"/>
    <n v="140.70000000000002"/>
    <n v="0"/>
    <n v="185.92500000000001"/>
    <n v="671.40079128492016"/>
    <n v="0.78313378427430225"/>
    <x v="0"/>
    <x v="0"/>
    <x v="4"/>
    <x v="1"/>
    <n v="8"/>
    <n v="1"/>
    <d v="2020-02-20T00:00:00"/>
    <s v="F3Y336"/>
    <s v="AUDI"/>
    <s v="Q5"/>
    <s v="SEVILLA RODRIGUEZ SRL"/>
  </r>
  <r>
    <s v="005-00000374"/>
    <n v="408.17001189999996"/>
    <n v="0"/>
    <n v="0"/>
    <n v="0"/>
    <n v="0"/>
    <n v="37.6875"/>
    <n v="70.350000000000009"/>
    <n v="0"/>
    <n v="108.03750000000001"/>
    <n v="300.13251189999994"/>
    <n v="0.73531250006071303"/>
    <x v="1"/>
    <x v="0"/>
    <x v="4"/>
    <x v="1"/>
    <n v="27"/>
    <n v="1"/>
    <d v="2020-02-01T00:00:00"/>
    <s v="BBM206"/>
    <s v="HONDA"/>
    <s v="HR-V"/>
    <s v="RIMAC SEGUROS  Y REASEGUROS S.A"/>
  </r>
  <r>
    <s v="005-00000418"/>
    <n v="3045.8400887999996"/>
    <n v="0"/>
    <n v="0"/>
    <n v="0"/>
    <n v="0"/>
    <n v="120.60000000000001"/>
    <n v="844.2"/>
    <n v="0"/>
    <n v="964.80000000000007"/>
    <n v="2081.0400887999995"/>
    <n v="0.68324010063833907"/>
    <x v="1"/>
    <x v="3"/>
    <x v="4"/>
    <x v="1"/>
    <n v="10"/>
    <n v="1"/>
    <d v="2020-02-18T00:00:00"/>
    <s v="AVH107"/>
    <s v="KIA"/>
    <s v="SPORTAGE"/>
    <s v="RIMAC SEGUROS  Y REASEGUROS S.A"/>
  </r>
  <r>
    <s v="005-00000419"/>
    <n v="2689.1200783999993"/>
    <n v="0"/>
    <n v="0"/>
    <n v="0"/>
    <n v="0"/>
    <n v="165.82500000000002"/>
    <n v="422.1"/>
    <n v="0"/>
    <n v="587.92500000000007"/>
    <n v="2101.1950783999991"/>
    <n v="0.78136900441061374"/>
    <x v="1"/>
    <x v="2"/>
    <x v="4"/>
    <x v="1"/>
    <n v="10"/>
    <n v="1"/>
    <d v="2020-02-18T00:00:00"/>
    <s v="ACW155"/>
    <s v="CHEVROLET"/>
    <s v="SPARK"/>
    <s v="RIMAC SEGUROS  Y REASEGUROS S.A"/>
  </r>
  <r>
    <s v="005-00000444"/>
    <n v="290.67809218457967"/>
    <n v="0"/>
    <n v="0"/>
    <n v="0"/>
    <n v="0"/>
    <n v="0"/>
    <n v="70.350000000000009"/>
    <n v="0"/>
    <n v="70.350000000000009"/>
    <n v="220.32809218457965"/>
    <n v="0.75797969681413768"/>
    <x v="0"/>
    <x v="0"/>
    <x v="4"/>
    <x v="1"/>
    <n v="3"/>
    <n v="1"/>
    <d v="2020-02-25T00:00:00"/>
    <s v="BBM206"/>
    <s v="HONDA"/>
    <s v="HR-V"/>
    <s v="NANCY DOMINGUEZ RODRIGUEZ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761B7-D860-429F-9DA5-793AF9B01D19}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X12" firstHeaderRow="1" firstDataRow="2" firstDataCol="1" rowPageCount="1" colPageCount="1"/>
  <pivotFields count="29">
    <pivotField showAll="0"/>
    <pivotField numFmtId="14" showAll="0"/>
    <pivotField showAll="0"/>
    <pivotField showAll="0"/>
    <pivotField showAll="0"/>
    <pivotField showAll="0"/>
    <pivotField axis="axisPage" dataField="1" multipleItemSelectionAllowed="1" showAll="0">
      <items count="5">
        <item h="1" x="0"/>
        <item h="1" x="1"/>
        <item h="1" x="2"/>
        <item x="3"/>
        <item t="default"/>
      </items>
    </pivotField>
    <pivotField showAll="0"/>
    <pivotField showAll="0"/>
    <pivotField axis="axisCol" showAll="0">
      <items count="65">
        <item x="0"/>
        <item x="57"/>
        <item x="45"/>
        <item x="60"/>
        <item x="5"/>
        <item x="51"/>
        <item x="59"/>
        <item x="46"/>
        <item x="1"/>
        <item x="63"/>
        <item x="2"/>
        <item x="48"/>
        <item x="47"/>
        <item x="6"/>
        <item x="50"/>
        <item x="58"/>
        <item x="53"/>
        <item x="52"/>
        <item x="56"/>
        <item x="8"/>
        <item x="7"/>
        <item x="55"/>
        <item x="49"/>
        <item x="3"/>
        <item x="61"/>
        <item x="10"/>
        <item x="9"/>
        <item x="11"/>
        <item x="16"/>
        <item x="62"/>
        <item x="12"/>
        <item x="17"/>
        <item x="4"/>
        <item x="15"/>
        <item x="13"/>
        <item x="19"/>
        <item x="54"/>
        <item x="22"/>
        <item x="36"/>
        <item x="20"/>
        <item x="25"/>
        <item x="26"/>
        <item x="18"/>
        <item x="32"/>
        <item x="23"/>
        <item x="29"/>
        <item x="34"/>
        <item x="24"/>
        <item x="21"/>
        <item x="14"/>
        <item x="33"/>
        <item x="38"/>
        <item x="31"/>
        <item x="41"/>
        <item x="30"/>
        <item x="39"/>
        <item x="35"/>
        <item x="28"/>
        <item x="42"/>
        <item x="27"/>
        <item x="40"/>
        <item x="43"/>
        <item x="44"/>
        <item x="37"/>
        <item t="default"/>
      </items>
    </pivotField>
    <pivotField showAll="0"/>
    <pivotField showAll="0"/>
    <pivotField showAll="0"/>
    <pivotField axis="axisRow" multipleItemSelectionAllowed="1" showAll="0">
      <items count="42">
        <item h="1" x="0"/>
        <item x="38"/>
        <item x="1"/>
        <item x="2"/>
        <item x="3"/>
        <item x="39"/>
        <item x="40"/>
        <item x="29"/>
        <item h="1" x="30"/>
        <item h="1" x="37"/>
        <item h="1" x="31"/>
        <item h="1" x="32"/>
        <item h="1" x="33"/>
        <item h="1" x="34"/>
        <item h="1" x="35"/>
        <item h="1" x="4"/>
        <item h="1" x="5"/>
        <item h="1" x="6"/>
        <item h="1" x="7"/>
        <item h="1" x="8"/>
        <item h="1" x="36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7"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9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3"/>
    </i>
    <i>
      <x v="14"/>
    </i>
    <i>
      <x v="16"/>
    </i>
    <i>
      <x v="17"/>
    </i>
    <i>
      <x v="19"/>
    </i>
    <i>
      <x v="20"/>
    </i>
    <i>
      <x v="21"/>
    </i>
    <i>
      <x v="23"/>
    </i>
    <i>
      <x v="24"/>
    </i>
    <i>
      <x v="27"/>
    </i>
    <i>
      <x v="29"/>
    </i>
    <i t="grand">
      <x/>
    </i>
  </colItems>
  <pageFields count="1">
    <pageField fld="6" hier="-1"/>
  </pageFields>
  <dataFields count="1">
    <dataField name="Cuenta de TIPO DE CLIENT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88E8C-AD2C-4AE9-B13B-C4110B406012}" name="Tabla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E7" firstHeaderRow="0" firstDataRow="1" firstDataCol="1" rowPageCount="2" colPageCount="1"/>
  <pivotFields count="24">
    <pivotField numFmtId="14" showAll="0"/>
    <pivotField showAll="0"/>
    <pivotField numFmtId="4" showAll="0"/>
    <pivotField dataField="1" numFmtId="4" showAll="0"/>
    <pivotField dataField="1" numFmtId="4" showAll="0"/>
    <pivotField dataField="1" numFmtId="4" showAll="0"/>
    <pivotField numFmtId="4" showAll="0"/>
    <pivotField numFmtId="4" showAll="0"/>
    <pivotField numFmtId="4" showAll="0"/>
    <pivotField dataField="1" numFmtId="4" showAll="0"/>
    <pivotField numFmtId="4" showAll="0"/>
    <pivotField numFmtId="4" showAll="0"/>
    <pivotField numFmtId="10" showAll="0"/>
    <pivotField axis="axisPage" multipleItemSelectionAllowed="1" showAll="0">
      <items count="5">
        <item h="1" x="2"/>
        <item h="1" x="0"/>
        <item x="3"/>
        <item x="1"/>
        <item t="default"/>
      </items>
    </pivotField>
    <pivotField showAll="0"/>
    <pivotField axis="axisRow" showAll="0">
      <items count="6">
        <item x="3"/>
        <item x="4"/>
        <item x="0"/>
        <item x="1"/>
        <item x="2"/>
        <item t="default"/>
      </items>
    </pivotField>
    <pivotField axis="axisPage" numFmtId="1" multipleItemSelectionAllowed="1" showAll="0">
      <items count="3">
        <item h="1" x="0"/>
        <item x="1"/>
        <item t="default"/>
      </items>
    </pivotField>
    <pivotField numFmtId="1" showAll="0"/>
    <pivotField showAll="0"/>
    <pivotField numFmtId="14" showAll="0"/>
    <pivotField showAll="0"/>
    <pivotField showAll="0"/>
    <pivotField showAll="0"/>
    <pivotField showAll="0"/>
  </pivotFields>
  <rowFields count="1">
    <field x="15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6" hier="-1"/>
    <pageField fld="13" hier="-1"/>
  </pageFields>
  <dataFields count="4">
    <dataField name="Suma de Salidas_Almacen" fld="3" baseField="0" baseItem="0"/>
    <dataField name="Suma de Compras_Rpto" fld="4" baseField="0" baseItem="0"/>
    <dataField name="Suma de Serv_Terceros" fld="5" baseField="0" baseItem="0"/>
    <dataField name="Suma de Ser_Ter_Taller" fld="9" baseField="0" baseItem="0"/>
  </dataFields>
  <formats count="1">
    <format dxfId="5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E0307-71B4-4682-B979-BB0F9F35C776}" name="TablaDinámica3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2:E25" firstHeaderRow="0" firstDataRow="1" firstDataCol="1" rowPageCount="2" colPageCount="1"/>
  <pivotFields count="24">
    <pivotField numFmtId="14" showAll="0"/>
    <pivotField showAll="0"/>
    <pivotField numFmtId="4" showAll="0"/>
    <pivotField dataField="1" numFmtId="4" showAll="0"/>
    <pivotField dataField="1" numFmtId="4" showAll="0"/>
    <pivotField dataField="1" numFmtId="4" showAll="0"/>
    <pivotField numFmtId="4" showAll="0"/>
    <pivotField numFmtId="4" showAll="0"/>
    <pivotField numFmtId="4" showAll="0"/>
    <pivotField dataField="1" numFmtId="4" showAll="0"/>
    <pivotField numFmtId="4" showAll="0"/>
    <pivotField numFmtId="4" showAll="0"/>
    <pivotField numFmtId="10" showAll="0"/>
    <pivotField axis="axisPage" multipleItemSelectionAllowed="1" showAll="0">
      <items count="5">
        <item x="2"/>
        <item h="1" x="0"/>
        <item h="1" x="3"/>
        <item h="1" x="1"/>
        <item t="default"/>
      </items>
    </pivotField>
    <pivotField showAll="0"/>
    <pivotField axis="axisRow" showAll="0">
      <items count="6">
        <item x="3"/>
        <item x="4"/>
        <item x="0"/>
        <item x="1"/>
        <item x="2"/>
        <item t="default"/>
      </items>
    </pivotField>
    <pivotField axis="axisPage" numFmtId="1" multipleItemSelectionAllowed="1" showAll="0">
      <items count="3">
        <item h="1" x="0"/>
        <item x="1"/>
        <item t="default"/>
      </items>
    </pivotField>
    <pivotField numFmtId="1" showAll="0"/>
    <pivotField showAll="0"/>
    <pivotField numFmtId="14" showAll="0"/>
    <pivotField showAll="0"/>
    <pivotField showAll="0"/>
    <pivotField showAll="0"/>
    <pivotField showAll="0"/>
  </pivotFields>
  <rowFields count="1">
    <field x="15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6" hier="-1"/>
    <pageField fld="13" hier="-1"/>
  </pageFields>
  <dataFields count="4">
    <dataField name="Suma de Salidas_Almacen" fld="3" baseField="0" baseItem="0"/>
    <dataField name="Suma de Compras_Rpto" fld="4" baseField="0" baseItem="0"/>
    <dataField name="Suma de Serv_Terceros" fld="5" baseField="0" baseItem="0"/>
    <dataField name="Suma de Ser_Ter_Taller" fld="9" baseField="0" baseItem="0"/>
  </dataFields>
  <formats count="1">
    <format dxfId="5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1FBD78-768F-4509-B6F1-19D37BE537FA}" name="TablaDinámica2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3:E16" firstHeaderRow="0" firstDataRow="1" firstDataCol="1" rowPageCount="2" colPageCount="1"/>
  <pivotFields count="24">
    <pivotField numFmtId="14" showAll="0"/>
    <pivotField showAll="0"/>
    <pivotField numFmtId="4" showAll="0"/>
    <pivotField dataField="1" numFmtId="4" showAll="0"/>
    <pivotField dataField="1" numFmtId="4" showAll="0"/>
    <pivotField dataField="1" numFmtId="4" showAll="0"/>
    <pivotField numFmtId="4" showAll="0"/>
    <pivotField numFmtId="4" showAll="0"/>
    <pivotField numFmtId="4" showAll="0"/>
    <pivotField dataField="1" numFmtId="4" showAll="0"/>
    <pivotField numFmtId="4" showAll="0"/>
    <pivotField numFmtId="4" showAll="0"/>
    <pivotField numFmtId="10" showAll="0"/>
    <pivotField axis="axisPage" multipleItemSelectionAllowed="1" showAll="0">
      <items count="5">
        <item h="1" x="2"/>
        <item x="0"/>
        <item h="1" x="3"/>
        <item h="1" x="1"/>
        <item t="default"/>
      </items>
    </pivotField>
    <pivotField showAll="0"/>
    <pivotField axis="axisRow" showAll="0">
      <items count="6">
        <item x="3"/>
        <item x="4"/>
        <item x="0"/>
        <item x="1"/>
        <item x="2"/>
        <item t="default"/>
      </items>
    </pivotField>
    <pivotField axis="axisPage" numFmtId="1" multipleItemSelectionAllowed="1" showAll="0">
      <items count="3">
        <item h="1" x="0"/>
        <item x="1"/>
        <item t="default"/>
      </items>
    </pivotField>
    <pivotField numFmtId="1" showAll="0"/>
    <pivotField showAll="0"/>
    <pivotField numFmtId="14" showAll="0"/>
    <pivotField showAll="0"/>
    <pivotField showAll="0"/>
    <pivotField showAll="0"/>
    <pivotField showAll="0"/>
  </pivotFields>
  <rowFields count="1">
    <field x="15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6" hier="-1"/>
    <pageField fld="13" hier="-1"/>
  </pageFields>
  <dataFields count="4">
    <dataField name="Suma de Salidas_Almacen" fld="3" baseField="0" baseItem="0"/>
    <dataField name="Suma de Compras_Rpto" fld="4" baseField="0" baseItem="0"/>
    <dataField name="Suma de Serv_Terceros" fld="5" baseField="0" baseItem="0"/>
    <dataField name="Suma de Ser_Ter_Taller" fld="9" baseField="0" baseItem="0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0000000}" name="TablaDinámica1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J47:K51" firstHeaderRow="1" firstDataRow="1" firstDataCol="1" rowPageCount="3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8">
        <item h="1" x="0"/>
        <item h="1" m="1" x="5"/>
        <item h="1" x="3"/>
        <item x="1"/>
        <item h="1" m="1" x="6"/>
        <item h="1" m="1" x="4"/>
        <item h="1"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dataField="1"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4">
    <i>
      <x v="1"/>
    </i>
    <i>
      <x v="2"/>
    </i>
    <i>
      <x v="3"/>
    </i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Cuenta de Cuenta_Dia" fld="17" subtotal="count" baseField="13" baseItem="1" numFmtId="168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Tabla dinámica15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D37:E38" firstHeaderRow="1" firstDataRow="1" firstDataCol="1" rowPageCount="3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4" showAll="0"/>
    <pivotField numFmtId="10" showAll="0"/>
    <pivotField axis="axisPage" multipleItemSelectionAllowed="1" showAll="0">
      <items count="8">
        <item h="1" x="0"/>
        <item h="1" m="1" x="5"/>
        <item x="3"/>
        <item h="1" x="1"/>
        <item h="1" m="1" x="6"/>
        <item h="1" m="1" x="4"/>
        <item h="1"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1"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Suma de Total_Gastos" fld="9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Tabla dinámica12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J26:K29" firstHeaderRow="1" firstDataRow="1" firstDataCol="1" rowPageCount="3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8">
        <item x="0"/>
        <item h="1" m="1" x="5"/>
        <item h="1" x="3"/>
        <item h="1" x="1"/>
        <item h="1" m="1" x="6"/>
        <item h="1" m="1" x="4"/>
        <item h="1"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dataField="1"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3">
    <i>
      <x v="2"/>
    </i>
    <i>
      <x v="5"/>
    </i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Cuenta de Cuenta_Dia" fld="17" subtotal="count" baseField="13" baseItem="2" numFmtId="168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F000000}" name="Tabla dinámica9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26:B29" firstHeaderRow="1" firstDataRow="1" firstDataCol="1" rowPageCount="3" colPageCount="1"/>
  <pivotFields count="23">
    <pivotField showAll="0"/>
    <pivotField dataField="1"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8">
        <item x="0"/>
        <item h="1" m="1" x="5"/>
        <item h="1" x="3"/>
        <item h="1" x="1"/>
        <item h="1" m="1" x="6"/>
        <item h="1" m="1" x="4"/>
        <item h="1"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3">
    <i>
      <x v="2"/>
    </i>
    <i>
      <x v="5"/>
    </i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Suma de Sum_Acum" fld="1" baseField="0" baseItem="0" numFmtId="165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02820-DF71-4CB4-9539-0F17E601345F}" name="TablaDinámica8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J58:K61" firstHeaderRow="1" firstDataRow="1" firstDataCol="1" rowPageCount="3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8">
        <item h="1" x="0"/>
        <item h="1" m="1" x="5"/>
        <item h="1" x="3"/>
        <item h="1" x="1"/>
        <item h="1" m="1" x="6"/>
        <item h="1" m="1" x="4"/>
        <item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dataField="1"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3">
    <i>
      <x v="1"/>
    </i>
    <i>
      <x v="5"/>
    </i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Cuenta de Cuenta_Dia" fld="17" subtotal="count" baseField="13" baseItem="1" numFmtId="168"/>
  </dataFields>
  <formats count="1"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E000000}" name="Tabla dinámica8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14:B19" firstHeaderRow="1" firstDataRow="1" firstDataCol="1" rowPageCount="2" colPageCount="1"/>
  <pivotFields count="23">
    <pivotField showAll="0"/>
    <pivotField dataField="1"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showAll="0"/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5">
    <i>
      <x v="1"/>
    </i>
    <i>
      <x v="2"/>
    </i>
    <i>
      <x v="3"/>
    </i>
    <i>
      <x v="5"/>
    </i>
    <i t="grand">
      <x/>
    </i>
  </rowItems>
  <colItems count="1">
    <i/>
  </colItems>
  <pageFields count="2">
    <pageField fld="15" hier="-1"/>
    <pageField fld="14" hier="-1"/>
  </pageFields>
  <dataFields count="1">
    <dataField name="Suma de Sum_Acum" fld="1" baseField="0" baseItem="0" numFmtId="165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7000000}" name="Tabla dinámica16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37:B38" firstHeaderRow="1" firstDataRow="1" firstDataCol="1" rowPageCount="3" colPageCount="1"/>
  <pivotFields count="23">
    <pivotField showAll="0"/>
    <pivotField dataField="1"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8">
        <item h="1" x="0"/>
        <item x="3"/>
        <item h="1" x="1"/>
        <item h="1" m="1" x="5"/>
        <item h="1" m="1" x="6"/>
        <item h="1" m="1" x="4"/>
        <item h="1"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1"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Suma de Sum_Acum" fld="1" baseField="0" baseItem="0" numFmtId="165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A000000}" name="Tabla dinámica4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J4:K8" firstHeaderRow="1" firstDataRow="1" firstDataCol="1" rowPageCount="2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Row" showAll="0">
      <items count="8">
        <item x="0"/>
        <item m="1" x="5"/>
        <item x="3"/>
        <item x="1"/>
        <item m="1" x="6"/>
        <item m="1" x="4"/>
        <item x="2"/>
        <item t="default"/>
      </items>
    </pivotField>
    <pivotField showAll="0"/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dataField="1"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2"/>
  </rowFields>
  <rowItems count="4">
    <i>
      <x/>
    </i>
    <i>
      <x v="3"/>
    </i>
    <i>
      <x v="6"/>
    </i>
    <i t="grand">
      <x/>
    </i>
  </rowItems>
  <colItems count="1">
    <i/>
  </colItems>
  <pageFields count="2">
    <pageField fld="15" hier="-1"/>
    <pageField fld="14" hier="-1"/>
  </pageFields>
  <dataFields count="1">
    <dataField name="Cuenta de Cuenta_Dia" fld="17" subtotal="count" baseField="12" baseItem="3" numFmtId="168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la dinámica10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D26:E29" firstHeaderRow="1" firstDataRow="1" firstDataCol="1" rowPageCount="3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4" showAll="0"/>
    <pivotField numFmtId="10" showAll="0"/>
    <pivotField axis="axisPage" multipleItemSelectionAllowed="1" showAll="0">
      <items count="8">
        <item x="0"/>
        <item h="1" m="1" x="5"/>
        <item h="1" x="3"/>
        <item h="1" x="1"/>
        <item h="1" m="1" x="6"/>
        <item h="1" m="1" x="4"/>
        <item h="1"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3">
    <i>
      <x v="2"/>
    </i>
    <i>
      <x v="5"/>
    </i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Suma de Total_Gastos" fld="9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9000000}" name="Tabla dinámica3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G4:H8" firstHeaderRow="1" firstDataRow="1" firstDataCol="1" rowPageCount="2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10" showAll="0"/>
    <pivotField axis="axisRow" showAll="0">
      <items count="8">
        <item x="0"/>
        <item m="1" x="5"/>
        <item x="3"/>
        <item x="1"/>
        <item m="1" x="6"/>
        <item m="1" x="4"/>
        <item x="2"/>
        <item t="default"/>
      </items>
    </pivotField>
    <pivotField showAll="0"/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2"/>
  </rowFields>
  <rowItems count="4">
    <i>
      <x/>
    </i>
    <i>
      <x v="3"/>
    </i>
    <i>
      <x v="6"/>
    </i>
    <i t="grand">
      <x/>
    </i>
  </rowItems>
  <colItems count="1">
    <i/>
  </colItems>
  <pageFields count="2">
    <pageField fld="15" hier="-1"/>
    <pageField fld="14" hier="-1"/>
  </pageFields>
  <dataFields count="1">
    <dataField name="Suma de Margen_bruto" fld="10" baseField="0" baseItem="0"/>
  </dataFields>
  <formats count="1">
    <format dxfId="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D000000}" name="Tabla dinámica7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D14:E19" firstHeaderRow="1" firstDataRow="1" firstDataCol="1" rowPageCount="2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4" showAll="0"/>
    <pivotField numFmtId="10" showAll="0"/>
    <pivotField showAll="0"/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5">
    <i>
      <x v="1"/>
    </i>
    <i>
      <x v="2"/>
    </i>
    <i>
      <x v="3"/>
    </i>
    <i>
      <x v="5"/>
    </i>
    <i t="grand">
      <x/>
    </i>
  </rowItems>
  <colItems count="1">
    <i/>
  </colItems>
  <pageFields count="2">
    <pageField fld="15" hier="-1"/>
    <pageField fld="14" hier="-1"/>
  </pageFields>
  <dataFields count="1">
    <dataField name="Suma de Total_Gastos" fld="9" baseField="0" baseItem="0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2000000}" name="TablaDinámica3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D47:E51" firstHeaderRow="1" firstDataRow="1" firstDataCol="1" rowPageCount="3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4" showAll="0"/>
    <pivotField numFmtId="10" showAll="0"/>
    <pivotField axis="axisPage" multipleItemSelectionAllowed="1" showAll="0">
      <items count="8">
        <item h="1" x="0"/>
        <item h="1" m="1" x="5"/>
        <item h="1" x="3"/>
        <item x="1"/>
        <item h="1" m="1" x="6"/>
        <item h="1" m="1" x="4"/>
        <item h="1"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4">
    <i>
      <x v="1"/>
    </i>
    <i>
      <x v="2"/>
    </i>
    <i>
      <x v="3"/>
    </i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Suma de Total_Gastos" fld="9" baseField="0" baseItem="0"/>
  </dataFields>
  <formats count="1"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8000000}" name="Tabla dinámica2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D4:E8" firstHeaderRow="1" firstDataRow="1" firstDataCol="1" rowPageCount="2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4" showAll="0"/>
    <pivotField numFmtId="10" showAll="0"/>
    <pivotField axis="axisRow" showAll="0">
      <items count="8">
        <item x="0"/>
        <item m="1" x="5"/>
        <item x="3"/>
        <item x="1"/>
        <item m="1" x="6"/>
        <item m="1" x="4"/>
        <item x="2"/>
        <item t="default"/>
      </items>
    </pivotField>
    <pivotField showAll="0"/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2"/>
  </rowFields>
  <rowItems count="4">
    <i>
      <x/>
    </i>
    <i>
      <x v="3"/>
    </i>
    <i>
      <x v="6"/>
    </i>
    <i t="grand">
      <x/>
    </i>
  </rowItems>
  <colItems count="1">
    <i/>
  </colItems>
  <pageFields count="2">
    <pageField fld="15" hier="-1"/>
    <pageField fld="14" hier="-1"/>
  </pageFields>
  <dataFields count="1">
    <dataField name="Suma de Total_Gastos" fld="9" baseField="0" baseItem="0"/>
  </dataFields>
  <formats count="1"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5CDD3-044F-4DBA-99C3-818F699C58C1}" name="TablaDinámica6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58:B61" firstHeaderRow="1" firstDataRow="1" firstDataCol="1" rowPageCount="3" colPageCount="1"/>
  <pivotFields count="23">
    <pivotField showAll="0"/>
    <pivotField dataField="1"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8">
        <item h="1" x="0"/>
        <item h="1" m="1" x="5"/>
        <item h="1" x="3"/>
        <item h="1" x="1"/>
        <item h="1" m="1" x="6"/>
        <item h="1" m="1" x="4"/>
        <item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3">
    <i>
      <x v="1"/>
    </i>
    <i>
      <x v="5"/>
    </i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Suma de Sum_Acum" fld="1" baseField="0" baseItem="0" numFmtId="165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3000000}" name="TablaDinámica4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47:B51" firstHeaderRow="1" firstDataRow="1" firstDataCol="1" rowPageCount="3" colPageCount="1"/>
  <pivotFields count="23">
    <pivotField showAll="0"/>
    <pivotField dataField="1"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8">
        <item h="1" x="0"/>
        <item h="1" m="1" x="5"/>
        <item h="1" x="3"/>
        <item x="1"/>
        <item h="1" m="1" x="6"/>
        <item h="1" m="1" x="4"/>
        <item h="1"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4">
    <i>
      <x v="1"/>
    </i>
    <i>
      <x v="2"/>
    </i>
    <i>
      <x v="3"/>
    </i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Suma de Sum_Acum" fld="1" baseField="0" baseItem="0" numFmtId="165"/>
  </dataFields>
  <formats count="1"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Tabla dinámica13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J37:K38" firstHeaderRow="1" firstDataRow="1" firstDataCol="1" rowPageCount="3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8">
        <item h="1" x="0"/>
        <item h="1" m="1" x="5"/>
        <item x="3"/>
        <item h="1" x="1"/>
        <item h="1" m="1" x="6"/>
        <item h="1" m="1" x="4"/>
        <item h="1"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dataField="1"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1"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Suma de Cuenta_Dia" fld="17" baseField="0" baseItem="0" numFmtId="168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B000000}" name="Tabla dinámica5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J14:K19" firstHeaderRow="1" firstDataRow="1" firstDataCol="1" rowPageCount="2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showAll="0"/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dataField="1"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5">
    <i>
      <x v="1"/>
    </i>
    <i>
      <x v="2"/>
    </i>
    <i>
      <x v="3"/>
    </i>
    <i>
      <x v="5"/>
    </i>
    <i t="grand">
      <x/>
    </i>
  </rowItems>
  <colItems count="1">
    <i/>
  </colItems>
  <pageFields count="2">
    <pageField fld="15" hier="-1"/>
    <pageField fld="14" hier="-1"/>
  </pageFields>
  <dataFields count="1">
    <dataField name="Cuenta de Cuenta_Dia" fld="17" subtotal="count" baseField="13" baseItem="1" numFmtId="168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Tabla dinámica11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G26:H29" firstHeaderRow="1" firstDataRow="1" firstDataCol="1" rowPageCount="3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10" showAll="0"/>
    <pivotField axis="axisPage" multipleItemSelectionAllowed="1" showAll="0">
      <items count="8">
        <item x="0"/>
        <item h="1" m="1" x="5"/>
        <item h="1" x="3"/>
        <item h="1" x="1"/>
        <item h="1" m="1" x="6"/>
        <item h="1" m="1" x="4"/>
        <item h="1"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3">
    <i>
      <x v="2"/>
    </i>
    <i>
      <x v="5"/>
    </i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Suma de Margen_bruto" fld="10" baseField="0" baseItem="0"/>
  </dataFields>
  <formats count="1">
    <format dxfId="4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11000000}" name="TablaDinámica2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G47:H51" firstHeaderRow="1" firstDataRow="1" firstDataCol="1" rowPageCount="3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10" showAll="0"/>
    <pivotField axis="axisPage" multipleItemSelectionAllowed="1" showAll="0">
      <items count="8">
        <item h="1" x="0"/>
        <item h="1" m="1" x="5"/>
        <item h="1" x="3"/>
        <item x="1"/>
        <item h="1" m="1" x="6"/>
        <item h="1" m="1" x="4"/>
        <item h="1"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4">
    <i>
      <x v="1"/>
    </i>
    <i>
      <x v="2"/>
    </i>
    <i>
      <x v="3"/>
    </i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Suma de Margen_bruto" fld="10" baseField="0" baseItem="0"/>
  </dataFields>
  <formats count="1">
    <format dxfId="4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Tabla dinámica14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G37:H38" firstHeaderRow="1" firstDataRow="1" firstDataCol="1" rowPageCount="3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10" showAll="0"/>
    <pivotField axis="axisPage" multipleItemSelectionAllowed="1" showAll="0">
      <items count="8">
        <item h="1" x="0"/>
        <item h="1" m="1" x="5"/>
        <item x="3"/>
        <item h="1" x="1"/>
        <item h="1" m="1" x="6"/>
        <item h="1" m="1" x="4"/>
        <item h="1"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1"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Suma de Margen_bruto" fld="10" baseField="0" baseItem="0"/>
  </dataFields>
  <formats count="1">
    <format dxfId="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C000000}" name="Tabla dinámica6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G14:H19" firstHeaderRow="1" firstDataRow="1" firstDataCol="1" rowPageCount="2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10" showAll="0"/>
    <pivotField showAll="0"/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5">
    <i>
      <x v="1"/>
    </i>
    <i>
      <x v="2"/>
    </i>
    <i>
      <x v="3"/>
    </i>
    <i>
      <x v="5"/>
    </i>
    <i t="grand">
      <x/>
    </i>
  </rowItems>
  <colItems count="1">
    <i/>
  </colItems>
  <pageFields count="2">
    <pageField fld="15" hier="-1"/>
    <pageField fld="14" hier="-1"/>
  </pageFields>
  <dataFields count="1">
    <dataField name="Suma de Margen_bruto" fld="10" baseField="0" baseItem="0"/>
  </dataFields>
  <formats count="1"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FC97B-1ED9-475F-8206-4B252E1F7270}" name="TablaDinámica5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G58:H61" firstHeaderRow="1" firstDataRow="1" firstDataCol="1" rowPageCount="3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10" showAll="0"/>
    <pivotField axis="axisPage" multipleItemSelectionAllowed="1" showAll="0">
      <items count="8">
        <item h="1" x="0"/>
        <item h="1" m="1" x="5"/>
        <item h="1" x="3"/>
        <item h="1" x="1"/>
        <item h="1" m="1" x="6"/>
        <item h="1" m="1" x="4"/>
        <item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3">
    <i>
      <x v="1"/>
    </i>
    <i>
      <x v="5"/>
    </i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Suma de Margen_bruto" fld="10" baseField="0" baseItem="0"/>
  </dataFields>
  <formats count="1">
    <format dxfId="4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B9876-3797-42E0-BA4C-8DFE5B23EF10}" name="TablaDinámica7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D58:E61" firstHeaderRow="1" firstDataRow="1" firstDataCol="1" rowPageCount="3" colPageCount="1"/>
  <pivotFields count="23"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4" showAll="0"/>
    <pivotField numFmtId="10" showAll="0"/>
    <pivotField axis="axisPage" multipleItemSelectionAllowed="1" showAll="0">
      <items count="8">
        <item h="1" x="0"/>
        <item h="1" m="1" x="5"/>
        <item h="1" x="3"/>
        <item h="1" x="1"/>
        <item h="1" m="1" x="6"/>
        <item h="1" m="1" x="4"/>
        <item x="2"/>
        <item t="default"/>
      </items>
    </pivotField>
    <pivotField axis="axisRow" showAll="0">
      <items count="8">
        <item m="1" x="4"/>
        <item x="2"/>
        <item x="0"/>
        <item x="3"/>
        <item m="1" x="5"/>
        <item x="1"/>
        <item m="1" x="6"/>
        <item t="default"/>
      </items>
    </pivotField>
    <pivotField axis="axisPage" multipleItemSelectionAllowed="1" showAll="0">
      <items count="13">
        <item h="1" m="1" x="10"/>
        <item h="1" m="1" x="8"/>
        <item h="1" m="1" x="11"/>
        <item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3"/>
  </rowFields>
  <rowItems count="3">
    <i>
      <x v="1"/>
    </i>
    <i>
      <x v="5"/>
    </i>
    <i t="grand">
      <x/>
    </i>
  </rowItems>
  <colItems count="1">
    <i/>
  </colItems>
  <pageFields count="3">
    <pageField fld="15" hier="-1"/>
    <pageField fld="14" hier="-1"/>
    <pageField fld="12" hier="-1"/>
  </pageFields>
  <dataFields count="1">
    <dataField name="Suma de Total_Gastos" fld="9" baseField="0" baseItem="0"/>
  </dataFields>
  <formats count="1">
    <format dxfId="4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 dinámica1" cacheId="5" applyNumberFormats="0" applyBorderFormats="0" applyFontFormats="0" applyPatternFormats="0" applyAlignmentFormats="0" applyWidthHeightFormats="1" dataCaption="Valores" updatedVersion="6" minRefreshableVersion="3" useAutoFormatting="1" itemPrintTitles="1" createdVersion="4" indent="0" outline="1" outlineData="1" multipleFieldFilters="0">
  <location ref="A4:B8" firstHeaderRow="1" firstDataRow="1" firstDataCol="1" rowPageCount="2" colPageCount="1"/>
  <pivotFields count="23">
    <pivotField showAll="0"/>
    <pivotField dataField="1"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Row" showAll="0">
      <items count="8">
        <item x="0"/>
        <item m="1" x="5"/>
        <item x="3"/>
        <item x="1"/>
        <item m="1" x="6"/>
        <item m="1" x="4"/>
        <item x="2"/>
        <item t="default"/>
      </items>
    </pivotField>
    <pivotField showAll="0"/>
    <pivotField axis="axisPage" multipleItemSelectionAllowed="1" showAll="0">
      <items count="13">
        <item h="1" m="1" x="10"/>
        <item h="1" m="1" x="8"/>
        <item h="1" m="1" x="11"/>
        <item h="1" m="1" x="9"/>
        <item h="1" m="1" x="6"/>
        <item h="1" m="1" x="5"/>
        <item h="1" x="0"/>
        <item h="1" m="1" x="7"/>
        <item h="1" x="1"/>
        <item h="1" x="2"/>
        <item h="1" x="3"/>
        <item x="4"/>
        <item t="default"/>
      </items>
    </pivotField>
    <pivotField axis="axisPage" numFmtId="1" multipleItemSelectionAllowed="1" showAll="0">
      <items count="5">
        <item h="1" m="1" x="3"/>
        <item h="1" m="1" x="2"/>
        <item h="1" x="0"/>
        <item x="1"/>
        <item t="default"/>
      </items>
    </pivotField>
    <pivotField showAll="0"/>
    <pivotField showAll="0"/>
    <pivotField numFmtId="14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2"/>
  </rowFields>
  <rowItems count="4">
    <i>
      <x/>
    </i>
    <i>
      <x v="3"/>
    </i>
    <i>
      <x v="6"/>
    </i>
    <i t="grand">
      <x/>
    </i>
  </rowItems>
  <colItems count="1">
    <i/>
  </colItems>
  <pageFields count="2">
    <pageField fld="15" hier="-1"/>
    <pageField fld="14" hier="-1"/>
  </pageFields>
  <dataFields count="1">
    <dataField name="Suma de Sum_Acum" fld="1" baseField="0" baseItem="0" numFmtId="165"/>
  </dataFields>
  <formats count="1">
    <format dxfId="5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4000000}" name="TablaDinámica19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8:B41" firstHeaderRow="1" firstDataRow="1" firstDataCol="1" rowPageCount="3" colPageCount="1"/>
  <pivotFields count="26">
    <pivotField numFmtId="14" showAll="0"/>
    <pivotField showAll="0"/>
    <pivotField dataField="1"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7">
        <item h="1" x="0"/>
        <item h="1" x="3"/>
        <item h="1" x="2"/>
        <item x="1"/>
        <item h="1" x="4"/>
        <item h="1" x="5"/>
        <item t="default"/>
      </items>
    </pivotField>
    <pivotField showAll="0"/>
    <pivotField axis="axisPage" multipleItemSelectionAllowed="1" showAll="0">
      <items count="13">
        <item x="10"/>
        <item h="1" x="11"/>
        <item h="1" x="7"/>
        <item h="1" x="0"/>
        <item h="1" x="1"/>
        <item h="1" x="2"/>
        <item h="1" x="3"/>
        <item h="1" x="4"/>
        <item h="1" x="5"/>
        <item h="1" x="6"/>
        <item h="1" x="8"/>
        <item h="1" x="9"/>
        <item t="default"/>
      </items>
    </pivotField>
    <pivotField axis="axisPage" numFmtId="1" multipleItemSelectionAllowed="1" showAll="0">
      <items count="4">
        <item h="1" x="0"/>
        <item h="1" x="1"/>
        <item x="2"/>
        <item t="default"/>
      </items>
    </pivotField>
    <pivotField numFmtId="1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425">
        <item h="1" x="1222"/>
        <item h="1" x="1263"/>
        <item h="1" x="10"/>
        <item h="1" x="441"/>
        <item h="1" x="1147"/>
        <item h="1" x="298"/>
        <item h="1" x="943"/>
        <item h="1" x="909"/>
        <item h="1" x="1234"/>
        <item h="1" x="769"/>
        <item h="1" x="515"/>
        <item h="1" x="177"/>
        <item h="1" x="720"/>
        <item h="1" x="627"/>
        <item h="1" x="1170"/>
        <item h="1" x="606"/>
        <item h="1" x="1174"/>
        <item h="1" x="1294"/>
        <item h="1" x="128"/>
        <item h="1" x="118"/>
        <item h="1" x="442"/>
        <item h="1" x="462"/>
        <item h="1" x="1239"/>
        <item h="1" x="209"/>
        <item h="1" x="498"/>
        <item h="1" x="1077"/>
        <item h="1" x="461"/>
        <item h="1" x="423"/>
        <item h="1" x="92"/>
        <item h="1" x="84"/>
        <item h="1" x="234"/>
        <item h="1" x="1145"/>
        <item h="1" x="510"/>
        <item h="1" x="816"/>
        <item h="1" x="420"/>
        <item h="1" x="489"/>
        <item h="1" x="120"/>
        <item h="1" x="301"/>
        <item h="1" x="612"/>
        <item h="1" x="968"/>
        <item h="1" x="289"/>
        <item h="1" x="980"/>
        <item h="1" x="791"/>
        <item h="1" x="413"/>
        <item h="1" x="353"/>
        <item h="1" x="268"/>
        <item h="1" x="215"/>
        <item h="1" x="444"/>
        <item h="1" x="70"/>
        <item h="1" x="1254"/>
        <item h="1" x="249"/>
        <item h="1" x="1223"/>
        <item h="1" x="149"/>
        <item h="1" x="319"/>
        <item h="1" x="874"/>
        <item h="1" x="997"/>
        <item h="1" x="239"/>
        <item h="1" x="1129"/>
        <item h="1" x="634"/>
        <item h="1" x="1116"/>
        <item h="1" x="360"/>
        <item h="1" x="364"/>
        <item h="1" x="191"/>
        <item h="1" x="1199"/>
        <item h="1" x="1078"/>
        <item h="1" x="670"/>
        <item h="1" x="246"/>
        <item h="1" x="525"/>
        <item h="1" x="664"/>
        <item h="1" x="308"/>
        <item h="1" x="960"/>
        <item h="1" x="754"/>
        <item h="1" x="710"/>
        <item h="1" x="144"/>
        <item h="1" x="1241"/>
        <item h="1" x="784"/>
        <item h="1" x="700"/>
        <item h="1" x="643"/>
        <item h="1" x="742"/>
        <item h="1" x="534"/>
        <item h="1" x="56"/>
        <item h="1" x="280"/>
        <item h="1" x="517"/>
        <item h="1" x="178"/>
        <item h="1" x="26"/>
        <item h="1" x="303"/>
        <item h="1" x="339"/>
        <item h="1" x="669"/>
        <item h="1" x="55"/>
        <item h="1" x="1196"/>
        <item h="1" x="126"/>
        <item h="1" x="337"/>
        <item h="1" x="152"/>
        <item h="1" x="369"/>
        <item h="1" x="454"/>
        <item h="1" x="267"/>
        <item h="1" x="1250"/>
        <item h="1" x="607"/>
        <item h="1" x="885"/>
        <item h="1" x="953"/>
        <item h="1" x="1221"/>
        <item h="1" x="140"/>
        <item h="1" x="7"/>
        <item h="1" x="347"/>
        <item h="1" x="1106"/>
        <item h="1" x="652"/>
        <item h="1" x="224"/>
        <item h="1" x="330"/>
        <item h="1" x="693"/>
        <item h="1" x="1275"/>
        <item h="1" x="1282"/>
        <item h="1" x="1220"/>
        <item h="1" x="939"/>
        <item h="1" x="1284"/>
        <item h="1" x="675"/>
        <item h="1" x="1049"/>
        <item h="1" x="1134"/>
        <item h="1" x="1268"/>
        <item h="1" x="918"/>
        <item h="1" x="761"/>
        <item h="1" x="1233"/>
        <item h="1" x="582"/>
        <item h="1" x="965"/>
        <item h="1" x="416"/>
        <item h="1" x="934"/>
        <item h="1" x="685"/>
        <item h="1" x="1102"/>
        <item h="1" x="1171"/>
        <item h="1" x="123"/>
        <item h="1" x="778"/>
        <item h="1" x="248"/>
        <item h="1" x="914"/>
        <item h="1" x="994"/>
        <item h="1" x="254"/>
        <item h="1" x="174"/>
        <item h="1" x="361"/>
        <item h="1" x="187"/>
        <item h="1" x="913"/>
        <item h="1" x="1278"/>
        <item h="1" x="25"/>
        <item h="1" x="324"/>
        <item h="1" x="1215"/>
        <item h="1" x="467"/>
        <item h="1" x="853"/>
        <item h="1" x="935"/>
        <item h="1" x="446"/>
        <item h="1" x="223"/>
        <item h="1" x="194"/>
        <item h="1" x="979"/>
        <item h="1" x="431"/>
        <item h="1" x="1093"/>
        <item h="1" x="842"/>
        <item h="1" x="936"/>
        <item h="1" x="1235"/>
        <item h="1" x="163"/>
        <item h="1" x="256"/>
        <item h="1" x="484"/>
        <item h="1" x="279"/>
        <item h="1" x="683"/>
        <item h="1" x="1110"/>
        <item h="1" x="1156"/>
        <item h="1" x="677"/>
        <item h="1" x="211"/>
        <item h="1" x="889"/>
        <item h="1" x="14"/>
        <item h="1" x="418"/>
        <item h="1" x="629"/>
        <item h="1" x="278"/>
        <item h="1" x="261"/>
        <item h="1" x="985"/>
        <item h="1" x="1273"/>
        <item h="1" x="963"/>
        <item h="1" x="406"/>
        <item h="1" x="766"/>
        <item h="1" x="713"/>
        <item h="1" x="1226"/>
        <item h="1" x="81"/>
        <item h="1" x="1021"/>
        <item h="1" x="1288"/>
        <item h="1" x="719"/>
        <item h="1" x="1019"/>
        <item h="1" x="891"/>
        <item h="1" x="890"/>
        <item h="1" x="333"/>
        <item h="1" x="672"/>
        <item h="1" x="1161"/>
        <item h="1" x="870"/>
        <item h="1" x="351"/>
        <item h="1" x="134"/>
        <item h="1" x="680"/>
        <item h="1" x="620"/>
        <item h="1" x="1087"/>
        <item h="1" x="1289"/>
        <item h="1" x="336"/>
        <item h="1" x="756"/>
        <item h="1" x="478"/>
        <item h="1" x="204"/>
        <item h="1" x="718"/>
        <item h="1" x="495"/>
        <item h="1" x="375"/>
        <item h="1" x="404"/>
        <item h="1" x="463"/>
        <item h="1" x="1256"/>
        <item h="1" x="299"/>
        <item h="1" x="1005"/>
        <item h="1" x="51"/>
        <item h="1" x="1074"/>
        <item h="1" x="507"/>
        <item h="1" x="449"/>
        <item h="1" x="456"/>
        <item h="1" x="1140"/>
        <item h="1" x="1166"/>
        <item h="1" x="282"/>
        <item h="1" x="206"/>
        <item h="1" x="412"/>
        <item h="1" x="243"/>
        <item h="1" x="832"/>
        <item h="1" x="644"/>
        <item h="1" x="737"/>
        <item h="1" x="546"/>
        <item h="1" x="647"/>
        <item h="1" x="648"/>
        <item h="1" x="1137"/>
        <item h="1" x="1075"/>
        <item h="1" x="715"/>
        <item h="1" x="135"/>
        <item h="1" x="1142"/>
        <item h="1" x="373"/>
        <item h="1" x="1126"/>
        <item h="1" x="342"/>
        <item h="1" x="433"/>
        <item h="1" x="981"/>
        <item h="1" x="381"/>
        <item h="1" x="579"/>
        <item h="1" x="1197"/>
        <item h="1" x="1014"/>
        <item h="1" x="818"/>
        <item h="1" x="1146"/>
        <item h="1" x="12"/>
        <item h="1" x="1225"/>
        <item h="1" x="966"/>
        <item h="1" x="1175"/>
        <item h="1" x="1162"/>
        <item h="1" x="605"/>
        <item h="1" x="969"/>
        <item h="1" x="106"/>
        <item h="1" x="311"/>
        <item h="1" x="716"/>
        <item h="1" x="349"/>
        <item h="1" x="1152"/>
        <item h="1" x="133"/>
        <item h="1" x="124"/>
        <item h="1" x="1138"/>
        <item h="1" x="1243"/>
        <item h="1" x="751"/>
        <item h="1" x="924"/>
        <item h="1" x="1203"/>
        <item h="1" x="514"/>
        <item h="1" x="352"/>
        <item h="1" x="1085"/>
        <item h="1" x="1154"/>
        <item h="1" x="1135"/>
        <item h="1" x="1213"/>
        <item h="1" x="259"/>
        <item h="1" x="574"/>
        <item h="1" x="114"/>
        <item h="1" x="793"/>
        <item h="1" x="932"/>
        <item h="1" x="1036"/>
        <item h="1" x="331"/>
        <item h="1" x="673"/>
        <item h="1" x="1107"/>
        <item h="1" x="1211"/>
        <item h="1" x="1086"/>
        <item h="1" x="434"/>
        <item h="1" x="102"/>
        <item h="1" x="104"/>
        <item h="1" x="1067"/>
        <item h="1" x="57"/>
        <item h="1" x="520"/>
        <item h="1" x="869"/>
        <item h="1" x="702"/>
        <item h="1" x="1285"/>
        <item h="1" x="63"/>
        <item h="1" x="561"/>
        <item h="1" x="631"/>
        <item h="1" x="970"/>
        <item h="1" x="947"/>
        <item h="1" x="1240"/>
        <item h="1" x="535"/>
        <item h="1" x="867"/>
        <item h="1" x="1150"/>
        <item h="1" x="340"/>
        <item h="1" x="296"/>
        <item h="1" x="443"/>
        <item h="1" x="383"/>
        <item h="1" x="810"/>
        <item h="1" x="87"/>
        <item h="1" x="989"/>
        <item h="1" x="385"/>
        <item h="1" x="122"/>
        <item h="1" x="1153"/>
        <item h="1" x="1096"/>
        <item h="1" x="390"/>
        <item h="1" x="982"/>
        <item h="1" x="1232"/>
        <item h="1" x="747"/>
        <item h="1" x="984"/>
        <item h="1" x="563"/>
        <item h="1" x="562"/>
        <item h="1" x="973"/>
        <item h="1" x="975"/>
        <item h="1" x="826"/>
        <item h="1" x="52"/>
        <item h="1" x="1218"/>
        <item h="1" x="628"/>
        <item h="1" x="529"/>
        <item h="1" x="76"/>
        <item h="1" x="570"/>
        <item h="1" x="594"/>
        <item h="1" x="613"/>
        <item h="1" x="270"/>
        <item h="1" x="183"/>
        <item h="1" x="79"/>
        <item h="1" x="896"/>
        <item h="1" x="1179"/>
        <item h="1" x="1043"/>
        <item h="1" x="1105"/>
        <item h="1" x="831"/>
        <item h="1" x="233"/>
        <item h="1" x="1023"/>
        <item h="1" x="651"/>
        <item h="1" x="1066"/>
        <item h="1" x="589"/>
        <item h="1" x="396"/>
        <item h="1" x="1013"/>
        <item h="1" x="988"/>
        <item h="1" x="957"/>
        <item h="1" x="788"/>
        <item h="1" x="508"/>
        <item h="1" x="905"/>
        <item h="1" x="1292"/>
        <item h="1" x="1022"/>
        <item h="1" x="1065"/>
        <item h="1" x="173"/>
        <item h="1" x="1039"/>
        <item h="1" x="323"/>
        <item h="1" x="251"/>
        <item h="1" x="4"/>
        <item h="1" x="1094"/>
        <item h="1" x="857"/>
        <item h="1" x="151"/>
        <item h="1" x="1143"/>
        <item h="1" x="1246"/>
        <item h="1" x="1172"/>
        <item h="1" x="181"/>
        <item h="1" x="281"/>
        <item h="1" x="230"/>
        <item h="1" x="586"/>
        <item h="1" x="916"/>
        <item h="1" x="614"/>
        <item h="1" x="176"/>
        <item h="1" x="944"/>
        <item h="1" x="394"/>
        <item h="1" x="1034"/>
        <item h="1" x="706"/>
        <item h="1" x="861"/>
        <item h="1" x="694"/>
        <item h="1" x="1228"/>
        <item h="1" x="314"/>
        <item h="1" x="815"/>
        <item h="1" x="1028"/>
        <item h="1" x="806"/>
        <item h="1" x="105"/>
        <item h="1" x="354"/>
        <item h="1" x="238"/>
        <item h="1" x="1193"/>
        <item h="1" x="580"/>
        <item h="1" x="1082"/>
        <item h="1" x="608"/>
        <item h="1" x="536"/>
        <item h="1" x="1095"/>
        <item h="1" x="395"/>
        <item h="1" x="847"/>
        <item h="1" x="750"/>
        <item h="1" x="621"/>
        <item h="1" x="622"/>
        <item h="1" x="1183"/>
        <item h="1" x="108"/>
        <item h="1" x="1255"/>
        <item h="1" x="34"/>
        <item h="1" x="1017"/>
        <item h="1" x="1063"/>
        <item h="1" x="1210"/>
        <item h="1" x="1042"/>
        <item h="1" x="365"/>
        <item h="1" x="991"/>
        <item h="1" x="218"/>
        <item h="1" x="639"/>
        <item h="1" x="1058"/>
        <item h="1" x="1018"/>
        <item h="1" x="1217"/>
        <item h="1" x="1271"/>
        <item h="1" x="798"/>
        <item h="1" x="555"/>
        <item h="1" x="1260"/>
        <item h="1" x="839"/>
        <item h="1" x="199"/>
        <item h="1" x="494"/>
        <item h="1" x="882"/>
        <item h="1" x="93"/>
        <item h="1" x="391"/>
        <item h="1" x="154"/>
        <item h="1" x="74"/>
        <item h="1" x="954"/>
        <item h="1" x="752"/>
        <item h="1" x="573"/>
        <item h="1" x="312"/>
        <item h="1" x="1069"/>
        <item h="1" x="1080"/>
        <item h="1" x="616"/>
        <item h="1" x="671"/>
        <item h="1" x="908"/>
        <item h="1" x="524"/>
        <item h="1" x="923"/>
        <item h="1" x="399"/>
        <item h="1" x="1247"/>
        <item h="1" x="674"/>
        <item h="1" x="808"/>
        <item h="1" x="649"/>
        <item h="1" x="288"/>
        <item h="1" x="587"/>
        <item h="1" x="786"/>
        <item h="1" x="749"/>
        <item h="1" x="1190"/>
        <item h="1" x="388"/>
        <item h="1" x="72"/>
        <item h="1" x="117"/>
        <item h="1" x="941"/>
        <item h="1" x="1159"/>
        <item h="1" x="1111"/>
        <item h="1" x="59"/>
        <item h="1" x="387"/>
        <item h="1" x="1057"/>
        <item h="1" x="90"/>
        <item x="48"/>
        <item h="1" x="78"/>
        <item h="1" x="903"/>
        <item h="1" x="66"/>
        <item h="1" x="995"/>
        <item h="1" x="1088"/>
        <item h="1" x="245"/>
        <item h="1" x="1272"/>
        <item h="1" x="714"/>
        <item h="1" x="110"/>
        <item h="1" x="1180"/>
        <item h="1" x="657"/>
        <item h="1" x="271"/>
        <item h="1" x="417"/>
        <item h="1" x="44"/>
        <item h="1" x="322"/>
        <item h="1" x="1117"/>
        <item h="1" x="523"/>
        <item h="1" x="36"/>
        <item h="1" x="54"/>
        <item h="1" x="1192"/>
        <item h="1" x="317"/>
        <item h="1" x="1283"/>
        <item h="1" x="166"/>
        <item h="1" x="772"/>
        <item h="1" x="497"/>
        <item h="1" x="175"/>
        <item h="1" x="357"/>
        <item h="1" x="170"/>
        <item h="1" x="1149"/>
        <item h="1" x="82"/>
        <item h="1" x="453"/>
        <item h="1" x="358"/>
        <item h="1" x="470"/>
        <item h="1" x="284"/>
        <item h="1" x="389"/>
        <item h="1" x="687"/>
        <item h="1" x="505"/>
        <item h="1" x="699"/>
        <item h="1" x="427"/>
        <item h="1" x="743"/>
        <item h="1" x="1119"/>
        <item h="1" x="559"/>
        <item h="1" x="473"/>
        <item h="1" x="160"/>
        <item h="1" x="1230"/>
        <item h="1" x="1204"/>
        <item h="1" x="733"/>
        <item h="1" x="827"/>
        <item h="1" x="735"/>
        <item h="1" x="1130"/>
        <item h="1" x="435"/>
        <item h="1" x="355"/>
        <item h="1" x="910"/>
        <item h="1" x="945"/>
        <item h="1" x="1242"/>
        <item h="1" x="1200"/>
        <item h="1" x="922"/>
        <item h="1" x="67"/>
        <item h="1" x="147"/>
        <item h="1" x="141"/>
        <item h="1" x="676"/>
        <item h="1" x="182"/>
        <item h="1" x="817"/>
        <item h="1" x="1201"/>
        <item h="1" x="22"/>
        <item h="1" x="678"/>
        <item h="1" x="940"/>
        <item h="1" x="948"/>
        <item h="1" x="61"/>
        <item h="1" x="928"/>
        <item h="1" x="599"/>
        <item h="1" x="258"/>
        <item h="1" x="1113"/>
        <item h="1" x="362"/>
        <item h="1" x="15"/>
        <item h="1" x="1173"/>
        <item h="1" x="1264"/>
        <item h="1" x="1004"/>
        <item h="1" x="575"/>
        <item h="1" x="886"/>
        <item h="1" x="131"/>
        <item h="1" x="691"/>
        <item h="1" x="1099"/>
        <item h="1" x="60"/>
        <item h="1" x="1090"/>
        <item h="1" x="129"/>
        <item h="1" x="703"/>
        <item h="1" x="642"/>
        <item h="1" x="1287"/>
        <item h="1" x="1025"/>
        <item h="1" x="221"/>
        <item h="1" x="465"/>
        <item h="1" x="1007"/>
        <item h="1" x="398"/>
        <item h="1" x="236"/>
        <item h="1" x="335"/>
        <item h="1" x="1098"/>
        <item h="1" x="426"/>
        <item h="1" x="822"/>
        <item h="1" x="661"/>
        <item h="1" x="1229"/>
        <item h="1" x="1244"/>
        <item h="1" x="1182"/>
        <item h="1" x="64"/>
        <item h="1" x="955"/>
        <item h="1" x="850"/>
        <item h="1" x="179"/>
        <item h="1" x="887"/>
        <item h="1" x="615"/>
        <item h="1" x="592"/>
        <item h="1" x="610"/>
        <item h="1" x="376"/>
        <item h="1" x="161"/>
        <item h="1" x="1266"/>
        <item h="1" x="450"/>
        <item h="1" x="65"/>
        <item h="1" x="1158"/>
        <item h="1" x="1103"/>
        <item h="1" x="768"/>
        <item h="1" x="302"/>
        <item h="1" x="656"/>
        <item h="1" x="667"/>
        <item h="1" x="1297"/>
        <item h="1" x="895"/>
        <item h="1" x="1169"/>
        <item h="1" x="21"/>
        <item h="1" x="548"/>
        <item h="1" x="486"/>
        <item h="1" x="1052"/>
        <item h="1" x="987"/>
        <item h="1" x="585"/>
        <item h="1" x="291"/>
        <item h="1" x="602"/>
        <item h="1" x="89"/>
        <item h="1" x="99"/>
        <item h="1" x="949"/>
        <item h="1" x="696"/>
        <item h="1" x="704"/>
        <item h="1" x="1131"/>
        <item h="1" x="8"/>
        <item h="1" x="513"/>
        <item h="1" x="838"/>
        <item x="157"/>
        <item h="1" x="1100"/>
        <item h="1" x="624"/>
        <item h="1" x="1132"/>
        <item h="1" x="814"/>
        <item h="1" x="930"/>
        <item h="1" x="801"/>
        <item h="1" x="872"/>
        <item h="1" x="9"/>
        <item h="1" x="113"/>
        <item h="1" x="5"/>
        <item h="1" x="1000"/>
        <item h="1" x="73"/>
        <item h="1" x="16"/>
        <item h="1" x="111"/>
        <item h="1" x="380"/>
        <item h="1" x="97"/>
        <item h="1" x="755"/>
        <item h="1" x="458"/>
        <item h="1" x="1068"/>
        <item h="1" x="1164"/>
        <item h="1" x="1167"/>
        <item h="1" x="69"/>
        <item h="1" x="39"/>
        <item h="1" x="1040"/>
        <item h="1" x="1054"/>
        <item h="1" x="112"/>
        <item h="1" x="439"/>
        <item h="1" x="202"/>
        <item h="1" x="229"/>
        <item h="1" x="316"/>
        <item h="1" x="1274"/>
        <item h="1" x="1296"/>
        <item h="1" x="637"/>
        <item h="1" x="276"/>
        <item h="1" x="777"/>
        <item h="1" x="877"/>
        <item h="1" x="1258"/>
        <item h="1" x="96"/>
        <item h="1" x="927"/>
        <item h="1" x="504"/>
        <item h="1" x="1109"/>
        <item h="1" x="1157"/>
        <item h="1" x="783"/>
        <item h="1" x="321"/>
        <item h="1" x="526"/>
        <item h="1" x="169"/>
        <item h="1" x="681"/>
        <item h="1" x="300"/>
        <item h="1" x="292"/>
        <item h="1" x="53"/>
        <item h="1" x="658"/>
        <item h="1" x="764"/>
        <item h="1" x="491"/>
        <item h="1" x="785"/>
        <item h="1" x="1079"/>
        <item h="1" x="50"/>
        <item h="1" x="1279"/>
        <item h="1" x="547"/>
        <item h="1" x="38"/>
        <item h="1" x="635"/>
        <item h="1" x="315"/>
        <item h="1" x="1231"/>
        <item h="1" x="668"/>
        <item h="1" x="726"/>
        <item h="1" x="952"/>
        <item h="1" x="1122"/>
        <item h="1" x="58"/>
        <item h="1" x="148"/>
        <item h="1" x="1123"/>
        <item h="1" x="604"/>
        <item h="1" x="294"/>
        <item h="1" x="854"/>
        <item h="1" x="225"/>
        <item h="1" x="269"/>
        <item h="1" x="190"/>
        <item h="1" x="1010"/>
        <item h="1" x="959"/>
        <item h="1" x="729"/>
        <item h="1" x="623"/>
        <item h="1" x="457"/>
        <item h="1" x="758"/>
        <item h="1" x="868"/>
        <item h="1" x="1008"/>
        <item h="1" x="977"/>
        <item h="1" x="794"/>
        <item h="1" x="1185"/>
        <item h="1" x="1202"/>
        <item h="1" x="137"/>
        <item h="1" x="757"/>
        <item h="1" x="686"/>
        <item h="1" x="136"/>
        <item h="1" x="2"/>
        <item h="1" x="521"/>
        <item h="1" x="646"/>
        <item h="1" x="625"/>
        <item h="1" x="437"/>
        <item h="1" x="1209"/>
        <item h="1" x="1206"/>
        <item h="1" x="1144"/>
        <item h="1" x="293"/>
        <item h="1" x="500"/>
        <item h="1" x="1189"/>
        <item h="1" x="1205"/>
        <item h="1" x="833"/>
        <item h="1" x="1168"/>
        <item h="1" x="1046"/>
        <item h="1" x="75"/>
        <item h="1" x="422"/>
        <item h="1" x="1002"/>
        <item h="1" x="1219"/>
        <item h="1" x="116"/>
        <item h="1" x="139"/>
        <item h="1" x="532"/>
        <item h="1" x="379"/>
        <item h="1" x="445"/>
        <item h="1" x="883"/>
        <item h="1" x="210"/>
        <item h="1" x="47"/>
        <item h="1" x="222"/>
        <item h="1" x="956"/>
        <item h="1" x="213"/>
        <item h="1" x="823"/>
        <item h="1" x="1269"/>
        <item h="1" x="736"/>
        <item h="1" x="901"/>
        <item h="1" x="24"/>
        <item h="1" x="27"/>
        <item h="1" x="912"/>
        <item h="1" x="844"/>
        <item h="1" x="405"/>
        <item h="1" x="712"/>
        <item h="1" x="767"/>
        <item h="1" x="551"/>
        <item h="1" x="879"/>
        <item h="1" x="717"/>
        <item h="1" x="103"/>
        <item h="1" x="368"/>
        <item h="1" x="1270"/>
        <item h="1" x="1245"/>
        <item h="1" x="262"/>
        <item h="1" x="1160"/>
        <item h="1" x="283"/>
        <item h="1" x="290"/>
        <item h="1" x="512"/>
        <item h="1" x="1141"/>
        <item h="1" x="1139"/>
        <item h="1" x="892"/>
        <item h="1" x="633"/>
        <item h="1" x="1029"/>
        <item h="1" x="875"/>
        <item h="1" x="572"/>
        <item h="1" x="519"/>
        <item h="1" x="153"/>
        <item h="1" x="217"/>
        <item h="1" x="310"/>
        <item h="1" x="898"/>
        <item h="1" x="401"/>
        <item h="1" x="306"/>
        <item h="1" x="346"/>
        <item h="1" x="1112"/>
        <item h="1" x="1011"/>
        <item h="1" x="260"/>
        <item h="1" x="1037"/>
        <item h="1" x="367"/>
        <item h="1" x="711"/>
        <item h="1" x="983"/>
        <item h="1" x="219"/>
        <item h="1" x="902"/>
        <item h="1" x="1062"/>
        <item h="1" x="725"/>
        <item h="1" x="971"/>
        <item h="1" x="255"/>
        <item h="1" x="1121"/>
        <item h="1" x="732"/>
        <item h="1" x="1293"/>
        <item h="1" x="474"/>
        <item h="1" x="779"/>
        <item h="1" x="477"/>
        <item h="1" x="180"/>
        <item h="1" x="1091"/>
        <item h="1" x="1016"/>
        <item h="1" x="705"/>
        <item h="1" x="692"/>
        <item h="1" x="527"/>
        <item h="1" x="632"/>
        <item h="1" x="41"/>
        <item h="1" x="165"/>
        <item h="1" x="94"/>
        <item h="1" x="856"/>
        <item h="1" x="1026"/>
        <item h="1" x="95"/>
        <item h="1" x="577"/>
        <item h="1" x="1127"/>
        <item h="1" x="763"/>
        <item h="1" x="595"/>
        <item h="1" x="739"/>
        <item h="1" x="496"/>
        <item h="1" x="881"/>
        <item h="1" x="782"/>
        <item h="1" x="866"/>
        <item h="1" x="1124"/>
        <item h="1" x="509"/>
        <item h="1" x="1061"/>
        <item h="1" x="929"/>
        <item h="1" x="392"/>
        <item h="1" x="1006"/>
        <item h="1" x="313"/>
        <item h="1" x="197"/>
        <item h="1" x="1227"/>
        <item h="1" x="1012"/>
        <item h="1" x="824"/>
        <item h="1" x="85"/>
        <item h="1" x="1277"/>
        <item h="1" x="286"/>
        <item h="1" x="894"/>
        <item h="1" x="753"/>
        <item h="1" x="13"/>
        <item h="1" x="411"/>
        <item h="1" x="835"/>
        <item h="1" x="499"/>
        <item h="1" x="1181"/>
        <item h="1" x="921"/>
        <item h="1" x="272"/>
        <item h="1" x="552"/>
        <item h="1" x="402"/>
        <item h="1" x="143"/>
        <item h="1" x="297"/>
        <item h="1" x="1084"/>
        <item h="1" x="481"/>
        <item h="1" x="459"/>
        <item h="1" x="601"/>
        <item h="1" x="277"/>
        <item h="1" x="237"/>
        <item h="1" x="1177"/>
        <item h="1" x="958"/>
        <item h="1" x="1281"/>
        <item h="1" x="305"/>
        <item h="1" x="419"/>
        <item h="1" x="797"/>
        <item h="1" x="18"/>
        <item h="1" x="626"/>
        <item h="1" x="138"/>
        <item h="1" x="859"/>
        <item h="1" x="567"/>
        <item h="1" x="933"/>
        <item h="1" x="576"/>
        <item h="1" x="852"/>
        <item h="1" x="263"/>
        <item h="1" x="998"/>
        <item h="1" x="603"/>
        <item h="1" x="543"/>
        <item h="1" x="849"/>
        <item h="1" x="466"/>
        <item h="1" x="734"/>
        <item h="1" x="760"/>
        <item h="1" x="30"/>
        <item h="1" x="86"/>
        <item h="1" x="804"/>
        <item h="1" x="107"/>
        <item h="1" x="846"/>
        <item h="1" x="774"/>
        <item h="1" x="226"/>
        <item h="1" x="522"/>
        <item h="1" x="156"/>
        <item h="1" x="919"/>
        <item h="1" x="1015"/>
        <item h="1" x="796"/>
        <item h="1" x="690"/>
        <item h="1" x="802"/>
        <item h="1" x="0"/>
        <item h="1" x="1184"/>
        <item h="1" x="511"/>
        <item h="1" x="803"/>
        <item h="1" x="1148"/>
        <item h="1" x="195"/>
        <item h="1" x="252"/>
        <item h="1" x="630"/>
        <item h="1" x="184"/>
        <item h="1" x="320"/>
        <item h="1" x="1257"/>
        <item h="1" x="480"/>
        <item h="1" x="571"/>
        <item h="1" x="186"/>
        <item h="1" x="80"/>
        <item h="1" x="697"/>
        <item h="1" x="598"/>
        <item h="1" x="738"/>
        <item h="1" x="549"/>
        <item h="1" x="1238"/>
        <item h="1" x="1248"/>
        <item h="1" x="781"/>
        <item h="1" x="1155"/>
        <item h="1" x="942"/>
        <item h="1" x="146"/>
        <item h="1" x="897"/>
        <item h="1" x="189"/>
        <item h="1" x="1236"/>
        <item h="1" x="744"/>
        <item h="1" x="1081"/>
        <item h="1" x="530"/>
        <item h="1" x="541"/>
        <item h="1" x="682"/>
        <item h="1" x="528"/>
        <item h="1" x="374"/>
        <item h="1" x="1120"/>
        <item h="1" x="840"/>
        <item h="1" x="1041"/>
        <item h="1" x="240"/>
        <item h="1" x="168"/>
        <item h="1" x="880"/>
        <item h="1" x="1045"/>
        <item h="1" x="843"/>
        <item h="1" x="192"/>
        <item h="1" x="727"/>
        <item h="1" x="1224"/>
        <item h="1" x="740"/>
        <item h="1" x="6"/>
        <item h="1" x="345"/>
        <item h="1" x="1276"/>
        <item h="1" x="162"/>
        <item h="1" x="962"/>
        <item h="1" x="787"/>
        <item h="1" x="862"/>
        <item h="1" x="611"/>
        <item h="1" x="448"/>
        <item h="1" x="790"/>
        <item h="1" x="837"/>
        <item h="1" x="1024"/>
        <item h="1" x="1092"/>
        <item h="1" x="931"/>
        <item h="1" x="1060"/>
        <item h="1" x="33"/>
        <item h="1" x="581"/>
        <item h="1" x="762"/>
        <item h="1" x="482"/>
        <item h="1" x="829"/>
        <item h="1" x="741"/>
        <item h="1" x="476"/>
        <item h="1" x="485"/>
        <item h="1" x="1195"/>
        <item h="1" x="193"/>
        <item h="1" x="488"/>
        <item h="1" x="964"/>
        <item h="1" x="900"/>
        <item h="1" x="539"/>
        <item h="1" x="819"/>
        <item h="1" x="101"/>
        <item h="1" x="1030"/>
        <item h="1" x="858"/>
        <item h="1" x="109"/>
        <item h="1" x="558"/>
        <item h="1" x="363"/>
        <item h="1" x="795"/>
        <item h="1" x="88"/>
        <item h="1" x="516"/>
        <item h="1" x="578"/>
        <item h="1" x="155"/>
        <item h="1" x="554"/>
        <item h="1" x="1114"/>
        <item h="1" x="996"/>
        <item h="1" x="1035"/>
        <item h="1" x="408"/>
        <item h="1" x="564"/>
        <item h="1" x="377"/>
        <item h="1" x="899"/>
        <item h="1" x="200"/>
        <item h="1" x="49"/>
        <item h="1" x="636"/>
        <item h="1" x="863"/>
        <item h="1" x="159"/>
        <item h="1" x="479"/>
        <item h="1" x="728"/>
        <item h="1" x="332"/>
        <item h="1" x="855"/>
        <item h="1" x="472"/>
        <item h="1" x="938"/>
        <item h="1" x="1186"/>
        <item h="1" x="538"/>
        <item h="1" x="127"/>
        <item h="1" x="807"/>
        <item h="1" x="227"/>
        <item h="1" x="1044"/>
        <item h="1" x="609"/>
        <item h="1" x="584"/>
        <item h="1" x="1252"/>
        <item h="1" x="876"/>
        <item h="1" x="1165"/>
        <item h="1" x="326"/>
        <item h="1" x="77"/>
        <item h="1" x="45"/>
        <item h="1" x="1191"/>
        <item h="1" x="242"/>
        <item h="1" x="275"/>
        <item h="1" x="356"/>
        <item h="1" x="1163"/>
        <item h="1" x="285"/>
        <item h="1" x="370"/>
        <item h="1" x="724"/>
        <item h="1" x="3"/>
        <item h="1" x="860"/>
        <item h="1" x="265"/>
        <item h="1" x="679"/>
        <item h="1" x="684"/>
        <item h="1" x="393"/>
        <item h="1" x="32"/>
        <item h="1" x="35"/>
        <item h="1" x="382"/>
        <item x="999"/>
        <item h="1" x="438"/>
        <item h="1" x="436"/>
        <item h="1" x="888"/>
        <item h="1" x="341"/>
        <item h="1" x="654"/>
        <item h="1" x="415"/>
        <item h="1" x="531"/>
        <item h="1" x="540"/>
        <item h="1" x="701"/>
        <item h="1" x="274"/>
        <item h="1" x="468"/>
        <item h="1" x="167"/>
        <item h="1" x="386"/>
        <item h="1" x="1"/>
        <item h="1" x="1291"/>
        <item h="1" x="31"/>
        <item h="1" x="993"/>
        <item h="1" x="776"/>
        <item h="1" x="640"/>
        <item h="1" x="266"/>
        <item h="1" x="1253"/>
        <item h="1" x="545"/>
        <item h="1" x="20"/>
        <item h="1" x="403"/>
        <item h="1" x="366"/>
        <item h="1" x="845"/>
        <item h="1" x="172"/>
        <item h="1" x="926"/>
        <item h="1" x="214"/>
        <item h="1" x="309"/>
        <item h="1" x="666"/>
        <item h="1" x="992"/>
        <item h="1" x="1020"/>
        <item h="1" x="158"/>
        <item h="1" x="1178"/>
        <item h="1" x="1261"/>
        <item h="1" x="544"/>
        <item h="1" x="721"/>
        <item h="1" x="250"/>
        <item h="1" x="430"/>
        <item h="1" x="253"/>
        <item h="1" x="207"/>
        <item h="1" x="328"/>
        <item h="1" x="11"/>
        <item h="1" x="723"/>
        <item h="1" x="986"/>
        <item h="1" x="1047"/>
        <item h="1" x="597"/>
        <item h="1" x="304"/>
        <item h="1" x="618"/>
        <item h="1" x="1009"/>
        <item h="1" x="709"/>
        <item h="1" x="428"/>
        <item h="1" x="951"/>
        <item h="1" x="1076"/>
        <item h="1" x="591"/>
        <item h="1" x="1108"/>
        <item h="1" x="937"/>
        <item h="1" x="43"/>
        <item h="1" x="1097"/>
        <item h="1" x="799"/>
        <item h="1" x="617"/>
        <item h="1" x="1115"/>
        <item h="1" x="904"/>
        <item h="1" x="731"/>
        <item h="1" x="619"/>
        <item h="1" x="425"/>
        <item h="1" x="1050"/>
        <item h="1" x="185"/>
        <item h="1" x="455"/>
        <item h="1" x="907"/>
        <item h="1" x="583"/>
        <item h="1" x="216"/>
        <item h="1" x="708"/>
        <item h="1" x="841"/>
        <item h="1" x="257"/>
        <item h="1" x="813"/>
        <item h="1" x="40"/>
        <item h="1" x="400"/>
        <item h="1" x="1207"/>
        <item h="1" x="911"/>
        <item h="1" x="410"/>
        <item h="1" x="212"/>
        <item h="1" x="407"/>
        <item h="1" x="273"/>
        <item h="1" x="1128"/>
        <item h="1" x="553"/>
        <item h="1" x="287"/>
        <item h="1" x="812"/>
        <item h="1" x="1133"/>
        <item h="1" x="171"/>
        <item h="1" x="464"/>
        <item h="1" x="198"/>
        <item h="1" x="1265"/>
        <item h="1" x="469"/>
        <item h="1" x="1208"/>
        <item h="1" x="533"/>
        <item h="1" x="1027"/>
        <item h="1" x="1176"/>
        <item h="1" x="493"/>
        <item h="1" x="492"/>
        <item h="1" x="348"/>
        <item h="1" x="343"/>
        <item h="1" x="569"/>
        <item h="1" x="820"/>
        <item h="1" x="1216"/>
        <item h="1" x="307"/>
        <item h="1" x="821"/>
        <item h="1" x="62"/>
        <item h="1" x="295"/>
        <item h="1" x="1003"/>
        <item h="1" x="972"/>
        <item h="1" x="244"/>
        <item h="1" x="645"/>
        <item h="1" x="83"/>
        <item h="1" x="28"/>
        <item h="1" x="121"/>
        <item h="1" x="42"/>
        <item h="1" x="29"/>
        <item h="1" x="384"/>
        <item h="1" x="518"/>
        <item h="1" x="451"/>
        <item h="1" x="100"/>
        <item h="1" x="247"/>
        <item h="1" x="848"/>
        <item h="1" x="1136"/>
        <item h="1" x="537"/>
        <item h="1" x="208"/>
        <item h="1" x="232"/>
        <item h="1" x="961"/>
        <item h="1" x="906"/>
        <item h="1" x="878"/>
        <item h="1" x="23"/>
        <item h="1" x="228"/>
        <item h="1" x="1212"/>
        <item h="1" x="235"/>
        <item h="1" x="770"/>
        <item h="1" x="327"/>
        <item h="1" x="188"/>
        <item h="1" x="765"/>
        <item h="1" x="663"/>
        <item h="1" x="203"/>
        <item h="1" x="490"/>
        <item h="1" x="502"/>
        <item h="1" x="1188"/>
        <item h="1" x="600"/>
        <item h="1" x="566"/>
        <item h="1" x="452"/>
        <item h="1" x="37"/>
        <item h="1" x="1251"/>
        <item h="1" x="1032"/>
        <item h="1" x="830"/>
        <item h="1" x="1048"/>
        <item h="1" x="1267"/>
        <item h="1" x="990"/>
        <item h="1" x="638"/>
        <item h="1" x="409"/>
        <item h="1" x="142"/>
        <item h="1" x="132"/>
        <item h="1" x="145"/>
        <item h="1" x="91"/>
        <item h="1" x="976"/>
        <item h="1" x="588"/>
        <item h="1" x="1125"/>
        <item h="1" x="655"/>
        <item h="1" x="359"/>
        <item h="1" x="925"/>
        <item h="1" x="805"/>
        <item h="1" x="471"/>
        <item h="1" x="440"/>
        <item h="1" x="1214"/>
        <item h="1" x="334"/>
        <item h="1" x="329"/>
        <item h="1" x="372"/>
        <item h="1" x="851"/>
        <item h="1" x="722"/>
        <item h="1" x="1194"/>
        <item h="1" x="424"/>
        <item h="1" x="884"/>
        <item h="1" x="825"/>
        <item h="1" x="695"/>
        <item h="1" x="1001"/>
        <item h="1" x="560"/>
        <item h="1" x="432"/>
        <item h="1" x="792"/>
        <item h="1" x="967"/>
        <item h="1" x="378"/>
        <item h="1" x="689"/>
        <item h="1" x="1187"/>
        <item h="1" x="917"/>
        <item h="1" x="46"/>
        <item h="1" x="98"/>
        <item h="1" x="506"/>
        <item h="1" x="338"/>
        <item h="1" x="264"/>
        <item h="1" x="220"/>
        <item h="1" x="659"/>
        <item h="1" x="771"/>
        <item h="1" x="746"/>
        <item h="1" x="1151"/>
        <item h="1" x="759"/>
        <item h="1" x="130"/>
        <item h="1" x="1070"/>
        <item n="UNIMAR S.A" x="871"/>
        <item h="1" x="665"/>
        <item h="1" x="1056"/>
        <item h="1" x="1033"/>
        <item h="1" x="650"/>
        <item h="1" x="662"/>
        <item h="1" x="920"/>
        <item h="1" x="864"/>
        <item h="1" x="447"/>
        <item h="1" x="119"/>
        <item h="1" x="350"/>
        <item h="1" x="653"/>
        <item h="1" x="641"/>
        <item h="1" x="68"/>
        <item h="1" x="344"/>
        <item h="1" x="115"/>
        <item h="1" x="397"/>
        <item h="1" x="164"/>
        <item h="1" x="231"/>
        <item h="1" x="660"/>
        <item h="1" x="501"/>
        <item h="1" x="318"/>
        <item h="1" x="325"/>
        <item h="1" x="1072"/>
        <item h="1" x="125"/>
        <item h="1" x="1262"/>
        <item h="1" x="371"/>
        <item h="1" x="745"/>
        <item h="1" x="978"/>
        <item h="1" x="800"/>
        <item h="1" x="780"/>
        <item h="1" x="698"/>
        <item h="1" x="593"/>
        <item h="1" x="1118"/>
        <item h="1" x="1298"/>
        <item h="1" x="1198"/>
        <item h="1" x="748"/>
        <item h="1" x="460"/>
        <item h="1" x="1089"/>
        <item h="1" x="1101"/>
        <item h="1" x="596"/>
        <item h="1" x="828"/>
        <item h="1" x="915"/>
        <item h="1" x="1055"/>
        <item h="1" x="556"/>
        <item h="1" x="946"/>
        <item h="1" x="773"/>
        <item h="1" x="503"/>
        <item h="1" x="1051"/>
        <item h="1" x="730"/>
        <item h="1" x="17"/>
        <item h="1" x="1038"/>
        <item h="1" x="1295"/>
        <item h="1" x="1073"/>
        <item h="1" x="542"/>
        <item h="1" x="565"/>
        <item h="1" x="974"/>
        <item h="1" x="590"/>
        <item h="1" x="707"/>
        <item h="1" x="811"/>
        <item h="1" x="241"/>
        <item h="1" x="789"/>
        <item h="1" x="414"/>
        <item h="1" x="150"/>
        <item h="1" x="1104"/>
        <item h="1" x="775"/>
        <item h="1" x="487"/>
        <item h="1" x="429"/>
        <item h="1" x="1280"/>
        <item h="1" x="1237"/>
        <item h="1" x="71"/>
        <item h="1" x="1286"/>
        <item h="1" x="1259"/>
        <item h="1" x="483"/>
        <item h="1" x="1290"/>
        <item h="1" x="1059"/>
        <item h="1" x="568"/>
        <item h="1" x="421"/>
        <item h="1" x="873"/>
        <item h="1" x="196"/>
        <item h="1" x="1249"/>
        <item h="1" x="809"/>
        <item h="1" x="893"/>
        <item h="1" x="205"/>
        <item h="1" x="1053"/>
        <item h="1" x="950"/>
        <item h="1" x="1071"/>
        <item h="1" x="475"/>
        <item h="1" x="836"/>
        <item h="1" x="1031"/>
        <item h="1" x="1064"/>
        <item h="1" x="550"/>
        <item h="1" x="201"/>
        <item h="1" x="19"/>
        <item h="1" x="865"/>
        <item h="1" x="688"/>
        <item h="1" x="557"/>
        <item h="1" x="1083"/>
        <item h="1" x="834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t="default"/>
      </items>
    </pivotField>
  </pivotFields>
  <rowFields count="1">
    <field x="25"/>
  </rowFields>
  <rowItems count="3">
    <i>
      <x v="445"/>
    </i>
    <i>
      <x v="996"/>
    </i>
    <i t="grand">
      <x/>
    </i>
  </rowItems>
  <colItems count="1">
    <i/>
  </colItems>
  <pageFields count="3">
    <pageField fld="16" hier="-1"/>
    <pageField fld="15" hier="-1"/>
    <pageField fld="13" hier="-1"/>
  </pageFields>
  <dataFields count="1">
    <dataField name="Suma de Sum_Acum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8000000}" name="TablaDinámica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D16:E20" firstHeaderRow="1" firstDataRow="1" firstDataCol="1" rowPageCount="3" colPageCount="1"/>
  <pivotFields count="26">
    <pivotField numFmtId="14" showAl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7">
        <item x="0"/>
        <item h="1" x="3"/>
        <item h="1" x="2"/>
        <item h="1" x="1"/>
        <item h="1" x="4"/>
        <item h="1" x="5"/>
        <item t="default"/>
      </items>
    </pivotField>
    <pivotField showAll="0"/>
    <pivotField axis="axisPage" multipleItemSelectionAllowed="1" showAll="0">
      <items count="13">
        <item x="10"/>
        <item h="1" x="11"/>
        <item h="1" x="7"/>
        <item h="1" x="0"/>
        <item h="1" x="1"/>
        <item h="1" x="2"/>
        <item h="1" x="3"/>
        <item h="1" x="4"/>
        <item h="1" x="5"/>
        <item h="1" x="6"/>
        <item h="1" x="8"/>
        <item h="1" x="9"/>
        <item t="default"/>
      </items>
    </pivotField>
    <pivotField axis="axisPage" numFmtId="1" multipleItemSelectionAllowed="1" showAll="0">
      <items count="4">
        <item h="1" x="0"/>
        <item h="1" x="1"/>
        <item x="2"/>
        <item t="default"/>
      </items>
    </pivotField>
    <pivotField numFmtId="1" showAll="0"/>
    <pivotField dataField="1" showAll="0"/>
    <pivotField numFmtId="14" showAll="0"/>
    <pivotField showAll="0"/>
    <pivotField showAll="0"/>
    <pivotField showAll="0"/>
    <pivotField showAll="0"/>
    <pivotField showAll="0"/>
    <pivotField axis="axisRow" showAll="0">
      <items count="1425">
        <item h="1" x="1222"/>
        <item h="1" x="1263"/>
        <item h="1" x="10"/>
        <item h="1" x="441"/>
        <item h="1" x="1147"/>
        <item h="1" x="298"/>
        <item h="1" x="943"/>
        <item h="1" x="909"/>
        <item h="1" x="1234"/>
        <item h="1" x="769"/>
        <item h="1" x="515"/>
        <item h="1" x="177"/>
        <item h="1" x="720"/>
        <item h="1" x="627"/>
        <item h="1" x="1170"/>
        <item h="1" x="606"/>
        <item h="1" x="1174"/>
        <item h="1" x="1294"/>
        <item h="1" x="128"/>
        <item h="1" x="118"/>
        <item h="1" x="442"/>
        <item h="1" x="462"/>
        <item h="1" x="1239"/>
        <item h="1" x="209"/>
        <item h="1" x="498"/>
        <item h="1" x="1077"/>
        <item h="1" x="461"/>
        <item h="1" x="423"/>
        <item h="1" x="92"/>
        <item h="1" x="84"/>
        <item h="1" x="234"/>
        <item h="1" x="1145"/>
        <item h="1" x="510"/>
        <item h="1" x="816"/>
        <item h="1" x="420"/>
        <item h="1" x="489"/>
        <item h="1" x="120"/>
        <item h="1" x="301"/>
        <item h="1" x="612"/>
        <item h="1" x="968"/>
        <item h="1" x="289"/>
        <item h="1" x="980"/>
        <item h="1" x="791"/>
        <item h="1" x="413"/>
        <item h="1" x="353"/>
        <item h="1" x="268"/>
        <item h="1" x="215"/>
        <item h="1" x="444"/>
        <item h="1" x="70"/>
        <item h="1" x="1254"/>
        <item h="1" x="249"/>
        <item h="1" x="1223"/>
        <item h="1" x="149"/>
        <item h="1" x="319"/>
        <item h="1" x="874"/>
        <item h="1" x="997"/>
        <item h="1" x="239"/>
        <item h="1" x="1129"/>
        <item h="1" x="634"/>
        <item h="1" x="1116"/>
        <item h="1" x="360"/>
        <item h="1" x="364"/>
        <item h="1" x="191"/>
        <item h="1" x="1199"/>
        <item h="1" x="1078"/>
        <item h="1" x="670"/>
        <item h="1" x="246"/>
        <item h="1" x="525"/>
        <item h="1" x="664"/>
        <item h="1" x="308"/>
        <item h="1" x="960"/>
        <item h="1" x="754"/>
        <item h="1" x="710"/>
        <item h="1" x="144"/>
        <item h="1" x="1241"/>
        <item h="1" x="784"/>
        <item h="1" x="700"/>
        <item h="1" x="643"/>
        <item h="1" x="742"/>
        <item h="1" x="534"/>
        <item h="1" x="56"/>
        <item h="1" x="280"/>
        <item h="1" x="517"/>
        <item h="1" x="178"/>
        <item h="1" x="26"/>
        <item h="1" x="303"/>
        <item h="1" x="339"/>
        <item h="1" x="669"/>
        <item h="1" x="55"/>
        <item h="1" x="1196"/>
        <item h="1" x="126"/>
        <item h="1" x="337"/>
        <item h="1" x="152"/>
        <item h="1" x="369"/>
        <item h="1" x="454"/>
        <item h="1" x="267"/>
        <item h="1" x="1250"/>
        <item h="1" x="607"/>
        <item h="1" x="885"/>
        <item h="1" x="953"/>
        <item h="1" x="1221"/>
        <item h="1" x="140"/>
        <item h="1" x="7"/>
        <item h="1" x="347"/>
        <item h="1" x="1106"/>
        <item h="1" x="652"/>
        <item h="1" x="224"/>
        <item h="1" x="330"/>
        <item h="1" x="693"/>
        <item h="1" x="1275"/>
        <item h="1" x="1282"/>
        <item h="1" x="1220"/>
        <item h="1" x="939"/>
        <item h="1" x="1284"/>
        <item h="1" x="675"/>
        <item h="1" x="1049"/>
        <item h="1" x="1134"/>
        <item h="1" x="1268"/>
        <item h="1" x="918"/>
        <item h="1" x="761"/>
        <item h="1" x="1233"/>
        <item h="1" x="582"/>
        <item h="1" x="965"/>
        <item h="1" x="416"/>
        <item h="1" x="934"/>
        <item h="1" x="685"/>
        <item h="1" x="1102"/>
        <item h="1" x="1171"/>
        <item h="1" x="123"/>
        <item h="1" x="778"/>
        <item h="1" x="248"/>
        <item h="1" x="914"/>
        <item h="1" x="994"/>
        <item h="1" x="254"/>
        <item h="1" x="174"/>
        <item h="1" x="361"/>
        <item h="1" x="187"/>
        <item h="1" x="913"/>
        <item h="1" x="1278"/>
        <item h="1" x="25"/>
        <item h="1" x="324"/>
        <item h="1" x="1215"/>
        <item h="1" x="467"/>
        <item h="1" x="853"/>
        <item h="1" x="935"/>
        <item h="1" x="446"/>
        <item h="1" x="223"/>
        <item h="1" x="194"/>
        <item h="1" x="979"/>
        <item h="1" x="431"/>
        <item h="1" x="1093"/>
        <item h="1" x="842"/>
        <item h="1" x="936"/>
        <item h="1" x="1235"/>
        <item h="1" x="163"/>
        <item h="1" x="256"/>
        <item h="1" x="484"/>
        <item h="1" x="279"/>
        <item h="1" x="683"/>
        <item h="1" x="1110"/>
        <item h="1" x="1156"/>
        <item h="1" x="677"/>
        <item h="1" x="211"/>
        <item h="1" x="889"/>
        <item h="1" x="14"/>
        <item h="1" x="418"/>
        <item h="1" x="629"/>
        <item h="1" x="278"/>
        <item h="1" x="261"/>
        <item h="1" x="985"/>
        <item h="1" x="1273"/>
        <item h="1" x="963"/>
        <item h="1" x="406"/>
        <item h="1" x="766"/>
        <item h="1" x="713"/>
        <item h="1" x="1226"/>
        <item h="1" x="81"/>
        <item h="1" x="1021"/>
        <item h="1" x="1288"/>
        <item h="1" x="719"/>
        <item h="1" x="1019"/>
        <item h="1" x="891"/>
        <item h="1" x="890"/>
        <item h="1" x="333"/>
        <item h="1" x="672"/>
        <item h="1" x="1161"/>
        <item h="1" x="870"/>
        <item h="1" x="351"/>
        <item h="1" x="134"/>
        <item h="1" x="680"/>
        <item h="1" x="620"/>
        <item h="1" x="1087"/>
        <item h="1" x="1289"/>
        <item h="1" x="336"/>
        <item h="1" x="756"/>
        <item h="1" x="478"/>
        <item h="1" x="204"/>
        <item h="1" x="718"/>
        <item h="1" x="495"/>
        <item h="1" x="375"/>
        <item h="1" x="404"/>
        <item h="1" x="463"/>
        <item h="1" x="1256"/>
        <item h="1" x="299"/>
        <item h="1" x="1005"/>
        <item h="1" x="51"/>
        <item h="1" x="1074"/>
        <item h="1" x="507"/>
        <item h="1" x="449"/>
        <item h="1" x="456"/>
        <item h="1" x="1140"/>
        <item h="1" x="1166"/>
        <item h="1" x="282"/>
        <item h="1" x="206"/>
        <item h="1" x="412"/>
        <item h="1" x="243"/>
        <item h="1" x="832"/>
        <item h="1" x="644"/>
        <item h="1" x="737"/>
        <item h="1" x="546"/>
        <item h="1" x="647"/>
        <item h="1" x="648"/>
        <item h="1" x="1137"/>
        <item h="1" x="1075"/>
        <item h="1" x="715"/>
        <item h="1" x="135"/>
        <item h="1" x="1142"/>
        <item h="1" x="373"/>
        <item h="1" x="1126"/>
        <item h="1" x="342"/>
        <item h="1" x="433"/>
        <item h="1" x="981"/>
        <item h="1" x="381"/>
        <item h="1" x="579"/>
        <item h="1" x="1197"/>
        <item h="1" x="1014"/>
        <item h="1" x="818"/>
        <item h="1" x="1146"/>
        <item h="1" x="12"/>
        <item h="1" x="1225"/>
        <item h="1" x="966"/>
        <item h="1" x="1175"/>
        <item h="1" x="1162"/>
        <item h="1" x="605"/>
        <item h="1" x="969"/>
        <item h="1" x="106"/>
        <item h="1" x="311"/>
        <item h="1" x="716"/>
        <item h="1" x="349"/>
        <item h="1" x="1152"/>
        <item h="1" x="133"/>
        <item h="1" x="124"/>
        <item h="1" x="1138"/>
        <item h="1" x="1243"/>
        <item h="1" x="751"/>
        <item h="1" x="924"/>
        <item h="1" x="1203"/>
        <item h="1" x="514"/>
        <item h="1" x="352"/>
        <item h="1" x="1085"/>
        <item h="1" x="1154"/>
        <item h="1" x="1135"/>
        <item h="1" x="1213"/>
        <item h="1" x="259"/>
        <item h="1" x="574"/>
        <item h="1" x="114"/>
        <item h="1" x="793"/>
        <item h="1" x="932"/>
        <item h="1" x="1036"/>
        <item h="1" x="331"/>
        <item h="1" x="673"/>
        <item h="1" x="1107"/>
        <item h="1" x="1211"/>
        <item h="1" x="1086"/>
        <item h="1" x="434"/>
        <item h="1" x="102"/>
        <item h="1" x="104"/>
        <item h="1" x="1067"/>
        <item h="1" x="57"/>
        <item h="1" x="520"/>
        <item h="1" x="869"/>
        <item h="1" x="702"/>
        <item h="1" x="1285"/>
        <item h="1" x="63"/>
        <item h="1" x="561"/>
        <item h="1" x="631"/>
        <item h="1" x="970"/>
        <item h="1" x="947"/>
        <item h="1" x="1240"/>
        <item h="1" x="535"/>
        <item h="1" x="867"/>
        <item h="1" x="1150"/>
        <item h="1" x="340"/>
        <item h="1" x="296"/>
        <item h="1" x="443"/>
        <item h="1" x="383"/>
        <item h="1" x="810"/>
        <item h="1" x="87"/>
        <item h="1" x="989"/>
        <item h="1" x="385"/>
        <item h="1" x="122"/>
        <item h="1" x="1153"/>
        <item h="1" x="1096"/>
        <item h="1" x="390"/>
        <item h="1" x="982"/>
        <item h="1" x="1232"/>
        <item h="1" x="747"/>
        <item h="1" x="984"/>
        <item h="1" x="563"/>
        <item h="1" x="562"/>
        <item h="1" x="973"/>
        <item h="1" x="975"/>
        <item h="1" x="826"/>
        <item h="1" x="52"/>
        <item h="1" x="1218"/>
        <item h="1" x="628"/>
        <item h="1" x="529"/>
        <item h="1" x="76"/>
        <item h="1" x="570"/>
        <item h="1" x="594"/>
        <item h="1" x="613"/>
        <item h="1" x="270"/>
        <item h="1" x="183"/>
        <item h="1" x="79"/>
        <item h="1" x="896"/>
        <item h="1" x="1179"/>
        <item h="1" x="1043"/>
        <item h="1" x="1105"/>
        <item h="1" x="831"/>
        <item h="1" x="233"/>
        <item h="1" x="1023"/>
        <item h="1" x="651"/>
        <item h="1" x="1066"/>
        <item h="1" x="589"/>
        <item h="1" x="396"/>
        <item h="1" x="1013"/>
        <item h="1" x="988"/>
        <item h="1" x="957"/>
        <item h="1" x="788"/>
        <item h="1" x="508"/>
        <item h="1" x="905"/>
        <item h="1" x="1292"/>
        <item h="1" x="1022"/>
        <item h="1" x="1065"/>
        <item h="1" x="173"/>
        <item h="1" x="1039"/>
        <item h="1" x="323"/>
        <item h="1" x="251"/>
        <item h="1" x="4"/>
        <item h="1" x="1094"/>
        <item h="1" x="857"/>
        <item h="1" x="151"/>
        <item h="1" x="1143"/>
        <item h="1" x="1246"/>
        <item h="1" x="1172"/>
        <item h="1" x="181"/>
        <item h="1" x="281"/>
        <item h="1" x="230"/>
        <item h="1" x="586"/>
        <item h="1" x="916"/>
        <item h="1" x="614"/>
        <item h="1" x="176"/>
        <item h="1" x="944"/>
        <item h="1" x="394"/>
        <item h="1" x="1034"/>
        <item h="1" x="706"/>
        <item h="1" x="861"/>
        <item h="1" x="694"/>
        <item h="1" x="1228"/>
        <item h="1" x="314"/>
        <item h="1" x="815"/>
        <item h="1" x="1028"/>
        <item h="1" x="806"/>
        <item h="1" x="105"/>
        <item h="1" x="354"/>
        <item h="1" x="238"/>
        <item h="1" x="1193"/>
        <item h="1" x="580"/>
        <item h="1" x="1082"/>
        <item h="1" x="608"/>
        <item h="1" x="536"/>
        <item h="1" x="1095"/>
        <item h="1" x="395"/>
        <item h="1" x="847"/>
        <item h="1" x="750"/>
        <item h="1" x="621"/>
        <item h="1" x="622"/>
        <item h="1" x="1183"/>
        <item h="1" x="108"/>
        <item h="1" x="1255"/>
        <item h="1" x="34"/>
        <item h="1" x="1017"/>
        <item h="1" x="1063"/>
        <item h="1" x="1210"/>
        <item h="1" x="1042"/>
        <item h="1" x="365"/>
        <item h="1" x="991"/>
        <item h="1" x="218"/>
        <item h="1" x="639"/>
        <item h="1" x="1058"/>
        <item h="1" x="1018"/>
        <item h="1" x="1217"/>
        <item h="1" x="1271"/>
        <item h="1" x="798"/>
        <item h="1" x="555"/>
        <item h="1" x="1260"/>
        <item h="1" x="839"/>
        <item h="1" x="199"/>
        <item h="1" x="494"/>
        <item h="1" x="882"/>
        <item h="1" x="93"/>
        <item h="1" x="391"/>
        <item h="1" x="154"/>
        <item h="1" x="74"/>
        <item h="1" x="954"/>
        <item h="1" x="752"/>
        <item h="1" x="573"/>
        <item h="1" x="312"/>
        <item h="1" x="1069"/>
        <item h="1" x="1080"/>
        <item h="1" x="616"/>
        <item h="1" x="671"/>
        <item h="1" x="908"/>
        <item h="1" x="524"/>
        <item h="1" x="923"/>
        <item h="1" x="399"/>
        <item h="1" x="1247"/>
        <item h="1" x="674"/>
        <item h="1" x="808"/>
        <item h="1" x="649"/>
        <item h="1" x="288"/>
        <item h="1" x="587"/>
        <item h="1" x="786"/>
        <item h="1" x="749"/>
        <item h="1" x="1190"/>
        <item h="1" x="388"/>
        <item h="1" x="72"/>
        <item h="1" x="117"/>
        <item h="1" x="941"/>
        <item h="1" x="1159"/>
        <item h="1" x="1111"/>
        <item h="1" x="59"/>
        <item h="1" x="387"/>
        <item h="1" x="1057"/>
        <item h="1" x="90"/>
        <item x="48"/>
        <item h="1" x="78"/>
        <item h="1" x="903"/>
        <item h="1" x="66"/>
        <item h="1" x="995"/>
        <item h="1" x="1088"/>
        <item h="1" x="245"/>
        <item h="1" x="1272"/>
        <item h="1" x="714"/>
        <item h="1" x="110"/>
        <item h="1" x="1180"/>
        <item h="1" x="657"/>
        <item h="1" x="271"/>
        <item h="1" x="417"/>
        <item h="1" x="44"/>
        <item h="1" x="322"/>
        <item h="1" x="1117"/>
        <item h="1" x="523"/>
        <item h="1" x="36"/>
        <item h="1" x="54"/>
        <item h="1" x="1192"/>
        <item h="1" x="317"/>
        <item h="1" x="1283"/>
        <item h="1" x="166"/>
        <item h="1" x="772"/>
        <item h="1" x="497"/>
        <item h="1" x="175"/>
        <item h="1" x="357"/>
        <item h="1" x="170"/>
        <item h="1" x="1149"/>
        <item h="1" x="82"/>
        <item h="1" x="453"/>
        <item h="1" x="358"/>
        <item h="1" x="470"/>
        <item h="1" x="284"/>
        <item h="1" x="389"/>
        <item h="1" x="687"/>
        <item h="1" x="505"/>
        <item h="1" x="699"/>
        <item h="1" x="427"/>
        <item h="1" x="743"/>
        <item h="1" x="1119"/>
        <item h="1" x="559"/>
        <item h="1" x="473"/>
        <item h="1" x="160"/>
        <item h="1" x="1230"/>
        <item h="1" x="1204"/>
        <item h="1" x="733"/>
        <item h="1" x="827"/>
        <item h="1" x="735"/>
        <item h="1" x="1130"/>
        <item h="1" x="435"/>
        <item h="1" x="355"/>
        <item h="1" x="910"/>
        <item h="1" x="945"/>
        <item h="1" x="1242"/>
        <item h="1" x="1200"/>
        <item h="1" x="922"/>
        <item h="1" x="67"/>
        <item h="1" x="147"/>
        <item h="1" x="141"/>
        <item h="1" x="676"/>
        <item h="1" x="182"/>
        <item h="1" x="817"/>
        <item h="1" x="1201"/>
        <item h="1" x="22"/>
        <item h="1" x="678"/>
        <item h="1" x="940"/>
        <item h="1" x="948"/>
        <item h="1" x="61"/>
        <item h="1" x="928"/>
        <item h="1" x="599"/>
        <item h="1" x="258"/>
        <item h="1" x="1113"/>
        <item h="1" x="362"/>
        <item h="1" x="15"/>
        <item h="1" x="1173"/>
        <item h="1" x="1264"/>
        <item h="1" x="1004"/>
        <item h="1" x="575"/>
        <item h="1" x="886"/>
        <item h="1" x="131"/>
        <item h="1" x="691"/>
        <item h="1" x="1099"/>
        <item h="1" x="60"/>
        <item h="1" x="1090"/>
        <item h="1" x="129"/>
        <item h="1" x="703"/>
        <item h="1" x="642"/>
        <item h="1" x="1287"/>
        <item h="1" x="1025"/>
        <item h="1" x="221"/>
        <item h="1" x="465"/>
        <item h="1" x="1007"/>
        <item h="1" x="398"/>
        <item h="1" x="236"/>
        <item h="1" x="335"/>
        <item h="1" x="1098"/>
        <item h="1" x="426"/>
        <item h="1" x="822"/>
        <item h="1" x="661"/>
        <item h="1" x="1229"/>
        <item h="1" x="1244"/>
        <item h="1" x="1182"/>
        <item h="1" x="64"/>
        <item h="1" x="955"/>
        <item h="1" x="850"/>
        <item h="1" x="179"/>
        <item h="1" x="887"/>
        <item h="1" x="615"/>
        <item h="1" x="592"/>
        <item h="1" x="610"/>
        <item h="1" x="376"/>
        <item h="1" x="161"/>
        <item h="1" x="1266"/>
        <item h="1" x="450"/>
        <item h="1" x="65"/>
        <item h="1" x="1158"/>
        <item h="1" x="1103"/>
        <item h="1" x="768"/>
        <item h="1" x="302"/>
        <item h="1" x="656"/>
        <item h="1" x="667"/>
        <item h="1" x="1297"/>
        <item h="1" x="895"/>
        <item h="1" x="1169"/>
        <item h="1" x="21"/>
        <item h="1" x="548"/>
        <item h="1" x="486"/>
        <item h="1" x="1052"/>
        <item h="1" x="987"/>
        <item h="1" x="585"/>
        <item h="1" x="291"/>
        <item h="1" x="602"/>
        <item h="1" x="89"/>
        <item h="1" x="99"/>
        <item h="1" x="949"/>
        <item h="1" x="696"/>
        <item h="1" x="704"/>
        <item h="1" x="1131"/>
        <item h="1" x="8"/>
        <item h="1" x="513"/>
        <item h="1" x="838"/>
        <item x="157"/>
        <item h="1" x="1100"/>
        <item h="1" x="624"/>
        <item h="1" x="1132"/>
        <item h="1" x="814"/>
        <item h="1" x="930"/>
        <item h="1" x="801"/>
        <item h="1" x="872"/>
        <item h="1" x="9"/>
        <item h="1" x="113"/>
        <item h="1" x="5"/>
        <item h="1" x="1000"/>
        <item h="1" x="73"/>
        <item h="1" x="16"/>
        <item h="1" x="111"/>
        <item h="1" x="380"/>
        <item h="1" x="97"/>
        <item h="1" x="755"/>
        <item h="1" x="458"/>
        <item h="1" x="1068"/>
        <item h="1" x="1164"/>
        <item h="1" x="1167"/>
        <item h="1" x="69"/>
        <item h="1" x="39"/>
        <item h="1" x="1040"/>
        <item h="1" x="1054"/>
        <item h="1" x="112"/>
        <item h="1" x="439"/>
        <item h="1" x="202"/>
        <item h="1" x="229"/>
        <item h="1" x="316"/>
        <item h="1" x="1274"/>
        <item h="1" x="1296"/>
        <item h="1" x="637"/>
        <item h="1" x="276"/>
        <item h="1" x="777"/>
        <item h="1" x="877"/>
        <item h="1" x="1258"/>
        <item h="1" x="96"/>
        <item h="1" x="927"/>
        <item h="1" x="504"/>
        <item h="1" x="1109"/>
        <item h="1" x="1157"/>
        <item h="1" x="783"/>
        <item h="1" x="321"/>
        <item h="1" x="526"/>
        <item h="1" x="169"/>
        <item h="1" x="681"/>
        <item h="1" x="300"/>
        <item h="1" x="292"/>
        <item h="1" x="53"/>
        <item h="1" x="658"/>
        <item h="1" x="764"/>
        <item h="1" x="491"/>
        <item h="1" x="785"/>
        <item h="1" x="1079"/>
        <item h="1" x="50"/>
        <item h="1" x="1279"/>
        <item h="1" x="547"/>
        <item h="1" x="38"/>
        <item h="1" x="635"/>
        <item h="1" x="315"/>
        <item h="1" x="1231"/>
        <item h="1" x="668"/>
        <item h="1" x="726"/>
        <item h="1" x="952"/>
        <item h="1" x="1122"/>
        <item h="1" x="58"/>
        <item h="1" x="148"/>
        <item h="1" x="1123"/>
        <item h="1" x="604"/>
        <item h="1" x="294"/>
        <item h="1" x="854"/>
        <item h="1" x="225"/>
        <item h="1" x="269"/>
        <item h="1" x="190"/>
        <item h="1" x="1010"/>
        <item h="1" x="959"/>
        <item h="1" x="729"/>
        <item h="1" x="623"/>
        <item h="1" x="457"/>
        <item h="1" x="758"/>
        <item h="1" x="868"/>
        <item h="1" x="1008"/>
        <item h="1" x="977"/>
        <item h="1" x="794"/>
        <item h="1" x="1185"/>
        <item h="1" x="1202"/>
        <item h="1" x="137"/>
        <item h="1" x="757"/>
        <item h="1" x="686"/>
        <item h="1" x="136"/>
        <item h="1" x="2"/>
        <item h="1" x="521"/>
        <item h="1" x="646"/>
        <item h="1" x="625"/>
        <item h="1" x="437"/>
        <item h="1" x="1209"/>
        <item h="1" x="1206"/>
        <item h="1" x="1144"/>
        <item h="1" x="293"/>
        <item h="1" x="500"/>
        <item h="1" x="1189"/>
        <item h="1" x="1205"/>
        <item h="1" x="833"/>
        <item h="1" x="1168"/>
        <item h="1" x="1046"/>
        <item h="1" x="75"/>
        <item h="1" x="422"/>
        <item h="1" x="1002"/>
        <item h="1" x="1219"/>
        <item h="1" x="116"/>
        <item h="1" x="139"/>
        <item h="1" x="532"/>
        <item h="1" x="379"/>
        <item h="1" x="445"/>
        <item h="1" x="883"/>
        <item h="1" x="210"/>
        <item h="1" x="47"/>
        <item h="1" x="222"/>
        <item h="1" x="956"/>
        <item h="1" x="213"/>
        <item h="1" x="823"/>
        <item h="1" x="1269"/>
        <item h="1" x="736"/>
        <item h="1" x="901"/>
        <item h="1" x="24"/>
        <item h="1" x="27"/>
        <item h="1" x="912"/>
        <item h="1" x="844"/>
        <item h="1" x="405"/>
        <item h="1" x="712"/>
        <item h="1" x="767"/>
        <item h="1" x="551"/>
        <item h="1" x="879"/>
        <item h="1" x="717"/>
        <item h="1" x="103"/>
        <item h="1" x="368"/>
        <item h="1" x="1270"/>
        <item h="1" x="1245"/>
        <item h="1" x="262"/>
        <item h="1" x="1160"/>
        <item h="1" x="283"/>
        <item h="1" x="290"/>
        <item h="1" x="512"/>
        <item h="1" x="1141"/>
        <item h="1" x="1139"/>
        <item h="1" x="892"/>
        <item h="1" x="633"/>
        <item h="1" x="1029"/>
        <item h="1" x="875"/>
        <item h="1" x="572"/>
        <item h="1" x="519"/>
        <item h="1" x="153"/>
        <item h="1" x="217"/>
        <item h="1" x="310"/>
        <item h="1" x="898"/>
        <item h="1" x="401"/>
        <item h="1" x="306"/>
        <item h="1" x="346"/>
        <item h="1" x="1112"/>
        <item h="1" x="1011"/>
        <item h="1" x="260"/>
        <item h="1" x="1037"/>
        <item h="1" x="367"/>
        <item h="1" x="711"/>
        <item h="1" x="983"/>
        <item h="1" x="219"/>
        <item h="1" x="902"/>
        <item h="1" x="1062"/>
        <item h="1" x="725"/>
        <item h="1" x="971"/>
        <item h="1" x="255"/>
        <item h="1" x="1121"/>
        <item h="1" x="732"/>
        <item h="1" x="1293"/>
        <item h="1" x="474"/>
        <item h="1" x="779"/>
        <item h="1" x="477"/>
        <item h="1" x="180"/>
        <item h="1" x="1091"/>
        <item h="1" x="1016"/>
        <item h="1" x="705"/>
        <item h="1" x="692"/>
        <item h="1" x="527"/>
        <item h="1" x="632"/>
        <item h="1" x="41"/>
        <item h="1" x="165"/>
        <item h="1" x="94"/>
        <item h="1" x="856"/>
        <item h="1" x="1026"/>
        <item h="1" x="95"/>
        <item h="1" x="577"/>
        <item h="1" x="1127"/>
        <item h="1" x="763"/>
        <item h="1" x="595"/>
        <item h="1" x="739"/>
        <item h="1" x="496"/>
        <item h="1" x="881"/>
        <item h="1" x="782"/>
        <item h="1" x="866"/>
        <item h="1" x="1124"/>
        <item h="1" x="509"/>
        <item h="1" x="1061"/>
        <item h="1" x="929"/>
        <item h="1" x="392"/>
        <item h="1" x="1006"/>
        <item h="1" x="313"/>
        <item h="1" x="197"/>
        <item h="1" x="1227"/>
        <item h="1" x="1012"/>
        <item h="1" x="824"/>
        <item h="1" x="85"/>
        <item h="1" x="1277"/>
        <item h="1" x="286"/>
        <item h="1" x="894"/>
        <item h="1" x="753"/>
        <item h="1" x="13"/>
        <item h="1" x="411"/>
        <item h="1" x="835"/>
        <item h="1" x="499"/>
        <item h="1" x="1181"/>
        <item h="1" x="921"/>
        <item h="1" x="272"/>
        <item h="1" x="552"/>
        <item h="1" x="402"/>
        <item h="1" x="143"/>
        <item h="1" x="297"/>
        <item h="1" x="1084"/>
        <item h="1" x="481"/>
        <item h="1" x="459"/>
        <item h="1" x="601"/>
        <item h="1" x="277"/>
        <item h="1" x="237"/>
        <item h="1" x="1177"/>
        <item h="1" x="958"/>
        <item h="1" x="1281"/>
        <item h="1" x="305"/>
        <item h="1" x="419"/>
        <item h="1" x="797"/>
        <item h="1" x="18"/>
        <item h="1" x="626"/>
        <item h="1" x="138"/>
        <item h="1" x="859"/>
        <item h="1" x="567"/>
        <item h="1" x="933"/>
        <item h="1" x="576"/>
        <item h="1" x="852"/>
        <item h="1" x="263"/>
        <item h="1" x="998"/>
        <item h="1" x="603"/>
        <item h="1" x="543"/>
        <item h="1" x="849"/>
        <item h="1" x="466"/>
        <item h="1" x="734"/>
        <item h="1" x="760"/>
        <item h="1" x="30"/>
        <item h="1" x="86"/>
        <item h="1" x="804"/>
        <item h="1" x="107"/>
        <item h="1" x="846"/>
        <item h="1" x="774"/>
        <item h="1" x="226"/>
        <item h="1" x="522"/>
        <item h="1" x="156"/>
        <item h="1" x="919"/>
        <item h="1" x="1015"/>
        <item h="1" x="796"/>
        <item h="1" x="690"/>
        <item h="1" x="802"/>
        <item h="1" x="0"/>
        <item h="1" x="1184"/>
        <item h="1" x="511"/>
        <item h="1" x="803"/>
        <item h="1" x="1148"/>
        <item h="1" x="195"/>
        <item h="1" x="252"/>
        <item h="1" x="630"/>
        <item h="1" x="184"/>
        <item h="1" x="320"/>
        <item h="1" x="1257"/>
        <item h="1" x="480"/>
        <item h="1" x="571"/>
        <item h="1" x="186"/>
        <item h="1" x="80"/>
        <item h="1" x="697"/>
        <item h="1" x="598"/>
        <item h="1" x="738"/>
        <item h="1" x="549"/>
        <item h="1" x="1238"/>
        <item h="1" x="1248"/>
        <item h="1" x="781"/>
        <item h="1" x="1155"/>
        <item h="1" x="942"/>
        <item h="1" x="146"/>
        <item h="1" x="897"/>
        <item h="1" x="189"/>
        <item h="1" x="1236"/>
        <item h="1" x="744"/>
        <item h="1" x="1081"/>
        <item h="1" x="530"/>
        <item h="1" x="541"/>
        <item h="1" x="682"/>
        <item h="1" x="528"/>
        <item h="1" x="374"/>
        <item h="1" x="1120"/>
        <item h="1" x="840"/>
        <item h="1" x="1041"/>
        <item h="1" x="240"/>
        <item h="1" x="168"/>
        <item h="1" x="880"/>
        <item h="1" x="1045"/>
        <item h="1" x="843"/>
        <item h="1" x="192"/>
        <item h="1" x="727"/>
        <item h="1" x="1224"/>
        <item h="1" x="740"/>
        <item h="1" x="6"/>
        <item h="1" x="345"/>
        <item h="1" x="1276"/>
        <item h="1" x="162"/>
        <item h="1" x="962"/>
        <item h="1" x="787"/>
        <item h="1" x="862"/>
        <item h="1" x="611"/>
        <item h="1" x="448"/>
        <item h="1" x="790"/>
        <item h="1" x="837"/>
        <item h="1" x="1024"/>
        <item h="1" x="1092"/>
        <item h="1" x="931"/>
        <item h="1" x="1060"/>
        <item h="1" x="33"/>
        <item h="1" x="581"/>
        <item h="1" x="762"/>
        <item h="1" x="482"/>
        <item h="1" x="829"/>
        <item h="1" x="741"/>
        <item h="1" x="476"/>
        <item h="1" x="485"/>
        <item h="1" x="1195"/>
        <item h="1" x="193"/>
        <item h="1" x="488"/>
        <item h="1" x="964"/>
        <item h="1" x="900"/>
        <item h="1" x="539"/>
        <item h="1" x="819"/>
        <item h="1" x="101"/>
        <item h="1" x="1030"/>
        <item h="1" x="858"/>
        <item h="1" x="109"/>
        <item h="1" x="558"/>
        <item h="1" x="363"/>
        <item h="1" x="795"/>
        <item h="1" x="88"/>
        <item h="1" x="516"/>
        <item h="1" x="578"/>
        <item h="1" x="155"/>
        <item h="1" x="554"/>
        <item h="1" x="1114"/>
        <item h="1" x="996"/>
        <item h="1" x="1035"/>
        <item h="1" x="408"/>
        <item h="1" x="564"/>
        <item h="1" x="377"/>
        <item h="1" x="899"/>
        <item h="1" x="200"/>
        <item h="1" x="49"/>
        <item h="1" x="636"/>
        <item h="1" x="863"/>
        <item h="1" x="159"/>
        <item h="1" x="479"/>
        <item h="1" x="728"/>
        <item h="1" x="332"/>
        <item h="1" x="855"/>
        <item h="1" x="472"/>
        <item h="1" x="938"/>
        <item h="1" x="1186"/>
        <item h="1" x="538"/>
        <item h="1" x="127"/>
        <item h="1" x="807"/>
        <item h="1" x="227"/>
        <item h="1" x="1044"/>
        <item h="1" x="609"/>
        <item h="1" x="584"/>
        <item h="1" x="1252"/>
        <item h="1" x="876"/>
        <item h="1" x="1165"/>
        <item h="1" x="326"/>
        <item h="1" x="77"/>
        <item h="1" x="45"/>
        <item h="1" x="1191"/>
        <item h="1" x="242"/>
        <item h="1" x="275"/>
        <item h="1" x="356"/>
        <item h="1" x="1163"/>
        <item h="1" x="285"/>
        <item h="1" x="370"/>
        <item h="1" x="724"/>
        <item h="1" x="3"/>
        <item h="1" x="860"/>
        <item h="1" x="265"/>
        <item h="1" x="679"/>
        <item h="1" x="684"/>
        <item h="1" x="393"/>
        <item h="1" x="32"/>
        <item h="1" x="35"/>
        <item h="1" x="382"/>
        <item x="999"/>
        <item h="1" x="438"/>
        <item h="1" x="436"/>
        <item h="1" x="888"/>
        <item h="1" x="341"/>
        <item h="1" x="654"/>
        <item h="1" x="415"/>
        <item h="1" x="531"/>
        <item h="1" x="540"/>
        <item h="1" x="701"/>
        <item h="1" x="274"/>
        <item h="1" x="468"/>
        <item h="1" x="167"/>
        <item h="1" x="386"/>
        <item h="1" x="1"/>
        <item h="1" x="1291"/>
        <item h="1" x="31"/>
        <item h="1" x="993"/>
        <item h="1" x="776"/>
        <item h="1" x="640"/>
        <item h="1" x="266"/>
        <item h="1" x="1253"/>
        <item h="1" x="545"/>
        <item h="1" x="20"/>
        <item h="1" x="403"/>
        <item h="1" x="366"/>
        <item h="1" x="845"/>
        <item h="1" x="172"/>
        <item h="1" x="926"/>
        <item h="1" x="214"/>
        <item h="1" x="309"/>
        <item h="1" x="666"/>
        <item h="1" x="992"/>
        <item h="1" x="1020"/>
        <item h="1" x="158"/>
        <item h="1" x="1178"/>
        <item h="1" x="1261"/>
        <item h="1" x="544"/>
        <item h="1" x="721"/>
        <item h="1" x="250"/>
        <item h="1" x="430"/>
        <item h="1" x="253"/>
        <item h="1" x="207"/>
        <item h="1" x="328"/>
        <item h="1" x="11"/>
        <item h="1" x="723"/>
        <item h="1" x="986"/>
        <item h="1" x="1047"/>
        <item h="1" x="597"/>
        <item h="1" x="304"/>
        <item h="1" x="618"/>
        <item h="1" x="1009"/>
        <item h="1" x="709"/>
        <item h="1" x="428"/>
        <item h="1" x="951"/>
        <item h="1" x="1076"/>
        <item h="1" x="591"/>
        <item h="1" x="1108"/>
        <item h="1" x="937"/>
        <item h="1" x="43"/>
        <item h="1" x="1097"/>
        <item h="1" x="799"/>
        <item h="1" x="617"/>
        <item h="1" x="1115"/>
        <item h="1" x="904"/>
        <item h="1" x="731"/>
        <item h="1" x="619"/>
        <item h="1" x="425"/>
        <item h="1" x="1050"/>
        <item h="1" x="185"/>
        <item h="1" x="455"/>
        <item h="1" x="907"/>
        <item h="1" x="583"/>
        <item h="1" x="216"/>
        <item h="1" x="708"/>
        <item h="1" x="841"/>
        <item h="1" x="257"/>
        <item h="1" x="813"/>
        <item h="1" x="40"/>
        <item h="1" x="400"/>
        <item h="1" x="1207"/>
        <item h="1" x="911"/>
        <item h="1" x="410"/>
        <item h="1" x="212"/>
        <item h="1" x="407"/>
        <item h="1" x="273"/>
        <item h="1" x="1128"/>
        <item h="1" x="553"/>
        <item h="1" x="287"/>
        <item h="1" x="812"/>
        <item h="1" x="1133"/>
        <item h="1" x="171"/>
        <item h="1" x="464"/>
        <item h="1" x="198"/>
        <item h="1" x="1265"/>
        <item h="1" x="469"/>
        <item h="1" x="1208"/>
        <item h="1" x="533"/>
        <item h="1" x="1027"/>
        <item h="1" x="1176"/>
        <item h="1" x="493"/>
        <item h="1" x="492"/>
        <item h="1" x="348"/>
        <item h="1" x="343"/>
        <item h="1" x="569"/>
        <item h="1" x="820"/>
        <item h="1" x="1216"/>
        <item h="1" x="307"/>
        <item h="1" x="821"/>
        <item h="1" x="62"/>
        <item h="1" x="295"/>
        <item h="1" x="1003"/>
        <item h="1" x="972"/>
        <item h="1" x="244"/>
        <item h="1" x="645"/>
        <item h="1" x="83"/>
        <item h="1" x="28"/>
        <item h="1" x="121"/>
        <item h="1" x="42"/>
        <item h="1" x="29"/>
        <item h="1" x="384"/>
        <item h="1" x="518"/>
        <item h="1" x="451"/>
        <item h="1" x="100"/>
        <item h="1" x="247"/>
        <item h="1" x="848"/>
        <item h="1" x="1136"/>
        <item h="1" x="537"/>
        <item h="1" x="208"/>
        <item h="1" x="232"/>
        <item h="1" x="961"/>
        <item h="1" x="906"/>
        <item h="1" x="878"/>
        <item h="1" x="23"/>
        <item h="1" x="228"/>
        <item h="1" x="1212"/>
        <item h="1" x="235"/>
        <item h="1" x="770"/>
        <item h="1" x="327"/>
        <item h="1" x="188"/>
        <item h="1" x="765"/>
        <item h="1" x="663"/>
        <item h="1" x="203"/>
        <item h="1" x="490"/>
        <item h="1" x="502"/>
        <item h="1" x="1188"/>
        <item h="1" x="600"/>
        <item h="1" x="566"/>
        <item h="1" x="452"/>
        <item h="1" x="37"/>
        <item h="1" x="1251"/>
        <item h="1" x="1032"/>
        <item h="1" x="830"/>
        <item h="1" x="1048"/>
        <item h="1" x="1267"/>
        <item h="1" x="990"/>
        <item h="1" x="638"/>
        <item h="1" x="409"/>
        <item h="1" x="142"/>
        <item h="1" x="132"/>
        <item h="1" x="145"/>
        <item h="1" x="91"/>
        <item h="1" x="976"/>
        <item h="1" x="588"/>
        <item h="1" x="1125"/>
        <item h="1" x="655"/>
        <item h="1" x="359"/>
        <item h="1" x="925"/>
        <item h="1" x="805"/>
        <item h="1" x="471"/>
        <item h="1" x="440"/>
        <item h="1" x="1214"/>
        <item h="1" x="334"/>
        <item h="1" x="329"/>
        <item h="1" x="372"/>
        <item h="1" x="851"/>
        <item h="1" x="722"/>
        <item h="1" x="1194"/>
        <item h="1" x="424"/>
        <item h="1" x="884"/>
        <item h="1" x="825"/>
        <item h="1" x="695"/>
        <item h="1" x="1001"/>
        <item h="1" x="560"/>
        <item h="1" x="432"/>
        <item h="1" x="792"/>
        <item h="1" x="967"/>
        <item h="1" x="378"/>
        <item h="1" x="689"/>
        <item h="1" x="1187"/>
        <item h="1" x="917"/>
        <item h="1" x="46"/>
        <item h="1" x="98"/>
        <item h="1" x="506"/>
        <item h="1" x="338"/>
        <item h="1" x="264"/>
        <item h="1" x="220"/>
        <item h="1" x="659"/>
        <item h="1" x="771"/>
        <item h="1" x="746"/>
        <item h="1" x="1151"/>
        <item h="1" x="759"/>
        <item h="1" x="130"/>
        <item h="1" x="1070"/>
        <item x="871"/>
        <item h="1" x="665"/>
        <item h="1" x="1056"/>
        <item h="1" x="1033"/>
        <item h="1" x="650"/>
        <item h="1" x="662"/>
        <item h="1" x="920"/>
        <item h="1" x="864"/>
        <item h="1" x="447"/>
        <item h="1" x="119"/>
        <item h="1" x="350"/>
        <item h="1" x="653"/>
        <item h="1" x="641"/>
        <item h="1" x="68"/>
        <item h="1" x="344"/>
        <item h="1" x="115"/>
        <item h="1" x="397"/>
        <item h="1" x="164"/>
        <item h="1" x="231"/>
        <item h="1" x="660"/>
        <item h="1" x="501"/>
        <item h="1" x="318"/>
        <item h="1" x="325"/>
        <item h="1" x="1072"/>
        <item h="1" x="125"/>
        <item h="1" x="1262"/>
        <item h="1" x="371"/>
        <item h="1" x="745"/>
        <item h="1" x="978"/>
        <item h="1" x="800"/>
        <item h="1" x="780"/>
        <item h="1" x="698"/>
        <item h="1" x="593"/>
        <item h="1" x="1118"/>
        <item h="1" x="1298"/>
        <item h="1" x="1198"/>
        <item h="1" x="748"/>
        <item h="1" x="460"/>
        <item h="1" x="1089"/>
        <item h="1" x="1101"/>
        <item h="1" x="596"/>
        <item h="1" x="828"/>
        <item h="1" x="915"/>
        <item h="1" x="1055"/>
        <item h="1" x="556"/>
        <item h="1" x="946"/>
        <item h="1" x="773"/>
        <item h="1" x="503"/>
        <item h="1" x="1051"/>
        <item h="1" x="730"/>
        <item h="1" x="17"/>
        <item h="1" x="1038"/>
        <item h="1" x="1295"/>
        <item h="1" x="1073"/>
        <item h="1" x="542"/>
        <item h="1" x="565"/>
        <item h="1" x="974"/>
        <item h="1" x="590"/>
        <item h="1" x="707"/>
        <item h="1" x="811"/>
        <item h="1" x="241"/>
        <item h="1" x="789"/>
        <item h="1" x="414"/>
        <item h="1" x="150"/>
        <item h="1" x="1104"/>
        <item h="1" x="775"/>
        <item h="1" x="487"/>
        <item h="1" x="429"/>
        <item h="1" x="1280"/>
        <item h="1" x="1237"/>
        <item h="1" x="71"/>
        <item h="1" x="1286"/>
        <item h="1" x="1259"/>
        <item h="1" x="483"/>
        <item h="1" x="1290"/>
        <item h="1" x="1059"/>
        <item h="1" x="568"/>
        <item h="1" x="421"/>
        <item h="1" x="873"/>
        <item h="1" x="196"/>
        <item h="1" x="1249"/>
        <item h="1" x="809"/>
        <item h="1" x="893"/>
        <item h="1" x="205"/>
        <item h="1" x="1053"/>
        <item h="1" x="950"/>
        <item h="1" x="1071"/>
        <item h="1" x="475"/>
        <item h="1" x="836"/>
        <item h="1" x="1031"/>
        <item h="1" x="1064"/>
        <item h="1" x="550"/>
        <item h="1" x="201"/>
        <item h="1" x="19"/>
        <item h="1" x="865"/>
        <item h="1" x="688"/>
        <item h="1" x="557"/>
        <item h="1" x="1083"/>
        <item h="1" x="834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t="default"/>
      </items>
    </pivotField>
  </pivotFields>
  <rowFields count="1">
    <field x="25"/>
  </rowFields>
  <rowItems count="4">
    <i>
      <x v="588"/>
    </i>
    <i>
      <x v="996"/>
    </i>
    <i>
      <x v="1200"/>
    </i>
    <i t="grand">
      <x/>
    </i>
  </rowItems>
  <colItems count="1">
    <i/>
  </colItems>
  <pageFields count="3">
    <pageField fld="16" hier="-1"/>
    <pageField fld="15" hier="-1"/>
    <pageField fld="13" hier="-1"/>
  </pageFields>
  <dataFields count="1">
    <dataField name="Suma de Cuenta_Dia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6000000}" name="Tabla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D5:E9" firstHeaderRow="1" firstDataRow="1" firstDataCol="1" rowPageCount="3" colPageCount="1"/>
  <pivotFields count="26">
    <pivotField numFmtId="14" showAl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4" showAll="0"/>
    <pivotField numFmtId="10" showAll="0"/>
    <pivotField axis="axisPage" multipleItemSelectionAllowed="1" showAll="0">
      <items count="7">
        <item x="0"/>
        <item h="1" x="3"/>
        <item h="1" x="2"/>
        <item h="1" x="1"/>
        <item h="1" x="4"/>
        <item h="1" x="5"/>
        <item t="default"/>
      </items>
    </pivotField>
    <pivotField showAll="0"/>
    <pivotField axis="axisPage" multipleItemSelectionAllowed="1" showAll="0">
      <items count="13">
        <item x="10"/>
        <item h="1" x="11"/>
        <item h="1" x="7"/>
        <item h="1" x="0"/>
        <item h="1" x="1"/>
        <item h="1" x="2"/>
        <item h="1" x="3"/>
        <item h="1" x="4"/>
        <item h="1" x="5"/>
        <item h="1" x="6"/>
        <item h="1" x="8"/>
        <item h="1" x="9"/>
        <item t="default"/>
      </items>
    </pivotField>
    <pivotField axis="axisPage" numFmtId="1" multipleItemSelectionAllowed="1" showAll="0">
      <items count="4">
        <item h="1" x="0"/>
        <item h="1" x="1"/>
        <item x="2"/>
        <item t="default"/>
      </items>
    </pivotField>
    <pivotField numFmtId="1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425">
        <item h="1" x="1222"/>
        <item h="1" x="1263"/>
        <item h="1" x="10"/>
        <item h="1" x="441"/>
        <item h="1" x="1147"/>
        <item h="1" x="298"/>
        <item h="1" x="943"/>
        <item h="1" x="909"/>
        <item h="1" x="1234"/>
        <item h="1" x="769"/>
        <item h="1" x="515"/>
        <item h="1" x="177"/>
        <item h="1" x="720"/>
        <item h="1" x="627"/>
        <item h="1" x="1170"/>
        <item h="1" x="606"/>
        <item h="1" x="1174"/>
        <item h="1" x="1294"/>
        <item h="1" x="128"/>
        <item h="1" x="118"/>
        <item h="1" x="442"/>
        <item h="1" x="462"/>
        <item h="1" x="1239"/>
        <item h="1" x="209"/>
        <item h="1" x="498"/>
        <item h="1" x="1077"/>
        <item h="1" x="461"/>
        <item h="1" x="423"/>
        <item h="1" x="92"/>
        <item h="1" x="84"/>
        <item h="1" x="234"/>
        <item h="1" x="1145"/>
        <item h="1" x="510"/>
        <item h="1" x="816"/>
        <item h="1" x="420"/>
        <item h="1" x="489"/>
        <item h="1" x="120"/>
        <item h="1" x="301"/>
        <item h="1" x="612"/>
        <item h="1" x="968"/>
        <item h="1" x="289"/>
        <item h="1" x="980"/>
        <item h="1" x="791"/>
        <item h="1" x="413"/>
        <item h="1" x="353"/>
        <item h="1" x="268"/>
        <item h="1" x="215"/>
        <item h="1" x="444"/>
        <item h="1" x="70"/>
        <item h="1" x="1254"/>
        <item h="1" x="249"/>
        <item h="1" x="1223"/>
        <item h="1" x="149"/>
        <item h="1" x="319"/>
        <item h="1" x="874"/>
        <item h="1" x="997"/>
        <item h="1" x="239"/>
        <item h="1" x="1129"/>
        <item h="1" x="634"/>
        <item h="1" x="1116"/>
        <item h="1" x="360"/>
        <item h="1" x="364"/>
        <item h="1" x="191"/>
        <item h="1" x="1199"/>
        <item h="1" x="1078"/>
        <item h="1" x="670"/>
        <item h="1" x="246"/>
        <item h="1" x="525"/>
        <item h="1" x="664"/>
        <item h="1" x="308"/>
        <item h="1" x="960"/>
        <item h="1" x="754"/>
        <item h="1" x="710"/>
        <item h="1" x="144"/>
        <item h="1" x="1241"/>
        <item h="1" x="784"/>
        <item h="1" x="700"/>
        <item h="1" x="643"/>
        <item h="1" x="742"/>
        <item h="1" x="534"/>
        <item h="1" x="56"/>
        <item h="1" x="280"/>
        <item h="1" x="517"/>
        <item h="1" x="178"/>
        <item h="1" x="26"/>
        <item h="1" x="303"/>
        <item h="1" x="339"/>
        <item h="1" x="669"/>
        <item h="1" x="55"/>
        <item h="1" x="1196"/>
        <item h="1" x="126"/>
        <item h="1" x="337"/>
        <item h="1" x="152"/>
        <item h="1" x="369"/>
        <item h="1" x="454"/>
        <item h="1" x="267"/>
        <item h="1" x="1250"/>
        <item h="1" x="607"/>
        <item h="1" x="885"/>
        <item h="1" x="953"/>
        <item h="1" x="1221"/>
        <item h="1" x="140"/>
        <item h="1" x="7"/>
        <item h="1" x="347"/>
        <item h="1" x="1106"/>
        <item h="1" x="652"/>
        <item h="1" x="224"/>
        <item h="1" x="330"/>
        <item h="1" x="693"/>
        <item h="1" x="1275"/>
        <item h="1" x="1282"/>
        <item h="1" x="1220"/>
        <item h="1" x="939"/>
        <item h="1" x="1284"/>
        <item h="1" x="675"/>
        <item h="1" x="1049"/>
        <item h="1" x="1134"/>
        <item h="1" x="1268"/>
        <item h="1" x="918"/>
        <item h="1" x="761"/>
        <item h="1" x="1233"/>
        <item h="1" x="582"/>
        <item h="1" x="965"/>
        <item h="1" x="416"/>
        <item h="1" x="934"/>
        <item h="1" x="685"/>
        <item h="1" x="1102"/>
        <item h="1" x="1171"/>
        <item h="1" x="123"/>
        <item h="1" x="778"/>
        <item h="1" x="248"/>
        <item h="1" x="914"/>
        <item h="1" x="994"/>
        <item h="1" x="254"/>
        <item h="1" x="174"/>
        <item h="1" x="361"/>
        <item h="1" x="187"/>
        <item h="1" x="913"/>
        <item h="1" x="1278"/>
        <item h="1" x="25"/>
        <item h="1" x="324"/>
        <item h="1" x="1215"/>
        <item h="1" x="467"/>
        <item h="1" x="853"/>
        <item h="1" x="935"/>
        <item h="1" x="446"/>
        <item h="1" x="223"/>
        <item h="1" x="194"/>
        <item h="1" x="979"/>
        <item h="1" x="431"/>
        <item h="1" x="1093"/>
        <item h="1" x="842"/>
        <item h="1" x="936"/>
        <item h="1" x="1235"/>
        <item h="1" x="163"/>
        <item h="1" x="256"/>
        <item h="1" x="484"/>
        <item h="1" x="279"/>
        <item h="1" x="683"/>
        <item h="1" x="1110"/>
        <item h="1" x="1156"/>
        <item h="1" x="677"/>
        <item h="1" x="211"/>
        <item h="1" x="889"/>
        <item h="1" x="14"/>
        <item h="1" x="418"/>
        <item h="1" x="629"/>
        <item h="1" x="278"/>
        <item h="1" x="261"/>
        <item h="1" x="985"/>
        <item h="1" x="1273"/>
        <item h="1" x="963"/>
        <item h="1" x="406"/>
        <item h="1" x="766"/>
        <item h="1" x="713"/>
        <item h="1" x="1226"/>
        <item h="1" x="81"/>
        <item h="1" x="1021"/>
        <item h="1" x="1288"/>
        <item h="1" x="719"/>
        <item h="1" x="1019"/>
        <item h="1" x="891"/>
        <item h="1" x="890"/>
        <item h="1" x="333"/>
        <item h="1" x="672"/>
        <item h="1" x="1161"/>
        <item h="1" x="870"/>
        <item h="1" x="351"/>
        <item h="1" x="134"/>
        <item h="1" x="680"/>
        <item h="1" x="620"/>
        <item h="1" x="1087"/>
        <item h="1" x="1289"/>
        <item h="1" x="336"/>
        <item h="1" x="756"/>
        <item h="1" x="478"/>
        <item h="1" x="204"/>
        <item h="1" x="718"/>
        <item h="1" x="495"/>
        <item h="1" x="375"/>
        <item h="1" x="404"/>
        <item h="1" x="463"/>
        <item h="1" x="1256"/>
        <item h="1" x="299"/>
        <item h="1" x="1005"/>
        <item h="1" x="51"/>
        <item h="1" x="1074"/>
        <item h="1" x="507"/>
        <item h="1" x="449"/>
        <item h="1" x="456"/>
        <item h="1" x="1140"/>
        <item h="1" x="1166"/>
        <item h="1" x="282"/>
        <item h="1" x="206"/>
        <item h="1" x="412"/>
        <item h="1" x="243"/>
        <item h="1" x="832"/>
        <item h="1" x="644"/>
        <item h="1" x="737"/>
        <item h="1" x="546"/>
        <item h="1" x="647"/>
        <item h="1" x="648"/>
        <item h="1" x="1137"/>
        <item h="1" x="1075"/>
        <item h="1" x="715"/>
        <item h="1" x="135"/>
        <item h="1" x="1142"/>
        <item h="1" x="373"/>
        <item h="1" x="1126"/>
        <item h="1" x="342"/>
        <item h="1" x="433"/>
        <item h="1" x="981"/>
        <item h="1" x="381"/>
        <item h="1" x="579"/>
        <item h="1" x="1197"/>
        <item h="1" x="1014"/>
        <item h="1" x="818"/>
        <item h="1" x="1146"/>
        <item h="1" x="12"/>
        <item h="1" x="1225"/>
        <item h="1" x="966"/>
        <item h="1" x="1175"/>
        <item h="1" x="1162"/>
        <item h="1" x="605"/>
        <item h="1" x="969"/>
        <item h="1" x="106"/>
        <item h="1" x="311"/>
        <item h="1" x="716"/>
        <item h="1" x="349"/>
        <item h="1" x="1152"/>
        <item h="1" x="133"/>
        <item h="1" x="124"/>
        <item h="1" x="1138"/>
        <item h="1" x="1243"/>
        <item h="1" x="751"/>
        <item h="1" x="924"/>
        <item h="1" x="1203"/>
        <item h="1" x="514"/>
        <item h="1" x="352"/>
        <item h="1" x="1085"/>
        <item h="1" x="1154"/>
        <item h="1" x="1135"/>
        <item h="1" x="1213"/>
        <item h="1" x="259"/>
        <item h="1" x="574"/>
        <item h="1" x="114"/>
        <item h="1" x="793"/>
        <item h="1" x="932"/>
        <item h="1" x="1036"/>
        <item h="1" x="331"/>
        <item h="1" x="673"/>
        <item h="1" x="1107"/>
        <item h="1" x="1211"/>
        <item h="1" x="1086"/>
        <item h="1" x="434"/>
        <item h="1" x="102"/>
        <item h="1" x="104"/>
        <item h="1" x="1067"/>
        <item h="1" x="57"/>
        <item h="1" x="520"/>
        <item h="1" x="869"/>
        <item h="1" x="702"/>
        <item h="1" x="1285"/>
        <item h="1" x="63"/>
        <item h="1" x="561"/>
        <item h="1" x="631"/>
        <item h="1" x="970"/>
        <item h="1" x="947"/>
        <item h="1" x="1240"/>
        <item h="1" x="535"/>
        <item h="1" x="867"/>
        <item h="1" x="1150"/>
        <item h="1" x="340"/>
        <item h="1" x="296"/>
        <item h="1" x="443"/>
        <item h="1" x="383"/>
        <item h="1" x="810"/>
        <item h="1" x="87"/>
        <item h="1" x="989"/>
        <item h="1" x="385"/>
        <item h="1" x="122"/>
        <item h="1" x="1153"/>
        <item h="1" x="1096"/>
        <item h="1" x="390"/>
        <item h="1" x="982"/>
        <item h="1" x="1232"/>
        <item h="1" x="747"/>
        <item h="1" x="984"/>
        <item h="1" x="563"/>
        <item h="1" x="562"/>
        <item h="1" x="973"/>
        <item h="1" x="975"/>
        <item h="1" x="826"/>
        <item h="1" x="52"/>
        <item h="1" x="1218"/>
        <item h="1" x="628"/>
        <item h="1" x="529"/>
        <item h="1" x="76"/>
        <item h="1" x="570"/>
        <item h="1" x="594"/>
        <item h="1" x="613"/>
        <item h="1" x="270"/>
        <item h="1" x="183"/>
        <item h="1" x="79"/>
        <item h="1" x="896"/>
        <item h="1" x="1179"/>
        <item h="1" x="1043"/>
        <item h="1" x="1105"/>
        <item h="1" x="831"/>
        <item h="1" x="233"/>
        <item h="1" x="1023"/>
        <item h="1" x="651"/>
        <item h="1" x="1066"/>
        <item h="1" x="589"/>
        <item h="1" x="396"/>
        <item h="1" x="1013"/>
        <item h="1" x="988"/>
        <item h="1" x="957"/>
        <item h="1" x="788"/>
        <item h="1" x="508"/>
        <item h="1" x="905"/>
        <item h="1" x="1292"/>
        <item h="1" x="1022"/>
        <item h="1" x="1065"/>
        <item h="1" x="173"/>
        <item h="1" x="1039"/>
        <item h="1" x="323"/>
        <item h="1" x="251"/>
        <item h="1" x="4"/>
        <item h="1" x="1094"/>
        <item h="1" x="857"/>
        <item h="1" x="151"/>
        <item h="1" x="1143"/>
        <item h="1" x="1246"/>
        <item h="1" x="1172"/>
        <item h="1" x="181"/>
        <item h="1" x="281"/>
        <item h="1" x="230"/>
        <item h="1" x="586"/>
        <item h="1" x="916"/>
        <item h="1" x="614"/>
        <item h="1" x="176"/>
        <item h="1" x="944"/>
        <item h="1" x="394"/>
        <item h="1" x="1034"/>
        <item h="1" x="706"/>
        <item h="1" x="861"/>
        <item h="1" x="694"/>
        <item h="1" x="1228"/>
        <item h="1" x="314"/>
        <item h="1" x="815"/>
        <item h="1" x="1028"/>
        <item h="1" x="806"/>
        <item h="1" x="105"/>
        <item h="1" x="354"/>
        <item h="1" x="238"/>
        <item h="1" x="1193"/>
        <item h="1" x="580"/>
        <item h="1" x="1082"/>
        <item h="1" x="608"/>
        <item h="1" x="536"/>
        <item h="1" x="1095"/>
        <item h="1" x="395"/>
        <item h="1" x="847"/>
        <item h="1" x="750"/>
        <item h="1" x="621"/>
        <item h="1" x="622"/>
        <item h="1" x="1183"/>
        <item h="1" x="108"/>
        <item h="1" x="1255"/>
        <item h="1" x="34"/>
        <item h="1" x="1017"/>
        <item h="1" x="1063"/>
        <item h="1" x="1210"/>
        <item h="1" x="1042"/>
        <item h="1" x="365"/>
        <item h="1" x="991"/>
        <item h="1" x="218"/>
        <item h="1" x="639"/>
        <item h="1" x="1058"/>
        <item h="1" x="1018"/>
        <item h="1" x="1217"/>
        <item h="1" x="1271"/>
        <item h="1" x="798"/>
        <item h="1" x="555"/>
        <item h="1" x="1260"/>
        <item h="1" x="839"/>
        <item h="1" x="199"/>
        <item h="1" x="494"/>
        <item h="1" x="882"/>
        <item h="1" x="93"/>
        <item h="1" x="391"/>
        <item h="1" x="154"/>
        <item h="1" x="74"/>
        <item h="1" x="954"/>
        <item h="1" x="752"/>
        <item h="1" x="573"/>
        <item h="1" x="312"/>
        <item h="1" x="1069"/>
        <item h="1" x="1080"/>
        <item h="1" x="616"/>
        <item h="1" x="671"/>
        <item h="1" x="908"/>
        <item h="1" x="524"/>
        <item h="1" x="923"/>
        <item h="1" x="399"/>
        <item h="1" x="1247"/>
        <item h="1" x="674"/>
        <item h="1" x="808"/>
        <item h="1" x="649"/>
        <item h="1" x="288"/>
        <item h="1" x="587"/>
        <item h="1" x="786"/>
        <item h="1" x="749"/>
        <item h="1" x="1190"/>
        <item h="1" x="388"/>
        <item h="1" x="72"/>
        <item h="1" x="117"/>
        <item h="1" x="941"/>
        <item h="1" x="1159"/>
        <item h="1" x="1111"/>
        <item h="1" x="59"/>
        <item h="1" x="387"/>
        <item h="1" x="1057"/>
        <item h="1" x="90"/>
        <item x="48"/>
        <item h="1" x="78"/>
        <item h="1" x="903"/>
        <item h="1" x="66"/>
        <item h="1" x="995"/>
        <item h="1" x="1088"/>
        <item h="1" x="245"/>
        <item h="1" x="1272"/>
        <item h="1" x="714"/>
        <item h="1" x="110"/>
        <item h="1" x="1180"/>
        <item h="1" x="657"/>
        <item h="1" x="271"/>
        <item h="1" x="417"/>
        <item h="1" x="44"/>
        <item h="1" x="322"/>
        <item h="1" x="1117"/>
        <item h="1" x="523"/>
        <item h="1" x="36"/>
        <item h="1" x="54"/>
        <item h="1" x="1192"/>
        <item h="1" x="317"/>
        <item h="1" x="1283"/>
        <item h="1" x="166"/>
        <item h="1" x="772"/>
        <item h="1" x="497"/>
        <item h="1" x="175"/>
        <item h="1" x="357"/>
        <item h="1" x="170"/>
        <item h="1" x="1149"/>
        <item h="1" x="82"/>
        <item h="1" x="453"/>
        <item h="1" x="358"/>
        <item h="1" x="470"/>
        <item h="1" x="284"/>
        <item h="1" x="389"/>
        <item h="1" x="687"/>
        <item h="1" x="505"/>
        <item h="1" x="699"/>
        <item h="1" x="427"/>
        <item h="1" x="743"/>
        <item h="1" x="1119"/>
        <item h="1" x="559"/>
        <item h="1" x="473"/>
        <item h="1" x="160"/>
        <item h="1" x="1230"/>
        <item h="1" x="1204"/>
        <item h="1" x="733"/>
        <item h="1" x="827"/>
        <item h="1" x="735"/>
        <item h="1" x="1130"/>
        <item h="1" x="435"/>
        <item h="1" x="355"/>
        <item h="1" x="910"/>
        <item h="1" x="945"/>
        <item h="1" x="1242"/>
        <item h="1" x="1200"/>
        <item h="1" x="922"/>
        <item h="1" x="67"/>
        <item h="1" x="147"/>
        <item h="1" x="141"/>
        <item h="1" x="676"/>
        <item h="1" x="182"/>
        <item h="1" x="817"/>
        <item h="1" x="1201"/>
        <item h="1" x="22"/>
        <item h="1" x="678"/>
        <item h="1" x="940"/>
        <item h="1" x="948"/>
        <item h="1" x="61"/>
        <item h="1" x="928"/>
        <item h="1" x="599"/>
        <item h="1" x="258"/>
        <item h="1" x="1113"/>
        <item h="1" x="362"/>
        <item h="1" x="15"/>
        <item h="1" x="1173"/>
        <item h="1" x="1264"/>
        <item h="1" x="1004"/>
        <item h="1" x="575"/>
        <item h="1" x="886"/>
        <item h="1" x="131"/>
        <item h="1" x="691"/>
        <item h="1" x="1099"/>
        <item h="1" x="60"/>
        <item h="1" x="1090"/>
        <item h="1" x="129"/>
        <item h="1" x="703"/>
        <item h="1" x="642"/>
        <item h="1" x="1287"/>
        <item h="1" x="1025"/>
        <item h="1" x="221"/>
        <item h="1" x="465"/>
        <item h="1" x="1007"/>
        <item h="1" x="398"/>
        <item h="1" x="236"/>
        <item h="1" x="335"/>
        <item h="1" x="1098"/>
        <item h="1" x="426"/>
        <item h="1" x="822"/>
        <item h="1" x="661"/>
        <item h="1" x="1229"/>
        <item h="1" x="1244"/>
        <item h="1" x="1182"/>
        <item h="1" x="64"/>
        <item h="1" x="955"/>
        <item h="1" x="850"/>
        <item h="1" x="179"/>
        <item h="1" x="887"/>
        <item h="1" x="615"/>
        <item h="1" x="592"/>
        <item h="1" x="610"/>
        <item h="1" x="376"/>
        <item h="1" x="161"/>
        <item h="1" x="1266"/>
        <item h="1" x="450"/>
        <item h="1" x="65"/>
        <item h="1" x="1158"/>
        <item h="1" x="1103"/>
        <item h="1" x="768"/>
        <item h="1" x="302"/>
        <item h="1" x="656"/>
        <item h="1" x="667"/>
        <item h="1" x="1297"/>
        <item h="1" x="895"/>
        <item h="1" x="1169"/>
        <item h="1" x="21"/>
        <item h="1" x="548"/>
        <item h="1" x="486"/>
        <item h="1" x="1052"/>
        <item h="1" x="987"/>
        <item h="1" x="585"/>
        <item h="1" x="291"/>
        <item h="1" x="602"/>
        <item h="1" x="89"/>
        <item h="1" x="99"/>
        <item h="1" x="949"/>
        <item h="1" x="696"/>
        <item h="1" x="704"/>
        <item h="1" x="1131"/>
        <item h="1" x="8"/>
        <item h="1" x="513"/>
        <item h="1" x="838"/>
        <item x="157"/>
        <item h="1" x="1100"/>
        <item h="1" x="624"/>
        <item h="1" x="1132"/>
        <item h="1" x="814"/>
        <item h="1" x="930"/>
        <item h="1" x="801"/>
        <item h="1" x="872"/>
        <item h="1" x="9"/>
        <item h="1" x="113"/>
        <item h="1" x="5"/>
        <item h="1" x="1000"/>
        <item h="1" x="73"/>
        <item h="1" x="16"/>
        <item h="1" x="111"/>
        <item h="1" x="380"/>
        <item h="1" x="97"/>
        <item h="1" x="755"/>
        <item h="1" x="458"/>
        <item h="1" x="1068"/>
        <item h="1" x="1164"/>
        <item h="1" x="1167"/>
        <item h="1" x="69"/>
        <item h="1" x="39"/>
        <item h="1" x="1040"/>
        <item h="1" x="1054"/>
        <item h="1" x="112"/>
        <item h="1" x="439"/>
        <item h="1" x="202"/>
        <item h="1" x="229"/>
        <item h="1" x="316"/>
        <item h="1" x="1274"/>
        <item h="1" x="1296"/>
        <item h="1" x="637"/>
        <item h="1" x="276"/>
        <item h="1" x="777"/>
        <item h="1" x="877"/>
        <item h="1" x="1258"/>
        <item h="1" x="96"/>
        <item h="1" x="927"/>
        <item h="1" x="504"/>
        <item h="1" x="1109"/>
        <item h="1" x="1157"/>
        <item h="1" x="783"/>
        <item h="1" x="321"/>
        <item h="1" x="526"/>
        <item h="1" x="169"/>
        <item h="1" x="681"/>
        <item h="1" x="300"/>
        <item h="1" x="292"/>
        <item h="1" x="53"/>
        <item h="1" x="658"/>
        <item h="1" x="764"/>
        <item h="1" x="491"/>
        <item h="1" x="785"/>
        <item h="1" x="1079"/>
        <item h="1" x="50"/>
        <item h="1" x="1279"/>
        <item h="1" x="547"/>
        <item h="1" x="38"/>
        <item h="1" x="635"/>
        <item h="1" x="315"/>
        <item h="1" x="1231"/>
        <item h="1" x="668"/>
        <item h="1" x="726"/>
        <item h="1" x="952"/>
        <item h="1" x="1122"/>
        <item h="1" x="58"/>
        <item h="1" x="148"/>
        <item h="1" x="1123"/>
        <item h="1" x="604"/>
        <item h="1" x="294"/>
        <item h="1" x="854"/>
        <item h="1" x="225"/>
        <item h="1" x="269"/>
        <item h="1" x="190"/>
        <item h="1" x="1010"/>
        <item h="1" x="959"/>
        <item h="1" x="729"/>
        <item h="1" x="623"/>
        <item h="1" x="457"/>
        <item h="1" x="758"/>
        <item h="1" x="868"/>
        <item h="1" x="1008"/>
        <item h="1" x="977"/>
        <item h="1" x="794"/>
        <item h="1" x="1185"/>
        <item h="1" x="1202"/>
        <item h="1" x="137"/>
        <item h="1" x="757"/>
        <item h="1" x="686"/>
        <item h="1" x="136"/>
        <item h="1" x="2"/>
        <item h="1" x="521"/>
        <item h="1" x="646"/>
        <item h="1" x="625"/>
        <item h="1" x="437"/>
        <item h="1" x="1209"/>
        <item h="1" x="1206"/>
        <item h="1" x="1144"/>
        <item h="1" x="293"/>
        <item h="1" x="500"/>
        <item h="1" x="1189"/>
        <item h="1" x="1205"/>
        <item h="1" x="833"/>
        <item h="1" x="1168"/>
        <item h="1" x="1046"/>
        <item h="1" x="75"/>
        <item h="1" x="422"/>
        <item h="1" x="1002"/>
        <item h="1" x="1219"/>
        <item h="1" x="116"/>
        <item h="1" x="139"/>
        <item h="1" x="532"/>
        <item h="1" x="379"/>
        <item h="1" x="445"/>
        <item h="1" x="883"/>
        <item h="1" x="210"/>
        <item h="1" x="47"/>
        <item h="1" x="222"/>
        <item h="1" x="956"/>
        <item h="1" x="213"/>
        <item h="1" x="823"/>
        <item h="1" x="1269"/>
        <item h="1" x="736"/>
        <item h="1" x="901"/>
        <item h="1" x="24"/>
        <item h="1" x="27"/>
        <item h="1" x="912"/>
        <item h="1" x="844"/>
        <item h="1" x="405"/>
        <item h="1" x="712"/>
        <item h="1" x="767"/>
        <item h="1" x="551"/>
        <item h="1" x="879"/>
        <item h="1" x="717"/>
        <item h="1" x="103"/>
        <item h="1" x="368"/>
        <item h="1" x="1270"/>
        <item h="1" x="1245"/>
        <item h="1" x="262"/>
        <item h="1" x="1160"/>
        <item h="1" x="283"/>
        <item h="1" x="290"/>
        <item h="1" x="512"/>
        <item h="1" x="1141"/>
        <item h="1" x="1139"/>
        <item h="1" x="892"/>
        <item h="1" x="633"/>
        <item h="1" x="1029"/>
        <item h="1" x="875"/>
        <item h="1" x="572"/>
        <item h="1" x="519"/>
        <item h="1" x="153"/>
        <item h="1" x="217"/>
        <item h="1" x="310"/>
        <item h="1" x="898"/>
        <item h="1" x="401"/>
        <item h="1" x="306"/>
        <item h="1" x="346"/>
        <item h="1" x="1112"/>
        <item h="1" x="1011"/>
        <item h="1" x="260"/>
        <item h="1" x="1037"/>
        <item h="1" x="367"/>
        <item h="1" x="711"/>
        <item h="1" x="983"/>
        <item h="1" x="219"/>
        <item h="1" x="902"/>
        <item h="1" x="1062"/>
        <item h="1" x="725"/>
        <item h="1" x="971"/>
        <item h="1" x="255"/>
        <item h="1" x="1121"/>
        <item h="1" x="732"/>
        <item h="1" x="1293"/>
        <item h="1" x="474"/>
        <item h="1" x="779"/>
        <item h="1" x="477"/>
        <item h="1" x="180"/>
        <item h="1" x="1091"/>
        <item h="1" x="1016"/>
        <item h="1" x="705"/>
        <item h="1" x="692"/>
        <item h="1" x="527"/>
        <item h="1" x="632"/>
        <item h="1" x="41"/>
        <item h="1" x="165"/>
        <item h="1" x="94"/>
        <item h="1" x="856"/>
        <item h="1" x="1026"/>
        <item h="1" x="95"/>
        <item h="1" x="577"/>
        <item h="1" x="1127"/>
        <item h="1" x="763"/>
        <item h="1" x="595"/>
        <item h="1" x="739"/>
        <item h="1" x="496"/>
        <item h="1" x="881"/>
        <item h="1" x="782"/>
        <item h="1" x="866"/>
        <item h="1" x="1124"/>
        <item h="1" x="509"/>
        <item h="1" x="1061"/>
        <item h="1" x="929"/>
        <item h="1" x="392"/>
        <item h="1" x="1006"/>
        <item h="1" x="313"/>
        <item h="1" x="197"/>
        <item h="1" x="1227"/>
        <item h="1" x="1012"/>
        <item h="1" x="824"/>
        <item h="1" x="85"/>
        <item h="1" x="1277"/>
        <item h="1" x="286"/>
        <item h="1" x="894"/>
        <item h="1" x="753"/>
        <item h="1" x="13"/>
        <item h="1" x="411"/>
        <item h="1" x="835"/>
        <item h="1" x="499"/>
        <item h="1" x="1181"/>
        <item h="1" x="921"/>
        <item h="1" x="272"/>
        <item h="1" x="552"/>
        <item h="1" x="402"/>
        <item h="1" x="143"/>
        <item h="1" x="297"/>
        <item h="1" x="1084"/>
        <item h="1" x="481"/>
        <item h="1" x="459"/>
        <item h="1" x="601"/>
        <item h="1" x="277"/>
        <item h="1" x="237"/>
        <item h="1" x="1177"/>
        <item h="1" x="958"/>
        <item h="1" x="1281"/>
        <item h="1" x="305"/>
        <item h="1" x="419"/>
        <item h="1" x="797"/>
        <item h="1" x="18"/>
        <item h="1" x="626"/>
        <item h="1" x="138"/>
        <item h="1" x="859"/>
        <item h="1" x="567"/>
        <item h="1" x="933"/>
        <item h="1" x="576"/>
        <item h="1" x="852"/>
        <item h="1" x="263"/>
        <item h="1" x="998"/>
        <item h="1" x="603"/>
        <item h="1" x="543"/>
        <item h="1" x="849"/>
        <item h="1" x="466"/>
        <item h="1" x="734"/>
        <item h="1" x="760"/>
        <item h="1" x="30"/>
        <item h="1" x="86"/>
        <item h="1" x="804"/>
        <item h="1" x="107"/>
        <item h="1" x="846"/>
        <item h="1" x="774"/>
        <item h="1" x="226"/>
        <item h="1" x="522"/>
        <item h="1" x="156"/>
        <item h="1" x="919"/>
        <item h="1" x="1015"/>
        <item h="1" x="796"/>
        <item h="1" x="690"/>
        <item h="1" x="802"/>
        <item h="1" x="0"/>
        <item h="1" x="1184"/>
        <item h="1" x="511"/>
        <item h="1" x="803"/>
        <item h="1" x="1148"/>
        <item h="1" x="195"/>
        <item h="1" x="252"/>
        <item h="1" x="630"/>
        <item h="1" x="184"/>
        <item h="1" x="320"/>
        <item h="1" x="1257"/>
        <item h="1" x="480"/>
        <item h="1" x="571"/>
        <item h="1" x="186"/>
        <item h="1" x="80"/>
        <item h="1" x="697"/>
        <item h="1" x="598"/>
        <item h="1" x="738"/>
        <item h="1" x="549"/>
        <item h="1" x="1238"/>
        <item h="1" x="1248"/>
        <item h="1" x="781"/>
        <item h="1" x="1155"/>
        <item h="1" x="942"/>
        <item h="1" x="146"/>
        <item h="1" x="897"/>
        <item h="1" x="189"/>
        <item h="1" x="1236"/>
        <item h="1" x="744"/>
        <item h="1" x="1081"/>
        <item h="1" x="530"/>
        <item h="1" x="541"/>
        <item h="1" x="682"/>
        <item h="1" x="528"/>
        <item h="1" x="374"/>
        <item h="1" x="1120"/>
        <item h="1" x="840"/>
        <item h="1" x="1041"/>
        <item h="1" x="240"/>
        <item h="1" x="168"/>
        <item h="1" x="880"/>
        <item h="1" x="1045"/>
        <item h="1" x="843"/>
        <item h="1" x="192"/>
        <item h="1" x="727"/>
        <item h="1" x="1224"/>
        <item h="1" x="740"/>
        <item h="1" x="6"/>
        <item h="1" x="345"/>
        <item h="1" x="1276"/>
        <item h="1" x="162"/>
        <item h="1" x="962"/>
        <item h="1" x="787"/>
        <item h="1" x="862"/>
        <item h="1" x="611"/>
        <item h="1" x="448"/>
        <item h="1" x="790"/>
        <item h="1" x="837"/>
        <item h="1" x="1024"/>
        <item h="1" x="1092"/>
        <item h="1" x="931"/>
        <item h="1" x="1060"/>
        <item h="1" x="33"/>
        <item h="1" x="581"/>
        <item h="1" x="762"/>
        <item h="1" x="482"/>
        <item h="1" x="829"/>
        <item h="1" x="741"/>
        <item h="1" x="476"/>
        <item h="1" x="485"/>
        <item h="1" x="1195"/>
        <item h="1" x="193"/>
        <item h="1" x="488"/>
        <item h="1" x="964"/>
        <item h="1" x="900"/>
        <item h="1" x="539"/>
        <item h="1" x="819"/>
        <item h="1" x="101"/>
        <item h="1" x="1030"/>
        <item h="1" x="858"/>
        <item h="1" x="109"/>
        <item h="1" x="558"/>
        <item h="1" x="363"/>
        <item h="1" x="795"/>
        <item h="1" x="88"/>
        <item h="1" x="516"/>
        <item h="1" x="578"/>
        <item h="1" x="155"/>
        <item h="1" x="554"/>
        <item h="1" x="1114"/>
        <item h="1" x="996"/>
        <item h="1" x="1035"/>
        <item h="1" x="408"/>
        <item h="1" x="564"/>
        <item h="1" x="377"/>
        <item h="1" x="899"/>
        <item h="1" x="200"/>
        <item h="1" x="49"/>
        <item h="1" x="636"/>
        <item h="1" x="863"/>
        <item h="1" x="159"/>
        <item h="1" x="479"/>
        <item h="1" x="728"/>
        <item h="1" x="332"/>
        <item h="1" x="855"/>
        <item h="1" x="472"/>
        <item h="1" x="938"/>
        <item h="1" x="1186"/>
        <item h="1" x="538"/>
        <item h="1" x="127"/>
        <item h="1" x="807"/>
        <item h="1" x="227"/>
        <item h="1" x="1044"/>
        <item h="1" x="609"/>
        <item h="1" x="584"/>
        <item h="1" x="1252"/>
        <item h="1" x="876"/>
        <item h="1" x="1165"/>
        <item h="1" x="326"/>
        <item h="1" x="77"/>
        <item h="1" x="45"/>
        <item h="1" x="1191"/>
        <item h="1" x="242"/>
        <item h="1" x="275"/>
        <item h="1" x="356"/>
        <item h="1" x="1163"/>
        <item h="1" x="285"/>
        <item h="1" x="370"/>
        <item h="1" x="724"/>
        <item h="1" x="3"/>
        <item h="1" x="860"/>
        <item h="1" x="265"/>
        <item h="1" x="679"/>
        <item h="1" x="684"/>
        <item h="1" x="393"/>
        <item h="1" x="32"/>
        <item h="1" x="35"/>
        <item h="1" x="382"/>
        <item x="999"/>
        <item h="1" x="438"/>
        <item h="1" x="436"/>
        <item h="1" x="888"/>
        <item h="1" x="341"/>
        <item h="1" x="654"/>
        <item h="1" x="415"/>
        <item h="1" x="531"/>
        <item h="1" x="540"/>
        <item h="1" x="701"/>
        <item h="1" x="274"/>
        <item h="1" x="468"/>
        <item h="1" x="167"/>
        <item h="1" x="386"/>
        <item h="1" x="1"/>
        <item h="1" x="1291"/>
        <item h="1" x="31"/>
        <item h="1" x="993"/>
        <item h="1" x="776"/>
        <item h="1" x="640"/>
        <item h="1" x="266"/>
        <item h="1" x="1253"/>
        <item h="1" x="545"/>
        <item h="1" x="20"/>
        <item h="1" x="403"/>
        <item h="1" x="366"/>
        <item h="1" x="845"/>
        <item h="1" x="172"/>
        <item h="1" x="926"/>
        <item h="1" x="214"/>
        <item h="1" x="309"/>
        <item h="1" x="666"/>
        <item h="1" x="992"/>
        <item h="1" x="1020"/>
        <item h="1" x="158"/>
        <item h="1" x="1178"/>
        <item h="1" x="1261"/>
        <item h="1" x="544"/>
        <item h="1" x="721"/>
        <item h="1" x="250"/>
        <item h="1" x="430"/>
        <item h="1" x="253"/>
        <item h="1" x="207"/>
        <item h="1" x="328"/>
        <item h="1" x="11"/>
        <item h="1" x="723"/>
        <item h="1" x="986"/>
        <item h="1" x="1047"/>
        <item h="1" x="597"/>
        <item h="1" x="304"/>
        <item h="1" x="618"/>
        <item h="1" x="1009"/>
        <item h="1" x="709"/>
        <item h="1" x="428"/>
        <item h="1" x="951"/>
        <item h="1" x="1076"/>
        <item h="1" x="591"/>
        <item h="1" x="1108"/>
        <item h="1" x="937"/>
        <item h="1" x="43"/>
        <item h="1" x="1097"/>
        <item h="1" x="799"/>
        <item h="1" x="617"/>
        <item h="1" x="1115"/>
        <item h="1" x="904"/>
        <item h="1" x="731"/>
        <item h="1" x="619"/>
        <item h="1" x="425"/>
        <item h="1" x="1050"/>
        <item h="1" x="185"/>
        <item h="1" x="455"/>
        <item h="1" x="907"/>
        <item h="1" x="583"/>
        <item h="1" x="216"/>
        <item h="1" x="708"/>
        <item h="1" x="841"/>
        <item h="1" x="257"/>
        <item h="1" x="813"/>
        <item h="1" x="40"/>
        <item h="1" x="400"/>
        <item h="1" x="1207"/>
        <item h="1" x="911"/>
        <item h="1" x="410"/>
        <item h="1" x="212"/>
        <item h="1" x="407"/>
        <item h="1" x="273"/>
        <item h="1" x="1128"/>
        <item h="1" x="553"/>
        <item h="1" x="287"/>
        <item h="1" x="812"/>
        <item h="1" x="1133"/>
        <item h="1" x="171"/>
        <item h="1" x="464"/>
        <item h="1" x="198"/>
        <item h="1" x="1265"/>
        <item h="1" x="469"/>
        <item h="1" x="1208"/>
        <item h="1" x="533"/>
        <item h="1" x="1027"/>
        <item h="1" x="1176"/>
        <item h="1" x="493"/>
        <item h="1" x="492"/>
        <item h="1" x="348"/>
        <item h="1" x="343"/>
        <item h="1" x="569"/>
        <item h="1" x="820"/>
        <item h="1" x="1216"/>
        <item h="1" x="307"/>
        <item h="1" x="821"/>
        <item h="1" x="62"/>
        <item h="1" x="295"/>
        <item h="1" x="1003"/>
        <item h="1" x="972"/>
        <item h="1" x="244"/>
        <item h="1" x="645"/>
        <item h="1" x="83"/>
        <item h="1" x="28"/>
        <item h="1" x="121"/>
        <item h="1" x="42"/>
        <item h="1" x="29"/>
        <item h="1" x="384"/>
        <item h="1" x="518"/>
        <item h="1" x="451"/>
        <item h="1" x="100"/>
        <item h="1" x="247"/>
        <item h="1" x="848"/>
        <item h="1" x="1136"/>
        <item h="1" x="537"/>
        <item h="1" x="208"/>
        <item h="1" x="232"/>
        <item h="1" x="961"/>
        <item h="1" x="906"/>
        <item h="1" x="878"/>
        <item h="1" x="23"/>
        <item h="1" x="228"/>
        <item h="1" x="1212"/>
        <item h="1" x="235"/>
        <item h="1" x="770"/>
        <item h="1" x="327"/>
        <item h="1" x="188"/>
        <item h="1" x="765"/>
        <item h="1" x="663"/>
        <item h="1" x="203"/>
        <item h="1" x="490"/>
        <item h="1" x="502"/>
        <item h="1" x="1188"/>
        <item h="1" x="600"/>
        <item h="1" x="566"/>
        <item h="1" x="452"/>
        <item h="1" x="37"/>
        <item h="1" x="1251"/>
        <item h="1" x="1032"/>
        <item h="1" x="830"/>
        <item h="1" x="1048"/>
        <item h="1" x="1267"/>
        <item h="1" x="990"/>
        <item h="1" x="638"/>
        <item h="1" x="409"/>
        <item h="1" x="142"/>
        <item h="1" x="132"/>
        <item h="1" x="145"/>
        <item h="1" x="91"/>
        <item h="1" x="976"/>
        <item h="1" x="588"/>
        <item h="1" x="1125"/>
        <item h="1" x="655"/>
        <item h="1" x="359"/>
        <item h="1" x="925"/>
        <item h="1" x="805"/>
        <item h="1" x="471"/>
        <item h="1" x="440"/>
        <item h="1" x="1214"/>
        <item h="1" x="334"/>
        <item h="1" x="329"/>
        <item h="1" x="372"/>
        <item h="1" x="851"/>
        <item h="1" x="722"/>
        <item h="1" x="1194"/>
        <item h="1" x="424"/>
        <item h="1" x="884"/>
        <item h="1" x="825"/>
        <item h="1" x="695"/>
        <item h="1" x="1001"/>
        <item h="1" x="560"/>
        <item h="1" x="432"/>
        <item h="1" x="792"/>
        <item h="1" x="967"/>
        <item h="1" x="378"/>
        <item h="1" x="689"/>
        <item h="1" x="1187"/>
        <item h="1" x="917"/>
        <item h="1" x="46"/>
        <item h="1" x="98"/>
        <item h="1" x="506"/>
        <item h="1" x="338"/>
        <item h="1" x="264"/>
        <item h="1" x="220"/>
        <item h="1" x="659"/>
        <item h="1" x="771"/>
        <item h="1" x="746"/>
        <item h="1" x="1151"/>
        <item h="1" x="759"/>
        <item h="1" x="130"/>
        <item h="1" x="1070"/>
        <item x="871"/>
        <item h="1" x="665"/>
        <item h="1" x="1056"/>
        <item h="1" x="1033"/>
        <item h="1" x="650"/>
        <item h="1" x="662"/>
        <item h="1" x="920"/>
        <item h="1" x="864"/>
        <item h="1" x="447"/>
        <item h="1" x="119"/>
        <item h="1" x="350"/>
        <item h="1" x="653"/>
        <item h="1" x="641"/>
        <item h="1" x="68"/>
        <item h="1" x="344"/>
        <item h="1" x="115"/>
        <item h="1" x="397"/>
        <item h="1" x="164"/>
        <item h="1" x="231"/>
        <item h="1" x="660"/>
        <item h="1" x="501"/>
        <item h="1" x="318"/>
        <item h="1" x="325"/>
        <item h="1" x="1072"/>
        <item h="1" x="125"/>
        <item h="1" x="1262"/>
        <item h="1" x="371"/>
        <item h="1" x="745"/>
        <item h="1" x="978"/>
        <item h="1" x="800"/>
        <item h="1" x="780"/>
        <item h="1" x="698"/>
        <item h="1" x="593"/>
        <item h="1" x="1118"/>
        <item h="1" x="1298"/>
        <item h="1" x="1198"/>
        <item h="1" x="748"/>
        <item h="1" x="460"/>
        <item h="1" x="1089"/>
        <item h="1" x="1101"/>
        <item h="1" x="596"/>
        <item h="1" x="828"/>
        <item h="1" x="915"/>
        <item h="1" x="1055"/>
        <item h="1" x="556"/>
        <item h="1" x="946"/>
        <item h="1" x="773"/>
        <item h="1" x="503"/>
        <item h="1" x="1051"/>
        <item h="1" x="730"/>
        <item h="1" x="17"/>
        <item h="1" x="1038"/>
        <item h="1" x="1295"/>
        <item h="1" x="1073"/>
        <item h="1" x="542"/>
        <item h="1" x="565"/>
        <item h="1" x="974"/>
        <item h="1" x="590"/>
        <item h="1" x="707"/>
        <item h="1" x="811"/>
        <item h="1" x="241"/>
        <item h="1" x="789"/>
        <item h="1" x="414"/>
        <item h="1" x="150"/>
        <item h="1" x="1104"/>
        <item h="1" x="775"/>
        <item h="1" x="487"/>
        <item h="1" x="429"/>
        <item h="1" x="1280"/>
        <item h="1" x="1237"/>
        <item h="1" x="71"/>
        <item h="1" x="1286"/>
        <item h="1" x="1259"/>
        <item h="1" x="483"/>
        <item h="1" x="1290"/>
        <item h="1" x="1059"/>
        <item h="1" x="568"/>
        <item h="1" x="421"/>
        <item h="1" x="873"/>
        <item h="1" x="196"/>
        <item h="1" x="1249"/>
        <item h="1" x="809"/>
        <item h="1" x="893"/>
        <item h="1" x="205"/>
        <item h="1" x="1053"/>
        <item h="1" x="950"/>
        <item h="1" x="1071"/>
        <item h="1" x="475"/>
        <item h="1" x="836"/>
        <item h="1" x="1031"/>
        <item h="1" x="1064"/>
        <item h="1" x="550"/>
        <item h="1" x="201"/>
        <item h="1" x="19"/>
        <item h="1" x="865"/>
        <item h="1" x="688"/>
        <item h="1" x="557"/>
        <item h="1" x="1083"/>
        <item h="1" x="834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t="default"/>
      </items>
    </pivotField>
  </pivotFields>
  <rowFields count="1">
    <field x="25"/>
  </rowFields>
  <rowItems count="4">
    <i>
      <x v="588"/>
    </i>
    <i>
      <x v="996"/>
    </i>
    <i>
      <x v="1200"/>
    </i>
    <i t="grand">
      <x/>
    </i>
  </rowItems>
  <colItems count="1">
    <i/>
  </colItems>
  <pageFields count="3">
    <pageField fld="16" hier="-1"/>
    <pageField fld="15" hier="-1"/>
    <pageField fld="13" hier="-1"/>
  </pageFields>
  <dataFields count="1">
    <dataField name="Suma de Total_Gasto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1000000}" name="TablaDinámica1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D49:E52" firstHeaderRow="1" firstDataRow="1" firstDataCol="1" rowPageCount="3" colPageCount="1"/>
  <pivotFields count="26">
    <pivotField numFmtId="14" showAl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7">
        <item h="1" x="0"/>
        <item h="1" x="3"/>
        <item h="1" x="2"/>
        <item x="1"/>
        <item h="1" x="4"/>
        <item h="1" x="5"/>
        <item t="default"/>
      </items>
    </pivotField>
    <pivotField showAll="0"/>
    <pivotField axis="axisPage" multipleItemSelectionAllowed="1" showAll="0">
      <items count="13">
        <item x="10"/>
        <item h="1" x="11"/>
        <item h="1" x="7"/>
        <item h="1" x="0"/>
        <item h="1" x="1"/>
        <item h="1" x="2"/>
        <item h="1" x="3"/>
        <item h="1" x="4"/>
        <item h="1" x="5"/>
        <item h="1" x="6"/>
        <item h="1" x="8"/>
        <item h="1" x="9"/>
        <item t="default"/>
      </items>
    </pivotField>
    <pivotField axis="axisPage" numFmtId="1" multipleItemSelectionAllowed="1" showAll="0">
      <items count="4">
        <item h="1" x="0"/>
        <item h="1" x="1"/>
        <item x="2"/>
        <item t="default"/>
      </items>
    </pivotField>
    <pivotField numFmtId="1" showAll="0"/>
    <pivotField dataField="1" showAll="0"/>
    <pivotField numFmtId="14" showAll="0"/>
    <pivotField showAll="0"/>
    <pivotField showAll="0"/>
    <pivotField showAll="0"/>
    <pivotField showAll="0"/>
    <pivotField showAll="0"/>
    <pivotField axis="axisRow" showAll="0">
      <items count="1425">
        <item h="1" x="1222"/>
        <item h="1" x="1263"/>
        <item h="1" x="10"/>
        <item h="1" x="441"/>
        <item h="1" x="1147"/>
        <item h="1" x="298"/>
        <item h="1" x="943"/>
        <item h="1" x="909"/>
        <item h="1" x="1234"/>
        <item h="1" x="769"/>
        <item h="1" x="515"/>
        <item h="1" x="177"/>
        <item h="1" x="720"/>
        <item h="1" x="627"/>
        <item h="1" x="1170"/>
        <item h="1" x="606"/>
        <item h="1" x="1174"/>
        <item h="1" x="1294"/>
        <item h="1" x="128"/>
        <item h="1" x="118"/>
        <item h="1" x="442"/>
        <item h="1" x="462"/>
        <item h="1" x="1239"/>
        <item h="1" x="209"/>
        <item h="1" x="498"/>
        <item h="1" x="1077"/>
        <item h="1" x="461"/>
        <item h="1" x="423"/>
        <item h="1" x="92"/>
        <item h="1" x="84"/>
        <item h="1" x="234"/>
        <item h="1" x="1145"/>
        <item h="1" x="510"/>
        <item h="1" x="816"/>
        <item h="1" x="420"/>
        <item h="1" x="489"/>
        <item h="1" x="120"/>
        <item h="1" x="301"/>
        <item h="1" x="612"/>
        <item h="1" x="968"/>
        <item h="1" x="289"/>
        <item h="1" x="980"/>
        <item h="1" x="791"/>
        <item h="1" x="413"/>
        <item h="1" x="353"/>
        <item h="1" x="268"/>
        <item h="1" x="215"/>
        <item h="1" x="444"/>
        <item h="1" x="70"/>
        <item h="1" x="1254"/>
        <item h="1" x="249"/>
        <item h="1" x="1223"/>
        <item h="1" x="149"/>
        <item h="1" x="319"/>
        <item h="1" x="874"/>
        <item h="1" x="997"/>
        <item h="1" x="239"/>
        <item h="1" x="1129"/>
        <item h="1" x="634"/>
        <item h="1" x="1116"/>
        <item h="1" x="360"/>
        <item h="1" x="364"/>
        <item h="1" x="191"/>
        <item h="1" x="1199"/>
        <item h="1" x="1078"/>
        <item h="1" x="670"/>
        <item h="1" x="246"/>
        <item h="1" x="525"/>
        <item h="1" x="664"/>
        <item h="1" x="308"/>
        <item h="1" x="960"/>
        <item h="1" x="754"/>
        <item h="1" x="710"/>
        <item h="1" x="144"/>
        <item h="1" x="1241"/>
        <item h="1" x="784"/>
        <item h="1" x="700"/>
        <item h="1" x="643"/>
        <item h="1" x="742"/>
        <item h="1" x="534"/>
        <item h="1" x="56"/>
        <item h="1" x="280"/>
        <item h="1" x="517"/>
        <item h="1" x="178"/>
        <item h="1" x="26"/>
        <item h="1" x="303"/>
        <item h="1" x="339"/>
        <item h="1" x="669"/>
        <item h="1" x="55"/>
        <item h="1" x="1196"/>
        <item h="1" x="126"/>
        <item h="1" x="337"/>
        <item h="1" x="152"/>
        <item h="1" x="369"/>
        <item h="1" x="454"/>
        <item h="1" x="267"/>
        <item h="1" x="1250"/>
        <item h="1" x="607"/>
        <item h="1" x="885"/>
        <item h="1" x="953"/>
        <item h="1" x="1221"/>
        <item h="1" x="140"/>
        <item h="1" x="7"/>
        <item h="1" x="347"/>
        <item h="1" x="1106"/>
        <item h="1" x="652"/>
        <item h="1" x="224"/>
        <item h="1" x="330"/>
        <item h="1" x="693"/>
        <item h="1" x="1275"/>
        <item h="1" x="1282"/>
        <item h="1" x="1220"/>
        <item h="1" x="939"/>
        <item h="1" x="1284"/>
        <item h="1" x="675"/>
        <item h="1" x="1049"/>
        <item h="1" x="1134"/>
        <item h="1" x="1268"/>
        <item h="1" x="918"/>
        <item h="1" x="761"/>
        <item h="1" x="1233"/>
        <item h="1" x="582"/>
        <item h="1" x="965"/>
        <item h="1" x="416"/>
        <item h="1" x="934"/>
        <item h="1" x="685"/>
        <item h="1" x="1102"/>
        <item h="1" x="1171"/>
        <item h="1" x="123"/>
        <item h="1" x="778"/>
        <item h="1" x="248"/>
        <item h="1" x="914"/>
        <item h="1" x="994"/>
        <item h="1" x="254"/>
        <item h="1" x="174"/>
        <item h="1" x="361"/>
        <item h="1" x="187"/>
        <item h="1" x="913"/>
        <item h="1" x="1278"/>
        <item h="1" x="25"/>
        <item h="1" x="324"/>
        <item h="1" x="1215"/>
        <item h="1" x="467"/>
        <item h="1" x="853"/>
        <item h="1" x="935"/>
        <item h="1" x="446"/>
        <item h="1" x="223"/>
        <item h="1" x="194"/>
        <item h="1" x="979"/>
        <item h="1" x="431"/>
        <item h="1" x="1093"/>
        <item h="1" x="842"/>
        <item h="1" x="936"/>
        <item h="1" x="1235"/>
        <item h="1" x="163"/>
        <item h="1" x="256"/>
        <item h="1" x="484"/>
        <item h="1" x="279"/>
        <item h="1" x="683"/>
        <item h="1" x="1110"/>
        <item h="1" x="1156"/>
        <item h="1" x="677"/>
        <item h="1" x="211"/>
        <item h="1" x="889"/>
        <item h="1" x="14"/>
        <item h="1" x="418"/>
        <item h="1" x="629"/>
        <item h="1" x="278"/>
        <item h="1" x="261"/>
        <item h="1" x="985"/>
        <item h="1" x="1273"/>
        <item h="1" x="963"/>
        <item h="1" x="406"/>
        <item h="1" x="766"/>
        <item h="1" x="713"/>
        <item h="1" x="1226"/>
        <item h="1" x="81"/>
        <item h="1" x="1021"/>
        <item h="1" x="1288"/>
        <item h="1" x="719"/>
        <item h="1" x="1019"/>
        <item h="1" x="891"/>
        <item h="1" x="890"/>
        <item h="1" x="333"/>
        <item h="1" x="672"/>
        <item h="1" x="1161"/>
        <item h="1" x="870"/>
        <item h="1" x="351"/>
        <item h="1" x="134"/>
        <item h="1" x="680"/>
        <item h="1" x="620"/>
        <item h="1" x="1087"/>
        <item h="1" x="1289"/>
        <item h="1" x="336"/>
        <item h="1" x="756"/>
        <item h="1" x="478"/>
        <item h="1" x="204"/>
        <item h="1" x="718"/>
        <item h="1" x="495"/>
        <item h="1" x="375"/>
        <item h="1" x="404"/>
        <item h="1" x="463"/>
        <item h="1" x="1256"/>
        <item h="1" x="299"/>
        <item h="1" x="1005"/>
        <item h="1" x="51"/>
        <item h="1" x="1074"/>
        <item h="1" x="507"/>
        <item h="1" x="449"/>
        <item h="1" x="456"/>
        <item h="1" x="1140"/>
        <item h="1" x="1166"/>
        <item h="1" x="282"/>
        <item h="1" x="206"/>
        <item h="1" x="412"/>
        <item h="1" x="243"/>
        <item h="1" x="832"/>
        <item h="1" x="644"/>
        <item h="1" x="737"/>
        <item h="1" x="546"/>
        <item h="1" x="647"/>
        <item h="1" x="648"/>
        <item h="1" x="1137"/>
        <item h="1" x="1075"/>
        <item h="1" x="715"/>
        <item h="1" x="135"/>
        <item h="1" x="1142"/>
        <item h="1" x="373"/>
        <item h="1" x="1126"/>
        <item h="1" x="342"/>
        <item h="1" x="433"/>
        <item h="1" x="981"/>
        <item h="1" x="381"/>
        <item h="1" x="579"/>
        <item h="1" x="1197"/>
        <item h="1" x="1014"/>
        <item h="1" x="818"/>
        <item h="1" x="1146"/>
        <item h="1" x="12"/>
        <item h="1" x="1225"/>
        <item h="1" x="966"/>
        <item h="1" x="1175"/>
        <item h="1" x="1162"/>
        <item h="1" x="605"/>
        <item h="1" x="969"/>
        <item h="1" x="106"/>
        <item h="1" x="311"/>
        <item h="1" x="716"/>
        <item h="1" x="349"/>
        <item h="1" x="1152"/>
        <item h="1" x="133"/>
        <item h="1" x="124"/>
        <item h="1" x="1138"/>
        <item h="1" x="1243"/>
        <item h="1" x="751"/>
        <item h="1" x="924"/>
        <item h="1" x="1203"/>
        <item h="1" x="514"/>
        <item h="1" x="352"/>
        <item h="1" x="1085"/>
        <item h="1" x="1154"/>
        <item h="1" x="1135"/>
        <item h="1" x="1213"/>
        <item h="1" x="259"/>
        <item h="1" x="574"/>
        <item h="1" x="114"/>
        <item h="1" x="793"/>
        <item h="1" x="932"/>
        <item h="1" x="1036"/>
        <item h="1" x="331"/>
        <item h="1" x="673"/>
        <item h="1" x="1107"/>
        <item h="1" x="1211"/>
        <item h="1" x="1086"/>
        <item h="1" x="434"/>
        <item h="1" x="102"/>
        <item h="1" x="104"/>
        <item h="1" x="1067"/>
        <item h="1" x="57"/>
        <item h="1" x="520"/>
        <item h="1" x="869"/>
        <item h="1" x="702"/>
        <item h="1" x="1285"/>
        <item h="1" x="63"/>
        <item h="1" x="561"/>
        <item h="1" x="631"/>
        <item h="1" x="970"/>
        <item h="1" x="947"/>
        <item h="1" x="1240"/>
        <item h="1" x="535"/>
        <item h="1" x="867"/>
        <item h="1" x="1150"/>
        <item h="1" x="340"/>
        <item h="1" x="296"/>
        <item h="1" x="443"/>
        <item h="1" x="383"/>
        <item h="1" x="810"/>
        <item h="1" x="87"/>
        <item h="1" x="989"/>
        <item h="1" x="385"/>
        <item h="1" x="122"/>
        <item h="1" x="1153"/>
        <item h="1" x="1096"/>
        <item h="1" x="390"/>
        <item h="1" x="982"/>
        <item h="1" x="1232"/>
        <item h="1" x="747"/>
        <item h="1" x="984"/>
        <item h="1" x="563"/>
        <item h="1" x="562"/>
        <item h="1" x="973"/>
        <item h="1" x="975"/>
        <item h="1" x="826"/>
        <item h="1" x="52"/>
        <item h="1" x="1218"/>
        <item h="1" x="628"/>
        <item h="1" x="529"/>
        <item h="1" x="76"/>
        <item h="1" x="570"/>
        <item h="1" x="594"/>
        <item h="1" x="613"/>
        <item h="1" x="270"/>
        <item h="1" x="183"/>
        <item h="1" x="79"/>
        <item h="1" x="896"/>
        <item h="1" x="1179"/>
        <item h="1" x="1043"/>
        <item h="1" x="1105"/>
        <item h="1" x="831"/>
        <item h="1" x="233"/>
        <item h="1" x="1023"/>
        <item h="1" x="651"/>
        <item h="1" x="1066"/>
        <item h="1" x="589"/>
        <item h="1" x="396"/>
        <item h="1" x="1013"/>
        <item h="1" x="988"/>
        <item h="1" x="957"/>
        <item h="1" x="788"/>
        <item h="1" x="508"/>
        <item h="1" x="905"/>
        <item h="1" x="1292"/>
        <item h="1" x="1022"/>
        <item h="1" x="1065"/>
        <item h="1" x="173"/>
        <item h="1" x="1039"/>
        <item h="1" x="323"/>
        <item h="1" x="251"/>
        <item h="1" x="4"/>
        <item h="1" x="1094"/>
        <item h="1" x="857"/>
        <item h="1" x="151"/>
        <item h="1" x="1143"/>
        <item h="1" x="1246"/>
        <item h="1" x="1172"/>
        <item h="1" x="181"/>
        <item h="1" x="281"/>
        <item h="1" x="230"/>
        <item h="1" x="586"/>
        <item h="1" x="916"/>
        <item h="1" x="614"/>
        <item h="1" x="176"/>
        <item h="1" x="944"/>
        <item h="1" x="394"/>
        <item h="1" x="1034"/>
        <item h="1" x="706"/>
        <item h="1" x="861"/>
        <item h="1" x="694"/>
        <item h="1" x="1228"/>
        <item h="1" x="314"/>
        <item h="1" x="815"/>
        <item h="1" x="1028"/>
        <item h="1" x="806"/>
        <item h="1" x="105"/>
        <item h="1" x="354"/>
        <item h="1" x="238"/>
        <item h="1" x="1193"/>
        <item h="1" x="580"/>
        <item h="1" x="1082"/>
        <item h="1" x="608"/>
        <item h="1" x="536"/>
        <item h="1" x="1095"/>
        <item h="1" x="395"/>
        <item h="1" x="847"/>
        <item h="1" x="750"/>
        <item h="1" x="621"/>
        <item h="1" x="622"/>
        <item h="1" x="1183"/>
        <item h="1" x="108"/>
        <item h="1" x="1255"/>
        <item h="1" x="34"/>
        <item h="1" x="1017"/>
        <item h="1" x="1063"/>
        <item h="1" x="1210"/>
        <item h="1" x="1042"/>
        <item h="1" x="365"/>
        <item h="1" x="991"/>
        <item h="1" x="218"/>
        <item h="1" x="639"/>
        <item h="1" x="1058"/>
        <item h="1" x="1018"/>
        <item h="1" x="1217"/>
        <item h="1" x="1271"/>
        <item h="1" x="798"/>
        <item h="1" x="555"/>
        <item h="1" x="1260"/>
        <item h="1" x="839"/>
        <item h="1" x="199"/>
        <item h="1" x="494"/>
        <item h="1" x="882"/>
        <item h="1" x="93"/>
        <item h="1" x="391"/>
        <item h="1" x="154"/>
        <item h="1" x="74"/>
        <item h="1" x="954"/>
        <item h="1" x="752"/>
        <item h="1" x="573"/>
        <item h="1" x="312"/>
        <item h="1" x="1069"/>
        <item h="1" x="1080"/>
        <item h="1" x="616"/>
        <item h="1" x="671"/>
        <item h="1" x="908"/>
        <item h="1" x="524"/>
        <item h="1" x="923"/>
        <item h="1" x="399"/>
        <item h="1" x="1247"/>
        <item h="1" x="674"/>
        <item h="1" x="808"/>
        <item h="1" x="649"/>
        <item h="1" x="288"/>
        <item h="1" x="587"/>
        <item h="1" x="786"/>
        <item h="1" x="749"/>
        <item h="1" x="1190"/>
        <item h="1" x="388"/>
        <item h="1" x="72"/>
        <item h="1" x="117"/>
        <item h="1" x="941"/>
        <item h="1" x="1159"/>
        <item h="1" x="1111"/>
        <item h="1" x="59"/>
        <item h="1" x="387"/>
        <item h="1" x="1057"/>
        <item h="1" x="90"/>
        <item x="48"/>
        <item h="1" x="78"/>
        <item h="1" x="903"/>
        <item h="1" x="66"/>
        <item h="1" x="995"/>
        <item h="1" x="1088"/>
        <item h="1" x="245"/>
        <item h="1" x="1272"/>
        <item h="1" x="714"/>
        <item h="1" x="110"/>
        <item h="1" x="1180"/>
        <item h="1" x="657"/>
        <item h="1" x="271"/>
        <item h="1" x="417"/>
        <item h="1" x="44"/>
        <item h="1" x="322"/>
        <item h="1" x="1117"/>
        <item h="1" x="523"/>
        <item h="1" x="36"/>
        <item h="1" x="54"/>
        <item h="1" x="1192"/>
        <item h="1" x="317"/>
        <item h="1" x="1283"/>
        <item h="1" x="166"/>
        <item h="1" x="772"/>
        <item h="1" x="497"/>
        <item h="1" x="175"/>
        <item h="1" x="357"/>
        <item h="1" x="170"/>
        <item h="1" x="1149"/>
        <item h="1" x="82"/>
        <item h="1" x="453"/>
        <item h="1" x="358"/>
        <item h="1" x="470"/>
        <item h="1" x="284"/>
        <item h="1" x="389"/>
        <item h="1" x="687"/>
        <item h="1" x="505"/>
        <item h="1" x="699"/>
        <item h="1" x="427"/>
        <item h="1" x="743"/>
        <item h="1" x="1119"/>
        <item h="1" x="559"/>
        <item h="1" x="473"/>
        <item h="1" x="160"/>
        <item h="1" x="1230"/>
        <item h="1" x="1204"/>
        <item h="1" x="733"/>
        <item h="1" x="827"/>
        <item h="1" x="735"/>
        <item h="1" x="1130"/>
        <item h="1" x="435"/>
        <item h="1" x="355"/>
        <item h="1" x="910"/>
        <item h="1" x="945"/>
        <item h="1" x="1242"/>
        <item h="1" x="1200"/>
        <item h="1" x="922"/>
        <item h="1" x="67"/>
        <item h="1" x="147"/>
        <item h="1" x="141"/>
        <item h="1" x="676"/>
        <item h="1" x="182"/>
        <item h="1" x="817"/>
        <item h="1" x="1201"/>
        <item h="1" x="22"/>
        <item h="1" x="678"/>
        <item h="1" x="940"/>
        <item h="1" x="948"/>
        <item h="1" x="61"/>
        <item h="1" x="928"/>
        <item h="1" x="599"/>
        <item h="1" x="258"/>
        <item h="1" x="1113"/>
        <item h="1" x="362"/>
        <item h="1" x="15"/>
        <item h="1" x="1173"/>
        <item h="1" x="1264"/>
        <item h="1" x="1004"/>
        <item h="1" x="575"/>
        <item h="1" x="886"/>
        <item h="1" x="131"/>
        <item h="1" x="691"/>
        <item h="1" x="1099"/>
        <item h="1" x="60"/>
        <item h="1" x="1090"/>
        <item h="1" x="129"/>
        <item h="1" x="703"/>
        <item h="1" x="642"/>
        <item h="1" x="1287"/>
        <item h="1" x="1025"/>
        <item h="1" x="221"/>
        <item h="1" x="465"/>
        <item h="1" x="1007"/>
        <item h="1" x="398"/>
        <item h="1" x="236"/>
        <item h="1" x="335"/>
        <item h="1" x="1098"/>
        <item h="1" x="426"/>
        <item h="1" x="822"/>
        <item h="1" x="661"/>
        <item h="1" x="1229"/>
        <item h="1" x="1244"/>
        <item h="1" x="1182"/>
        <item h="1" x="64"/>
        <item h="1" x="955"/>
        <item h="1" x="850"/>
        <item h="1" x="179"/>
        <item h="1" x="887"/>
        <item h="1" x="615"/>
        <item h="1" x="592"/>
        <item h="1" x="610"/>
        <item h="1" x="376"/>
        <item h="1" x="161"/>
        <item h="1" x="1266"/>
        <item h="1" x="450"/>
        <item h="1" x="65"/>
        <item h="1" x="1158"/>
        <item h="1" x="1103"/>
        <item h="1" x="768"/>
        <item h="1" x="302"/>
        <item h="1" x="656"/>
        <item h="1" x="667"/>
        <item h="1" x="1297"/>
        <item h="1" x="895"/>
        <item h="1" x="1169"/>
        <item h="1" x="21"/>
        <item h="1" x="548"/>
        <item h="1" x="486"/>
        <item h="1" x="1052"/>
        <item h="1" x="987"/>
        <item h="1" x="585"/>
        <item h="1" x="291"/>
        <item h="1" x="602"/>
        <item h="1" x="89"/>
        <item h="1" x="99"/>
        <item h="1" x="949"/>
        <item h="1" x="696"/>
        <item h="1" x="704"/>
        <item h="1" x="1131"/>
        <item h="1" x="8"/>
        <item h="1" x="513"/>
        <item h="1" x="838"/>
        <item x="157"/>
        <item h="1" x="1100"/>
        <item h="1" x="624"/>
        <item h="1" x="1132"/>
        <item h="1" x="814"/>
        <item h="1" x="930"/>
        <item h="1" x="801"/>
        <item h="1" x="872"/>
        <item h="1" x="9"/>
        <item h="1" x="113"/>
        <item h="1" x="5"/>
        <item h="1" x="1000"/>
        <item h="1" x="73"/>
        <item h="1" x="16"/>
        <item h="1" x="111"/>
        <item h="1" x="380"/>
        <item h="1" x="97"/>
        <item h="1" x="755"/>
        <item h="1" x="458"/>
        <item h="1" x="1068"/>
        <item h="1" x="1164"/>
        <item h="1" x="1167"/>
        <item h="1" x="69"/>
        <item h="1" x="39"/>
        <item h="1" x="1040"/>
        <item h="1" x="1054"/>
        <item h="1" x="112"/>
        <item h="1" x="439"/>
        <item h="1" x="202"/>
        <item h="1" x="229"/>
        <item h="1" x="316"/>
        <item h="1" x="1274"/>
        <item h="1" x="1296"/>
        <item h="1" x="637"/>
        <item h="1" x="276"/>
        <item h="1" x="777"/>
        <item h="1" x="877"/>
        <item h="1" x="1258"/>
        <item h="1" x="96"/>
        <item h="1" x="927"/>
        <item h="1" x="504"/>
        <item h="1" x="1109"/>
        <item h="1" x="1157"/>
        <item h="1" x="783"/>
        <item h="1" x="321"/>
        <item h="1" x="526"/>
        <item h="1" x="169"/>
        <item h="1" x="681"/>
        <item h="1" x="300"/>
        <item h="1" x="292"/>
        <item h="1" x="53"/>
        <item h="1" x="658"/>
        <item h="1" x="764"/>
        <item h="1" x="491"/>
        <item h="1" x="785"/>
        <item h="1" x="1079"/>
        <item h="1" x="50"/>
        <item h="1" x="1279"/>
        <item h="1" x="547"/>
        <item h="1" x="38"/>
        <item h="1" x="635"/>
        <item h="1" x="315"/>
        <item h="1" x="1231"/>
        <item h="1" x="668"/>
        <item h="1" x="726"/>
        <item h="1" x="952"/>
        <item h="1" x="1122"/>
        <item h="1" x="58"/>
        <item h="1" x="148"/>
        <item h="1" x="1123"/>
        <item h="1" x="604"/>
        <item h="1" x="294"/>
        <item h="1" x="854"/>
        <item h="1" x="225"/>
        <item h="1" x="269"/>
        <item h="1" x="190"/>
        <item h="1" x="1010"/>
        <item h="1" x="959"/>
        <item h="1" x="729"/>
        <item h="1" x="623"/>
        <item h="1" x="457"/>
        <item h="1" x="758"/>
        <item h="1" x="868"/>
        <item h="1" x="1008"/>
        <item h="1" x="977"/>
        <item h="1" x="794"/>
        <item h="1" x="1185"/>
        <item h="1" x="1202"/>
        <item h="1" x="137"/>
        <item h="1" x="757"/>
        <item h="1" x="686"/>
        <item h="1" x="136"/>
        <item h="1" x="2"/>
        <item h="1" x="521"/>
        <item h="1" x="646"/>
        <item h="1" x="625"/>
        <item h="1" x="437"/>
        <item h="1" x="1209"/>
        <item h="1" x="1206"/>
        <item h="1" x="1144"/>
        <item h="1" x="293"/>
        <item h="1" x="500"/>
        <item h="1" x="1189"/>
        <item h="1" x="1205"/>
        <item h="1" x="833"/>
        <item h="1" x="1168"/>
        <item h="1" x="1046"/>
        <item h="1" x="75"/>
        <item h="1" x="422"/>
        <item h="1" x="1002"/>
        <item h="1" x="1219"/>
        <item h="1" x="116"/>
        <item h="1" x="139"/>
        <item h="1" x="532"/>
        <item h="1" x="379"/>
        <item h="1" x="445"/>
        <item h="1" x="883"/>
        <item h="1" x="210"/>
        <item h="1" x="47"/>
        <item h="1" x="222"/>
        <item h="1" x="956"/>
        <item h="1" x="213"/>
        <item h="1" x="823"/>
        <item h="1" x="1269"/>
        <item h="1" x="736"/>
        <item h="1" x="901"/>
        <item h="1" x="24"/>
        <item h="1" x="27"/>
        <item h="1" x="912"/>
        <item h="1" x="844"/>
        <item h="1" x="405"/>
        <item h="1" x="712"/>
        <item h="1" x="767"/>
        <item h="1" x="551"/>
        <item h="1" x="879"/>
        <item h="1" x="717"/>
        <item h="1" x="103"/>
        <item h="1" x="368"/>
        <item h="1" x="1270"/>
        <item h="1" x="1245"/>
        <item h="1" x="262"/>
        <item h="1" x="1160"/>
        <item h="1" x="283"/>
        <item h="1" x="290"/>
        <item h="1" x="512"/>
        <item h="1" x="1141"/>
        <item h="1" x="1139"/>
        <item h="1" x="892"/>
        <item h="1" x="633"/>
        <item h="1" x="1029"/>
        <item h="1" x="875"/>
        <item h="1" x="572"/>
        <item h="1" x="519"/>
        <item h="1" x="153"/>
        <item h="1" x="217"/>
        <item h="1" x="310"/>
        <item h="1" x="898"/>
        <item h="1" x="401"/>
        <item h="1" x="306"/>
        <item h="1" x="346"/>
        <item h="1" x="1112"/>
        <item h="1" x="1011"/>
        <item h="1" x="260"/>
        <item h="1" x="1037"/>
        <item h="1" x="367"/>
        <item h="1" x="711"/>
        <item h="1" x="983"/>
        <item h="1" x="219"/>
        <item h="1" x="902"/>
        <item h="1" x="1062"/>
        <item h="1" x="725"/>
        <item h="1" x="971"/>
        <item h="1" x="255"/>
        <item h="1" x="1121"/>
        <item h="1" x="732"/>
        <item h="1" x="1293"/>
        <item h="1" x="474"/>
        <item h="1" x="779"/>
        <item h="1" x="477"/>
        <item h="1" x="180"/>
        <item h="1" x="1091"/>
        <item h="1" x="1016"/>
        <item h="1" x="705"/>
        <item h="1" x="692"/>
        <item h="1" x="527"/>
        <item h="1" x="632"/>
        <item h="1" x="41"/>
        <item h="1" x="165"/>
        <item h="1" x="94"/>
        <item h="1" x="856"/>
        <item h="1" x="1026"/>
        <item h="1" x="95"/>
        <item h="1" x="577"/>
        <item h="1" x="1127"/>
        <item h="1" x="763"/>
        <item h="1" x="595"/>
        <item h="1" x="739"/>
        <item h="1" x="496"/>
        <item h="1" x="881"/>
        <item h="1" x="782"/>
        <item h="1" x="866"/>
        <item h="1" x="1124"/>
        <item h="1" x="509"/>
        <item h="1" x="1061"/>
        <item h="1" x="929"/>
        <item h="1" x="392"/>
        <item h="1" x="1006"/>
        <item h="1" x="313"/>
        <item h="1" x="197"/>
        <item h="1" x="1227"/>
        <item h="1" x="1012"/>
        <item h="1" x="824"/>
        <item h="1" x="85"/>
        <item h="1" x="1277"/>
        <item h="1" x="286"/>
        <item h="1" x="894"/>
        <item h="1" x="753"/>
        <item h="1" x="13"/>
        <item h="1" x="411"/>
        <item h="1" x="835"/>
        <item h="1" x="499"/>
        <item h="1" x="1181"/>
        <item h="1" x="921"/>
        <item h="1" x="272"/>
        <item h="1" x="552"/>
        <item h="1" x="402"/>
        <item h="1" x="143"/>
        <item h="1" x="297"/>
        <item h="1" x="1084"/>
        <item h="1" x="481"/>
        <item h="1" x="459"/>
        <item h="1" x="601"/>
        <item h="1" x="277"/>
        <item h="1" x="237"/>
        <item h="1" x="1177"/>
        <item h="1" x="958"/>
        <item h="1" x="1281"/>
        <item h="1" x="305"/>
        <item h="1" x="419"/>
        <item h="1" x="797"/>
        <item h="1" x="18"/>
        <item h="1" x="626"/>
        <item h="1" x="138"/>
        <item h="1" x="859"/>
        <item h="1" x="567"/>
        <item h="1" x="933"/>
        <item h="1" x="576"/>
        <item h="1" x="852"/>
        <item h="1" x="263"/>
        <item h="1" x="998"/>
        <item h="1" x="603"/>
        <item h="1" x="543"/>
        <item h="1" x="849"/>
        <item h="1" x="466"/>
        <item h="1" x="734"/>
        <item h="1" x="760"/>
        <item h="1" x="30"/>
        <item h="1" x="86"/>
        <item h="1" x="804"/>
        <item h="1" x="107"/>
        <item h="1" x="846"/>
        <item h="1" x="774"/>
        <item h="1" x="226"/>
        <item h="1" x="522"/>
        <item h="1" x="156"/>
        <item h="1" x="919"/>
        <item h="1" x="1015"/>
        <item h="1" x="796"/>
        <item h="1" x="690"/>
        <item h="1" x="802"/>
        <item h="1" x="0"/>
        <item h="1" x="1184"/>
        <item h="1" x="511"/>
        <item h="1" x="803"/>
        <item h="1" x="1148"/>
        <item h="1" x="195"/>
        <item h="1" x="252"/>
        <item h="1" x="630"/>
        <item h="1" x="184"/>
        <item h="1" x="320"/>
        <item h="1" x="1257"/>
        <item h="1" x="480"/>
        <item h="1" x="571"/>
        <item h="1" x="186"/>
        <item h="1" x="80"/>
        <item h="1" x="697"/>
        <item h="1" x="598"/>
        <item h="1" x="738"/>
        <item h="1" x="549"/>
        <item h="1" x="1238"/>
        <item h="1" x="1248"/>
        <item h="1" x="781"/>
        <item h="1" x="1155"/>
        <item h="1" x="942"/>
        <item h="1" x="146"/>
        <item h="1" x="897"/>
        <item h="1" x="189"/>
        <item h="1" x="1236"/>
        <item h="1" x="744"/>
        <item h="1" x="1081"/>
        <item h="1" x="530"/>
        <item h="1" x="541"/>
        <item h="1" x="682"/>
        <item h="1" x="528"/>
        <item h="1" x="374"/>
        <item h="1" x="1120"/>
        <item h="1" x="840"/>
        <item h="1" x="1041"/>
        <item h="1" x="240"/>
        <item h="1" x="168"/>
        <item h="1" x="880"/>
        <item h="1" x="1045"/>
        <item h="1" x="843"/>
        <item h="1" x="192"/>
        <item h="1" x="727"/>
        <item h="1" x="1224"/>
        <item h="1" x="740"/>
        <item h="1" x="6"/>
        <item h="1" x="345"/>
        <item h="1" x="1276"/>
        <item h="1" x="162"/>
        <item h="1" x="962"/>
        <item h="1" x="787"/>
        <item h="1" x="862"/>
        <item h="1" x="611"/>
        <item h="1" x="448"/>
        <item h="1" x="790"/>
        <item h="1" x="837"/>
        <item h="1" x="1024"/>
        <item h="1" x="1092"/>
        <item h="1" x="931"/>
        <item h="1" x="1060"/>
        <item h="1" x="33"/>
        <item h="1" x="581"/>
        <item h="1" x="762"/>
        <item h="1" x="482"/>
        <item h="1" x="829"/>
        <item h="1" x="741"/>
        <item h="1" x="476"/>
        <item h="1" x="485"/>
        <item h="1" x="1195"/>
        <item h="1" x="193"/>
        <item h="1" x="488"/>
        <item h="1" x="964"/>
        <item h="1" x="900"/>
        <item h="1" x="539"/>
        <item h="1" x="819"/>
        <item h="1" x="101"/>
        <item h="1" x="1030"/>
        <item h="1" x="858"/>
        <item h="1" x="109"/>
        <item h="1" x="558"/>
        <item h="1" x="363"/>
        <item h="1" x="795"/>
        <item h="1" x="88"/>
        <item h="1" x="516"/>
        <item h="1" x="578"/>
        <item h="1" x="155"/>
        <item h="1" x="554"/>
        <item h="1" x="1114"/>
        <item h="1" x="996"/>
        <item h="1" x="1035"/>
        <item h="1" x="408"/>
        <item h="1" x="564"/>
        <item h="1" x="377"/>
        <item h="1" x="899"/>
        <item h="1" x="200"/>
        <item h="1" x="49"/>
        <item h="1" x="636"/>
        <item h="1" x="863"/>
        <item h="1" x="159"/>
        <item h="1" x="479"/>
        <item h="1" x="728"/>
        <item h="1" x="332"/>
        <item h="1" x="855"/>
        <item h="1" x="472"/>
        <item h="1" x="938"/>
        <item h="1" x="1186"/>
        <item h="1" x="538"/>
        <item h="1" x="127"/>
        <item h="1" x="807"/>
        <item h="1" x="227"/>
        <item h="1" x="1044"/>
        <item h="1" x="609"/>
        <item h="1" x="584"/>
        <item h="1" x="1252"/>
        <item h="1" x="876"/>
        <item h="1" x="1165"/>
        <item h="1" x="326"/>
        <item h="1" x="77"/>
        <item h="1" x="45"/>
        <item h="1" x="1191"/>
        <item h="1" x="242"/>
        <item h="1" x="275"/>
        <item h="1" x="356"/>
        <item h="1" x="1163"/>
        <item h="1" x="285"/>
        <item h="1" x="370"/>
        <item h="1" x="724"/>
        <item h="1" x="3"/>
        <item h="1" x="860"/>
        <item h="1" x="265"/>
        <item h="1" x="679"/>
        <item h="1" x="684"/>
        <item h="1" x="393"/>
        <item h="1" x="32"/>
        <item h="1" x="35"/>
        <item h="1" x="382"/>
        <item x="999"/>
        <item h="1" x="438"/>
        <item h="1" x="436"/>
        <item h="1" x="888"/>
        <item h="1" x="341"/>
        <item h="1" x="654"/>
        <item h="1" x="415"/>
        <item h="1" x="531"/>
        <item h="1" x="540"/>
        <item h="1" x="701"/>
        <item h="1" x="274"/>
        <item h="1" x="468"/>
        <item h="1" x="167"/>
        <item h="1" x="386"/>
        <item h="1" x="1"/>
        <item h="1" x="1291"/>
        <item h="1" x="31"/>
        <item h="1" x="993"/>
        <item h="1" x="776"/>
        <item h="1" x="640"/>
        <item h="1" x="266"/>
        <item h="1" x="1253"/>
        <item h="1" x="545"/>
        <item h="1" x="20"/>
        <item h="1" x="403"/>
        <item h="1" x="366"/>
        <item h="1" x="845"/>
        <item h="1" x="172"/>
        <item h="1" x="926"/>
        <item h="1" x="214"/>
        <item h="1" x="309"/>
        <item h="1" x="666"/>
        <item h="1" x="992"/>
        <item h="1" x="1020"/>
        <item h="1" x="158"/>
        <item h="1" x="1178"/>
        <item h="1" x="1261"/>
        <item h="1" x="544"/>
        <item h="1" x="721"/>
        <item h="1" x="250"/>
        <item h="1" x="430"/>
        <item h="1" x="253"/>
        <item h="1" x="207"/>
        <item h="1" x="328"/>
        <item h="1" x="11"/>
        <item h="1" x="723"/>
        <item h="1" x="986"/>
        <item h="1" x="1047"/>
        <item h="1" x="597"/>
        <item h="1" x="304"/>
        <item h="1" x="618"/>
        <item h="1" x="1009"/>
        <item h="1" x="709"/>
        <item h="1" x="428"/>
        <item h="1" x="951"/>
        <item h="1" x="1076"/>
        <item h="1" x="591"/>
        <item h="1" x="1108"/>
        <item h="1" x="937"/>
        <item h="1" x="43"/>
        <item h="1" x="1097"/>
        <item h="1" x="799"/>
        <item h="1" x="617"/>
        <item h="1" x="1115"/>
        <item h="1" x="904"/>
        <item h="1" x="731"/>
        <item h="1" x="619"/>
        <item h="1" x="425"/>
        <item h="1" x="1050"/>
        <item h="1" x="185"/>
        <item h="1" x="455"/>
        <item h="1" x="907"/>
        <item h="1" x="583"/>
        <item h="1" x="216"/>
        <item h="1" x="708"/>
        <item h="1" x="841"/>
        <item h="1" x="257"/>
        <item h="1" x="813"/>
        <item h="1" x="40"/>
        <item h="1" x="400"/>
        <item h="1" x="1207"/>
        <item h="1" x="911"/>
        <item h="1" x="410"/>
        <item h="1" x="212"/>
        <item h="1" x="407"/>
        <item h="1" x="273"/>
        <item h="1" x="1128"/>
        <item h="1" x="553"/>
        <item h="1" x="287"/>
        <item h="1" x="812"/>
        <item h="1" x="1133"/>
        <item h="1" x="171"/>
        <item h="1" x="464"/>
        <item h="1" x="198"/>
        <item h="1" x="1265"/>
        <item h="1" x="469"/>
        <item h="1" x="1208"/>
        <item h="1" x="533"/>
        <item h="1" x="1027"/>
        <item h="1" x="1176"/>
        <item h="1" x="493"/>
        <item h="1" x="492"/>
        <item h="1" x="348"/>
        <item h="1" x="343"/>
        <item h="1" x="569"/>
        <item h="1" x="820"/>
        <item h="1" x="1216"/>
        <item h="1" x="307"/>
        <item h="1" x="821"/>
        <item h="1" x="62"/>
        <item h="1" x="295"/>
        <item h="1" x="1003"/>
        <item h="1" x="972"/>
        <item h="1" x="244"/>
        <item h="1" x="645"/>
        <item h="1" x="83"/>
        <item h="1" x="28"/>
        <item h="1" x="121"/>
        <item h="1" x="42"/>
        <item h="1" x="29"/>
        <item h="1" x="384"/>
        <item h="1" x="518"/>
        <item h="1" x="451"/>
        <item h="1" x="100"/>
        <item h="1" x="247"/>
        <item h="1" x="848"/>
        <item h="1" x="1136"/>
        <item h="1" x="537"/>
        <item h="1" x="208"/>
        <item h="1" x="232"/>
        <item h="1" x="961"/>
        <item h="1" x="906"/>
        <item h="1" x="878"/>
        <item h="1" x="23"/>
        <item h="1" x="228"/>
        <item h="1" x="1212"/>
        <item h="1" x="235"/>
        <item h="1" x="770"/>
        <item h="1" x="327"/>
        <item h="1" x="188"/>
        <item h="1" x="765"/>
        <item h="1" x="663"/>
        <item h="1" x="203"/>
        <item h="1" x="490"/>
        <item h="1" x="502"/>
        <item h="1" x="1188"/>
        <item h="1" x="600"/>
        <item h="1" x="566"/>
        <item h="1" x="452"/>
        <item h="1" x="37"/>
        <item h="1" x="1251"/>
        <item h="1" x="1032"/>
        <item h="1" x="830"/>
        <item h="1" x="1048"/>
        <item h="1" x="1267"/>
        <item h="1" x="990"/>
        <item h="1" x="638"/>
        <item h="1" x="409"/>
        <item h="1" x="142"/>
        <item h="1" x="132"/>
        <item h="1" x="145"/>
        <item h="1" x="91"/>
        <item h="1" x="976"/>
        <item h="1" x="588"/>
        <item h="1" x="1125"/>
        <item h="1" x="655"/>
        <item h="1" x="359"/>
        <item h="1" x="925"/>
        <item h="1" x="805"/>
        <item h="1" x="471"/>
        <item h="1" x="440"/>
        <item h="1" x="1214"/>
        <item h="1" x="334"/>
        <item h="1" x="329"/>
        <item h="1" x="372"/>
        <item h="1" x="851"/>
        <item h="1" x="722"/>
        <item h="1" x="1194"/>
        <item h="1" x="424"/>
        <item h="1" x="884"/>
        <item h="1" x="825"/>
        <item h="1" x="695"/>
        <item h="1" x="1001"/>
        <item h="1" x="560"/>
        <item h="1" x="432"/>
        <item h="1" x="792"/>
        <item h="1" x="967"/>
        <item h="1" x="378"/>
        <item h="1" x="689"/>
        <item h="1" x="1187"/>
        <item h="1" x="917"/>
        <item h="1" x="46"/>
        <item h="1" x="98"/>
        <item h="1" x="506"/>
        <item h="1" x="338"/>
        <item h="1" x="264"/>
        <item h="1" x="220"/>
        <item h="1" x="659"/>
        <item h="1" x="771"/>
        <item h="1" x="746"/>
        <item h="1" x="1151"/>
        <item h="1" x="759"/>
        <item h="1" x="130"/>
        <item h="1" x="1070"/>
        <item x="871"/>
        <item h="1" x="665"/>
        <item h="1" x="1056"/>
        <item h="1" x="1033"/>
        <item h="1" x="650"/>
        <item h="1" x="662"/>
        <item h="1" x="920"/>
        <item h="1" x="864"/>
        <item h="1" x="447"/>
        <item h="1" x="119"/>
        <item h="1" x="350"/>
        <item h="1" x="653"/>
        <item h="1" x="641"/>
        <item h="1" x="68"/>
        <item h="1" x="344"/>
        <item h="1" x="115"/>
        <item h="1" x="397"/>
        <item h="1" x="164"/>
        <item h="1" x="231"/>
        <item h="1" x="660"/>
        <item h="1" x="501"/>
        <item h="1" x="318"/>
        <item h="1" x="325"/>
        <item h="1" x="1072"/>
        <item h="1" x="125"/>
        <item h="1" x="1262"/>
        <item h="1" x="371"/>
        <item h="1" x="745"/>
        <item h="1" x="978"/>
        <item h="1" x="800"/>
        <item h="1" x="780"/>
        <item h="1" x="698"/>
        <item h="1" x="593"/>
        <item h="1" x="1118"/>
        <item h="1" x="1298"/>
        <item h="1" x="1198"/>
        <item h="1" x="748"/>
        <item h="1" x="460"/>
        <item h="1" x="1089"/>
        <item h="1" x="1101"/>
        <item h="1" x="596"/>
        <item h="1" x="828"/>
        <item h="1" x="915"/>
        <item h="1" x="1055"/>
        <item h="1" x="556"/>
        <item h="1" x="946"/>
        <item h="1" x="773"/>
        <item h="1" x="503"/>
        <item h="1" x="1051"/>
        <item h="1" x="730"/>
        <item h="1" x="17"/>
        <item h="1" x="1038"/>
        <item h="1" x="1295"/>
        <item h="1" x="1073"/>
        <item h="1" x="542"/>
        <item h="1" x="565"/>
        <item h="1" x="974"/>
        <item h="1" x="590"/>
        <item h="1" x="707"/>
        <item h="1" x="811"/>
        <item h="1" x="241"/>
        <item h="1" x="789"/>
        <item h="1" x="414"/>
        <item h="1" x="150"/>
        <item h="1" x="1104"/>
        <item h="1" x="775"/>
        <item h="1" x="487"/>
        <item h="1" x="429"/>
        <item h="1" x="1280"/>
        <item h="1" x="1237"/>
        <item h="1" x="71"/>
        <item h="1" x="1286"/>
        <item h="1" x="1259"/>
        <item h="1" x="483"/>
        <item h="1" x="1290"/>
        <item h="1" x="1059"/>
        <item h="1" x="568"/>
        <item h="1" x="421"/>
        <item h="1" x="873"/>
        <item h="1" x="196"/>
        <item h="1" x="1249"/>
        <item h="1" x="809"/>
        <item h="1" x="893"/>
        <item h="1" x="205"/>
        <item h="1" x="1053"/>
        <item h="1" x="950"/>
        <item h="1" x="1071"/>
        <item h="1" x="475"/>
        <item h="1" x="836"/>
        <item h="1" x="1031"/>
        <item h="1" x="1064"/>
        <item h="1" x="550"/>
        <item h="1" x="201"/>
        <item h="1" x="19"/>
        <item h="1" x="865"/>
        <item h="1" x="688"/>
        <item h="1" x="557"/>
        <item h="1" x="1083"/>
        <item h="1" x="834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t="default"/>
      </items>
    </pivotField>
  </pivotFields>
  <rowFields count="1">
    <field x="25"/>
  </rowFields>
  <rowItems count="3">
    <i>
      <x v="445"/>
    </i>
    <i>
      <x v="996"/>
    </i>
    <i t="grand">
      <x/>
    </i>
  </rowItems>
  <colItems count="1">
    <i/>
  </colItems>
  <pageFields count="3">
    <pageField fld="16" hier="-1"/>
    <pageField fld="15" hier="-1"/>
    <pageField fld="13" hier="-1"/>
  </pageFields>
  <dataFields count="1">
    <dataField name="Suma de Cuenta_Dia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2000000}" name="TablaDinámica1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9:B52" firstHeaderRow="1" firstDataRow="1" firstDataCol="1" rowPageCount="3" colPageCount="1"/>
  <pivotFields count="26">
    <pivotField numFmtId="14" showAl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10" showAll="0"/>
    <pivotField axis="axisPage" multipleItemSelectionAllowed="1" showAll="0">
      <items count="7">
        <item h="1" x="0"/>
        <item h="1" x="3"/>
        <item h="1" x="2"/>
        <item x="1"/>
        <item h="1" x="4"/>
        <item h="1" x="5"/>
        <item t="default"/>
      </items>
    </pivotField>
    <pivotField showAll="0"/>
    <pivotField axis="axisPage" multipleItemSelectionAllowed="1" showAll="0">
      <items count="13">
        <item x="10"/>
        <item h="1" x="11"/>
        <item h="1" x="7"/>
        <item h="1" x="0"/>
        <item h="1" x="1"/>
        <item h="1" x="2"/>
        <item h="1" x="3"/>
        <item h="1" x="4"/>
        <item h="1" x="5"/>
        <item h="1" x="6"/>
        <item h="1" x="8"/>
        <item h="1" x="9"/>
        <item t="default"/>
      </items>
    </pivotField>
    <pivotField axis="axisPage" numFmtId="1" multipleItemSelectionAllowed="1" showAll="0">
      <items count="4">
        <item h="1" x="0"/>
        <item h="1" x="1"/>
        <item x="2"/>
        <item t="default"/>
      </items>
    </pivotField>
    <pivotField numFmtId="1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425">
        <item h="1" x="1222"/>
        <item h="1" x="1263"/>
        <item h="1" x="10"/>
        <item h="1" x="441"/>
        <item h="1" x="1147"/>
        <item h="1" x="298"/>
        <item h="1" x="943"/>
        <item h="1" x="909"/>
        <item h="1" x="1234"/>
        <item h="1" x="769"/>
        <item h="1" x="515"/>
        <item h="1" x="177"/>
        <item h="1" x="720"/>
        <item h="1" x="627"/>
        <item h="1" x="1170"/>
        <item h="1" x="606"/>
        <item h="1" x="1174"/>
        <item h="1" x="1294"/>
        <item h="1" x="128"/>
        <item h="1" x="118"/>
        <item h="1" x="442"/>
        <item h="1" x="462"/>
        <item h="1" x="1239"/>
        <item h="1" x="209"/>
        <item h="1" x="498"/>
        <item h="1" x="1077"/>
        <item h="1" x="461"/>
        <item h="1" x="423"/>
        <item h="1" x="92"/>
        <item h="1" x="84"/>
        <item h="1" x="234"/>
        <item h="1" x="1145"/>
        <item h="1" x="510"/>
        <item h="1" x="816"/>
        <item h="1" x="420"/>
        <item h="1" x="489"/>
        <item h="1" x="120"/>
        <item h="1" x="301"/>
        <item h="1" x="612"/>
        <item h="1" x="968"/>
        <item h="1" x="289"/>
        <item h="1" x="980"/>
        <item h="1" x="791"/>
        <item h="1" x="413"/>
        <item h="1" x="353"/>
        <item h="1" x="268"/>
        <item h="1" x="215"/>
        <item h="1" x="444"/>
        <item h="1" x="70"/>
        <item h="1" x="1254"/>
        <item h="1" x="249"/>
        <item h="1" x="1223"/>
        <item h="1" x="149"/>
        <item h="1" x="319"/>
        <item h="1" x="874"/>
        <item h="1" x="997"/>
        <item h="1" x="239"/>
        <item h="1" x="1129"/>
        <item h="1" x="634"/>
        <item h="1" x="1116"/>
        <item h="1" x="360"/>
        <item h="1" x="364"/>
        <item h="1" x="191"/>
        <item h="1" x="1199"/>
        <item h="1" x="1078"/>
        <item h="1" x="670"/>
        <item h="1" x="246"/>
        <item h="1" x="525"/>
        <item h="1" x="664"/>
        <item h="1" x="308"/>
        <item h="1" x="960"/>
        <item h="1" x="754"/>
        <item h="1" x="710"/>
        <item h="1" x="144"/>
        <item h="1" x="1241"/>
        <item h="1" x="784"/>
        <item h="1" x="700"/>
        <item h="1" x="643"/>
        <item h="1" x="742"/>
        <item h="1" x="534"/>
        <item h="1" x="56"/>
        <item h="1" x="280"/>
        <item h="1" x="517"/>
        <item h="1" x="178"/>
        <item h="1" x="26"/>
        <item h="1" x="303"/>
        <item h="1" x="339"/>
        <item h="1" x="669"/>
        <item h="1" x="55"/>
        <item h="1" x="1196"/>
        <item h="1" x="126"/>
        <item h="1" x="337"/>
        <item h="1" x="152"/>
        <item h="1" x="369"/>
        <item h="1" x="454"/>
        <item h="1" x="267"/>
        <item h="1" x="1250"/>
        <item h="1" x="607"/>
        <item h="1" x="885"/>
        <item h="1" x="953"/>
        <item h="1" x="1221"/>
        <item h="1" x="140"/>
        <item h="1" x="7"/>
        <item h="1" x="347"/>
        <item h="1" x="1106"/>
        <item h="1" x="652"/>
        <item h="1" x="224"/>
        <item h="1" x="330"/>
        <item h="1" x="693"/>
        <item h="1" x="1275"/>
        <item h="1" x="1282"/>
        <item h="1" x="1220"/>
        <item h="1" x="939"/>
        <item h="1" x="1284"/>
        <item h="1" x="675"/>
        <item h="1" x="1049"/>
        <item h="1" x="1134"/>
        <item h="1" x="1268"/>
        <item h="1" x="918"/>
        <item h="1" x="761"/>
        <item h="1" x="1233"/>
        <item h="1" x="582"/>
        <item h="1" x="965"/>
        <item h="1" x="416"/>
        <item h="1" x="934"/>
        <item h="1" x="685"/>
        <item h="1" x="1102"/>
        <item h="1" x="1171"/>
        <item h="1" x="123"/>
        <item h="1" x="778"/>
        <item h="1" x="248"/>
        <item h="1" x="914"/>
        <item h="1" x="994"/>
        <item h="1" x="254"/>
        <item h="1" x="174"/>
        <item h="1" x="361"/>
        <item h="1" x="187"/>
        <item h="1" x="913"/>
        <item h="1" x="1278"/>
        <item h="1" x="25"/>
        <item h="1" x="324"/>
        <item h="1" x="1215"/>
        <item h="1" x="467"/>
        <item h="1" x="853"/>
        <item h="1" x="935"/>
        <item h="1" x="446"/>
        <item h="1" x="223"/>
        <item h="1" x="194"/>
        <item h="1" x="979"/>
        <item h="1" x="431"/>
        <item h="1" x="1093"/>
        <item h="1" x="842"/>
        <item h="1" x="936"/>
        <item h="1" x="1235"/>
        <item h="1" x="163"/>
        <item h="1" x="256"/>
        <item h="1" x="484"/>
        <item h="1" x="279"/>
        <item h="1" x="683"/>
        <item h="1" x="1110"/>
        <item h="1" x="1156"/>
        <item h="1" x="677"/>
        <item h="1" x="211"/>
        <item h="1" x="889"/>
        <item h="1" x="14"/>
        <item h="1" x="418"/>
        <item h="1" x="629"/>
        <item h="1" x="278"/>
        <item h="1" x="261"/>
        <item h="1" x="985"/>
        <item h="1" x="1273"/>
        <item h="1" x="963"/>
        <item h="1" x="406"/>
        <item h="1" x="766"/>
        <item h="1" x="713"/>
        <item h="1" x="1226"/>
        <item h="1" x="81"/>
        <item h="1" x="1021"/>
        <item h="1" x="1288"/>
        <item h="1" x="719"/>
        <item h="1" x="1019"/>
        <item h="1" x="891"/>
        <item h="1" x="890"/>
        <item h="1" x="333"/>
        <item h="1" x="672"/>
        <item h="1" x="1161"/>
        <item h="1" x="870"/>
        <item h="1" x="351"/>
        <item h="1" x="134"/>
        <item h="1" x="680"/>
        <item h="1" x="620"/>
        <item h="1" x="1087"/>
        <item h="1" x="1289"/>
        <item h="1" x="336"/>
        <item h="1" x="756"/>
        <item h="1" x="478"/>
        <item h="1" x="204"/>
        <item h="1" x="718"/>
        <item h="1" x="495"/>
        <item h="1" x="375"/>
        <item h="1" x="404"/>
        <item h="1" x="463"/>
        <item h="1" x="1256"/>
        <item h="1" x="299"/>
        <item h="1" x="1005"/>
        <item h="1" x="51"/>
        <item h="1" x="1074"/>
        <item h="1" x="507"/>
        <item h="1" x="449"/>
        <item h="1" x="456"/>
        <item h="1" x="1140"/>
        <item h="1" x="1166"/>
        <item h="1" x="282"/>
        <item h="1" x="206"/>
        <item h="1" x="412"/>
        <item h="1" x="243"/>
        <item h="1" x="832"/>
        <item h="1" x="644"/>
        <item h="1" x="737"/>
        <item h="1" x="546"/>
        <item h="1" x="647"/>
        <item h="1" x="648"/>
        <item h="1" x="1137"/>
        <item h="1" x="1075"/>
        <item h="1" x="715"/>
        <item h="1" x="135"/>
        <item h="1" x="1142"/>
        <item h="1" x="373"/>
        <item h="1" x="1126"/>
        <item h="1" x="342"/>
        <item h="1" x="433"/>
        <item h="1" x="981"/>
        <item h="1" x="381"/>
        <item h="1" x="579"/>
        <item h="1" x="1197"/>
        <item h="1" x="1014"/>
        <item h="1" x="818"/>
        <item h="1" x="1146"/>
        <item h="1" x="12"/>
        <item h="1" x="1225"/>
        <item h="1" x="966"/>
        <item h="1" x="1175"/>
        <item h="1" x="1162"/>
        <item h="1" x="605"/>
        <item h="1" x="969"/>
        <item h="1" x="106"/>
        <item h="1" x="311"/>
        <item h="1" x="716"/>
        <item h="1" x="349"/>
        <item h="1" x="1152"/>
        <item h="1" x="133"/>
        <item h="1" x="124"/>
        <item h="1" x="1138"/>
        <item h="1" x="1243"/>
        <item h="1" x="751"/>
        <item h="1" x="924"/>
        <item h="1" x="1203"/>
        <item h="1" x="514"/>
        <item h="1" x="352"/>
        <item h="1" x="1085"/>
        <item h="1" x="1154"/>
        <item h="1" x="1135"/>
        <item h="1" x="1213"/>
        <item h="1" x="259"/>
        <item h="1" x="574"/>
        <item h="1" x="114"/>
        <item h="1" x="793"/>
        <item h="1" x="932"/>
        <item h="1" x="1036"/>
        <item h="1" x="331"/>
        <item h="1" x="673"/>
        <item h="1" x="1107"/>
        <item h="1" x="1211"/>
        <item h="1" x="1086"/>
        <item h="1" x="434"/>
        <item h="1" x="102"/>
        <item h="1" x="104"/>
        <item h="1" x="1067"/>
        <item h="1" x="57"/>
        <item h="1" x="520"/>
        <item h="1" x="869"/>
        <item h="1" x="702"/>
        <item h="1" x="1285"/>
        <item h="1" x="63"/>
        <item h="1" x="561"/>
        <item h="1" x="631"/>
        <item h="1" x="970"/>
        <item h="1" x="947"/>
        <item h="1" x="1240"/>
        <item h="1" x="535"/>
        <item h="1" x="867"/>
        <item h="1" x="1150"/>
        <item h="1" x="340"/>
        <item h="1" x="296"/>
        <item h="1" x="443"/>
        <item h="1" x="383"/>
        <item h="1" x="810"/>
        <item h="1" x="87"/>
        <item h="1" x="989"/>
        <item h="1" x="385"/>
        <item h="1" x="122"/>
        <item h="1" x="1153"/>
        <item h="1" x="1096"/>
        <item h="1" x="390"/>
        <item h="1" x="982"/>
        <item h="1" x="1232"/>
        <item h="1" x="747"/>
        <item h="1" x="984"/>
        <item h="1" x="563"/>
        <item h="1" x="562"/>
        <item h="1" x="973"/>
        <item h="1" x="975"/>
        <item h="1" x="826"/>
        <item h="1" x="52"/>
        <item h="1" x="1218"/>
        <item h="1" x="628"/>
        <item h="1" x="529"/>
        <item h="1" x="76"/>
        <item h="1" x="570"/>
        <item h="1" x="594"/>
        <item h="1" x="613"/>
        <item h="1" x="270"/>
        <item h="1" x="183"/>
        <item h="1" x="79"/>
        <item h="1" x="896"/>
        <item h="1" x="1179"/>
        <item h="1" x="1043"/>
        <item h="1" x="1105"/>
        <item h="1" x="831"/>
        <item h="1" x="233"/>
        <item h="1" x="1023"/>
        <item h="1" x="651"/>
        <item h="1" x="1066"/>
        <item h="1" x="589"/>
        <item h="1" x="396"/>
        <item h="1" x="1013"/>
        <item h="1" x="988"/>
        <item h="1" x="957"/>
        <item h="1" x="788"/>
        <item h="1" x="508"/>
        <item h="1" x="905"/>
        <item h="1" x="1292"/>
        <item h="1" x="1022"/>
        <item h="1" x="1065"/>
        <item h="1" x="173"/>
        <item h="1" x="1039"/>
        <item h="1" x="323"/>
        <item h="1" x="251"/>
        <item h="1" x="4"/>
        <item h="1" x="1094"/>
        <item h="1" x="857"/>
        <item h="1" x="151"/>
        <item h="1" x="1143"/>
        <item h="1" x="1246"/>
        <item h="1" x="1172"/>
        <item h="1" x="181"/>
        <item h="1" x="281"/>
        <item h="1" x="230"/>
        <item h="1" x="586"/>
        <item h="1" x="916"/>
        <item h="1" x="614"/>
        <item h="1" x="176"/>
        <item h="1" x="944"/>
        <item h="1" x="394"/>
        <item h="1" x="1034"/>
        <item h="1" x="706"/>
        <item h="1" x="861"/>
        <item h="1" x="694"/>
        <item h="1" x="1228"/>
        <item h="1" x="314"/>
        <item h="1" x="815"/>
        <item h="1" x="1028"/>
        <item h="1" x="806"/>
        <item h="1" x="105"/>
        <item h="1" x="354"/>
        <item h="1" x="238"/>
        <item h="1" x="1193"/>
        <item h="1" x="580"/>
        <item h="1" x="1082"/>
        <item h="1" x="608"/>
        <item h="1" x="536"/>
        <item h="1" x="1095"/>
        <item h="1" x="395"/>
        <item h="1" x="847"/>
        <item h="1" x="750"/>
        <item h="1" x="621"/>
        <item h="1" x="622"/>
        <item h="1" x="1183"/>
        <item h="1" x="108"/>
        <item h="1" x="1255"/>
        <item h="1" x="34"/>
        <item h="1" x="1017"/>
        <item h="1" x="1063"/>
        <item h="1" x="1210"/>
        <item h="1" x="1042"/>
        <item h="1" x="365"/>
        <item h="1" x="991"/>
        <item h="1" x="218"/>
        <item h="1" x="639"/>
        <item h="1" x="1058"/>
        <item h="1" x="1018"/>
        <item h="1" x="1217"/>
        <item h="1" x="1271"/>
        <item h="1" x="798"/>
        <item h="1" x="555"/>
        <item h="1" x="1260"/>
        <item h="1" x="839"/>
        <item h="1" x="199"/>
        <item h="1" x="494"/>
        <item h="1" x="882"/>
        <item h="1" x="93"/>
        <item h="1" x="391"/>
        <item h="1" x="154"/>
        <item h="1" x="74"/>
        <item h="1" x="954"/>
        <item h="1" x="752"/>
        <item h="1" x="573"/>
        <item h="1" x="312"/>
        <item h="1" x="1069"/>
        <item h="1" x="1080"/>
        <item h="1" x="616"/>
        <item h="1" x="671"/>
        <item h="1" x="908"/>
        <item h="1" x="524"/>
        <item h="1" x="923"/>
        <item h="1" x="399"/>
        <item h="1" x="1247"/>
        <item h="1" x="674"/>
        <item h="1" x="808"/>
        <item h="1" x="649"/>
        <item h="1" x="288"/>
        <item h="1" x="587"/>
        <item h="1" x="786"/>
        <item h="1" x="749"/>
        <item h="1" x="1190"/>
        <item h="1" x="388"/>
        <item h="1" x="72"/>
        <item h="1" x="117"/>
        <item h="1" x="941"/>
        <item h="1" x="1159"/>
        <item h="1" x="1111"/>
        <item h="1" x="59"/>
        <item h="1" x="387"/>
        <item h="1" x="1057"/>
        <item h="1" x="90"/>
        <item x="48"/>
        <item h="1" x="78"/>
        <item h="1" x="903"/>
        <item h="1" x="66"/>
        <item h="1" x="995"/>
        <item h="1" x="1088"/>
        <item h="1" x="245"/>
        <item h="1" x="1272"/>
        <item h="1" x="714"/>
        <item h="1" x="110"/>
        <item h="1" x="1180"/>
        <item h="1" x="657"/>
        <item h="1" x="271"/>
        <item h="1" x="417"/>
        <item h="1" x="44"/>
        <item h="1" x="322"/>
        <item h="1" x="1117"/>
        <item h="1" x="523"/>
        <item h="1" x="36"/>
        <item h="1" x="54"/>
        <item h="1" x="1192"/>
        <item h="1" x="317"/>
        <item h="1" x="1283"/>
        <item h="1" x="166"/>
        <item h="1" x="772"/>
        <item h="1" x="497"/>
        <item h="1" x="175"/>
        <item h="1" x="357"/>
        <item h="1" x="170"/>
        <item h="1" x="1149"/>
        <item h="1" x="82"/>
        <item h="1" x="453"/>
        <item h="1" x="358"/>
        <item h="1" x="470"/>
        <item h="1" x="284"/>
        <item h="1" x="389"/>
        <item h="1" x="687"/>
        <item h="1" x="505"/>
        <item h="1" x="699"/>
        <item h="1" x="427"/>
        <item h="1" x="743"/>
        <item h="1" x="1119"/>
        <item h="1" x="559"/>
        <item h="1" x="473"/>
        <item h="1" x="160"/>
        <item h="1" x="1230"/>
        <item h="1" x="1204"/>
        <item h="1" x="733"/>
        <item h="1" x="827"/>
        <item h="1" x="735"/>
        <item h="1" x="1130"/>
        <item h="1" x="435"/>
        <item h="1" x="355"/>
        <item h="1" x="910"/>
        <item h="1" x="945"/>
        <item h="1" x="1242"/>
        <item h="1" x="1200"/>
        <item h="1" x="922"/>
        <item h="1" x="67"/>
        <item h="1" x="147"/>
        <item h="1" x="141"/>
        <item h="1" x="676"/>
        <item h="1" x="182"/>
        <item h="1" x="817"/>
        <item h="1" x="1201"/>
        <item h="1" x="22"/>
        <item h="1" x="678"/>
        <item h="1" x="940"/>
        <item h="1" x="948"/>
        <item h="1" x="61"/>
        <item h="1" x="928"/>
        <item h="1" x="599"/>
        <item h="1" x="258"/>
        <item h="1" x="1113"/>
        <item h="1" x="362"/>
        <item h="1" x="15"/>
        <item h="1" x="1173"/>
        <item h="1" x="1264"/>
        <item h="1" x="1004"/>
        <item h="1" x="575"/>
        <item h="1" x="886"/>
        <item h="1" x="131"/>
        <item h="1" x="691"/>
        <item h="1" x="1099"/>
        <item h="1" x="60"/>
        <item h="1" x="1090"/>
        <item h="1" x="129"/>
        <item h="1" x="703"/>
        <item h="1" x="642"/>
        <item h="1" x="1287"/>
        <item h="1" x="1025"/>
        <item h="1" x="221"/>
        <item h="1" x="465"/>
        <item h="1" x="1007"/>
        <item h="1" x="398"/>
        <item h="1" x="236"/>
        <item h="1" x="335"/>
        <item h="1" x="1098"/>
        <item h="1" x="426"/>
        <item h="1" x="822"/>
        <item h="1" x="661"/>
        <item h="1" x="1229"/>
        <item h="1" x="1244"/>
        <item h="1" x="1182"/>
        <item h="1" x="64"/>
        <item h="1" x="955"/>
        <item h="1" x="850"/>
        <item h="1" x="179"/>
        <item h="1" x="887"/>
        <item h="1" x="615"/>
        <item h="1" x="592"/>
        <item h="1" x="610"/>
        <item h="1" x="376"/>
        <item h="1" x="161"/>
        <item h="1" x="1266"/>
        <item h="1" x="450"/>
        <item h="1" x="65"/>
        <item h="1" x="1158"/>
        <item h="1" x="1103"/>
        <item h="1" x="768"/>
        <item h="1" x="302"/>
        <item h="1" x="656"/>
        <item h="1" x="667"/>
        <item h="1" x="1297"/>
        <item h="1" x="895"/>
        <item h="1" x="1169"/>
        <item h="1" x="21"/>
        <item h="1" x="548"/>
        <item h="1" x="486"/>
        <item h="1" x="1052"/>
        <item h="1" x="987"/>
        <item h="1" x="585"/>
        <item h="1" x="291"/>
        <item h="1" x="602"/>
        <item h="1" x="89"/>
        <item h="1" x="99"/>
        <item h="1" x="949"/>
        <item h="1" x="696"/>
        <item h="1" x="704"/>
        <item h="1" x="1131"/>
        <item h="1" x="8"/>
        <item h="1" x="513"/>
        <item h="1" x="838"/>
        <item x="157"/>
        <item h="1" x="1100"/>
        <item h="1" x="624"/>
        <item h="1" x="1132"/>
        <item h="1" x="814"/>
        <item h="1" x="930"/>
        <item h="1" x="801"/>
        <item h="1" x="872"/>
        <item h="1" x="9"/>
        <item h="1" x="113"/>
        <item h="1" x="5"/>
        <item h="1" x="1000"/>
        <item h="1" x="73"/>
        <item h="1" x="16"/>
        <item h="1" x="111"/>
        <item h="1" x="380"/>
        <item h="1" x="97"/>
        <item h="1" x="755"/>
        <item h="1" x="458"/>
        <item h="1" x="1068"/>
        <item h="1" x="1164"/>
        <item h="1" x="1167"/>
        <item h="1" x="69"/>
        <item h="1" x="39"/>
        <item h="1" x="1040"/>
        <item h="1" x="1054"/>
        <item h="1" x="112"/>
        <item h="1" x="439"/>
        <item h="1" x="202"/>
        <item h="1" x="229"/>
        <item h="1" x="316"/>
        <item h="1" x="1274"/>
        <item h="1" x="1296"/>
        <item h="1" x="637"/>
        <item h="1" x="276"/>
        <item h="1" x="777"/>
        <item h="1" x="877"/>
        <item h="1" x="1258"/>
        <item h="1" x="96"/>
        <item h="1" x="927"/>
        <item h="1" x="504"/>
        <item h="1" x="1109"/>
        <item h="1" x="1157"/>
        <item h="1" x="783"/>
        <item h="1" x="321"/>
        <item h="1" x="526"/>
        <item h="1" x="169"/>
        <item h="1" x="681"/>
        <item h="1" x="300"/>
        <item h="1" x="292"/>
        <item h="1" x="53"/>
        <item h="1" x="658"/>
        <item h="1" x="764"/>
        <item h="1" x="491"/>
        <item h="1" x="785"/>
        <item h="1" x="1079"/>
        <item h="1" x="50"/>
        <item h="1" x="1279"/>
        <item h="1" x="547"/>
        <item h="1" x="38"/>
        <item h="1" x="635"/>
        <item h="1" x="315"/>
        <item h="1" x="1231"/>
        <item h="1" x="668"/>
        <item h="1" x="726"/>
        <item h="1" x="952"/>
        <item h="1" x="1122"/>
        <item h="1" x="58"/>
        <item h="1" x="148"/>
        <item h="1" x="1123"/>
        <item h="1" x="604"/>
        <item h="1" x="294"/>
        <item h="1" x="854"/>
        <item h="1" x="225"/>
        <item h="1" x="269"/>
        <item h="1" x="190"/>
        <item h="1" x="1010"/>
        <item h="1" x="959"/>
        <item h="1" x="729"/>
        <item h="1" x="623"/>
        <item h="1" x="457"/>
        <item h="1" x="758"/>
        <item h="1" x="868"/>
        <item h="1" x="1008"/>
        <item h="1" x="977"/>
        <item h="1" x="794"/>
        <item h="1" x="1185"/>
        <item h="1" x="1202"/>
        <item h="1" x="137"/>
        <item h="1" x="757"/>
        <item h="1" x="686"/>
        <item h="1" x="136"/>
        <item h="1" x="2"/>
        <item h="1" x="521"/>
        <item h="1" x="646"/>
        <item h="1" x="625"/>
        <item h="1" x="437"/>
        <item h="1" x="1209"/>
        <item h="1" x="1206"/>
        <item h="1" x="1144"/>
        <item h="1" x="293"/>
        <item h="1" x="500"/>
        <item h="1" x="1189"/>
        <item h="1" x="1205"/>
        <item h="1" x="833"/>
        <item h="1" x="1168"/>
        <item h="1" x="1046"/>
        <item h="1" x="75"/>
        <item h="1" x="422"/>
        <item h="1" x="1002"/>
        <item h="1" x="1219"/>
        <item h="1" x="116"/>
        <item h="1" x="139"/>
        <item h="1" x="532"/>
        <item h="1" x="379"/>
        <item h="1" x="445"/>
        <item h="1" x="883"/>
        <item h="1" x="210"/>
        <item h="1" x="47"/>
        <item h="1" x="222"/>
        <item h="1" x="956"/>
        <item h="1" x="213"/>
        <item h="1" x="823"/>
        <item h="1" x="1269"/>
        <item h="1" x="736"/>
        <item h="1" x="901"/>
        <item h="1" x="24"/>
        <item h="1" x="27"/>
        <item h="1" x="912"/>
        <item h="1" x="844"/>
        <item h="1" x="405"/>
        <item h="1" x="712"/>
        <item h="1" x="767"/>
        <item h="1" x="551"/>
        <item h="1" x="879"/>
        <item h="1" x="717"/>
        <item h="1" x="103"/>
        <item h="1" x="368"/>
        <item h="1" x="1270"/>
        <item h="1" x="1245"/>
        <item h="1" x="262"/>
        <item h="1" x="1160"/>
        <item h="1" x="283"/>
        <item h="1" x="290"/>
        <item h="1" x="512"/>
        <item h="1" x="1141"/>
        <item h="1" x="1139"/>
        <item h="1" x="892"/>
        <item h="1" x="633"/>
        <item h="1" x="1029"/>
        <item h="1" x="875"/>
        <item h="1" x="572"/>
        <item h="1" x="519"/>
        <item h="1" x="153"/>
        <item h="1" x="217"/>
        <item h="1" x="310"/>
        <item h="1" x="898"/>
        <item h="1" x="401"/>
        <item h="1" x="306"/>
        <item h="1" x="346"/>
        <item h="1" x="1112"/>
        <item h="1" x="1011"/>
        <item h="1" x="260"/>
        <item h="1" x="1037"/>
        <item h="1" x="367"/>
        <item h="1" x="711"/>
        <item h="1" x="983"/>
        <item h="1" x="219"/>
        <item h="1" x="902"/>
        <item h="1" x="1062"/>
        <item h="1" x="725"/>
        <item h="1" x="971"/>
        <item h="1" x="255"/>
        <item h="1" x="1121"/>
        <item h="1" x="732"/>
        <item h="1" x="1293"/>
        <item h="1" x="474"/>
        <item h="1" x="779"/>
        <item h="1" x="477"/>
        <item h="1" x="180"/>
        <item h="1" x="1091"/>
        <item h="1" x="1016"/>
        <item h="1" x="705"/>
        <item h="1" x="692"/>
        <item h="1" x="527"/>
        <item h="1" x="632"/>
        <item h="1" x="41"/>
        <item h="1" x="165"/>
        <item h="1" x="94"/>
        <item h="1" x="856"/>
        <item h="1" x="1026"/>
        <item h="1" x="95"/>
        <item h="1" x="577"/>
        <item h="1" x="1127"/>
        <item h="1" x="763"/>
        <item h="1" x="595"/>
        <item h="1" x="739"/>
        <item h="1" x="496"/>
        <item h="1" x="881"/>
        <item h="1" x="782"/>
        <item h="1" x="866"/>
        <item h="1" x="1124"/>
        <item h="1" x="509"/>
        <item h="1" x="1061"/>
        <item h="1" x="929"/>
        <item h="1" x="392"/>
        <item h="1" x="1006"/>
        <item h="1" x="313"/>
        <item h="1" x="197"/>
        <item h="1" x="1227"/>
        <item h="1" x="1012"/>
        <item h="1" x="824"/>
        <item h="1" x="85"/>
        <item h="1" x="1277"/>
        <item h="1" x="286"/>
        <item h="1" x="894"/>
        <item h="1" x="753"/>
        <item h="1" x="13"/>
        <item h="1" x="411"/>
        <item h="1" x="835"/>
        <item h="1" x="499"/>
        <item h="1" x="1181"/>
        <item h="1" x="921"/>
        <item h="1" x="272"/>
        <item h="1" x="552"/>
        <item h="1" x="402"/>
        <item h="1" x="143"/>
        <item h="1" x="297"/>
        <item h="1" x="1084"/>
        <item h="1" x="481"/>
        <item h="1" x="459"/>
        <item h="1" x="601"/>
        <item h="1" x="277"/>
        <item h="1" x="237"/>
        <item h="1" x="1177"/>
        <item h="1" x="958"/>
        <item h="1" x="1281"/>
        <item h="1" x="305"/>
        <item h="1" x="419"/>
        <item h="1" x="797"/>
        <item h="1" x="18"/>
        <item h="1" x="626"/>
        <item h="1" x="138"/>
        <item h="1" x="859"/>
        <item h="1" x="567"/>
        <item h="1" x="933"/>
        <item h="1" x="576"/>
        <item h="1" x="852"/>
        <item h="1" x="263"/>
        <item h="1" x="998"/>
        <item h="1" x="603"/>
        <item h="1" x="543"/>
        <item h="1" x="849"/>
        <item h="1" x="466"/>
        <item h="1" x="734"/>
        <item h="1" x="760"/>
        <item h="1" x="30"/>
        <item h="1" x="86"/>
        <item h="1" x="804"/>
        <item h="1" x="107"/>
        <item h="1" x="846"/>
        <item h="1" x="774"/>
        <item h="1" x="226"/>
        <item h="1" x="522"/>
        <item h="1" x="156"/>
        <item h="1" x="919"/>
        <item h="1" x="1015"/>
        <item h="1" x="796"/>
        <item h="1" x="690"/>
        <item h="1" x="802"/>
        <item h="1" x="0"/>
        <item h="1" x="1184"/>
        <item h="1" x="511"/>
        <item h="1" x="803"/>
        <item h="1" x="1148"/>
        <item h="1" x="195"/>
        <item h="1" x="252"/>
        <item h="1" x="630"/>
        <item h="1" x="184"/>
        <item h="1" x="320"/>
        <item h="1" x="1257"/>
        <item h="1" x="480"/>
        <item h="1" x="571"/>
        <item h="1" x="186"/>
        <item h="1" x="80"/>
        <item h="1" x="697"/>
        <item h="1" x="598"/>
        <item h="1" x="738"/>
        <item h="1" x="549"/>
        <item h="1" x="1238"/>
        <item h="1" x="1248"/>
        <item h="1" x="781"/>
        <item h="1" x="1155"/>
        <item h="1" x="942"/>
        <item h="1" x="146"/>
        <item h="1" x="897"/>
        <item h="1" x="189"/>
        <item h="1" x="1236"/>
        <item h="1" x="744"/>
        <item h="1" x="1081"/>
        <item h="1" x="530"/>
        <item h="1" x="541"/>
        <item h="1" x="682"/>
        <item h="1" x="528"/>
        <item h="1" x="374"/>
        <item h="1" x="1120"/>
        <item h="1" x="840"/>
        <item h="1" x="1041"/>
        <item h="1" x="240"/>
        <item h="1" x="168"/>
        <item h="1" x="880"/>
        <item h="1" x="1045"/>
        <item h="1" x="843"/>
        <item h="1" x="192"/>
        <item h="1" x="727"/>
        <item h="1" x="1224"/>
        <item h="1" x="740"/>
        <item h="1" x="6"/>
        <item h="1" x="345"/>
        <item h="1" x="1276"/>
        <item h="1" x="162"/>
        <item h="1" x="962"/>
        <item h="1" x="787"/>
        <item h="1" x="862"/>
        <item h="1" x="611"/>
        <item h="1" x="448"/>
        <item h="1" x="790"/>
        <item h="1" x="837"/>
        <item h="1" x="1024"/>
        <item h="1" x="1092"/>
        <item h="1" x="931"/>
        <item h="1" x="1060"/>
        <item h="1" x="33"/>
        <item h="1" x="581"/>
        <item h="1" x="762"/>
        <item h="1" x="482"/>
        <item h="1" x="829"/>
        <item h="1" x="741"/>
        <item h="1" x="476"/>
        <item h="1" x="485"/>
        <item h="1" x="1195"/>
        <item h="1" x="193"/>
        <item h="1" x="488"/>
        <item h="1" x="964"/>
        <item h="1" x="900"/>
        <item h="1" x="539"/>
        <item h="1" x="819"/>
        <item h="1" x="101"/>
        <item h="1" x="1030"/>
        <item h="1" x="858"/>
        <item h="1" x="109"/>
        <item h="1" x="558"/>
        <item h="1" x="363"/>
        <item h="1" x="795"/>
        <item h="1" x="88"/>
        <item h="1" x="516"/>
        <item h="1" x="578"/>
        <item h="1" x="155"/>
        <item h="1" x="554"/>
        <item h="1" x="1114"/>
        <item h="1" x="996"/>
        <item h="1" x="1035"/>
        <item h="1" x="408"/>
        <item h="1" x="564"/>
        <item h="1" x="377"/>
        <item h="1" x="899"/>
        <item h="1" x="200"/>
        <item h="1" x="49"/>
        <item h="1" x="636"/>
        <item h="1" x="863"/>
        <item h="1" x="159"/>
        <item h="1" x="479"/>
        <item h="1" x="728"/>
        <item h="1" x="332"/>
        <item h="1" x="855"/>
        <item h="1" x="472"/>
        <item h="1" x="938"/>
        <item h="1" x="1186"/>
        <item h="1" x="538"/>
        <item h="1" x="127"/>
        <item h="1" x="807"/>
        <item h="1" x="227"/>
        <item h="1" x="1044"/>
        <item h="1" x="609"/>
        <item h="1" x="584"/>
        <item h="1" x="1252"/>
        <item h="1" x="876"/>
        <item h="1" x="1165"/>
        <item h="1" x="326"/>
        <item h="1" x="77"/>
        <item h="1" x="45"/>
        <item h="1" x="1191"/>
        <item h="1" x="242"/>
        <item h="1" x="275"/>
        <item h="1" x="356"/>
        <item h="1" x="1163"/>
        <item h="1" x="285"/>
        <item h="1" x="370"/>
        <item h="1" x="724"/>
        <item h="1" x="3"/>
        <item h="1" x="860"/>
        <item h="1" x="265"/>
        <item h="1" x="679"/>
        <item h="1" x="684"/>
        <item h="1" x="393"/>
        <item h="1" x="32"/>
        <item h="1" x="35"/>
        <item h="1" x="382"/>
        <item x="999"/>
        <item h="1" x="438"/>
        <item h="1" x="436"/>
        <item h="1" x="888"/>
        <item h="1" x="341"/>
        <item h="1" x="654"/>
        <item h="1" x="415"/>
        <item h="1" x="531"/>
        <item h="1" x="540"/>
        <item h="1" x="701"/>
        <item h="1" x="274"/>
        <item h="1" x="468"/>
        <item h="1" x="167"/>
        <item h="1" x="386"/>
        <item h="1" x="1"/>
        <item h="1" x="1291"/>
        <item h="1" x="31"/>
        <item h="1" x="993"/>
        <item h="1" x="776"/>
        <item h="1" x="640"/>
        <item h="1" x="266"/>
        <item h="1" x="1253"/>
        <item h="1" x="545"/>
        <item h="1" x="20"/>
        <item h="1" x="403"/>
        <item h="1" x="366"/>
        <item h="1" x="845"/>
        <item h="1" x="172"/>
        <item h="1" x="926"/>
        <item h="1" x="214"/>
        <item h="1" x="309"/>
        <item h="1" x="666"/>
        <item h="1" x="992"/>
        <item h="1" x="1020"/>
        <item h="1" x="158"/>
        <item h="1" x="1178"/>
        <item h="1" x="1261"/>
        <item h="1" x="544"/>
        <item h="1" x="721"/>
        <item h="1" x="250"/>
        <item h="1" x="430"/>
        <item h="1" x="253"/>
        <item h="1" x="207"/>
        <item h="1" x="328"/>
        <item h="1" x="11"/>
        <item h="1" x="723"/>
        <item h="1" x="986"/>
        <item h="1" x="1047"/>
        <item h="1" x="597"/>
        <item h="1" x="304"/>
        <item h="1" x="618"/>
        <item h="1" x="1009"/>
        <item h="1" x="709"/>
        <item h="1" x="428"/>
        <item h="1" x="951"/>
        <item h="1" x="1076"/>
        <item h="1" x="591"/>
        <item h="1" x="1108"/>
        <item h="1" x="937"/>
        <item h="1" x="43"/>
        <item h="1" x="1097"/>
        <item h="1" x="799"/>
        <item h="1" x="617"/>
        <item h="1" x="1115"/>
        <item h="1" x="904"/>
        <item h="1" x="731"/>
        <item h="1" x="619"/>
        <item h="1" x="425"/>
        <item h="1" x="1050"/>
        <item h="1" x="185"/>
        <item h="1" x="455"/>
        <item h="1" x="907"/>
        <item h="1" x="583"/>
        <item h="1" x="216"/>
        <item h="1" x="708"/>
        <item h="1" x="841"/>
        <item h="1" x="257"/>
        <item h="1" x="813"/>
        <item h="1" x="40"/>
        <item h="1" x="400"/>
        <item h="1" x="1207"/>
        <item h="1" x="911"/>
        <item h="1" x="410"/>
        <item h="1" x="212"/>
        <item h="1" x="407"/>
        <item h="1" x="273"/>
        <item h="1" x="1128"/>
        <item h="1" x="553"/>
        <item h="1" x="287"/>
        <item h="1" x="812"/>
        <item h="1" x="1133"/>
        <item h="1" x="171"/>
        <item h="1" x="464"/>
        <item h="1" x="198"/>
        <item h="1" x="1265"/>
        <item h="1" x="469"/>
        <item h="1" x="1208"/>
        <item h="1" x="533"/>
        <item h="1" x="1027"/>
        <item h="1" x="1176"/>
        <item h="1" x="493"/>
        <item h="1" x="492"/>
        <item h="1" x="348"/>
        <item h="1" x="343"/>
        <item h="1" x="569"/>
        <item h="1" x="820"/>
        <item h="1" x="1216"/>
        <item h="1" x="307"/>
        <item h="1" x="821"/>
        <item h="1" x="62"/>
        <item h="1" x="295"/>
        <item h="1" x="1003"/>
        <item h="1" x="972"/>
        <item h="1" x="244"/>
        <item h="1" x="645"/>
        <item h="1" x="83"/>
        <item h="1" x="28"/>
        <item h="1" x="121"/>
        <item h="1" x="42"/>
        <item h="1" x="29"/>
        <item h="1" x="384"/>
        <item h="1" x="518"/>
        <item h="1" x="451"/>
        <item h="1" x="100"/>
        <item h="1" x="247"/>
        <item h="1" x="848"/>
        <item h="1" x="1136"/>
        <item h="1" x="537"/>
        <item h="1" x="208"/>
        <item h="1" x="232"/>
        <item h="1" x="961"/>
        <item h="1" x="906"/>
        <item h="1" x="878"/>
        <item h="1" x="23"/>
        <item h="1" x="228"/>
        <item h="1" x="1212"/>
        <item h="1" x="235"/>
        <item h="1" x="770"/>
        <item h="1" x="327"/>
        <item h="1" x="188"/>
        <item h="1" x="765"/>
        <item h="1" x="663"/>
        <item h="1" x="203"/>
        <item h="1" x="490"/>
        <item h="1" x="502"/>
        <item h="1" x="1188"/>
        <item h="1" x="600"/>
        <item h="1" x="566"/>
        <item h="1" x="452"/>
        <item h="1" x="37"/>
        <item h="1" x="1251"/>
        <item h="1" x="1032"/>
        <item h="1" x="830"/>
        <item h="1" x="1048"/>
        <item h="1" x="1267"/>
        <item h="1" x="990"/>
        <item h="1" x="638"/>
        <item h="1" x="409"/>
        <item h="1" x="142"/>
        <item h="1" x="132"/>
        <item h="1" x="145"/>
        <item h="1" x="91"/>
        <item h="1" x="976"/>
        <item h="1" x="588"/>
        <item h="1" x="1125"/>
        <item h="1" x="655"/>
        <item h="1" x="359"/>
        <item h="1" x="925"/>
        <item h="1" x="805"/>
        <item h="1" x="471"/>
        <item h="1" x="440"/>
        <item h="1" x="1214"/>
        <item h="1" x="334"/>
        <item h="1" x="329"/>
        <item h="1" x="372"/>
        <item h="1" x="851"/>
        <item h="1" x="722"/>
        <item h="1" x="1194"/>
        <item h="1" x="424"/>
        <item h="1" x="884"/>
        <item h="1" x="825"/>
        <item h="1" x="695"/>
        <item h="1" x="1001"/>
        <item h="1" x="560"/>
        <item h="1" x="432"/>
        <item h="1" x="792"/>
        <item h="1" x="967"/>
        <item h="1" x="378"/>
        <item h="1" x="689"/>
        <item h="1" x="1187"/>
        <item h="1" x="917"/>
        <item h="1" x="46"/>
        <item h="1" x="98"/>
        <item h="1" x="506"/>
        <item h="1" x="338"/>
        <item h="1" x="264"/>
        <item h="1" x="220"/>
        <item h="1" x="659"/>
        <item h="1" x="771"/>
        <item h="1" x="746"/>
        <item h="1" x="1151"/>
        <item h="1" x="759"/>
        <item h="1" x="130"/>
        <item h="1" x="1070"/>
        <item x="871"/>
        <item h="1" x="665"/>
        <item h="1" x="1056"/>
        <item h="1" x="1033"/>
        <item h="1" x="650"/>
        <item h="1" x="662"/>
        <item h="1" x="920"/>
        <item h="1" x="864"/>
        <item h="1" x="447"/>
        <item h="1" x="119"/>
        <item h="1" x="350"/>
        <item h="1" x="653"/>
        <item h="1" x="641"/>
        <item h="1" x="68"/>
        <item h="1" x="344"/>
        <item h="1" x="115"/>
        <item h="1" x="397"/>
        <item h="1" x="164"/>
        <item h="1" x="231"/>
        <item h="1" x="660"/>
        <item h="1" x="501"/>
        <item h="1" x="318"/>
        <item h="1" x="325"/>
        <item h="1" x="1072"/>
        <item h="1" x="125"/>
        <item h="1" x="1262"/>
        <item h="1" x="371"/>
        <item h="1" x="745"/>
        <item h="1" x="978"/>
        <item h="1" x="800"/>
        <item h="1" x="780"/>
        <item h="1" x="698"/>
        <item h="1" x="593"/>
        <item h="1" x="1118"/>
        <item h="1" x="1298"/>
        <item h="1" x="1198"/>
        <item h="1" x="748"/>
        <item h="1" x="460"/>
        <item h="1" x="1089"/>
        <item h="1" x="1101"/>
        <item h="1" x="596"/>
        <item h="1" x="828"/>
        <item h="1" x="915"/>
        <item h="1" x="1055"/>
        <item h="1" x="556"/>
        <item h="1" x="946"/>
        <item h="1" x="773"/>
        <item h="1" x="503"/>
        <item h="1" x="1051"/>
        <item h="1" x="730"/>
        <item h="1" x="17"/>
        <item h="1" x="1038"/>
        <item h="1" x="1295"/>
        <item h="1" x="1073"/>
        <item h="1" x="542"/>
        <item h="1" x="565"/>
        <item h="1" x="974"/>
        <item h="1" x="590"/>
        <item h="1" x="707"/>
        <item h="1" x="811"/>
        <item h="1" x="241"/>
        <item h="1" x="789"/>
        <item h="1" x="414"/>
        <item h="1" x="150"/>
        <item h="1" x="1104"/>
        <item h="1" x="775"/>
        <item h="1" x="487"/>
        <item h="1" x="429"/>
        <item h="1" x="1280"/>
        <item h="1" x="1237"/>
        <item h="1" x="71"/>
        <item h="1" x="1286"/>
        <item h="1" x="1259"/>
        <item h="1" x="483"/>
        <item h="1" x="1290"/>
        <item h="1" x="1059"/>
        <item h="1" x="568"/>
        <item h="1" x="421"/>
        <item h="1" x="873"/>
        <item h="1" x="196"/>
        <item h="1" x="1249"/>
        <item h="1" x="809"/>
        <item h="1" x="893"/>
        <item h="1" x="205"/>
        <item h="1" x="1053"/>
        <item h="1" x="950"/>
        <item h="1" x="1071"/>
        <item h="1" x="475"/>
        <item h="1" x="836"/>
        <item h="1" x="1031"/>
        <item h="1" x="1064"/>
        <item h="1" x="550"/>
        <item h="1" x="201"/>
        <item h="1" x="19"/>
        <item h="1" x="865"/>
        <item h="1" x="688"/>
        <item h="1" x="557"/>
        <item h="1" x="1083"/>
        <item h="1" x="834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t="default"/>
      </items>
    </pivotField>
  </pivotFields>
  <rowFields count="1">
    <field x="25"/>
  </rowFields>
  <rowItems count="3">
    <i>
      <x v="445"/>
    </i>
    <i>
      <x v="996"/>
    </i>
    <i t="grand">
      <x/>
    </i>
  </rowItems>
  <colItems count="1">
    <i/>
  </colItems>
  <pageFields count="3">
    <pageField fld="16" hier="-1"/>
    <pageField fld="15" hier="-1"/>
    <pageField fld="13" hier="-1"/>
  </pageFields>
  <dataFields count="1">
    <dataField name="Suma de Margen_bruto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7000000}" name="TablaDinámica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6:B20" firstHeaderRow="1" firstDataRow="1" firstDataCol="1" rowPageCount="3" colPageCount="1"/>
  <pivotFields count="26">
    <pivotField numFmtId="14" showAl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10" showAll="0"/>
    <pivotField axis="axisPage" multipleItemSelectionAllowed="1" showAll="0">
      <items count="7">
        <item x="0"/>
        <item h="1" x="3"/>
        <item h="1" x="2"/>
        <item h="1" x="1"/>
        <item h="1" x="4"/>
        <item h="1" x="5"/>
        <item t="default"/>
      </items>
    </pivotField>
    <pivotField showAll="0"/>
    <pivotField axis="axisPage" multipleItemSelectionAllowed="1" showAll="0">
      <items count="13">
        <item x="10"/>
        <item h="1" x="11"/>
        <item h="1" x="7"/>
        <item h="1" x="0"/>
        <item h="1" x="1"/>
        <item h="1" x="2"/>
        <item h="1" x="3"/>
        <item h="1" x="4"/>
        <item h="1" x="5"/>
        <item h="1" x="6"/>
        <item h="1" x="8"/>
        <item h="1" x="9"/>
        <item t="default"/>
      </items>
    </pivotField>
    <pivotField axis="axisPage" numFmtId="1" multipleItemSelectionAllowed="1" showAll="0">
      <items count="4">
        <item h="1" x="0"/>
        <item h="1" x="1"/>
        <item x="2"/>
        <item t="default"/>
      </items>
    </pivotField>
    <pivotField numFmtId="1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425">
        <item h="1" x="1222"/>
        <item h="1" x="1263"/>
        <item h="1" x="10"/>
        <item h="1" x="441"/>
        <item h="1" x="1147"/>
        <item h="1" x="298"/>
        <item h="1" x="943"/>
        <item h="1" x="909"/>
        <item h="1" x="1234"/>
        <item h="1" x="769"/>
        <item h="1" x="515"/>
        <item h="1" x="177"/>
        <item h="1" x="720"/>
        <item h="1" x="627"/>
        <item h="1" x="1170"/>
        <item h="1" x="606"/>
        <item h="1" x="1174"/>
        <item h="1" x="1294"/>
        <item h="1" x="128"/>
        <item h="1" x="118"/>
        <item h="1" x="442"/>
        <item h="1" x="462"/>
        <item h="1" x="1239"/>
        <item h="1" x="209"/>
        <item h="1" x="498"/>
        <item h="1" x="1077"/>
        <item h="1" x="461"/>
        <item h="1" x="423"/>
        <item h="1" x="92"/>
        <item h="1" x="84"/>
        <item h="1" x="234"/>
        <item h="1" x="1145"/>
        <item h="1" x="510"/>
        <item h="1" x="816"/>
        <item h="1" x="420"/>
        <item h="1" x="489"/>
        <item h="1" x="120"/>
        <item h="1" x="301"/>
        <item h="1" x="612"/>
        <item h="1" x="968"/>
        <item h="1" x="289"/>
        <item h="1" x="980"/>
        <item h="1" x="791"/>
        <item h="1" x="413"/>
        <item h="1" x="353"/>
        <item h="1" x="268"/>
        <item h="1" x="215"/>
        <item h="1" x="444"/>
        <item h="1" x="70"/>
        <item h="1" x="1254"/>
        <item h="1" x="249"/>
        <item h="1" x="1223"/>
        <item h="1" x="149"/>
        <item h="1" x="319"/>
        <item h="1" x="874"/>
        <item h="1" x="997"/>
        <item h="1" x="239"/>
        <item h="1" x="1129"/>
        <item h="1" x="634"/>
        <item h="1" x="1116"/>
        <item h="1" x="360"/>
        <item h="1" x="364"/>
        <item h="1" x="191"/>
        <item h="1" x="1199"/>
        <item h="1" x="1078"/>
        <item h="1" x="670"/>
        <item h="1" x="246"/>
        <item h="1" x="525"/>
        <item h="1" x="664"/>
        <item h="1" x="308"/>
        <item h="1" x="960"/>
        <item h="1" x="754"/>
        <item h="1" x="710"/>
        <item h="1" x="144"/>
        <item h="1" x="1241"/>
        <item h="1" x="784"/>
        <item h="1" x="700"/>
        <item h="1" x="643"/>
        <item h="1" x="742"/>
        <item h="1" x="534"/>
        <item h="1" x="56"/>
        <item h="1" x="280"/>
        <item h="1" x="517"/>
        <item h="1" x="178"/>
        <item h="1" x="26"/>
        <item h="1" x="303"/>
        <item h="1" x="339"/>
        <item h="1" x="669"/>
        <item h="1" x="55"/>
        <item h="1" x="1196"/>
        <item h="1" x="126"/>
        <item h="1" x="337"/>
        <item h="1" x="152"/>
        <item h="1" x="369"/>
        <item h="1" x="454"/>
        <item h="1" x="267"/>
        <item h="1" x="1250"/>
        <item h="1" x="607"/>
        <item h="1" x="885"/>
        <item h="1" x="953"/>
        <item h="1" x="1221"/>
        <item h="1" x="140"/>
        <item h="1" x="7"/>
        <item h="1" x="347"/>
        <item h="1" x="1106"/>
        <item h="1" x="652"/>
        <item h="1" x="224"/>
        <item h="1" x="330"/>
        <item h="1" x="693"/>
        <item h="1" x="1275"/>
        <item h="1" x="1282"/>
        <item h="1" x="1220"/>
        <item h="1" x="939"/>
        <item h="1" x="1284"/>
        <item h="1" x="675"/>
        <item h="1" x="1049"/>
        <item h="1" x="1134"/>
        <item h="1" x="1268"/>
        <item h="1" x="918"/>
        <item h="1" x="761"/>
        <item h="1" x="1233"/>
        <item h="1" x="582"/>
        <item h="1" x="965"/>
        <item h="1" x="416"/>
        <item h="1" x="934"/>
        <item h="1" x="685"/>
        <item h="1" x="1102"/>
        <item h="1" x="1171"/>
        <item h="1" x="123"/>
        <item h="1" x="778"/>
        <item h="1" x="248"/>
        <item h="1" x="914"/>
        <item h="1" x="994"/>
        <item h="1" x="254"/>
        <item h="1" x="174"/>
        <item h="1" x="361"/>
        <item h="1" x="187"/>
        <item h="1" x="913"/>
        <item h="1" x="1278"/>
        <item h="1" x="25"/>
        <item h="1" x="324"/>
        <item h="1" x="1215"/>
        <item h="1" x="467"/>
        <item h="1" x="853"/>
        <item h="1" x="935"/>
        <item h="1" x="446"/>
        <item h="1" x="223"/>
        <item h="1" x="194"/>
        <item h="1" x="979"/>
        <item h="1" x="431"/>
        <item h="1" x="1093"/>
        <item h="1" x="842"/>
        <item h="1" x="936"/>
        <item h="1" x="1235"/>
        <item h="1" x="163"/>
        <item h="1" x="256"/>
        <item h="1" x="484"/>
        <item h="1" x="279"/>
        <item h="1" x="683"/>
        <item h="1" x="1110"/>
        <item h="1" x="1156"/>
        <item h="1" x="677"/>
        <item h="1" x="211"/>
        <item h="1" x="889"/>
        <item h="1" x="14"/>
        <item h="1" x="418"/>
        <item h="1" x="629"/>
        <item h="1" x="278"/>
        <item h="1" x="261"/>
        <item h="1" x="985"/>
        <item h="1" x="1273"/>
        <item h="1" x="963"/>
        <item h="1" x="406"/>
        <item h="1" x="766"/>
        <item h="1" x="713"/>
        <item h="1" x="1226"/>
        <item h="1" x="81"/>
        <item h="1" x="1021"/>
        <item h="1" x="1288"/>
        <item h="1" x="719"/>
        <item h="1" x="1019"/>
        <item h="1" x="891"/>
        <item h="1" x="890"/>
        <item h="1" x="333"/>
        <item h="1" x="672"/>
        <item h="1" x="1161"/>
        <item h="1" x="870"/>
        <item h="1" x="351"/>
        <item h="1" x="134"/>
        <item h="1" x="680"/>
        <item h="1" x="620"/>
        <item h="1" x="1087"/>
        <item h="1" x="1289"/>
        <item h="1" x="336"/>
        <item h="1" x="756"/>
        <item h="1" x="478"/>
        <item h="1" x="204"/>
        <item h="1" x="718"/>
        <item h="1" x="495"/>
        <item h="1" x="375"/>
        <item h="1" x="404"/>
        <item h="1" x="463"/>
        <item h="1" x="1256"/>
        <item h="1" x="299"/>
        <item h="1" x="1005"/>
        <item h="1" x="51"/>
        <item h="1" x="1074"/>
        <item h="1" x="507"/>
        <item h="1" x="449"/>
        <item h="1" x="456"/>
        <item h="1" x="1140"/>
        <item h="1" x="1166"/>
        <item h="1" x="282"/>
        <item h="1" x="206"/>
        <item h="1" x="412"/>
        <item h="1" x="243"/>
        <item h="1" x="832"/>
        <item h="1" x="644"/>
        <item h="1" x="737"/>
        <item h="1" x="546"/>
        <item h="1" x="647"/>
        <item h="1" x="648"/>
        <item h="1" x="1137"/>
        <item h="1" x="1075"/>
        <item h="1" x="715"/>
        <item h="1" x="135"/>
        <item h="1" x="1142"/>
        <item h="1" x="373"/>
        <item h="1" x="1126"/>
        <item h="1" x="342"/>
        <item h="1" x="433"/>
        <item h="1" x="981"/>
        <item h="1" x="381"/>
        <item h="1" x="579"/>
        <item h="1" x="1197"/>
        <item h="1" x="1014"/>
        <item h="1" x="818"/>
        <item h="1" x="1146"/>
        <item h="1" x="12"/>
        <item h="1" x="1225"/>
        <item h="1" x="966"/>
        <item h="1" x="1175"/>
        <item h="1" x="1162"/>
        <item h="1" x="605"/>
        <item h="1" x="969"/>
        <item h="1" x="106"/>
        <item h="1" x="311"/>
        <item h="1" x="716"/>
        <item h="1" x="349"/>
        <item h="1" x="1152"/>
        <item h="1" x="133"/>
        <item h="1" x="124"/>
        <item h="1" x="1138"/>
        <item h="1" x="1243"/>
        <item h="1" x="751"/>
        <item h="1" x="924"/>
        <item h="1" x="1203"/>
        <item h="1" x="514"/>
        <item h="1" x="352"/>
        <item h="1" x="1085"/>
        <item h="1" x="1154"/>
        <item h="1" x="1135"/>
        <item h="1" x="1213"/>
        <item h="1" x="259"/>
        <item h="1" x="574"/>
        <item h="1" x="114"/>
        <item h="1" x="793"/>
        <item h="1" x="932"/>
        <item h="1" x="1036"/>
        <item h="1" x="331"/>
        <item h="1" x="673"/>
        <item h="1" x="1107"/>
        <item h="1" x="1211"/>
        <item h="1" x="1086"/>
        <item h="1" x="434"/>
        <item h="1" x="102"/>
        <item h="1" x="104"/>
        <item h="1" x="1067"/>
        <item h="1" x="57"/>
        <item h="1" x="520"/>
        <item h="1" x="869"/>
        <item h="1" x="702"/>
        <item h="1" x="1285"/>
        <item h="1" x="63"/>
        <item h="1" x="561"/>
        <item h="1" x="631"/>
        <item h="1" x="970"/>
        <item h="1" x="947"/>
        <item h="1" x="1240"/>
        <item h="1" x="535"/>
        <item h="1" x="867"/>
        <item h="1" x="1150"/>
        <item h="1" x="340"/>
        <item h="1" x="296"/>
        <item h="1" x="443"/>
        <item h="1" x="383"/>
        <item h="1" x="810"/>
        <item h="1" x="87"/>
        <item h="1" x="989"/>
        <item h="1" x="385"/>
        <item h="1" x="122"/>
        <item h="1" x="1153"/>
        <item h="1" x="1096"/>
        <item h="1" x="390"/>
        <item h="1" x="982"/>
        <item h="1" x="1232"/>
        <item h="1" x="747"/>
        <item h="1" x="984"/>
        <item h="1" x="563"/>
        <item h="1" x="562"/>
        <item h="1" x="973"/>
        <item h="1" x="975"/>
        <item h="1" x="826"/>
        <item h="1" x="52"/>
        <item h="1" x="1218"/>
        <item h="1" x="628"/>
        <item h="1" x="529"/>
        <item h="1" x="76"/>
        <item h="1" x="570"/>
        <item h="1" x="594"/>
        <item h="1" x="613"/>
        <item h="1" x="270"/>
        <item h="1" x="183"/>
        <item h="1" x="79"/>
        <item h="1" x="896"/>
        <item h="1" x="1179"/>
        <item h="1" x="1043"/>
        <item h="1" x="1105"/>
        <item h="1" x="831"/>
        <item h="1" x="233"/>
        <item h="1" x="1023"/>
        <item h="1" x="651"/>
        <item h="1" x="1066"/>
        <item h="1" x="589"/>
        <item h="1" x="396"/>
        <item h="1" x="1013"/>
        <item h="1" x="988"/>
        <item h="1" x="957"/>
        <item h="1" x="788"/>
        <item h="1" x="508"/>
        <item h="1" x="905"/>
        <item h="1" x="1292"/>
        <item h="1" x="1022"/>
        <item h="1" x="1065"/>
        <item h="1" x="173"/>
        <item h="1" x="1039"/>
        <item h="1" x="323"/>
        <item h="1" x="251"/>
        <item h="1" x="4"/>
        <item h="1" x="1094"/>
        <item h="1" x="857"/>
        <item h="1" x="151"/>
        <item h="1" x="1143"/>
        <item h="1" x="1246"/>
        <item h="1" x="1172"/>
        <item h="1" x="181"/>
        <item h="1" x="281"/>
        <item h="1" x="230"/>
        <item h="1" x="586"/>
        <item h="1" x="916"/>
        <item h="1" x="614"/>
        <item h="1" x="176"/>
        <item h="1" x="944"/>
        <item h="1" x="394"/>
        <item h="1" x="1034"/>
        <item h="1" x="706"/>
        <item h="1" x="861"/>
        <item h="1" x="694"/>
        <item h="1" x="1228"/>
        <item h="1" x="314"/>
        <item h="1" x="815"/>
        <item h="1" x="1028"/>
        <item h="1" x="806"/>
        <item h="1" x="105"/>
        <item h="1" x="354"/>
        <item h="1" x="238"/>
        <item h="1" x="1193"/>
        <item h="1" x="580"/>
        <item h="1" x="1082"/>
        <item h="1" x="608"/>
        <item h="1" x="536"/>
        <item h="1" x="1095"/>
        <item h="1" x="395"/>
        <item h="1" x="847"/>
        <item h="1" x="750"/>
        <item h="1" x="621"/>
        <item h="1" x="622"/>
        <item h="1" x="1183"/>
        <item h="1" x="108"/>
        <item h="1" x="1255"/>
        <item h="1" x="34"/>
        <item h="1" x="1017"/>
        <item h="1" x="1063"/>
        <item h="1" x="1210"/>
        <item h="1" x="1042"/>
        <item h="1" x="365"/>
        <item h="1" x="991"/>
        <item h="1" x="218"/>
        <item h="1" x="639"/>
        <item h="1" x="1058"/>
        <item h="1" x="1018"/>
        <item h="1" x="1217"/>
        <item h="1" x="1271"/>
        <item h="1" x="798"/>
        <item h="1" x="555"/>
        <item h="1" x="1260"/>
        <item h="1" x="839"/>
        <item h="1" x="199"/>
        <item h="1" x="494"/>
        <item h="1" x="882"/>
        <item h="1" x="93"/>
        <item h="1" x="391"/>
        <item h="1" x="154"/>
        <item h="1" x="74"/>
        <item h="1" x="954"/>
        <item h="1" x="752"/>
        <item h="1" x="573"/>
        <item h="1" x="312"/>
        <item h="1" x="1069"/>
        <item h="1" x="1080"/>
        <item h="1" x="616"/>
        <item h="1" x="671"/>
        <item h="1" x="908"/>
        <item h="1" x="524"/>
        <item h="1" x="923"/>
        <item h="1" x="399"/>
        <item h="1" x="1247"/>
        <item h="1" x="674"/>
        <item h="1" x="808"/>
        <item h="1" x="649"/>
        <item h="1" x="288"/>
        <item h="1" x="587"/>
        <item h="1" x="786"/>
        <item h="1" x="749"/>
        <item h="1" x="1190"/>
        <item h="1" x="388"/>
        <item h="1" x="72"/>
        <item h="1" x="117"/>
        <item h="1" x="941"/>
        <item h="1" x="1159"/>
        <item h="1" x="1111"/>
        <item h="1" x="59"/>
        <item h="1" x="387"/>
        <item h="1" x="1057"/>
        <item h="1" x="90"/>
        <item x="48"/>
        <item h="1" x="78"/>
        <item h="1" x="903"/>
        <item h="1" x="66"/>
        <item h="1" x="995"/>
        <item h="1" x="1088"/>
        <item h="1" x="245"/>
        <item h="1" x="1272"/>
        <item h="1" x="714"/>
        <item h="1" x="110"/>
        <item h="1" x="1180"/>
        <item h="1" x="657"/>
        <item h="1" x="271"/>
        <item h="1" x="417"/>
        <item h="1" x="44"/>
        <item h="1" x="322"/>
        <item h="1" x="1117"/>
        <item h="1" x="523"/>
        <item h="1" x="36"/>
        <item h="1" x="54"/>
        <item h="1" x="1192"/>
        <item h="1" x="317"/>
        <item h="1" x="1283"/>
        <item h="1" x="166"/>
        <item h="1" x="772"/>
        <item h="1" x="497"/>
        <item h="1" x="175"/>
        <item h="1" x="357"/>
        <item h="1" x="170"/>
        <item h="1" x="1149"/>
        <item h="1" x="82"/>
        <item h="1" x="453"/>
        <item h="1" x="358"/>
        <item h="1" x="470"/>
        <item h="1" x="284"/>
        <item h="1" x="389"/>
        <item h="1" x="687"/>
        <item h="1" x="505"/>
        <item h="1" x="699"/>
        <item h="1" x="427"/>
        <item h="1" x="743"/>
        <item h="1" x="1119"/>
        <item h="1" x="559"/>
        <item h="1" x="473"/>
        <item h="1" x="160"/>
        <item h="1" x="1230"/>
        <item h="1" x="1204"/>
        <item h="1" x="733"/>
        <item h="1" x="827"/>
        <item h="1" x="735"/>
        <item h="1" x="1130"/>
        <item h="1" x="435"/>
        <item h="1" x="355"/>
        <item h="1" x="910"/>
        <item h="1" x="945"/>
        <item h="1" x="1242"/>
        <item h="1" x="1200"/>
        <item h="1" x="922"/>
        <item h="1" x="67"/>
        <item h="1" x="147"/>
        <item h="1" x="141"/>
        <item h="1" x="676"/>
        <item h="1" x="182"/>
        <item h="1" x="817"/>
        <item h="1" x="1201"/>
        <item h="1" x="22"/>
        <item h="1" x="678"/>
        <item h="1" x="940"/>
        <item h="1" x="948"/>
        <item h="1" x="61"/>
        <item h="1" x="928"/>
        <item h="1" x="599"/>
        <item h="1" x="258"/>
        <item h="1" x="1113"/>
        <item h="1" x="362"/>
        <item h="1" x="15"/>
        <item h="1" x="1173"/>
        <item h="1" x="1264"/>
        <item h="1" x="1004"/>
        <item h="1" x="575"/>
        <item h="1" x="886"/>
        <item h="1" x="131"/>
        <item h="1" x="691"/>
        <item h="1" x="1099"/>
        <item h="1" x="60"/>
        <item h="1" x="1090"/>
        <item h="1" x="129"/>
        <item h="1" x="703"/>
        <item h="1" x="642"/>
        <item h="1" x="1287"/>
        <item h="1" x="1025"/>
        <item h="1" x="221"/>
        <item h="1" x="465"/>
        <item h="1" x="1007"/>
        <item h="1" x="398"/>
        <item h="1" x="236"/>
        <item h="1" x="335"/>
        <item h="1" x="1098"/>
        <item h="1" x="426"/>
        <item h="1" x="822"/>
        <item h="1" x="661"/>
        <item h="1" x="1229"/>
        <item h="1" x="1244"/>
        <item h="1" x="1182"/>
        <item h="1" x="64"/>
        <item h="1" x="955"/>
        <item h="1" x="850"/>
        <item h="1" x="179"/>
        <item h="1" x="887"/>
        <item h="1" x="615"/>
        <item h="1" x="592"/>
        <item h="1" x="610"/>
        <item h="1" x="376"/>
        <item h="1" x="161"/>
        <item h="1" x="1266"/>
        <item h="1" x="450"/>
        <item h="1" x="65"/>
        <item h="1" x="1158"/>
        <item h="1" x="1103"/>
        <item h="1" x="768"/>
        <item h="1" x="302"/>
        <item h="1" x="656"/>
        <item h="1" x="667"/>
        <item h="1" x="1297"/>
        <item h="1" x="895"/>
        <item h="1" x="1169"/>
        <item h="1" x="21"/>
        <item h="1" x="548"/>
        <item h="1" x="486"/>
        <item h="1" x="1052"/>
        <item h="1" x="987"/>
        <item h="1" x="585"/>
        <item h="1" x="291"/>
        <item h="1" x="602"/>
        <item h="1" x="89"/>
        <item h="1" x="99"/>
        <item h="1" x="949"/>
        <item h="1" x="696"/>
        <item h="1" x="704"/>
        <item h="1" x="1131"/>
        <item h="1" x="8"/>
        <item h="1" x="513"/>
        <item h="1" x="838"/>
        <item x="157"/>
        <item h="1" x="1100"/>
        <item h="1" x="624"/>
        <item h="1" x="1132"/>
        <item h="1" x="814"/>
        <item h="1" x="930"/>
        <item h="1" x="801"/>
        <item h="1" x="872"/>
        <item h="1" x="9"/>
        <item h="1" x="113"/>
        <item h="1" x="5"/>
        <item h="1" x="1000"/>
        <item h="1" x="73"/>
        <item h="1" x="16"/>
        <item h="1" x="111"/>
        <item h="1" x="380"/>
        <item h="1" x="97"/>
        <item h="1" x="755"/>
        <item h="1" x="458"/>
        <item h="1" x="1068"/>
        <item h="1" x="1164"/>
        <item h="1" x="1167"/>
        <item h="1" x="69"/>
        <item h="1" x="39"/>
        <item h="1" x="1040"/>
        <item h="1" x="1054"/>
        <item h="1" x="112"/>
        <item h="1" x="439"/>
        <item h="1" x="202"/>
        <item h="1" x="229"/>
        <item h="1" x="316"/>
        <item h="1" x="1274"/>
        <item h="1" x="1296"/>
        <item h="1" x="637"/>
        <item h="1" x="276"/>
        <item h="1" x="777"/>
        <item h="1" x="877"/>
        <item h="1" x="1258"/>
        <item h="1" x="96"/>
        <item h="1" x="927"/>
        <item h="1" x="504"/>
        <item h="1" x="1109"/>
        <item h="1" x="1157"/>
        <item h="1" x="783"/>
        <item h="1" x="321"/>
        <item h="1" x="526"/>
        <item h="1" x="169"/>
        <item h="1" x="681"/>
        <item h="1" x="300"/>
        <item h="1" x="292"/>
        <item h="1" x="53"/>
        <item h="1" x="658"/>
        <item h="1" x="764"/>
        <item h="1" x="491"/>
        <item h="1" x="785"/>
        <item h="1" x="1079"/>
        <item h="1" x="50"/>
        <item h="1" x="1279"/>
        <item h="1" x="547"/>
        <item h="1" x="38"/>
        <item h="1" x="635"/>
        <item h="1" x="315"/>
        <item h="1" x="1231"/>
        <item h="1" x="668"/>
        <item h="1" x="726"/>
        <item h="1" x="952"/>
        <item h="1" x="1122"/>
        <item h="1" x="58"/>
        <item h="1" x="148"/>
        <item h="1" x="1123"/>
        <item h="1" x="604"/>
        <item h="1" x="294"/>
        <item h="1" x="854"/>
        <item h="1" x="225"/>
        <item h="1" x="269"/>
        <item h="1" x="190"/>
        <item h="1" x="1010"/>
        <item h="1" x="959"/>
        <item h="1" x="729"/>
        <item h="1" x="623"/>
        <item h="1" x="457"/>
        <item h="1" x="758"/>
        <item h="1" x="868"/>
        <item h="1" x="1008"/>
        <item h="1" x="977"/>
        <item h="1" x="794"/>
        <item h="1" x="1185"/>
        <item h="1" x="1202"/>
        <item h="1" x="137"/>
        <item h="1" x="757"/>
        <item h="1" x="686"/>
        <item h="1" x="136"/>
        <item h="1" x="2"/>
        <item h="1" x="521"/>
        <item h="1" x="646"/>
        <item h="1" x="625"/>
        <item h="1" x="437"/>
        <item h="1" x="1209"/>
        <item h="1" x="1206"/>
        <item h="1" x="1144"/>
        <item h="1" x="293"/>
        <item h="1" x="500"/>
        <item h="1" x="1189"/>
        <item h="1" x="1205"/>
        <item h="1" x="833"/>
        <item h="1" x="1168"/>
        <item h="1" x="1046"/>
        <item h="1" x="75"/>
        <item h="1" x="422"/>
        <item h="1" x="1002"/>
        <item h="1" x="1219"/>
        <item h="1" x="116"/>
        <item h="1" x="139"/>
        <item h="1" x="532"/>
        <item h="1" x="379"/>
        <item h="1" x="445"/>
        <item h="1" x="883"/>
        <item h="1" x="210"/>
        <item h="1" x="47"/>
        <item h="1" x="222"/>
        <item h="1" x="956"/>
        <item h="1" x="213"/>
        <item h="1" x="823"/>
        <item h="1" x="1269"/>
        <item h="1" x="736"/>
        <item h="1" x="901"/>
        <item h="1" x="24"/>
        <item h="1" x="27"/>
        <item h="1" x="912"/>
        <item h="1" x="844"/>
        <item h="1" x="405"/>
        <item h="1" x="712"/>
        <item h="1" x="767"/>
        <item h="1" x="551"/>
        <item h="1" x="879"/>
        <item h="1" x="717"/>
        <item h="1" x="103"/>
        <item h="1" x="368"/>
        <item h="1" x="1270"/>
        <item h="1" x="1245"/>
        <item h="1" x="262"/>
        <item h="1" x="1160"/>
        <item h="1" x="283"/>
        <item h="1" x="290"/>
        <item h="1" x="512"/>
        <item h="1" x="1141"/>
        <item h="1" x="1139"/>
        <item h="1" x="892"/>
        <item h="1" x="633"/>
        <item h="1" x="1029"/>
        <item h="1" x="875"/>
        <item h="1" x="572"/>
        <item h="1" x="519"/>
        <item h="1" x="153"/>
        <item h="1" x="217"/>
        <item h="1" x="310"/>
        <item h="1" x="898"/>
        <item h="1" x="401"/>
        <item h="1" x="306"/>
        <item h="1" x="346"/>
        <item h="1" x="1112"/>
        <item h="1" x="1011"/>
        <item h="1" x="260"/>
        <item h="1" x="1037"/>
        <item h="1" x="367"/>
        <item h="1" x="711"/>
        <item h="1" x="983"/>
        <item h="1" x="219"/>
        <item h="1" x="902"/>
        <item h="1" x="1062"/>
        <item h="1" x="725"/>
        <item h="1" x="971"/>
        <item h="1" x="255"/>
        <item h="1" x="1121"/>
        <item h="1" x="732"/>
        <item h="1" x="1293"/>
        <item h="1" x="474"/>
        <item h="1" x="779"/>
        <item h="1" x="477"/>
        <item h="1" x="180"/>
        <item h="1" x="1091"/>
        <item h="1" x="1016"/>
        <item h="1" x="705"/>
        <item h="1" x="692"/>
        <item h="1" x="527"/>
        <item h="1" x="632"/>
        <item h="1" x="41"/>
        <item h="1" x="165"/>
        <item h="1" x="94"/>
        <item h="1" x="856"/>
        <item h="1" x="1026"/>
        <item h="1" x="95"/>
        <item h="1" x="577"/>
        <item h="1" x="1127"/>
        <item h="1" x="763"/>
        <item h="1" x="595"/>
        <item h="1" x="739"/>
        <item h="1" x="496"/>
        <item h="1" x="881"/>
        <item h="1" x="782"/>
        <item h="1" x="866"/>
        <item h="1" x="1124"/>
        <item h="1" x="509"/>
        <item h="1" x="1061"/>
        <item h="1" x="929"/>
        <item h="1" x="392"/>
        <item h="1" x="1006"/>
        <item h="1" x="313"/>
        <item h="1" x="197"/>
        <item h="1" x="1227"/>
        <item h="1" x="1012"/>
        <item h="1" x="824"/>
        <item h="1" x="85"/>
        <item h="1" x="1277"/>
        <item h="1" x="286"/>
        <item h="1" x="894"/>
        <item h="1" x="753"/>
        <item h="1" x="13"/>
        <item h="1" x="411"/>
        <item h="1" x="835"/>
        <item h="1" x="499"/>
        <item h="1" x="1181"/>
        <item h="1" x="921"/>
        <item h="1" x="272"/>
        <item h="1" x="552"/>
        <item h="1" x="402"/>
        <item h="1" x="143"/>
        <item h="1" x="297"/>
        <item h="1" x="1084"/>
        <item h="1" x="481"/>
        <item h="1" x="459"/>
        <item h="1" x="601"/>
        <item h="1" x="277"/>
        <item h="1" x="237"/>
        <item h="1" x="1177"/>
        <item h="1" x="958"/>
        <item h="1" x="1281"/>
        <item h="1" x="305"/>
        <item h="1" x="419"/>
        <item h="1" x="797"/>
        <item h="1" x="18"/>
        <item h="1" x="626"/>
        <item h="1" x="138"/>
        <item h="1" x="859"/>
        <item h="1" x="567"/>
        <item h="1" x="933"/>
        <item h="1" x="576"/>
        <item h="1" x="852"/>
        <item h="1" x="263"/>
        <item h="1" x="998"/>
        <item h="1" x="603"/>
        <item h="1" x="543"/>
        <item h="1" x="849"/>
        <item h="1" x="466"/>
        <item h="1" x="734"/>
        <item h="1" x="760"/>
        <item h="1" x="30"/>
        <item h="1" x="86"/>
        <item h="1" x="804"/>
        <item h="1" x="107"/>
        <item h="1" x="846"/>
        <item h="1" x="774"/>
        <item h="1" x="226"/>
        <item h="1" x="522"/>
        <item h="1" x="156"/>
        <item h="1" x="919"/>
        <item h="1" x="1015"/>
        <item h="1" x="796"/>
        <item h="1" x="690"/>
        <item h="1" x="802"/>
        <item h="1" x="0"/>
        <item h="1" x="1184"/>
        <item h="1" x="511"/>
        <item h="1" x="803"/>
        <item h="1" x="1148"/>
        <item h="1" x="195"/>
        <item h="1" x="252"/>
        <item h="1" x="630"/>
        <item h="1" x="184"/>
        <item h="1" x="320"/>
        <item h="1" x="1257"/>
        <item h="1" x="480"/>
        <item h="1" x="571"/>
        <item h="1" x="186"/>
        <item h="1" x="80"/>
        <item h="1" x="697"/>
        <item h="1" x="598"/>
        <item h="1" x="738"/>
        <item h="1" x="549"/>
        <item h="1" x="1238"/>
        <item h="1" x="1248"/>
        <item h="1" x="781"/>
        <item h="1" x="1155"/>
        <item h="1" x="942"/>
        <item h="1" x="146"/>
        <item h="1" x="897"/>
        <item h="1" x="189"/>
        <item h="1" x="1236"/>
        <item h="1" x="744"/>
        <item h="1" x="1081"/>
        <item h="1" x="530"/>
        <item h="1" x="541"/>
        <item h="1" x="682"/>
        <item h="1" x="528"/>
        <item h="1" x="374"/>
        <item h="1" x="1120"/>
        <item h="1" x="840"/>
        <item h="1" x="1041"/>
        <item h="1" x="240"/>
        <item h="1" x="168"/>
        <item h="1" x="880"/>
        <item h="1" x="1045"/>
        <item h="1" x="843"/>
        <item h="1" x="192"/>
        <item h="1" x="727"/>
        <item h="1" x="1224"/>
        <item h="1" x="740"/>
        <item h="1" x="6"/>
        <item h="1" x="345"/>
        <item h="1" x="1276"/>
        <item h="1" x="162"/>
        <item h="1" x="962"/>
        <item h="1" x="787"/>
        <item h="1" x="862"/>
        <item h="1" x="611"/>
        <item h="1" x="448"/>
        <item h="1" x="790"/>
        <item h="1" x="837"/>
        <item h="1" x="1024"/>
        <item h="1" x="1092"/>
        <item h="1" x="931"/>
        <item h="1" x="1060"/>
        <item h="1" x="33"/>
        <item h="1" x="581"/>
        <item h="1" x="762"/>
        <item h="1" x="482"/>
        <item h="1" x="829"/>
        <item h="1" x="741"/>
        <item h="1" x="476"/>
        <item h="1" x="485"/>
        <item h="1" x="1195"/>
        <item h="1" x="193"/>
        <item h="1" x="488"/>
        <item h="1" x="964"/>
        <item h="1" x="900"/>
        <item h="1" x="539"/>
        <item h="1" x="819"/>
        <item h="1" x="101"/>
        <item h="1" x="1030"/>
        <item h="1" x="858"/>
        <item h="1" x="109"/>
        <item h="1" x="558"/>
        <item h="1" x="363"/>
        <item h="1" x="795"/>
        <item h="1" x="88"/>
        <item h="1" x="516"/>
        <item h="1" x="578"/>
        <item h="1" x="155"/>
        <item h="1" x="554"/>
        <item h="1" x="1114"/>
        <item h="1" x="996"/>
        <item h="1" x="1035"/>
        <item h="1" x="408"/>
        <item h="1" x="564"/>
        <item h="1" x="377"/>
        <item h="1" x="899"/>
        <item h="1" x="200"/>
        <item h="1" x="49"/>
        <item h="1" x="636"/>
        <item h="1" x="863"/>
        <item h="1" x="159"/>
        <item h="1" x="479"/>
        <item h="1" x="728"/>
        <item h="1" x="332"/>
        <item h="1" x="855"/>
        <item h="1" x="472"/>
        <item h="1" x="938"/>
        <item h="1" x="1186"/>
        <item h="1" x="538"/>
        <item h="1" x="127"/>
        <item h="1" x="807"/>
        <item h="1" x="227"/>
        <item h="1" x="1044"/>
        <item h="1" x="609"/>
        <item h="1" x="584"/>
        <item h="1" x="1252"/>
        <item h="1" x="876"/>
        <item h="1" x="1165"/>
        <item h="1" x="326"/>
        <item h="1" x="77"/>
        <item h="1" x="45"/>
        <item h="1" x="1191"/>
        <item h="1" x="242"/>
        <item h="1" x="275"/>
        <item h="1" x="356"/>
        <item h="1" x="1163"/>
        <item h="1" x="285"/>
        <item h="1" x="370"/>
        <item h="1" x="724"/>
        <item h="1" x="3"/>
        <item h="1" x="860"/>
        <item h="1" x="265"/>
        <item h="1" x="679"/>
        <item h="1" x="684"/>
        <item h="1" x="393"/>
        <item h="1" x="32"/>
        <item h="1" x="35"/>
        <item h="1" x="382"/>
        <item x="999"/>
        <item h="1" x="438"/>
        <item h="1" x="436"/>
        <item h="1" x="888"/>
        <item h="1" x="341"/>
        <item h="1" x="654"/>
        <item h="1" x="415"/>
        <item h="1" x="531"/>
        <item h="1" x="540"/>
        <item h="1" x="701"/>
        <item h="1" x="274"/>
        <item h="1" x="468"/>
        <item h="1" x="167"/>
        <item h="1" x="386"/>
        <item h="1" x="1"/>
        <item h="1" x="1291"/>
        <item h="1" x="31"/>
        <item h="1" x="993"/>
        <item h="1" x="776"/>
        <item h="1" x="640"/>
        <item h="1" x="266"/>
        <item h="1" x="1253"/>
        <item h="1" x="545"/>
        <item h="1" x="20"/>
        <item h="1" x="403"/>
        <item h="1" x="366"/>
        <item h="1" x="845"/>
        <item h="1" x="172"/>
        <item h="1" x="926"/>
        <item h="1" x="214"/>
        <item h="1" x="309"/>
        <item h="1" x="666"/>
        <item h="1" x="992"/>
        <item h="1" x="1020"/>
        <item h="1" x="158"/>
        <item h="1" x="1178"/>
        <item h="1" x="1261"/>
        <item h="1" x="544"/>
        <item h="1" x="721"/>
        <item h="1" x="250"/>
        <item h="1" x="430"/>
        <item h="1" x="253"/>
        <item h="1" x="207"/>
        <item h="1" x="328"/>
        <item h="1" x="11"/>
        <item h="1" x="723"/>
        <item h="1" x="986"/>
        <item h="1" x="1047"/>
        <item h="1" x="597"/>
        <item h="1" x="304"/>
        <item h="1" x="618"/>
        <item h="1" x="1009"/>
        <item h="1" x="709"/>
        <item h="1" x="428"/>
        <item h="1" x="951"/>
        <item h="1" x="1076"/>
        <item h="1" x="591"/>
        <item h="1" x="1108"/>
        <item h="1" x="937"/>
        <item h="1" x="43"/>
        <item h="1" x="1097"/>
        <item h="1" x="799"/>
        <item h="1" x="617"/>
        <item h="1" x="1115"/>
        <item h="1" x="904"/>
        <item h="1" x="731"/>
        <item h="1" x="619"/>
        <item h="1" x="425"/>
        <item h="1" x="1050"/>
        <item h="1" x="185"/>
        <item h="1" x="455"/>
        <item h="1" x="907"/>
        <item h="1" x="583"/>
        <item h="1" x="216"/>
        <item h="1" x="708"/>
        <item h="1" x="841"/>
        <item h="1" x="257"/>
        <item h="1" x="813"/>
        <item h="1" x="40"/>
        <item h="1" x="400"/>
        <item h="1" x="1207"/>
        <item h="1" x="911"/>
        <item h="1" x="410"/>
        <item h="1" x="212"/>
        <item h="1" x="407"/>
        <item h="1" x="273"/>
        <item h="1" x="1128"/>
        <item h="1" x="553"/>
        <item h="1" x="287"/>
        <item h="1" x="812"/>
        <item h="1" x="1133"/>
        <item h="1" x="171"/>
        <item h="1" x="464"/>
        <item h="1" x="198"/>
        <item h="1" x="1265"/>
        <item h="1" x="469"/>
        <item h="1" x="1208"/>
        <item h="1" x="533"/>
        <item h="1" x="1027"/>
        <item h="1" x="1176"/>
        <item h="1" x="493"/>
        <item h="1" x="492"/>
        <item h="1" x="348"/>
        <item h="1" x="343"/>
        <item h="1" x="569"/>
        <item h="1" x="820"/>
        <item h="1" x="1216"/>
        <item h="1" x="307"/>
        <item h="1" x="821"/>
        <item h="1" x="62"/>
        <item h="1" x="295"/>
        <item h="1" x="1003"/>
        <item h="1" x="972"/>
        <item h="1" x="244"/>
        <item h="1" x="645"/>
        <item h="1" x="83"/>
        <item h="1" x="28"/>
        <item h="1" x="121"/>
        <item h="1" x="42"/>
        <item h="1" x="29"/>
        <item h="1" x="384"/>
        <item h="1" x="518"/>
        <item h="1" x="451"/>
        <item h="1" x="100"/>
        <item h="1" x="247"/>
        <item h="1" x="848"/>
        <item h="1" x="1136"/>
        <item h="1" x="537"/>
        <item h="1" x="208"/>
        <item h="1" x="232"/>
        <item h="1" x="961"/>
        <item h="1" x="906"/>
        <item h="1" x="878"/>
        <item h="1" x="23"/>
        <item h="1" x="228"/>
        <item h="1" x="1212"/>
        <item h="1" x="235"/>
        <item h="1" x="770"/>
        <item h="1" x="327"/>
        <item h="1" x="188"/>
        <item h="1" x="765"/>
        <item h="1" x="663"/>
        <item h="1" x="203"/>
        <item h="1" x="490"/>
        <item h="1" x="502"/>
        <item h="1" x="1188"/>
        <item h="1" x="600"/>
        <item h="1" x="566"/>
        <item h="1" x="452"/>
        <item h="1" x="37"/>
        <item h="1" x="1251"/>
        <item h="1" x="1032"/>
        <item h="1" x="830"/>
        <item h="1" x="1048"/>
        <item h="1" x="1267"/>
        <item h="1" x="990"/>
        <item h="1" x="638"/>
        <item h="1" x="409"/>
        <item h="1" x="142"/>
        <item h="1" x="132"/>
        <item h="1" x="145"/>
        <item h="1" x="91"/>
        <item h="1" x="976"/>
        <item h="1" x="588"/>
        <item h="1" x="1125"/>
        <item h="1" x="655"/>
        <item h="1" x="359"/>
        <item h="1" x="925"/>
        <item h="1" x="805"/>
        <item h="1" x="471"/>
        <item h="1" x="440"/>
        <item h="1" x="1214"/>
        <item h="1" x="334"/>
        <item h="1" x="329"/>
        <item h="1" x="372"/>
        <item h="1" x="851"/>
        <item h="1" x="722"/>
        <item h="1" x="1194"/>
        <item h="1" x="424"/>
        <item h="1" x="884"/>
        <item h="1" x="825"/>
        <item h="1" x="695"/>
        <item h="1" x="1001"/>
        <item h="1" x="560"/>
        <item h="1" x="432"/>
        <item h="1" x="792"/>
        <item h="1" x="967"/>
        <item h="1" x="378"/>
        <item h="1" x="689"/>
        <item h="1" x="1187"/>
        <item h="1" x="917"/>
        <item h="1" x="46"/>
        <item h="1" x="98"/>
        <item h="1" x="506"/>
        <item h="1" x="338"/>
        <item h="1" x="264"/>
        <item h="1" x="220"/>
        <item h="1" x="659"/>
        <item h="1" x="771"/>
        <item h="1" x="746"/>
        <item h="1" x="1151"/>
        <item h="1" x="759"/>
        <item h="1" x="130"/>
        <item h="1" x="1070"/>
        <item x="871"/>
        <item h="1" x="665"/>
        <item h="1" x="1056"/>
        <item h="1" x="1033"/>
        <item h="1" x="650"/>
        <item h="1" x="662"/>
        <item h="1" x="920"/>
        <item h="1" x="864"/>
        <item h="1" x="447"/>
        <item h="1" x="119"/>
        <item h="1" x="350"/>
        <item h="1" x="653"/>
        <item h="1" x="641"/>
        <item h="1" x="68"/>
        <item h="1" x="344"/>
        <item h="1" x="115"/>
        <item h="1" x="397"/>
        <item h="1" x="164"/>
        <item h="1" x="231"/>
        <item h="1" x="660"/>
        <item h="1" x="501"/>
        <item h="1" x="318"/>
        <item h="1" x="325"/>
        <item h="1" x="1072"/>
        <item h="1" x="125"/>
        <item h="1" x="1262"/>
        <item h="1" x="371"/>
        <item h="1" x="745"/>
        <item h="1" x="978"/>
        <item h="1" x="800"/>
        <item h="1" x="780"/>
        <item h="1" x="698"/>
        <item h="1" x="593"/>
        <item h="1" x="1118"/>
        <item h="1" x="1298"/>
        <item h="1" x="1198"/>
        <item h="1" x="748"/>
        <item h="1" x="460"/>
        <item h="1" x="1089"/>
        <item h="1" x="1101"/>
        <item h="1" x="596"/>
        <item h="1" x="828"/>
        <item h="1" x="915"/>
        <item h="1" x="1055"/>
        <item h="1" x="556"/>
        <item h="1" x="946"/>
        <item h="1" x="773"/>
        <item h="1" x="503"/>
        <item h="1" x="1051"/>
        <item h="1" x="730"/>
        <item h="1" x="17"/>
        <item h="1" x="1038"/>
        <item h="1" x="1295"/>
        <item h="1" x="1073"/>
        <item h="1" x="542"/>
        <item h="1" x="565"/>
        <item h="1" x="974"/>
        <item h="1" x="590"/>
        <item h="1" x="707"/>
        <item h="1" x="811"/>
        <item h="1" x="241"/>
        <item h="1" x="789"/>
        <item h="1" x="414"/>
        <item h="1" x="150"/>
        <item h="1" x="1104"/>
        <item h="1" x="775"/>
        <item h="1" x="487"/>
        <item h="1" x="429"/>
        <item h="1" x="1280"/>
        <item h="1" x="1237"/>
        <item h="1" x="71"/>
        <item h="1" x="1286"/>
        <item h="1" x="1259"/>
        <item h="1" x="483"/>
        <item h="1" x="1290"/>
        <item h="1" x="1059"/>
        <item h="1" x="568"/>
        <item h="1" x="421"/>
        <item h="1" x="873"/>
        <item h="1" x="196"/>
        <item h="1" x="1249"/>
        <item h="1" x="809"/>
        <item h="1" x="893"/>
        <item h="1" x="205"/>
        <item h="1" x="1053"/>
        <item h="1" x="950"/>
        <item h="1" x="1071"/>
        <item h="1" x="475"/>
        <item h="1" x="836"/>
        <item h="1" x="1031"/>
        <item h="1" x="1064"/>
        <item h="1" x="550"/>
        <item h="1" x="201"/>
        <item h="1" x="19"/>
        <item h="1" x="865"/>
        <item h="1" x="688"/>
        <item h="1" x="557"/>
        <item h="1" x="1083"/>
        <item h="1" x="834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t="default"/>
      </items>
    </pivotField>
  </pivotFields>
  <rowFields count="1">
    <field x="25"/>
  </rowFields>
  <rowItems count="4">
    <i>
      <x v="588"/>
    </i>
    <i>
      <x v="996"/>
    </i>
    <i>
      <x v="1200"/>
    </i>
    <i t="grand">
      <x/>
    </i>
  </rowItems>
  <colItems count="1">
    <i/>
  </colItems>
  <pageFields count="3">
    <pageField fld="16" hier="-1"/>
    <pageField fld="15" hier="-1"/>
    <pageField fld="13" hier="-1"/>
  </pageFields>
  <dataFields count="1">
    <dataField name="Suma de Margen_bruto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3000000}" name="TablaDinámica1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D38:E41" firstHeaderRow="1" firstDataRow="1" firstDataCol="1" rowPageCount="3" colPageCount="1"/>
  <pivotFields count="26">
    <pivotField numFmtId="14" showAl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dataField="1" numFmtId="4" showAll="0"/>
    <pivotField numFmtId="4" showAll="0"/>
    <pivotField numFmtId="10" showAll="0"/>
    <pivotField axis="axisPage" multipleItemSelectionAllowed="1" showAll="0">
      <items count="7">
        <item h="1" x="0"/>
        <item h="1" x="3"/>
        <item h="1" x="2"/>
        <item x="1"/>
        <item h="1" x="4"/>
        <item h="1" x="5"/>
        <item t="default"/>
      </items>
    </pivotField>
    <pivotField showAll="0"/>
    <pivotField axis="axisPage" multipleItemSelectionAllowed="1" showAll="0">
      <items count="13">
        <item x="10"/>
        <item h="1" x="11"/>
        <item h="1" x="7"/>
        <item h="1" x="0"/>
        <item h="1" x="1"/>
        <item h="1" x="2"/>
        <item h="1" x="3"/>
        <item h="1" x="4"/>
        <item h="1" x="5"/>
        <item h="1" x="6"/>
        <item h="1" x="8"/>
        <item h="1" x="9"/>
        <item t="default"/>
      </items>
    </pivotField>
    <pivotField axis="axisPage" numFmtId="1" multipleItemSelectionAllowed="1" showAll="0">
      <items count="4">
        <item h="1" x="0"/>
        <item h="1" x="1"/>
        <item x="2"/>
        <item t="default"/>
      </items>
    </pivotField>
    <pivotField numFmtId="1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425">
        <item h="1" x="1222"/>
        <item h="1" x="1263"/>
        <item h="1" x="10"/>
        <item h="1" x="441"/>
        <item h="1" x="1147"/>
        <item h="1" x="298"/>
        <item h="1" x="943"/>
        <item h="1" x="909"/>
        <item h="1" x="1234"/>
        <item h="1" x="769"/>
        <item h="1" x="515"/>
        <item h="1" x="177"/>
        <item h="1" x="720"/>
        <item h="1" x="627"/>
        <item h="1" x="1170"/>
        <item h="1" x="606"/>
        <item h="1" x="1174"/>
        <item h="1" x="1294"/>
        <item h="1" x="128"/>
        <item h="1" x="118"/>
        <item h="1" x="442"/>
        <item h="1" x="462"/>
        <item h="1" x="1239"/>
        <item h="1" x="209"/>
        <item h="1" x="498"/>
        <item h="1" x="1077"/>
        <item h="1" x="461"/>
        <item h="1" x="423"/>
        <item h="1" x="92"/>
        <item h="1" x="84"/>
        <item h="1" x="234"/>
        <item h="1" x="1145"/>
        <item h="1" x="510"/>
        <item h="1" x="816"/>
        <item h="1" x="420"/>
        <item h="1" x="489"/>
        <item h="1" x="120"/>
        <item h="1" x="301"/>
        <item h="1" x="612"/>
        <item h="1" x="968"/>
        <item h="1" x="289"/>
        <item h="1" x="980"/>
        <item h="1" x="791"/>
        <item h="1" x="413"/>
        <item h="1" x="353"/>
        <item h="1" x="268"/>
        <item h="1" x="215"/>
        <item h="1" x="444"/>
        <item h="1" x="70"/>
        <item h="1" x="1254"/>
        <item h="1" x="249"/>
        <item h="1" x="1223"/>
        <item h="1" x="149"/>
        <item h="1" x="319"/>
        <item h="1" x="874"/>
        <item h="1" x="997"/>
        <item h="1" x="239"/>
        <item h="1" x="1129"/>
        <item h="1" x="634"/>
        <item h="1" x="1116"/>
        <item h="1" x="360"/>
        <item h="1" x="364"/>
        <item h="1" x="191"/>
        <item h="1" x="1199"/>
        <item h="1" x="1078"/>
        <item h="1" x="670"/>
        <item h="1" x="246"/>
        <item h="1" x="525"/>
        <item h="1" x="664"/>
        <item h="1" x="308"/>
        <item h="1" x="960"/>
        <item h="1" x="754"/>
        <item h="1" x="710"/>
        <item h="1" x="144"/>
        <item h="1" x="1241"/>
        <item h="1" x="784"/>
        <item h="1" x="700"/>
        <item h="1" x="643"/>
        <item h="1" x="742"/>
        <item h="1" x="534"/>
        <item h="1" x="56"/>
        <item h="1" x="280"/>
        <item h="1" x="517"/>
        <item h="1" x="178"/>
        <item h="1" x="26"/>
        <item h="1" x="303"/>
        <item h="1" x="339"/>
        <item h="1" x="669"/>
        <item h="1" x="55"/>
        <item h="1" x="1196"/>
        <item h="1" x="126"/>
        <item h="1" x="337"/>
        <item h="1" x="152"/>
        <item h="1" x="369"/>
        <item h="1" x="454"/>
        <item h="1" x="267"/>
        <item h="1" x="1250"/>
        <item h="1" x="607"/>
        <item h="1" x="885"/>
        <item h="1" x="953"/>
        <item h="1" x="1221"/>
        <item h="1" x="140"/>
        <item h="1" x="7"/>
        <item h="1" x="347"/>
        <item h="1" x="1106"/>
        <item h="1" x="652"/>
        <item h="1" x="224"/>
        <item h="1" x="330"/>
        <item h="1" x="693"/>
        <item h="1" x="1275"/>
        <item h="1" x="1282"/>
        <item h="1" x="1220"/>
        <item h="1" x="939"/>
        <item h="1" x="1284"/>
        <item h="1" x="675"/>
        <item h="1" x="1049"/>
        <item h="1" x="1134"/>
        <item h="1" x="1268"/>
        <item h="1" x="918"/>
        <item h="1" x="761"/>
        <item h="1" x="1233"/>
        <item h="1" x="582"/>
        <item h="1" x="965"/>
        <item h="1" x="416"/>
        <item h="1" x="934"/>
        <item h="1" x="685"/>
        <item h="1" x="1102"/>
        <item h="1" x="1171"/>
        <item h="1" x="123"/>
        <item h="1" x="778"/>
        <item h="1" x="248"/>
        <item h="1" x="914"/>
        <item h="1" x="994"/>
        <item h="1" x="254"/>
        <item h="1" x="174"/>
        <item h="1" x="361"/>
        <item h="1" x="187"/>
        <item h="1" x="913"/>
        <item h="1" x="1278"/>
        <item h="1" x="25"/>
        <item h="1" x="324"/>
        <item h="1" x="1215"/>
        <item h="1" x="467"/>
        <item h="1" x="853"/>
        <item h="1" x="935"/>
        <item h="1" x="446"/>
        <item h="1" x="223"/>
        <item h="1" x="194"/>
        <item h="1" x="979"/>
        <item h="1" x="431"/>
        <item h="1" x="1093"/>
        <item h="1" x="842"/>
        <item h="1" x="936"/>
        <item h="1" x="1235"/>
        <item h="1" x="163"/>
        <item h="1" x="256"/>
        <item h="1" x="484"/>
        <item h="1" x="279"/>
        <item h="1" x="683"/>
        <item h="1" x="1110"/>
        <item h="1" x="1156"/>
        <item h="1" x="677"/>
        <item h="1" x="211"/>
        <item h="1" x="889"/>
        <item h="1" x="14"/>
        <item h="1" x="418"/>
        <item h="1" x="629"/>
        <item h="1" x="278"/>
        <item h="1" x="261"/>
        <item h="1" x="985"/>
        <item h="1" x="1273"/>
        <item h="1" x="963"/>
        <item h="1" x="406"/>
        <item h="1" x="766"/>
        <item h="1" x="713"/>
        <item h="1" x="1226"/>
        <item h="1" x="81"/>
        <item h="1" x="1021"/>
        <item h="1" x="1288"/>
        <item h="1" x="719"/>
        <item h="1" x="1019"/>
        <item h="1" x="891"/>
        <item h="1" x="890"/>
        <item h="1" x="333"/>
        <item h="1" x="672"/>
        <item h="1" x="1161"/>
        <item h="1" x="870"/>
        <item h="1" x="351"/>
        <item h="1" x="134"/>
        <item h="1" x="680"/>
        <item h="1" x="620"/>
        <item h="1" x="1087"/>
        <item h="1" x="1289"/>
        <item h="1" x="336"/>
        <item h="1" x="756"/>
        <item h="1" x="478"/>
        <item h="1" x="204"/>
        <item h="1" x="718"/>
        <item h="1" x="495"/>
        <item h="1" x="375"/>
        <item h="1" x="404"/>
        <item h="1" x="463"/>
        <item h="1" x="1256"/>
        <item h="1" x="299"/>
        <item h="1" x="1005"/>
        <item h="1" x="51"/>
        <item h="1" x="1074"/>
        <item h="1" x="507"/>
        <item h="1" x="449"/>
        <item h="1" x="456"/>
        <item h="1" x="1140"/>
        <item h="1" x="1166"/>
        <item h="1" x="282"/>
        <item h="1" x="206"/>
        <item h="1" x="412"/>
        <item h="1" x="243"/>
        <item h="1" x="832"/>
        <item h="1" x="644"/>
        <item h="1" x="737"/>
        <item h="1" x="546"/>
        <item h="1" x="647"/>
        <item h="1" x="648"/>
        <item h="1" x="1137"/>
        <item h="1" x="1075"/>
        <item h="1" x="715"/>
        <item h="1" x="135"/>
        <item h="1" x="1142"/>
        <item h="1" x="373"/>
        <item h="1" x="1126"/>
        <item h="1" x="342"/>
        <item h="1" x="433"/>
        <item h="1" x="981"/>
        <item h="1" x="381"/>
        <item h="1" x="579"/>
        <item h="1" x="1197"/>
        <item h="1" x="1014"/>
        <item h="1" x="818"/>
        <item h="1" x="1146"/>
        <item h="1" x="12"/>
        <item h="1" x="1225"/>
        <item h="1" x="966"/>
        <item h="1" x="1175"/>
        <item h="1" x="1162"/>
        <item h="1" x="605"/>
        <item h="1" x="969"/>
        <item h="1" x="106"/>
        <item h="1" x="311"/>
        <item h="1" x="716"/>
        <item h="1" x="349"/>
        <item h="1" x="1152"/>
        <item h="1" x="133"/>
        <item h="1" x="124"/>
        <item h="1" x="1138"/>
        <item h="1" x="1243"/>
        <item h="1" x="751"/>
        <item h="1" x="924"/>
        <item h="1" x="1203"/>
        <item h="1" x="514"/>
        <item h="1" x="352"/>
        <item h="1" x="1085"/>
        <item h="1" x="1154"/>
        <item h="1" x="1135"/>
        <item h="1" x="1213"/>
        <item h="1" x="259"/>
        <item h="1" x="574"/>
        <item h="1" x="114"/>
        <item h="1" x="793"/>
        <item h="1" x="932"/>
        <item h="1" x="1036"/>
        <item h="1" x="331"/>
        <item h="1" x="673"/>
        <item h="1" x="1107"/>
        <item h="1" x="1211"/>
        <item h="1" x="1086"/>
        <item h="1" x="434"/>
        <item h="1" x="102"/>
        <item h="1" x="104"/>
        <item h="1" x="1067"/>
        <item h="1" x="57"/>
        <item h="1" x="520"/>
        <item h="1" x="869"/>
        <item h="1" x="702"/>
        <item h="1" x="1285"/>
        <item h="1" x="63"/>
        <item h="1" x="561"/>
        <item h="1" x="631"/>
        <item h="1" x="970"/>
        <item h="1" x="947"/>
        <item h="1" x="1240"/>
        <item h="1" x="535"/>
        <item h="1" x="867"/>
        <item h="1" x="1150"/>
        <item h="1" x="340"/>
        <item h="1" x="296"/>
        <item h="1" x="443"/>
        <item h="1" x="383"/>
        <item h="1" x="810"/>
        <item h="1" x="87"/>
        <item h="1" x="989"/>
        <item h="1" x="385"/>
        <item h="1" x="122"/>
        <item h="1" x="1153"/>
        <item h="1" x="1096"/>
        <item h="1" x="390"/>
        <item h="1" x="982"/>
        <item h="1" x="1232"/>
        <item h="1" x="747"/>
        <item h="1" x="984"/>
        <item h="1" x="563"/>
        <item h="1" x="562"/>
        <item h="1" x="973"/>
        <item h="1" x="975"/>
        <item h="1" x="826"/>
        <item h="1" x="52"/>
        <item h="1" x="1218"/>
        <item h="1" x="628"/>
        <item h="1" x="529"/>
        <item h="1" x="76"/>
        <item h="1" x="570"/>
        <item h="1" x="594"/>
        <item h="1" x="613"/>
        <item h="1" x="270"/>
        <item h="1" x="183"/>
        <item h="1" x="79"/>
        <item h="1" x="896"/>
        <item h="1" x="1179"/>
        <item h="1" x="1043"/>
        <item h="1" x="1105"/>
        <item h="1" x="831"/>
        <item h="1" x="233"/>
        <item h="1" x="1023"/>
        <item h="1" x="651"/>
        <item h="1" x="1066"/>
        <item h="1" x="589"/>
        <item h="1" x="396"/>
        <item h="1" x="1013"/>
        <item h="1" x="988"/>
        <item h="1" x="957"/>
        <item h="1" x="788"/>
        <item h="1" x="508"/>
        <item h="1" x="905"/>
        <item h="1" x="1292"/>
        <item h="1" x="1022"/>
        <item h="1" x="1065"/>
        <item h="1" x="173"/>
        <item h="1" x="1039"/>
        <item h="1" x="323"/>
        <item h="1" x="251"/>
        <item h="1" x="4"/>
        <item h="1" x="1094"/>
        <item h="1" x="857"/>
        <item h="1" x="151"/>
        <item h="1" x="1143"/>
        <item h="1" x="1246"/>
        <item h="1" x="1172"/>
        <item h="1" x="181"/>
        <item h="1" x="281"/>
        <item h="1" x="230"/>
        <item h="1" x="586"/>
        <item h="1" x="916"/>
        <item h="1" x="614"/>
        <item h="1" x="176"/>
        <item h="1" x="944"/>
        <item h="1" x="394"/>
        <item h="1" x="1034"/>
        <item h="1" x="706"/>
        <item h="1" x="861"/>
        <item h="1" x="694"/>
        <item h="1" x="1228"/>
        <item h="1" x="314"/>
        <item h="1" x="815"/>
        <item h="1" x="1028"/>
        <item h="1" x="806"/>
        <item h="1" x="105"/>
        <item h="1" x="354"/>
        <item h="1" x="238"/>
        <item h="1" x="1193"/>
        <item h="1" x="580"/>
        <item h="1" x="1082"/>
        <item h="1" x="608"/>
        <item h="1" x="536"/>
        <item h="1" x="1095"/>
        <item h="1" x="395"/>
        <item h="1" x="847"/>
        <item h="1" x="750"/>
        <item h="1" x="621"/>
        <item h="1" x="622"/>
        <item h="1" x="1183"/>
        <item h="1" x="108"/>
        <item h="1" x="1255"/>
        <item h="1" x="34"/>
        <item h="1" x="1017"/>
        <item h="1" x="1063"/>
        <item h="1" x="1210"/>
        <item h="1" x="1042"/>
        <item h="1" x="365"/>
        <item h="1" x="991"/>
        <item h="1" x="218"/>
        <item h="1" x="639"/>
        <item h="1" x="1058"/>
        <item h="1" x="1018"/>
        <item h="1" x="1217"/>
        <item h="1" x="1271"/>
        <item h="1" x="798"/>
        <item h="1" x="555"/>
        <item h="1" x="1260"/>
        <item h="1" x="839"/>
        <item h="1" x="199"/>
        <item h="1" x="494"/>
        <item h="1" x="882"/>
        <item h="1" x="93"/>
        <item h="1" x="391"/>
        <item h="1" x="154"/>
        <item h="1" x="74"/>
        <item h="1" x="954"/>
        <item h="1" x="752"/>
        <item h="1" x="573"/>
        <item h="1" x="312"/>
        <item h="1" x="1069"/>
        <item h="1" x="1080"/>
        <item h="1" x="616"/>
        <item h="1" x="671"/>
        <item h="1" x="908"/>
        <item h="1" x="524"/>
        <item h="1" x="923"/>
        <item h="1" x="399"/>
        <item h="1" x="1247"/>
        <item h="1" x="674"/>
        <item h="1" x="808"/>
        <item h="1" x="649"/>
        <item h="1" x="288"/>
        <item h="1" x="587"/>
        <item h="1" x="786"/>
        <item h="1" x="749"/>
        <item h="1" x="1190"/>
        <item h="1" x="388"/>
        <item h="1" x="72"/>
        <item h="1" x="117"/>
        <item h="1" x="941"/>
        <item h="1" x="1159"/>
        <item h="1" x="1111"/>
        <item h="1" x="59"/>
        <item h="1" x="387"/>
        <item h="1" x="1057"/>
        <item h="1" x="90"/>
        <item x="48"/>
        <item h="1" x="78"/>
        <item h="1" x="903"/>
        <item h="1" x="66"/>
        <item h="1" x="995"/>
        <item h="1" x="1088"/>
        <item h="1" x="245"/>
        <item h="1" x="1272"/>
        <item h="1" x="714"/>
        <item h="1" x="110"/>
        <item h="1" x="1180"/>
        <item h="1" x="657"/>
        <item h="1" x="271"/>
        <item h="1" x="417"/>
        <item h="1" x="44"/>
        <item h="1" x="322"/>
        <item h="1" x="1117"/>
        <item h="1" x="523"/>
        <item h="1" x="36"/>
        <item h="1" x="54"/>
        <item h="1" x="1192"/>
        <item h="1" x="317"/>
        <item h="1" x="1283"/>
        <item h="1" x="166"/>
        <item h="1" x="772"/>
        <item h="1" x="497"/>
        <item h="1" x="175"/>
        <item h="1" x="357"/>
        <item h="1" x="170"/>
        <item h="1" x="1149"/>
        <item h="1" x="82"/>
        <item h="1" x="453"/>
        <item h="1" x="358"/>
        <item h="1" x="470"/>
        <item h="1" x="284"/>
        <item h="1" x="389"/>
        <item h="1" x="687"/>
        <item h="1" x="505"/>
        <item h="1" x="699"/>
        <item h="1" x="427"/>
        <item h="1" x="743"/>
        <item h="1" x="1119"/>
        <item h="1" x="559"/>
        <item h="1" x="473"/>
        <item h="1" x="160"/>
        <item h="1" x="1230"/>
        <item h="1" x="1204"/>
        <item h="1" x="733"/>
        <item h="1" x="827"/>
        <item h="1" x="735"/>
        <item h="1" x="1130"/>
        <item h="1" x="435"/>
        <item h="1" x="355"/>
        <item h="1" x="910"/>
        <item h="1" x="945"/>
        <item h="1" x="1242"/>
        <item h="1" x="1200"/>
        <item h="1" x="922"/>
        <item h="1" x="67"/>
        <item h="1" x="147"/>
        <item h="1" x="141"/>
        <item h="1" x="676"/>
        <item h="1" x="182"/>
        <item h="1" x="817"/>
        <item h="1" x="1201"/>
        <item h="1" x="22"/>
        <item h="1" x="678"/>
        <item h="1" x="940"/>
        <item h="1" x="948"/>
        <item h="1" x="61"/>
        <item h="1" x="928"/>
        <item h="1" x="599"/>
        <item h="1" x="258"/>
        <item h="1" x="1113"/>
        <item h="1" x="362"/>
        <item h="1" x="15"/>
        <item h="1" x="1173"/>
        <item h="1" x="1264"/>
        <item h="1" x="1004"/>
        <item h="1" x="575"/>
        <item h="1" x="886"/>
        <item h="1" x="131"/>
        <item h="1" x="691"/>
        <item h="1" x="1099"/>
        <item h="1" x="60"/>
        <item h="1" x="1090"/>
        <item h="1" x="129"/>
        <item h="1" x="703"/>
        <item h="1" x="642"/>
        <item h="1" x="1287"/>
        <item h="1" x="1025"/>
        <item h="1" x="221"/>
        <item h="1" x="465"/>
        <item h="1" x="1007"/>
        <item h="1" x="398"/>
        <item h="1" x="236"/>
        <item h="1" x="335"/>
        <item h="1" x="1098"/>
        <item h="1" x="426"/>
        <item h="1" x="822"/>
        <item h="1" x="661"/>
        <item h="1" x="1229"/>
        <item h="1" x="1244"/>
        <item h="1" x="1182"/>
        <item h="1" x="64"/>
        <item h="1" x="955"/>
        <item h="1" x="850"/>
        <item h="1" x="179"/>
        <item h="1" x="887"/>
        <item h="1" x="615"/>
        <item h="1" x="592"/>
        <item h="1" x="610"/>
        <item h="1" x="376"/>
        <item h="1" x="161"/>
        <item h="1" x="1266"/>
        <item h="1" x="450"/>
        <item h="1" x="65"/>
        <item h="1" x="1158"/>
        <item h="1" x="1103"/>
        <item h="1" x="768"/>
        <item h="1" x="302"/>
        <item h="1" x="656"/>
        <item h="1" x="667"/>
        <item h="1" x="1297"/>
        <item h="1" x="895"/>
        <item h="1" x="1169"/>
        <item h="1" x="21"/>
        <item h="1" x="548"/>
        <item h="1" x="486"/>
        <item h="1" x="1052"/>
        <item h="1" x="987"/>
        <item h="1" x="585"/>
        <item h="1" x="291"/>
        <item h="1" x="602"/>
        <item h="1" x="89"/>
        <item h="1" x="99"/>
        <item h="1" x="949"/>
        <item h="1" x="696"/>
        <item h="1" x="704"/>
        <item h="1" x="1131"/>
        <item h="1" x="8"/>
        <item h="1" x="513"/>
        <item h="1" x="838"/>
        <item x="157"/>
        <item h="1" x="1100"/>
        <item h="1" x="624"/>
        <item h="1" x="1132"/>
        <item h="1" x="814"/>
        <item h="1" x="930"/>
        <item h="1" x="801"/>
        <item h="1" x="872"/>
        <item h="1" x="9"/>
        <item h="1" x="113"/>
        <item h="1" x="5"/>
        <item h="1" x="1000"/>
        <item h="1" x="73"/>
        <item h="1" x="16"/>
        <item h="1" x="111"/>
        <item h="1" x="380"/>
        <item h="1" x="97"/>
        <item h="1" x="755"/>
        <item h="1" x="458"/>
        <item h="1" x="1068"/>
        <item h="1" x="1164"/>
        <item h="1" x="1167"/>
        <item h="1" x="69"/>
        <item h="1" x="39"/>
        <item h="1" x="1040"/>
        <item h="1" x="1054"/>
        <item h="1" x="112"/>
        <item h="1" x="439"/>
        <item h="1" x="202"/>
        <item h="1" x="229"/>
        <item h="1" x="316"/>
        <item h="1" x="1274"/>
        <item h="1" x="1296"/>
        <item h="1" x="637"/>
        <item h="1" x="276"/>
        <item h="1" x="777"/>
        <item h="1" x="877"/>
        <item h="1" x="1258"/>
        <item h="1" x="96"/>
        <item h="1" x="927"/>
        <item h="1" x="504"/>
        <item h="1" x="1109"/>
        <item h="1" x="1157"/>
        <item h="1" x="783"/>
        <item h="1" x="321"/>
        <item h="1" x="526"/>
        <item h="1" x="169"/>
        <item h="1" x="681"/>
        <item h="1" x="300"/>
        <item h="1" x="292"/>
        <item h="1" x="53"/>
        <item h="1" x="658"/>
        <item h="1" x="764"/>
        <item h="1" x="491"/>
        <item h="1" x="785"/>
        <item h="1" x="1079"/>
        <item h="1" x="50"/>
        <item h="1" x="1279"/>
        <item h="1" x="547"/>
        <item h="1" x="38"/>
        <item h="1" x="635"/>
        <item h="1" x="315"/>
        <item h="1" x="1231"/>
        <item h="1" x="668"/>
        <item h="1" x="726"/>
        <item h="1" x="952"/>
        <item h="1" x="1122"/>
        <item h="1" x="58"/>
        <item h="1" x="148"/>
        <item h="1" x="1123"/>
        <item h="1" x="604"/>
        <item h="1" x="294"/>
        <item h="1" x="854"/>
        <item h="1" x="225"/>
        <item h="1" x="269"/>
        <item h="1" x="190"/>
        <item h="1" x="1010"/>
        <item h="1" x="959"/>
        <item h="1" x="729"/>
        <item h="1" x="623"/>
        <item h="1" x="457"/>
        <item h="1" x="758"/>
        <item h="1" x="868"/>
        <item h="1" x="1008"/>
        <item h="1" x="977"/>
        <item h="1" x="794"/>
        <item h="1" x="1185"/>
        <item h="1" x="1202"/>
        <item h="1" x="137"/>
        <item h="1" x="757"/>
        <item h="1" x="686"/>
        <item h="1" x="136"/>
        <item h="1" x="2"/>
        <item h="1" x="521"/>
        <item h="1" x="646"/>
        <item h="1" x="625"/>
        <item h="1" x="437"/>
        <item h="1" x="1209"/>
        <item h="1" x="1206"/>
        <item h="1" x="1144"/>
        <item h="1" x="293"/>
        <item h="1" x="500"/>
        <item h="1" x="1189"/>
        <item h="1" x="1205"/>
        <item h="1" x="833"/>
        <item h="1" x="1168"/>
        <item h="1" x="1046"/>
        <item h="1" x="75"/>
        <item h="1" x="422"/>
        <item h="1" x="1002"/>
        <item h="1" x="1219"/>
        <item h="1" x="116"/>
        <item h="1" x="139"/>
        <item h="1" x="532"/>
        <item h="1" x="379"/>
        <item h="1" x="445"/>
        <item h="1" x="883"/>
        <item h="1" x="210"/>
        <item h="1" x="47"/>
        <item h="1" x="222"/>
        <item h="1" x="956"/>
        <item h="1" x="213"/>
        <item h="1" x="823"/>
        <item h="1" x="1269"/>
        <item h="1" x="736"/>
        <item h="1" x="901"/>
        <item h="1" x="24"/>
        <item h="1" x="27"/>
        <item h="1" x="912"/>
        <item h="1" x="844"/>
        <item h="1" x="405"/>
        <item h="1" x="712"/>
        <item h="1" x="767"/>
        <item h="1" x="551"/>
        <item h="1" x="879"/>
        <item h="1" x="717"/>
        <item h="1" x="103"/>
        <item h="1" x="368"/>
        <item h="1" x="1270"/>
        <item h="1" x="1245"/>
        <item h="1" x="262"/>
        <item h="1" x="1160"/>
        <item h="1" x="283"/>
        <item h="1" x="290"/>
        <item h="1" x="512"/>
        <item h="1" x="1141"/>
        <item h="1" x="1139"/>
        <item h="1" x="892"/>
        <item h="1" x="633"/>
        <item h="1" x="1029"/>
        <item h="1" x="875"/>
        <item h="1" x="572"/>
        <item h="1" x="519"/>
        <item h="1" x="153"/>
        <item h="1" x="217"/>
        <item h="1" x="310"/>
        <item h="1" x="898"/>
        <item h="1" x="401"/>
        <item h="1" x="306"/>
        <item h="1" x="346"/>
        <item h="1" x="1112"/>
        <item h="1" x="1011"/>
        <item h="1" x="260"/>
        <item h="1" x="1037"/>
        <item h="1" x="367"/>
        <item h="1" x="711"/>
        <item h="1" x="983"/>
        <item h="1" x="219"/>
        <item h="1" x="902"/>
        <item h="1" x="1062"/>
        <item h="1" x="725"/>
        <item h="1" x="971"/>
        <item h="1" x="255"/>
        <item h="1" x="1121"/>
        <item h="1" x="732"/>
        <item h="1" x="1293"/>
        <item h="1" x="474"/>
        <item h="1" x="779"/>
        <item h="1" x="477"/>
        <item h="1" x="180"/>
        <item h="1" x="1091"/>
        <item h="1" x="1016"/>
        <item h="1" x="705"/>
        <item h="1" x="692"/>
        <item h="1" x="527"/>
        <item h="1" x="632"/>
        <item h="1" x="41"/>
        <item h="1" x="165"/>
        <item h="1" x="94"/>
        <item h="1" x="856"/>
        <item h="1" x="1026"/>
        <item h="1" x="95"/>
        <item h="1" x="577"/>
        <item h="1" x="1127"/>
        <item h="1" x="763"/>
        <item h="1" x="595"/>
        <item h="1" x="739"/>
        <item h="1" x="496"/>
        <item h="1" x="881"/>
        <item h="1" x="782"/>
        <item h="1" x="866"/>
        <item h="1" x="1124"/>
        <item h="1" x="509"/>
        <item h="1" x="1061"/>
        <item h="1" x="929"/>
        <item h="1" x="392"/>
        <item h="1" x="1006"/>
        <item h="1" x="313"/>
        <item h="1" x="197"/>
        <item h="1" x="1227"/>
        <item h="1" x="1012"/>
        <item h="1" x="824"/>
        <item h="1" x="85"/>
        <item h="1" x="1277"/>
        <item h="1" x="286"/>
        <item h="1" x="894"/>
        <item h="1" x="753"/>
        <item h="1" x="13"/>
        <item h="1" x="411"/>
        <item h="1" x="835"/>
        <item h="1" x="499"/>
        <item h="1" x="1181"/>
        <item h="1" x="921"/>
        <item h="1" x="272"/>
        <item h="1" x="552"/>
        <item h="1" x="402"/>
        <item h="1" x="143"/>
        <item h="1" x="297"/>
        <item h="1" x="1084"/>
        <item h="1" x="481"/>
        <item h="1" x="459"/>
        <item h="1" x="601"/>
        <item h="1" x="277"/>
        <item h="1" x="237"/>
        <item h="1" x="1177"/>
        <item h="1" x="958"/>
        <item h="1" x="1281"/>
        <item h="1" x="305"/>
        <item h="1" x="419"/>
        <item h="1" x="797"/>
        <item h="1" x="18"/>
        <item h="1" x="626"/>
        <item h="1" x="138"/>
        <item h="1" x="859"/>
        <item h="1" x="567"/>
        <item h="1" x="933"/>
        <item h="1" x="576"/>
        <item h="1" x="852"/>
        <item h="1" x="263"/>
        <item h="1" x="998"/>
        <item h="1" x="603"/>
        <item h="1" x="543"/>
        <item h="1" x="849"/>
        <item h="1" x="466"/>
        <item h="1" x="734"/>
        <item h="1" x="760"/>
        <item h="1" x="30"/>
        <item h="1" x="86"/>
        <item h="1" x="804"/>
        <item h="1" x="107"/>
        <item h="1" x="846"/>
        <item h="1" x="774"/>
        <item h="1" x="226"/>
        <item h="1" x="522"/>
        <item h="1" x="156"/>
        <item h="1" x="919"/>
        <item h="1" x="1015"/>
        <item h="1" x="796"/>
        <item h="1" x="690"/>
        <item h="1" x="802"/>
        <item h="1" x="0"/>
        <item h="1" x="1184"/>
        <item h="1" x="511"/>
        <item h="1" x="803"/>
        <item h="1" x="1148"/>
        <item h="1" x="195"/>
        <item h="1" x="252"/>
        <item h="1" x="630"/>
        <item h="1" x="184"/>
        <item h="1" x="320"/>
        <item h="1" x="1257"/>
        <item h="1" x="480"/>
        <item h="1" x="571"/>
        <item h="1" x="186"/>
        <item h="1" x="80"/>
        <item h="1" x="697"/>
        <item h="1" x="598"/>
        <item h="1" x="738"/>
        <item h="1" x="549"/>
        <item h="1" x="1238"/>
        <item h="1" x="1248"/>
        <item h="1" x="781"/>
        <item h="1" x="1155"/>
        <item h="1" x="942"/>
        <item h="1" x="146"/>
        <item h="1" x="897"/>
        <item h="1" x="189"/>
        <item h="1" x="1236"/>
        <item h="1" x="744"/>
        <item h="1" x="1081"/>
        <item h="1" x="530"/>
        <item h="1" x="541"/>
        <item h="1" x="682"/>
        <item h="1" x="528"/>
        <item h="1" x="374"/>
        <item h="1" x="1120"/>
        <item h="1" x="840"/>
        <item h="1" x="1041"/>
        <item h="1" x="240"/>
        <item h="1" x="168"/>
        <item h="1" x="880"/>
        <item h="1" x="1045"/>
        <item h="1" x="843"/>
        <item h="1" x="192"/>
        <item h="1" x="727"/>
        <item h="1" x="1224"/>
        <item h="1" x="740"/>
        <item h="1" x="6"/>
        <item h="1" x="345"/>
        <item h="1" x="1276"/>
        <item h="1" x="162"/>
        <item h="1" x="962"/>
        <item h="1" x="787"/>
        <item h="1" x="862"/>
        <item h="1" x="611"/>
        <item h="1" x="448"/>
        <item h="1" x="790"/>
        <item h="1" x="837"/>
        <item h="1" x="1024"/>
        <item h="1" x="1092"/>
        <item h="1" x="931"/>
        <item h="1" x="1060"/>
        <item h="1" x="33"/>
        <item h="1" x="581"/>
        <item h="1" x="762"/>
        <item h="1" x="482"/>
        <item h="1" x="829"/>
        <item h="1" x="741"/>
        <item h="1" x="476"/>
        <item h="1" x="485"/>
        <item h="1" x="1195"/>
        <item h="1" x="193"/>
        <item h="1" x="488"/>
        <item h="1" x="964"/>
        <item h="1" x="900"/>
        <item h="1" x="539"/>
        <item h="1" x="819"/>
        <item h="1" x="101"/>
        <item h="1" x="1030"/>
        <item h="1" x="858"/>
        <item h="1" x="109"/>
        <item h="1" x="558"/>
        <item h="1" x="363"/>
        <item h="1" x="795"/>
        <item h="1" x="88"/>
        <item h="1" x="516"/>
        <item h="1" x="578"/>
        <item h="1" x="155"/>
        <item h="1" x="554"/>
        <item h="1" x="1114"/>
        <item h="1" x="996"/>
        <item h="1" x="1035"/>
        <item h="1" x="408"/>
        <item h="1" x="564"/>
        <item h="1" x="377"/>
        <item h="1" x="899"/>
        <item h="1" x="200"/>
        <item h="1" x="49"/>
        <item h="1" x="636"/>
        <item h="1" x="863"/>
        <item h="1" x="159"/>
        <item h="1" x="479"/>
        <item h="1" x="728"/>
        <item h="1" x="332"/>
        <item h="1" x="855"/>
        <item h="1" x="472"/>
        <item h="1" x="938"/>
        <item h="1" x="1186"/>
        <item h="1" x="538"/>
        <item h="1" x="127"/>
        <item h="1" x="807"/>
        <item h="1" x="227"/>
        <item h="1" x="1044"/>
        <item h="1" x="609"/>
        <item h="1" x="584"/>
        <item h="1" x="1252"/>
        <item h="1" x="876"/>
        <item h="1" x="1165"/>
        <item h="1" x="326"/>
        <item h="1" x="77"/>
        <item h="1" x="45"/>
        <item h="1" x="1191"/>
        <item h="1" x="242"/>
        <item h="1" x="275"/>
        <item h="1" x="356"/>
        <item h="1" x="1163"/>
        <item h="1" x="285"/>
        <item h="1" x="370"/>
        <item h="1" x="724"/>
        <item h="1" x="3"/>
        <item h="1" x="860"/>
        <item h="1" x="265"/>
        <item h="1" x="679"/>
        <item h="1" x="684"/>
        <item h="1" x="393"/>
        <item h="1" x="32"/>
        <item h="1" x="35"/>
        <item h="1" x="382"/>
        <item x="999"/>
        <item h="1" x="438"/>
        <item h="1" x="436"/>
        <item h="1" x="888"/>
        <item h="1" x="341"/>
        <item h="1" x="654"/>
        <item h="1" x="415"/>
        <item h="1" x="531"/>
        <item h="1" x="540"/>
        <item h="1" x="701"/>
        <item h="1" x="274"/>
        <item h="1" x="468"/>
        <item h="1" x="167"/>
        <item h="1" x="386"/>
        <item h="1" x="1"/>
        <item h="1" x="1291"/>
        <item h="1" x="31"/>
        <item h="1" x="993"/>
        <item h="1" x="776"/>
        <item h="1" x="640"/>
        <item h="1" x="266"/>
        <item h="1" x="1253"/>
        <item h="1" x="545"/>
        <item h="1" x="20"/>
        <item h="1" x="403"/>
        <item h="1" x="366"/>
        <item h="1" x="845"/>
        <item h="1" x="172"/>
        <item h="1" x="926"/>
        <item h="1" x="214"/>
        <item h="1" x="309"/>
        <item h="1" x="666"/>
        <item h="1" x="992"/>
        <item h="1" x="1020"/>
        <item h="1" x="158"/>
        <item h="1" x="1178"/>
        <item h="1" x="1261"/>
        <item h="1" x="544"/>
        <item h="1" x="721"/>
        <item h="1" x="250"/>
        <item h="1" x="430"/>
        <item h="1" x="253"/>
        <item h="1" x="207"/>
        <item h="1" x="328"/>
        <item h="1" x="11"/>
        <item h="1" x="723"/>
        <item h="1" x="986"/>
        <item h="1" x="1047"/>
        <item h="1" x="597"/>
        <item h="1" x="304"/>
        <item h="1" x="618"/>
        <item h="1" x="1009"/>
        <item h="1" x="709"/>
        <item h="1" x="428"/>
        <item h="1" x="951"/>
        <item h="1" x="1076"/>
        <item h="1" x="591"/>
        <item h="1" x="1108"/>
        <item h="1" x="937"/>
        <item h="1" x="43"/>
        <item h="1" x="1097"/>
        <item h="1" x="799"/>
        <item h="1" x="617"/>
        <item h="1" x="1115"/>
        <item h="1" x="904"/>
        <item h="1" x="731"/>
        <item h="1" x="619"/>
        <item h="1" x="425"/>
        <item h="1" x="1050"/>
        <item h="1" x="185"/>
        <item h="1" x="455"/>
        <item h="1" x="907"/>
        <item h="1" x="583"/>
        <item h="1" x="216"/>
        <item h="1" x="708"/>
        <item h="1" x="841"/>
        <item h="1" x="257"/>
        <item h="1" x="813"/>
        <item h="1" x="40"/>
        <item h="1" x="400"/>
        <item h="1" x="1207"/>
        <item h="1" x="911"/>
        <item h="1" x="410"/>
        <item h="1" x="212"/>
        <item h="1" x="407"/>
        <item h="1" x="273"/>
        <item h="1" x="1128"/>
        <item h="1" x="553"/>
        <item h="1" x="287"/>
        <item h="1" x="812"/>
        <item h="1" x="1133"/>
        <item h="1" x="171"/>
        <item h="1" x="464"/>
        <item h="1" x="198"/>
        <item h="1" x="1265"/>
        <item h="1" x="469"/>
        <item h="1" x="1208"/>
        <item h="1" x="533"/>
        <item h="1" x="1027"/>
        <item h="1" x="1176"/>
        <item h="1" x="493"/>
        <item h="1" x="492"/>
        <item h="1" x="348"/>
        <item h="1" x="343"/>
        <item h="1" x="569"/>
        <item h="1" x="820"/>
        <item h="1" x="1216"/>
        <item h="1" x="307"/>
        <item h="1" x="821"/>
        <item h="1" x="62"/>
        <item h="1" x="295"/>
        <item h="1" x="1003"/>
        <item h="1" x="972"/>
        <item h="1" x="244"/>
        <item h="1" x="645"/>
        <item h="1" x="83"/>
        <item h="1" x="28"/>
        <item h="1" x="121"/>
        <item h="1" x="42"/>
        <item h="1" x="29"/>
        <item h="1" x="384"/>
        <item h="1" x="518"/>
        <item h="1" x="451"/>
        <item h="1" x="100"/>
        <item h="1" x="247"/>
        <item h="1" x="848"/>
        <item h="1" x="1136"/>
        <item h="1" x="537"/>
        <item h="1" x="208"/>
        <item h="1" x="232"/>
        <item h="1" x="961"/>
        <item h="1" x="906"/>
        <item h="1" x="878"/>
        <item h="1" x="23"/>
        <item h="1" x="228"/>
        <item h="1" x="1212"/>
        <item h="1" x="235"/>
        <item h="1" x="770"/>
        <item h="1" x="327"/>
        <item h="1" x="188"/>
        <item h="1" x="765"/>
        <item h="1" x="663"/>
        <item h="1" x="203"/>
        <item h="1" x="490"/>
        <item h="1" x="502"/>
        <item h="1" x="1188"/>
        <item h="1" x="600"/>
        <item h="1" x="566"/>
        <item h="1" x="452"/>
        <item h="1" x="37"/>
        <item h="1" x="1251"/>
        <item h="1" x="1032"/>
        <item h="1" x="830"/>
        <item h="1" x="1048"/>
        <item h="1" x="1267"/>
        <item h="1" x="990"/>
        <item h="1" x="638"/>
        <item h="1" x="409"/>
        <item h="1" x="142"/>
        <item h="1" x="132"/>
        <item h="1" x="145"/>
        <item h="1" x="91"/>
        <item h="1" x="976"/>
        <item h="1" x="588"/>
        <item h="1" x="1125"/>
        <item h="1" x="655"/>
        <item h="1" x="359"/>
        <item h="1" x="925"/>
        <item h="1" x="805"/>
        <item h="1" x="471"/>
        <item h="1" x="440"/>
        <item h="1" x="1214"/>
        <item h="1" x="334"/>
        <item h="1" x="329"/>
        <item h="1" x="372"/>
        <item h="1" x="851"/>
        <item h="1" x="722"/>
        <item h="1" x="1194"/>
        <item h="1" x="424"/>
        <item h="1" x="884"/>
        <item h="1" x="825"/>
        <item h="1" x="695"/>
        <item h="1" x="1001"/>
        <item h="1" x="560"/>
        <item h="1" x="432"/>
        <item h="1" x="792"/>
        <item h="1" x="967"/>
        <item h="1" x="378"/>
        <item h="1" x="689"/>
        <item h="1" x="1187"/>
        <item h="1" x="917"/>
        <item h="1" x="46"/>
        <item h="1" x="98"/>
        <item h="1" x="506"/>
        <item h="1" x="338"/>
        <item h="1" x="264"/>
        <item h="1" x="220"/>
        <item h="1" x="659"/>
        <item h="1" x="771"/>
        <item h="1" x="746"/>
        <item h="1" x="1151"/>
        <item h="1" x="759"/>
        <item h="1" x="130"/>
        <item h="1" x="1070"/>
        <item x="871"/>
        <item h="1" x="665"/>
        <item h="1" x="1056"/>
        <item h="1" x="1033"/>
        <item h="1" x="650"/>
        <item h="1" x="662"/>
        <item h="1" x="920"/>
        <item h="1" x="864"/>
        <item h="1" x="447"/>
        <item h="1" x="119"/>
        <item h="1" x="350"/>
        <item h="1" x="653"/>
        <item h="1" x="641"/>
        <item h="1" x="68"/>
        <item h="1" x="344"/>
        <item h="1" x="115"/>
        <item h="1" x="397"/>
        <item h="1" x="164"/>
        <item h="1" x="231"/>
        <item h="1" x="660"/>
        <item h="1" x="501"/>
        <item h="1" x="318"/>
        <item h="1" x="325"/>
        <item h="1" x="1072"/>
        <item h="1" x="125"/>
        <item h="1" x="1262"/>
        <item h="1" x="371"/>
        <item h="1" x="745"/>
        <item h="1" x="978"/>
        <item h="1" x="800"/>
        <item h="1" x="780"/>
        <item h="1" x="698"/>
        <item h="1" x="593"/>
        <item h="1" x="1118"/>
        <item h="1" x="1298"/>
        <item h="1" x="1198"/>
        <item h="1" x="748"/>
        <item h="1" x="460"/>
        <item h="1" x="1089"/>
        <item h="1" x="1101"/>
        <item h="1" x="596"/>
        <item h="1" x="828"/>
        <item h="1" x="915"/>
        <item h="1" x="1055"/>
        <item h="1" x="556"/>
        <item h="1" x="946"/>
        <item h="1" x="773"/>
        <item h="1" x="503"/>
        <item h="1" x="1051"/>
        <item h="1" x="730"/>
        <item h="1" x="17"/>
        <item h="1" x="1038"/>
        <item h="1" x="1295"/>
        <item h="1" x="1073"/>
        <item h="1" x="542"/>
        <item h="1" x="565"/>
        <item h="1" x="974"/>
        <item h="1" x="590"/>
        <item h="1" x="707"/>
        <item h="1" x="811"/>
        <item h="1" x="241"/>
        <item h="1" x="789"/>
        <item h="1" x="414"/>
        <item h="1" x="150"/>
        <item h="1" x="1104"/>
        <item h="1" x="775"/>
        <item h="1" x="487"/>
        <item h="1" x="429"/>
        <item h="1" x="1280"/>
        <item h="1" x="1237"/>
        <item h="1" x="71"/>
        <item h="1" x="1286"/>
        <item h="1" x="1259"/>
        <item h="1" x="483"/>
        <item h="1" x="1290"/>
        <item h="1" x="1059"/>
        <item h="1" x="568"/>
        <item h="1" x="421"/>
        <item h="1" x="873"/>
        <item h="1" x="196"/>
        <item h="1" x="1249"/>
        <item h="1" x="809"/>
        <item h="1" x="893"/>
        <item h="1" x="205"/>
        <item h="1" x="1053"/>
        <item h="1" x="950"/>
        <item h="1" x="1071"/>
        <item h="1" x="475"/>
        <item h="1" x="836"/>
        <item h="1" x="1031"/>
        <item h="1" x="1064"/>
        <item h="1" x="550"/>
        <item h="1" x="201"/>
        <item h="1" x="19"/>
        <item h="1" x="865"/>
        <item h="1" x="688"/>
        <item h="1" x="557"/>
        <item h="1" x="1083"/>
        <item h="1" x="834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t="default"/>
      </items>
    </pivotField>
  </pivotFields>
  <rowFields count="1">
    <field x="25"/>
  </rowFields>
  <rowItems count="3">
    <i>
      <x v="445"/>
    </i>
    <i>
      <x v="996"/>
    </i>
    <i t="grand">
      <x/>
    </i>
  </rowItems>
  <colItems count="1">
    <i/>
  </colItems>
  <pageFields count="3">
    <pageField fld="16" hier="-1"/>
    <pageField fld="15" hier="-1"/>
    <pageField fld="13" hier="-1"/>
  </pageFields>
  <dataFields count="1">
    <dataField name="Suma de Total_Gasto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1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60:B63" firstHeaderRow="1" firstDataRow="1" firstDataCol="1" rowPageCount="3" colPageCount="1"/>
  <pivotFields count="26">
    <pivotField numFmtId="14" showAl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7">
        <item h="1" x="0"/>
        <item h="1" x="3"/>
        <item h="1" x="2"/>
        <item x="1"/>
        <item h="1" x="4"/>
        <item h="1" x="5"/>
        <item t="default"/>
      </items>
    </pivotField>
    <pivotField showAll="0"/>
    <pivotField axis="axisPage" multipleItemSelectionAllowed="1" showAll="0">
      <items count="13">
        <item x="10"/>
        <item h="1" x="11"/>
        <item h="1" x="7"/>
        <item h="1" x="0"/>
        <item h="1" x="1"/>
        <item h="1" x="2"/>
        <item h="1" x="3"/>
        <item h="1" x="4"/>
        <item h="1" x="5"/>
        <item h="1" x="6"/>
        <item h="1" x="8"/>
        <item h="1" x="9"/>
        <item t="default"/>
      </items>
    </pivotField>
    <pivotField axis="axisPage" numFmtId="1" multipleItemSelectionAllowed="1" showAll="0">
      <items count="4">
        <item h="1" x="0"/>
        <item h="1" x="1"/>
        <item x="2"/>
        <item t="default"/>
      </items>
    </pivotField>
    <pivotField dataField="1" numFmtId="1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425">
        <item h="1" x="1222"/>
        <item h="1" x="1263"/>
        <item h="1" x="10"/>
        <item h="1" x="441"/>
        <item h="1" x="1147"/>
        <item h="1" x="298"/>
        <item h="1" x="943"/>
        <item h="1" x="909"/>
        <item h="1" x="1234"/>
        <item h="1" x="769"/>
        <item h="1" x="515"/>
        <item h="1" x="177"/>
        <item h="1" x="720"/>
        <item h="1" x="627"/>
        <item h="1" x="1170"/>
        <item h="1" x="606"/>
        <item h="1" x="1174"/>
        <item h="1" x="1294"/>
        <item h="1" x="128"/>
        <item h="1" x="118"/>
        <item h="1" x="442"/>
        <item h="1" x="462"/>
        <item h="1" x="1239"/>
        <item h="1" x="209"/>
        <item h="1" x="498"/>
        <item h="1" x="1077"/>
        <item h="1" x="461"/>
        <item h="1" x="423"/>
        <item h="1" x="92"/>
        <item h="1" x="84"/>
        <item h="1" x="234"/>
        <item h="1" x="1145"/>
        <item h="1" x="510"/>
        <item h="1" x="816"/>
        <item h="1" x="420"/>
        <item h="1" x="489"/>
        <item h="1" x="120"/>
        <item h="1" x="301"/>
        <item h="1" x="612"/>
        <item h="1" x="968"/>
        <item h="1" x="289"/>
        <item h="1" x="980"/>
        <item h="1" x="791"/>
        <item h="1" x="413"/>
        <item h="1" x="353"/>
        <item h="1" x="268"/>
        <item h="1" x="215"/>
        <item h="1" x="444"/>
        <item h="1" x="70"/>
        <item h="1" x="1254"/>
        <item h="1" x="249"/>
        <item h="1" x="1223"/>
        <item h="1" x="149"/>
        <item h="1" x="319"/>
        <item h="1" x="874"/>
        <item h="1" x="997"/>
        <item h="1" x="239"/>
        <item h="1" x="1129"/>
        <item h="1" x="634"/>
        <item h="1" x="1116"/>
        <item h="1" x="360"/>
        <item h="1" x="364"/>
        <item h="1" x="191"/>
        <item h="1" x="1199"/>
        <item h="1" x="1078"/>
        <item h="1" x="670"/>
        <item h="1" x="246"/>
        <item h="1" x="525"/>
        <item h="1" x="664"/>
        <item h="1" x="308"/>
        <item h="1" x="960"/>
        <item h="1" x="754"/>
        <item h="1" x="710"/>
        <item h="1" x="144"/>
        <item h="1" x="1241"/>
        <item h="1" x="784"/>
        <item h="1" x="700"/>
        <item h="1" x="643"/>
        <item h="1" x="742"/>
        <item h="1" x="534"/>
        <item h="1" x="56"/>
        <item h="1" x="280"/>
        <item h="1" x="517"/>
        <item h="1" x="178"/>
        <item h="1" x="26"/>
        <item h="1" x="303"/>
        <item h="1" x="339"/>
        <item h="1" x="669"/>
        <item h="1" x="55"/>
        <item h="1" x="1196"/>
        <item h="1" x="126"/>
        <item h="1" x="337"/>
        <item h="1" x="152"/>
        <item h="1" x="369"/>
        <item h="1" x="454"/>
        <item h="1" x="267"/>
        <item h="1" x="1250"/>
        <item h="1" x="607"/>
        <item h="1" x="885"/>
        <item h="1" x="953"/>
        <item h="1" x="1221"/>
        <item h="1" x="140"/>
        <item h="1" x="7"/>
        <item h="1" x="347"/>
        <item h="1" x="1106"/>
        <item h="1" x="652"/>
        <item h="1" x="224"/>
        <item h="1" x="330"/>
        <item h="1" x="693"/>
        <item h="1" x="1275"/>
        <item h="1" x="1282"/>
        <item h="1" x="1220"/>
        <item h="1" x="939"/>
        <item h="1" x="1284"/>
        <item h="1" x="675"/>
        <item h="1" x="1049"/>
        <item h="1" x="1134"/>
        <item h="1" x="1268"/>
        <item h="1" x="918"/>
        <item h="1" x="761"/>
        <item h="1" x="1233"/>
        <item h="1" x="582"/>
        <item h="1" x="965"/>
        <item h="1" x="416"/>
        <item h="1" x="934"/>
        <item h="1" x="685"/>
        <item h="1" x="1102"/>
        <item h="1" x="1171"/>
        <item h="1" x="123"/>
        <item h="1" x="778"/>
        <item h="1" x="248"/>
        <item h="1" x="914"/>
        <item h="1" x="994"/>
        <item h="1" x="254"/>
        <item h="1" x="174"/>
        <item h="1" x="361"/>
        <item h="1" x="187"/>
        <item h="1" x="913"/>
        <item h="1" x="1278"/>
        <item h="1" x="25"/>
        <item h="1" x="324"/>
        <item h="1" x="1215"/>
        <item h="1" x="467"/>
        <item h="1" x="853"/>
        <item h="1" x="935"/>
        <item h="1" x="446"/>
        <item h="1" x="223"/>
        <item h="1" x="194"/>
        <item h="1" x="979"/>
        <item h="1" x="431"/>
        <item h="1" x="1093"/>
        <item h="1" x="842"/>
        <item h="1" x="936"/>
        <item h="1" x="1235"/>
        <item h="1" x="163"/>
        <item h="1" x="256"/>
        <item h="1" x="484"/>
        <item h="1" x="279"/>
        <item h="1" x="683"/>
        <item h="1" x="1110"/>
        <item h="1" x="1156"/>
        <item h="1" x="677"/>
        <item h="1" x="211"/>
        <item h="1" x="889"/>
        <item h="1" x="14"/>
        <item h="1" x="418"/>
        <item h="1" x="629"/>
        <item h="1" x="278"/>
        <item h="1" x="261"/>
        <item h="1" x="985"/>
        <item h="1" x="1273"/>
        <item h="1" x="963"/>
        <item h="1" x="406"/>
        <item h="1" x="766"/>
        <item h="1" x="713"/>
        <item h="1" x="1226"/>
        <item h="1" x="81"/>
        <item h="1" x="1021"/>
        <item h="1" x="1288"/>
        <item h="1" x="719"/>
        <item h="1" x="1019"/>
        <item h="1" x="891"/>
        <item h="1" x="890"/>
        <item h="1" x="333"/>
        <item h="1" x="672"/>
        <item h="1" x="1161"/>
        <item h="1" x="870"/>
        <item h="1" x="351"/>
        <item h="1" x="134"/>
        <item h="1" x="680"/>
        <item h="1" x="620"/>
        <item h="1" x="1087"/>
        <item h="1" x="1289"/>
        <item h="1" x="336"/>
        <item h="1" x="756"/>
        <item h="1" x="478"/>
        <item h="1" x="204"/>
        <item h="1" x="718"/>
        <item h="1" x="495"/>
        <item h="1" x="375"/>
        <item h="1" x="404"/>
        <item h="1" x="463"/>
        <item h="1" x="1256"/>
        <item h="1" x="299"/>
        <item h="1" x="1005"/>
        <item h="1" x="51"/>
        <item h="1" x="1074"/>
        <item h="1" x="507"/>
        <item h="1" x="449"/>
        <item h="1" x="456"/>
        <item h="1" x="1140"/>
        <item h="1" x="1166"/>
        <item h="1" x="282"/>
        <item h="1" x="206"/>
        <item h="1" x="412"/>
        <item h="1" x="243"/>
        <item h="1" x="832"/>
        <item h="1" x="644"/>
        <item h="1" x="737"/>
        <item h="1" x="546"/>
        <item h="1" x="647"/>
        <item h="1" x="648"/>
        <item h="1" x="1137"/>
        <item h="1" x="1075"/>
        <item h="1" x="715"/>
        <item h="1" x="135"/>
        <item h="1" x="1142"/>
        <item h="1" x="373"/>
        <item h="1" x="1126"/>
        <item h="1" x="342"/>
        <item h="1" x="433"/>
        <item h="1" x="981"/>
        <item h="1" x="381"/>
        <item h="1" x="579"/>
        <item h="1" x="1197"/>
        <item h="1" x="1014"/>
        <item h="1" x="818"/>
        <item h="1" x="1146"/>
        <item h="1" x="12"/>
        <item h="1" x="1225"/>
        <item h="1" x="966"/>
        <item h="1" x="1175"/>
        <item h="1" x="1162"/>
        <item h="1" x="605"/>
        <item h="1" x="969"/>
        <item h="1" x="106"/>
        <item h="1" x="311"/>
        <item h="1" x="716"/>
        <item h="1" x="349"/>
        <item h="1" x="1152"/>
        <item h="1" x="133"/>
        <item h="1" x="124"/>
        <item h="1" x="1138"/>
        <item h="1" x="1243"/>
        <item h="1" x="751"/>
        <item h="1" x="924"/>
        <item h="1" x="1203"/>
        <item h="1" x="514"/>
        <item h="1" x="352"/>
        <item h="1" x="1085"/>
        <item h="1" x="1154"/>
        <item h="1" x="1135"/>
        <item h="1" x="1213"/>
        <item h="1" x="259"/>
        <item h="1" x="574"/>
        <item h="1" x="114"/>
        <item h="1" x="793"/>
        <item h="1" x="932"/>
        <item h="1" x="1036"/>
        <item h="1" x="331"/>
        <item h="1" x="673"/>
        <item h="1" x="1107"/>
        <item h="1" x="1211"/>
        <item h="1" x="1086"/>
        <item h="1" x="434"/>
        <item h="1" x="102"/>
        <item h="1" x="104"/>
        <item h="1" x="1067"/>
        <item h="1" x="57"/>
        <item h="1" x="520"/>
        <item h="1" x="869"/>
        <item h="1" x="702"/>
        <item h="1" x="1285"/>
        <item h="1" x="63"/>
        <item h="1" x="561"/>
        <item h="1" x="631"/>
        <item h="1" x="970"/>
        <item h="1" x="947"/>
        <item h="1" x="1240"/>
        <item h="1" x="535"/>
        <item h="1" x="867"/>
        <item h="1" x="1150"/>
        <item h="1" x="340"/>
        <item h="1" x="296"/>
        <item h="1" x="443"/>
        <item h="1" x="383"/>
        <item h="1" x="810"/>
        <item h="1" x="87"/>
        <item h="1" x="989"/>
        <item h="1" x="385"/>
        <item h="1" x="122"/>
        <item h="1" x="1153"/>
        <item h="1" x="1096"/>
        <item h="1" x="390"/>
        <item h="1" x="982"/>
        <item h="1" x="1232"/>
        <item h="1" x="747"/>
        <item h="1" x="984"/>
        <item h="1" x="563"/>
        <item h="1" x="562"/>
        <item h="1" x="973"/>
        <item h="1" x="975"/>
        <item h="1" x="826"/>
        <item h="1" x="52"/>
        <item h="1" x="1218"/>
        <item h="1" x="628"/>
        <item h="1" x="529"/>
        <item h="1" x="76"/>
        <item h="1" x="570"/>
        <item h="1" x="594"/>
        <item h="1" x="613"/>
        <item h="1" x="270"/>
        <item h="1" x="183"/>
        <item h="1" x="79"/>
        <item h="1" x="896"/>
        <item h="1" x="1179"/>
        <item h="1" x="1043"/>
        <item h="1" x="1105"/>
        <item h="1" x="831"/>
        <item h="1" x="233"/>
        <item h="1" x="1023"/>
        <item h="1" x="651"/>
        <item h="1" x="1066"/>
        <item h="1" x="589"/>
        <item h="1" x="396"/>
        <item h="1" x="1013"/>
        <item h="1" x="988"/>
        <item h="1" x="957"/>
        <item h="1" x="788"/>
        <item h="1" x="508"/>
        <item h="1" x="905"/>
        <item h="1" x="1292"/>
        <item h="1" x="1022"/>
        <item h="1" x="1065"/>
        <item h="1" x="173"/>
        <item h="1" x="1039"/>
        <item h="1" x="323"/>
        <item h="1" x="251"/>
        <item h="1" x="4"/>
        <item h="1" x="1094"/>
        <item h="1" x="857"/>
        <item h="1" x="151"/>
        <item h="1" x="1143"/>
        <item h="1" x="1246"/>
        <item h="1" x="1172"/>
        <item h="1" x="181"/>
        <item h="1" x="281"/>
        <item h="1" x="230"/>
        <item h="1" x="586"/>
        <item h="1" x="916"/>
        <item h="1" x="614"/>
        <item h="1" x="176"/>
        <item h="1" x="944"/>
        <item h="1" x="394"/>
        <item h="1" x="1034"/>
        <item h="1" x="706"/>
        <item h="1" x="861"/>
        <item h="1" x="694"/>
        <item h="1" x="1228"/>
        <item h="1" x="314"/>
        <item h="1" x="815"/>
        <item h="1" x="1028"/>
        <item h="1" x="806"/>
        <item h="1" x="105"/>
        <item h="1" x="354"/>
        <item h="1" x="238"/>
        <item h="1" x="1193"/>
        <item h="1" x="580"/>
        <item h="1" x="1082"/>
        <item h="1" x="608"/>
        <item h="1" x="536"/>
        <item h="1" x="1095"/>
        <item h="1" x="395"/>
        <item h="1" x="847"/>
        <item h="1" x="750"/>
        <item h="1" x="621"/>
        <item h="1" x="622"/>
        <item h="1" x="1183"/>
        <item h="1" x="108"/>
        <item h="1" x="1255"/>
        <item h="1" x="34"/>
        <item h="1" x="1017"/>
        <item h="1" x="1063"/>
        <item h="1" x="1210"/>
        <item h="1" x="1042"/>
        <item h="1" x="365"/>
        <item h="1" x="991"/>
        <item h="1" x="218"/>
        <item h="1" x="639"/>
        <item h="1" x="1058"/>
        <item h="1" x="1018"/>
        <item h="1" x="1217"/>
        <item h="1" x="1271"/>
        <item h="1" x="798"/>
        <item h="1" x="555"/>
        <item h="1" x="1260"/>
        <item h="1" x="839"/>
        <item h="1" x="199"/>
        <item h="1" x="494"/>
        <item h="1" x="882"/>
        <item h="1" x="93"/>
        <item h="1" x="391"/>
        <item h="1" x="154"/>
        <item h="1" x="74"/>
        <item h="1" x="954"/>
        <item h="1" x="752"/>
        <item h="1" x="573"/>
        <item h="1" x="312"/>
        <item h="1" x="1069"/>
        <item h="1" x="1080"/>
        <item h="1" x="616"/>
        <item h="1" x="671"/>
        <item h="1" x="908"/>
        <item h="1" x="524"/>
        <item h="1" x="923"/>
        <item h="1" x="399"/>
        <item h="1" x="1247"/>
        <item h="1" x="674"/>
        <item h="1" x="808"/>
        <item h="1" x="649"/>
        <item h="1" x="288"/>
        <item h="1" x="587"/>
        <item h="1" x="786"/>
        <item h="1" x="749"/>
        <item h="1" x="1190"/>
        <item h="1" x="388"/>
        <item h="1" x="72"/>
        <item h="1" x="117"/>
        <item h="1" x="941"/>
        <item h="1" x="1159"/>
        <item h="1" x="1111"/>
        <item h="1" x="59"/>
        <item h="1" x="387"/>
        <item h="1" x="1057"/>
        <item h="1" x="90"/>
        <item x="48"/>
        <item h="1" x="78"/>
        <item h="1" x="903"/>
        <item h="1" x="66"/>
        <item h="1" x="995"/>
        <item h="1" x="1088"/>
        <item h="1" x="245"/>
        <item h="1" x="1272"/>
        <item h="1" x="714"/>
        <item h="1" x="110"/>
        <item h="1" x="1180"/>
        <item h="1" x="657"/>
        <item h="1" x="271"/>
        <item h="1" x="417"/>
        <item h="1" x="44"/>
        <item h="1" x="322"/>
        <item h="1" x="1117"/>
        <item h="1" x="523"/>
        <item h="1" x="36"/>
        <item h="1" x="54"/>
        <item h="1" x="1192"/>
        <item h="1" x="317"/>
        <item h="1" x="1283"/>
        <item h="1" x="166"/>
        <item h="1" x="772"/>
        <item h="1" x="497"/>
        <item h="1" x="175"/>
        <item h="1" x="357"/>
        <item h="1" x="170"/>
        <item h="1" x="1149"/>
        <item h="1" x="82"/>
        <item h="1" x="453"/>
        <item h="1" x="358"/>
        <item h="1" x="470"/>
        <item h="1" x="284"/>
        <item h="1" x="389"/>
        <item h="1" x="687"/>
        <item h="1" x="505"/>
        <item h="1" x="699"/>
        <item h="1" x="427"/>
        <item h="1" x="743"/>
        <item h="1" x="1119"/>
        <item h="1" x="559"/>
        <item h="1" x="473"/>
        <item h="1" x="160"/>
        <item h="1" x="1230"/>
        <item h="1" x="1204"/>
        <item h="1" x="733"/>
        <item h="1" x="827"/>
        <item h="1" x="735"/>
        <item h="1" x="1130"/>
        <item h="1" x="435"/>
        <item h="1" x="355"/>
        <item h="1" x="910"/>
        <item h="1" x="945"/>
        <item h="1" x="1242"/>
        <item h="1" x="1200"/>
        <item h="1" x="922"/>
        <item h="1" x="67"/>
        <item h="1" x="147"/>
        <item h="1" x="141"/>
        <item h="1" x="676"/>
        <item h="1" x="182"/>
        <item h="1" x="817"/>
        <item h="1" x="1201"/>
        <item h="1" x="22"/>
        <item h="1" x="678"/>
        <item h="1" x="940"/>
        <item h="1" x="948"/>
        <item h="1" x="61"/>
        <item h="1" x="928"/>
        <item h="1" x="599"/>
        <item h="1" x="258"/>
        <item h="1" x="1113"/>
        <item h="1" x="362"/>
        <item h="1" x="15"/>
        <item h="1" x="1173"/>
        <item h="1" x="1264"/>
        <item h="1" x="1004"/>
        <item h="1" x="575"/>
        <item h="1" x="886"/>
        <item h="1" x="131"/>
        <item h="1" x="691"/>
        <item h="1" x="1099"/>
        <item h="1" x="60"/>
        <item h="1" x="1090"/>
        <item h="1" x="129"/>
        <item h="1" x="703"/>
        <item h="1" x="642"/>
        <item h="1" x="1287"/>
        <item h="1" x="1025"/>
        <item h="1" x="221"/>
        <item h="1" x="465"/>
        <item h="1" x="1007"/>
        <item h="1" x="398"/>
        <item h="1" x="236"/>
        <item h="1" x="335"/>
        <item h="1" x="1098"/>
        <item h="1" x="426"/>
        <item h="1" x="822"/>
        <item h="1" x="661"/>
        <item h="1" x="1229"/>
        <item h="1" x="1244"/>
        <item h="1" x="1182"/>
        <item h="1" x="64"/>
        <item h="1" x="955"/>
        <item h="1" x="850"/>
        <item h="1" x="179"/>
        <item h="1" x="887"/>
        <item h="1" x="615"/>
        <item h="1" x="592"/>
        <item h="1" x="610"/>
        <item h="1" x="376"/>
        <item h="1" x="161"/>
        <item h="1" x="1266"/>
        <item h="1" x="450"/>
        <item h="1" x="65"/>
        <item h="1" x="1158"/>
        <item h="1" x="1103"/>
        <item h="1" x="768"/>
        <item h="1" x="302"/>
        <item h="1" x="656"/>
        <item h="1" x="667"/>
        <item h="1" x="1297"/>
        <item h="1" x="895"/>
        <item h="1" x="1169"/>
        <item h="1" x="21"/>
        <item h="1" x="548"/>
        <item h="1" x="486"/>
        <item h="1" x="1052"/>
        <item h="1" x="987"/>
        <item h="1" x="585"/>
        <item h="1" x="291"/>
        <item h="1" x="602"/>
        <item h="1" x="89"/>
        <item h="1" x="99"/>
        <item h="1" x="949"/>
        <item h="1" x="696"/>
        <item h="1" x="704"/>
        <item h="1" x="1131"/>
        <item h="1" x="8"/>
        <item h="1" x="513"/>
        <item h="1" x="838"/>
        <item x="157"/>
        <item h="1" x="1100"/>
        <item h="1" x="624"/>
        <item h="1" x="1132"/>
        <item h="1" x="814"/>
        <item h="1" x="930"/>
        <item h="1" x="801"/>
        <item h="1" x="872"/>
        <item h="1" x="9"/>
        <item h="1" x="113"/>
        <item h="1" x="5"/>
        <item h="1" x="1000"/>
        <item h="1" x="73"/>
        <item h="1" x="16"/>
        <item h="1" x="111"/>
        <item h="1" x="380"/>
        <item h="1" x="97"/>
        <item h="1" x="755"/>
        <item h="1" x="458"/>
        <item h="1" x="1068"/>
        <item h="1" x="1164"/>
        <item h="1" x="1167"/>
        <item h="1" x="69"/>
        <item h="1" x="39"/>
        <item h="1" x="1040"/>
        <item h="1" x="1054"/>
        <item h="1" x="112"/>
        <item h="1" x="439"/>
        <item h="1" x="202"/>
        <item h="1" x="229"/>
        <item h="1" x="316"/>
        <item h="1" x="1274"/>
        <item h="1" x="1296"/>
        <item h="1" x="637"/>
        <item h="1" x="276"/>
        <item h="1" x="777"/>
        <item h="1" x="877"/>
        <item h="1" x="1258"/>
        <item h="1" x="96"/>
        <item h="1" x="927"/>
        <item h="1" x="504"/>
        <item h="1" x="1109"/>
        <item h="1" x="1157"/>
        <item h="1" x="783"/>
        <item h="1" x="321"/>
        <item h="1" x="526"/>
        <item h="1" x="169"/>
        <item h="1" x="681"/>
        <item h="1" x="300"/>
        <item h="1" x="292"/>
        <item h="1" x="53"/>
        <item h="1" x="658"/>
        <item h="1" x="764"/>
        <item h="1" x="491"/>
        <item h="1" x="785"/>
        <item h="1" x="1079"/>
        <item h="1" x="50"/>
        <item h="1" x="1279"/>
        <item h="1" x="547"/>
        <item h="1" x="38"/>
        <item h="1" x="635"/>
        <item h="1" x="315"/>
        <item h="1" x="1231"/>
        <item h="1" x="668"/>
        <item h="1" x="726"/>
        <item h="1" x="952"/>
        <item h="1" x="1122"/>
        <item h="1" x="58"/>
        <item h="1" x="148"/>
        <item h="1" x="1123"/>
        <item h="1" x="604"/>
        <item h="1" x="294"/>
        <item h="1" x="854"/>
        <item h="1" x="225"/>
        <item h="1" x="269"/>
        <item h="1" x="190"/>
        <item h="1" x="1010"/>
        <item h="1" x="959"/>
        <item h="1" x="729"/>
        <item h="1" x="623"/>
        <item h="1" x="457"/>
        <item h="1" x="758"/>
        <item h="1" x="868"/>
        <item h="1" x="1008"/>
        <item h="1" x="977"/>
        <item h="1" x="794"/>
        <item h="1" x="1185"/>
        <item h="1" x="1202"/>
        <item h="1" x="137"/>
        <item h="1" x="757"/>
        <item h="1" x="686"/>
        <item h="1" x="136"/>
        <item h="1" x="2"/>
        <item h="1" x="521"/>
        <item h="1" x="646"/>
        <item h="1" x="625"/>
        <item h="1" x="437"/>
        <item h="1" x="1209"/>
        <item h="1" x="1206"/>
        <item h="1" x="1144"/>
        <item h="1" x="293"/>
        <item h="1" x="500"/>
        <item h="1" x="1189"/>
        <item h="1" x="1205"/>
        <item h="1" x="833"/>
        <item h="1" x="1168"/>
        <item h="1" x="1046"/>
        <item h="1" x="75"/>
        <item h="1" x="422"/>
        <item h="1" x="1002"/>
        <item h="1" x="1219"/>
        <item h="1" x="116"/>
        <item h="1" x="139"/>
        <item h="1" x="532"/>
        <item h="1" x="379"/>
        <item h="1" x="445"/>
        <item h="1" x="883"/>
        <item h="1" x="210"/>
        <item h="1" x="47"/>
        <item h="1" x="222"/>
        <item h="1" x="956"/>
        <item h="1" x="213"/>
        <item h="1" x="823"/>
        <item h="1" x="1269"/>
        <item h="1" x="736"/>
        <item h="1" x="901"/>
        <item h="1" x="24"/>
        <item h="1" x="27"/>
        <item h="1" x="912"/>
        <item h="1" x="844"/>
        <item h="1" x="405"/>
        <item h="1" x="712"/>
        <item h="1" x="767"/>
        <item h="1" x="551"/>
        <item h="1" x="879"/>
        <item h="1" x="717"/>
        <item h="1" x="103"/>
        <item h="1" x="368"/>
        <item h="1" x="1270"/>
        <item h="1" x="1245"/>
        <item h="1" x="262"/>
        <item h="1" x="1160"/>
        <item h="1" x="283"/>
        <item h="1" x="290"/>
        <item h="1" x="512"/>
        <item h="1" x="1141"/>
        <item h="1" x="1139"/>
        <item h="1" x="892"/>
        <item h="1" x="633"/>
        <item h="1" x="1029"/>
        <item h="1" x="875"/>
        <item h="1" x="572"/>
        <item h="1" x="519"/>
        <item h="1" x="153"/>
        <item h="1" x="217"/>
        <item h="1" x="310"/>
        <item h="1" x="898"/>
        <item h="1" x="401"/>
        <item h="1" x="306"/>
        <item h="1" x="346"/>
        <item h="1" x="1112"/>
        <item h="1" x="1011"/>
        <item h="1" x="260"/>
        <item h="1" x="1037"/>
        <item h="1" x="367"/>
        <item h="1" x="711"/>
        <item h="1" x="983"/>
        <item h="1" x="219"/>
        <item h="1" x="902"/>
        <item h="1" x="1062"/>
        <item h="1" x="725"/>
        <item h="1" x="971"/>
        <item h="1" x="255"/>
        <item h="1" x="1121"/>
        <item h="1" x="732"/>
        <item h="1" x="1293"/>
        <item h="1" x="474"/>
        <item h="1" x="779"/>
        <item h="1" x="477"/>
        <item h="1" x="180"/>
        <item h="1" x="1091"/>
        <item h="1" x="1016"/>
        <item h="1" x="705"/>
        <item h="1" x="692"/>
        <item h="1" x="527"/>
        <item h="1" x="632"/>
        <item h="1" x="41"/>
        <item h="1" x="165"/>
        <item h="1" x="94"/>
        <item h="1" x="856"/>
        <item h="1" x="1026"/>
        <item h="1" x="95"/>
        <item h="1" x="577"/>
        <item h="1" x="1127"/>
        <item h="1" x="763"/>
        <item h="1" x="595"/>
        <item h="1" x="739"/>
        <item h="1" x="496"/>
        <item h="1" x="881"/>
        <item h="1" x="782"/>
        <item h="1" x="866"/>
        <item h="1" x="1124"/>
        <item h="1" x="509"/>
        <item h="1" x="1061"/>
        <item h="1" x="929"/>
        <item h="1" x="392"/>
        <item h="1" x="1006"/>
        <item h="1" x="313"/>
        <item h="1" x="197"/>
        <item h="1" x="1227"/>
        <item h="1" x="1012"/>
        <item h="1" x="824"/>
        <item h="1" x="85"/>
        <item h="1" x="1277"/>
        <item h="1" x="286"/>
        <item h="1" x="894"/>
        <item h="1" x="753"/>
        <item h="1" x="13"/>
        <item h="1" x="411"/>
        <item h="1" x="835"/>
        <item h="1" x="499"/>
        <item h="1" x="1181"/>
        <item h="1" x="921"/>
        <item h="1" x="272"/>
        <item h="1" x="552"/>
        <item h="1" x="402"/>
        <item h="1" x="143"/>
        <item h="1" x="297"/>
        <item h="1" x="1084"/>
        <item h="1" x="481"/>
        <item h="1" x="459"/>
        <item h="1" x="601"/>
        <item h="1" x="277"/>
        <item h="1" x="237"/>
        <item h="1" x="1177"/>
        <item h="1" x="958"/>
        <item h="1" x="1281"/>
        <item h="1" x="305"/>
        <item h="1" x="419"/>
        <item h="1" x="797"/>
        <item h="1" x="18"/>
        <item h="1" x="626"/>
        <item h="1" x="138"/>
        <item h="1" x="859"/>
        <item h="1" x="567"/>
        <item h="1" x="933"/>
        <item h="1" x="576"/>
        <item h="1" x="852"/>
        <item h="1" x="263"/>
        <item h="1" x="998"/>
        <item h="1" x="603"/>
        <item h="1" x="543"/>
        <item h="1" x="849"/>
        <item h="1" x="466"/>
        <item h="1" x="734"/>
        <item h="1" x="760"/>
        <item h="1" x="30"/>
        <item h="1" x="86"/>
        <item h="1" x="804"/>
        <item h="1" x="107"/>
        <item h="1" x="846"/>
        <item h="1" x="774"/>
        <item h="1" x="226"/>
        <item h="1" x="522"/>
        <item h="1" x="156"/>
        <item h="1" x="919"/>
        <item h="1" x="1015"/>
        <item h="1" x="796"/>
        <item h="1" x="690"/>
        <item h="1" x="802"/>
        <item h="1" x="0"/>
        <item h="1" x="1184"/>
        <item h="1" x="511"/>
        <item h="1" x="803"/>
        <item h="1" x="1148"/>
        <item h="1" x="195"/>
        <item h="1" x="252"/>
        <item h="1" x="630"/>
        <item h="1" x="184"/>
        <item h="1" x="320"/>
        <item h="1" x="1257"/>
        <item h="1" x="480"/>
        <item h="1" x="571"/>
        <item h="1" x="186"/>
        <item h="1" x="80"/>
        <item h="1" x="697"/>
        <item h="1" x="598"/>
        <item h="1" x="738"/>
        <item h="1" x="549"/>
        <item h="1" x="1238"/>
        <item h="1" x="1248"/>
        <item h="1" x="781"/>
        <item h="1" x="1155"/>
        <item h="1" x="942"/>
        <item h="1" x="146"/>
        <item h="1" x="897"/>
        <item h="1" x="189"/>
        <item h="1" x="1236"/>
        <item h="1" x="744"/>
        <item h="1" x="1081"/>
        <item h="1" x="530"/>
        <item h="1" x="541"/>
        <item h="1" x="682"/>
        <item h="1" x="528"/>
        <item h="1" x="374"/>
        <item h="1" x="1120"/>
        <item h="1" x="840"/>
        <item h="1" x="1041"/>
        <item h="1" x="240"/>
        <item h="1" x="168"/>
        <item h="1" x="880"/>
        <item h="1" x="1045"/>
        <item h="1" x="843"/>
        <item h="1" x="192"/>
        <item h="1" x="727"/>
        <item h="1" x="1224"/>
        <item h="1" x="740"/>
        <item h="1" x="6"/>
        <item h="1" x="345"/>
        <item h="1" x="1276"/>
        <item h="1" x="162"/>
        <item h="1" x="962"/>
        <item h="1" x="787"/>
        <item h="1" x="862"/>
        <item h="1" x="611"/>
        <item h="1" x="448"/>
        <item h="1" x="790"/>
        <item h="1" x="837"/>
        <item h="1" x="1024"/>
        <item h="1" x="1092"/>
        <item h="1" x="931"/>
        <item h="1" x="1060"/>
        <item h="1" x="33"/>
        <item h="1" x="581"/>
        <item h="1" x="762"/>
        <item h="1" x="482"/>
        <item h="1" x="829"/>
        <item h="1" x="741"/>
        <item h="1" x="476"/>
        <item h="1" x="485"/>
        <item h="1" x="1195"/>
        <item h="1" x="193"/>
        <item h="1" x="488"/>
        <item h="1" x="964"/>
        <item h="1" x="900"/>
        <item h="1" x="539"/>
        <item h="1" x="819"/>
        <item h="1" x="101"/>
        <item h="1" x="1030"/>
        <item h="1" x="858"/>
        <item h="1" x="109"/>
        <item h="1" x="558"/>
        <item h="1" x="363"/>
        <item h="1" x="795"/>
        <item h="1" x="88"/>
        <item h="1" x="516"/>
        <item h="1" x="578"/>
        <item h="1" x="155"/>
        <item h="1" x="554"/>
        <item h="1" x="1114"/>
        <item h="1" x="996"/>
        <item h="1" x="1035"/>
        <item h="1" x="408"/>
        <item h="1" x="564"/>
        <item h="1" x="377"/>
        <item h="1" x="899"/>
        <item h="1" x="200"/>
        <item h="1" x="49"/>
        <item h="1" x="636"/>
        <item h="1" x="863"/>
        <item h="1" x="159"/>
        <item h="1" x="479"/>
        <item h="1" x="728"/>
        <item h="1" x="332"/>
        <item h="1" x="855"/>
        <item h="1" x="472"/>
        <item h="1" x="938"/>
        <item h="1" x="1186"/>
        <item h="1" x="538"/>
        <item h="1" x="127"/>
        <item h="1" x="807"/>
        <item h="1" x="227"/>
        <item h="1" x="1044"/>
        <item h="1" x="609"/>
        <item h="1" x="584"/>
        <item h="1" x="1252"/>
        <item h="1" x="876"/>
        <item h="1" x="1165"/>
        <item h="1" x="326"/>
        <item h="1" x="77"/>
        <item h="1" x="45"/>
        <item h="1" x="1191"/>
        <item h="1" x="242"/>
        <item h="1" x="275"/>
        <item h="1" x="356"/>
        <item h="1" x="1163"/>
        <item h="1" x="285"/>
        <item h="1" x="370"/>
        <item h="1" x="724"/>
        <item h="1" x="3"/>
        <item h="1" x="860"/>
        <item h="1" x="265"/>
        <item h="1" x="679"/>
        <item h="1" x="684"/>
        <item h="1" x="393"/>
        <item h="1" x="32"/>
        <item h="1" x="35"/>
        <item h="1" x="382"/>
        <item x="999"/>
        <item h="1" x="438"/>
        <item h="1" x="436"/>
        <item h="1" x="888"/>
        <item h="1" x="341"/>
        <item h="1" x="654"/>
        <item h="1" x="415"/>
        <item h="1" x="531"/>
        <item h="1" x="540"/>
        <item h="1" x="701"/>
        <item h="1" x="274"/>
        <item h="1" x="468"/>
        <item h="1" x="167"/>
        <item h="1" x="386"/>
        <item h="1" x="1"/>
        <item h="1" x="1291"/>
        <item h="1" x="31"/>
        <item h="1" x="993"/>
        <item h="1" x="776"/>
        <item h="1" x="640"/>
        <item h="1" x="266"/>
        <item h="1" x="1253"/>
        <item h="1" x="545"/>
        <item h="1" x="20"/>
        <item h="1" x="403"/>
        <item h="1" x="366"/>
        <item h="1" x="845"/>
        <item h="1" x="172"/>
        <item h="1" x="926"/>
        <item h="1" x="214"/>
        <item h="1" x="309"/>
        <item h="1" x="666"/>
        <item h="1" x="992"/>
        <item h="1" x="1020"/>
        <item h="1" x="158"/>
        <item h="1" x="1178"/>
        <item h="1" x="1261"/>
        <item h="1" x="544"/>
        <item h="1" x="721"/>
        <item h="1" x="250"/>
        <item h="1" x="430"/>
        <item h="1" x="253"/>
        <item h="1" x="207"/>
        <item h="1" x="328"/>
        <item h="1" x="11"/>
        <item h="1" x="723"/>
        <item h="1" x="986"/>
        <item h="1" x="1047"/>
        <item h="1" x="597"/>
        <item h="1" x="304"/>
        <item h="1" x="618"/>
        <item h="1" x="1009"/>
        <item h="1" x="709"/>
        <item h="1" x="428"/>
        <item h="1" x="951"/>
        <item h="1" x="1076"/>
        <item h="1" x="591"/>
        <item h="1" x="1108"/>
        <item h="1" x="937"/>
        <item h="1" x="43"/>
        <item h="1" x="1097"/>
        <item h="1" x="799"/>
        <item h="1" x="617"/>
        <item h="1" x="1115"/>
        <item h="1" x="904"/>
        <item h="1" x="731"/>
        <item h="1" x="619"/>
        <item h="1" x="425"/>
        <item h="1" x="1050"/>
        <item h="1" x="185"/>
        <item h="1" x="455"/>
        <item h="1" x="907"/>
        <item h="1" x="583"/>
        <item h="1" x="216"/>
        <item h="1" x="708"/>
        <item h="1" x="841"/>
        <item h="1" x="257"/>
        <item h="1" x="813"/>
        <item h="1" x="40"/>
        <item h="1" x="400"/>
        <item h="1" x="1207"/>
        <item h="1" x="911"/>
        <item h="1" x="410"/>
        <item h="1" x="212"/>
        <item h="1" x="407"/>
        <item h="1" x="273"/>
        <item h="1" x="1128"/>
        <item h="1" x="553"/>
        <item h="1" x="287"/>
        <item h="1" x="812"/>
        <item h="1" x="1133"/>
        <item h="1" x="171"/>
        <item h="1" x="464"/>
        <item h="1" x="198"/>
        <item h="1" x="1265"/>
        <item h="1" x="469"/>
        <item h="1" x="1208"/>
        <item h="1" x="533"/>
        <item h="1" x="1027"/>
        <item h="1" x="1176"/>
        <item h="1" x="493"/>
        <item h="1" x="492"/>
        <item h="1" x="348"/>
        <item h="1" x="343"/>
        <item h="1" x="569"/>
        <item h="1" x="820"/>
        <item h="1" x="1216"/>
        <item h="1" x="307"/>
        <item h="1" x="821"/>
        <item h="1" x="62"/>
        <item h="1" x="295"/>
        <item h="1" x="1003"/>
        <item h="1" x="972"/>
        <item h="1" x="244"/>
        <item h="1" x="645"/>
        <item h="1" x="83"/>
        <item h="1" x="28"/>
        <item h="1" x="121"/>
        <item h="1" x="42"/>
        <item h="1" x="29"/>
        <item h="1" x="384"/>
        <item h="1" x="518"/>
        <item h="1" x="451"/>
        <item h="1" x="100"/>
        <item h="1" x="247"/>
        <item h="1" x="848"/>
        <item h="1" x="1136"/>
        <item h="1" x="537"/>
        <item h="1" x="208"/>
        <item h="1" x="232"/>
        <item h="1" x="961"/>
        <item h="1" x="906"/>
        <item h="1" x="878"/>
        <item h="1" x="23"/>
        <item h="1" x="228"/>
        <item h="1" x="1212"/>
        <item h="1" x="235"/>
        <item h="1" x="770"/>
        <item h="1" x="327"/>
        <item h="1" x="188"/>
        <item h="1" x="765"/>
        <item h="1" x="663"/>
        <item h="1" x="203"/>
        <item h="1" x="490"/>
        <item h="1" x="502"/>
        <item h="1" x="1188"/>
        <item h="1" x="600"/>
        <item h="1" x="566"/>
        <item h="1" x="452"/>
        <item h="1" x="37"/>
        <item h="1" x="1251"/>
        <item h="1" x="1032"/>
        <item h="1" x="830"/>
        <item h="1" x="1048"/>
        <item h="1" x="1267"/>
        <item h="1" x="990"/>
        <item h="1" x="638"/>
        <item h="1" x="409"/>
        <item h="1" x="142"/>
        <item h="1" x="132"/>
        <item h="1" x="145"/>
        <item h="1" x="91"/>
        <item h="1" x="976"/>
        <item h="1" x="588"/>
        <item h="1" x="1125"/>
        <item h="1" x="655"/>
        <item h="1" x="359"/>
        <item h="1" x="925"/>
        <item h="1" x="805"/>
        <item h="1" x="471"/>
        <item h="1" x="440"/>
        <item h="1" x="1214"/>
        <item h="1" x="334"/>
        <item h="1" x="329"/>
        <item h="1" x="372"/>
        <item h="1" x="851"/>
        <item h="1" x="722"/>
        <item h="1" x="1194"/>
        <item h="1" x="424"/>
        <item h="1" x="884"/>
        <item h="1" x="825"/>
        <item h="1" x="695"/>
        <item h="1" x="1001"/>
        <item h="1" x="560"/>
        <item h="1" x="432"/>
        <item h="1" x="792"/>
        <item h="1" x="967"/>
        <item h="1" x="378"/>
        <item h="1" x="689"/>
        <item h="1" x="1187"/>
        <item h="1" x="917"/>
        <item h="1" x="46"/>
        <item h="1" x="98"/>
        <item h="1" x="506"/>
        <item h="1" x="338"/>
        <item h="1" x="264"/>
        <item h="1" x="220"/>
        <item h="1" x="659"/>
        <item h="1" x="771"/>
        <item h="1" x="746"/>
        <item h="1" x="1151"/>
        <item h="1" x="759"/>
        <item h="1" x="130"/>
        <item h="1" x="1070"/>
        <item x="871"/>
        <item h="1" x="665"/>
        <item h="1" x="1056"/>
        <item h="1" x="1033"/>
        <item h="1" x="650"/>
        <item h="1" x="662"/>
        <item h="1" x="920"/>
        <item h="1" x="864"/>
        <item h="1" x="447"/>
        <item h="1" x="119"/>
        <item h="1" x="350"/>
        <item h="1" x="653"/>
        <item h="1" x="641"/>
        <item h="1" x="68"/>
        <item h="1" x="344"/>
        <item h="1" x="115"/>
        <item h="1" x="397"/>
        <item h="1" x="164"/>
        <item h="1" x="231"/>
        <item h="1" x="660"/>
        <item h="1" x="501"/>
        <item h="1" x="318"/>
        <item h="1" x="325"/>
        <item h="1" x="1072"/>
        <item h="1" x="125"/>
        <item h="1" x="1262"/>
        <item h="1" x="371"/>
        <item h="1" x="745"/>
        <item h="1" x="978"/>
        <item h="1" x="800"/>
        <item h="1" x="780"/>
        <item h="1" x="698"/>
        <item h="1" x="593"/>
        <item h="1" x="1118"/>
        <item h="1" x="1298"/>
        <item h="1" x="1198"/>
        <item h="1" x="748"/>
        <item h="1" x="460"/>
        <item h="1" x="1089"/>
        <item h="1" x="1101"/>
        <item h="1" x="596"/>
        <item h="1" x="828"/>
        <item h="1" x="915"/>
        <item h="1" x="1055"/>
        <item h="1" x="556"/>
        <item h="1" x="946"/>
        <item h="1" x="773"/>
        <item h="1" x="503"/>
        <item h="1" x="1051"/>
        <item h="1" x="730"/>
        <item h="1" x="17"/>
        <item h="1" x="1038"/>
        <item h="1" x="1295"/>
        <item h="1" x="1073"/>
        <item h="1" x="542"/>
        <item h="1" x="565"/>
        <item h="1" x="974"/>
        <item h="1" x="590"/>
        <item h="1" x="707"/>
        <item h="1" x="811"/>
        <item h="1" x="241"/>
        <item h="1" x="789"/>
        <item h="1" x="414"/>
        <item h="1" x="150"/>
        <item h="1" x="1104"/>
        <item h="1" x="775"/>
        <item h="1" x="487"/>
        <item h="1" x="429"/>
        <item h="1" x="1280"/>
        <item h="1" x="1237"/>
        <item h="1" x="71"/>
        <item h="1" x="1286"/>
        <item h="1" x="1259"/>
        <item h="1" x="483"/>
        <item h="1" x="1290"/>
        <item h="1" x="1059"/>
        <item h="1" x="568"/>
        <item h="1" x="421"/>
        <item h="1" x="873"/>
        <item h="1" x="196"/>
        <item h="1" x="1249"/>
        <item h="1" x="809"/>
        <item h="1" x="893"/>
        <item h="1" x="205"/>
        <item h="1" x="1053"/>
        <item h="1" x="950"/>
        <item h="1" x="1071"/>
        <item h="1" x="475"/>
        <item h="1" x="836"/>
        <item h="1" x="1031"/>
        <item h="1" x="1064"/>
        <item h="1" x="550"/>
        <item h="1" x="201"/>
        <item h="1" x="19"/>
        <item h="1" x="865"/>
        <item h="1" x="688"/>
        <item h="1" x="557"/>
        <item h="1" x="1083"/>
        <item h="1" x="834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t="default"/>
      </items>
    </pivotField>
  </pivotFields>
  <rowFields count="1">
    <field x="25"/>
  </rowFields>
  <rowItems count="3">
    <i>
      <x v="445"/>
    </i>
    <i>
      <x v="996"/>
    </i>
    <i t="grand">
      <x/>
    </i>
  </rowItems>
  <colItems count="1">
    <i/>
  </colItems>
  <pageFields count="3">
    <pageField fld="16" hier="-1"/>
    <pageField fld="15" hier="-1"/>
    <pageField fld="13" hier="-1"/>
  </pageFields>
  <dataFields count="1">
    <dataField name="Promedio de Dias_Taller" fld="17" subtotal="average" baseField="25" baseItem="58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9000000}" name="TablaDinámica9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7:B31" firstHeaderRow="1" firstDataRow="1" firstDataCol="1" rowPageCount="3" colPageCount="1"/>
  <pivotFields count="26">
    <pivotField numFmtId="14" showAl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7">
        <item x="0"/>
        <item h="1" x="3"/>
        <item h="1" x="2"/>
        <item h="1" x="1"/>
        <item h="1" x="4"/>
        <item h="1" x="5"/>
        <item t="default"/>
      </items>
    </pivotField>
    <pivotField showAll="0"/>
    <pivotField axis="axisPage" multipleItemSelectionAllowed="1" showAll="0">
      <items count="13">
        <item x="10"/>
        <item h="1" x="11"/>
        <item h="1" x="7"/>
        <item h="1" x="0"/>
        <item h="1" x="1"/>
        <item h="1" x="2"/>
        <item h="1" x="3"/>
        <item h="1" x="4"/>
        <item h="1" x="5"/>
        <item h="1" x="6"/>
        <item h="1" x="8"/>
        <item h="1" x="9"/>
        <item t="default"/>
      </items>
    </pivotField>
    <pivotField axis="axisPage" numFmtId="1" multipleItemSelectionAllowed="1" showAll="0">
      <items count="4">
        <item h="1" x="0"/>
        <item h="1" x="1"/>
        <item x="2"/>
        <item t="default"/>
      </items>
    </pivotField>
    <pivotField dataField="1" numFmtId="1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425">
        <item h="1" x="1222"/>
        <item h="1" x="1263"/>
        <item h="1" x="10"/>
        <item h="1" x="441"/>
        <item h="1" x="1147"/>
        <item h="1" x="298"/>
        <item h="1" x="943"/>
        <item h="1" x="909"/>
        <item h="1" x="1234"/>
        <item h="1" x="769"/>
        <item h="1" x="515"/>
        <item h="1" x="177"/>
        <item h="1" x="720"/>
        <item h="1" x="627"/>
        <item h="1" x="1170"/>
        <item h="1" x="606"/>
        <item h="1" x="1174"/>
        <item h="1" x="1294"/>
        <item h="1" x="128"/>
        <item h="1" x="118"/>
        <item h="1" x="442"/>
        <item h="1" x="462"/>
        <item h="1" x="1239"/>
        <item h="1" x="209"/>
        <item h="1" x="498"/>
        <item h="1" x="1077"/>
        <item h="1" x="461"/>
        <item h="1" x="423"/>
        <item h="1" x="92"/>
        <item h="1" x="84"/>
        <item h="1" x="234"/>
        <item h="1" x="1145"/>
        <item h="1" x="510"/>
        <item h="1" x="816"/>
        <item h="1" x="420"/>
        <item h="1" x="489"/>
        <item h="1" x="120"/>
        <item h="1" x="301"/>
        <item h="1" x="612"/>
        <item h="1" x="968"/>
        <item h="1" x="289"/>
        <item h="1" x="980"/>
        <item h="1" x="791"/>
        <item h="1" x="413"/>
        <item h="1" x="353"/>
        <item h="1" x="268"/>
        <item h="1" x="215"/>
        <item h="1" x="444"/>
        <item h="1" x="70"/>
        <item h="1" x="1254"/>
        <item h="1" x="249"/>
        <item h="1" x="1223"/>
        <item h="1" x="149"/>
        <item h="1" x="319"/>
        <item h="1" x="874"/>
        <item h="1" x="997"/>
        <item h="1" x="239"/>
        <item h="1" x="1129"/>
        <item h="1" x="634"/>
        <item h="1" x="1116"/>
        <item h="1" x="360"/>
        <item h="1" x="364"/>
        <item h="1" x="191"/>
        <item h="1" x="1199"/>
        <item h="1" x="1078"/>
        <item h="1" x="670"/>
        <item h="1" x="246"/>
        <item h="1" x="525"/>
        <item h="1" x="664"/>
        <item h="1" x="308"/>
        <item h="1" x="960"/>
        <item h="1" x="754"/>
        <item h="1" x="710"/>
        <item h="1" x="144"/>
        <item h="1" x="1241"/>
        <item h="1" x="784"/>
        <item h="1" x="700"/>
        <item h="1" x="643"/>
        <item h="1" x="742"/>
        <item h="1" x="534"/>
        <item h="1" x="56"/>
        <item h="1" x="280"/>
        <item h="1" x="517"/>
        <item h="1" x="178"/>
        <item h="1" x="26"/>
        <item h="1" x="303"/>
        <item h="1" x="339"/>
        <item h="1" x="669"/>
        <item h="1" x="55"/>
        <item h="1" x="1196"/>
        <item h="1" x="126"/>
        <item h="1" x="337"/>
        <item h="1" x="152"/>
        <item h="1" x="369"/>
        <item h="1" x="454"/>
        <item h="1" x="267"/>
        <item h="1" x="1250"/>
        <item h="1" x="607"/>
        <item h="1" x="885"/>
        <item h="1" x="953"/>
        <item h="1" x="1221"/>
        <item h="1" x="140"/>
        <item h="1" x="7"/>
        <item h="1" x="347"/>
        <item h="1" x="1106"/>
        <item h="1" x="652"/>
        <item h="1" x="224"/>
        <item h="1" x="330"/>
        <item h="1" x="693"/>
        <item h="1" x="1275"/>
        <item h="1" x="1282"/>
        <item h="1" x="1220"/>
        <item h="1" x="939"/>
        <item h="1" x="1284"/>
        <item h="1" x="675"/>
        <item h="1" x="1049"/>
        <item h="1" x="1134"/>
        <item h="1" x="1268"/>
        <item h="1" x="918"/>
        <item h="1" x="761"/>
        <item h="1" x="1233"/>
        <item h="1" x="582"/>
        <item h="1" x="965"/>
        <item h="1" x="416"/>
        <item h="1" x="934"/>
        <item h="1" x="685"/>
        <item h="1" x="1102"/>
        <item h="1" x="1171"/>
        <item h="1" x="123"/>
        <item h="1" x="778"/>
        <item h="1" x="248"/>
        <item h="1" x="914"/>
        <item h="1" x="994"/>
        <item h="1" x="254"/>
        <item h="1" x="174"/>
        <item h="1" x="361"/>
        <item h="1" x="187"/>
        <item h="1" x="913"/>
        <item h="1" x="1278"/>
        <item h="1" x="25"/>
        <item h="1" x="324"/>
        <item h="1" x="1215"/>
        <item h="1" x="467"/>
        <item h="1" x="853"/>
        <item h="1" x="935"/>
        <item h="1" x="446"/>
        <item h="1" x="223"/>
        <item h="1" x="194"/>
        <item h="1" x="979"/>
        <item h="1" x="431"/>
        <item h="1" x="1093"/>
        <item h="1" x="842"/>
        <item h="1" x="936"/>
        <item h="1" x="1235"/>
        <item h="1" x="163"/>
        <item h="1" x="256"/>
        <item h="1" x="484"/>
        <item h="1" x="279"/>
        <item h="1" x="683"/>
        <item h="1" x="1110"/>
        <item h="1" x="1156"/>
        <item h="1" x="677"/>
        <item h="1" x="211"/>
        <item h="1" x="889"/>
        <item h="1" x="14"/>
        <item h="1" x="418"/>
        <item h="1" x="629"/>
        <item h="1" x="278"/>
        <item h="1" x="261"/>
        <item h="1" x="985"/>
        <item h="1" x="1273"/>
        <item h="1" x="963"/>
        <item h="1" x="406"/>
        <item h="1" x="766"/>
        <item h="1" x="713"/>
        <item h="1" x="1226"/>
        <item h="1" x="81"/>
        <item h="1" x="1021"/>
        <item h="1" x="1288"/>
        <item h="1" x="719"/>
        <item h="1" x="1019"/>
        <item h="1" x="891"/>
        <item h="1" x="890"/>
        <item h="1" x="333"/>
        <item h="1" x="672"/>
        <item h="1" x="1161"/>
        <item h="1" x="870"/>
        <item h="1" x="351"/>
        <item h="1" x="134"/>
        <item h="1" x="680"/>
        <item h="1" x="620"/>
        <item h="1" x="1087"/>
        <item h="1" x="1289"/>
        <item h="1" x="336"/>
        <item h="1" x="756"/>
        <item h="1" x="478"/>
        <item h="1" x="204"/>
        <item h="1" x="718"/>
        <item h="1" x="495"/>
        <item h="1" x="375"/>
        <item h="1" x="404"/>
        <item h="1" x="463"/>
        <item h="1" x="1256"/>
        <item h="1" x="299"/>
        <item h="1" x="1005"/>
        <item h="1" x="51"/>
        <item h="1" x="1074"/>
        <item h="1" x="507"/>
        <item h="1" x="449"/>
        <item h="1" x="456"/>
        <item h="1" x="1140"/>
        <item h="1" x="1166"/>
        <item h="1" x="282"/>
        <item h="1" x="206"/>
        <item h="1" x="412"/>
        <item h="1" x="243"/>
        <item h="1" x="832"/>
        <item h="1" x="644"/>
        <item h="1" x="737"/>
        <item h="1" x="546"/>
        <item h="1" x="647"/>
        <item h="1" x="648"/>
        <item h="1" x="1137"/>
        <item h="1" x="1075"/>
        <item h="1" x="715"/>
        <item h="1" x="135"/>
        <item h="1" x="1142"/>
        <item h="1" x="373"/>
        <item h="1" x="1126"/>
        <item h="1" x="342"/>
        <item h="1" x="433"/>
        <item h="1" x="981"/>
        <item h="1" x="381"/>
        <item h="1" x="579"/>
        <item h="1" x="1197"/>
        <item h="1" x="1014"/>
        <item h="1" x="818"/>
        <item h="1" x="1146"/>
        <item h="1" x="12"/>
        <item h="1" x="1225"/>
        <item h="1" x="966"/>
        <item h="1" x="1175"/>
        <item h="1" x="1162"/>
        <item h="1" x="605"/>
        <item h="1" x="969"/>
        <item h="1" x="106"/>
        <item h="1" x="311"/>
        <item h="1" x="716"/>
        <item h="1" x="349"/>
        <item h="1" x="1152"/>
        <item h="1" x="133"/>
        <item h="1" x="124"/>
        <item h="1" x="1138"/>
        <item h="1" x="1243"/>
        <item h="1" x="751"/>
        <item h="1" x="924"/>
        <item h="1" x="1203"/>
        <item h="1" x="514"/>
        <item h="1" x="352"/>
        <item h="1" x="1085"/>
        <item h="1" x="1154"/>
        <item h="1" x="1135"/>
        <item h="1" x="1213"/>
        <item h="1" x="259"/>
        <item h="1" x="574"/>
        <item h="1" x="114"/>
        <item h="1" x="793"/>
        <item h="1" x="932"/>
        <item h="1" x="1036"/>
        <item h="1" x="331"/>
        <item h="1" x="673"/>
        <item h="1" x="1107"/>
        <item h="1" x="1211"/>
        <item h="1" x="1086"/>
        <item h="1" x="434"/>
        <item h="1" x="102"/>
        <item h="1" x="104"/>
        <item h="1" x="1067"/>
        <item h="1" x="57"/>
        <item h="1" x="520"/>
        <item h="1" x="869"/>
        <item h="1" x="702"/>
        <item h="1" x="1285"/>
        <item h="1" x="63"/>
        <item h="1" x="561"/>
        <item h="1" x="631"/>
        <item h="1" x="970"/>
        <item h="1" x="947"/>
        <item h="1" x="1240"/>
        <item h="1" x="535"/>
        <item h="1" x="867"/>
        <item h="1" x="1150"/>
        <item h="1" x="340"/>
        <item h="1" x="296"/>
        <item h="1" x="443"/>
        <item h="1" x="383"/>
        <item h="1" x="810"/>
        <item h="1" x="87"/>
        <item h="1" x="989"/>
        <item h="1" x="385"/>
        <item h="1" x="122"/>
        <item h="1" x="1153"/>
        <item h="1" x="1096"/>
        <item h="1" x="390"/>
        <item h="1" x="982"/>
        <item h="1" x="1232"/>
        <item h="1" x="747"/>
        <item h="1" x="984"/>
        <item h="1" x="563"/>
        <item h="1" x="562"/>
        <item h="1" x="973"/>
        <item h="1" x="975"/>
        <item h="1" x="826"/>
        <item h="1" x="52"/>
        <item h="1" x="1218"/>
        <item h="1" x="628"/>
        <item h="1" x="529"/>
        <item h="1" x="76"/>
        <item h="1" x="570"/>
        <item h="1" x="594"/>
        <item h="1" x="613"/>
        <item h="1" x="270"/>
        <item h="1" x="183"/>
        <item h="1" x="79"/>
        <item h="1" x="896"/>
        <item h="1" x="1179"/>
        <item h="1" x="1043"/>
        <item h="1" x="1105"/>
        <item h="1" x="831"/>
        <item h="1" x="233"/>
        <item h="1" x="1023"/>
        <item h="1" x="651"/>
        <item h="1" x="1066"/>
        <item h="1" x="589"/>
        <item h="1" x="396"/>
        <item h="1" x="1013"/>
        <item h="1" x="988"/>
        <item h="1" x="957"/>
        <item h="1" x="788"/>
        <item h="1" x="508"/>
        <item h="1" x="905"/>
        <item h="1" x="1292"/>
        <item h="1" x="1022"/>
        <item h="1" x="1065"/>
        <item h="1" x="173"/>
        <item h="1" x="1039"/>
        <item h="1" x="323"/>
        <item h="1" x="251"/>
        <item h="1" x="4"/>
        <item h="1" x="1094"/>
        <item h="1" x="857"/>
        <item h="1" x="151"/>
        <item h="1" x="1143"/>
        <item h="1" x="1246"/>
        <item h="1" x="1172"/>
        <item h="1" x="181"/>
        <item h="1" x="281"/>
        <item h="1" x="230"/>
        <item h="1" x="586"/>
        <item h="1" x="916"/>
        <item h="1" x="614"/>
        <item h="1" x="176"/>
        <item h="1" x="944"/>
        <item h="1" x="394"/>
        <item h="1" x="1034"/>
        <item h="1" x="706"/>
        <item h="1" x="861"/>
        <item h="1" x="694"/>
        <item h="1" x="1228"/>
        <item h="1" x="314"/>
        <item h="1" x="815"/>
        <item h="1" x="1028"/>
        <item h="1" x="806"/>
        <item h="1" x="105"/>
        <item h="1" x="354"/>
        <item h="1" x="238"/>
        <item h="1" x="1193"/>
        <item h="1" x="580"/>
        <item h="1" x="1082"/>
        <item h="1" x="608"/>
        <item h="1" x="536"/>
        <item h="1" x="1095"/>
        <item h="1" x="395"/>
        <item h="1" x="847"/>
        <item h="1" x="750"/>
        <item h="1" x="621"/>
        <item h="1" x="622"/>
        <item h="1" x="1183"/>
        <item h="1" x="108"/>
        <item h="1" x="1255"/>
        <item h="1" x="34"/>
        <item h="1" x="1017"/>
        <item h="1" x="1063"/>
        <item h="1" x="1210"/>
        <item h="1" x="1042"/>
        <item h="1" x="365"/>
        <item h="1" x="991"/>
        <item h="1" x="218"/>
        <item h="1" x="639"/>
        <item h="1" x="1058"/>
        <item h="1" x="1018"/>
        <item h="1" x="1217"/>
        <item h="1" x="1271"/>
        <item h="1" x="798"/>
        <item h="1" x="555"/>
        <item h="1" x="1260"/>
        <item h="1" x="839"/>
        <item h="1" x="199"/>
        <item h="1" x="494"/>
        <item h="1" x="882"/>
        <item h="1" x="93"/>
        <item h="1" x="391"/>
        <item h="1" x="154"/>
        <item h="1" x="74"/>
        <item h="1" x="954"/>
        <item h="1" x="752"/>
        <item h="1" x="573"/>
        <item h="1" x="312"/>
        <item h="1" x="1069"/>
        <item h="1" x="1080"/>
        <item h="1" x="616"/>
        <item h="1" x="671"/>
        <item h="1" x="908"/>
        <item h="1" x="524"/>
        <item h="1" x="923"/>
        <item h="1" x="399"/>
        <item h="1" x="1247"/>
        <item h="1" x="674"/>
        <item h="1" x="808"/>
        <item h="1" x="649"/>
        <item h="1" x="288"/>
        <item h="1" x="587"/>
        <item h="1" x="786"/>
        <item h="1" x="749"/>
        <item h="1" x="1190"/>
        <item h="1" x="388"/>
        <item h="1" x="72"/>
        <item h="1" x="117"/>
        <item h="1" x="941"/>
        <item h="1" x="1159"/>
        <item h="1" x="1111"/>
        <item h="1" x="59"/>
        <item h="1" x="387"/>
        <item h="1" x="1057"/>
        <item h="1" x="90"/>
        <item x="48"/>
        <item h="1" x="78"/>
        <item h="1" x="903"/>
        <item h="1" x="66"/>
        <item h="1" x="995"/>
        <item h="1" x="1088"/>
        <item h="1" x="245"/>
        <item h="1" x="1272"/>
        <item h="1" x="714"/>
        <item h="1" x="110"/>
        <item h="1" x="1180"/>
        <item h="1" x="657"/>
        <item h="1" x="271"/>
        <item h="1" x="417"/>
        <item h="1" x="44"/>
        <item h="1" x="322"/>
        <item h="1" x="1117"/>
        <item h="1" x="523"/>
        <item h="1" x="36"/>
        <item h="1" x="54"/>
        <item h="1" x="1192"/>
        <item h="1" x="317"/>
        <item h="1" x="1283"/>
        <item h="1" x="166"/>
        <item h="1" x="772"/>
        <item h="1" x="497"/>
        <item h="1" x="175"/>
        <item h="1" x="357"/>
        <item h="1" x="170"/>
        <item h="1" x="1149"/>
        <item h="1" x="82"/>
        <item h="1" x="453"/>
        <item h="1" x="358"/>
        <item h="1" x="470"/>
        <item h="1" x="284"/>
        <item h="1" x="389"/>
        <item h="1" x="687"/>
        <item h="1" x="505"/>
        <item h="1" x="699"/>
        <item h="1" x="427"/>
        <item h="1" x="743"/>
        <item h="1" x="1119"/>
        <item h="1" x="559"/>
        <item h="1" x="473"/>
        <item h="1" x="160"/>
        <item h="1" x="1230"/>
        <item h="1" x="1204"/>
        <item h="1" x="733"/>
        <item h="1" x="827"/>
        <item h="1" x="735"/>
        <item h="1" x="1130"/>
        <item h="1" x="435"/>
        <item h="1" x="355"/>
        <item h="1" x="910"/>
        <item h="1" x="945"/>
        <item h="1" x="1242"/>
        <item h="1" x="1200"/>
        <item h="1" x="922"/>
        <item h="1" x="67"/>
        <item h="1" x="147"/>
        <item h="1" x="141"/>
        <item h="1" x="676"/>
        <item h="1" x="182"/>
        <item h="1" x="817"/>
        <item h="1" x="1201"/>
        <item h="1" x="22"/>
        <item h="1" x="678"/>
        <item h="1" x="940"/>
        <item h="1" x="948"/>
        <item h="1" x="61"/>
        <item h="1" x="928"/>
        <item h="1" x="599"/>
        <item h="1" x="258"/>
        <item h="1" x="1113"/>
        <item h="1" x="362"/>
        <item h="1" x="15"/>
        <item h="1" x="1173"/>
        <item h="1" x="1264"/>
        <item h="1" x="1004"/>
        <item h="1" x="575"/>
        <item h="1" x="886"/>
        <item h="1" x="131"/>
        <item h="1" x="691"/>
        <item h="1" x="1099"/>
        <item h="1" x="60"/>
        <item h="1" x="1090"/>
        <item h="1" x="129"/>
        <item h="1" x="703"/>
        <item h="1" x="642"/>
        <item h="1" x="1287"/>
        <item h="1" x="1025"/>
        <item h="1" x="221"/>
        <item h="1" x="465"/>
        <item h="1" x="1007"/>
        <item h="1" x="398"/>
        <item h="1" x="236"/>
        <item h="1" x="335"/>
        <item h="1" x="1098"/>
        <item h="1" x="426"/>
        <item h="1" x="822"/>
        <item h="1" x="661"/>
        <item h="1" x="1229"/>
        <item h="1" x="1244"/>
        <item h="1" x="1182"/>
        <item h="1" x="64"/>
        <item h="1" x="955"/>
        <item h="1" x="850"/>
        <item h="1" x="179"/>
        <item h="1" x="887"/>
        <item h="1" x="615"/>
        <item h="1" x="592"/>
        <item h="1" x="610"/>
        <item h="1" x="376"/>
        <item h="1" x="161"/>
        <item h="1" x="1266"/>
        <item h="1" x="450"/>
        <item h="1" x="65"/>
        <item h="1" x="1158"/>
        <item h="1" x="1103"/>
        <item h="1" x="768"/>
        <item h="1" x="302"/>
        <item h="1" x="656"/>
        <item h="1" x="667"/>
        <item h="1" x="1297"/>
        <item h="1" x="895"/>
        <item h="1" x="1169"/>
        <item h="1" x="21"/>
        <item h="1" x="548"/>
        <item h="1" x="486"/>
        <item h="1" x="1052"/>
        <item h="1" x="987"/>
        <item h="1" x="585"/>
        <item h="1" x="291"/>
        <item h="1" x="602"/>
        <item h="1" x="89"/>
        <item h="1" x="99"/>
        <item h="1" x="949"/>
        <item h="1" x="696"/>
        <item h="1" x="704"/>
        <item h="1" x="1131"/>
        <item h="1" x="8"/>
        <item h="1" x="513"/>
        <item h="1" x="838"/>
        <item x="157"/>
        <item h="1" x="1100"/>
        <item h="1" x="624"/>
        <item h="1" x="1132"/>
        <item h="1" x="814"/>
        <item h="1" x="930"/>
        <item h="1" x="801"/>
        <item h="1" x="872"/>
        <item h="1" x="9"/>
        <item h="1" x="113"/>
        <item h="1" x="5"/>
        <item h="1" x="1000"/>
        <item h="1" x="73"/>
        <item h="1" x="16"/>
        <item h="1" x="111"/>
        <item h="1" x="380"/>
        <item h="1" x="97"/>
        <item h="1" x="755"/>
        <item h="1" x="458"/>
        <item h="1" x="1068"/>
        <item h="1" x="1164"/>
        <item h="1" x="1167"/>
        <item h="1" x="69"/>
        <item h="1" x="39"/>
        <item h="1" x="1040"/>
        <item h="1" x="1054"/>
        <item h="1" x="112"/>
        <item h="1" x="439"/>
        <item h="1" x="202"/>
        <item h="1" x="229"/>
        <item h="1" x="316"/>
        <item h="1" x="1274"/>
        <item h="1" x="1296"/>
        <item h="1" x="637"/>
        <item h="1" x="276"/>
        <item h="1" x="777"/>
        <item h="1" x="877"/>
        <item h="1" x="1258"/>
        <item h="1" x="96"/>
        <item h="1" x="927"/>
        <item h="1" x="504"/>
        <item h="1" x="1109"/>
        <item h="1" x="1157"/>
        <item h="1" x="783"/>
        <item h="1" x="321"/>
        <item h="1" x="526"/>
        <item h="1" x="169"/>
        <item h="1" x="681"/>
        <item h="1" x="300"/>
        <item h="1" x="292"/>
        <item h="1" x="53"/>
        <item h="1" x="658"/>
        <item h="1" x="764"/>
        <item h="1" x="491"/>
        <item h="1" x="785"/>
        <item h="1" x="1079"/>
        <item h="1" x="50"/>
        <item h="1" x="1279"/>
        <item h="1" x="547"/>
        <item h="1" x="38"/>
        <item h="1" x="635"/>
        <item h="1" x="315"/>
        <item h="1" x="1231"/>
        <item h="1" x="668"/>
        <item h="1" x="726"/>
        <item h="1" x="952"/>
        <item h="1" x="1122"/>
        <item h="1" x="58"/>
        <item h="1" x="148"/>
        <item h="1" x="1123"/>
        <item h="1" x="604"/>
        <item h="1" x="294"/>
        <item h="1" x="854"/>
        <item h="1" x="225"/>
        <item h="1" x="269"/>
        <item h="1" x="190"/>
        <item h="1" x="1010"/>
        <item h="1" x="959"/>
        <item h="1" x="729"/>
        <item h="1" x="623"/>
        <item h="1" x="457"/>
        <item h="1" x="758"/>
        <item h="1" x="868"/>
        <item h="1" x="1008"/>
        <item h="1" x="977"/>
        <item h="1" x="794"/>
        <item h="1" x="1185"/>
        <item h="1" x="1202"/>
        <item h="1" x="137"/>
        <item h="1" x="757"/>
        <item h="1" x="686"/>
        <item h="1" x="136"/>
        <item h="1" x="2"/>
        <item h="1" x="521"/>
        <item h="1" x="646"/>
        <item h="1" x="625"/>
        <item h="1" x="437"/>
        <item h="1" x="1209"/>
        <item h="1" x="1206"/>
        <item h="1" x="1144"/>
        <item h="1" x="293"/>
        <item h="1" x="500"/>
        <item h="1" x="1189"/>
        <item h="1" x="1205"/>
        <item h="1" x="833"/>
        <item h="1" x="1168"/>
        <item h="1" x="1046"/>
        <item h="1" x="75"/>
        <item h="1" x="422"/>
        <item h="1" x="1002"/>
        <item h="1" x="1219"/>
        <item h="1" x="116"/>
        <item h="1" x="139"/>
        <item h="1" x="532"/>
        <item h="1" x="379"/>
        <item h="1" x="445"/>
        <item h="1" x="883"/>
        <item h="1" x="210"/>
        <item h="1" x="47"/>
        <item h="1" x="222"/>
        <item h="1" x="956"/>
        <item h="1" x="213"/>
        <item h="1" x="823"/>
        <item h="1" x="1269"/>
        <item h="1" x="736"/>
        <item h="1" x="901"/>
        <item h="1" x="24"/>
        <item h="1" x="27"/>
        <item h="1" x="912"/>
        <item h="1" x="844"/>
        <item h="1" x="405"/>
        <item h="1" x="712"/>
        <item h="1" x="767"/>
        <item h="1" x="551"/>
        <item h="1" x="879"/>
        <item h="1" x="717"/>
        <item h="1" x="103"/>
        <item h="1" x="368"/>
        <item h="1" x="1270"/>
        <item h="1" x="1245"/>
        <item h="1" x="262"/>
        <item h="1" x="1160"/>
        <item h="1" x="283"/>
        <item h="1" x="290"/>
        <item h="1" x="512"/>
        <item h="1" x="1141"/>
        <item h="1" x="1139"/>
        <item h="1" x="892"/>
        <item h="1" x="633"/>
        <item h="1" x="1029"/>
        <item h="1" x="875"/>
        <item h="1" x="572"/>
        <item h="1" x="519"/>
        <item h="1" x="153"/>
        <item h="1" x="217"/>
        <item h="1" x="310"/>
        <item h="1" x="898"/>
        <item h="1" x="401"/>
        <item h="1" x="306"/>
        <item h="1" x="346"/>
        <item h="1" x="1112"/>
        <item h="1" x="1011"/>
        <item h="1" x="260"/>
        <item h="1" x="1037"/>
        <item h="1" x="367"/>
        <item h="1" x="711"/>
        <item h="1" x="983"/>
        <item h="1" x="219"/>
        <item h="1" x="902"/>
        <item h="1" x="1062"/>
        <item h="1" x="725"/>
        <item h="1" x="971"/>
        <item h="1" x="255"/>
        <item h="1" x="1121"/>
        <item h="1" x="732"/>
        <item h="1" x="1293"/>
        <item h="1" x="474"/>
        <item h="1" x="779"/>
        <item h="1" x="477"/>
        <item h="1" x="180"/>
        <item h="1" x="1091"/>
        <item h="1" x="1016"/>
        <item h="1" x="705"/>
        <item h="1" x="692"/>
        <item h="1" x="527"/>
        <item h="1" x="632"/>
        <item h="1" x="41"/>
        <item h="1" x="165"/>
        <item h="1" x="94"/>
        <item h="1" x="856"/>
        <item h="1" x="1026"/>
        <item h="1" x="95"/>
        <item h="1" x="577"/>
        <item h="1" x="1127"/>
        <item h="1" x="763"/>
        <item h="1" x="595"/>
        <item h="1" x="739"/>
        <item h="1" x="496"/>
        <item h="1" x="881"/>
        <item h="1" x="782"/>
        <item h="1" x="866"/>
        <item h="1" x="1124"/>
        <item h="1" x="509"/>
        <item h="1" x="1061"/>
        <item h="1" x="929"/>
        <item h="1" x="392"/>
        <item h="1" x="1006"/>
        <item h="1" x="313"/>
        <item h="1" x="197"/>
        <item h="1" x="1227"/>
        <item h="1" x="1012"/>
        <item h="1" x="824"/>
        <item h="1" x="85"/>
        <item h="1" x="1277"/>
        <item h="1" x="286"/>
        <item h="1" x="894"/>
        <item h="1" x="753"/>
        <item h="1" x="13"/>
        <item h="1" x="411"/>
        <item h="1" x="835"/>
        <item h="1" x="499"/>
        <item h="1" x="1181"/>
        <item h="1" x="921"/>
        <item h="1" x="272"/>
        <item h="1" x="552"/>
        <item h="1" x="402"/>
        <item h="1" x="143"/>
        <item h="1" x="297"/>
        <item h="1" x="1084"/>
        <item h="1" x="481"/>
        <item h="1" x="459"/>
        <item h="1" x="601"/>
        <item h="1" x="277"/>
        <item h="1" x="237"/>
        <item h="1" x="1177"/>
        <item h="1" x="958"/>
        <item h="1" x="1281"/>
        <item h="1" x="305"/>
        <item h="1" x="419"/>
        <item h="1" x="797"/>
        <item h="1" x="18"/>
        <item h="1" x="626"/>
        <item h="1" x="138"/>
        <item h="1" x="859"/>
        <item h="1" x="567"/>
        <item h="1" x="933"/>
        <item h="1" x="576"/>
        <item h="1" x="852"/>
        <item h="1" x="263"/>
        <item h="1" x="998"/>
        <item h="1" x="603"/>
        <item h="1" x="543"/>
        <item h="1" x="849"/>
        <item h="1" x="466"/>
        <item h="1" x="734"/>
        <item h="1" x="760"/>
        <item h="1" x="30"/>
        <item h="1" x="86"/>
        <item h="1" x="804"/>
        <item h="1" x="107"/>
        <item h="1" x="846"/>
        <item h="1" x="774"/>
        <item h="1" x="226"/>
        <item h="1" x="522"/>
        <item h="1" x="156"/>
        <item h="1" x="919"/>
        <item h="1" x="1015"/>
        <item h="1" x="796"/>
        <item h="1" x="690"/>
        <item h="1" x="802"/>
        <item h="1" x="0"/>
        <item h="1" x="1184"/>
        <item h="1" x="511"/>
        <item h="1" x="803"/>
        <item h="1" x="1148"/>
        <item h="1" x="195"/>
        <item h="1" x="252"/>
        <item h="1" x="630"/>
        <item h="1" x="184"/>
        <item h="1" x="320"/>
        <item h="1" x="1257"/>
        <item h="1" x="480"/>
        <item h="1" x="571"/>
        <item h="1" x="186"/>
        <item h="1" x="80"/>
        <item h="1" x="697"/>
        <item h="1" x="598"/>
        <item h="1" x="738"/>
        <item h="1" x="549"/>
        <item h="1" x="1238"/>
        <item h="1" x="1248"/>
        <item h="1" x="781"/>
        <item h="1" x="1155"/>
        <item h="1" x="942"/>
        <item h="1" x="146"/>
        <item h="1" x="897"/>
        <item h="1" x="189"/>
        <item h="1" x="1236"/>
        <item h="1" x="744"/>
        <item h="1" x="1081"/>
        <item h="1" x="530"/>
        <item h="1" x="541"/>
        <item h="1" x="682"/>
        <item h="1" x="528"/>
        <item h="1" x="374"/>
        <item h="1" x="1120"/>
        <item h="1" x="840"/>
        <item h="1" x="1041"/>
        <item h="1" x="240"/>
        <item h="1" x="168"/>
        <item h="1" x="880"/>
        <item h="1" x="1045"/>
        <item h="1" x="843"/>
        <item h="1" x="192"/>
        <item h="1" x="727"/>
        <item h="1" x="1224"/>
        <item h="1" x="740"/>
        <item h="1" x="6"/>
        <item h="1" x="345"/>
        <item h="1" x="1276"/>
        <item h="1" x="162"/>
        <item h="1" x="962"/>
        <item h="1" x="787"/>
        <item h="1" x="862"/>
        <item h="1" x="611"/>
        <item h="1" x="448"/>
        <item h="1" x="790"/>
        <item h="1" x="837"/>
        <item h="1" x="1024"/>
        <item h="1" x="1092"/>
        <item h="1" x="931"/>
        <item h="1" x="1060"/>
        <item h="1" x="33"/>
        <item h="1" x="581"/>
        <item h="1" x="762"/>
        <item h="1" x="482"/>
        <item h="1" x="829"/>
        <item h="1" x="741"/>
        <item h="1" x="476"/>
        <item h="1" x="485"/>
        <item h="1" x="1195"/>
        <item h="1" x="193"/>
        <item h="1" x="488"/>
        <item h="1" x="964"/>
        <item h="1" x="900"/>
        <item h="1" x="539"/>
        <item h="1" x="819"/>
        <item h="1" x="101"/>
        <item h="1" x="1030"/>
        <item h="1" x="858"/>
        <item h="1" x="109"/>
        <item h="1" x="558"/>
        <item h="1" x="363"/>
        <item h="1" x="795"/>
        <item h="1" x="88"/>
        <item h="1" x="516"/>
        <item h="1" x="578"/>
        <item h="1" x="155"/>
        <item h="1" x="554"/>
        <item h="1" x="1114"/>
        <item h="1" x="996"/>
        <item h="1" x="1035"/>
        <item h="1" x="408"/>
        <item h="1" x="564"/>
        <item h="1" x="377"/>
        <item h="1" x="899"/>
        <item h="1" x="200"/>
        <item h="1" x="49"/>
        <item h="1" x="636"/>
        <item h="1" x="863"/>
        <item h="1" x="159"/>
        <item h="1" x="479"/>
        <item h="1" x="728"/>
        <item h="1" x="332"/>
        <item h="1" x="855"/>
        <item h="1" x="472"/>
        <item h="1" x="938"/>
        <item h="1" x="1186"/>
        <item h="1" x="538"/>
        <item h="1" x="127"/>
        <item h="1" x="807"/>
        <item h="1" x="227"/>
        <item h="1" x="1044"/>
        <item h="1" x="609"/>
        <item h="1" x="584"/>
        <item h="1" x="1252"/>
        <item h="1" x="876"/>
        <item h="1" x="1165"/>
        <item h="1" x="326"/>
        <item h="1" x="77"/>
        <item h="1" x="45"/>
        <item h="1" x="1191"/>
        <item h="1" x="242"/>
        <item h="1" x="275"/>
        <item h="1" x="356"/>
        <item h="1" x="1163"/>
        <item h="1" x="285"/>
        <item h="1" x="370"/>
        <item h="1" x="724"/>
        <item h="1" x="3"/>
        <item h="1" x="860"/>
        <item h="1" x="265"/>
        <item h="1" x="679"/>
        <item h="1" x="684"/>
        <item h="1" x="393"/>
        <item h="1" x="32"/>
        <item h="1" x="35"/>
        <item h="1" x="382"/>
        <item x="999"/>
        <item h="1" x="438"/>
        <item h="1" x="436"/>
        <item h="1" x="888"/>
        <item h="1" x="341"/>
        <item h="1" x="654"/>
        <item h="1" x="415"/>
        <item h="1" x="531"/>
        <item h="1" x="540"/>
        <item h="1" x="701"/>
        <item h="1" x="274"/>
        <item h="1" x="468"/>
        <item h="1" x="167"/>
        <item h="1" x="386"/>
        <item h="1" x="1"/>
        <item h="1" x="1291"/>
        <item h="1" x="31"/>
        <item h="1" x="993"/>
        <item h="1" x="776"/>
        <item h="1" x="640"/>
        <item h="1" x="266"/>
        <item h="1" x="1253"/>
        <item h="1" x="545"/>
        <item h="1" x="20"/>
        <item h="1" x="403"/>
        <item h="1" x="366"/>
        <item h="1" x="845"/>
        <item h="1" x="172"/>
        <item h="1" x="926"/>
        <item h="1" x="214"/>
        <item h="1" x="309"/>
        <item h="1" x="666"/>
        <item h="1" x="992"/>
        <item h="1" x="1020"/>
        <item h="1" x="158"/>
        <item h="1" x="1178"/>
        <item h="1" x="1261"/>
        <item h="1" x="544"/>
        <item h="1" x="721"/>
        <item h="1" x="250"/>
        <item h="1" x="430"/>
        <item h="1" x="253"/>
        <item h="1" x="207"/>
        <item h="1" x="328"/>
        <item h="1" x="11"/>
        <item h="1" x="723"/>
        <item h="1" x="986"/>
        <item h="1" x="1047"/>
        <item h="1" x="597"/>
        <item h="1" x="304"/>
        <item h="1" x="618"/>
        <item h="1" x="1009"/>
        <item h="1" x="709"/>
        <item h="1" x="428"/>
        <item h="1" x="951"/>
        <item h="1" x="1076"/>
        <item h="1" x="591"/>
        <item h="1" x="1108"/>
        <item h="1" x="937"/>
        <item h="1" x="43"/>
        <item h="1" x="1097"/>
        <item h="1" x="799"/>
        <item h="1" x="617"/>
        <item h="1" x="1115"/>
        <item h="1" x="904"/>
        <item h="1" x="731"/>
        <item h="1" x="619"/>
        <item h="1" x="425"/>
        <item h="1" x="1050"/>
        <item h="1" x="185"/>
        <item h="1" x="455"/>
        <item h="1" x="907"/>
        <item h="1" x="583"/>
        <item h="1" x="216"/>
        <item h="1" x="708"/>
        <item h="1" x="841"/>
        <item h="1" x="257"/>
        <item h="1" x="813"/>
        <item h="1" x="40"/>
        <item h="1" x="400"/>
        <item h="1" x="1207"/>
        <item h="1" x="911"/>
        <item h="1" x="410"/>
        <item h="1" x="212"/>
        <item h="1" x="407"/>
        <item h="1" x="273"/>
        <item h="1" x="1128"/>
        <item h="1" x="553"/>
        <item h="1" x="287"/>
        <item h="1" x="812"/>
        <item h="1" x="1133"/>
        <item h="1" x="171"/>
        <item h="1" x="464"/>
        <item h="1" x="198"/>
        <item h="1" x="1265"/>
        <item h="1" x="469"/>
        <item h="1" x="1208"/>
        <item h="1" x="533"/>
        <item h="1" x="1027"/>
        <item h="1" x="1176"/>
        <item h="1" x="493"/>
        <item h="1" x="492"/>
        <item h="1" x="348"/>
        <item h="1" x="343"/>
        <item h="1" x="569"/>
        <item h="1" x="820"/>
        <item h="1" x="1216"/>
        <item h="1" x="307"/>
        <item h="1" x="821"/>
        <item h="1" x="62"/>
        <item h="1" x="295"/>
        <item h="1" x="1003"/>
        <item h="1" x="972"/>
        <item h="1" x="244"/>
        <item h="1" x="645"/>
        <item h="1" x="83"/>
        <item h="1" x="28"/>
        <item h="1" x="121"/>
        <item h="1" x="42"/>
        <item h="1" x="29"/>
        <item h="1" x="384"/>
        <item h="1" x="518"/>
        <item h="1" x="451"/>
        <item h="1" x="100"/>
        <item h="1" x="247"/>
        <item h="1" x="848"/>
        <item h="1" x="1136"/>
        <item h="1" x="537"/>
        <item h="1" x="208"/>
        <item h="1" x="232"/>
        <item h="1" x="961"/>
        <item h="1" x="906"/>
        <item h="1" x="878"/>
        <item h="1" x="23"/>
        <item h="1" x="228"/>
        <item h="1" x="1212"/>
        <item h="1" x="235"/>
        <item h="1" x="770"/>
        <item h="1" x="327"/>
        <item h="1" x="188"/>
        <item h="1" x="765"/>
        <item h="1" x="663"/>
        <item h="1" x="203"/>
        <item h="1" x="490"/>
        <item h="1" x="502"/>
        <item h="1" x="1188"/>
        <item h="1" x="600"/>
        <item h="1" x="566"/>
        <item h="1" x="452"/>
        <item h="1" x="37"/>
        <item h="1" x="1251"/>
        <item h="1" x="1032"/>
        <item h="1" x="830"/>
        <item h="1" x="1048"/>
        <item h="1" x="1267"/>
        <item h="1" x="990"/>
        <item h="1" x="638"/>
        <item h="1" x="409"/>
        <item h="1" x="142"/>
        <item h="1" x="132"/>
        <item h="1" x="145"/>
        <item h="1" x="91"/>
        <item h="1" x="976"/>
        <item h="1" x="588"/>
        <item h="1" x="1125"/>
        <item h="1" x="655"/>
        <item h="1" x="359"/>
        <item h="1" x="925"/>
        <item h="1" x="805"/>
        <item h="1" x="471"/>
        <item h="1" x="440"/>
        <item h="1" x="1214"/>
        <item h="1" x="334"/>
        <item h="1" x="329"/>
        <item h="1" x="372"/>
        <item h="1" x="851"/>
        <item h="1" x="722"/>
        <item h="1" x="1194"/>
        <item h="1" x="424"/>
        <item h="1" x="884"/>
        <item h="1" x="825"/>
        <item h="1" x="695"/>
        <item h="1" x="1001"/>
        <item h="1" x="560"/>
        <item h="1" x="432"/>
        <item h="1" x="792"/>
        <item h="1" x="967"/>
        <item h="1" x="378"/>
        <item h="1" x="689"/>
        <item h="1" x="1187"/>
        <item h="1" x="917"/>
        <item h="1" x="46"/>
        <item h="1" x="98"/>
        <item h="1" x="506"/>
        <item h="1" x="338"/>
        <item h="1" x="264"/>
        <item h="1" x="220"/>
        <item h="1" x="659"/>
        <item h="1" x="771"/>
        <item h="1" x="746"/>
        <item h="1" x="1151"/>
        <item h="1" x="759"/>
        <item h="1" x="130"/>
        <item h="1" x="1070"/>
        <item x="871"/>
        <item h="1" x="665"/>
        <item h="1" x="1056"/>
        <item h="1" x="1033"/>
        <item h="1" x="650"/>
        <item h="1" x="662"/>
        <item h="1" x="920"/>
        <item h="1" x="864"/>
        <item h="1" x="447"/>
        <item h="1" x="119"/>
        <item h="1" x="350"/>
        <item h="1" x="653"/>
        <item h="1" x="641"/>
        <item h="1" x="68"/>
        <item h="1" x="344"/>
        <item h="1" x="115"/>
        <item h="1" x="397"/>
        <item h="1" x="164"/>
        <item h="1" x="231"/>
        <item h="1" x="660"/>
        <item h="1" x="501"/>
        <item h="1" x="318"/>
        <item h="1" x="325"/>
        <item h="1" x="1072"/>
        <item h="1" x="125"/>
        <item h="1" x="1262"/>
        <item h="1" x="371"/>
        <item h="1" x="745"/>
        <item h="1" x="978"/>
        <item h="1" x="800"/>
        <item h="1" x="780"/>
        <item h="1" x="698"/>
        <item h="1" x="593"/>
        <item h="1" x="1118"/>
        <item h="1" x="1298"/>
        <item h="1" x="1198"/>
        <item h="1" x="748"/>
        <item h="1" x="460"/>
        <item h="1" x="1089"/>
        <item h="1" x="1101"/>
        <item h="1" x="596"/>
        <item h="1" x="828"/>
        <item h="1" x="915"/>
        <item h="1" x="1055"/>
        <item h="1" x="556"/>
        <item h="1" x="946"/>
        <item h="1" x="773"/>
        <item h="1" x="503"/>
        <item h="1" x="1051"/>
        <item h="1" x="730"/>
        <item h="1" x="17"/>
        <item h="1" x="1038"/>
        <item h="1" x="1295"/>
        <item h="1" x="1073"/>
        <item h="1" x="542"/>
        <item h="1" x="565"/>
        <item h="1" x="974"/>
        <item h="1" x="590"/>
        <item h="1" x="707"/>
        <item h="1" x="811"/>
        <item h="1" x="241"/>
        <item h="1" x="789"/>
        <item h="1" x="414"/>
        <item h="1" x="150"/>
        <item h="1" x="1104"/>
        <item h="1" x="775"/>
        <item h="1" x="487"/>
        <item h="1" x="429"/>
        <item h="1" x="1280"/>
        <item h="1" x="1237"/>
        <item h="1" x="71"/>
        <item h="1" x="1286"/>
        <item h="1" x="1259"/>
        <item h="1" x="483"/>
        <item h="1" x="1290"/>
        <item h="1" x="1059"/>
        <item h="1" x="568"/>
        <item h="1" x="421"/>
        <item h="1" x="873"/>
        <item h="1" x="196"/>
        <item h="1" x="1249"/>
        <item h="1" x="809"/>
        <item h="1" x="893"/>
        <item h="1" x="205"/>
        <item h="1" x="1053"/>
        <item h="1" x="950"/>
        <item h="1" x="1071"/>
        <item h="1" x="475"/>
        <item h="1" x="836"/>
        <item h="1" x="1031"/>
        <item h="1" x="1064"/>
        <item h="1" x="550"/>
        <item h="1" x="201"/>
        <item h="1" x="19"/>
        <item h="1" x="865"/>
        <item h="1" x="688"/>
        <item h="1" x="557"/>
        <item h="1" x="1083"/>
        <item h="1" x="834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t="default"/>
      </items>
    </pivotField>
  </pivotFields>
  <rowFields count="1">
    <field x="25"/>
  </rowFields>
  <rowItems count="4">
    <i>
      <x v="588"/>
    </i>
    <i>
      <x v="996"/>
    </i>
    <i>
      <x v="1200"/>
    </i>
    <i t="grand">
      <x/>
    </i>
  </rowItems>
  <colItems count="1">
    <i/>
  </colItems>
  <pageFields count="3">
    <pageField fld="16" hier="-1"/>
    <pageField fld="15" hier="-1"/>
    <pageField fld="13" hier="-1"/>
  </pageFields>
  <dataFields count="1">
    <dataField name="Promedio de Dias_Taller" fld="17" subtotal="average" baseField="25" baseItem="58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5000000}" name="TablaDiná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5:B9" firstHeaderRow="1" firstDataRow="1" firstDataCol="1" rowPageCount="3" colPageCount="1"/>
  <pivotFields count="26">
    <pivotField numFmtId="14" showAll="0"/>
    <pivotField showAll="0"/>
    <pivotField dataField="1"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10" showAll="0"/>
    <pivotField axis="axisPage" multipleItemSelectionAllowed="1" showAll="0">
      <items count="7">
        <item x="0"/>
        <item h="1" x="3"/>
        <item h="1" x="2"/>
        <item h="1" x="1"/>
        <item h="1" x="4"/>
        <item h="1" x="5"/>
        <item t="default"/>
      </items>
    </pivotField>
    <pivotField showAll="0"/>
    <pivotField axis="axisPage" multipleItemSelectionAllowed="1" showAll="0">
      <items count="13">
        <item x="10"/>
        <item h="1" x="11"/>
        <item h="1" x="7"/>
        <item h="1" x="0"/>
        <item h="1" x="1"/>
        <item h="1" x="2"/>
        <item h="1" x="3"/>
        <item h="1" x="4"/>
        <item h="1" x="5"/>
        <item h="1" x="6"/>
        <item h="1" x="8"/>
        <item h="1" x="9"/>
        <item t="default"/>
      </items>
    </pivotField>
    <pivotField axis="axisPage" numFmtId="1" multipleItemSelectionAllowed="1" showAll="0">
      <items count="4">
        <item h="1" x="0"/>
        <item h="1" x="1"/>
        <item x="2"/>
        <item t="default"/>
      </items>
    </pivotField>
    <pivotField numFmtId="1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425">
        <item h="1" x="1222"/>
        <item h="1" x="1263"/>
        <item h="1" x="10"/>
        <item h="1" x="441"/>
        <item h="1" x="1147"/>
        <item h="1" x="298"/>
        <item h="1" x="943"/>
        <item h="1" x="909"/>
        <item h="1" x="1234"/>
        <item h="1" x="769"/>
        <item h="1" x="515"/>
        <item h="1" x="177"/>
        <item h="1" x="720"/>
        <item h="1" x="627"/>
        <item h="1" x="1170"/>
        <item h="1" x="606"/>
        <item h="1" x="1174"/>
        <item h="1" x="1294"/>
        <item h="1" x="128"/>
        <item h="1" x="118"/>
        <item h="1" x="442"/>
        <item h="1" x="462"/>
        <item h="1" x="1239"/>
        <item h="1" x="209"/>
        <item h="1" x="498"/>
        <item h="1" x="1077"/>
        <item h="1" x="461"/>
        <item h="1" x="423"/>
        <item h="1" x="92"/>
        <item h="1" x="84"/>
        <item h="1" x="234"/>
        <item h="1" x="1145"/>
        <item h="1" x="510"/>
        <item h="1" x="816"/>
        <item h="1" x="420"/>
        <item h="1" x="489"/>
        <item h="1" x="120"/>
        <item h="1" x="301"/>
        <item h="1" x="612"/>
        <item h="1" x="968"/>
        <item h="1" x="289"/>
        <item h="1" x="980"/>
        <item h="1" x="791"/>
        <item h="1" x="413"/>
        <item h="1" x="353"/>
        <item h="1" x="268"/>
        <item h="1" x="215"/>
        <item h="1" x="444"/>
        <item h="1" x="70"/>
        <item h="1" x="1254"/>
        <item h="1" x="249"/>
        <item h="1" x="1223"/>
        <item h="1" x="149"/>
        <item h="1" x="319"/>
        <item h="1" x="874"/>
        <item h="1" x="997"/>
        <item h="1" x="239"/>
        <item h="1" x="1129"/>
        <item h="1" x="634"/>
        <item h="1" x="1116"/>
        <item h="1" x="360"/>
        <item h="1" x="364"/>
        <item h="1" x="191"/>
        <item h="1" x="1199"/>
        <item h="1" x="1078"/>
        <item h="1" x="670"/>
        <item h="1" x="246"/>
        <item h="1" x="525"/>
        <item h="1" x="664"/>
        <item h="1" x="308"/>
        <item h="1" x="960"/>
        <item h="1" x="754"/>
        <item h="1" x="710"/>
        <item h="1" x="144"/>
        <item h="1" x="1241"/>
        <item h="1" x="784"/>
        <item h="1" x="700"/>
        <item h="1" x="643"/>
        <item h="1" x="742"/>
        <item h="1" x="534"/>
        <item h="1" x="56"/>
        <item h="1" x="280"/>
        <item h="1" x="517"/>
        <item h="1" x="178"/>
        <item h="1" x="26"/>
        <item h="1" x="303"/>
        <item h="1" x="339"/>
        <item h="1" x="669"/>
        <item h="1" x="55"/>
        <item h="1" x="1196"/>
        <item h="1" x="126"/>
        <item h="1" x="337"/>
        <item h="1" x="152"/>
        <item h="1" x="369"/>
        <item h="1" x="454"/>
        <item h="1" x="267"/>
        <item h="1" x="1250"/>
        <item h="1" x="607"/>
        <item h="1" x="885"/>
        <item h="1" x="953"/>
        <item h="1" x="1221"/>
        <item h="1" x="140"/>
        <item h="1" x="7"/>
        <item h="1" x="347"/>
        <item h="1" x="1106"/>
        <item h="1" x="652"/>
        <item h="1" x="224"/>
        <item h="1" x="330"/>
        <item h="1" x="693"/>
        <item h="1" x="1275"/>
        <item h="1" x="1282"/>
        <item h="1" x="1220"/>
        <item h="1" x="939"/>
        <item h="1" x="1284"/>
        <item h="1" x="675"/>
        <item h="1" x="1049"/>
        <item h="1" x="1134"/>
        <item h="1" x="1268"/>
        <item h="1" x="918"/>
        <item h="1" x="761"/>
        <item h="1" x="1233"/>
        <item h="1" x="582"/>
        <item h="1" x="965"/>
        <item h="1" x="416"/>
        <item h="1" x="934"/>
        <item h="1" x="685"/>
        <item h="1" x="1102"/>
        <item h="1" x="1171"/>
        <item h="1" x="123"/>
        <item h="1" x="778"/>
        <item h="1" x="248"/>
        <item h="1" x="914"/>
        <item h="1" x="994"/>
        <item h="1" x="254"/>
        <item h="1" x="174"/>
        <item h="1" x="361"/>
        <item h="1" x="187"/>
        <item h="1" x="913"/>
        <item h="1" x="1278"/>
        <item h="1" x="25"/>
        <item h="1" x="324"/>
        <item h="1" x="1215"/>
        <item h="1" x="467"/>
        <item h="1" x="853"/>
        <item h="1" x="935"/>
        <item h="1" x="446"/>
        <item h="1" x="223"/>
        <item h="1" x="194"/>
        <item h="1" x="979"/>
        <item h="1" x="431"/>
        <item h="1" x="1093"/>
        <item h="1" x="842"/>
        <item h="1" x="936"/>
        <item h="1" x="1235"/>
        <item h="1" x="163"/>
        <item h="1" x="256"/>
        <item h="1" x="484"/>
        <item h="1" x="279"/>
        <item h="1" x="683"/>
        <item h="1" x="1110"/>
        <item h="1" x="1156"/>
        <item h="1" x="677"/>
        <item h="1" x="211"/>
        <item h="1" x="889"/>
        <item h="1" x="14"/>
        <item h="1" x="418"/>
        <item h="1" x="629"/>
        <item h="1" x="278"/>
        <item h="1" x="261"/>
        <item h="1" x="985"/>
        <item h="1" x="1273"/>
        <item h="1" x="963"/>
        <item h="1" x="406"/>
        <item h="1" x="766"/>
        <item h="1" x="713"/>
        <item h="1" x="1226"/>
        <item h="1" x="81"/>
        <item h="1" x="1021"/>
        <item h="1" x="1288"/>
        <item h="1" x="719"/>
        <item h="1" x="1019"/>
        <item h="1" x="891"/>
        <item h="1" x="890"/>
        <item h="1" x="333"/>
        <item h="1" x="672"/>
        <item h="1" x="1161"/>
        <item h="1" x="870"/>
        <item h="1" x="351"/>
        <item h="1" x="134"/>
        <item h="1" x="680"/>
        <item h="1" x="620"/>
        <item h="1" x="1087"/>
        <item h="1" x="1289"/>
        <item h="1" x="336"/>
        <item h="1" x="756"/>
        <item h="1" x="478"/>
        <item h="1" x="204"/>
        <item h="1" x="718"/>
        <item h="1" x="495"/>
        <item h="1" x="375"/>
        <item h="1" x="404"/>
        <item h="1" x="463"/>
        <item h="1" x="1256"/>
        <item h="1" x="299"/>
        <item h="1" x="1005"/>
        <item h="1" x="51"/>
        <item h="1" x="1074"/>
        <item h="1" x="507"/>
        <item h="1" x="449"/>
        <item h="1" x="456"/>
        <item h="1" x="1140"/>
        <item h="1" x="1166"/>
        <item h="1" x="282"/>
        <item h="1" x="206"/>
        <item h="1" x="412"/>
        <item h="1" x="243"/>
        <item h="1" x="832"/>
        <item h="1" x="644"/>
        <item h="1" x="737"/>
        <item h="1" x="546"/>
        <item h="1" x="647"/>
        <item h="1" x="648"/>
        <item h="1" x="1137"/>
        <item h="1" x="1075"/>
        <item h="1" x="715"/>
        <item h="1" x="135"/>
        <item h="1" x="1142"/>
        <item h="1" x="373"/>
        <item h="1" x="1126"/>
        <item h="1" x="342"/>
        <item h="1" x="433"/>
        <item h="1" x="981"/>
        <item h="1" x="381"/>
        <item h="1" x="579"/>
        <item h="1" x="1197"/>
        <item h="1" x="1014"/>
        <item h="1" x="818"/>
        <item h="1" x="1146"/>
        <item h="1" x="12"/>
        <item h="1" x="1225"/>
        <item h="1" x="966"/>
        <item h="1" x="1175"/>
        <item h="1" x="1162"/>
        <item h="1" x="605"/>
        <item h="1" x="969"/>
        <item h="1" x="106"/>
        <item h="1" x="311"/>
        <item h="1" x="716"/>
        <item h="1" x="349"/>
        <item h="1" x="1152"/>
        <item h="1" x="133"/>
        <item h="1" x="124"/>
        <item h="1" x="1138"/>
        <item h="1" x="1243"/>
        <item h="1" x="751"/>
        <item h="1" x="924"/>
        <item h="1" x="1203"/>
        <item h="1" x="514"/>
        <item h="1" x="352"/>
        <item h="1" x="1085"/>
        <item h="1" x="1154"/>
        <item h="1" x="1135"/>
        <item h="1" x="1213"/>
        <item h="1" x="259"/>
        <item h="1" x="574"/>
        <item h="1" x="114"/>
        <item h="1" x="793"/>
        <item h="1" x="932"/>
        <item h="1" x="1036"/>
        <item h="1" x="331"/>
        <item h="1" x="673"/>
        <item h="1" x="1107"/>
        <item h="1" x="1211"/>
        <item h="1" x="1086"/>
        <item h="1" x="434"/>
        <item h="1" x="102"/>
        <item h="1" x="104"/>
        <item h="1" x="1067"/>
        <item h="1" x="57"/>
        <item h="1" x="520"/>
        <item h="1" x="869"/>
        <item h="1" x="702"/>
        <item h="1" x="1285"/>
        <item h="1" x="63"/>
        <item h="1" x="561"/>
        <item h="1" x="631"/>
        <item h="1" x="970"/>
        <item h="1" x="947"/>
        <item h="1" x="1240"/>
        <item h="1" x="535"/>
        <item h="1" x="867"/>
        <item h="1" x="1150"/>
        <item h="1" x="340"/>
        <item h="1" x="296"/>
        <item h="1" x="443"/>
        <item h="1" x="383"/>
        <item h="1" x="810"/>
        <item h="1" x="87"/>
        <item h="1" x="989"/>
        <item h="1" x="385"/>
        <item h="1" x="122"/>
        <item h="1" x="1153"/>
        <item h="1" x="1096"/>
        <item h="1" x="390"/>
        <item h="1" x="982"/>
        <item h="1" x="1232"/>
        <item h="1" x="747"/>
        <item h="1" x="984"/>
        <item h="1" x="563"/>
        <item h="1" x="562"/>
        <item h="1" x="973"/>
        <item h="1" x="975"/>
        <item h="1" x="826"/>
        <item h="1" x="52"/>
        <item h="1" x="1218"/>
        <item h="1" x="628"/>
        <item h="1" x="529"/>
        <item h="1" x="76"/>
        <item h="1" x="570"/>
        <item h="1" x="594"/>
        <item h="1" x="613"/>
        <item h="1" x="270"/>
        <item h="1" x="183"/>
        <item h="1" x="79"/>
        <item h="1" x="896"/>
        <item h="1" x="1179"/>
        <item h="1" x="1043"/>
        <item h="1" x="1105"/>
        <item h="1" x="831"/>
        <item h="1" x="233"/>
        <item h="1" x="1023"/>
        <item h="1" x="651"/>
        <item h="1" x="1066"/>
        <item h="1" x="589"/>
        <item h="1" x="396"/>
        <item h="1" x="1013"/>
        <item h="1" x="988"/>
        <item h="1" x="957"/>
        <item h="1" x="788"/>
        <item h="1" x="508"/>
        <item h="1" x="905"/>
        <item h="1" x="1292"/>
        <item h="1" x="1022"/>
        <item h="1" x="1065"/>
        <item h="1" x="173"/>
        <item h="1" x="1039"/>
        <item h="1" x="323"/>
        <item h="1" x="251"/>
        <item h="1" x="4"/>
        <item h="1" x="1094"/>
        <item h="1" x="857"/>
        <item h="1" x="151"/>
        <item h="1" x="1143"/>
        <item h="1" x="1246"/>
        <item h="1" x="1172"/>
        <item h="1" x="181"/>
        <item h="1" x="281"/>
        <item h="1" x="230"/>
        <item h="1" x="586"/>
        <item h="1" x="916"/>
        <item h="1" x="614"/>
        <item h="1" x="176"/>
        <item h="1" x="944"/>
        <item h="1" x="394"/>
        <item h="1" x="1034"/>
        <item h="1" x="706"/>
        <item h="1" x="861"/>
        <item h="1" x="694"/>
        <item h="1" x="1228"/>
        <item h="1" x="314"/>
        <item h="1" x="815"/>
        <item h="1" x="1028"/>
        <item h="1" x="806"/>
        <item h="1" x="105"/>
        <item h="1" x="354"/>
        <item h="1" x="238"/>
        <item h="1" x="1193"/>
        <item h="1" x="580"/>
        <item h="1" x="1082"/>
        <item h="1" x="608"/>
        <item h="1" x="536"/>
        <item h="1" x="1095"/>
        <item h="1" x="395"/>
        <item h="1" x="847"/>
        <item h="1" x="750"/>
        <item h="1" x="621"/>
        <item h="1" x="622"/>
        <item h="1" x="1183"/>
        <item h="1" x="108"/>
        <item h="1" x="1255"/>
        <item h="1" x="34"/>
        <item h="1" x="1017"/>
        <item h="1" x="1063"/>
        <item h="1" x="1210"/>
        <item h="1" x="1042"/>
        <item h="1" x="365"/>
        <item h="1" x="991"/>
        <item h="1" x="218"/>
        <item h="1" x="639"/>
        <item h="1" x="1058"/>
        <item h="1" x="1018"/>
        <item h="1" x="1217"/>
        <item h="1" x="1271"/>
        <item h="1" x="798"/>
        <item h="1" x="555"/>
        <item h="1" x="1260"/>
        <item h="1" x="839"/>
        <item h="1" x="199"/>
        <item h="1" x="494"/>
        <item h="1" x="882"/>
        <item h="1" x="93"/>
        <item h="1" x="391"/>
        <item h="1" x="154"/>
        <item h="1" x="74"/>
        <item h="1" x="954"/>
        <item h="1" x="752"/>
        <item h="1" x="573"/>
        <item h="1" x="312"/>
        <item h="1" x="1069"/>
        <item h="1" x="1080"/>
        <item h="1" x="616"/>
        <item h="1" x="671"/>
        <item h="1" x="908"/>
        <item h="1" x="524"/>
        <item h="1" x="923"/>
        <item h="1" x="399"/>
        <item h="1" x="1247"/>
        <item h="1" x="674"/>
        <item h="1" x="808"/>
        <item h="1" x="649"/>
        <item h="1" x="288"/>
        <item h="1" x="587"/>
        <item h="1" x="786"/>
        <item h="1" x="749"/>
        <item h="1" x="1190"/>
        <item h="1" x="388"/>
        <item h="1" x="72"/>
        <item h="1" x="117"/>
        <item h="1" x="941"/>
        <item h="1" x="1159"/>
        <item h="1" x="1111"/>
        <item h="1" x="59"/>
        <item h="1" x="387"/>
        <item h="1" x="1057"/>
        <item h="1" x="90"/>
        <item x="48"/>
        <item h="1" x="78"/>
        <item h="1" x="903"/>
        <item h="1" x="66"/>
        <item h="1" x="995"/>
        <item h="1" x="1088"/>
        <item h="1" x="245"/>
        <item h="1" x="1272"/>
        <item h="1" x="714"/>
        <item h="1" x="110"/>
        <item h="1" x="1180"/>
        <item h="1" x="657"/>
        <item h="1" x="271"/>
        <item h="1" x="417"/>
        <item h="1" x="44"/>
        <item h="1" x="322"/>
        <item h="1" x="1117"/>
        <item h="1" x="523"/>
        <item h="1" x="36"/>
        <item h="1" x="54"/>
        <item h="1" x="1192"/>
        <item h="1" x="317"/>
        <item h="1" x="1283"/>
        <item h="1" x="166"/>
        <item h="1" x="772"/>
        <item h="1" x="497"/>
        <item h="1" x="175"/>
        <item h="1" x="357"/>
        <item h="1" x="170"/>
        <item h="1" x="1149"/>
        <item h="1" x="82"/>
        <item h="1" x="453"/>
        <item h="1" x="358"/>
        <item h="1" x="470"/>
        <item h="1" x="284"/>
        <item h="1" x="389"/>
        <item h="1" x="687"/>
        <item h="1" x="505"/>
        <item h="1" x="699"/>
        <item h="1" x="427"/>
        <item h="1" x="743"/>
        <item h="1" x="1119"/>
        <item h="1" x="559"/>
        <item h="1" x="473"/>
        <item h="1" x="160"/>
        <item h="1" x="1230"/>
        <item h="1" x="1204"/>
        <item h="1" x="733"/>
        <item h="1" x="827"/>
        <item h="1" x="735"/>
        <item h="1" x="1130"/>
        <item h="1" x="435"/>
        <item h="1" x="355"/>
        <item h="1" x="910"/>
        <item h="1" x="945"/>
        <item h="1" x="1242"/>
        <item h="1" x="1200"/>
        <item h="1" x="922"/>
        <item h="1" x="67"/>
        <item h="1" x="147"/>
        <item h="1" x="141"/>
        <item h="1" x="676"/>
        <item h="1" x="182"/>
        <item h="1" x="817"/>
        <item h="1" x="1201"/>
        <item h="1" x="22"/>
        <item h="1" x="678"/>
        <item h="1" x="940"/>
        <item h="1" x="948"/>
        <item h="1" x="61"/>
        <item h="1" x="928"/>
        <item h="1" x="599"/>
        <item h="1" x="258"/>
        <item h="1" x="1113"/>
        <item h="1" x="362"/>
        <item h="1" x="15"/>
        <item h="1" x="1173"/>
        <item h="1" x="1264"/>
        <item h="1" x="1004"/>
        <item h="1" x="575"/>
        <item h="1" x="886"/>
        <item h="1" x="131"/>
        <item h="1" x="691"/>
        <item h="1" x="1099"/>
        <item h="1" x="60"/>
        <item h="1" x="1090"/>
        <item h="1" x="129"/>
        <item h="1" x="703"/>
        <item h="1" x="642"/>
        <item h="1" x="1287"/>
        <item h="1" x="1025"/>
        <item h="1" x="221"/>
        <item h="1" x="465"/>
        <item h="1" x="1007"/>
        <item h="1" x="398"/>
        <item h="1" x="236"/>
        <item h="1" x="335"/>
        <item h="1" x="1098"/>
        <item h="1" x="426"/>
        <item h="1" x="822"/>
        <item h="1" x="661"/>
        <item h="1" x="1229"/>
        <item h="1" x="1244"/>
        <item h="1" x="1182"/>
        <item h="1" x="64"/>
        <item h="1" x="955"/>
        <item h="1" x="850"/>
        <item h="1" x="179"/>
        <item h="1" x="887"/>
        <item h="1" x="615"/>
        <item h="1" x="592"/>
        <item h="1" x="610"/>
        <item h="1" x="376"/>
        <item h="1" x="161"/>
        <item h="1" x="1266"/>
        <item h="1" x="450"/>
        <item h="1" x="65"/>
        <item h="1" x="1158"/>
        <item h="1" x="1103"/>
        <item h="1" x="768"/>
        <item h="1" x="302"/>
        <item h="1" x="656"/>
        <item h="1" x="667"/>
        <item h="1" x="1297"/>
        <item h="1" x="895"/>
        <item h="1" x="1169"/>
        <item h="1" x="21"/>
        <item h="1" x="548"/>
        <item h="1" x="486"/>
        <item h="1" x="1052"/>
        <item h="1" x="987"/>
        <item h="1" x="585"/>
        <item h="1" x="291"/>
        <item h="1" x="602"/>
        <item h="1" x="89"/>
        <item h="1" x="99"/>
        <item h="1" x="949"/>
        <item h="1" x="696"/>
        <item h="1" x="704"/>
        <item h="1" x="1131"/>
        <item h="1" x="8"/>
        <item h="1" x="513"/>
        <item h="1" x="838"/>
        <item x="157"/>
        <item h="1" x="1100"/>
        <item h="1" x="624"/>
        <item h="1" x="1132"/>
        <item h="1" x="814"/>
        <item h="1" x="930"/>
        <item h="1" x="801"/>
        <item h="1" x="872"/>
        <item h="1" x="9"/>
        <item h="1" x="113"/>
        <item h="1" x="5"/>
        <item h="1" x="1000"/>
        <item h="1" x="73"/>
        <item h="1" x="16"/>
        <item h="1" x="111"/>
        <item h="1" x="380"/>
        <item h="1" x="97"/>
        <item h="1" x="755"/>
        <item h="1" x="458"/>
        <item h="1" x="1068"/>
        <item h="1" x="1164"/>
        <item h="1" x="1167"/>
        <item h="1" x="69"/>
        <item h="1" x="39"/>
        <item h="1" x="1040"/>
        <item h="1" x="1054"/>
        <item h="1" x="112"/>
        <item h="1" x="439"/>
        <item h="1" x="202"/>
        <item h="1" x="229"/>
        <item h="1" x="316"/>
        <item h="1" x="1274"/>
        <item h="1" x="1296"/>
        <item h="1" x="637"/>
        <item h="1" x="276"/>
        <item h="1" x="777"/>
        <item h="1" x="877"/>
        <item h="1" x="1258"/>
        <item h="1" x="96"/>
        <item h="1" x="927"/>
        <item h="1" x="504"/>
        <item h="1" x="1109"/>
        <item h="1" x="1157"/>
        <item h="1" x="783"/>
        <item h="1" x="321"/>
        <item h="1" x="526"/>
        <item h="1" x="169"/>
        <item h="1" x="681"/>
        <item h="1" x="300"/>
        <item h="1" x="292"/>
        <item h="1" x="53"/>
        <item h="1" x="658"/>
        <item h="1" x="764"/>
        <item h="1" x="491"/>
        <item h="1" x="785"/>
        <item h="1" x="1079"/>
        <item h="1" x="50"/>
        <item h="1" x="1279"/>
        <item h="1" x="547"/>
        <item h="1" x="38"/>
        <item h="1" x="635"/>
        <item h="1" x="315"/>
        <item h="1" x="1231"/>
        <item h="1" x="668"/>
        <item h="1" x="726"/>
        <item h="1" x="952"/>
        <item h="1" x="1122"/>
        <item h="1" x="58"/>
        <item h="1" x="148"/>
        <item h="1" x="1123"/>
        <item h="1" x="604"/>
        <item h="1" x="294"/>
        <item h="1" x="854"/>
        <item h="1" x="225"/>
        <item h="1" x="269"/>
        <item h="1" x="190"/>
        <item h="1" x="1010"/>
        <item h="1" x="959"/>
        <item h="1" x="729"/>
        <item h="1" x="623"/>
        <item h="1" x="457"/>
        <item h="1" x="758"/>
        <item h="1" x="868"/>
        <item h="1" x="1008"/>
        <item h="1" x="977"/>
        <item h="1" x="794"/>
        <item h="1" x="1185"/>
        <item h="1" x="1202"/>
        <item h="1" x="137"/>
        <item h="1" x="757"/>
        <item h="1" x="686"/>
        <item h="1" x="136"/>
        <item h="1" x="2"/>
        <item h="1" x="521"/>
        <item h="1" x="646"/>
        <item h="1" x="625"/>
        <item h="1" x="437"/>
        <item h="1" x="1209"/>
        <item h="1" x="1206"/>
        <item h="1" x="1144"/>
        <item h="1" x="293"/>
        <item h="1" x="500"/>
        <item h="1" x="1189"/>
        <item h="1" x="1205"/>
        <item h="1" x="833"/>
        <item h="1" x="1168"/>
        <item h="1" x="1046"/>
        <item h="1" x="75"/>
        <item h="1" x="422"/>
        <item h="1" x="1002"/>
        <item h="1" x="1219"/>
        <item h="1" x="116"/>
        <item h="1" x="139"/>
        <item h="1" x="532"/>
        <item h="1" x="379"/>
        <item h="1" x="445"/>
        <item h="1" x="883"/>
        <item h="1" x="210"/>
        <item h="1" x="47"/>
        <item h="1" x="222"/>
        <item h="1" x="956"/>
        <item h="1" x="213"/>
        <item h="1" x="823"/>
        <item h="1" x="1269"/>
        <item h="1" x="736"/>
        <item h="1" x="901"/>
        <item h="1" x="24"/>
        <item h="1" x="27"/>
        <item h="1" x="912"/>
        <item h="1" x="844"/>
        <item h="1" x="405"/>
        <item h="1" x="712"/>
        <item h="1" x="767"/>
        <item h="1" x="551"/>
        <item h="1" x="879"/>
        <item h="1" x="717"/>
        <item h="1" x="103"/>
        <item h="1" x="368"/>
        <item h="1" x="1270"/>
        <item h="1" x="1245"/>
        <item h="1" x="262"/>
        <item h="1" x="1160"/>
        <item h="1" x="283"/>
        <item h="1" x="290"/>
        <item h="1" x="512"/>
        <item h="1" x="1141"/>
        <item h="1" x="1139"/>
        <item h="1" x="892"/>
        <item h="1" x="633"/>
        <item h="1" x="1029"/>
        <item h="1" x="875"/>
        <item h="1" x="572"/>
        <item h="1" x="519"/>
        <item h="1" x="153"/>
        <item h="1" x="217"/>
        <item h="1" x="310"/>
        <item h="1" x="898"/>
        <item h="1" x="401"/>
        <item h="1" x="306"/>
        <item h="1" x="346"/>
        <item h="1" x="1112"/>
        <item h="1" x="1011"/>
        <item h="1" x="260"/>
        <item h="1" x="1037"/>
        <item h="1" x="367"/>
        <item h="1" x="711"/>
        <item h="1" x="983"/>
        <item h="1" x="219"/>
        <item h="1" x="902"/>
        <item h="1" x="1062"/>
        <item h="1" x="725"/>
        <item h="1" x="971"/>
        <item h="1" x="255"/>
        <item h="1" x="1121"/>
        <item h="1" x="732"/>
        <item h="1" x="1293"/>
        <item h="1" x="474"/>
        <item h="1" x="779"/>
        <item h="1" x="477"/>
        <item h="1" x="180"/>
        <item h="1" x="1091"/>
        <item h="1" x="1016"/>
        <item h="1" x="705"/>
        <item h="1" x="692"/>
        <item h="1" x="527"/>
        <item h="1" x="632"/>
        <item h="1" x="41"/>
        <item h="1" x="165"/>
        <item h="1" x="94"/>
        <item h="1" x="856"/>
        <item h="1" x="1026"/>
        <item h="1" x="95"/>
        <item h="1" x="577"/>
        <item h="1" x="1127"/>
        <item h="1" x="763"/>
        <item h="1" x="595"/>
        <item h="1" x="739"/>
        <item h="1" x="496"/>
        <item h="1" x="881"/>
        <item h="1" x="782"/>
        <item h="1" x="866"/>
        <item h="1" x="1124"/>
        <item h="1" x="509"/>
        <item h="1" x="1061"/>
        <item h="1" x="929"/>
        <item h="1" x="392"/>
        <item h="1" x="1006"/>
        <item h="1" x="313"/>
        <item h="1" x="197"/>
        <item h="1" x="1227"/>
        <item h="1" x="1012"/>
        <item h="1" x="824"/>
        <item h="1" x="85"/>
        <item h="1" x="1277"/>
        <item h="1" x="286"/>
        <item h="1" x="894"/>
        <item h="1" x="753"/>
        <item h="1" x="13"/>
        <item h="1" x="411"/>
        <item h="1" x="835"/>
        <item h="1" x="499"/>
        <item h="1" x="1181"/>
        <item h="1" x="921"/>
        <item h="1" x="272"/>
        <item h="1" x="552"/>
        <item h="1" x="402"/>
        <item h="1" x="143"/>
        <item h="1" x="297"/>
        <item h="1" x="1084"/>
        <item h="1" x="481"/>
        <item h="1" x="459"/>
        <item h="1" x="601"/>
        <item h="1" x="277"/>
        <item h="1" x="237"/>
        <item h="1" x="1177"/>
        <item h="1" x="958"/>
        <item h="1" x="1281"/>
        <item h="1" x="305"/>
        <item h="1" x="419"/>
        <item h="1" x="797"/>
        <item h="1" x="18"/>
        <item h="1" x="626"/>
        <item h="1" x="138"/>
        <item h="1" x="859"/>
        <item h="1" x="567"/>
        <item h="1" x="933"/>
        <item h="1" x="576"/>
        <item h="1" x="852"/>
        <item h="1" x="263"/>
        <item h="1" x="998"/>
        <item h="1" x="603"/>
        <item h="1" x="543"/>
        <item h="1" x="849"/>
        <item h="1" x="466"/>
        <item h="1" x="734"/>
        <item h="1" x="760"/>
        <item h="1" x="30"/>
        <item h="1" x="86"/>
        <item h="1" x="804"/>
        <item h="1" x="107"/>
        <item h="1" x="846"/>
        <item h="1" x="774"/>
        <item h="1" x="226"/>
        <item h="1" x="522"/>
        <item h="1" x="156"/>
        <item h="1" x="919"/>
        <item h="1" x="1015"/>
        <item h="1" x="796"/>
        <item h="1" x="690"/>
        <item h="1" x="802"/>
        <item h="1" x="0"/>
        <item h="1" x="1184"/>
        <item h="1" x="511"/>
        <item h="1" x="803"/>
        <item h="1" x="1148"/>
        <item h="1" x="195"/>
        <item h="1" x="252"/>
        <item h="1" x="630"/>
        <item h="1" x="184"/>
        <item h="1" x="320"/>
        <item h="1" x="1257"/>
        <item h="1" x="480"/>
        <item h="1" x="571"/>
        <item h="1" x="186"/>
        <item h="1" x="80"/>
        <item h="1" x="697"/>
        <item h="1" x="598"/>
        <item h="1" x="738"/>
        <item h="1" x="549"/>
        <item h="1" x="1238"/>
        <item h="1" x="1248"/>
        <item h="1" x="781"/>
        <item h="1" x="1155"/>
        <item h="1" x="942"/>
        <item h="1" x="146"/>
        <item h="1" x="897"/>
        <item h="1" x="189"/>
        <item h="1" x="1236"/>
        <item h="1" x="744"/>
        <item h="1" x="1081"/>
        <item h="1" x="530"/>
        <item h="1" x="541"/>
        <item h="1" x="682"/>
        <item h="1" x="528"/>
        <item h="1" x="374"/>
        <item h="1" x="1120"/>
        <item h="1" x="840"/>
        <item h="1" x="1041"/>
        <item h="1" x="240"/>
        <item h="1" x="168"/>
        <item h="1" x="880"/>
        <item h="1" x="1045"/>
        <item h="1" x="843"/>
        <item h="1" x="192"/>
        <item h="1" x="727"/>
        <item h="1" x="1224"/>
        <item h="1" x="740"/>
        <item h="1" x="6"/>
        <item h="1" x="345"/>
        <item h="1" x="1276"/>
        <item h="1" x="162"/>
        <item h="1" x="962"/>
        <item h="1" x="787"/>
        <item h="1" x="862"/>
        <item h="1" x="611"/>
        <item h="1" x="448"/>
        <item h="1" x="790"/>
        <item h="1" x="837"/>
        <item h="1" x="1024"/>
        <item h="1" x="1092"/>
        <item h="1" x="931"/>
        <item h="1" x="1060"/>
        <item h="1" x="33"/>
        <item h="1" x="581"/>
        <item h="1" x="762"/>
        <item h="1" x="482"/>
        <item h="1" x="829"/>
        <item h="1" x="741"/>
        <item h="1" x="476"/>
        <item h="1" x="485"/>
        <item h="1" x="1195"/>
        <item h="1" x="193"/>
        <item h="1" x="488"/>
        <item h="1" x="964"/>
        <item h="1" x="900"/>
        <item h="1" x="539"/>
        <item h="1" x="819"/>
        <item h="1" x="101"/>
        <item h="1" x="1030"/>
        <item h="1" x="858"/>
        <item h="1" x="109"/>
        <item h="1" x="558"/>
        <item h="1" x="363"/>
        <item h="1" x="795"/>
        <item h="1" x="88"/>
        <item h="1" x="516"/>
        <item h="1" x="578"/>
        <item h="1" x="155"/>
        <item h="1" x="554"/>
        <item h="1" x="1114"/>
        <item h="1" x="996"/>
        <item h="1" x="1035"/>
        <item h="1" x="408"/>
        <item h="1" x="564"/>
        <item h="1" x="377"/>
        <item h="1" x="899"/>
        <item h="1" x="200"/>
        <item h="1" x="49"/>
        <item h="1" x="636"/>
        <item h="1" x="863"/>
        <item h="1" x="159"/>
        <item h="1" x="479"/>
        <item h="1" x="728"/>
        <item h="1" x="332"/>
        <item h="1" x="855"/>
        <item h="1" x="472"/>
        <item h="1" x="938"/>
        <item h="1" x="1186"/>
        <item h="1" x="538"/>
        <item h="1" x="127"/>
        <item h="1" x="807"/>
        <item h="1" x="227"/>
        <item h="1" x="1044"/>
        <item h="1" x="609"/>
        <item h="1" x="584"/>
        <item h="1" x="1252"/>
        <item h="1" x="876"/>
        <item h="1" x="1165"/>
        <item h="1" x="326"/>
        <item h="1" x="77"/>
        <item h="1" x="45"/>
        <item h="1" x="1191"/>
        <item h="1" x="242"/>
        <item h="1" x="275"/>
        <item h="1" x="356"/>
        <item h="1" x="1163"/>
        <item h="1" x="285"/>
        <item h="1" x="370"/>
        <item h="1" x="724"/>
        <item h="1" x="3"/>
        <item h="1" x="860"/>
        <item h="1" x="265"/>
        <item h="1" x="679"/>
        <item h="1" x="684"/>
        <item h="1" x="393"/>
        <item h="1" x="32"/>
        <item h="1" x="35"/>
        <item h="1" x="382"/>
        <item x="999"/>
        <item h="1" x="438"/>
        <item h="1" x="436"/>
        <item h="1" x="888"/>
        <item h="1" x="341"/>
        <item h="1" x="654"/>
        <item h="1" x="415"/>
        <item h="1" x="531"/>
        <item h="1" x="540"/>
        <item h="1" x="701"/>
        <item h="1" x="274"/>
        <item h="1" x="468"/>
        <item h="1" x="167"/>
        <item h="1" x="386"/>
        <item h="1" x="1"/>
        <item h="1" x="1291"/>
        <item h="1" x="31"/>
        <item h="1" x="993"/>
        <item h="1" x="776"/>
        <item h="1" x="640"/>
        <item h="1" x="266"/>
        <item h="1" x="1253"/>
        <item h="1" x="545"/>
        <item h="1" x="20"/>
        <item h="1" x="403"/>
        <item h="1" x="366"/>
        <item h="1" x="845"/>
        <item h="1" x="172"/>
        <item h="1" x="926"/>
        <item h="1" x="214"/>
        <item h="1" x="309"/>
        <item h="1" x="666"/>
        <item h="1" x="992"/>
        <item h="1" x="1020"/>
        <item h="1" x="158"/>
        <item h="1" x="1178"/>
        <item h="1" x="1261"/>
        <item h="1" x="544"/>
        <item h="1" x="721"/>
        <item h="1" x="250"/>
        <item h="1" x="430"/>
        <item h="1" x="253"/>
        <item h="1" x="207"/>
        <item h="1" x="328"/>
        <item h="1" x="11"/>
        <item h="1" x="723"/>
        <item h="1" x="986"/>
        <item h="1" x="1047"/>
        <item h="1" x="597"/>
        <item h="1" x="304"/>
        <item h="1" x="618"/>
        <item h="1" x="1009"/>
        <item h="1" x="709"/>
        <item h="1" x="428"/>
        <item h="1" x="951"/>
        <item h="1" x="1076"/>
        <item h="1" x="591"/>
        <item h="1" x="1108"/>
        <item h="1" x="937"/>
        <item h="1" x="43"/>
        <item h="1" x="1097"/>
        <item h="1" x="799"/>
        <item h="1" x="617"/>
        <item h="1" x="1115"/>
        <item h="1" x="904"/>
        <item h="1" x="731"/>
        <item h="1" x="619"/>
        <item h="1" x="425"/>
        <item h="1" x="1050"/>
        <item h="1" x="185"/>
        <item h="1" x="455"/>
        <item h="1" x="907"/>
        <item h="1" x="583"/>
        <item h="1" x="216"/>
        <item h="1" x="708"/>
        <item h="1" x="841"/>
        <item h="1" x="257"/>
        <item h="1" x="813"/>
        <item h="1" x="40"/>
        <item h="1" x="400"/>
        <item h="1" x="1207"/>
        <item h="1" x="911"/>
        <item h="1" x="410"/>
        <item h="1" x="212"/>
        <item h="1" x="407"/>
        <item h="1" x="273"/>
        <item h="1" x="1128"/>
        <item h="1" x="553"/>
        <item h="1" x="287"/>
        <item h="1" x="812"/>
        <item h="1" x="1133"/>
        <item h="1" x="171"/>
        <item h="1" x="464"/>
        <item h="1" x="198"/>
        <item h="1" x="1265"/>
        <item h="1" x="469"/>
        <item h="1" x="1208"/>
        <item h="1" x="533"/>
        <item h="1" x="1027"/>
        <item h="1" x="1176"/>
        <item h="1" x="493"/>
        <item h="1" x="492"/>
        <item h="1" x="348"/>
        <item h="1" x="343"/>
        <item h="1" x="569"/>
        <item h="1" x="820"/>
        <item h="1" x="1216"/>
        <item h="1" x="307"/>
        <item h="1" x="821"/>
        <item h="1" x="62"/>
        <item h="1" x="295"/>
        <item h="1" x="1003"/>
        <item h="1" x="972"/>
        <item h="1" x="244"/>
        <item h="1" x="645"/>
        <item h="1" x="83"/>
        <item h="1" x="28"/>
        <item h="1" x="121"/>
        <item h="1" x="42"/>
        <item h="1" x="29"/>
        <item h="1" x="384"/>
        <item h="1" x="518"/>
        <item h="1" x="451"/>
        <item h="1" x="100"/>
        <item h="1" x="247"/>
        <item h="1" x="848"/>
        <item h="1" x="1136"/>
        <item h="1" x="537"/>
        <item h="1" x="208"/>
        <item h="1" x="232"/>
        <item h="1" x="961"/>
        <item h="1" x="906"/>
        <item h="1" x="878"/>
        <item h="1" x="23"/>
        <item h="1" x="228"/>
        <item h="1" x="1212"/>
        <item h="1" x="235"/>
        <item h="1" x="770"/>
        <item h="1" x="327"/>
        <item h="1" x="188"/>
        <item h="1" x="765"/>
        <item h="1" x="663"/>
        <item h="1" x="203"/>
        <item h="1" x="490"/>
        <item h="1" x="502"/>
        <item h="1" x="1188"/>
        <item h="1" x="600"/>
        <item h="1" x="566"/>
        <item h="1" x="452"/>
        <item h="1" x="37"/>
        <item h="1" x="1251"/>
        <item h="1" x="1032"/>
        <item h="1" x="830"/>
        <item h="1" x="1048"/>
        <item h="1" x="1267"/>
        <item h="1" x="990"/>
        <item h="1" x="638"/>
        <item h="1" x="409"/>
        <item h="1" x="142"/>
        <item h="1" x="132"/>
        <item h="1" x="145"/>
        <item h="1" x="91"/>
        <item h="1" x="976"/>
        <item h="1" x="588"/>
        <item h="1" x="1125"/>
        <item h="1" x="655"/>
        <item h="1" x="359"/>
        <item h="1" x="925"/>
        <item h="1" x="805"/>
        <item h="1" x="471"/>
        <item h="1" x="440"/>
        <item h="1" x="1214"/>
        <item h="1" x="334"/>
        <item h="1" x="329"/>
        <item h="1" x="372"/>
        <item h="1" x="851"/>
        <item h="1" x="722"/>
        <item h="1" x="1194"/>
        <item h="1" x="424"/>
        <item h="1" x="884"/>
        <item h="1" x="825"/>
        <item h="1" x="695"/>
        <item h="1" x="1001"/>
        <item h="1" x="560"/>
        <item h="1" x="432"/>
        <item h="1" x="792"/>
        <item h="1" x="967"/>
        <item h="1" x="378"/>
        <item h="1" x="689"/>
        <item h="1" x="1187"/>
        <item h="1" x="917"/>
        <item h="1" x="46"/>
        <item h="1" x="98"/>
        <item h="1" x="506"/>
        <item h="1" x="338"/>
        <item h="1" x="264"/>
        <item h="1" x="220"/>
        <item h="1" x="659"/>
        <item h="1" x="771"/>
        <item h="1" x="746"/>
        <item h="1" x="1151"/>
        <item h="1" x="759"/>
        <item h="1" x="130"/>
        <item h="1" x="1070"/>
        <item n="UNIMAR S.A" x="871"/>
        <item h="1" x="665"/>
        <item h="1" x="1056"/>
        <item h="1" x="1033"/>
        <item h="1" x="650"/>
        <item h="1" x="662"/>
        <item h="1" x="920"/>
        <item h="1" x="864"/>
        <item h="1" x="447"/>
        <item h="1" x="119"/>
        <item h="1" x="350"/>
        <item h="1" x="653"/>
        <item h="1" x="641"/>
        <item h="1" x="68"/>
        <item h="1" x="344"/>
        <item h="1" x="115"/>
        <item h="1" x="397"/>
        <item h="1" x="164"/>
        <item h="1" x="231"/>
        <item h="1" x="660"/>
        <item h="1" x="501"/>
        <item h="1" x="318"/>
        <item h="1" x="325"/>
        <item h="1" x="1072"/>
        <item h="1" x="125"/>
        <item h="1" x="1262"/>
        <item h="1" x="371"/>
        <item h="1" x="745"/>
        <item h="1" x="978"/>
        <item h="1" x="800"/>
        <item h="1" x="780"/>
        <item h="1" x="698"/>
        <item h="1" x="593"/>
        <item h="1" x="1118"/>
        <item h="1" x="1298"/>
        <item h="1" x="1198"/>
        <item h="1" x="748"/>
        <item h="1" x="460"/>
        <item h="1" x="1089"/>
        <item h="1" x="1101"/>
        <item h="1" x="596"/>
        <item h="1" x="828"/>
        <item h="1" x="915"/>
        <item h="1" x="1055"/>
        <item h="1" x="556"/>
        <item h="1" x="946"/>
        <item h="1" x="773"/>
        <item h="1" x="503"/>
        <item h="1" x="1051"/>
        <item h="1" x="730"/>
        <item h="1" x="17"/>
        <item h="1" x="1038"/>
        <item h="1" x="1295"/>
        <item h="1" x="1073"/>
        <item h="1" x="542"/>
        <item h="1" x="565"/>
        <item h="1" x="974"/>
        <item h="1" x="590"/>
        <item h="1" x="707"/>
        <item h="1" x="811"/>
        <item h="1" x="241"/>
        <item h="1" x="789"/>
        <item h="1" x="414"/>
        <item h="1" x="150"/>
        <item h="1" x="1104"/>
        <item h="1" x="775"/>
        <item h="1" x="487"/>
        <item h="1" x="429"/>
        <item h="1" x="1280"/>
        <item h="1" x="1237"/>
        <item h="1" x="71"/>
        <item h="1" x="1286"/>
        <item h="1" x="1259"/>
        <item h="1" x="483"/>
        <item h="1" x="1290"/>
        <item h="1" x="1059"/>
        <item h="1" x="568"/>
        <item h="1" x="421"/>
        <item h="1" x="873"/>
        <item h="1" x="196"/>
        <item h="1" x="1249"/>
        <item h="1" x="809"/>
        <item h="1" x="893"/>
        <item h="1" x="205"/>
        <item h="1" x="1053"/>
        <item h="1" x="950"/>
        <item h="1" x="1071"/>
        <item h="1" x="475"/>
        <item h="1" x="836"/>
        <item h="1" x="1031"/>
        <item h="1" x="1064"/>
        <item h="1" x="550"/>
        <item h="1" x="201"/>
        <item h="1" x="19"/>
        <item h="1" x="865"/>
        <item h="1" x="688"/>
        <item h="1" x="557"/>
        <item h="1" x="1083"/>
        <item h="1" x="834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t="default"/>
      </items>
    </pivotField>
  </pivotFields>
  <rowFields count="1">
    <field x="25"/>
  </rowFields>
  <rowItems count="4">
    <i>
      <x v="588"/>
    </i>
    <i>
      <x v="996"/>
    </i>
    <i>
      <x v="1200"/>
    </i>
    <i t="grand">
      <x/>
    </i>
  </rowItems>
  <colItems count="1">
    <i/>
  </colItems>
  <pageFields count="3">
    <pageField fld="16" hier="-1"/>
    <pageField fld="15" hier="-1"/>
    <pageField fld="13" hier="-1"/>
  </pageFields>
  <dataFields count="1">
    <dataField name="Suma de Sum_Acum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92" firstHeaderRow="1" firstDataRow="1" firstDataCol="1" rowPageCount="1" colPageCount="1"/>
  <pivotFields count="48">
    <pivotField axis="axisPage" numFmtId="166" multipleItemSelectionAllowed="1" showAll="0">
      <items count="10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60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6"/>
        <item h="1" x="57"/>
        <item h="1" x="58"/>
        <item h="1" x="54"/>
        <item h="1" x="59"/>
        <item h="1" x="55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4"/>
        <item x="102"/>
        <item x="103"/>
        <item t="default"/>
      </items>
    </pivotField>
    <pivotField showAll="0"/>
    <pivotField showAll="0"/>
    <pivotField showAll="0"/>
    <pivotField axis="axisRow" showAll="0">
      <items count="6685">
        <item m="1" x="4868"/>
        <item m="1" x="4569"/>
        <item m="1" x="1972"/>
        <item m="1" x="675"/>
        <item m="1" x="5012"/>
        <item m="1" x="3440"/>
        <item m="1" x="3988"/>
        <item m="1" x="2833"/>
        <item m="1" x="3026"/>
        <item m="1" x="2304"/>
        <item m="1" x="2906"/>
        <item m="1" x="3034"/>
        <item m="1" x="1043"/>
        <item m="1" x="1505"/>
        <item m="1" x="1347"/>
        <item m="1" x="1358"/>
        <item m="1" x="1685"/>
        <item m="1" x="1836"/>
        <item m="1" x="2321"/>
        <item m="1" x="1527"/>
        <item m="1" x="1533"/>
        <item m="1" x="2172"/>
        <item m="1" x="2470"/>
        <item m="1" x="2333"/>
        <item m="1" x="1858"/>
        <item m="1" x="2014"/>
        <item m="1" x="2338"/>
        <item m="1" x="2478"/>
        <item m="1" x="1071"/>
        <item m="1" x="1376"/>
        <item m="1" x="1710"/>
        <item m="1" x="1865"/>
        <item m="1" x="2022"/>
        <item m="1" x="2433"/>
        <item m="1" x="2292"/>
        <item m="1" x="2580"/>
        <item m="1" x="2896"/>
        <item m="1" x="3021"/>
        <item m="1" x="3152"/>
        <item m="1" x="2141"/>
        <item m="1" x="2438"/>
        <item m="1" x="2585"/>
        <item m="1" x="2748"/>
        <item m="1" x="2899"/>
        <item m="1" x="3024"/>
        <item m="1" x="3299"/>
        <item m="1" x="3426"/>
        <item m="1" x="2591"/>
        <item m="1" x="2753"/>
        <item m="1" x="2903"/>
        <item m="1" x="3305"/>
        <item m="1" x="3431"/>
        <item m="1" x="2150"/>
        <item m="1" x="2596"/>
        <item m="1" x="2759"/>
        <item m="1" x="3164"/>
        <item m="1" x="3437"/>
        <item m="1" x="2156"/>
        <item m="1" x="2312"/>
        <item m="1" x="2451"/>
        <item m="1" x="2603"/>
        <item m="1" x="2764"/>
        <item m="1" x="2910"/>
        <item m="1" x="3038"/>
        <item m="1" x="3169"/>
        <item m="1" x="3316"/>
        <item m="1" x="3442"/>
        <item m="1" x="2160"/>
        <item m="1" x="2317"/>
        <item m="1" x="2457"/>
        <item m="1" x="2769"/>
        <item m="1" x="2913"/>
        <item m="1" x="3174"/>
        <item m="1" x="3321"/>
        <item m="1" x="3447"/>
        <item m="1" x="2164"/>
        <item m="1" x="2322"/>
        <item m="1" x="2462"/>
        <item m="1" x="2613"/>
        <item m="1" x="2772"/>
        <item m="1" x="3043"/>
        <item m="1" x="3179"/>
        <item m="1" x="3327"/>
        <item m="1" x="3451"/>
        <item m="1" x="2168"/>
        <item m="1" x="2324"/>
        <item m="1" x="2466"/>
        <item m="1" x="2776"/>
        <item m="1" x="2919"/>
        <item m="1" x="3045"/>
        <item m="1" x="3183"/>
        <item m="1" x="3331"/>
        <item m="1" x="2173"/>
        <item m="1" x="2328"/>
        <item m="1" x="2621"/>
        <item m="1" x="2780"/>
        <item m="1" x="2923"/>
        <item m="1" x="3048"/>
        <item m="1" x="3335"/>
        <item m="1" x="3460"/>
        <item m="1" x="1524"/>
        <item m="1" x="1689"/>
        <item m="1" x="1839"/>
        <item m="1" x="1997"/>
        <item m="1" x="2166"/>
        <item m="1" x="2617"/>
        <item m="1" x="2918"/>
        <item m="1" x="1530"/>
        <item m="1" x="1843"/>
        <item m="1" x="2002"/>
        <item m="1" x="2171"/>
        <item m="1" x="2327"/>
        <item m="1" x="2779"/>
        <item m="1" x="2922"/>
        <item m="1" x="1536"/>
        <item m="1" x="1696"/>
        <item m="1" x="1848"/>
        <item m="1" x="2005"/>
        <item m="1" x="2176"/>
        <item m="1" x="2331"/>
        <item m="1" x="2473"/>
        <item m="1" x="2625"/>
        <item m="1" x="2784"/>
        <item m="1" x="2926"/>
        <item m="1" x="1701"/>
        <item m="1" x="2010"/>
        <item m="1" x="2180"/>
        <item m="1" x="2336"/>
        <item m="1" x="2476"/>
        <item m="1" x="2630"/>
        <item m="1" x="2790"/>
        <item m="1" x="2931"/>
        <item m="1" x="1547"/>
        <item m="1" x="1707"/>
        <item m="1" x="1861"/>
        <item m="1" x="2017"/>
        <item m="1" x="2185"/>
        <item m="1" x="2483"/>
        <item m="1" x="2635"/>
        <item m="1" x="2796"/>
        <item m="1" x="2936"/>
        <item m="1" x="1555"/>
        <item m="1" x="1714"/>
        <item m="1" x="1869"/>
        <item m="1" x="2025"/>
        <item m="1" x="2190"/>
        <item m="1" x="2345"/>
        <item m="1" x="2488"/>
        <item m="1" x="2802"/>
        <item m="1" x="2940"/>
        <item m="1" x="1561"/>
        <item m="1" x="1719"/>
        <item m="1" x="1875"/>
        <item m="1" x="2031"/>
        <item m="1" x="2347"/>
        <item m="1" x="2491"/>
        <item m="1" x="2645"/>
        <item m="1" x="2807"/>
        <item m="1" x="2944"/>
        <item m="1" x="1567"/>
        <item m="1" x="1724"/>
        <item m="1" x="2035"/>
        <item m="1" x="2198"/>
        <item m="1" x="2495"/>
        <item m="1" x="2651"/>
        <item m="1" x="2812"/>
        <item m="1" x="2948"/>
        <item m="1" x="1572"/>
        <item m="1" x="1728"/>
        <item m="1" x="1885"/>
        <item m="1" x="2041"/>
        <item m="1" x="2202"/>
        <item m="1" x="2355"/>
        <item m="1" x="2499"/>
        <item m="1" x="2656"/>
        <item m="1" x="2951"/>
        <item m="1" x="1577"/>
        <item m="1" x="1734"/>
        <item m="1" x="1890"/>
        <item m="1" x="2047"/>
        <item m="1" x="2207"/>
        <item m="1" x="2361"/>
        <item m="1" x="2504"/>
        <item m="1" x="2661"/>
        <item m="1" x="2823"/>
        <item m="1" x="934"/>
        <item m="1" x="1090"/>
        <item m="1" x="1233"/>
        <item m="1" x="1393"/>
        <item m="1" x="1570"/>
        <item m="1" x="1726"/>
        <item m="1" x="1883"/>
        <item m="1" x="2039"/>
        <item m="1" x="2201"/>
        <item m="1" x="2353"/>
        <item m="1" x="1096"/>
        <item m="1" x="1240"/>
        <item m="1" x="1575"/>
        <item m="1" x="1732"/>
        <item m="1" x="1889"/>
        <item m="1" x="2205"/>
        <item m="1" x="2358"/>
        <item m="1" x="945"/>
        <item m="1" x="1102"/>
        <item m="1" x="1247"/>
        <item m="1" x="1403"/>
        <item m="1" x="1580"/>
        <item m="1" x="1894"/>
        <item m="1" x="2051"/>
        <item m="1" x="2211"/>
        <item m="1" x="2364"/>
        <item m="1" x="953"/>
        <item m="1" x="1411"/>
        <item m="1" x="1742"/>
        <item m="1" x="1900"/>
        <item m="1" x="2058"/>
        <item m="1" x="2217"/>
        <item m="1" x="2370"/>
        <item m="1" x="959"/>
        <item m="1" x="1257"/>
        <item m="1" x="1417"/>
        <item m="1" x="1590"/>
        <item m="1" x="1748"/>
        <item m="1" x="1907"/>
        <item m="1" x="2065"/>
        <item m="1" x="2224"/>
        <item m="1" x="2377"/>
        <item m="1" x="968"/>
        <item m="1" x="1120"/>
        <item m="1" x="1263"/>
        <item m="1" x="1754"/>
        <item m="1" x="1911"/>
        <item m="1" x="2073"/>
        <item m="1" x="2228"/>
        <item m="1" x="2382"/>
        <item m="1" x="1127"/>
        <item m="1" x="1270"/>
        <item m="1" x="1430"/>
        <item m="1" x="1604"/>
        <item m="1" x="1760"/>
        <item m="1" x="1917"/>
        <item m="1" x="2080"/>
        <item m="1" x="2234"/>
        <item m="1" x="2388"/>
        <item m="1" x="980"/>
        <item m="1" x="1130"/>
        <item m="1" x="1278"/>
        <item m="1" x="1436"/>
        <item m="1" x="1611"/>
        <item m="1" x="1764"/>
        <item m="1" x="1924"/>
        <item m="1" x="2240"/>
        <item m="1" x="2394"/>
        <item m="1" x="989"/>
        <item m="1" x="1138"/>
        <item m="1" x="1285"/>
        <item m="1" x="1443"/>
        <item m="1" x="1618"/>
        <item m="1" x="1771"/>
        <item m="1" x="2093"/>
        <item m="1" x="2246"/>
        <item m="1" x="2401"/>
        <item m="1" x="997"/>
        <item m="1" x="1145"/>
        <item m="1" x="1294"/>
        <item m="1" x="1451"/>
        <item m="1" x="1624"/>
        <item m="1" x="1936"/>
        <item m="1" x="6661"/>
        <item m="1" x="511"/>
        <item m="1" x="658"/>
        <item m="1" x="812"/>
        <item m="1" x="985"/>
        <item m="1" x="1135"/>
        <item m="1" x="1282"/>
        <item m="1" x="1615"/>
        <item m="1" x="1767"/>
        <item m="1" x="6669"/>
        <item m="1" x="518"/>
        <item m="1" x="666"/>
        <item m="1" x="820"/>
        <item m="1" x="993"/>
        <item m="1" x="1143"/>
        <item m="1" x="1291"/>
        <item m="1" x="1448"/>
        <item m="1" x="1621"/>
        <item m="1" x="1774"/>
        <item m="1" x="827"/>
        <item m="1" x="1000"/>
        <item m="1" x="1149"/>
        <item m="1" x="1298"/>
        <item m="1" x="1457"/>
        <item m="1" x="1628"/>
        <item m="1" x="1780"/>
        <item m="1" x="6681"/>
        <item m="1" x="529"/>
        <item m="1" x="834"/>
        <item m="1" x="1005"/>
        <item m="1" x="1152"/>
        <item m="1" x="1304"/>
        <item m="1" x="1463"/>
        <item m="1" x="1632"/>
        <item m="1" x="1783"/>
        <item m="1" x="376"/>
        <item m="1" x="536"/>
        <item m="1" x="1009"/>
        <item m="1" x="1156"/>
        <item m="1" x="1309"/>
        <item m="1" x="1468"/>
        <item m="1" x="543"/>
        <item m="1" x="686"/>
        <item m="1" x="845"/>
        <item m="1" x="1013"/>
        <item m="1" x="1160"/>
        <item m="1" x="1313"/>
        <item m="1" x="1472"/>
        <item m="1" x="1640"/>
        <item m="1" x="1791"/>
        <item m="1" x="387"/>
        <item m="1" x="548"/>
        <item m="1" x="690"/>
        <item m="1" x="850"/>
        <item m="1" x="1164"/>
        <item m="1" x="1476"/>
        <item m="1" x="1643"/>
        <item m="1" x="391"/>
        <item m="1" x="553"/>
        <item m="1" x="695"/>
        <item m="1" x="1321"/>
        <item m="1" x="1480"/>
        <item m="1" x="1648"/>
        <item m="1" x="1798"/>
        <item m="1" x="396"/>
        <item m="1" x="559"/>
        <item m="1" x="859"/>
        <item m="1" x="1025"/>
        <item m="1" x="1173"/>
        <item m="1" x="1326"/>
        <item m="1" x="1486"/>
        <item m="1" x="1651"/>
        <item m="1" x="1803"/>
        <item m="1" x="402"/>
        <item m="1" x="564"/>
        <item m="1" x="705"/>
        <item m="1" x="864"/>
        <item m="1" x="1030"/>
        <item m="1" x="1176"/>
        <item m="1" x="1329"/>
        <item m="1" x="1655"/>
        <item m="1" x="1807"/>
        <item m="1" x="6097"/>
        <item m="1" x="6250"/>
        <item m="1" x="6549"/>
        <item m="1" x="394"/>
        <item m="1" x="557"/>
        <item m="1" x="698"/>
        <item m="1" x="856"/>
        <item m="1" x="1022"/>
        <item m="1" x="1170"/>
        <item m="1" x="6104"/>
        <item m="1" x="6256"/>
        <item m="1" x="6396"/>
        <item m="1" x="6554"/>
        <item m="1" x="400"/>
        <item m="1" x="561"/>
        <item m="1" x="862"/>
        <item m="1" x="1028"/>
        <item m="1" x="6402"/>
        <item m="1" x="6559"/>
        <item m="1" x="405"/>
        <item m="1" x="567"/>
        <item m="1" x="708"/>
        <item m="1" x="868"/>
        <item m="1" x="1033"/>
        <item m="1" x="1178"/>
        <item m="1" x="6262"/>
        <item m="1" x="6405"/>
        <item m="1" x="6561"/>
        <item m="1" x="408"/>
        <item m="1" x="569"/>
        <item m="1" x="872"/>
        <item m="1" x="1036"/>
        <item m="1" x="1181"/>
        <item m="1" x="6115"/>
        <item m="1" x="6265"/>
        <item m="1" x="6410"/>
        <item m="1" x="412"/>
        <item m="1" x="572"/>
        <item m="1" x="712"/>
        <item m="1" x="1038"/>
        <item m="1" x="1183"/>
        <item m="1" x="6119"/>
        <item m="1" x="6415"/>
        <item m="1" x="6567"/>
        <item m="1" x="575"/>
        <item m="1" x="717"/>
        <item m="1" x="1041"/>
        <item m="1" x="1186"/>
        <item m="1" x="6125"/>
        <item m="1" x="6275"/>
        <item m="1" x="6421"/>
        <item m="1" x="6572"/>
        <item m="1" x="420"/>
        <item m="1" x="883"/>
        <item m="1" x="1044"/>
        <item m="1" x="1190"/>
        <item m="1" x="6130"/>
        <item m="1" x="6281"/>
        <item m="1" x="6425"/>
        <item m="1" x="6578"/>
        <item m="1" x="425"/>
        <item m="1" x="582"/>
        <item m="1" x="725"/>
        <item m="1" x="888"/>
        <item m="1" x="1194"/>
        <item m="1" x="6287"/>
        <item m="1" x="6432"/>
        <item m="1" x="6582"/>
        <item m="1" x="586"/>
        <item m="1" x="731"/>
        <item m="1" x="893"/>
        <item m="1" x="1199"/>
        <item m="1" x="6141"/>
        <item m="1" x="6440"/>
        <item m="1" x="439"/>
        <item m="1" x="738"/>
        <item m="1" x="898"/>
        <item m="1" x="1054"/>
        <item m="1" x="1203"/>
        <item m="1" x="5529"/>
        <item m="1" x="5681"/>
        <item m="1" x="5826"/>
        <item m="1" x="5979"/>
        <item m="1" x="6134"/>
        <item m="1" x="6285"/>
        <item m="1" x="6429"/>
        <item m="1" x="429"/>
        <item m="1" x="583"/>
        <item m="1" x="5688"/>
        <item m="1" x="5833"/>
        <item m="1" x="5987"/>
        <item m="1" x="6138"/>
        <item m="1" x="6437"/>
        <item m="1" x="6586"/>
        <item m="1" x="435"/>
        <item m="1" x="587"/>
        <item m="1" x="5540"/>
        <item m="1" x="5694"/>
        <item m="1" x="5993"/>
        <item m="1" x="6144"/>
        <item m="1" x="6591"/>
        <item m="1" x="443"/>
        <item m="1" x="591"/>
        <item m="1" x="5545"/>
        <item m="1" x="5842"/>
        <item m="1" x="5997"/>
        <item m="1" x="6150"/>
        <item m="1" x="6298"/>
        <item m="1" x="6447"/>
        <item m="1" x="6595"/>
        <item m="1" x="447"/>
        <item m="1" x="594"/>
        <item m="1" x="5550"/>
        <item m="1" x="5847"/>
        <item m="1" x="6002"/>
        <item m="1" x="6302"/>
        <item m="1" x="6452"/>
        <item m="1" x="6597"/>
        <item m="1" x="450"/>
        <item m="1" x="596"/>
        <item m="1" x="5554"/>
        <item m="1" x="5853"/>
        <item m="1" x="6007"/>
        <item m="1" x="6307"/>
        <item m="1" x="6457"/>
        <item m="1" x="6602"/>
        <item m="1" x="454"/>
        <item m="1" x="600"/>
        <item m="1" x="5561"/>
        <item m="1" x="5858"/>
        <item m="1" x="6013"/>
        <item m="1" x="6164"/>
        <item m="1" x="6310"/>
        <item m="1" x="6606"/>
        <item m="1" x="457"/>
        <item m="1" x="603"/>
        <item m="1" x="5565"/>
        <item m="1" x="5717"/>
        <item m="1" x="5863"/>
        <item m="1" x="6017"/>
        <item m="1" x="6169"/>
        <item m="1" x="6315"/>
        <item m="1" x="6467"/>
        <item m="1" x="462"/>
        <item m="1" x="608"/>
        <item m="1" x="5722"/>
        <item m="1" x="5869"/>
        <item m="1" x="6173"/>
        <item m="1" x="6321"/>
        <item m="1" x="6472"/>
        <item m="1" x="6616"/>
        <item m="1" x="466"/>
        <item m="1" x="613"/>
        <item m="1" x="5577"/>
        <item m="1" x="5727"/>
        <item m="1" x="5873"/>
        <item m="1" x="6180"/>
        <item m="1" x="6478"/>
        <item m="1" x="6622"/>
        <item m="1" x="471"/>
        <item m="1" x="619"/>
        <item m="1" x="4951"/>
        <item m="1" x="5416"/>
        <item m="1" x="5569"/>
        <item m="1" x="5866"/>
        <item m="1" x="6020"/>
        <item m="1" x="6317"/>
        <item m="1" x="4958"/>
        <item m="1" x="5256"/>
        <item m="1" x="5423"/>
        <item m="1" x="5573"/>
        <item m="1" x="5725"/>
        <item m="1" x="5872"/>
        <item m="1" x="6024"/>
        <item m="1" x="6176"/>
        <item m="1" x="6323"/>
        <item m="1" x="4965"/>
        <item m="1" x="5104"/>
        <item m="1" x="5262"/>
        <item m="1" x="5429"/>
        <item m="1" x="5580"/>
        <item m="1" x="5731"/>
        <item m="1" x="5876"/>
        <item m="1" x="6184"/>
        <item m="1" x="6327"/>
        <item m="1" x="4971"/>
        <item m="1" x="5109"/>
        <item m="1" x="5268"/>
        <item m="1" x="5736"/>
        <item m="1" x="5881"/>
        <item m="1" x="6032"/>
        <item m="1" x="6190"/>
        <item m="1" x="6331"/>
        <item m="1" x="4975"/>
        <item m="1" x="5114"/>
        <item m="1" x="5275"/>
        <item m="1" x="5887"/>
        <item m="1" x="6035"/>
        <item m="1" x="6194"/>
        <item m="1" x="6335"/>
        <item m="1" x="5118"/>
        <item m="1" x="5279"/>
        <item m="1" x="5595"/>
        <item m="1" x="5743"/>
        <item m="1" x="5891"/>
        <item m="1" x="6199"/>
        <item m="1" x="6339"/>
        <item m="1" x="4986"/>
        <item m="1" x="5124"/>
        <item m="1" x="5287"/>
        <item m="1" x="5451"/>
        <item m="1" x="5602"/>
        <item m="1" x="5748"/>
        <item m="1" x="6043"/>
        <item m="1" x="6343"/>
        <item m="1" x="4991"/>
        <item m="1" x="5130"/>
        <item m="1" x="5294"/>
        <item m="1" x="5459"/>
        <item m="1" x="5609"/>
        <item m="1" x="5755"/>
        <item m="1" x="5901"/>
        <item m="1" x="6049"/>
        <item m="1" x="6347"/>
        <item m="1" x="5136"/>
        <item m="1" x="5302"/>
        <item m="1" x="5465"/>
        <item m="1" x="5758"/>
        <item m="1" x="5906"/>
        <item m="1" x="6055"/>
        <item m="1" x="6212"/>
        <item m="1" x="6352"/>
        <item m="1" x="5004"/>
        <item m="1" x="5143"/>
        <item m="1" x="5308"/>
        <item m="1" x="5470"/>
        <item m="1" x="5764"/>
        <item m="1" x="5913"/>
        <item m="1" x="6220"/>
        <item m="1" x="6359"/>
        <item m="1" x="4848"/>
        <item m="1" x="4995"/>
        <item m="1" x="5133"/>
        <item m="1" x="5299"/>
        <item m="1" x="5613"/>
        <item m="1" x="5756"/>
        <item m="1" x="4402"/>
        <item m="1" x="4697"/>
        <item m="1" x="4853"/>
        <item m="1" x="5140"/>
        <item m="1" x="5468"/>
        <item m="1" x="5619"/>
        <item m="1" x="5760"/>
        <item m="1" x="4409"/>
        <item m="1" x="4548"/>
        <item m="1" x="4704"/>
        <item m="1" x="4860"/>
        <item m="1" x="5146"/>
        <item m="1" x="5474"/>
        <item m="1" x="5766"/>
        <item m="1" x="4415"/>
        <item m="1" x="4554"/>
        <item m="1" x="4711"/>
        <item m="1" x="5013"/>
        <item m="1" x="5151"/>
        <item m="1" x="5319"/>
        <item m="1" x="5480"/>
        <item m="1" x="5632"/>
        <item m="1" x="5771"/>
        <item m="1" x="4421"/>
        <item m="1" x="4560"/>
        <item m="1" x="4719"/>
        <item m="1" x="4872"/>
        <item m="1" x="5020"/>
        <item m="1" x="5157"/>
        <item m="1" x="5324"/>
        <item m="1" x="5484"/>
        <item m="1" x="5639"/>
        <item m="1" x="5776"/>
        <item m="1" x="4427"/>
        <item m="1" x="4566"/>
        <item m="1" x="4724"/>
        <item m="1" x="4874"/>
        <item m="1" x="5025"/>
        <item m="1" x="5161"/>
        <item m="1" x="5487"/>
        <item m="1" x="5643"/>
        <item m="1" x="4433"/>
        <item m="1" x="4729"/>
        <item m="1" x="4879"/>
        <item m="1" x="5029"/>
        <item m="1" x="5331"/>
        <item m="1" x="5491"/>
        <item m="1" x="5781"/>
        <item m="1" x="4439"/>
        <item m="1" x="4575"/>
        <item m="1" x="4735"/>
        <item m="1" x="4885"/>
        <item m="1" x="5032"/>
        <item m="1" x="5169"/>
        <item m="1" x="5336"/>
        <item m="1" x="5496"/>
        <item m="1" x="5786"/>
        <item m="1" x="4580"/>
        <item m="1" x="4741"/>
        <item m="1" x="4889"/>
        <item m="1" x="5174"/>
        <item m="1" x="5340"/>
        <item m="1" x="5500"/>
        <item m="1" x="5652"/>
        <item m="1" x="5790"/>
        <item m="1" x="4448"/>
        <item m="1" x="4586"/>
        <item m="1" x="4746"/>
        <item m="1" x="4894"/>
        <item m="1" x="5043"/>
        <item m="1" x="5179"/>
        <item m="1" x="5346"/>
        <item m="1" x="5503"/>
        <item m="1" x="5657"/>
        <item m="1" x="5796"/>
        <item m="1" x="3910"/>
        <item m="1" x="4027"/>
        <item m="1" x="4305"/>
        <item m="1" x="4441"/>
        <item m="1" x="4578"/>
        <item m="1" x="4738"/>
        <item m="1" x="5035"/>
        <item m="1" x="5171"/>
        <item m="1" x="3913"/>
        <item m="1" x="4032"/>
        <item m="1" x="4164"/>
        <item m="1" x="4445"/>
        <item m="1" x="4583"/>
        <item m="1" x="4744"/>
        <item m="1" x="4891"/>
        <item m="1" x="5039"/>
        <item m="1" x="5175"/>
        <item m="1" x="3917"/>
        <item m="1" x="4037"/>
        <item m="1" x="4312"/>
        <item m="1" x="4588"/>
        <item m="1" x="4750"/>
        <item m="1" x="4897"/>
        <item m="1" x="5045"/>
        <item m="1" x="5181"/>
        <item m="1" x="3920"/>
        <item m="1" x="4042"/>
        <item m="1" x="4174"/>
        <item m="1" x="4317"/>
        <item m="1" x="4592"/>
        <item m="1" x="4901"/>
        <item m="1" x="5187"/>
        <item m="1" x="4047"/>
        <item m="1" x="4179"/>
        <item m="1" x="4321"/>
        <item m="1" x="4459"/>
        <item m="1" x="4597"/>
        <item m="1" x="4759"/>
        <item m="1" x="4906"/>
        <item m="1" x="3926"/>
        <item m="1" x="4051"/>
        <item m="1" x="4184"/>
        <item m="1" x="4325"/>
        <item m="1" x="4462"/>
        <item m="1" x="4601"/>
        <item m="1" x="4909"/>
        <item m="1" x="5054"/>
        <item m="1" x="5195"/>
        <item m="1" x="3929"/>
        <item m="1" x="4189"/>
        <item m="1" x="4329"/>
        <item m="1" x="4466"/>
        <item m="1" x="4912"/>
        <item m="1" x="5057"/>
        <item m="1" x="5199"/>
        <item m="1" x="3933"/>
        <item m="1" x="4058"/>
        <item m="1" x="4194"/>
        <item m="1" x="4332"/>
        <item m="1" x="4470"/>
        <item m="1" x="4608"/>
        <item m="1" x="4768"/>
        <item m="1" x="4916"/>
        <item m="1" x="5061"/>
        <item m="1" x="5204"/>
        <item m="1" x="3936"/>
        <item m="1" x="4063"/>
        <item m="1" x="4199"/>
        <item m="1" x="4337"/>
        <item m="1" x="4475"/>
        <item m="1" x="4614"/>
        <item m="1" x="4771"/>
        <item m="1" x="4919"/>
        <item m="1" x="5064"/>
        <item m="1" x="5208"/>
        <item m="1" x="3941"/>
        <item m="1" x="4068"/>
        <item m="1" x="4205"/>
        <item m="1" x="4340"/>
        <item m="1" x="4481"/>
        <item m="1" x="4776"/>
        <item m="1" x="4923"/>
        <item m="1" x="5068"/>
        <item m="1" x="5214"/>
        <item m="1" x="3430"/>
        <item m="1" x="3557"/>
        <item m="1" x="3822"/>
        <item m="1" x="4060"/>
        <item m="1" x="4197"/>
        <item m="1" x="4335"/>
        <item m="1" x="4472"/>
        <item m="1" x="4610"/>
        <item m="1" x="3436"/>
        <item m="1" x="3562"/>
        <item m="1" x="3827"/>
        <item m="1" x="4065"/>
        <item m="1" x="4203"/>
        <item m="1" x="4339"/>
        <item m="1" x="4477"/>
        <item m="1" x="4616"/>
        <item m="1" x="3441"/>
        <item m="1" x="3567"/>
        <item m="1" x="3700"/>
        <item m="1" x="3832"/>
        <item m="1" x="3944"/>
        <item m="1" x="4343"/>
        <item m="1" x="4483"/>
        <item m="1" x="3446"/>
        <item m="1" x="3571"/>
        <item m="1" x="3703"/>
        <item m="1" x="3837"/>
        <item m="1" x="4073"/>
        <item m="1" x="4211"/>
        <item m="1" x="4348"/>
        <item m="1" x="4488"/>
        <item m="1" x="4626"/>
        <item m="1" x="3450"/>
        <item m="1" x="3576"/>
        <item m="1" x="3709"/>
        <item m="1" x="3841"/>
        <item m="1" x="3952"/>
        <item m="1" x="4078"/>
        <item m="1" x="4217"/>
        <item m="1" x="4353"/>
        <item m="1" x="4492"/>
        <item m="1" x="4632"/>
        <item m="1" x="3455"/>
        <item m="1" x="3579"/>
        <item m="1" x="3713"/>
        <item m="1" x="3844"/>
        <item m="1" x="3955"/>
        <item m="1" x="4081"/>
        <item m="1" x="4495"/>
        <item m="1" x="4636"/>
        <item m="1" x="3459"/>
        <item m="1" x="3717"/>
        <item m="1" x="3846"/>
        <item m="1" x="4083"/>
        <item m="1" x="4224"/>
        <item m="1" x="4358"/>
        <item m="1" x="4498"/>
        <item m="1" x="4639"/>
        <item m="1" x="3464"/>
        <item m="1" x="3585"/>
        <item m="1" x="3722"/>
        <item m="1" x="3850"/>
        <item m="1" x="3962"/>
        <item m="1" x="4087"/>
        <item m="1" x="4227"/>
        <item m="1" x="4361"/>
        <item m="1" x="4644"/>
        <item m="1" x="3587"/>
        <item m="1" x="3727"/>
        <item m="1" x="3853"/>
        <item m="1" x="3966"/>
        <item m="1" x="4231"/>
        <item m="1" x="4365"/>
        <item m="1" x="4503"/>
        <item m="1" x="4649"/>
        <item m="1" x="3473"/>
        <item m="1" x="3592"/>
        <item m="1" x="3732"/>
        <item m="1" x="3970"/>
        <item m="1" x="4097"/>
        <item m="1" x="4236"/>
        <item m="1" x="4368"/>
        <item m="1" x="4507"/>
        <item m="1" x="4653"/>
        <item m="1" x="6177"/>
        <item m="1" x="6324"/>
        <item m="1" x="6618"/>
        <item m="1" x="468"/>
        <item m="1" x="616"/>
        <item m="1" x="763"/>
        <item m="1" x="930"/>
        <item m="1" x="1083"/>
        <item m="1" x="1227"/>
        <item m="1" x="6185"/>
        <item m="1" x="6328"/>
        <item m="1" x="6479"/>
        <item m="1" x="6624"/>
        <item m="1" x="472"/>
        <item m="1" x="621"/>
        <item m="1" x="768"/>
        <item m="1" x="935"/>
        <item m="1" x="1091"/>
        <item m="1" x="1234"/>
        <item m="1" x="6191"/>
        <item m="1" x="6332"/>
        <item m="1" x="6483"/>
        <item m="1" x="6628"/>
        <item m="1" x="476"/>
        <item m="1" x="625"/>
        <item m="1" x="772"/>
        <item m="1" x="940"/>
        <item m="1" x="1097"/>
        <item m="1" x="1241"/>
        <item m="1" x="6195"/>
        <item m="1" x="6488"/>
        <item m="1" x="6633"/>
        <item m="1" x="480"/>
        <item m="1" x="628"/>
        <item m="1" x="777"/>
        <item m="1" x="946"/>
        <item m="1" x="1103"/>
        <item m="1" x="1248"/>
        <item m="1" x="6200"/>
        <item m="1" x="6340"/>
        <item m="1" x="6491"/>
        <item m="1" x="484"/>
        <item m="1" x="633"/>
        <item m="1" x="782"/>
        <item m="1" x="954"/>
        <item m="1" x="1109"/>
        <item m="1" x="6202"/>
        <item m="1" x="6496"/>
        <item m="1" x="6640"/>
        <item m="1" x="489"/>
        <item m="1" x="788"/>
        <item m="1" x="960"/>
        <item m="1" x="1114"/>
        <item m="1" x="1259"/>
        <item m="1" x="6207"/>
        <item m="1" x="6502"/>
        <item m="1" x="6643"/>
        <item m="1" x="794"/>
        <item m="1" x="969"/>
        <item m="1" x="1121"/>
        <item m="1" x="1264"/>
        <item m="1" x="6213"/>
        <item m="1" x="6353"/>
        <item m="1" x="6507"/>
        <item m="1" x="6649"/>
        <item m="1" x="500"/>
        <item m="1" x="650"/>
        <item m="1" x="801"/>
        <item m="1" x="975"/>
        <item m="1" x="1272"/>
        <item m="1" x="6221"/>
        <item m="1" x="6511"/>
        <item m="1" x="6655"/>
        <item m="1" x="506"/>
        <item m="1" x="809"/>
        <item m="1" x="981"/>
        <item m="1" x="1131"/>
        <item m="1" x="1280"/>
        <item m="1" x="6226"/>
        <item m="1" x="6518"/>
        <item m="1" x="6664"/>
        <item m="1" x="515"/>
        <item m="1" x="662"/>
        <item m="1" x="816"/>
        <item m="1" x="990"/>
        <item m="1" x="1139"/>
        <item m="1" x="1287"/>
        <item m="1" x="5620"/>
        <item m="1" x="5761"/>
        <item m="1" x="5908"/>
        <item m="1" x="6058"/>
        <item m="1" x="6216"/>
        <item m="1" x="6356"/>
        <item m="1" x="6653"/>
        <item m="1" x="504"/>
        <item m="1" x="653"/>
        <item m="1" x="5627"/>
        <item m="1" x="5767"/>
        <item m="1" x="6064"/>
        <item m="1" x="6223"/>
        <item m="1" x="6515"/>
        <item m="1" x="6662"/>
        <item m="1" x="512"/>
        <item m="1" x="5633"/>
        <item m="1" x="5772"/>
        <item m="1" x="5919"/>
        <item m="1" x="6070"/>
        <item m="1" x="6228"/>
        <item m="1" x="6670"/>
        <item m="1" x="519"/>
        <item m="1" x="667"/>
        <item m="1" x="5640"/>
        <item m="1" x="5923"/>
        <item m="1" x="6075"/>
        <item m="1" x="6232"/>
        <item m="1" x="6368"/>
        <item m="1" x="6676"/>
        <item m="1" x="523"/>
        <item m="1" x="672"/>
        <item m="1" x="5778"/>
        <item m="1" x="5927"/>
        <item m="1" x="6076"/>
        <item m="1" x="6234"/>
        <item m="1" x="6372"/>
        <item m="1" x="6527"/>
        <item m="1" x="6682"/>
        <item m="1" x="530"/>
        <item m="1" x="678"/>
        <item m="1" x="5782"/>
        <item m="1" x="6079"/>
        <item m="1" x="6237"/>
        <item m="1" x="6376"/>
        <item m="1" x="6530"/>
        <item m="1" x="377"/>
        <item m="1" x="537"/>
        <item m="1" x="683"/>
        <item m="1" x="5649"/>
        <item m="1" x="5787"/>
        <item m="1" x="5934"/>
        <item m="1" x="6084"/>
        <item m="1" x="6240"/>
        <item m="1" x="6377"/>
        <item m="1" x="6535"/>
        <item m="1" x="382"/>
        <item m="1" x="544"/>
        <item m="1" x="687"/>
        <item m="1" x="5653"/>
        <item m="1" x="5791"/>
        <item m="1" x="5938"/>
        <item m="1" x="6087"/>
        <item m="1" x="6244"/>
        <item m="1" x="6382"/>
        <item m="1" x="6541"/>
        <item m="1" x="691"/>
        <item m="1" x="5658"/>
        <item m="1" x="5797"/>
        <item m="1" x="5944"/>
        <item m="1" x="6093"/>
        <item m="1" x="6248"/>
        <item m="1" x="6387"/>
        <item m="1" x="392"/>
        <item m="1" x="554"/>
        <item m="1" x="5661"/>
        <item m="1" x="5802"/>
        <item m="1" x="5948"/>
        <item m="1" x="6100"/>
        <item m="1" x="6253"/>
        <item m="1" x="6393"/>
        <item m="1" x="6553"/>
        <item m="1" x="397"/>
        <item m="1" x="5040"/>
        <item m="1" x="5176"/>
        <item m="1" x="5342"/>
        <item m="1" x="5502"/>
        <item m="1" x="5655"/>
        <item m="1" x="5794"/>
        <item m="1" x="5942"/>
        <item m="1" x="6091"/>
        <item m="1" x="6247"/>
        <item m="1" x="6385"/>
        <item m="1" x="5182"/>
        <item m="1" x="5348"/>
        <item m="1" x="5505"/>
        <item m="1" x="5800"/>
        <item m="1" x="6098"/>
        <item m="1" x="6251"/>
        <item m="1" x="6390"/>
        <item m="1" x="5188"/>
        <item m="1" x="5509"/>
        <item m="1" x="5952"/>
        <item m="1" x="6105"/>
        <item m="1" x="6257"/>
        <item m="1" x="6397"/>
        <item m="1" x="5052"/>
        <item m="1" x="5192"/>
        <item m="1" x="5355"/>
        <item m="1" x="5512"/>
        <item m="1" x="5665"/>
        <item m="1" x="5807"/>
        <item m="1" x="5956"/>
        <item m="1" x="6109"/>
        <item m="1" x="6403"/>
        <item m="1" x="5055"/>
        <item m="1" x="5196"/>
        <item m="1" x="5358"/>
        <item m="1" x="5514"/>
        <item m="1" x="5808"/>
        <item m="1" x="6112"/>
        <item m="1" x="6263"/>
        <item m="1" x="6406"/>
        <item m="1" x="5058"/>
        <item m="1" x="5200"/>
        <item m="1" x="5517"/>
        <item m="1" x="5668"/>
        <item m="1" x="5811"/>
        <item m="1" x="5962"/>
        <item m="1" x="6116"/>
        <item m="1" x="6266"/>
        <item m="1" x="6411"/>
        <item m="1" x="5062"/>
        <item m="1" x="5205"/>
        <item m="1" x="5363"/>
        <item m="1" x="5671"/>
        <item m="1" x="5815"/>
        <item m="1" x="5965"/>
        <item m="1" x="6120"/>
        <item m="1" x="6270"/>
        <item m="1" x="6416"/>
        <item m="1" x="5065"/>
        <item m="1" x="5209"/>
        <item m="1" x="5523"/>
        <item m="1" x="5819"/>
        <item m="1" x="5970"/>
        <item m="1" x="6126"/>
        <item m="1" x="6276"/>
        <item m="1" x="6422"/>
        <item m="1" x="5069"/>
        <item m="1" x="5215"/>
        <item m="1" x="5372"/>
        <item m="1" x="5528"/>
        <item m="1" x="5976"/>
        <item m="1" x="6131"/>
        <item m="1" x="6282"/>
        <item m="1" x="6426"/>
        <item m="1" x="5220"/>
        <item m="1" x="5379"/>
        <item m="1" x="5685"/>
        <item m="1" x="5830"/>
        <item m="1" x="5984"/>
        <item m="1" x="6137"/>
        <item m="1" x="6289"/>
        <item m="1" x="6434"/>
        <item m="1" x="4478"/>
        <item m="1" x="4617"/>
        <item m="1" x="5212"/>
        <item m="1" x="5370"/>
        <item m="1" x="5526"/>
        <item m="1" x="5677"/>
        <item m="1" x="5822"/>
        <item m="1" x="4484"/>
        <item m="1" x="4621"/>
        <item m="1" x="4778"/>
        <item m="1" x="4924"/>
        <item m="1" x="5071"/>
        <item m="1" x="5217"/>
        <item m="1" x="5376"/>
        <item m="1" x="5530"/>
        <item m="1" x="5682"/>
        <item m="1" x="5827"/>
        <item m="1" x="4489"/>
        <item m="1" x="4627"/>
        <item m="1" x="4782"/>
        <item m="1" x="4928"/>
        <item m="1" x="5222"/>
        <item m="1" x="5383"/>
        <item m="1" x="5689"/>
        <item m="1" x="5834"/>
        <item m="1" x="4493"/>
        <item m="1" x="4633"/>
        <item m="1" x="4786"/>
        <item m="1" x="4932"/>
        <item m="1" x="5076"/>
        <item m="1" x="5227"/>
        <item m="1" x="5389"/>
        <item m="1" x="5541"/>
        <item m="1" x="5696"/>
        <item m="1" x="5839"/>
        <item m="1" x="4496"/>
        <item m="1" x="4637"/>
        <item m="1" x="4789"/>
        <item m="1" x="4934"/>
        <item m="1" x="5079"/>
        <item m="1" x="5231"/>
        <item m="1" x="5392"/>
        <item m="1" x="5546"/>
        <item m="1" x="5700"/>
        <item m="1" x="5843"/>
        <item m="1" x="4640"/>
        <item m="1" x="4791"/>
        <item m="1" x="5082"/>
        <item m="1" x="5397"/>
        <item m="1" x="5551"/>
        <item m="1" x="5704"/>
        <item m="1" x="5848"/>
        <item m="1" x="4500"/>
        <item m="1" x="4645"/>
        <item m="1" x="4794"/>
        <item m="1" x="5086"/>
        <item m="1" x="5239"/>
        <item m="1" x="5403"/>
        <item m="1" x="5555"/>
        <item m="1" x="5709"/>
        <item m="1" x="5854"/>
        <item m="1" x="4504"/>
        <item m="1" x="4650"/>
        <item m="1" x="4799"/>
        <item m="1" x="4944"/>
        <item m="1" x="5090"/>
        <item m="1" x="5244"/>
        <item m="1" x="5407"/>
        <item m="1" x="5562"/>
        <item m="1" x="5713"/>
        <item m="1" x="5859"/>
        <item m="1" x="4508"/>
        <item m="1" x="4654"/>
        <item m="1" x="4947"/>
        <item m="1" x="5092"/>
        <item m="1" x="5247"/>
        <item m="1" x="5413"/>
        <item m="1" x="5566"/>
        <item m="1" x="5718"/>
        <item m="1" x="4511"/>
        <item m="1" x="4659"/>
        <item m="1" x="4807"/>
        <item m="1" x="4954"/>
        <item m="1" x="5097"/>
        <item m="1" x="5253"/>
        <item m="1" x="5420"/>
        <item m="1" x="5570"/>
        <item m="1" x="5723"/>
        <item m="1" x="5870"/>
        <item m="1" x="3968"/>
        <item m="1" x="4093"/>
        <item m="1" x="4233"/>
        <item m="1" x="4505"/>
        <item m="1" x="4651"/>
        <item m="1" x="4802"/>
        <item m="1" x="3971"/>
        <item m="1" x="4099"/>
        <item m="1" x="4238"/>
        <item m="1" x="4370"/>
        <item m="1" x="4510"/>
        <item m="1" x="4657"/>
        <item m="1" x="4806"/>
        <item m="1" x="4952"/>
        <item m="1" x="5095"/>
        <item m="1" x="5250"/>
        <item m="1" x="3975"/>
        <item m="1" x="4102"/>
        <item m="1" x="4242"/>
        <item m="1" x="4372"/>
        <item m="1" x="4513"/>
        <item m="1" x="4810"/>
        <item m="1" x="4959"/>
        <item m="1" x="5100"/>
        <item m="1" x="3979"/>
        <item m="1" x="4107"/>
        <item m="1" x="4247"/>
        <item m="1" x="4376"/>
        <item m="1" x="4517"/>
        <item m="1" x="4666"/>
        <item m="1" x="4816"/>
        <item m="1" x="4966"/>
        <item m="1" x="5105"/>
        <item m="1" x="3981"/>
        <item m="1" x="4111"/>
        <item m="1" x="4251"/>
        <item m="1" x="4378"/>
        <item m="1" x="4520"/>
        <item m="1" x="4670"/>
        <item m="1" x="4821"/>
        <item m="1" x="5110"/>
        <item m="1" x="5269"/>
        <item m="1" x="3984"/>
        <item m="1" x="4114"/>
        <item m="1" x="4523"/>
        <item m="1" x="4673"/>
        <item m="1" x="4826"/>
        <item m="1" x="4976"/>
        <item m="1" x="5115"/>
        <item m="1" x="5276"/>
        <item m="1" x="3989"/>
        <item m="1" x="4118"/>
        <item m="1" x="4258"/>
        <item m="1" x="4382"/>
        <item m="1" x="4676"/>
        <item m="1" x="4831"/>
        <item m="1" x="4981"/>
        <item m="1" x="5119"/>
        <item m="1" x="5280"/>
        <item m="1" x="3993"/>
        <item m="1" x="4123"/>
        <item m="1" x="4386"/>
        <item m="1" x="4529"/>
        <item m="1" x="4682"/>
        <item m="1" x="4838"/>
        <item m="1" x="5125"/>
        <item m="1" x="5288"/>
        <item m="1" x="3998"/>
        <item m="1" x="4392"/>
        <item m="1" x="4534"/>
        <item m="1" x="4687"/>
        <item m="1" x="4845"/>
        <item m="1" x="4992"/>
        <item m="1" x="5131"/>
        <item m="1" x="5295"/>
        <item m="1" x="4002"/>
        <item m="1" x="4133"/>
        <item m="1" x="4273"/>
        <item m="1" x="4398"/>
        <item m="1" x="4540"/>
        <item m="1" x="4694"/>
        <item m="1" x="4851"/>
        <item m="1" x="5137"/>
        <item m="1" x="5303"/>
        <item m="1" x="3501"/>
        <item m="1" x="3623"/>
        <item m="1" x="3763"/>
        <item m="1" x="3883"/>
        <item m="1" x="3996"/>
        <item m="1" x="4127"/>
        <item m="1" x="4390"/>
        <item m="1" x="4531"/>
        <item m="1" x="3506"/>
        <item m="1" x="3630"/>
        <item m="1" x="3769"/>
        <item m="1" x="3887"/>
        <item m="1" x="4000"/>
        <item m="1" x="4131"/>
        <item m="1" x="4271"/>
        <item m="1" x="4396"/>
        <item m="1" x="4537"/>
        <item m="1" x="4690"/>
        <item m="1" x="3512"/>
        <item m="1" x="3636"/>
        <item m="1" x="3892"/>
        <item m="1" x="4005"/>
        <item m="1" x="4136"/>
        <item m="1" x="4277"/>
        <item m="1" x="4403"/>
        <item m="1" x="4543"/>
        <item m="1" x="4698"/>
        <item m="1" x="3518"/>
        <item m="1" x="3643"/>
        <item m="1" x="3897"/>
        <item m="1" x="4010"/>
        <item m="1" x="4139"/>
        <item m="1" x="4410"/>
        <item m="1" x="4705"/>
        <item m="1" x="3523"/>
        <item m="1" x="3649"/>
        <item m="1" x="3900"/>
        <item m="1" x="4014"/>
        <item m="1" x="4144"/>
        <item m="1" x="4286"/>
        <item m="1" x="4416"/>
        <item m="1" x="4712"/>
        <item m="1" x="3652"/>
        <item m="1" x="3787"/>
        <item m="1" x="3904"/>
        <item m="1" x="4018"/>
        <item m="1" x="4148"/>
        <item m="1" x="4422"/>
        <item m="1" x="4561"/>
        <item m="1" x="4720"/>
        <item m="1" x="3530"/>
        <item m="1" x="3656"/>
        <item m="1" x="3791"/>
        <item m="1" x="3906"/>
        <item m="1" x="4021"/>
        <item m="1" x="4151"/>
        <item m="1" x="4295"/>
        <item m="1" x="4428"/>
        <item m="1" x="4567"/>
        <item m="1" x="4725"/>
        <item m="1" x="3659"/>
        <item m="1" x="3794"/>
        <item m="1" x="4023"/>
        <item m="1" x="4299"/>
        <item m="1" x="4434"/>
        <item m="1" x="4573"/>
        <item m="1" x="3536"/>
        <item m="1" x="3664"/>
        <item m="1" x="3798"/>
        <item m="1" x="4157"/>
        <item m="1" x="4303"/>
        <item m="1" x="4576"/>
        <item m="1" x="3540"/>
        <item m="1" x="3669"/>
        <item m="1" x="4030"/>
        <item m="1" x="4162"/>
        <item m="1" x="4308"/>
        <item m="1" x="4443"/>
        <item m="1" x="4581"/>
        <item m="1" x="4742"/>
        <item m="1" x="2992"/>
        <item m="1" x="3126"/>
        <item m="1" x="3404"/>
        <item m="1" x="3535"/>
        <item m="1" x="3663"/>
        <item m="1" x="3797"/>
        <item m="1" x="4024"/>
        <item m="1" x="4155"/>
        <item m="1" x="2998"/>
        <item m="1" x="3274"/>
        <item m="1" x="3408"/>
        <item m="1" x="3539"/>
        <item m="1" x="3668"/>
        <item m="1" x="3801"/>
        <item m="1" x="3911"/>
        <item m="1" x="4028"/>
        <item m="1" x="4159"/>
        <item m="1" x="3004"/>
        <item m="1" x="3133"/>
        <item m="1" x="3278"/>
        <item m="1" x="3412"/>
        <item m="1" x="3672"/>
        <item m="1" x="4033"/>
        <item m="1" x="4165"/>
        <item m="1" x="3009"/>
        <item m="1" x="3137"/>
        <item m="1" x="3283"/>
        <item m="1" x="3544"/>
        <item m="1" x="3809"/>
        <item m="1" x="3918"/>
        <item m="1" x="4038"/>
        <item m="1" x="3013"/>
        <item m="1" x="3142"/>
        <item m="1" x="3287"/>
        <item m="1" x="3417"/>
        <item m="1" x="3547"/>
        <item m="1" x="3678"/>
        <item m="1" x="3812"/>
        <item m="1" x="3921"/>
        <item m="1" x="4043"/>
        <item m="1" x="4175"/>
        <item m="1" x="3017"/>
        <item m="1" x="3147"/>
        <item m="1" x="3291"/>
        <item m="1" x="3420"/>
        <item m="1" x="3550"/>
        <item m="1" x="3682"/>
        <item m="1" x="3816"/>
        <item m="1" x="3923"/>
        <item m="1" x="4048"/>
        <item m="1" x="4180"/>
        <item m="1" x="3149"/>
        <item m="1" x="3294"/>
        <item m="1" x="3422"/>
        <item m="1" x="3685"/>
        <item m="1" x="3927"/>
        <item m="1" x="4052"/>
        <item m="1" x="4185"/>
        <item m="1" x="3022"/>
        <item m="1" x="3153"/>
        <item m="1" x="3424"/>
        <item m="1" x="3552"/>
        <item m="1" x="3688"/>
        <item m="1" x="3930"/>
        <item m="1" x="4055"/>
        <item m="1" x="4190"/>
        <item m="1" x="3027"/>
        <item m="1" x="3157"/>
        <item m="1" x="3301"/>
        <item m="1" x="3428"/>
        <item m="1" x="3555"/>
        <item m="1" x="3692"/>
        <item m="1" x="3820"/>
        <item m="1" x="4059"/>
        <item m="1" x="4195"/>
        <item m="1" x="3030"/>
        <item m="1" x="3161"/>
        <item m="1" x="3307"/>
        <item m="1" x="3433"/>
        <item m="1" x="3560"/>
        <item m="1" x="3825"/>
        <item m="1" x="3937"/>
        <item m="1" x="4200"/>
        <item m="1" x="2439"/>
        <item m="1" x="2586"/>
        <item m="1" x="2749"/>
        <item m="1" x="2900"/>
        <item m="1" x="3025"/>
        <item m="1" x="3156"/>
        <item m="1" x="3300"/>
        <item m="1" x="3427"/>
        <item m="1" x="3553"/>
        <item m="1" x="3689"/>
        <item m="1" x="2443"/>
        <item m="1" x="2592"/>
        <item m="1" x="2754"/>
        <item m="1" x="2904"/>
        <item m="1" x="3160"/>
        <item m="1" x="3306"/>
        <item m="1" x="3432"/>
        <item m="1" x="3558"/>
        <item m="1" x="3694"/>
        <item m="1" x="2597"/>
        <item m="1" x="2760"/>
        <item m="1" x="3033"/>
        <item m="1" x="3311"/>
        <item m="1" x="3438"/>
        <item m="1" x="3563"/>
        <item m="1" x="3698"/>
        <item m="1" x="2452"/>
        <item m="1" x="2604"/>
        <item m="1" x="2765"/>
        <item m="1" x="2911"/>
        <item m="1" x="3039"/>
        <item m="1" x="3170"/>
        <item m="1" x="3317"/>
        <item m="1" x="3443"/>
        <item m="1" x="3568"/>
        <item m="1" x="2458"/>
        <item m="1" x="2608"/>
        <item m="1" x="2770"/>
        <item m="1" x="2914"/>
        <item m="1" x="3175"/>
        <item m="1" x="3322"/>
        <item m="1" x="3448"/>
        <item m="1" x="3572"/>
        <item m="1" x="3704"/>
        <item m="1" x="2463"/>
        <item m="1" x="2614"/>
        <item m="1" x="2773"/>
        <item m="1" x="2916"/>
        <item m="1" x="3044"/>
        <item m="1" x="3180"/>
        <item m="1" x="3328"/>
        <item m="1" x="3452"/>
        <item m="1" x="3577"/>
        <item m="1" x="2467"/>
        <item m="1" x="2618"/>
        <item m="1" x="2777"/>
        <item m="1" x="2920"/>
        <item m="1" x="3046"/>
        <item m="1" x="3184"/>
        <item m="1" x="3332"/>
        <item m="1" x="3456"/>
        <item m="1" x="3714"/>
        <item m="1" x="2471"/>
        <item m="1" x="2622"/>
        <item m="1" x="2781"/>
        <item m="1" x="2924"/>
        <item m="1" x="3049"/>
        <item m="1" x="3187"/>
        <item m="1" x="3461"/>
        <item m="1" x="3582"/>
        <item m="1" x="3718"/>
        <item m="1" x="2627"/>
        <item m="1" x="2786"/>
        <item m="1" x="2928"/>
        <item m="1" x="3052"/>
        <item m="1" x="3191"/>
        <item m="1" x="3338"/>
        <item m="1" x="3465"/>
        <item m="1" x="3723"/>
        <item m="1" x="2479"/>
        <item m="1" x="2632"/>
        <item m="1" x="2792"/>
        <item m="1" x="2933"/>
        <item m="1" x="3056"/>
        <item m="1" x="3342"/>
        <item m="1" x="3469"/>
        <item m="1" x="3588"/>
        <item m="1" x="1849"/>
        <item m="1" x="2006"/>
        <item m="1" x="2177"/>
        <item m="1" x="2332"/>
        <item m="1" x="2626"/>
        <item m="1" x="2785"/>
        <item m="1" x="2927"/>
        <item m="1" x="3050"/>
        <item m="1" x="3188"/>
        <item m="1" x="1854"/>
        <item m="1" x="2011"/>
        <item m="1" x="2181"/>
        <item m="1" x="2477"/>
        <item m="1" x="2631"/>
        <item m="1" x="2791"/>
        <item m="1" x="2932"/>
        <item m="1" x="3054"/>
        <item m="1" x="3193"/>
        <item m="1" x="1862"/>
        <item m="1" x="2018"/>
        <item m="1" x="2186"/>
        <item m="1" x="2342"/>
        <item m="1" x="2484"/>
        <item m="1" x="2636"/>
        <item m="1" x="2797"/>
        <item m="1" x="2937"/>
        <item m="1" x="3057"/>
        <item m="1" x="3196"/>
        <item m="1" x="1870"/>
        <item m="1" x="2026"/>
        <item m="1" x="2191"/>
        <item m="1" x="2346"/>
        <item m="1" x="2489"/>
        <item m="1" x="2641"/>
        <item m="1" x="2803"/>
        <item m="1" x="2941"/>
        <item m="1" x="3201"/>
        <item m="1" x="1876"/>
        <item m="1" x="2032"/>
        <item m="1" x="2194"/>
        <item m="1" x="2348"/>
        <item m="1" x="2492"/>
        <item m="1" x="2646"/>
        <item m="1" x="2808"/>
        <item m="1" x="2945"/>
        <item m="1" x="3064"/>
        <item m="1" x="3205"/>
        <item m="1" x="1880"/>
        <item m="1" x="2036"/>
        <item m="1" x="2351"/>
        <item m="1" x="2496"/>
        <item m="1" x="2813"/>
        <item m="1" x="2949"/>
        <item m="1" x="3068"/>
        <item m="1" x="3210"/>
        <item m="1" x="1886"/>
        <item m="1" x="2042"/>
        <item m="1" x="2203"/>
        <item m="1" x="2356"/>
        <item m="1" x="2500"/>
        <item m="1" x="2657"/>
        <item m="1" x="2818"/>
        <item m="1" x="2952"/>
        <item m="1" x="3073"/>
        <item m="1" x="3214"/>
        <item m="1" x="1891"/>
        <item m="1" x="2048"/>
        <item m="1" x="2208"/>
        <item m="1" x="2362"/>
        <item m="1" x="2505"/>
        <item m="1" x="2662"/>
        <item m="1" x="2824"/>
        <item m="1" x="2956"/>
        <item m="1" x="3078"/>
        <item m="1" x="3220"/>
        <item m="1" x="1897"/>
        <item m="1" x="2054"/>
        <item m="1" x="2368"/>
        <item m="1" x="2510"/>
        <item m="1" x="2668"/>
        <item m="1" x="2829"/>
        <item m="1" x="2960"/>
        <item m="1" x="3080"/>
        <item m="1" x="3225"/>
        <item m="1" x="1903"/>
        <item m="1" x="2061"/>
        <item m="1" x="2220"/>
        <item m="1" x="2374"/>
        <item m="1" x="2514"/>
        <item m="1" x="2834"/>
        <item m="1" x="2964"/>
        <item m="1" x="3086"/>
        <item m="1" x="1404"/>
        <item m="1" x="1581"/>
        <item m="1" x="1738"/>
        <item m="1" x="1895"/>
        <item m="1" x="2052"/>
        <item m="1" x="2212"/>
        <item m="1" x="2365"/>
        <item m="1" x="2506"/>
        <item m="1" x="2663"/>
        <item m="1" x="1253"/>
        <item m="1" x="1743"/>
        <item m="1" x="1901"/>
        <item m="1" x="2059"/>
        <item m="1" x="2218"/>
        <item m="1" x="2371"/>
        <item m="1" x="2511"/>
        <item m="1" x="2670"/>
        <item m="1" x="1258"/>
        <item m="1" x="1591"/>
        <item m="1" x="1749"/>
        <item m="1" x="1908"/>
        <item m="1" x="2066"/>
        <item m="1" x="2225"/>
        <item m="1" x="2378"/>
        <item m="1" x="2515"/>
        <item m="1" x="2674"/>
        <item m="1" x="1424"/>
        <item m="1" x="1598"/>
        <item m="1" x="1755"/>
        <item m="1" x="1912"/>
        <item m="1" x="2074"/>
        <item m="1" x="2229"/>
        <item m="1" x="2383"/>
        <item m="1" x="2679"/>
        <item m="1" x="1271"/>
        <item m="1" x="1431"/>
        <item m="1" x="1605"/>
        <item m="1" x="1761"/>
        <item m="1" x="1918"/>
        <item m="1" x="2081"/>
        <item m="1" x="2235"/>
        <item m="1" x="2389"/>
        <item m="1" x="2526"/>
        <item m="1" x="2686"/>
        <item m="1" x="1279"/>
        <item m="1" x="1612"/>
        <item m="1" x="1925"/>
        <item m="1" x="2241"/>
        <item m="1" x="2395"/>
        <item m="1" x="2531"/>
        <item m="1" x="1286"/>
        <item m="1" x="1444"/>
        <item m="1" x="1619"/>
        <item m="1" x="1772"/>
        <item m="1" x="1930"/>
        <item m="1" x="2402"/>
        <item m="1" x="2537"/>
        <item m="1" x="2699"/>
        <item m="1" x="1295"/>
        <item m="1" x="1452"/>
        <item m="1" x="1778"/>
        <item m="1" x="1937"/>
        <item m="1" x="2099"/>
        <item m="1" x="2252"/>
        <item m="1" x="2406"/>
        <item m="1" x="2544"/>
        <item m="1" x="2705"/>
        <item m="1" x="1300"/>
        <item m="1" x="1459"/>
        <item m="1" x="1629"/>
        <item m="1" x="1942"/>
        <item m="1" x="2105"/>
        <item m="1" x="2711"/>
        <item m="1" x="1305"/>
        <item m="1" x="1634"/>
        <item m="1" x="1786"/>
        <item m="1" x="1946"/>
        <item m="1" x="2260"/>
        <item m="1" x="2414"/>
        <item m="1" x="2553"/>
        <item m="1" x="2350"/>
        <item m="1" x="2493"/>
        <item m="1" x="2647"/>
        <item m="1" x="2946"/>
        <item m="1" x="3066"/>
        <item m="1" x="3207"/>
        <item m="1" x="3353"/>
        <item m="1" x="3480"/>
        <item m="1" x="3601"/>
        <item m="1" x="2652"/>
        <item m="1" x="2814"/>
        <item m="1" x="2950"/>
        <item m="1" x="3070"/>
        <item m="1" x="3484"/>
        <item m="1" x="3604"/>
        <item m="1" x="2359"/>
        <item m="1" x="2501"/>
        <item m="1" x="2658"/>
        <item m="1" x="2819"/>
        <item m="1" x="2953"/>
        <item m="1" x="3075"/>
        <item m="1" x="3217"/>
        <item m="1" x="3360"/>
        <item m="1" x="3487"/>
        <item m="1" x="3608"/>
        <item m="1" x="2366"/>
        <item m="1" x="2507"/>
        <item m="1" x="2664"/>
        <item m="1" x="2825"/>
        <item m="1" x="2957"/>
        <item m="1" x="3223"/>
        <item m="1" x="3365"/>
        <item m="1" x="3492"/>
        <item m="1" x="3614"/>
        <item m="1" x="2372"/>
        <item m="1" x="2512"/>
        <item m="1" x="2671"/>
        <item m="1" x="2830"/>
        <item m="1" x="3083"/>
        <item m="1" x="3229"/>
        <item m="1" x="3370"/>
        <item m="1" x="3496"/>
        <item m="1" x="3620"/>
        <item m="1" x="2516"/>
        <item m="1" x="2675"/>
        <item m="1" x="3088"/>
        <item m="1" x="3234"/>
        <item m="1" x="3376"/>
        <item m="1" x="3502"/>
        <item m="1" x="3625"/>
        <item m="1" x="2384"/>
        <item m="1" x="2521"/>
        <item m="1" x="2680"/>
        <item m="1" x="2969"/>
        <item m="1" x="3093"/>
        <item m="1" x="3240"/>
        <item m="1" x="3507"/>
        <item m="1" x="3631"/>
        <item m="1" x="2390"/>
        <item m="1" x="2687"/>
        <item m="1" x="2845"/>
        <item m="1" x="3099"/>
        <item m="1" x="3245"/>
        <item m="1" x="3385"/>
        <item m="1" x="3513"/>
        <item m="1" x="3638"/>
        <item m="1" x="2396"/>
        <item m="1" x="2532"/>
        <item m="1" x="2693"/>
        <item m="1" x="2852"/>
        <item m="1" x="2975"/>
        <item m="1" x="3252"/>
        <item m="1" x="3519"/>
        <item m="1" x="3645"/>
        <item m="1" x="2538"/>
        <item m="1" x="2700"/>
        <item m="1" x="2859"/>
        <item m="1" x="2979"/>
        <item m="1" x="3110"/>
        <item m="1" x="3257"/>
        <item m="1" x="3393"/>
        <item m="1" x="3524"/>
        <item m="1" x="3650"/>
        <item m="1" x="1762"/>
        <item m="1" x="1920"/>
        <item m="1" x="2083"/>
        <item m="1" x="2237"/>
        <item m="1" x="2392"/>
        <item m="1" x="2528"/>
        <item m="1" x="2849"/>
        <item m="1" x="3102"/>
        <item m="1" x="1768"/>
        <item m="1" x="1926"/>
        <item m="1" x="2088"/>
        <item m="1" x="2242"/>
        <item m="1" x="2398"/>
        <item m="1" x="2696"/>
        <item m="1" x="2856"/>
        <item m="1" x="3106"/>
        <item m="1" x="1775"/>
        <item m="1" x="1932"/>
        <item m="1" x="2095"/>
        <item m="1" x="2248"/>
        <item m="1" x="2404"/>
        <item m="1" x="2541"/>
        <item m="1" x="2862"/>
        <item m="1" x="2982"/>
        <item m="1" x="1781"/>
        <item m="1" x="1939"/>
        <item m="1" x="2101"/>
        <item m="1" x="2254"/>
        <item m="1" x="2408"/>
        <item m="1" x="2547"/>
        <item m="1" x="2708"/>
        <item m="1" x="2985"/>
        <item m="1" x="3118"/>
        <item m="1" x="1784"/>
        <item m="1" x="1943"/>
        <item m="1" x="2106"/>
        <item m="1" x="2258"/>
        <item m="1" x="2411"/>
        <item m="1" x="2550"/>
        <item m="1" x="2714"/>
        <item m="1" x="2989"/>
        <item m="1" x="3122"/>
        <item m="1" x="1947"/>
        <item m="1" x="2110"/>
        <item m="1" x="2261"/>
        <item m="1" x="2415"/>
        <item m="1" x="2554"/>
        <item m="1" x="2719"/>
        <item m="1" x="2873"/>
        <item m="1" x="2993"/>
        <item m="1" x="2114"/>
        <item m="1" x="2266"/>
        <item m="1" x="2876"/>
        <item m="1" x="2999"/>
        <item m="1" x="3131"/>
        <item m="1" x="1794"/>
        <item m="1" x="2118"/>
        <item m="1" x="2730"/>
        <item m="1" x="2881"/>
        <item m="1" x="3005"/>
        <item m="1" x="3134"/>
        <item m="1" x="1799"/>
        <item m="1" x="2566"/>
        <item m="1" x="2736"/>
        <item m="1" x="2885"/>
        <item m="1" x="3010"/>
        <item m="1" x="3138"/>
        <item m="1" x="1804"/>
        <item m="1" x="2280"/>
        <item m="1" x="2428"/>
        <item m="1" x="2571"/>
        <item m="1" x="2740"/>
        <item m="1" x="3014"/>
        <item m="1" x="3143"/>
        <item m="1" x="1166"/>
        <item m="1" x="1317"/>
        <item m="1" x="1478"/>
        <item m="1" x="1645"/>
        <item m="1" x="1796"/>
        <item m="1" x="1954"/>
        <item m="1" x="2122"/>
        <item m="1" x="2274"/>
        <item m="1" x="2423"/>
        <item m="1" x="2563"/>
        <item m="1" x="1482"/>
        <item m="1" x="1801"/>
        <item m="1" x="1957"/>
        <item m="1" x="2127"/>
        <item m="1" x="2278"/>
        <item m="1" x="2426"/>
        <item m="1" x="2568"/>
        <item m="1" x="1488"/>
        <item m="1" x="1652"/>
        <item m="1" x="1961"/>
        <item m="1" x="2131"/>
        <item m="1" x="2283"/>
        <item m="1" x="2431"/>
        <item m="1" x="2573"/>
        <item m="1" x="1179"/>
        <item m="1" x="1331"/>
        <item m="1" x="1492"/>
        <item m="1" x="1657"/>
        <item m="1" x="1809"/>
        <item m="1" x="1965"/>
        <item m="1" x="2135"/>
        <item m="1" x="2288"/>
        <item m="1" x="2434"/>
        <item m="1" x="2577"/>
        <item m="1" x="1182"/>
        <item m="1" x="1334"/>
        <item m="1" x="1494"/>
        <item m="1" x="1659"/>
        <item m="1" x="1812"/>
        <item m="1" x="1968"/>
        <item m="1" x="2138"/>
        <item m="1" x="2293"/>
        <item m="1" x="2435"/>
        <item m="1" x="2581"/>
        <item m="1" x="1184"/>
        <item m="1" x="1336"/>
        <item m="1" x="1497"/>
        <item m="1" x="1660"/>
        <item m="1" x="1815"/>
        <item m="1" x="1971"/>
        <item m="1" x="2297"/>
        <item m="1" x="2440"/>
        <item m="1" x="2587"/>
        <item m="1" x="1187"/>
        <item m="1" x="1340"/>
        <item m="1" x="1500"/>
        <item m="1" x="1663"/>
        <item m="1" x="1819"/>
        <item m="1" x="1974"/>
        <item m="1" x="2145"/>
        <item m="1" x="2301"/>
        <item m="1" x="2444"/>
        <item m="1" x="2593"/>
        <item m="1" x="1191"/>
        <item m="1" x="1342"/>
        <item m="1" x="1506"/>
        <item m="1" x="1668"/>
        <item m="1" x="1822"/>
        <item m="1" x="1979"/>
        <item m="1" x="2151"/>
        <item m="1" x="2307"/>
        <item m="1" x="2598"/>
        <item m="1" x="1195"/>
        <item m="1" x="1348"/>
        <item m="1" x="1510"/>
        <item m="1" x="1673"/>
        <item m="1" x="1825"/>
        <item m="1" x="1984"/>
        <item m="1" x="2157"/>
        <item m="1" x="2313"/>
        <item m="1" x="2453"/>
        <item m="1" x="2605"/>
        <item m="1" x="1200"/>
        <item m="1" x="1353"/>
        <item m="1" x="1515"/>
        <item m="1" x="1679"/>
        <item m="1" x="1830"/>
        <item m="1" x="1990"/>
        <item m="1" x="2161"/>
        <item m="1" x="2318"/>
        <item m="1" x="2459"/>
        <item m="1" x="2609"/>
        <item m="1" x="579"/>
        <item m="1" x="885"/>
        <item m="1" x="1046"/>
        <item m="1" x="1192"/>
        <item m="1" x="1345"/>
        <item m="1" x="1508"/>
        <item m="1" x="1671"/>
        <item m="1" x="1824"/>
        <item m="1" x="1982"/>
        <item m="1" x="584"/>
        <item m="1" x="727"/>
        <item m="1" x="1048"/>
        <item m="1" x="1197"/>
        <item m="1" x="1351"/>
        <item m="1" x="1513"/>
        <item m="1" x="1677"/>
        <item m="1" x="1828"/>
        <item m="1" x="1987"/>
        <item m="1" x="588"/>
        <item m="1" x="734"/>
        <item m="1" x="1051"/>
        <item m="1" x="1202"/>
        <item m="1" x="1356"/>
        <item m="1" x="1519"/>
        <item m="1" x="1683"/>
        <item m="1" x="1834"/>
        <item m="1" x="1992"/>
        <item m="1" x="592"/>
        <item m="1" x="740"/>
        <item m="1" x="900"/>
        <item m="1" x="1056"/>
        <item m="1" x="1205"/>
        <item m="1" x="1360"/>
        <item m="1" x="1525"/>
        <item m="1" x="1690"/>
        <item m="1" x="1840"/>
        <item m="1" x="1998"/>
        <item m="1" x="742"/>
        <item m="1" x="903"/>
        <item m="1" x="1059"/>
        <item m="1" x="1207"/>
        <item m="1" x="1363"/>
        <item m="1" x="1531"/>
        <item m="1" x="1844"/>
        <item m="1" x="2003"/>
        <item m="1" x="597"/>
        <item m="1" x="744"/>
        <item m="1" x="906"/>
        <item m="1" x="1061"/>
        <item m="1" x="1209"/>
        <item m="1" x="1366"/>
        <item m="1" x="1537"/>
        <item m="1" x="1697"/>
        <item m="1" x="1850"/>
        <item m="1" x="2007"/>
        <item m="1" x="601"/>
        <item m="1" x="747"/>
        <item m="1" x="910"/>
        <item m="1" x="1065"/>
        <item m="1" x="1211"/>
        <item m="1" x="1369"/>
        <item m="1" x="1542"/>
        <item m="1" x="1702"/>
        <item m="1" x="1855"/>
        <item m="1" x="2012"/>
        <item m="1" x="604"/>
        <item m="1" x="751"/>
        <item m="1" x="915"/>
        <item m="1" x="1069"/>
        <item m="1" x="1214"/>
        <item m="1" x="1374"/>
        <item m="1" x="1548"/>
        <item m="1" x="1863"/>
        <item m="1" x="2019"/>
        <item m="1" x="609"/>
        <item m="1" x="755"/>
        <item m="1" x="920"/>
        <item m="1" x="1075"/>
        <item m="1" x="1220"/>
        <item m="1" x="1380"/>
        <item m="1" x="1556"/>
        <item m="1" x="1715"/>
        <item m="1" x="1871"/>
        <item m="1" x="2027"/>
        <item m="1" x="614"/>
        <item m="1" x="760"/>
        <item m="1" x="926"/>
        <item m="1" x="1080"/>
        <item m="1" x="1225"/>
        <item m="1" x="1384"/>
        <item m="1" x="1562"/>
        <item m="1" x="1720"/>
        <item m="1" x="1877"/>
        <item m="1" x="6312"/>
        <item m="1" x="6463"/>
        <item m="1" x="6608"/>
        <item m="1" x="459"/>
        <item m="1" x="606"/>
        <item m="1" x="918"/>
        <item m="1" x="1074"/>
        <item m="1" x="1218"/>
        <item m="1" x="1378"/>
        <item m="1" x="6318"/>
        <item m="1" x="6468"/>
        <item m="1" x="6612"/>
        <item m="1" x="463"/>
        <item m="1" x="611"/>
        <item m="1" x="757"/>
        <item m="1" x="924"/>
        <item m="1" x="1078"/>
        <item m="1" x="1223"/>
        <item m="1" x="6325"/>
        <item m="1" x="6474"/>
        <item m="1" x="6619"/>
        <item m="1" x="469"/>
        <item m="1" x="617"/>
        <item m="1" x="764"/>
        <item m="1" x="931"/>
        <item m="1" x="1084"/>
        <item m="1" x="1228"/>
        <item m="1" x="1387"/>
        <item m="1" x="6329"/>
        <item m="1" x="6480"/>
        <item m="1" x="6625"/>
        <item m="1" x="473"/>
        <item m="1" x="622"/>
        <item m="1" x="769"/>
        <item m="1" x="936"/>
        <item m="1" x="1235"/>
        <item m="1" x="1394"/>
        <item m="1" x="6484"/>
        <item m="1" x="6629"/>
        <item m="1" x="477"/>
        <item m="1" x="626"/>
        <item m="1" x="773"/>
        <item m="1" x="941"/>
        <item m="1" x="1098"/>
        <item m="1" x="1242"/>
        <item m="1" x="6336"/>
        <item m="1" x="6489"/>
        <item m="1" x="6634"/>
        <item m="1" x="481"/>
        <item m="1" x="778"/>
        <item m="1" x="947"/>
        <item m="1" x="1104"/>
        <item m="1" x="1249"/>
        <item m="1" x="1405"/>
        <item m="1" x="6341"/>
        <item m="1" x="6492"/>
        <item m="1" x="485"/>
        <item m="1" x="634"/>
        <item m="1" x="783"/>
        <item m="1" x="955"/>
        <item m="1" x="1110"/>
        <item m="1" x="1254"/>
        <item m="1" x="1412"/>
        <item m="1" x="6344"/>
        <item m="1" x="6497"/>
        <item m="1" x="6641"/>
        <item m="1" x="490"/>
        <item m="1" x="640"/>
        <item m="1" x="789"/>
        <item m="1" x="961"/>
        <item m="1" x="1260"/>
        <item m="1" x="1418"/>
        <item m="1" x="6348"/>
        <item m="1" x="6503"/>
        <item m="1" x="6644"/>
        <item m="1" x="494"/>
        <item m="1" x="645"/>
        <item m="1" x="795"/>
        <item m="1" x="1122"/>
        <item m="1" x="1265"/>
        <item m="1" x="1425"/>
        <item m="1" x="6354"/>
        <item m="1" x="6508"/>
        <item m="1" x="501"/>
        <item m="1" x="651"/>
        <item m="1" x="802"/>
        <item m="1" x="976"/>
        <item m="1" x="1128"/>
        <item m="1" x="1273"/>
        <item m="1" x="1432"/>
        <item m="1" x="5751"/>
        <item m="1" x="6045"/>
        <item m="1" x="6204"/>
        <item m="1" x="6345"/>
        <item m="1" x="6500"/>
        <item m="1" x="643"/>
        <item m="1" x="791"/>
        <item m="1" x="5903"/>
        <item m="1" x="6052"/>
        <item m="1" x="6210"/>
        <item m="1" x="6350"/>
        <item m="1" x="6648"/>
        <item m="1" x="498"/>
        <item m="1" x="648"/>
        <item m="1" x="798"/>
        <item m="1" x="5762"/>
        <item m="1" x="5909"/>
        <item m="1" x="6059"/>
        <item m="1" x="6217"/>
        <item m="1" x="6357"/>
        <item m="1" x="6510"/>
        <item m="1" x="6654"/>
        <item m="1" x="505"/>
        <item m="1" x="654"/>
        <item m="1" x="805"/>
        <item m="1" x="5768"/>
        <item m="1" x="5915"/>
        <item m="1" x="6065"/>
        <item m="1" x="6224"/>
        <item m="1" x="6516"/>
        <item m="1" x="6663"/>
        <item m="1" x="513"/>
        <item m="1" x="659"/>
        <item m="1" x="5773"/>
        <item m="1" x="6071"/>
        <item m="1" x="6229"/>
        <item m="1" x="6365"/>
        <item m="1" x="6520"/>
        <item m="1" x="6671"/>
        <item m="1" x="520"/>
        <item m="1" x="668"/>
        <item m="1" x="821"/>
        <item m="1" x="5777"/>
        <item m="1" x="5924"/>
        <item m="1" x="6369"/>
        <item m="1" x="6524"/>
        <item m="1" x="524"/>
        <item m="1" x="673"/>
        <item m="1" x="828"/>
        <item m="1" x="5779"/>
        <item m="1" x="5928"/>
        <item m="1" x="6077"/>
        <item m="1" x="6235"/>
        <item m="1" x="6373"/>
        <item m="1" x="531"/>
        <item m="1" x="679"/>
        <item m="1" x="835"/>
        <item m="1" x="5783"/>
        <item m="1" x="5930"/>
        <item m="1" x="6080"/>
        <item m="1" x="6238"/>
        <item m="1" x="6531"/>
        <item m="1" x="378"/>
        <item m="1" x="538"/>
        <item m="1" x="841"/>
        <item m="1" x="5935"/>
        <item m="1" x="6085"/>
        <item m="1" x="6241"/>
        <item m="1" x="6378"/>
        <item m="1" x="6536"/>
        <item m="1" x="383"/>
        <item m="1" x="545"/>
        <item m="1" x="846"/>
        <item m="1" x="5792"/>
        <item m="1" x="5939"/>
        <item m="1" x="6088"/>
        <item m="1" x="6245"/>
        <item m="1" x="6383"/>
        <item m="1" x="6542"/>
        <item m="1" x="388"/>
        <item m="1" x="549"/>
        <item m="1" x="851"/>
        <item m="1" x="5166"/>
        <item m="1" x="5333"/>
        <item m="1" x="5493"/>
        <item m="1" x="5647"/>
        <item m="1" x="5785"/>
        <item m="1" x="5933"/>
        <item m="1" x="6083"/>
        <item m="1" x="6533"/>
        <item m="1" x="5337"/>
        <item m="1" x="5498"/>
        <item m="1" x="5651"/>
        <item m="1" x="5789"/>
        <item m="1" x="5937"/>
        <item m="1" x="6086"/>
        <item m="1" x="6243"/>
        <item m="1" x="6380"/>
        <item m="1" x="6538"/>
        <item m="1" x="5343"/>
        <item m="1" x="5656"/>
        <item m="1" x="5795"/>
        <item m="1" x="5943"/>
        <item m="1" x="6092"/>
        <item m="1" x="6386"/>
        <item m="1" x="6544"/>
        <item m="1" x="5183"/>
        <item m="1" x="5349"/>
        <item m="1" x="5506"/>
        <item m="1" x="5660"/>
        <item m="1" x="5801"/>
        <item m="1" x="5947"/>
        <item m="1" x="6099"/>
        <item m="1" x="6252"/>
        <item m="1" x="6391"/>
        <item m="1" x="6550"/>
        <item m="1" x="5189"/>
        <item m="1" x="5352"/>
        <item m="1" x="5510"/>
        <item m="1" x="5663"/>
        <item m="1" x="5804"/>
        <item m="1" x="5953"/>
        <item m="1" x="6106"/>
        <item m="1" x="6258"/>
        <item m="1" x="6398"/>
        <item m="1" x="6555"/>
        <item m="1" x="5193"/>
        <item m="1" x="5356"/>
        <item m="1" x="5513"/>
        <item m="1" x="5666"/>
        <item m="1" x="5957"/>
        <item m="1" x="6110"/>
        <item m="1" x="5197"/>
        <item m="1" x="5359"/>
        <item m="1" x="5515"/>
        <item m="1" x="5667"/>
        <item m="1" x="5809"/>
        <item m="1" x="6113"/>
        <item m="1" x="6407"/>
        <item m="1" x="6562"/>
        <item m="1" x="5201"/>
        <item m="1" x="5518"/>
        <item m="1" x="5669"/>
        <item m="1" x="5812"/>
        <item m="1" x="5963"/>
        <item m="1" x="6117"/>
        <item m="1" x="6267"/>
        <item m="1" x="6412"/>
        <item m="1" x="5206"/>
        <item m="1" x="5364"/>
        <item m="1" x="5672"/>
        <item m="1" x="5816"/>
        <item m="1" x="5966"/>
        <item m="1" x="6121"/>
        <item m="1" x="6271"/>
        <item m="1" x="6417"/>
        <item m="1" x="6568"/>
        <item m="1" x="5210"/>
        <item m="1" x="5368"/>
        <item m="1" x="5524"/>
        <item m="1" x="5675"/>
        <item m="1" x="5820"/>
        <item m="1" x="5971"/>
        <item m="1" x="6127"/>
        <item m="1" x="6277"/>
        <item m="1" x="6423"/>
        <item m="1" x="6573"/>
        <item m="1" x="4765"/>
        <item m="1" x="4914"/>
        <item m="1" x="5060"/>
        <item m="1" x="5203"/>
        <item m="1" x="5362"/>
        <item m="1" x="5520"/>
        <item m="1" x="5670"/>
        <item m="1" x="5813"/>
        <item m="1" x="4611"/>
        <item m="1" x="4918"/>
        <item m="1" x="5367"/>
        <item m="1" x="5674"/>
        <item m="1" x="4618"/>
        <item m="1" x="4773"/>
        <item m="1" x="4921"/>
        <item m="1" x="5067"/>
        <item m="1" x="5213"/>
        <item m="1" x="5371"/>
        <item m="1" x="5527"/>
        <item m="1" x="5678"/>
        <item m="1" x="5823"/>
        <item m="1" x="5973"/>
        <item m="1" x="4622"/>
        <item m="1" x="4779"/>
        <item m="1" x="4925"/>
        <item m="1" x="5072"/>
        <item m="1" x="5218"/>
        <item m="1" x="5377"/>
        <item m="1" x="5531"/>
        <item m="1" x="5683"/>
        <item m="1" x="5980"/>
        <item m="1" x="4628"/>
        <item m="1" x="4783"/>
        <item m="1" x="4929"/>
        <item m="1" x="5223"/>
        <item m="1" x="5384"/>
        <item m="1" x="5536"/>
        <item m="1" x="5690"/>
        <item m="1" x="5988"/>
        <item m="1" x="4634"/>
        <item m="1" x="4787"/>
        <item m="1" x="4933"/>
        <item m="1" x="5077"/>
        <item m="1" x="5228"/>
        <item m="1" x="5390"/>
        <item m="1" x="5542"/>
        <item m="1" x="5697"/>
        <item m="1" x="5840"/>
        <item m="1" x="5994"/>
        <item m="1" x="4638"/>
        <item m="1" x="4790"/>
        <item m="1" x="4935"/>
        <item m="1" x="5080"/>
        <item m="1" x="5232"/>
        <item m="1" x="5393"/>
        <item m="1" x="5547"/>
        <item m="1" x="5701"/>
        <item m="1" x="5998"/>
        <item m="1" x="4641"/>
        <item m="1" x="4792"/>
        <item m="1" x="4937"/>
        <item m="1" x="5083"/>
        <item m="1" x="5235"/>
        <item m="1" x="5398"/>
        <item m="1" x="5705"/>
        <item m="1" x="5849"/>
        <item m="1" x="6003"/>
        <item m="1" x="4646"/>
        <item m="1" x="4795"/>
        <item m="1" x="4940"/>
        <item m="1" x="5087"/>
        <item m="1" x="5240"/>
        <item m="1" x="5404"/>
        <item m="1" x="5556"/>
        <item m="1" x="5710"/>
        <item m="1" x="5855"/>
        <item m="1" x="6008"/>
        <item m="1" x="4800"/>
        <item m="1" x="5408"/>
        <item m="1" x="5714"/>
        <item m="1" x="6014"/>
        <item m="1" x="4085"/>
        <item m="1" x="4359"/>
        <item m="1" x="4499"/>
        <item m="1" x="4643"/>
        <item m="1" x="4939"/>
        <item m="1" x="5085"/>
        <item m="1" x="5237"/>
        <item m="1" x="5400"/>
        <item m="1" x="4089"/>
        <item m="1" x="4229"/>
        <item m="1" x="4363"/>
        <item m="1" x="4502"/>
        <item m="1" x="4648"/>
        <item m="1" x="4798"/>
        <item m="1" x="4943"/>
        <item m="1" x="5243"/>
        <item m="1" x="4094"/>
        <item m="1" x="4367"/>
        <item m="1" x="4506"/>
        <item m="1" x="4652"/>
        <item m="1" x="4803"/>
        <item m="1" x="4946"/>
        <item m="1" x="5091"/>
        <item m="1" x="5246"/>
        <item m="1" x="5410"/>
        <item m="1" x="4239"/>
        <item m="1" x="4371"/>
        <item m="1" x="4658"/>
        <item m="1" x="4953"/>
        <item m="1" x="5096"/>
        <item m="1" x="5251"/>
        <item m="1" x="5417"/>
        <item m="1" x="4103"/>
        <item m="1" x="4243"/>
        <item m="1" x="4373"/>
        <item m="1" x="4514"/>
        <item m="1" x="4662"/>
        <item m="1" x="4811"/>
        <item m="1" x="4960"/>
        <item m="1" x="5101"/>
        <item m="1" x="5257"/>
        <item m="1" x="5424"/>
        <item m="1" x="4108"/>
        <item m="1" x="4248"/>
        <item m="1" x="4518"/>
        <item m="1" x="4667"/>
        <item m="1" x="4817"/>
        <item m="1" x="4967"/>
        <item m="1" x="5106"/>
        <item m="1" x="5263"/>
        <item m="1" x="5430"/>
        <item m="1" x="4112"/>
        <item m="1" x="4252"/>
        <item m="1" x="4521"/>
        <item m="1" x="4671"/>
        <item m="1" x="4822"/>
        <item m="1" x="5111"/>
        <item m="1" x="5270"/>
        <item m="1" x="5436"/>
        <item m="1" x="4115"/>
        <item m="1" x="4254"/>
        <item m="1" x="4379"/>
        <item m="1" x="4524"/>
        <item m="1" x="4674"/>
        <item m="1" x="4827"/>
        <item m="1" x="4977"/>
        <item m="1" x="5277"/>
        <item m="1" x="4119"/>
        <item m="1" x="4677"/>
        <item m="1" x="4832"/>
        <item m="1" x="4982"/>
        <item m="1" x="5120"/>
        <item m="1" x="5281"/>
        <item m="1" x="4124"/>
        <item m="1" x="4387"/>
        <item m="1" x="4530"/>
        <item m="1" x="4683"/>
        <item m="1" x="4839"/>
        <item m="1" x="4987"/>
        <item m="1" x="5126"/>
        <item m="1" x="5289"/>
        <item m="1" x="5452"/>
        <item m="1" x="3613"/>
        <item m="1" x="3755"/>
        <item m="1" x="3875"/>
        <item m="1" x="3987"/>
        <item m="1" x="4257"/>
        <item m="1" x="4381"/>
        <item m="1" x="4525"/>
        <item m="1" x="4675"/>
        <item m="1" x="3619"/>
        <item m="1" x="3759"/>
        <item m="1" x="3879"/>
        <item m="1" x="3992"/>
        <item m="1" x="4122"/>
        <item m="1" x="4262"/>
        <item m="1" x="4385"/>
        <item m="1" x="4528"/>
        <item m="1" x="4679"/>
        <item m="1" x="4834"/>
        <item m="1" x="3624"/>
        <item m="1" x="3764"/>
        <item m="1" x="3997"/>
        <item m="1" x="4128"/>
        <item m="1" x="4266"/>
        <item m="1" x="4391"/>
        <item m="1" x="4532"/>
        <item m="1" x="4685"/>
        <item m="1" x="4841"/>
        <item m="1" x="3770"/>
        <item m="1" x="3888"/>
        <item m="1" x="4001"/>
        <item m="1" x="4132"/>
        <item m="1" x="4272"/>
        <item m="1" x="4397"/>
        <item m="1" x="4538"/>
        <item m="1" x="4691"/>
        <item m="1" x="4849"/>
        <item m="1" x="3637"/>
        <item m="1" x="3775"/>
        <item m="1" x="3893"/>
        <item m="1" x="4006"/>
        <item m="1" x="4137"/>
        <item m="1" x="4278"/>
        <item m="1" x="4404"/>
        <item m="1" x="4544"/>
        <item m="1" x="4699"/>
        <item m="1" x="4854"/>
        <item m="1" x="3644"/>
        <item m="1" x="3780"/>
        <item m="1" x="4011"/>
        <item m="1" x="4140"/>
        <item m="1" x="4283"/>
        <item m="1" x="4411"/>
        <item m="1" x="4549"/>
        <item m="1" x="4706"/>
        <item m="1" x="4861"/>
        <item m="1" x="3783"/>
        <item m="1" x="3901"/>
        <item m="1" x="4015"/>
        <item m="1" x="4287"/>
        <item m="1" x="4417"/>
        <item m="1" x="4555"/>
        <item m="1" x="4713"/>
        <item m="1" x="4866"/>
        <item m="1" x="3653"/>
        <item m="1" x="3788"/>
        <item m="1" x="4019"/>
        <item m="1" x="4149"/>
        <item m="1" x="4292"/>
        <item m="1" x="4423"/>
        <item m="1" x="4562"/>
        <item m="1" x="3907"/>
        <item m="1" x="4152"/>
        <item m="1" x="4296"/>
        <item m="1" x="4429"/>
        <item m="1" x="4568"/>
        <item m="1" x="4875"/>
        <item m="1" x="3660"/>
        <item m="1" x="3795"/>
        <item m="1" x="3908"/>
        <item m="1" x="4154"/>
        <item m="1" x="4435"/>
        <item m="1" x="4730"/>
        <item m="1" x="4880"/>
        <item m="1" x="4515"/>
        <item m="1" x="4663"/>
        <item m="1" x="4812"/>
        <item m="1" x="4961"/>
        <item m="1" x="5102"/>
        <item m="1" x="5259"/>
        <item m="1" x="5426"/>
        <item m="1" x="5578"/>
        <item m="1" x="5728"/>
        <item m="1" x="5874"/>
        <item m="1" x="4519"/>
        <item m="1" x="4668"/>
        <item m="1" x="4818"/>
        <item m="1" x="4968"/>
        <item m="1" x="5107"/>
        <item m="1" x="5265"/>
        <item m="1" x="5433"/>
        <item m="1" x="5584"/>
        <item m="1" x="5734"/>
        <item m="1" x="5879"/>
        <item m="1" x="4522"/>
        <item m="1" x="4672"/>
        <item m="1" x="4823"/>
        <item m="1" x="4972"/>
        <item m="1" x="5272"/>
        <item m="1" x="5439"/>
        <item m="1" x="5588"/>
        <item m="1" x="5739"/>
        <item m="1" x="5884"/>
        <item m="1" x="4526"/>
        <item m="1" x="4828"/>
        <item m="1" x="4978"/>
        <item m="1" x="5116"/>
        <item m="1" x="5443"/>
        <item m="1" x="5592"/>
        <item m="1" x="5889"/>
        <item m="1" x="4680"/>
        <item m="1" x="4835"/>
        <item m="1" x="4984"/>
        <item m="1" x="5122"/>
        <item m="1" x="5284"/>
        <item m="1" x="5448"/>
        <item m="1" x="5599"/>
        <item m="1" x="5893"/>
        <item m="1" x="4533"/>
        <item m="1" x="4842"/>
        <item m="1" x="5128"/>
        <item m="1" x="5292"/>
        <item m="1" x="5456"/>
        <item m="1" x="5607"/>
        <item m="1" x="5752"/>
        <item m="1" x="5898"/>
        <item m="1" x="4539"/>
        <item m="1" x="4692"/>
        <item m="1" x="4850"/>
        <item m="1" x="4996"/>
        <item m="1" x="5134"/>
        <item m="1" x="5300"/>
        <item m="1" x="5463"/>
        <item m="1" x="5614"/>
        <item m="1" x="5757"/>
        <item m="1" x="5905"/>
        <item m="1" x="4545"/>
        <item m="1" x="4700"/>
        <item m="1" x="4855"/>
        <item m="1" x="5002"/>
        <item m="1" x="5141"/>
        <item m="1" x="5307"/>
        <item m="1" x="5621"/>
        <item m="1" x="5911"/>
        <item m="1" x="4550"/>
        <item m="1" x="4862"/>
        <item m="1" x="5147"/>
        <item m="1" x="5313"/>
        <item m="1" x="5475"/>
        <item m="1" x="5628"/>
        <item m="1" x="5917"/>
        <item m="1" x="4556"/>
        <item m="1" x="4714"/>
        <item m="1" x="4867"/>
        <item m="1" x="5015"/>
        <item m="1" x="5152"/>
        <item m="1" x="5320"/>
        <item m="1" x="5481"/>
        <item m="1" x="5634"/>
        <item m="1" x="5774"/>
        <item m="1" x="5920"/>
        <item m="1" x="4007"/>
        <item m="1" x="4405"/>
        <item m="1" x="4546"/>
        <item m="1" x="4701"/>
        <item m="1" x="4858"/>
        <item m="1" x="5005"/>
        <item m="1" x="5144"/>
        <item m="1" x="5309"/>
        <item m="1" x="4012"/>
        <item m="1" x="4141"/>
        <item m="1" x="4284"/>
        <item m="1" x="4412"/>
        <item m="1" x="4551"/>
        <item m="1" x="4708"/>
        <item m="1" x="5009"/>
        <item m="1" x="5148"/>
        <item m="1" x="5315"/>
        <item m="1" x="4016"/>
        <item m="1" x="4145"/>
        <item m="1" x="4288"/>
        <item m="1" x="4418"/>
        <item m="1" x="4557"/>
        <item m="1" x="4716"/>
        <item m="1" x="4870"/>
        <item m="1" x="5017"/>
        <item m="1" x="5154"/>
        <item m="1" x="5322"/>
        <item m="1" x="4020"/>
        <item m="1" x="4424"/>
        <item m="1" x="4563"/>
        <item m="1" x="4722"/>
        <item m="1" x="5023"/>
        <item m="1" x="5158"/>
        <item m="1" x="5325"/>
        <item m="1" x="4022"/>
        <item m="1" x="4153"/>
        <item m="1" x="4297"/>
        <item m="1" x="4430"/>
        <item m="1" x="4570"/>
        <item m="1" x="4727"/>
        <item m="1" x="4877"/>
        <item m="1" x="5027"/>
        <item m="1" x="5163"/>
        <item m="1" x="5329"/>
        <item m="1" x="4025"/>
        <item m="1" x="4156"/>
        <item m="1" x="4300"/>
        <item m="1" x="4436"/>
        <item m="1" x="4732"/>
        <item m="1" x="4882"/>
        <item m="1" x="5031"/>
        <item m="1" x="5167"/>
        <item m="1" x="5334"/>
        <item m="1" x="4029"/>
        <item m="1" x="4160"/>
        <item m="1" x="4306"/>
        <item m="1" x="4442"/>
        <item m="1" x="4739"/>
        <item m="1" x="4887"/>
        <item m="1" x="5172"/>
        <item m="1" x="5338"/>
        <item m="1" x="4034"/>
        <item m="1" x="4166"/>
        <item m="1" x="4310"/>
        <item m="1" x="4446"/>
        <item m="1" x="4584"/>
        <item m="1" x="4892"/>
        <item m="1" x="5041"/>
        <item m="1" x="5177"/>
        <item m="1" x="5344"/>
        <item m="1" x="4039"/>
        <item m="1" x="4170"/>
        <item m="1" x="4313"/>
        <item m="1" x="4451"/>
        <item m="1" x="4898"/>
        <item m="1" x="5046"/>
        <item m="1" x="5184"/>
        <item m="1" x="4044"/>
        <item m="1" x="4176"/>
        <item m="1" x="4455"/>
        <item m="1" x="4593"/>
        <item m="1" x="4755"/>
        <item m="1" x="4902"/>
        <item m="1" x="5049"/>
        <item m="1" x="5190"/>
        <item m="1" x="5353"/>
        <item m="1" x="3542"/>
        <item m="1" x="3673"/>
        <item m="1" x="3805"/>
        <item m="1" x="3914"/>
        <item m="1" x="4035"/>
        <item m="1" x="4168"/>
        <item m="1" x="4449"/>
        <item m="1" x="4747"/>
        <item m="1" x="3545"/>
        <item m="1" x="4040"/>
        <item m="1" x="4172"/>
        <item m="1" x="4315"/>
        <item m="1" x="4453"/>
        <item m="1" x="4590"/>
        <item m="1" x="4752"/>
        <item m="1" x="3548"/>
        <item m="1" x="3679"/>
        <item m="1" x="3813"/>
        <item m="1" x="3922"/>
        <item m="1" x="4045"/>
        <item m="1" x="4177"/>
        <item m="1" x="4319"/>
        <item m="1" x="4457"/>
        <item m="1" x="4595"/>
        <item m="1" x="3551"/>
        <item m="1" x="3683"/>
        <item m="1" x="3924"/>
        <item m="1" x="4049"/>
        <item m="1" x="4182"/>
        <item m="1" x="4323"/>
        <item m="1" x="4599"/>
        <item m="1" x="4761"/>
        <item m="1" x="3686"/>
        <item m="1" x="3817"/>
        <item m="1" x="3928"/>
        <item m="1" x="4053"/>
        <item m="1" x="4187"/>
        <item m="1" x="4327"/>
        <item m="1" x="4464"/>
        <item m="1" x="4603"/>
        <item m="1" x="4763"/>
        <item m="1" x="3554"/>
        <item m="1" x="3690"/>
        <item m="1" x="3931"/>
        <item m="1" x="4056"/>
        <item m="1" x="4192"/>
        <item m="1" x="4468"/>
        <item m="1" x="4606"/>
        <item m="1" x="4766"/>
        <item m="1" x="3559"/>
        <item m="1" x="3695"/>
        <item m="1" x="3823"/>
        <item m="1" x="3935"/>
        <item m="1" x="4061"/>
        <item m="1" x="4336"/>
        <item m="1" x="4473"/>
        <item m="1" x="4612"/>
        <item m="1" x="4770"/>
        <item m="1" x="3564"/>
        <item m="1" x="3828"/>
        <item m="1" x="3939"/>
        <item m="1" x="4066"/>
        <item m="1" x="4204"/>
        <item m="1" x="4479"/>
        <item m="1" x="4619"/>
        <item m="1" x="4774"/>
        <item m="1" x="3701"/>
        <item m="1" x="3833"/>
        <item m="1" x="3945"/>
        <item m="1" x="4344"/>
        <item m="1" x="4485"/>
        <item m="1" x="4623"/>
        <item m="1" x="3573"/>
        <item m="1" x="3705"/>
        <item m="1" x="4074"/>
        <item m="1" x="4212"/>
        <item m="1" x="4349"/>
        <item m="1" x="4490"/>
        <item m="1" x="4629"/>
        <item m="1" x="3035"/>
        <item m="1" x="3165"/>
        <item m="1" x="3312"/>
        <item m="1" x="3565"/>
        <item m="1" x="3699"/>
        <item m="1" x="3830"/>
        <item m="1" x="3942"/>
        <item m="1" x="4069"/>
        <item m="1" x="3040"/>
        <item m="1" x="3171"/>
        <item m="1" x="3318"/>
        <item m="1" x="3444"/>
        <item m="1" x="3569"/>
        <item m="1" x="3835"/>
        <item m="1" x="3947"/>
        <item m="1" x="4208"/>
        <item m="1" x="3176"/>
        <item m="1" x="3323"/>
        <item m="1" x="3574"/>
        <item m="1" x="3707"/>
        <item m="1" x="3839"/>
        <item m="1" x="3950"/>
        <item m="1" x="4076"/>
        <item m="1" x="4214"/>
        <item m="1" x="3181"/>
        <item m="1" x="3329"/>
        <item m="1" x="3453"/>
        <item m="1" x="3711"/>
        <item m="1" x="3843"/>
        <item m="1" x="4079"/>
        <item m="1" x="4219"/>
        <item m="1" x="3047"/>
        <item m="1" x="3185"/>
        <item m="1" x="3333"/>
        <item m="1" x="3457"/>
        <item m="1" x="3580"/>
        <item m="1" x="3716"/>
        <item m="1" x="3957"/>
        <item m="1" x="4222"/>
        <item m="1" x="3051"/>
        <item m="1" x="3189"/>
        <item m="1" x="3336"/>
        <item m="1" x="3462"/>
        <item m="1" x="3583"/>
        <item m="1" x="3720"/>
        <item m="1" x="3848"/>
        <item m="1" x="3960"/>
        <item m="1" x="4086"/>
        <item m="1" x="4225"/>
        <item m="1" x="3055"/>
        <item m="1" x="3194"/>
        <item m="1" x="3340"/>
        <item m="1" x="3467"/>
        <item m="1" x="3725"/>
        <item m="1" x="3964"/>
        <item m="1" x="4090"/>
        <item m="1" x="4230"/>
        <item m="1" x="3058"/>
        <item m="1" x="3197"/>
        <item m="1" x="3344"/>
        <item m="1" x="3471"/>
        <item m="1" x="3590"/>
        <item m="1" x="3730"/>
        <item m="1" x="3969"/>
        <item m="1" x="4095"/>
        <item m="1" x="4234"/>
        <item m="1" x="3061"/>
        <item m="1" x="3202"/>
        <item m="1" x="3348"/>
        <item m="1" x="3475"/>
        <item m="1" x="3595"/>
        <item m="1" x="3736"/>
        <item m="1" x="3859"/>
        <item m="1" x="3972"/>
        <item m="1" x="4240"/>
        <item m="1" x="3065"/>
        <item m="1" x="3206"/>
        <item m="1" x="3351"/>
        <item m="1" x="3478"/>
        <item m="1" x="3599"/>
        <item m="1" x="3741"/>
        <item m="1" x="3863"/>
        <item m="1" x="3976"/>
        <item m="1" x="4104"/>
        <item m="1" x="4244"/>
        <item m="1" x="2485"/>
        <item m="1" x="2637"/>
        <item m="1" x="2798"/>
        <item m="1" x="3059"/>
        <item m="1" x="3199"/>
        <item m="1" x="3346"/>
        <item m="1" x="3593"/>
        <item m="1" x="3733"/>
        <item m="1" x="2490"/>
        <item m="1" x="2642"/>
        <item m="1" x="2804"/>
        <item m="1" x="2942"/>
        <item m="1" x="3062"/>
        <item m="1" x="3204"/>
        <item m="1" x="3597"/>
        <item m="1" x="3738"/>
        <item m="1" x="2494"/>
        <item m="1" x="2648"/>
        <item m="1" x="2809"/>
        <item m="1" x="3208"/>
        <item m="1" x="3602"/>
        <item m="1" x="3743"/>
        <item m="1" x="2497"/>
        <item m="1" x="2653"/>
        <item m="1" x="2815"/>
        <item m="1" x="3071"/>
        <item m="1" x="3357"/>
        <item m="1" x="3605"/>
        <item m="1" x="3748"/>
        <item m="1" x="2502"/>
        <item m="1" x="2659"/>
        <item m="1" x="2820"/>
        <item m="1" x="2954"/>
        <item m="1" x="3076"/>
        <item m="1" x="3218"/>
        <item m="1" x="3361"/>
        <item m="1" x="3488"/>
        <item m="1" x="3609"/>
        <item m="1" x="3752"/>
        <item m="1" x="2508"/>
        <item m="1" x="2665"/>
        <item m="1" x="2826"/>
        <item m="1" x="2958"/>
        <item m="1" x="3366"/>
        <item m="1" x="3493"/>
        <item m="1" x="3615"/>
        <item m="1" x="3756"/>
        <item m="1" x="2513"/>
        <item m="1" x="2831"/>
        <item m="1" x="2962"/>
        <item m="1" x="3084"/>
        <item m="1" x="3230"/>
        <item m="1" x="3371"/>
        <item m="1" x="3497"/>
        <item m="1" x="3621"/>
        <item m="1" x="3760"/>
        <item m="1" x="2517"/>
        <item m="1" x="2676"/>
        <item m="1" x="2836"/>
        <item m="1" x="2966"/>
        <item m="1" x="3089"/>
        <item m="1" x="3235"/>
        <item m="1" x="3377"/>
        <item m="1" x="3503"/>
        <item m="1" x="3626"/>
        <item m="1" x="3765"/>
        <item m="1" x="2522"/>
        <item m="1" x="2681"/>
        <item m="1" x="2841"/>
        <item m="1" x="2970"/>
        <item m="1" x="3094"/>
        <item m="1" x="3241"/>
        <item m="1" x="3382"/>
        <item m="1" x="3508"/>
        <item m="1" x="3632"/>
        <item m="1" x="3771"/>
        <item m="1" x="2527"/>
        <item m="1" x="2688"/>
        <item m="1" x="2846"/>
        <item m="1" x="2974"/>
        <item m="1" x="3100"/>
        <item m="1" x="3246"/>
        <item m="1" x="3386"/>
        <item m="1" x="3514"/>
        <item m="1" x="3639"/>
        <item m="1" x="3776"/>
        <item m="1" x="2068"/>
        <item m="1" x="2227"/>
        <item m="1" x="2519"/>
        <item m="1" x="2678"/>
        <item m="1" x="2839"/>
        <item m="1" x="2967"/>
        <item m="1" x="3237"/>
        <item m="1" x="1914"/>
        <item m="1" x="2076"/>
        <item m="1" x="2231"/>
        <item m="1" x="2386"/>
        <item m="1" x="2524"/>
        <item m="1" x="2684"/>
        <item m="1" x="2844"/>
        <item m="1" x="2972"/>
        <item m="1" x="3096"/>
        <item m="1" x="3242"/>
        <item m="1" x="1921"/>
        <item m="1" x="2084"/>
        <item m="1" x="2238"/>
        <item m="1" x="2393"/>
        <item m="1" x="2529"/>
        <item m="1" x="2691"/>
        <item m="1" x="2850"/>
        <item m="1" x="3248"/>
        <item m="1" x="1927"/>
        <item m="1" x="2089"/>
        <item m="1" x="2243"/>
        <item m="1" x="2399"/>
        <item m="1" x="2535"/>
        <item m="1" x="2697"/>
        <item m="1" x="2857"/>
        <item m="1" x="2978"/>
        <item m="1" x="3107"/>
        <item m="1" x="1933"/>
        <item m="1" x="2249"/>
        <item m="1" x="2405"/>
        <item m="1" x="2542"/>
        <item m="1" x="2704"/>
        <item m="1" x="2863"/>
        <item m="1" x="3113"/>
        <item m="1" x="3260"/>
        <item m="1" x="1940"/>
        <item m="1" x="2102"/>
        <item m="1" x="2255"/>
        <item m="1" x="2409"/>
        <item m="1" x="2548"/>
        <item m="1" x="2709"/>
        <item m="1" x="2866"/>
        <item m="1" x="2986"/>
        <item m="1" x="3264"/>
        <item m="1" x="1944"/>
        <item m="1" x="2107"/>
        <item m="1" x="2259"/>
        <item m="1" x="2412"/>
        <item m="1" x="2551"/>
        <item m="1" x="2715"/>
        <item m="1" x="2870"/>
        <item m="1" x="2990"/>
        <item m="1" x="3267"/>
        <item m="1" x="1948"/>
        <item m="1" x="2111"/>
        <item m="1" x="2262"/>
        <item m="1" x="2416"/>
        <item m="1" x="2720"/>
        <item m="1" x="2874"/>
        <item m="1" x="2994"/>
        <item m="1" x="3127"/>
        <item m="1" x="3270"/>
        <item m="1" x="1949"/>
        <item m="1" x="2115"/>
        <item m="1" x="2267"/>
        <item m="1" x="2419"/>
        <item m="1" x="2558"/>
        <item m="1" x="2725"/>
        <item m="1" x="2877"/>
        <item m="1" x="3000"/>
        <item m="1" x="3275"/>
        <item m="1" x="1952"/>
        <item m="1" x="2119"/>
        <item m="1" x="2271"/>
        <item m="1" x="2422"/>
        <item m="1" x="2561"/>
        <item m="1" x="2731"/>
        <item m="1" x="2882"/>
        <item m="1" x="3006"/>
        <item m="1" x="3279"/>
        <item m="1" x="1311"/>
        <item m="1" x="1638"/>
        <item m="1" x="1789"/>
        <item m="1" x="2113"/>
        <item m="1" x="2265"/>
        <item m="1" x="2418"/>
        <item m="1" x="2556"/>
        <item m="1" x="2722"/>
        <item m="1" x="1314"/>
        <item m="1" x="1474"/>
        <item m="1" x="1641"/>
        <item m="1" x="1793"/>
        <item m="1" x="1951"/>
        <item m="1" x="2270"/>
        <item m="1" x="2421"/>
        <item m="1" x="2560"/>
        <item m="1" x="2727"/>
        <item m="1" x="1318"/>
        <item m="1" x="1646"/>
        <item m="1" x="1797"/>
        <item m="1" x="1955"/>
        <item m="1" x="2123"/>
        <item m="1" x="2275"/>
        <item m="1" x="2424"/>
        <item m="1" x="2564"/>
        <item m="1" x="2733"/>
        <item m="1" x="1323"/>
        <item m="1" x="1483"/>
        <item m="1" x="1802"/>
        <item m="1" x="1958"/>
        <item m="1" x="2128"/>
        <item m="1" x="2279"/>
        <item m="1" x="2427"/>
        <item m="1" x="2569"/>
        <item m="1" x="2738"/>
        <item m="1" x="1327"/>
        <item m="1" x="1489"/>
        <item m="1" x="1653"/>
        <item m="1" x="1806"/>
        <item m="1" x="1962"/>
        <item m="1" x="2132"/>
        <item m="1" x="2284"/>
        <item m="1" x="2432"/>
        <item m="1" x="2574"/>
        <item m="1" x="2742"/>
        <item m="1" x="1332"/>
        <item m="1" x="1493"/>
        <item m="1" x="1810"/>
        <item m="1" x="1966"/>
        <item m="1" x="2136"/>
        <item m="1" x="2289"/>
        <item m="1" x="2578"/>
        <item m="1" x="2745"/>
        <item m="1" x="1335"/>
        <item m="1" x="1495"/>
        <item m="1" x="1813"/>
        <item m="1" x="1969"/>
        <item m="1" x="2139"/>
        <item m="1" x="2294"/>
        <item m="1" x="2582"/>
        <item m="1" x="1337"/>
        <item m="1" x="1498"/>
        <item m="1" x="1816"/>
        <item m="1" x="2142"/>
        <item m="1" x="2298"/>
        <item m="1" x="2441"/>
        <item m="1" x="2588"/>
        <item m="1" x="2750"/>
        <item m="1" x="1501"/>
        <item m="1" x="1664"/>
        <item m="1" x="1820"/>
        <item m="1" x="1975"/>
        <item m="1" x="2302"/>
        <item m="1" x="2445"/>
        <item m="1" x="2755"/>
        <item m="1" x="1343"/>
        <item m="1" x="1669"/>
        <item m="1" x="1980"/>
        <item m="1" x="2152"/>
        <item m="1" x="2308"/>
        <item m="1" x="2447"/>
        <item m="1" x="2599"/>
        <item m="1" x="2761"/>
        <item m="1" x="714"/>
        <item m="1" x="877"/>
        <item m="1" x="1040"/>
        <item m="1" x="1339"/>
        <item m="1" x="1662"/>
        <item m="1" x="1817"/>
        <item m="1" x="1973"/>
        <item m="1" x="2143"/>
        <item m="1" x="719"/>
        <item m="1" x="880"/>
        <item m="1" x="1189"/>
        <item m="1" x="1341"/>
        <item m="1" x="1504"/>
        <item m="1" x="1667"/>
        <item m="1" x="1821"/>
        <item m="1" x="1977"/>
        <item m="1" x="2147"/>
        <item m="1" x="722"/>
        <item m="1" x="886"/>
        <item m="1" x="1193"/>
        <item m="1" x="1346"/>
        <item m="1" x="1509"/>
        <item m="1" x="1672"/>
        <item m="1" x="1983"/>
        <item m="1" x="2154"/>
        <item m="1" x="728"/>
        <item m="1" x="890"/>
        <item m="1" x="1049"/>
        <item m="1" x="1198"/>
        <item m="1" x="1352"/>
        <item m="1" x="1514"/>
        <item m="1" x="1678"/>
        <item m="1" x="1829"/>
        <item m="1" x="1988"/>
        <item m="1" x="735"/>
        <item m="1" x="895"/>
        <item m="1" x="1052"/>
        <item m="1" x="1357"/>
        <item m="1" x="1520"/>
        <item m="1" x="1684"/>
        <item m="1" x="1835"/>
        <item m="1" x="1993"/>
        <item m="1" x="2162"/>
        <item m="1" x="901"/>
        <item m="1" x="1057"/>
        <item m="1" x="1206"/>
        <item m="1" x="1361"/>
        <item m="1" x="1526"/>
        <item m="1" x="1691"/>
        <item m="1" x="1841"/>
        <item m="1" x="1999"/>
        <item m="1" x="2167"/>
        <item m="1" x="743"/>
        <item m="1" x="904"/>
        <item m="1" x="1208"/>
        <item m="1" x="1364"/>
        <item m="1" x="1532"/>
        <item m="1" x="1693"/>
        <item m="1" x="1845"/>
        <item m="1" x="745"/>
        <item m="1" x="907"/>
        <item m="1" x="1062"/>
        <item m="1" x="1210"/>
        <item m="1" x="1538"/>
        <item m="1" x="1698"/>
        <item m="1" x="1851"/>
        <item m="1" x="2008"/>
        <item m="1" x="748"/>
        <item m="1" x="911"/>
        <item m="1" x="1066"/>
        <item m="1" x="1212"/>
        <item m="1" x="1370"/>
        <item m="1" x="1543"/>
        <item m="1" x="1703"/>
        <item m="1" x="1856"/>
        <item m="1" x="2182"/>
        <item m="1" x="752"/>
        <item m="1" x="916"/>
        <item m="1" x="1215"/>
        <item m="1" x="1549"/>
        <item m="1" x="1708"/>
        <item m="1" x="1864"/>
        <item m="1" x="2020"/>
        <item m="1" x="2187"/>
        <item m="1" x="6455"/>
        <item m="1" x="6599"/>
        <item m="1" x="452"/>
        <item m="1" x="599"/>
        <item m="1" x="909"/>
        <item m="1" x="1064"/>
        <item m="1" x="1367"/>
        <item m="1" x="1539"/>
        <item m="1" x="6459"/>
        <item m="1" x="6603"/>
        <item m="1" x="602"/>
        <item m="1" x="750"/>
        <item m="1" x="914"/>
        <item m="1" x="1213"/>
        <item m="1" x="1372"/>
        <item m="1" x="1545"/>
        <item m="1" x="6464"/>
        <item m="1" x="6609"/>
        <item m="1" x="460"/>
        <item m="1" x="607"/>
        <item m="1" x="754"/>
        <item m="1" x="919"/>
        <item m="1" x="1219"/>
        <item m="1" x="1552"/>
        <item m="1" x="6469"/>
        <item m="1" x="6613"/>
        <item m="1" x="464"/>
        <item m="1" x="612"/>
        <item m="1" x="758"/>
        <item m="1" x="925"/>
        <item m="1" x="1079"/>
        <item m="1" x="1224"/>
        <item m="1" x="1383"/>
        <item m="1" x="1559"/>
        <item m="1" x="6475"/>
        <item m="1" x="6620"/>
        <item m="1" x="470"/>
        <item m="1" x="618"/>
        <item m="1" x="765"/>
        <item m="1" x="932"/>
        <item m="1" x="1085"/>
        <item m="1" x="1229"/>
        <item m="1" x="1388"/>
        <item m="1" x="1565"/>
        <item m="1" x="6626"/>
        <item m="1" x="474"/>
        <item m="1" x="623"/>
        <item m="1" x="937"/>
        <item m="1" x="1092"/>
        <item m="1" x="1236"/>
        <item m="1" x="1395"/>
        <item m="1" x="6485"/>
        <item m="1" x="6630"/>
        <item m="1" x="478"/>
        <item m="1" x="774"/>
        <item m="1" x="942"/>
        <item m="1" x="1243"/>
        <item m="1" x="1398"/>
        <item m="1" x="6635"/>
        <item m="1" x="482"/>
        <item m="1" x="629"/>
        <item m="1" x="779"/>
        <item m="1" x="948"/>
        <item m="1" x="1105"/>
        <item m="1" x="1250"/>
        <item m="1" x="1406"/>
        <item m="1" x="6493"/>
        <item m="1" x="6637"/>
        <item m="1" x="486"/>
        <item m="1" x="635"/>
        <item m="1" x="784"/>
        <item m="1" x="1111"/>
        <item m="1" x="1255"/>
        <item m="1" x="1413"/>
        <item m="1" x="1585"/>
        <item m="1" x="6498"/>
        <item m="1" x="491"/>
        <item m="1" x="790"/>
        <item m="1" x="962"/>
        <item m="1" x="1115"/>
        <item m="1" x="1261"/>
        <item m="1" x="1419"/>
        <item m="1" x="1592"/>
        <item m="1" x="6038"/>
        <item m="1" x="6338"/>
        <item m="1" x="483"/>
        <item m="1" x="631"/>
        <item m="1" x="780"/>
        <item m="1" x="949"/>
        <item m="1" x="6040"/>
        <item m="1" x="6495"/>
        <item m="1" x="6639"/>
        <item m="1" x="488"/>
        <item m="1" x="638"/>
        <item m="1" x="786"/>
        <item m="1" x="956"/>
        <item m="1" x="5897"/>
        <item m="1" x="6046"/>
        <item m="1" x="6205"/>
        <item m="1" x="6346"/>
        <item m="1" x="6501"/>
        <item m="1" x="493"/>
        <item m="1" x="644"/>
        <item m="1" x="964"/>
        <item m="1" x="5904"/>
        <item m="1" x="6053"/>
        <item m="1" x="6211"/>
        <item m="1" x="6351"/>
        <item m="1" x="6506"/>
        <item m="1" x="499"/>
        <item m="1" x="649"/>
        <item m="1" x="799"/>
        <item m="1" x="972"/>
        <item m="1" x="5910"/>
        <item m="1" x="6060"/>
        <item m="1" x="6218"/>
        <item m="1" x="6358"/>
        <item m="1" x="806"/>
        <item m="1" x="978"/>
        <item m="1" x="5916"/>
        <item m="1" x="6066"/>
        <item m="1" x="6225"/>
        <item m="1" x="6362"/>
        <item m="1" x="6517"/>
        <item m="1" x="514"/>
        <item m="1" x="660"/>
        <item m="1" x="813"/>
        <item m="1" x="986"/>
        <item m="1" x="6072"/>
        <item m="1" x="6230"/>
        <item m="1" x="6672"/>
        <item m="1" x="822"/>
        <item m="1" x="994"/>
        <item m="1" x="5925"/>
        <item m="1" x="6233"/>
        <item m="1" x="6370"/>
        <item m="1" x="6677"/>
        <item m="1" x="525"/>
        <item m="1" x="674"/>
        <item m="1" x="829"/>
        <item m="1" x="1001"/>
        <item m="1" x="5929"/>
        <item m="1" x="6236"/>
        <item m="1" x="6374"/>
        <item m="1" x="6528"/>
        <item m="1" x="6683"/>
        <item m="1" x="532"/>
        <item m="1" x="680"/>
        <item m="1" x="836"/>
        <item m="1" x="5931"/>
        <item m="1" x="6081"/>
        <item m="1" x="6239"/>
        <item m="1" x="6532"/>
        <item m="1" x="379"/>
        <item m="1" x="539"/>
        <item m="1" x="684"/>
        <item m="1" x="766"/>
        <item m="1" x="1086"/>
        <item m="1" x="1230"/>
        <item m="1" x="1390"/>
        <item m="1" x="1725"/>
        <item m="1" x="1881"/>
        <item m="1" x="2037"/>
        <item m="1" x="624"/>
        <item m="1" x="770"/>
        <item m="1" x="938"/>
        <item m="1" x="1093"/>
        <item m="1" x="1237"/>
        <item m="1" x="1396"/>
        <item m="1" x="1729"/>
        <item m="1" x="2043"/>
        <item m="1" x="627"/>
        <item m="1" x="775"/>
        <item m="1" x="943"/>
        <item m="1" x="1099"/>
        <item m="1" x="1244"/>
        <item m="1" x="1400"/>
        <item m="1" x="1735"/>
        <item m="1" x="1892"/>
        <item m="1" x="632"/>
        <item m="1" x="781"/>
        <item m="1" x="950"/>
        <item m="1" x="1106"/>
        <item m="1" x="1251"/>
        <item m="1" x="1408"/>
        <item m="1" x="1583"/>
        <item m="1" x="1740"/>
        <item m="1" x="2056"/>
        <item m="1" x="639"/>
        <item m="1" x="957"/>
        <item m="1" x="1904"/>
        <item m="1" x="2063"/>
        <item m="1" x="792"/>
        <item m="1" x="965"/>
        <item m="1" x="1117"/>
        <item m="1" x="1421"/>
        <item m="1" x="1595"/>
        <item m="1" x="1751"/>
        <item m="1" x="2070"/>
        <item m="1" x="973"/>
        <item m="1" x="1125"/>
        <item m="1" x="1268"/>
        <item m="1" x="1429"/>
        <item m="1" x="1602"/>
        <item m="1" x="1758"/>
        <item m="1" x="1915"/>
        <item m="1" x="2078"/>
        <item m="1" x="807"/>
        <item m="1" x="979"/>
        <item m="1" x="1276"/>
        <item m="1" x="1434"/>
        <item m="1" x="1609"/>
        <item m="1" x="1922"/>
        <item m="1" x="2086"/>
        <item m="1" x="661"/>
        <item m="1" x="814"/>
        <item m="1" x="987"/>
        <item m="1" x="1136"/>
        <item m="1" x="1283"/>
        <item m="1" x="1441"/>
        <item m="1" x="1616"/>
        <item m="1" x="1769"/>
        <item m="1" x="1928"/>
        <item m="1" x="2091"/>
        <item m="1" x="669"/>
        <item m="1" x="823"/>
        <item m="1" x="995"/>
        <item m="1" x="1144"/>
        <item m="1" x="1292"/>
        <item m="1" x="1449"/>
        <item m="1" x="1622"/>
        <item m="1" x="1776"/>
        <item m="1" x="1934"/>
        <item m="1" x="2097"/>
        <item m="1" x="6360"/>
        <item m="1" x="6512"/>
        <item m="1" x="6656"/>
        <item m="1" x="507"/>
        <item m="1" x="655"/>
        <item m="1" x="810"/>
        <item m="1" x="982"/>
        <item m="1" x="1132"/>
        <item m="1" x="1437"/>
        <item m="1" x="6363"/>
        <item m="1" x="6665"/>
        <item m="1" x="516"/>
        <item m="1" x="663"/>
        <item m="1" x="817"/>
        <item m="1" x="991"/>
        <item m="1" x="1140"/>
        <item m="1" x="1288"/>
        <item m="1" x="6366"/>
        <item m="1" x="6521"/>
        <item m="1" x="6673"/>
        <item m="1" x="670"/>
        <item m="1" x="825"/>
        <item m="1" x="998"/>
        <item m="1" x="1146"/>
        <item m="1" x="1296"/>
        <item m="1" x="1453"/>
        <item m="1" x="6371"/>
        <item m="1" x="6525"/>
        <item m="1" x="6678"/>
        <item m="1" x="526"/>
        <item m="1" x="831"/>
        <item m="1" x="1150"/>
        <item m="1" x="1301"/>
        <item m="1" x="1460"/>
        <item m="1" x="6375"/>
        <item m="1" x="6529"/>
        <item m="1" x="373"/>
        <item m="1" x="533"/>
        <item m="1" x="838"/>
        <item m="1" x="1006"/>
        <item m="1" x="1153"/>
        <item m="1" x="1306"/>
        <item m="1" x="1465"/>
        <item m="1" x="6534"/>
        <item m="1" x="380"/>
        <item m="1" x="540"/>
        <item m="1" x="685"/>
        <item m="1" x="842"/>
        <item m="1" x="1011"/>
        <item m="1" x="1470"/>
        <item m="1" x="6381"/>
        <item m="1" x="6539"/>
        <item m="1" x="385"/>
        <item m="1" x="546"/>
        <item m="1" x="848"/>
        <item m="1" x="1162"/>
        <item m="1" x="1315"/>
        <item m="1" x="6545"/>
        <item m="1" x="551"/>
        <item m="1" x="693"/>
        <item m="1" x="1018"/>
        <item m="1" x="1167"/>
        <item m="1" x="1319"/>
        <item m="1" x="6392"/>
        <item m="1" x="6551"/>
        <item m="1" x="558"/>
        <item m="1" x="699"/>
        <item m="1" x="857"/>
        <item m="1" x="1023"/>
        <item m="1" x="1171"/>
        <item m="1" x="1324"/>
        <item m="1" x="1484"/>
        <item m="1" x="6399"/>
        <item m="1" x="6556"/>
        <item m="1" x="401"/>
        <item m="1" x="562"/>
        <item m="1" x="703"/>
        <item m="1" x="863"/>
        <item m="1" x="1029"/>
        <item m="1" x="1174"/>
        <item m="1" x="1490"/>
        <item m="1" x="5798"/>
        <item m="1" x="5945"/>
        <item m="1" x="6094"/>
        <item m="1" x="6388"/>
        <item m="1" x="6547"/>
        <item m="1" x="393"/>
        <item m="1" x="555"/>
        <item m="1" x="696"/>
        <item m="1" x="5949"/>
        <item m="1" x="6101"/>
        <item m="1" x="6254"/>
        <item m="1" x="6394"/>
        <item m="1" x="398"/>
        <item m="1" x="560"/>
        <item m="1" x="701"/>
        <item m="1" x="860"/>
        <item m="1" x="5805"/>
        <item m="1" x="5954"/>
        <item m="1" x="6107"/>
        <item m="1" x="6259"/>
        <item m="1" x="6400"/>
        <item m="1" x="403"/>
        <item m="1" x="565"/>
        <item m="1" x="706"/>
        <item m="1" x="865"/>
        <item m="1" x="5958"/>
        <item m="1" x="6560"/>
        <item m="1" x="406"/>
        <item m="1" x="710"/>
        <item m="1" x="870"/>
        <item m="1" x="5810"/>
        <item m="1" x="5960"/>
        <item m="1" x="6408"/>
        <item m="1" x="6564"/>
        <item m="1" x="410"/>
        <item m="1" x="874"/>
        <item m="1" x="5814"/>
        <item m="1" x="5964"/>
        <item m="1" x="6268"/>
        <item m="1" x="6413"/>
        <item m="1" x="6565"/>
        <item m="1" x="413"/>
        <item m="1" x="715"/>
        <item m="1" x="878"/>
        <item m="1" x="5818"/>
        <item m="1" x="5968"/>
        <item m="1" x="6123"/>
        <item m="1" x="6273"/>
        <item m="1" x="6419"/>
        <item m="1" x="418"/>
        <item m="1" x="577"/>
        <item m="1" x="720"/>
        <item m="1" x="881"/>
        <item m="1" x="5974"/>
        <item m="1" x="6129"/>
        <item m="1" x="6279"/>
        <item m="1" x="6576"/>
        <item m="1" x="424"/>
        <item m="1" x="580"/>
        <item m="1" x="723"/>
        <item m="1" x="887"/>
        <item m="1" x="5828"/>
        <item m="1" x="5981"/>
        <item m="1" x="6286"/>
        <item m="1" x="6430"/>
        <item m="1" x="6580"/>
        <item m="1" x="430"/>
        <item m="1" x="585"/>
        <item m="1" x="729"/>
        <item m="1" x="891"/>
        <item m="1" x="5835"/>
        <item m="1" x="5989"/>
        <item m="1" x="6438"/>
        <item m="1" x="6587"/>
        <item m="1" x="437"/>
        <item m="1" x="589"/>
        <item m="1" x="736"/>
        <item m="1" x="896"/>
        <item m="1" x="5373"/>
        <item m="1" x="5679"/>
        <item m="1" x="5824"/>
        <item m="1" x="5977"/>
        <item m="1" x="6132"/>
        <item m="1" x="6283"/>
        <item m="1" x="6427"/>
        <item m="1" x="6579"/>
        <item m="1" x="5380"/>
        <item m="1" x="5533"/>
        <item m="1" x="5686"/>
        <item m="1" x="5831"/>
        <item m="1" x="5985"/>
        <item m="1" x="6435"/>
        <item m="1" x="6583"/>
        <item m="1" x="5225"/>
        <item m="1" x="5386"/>
        <item m="1" x="5537"/>
        <item m="1" x="5692"/>
        <item m="1" x="5837"/>
        <item m="1" x="5991"/>
        <item m="1" x="6142"/>
        <item m="1" x="6292"/>
        <item m="1" x="6441"/>
        <item m="1" x="6588"/>
        <item m="1" x="5230"/>
        <item m="1" x="5391"/>
        <item m="1" x="5543"/>
        <item m="1" x="5698"/>
        <item m="1" x="5996"/>
        <item m="1" x="6148"/>
        <item m="1" x="6296"/>
        <item m="1" x="6445"/>
        <item m="1" x="6593"/>
        <item m="1" x="5234"/>
        <item m="1" x="5395"/>
        <item m="1" x="5548"/>
        <item m="1" x="5845"/>
        <item m="1" x="6000"/>
        <item m="1" x="6154"/>
        <item m="1" x="6300"/>
        <item m="1" x="6450"/>
        <item m="1" x="6596"/>
        <item m="1" x="5238"/>
        <item m="1" x="5401"/>
        <item m="1" x="5552"/>
        <item m="1" x="5707"/>
        <item m="1" x="5851"/>
        <item m="1" x="6159"/>
        <item m="1" x="6305"/>
        <item m="1" x="6600"/>
        <item m="1" x="5406"/>
        <item m="1" x="5559"/>
        <item m="1" x="5711"/>
        <item m="1" x="5857"/>
        <item m="1" x="6011"/>
        <item m="1" x="6308"/>
        <item m="1" x="6460"/>
        <item m="1" x="6604"/>
        <item m="1" x="5411"/>
        <item m="1" x="5716"/>
        <item m="1" x="5861"/>
        <item m="1" x="6167"/>
        <item m="1" x="6313"/>
        <item m="1" x="6465"/>
        <item m="1" x="6610"/>
        <item m="1" x="5252"/>
        <item m="1" x="5418"/>
        <item m="1" x="5720"/>
        <item m="1" x="5867"/>
        <item m="1" x="6171"/>
        <item m="1" x="6319"/>
        <item m="1" x="6470"/>
        <item m="1" x="6614"/>
        <item m="1" x="5258"/>
        <item m="1" x="5425"/>
        <item m="1" x="5575"/>
        <item m="1" x="6025"/>
        <item m="1" x="6178"/>
        <item m="1" x="6476"/>
        <item m="1" x="6621"/>
        <item m="1" x="4655"/>
        <item m="1" x="4804"/>
        <item m="1" x="4948"/>
        <item m="1" x="5093"/>
        <item m="1" x="5248"/>
        <item m="1" x="5414"/>
        <item m="1" x="5567"/>
        <item m="1" x="5719"/>
        <item m="1" x="5864"/>
        <item m="1" x="6018"/>
        <item m="1" x="4660"/>
        <item m="1" x="4955"/>
        <item m="1" x="5098"/>
        <item m="1" x="5254"/>
        <item m="1" x="5421"/>
        <item m="1" x="5571"/>
        <item m="1" x="5871"/>
        <item m="1" x="6022"/>
        <item m="1" x="4664"/>
        <item m="1" x="4813"/>
        <item m="1" x="4962"/>
        <item m="1" x="5260"/>
        <item m="1" x="5427"/>
        <item m="1" x="5729"/>
        <item m="1" x="5875"/>
        <item m="1" x="6027"/>
        <item m="1" x="4669"/>
        <item m="1" x="4819"/>
        <item m="1" x="4969"/>
        <item m="1" x="5266"/>
        <item m="1" x="5434"/>
        <item m="1" x="5585"/>
        <item m="1" x="5735"/>
        <item m="1" x="6030"/>
        <item m="1" x="4824"/>
        <item m="1" x="4973"/>
        <item m="1" x="5112"/>
        <item m="1" x="5273"/>
        <item m="1" x="5440"/>
        <item m="1" x="5885"/>
        <item m="1" x="4829"/>
        <item m="1" x="4979"/>
        <item m="1" x="5117"/>
        <item m="1" x="5444"/>
        <item m="1" x="5593"/>
        <item m="1" x="5741"/>
        <item m="1" x="5890"/>
        <item m="1" x="4681"/>
        <item m="1" x="4836"/>
        <item m="1" x="4985"/>
        <item m="1" x="5285"/>
        <item m="1" x="5449"/>
        <item m="1" x="5600"/>
        <item m="1" x="5746"/>
        <item m="1" x="5894"/>
        <item m="1" x="6041"/>
        <item m="1" x="4686"/>
        <item m="1" x="4843"/>
        <item m="1" x="4989"/>
        <item m="1" x="5129"/>
        <item m="1" x="5457"/>
        <item m="1" x="5608"/>
        <item m="1" x="5753"/>
        <item m="1" x="5899"/>
        <item m="1" x="6047"/>
        <item m="1" x="4693"/>
        <item m="1" x="4997"/>
        <item m="1" x="5135"/>
        <item m="1" x="5301"/>
        <item m="1" x="5464"/>
        <item m="1" x="5615"/>
        <item m="1" x="6054"/>
        <item m="1" x="4856"/>
        <item m="1" x="5003"/>
        <item m="1" x="5142"/>
        <item m="1" x="5469"/>
        <item m="1" x="5622"/>
        <item m="1" x="5763"/>
        <item m="1" x="5912"/>
        <item m="1" x="6061"/>
        <item m="1" x="4129"/>
        <item m="1" x="4267"/>
        <item m="1" x="4393"/>
        <item m="1" x="4535"/>
        <item m="1" x="4688"/>
        <item m="1" x="4846"/>
        <item m="1" x="4993"/>
        <item m="1" x="5296"/>
        <item m="1" x="4134"/>
        <item m="1" x="4399"/>
        <item m="1" x="4541"/>
        <item m="1" x="4695"/>
        <item m="1" x="4999"/>
        <item m="1" x="5138"/>
        <item m="1" x="5304"/>
        <item m="1" x="5466"/>
        <item m="1" x="4138"/>
        <item m="1" x="4279"/>
        <item m="1" x="4406"/>
        <item m="1" x="4702"/>
        <item m="1" x="5006"/>
        <item m="1" x="5310"/>
        <item m="1" x="5471"/>
        <item m="1" x="4142"/>
        <item m="1" x="4285"/>
        <item m="1" x="4413"/>
        <item m="1" x="4552"/>
        <item m="1" x="4709"/>
        <item m="1" x="4864"/>
        <item m="1" x="5010"/>
        <item m="1" x="5149"/>
        <item m="1" x="5316"/>
        <item m="1" x="5477"/>
        <item m="1" x="4146"/>
        <item m="1" x="4289"/>
        <item m="1" x="4419"/>
        <item m="1" x="4558"/>
        <item m="1" x="4717"/>
        <item m="1" x="4871"/>
        <item m="1" x="5018"/>
        <item m="1" x="5155"/>
        <item m="1" x="4150"/>
        <item m="1" x="4293"/>
        <item m="1" x="4425"/>
        <item m="1" x="4564"/>
        <item m="1" x="5159"/>
        <item m="1" x="5326"/>
        <item m="1" x="4431"/>
        <item m="1" x="4571"/>
        <item m="1" x="5164"/>
        <item m="1" x="5489"/>
        <item m="1" x="4301"/>
        <item m="1" x="4437"/>
        <item m="1" x="4733"/>
        <item m="1" x="4883"/>
        <item m="1" x="5168"/>
        <item m="1" x="5494"/>
        <item m="1" x="4161"/>
        <item m="1" x="4307"/>
        <item m="1" x="4579"/>
        <item m="1" x="4740"/>
        <item m="1" x="4888"/>
        <item m="1" x="5036"/>
        <item m="1" x="5173"/>
        <item m="1" x="5339"/>
        <item m="1" x="5499"/>
        <item m="1" x="4167"/>
        <item m="1" x="4311"/>
        <item m="1" x="4447"/>
        <item m="1" x="4585"/>
        <item m="1" x="4745"/>
        <item m="1" x="4893"/>
        <item m="1" x="5042"/>
        <item m="1" x="5178"/>
        <item m="1" x="5345"/>
        <item m="1" x="3665"/>
        <item m="1" x="4026"/>
        <item m="1" x="4158"/>
        <item m="1" x="4304"/>
        <item m="1" x="4440"/>
        <item m="1" x="4577"/>
        <item m="1" x="4736"/>
        <item m="1" x="3670"/>
        <item m="1" x="3802"/>
        <item m="1" x="4031"/>
        <item m="1" x="4163"/>
        <item m="1" x="4309"/>
        <item m="1" x="4444"/>
        <item m="1" x="4582"/>
        <item m="1" x="4743"/>
        <item m="1" x="4890"/>
        <item m="1" x="3674"/>
        <item m="1" x="3806"/>
        <item m="1" x="3915"/>
        <item m="1" x="4036"/>
        <item m="1" x="4169"/>
        <item m="1" x="4450"/>
        <item m="1" x="4587"/>
        <item m="1" x="4748"/>
        <item m="1" x="4895"/>
        <item m="1" x="3676"/>
        <item m="1" x="3810"/>
        <item m="1" x="3919"/>
        <item m="1" x="4041"/>
        <item m="1" x="4173"/>
        <item m="1" x="4316"/>
        <item m="1" x="4454"/>
        <item m="1" x="4591"/>
        <item m="1" x="4753"/>
        <item m="1" x="4899"/>
        <item m="1" x="3680"/>
        <item m="1" x="3814"/>
        <item m="1" x="4046"/>
        <item m="1" x="4178"/>
        <item m="1" x="4320"/>
        <item m="1" x="4458"/>
        <item m="1" x="4596"/>
        <item m="1" x="4757"/>
        <item m="1" x="4904"/>
        <item m="1" x="3684"/>
        <item m="1" x="3925"/>
        <item m="1" x="4050"/>
        <item m="1" x="4183"/>
        <item m="1" x="4324"/>
        <item m="1" x="4461"/>
        <item m="1" x="4600"/>
        <item m="1" x="4908"/>
        <item m="1" x="3687"/>
        <item m="1" x="3818"/>
        <item m="1" x="4054"/>
        <item m="1" x="4188"/>
        <item m="1" x="4328"/>
        <item m="1" x="4465"/>
        <item m="1" x="4604"/>
        <item m="1" x="4911"/>
        <item m="1" x="3691"/>
        <item m="1" x="3819"/>
        <item m="1" x="3932"/>
        <item m="1" x="4057"/>
        <item m="1" x="4193"/>
        <item m="1" x="4331"/>
        <item m="1" x="4469"/>
        <item m="1" x="4607"/>
        <item m="1" x="4767"/>
        <item m="1" x="4915"/>
        <item m="1" x="3696"/>
        <item m="1" x="3824"/>
        <item m="1" x="4062"/>
        <item m="1" x="4198"/>
        <item m="1" x="4474"/>
        <item m="1" x="4613"/>
        <item m="1" x="3829"/>
        <item m="1" x="3940"/>
        <item m="1" x="4067"/>
        <item m="1" x="4480"/>
        <item m="1" x="4620"/>
        <item m="1" x="4775"/>
        <item m="1" x="4922"/>
        <item m="1" x="3158"/>
        <item m="1" x="3302"/>
        <item m="1" x="3556"/>
        <item m="1" x="3693"/>
        <item m="1" x="3821"/>
        <item m="1" x="3934"/>
        <item m="1" x="4196"/>
        <item m="1" x="4333"/>
        <item m="1" x="3162"/>
        <item m="1" x="3308"/>
        <item m="1" x="3434"/>
        <item m="1" x="3561"/>
        <item m="1" x="3697"/>
        <item m="1" x="3826"/>
        <item m="1" x="3938"/>
        <item m="1" x="4064"/>
        <item m="1" x="4201"/>
        <item m="1" x="3166"/>
        <item m="1" x="3313"/>
        <item m="1" x="3566"/>
        <item m="1" x="3831"/>
        <item m="1" x="3943"/>
        <item m="1" x="4070"/>
        <item m="1" x="4341"/>
        <item m="1" x="3172"/>
        <item m="1" x="3319"/>
        <item m="1" x="3445"/>
        <item m="1" x="3570"/>
        <item m="1" x="3836"/>
        <item m="1" x="3948"/>
        <item m="1" x="4072"/>
        <item m="1" x="4209"/>
        <item m="1" x="4346"/>
        <item m="1" x="3177"/>
        <item m="1" x="3324"/>
        <item m="1" x="3449"/>
        <item m="1" x="3575"/>
        <item m="1" x="3708"/>
        <item m="1" x="3840"/>
        <item m="1" x="3951"/>
        <item m="1" x="4077"/>
        <item m="1" x="4215"/>
        <item m="1" x="4351"/>
        <item m="1" x="3182"/>
        <item m="1" x="3330"/>
        <item m="1" x="3454"/>
        <item m="1" x="3578"/>
        <item m="1" x="3712"/>
        <item m="1" x="3954"/>
        <item m="1" x="4080"/>
        <item m="1" x="4220"/>
        <item m="1" x="4355"/>
        <item m="1" x="3186"/>
        <item m="1" x="3334"/>
        <item m="1" x="3458"/>
        <item m="1" x="3581"/>
        <item m="1" x="3958"/>
        <item m="1" x="4223"/>
        <item m="1" x="4357"/>
        <item m="1" x="3190"/>
        <item m="1" x="3337"/>
        <item m="1" x="3463"/>
        <item m="1" x="3584"/>
        <item m="1" x="3721"/>
        <item m="1" x="3849"/>
        <item m="1" x="3961"/>
        <item m="1" x="4226"/>
        <item m="1" x="4360"/>
        <item m="1" x="3195"/>
        <item m="1" x="3341"/>
        <item m="1" x="3468"/>
        <item m="1" x="3586"/>
        <item m="1" x="3726"/>
        <item m="1" x="3965"/>
        <item m="1" x="4091"/>
        <item m="1" x="4364"/>
        <item m="1" x="3198"/>
        <item m="1" x="3345"/>
        <item m="1" x="3472"/>
        <item m="1" x="3591"/>
        <item m="1" x="3731"/>
        <item m="1" x="3856"/>
        <item m="1" x="4096"/>
        <item m="1" x="4235"/>
        <item m="1" x="2787"/>
        <item m="1" x="2929"/>
        <item m="1" x="3192"/>
        <item m="1" x="3339"/>
        <item m="1" x="3466"/>
        <item m="1" x="3851"/>
        <item m="1" x="2633"/>
        <item m="1" x="2793"/>
        <item m="1" x="2934"/>
        <item m="1" x="3343"/>
        <item m="1" x="3470"/>
        <item m="1" x="3589"/>
        <item m="1" x="3728"/>
        <item m="1" x="3854"/>
        <item m="1" x="2638"/>
        <item m="1" x="2799"/>
        <item m="1" x="2938"/>
        <item m="1" x="3060"/>
        <item m="1" x="3200"/>
        <item m="1" x="3347"/>
        <item m="1" x="3474"/>
        <item m="1" x="3594"/>
        <item m="1" x="3734"/>
        <item m="1" x="3857"/>
        <item m="1" x="2643"/>
        <item m="1" x="2805"/>
        <item m="1" x="2943"/>
        <item m="1" x="3063"/>
        <item m="1" x="3350"/>
        <item m="1" x="3477"/>
        <item m="1" x="3598"/>
        <item m="1" x="3739"/>
        <item m="1" x="3861"/>
        <item m="1" x="2649"/>
        <item m="1" x="2810"/>
        <item m="1" x="2947"/>
        <item m="1" x="3067"/>
        <item m="1" x="3209"/>
        <item m="1" x="3354"/>
        <item m="1" x="3481"/>
        <item m="1" x="3603"/>
        <item m="1" x="3744"/>
        <item m="1" x="3865"/>
        <item m="1" x="2654"/>
        <item m="1" x="2816"/>
        <item m="1" x="3072"/>
        <item m="1" x="3213"/>
        <item m="1" x="3358"/>
        <item m="1" x="3485"/>
        <item m="1" x="3606"/>
        <item m="1" x="3749"/>
        <item m="1" x="3869"/>
        <item m="1" x="2821"/>
        <item m="1" x="2955"/>
        <item m="1" x="3077"/>
        <item m="1" x="3219"/>
        <item m="1" x="3362"/>
        <item m="1" x="3489"/>
        <item m="1" x="3610"/>
        <item m="1" x="3872"/>
        <item m="1" x="2666"/>
        <item m="1" x="2827"/>
        <item m="1" x="2959"/>
        <item m="1" x="3079"/>
        <item m="1" x="3224"/>
        <item m="1" x="3616"/>
        <item m="1" x="3757"/>
        <item m="1" x="3876"/>
        <item m="1" x="2672"/>
        <item m="1" x="2832"/>
        <item m="1" x="2963"/>
        <item m="1" x="3085"/>
        <item m="1" x="3372"/>
        <item m="1" x="3498"/>
        <item m="1" x="3622"/>
        <item m="1" x="3761"/>
        <item m="1" x="3880"/>
        <item m="1" x="2677"/>
        <item m="1" x="2837"/>
        <item m="1" x="3090"/>
        <item m="1" x="3236"/>
        <item m="1" x="3378"/>
        <item m="1" x="3627"/>
        <item m="1" x="3766"/>
        <item m="1" x="3884"/>
        <item m="1" x="2055"/>
        <item m="1" x="2214"/>
        <item m="1" x="2669"/>
        <item m="1" x="2961"/>
        <item m="1" x="3081"/>
        <item m="1" x="3226"/>
        <item m="1" x="3367"/>
        <item m="1" x="2062"/>
        <item m="1" x="2221"/>
        <item m="1" x="2375"/>
        <item m="1" x="2835"/>
        <item m="1" x="2965"/>
        <item m="1" x="3231"/>
        <item m="1" x="3373"/>
        <item m="1" x="2069"/>
        <item m="1" x="2380"/>
        <item m="1" x="2520"/>
        <item m="1" x="2840"/>
        <item m="1" x="2968"/>
        <item m="1" x="3091"/>
        <item m="1" x="3379"/>
        <item m="1" x="2077"/>
        <item m="1" x="2232"/>
        <item m="1" x="2387"/>
        <item m="1" x="2525"/>
        <item m="1" x="2685"/>
        <item m="1" x="2973"/>
        <item m="1" x="3097"/>
        <item m="1" x="3383"/>
        <item m="1" x="2085"/>
        <item m="1" x="2530"/>
        <item m="1" x="2692"/>
        <item m="1" x="2851"/>
        <item m="1" x="3103"/>
        <item m="1" x="3249"/>
        <item m="1" x="3387"/>
        <item m="1" x="2090"/>
        <item m="1" x="2244"/>
        <item m="1" x="2400"/>
        <item m="1" x="2536"/>
        <item m="1" x="2698"/>
        <item m="1" x="2858"/>
        <item m="1" x="3108"/>
        <item m="1" x="3255"/>
        <item m="1" x="3392"/>
        <item m="1" x="2096"/>
        <item m="1" x="2250"/>
        <item m="1" x="2543"/>
        <item m="1" x="3114"/>
        <item m="1" x="3395"/>
        <item m="1" x="2103"/>
        <item m="1" x="2256"/>
        <item m="1" x="2410"/>
        <item m="1" x="2549"/>
        <item m="1" x="2710"/>
        <item m="1" x="2867"/>
        <item m="1" x="2987"/>
        <item m="1" x="3119"/>
        <item m="1" x="3265"/>
        <item m="1" x="3398"/>
        <item m="1" x="2108"/>
        <item m="1" x="2413"/>
        <item m="1" x="2552"/>
        <item m="1" x="2716"/>
        <item m="1" x="2871"/>
        <item m="1" x="3123"/>
        <item m="1" x="3268"/>
        <item m="1" x="3401"/>
        <item m="1" x="2112"/>
        <item m="1" x="2263"/>
        <item m="1" x="2417"/>
        <item m="1" x="2555"/>
        <item m="1" x="2721"/>
        <item m="1" x="2875"/>
        <item m="1" x="2995"/>
        <item m="1" x="3128"/>
        <item m="1" x="3271"/>
        <item m="1" x="3405"/>
        <item m="1" x="3069"/>
        <item m="1" x="3211"/>
        <item m="1" x="3355"/>
        <item m="1" x="3482"/>
        <item m="1" x="3746"/>
        <item m="1" x="3867"/>
        <item m="1" x="4109"/>
        <item m="1" x="4249"/>
        <item m="1" x="3074"/>
        <item m="1" x="3215"/>
        <item m="1" x="3359"/>
        <item m="1" x="3750"/>
        <item m="1" x="3870"/>
        <item m="1" x="3982"/>
        <item m="1" x="3221"/>
        <item m="1" x="3363"/>
        <item m="1" x="3490"/>
        <item m="1" x="3753"/>
        <item m="1" x="3873"/>
        <item m="1" x="3985"/>
        <item m="1" x="4116"/>
        <item m="1" x="4255"/>
        <item m="1" x="3082"/>
        <item m="1" x="3227"/>
        <item m="1" x="3368"/>
        <item m="1" x="3494"/>
        <item m="1" x="3617"/>
        <item m="1" x="3758"/>
        <item m="1" x="3877"/>
        <item m="1" x="3990"/>
        <item m="1" x="4120"/>
        <item m="1" x="4260"/>
        <item m="1" x="3087"/>
        <item m="1" x="3232"/>
        <item m="1" x="3374"/>
        <item m="1" x="3499"/>
        <item m="1" x="3881"/>
        <item m="1" x="3994"/>
        <item m="1" x="4125"/>
        <item m="1" x="4264"/>
        <item m="1" x="3092"/>
        <item m="1" x="3238"/>
        <item m="1" x="3380"/>
        <item m="1" x="3504"/>
        <item m="1" x="3628"/>
        <item m="1" x="3767"/>
        <item m="1" x="3885"/>
        <item m="1" x="4130"/>
        <item m="1" x="4269"/>
        <item m="1" x="3098"/>
        <item m="1" x="3243"/>
        <item m="1" x="3510"/>
        <item m="1" x="3634"/>
        <item m="1" x="3773"/>
        <item m="1" x="3890"/>
        <item m="1" x="4003"/>
        <item m="1" x="4275"/>
        <item m="1" x="3104"/>
        <item m="1" x="3250"/>
        <item m="1" x="3388"/>
        <item m="1" x="3516"/>
        <item m="1" x="3641"/>
        <item m="1" x="3778"/>
        <item m="1" x="3895"/>
        <item m="1" x="4008"/>
        <item m="1" x="4281"/>
        <item m="1" x="3109"/>
        <item m="1" x="3256"/>
        <item m="1" x="3522"/>
        <item m="1" x="3648"/>
        <item m="1" x="3782"/>
        <item m="1" x="3899"/>
        <item m="1" x="4013"/>
        <item m="1" x="4143"/>
        <item m="1" x="3115"/>
        <item m="1" x="3261"/>
        <item m="1" x="3396"/>
        <item m="1" x="3527"/>
        <item m="1" x="3786"/>
        <item m="1" x="3903"/>
        <item m="1" x="4017"/>
        <item m="1" x="4147"/>
        <item m="1" x="4291"/>
        <item m="1" x="2533"/>
        <item m="1" x="2694"/>
        <item m="1" x="2853"/>
        <item m="1" x="2976"/>
        <item m="1" x="3105"/>
        <item m="1" x="3253"/>
        <item m="1" x="3390"/>
        <item m="1" x="3520"/>
        <item m="1" x="2539"/>
        <item m="1" x="2701"/>
        <item m="1" x="2980"/>
        <item m="1" x="3111"/>
        <item m="1" x="3258"/>
        <item m="1" x="3394"/>
        <item m="1" x="3525"/>
        <item m="1" x="3784"/>
        <item m="1" x="2545"/>
        <item m="1" x="2706"/>
        <item m="1" x="2864"/>
        <item m="1" x="2983"/>
        <item m="1" x="3116"/>
        <item m="1" x="3262"/>
        <item m="1" x="3528"/>
        <item m="1" x="3654"/>
        <item m="1" x="3789"/>
        <item m="1" x="2712"/>
        <item m="1" x="2868"/>
        <item m="1" x="2988"/>
        <item m="1" x="3120"/>
        <item m="1" x="3266"/>
        <item m="1" x="3399"/>
        <item m="1" x="3531"/>
        <item m="1" x="3657"/>
        <item m="1" x="3792"/>
        <item m="1" x="2717"/>
        <item m="1" x="2872"/>
        <item m="1" x="2991"/>
        <item m="1" x="3124"/>
        <item m="1" x="3269"/>
        <item m="1" x="3402"/>
        <item m="1" x="3533"/>
        <item m="1" x="3661"/>
        <item m="1" x="3796"/>
        <item m="1" x="2557"/>
        <item m="1" x="2723"/>
        <item m="1" x="2996"/>
        <item m="1" x="3129"/>
        <item m="1" x="3272"/>
        <item m="1" x="3406"/>
        <item m="1" x="3537"/>
        <item m="1" x="3666"/>
        <item m="1" x="3799"/>
        <item m="1" x="2728"/>
        <item m="1" x="2879"/>
        <item m="1" x="3002"/>
        <item m="1" x="3277"/>
        <item m="1" x="3410"/>
        <item m="1" x="3671"/>
        <item m="1" x="3803"/>
        <item m="1" x="2565"/>
        <item m="1" x="2734"/>
        <item m="1" x="2883"/>
        <item m="1" x="3008"/>
        <item m="1" x="3136"/>
        <item m="1" x="3281"/>
        <item m="1" x="3543"/>
        <item m="1" x="3675"/>
        <item m="1" x="3807"/>
        <item m="1" x="2570"/>
        <item m="1" x="2739"/>
        <item m="1" x="2888"/>
        <item m="1" x="3141"/>
        <item m="1" x="3286"/>
        <item m="1" x="3416"/>
        <item m="1" x="3546"/>
        <item m="1" x="3677"/>
        <item m="1" x="3811"/>
        <item m="1" x="2575"/>
        <item m="1" x="2743"/>
        <item m="1" x="2891"/>
        <item m="1" x="3146"/>
        <item m="1" x="3290"/>
        <item m="1" x="3419"/>
        <item m="1" x="3549"/>
        <item m="1" x="3681"/>
        <item m="1" x="3815"/>
        <item m="1" x="1956"/>
        <item m="1" x="2124"/>
        <item m="1" x="2276"/>
        <item m="1" x="2886"/>
        <item m="1" x="3011"/>
        <item m="1" x="3139"/>
        <item m="1" x="3284"/>
        <item m="1" x="1959"/>
        <item m="1" x="2129"/>
        <item m="1" x="2281"/>
        <item m="1" x="2429"/>
        <item m="1" x="2572"/>
        <item m="1" x="2889"/>
        <item m="1" x="3015"/>
        <item m="1" x="3144"/>
        <item m="1" x="3288"/>
        <item m="1" x="1963"/>
        <item m="1" x="2133"/>
        <item m="1" x="2285"/>
        <item m="1" x="2576"/>
        <item m="1" x="2744"/>
        <item m="1" x="2892"/>
        <item m="1" x="3018"/>
        <item m="1" x="3148"/>
        <item m="1" x="3292"/>
        <item m="1" x="1967"/>
        <item m="1" x="2137"/>
        <item m="1" x="2290"/>
        <item m="1" x="2746"/>
        <item m="1" x="2894"/>
        <item m="1" x="3019"/>
        <item m="1" x="3150"/>
        <item m="1" x="3295"/>
        <item m="1" x="1970"/>
        <item m="1" x="2295"/>
        <item m="1" x="2436"/>
        <item m="1" x="2583"/>
        <item m="1" x="2897"/>
        <item m="1" x="3154"/>
        <item m="1" x="3297"/>
        <item m="1" x="2299"/>
        <item m="1" x="2589"/>
        <item m="1" x="2751"/>
        <item m="1" x="2901"/>
        <item m="1" x="3028"/>
        <item m="1" x="3159"/>
        <item m="1" x="3303"/>
        <item m="1" x="1978"/>
        <item m="1" x="2148"/>
        <item m="1" x="2305"/>
        <item m="1" x="2446"/>
        <item m="1" x="2595"/>
        <item m="1" x="2757"/>
        <item m="1" x="3031"/>
        <item m="1" x="3163"/>
        <item m="1" x="3309"/>
        <item m="1" x="2310"/>
        <item m="1" x="2449"/>
        <item m="1" x="2601"/>
        <item m="1" x="2762"/>
        <item m="1" x="2908"/>
        <item m="1" x="3036"/>
        <item m="1" x="3167"/>
        <item m="1" x="3314"/>
        <item m="1" x="1989"/>
        <item m="1" x="2159"/>
        <item m="1" x="2316"/>
        <item m="1" x="2456"/>
        <item m="1" x="2607"/>
        <item m="1" x="2768"/>
        <item m="1" x="3041"/>
        <item m="1" x="3173"/>
        <item m="1" x="3320"/>
        <item m="1" x="1994"/>
        <item m="1" x="2163"/>
        <item m="1" x="2320"/>
        <item m="1" x="2612"/>
        <item m="1" x="2915"/>
        <item m="1" x="3042"/>
        <item m="1" x="3178"/>
        <item m="1" x="3325"/>
        <item m="1" x="1349"/>
        <item m="1" x="1511"/>
        <item m="1" x="1674"/>
        <item m="1" x="1826"/>
        <item m="1" x="1985"/>
        <item m="1" x="2314"/>
        <item m="1" x="2454"/>
        <item m="1" x="2766"/>
        <item m="1" x="1354"/>
        <item m="1" x="1516"/>
        <item m="1" x="1680"/>
        <item m="1" x="1831"/>
        <item m="1" x="1991"/>
        <item m="1" x="2319"/>
        <item m="1" x="2610"/>
        <item m="1" x="1359"/>
        <item m="1" x="1521"/>
        <item m="1" x="1686"/>
        <item m="1" x="1837"/>
        <item m="1" x="1995"/>
        <item m="1" x="2165"/>
        <item m="1" x="2464"/>
        <item m="1" x="2615"/>
        <item m="1" x="2774"/>
        <item m="1" x="1362"/>
        <item m="1" x="1528"/>
        <item m="1" x="1692"/>
        <item m="1" x="1842"/>
        <item m="1" x="2000"/>
        <item m="1" x="2169"/>
        <item m="1" x="2325"/>
        <item m="1" x="2468"/>
        <item m="1" x="2619"/>
        <item m="1" x="1365"/>
        <item m="1" x="1534"/>
        <item m="1" x="1846"/>
        <item m="1" x="2174"/>
        <item m="1" x="2329"/>
        <item m="1" x="2472"/>
        <item m="1" x="2623"/>
        <item m="1" x="2782"/>
        <item m="1" x="1368"/>
        <item m="1" x="1540"/>
        <item m="1" x="1699"/>
        <item m="1" x="1852"/>
        <item m="1" x="2009"/>
        <item m="1" x="2178"/>
        <item m="1" x="2334"/>
        <item m="1" x="2474"/>
        <item m="1" x="2628"/>
        <item m="1" x="2788"/>
        <item m="1" x="1373"/>
        <item m="1" x="1705"/>
        <item m="1" x="1859"/>
        <item m="1" x="2015"/>
        <item m="1" x="2184"/>
        <item m="1" x="2340"/>
        <item m="1" x="2481"/>
        <item m="1" x="2634"/>
        <item m="1" x="2794"/>
        <item m="1" x="1379"/>
        <item m="1" x="1553"/>
        <item m="1" x="1712"/>
        <item m="1" x="1867"/>
        <item m="1" x="2023"/>
        <item m="1" x="2344"/>
        <item m="1" x="2486"/>
        <item m="1" x="2639"/>
        <item m="1" x="2800"/>
        <item m="1" x="1560"/>
        <item m="1" x="1718"/>
        <item m="1" x="1874"/>
        <item m="1" x="2030"/>
        <item m="1" x="2193"/>
        <item m="1" x="2644"/>
        <item m="1" x="2806"/>
        <item m="1" x="1389"/>
        <item m="1" x="1566"/>
        <item m="1" x="1723"/>
        <item m="1" x="2034"/>
        <item m="1" x="2197"/>
        <item m="1" x="2650"/>
        <item m="1" x="2811"/>
        <item m="1" x="756"/>
        <item m="1" x="1076"/>
        <item m="1" x="1221"/>
        <item m="1" x="1381"/>
        <item m="1" x="1557"/>
        <item m="1" x="1716"/>
        <item m="1" x="1872"/>
        <item m="1" x="2028"/>
        <item m="1" x="761"/>
        <item m="1" x="927"/>
        <item m="1" x="1385"/>
        <item m="1" x="1563"/>
        <item m="1" x="1721"/>
        <item m="1" x="1878"/>
        <item m="1" x="2195"/>
        <item m="1" x="1087"/>
        <item m="1" x="1231"/>
        <item m="1" x="1391"/>
        <item m="1" x="1568"/>
        <item m="1" x="1882"/>
        <item m="1" x="2038"/>
        <item m="1" x="2199"/>
        <item m="1" x="1094"/>
        <item m="1" x="1238"/>
        <item m="1" x="1397"/>
        <item m="1" x="1573"/>
        <item m="1" x="1730"/>
        <item m="1" x="1887"/>
        <item m="1" x="2044"/>
        <item m="1" x="2204"/>
        <item m="1" x="776"/>
        <item m="1" x="944"/>
        <item m="1" x="1100"/>
        <item m="1" x="1245"/>
        <item m="1" x="1401"/>
        <item m="1" x="1578"/>
        <item m="1" x="1736"/>
        <item m="1" x="1893"/>
        <item m="1" x="2049"/>
        <item m="1" x="2209"/>
        <item m="1" x="951"/>
        <item m="1" x="1107"/>
        <item m="1" x="1252"/>
        <item m="1" x="1409"/>
        <item m="1" x="1741"/>
        <item m="1" x="1898"/>
        <item m="1" x="2215"/>
        <item m="1" x="787"/>
        <item m="1" x="1256"/>
        <item m="1" x="1588"/>
        <item m="1" x="1746"/>
        <item m="1" x="1905"/>
        <item m="1" x="2064"/>
        <item m="1" x="2222"/>
        <item m="1" x="793"/>
        <item m="1" x="966"/>
        <item m="1" x="1118"/>
        <item m="1" x="1262"/>
        <item m="1" x="1422"/>
        <item m="1" x="1596"/>
        <item m="1" x="1752"/>
        <item m="1" x="800"/>
        <item m="1" x="974"/>
        <item m="1" x="1126"/>
        <item m="1" x="1269"/>
        <item m="1" x="1603"/>
        <item m="1" x="1759"/>
        <item m="1" x="1916"/>
        <item m="1" x="2079"/>
        <item m="1" x="2233"/>
        <item m="1" x="808"/>
        <item m="1" x="1129"/>
        <item m="1" x="1277"/>
        <item m="1" x="1435"/>
        <item m="1" x="1610"/>
        <item m="1" x="1763"/>
        <item m="1" x="1923"/>
        <item m="1" x="2239"/>
        <item m="1" x="6504"/>
        <item m="1" x="6645"/>
        <item m="1" x="495"/>
        <item m="1" x="796"/>
        <item m="1" x="970"/>
        <item m="1" x="1123"/>
        <item m="1" x="1266"/>
        <item m="1" x="1426"/>
        <item m="1" x="1599"/>
        <item m="1" x="6509"/>
        <item m="1" x="6650"/>
        <item m="1" x="502"/>
        <item m="1" x="803"/>
        <item m="1" x="977"/>
        <item m="1" x="1274"/>
        <item m="1" x="1606"/>
        <item m="1" x="6513"/>
        <item m="1" x="6657"/>
        <item m="1" x="508"/>
        <item m="1" x="656"/>
        <item m="1" x="983"/>
        <item m="1" x="1281"/>
        <item m="1" x="1438"/>
        <item m="1" x="1613"/>
        <item m="1" x="6666"/>
        <item m="1" x="517"/>
        <item m="1" x="664"/>
        <item m="1" x="818"/>
        <item m="1" x="1141"/>
        <item m="1" x="1289"/>
        <item m="1" x="1445"/>
        <item m="1" x="1620"/>
        <item m="1" x="6522"/>
        <item m="1" x="6674"/>
        <item m="1" x="521"/>
        <item m="1" x="671"/>
        <item m="1" x="999"/>
        <item m="1" x="1147"/>
        <item m="1" x="1454"/>
        <item m="1" x="1625"/>
        <item m="1" x="6526"/>
        <item m="1" x="6679"/>
        <item m="1" x="527"/>
        <item m="1" x="676"/>
        <item m="1" x="832"/>
        <item m="1" x="1003"/>
        <item m="1" x="1302"/>
        <item m="1" x="1461"/>
        <item m="1" x="1630"/>
        <item m="1" x="374"/>
        <item m="1" x="681"/>
        <item m="1" x="839"/>
        <item m="1" x="1007"/>
        <item m="1" x="1154"/>
        <item m="1" x="1307"/>
        <item m="1" x="1466"/>
        <item m="1" x="1635"/>
        <item m="1" x="541"/>
        <item m="1" x="843"/>
        <item m="1" x="1158"/>
        <item m="1" x="1312"/>
        <item m="1" x="6540"/>
        <item m="1" x="386"/>
        <item m="1" x="547"/>
        <item m="1" x="689"/>
        <item m="1" x="849"/>
        <item m="1" x="1016"/>
        <item m="1" x="1163"/>
        <item m="1" x="1316"/>
        <item m="1" x="1475"/>
        <item m="1" x="1642"/>
        <item m="1" x="6546"/>
        <item m="1" x="552"/>
        <item m="1" x="694"/>
        <item m="1" x="854"/>
        <item m="1" x="1019"/>
        <item m="1" x="1168"/>
        <item m="1" x="1320"/>
        <item m="1" x="1479"/>
        <item m="1" x="1647"/>
        <item m="1" x="5936"/>
        <item m="1" x="6242"/>
        <item m="1" x="6379"/>
        <item m="1" x="6537"/>
        <item m="1" x="384"/>
        <item m="1" x="688"/>
        <item m="1" x="1014"/>
        <item m="1" x="5940"/>
        <item m="1" x="6089"/>
        <item m="1" x="6246"/>
        <item m="1" x="6384"/>
        <item m="1" x="6543"/>
        <item m="1" x="389"/>
        <item m="1" x="550"/>
        <item m="1" x="692"/>
        <item m="1" x="852"/>
        <item m="1" x="1017"/>
        <item m="1" x="5946"/>
        <item m="1" x="6095"/>
        <item m="1" x="6249"/>
        <item m="1" x="6389"/>
        <item m="1" x="6548"/>
        <item m="1" x="556"/>
        <item m="1" x="697"/>
        <item m="1" x="1020"/>
        <item m="1" x="5950"/>
        <item m="1" x="6102"/>
        <item m="1" x="6255"/>
        <item m="1" x="6395"/>
        <item m="1" x="399"/>
        <item m="1" x="702"/>
        <item m="1" x="1026"/>
        <item m="1" x="6108"/>
        <item m="1" x="6260"/>
        <item m="1" x="6401"/>
        <item m="1" x="6558"/>
        <item m="1" x="404"/>
        <item m="1" x="566"/>
        <item m="1" x="707"/>
        <item m="1" x="866"/>
        <item m="1" x="1031"/>
        <item m="1" x="5959"/>
        <item m="1" x="6111"/>
        <item m="1" x="6261"/>
        <item m="1" x="6404"/>
        <item m="1" x="407"/>
        <item m="1" x="871"/>
        <item m="1" x="1035"/>
        <item m="1" x="5961"/>
        <item m="1" x="6114"/>
        <item m="1" x="6264"/>
        <item m="1" x="6409"/>
        <item m="1" x="411"/>
        <item m="1" x="571"/>
        <item m="1" x="875"/>
        <item m="1" x="1037"/>
        <item m="1" x="6118"/>
        <item m="1" x="6269"/>
        <item m="1" x="6414"/>
        <item m="1" x="6566"/>
        <item m="1" x="414"/>
        <item m="1" x="574"/>
        <item m="1" x="716"/>
        <item m="1" x="5969"/>
        <item m="1" x="6124"/>
        <item m="1" x="6274"/>
        <item m="1" x="6420"/>
        <item m="1" x="6571"/>
        <item m="1" x="419"/>
        <item m="1" x="721"/>
        <item m="1" x="882"/>
        <item m="1" x="1042"/>
        <item m="1" x="5975"/>
        <item m="1" x="6280"/>
        <item m="1" x="6577"/>
        <item m="1" x="581"/>
        <item m="1" x="1047"/>
        <item m="1" x="5365"/>
        <item m="1" x="5521"/>
        <item m="1" x="5673"/>
        <item m="1" x="5817"/>
        <item m="1" x="5967"/>
        <item m="1" x="6122"/>
        <item m="1" x="6272"/>
        <item m="1" x="6418"/>
        <item m="1" x="6569"/>
        <item m="1" x="416"/>
        <item m="1" x="5676"/>
        <item m="1" x="5821"/>
        <item m="1" x="5972"/>
        <item m="1" x="6128"/>
        <item m="1" x="6278"/>
        <item m="1" x="6424"/>
        <item m="1" x="6574"/>
        <item m="1" x="422"/>
        <item m="1" x="5374"/>
        <item m="1" x="5825"/>
        <item m="1" x="5978"/>
        <item m="1" x="6133"/>
        <item m="1" x="6284"/>
        <item m="1" x="6428"/>
        <item m="1" x="427"/>
        <item m="1" x="5381"/>
        <item m="1" x="5534"/>
        <item m="1" x="5687"/>
        <item m="1" x="5832"/>
        <item m="1" x="5986"/>
        <item m="1" x="6436"/>
        <item m="1" x="6584"/>
        <item m="1" x="433"/>
        <item m="1" x="5387"/>
        <item m="1" x="5538"/>
        <item m="1" x="5693"/>
        <item m="1" x="5992"/>
        <item m="1" x="6143"/>
        <item m="1" x="6293"/>
        <item m="1" x="6442"/>
        <item m="1" x="6589"/>
        <item m="1" x="441"/>
        <item m="1" x="5544"/>
        <item m="1" x="5699"/>
        <item m="1" x="5841"/>
        <item m="1" x="6149"/>
        <item m="1" x="6297"/>
        <item m="1" x="6446"/>
        <item m="1" x="6594"/>
        <item m="1" x="446"/>
        <item m="1" x="5396"/>
        <item m="1" x="5549"/>
        <item m="1" x="5846"/>
        <item m="1" x="6001"/>
        <item m="1" x="6155"/>
        <item m="1" x="6301"/>
        <item m="1" x="6451"/>
        <item m="1" x="449"/>
        <item m="1" x="5402"/>
        <item m="1" x="5553"/>
        <item m="1" x="5708"/>
        <item m="1" x="5852"/>
        <item m="1" x="6006"/>
        <item m="1" x="6160"/>
        <item m="1" x="6306"/>
        <item m="1" x="6456"/>
        <item m="1" x="6601"/>
        <item m="1" x="453"/>
        <item m="1" x="5560"/>
        <item m="1" x="5712"/>
        <item m="1" x="6012"/>
        <item m="1" x="6163"/>
        <item m="1" x="6309"/>
        <item m="1" x="6461"/>
        <item m="1" x="6605"/>
        <item m="1" x="456"/>
        <item m="1" x="5412"/>
        <item m="1" x="5564"/>
        <item m="1" x="5862"/>
        <item m="1" x="6016"/>
        <item m="1" x="6168"/>
        <item m="1" x="6314"/>
        <item m="1" x="6466"/>
        <item m="1" x="461"/>
        <item m="1" x="4796"/>
        <item m="1" x="4941"/>
        <item m="1" x="5088"/>
        <item m="1" x="5241"/>
        <item m="1" x="5557"/>
        <item m="1" x="5856"/>
        <item m="1" x="6009"/>
        <item m="1" x="6161"/>
        <item m="1" x="5245"/>
        <item m="1" x="5409"/>
        <item m="1" x="5563"/>
        <item m="1" x="5715"/>
        <item m="1" x="5860"/>
        <item m="1" x="6015"/>
        <item m="1" x="6165"/>
        <item m="1" x="4949"/>
        <item m="1" x="5094"/>
        <item m="1" x="5249"/>
        <item m="1" x="5415"/>
        <item m="1" x="5568"/>
        <item m="1" x="5865"/>
        <item m="1" x="6019"/>
        <item m="1" x="6170"/>
        <item m="1" x="4808"/>
        <item m="1" x="4956"/>
        <item m="1" x="5099"/>
        <item m="1" x="5255"/>
        <item m="1" x="5422"/>
        <item m="1" x="5572"/>
        <item m="1" x="5724"/>
        <item m="1" x="6175"/>
        <item m="1" x="4814"/>
        <item m="1" x="4963"/>
        <item m="1" x="5103"/>
        <item m="1" x="5261"/>
        <item m="1" x="5428"/>
        <item m="1" x="5579"/>
        <item m="1" x="5730"/>
        <item m="1" x="6182"/>
        <item m="1" x="4820"/>
        <item m="1" x="4970"/>
        <item m="1" x="5108"/>
        <item m="1" x="5267"/>
        <item m="1" x="5435"/>
        <item m="1" x="5586"/>
        <item m="1" x="5880"/>
        <item m="1" x="6031"/>
        <item m="1" x="6189"/>
        <item m="1" x="4825"/>
        <item m="1" x="4974"/>
        <item m="1" x="5113"/>
        <item m="1" x="5274"/>
        <item m="1" x="5886"/>
        <item m="1" x="6193"/>
        <item m="1" x="4830"/>
        <item m="1" x="4980"/>
        <item m="1" x="5278"/>
        <item m="1" x="5445"/>
        <item m="1" x="5594"/>
        <item m="1" x="6039"/>
        <item m="1" x="6198"/>
        <item m="1" x="4837"/>
        <item m="1" x="5123"/>
        <item m="1" x="5286"/>
        <item m="1" x="5450"/>
        <item m="1" x="5601"/>
        <item m="1" x="5747"/>
        <item m="1" x="5895"/>
        <item m="1" x="6042"/>
        <item m="1" x="4844"/>
        <item m="1" x="4990"/>
        <item m="1" x="5293"/>
        <item m="1" x="5458"/>
        <item m="1" x="5754"/>
        <item m="1" x="5900"/>
        <item m="1" x="6048"/>
        <item m="1" x="6206"/>
        <item m="1" x="4259"/>
        <item m="1" x="4383"/>
        <item m="1" x="4527"/>
        <item m="1" x="4678"/>
        <item m="1" x="4833"/>
        <item m="1" x="4983"/>
        <item m="1" x="5121"/>
        <item m="1" x="5282"/>
        <item m="1" x="5446"/>
        <item m="1" x="5597"/>
        <item m="1" x="4263"/>
        <item m="1" x="4684"/>
        <item m="1" x="4840"/>
        <item m="1" x="4988"/>
        <item m="1" x="5290"/>
        <item m="1" x="5453"/>
        <item m="1" x="5604"/>
        <item m="1" x="4268"/>
        <item m="1" x="4394"/>
        <item m="1" x="4536"/>
        <item m="1" x="4689"/>
        <item m="1" x="4847"/>
        <item m="1" x="4994"/>
        <item m="1" x="5297"/>
        <item m="1" x="5460"/>
        <item m="1" x="5611"/>
        <item m="1" x="4274"/>
        <item m="1" x="4400"/>
        <item m="1" x="4542"/>
        <item m="1" x="4852"/>
        <item m="1" x="5000"/>
        <item m="1" x="5139"/>
        <item m="1" x="5305"/>
        <item m="1" x="5617"/>
        <item m="1" x="4280"/>
        <item m="1" x="4407"/>
        <item m="1" x="4547"/>
        <item m="1" x="4703"/>
        <item m="1" x="4859"/>
        <item m="1" x="5007"/>
        <item m="1" x="5145"/>
        <item m="1" x="5311"/>
        <item m="1" x="5624"/>
        <item m="1" x="4414"/>
        <item m="1" x="4553"/>
        <item m="1" x="4710"/>
        <item m="1" x="4865"/>
        <item m="1" x="5011"/>
        <item m="1" x="5150"/>
        <item m="1" x="5317"/>
        <item m="1" x="5478"/>
        <item m="1" x="5631"/>
        <item m="1" x="4290"/>
        <item m="1" x="4420"/>
        <item m="1" x="4559"/>
        <item m="1" x="4718"/>
        <item m="1" x="5019"/>
        <item m="1" x="5156"/>
        <item m="1" x="5323"/>
        <item m="1" x="5483"/>
        <item m="1" x="5637"/>
        <item m="1" x="4294"/>
        <item m="1" x="4426"/>
        <item m="1" x="4565"/>
        <item m="1" x="4723"/>
        <item m="1" x="4873"/>
        <item m="1" x="5024"/>
        <item m="1" x="5160"/>
        <item m="1" x="5327"/>
        <item m="1" x="5486"/>
        <item m="1" x="5642"/>
        <item m="1" x="4298"/>
        <item m="1" x="4432"/>
        <item m="1" x="4572"/>
        <item m="1" x="4878"/>
        <item m="1" x="5028"/>
        <item m="1" x="5330"/>
        <item m="1" x="5645"/>
        <item m="1" x="4302"/>
        <item m="1" x="4438"/>
        <item m="1" x="4574"/>
        <item m="1" x="4884"/>
        <item m="1" x="5335"/>
        <item m="1" x="5495"/>
        <item m="1" x="5264"/>
        <item m="1" x="5431"/>
        <item m="1" x="5732"/>
        <item m="1" x="6186"/>
        <item m="1" x="6330"/>
        <item m="1" x="6481"/>
        <item m="1" x="6627"/>
        <item m="1" x="5737"/>
        <item m="1" x="5882"/>
        <item m="1" x="6192"/>
        <item m="1" x="6333"/>
        <item m="1" x="6486"/>
        <item m="1" x="6631"/>
        <item m="1" x="5441"/>
        <item m="1" x="5590"/>
        <item m="1" x="5888"/>
        <item m="1" x="6036"/>
        <item m="1" x="6196"/>
        <item m="1" x="6337"/>
        <item m="1" x="6490"/>
        <item m="1" x="6636"/>
        <item m="1" x="5283"/>
        <item m="1" x="5447"/>
        <item m="1" x="5598"/>
        <item m="1" x="5744"/>
        <item m="1" x="6201"/>
        <item m="1" x="5291"/>
        <item m="1" x="5454"/>
        <item m="1" x="5605"/>
        <item m="1" x="5749"/>
        <item m="1" x="6044"/>
        <item m="1" x="5902"/>
        <item m="1" x="6208"/>
        <item m="1" x="6505"/>
        <item m="1" x="5306"/>
        <item m="1" x="5467"/>
        <item m="1" x="5618"/>
        <item m="1" x="6214"/>
        <item m="1" x="5312"/>
        <item m="1" x="6063"/>
        <item m="1" x="6514"/>
        <item m="1" x="5318"/>
        <item m="1" x="5770"/>
        <item m="1" x="6227"/>
        <item m="1" x="5775"/>
        <item m="1" x="6367"/>
        <item m="1" x="6523"/>
        <item m="1" x="6675"/>
        <item m="1" x="5769"/>
        <item m="1" x="6067"/>
        <item m="1" x="5153"/>
        <item m="1" x="6139"/>
        <item m="1" x="6290"/>
        <item m="1" x="436"/>
        <item m="1" x="733"/>
        <item m="1" x="5695"/>
        <item m="1" x="6294"/>
        <item m="1" x="6443"/>
        <item m="1" x="5219"/>
        <item m="1" x="5378"/>
        <item m="1" x="5532"/>
        <item m="1" x="5684"/>
        <item m="1" x="5829"/>
        <item m="1" x="5983"/>
        <item m="1" x="6136"/>
        <item m="1" x="6288"/>
        <item m="1" x="6433"/>
        <item m="1" x="5074"/>
        <item m="1" x="5224"/>
        <item m="1" x="5385"/>
        <item m="1" x="5691"/>
        <item m="1" x="5836"/>
        <item m="1" x="6291"/>
        <item m="1" x="5078"/>
        <item m="1" x="5229"/>
        <item m="1" x="5995"/>
        <item m="1" x="6147"/>
        <item m="1" x="6295"/>
        <item m="1" x="5081"/>
        <item m="1" x="5233"/>
        <item m="1" x="5394"/>
        <item m="1" x="5702"/>
        <item m="1" x="5844"/>
        <item m="1" x="5999"/>
        <item m="1" x="6153"/>
        <item m="1" x="6449"/>
        <item m="1" x="5084"/>
        <item m="1" x="5236"/>
        <item m="1" x="5399"/>
        <item m="1" x="5706"/>
        <item m="1" x="5850"/>
        <item m="1" x="6005"/>
        <item m="1" x="6158"/>
        <item m="1" x="6304"/>
        <item m="1" x="6454"/>
        <item m="1" x="5089"/>
        <item m="1" x="5242"/>
        <item m="1" x="5405"/>
        <item m="1" x="5558"/>
        <item m="1" x="1833"/>
        <item m="1" x="630"/>
        <item m="1" x="637"/>
        <item m="1" x="642"/>
        <item m="1" x="647"/>
        <item m="1" x="5703"/>
        <item m="1" x="4726"/>
        <item m="1" x="6494"/>
        <item m="1" x="6056"/>
        <item m="1" x="4734"/>
        <item m="1" x="5877"/>
        <item m="1" x="5461"/>
        <item m="1" x="5473"/>
        <item m="1" x="6652"/>
        <item m="1" x="6342"/>
        <item m="1" x="5914"/>
        <item m="1" x="6074"/>
        <item m="1" x="6668"/>
        <item m="1" x="5479"/>
        <item m="1" x="5838"/>
        <item m="1" x="5485"/>
        <item m="1" x="5638"/>
        <item m="1" x="5476"/>
        <item m="1" x="5765"/>
        <item m="1" x="5038"/>
        <item m="1" x="6519"/>
        <item m="1" x="5132"/>
        <item m="1" x="5490"/>
        <item m="1" x="5918"/>
        <item m="1" x="4707"/>
        <item m="1" x="6499"/>
        <item m="1" x="6646"/>
        <item m="1" x="4721"/>
        <item m="1" x="5482"/>
        <item m="1" x="5298"/>
        <item m="1" x="5784"/>
        <item m="1" x="6073"/>
        <item m="1" x="5759"/>
        <item m="1" x="724"/>
        <item m="1" x="4171"/>
        <item m="1" x="5907"/>
        <item m="1" x="5625"/>
        <item m="1" x="5497"/>
        <item m="1" x="3053"/>
        <item m="1" x="6222"/>
        <item m="1" x="4696"/>
        <item m="1" x="5507"/>
        <item m="1" x="5162"/>
        <item m="1" x="4456"/>
        <item m="1" x="6082"/>
        <item m="1" x="5186"/>
        <item m="1" x="5332"/>
        <item m="1" x="4896"/>
        <item m="1" x="5170"/>
        <item m="1" x="6361"/>
        <item m="1" x="5492"/>
        <item m="1" x="5646"/>
        <item m="1" x="5357"/>
        <item m="1" x="4388"/>
        <item m="1" x="5788"/>
        <item m="1" x="6050"/>
        <item m="1" x="5511"/>
        <item m="1" x="4318"/>
        <item m="1" x="4598"/>
        <item m="1" x="5059"/>
        <item m="1" x="5016"/>
        <item m="1" x="5629"/>
        <item m="1" x="4460"/>
        <item m="1" x="4322"/>
        <item m="1" x="6203"/>
        <item m="1" x="5504"/>
        <item m="1" x="5347"/>
        <item m="1" x="5635"/>
        <item m="1" x="4615"/>
        <item m="1" x="6364"/>
        <item m="1" x="4452"/>
        <item m="1" x="4749"/>
        <item m="1" x="4917"/>
        <item m="1" x="5198"/>
        <item m="1" x="5612"/>
        <item m="1" x="4758"/>
        <item m="1" x="5194"/>
        <item m="1" x="1113"/>
        <item m="1" x="2460"/>
        <item m="1" x="4737"/>
        <item m="1" x="5654"/>
        <item m="1" x="5361"/>
        <item m="1" x="5522"/>
        <item m="1" x="4342"/>
        <item m="1" x="5664"/>
        <item m="1" x="5659"/>
        <item m="1" x="4756"/>
        <item m="1" x="5048"/>
        <item m="1" x="4314"/>
        <item m="1" x="4181"/>
        <item m="1" x="5508"/>
        <item m="1" x="6659"/>
        <item m="1" x="4900"/>
        <item m="1" x="5341"/>
        <item m="1" x="5328"/>
        <item m="1" x="5650"/>
        <item m="1" x="5803"/>
        <item m="1" x="4760"/>
        <item m="1" x="4762"/>
        <item m="1" x="5191"/>
        <item m="1" x="4338"/>
        <item m="1" x="5185"/>
        <item m="1" x="5926"/>
        <item m="1" x="6069"/>
        <item m="1" x="4910"/>
        <item m="1" x="5165"/>
        <item m="1" x="1694"/>
        <item m="1" x="4326"/>
        <item m="1" x="4754"/>
        <item m="1" x="4903"/>
        <item m="1" x="5050"/>
        <item m="1" x="6355"/>
        <item m="1" x="5354"/>
        <item m="1" x="5951"/>
        <item m="1" x="4602"/>
        <item m="1" x="4213"/>
        <item m="1" x="5519"/>
        <item m="1" x="3646"/>
        <item m="1" x="5351"/>
        <item m="1" x="4772"/>
        <item m="1" x="4594"/>
        <item m="1" x="4467"/>
        <item m="1" x="4463"/>
        <item m="1" x="5360"/>
        <item m="1" x="4728"/>
        <item m="1" x="4907"/>
        <item m="1" x="4769"/>
        <item m="1" x="4913"/>
        <item m="1" x="5525"/>
        <item m="1" x="4863"/>
        <item m="1" x="4491"/>
        <item m="1" x="6349"/>
        <item m="1" x="1909"/>
        <item m="1" x="2071"/>
        <item m="1" x="4216"/>
        <item m="1" x="5516"/>
        <item m="1" x="4218"/>
        <item m="1" x="3834"/>
        <item m="1" x="4609"/>
        <item m="1" x="5539"/>
        <item m="1" x="5388"/>
        <item m="1" x="4476"/>
        <item m="1" x="4186"/>
        <item m="1" x="5066"/>
        <item m="1" x="4605"/>
        <item m="1" x="4920"/>
        <item m="1" x="5350"/>
        <item m="1" x="5075"/>
        <item m="1" x="5806"/>
        <item m="1" x="4647"/>
        <item m="1" x="4330"/>
        <item m="1" x="4487"/>
        <item m="1" x="5955"/>
        <item m="1" x="5051"/>
        <item m="1" x="4494"/>
        <item m="1" x="3959"/>
        <item m="1" x="6231"/>
        <item m="1" x="4751"/>
        <item m="1" x="4931"/>
        <item m="1" x="3842"/>
        <item m="1" x="4486"/>
        <item m="1" x="4630"/>
        <item m="1" x="5488"/>
        <item m="1" x="4777"/>
        <item m="1" x="4785"/>
        <item m="1" x="4936"/>
        <item m="1" x="5375"/>
        <item m="1" x="5226"/>
        <item m="1" x="3978"/>
        <item m="1" x="5047"/>
        <item m="1" x="4471"/>
        <item m="1" x="4780"/>
        <item m="1" x="3974"/>
        <item m="1" x="5382"/>
        <item m="1" x="5742"/>
        <item m="1" x="4781"/>
        <item m="1" x="4191"/>
        <item m="1" x="4635"/>
        <item m="1" x="5369"/>
        <item m="1" x="4784"/>
        <item m="1" x="4926"/>
        <item m="1" x="4350"/>
        <item m="1" x="4075"/>
        <item m="1" x="3715"/>
        <item m="1" x="3862"/>
        <item m="1" x="4501"/>
        <item m="1" x="5780"/>
        <item m="1" x="4876"/>
        <item m="1" x="5644"/>
        <item m="1" x="5314"/>
        <item m="1" x="4881"/>
        <item m="1" x="5472"/>
        <item m="1" x="5921"/>
        <item m="1" x="5932"/>
        <item m="1" x="5641"/>
        <item m="1" x="5034"/>
        <item m="1" x="5501"/>
        <item m="1" x="5793"/>
        <item m="1" x="4886"/>
        <item m="1" x="5022"/>
        <item m="1" x="5941"/>
        <item m="1" x="5662"/>
        <item m="1" x="4905"/>
        <item m="1" x="6096"/>
        <item m="1" x="4731"/>
        <item m="1" x="6078"/>
        <item m="1" x="5799"/>
        <item m="1" x="6103"/>
        <item m="1" x="5053"/>
        <item m="1" x="5056"/>
        <item m="1" x="5063"/>
        <item m="1" x="5366"/>
        <item m="1" x="4206"/>
        <item m="1" x="5070"/>
        <item m="1" x="5535"/>
        <item m="1" x="4352"/>
        <item m="1" x="4764"/>
        <item m="1" x="4202"/>
        <item m="1" x="3946"/>
        <item m="1" x="4625"/>
        <item m="1" x="3953"/>
        <item m="1" x="3710"/>
        <item m="1" x="4071"/>
        <item m="1" x="4207"/>
        <item m="1" x="4356"/>
        <item m="1" x="4347"/>
        <item m="1" x="4082"/>
        <item m="1" x="4221"/>
        <item m="1" x="4631"/>
        <item m="1" x="5211"/>
        <item m="1" x="4793"/>
        <item m="1" x="4092"/>
        <item m="1" x="3949"/>
        <item m="1" x="6034"/>
        <item m="1" x="4801"/>
        <item m="1" x="3963"/>
        <item m="1" x="4656"/>
        <item m="1" x="4930"/>
        <item m="1" x="3735"/>
        <item m="1" x="4101"/>
        <item m="1" x="3855"/>
        <item m="1" x="5207"/>
        <item m="1" x="3724"/>
        <item m="1" x="4246"/>
        <item m="1" x="4098"/>
        <item m="1" x="4354"/>
        <item m="1" x="3729"/>
        <item m="1" x="2155"/>
        <item m="1" x="3600"/>
        <item m="1" x="534"/>
        <item m="1" x="4788"/>
        <item m="1" x="4362"/>
        <item m="1" x="3737"/>
        <item m="1" x="3483"/>
        <item m="1" x="3871"/>
        <item m="1" x="4374"/>
        <item m="1" x="4797"/>
        <item m="1" x="4210"/>
        <item m="1" x="4642"/>
        <item m="1" x="4509"/>
        <item m="1" x="4809"/>
        <item m="1" x="4516"/>
        <item m="1" x="4375"/>
        <item m="1" x="3612"/>
        <item m="1" x="3838"/>
        <item m="1" x="4237"/>
        <item m="1" x="4624"/>
        <item m="1" x="3866"/>
        <item m="1" x="5216"/>
        <item m="1" x="4334"/>
        <item m="1" x="3706"/>
        <item m="1" x="3995"/>
        <item m="1" x="3967"/>
        <item m="1" x="5582"/>
        <item m="1" x="4950"/>
        <item m="1" x="3356"/>
        <item m="1" x="3762"/>
        <item m="1" x="4265"/>
        <item m="1" x="3847"/>
        <item m="1" x="3719"/>
        <item m="1" x="4100"/>
        <item m="1" x="4084"/>
        <item m="1" x="4345"/>
        <item m="1" x="5271"/>
        <item m="1" x="4228"/>
        <item m="1" x="4369"/>
        <item m="1" x="4938"/>
        <item m="1" x="3505"/>
        <item m="1" x="3845"/>
        <item m="1" x="3349"/>
        <item m="1" x="3495"/>
        <item m="1" x="5073"/>
        <item m="1" x="5437"/>
        <item m="1" x="4497"/>
        <item m="1" x="921"/>
        <item m="1" x="3633"/>
        <item m="1" x="3095"/>
        <item m="1" x="3772"/>
        <item m="1" x="4366"/>
        <item m="1" x="3618"/>
        <item m="1" x="3642"/>
        <item m="1" x="3364"/>
        <item m="1" x="4270"/>
        <item m="1" x="3389"/>
        <item m="1" x="3902"/>
        <item m="1" x="3747"/>
        <item m="1" x="4245"/>
        <item m="1" x="3898"/>
        <item m="1" x="3254"/>
        <item m="1" x="6090"/>
        <item m="1" x="3640"/>
        <item m="1" x="4110"/>
        <item m="1" x="4377"/>
        <item m="1" x="3999"/>
        <item m="1" x="3991"/>
        <item m="1" x="4384"/>
        <item m="1" x="4117"/>
        <item m="1" x="3117"/>
        <item m="1" x="3228"/>
        <item m="1" x="4088"/>
        <item m="1" x="4253"/>
        <item m="1" x="4957"/>
        <item m="1" x="3977"/>
        <item m="1" x="3222"/>
        <item m="1" x="3479"/>
        <item m="1" x="3858"/>
        <item m="1" x="3352"/>
        <item m="1" x="4380"/>
        <item m="1" x="4113"/>
        <item m="1" x="3233"/>
        <item m="1" x="4805"/>
        <item m="1" x="4964"/>
        <item m="1" x="4276"/>
        <item m="1" x="3629"/>
        <item m="1" x="5740"/>
        <item m="1" x="3878"/>
        <item m="1" x="4482"/>
        <item m="1" x="4241"/>
        <item m="1" x="3251"/>
        <item m="1" x="5202"/>
        <item m="1" x="3774"/>
        <item m="1" x="4942"/>
        <item m="1" x="4232"/>
        <item m="1" x="3121"/>
        <item m="1" x="2842"/>
        <item m="1" x="3874"/>
        <item m="1" x="2865"/>
        <item m="1" x="4512"/>
        <item m="1" x="3375"/>
        <item m="1" x="3384"/>
        <item m="1" x="3511"/>
        <item m="1" x="2735"/>
        <item m="1" x="4401"/>
        <item m="1" x="3216"/>
        <item m="1" x="4261"/>
        <item m="1" x="3742"/>
        <item m="1" x="2884"/>
        <item m="1" x="3500"/>
        <item m="1" x="3391"/>
        <item m="1" x="2682"/>
        <item m="1" x="4135"/>
        <item m="1" x="3407"/>
        <item m="1" x="3647"/>
        <item m="1" x="4665"/>
        <item m="1" x="2997"/>
        <item m="1" x="3986"/>
        <item m="1" x="3896"/>
        <item m="1" x="4395"/>
        <item m="1" x="3894"/>
        <item m="1" x="2878"/>
        <item m="1" x="3779"/>
        <item m="1" x="4009"/>
        <item m="1" x="771"/>
        <item m="1" x="3658"/>
        <item m="1" x="3526"/>
        <item m="1" x="3212"/>
        <item m="1" x="3886"/>
        <item m="1" x="3509"/>
        <item m="1" x="3790"/>
        <item m="1" x="3101"/>
        <item m="1" x="3413"/>
        <item m="1" x="3655"/>
        <item m="1" x="3400"/>
        <item m="1" x="4815"/>
        <item m="1" x="2707"/>
        <item m="1" x="3285"/>
        <item m="1" x="3912"/>
        <item m="1" x="2702"/>
        <item m="1" x="2286"/>
        <item m="1" x="3534"/>
        <item m="1" x="2890"/>
        <item m="1" x="3781"/>
        <item m="1" x="4256"/>
        <item m="1" x="2854"/>
        <item m="1" x="5922"/>
        <item m="1" x="2977"/>
        <item m="1" x="3397"/>
        <item m="1" x="3905"/>
        <item m="1" x="5680"/>
        <item m="1" x="3909"/>
        <item m="1" x="3852"/>
        <item m="1" x="4105"/>
        <item m="1" x="3651"/>
        <item m="1" x="2847"/>
        <item m="1" x="2729"/>
        <item m="1" x="3409"/>
        <item m="1" x="2590"/>
        <item m="1" x="3003"/>
        <item m="1" x="3007"/>
        <item m="1" x="3777"/>
        <item m="1" x="4715"/>
        <item m="1" x="2116"/>
        <item m="1" x="3016"/>
        <item m="1" x="2559"/>
        <item m="1" x="3793"/>
        <item m="1" x="3486"/>
        <item m="1" x="3135"/>
        <item m="1" x="3891"/>
        <item m="1" x="2732"/>
        <item m="1" x="2909"/>
        <item m="1" x="3596"/>
        <item m="1" x="3289"/>
        <item m="1" x="3800"/>
        <item m="1" x="2134"/>
        <item m="1" x="3740"/>
        <item m="1" x="3421"/>
        <item m="1" x="4927"/>
        <item m="1" x="4661"/>
        <item m="1" x="3868"/>
        <item m="1" x="3983"/>
        <item m="1" x="3203"/>
        <item m="1" x="4121"/>
        <item m="1" x="3754"/>
        <item m="1" x="3381"/>
        <item m="1" x="4389"/>
        <item m="1" x="3768"/>
        <item m="1" x="3244"/>
        <item m="1" x="3607"/>
        <item m="1" x="3751"/>
        <item m="1" x="3860"/>
        <item m="1" x="4004"/>
        <item m="1" x="4126"/>
        <item m="1" x="3491"/>
        <item m="1" x="3635"/>
        <item m="1" x="3239"/>
        <item m="1" x="4282"/>
        <item m="1" x="3369"/>
        <item m="1" x="3521"/>
        <item m="1" x="3247"/>
        <item m="1" x="3980"/>
        <item m="1" x="2695"/>
        <item m="1" x="3263"/>
        <item m="1" x="2984"/>
        <item m="1" x="2718"/>
        <item m="1" x="2860"/>
        <item m="1" x="3259"/>
        <item m="1" x="2713"/>
        <item m="1" x="3125"/>
        <item m="1" x="3403"/>
        <item m="1" x="3538"/>
        <item m="1" x="3662"/>
        <item m="1" x="3112"/>
        <item m="1" x="2981"/>
        <item m="1" x="3667"/>
        <item m="1" x="3889"/>
        <item m="1" x="3864"/>
        <item m="1" x="3882"/>
        <item m="1" x="3411"/>
        <item m="1" x="3414"/>
        <item m="1" x="3541"/>
        <item m="1" x="3282"/>
        <item m="1" x="3804"/>
        <item m="1" x="2869"/>
        <item m="1" x="3808"/>
        <item m="1" x="2420"/>
        <item m="1" x="2268"/>
        <item m="1" x="3130"/>
        <item m="1" x="3001"/>
        <item m="1" x="2724"/>
        <item m="1" x="2689"/>
        <item m="1" x="3529"/>
        <item m="1" x="3132"/>
        <item m="1" x="2272"/>
        <item m="1" x="2741"/>
        <item m="1" x="2567"/>
        <item m="1" x="2140"/>
        <item m="1" x="2579"/>
        <item m="1" x="2130"/>
        <item m="1" x="2296"/>
        <item m="1" x="3418"/>
        <item m="1" x="3155"/>
        <item m="1" x="3032"/>
        <item m="1" x="2300"/>
        <item m="1" x="3023"/>
        <item m="1" x="1665"/>
        <item m="1" x="2756"/>
        <item m="1" x="2442"/>
        <item m="1" x="1981"/>
        <item m="1" x="2158"/>
        <item m="1" x="2887"/>
        <item m="1" x="3140"/>
        <item m="1" x="3745"/>
        <item m="1" x="2311"/>
        <item m="1" x="3425"/>
        <item m="1" x="3037"/>
        <item m="1" x="2450"/>
        <item m="1" x="3029"/>
        <item m="1" x="3276"/>
        <item m="1" x="2465"/>
        <item m="1" x="3020"/>
        <item m="1" x="2306"/>
        <item m="1" x="2455"/>
        <item m="1" x="5892"/>
        <item m="1" x="3012"/>
        <item m="1" x="2004"/>
        <item m="1" x="2594"/>
        <item m="1" x="3315"/>
        <item m="1" x="3415"/>
        <item m="1" x="1670"/>
        <item m="1" x="2893"/>
        <item m="1" x="2895"/>
        <item m="1" x="3168"/>
        <item m="1" x="2902"/>
        <item m="1" x="2971"/>
        <item m="1" x="2880"/>
        <item m="1" x="2120"/>
        <item m="1" x="2437"/>
        <item m="1" x="2016"/>
        <item m="1" x="2341"/>
        <item m="1" x="2303"/>
        <item m="1" x="2629"/>
        <item m="1" x="2737"/>
        <item m="1" x="2189"/>
        <item m="1" x="3515"/>
        <item m="1" x="2330"/>
        <item m="1" x="2024"/>
        <item m="1" x="3435"/>
        <item m="1" x="2763"/>
        <item m="1" x="3151"/>
        <item m="1" x="2448"/>
        <item m="1" x="2898"/>
        <item m="1" x="912"/>
        <item m="1" x="2778"/>
        <item m="1" x="2337"/>
        <item m="1" x="2021"/>
        <item m="1" x="2611"/>
        <item m="1" x="2930"/>
        <item m="1" x="1695"/>
        <item m="1" x="2939"/>
        <item m="1" x="4945"/>
        <item m="1" x="5221"/>
        <item m="1" x="2323"/>
        <item m="1" x="1681"/>
        <item m="1" x="2125"/>
        <item m="1" x="1535"/>
        <item m="1" x="2315"/>
        <item m="1" x="2153"/>
        <item m="1" x="3702"/>
        <item m="1" x="1986"/>
        <item m="1" x="2907"/>
        <item m="1" x="3916"/>
        <item m="1" x="5321"/>
        <item m="1" x="1706"/>
        <item m="1" x="1722"/>
        <item m="1" x="2033"/>
        <item m="1" x="1579"/>
        <item m="1" x="1529"/>
        <item m="1" x="2801"/>
        <item m="1" x="2775"/>
        <item m="1" x="2149"/>
        <item m="1" x="1216"/>
        <item m="1" x="1410"/>
        <item m="1" x="2170"/>
        <item m="1" x="1860"/>
        <item m="1" x="2461"/>
        <item m="1" x="1713"/>
        <item m="1" x="1541"/>
        <item m="1" x="3532"/>
        <item m="1" x="2606"/>
        <item m="1" x="1857"/>
        <item m="1" x="1522"/>
        <item m="1" x="2925"/>
        <item m="1" x="1996"/>
        <item m="1" x="4408"/>
        <item m="1" x="1067"/>
        <item m="1" x="1868"/>
        <item m="1" x="1546"/>
        <item m="1" x="2146"/>
        <item m="1" x="3439"/>
        <item m="1" x="2783"/>
        <item m="1" x="1070"/>
        <item m="1" x="3280"/>
        <item m="1" x="917"/>
        <item m="1" x="2789"/>
        <item m="1" x="1081"/>
        <item m="1" x="2349"/>
        <item m="1" x="1888"/>
        <item m="1" x="2487"/>
        <item m="1" x="1709"/>
        <item m="1" x="1550"/>
        <item m="1" x="1847"/>
        <item m="1" x="2584"/>
        <item m="1" x="2905"/>
        <item m="1" x="2600"/>
        <item m="1" x="2326"/>
        <item m="1" x="3304"/>
        <item m="1" x="2183"/>
        <item m="1" x="1108"/>
        <item m="1" x="1704"/>
        <item m="1" x="2179"/>
        <item m="1" x="1879"/>
        <item m="1" x="933"/>
        <item m="1" x="1239"/>
        <item m="1" x="4869"/>
        <item m="1" x="2029"/>
        <item m="1" x="1101"/>
        <item m="1" x="1112"/>
        <item m="1" x="1246"/>
        <item m="1" x="984"/>
        <item m="1" x="922"/>
        <item m="1" x="1226"/>
        <item m="1" x="1717"/>
        <item m="1" x="1731"/>
        <item m="1" x="1544"/>
        <item m="1" x="2795"/>
        <item m="1" x="4589"/>
        <item m="1" x="657"/>
        <item m="1" x="1675"/>
        <item m="1" x="1899"/>
        <item m="1" x="1134"/>
        <item m="1" x="3611"/>
        <item m="1" x="2469"/>
        <item m="1" x="1589"/>
        <item m="1" x="1232"/>
        <item m="1" x="1574"/>
        <item m="1" x="1077"/>
        <item m="1" x="1095"/>
        <item m="1" x="1753"/>
        <item m="1" x="3785"/>
        <item m="1" x="6642"/>
        <item m="1" x="2381"/>
        <item m="1" x="1124"/>
        <item m="1" x="3273"/>
        <item m="1" x="1750"/>
        <item m="1" x="1455"/>
        <item m="1" x="1392"/>
        <item m="1" x="2057"/>
        <item m="1" x="522"/>
        <item m="1" x="928"/>
        <item m="1" x="2357"/>
        <item m="1" x="4250"/>
        <item m="1" x="1446"/>
        <item m="1" x="1142"/>
        <item m="1" x="487"/>
        <item m="1" x="2282"/>
        <item m="1" x="963"/>
        <item m="1" x="2921"/>
        <item m="1" x="1267"/>
        <item m="1" x="2210"/>
        <item m="1" x="2475"/>
        <item m="1" x="3429"/>
        <item m="1" x="1586"/>
        <item m="1" x="2050"/>
        <item m="1" x="1787"/>
        <item m="1" x="952"/>
        <item m="1" x="2752"/>
        <item m="1" x="3956"/>
        <item m="1" x="958"/>
        <item m="1" x="2726"/>
        <item m="1" x="1607"/>
        <item m="1" x="1600"/>
        <item m="1" x="1371"/>
        <item m="1" x="682"/>
        <item m="1" x="1639"/>
        <item m="1" x="2369"/>
        <item m="1" x="1402"/>
        <item m="1" x="1906"/>
        <item m="1" x="1558"/>
        <item m="1" x="2040"/>
        <item m="1" x="2352"/>
        <item m="1" x="3293"/>
        <item m="1" x="1386"/>
        <item m="1" x="1593"/>
        <item m="1" x="1148"/>
        <item m="1" x="1427"/>
        <item m="1" x="2343"/>
        <item m="1" x="1910"/>
        <item m="1" x="5648"/>
        <item m="1" x="1133"/>
        <item m="1" x="2602"/>
        <item m="1" x="3973"/>
        <item m="1" x="641"/>
        <item m="1" x="971"/>
        <item m="1" x="797"/>
        <item m="1" x="785"/>
        <item m="1" x="2291"/>
        <item m="1" x="5044"/>
        <item m="1" x="1873"/>
        <item m="1" x="2562"/>
        <item m="1" x="3310"/>
        <item m="1" x="2767"/>
        <item m="1" x="2144"/>
        <item m="1" x="2771"/>
        <item m="1" x="1687"/>
        <item m="1" x="1517"/>
        <item m="1" x="2620"/>
        <item m="1" x="2175"/>
        <item m="1" x="2624"/>
        <item m="1" x="1823"/>
        <item m="1" x="2917"/>
        <item m="1" x="2640"/>
        <item m="1" x="2013"/>
        <item m="1" x="1700"/>
        <item m="1" x="1375"/>
        <item m="1" x="2482"/>
        <item m="1" x="2935"/>
        <item m="1" x="2335"/>
        <item m="1" x="1853"/>
        <item m="1" x="1976"/>
        <item m="1" x="1737"/>
        <item m="1" x="2192"/>
        <item m="1" x="1382"/>
        <item m="1" x="2188"/>
        <item m="1" x="1088"/>
        <item m="1" x="1838"/>
        <item m="1" x="1747"/>
        <item m="1" x="1119"/>
        <item m="1" x="967"/>
        <item m="1" x="2376"/>
        <item m="1" x="1597"/>
        <item m="1" x="2363"/>
        <item m="1" x="1416"/>
        <item m="1" x="1564"/>
        <item m="1" x="2216"/>
        <item m="1" x="1744"/>
        <item m="1" x="503"/>
        <item m="1" x="652"/>
        <item m="1" x="2223"/>
        <item m="1" x="1423"/>
        <item m="1" x="1275"/>
        <item m="1" x="1297"/>
        <item m="1" x="826"/>
        <item m="1" x="677"/>
        <item m="1" x="2196"/>
        <item m="1" x="1631"/>
        <item m="1" x="1004"/>
        <item m="1" x="6667"/>
        <item m="1" x="542"/>
        <item m="1" x="1439"/>
        <item m="1" x="1626"/>
        <item m="1" x="1462"/>
        <item m="1" x="1399"/>
        <item m="1" x="535"/>
        <item m="1" x="1303"/>
        <item m="1" x="6658"/>
        <item m="1" x="6651"/>
        <item m="1" x="759"/>
        <item x="63"/>
        <item x="65"/>
        <item m="1" x="415"/>
        <item m="1" x="421"/>
        <item m="1" x="426"/>
        <item m="1" x="432"/>
        <item m="1" x="440"/>
        <item m="1" x="445"/>
        <item m="1" x="6140"/>
        <item m="1" x="6145"/>
        <item m="1" x="6151"/>
        <item m="1" x="6156"/>
        <item m="1" x="6174"/>
        <item m="1" x="6181"/>
        <item m="1" x="6188"/>
        <item m="1" x="5574"/>
        <item m="1" x="5581"/>
        <item m="1" x="5587"/>
        <item m="1" x="5589"/>
        <item m="1" x="5596"/>
        <item m="1" x="5603"/>
        <item m="1" x="5610"/>
        <item m="1" x="5616"/>
        <item m="1" x="5623"/>
        <item m="1" x="5630"/>
        <item m="1" x="5001"/>
        <item m="1" x="5008"/>
        <item m="1" x="5014"/>
        <item m="1" x="5021"/>
        <item m="1" x="5026"/>
        <item m="1" x="5030"/>
        <item m="1" x="5033"/>
        <item m="1" x="5037"/>
        <item m="1" x="1811"/>
        <item m="1" x="1814"/>
        <item m="1" x="1818"/>
        <item m="1" x="1414"/>
        <item m="1" x="3296"/>
        <item m="1" x="2616"/>
        <item m="1" x="1155"/>
        <item m="1" x="2072"/>
        <item m="1" x="646"/>
        <item m="1" x="1779"/>
        <item m="1" x="3476"/>
        <item m="1" x="509"/>
        <item m="1" x="1467"/>
        <item m="1" x="1420"/>
        <item m="1" x="381"/>
        <item m="1" x="1290"/>
        <item m="1" x="1756"/>
        <item m="1" x="1433"/>
        <item m="1" x="840"/>
        <item m="1" x="2655"/>
        <item m="1" x="1832"/>
        <item m="1" x="528"/>
        <item m="1" x="6680"/>
        <item m="1" x="992"/>
        <item m="1" x="636"/>
        <item m="1" x="2360"/>
        <item m="1" x="2509"/>
        <item m="1" x="1614"/>
        <item m="1" x="1587"/>
        <item m="1" x="1884"/>
        <item m="1" x="1727"/>
        <item m="1" x="844"/>
        <item m="1" x="1765"/>
        <item m="1" x="1222"/>
        <item m="1" x="1766"/>
        <item m="1" x="2660"/>
        <item m="1" x="1569"/>
        <item m="1" x="833"/>
        <item m="1" x="2354"/>
        <item m="1" x="496"/>
        <item m="1" x="2219"/>
        <item m="1" x="819"/>
        <item m="1" x="1601"/>
        <item m="1" x="939"/>
        <item m="1" x="1584"/>
        <item m="1" x="2046"/>
        <item m="1" x="1554"/>
        <item m="1" x="1790"/>
        <item m="1" x="665"/>
        <item m="1" x="4106"/>
        <item m="1" x="1733"/>
        <item m="1" x="2546"/>
        <item m="1" x="1739"/>
        <item m="1" x="1308"/>
        <item m="1" x="5127"/>
        <item m="1" x="1745"/>
        <item m="1" x="1415"/>
        <item m="1" x="2498"/>
        <item m="1" x="2067"/>
        <item m="1" x="2407"/>
        <item m="1" x="804"/>
        <item m="1" x="2518"/>
        <item m="1" x="1450"/>
        <item m="1" x="2045"/>
        <item m="1" x="375"/>
        <item m="1" x="811"/>
        <item m="1" x="1151"/>
        <item m="1" x="1902"/>
        <item m="1" x="1571"/>
        <item m="1" x="2667"/>
        <item m="1" x="2082"/>
        <item m="1" x="2848"/>
        <item m="1" x="2534"/>
        <item m="1" x="2236"/>
        <item m="1" x="1008"/>
        <item m="1" x="2425"/>
        <item m="1" x="1428"/>
        <item m="1" x="1440"/>
        <item m="1" x="2843"/>
        <item m="1" x="2087"/>
        <item m="1" x="2523"/>
        <item m="1" x="3298"/>
        <item m="1" x="390"/>
        <item m="1" x="2373"/>
        <item m="1" x="2206"/>
        <item m="1" x="1608"/>
        <item m="1" x="1636"/>
        <item m="1" x="1116"/>
        <item m="1" x="1284"/>
        <item m="1" x="2075"/>
        <item m="1" x="1773"/>
        <item m="1" x="1896"/>
        <item m="1" x="2200"/>
        <item m="1" x="2253"/>
        <item m="1" x="1407"/>
        <item m="1" x="815"/>
        <item m="1" x="2397"/>
        <item m="1" x="2385"/>
        <item m="1" x="1161"/>
        <item m="1" x="2855"/>
        <item m="1" x="1293"/>
        <item m="1" x="1627"/>
        <item m="1" x="824"/>
        <item m="1" x="2403"/>
        <item m="1" x="1929"/>
        <item m="1" x="2247"/>
        <item m="1" x="853"/>
        <item m="1" x="996"/>
        <item m="1" x="2861"/>
        <item m="1" x="1935"/>
        <item m="1" x="2092"/>
        <item m="1" x="988"/>
        <item m="1" x="2379"/>
        <item m="1" x="2230"/>
        <item m="1" x="1447"/>
        <item m="1" x="830"/>
        <item m="1" x="1576"/>
        <item m="1" x="1941"/>
        <item m="1" x="1827"/>
        <item m="1" x="1913"/>
        <item m="1" x="2540"/>
        <item m="1" x="1770"/>
        <item m="1" x="2703"/>
        <item m="1" x="1617"/>
        <item m="1" x="2226"/>
        <item m="1" x="1507"/>
        <item m="1" x="1788"/>
        <item m="1" x="2257"/>
        <item m="1" x="1960"/>
        <item m="1" x="1299"/>
        <item m="1" x="1485"/>
        <item m="1" x="1458"/>
        <item m="1" x="6557"/>
        <item m="1" x="1027"/>
        <item m="1" x="1785"/>
        <item m="1" x="1950"/>
        <item m="1" x="1015"/>
        <item m="1" x="1808"/>
        <item m="1" x="1964"/>
        <item m="1" x="1795"/>
        <item m="1" x="2912"/>
        <item m="1" x="2001"/>
        <item m="1" x="1582"/>
        <item m="1" x="2053"/>
        <item m="1" x="1159"/>
        <item m="1" x="1012"/>
        <item m="1" x="1471"/>
        <item m="1" x="2828"/>
        <item m="1" x="2367"/>
        <item m="1" x="2817"/>
        <item m="1" x="2213"/>
        <item m="1" x="2822"/>
        <item m="1" x="2391"/>
        <item m="1" x="2673"/>
        <item m="1" x="1594"/>
        <item m="1" x="2094"/>
        <item m="1" x="2690"/>
        <item m="1" x="1938"/>
        <item m="1" x="2100"/>
        <item m="1" x="1757"/>
        <item m="1" x="1456"/>
        <item m="1" x="2251"/>
        <item m="1" x="1002"/>
        <item m="1" x="1777"/>
        <item m="1" x="1931"/>
        <item m="1" x="1782"/>
        <item m="1" x="2098"/>
        <item m="1" x="2683"/>
        <item m="1" x="1442"/>
        <item m="1" x="1137"/>
        <item m="1" x="1464"/>
        <item m="1" x="1010"/>
        <item m="1" x="2109"/>
        <item m="1" x="2269"/>
        <item m="1" x="837"/>
        <item m="1" x="1644"/>
        <item m="1" x="1021"/>
        <item m="1" x="2121"/>
        <item m="1" x="2273"/>
        <item m="1" x="855"/>
        <item m="1" x="2264"/>
        <item m="1" x="861"/>
        <item m="1" x="2277"/>
        <item m="1" x="6552"/>
        <item m="1" x="1623"/>
        <item m="1" x="858"/>
        <item m="1" x="1325"/>
        <item m="1" x="2126"/>
        <item m="1" x="704"/>
        <item m="1" x="1175"/>
        <item m="1" x="2287"/>
        <item m="1" x="1637"/>
        <item m="1" x="1333"/>
        <item m="1" x="709"/>
        <item m="1" x="1650"/>
        <item m="1" x="2339"/>
        <item m="1" x="2480"/>
        <item m="1" x="1073"/>
        <item m="1" x="1217"/>
        <item m="1" x="3326"/>
        <item m="1" x="3423"/>
        <item m="1" x="873"/>
        <item m="1" x="2245"/>
        <item m="1" x="2503"/>
        <item m="1" x="1805"/>
        <item m="1" x="2747"/>
        <item m="1" x="2117"/>
        <item m="1" x="1792"/>
        <item m="1" x="1172"/>
        <item m="1" x="1157"/>
        <item m="1" x="1658"/>
        <item m="1" x="1666"/>
        <item m="1" x="867"/>
        <item m="1" x="1165"/>
        <item m="1" x="1177"/>
        <item m="1" x="3145"/>
        <item m="1" x="578"/>
        <item m="1" x="2838"/>
        <item m="1" x="1633"/>
        <item m="1" x="434"/>
        <item m="1" x="428"/>
        <item m="1" x="1477"/>
        <item m="1" x="1328"/>
        <item m="1" x="1034"/>
        <item m="1" x="1322"/>
        <item m="1" x="1469"/>
        <item m="1" x="1800"/>
        <item m="1" x="1310"/>
        <item m="1" x="1656"/>
        <item m="1" x="1330"/>
        <item m="1" x="1953"/>
        <item m="1" x="3517"/>
        <item m="1" x="1503"/>
        <item m="1" x="1649"/>
        <item m="1" x="1491"/>
        <item m="1" x="1032"/>
        <item m="1" x="568"/>
        <item m="1" x="395"/>
        <item m="1" x="6575"/>
        <item m="1" x="1487"/>
        <item m="1" x="573"/>
        <item m="1" x="700"/>
        <item m="1" x="1499"/>
        <item m="1" x="1169"/>
        <item m="1" x="1024"/>
        <item m="1" x="1473"/>
        <item m="1" x="6135"/>
        <item m="1" x="2309"/>
        <item m="1" x="6563"/>
        <item m="1" x="892"/>
        <item m="1" x="6146"/>
        <item m="1" x="6570"/>
        <item m="1" x="6157"/>
        <item m="1" x="417"/>
        <item m="1" x="1196"/>
        <item m="1" x="6585"/>
        <item m="1" x="590"/>
        <item m="1" x="1055"/>
        <item m="1" x="576"/>
        <item m="1" x="1039"/>
        <item m="1" x="6439"/>
        <item m="1" x="6581"/>
        <item m="1" x="5982"/>
        <item m="1" x="1661"/>
        <item m="1" x="726"/>
        <item m="1" x="1502"/>
        <item m="1" x="869"/>
        <item m="1" x="6444"/>
        <item m="1" x="1518"/>
        <item m="1" x="1180"/>
        <item m="1" x="711"/>
        <item m="1" x="1512"/>
        <item m="1" x="2430"/>
        <item m="1" x="1682"/>
        <item m="1" x="442"/>
        <item m="1" x="739"/>
        <item m="1" x="1654"/>
        <item m="1" x="1204"/>
        <item m="1" x="467"/>
        <item m="1" x="6010"/>
        <item m="1" x="1496"/>
        <item m="1" x="1082"/>
        <item m="1" x="615"/>
        <item m="1" x="6303"/>
        <item m="1" x="451"/>
        <item m="1" x="5419"/>
        <item m="1" x="438"/>
        <item m="1" x="1058"/>
        <item m="1" x="6023"/>
        <item m="1" x="6448"/>
        <item m="1" x="5721"/>
        <item m="1" x="6458"/>
        <item m="1" x="1523"/>
        <item m="1" x="732"/>
        <item m="1" x="1185"/>
        <item m="1" x="1688"/>
        <item m="1" x="1060"/>
        <item m="1" x="6152"/>
        <item m="1" x="737"/>
        <item m="1" x="905"/>
        <item m="1" x="2758"/>
        <item m="1" x="6326"/>
        <item m="1" x="730"/>
        <item m="1" x="598"/>
        <item m="1" x="5726"/>
        <item m="1" x="913"/>
        <item m="1" x="1053"/>
        <item m="1" x="5583"/>
        <item m="1" x="2104"/>
        <item m="1" x="1919"/>
        <item m="1" x="1344"/>
        <item m="1" x="563"/>
        <item m="1" x="595"/>
        <item m="1" x="5868"/>
        <item m="1" x="6021"/>
        <item m="1" x="620"/>
        <item m="1" x="6611"/>
        <item m="1" x="746"/>
        <item m="1" x="718"/>
        <item m="1" x="6473"/>
        <item m="1" x="1050"/>
        <item m="1" x="5750"/>
        <item m="1" x="6592"/>
        <item m="1" x="610"/>
        <item m="1" x="5455"/>
        <item m="1" x="5990"/>
        <item m="1" x="479"/>
        <item m="1" x="6647"/>
        <item m="1" x="1068"/>
        <item m="1" x="444"/>
        <item m="1" x="741"/>
        <item m="1" x="593"/>
        <item m="1" x="6431"/>
        <item m="1" x="458"/>
        <item m="1" x="6482"/>
        <item m="1" x="1676"/>
        <item m="1" x="6215"/>
        <item m="1" x="762"/>
        <item m="1" x="6029"/>
        <item m="1" x="5576"/>
        <item m="1" x="6607"/>
        <item m="1" x="6590"/>
        <item m="1" x="5738"/>
        <item m="1" x="6311"/>
        <item m="1" x="1945"/>
        <item m="1" x="5745"/>
        <item m="1" x="5626"/>
        <item m="1" x="6219"/>
        <item m="1" x="5180"/>
        <item m="1" x="2060"/>
        <item m="1" x="5636"/>
        <item m="1" x="767"/>
        <item m="1" x="1481"/>
        <item m="1" x="6187"/>
        <item m="1" x="6183"/>
        <item m="1" x="455"/>
        <item m="1" x="5591"/>
        <item m="1" x="510"/>
        <item m="1" x="6068"/>
        <item m="1" x="1338"/>
        <item m="1" x="1045"/>
        <item m="1" x="423"/>
        <item m="1" x="713"/>
        <item m="1" x="409"/>
        <item m="1" x="570"/>
        <item m="1" x="876"/>
        <item m="1" x="889"/>
        <item m="1" x="894"/>
        <item m="1" x="1201"/>
        <item m="1" x="1350"/>
        <item m="1" x="1355"/>
        <item m="1" x="1188"/>
        <item m="1" x="847"/>
        <item m="1" x="899"/>
        <item m="1" x="884"/>
        <item m="1" x="431"/>
        <item m="1" x="897"/>
        <item m="1" x="6453"/>
        <item m="1" x="879"/>
        <item m="1" x="6004"/>
        <item m="1" x="908"/>
        <item m="1" x="6598"/>
        <item m="1" x="448"/>
        <item m="1" x="1063"/>
        <item m="1" x="6162"/>
        <item m="1" x="605"/>
        <item m="1" x="753"/>
        <item m="1" x="929"/>
        <item m="1" x="6322"/>
        <item m="1" x="923"/>
        <item m="1" x="6028"/>
        <item m="1" x="749"/>
        <item m="1" x="1072"/>
        <item m="1" x="1089"/>
        <item m="1" x="6299"/>
        <item m="1" x="6471"/>
        <item m="1" x="6623"/>
        <item m="1" x="6615"/>
        <item m="1" x="6320"/>
        <item m="1" x="6026"/>
        <item m="1" x="6617"/>
        <item m="1" x="5432"/>
        <item m="1" x="6462"/>
        <item m="1" x="5733"/>
        <item m="1" x="5883"/>
        <item m="1" x="6166"/>
        <item m="1" x="6172"/>
        <item m="1" x="6033"/>
        <item m="1" x="5438"/>
        <item m="1" x="475"/>
        <item m="1" x="6316"/>
        <item m="1" x="5878"/>
        <item m="1" x="6334"/>
        <item m="1" x="5442"/>
        <item m="1" x="6037"/>
        <item m="1" x="6638"/>
        <item m="1" x="6632"/>
        <item m="1" x="6197"/>
        <item m="1" x="6487"/>
        <item m="1" x="6209"/>
        <item m="1" x="5896"/>
        <item m="1" x="902"/>
        <item m="1" x="5606"/>
        <item m="1" x="465"/>
        <item m="1" x="6477"/>
        <item m="1" x="6051"/>
        <item m="1" x="6660"/>
        <item m="1" x="5462"/>
        <item m="1" x="492"/>
        <item m="1" x="4998"/>
        <item m="1" x="6179"/>
        <item m="1" x="497"/>
        <item m="1" x="4857"/>
        <item m="1" x="6057"/>
        <item m="1" x="6062"/>
        <item m="1" x="1377"/>
        <item m="1" x="1551"/>
        <item m="1" x="1711"/>
        <item m="1" x="1866"/>
        <item x="0"/>
        <item x="1"/>
        <item x="2"/>
        <item x="3"/>
        <item x="4"/>
        <item x="5"/>
        <item x="6"/>
        <item x="17"/>
        <item x="7"/>
        <item x="8"/>
        <item x="9"/>
        <item x="10"/>
        <item x="20"/>
        <item x="11"/>
        <item x="12"/>
        <item x="13"/>
        <item x="14"/>
        <item x="15"/>
        <item x="16"/>
        <item x="18"/>
        <item x="1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4"/>
        <item x="365"/>
        <item x="366"/>
        <item x="367"/>
        <item x="368"/>
        <item x="369"/>
        <item x="370"/>
        <item x="371"/>
        <item x="372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4"/>
  </rowFields>
  <rowItems count="89">
    <i>
      <x v="6403"/>
    </i>
    <i>
      <x v="6451"/>
    </i>
    <i>
      <x v="6452"/>
    </i>
    <i>
      <x v="6477"/>
    </i>
    <i>
      <x v="6494"/>
    </i>
    <i>
      <x v="6495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02CCB-CCF1-41CD-821E-146E02918992}" name="TablaDinámica1" cacheId="1" applyNumberFormats="0" applyBorderFormats="0" applyFontFormats="0" applyPatternFormats="0" applyAlignmentFormats="0" applyWidthHeightFormats="1" dataCaption="Valores" updatedVersion="6" minRefreshableVersion="3" useAutoFormatting="1" colGrandTotals="0" itemPrintTitles="1" createdVersion="6" indent="0" compact="0" compactData="0" multipleFieldFilters="0">
  <location ref="A3:E12" firstHeaderRow="0" firstDataRow="1" firstDataCol="3"/>
  <pivotFields count="25">
    <pivotField compact="0" numFmtId="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154">
        <item x="120"/>
        <item x="143"/>
        <item x="60"/>
        <item x="150"/>
        <item x="55"/>
        <item x="53"/>
        <item x="58"/>
        <item x="139"/>
        <item x="119"/>
        <item x="22"/>
        <item x="149"/>
        <item x="52"/>
        <item x="59"/>
        <item x="61"/>
        <item x="62"/>
        <item x="51"/>
        <item x="49"/>
        <item x="141"/>
        <item x="138"/>
        <item x="137"/>
        <item x="1"/>
        <item x="54"/>
        <item x="87"/>
        <item x="146"/>
        <item x="144"/>
        <item x="89"/>
        <item x="79"/>
        <item x="84"/>
        <item x="90"/>
        <item x="148"/>
        <item x="151"/>
        <item x="56"/>
        <item x="101"/>
        <item x="3"/>
        <item x="124"/>
        <item x="37"/>
        <item x="78"/>
        <item x="145"/>
        <item x="41"/>
        <item x="4"/>
        <item x="82"/>
        <item x="142"/>
        <item x="91"/>
        <item x="81"/>
        <item x="85"/>
        <item x="63"/>
        <item x="18"/>
        <item x="140"/>
        <item x="92"/>
        <item x="40"/>
        <item x="102"/>
        <item x="2"/>
        <item x="118"/>
        <item x="14"/>
        <item x="17"/>
        <item x="30"/>
        <item x="109"/>
        <item x="7"/>
        <item x="80"/>
        <item x="43"/>
        <item x="128"/>
        <item x="11"/>
        <item x="117"/>
        <item x="44"/>
        <item x="67"/>
        <item x="15"/>
        <item x="66"/>
        <item x="75"/>
        <item x="42"/>
        <item x="9"/>
        <item x="57"/>
        <item x="134"/>
        <item x="23"/>
        <item x="50"/>
        <item x="0"/>
        <item x="111"/>
        <item x="74"/>
        <item x="36"/>
        <item x="25"/>
        <item x="12"/>
        <item x="100"/>
        <item x="76"/>
        <item x="99"/>
        <item x="110"/>
        <item x="104"/>
        <item x="115"/>
        <item x="10"/>
        <item x="108"/>
        <item x="6"/>
        <item x="8"/>
        <item x="26"/>
        <item x="127"/>
        <item x="45"/>
        <item x="93"/>
        <item x="107"/>
        <item x="126"/>
        <item x="114"/>
        <item x="13"/>
        <item x="48"/>
        <item x="112"/>
        <item x="29"/>
        <item x="121"/>
        <item x="147"/>
        <item x="19"/>
        <item x="35"/>
        <item x="103"/>
        <item x="133"/>
        <item x="5"/>
        <item x="96"/>
        <item x="64"/>
        <item x="105"/>
        <item x="16"/>
        <item x="135"/>
        <item x="113"/>
        <item x="32"/>
        <item x="73"/>
        <item x="136"/>
        <item x="88"/>
        <item x="47"/>
        <item x="129"/>
        <item x="24"/>
        <item x="65"/>
        <item x="106"/>
        <item x="70"/>
        <item x="20"/>
        <item x="116"/>
        <item x="39"/>
        <item x="21"/>
        <item x="33"/>
        <item x="28"/>
        <item x="83"/>
        <item x="38"/>
        <item x="31"/>
        <item x="46"/>
        <item x="77"/>
        <item x="27"/>
        <item x="122"/>
        <item x="34"/>
        <item x="131"/>
        <item x="72"/>
        <item x="98"/>
        <item x="94"/>
        <item x="123"/>
        <item x="95"/>
        <item x="69"/>
        <item x="68"/>
        <item x="132"/>
        <item x="86"/>
        <item x="125"/>
        <item x="71"/>
        <item x="97"/>
        <item x="130"/>
        <item x="15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2"/>
        <item x="0"/>
        <item x="3"/>
        <item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33">
        <item x="19"/>
        <item x="20"/>
        <item x="2"/>
        <item x="7"/>
        <item x="12"/>
        <item x="1"/>
        <item x="0"/>
        <item x="6"/>
        <item x="3"/>
        <item x="4"/>
        <item x="21"/>
        <item x="18"/>
        <item x="22"/>
        <item x="5"/>
        <item x="8"/>
        <item x="11"/>
        <item x="23"/>
        <item x="9"/>
        <item x="10"/>
        <item x="15"/>
        <item x="13"/>
        <item x="16"/>
        <item x="17"/>
        <item x="14"/>
        <item x="27"/>
        <item x="24"/>
        <item x="28"/>
        <item x="25"/>
        <item x="30"/>
        <item x="26"/>
        <item x="29"/>
        <item x="3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7"/>
    <field x="16"/>
    <field x="14"/>
  </rowFields>
  <rowItems count="9">
    <i>
      <x/>
      <x/>
      <x/>
    </i>
    <i r="2">
      <x v="1"/>
    </i>
    <i r="2">
      <x v="3"/>
    </i>
    <i r="1">
      <x v="1"/>
      <x/>
    </i>
    <i r="2">
      <x v="1"/>
    </i>
    <i r="2">
      <x v="2"/>
    </i>
    <i r="2">
      <x v="3"/>
    </i>
    <i>
      <x v="1"/>
      <x v="2"/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Margen_bruto" fld="12" baseField="0" baseItem="0"/>
    <dataField name="Suma de Dias_Taller" fld="18" baseField="0" baseItem="0"/>
  </dataFields>
  <formats count="1">
    <format dxfId="26">
      <pivotArea collapsedLevelsAreSubtotals="1" fieldPosition="0">
        <references count="3">
          <reference field="14" count="0"/>
          <reference field="16" count="2" selected="0">
            <x v="0"/>
            <x v="1"/>
          </reference>
          <reference field="17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130B27-7B15-447C-AC57-E1A88313C680}" name="Tabla2" displayName="Tabla2" ref="B7:Y35" totalsRowShown="0" headerRowDxfId="25" tableBorderDxfId="24">
  <tableColumns count="24">
    <tableColumn id="1" xr3:uid="{3919A67C-A127-42FD-9E4A-C92DB22CF1E7}" name="Fecha2" dataDxfId="23">
      <calculatedColumnFormula array="1">IF(ROWS(B$8:B8)&lt;=$C$3,INDEX(INDIRECT(B$7),SMALL(IF(Tip_Cli=$B$3,ROW(Tip_Cli)-ROW(Facturacion!$AL$4)+1),ROWS(B$8:B8))),"")</calculatedColumnFormula>
    </tableColumn>
    <tableColumn id="2" xr3:uid="{4F0C615E-F3F1-4AA8-A7AB-189E0E9280EF}" name="OT_Unicas" dataDxfId="22">
      <calculatedColumnFormula array="1">IF(ROWS(C$8:C8)&lt;=$C$3,INDEX(INDIRECT(C$7),SMALL(IF(Tip_Cli=$B$3,ROW(Tip_Cli)-ROW(Facturacion!$AL$4)+1),ROWS(C$8:C8))),"")</calculatedColumnFormula>
    </tableColumn>
    <tableColumn id="3" xr3:uid="{7E75F3B8-CD86-4114-96B8-EBCF1ED9068A}" name="Sum_Acum" dataDxfId="21">
      <calculatedColumnFormula array="1">IF(ROWS(D$8:D8)&lt;=$C$3,INDEX(INDIRECT(D$7),SMALL(IF(Tip_Cli=$B$3,ROW(Tip_Cli)-ROW(Facturacion!$AL$4)+1),ROWS(D$8:D8))),"")</calculatedColumnFormula>
    </tableColumn>
    <tableColumn id="4" xr3:uid="{1F17903F-904F-4D9D-872B-928B890EBAE4}" name="Salidas_Almacen" dataDxfId="20">
      <calculatedColumnFormula array="1">IF(ROWS(E$8:E8)&lt;=$C$3,INDEX(INDIRECT(E$7),SMALL(IF(Tip_Cli=$B$3,ROW(Tip_Cli)-ROW(Facturacion!$AL$4)+1),ROWS(E$8:E8))),"")</calculatedColumnFormula>
    </tableColumn>
    <tableColumn id="5" xr3:uid="{851BB3E3-3988-4FB4-BCD7-1A542DCE7A7B}" name="Compras_Rpto" dataDxfId="19">
      <calculatedColumnFormula array="1">IF(ROWS(F$8:F8)&lt;=$C$3,INDEX(INDIRECT(F$7),SMALL(IF(Tip_Cli=$B$3,ROW(Tip_Cli)-ROW(Facturacion!$AL$4)+1),ROWS(F$8:F8))),"")</calculatedColumnFormula>
    </tableColumn>
    <tableColumn id="6" xr3:uid="{DCB63525-53C6-4276-BDA5-03E70FCC3D62}" name="Serv_Terceros" dataDxfId="18">
      <calculatedColumnFormula array="1">IF(ROWS(G$8:G8)&lt;=$C$3,INDEX(INDIRECT(G$7),SMALL(IF(Tip_Cli=$B$3,ROW(Tip_Cli)-ROW(Facturacion!$AL$4)+1),ROWS(G$8:G8))),"")</calculatedColumnFormula>
    </tableColumn>
    <tableColumn id="7" xr3:uid="{65391E42-021F-4918-80C3-A97DF90B5F5C}" name="MO_Mecanica" dataDxfId="17">
      <calculatedColumnFormula array="1">IF(ROWS(H$8:H8)&lt;=$C$3,INDEX(INDIRECT(H$7),SMALL(IF(Tip_Cli=$B$3,ROW(Tip_Cli)-ROW(Facturacion!$AL$4)+1),ROWS(H$8:H8))),"")</calculatedColumnFormula>
    </tableColumn>
    <tableColumn id="8" xr3:uid="{10F54D21-ECB8-41DD-8BC0-D0077EAB9613}" name="MO_Planchado" dataDxfId="16">
      <calculatedColumnFormula array="1">IF(ROWS(I$8:I8)&lt;=$C$3,INDEX(INDIRECT(I$7),SMALL(IF(Tip_Cli=$B$3,ROW(Tip_Cli)-ROW(Facturacion!$AL$4)+1),ROWS(I$8:I8))),"")</calculatedColumnFormula>
    </tableColumn>
    <tableColumn id="9" xr3:uid="{F2B913CF-3EA8-477D-91CF-47E5A9D1B672}" name="MO_Pintura" dataDxfId="15">
      <calculatedColumnFormula array="1">IF(ROWS(J$8:J8)&lt;=$C$3,INDEX(INDIRECT(J$7),SMALL(IF(Tip_Cli=$B$3,ROW(Tip_Cli)-ROW(Facturacion!$AL$4)+1),ROWS(J$8:J8))),"")</calculatedColumnFormula>
    </tableColumn>
    <tableColumn id="10" xr3:uid="{3870DD65-B181-4B74-B16E-287EFDE51172}" name="Ser_Ter_Taller" dataDxfId="14">
      <calculatedColumnFormula array="1">IF(ROWS(K$8:K8)&lt;=$C$3,INDEX(INDIRECT(K$7),SMALL(IF(Tip_Cli=$B$3,ROW(Tip_Cli)-ROW(Facturacion!$AL$4)+1),ROWS(K$8:K8))),"")</calculatedColumnFormula>
    </tableColumn>
    <tableColumn id="11" xr3:uid="{028285BC-4A19-45B3-B8C7-CF7704E72726}" name="Total_Gastos" dataDxfId="13">
      <calculatedColumnFormula array="1">IF(ROWS(L$8:L8)&lt;=$C$3,INDEX(INDIRECT(L$7),SMALL(IF(Tip_Cli=$B$3,ROW(Tip_Cli)-ROW(Facturacion!$AL$4)+1),ROWS(L$8:L8))),"")</calculatedColumnFormula>
    </tableColumn>
    <tableColumn id="12" xr3:uid="{55D25AE6-1A0E-4EBD-8F37-F5275B1399CE}" name="Margen_bruto" dataDxfId="12">
      <calculatedColumnFormula array="1">IF(ROWS(M$8:M8)&lt;=$C$3,INDEX(INDIRECT(M$7),SMALL(IF(Tip_Cli=$B$3,ROW(Tip_Cli)-ROW(Facturacion!$AL$4)+1),ROWS(M$8:M8))),"")</calculatedColumnFormula>
    </tableColumn>
    <tableColumn id="13" xr3:uid="{E475106F-84DB-42DD-8FEC-A03AC656AE4A}" name="Porcentaje" dataDxfId="11">
      <calculatedColumnFormula array="1">IF(ROWS(N$8:N8)&lt;=$C$3,INDEX(INDIRECT(N$7),SMALL(IF(Tip_Cli=$B$3,ROW(Tip_Cli)-ROW(Facturacion!$AL$4)+1),ROWS(N$8:N8))),"")</calculatedColumnFormula>
    </tableColumn>
    <tableColumn id="14" xr3:uid="{82355840-1252-4F91-B56C-DE3B6ABA6D2D}" name="Tip_Cli" dataDxfId="10">
      <calculatedColumnFormula array="1">IF(ROWS(O$8:O8)&lt;=$C$3,INDEX(INDIRECT(O$7),SMALL(IF(Tip_Cli=$B$3,ROW(Tip_Cli)-ROW(Facturacion!$AL$4)+1),ROWS(O$8:O8))),"")</calculatedColumnFormula>
    </tableColumn>
    <tableColumn id="15" xr3:uid="{D24F7A39-52DE-4C43-99E7-DD090A2FEC80}" name="Tip_Siniestro" dataDxfId="9">
      <calculatedColumnFormula array="1">IF(ROWS(P$8:P8)&lt;=$C$3,INDEX(INDIRECT(P$7),SMALL(IF(Tip_Cli=$B$3,ROW(Tip_Cli)-ROW(Facturacion!$AL$4)+1),ROWS(P$8:P8))),"")</calculatedColumnFormula>
    </tableColumn>
    <tableColumn id="16" xr3:uid="{1BE5B881-4CFF-4851-82A7-A62CDFC75E9A}" name="Mes_Fac" dataDxfId="8">
      <calculatedColumnFormula array="1">IF(ROWS(Q$8:Q8)&lt;=$C$3,INDEX(INDIRECT(Q$7),SMALL(IF(Tip_Cli=$B$3,ROW(Tip_Cli)-ROW(Facturacion!$AL$4)+1),ROWS(Q$8:Q8))),"")</calculatedColumnFormula>
    </tableColumn>
    <tableColumn id="17" xr3:uid="{B5F00B08-1F98-48C6-9601-05C648FF40A8}" name="Año_Fac" dataDxfId="7">
      <calculatedColumnFormula array="1">IF(ROWS(R$8:R8)&lt;=$C$3,INDEX(INDIRECT(R$7),SMALL(IF(Tip_Cli=$B$3,ROW(Tip_Cli)-ROW(Facturacion!$AL$4)+1),ROWS(R$8:R8))),"")</calculatedColumnFormula>
    </tableColumn>
    <tableColumn id="18" xr3:uid="{7CDE3BA5-537A-416B-AC04-11B561442876}" name="Dias_Taller" dataDxfId="6">
      <calculatedColumnFormula array="1">IF(ROWS(S$8:S8)&lt;=$C$3,INDEX(INDIRECT(S$7),SMALL(IF(Tip_Cli=$B$3,ROW(Tip_Cli)-ROW(Facturacion!$AL$4)+1),ROWS(S$8:S8))),"")</calculatedColumnFormula>
    </tableColumn>
    <tableColumn id="19" xr3:uid="{34961527-18DA-46CE-8BB3-E0D6628FA303}" name="Cuenta_Dia" dataDxfId="5">
      <calculatedColumnFormula array="1">IF(ROWS(T$8:T8)&lt;=$C$3,INDEX(INDIRECT(T$7),SMALL(IF(Tip_Cli=$B$3,ROW(Tip_Cli)-ROW(Facturacion!$AL$4)+1),ROWS(T$8:T8))),"")</calculatedColumnFormula>
    </tableColumn>
    <tableColumn id="20" xr3:uid="{7455372C-EA0E-4092-914E-C63BEB818E62}" name="Fecha_Rep" dataDxfId="4">
      <calculatedColumnFormula array="1">IF(ROWS(U$8:U8)&lt;=$C$3,INDEX(INDIRECT(U$7),SMALL(IF(Tip_Cli=$B$3,ROW(Tip_Cli)-ROW(Facturacion!$AL$4)+1),ROWS(U$8:U8))),"")</calculatedColumnFormula>
    </tableColumn>
    <tableColumn id="21" xr3:uid="{BB566180-114F-404C-B22E-125FCBF58532}" name="Placa" dataDxfId="3">
      <calculatedColumnFormula array="1">IF(ROWS(V$8:V8)&lt;=$C$3,INDEX(INDIRECT(V$7),SMALL(IF(Tip_Cli=$B$3,ROW(Tip_Cli)-ROW(Facturacion!$AL$4)+1),ROWS(V$8:V8))),"")</calculatedColumnFormula>
    </tableColumn>
    <tableColumn id="22" xr3:uid="{D5A9D412-05D5-4978-A5A5-3DD7A81C27A0}" name="Marca" dataDxfId="2">
      <calculatedColumnFormula array="1">IF(ROWS(W$8:W8)&lt;=$C$3,INDEX(INDIRECT(W$7),SMALL(IF(Tip_Cli=$B$3,ROW(Tip_Cli)-ROW(Facturacion!$AL$4)+1),ROWS(W$8:W8))),"")</calculatedColumnFormula>
    </tableColumn>
    <tableColumn id="23" xr3:uid="{BF2CF111-8958-49BF-87AB-C7447F0C5655}" name="Modelo" dataDxfId="1">
      <calculatedColumnFormula array="1">IF(ROWS(X$8:X8)&lt;=$C$3,INDEX(INDIRECT(X$7),SMALL(IF(Tip_Cli=$B$3,ROW(Tip_Cli)-ROW(Facturacion!$AL$4)+1),ROWS(X$8:X8))),"")</calculatedColumnFormula>
    </tableColumn>
    <tableColumn id="24" xr3:uid="{7AAB1DC6-7546-4A73-A9AD-04F487FAB37B}" name="Cliente" dataDxfId="0">
      <calculatedColumnFormula array="1">IF(ROWS(Y$8:Y8)&lt;=$C$3,INDEX(INDIRECT(Y$7),SMALL(IF(Tip_Cli=$B$3,ROW(Tip_Cli)-ROW(Facturacion!$AL$4)+1),ROWS(Y$8:Y8))),"")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13" Type="http://schemas.openxmlformats.org/officeDocument/2006/relationships/pivotTable" Target="../pivotTables/pivotTable17.xml"/><Relationship Id="rId18" Type="http://schemas.openxmlformats.org/officeDocument/2006/relationships/pivotTable" Target="../pivotTables/pivotTable22.xml"/><Relationship Id="rId3" Type="http://schemas.openxmlformats.org/officeDocument/2006/relationships/pivotTable" Target="../pivotTables/pivotTable7.xml"/><Relationship Id="rId21" Type="http://schemas.openxmlformats.org/officeDocument/2006/relationships/pivotTable" Target="../pivotTables/pivotTable25.xml"/><Relationship Id="rId7" Type="http://schemas.openxmlformats.org/officeDocument/2006/relationships/pivotTable" Target="../pivotTables/pivotTable11.xml"/><Relationship Id="rId12" Type="http://schemas.openxmlformats.org/officeDocument/2006/relationships/pivotTable" Target="../pivotTables/pivotTable16.xml"/><Relationship Id="rId17" Type="http://schemas.openxmlformats.org/officeDocument/2006/relationships/pivotTable" Target="../pivotTables/pivotTable21.xml"/><Relationship Id="rId25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6.xml"/><Relationship Id="rId16" Type="http://schemas.openxmlformats.org/officeDocument/2006/relationships/pivotTable" Target="../pivotTables/pivotTable20.xml"/><Relationship Id="rId20" Type="http://schemas.openxmlformats.org/officeDocument/2006/relationships/pivotTable" Target="../pivotTables/pivotTable24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11" Type="http://schemas.openxmlformats.org/officeDocument/2006/relationships/pivotTable" Target="../pivotTables/pivotTable15.xml"/><Relationship Id="rId24" Type="http://schemas.openxmlformats.org/officeDocument/2006/relationships/pivotTable" Target="../pivotTables/pivotTable28.xml"/><Relationship Id="rId5" Type="http://schemas.openxmlformats.org/officeDocument/2006/relationships/pivotTable" Target="../pivotTables/pivotTable9.xml"/><Relationship Id="rId15" Type="http://schemas.openxmlformats.org/officeDocument/2006/relationships/pivotTable" Target="../pivotTables/pivotTable19.xml"/><Relationship Id="rId23" Type="http://schemas.openxmlformats.org/officeDocument/2006/relationships/pivotTable" Target="../pivotTables/pivotTable27.xml"/><Relationship Id="rId10" Type="http://schemas.openxmlformats.org/officeDocument/2006/relationships/pivotTable" Target="../pivotTables/pivotTable14.xml"/><Relationship Id="rId19" Type="http://schemas.openxmlformats.org/officeDocument/2006/relationships/pivotTable" Target="../pivotTables/pivotTable23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Relationship Id="rId14" Type="http://schemas.openxmlformats.org/officeDocument/2006/relationships/pivotTable" Target="../pivotTables/pivotTable18.xml"/><Relationship Id="rId22" Type="http://schemas.openxmlformats.org/officeDocument/2006/relationships/pivotTable" Target="../pivotTables/pivotTable2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6.xml"/><Relationship Id="rId3" Type="http://schemas.openxmlformats.org/officeDocument/2006/relationships/pivotTable" Target="../pivotTables/pivotTable31.xml"/><Relationship Id="rId7" Type="http://schemas.openxmlformats.org/officeDocument/2006/relationships/pivotTable" Target="../pivotTables/pivotTable35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Relationship Id="rId6" Type="http://schemas.openxmlformats.org/officeDocument/2006/relationships/pivotTable" Target="../pivotTables/pivotTable34.xml"/><Relationship Id="rId11" Type="http://schemas.openxmlformats.org/officeDocument/2006/relationships/printerSettings" Target="../printerSettings/printerSettings14.bin"/><Relationship Id="rId5" Type="http://schemas.openxmlformats.org/officeDocument/2006/relationships/pivotTable" Target="../pivotTables/pivotTable33.xml"/><Relationship Id="rId10" Type="http://schemas.openxmlformats.org/officeDocument/2006/relationships/pivotTable" Target="../pivotTables/pivotTable38.xml"/><Relationship Id="rId4" Type="http://schemas.openxmlformats.org/officeDocument/2006/relationships/pivotTable" Target="../pivotTables/pivotTable32.xml"/><Relationship Id="rId9" Type="http://schemas.openxmlformats.org/officeDocument/2006/relationships/pivotTable" Target="../pivotTables/pivotTable37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3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27FB2-0D6E-4E2D-B6B0-336239C7AA39}">
  <dimension ref="A2:X12"/>
  <sheetViews>
    <sheetView workbookViewId="0">
      <selection activeCell="G20" sqref="G20"/>
    </sheetView>
  </sheetViews>
  <sheetFormatPr defaultColWidth="11.42578125" defaultRowHeight="15" x14ac:dyDescent="0.25"/>
  <cols>
    <col min="1" max="1" width="25" bestFit="1" customWidth="1"/>
    <col min="2" max="2" width="22.42578125" bestFit="1" customWidth="1"/>
    <col min="3" max="3" width="4" bestFit="1" customWidth="1"/>
    <col min="4" max="4" width="2" bestFit="1" customWidth="1"/>
    <col min="5" max="5" width="4" bestFit="1" customWidth="1"/>
    <col min="6" max="6" width="3" bestFit="1" customWidth="1"/>
    <col min="7" max="7" width="5" bestFit="1" customWidth="1"/>
    <col min="8" max="8" width="4" bestFit="1" customWidth="1"/>
    <col min="9" max="9" width="2" bestFit="1" customWidth="1"/>
    <col min="10" max="10" width="4" bestFit="1" customWidth="1"/>
    <col min="11" max="11" width="2" bestFit="1" customWidth="1"/>
    <col min="12" max="12" width="4" bestFit="1" customWidth="1"/>
    <col min="13" max="16" width="2" bestFit="1" customWidth="1"/>
    <col min="17" max="23" width="3" bestFit="1" customWidth="1"/>
    <col min="24" max="24" width="12.5703125" bestFit="1" customWidth="1"/>
  </cols>
  <sheetData>
    <row r="2" spans="1:24" x14ac:dyDescent="0.25">
      <c r="A2" s="43" t="s">
        <v>26</v>
      </c>
      <c r="B2" s="12" t="s">
        <v>123</v>
      </c>
    </row>
    <row r="4" spans="1:24" x14ac:dyDescent="0.25">
      <c r="A4" s="43" t="s">
        <v>2847</v>
      </c>
      <c r="B4" s="43" t="s">
        <v>2846</v>
      </c>
    </row>
    <row r="5" spans="1:24" x14ac:dyDescent="0.25">
      <c r="A5" s="43" t="s">
        <v>290</v>
      </c>
      <c r="B5" s="12">
        <v>0</v>
      </c>
      <c r="C5" s="12">
        <v>0.5</v>
      </c>
      <c r="D5" s="12">
        <v>1</v>
      </c>
      <c r="E5" s="12">
        <v>1.5</v>
      </c>
      <c r="F5" s="12">
        <v>2</v>
      </c>
      <c r="G5" s="12">
        <v>2.25</v>
      </c>
      <c r="H5" s="12">
        <v>2.5</v>
      </c>
      <c r="I5" s="12">
        <v>3</v>
      </c>
      <c r="J5" s="12">
        <v>3.5</v>
      </c>
      <c r="K5" s="12">
        <v>4</v>
      </c>
      <c r="L5" s="12">
        <v>4.5</v>
      </c>
      <c r="M5" s="12">
        <v>5</v>
      </c>
      <c r="N5" s="12">
        <v>6</v>
      </c>
      <c r="O5" s="12">
        <v>7</v>
      </c>
      <c r="P5" s="12">
        <v>8</v>
      </c>
      <c r="Q5" s="12">
        <v>10</v>
      </c>
      <c r="R5" s="12">
        <v>11</v>
      </c>
      <c r="S5" s="12">
        <v>12</v>
      </c>
      <c r="T5" s="12">
        <v>14</v>
      </c>
      <c r="U5" s="12">
        <v>15</v>
      </c>
      <c r="V5" s="12">
        <v>18</v>
      </c>
      <c r="W5" s="12">
        <v>20</v>
      </c>
      <c r="X5" s="12" t="s">
        <v>289</v>
      </c>
    </row>
    <row r="6" spans="1:24" x14ac:dyDescent="0.25">
      <c r="A6" s="44">
        <v>0.25</v>
      </c>
      <c r="B6" s="121"/>
      <c r="C6" s="121">
        <v>1</v>
      </c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>
        <v>1</v>
      </c>
    </row>
    <row r="7" spans="1:24" x14ac:dyDescent="0.25">
      <c r="A7" s="44">
        <v>0.5</v>
      </c>
      <c r="B7" s="121"/>
      <c r="C7" s="121"/>
      <c r="D7" s="121"/>
      <c r="E7" s="121"/>
      <c r="F7" s="121"/>
      <c r="G7" s="121"/>
      <c r="H7" s="121"/>
      <c r="I7" s="121">
        <v>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>
        <v>1</v>
      </c>
    </row>
    <row r="8" spans="1:24" x14ac:dyDescent="0.25">
      <c r="A8" s="44">
        <v>1</v>
      </c>
      <c r="B8" s="121">
        <v>1</v>
      </c>
      <c r="C8" s="121"/>
      <c r="D8" s="121">
        <v>2</v>
      </c>
      <c r="E8" s="121">
        <v>1</v>
      </c>
      <c r="F8" s="121">
        <v>11</v>
      </c>
      <c r="G8" s="121">
        <v>1</v>
      </c>
      <c r="H8" s="121">
        <v>1</v>
      </c>
      <c r="I8" s="121">
        <v>1</v>
      </c>
      <c r="J8" s="121"/>
      <c r="K8" s="121"/>
      <c r="L8" s="121"/>
      <c r="M8" s="121"/>
      <c r="N8" s="121"/>
      <c r="O8" s="121"/>
      <c r="P8" s="121"/>
      <c r="Q8" s="121">
        <v>1</v>
      </c>
      <c r="R8" s="121"/>
      <c r="S8" s="121"/>
      <c r="T8" s="121"/>
      <c r="U8" s="121"/>
      <c r="V8" s="121"/>
      <c r="W8" s="121"/>
      <c r="X8" s="121">
        <v>19</v>
      </c>
    </row>
    <row r="9" spans="1:24" x14ac:dyDescent="0.25">
      <c r="A9" s="44">
        <v>1.25</v>
      </c>
      <c r="B9" s="121"/>
      <c r="C9" s="121"/>
      <c r="D9" s="121">
        <v>1</v>
      </c>
      <c r="E9" s="121">
        <v>1</v>
      </c>
      <c r="F9" s="121">
        <v>1</v>
      </c>
      <c r="G9" s="121"/>
      <c r="H9" s="121"/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>
        <v>3</v>
      </c>
    </row>
    <row r="10" spans="1:24" x14ac:dyDescent="0.25">
      <c r="A10" s="44">
        <v>1.5</v>
      </c>
      <c r="B10" s="121"/>
      <c r="C10" s="121"/>
      <c r="D10" s="121"/>
      <c r="E10" s="121"/>
      <c r="F10" s="121">
        <v>3</v>
      </c>
      <c r="G10" s="121"/>
      <c r="H10" s="121">
        <v>1</v>
      </c>
      <c r="I10" s="121"/>
      <c r="J10" s="121"/>
      <c r="K10" s="121"/>
      <c r="L10" s="121"/>
      <c r="M10" s="121"/>
      <c r="N10" s="121"/>
      <c r="O10" s="121">
        <v>1</v>
      </c>
      <c r="P10" s="121"/>
      <c r="Q10" s="121">
        <v>1</v>
      </c>
      <c r="R10" s="121"/>
      <c r="S10" s="121"/>
      <c r="T10" s="121"/>
      <c r="U10" s="121"/>
      <c r="V10" s="121">
        <v>1</v>
      </c>
      <c r="W10" s="121"/>
      <c r="X10" s="121">
        <v>7</v>
      </c>
    </row>
    <row r="11" spans="1:24" x14ac:dyDescent="0.25">
      <c r="A11" s="44">
        <v>2</v>
      </c>
      <c r="B11" s="121"/>
      <c r="C11" s="121"/>
      <c r="D11" s="121"/>
      <c r="E11" s="121"/>
      <c r="F11" s="121"/>
      <c r="G11" s="121"/>
      <c r="H11" s="121"/>
      <c r="I11" s="121"/>
      <c r="J11" s="121">
        <v>1</v>
      </c>
      <c r="K11" s="121">
        <v>2</v>
      </c>
      <c r="L11" s="121">
        <v>1</v>
      </c>
      <c r="M11" s="121">
        <v>5</v>
      </c>
      <c r="N11" s="121">
        <v>3</v>
      </c>
      <c r="O11" s="121">
        <v>2</v>
      </c>
      <c r="P11" s="121">
        <v>1</v>
      </c>
      <c r="Q11" s="121">
        <v>5</v>
      </c>
      <c r="R11" s="121">
        <v>2</v>
      </c>
      <c r="S11" s="121">
        <v>1</v>
      </c>
      <c r="T11" s="121">
        <v>2</v>
      </c>
      <c r="U11" s="121">
        <v>1</v>
      </c>
      <c r="V11" s="121">
        <v>1</v>
      </c>
      <c r="W11" s="121">
        <v>1</v>
      </c>
      <c r="X11" s="121">
        <v>28</v>
      </c>
    </row>
    <row r="12" spans="1:24" x14ac:dyDescent="0.25">
      <c r="A12" s="44" t="s">
        <v>289</v>
      </c>
      <c r="B12" s="121">
        <v>1</v>
      </c>
      <c r="C12" s="121">
        <v>1</v>
      </c>
      <c r="D12" s="121">
        <v>3</v>
      </c>
      <c r="E12" s="121">
        <v>2</v>
      </c>
      <c r="F12" s="121">
        <v>15</v>
      </c>
      <c r="G12" s="121">
        <v>1</v>
      </c>
      <c r="H12" s="121">
        <v>2</v>
      </c>
      <c r="I12" s="121">
        <v>2</v>
      </c>
      <c r="J12" s="121">
        <v>1</v>
      </c>
      <c r="K12" s="121">
        <v>2</v>
      </c>
      <c r="L12" s="121">
        <v>1</v>
      </c>
      <c r="M12" s="121">
        <v>5</v>
      </c>
      <c r="N12" s="121">
        <v>3</v>
      </c>
      <c r="O12" s="121">
        <v>3</v>
      </c>
      <c r="P12" s="121">
        <v>1</v>
      </c>
      <c r="Q12" s="121">
        <v>7</v>
      </c>
      <c r="R12" s="121">
        <v>2</v>
      </c>
      <c r="S12" s="121">
        <v>1</v>
      </c>
      <c r="T12" s="121">
        <v>2</v>
      </c>
      <c r="U12" s="121">
        <v>1</v>
      </c>
      <c r="V12" s="121">
        <v>2</v>
      </c>
      <c r="W12" s="121">
        <v>1</v>
      </c>
      <c r="X12" s="121">
        <v>59</v>
      </c>
    </row>
  </sheetData>
  <pageMargins left="0.7" right="0.7" top="0.75" bottom="0.75" header="0.3" footer="0.3"/>
  <pageSetup paperSize="9" orientation="landscape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2" tint="-0.499984740745262"/>
    <pageSetUpPr fitToPage="1"/>
  </sheetPr>
  <dimension ref="A1:AC409"/>
  <sheetViews>
    <sheetView showGridLines="0" topLeftCell="D1" zoomScaleNormal="100" workbookViewId="0">
      <pane ySplit="4" topLeftCell="A5" activePane="bottomLeft" state="frozen"/>
      <selection pane="bottomLeft" activeCell="N5" sqref="N5"/>
    </sheetView>
  </sheetViews>
  <sheetFormatPr defaultColWidth="11.42578125" defaultRowHeight="12.75" x14ac:dyDescent="0.2"/>
  <cols>
    <col min="1" max="1" width="4.7109375" style="14" customWidth="1"/>
    <col min="2" max="2" width="10.7109375" style="146" customWidth="1"/>
    <col min="3" max="3" width="10.85546875" style="14" bestFit="1" customWidth="1"/>
    <col min="4" max="4" width="10.42578125" style="14" bestFit="1" customWidth="1"/>
    <col min="5" max="5" width="10.7109375" style="14" bestFit="1" customWidth="1"/>
    <col min="6" max="6" width="11.7109375" style="14" bestFit="1" customWidth="1"/>
    <col min="7" max="7" width="11.5703125" style="14" bestFit="1" customWidth="1"/>
    <col min="8" max="8" width="12" style="14" customWidth="1"/>
    <col min="9" max="9" width="11.42578125" style="14" customWidth="1"/>
    <col min="10" max="10" width="13.85546875" style="14" bestFit="1" customWidth="1"/>
    <col min="11" max="11" width="12.7109375" style="14" bestFit="1" customWidth="1"/>
    <col min="12" max="12" width="11.7109375" style="14" customWidth="1"/>
    <col min="13" max="13" width="8.85546875" style="14" customWidth="1"/>
    <col min="14" max="15" width="13.85546875" style="14" bestFit="1" customWidth="1"/>
    <col min="16" max="16" width="9.7109375" style="14" customWidth="1"/>
    <col min="17" max="17" width="7" style="14" customWidth="1"/>
    <col min="18" max="18" width="8.7109375" style="14" customWidth="1"/>
    <col min="19" max="19" width="9.85546875" style="14" customWidth="1"/>
    <col min="20" max="21" width="10.85546875" style="14" hidden="1" customWidth="1"/>
    <col min="22" max="22" width="11.85546875" style="14" hidden="1" customWidth="1"/>
    <col min="23" max="23" width="12.140625" style="14" hidden="1" customWidth="1"/>
    <col min="24" max="24" width="10.42578125" style="14" hidden="1" customWidth="1"/>
    <col min="25" max="25" width="9.42578125" style="14" hidden="1" customWidth="1"/>
    <col min="26" max="26" width="13.85546875" style="14" bestFit="1" customWidth="1"/>
    <col min="27" max="27" width="8.140625" style="14" customWidth="1"/>
    <col min="28" max="16384" width="11.42578125" style="14"/>
  </cols>
  <sheetData>
    <row r="1" spans="1:29" x14ac:dyDescent="0.2">
      <c r="A1" s="139"/>
      <c r="B1" s="145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V1" s="139"/>
      <c r="W1" s="139"/>
      <c r="X1" s="139"/>
      <c r="Y1" s="139"/>
      <c r="Z1" s="139"/>
      <c r="AA1" s="139"/>
    </row>
    <row r="4" spans="1:29" ht="38.25" x14ac:dyDescent="0.2">
      <c r="A4" s="40" t="s">
        <v>0</v>
      </c>
      <c r="B4" s="147" t="s">
        <v>25</v>
      </c>
      <c r="C4" s="22" t="s">
        <v>89</v>
      </c>
      <c r="D4" s="22" t="s">
        <v>35</v>
      </c>
      <c r="E4" s="23" t="s">
        <v>1</v>
      </c>
      <c r="F4" s="23" t="s">
        <v>2</v>
      </c>
      <c r="G4" s="22" t="s">
        <v>26</v>
      </c>
      <c r="H4" s="22" t="s">
        <v>20</v>
      </c>
      <c r="I4" s="22" t="s">
        <v>3</v>
      </c>
      <c r="J4" s="22" t="s">
        <v>4</v>
      </c>
      <c r="K4" s="22" t="s">
        <v>5</v>
      </c>
      <c r="L4" s="22" t="s">
        <v>117</v>
      </c>
      <c r="M4" s="23" t="s">
        <v>6</v>
      </c>
      <c r="N4" s="22" t="s">
        <v>7</v>
      </c>
      <c r="O4" s="22" t="s">
        <v>8</v>
      </c>
      <c r="P4" s="22" t="s">
        <v>118</v>
      </c>
      <c r="Q4" s="23" t="s">
        <v>18</v>
      </c>
      <c r="R4" s="22" t="s">
        <v>10</v>
      </c>
      <c r="S4" s="22" t="s">
        <v>9</v>
      </c>
      <c r="T4" s="22" t="s">
        <v>12</v>
      </c>
      <c r="U4" s="22" t="s">
        <v>11</v>
      </c>
      <c r="V4" s="22" t="s">
        <v>13</v>
      </c>
      <c r="W4" s="22" t="s">
        <v>14</v>
      </c>
      <c r="X4" s="22" t="s">
        <v>15</v>
      </c>
      <c r="Y4" s="22" t="s">
        <v>16</v>
      </c>
      <c r="Z4" s="22" t="s">
        <v>17</v>
      </c>
      <c r="AA4" s="22" t="s">
        <v>19</v>
      </c>
      <c r="AB4" s="90" t="s">
        <v>388</v>
      </c>
      <c r="AC4" s="90" t="s">
        <v>389</v>
      </c>
    </row>
    <row r="5" spans="1:29" x14ac:dyDescent="0.2">
      <c r="A5" s="138">
        <v>1</v>
      </c>
      <c r="B5" s="156">
        <v>43740</v>
      </c>
      <c r="C5" s="157" t="s">
        <v>742</v>
      </c>
      <c r="D5" s="158" t="s">
        <v>743</v>
      </c>
      <c r="E5" s="158" t="s">
        <v>21</v>
      </c>
      <c r="F5" s="158" t="s">
        <v>24</v>
      </c>
      <c r="G5" s="158" t="s">
        <v>121</v>
      </c>
      <c r="H5" s="159">
        <v>43740</v>
      </c>
      <c r="I5" s="158" t="s">
        <v>744</v>
      </c>
      <c r="J5" s="158">
        <v>5</v>
      </c>
      <c r="K5" s="158">
        <v>4</v>
      </c>
      <c r="L5" s="158">
        <v>0</v>
      </c>
      <c r="M5" s="158" t="s">
        <v>6</v>
      </c>
      <c r="N5" s="158">
        <v>2</v>
      </c>
      <c r="O5" s="158">
        <v>2</v>
      </c>
      <c r="P5" s="158">
        <v>0</v>
      </c>
      <c r="Q5" s="158"/>
      <c r="R5" s="158">
        <v>0</v>
      </c>
      <c r="S5" s="158" t="s">
        <v>124</v>
      </c>
      <c r="T5" s="160">
        <v>5</v>
      </c>
      <c r="U5" s="160">
        <v>4</v>
      </c>
      <c r="V5" s="160">
        <v>2</v>
      </c>
      <c r="W5" s="160">
        <v>2</v>
      </c>
      <c r="X5" s="160">
        <v>1</v>
      </c>
      <c r="Y5" s="160">
        <v>0</v>
      </c>
      <c r="Z5" s="158">
        <v>0</v>
      </c>
      <c r="AA5" s="158"/>
      <c r="AB5" s="158"/>
      <c r="AC5" s="158">
        <v>0</v>
      </c>
    </row>
    <row r="6" spans="1:29" x14ac:dyDescent="0.2">
      <c r="A6" s="138">
        <f t="shared" ref="A6:A69" si="0">+A5+1</f>
        <v>2</v>
      </c>
      <c r="B6" s="156">
        <v>43740</v>
      </c>
      <c r="C6" s="157" t="s">
        <v>745</v>
      </c>
      <c r="D6" s="158" t="s">
        <v>743</v>
      </c>
      <c r="E6" s="158" t="s">
        <v>21</v>
      </c>
      <c r="F6" s="158" t="s">
        <v>24</v>
      </c>
      <c r="G6" s="158" t="s">
        <v>121</v>
      </c>
      <c r="H6" s="159">
        <v>43740</v>
      </c>
      <c r="I6" s="158"/>
      <c r="J6" s="158">
        <v>0</v>
      </c>
      <c r="K6" s="158">
        <v>0</v>
      </c>
      <c r="L6" s="158">
        <v>0</v>
      </c>
      <c r="M6" s="158"/>
      <c r="N6" s="158">
        <v>0</v>
      </c>
      <c r="O6" s="158">
        <v>0</v>
      </c>
      <c r="P6" s="158">
        <v>0</v>
      </c>
      <c r="Q6" s="158" t="s">
        <v>22</v>
      </c>
      <c r="R6" s="158">
        <v>35</v>
      </c>
      <c r="S6" s="158" t="s">
        <v>447</v>
      </c>
      <c r="T6" s="160"/>
      <c r="U6" s="160"/>
      <c r="V6" s="160"/>
      <c r="W6" s="160"/>
      <c r="X6" s="160"/>
      <c r="Y6" s="160"/>
      <c r="Z6" s="158">
        <v>0</v>
      </c>
      <c r="AA6" s="158"/>
      <c r="AB6" s="158"/>
      <c r="AC6" s="158">
        <v>35</v>
      </c>
    </row>
    <row r="7" spans="1:29" x14ac:dyDescent="0.2">
      <c r="A7" s="138">
        <f t="shared" si="0"/>
        <v>3</v>
      </c>
      <c r="B7" s="156">
        <v>43741</v>
      </c>
      <c r="C7" s="157" t="s">
        <v>746</v>
      </c>
      <c r="D7" s="158" t="s">
        <v>747</v>
      </c>
      <c r="E7" s="158" t="s">
        <v>178</v>
      </c>
      <c r="F7" s="158" t="s">
        <v>284</v>
      </c>
      <c r="G7" s="158" t="s">
        <v>121</v>
      </c>
      <c r="H7" s="159">
        <v>43741</v>
      </c>
      <c r="I7" s="158" t="s">
        <v>744</v>
      </c>
      <c r="J7" s="158">
        <v>5</v>
      </c>
      <c r="K7" s="158">
        <v>5</v>
      </c>
      <c r="L7" s="158">
        <v>0</v>
      </c>
      <c r="M7" s="158" t="s">
        <v>6</v>
      </c>
      <c r="N7" s="158">
        <v>3</v>
      </c>
      <c r="O7" s="158">
        <v>3</v>
      </c>
      <c r="P7" s="158">
        <v>0</v>
      </c>
      <c r="Q7" s="158" t="s">
        <v>22</v>
      </c>
      <c r="R7" s="158">
        <v>695</v>
      </c>
      <c r="S7" s="158" t="s">
        <v>124</v>
      </c>
      <c r="T7" s="160">
        <v>5</v>
      </c>
      <c r="U7" s="160">
        <v>5</v>
      </c>
      <c r="V7" s="160">
        <v>3</v>
      </c>
      <c r="W7" s="160">
        <v>3</v>
      </c>
      <c r="X7" s="160">
        <v>0</v>
      </c>
      <c r="Y7" s="160">
        <v>0</v>
      </c>
      <c r="Z7" s="158">
        <v>0</v>
      </c>
      <c r="AA7" s="158"/>
      <c r="AB7" s="158"/>
      <c r="AC7" s="158">
        <v>30</v>
      </c>
    </row>
    <row r="8" spans="1:29" x14ac:dyDescent="0.2">
      <c r="A8" s="138">
        <f t="shared" si="0"/>
        <v>4</v>
      </c>
      <c r="B8" s="156">
        <v>43742</v>
      </c>
      <c r="C8" s="157" t="s">
        <v>748</v>
      </c>
      <c r="D8" s="158" t="s">
        <v>749</v>
      </c>
      <c r="E8" s="158" t="s">
        <v>146</v>
      </c>
      <c r="F8" s="158" t="s">
        <v>448</v>
      </c>
      <c r="G8" s="158" t="s">
        <v>121</v>
      </c>
      <c r="H8" s="159">
        <v>43742</v>
      </c>
      <c r="I8" s="158" t="s">
        <v>744</v>
      </c>
      <c r="J8" s="158">
        <v>6</v>
      </c>
      <c r="K8" s="158">
        <v>4</v>
      </c>
      <c r="L8" s="158">
        <v>0</v>
      </c>
      <c r="M8" s="158" t="s">
        <v>6</v>
      </c>
      <c r="N8" s="158">
        <v>3</v>
      </c>
      <c r="O8" s="158">
        <v>3</v>
      </c>
      <c r="P8" s="158">
        <v>0</v>
      </c>
      <c r="Q8" s="158"/>
      <c r="R8" s="158">
        <v>0</v>
      </c>
      <c r="S8" s="158" t="s">
        <v>124</v>
      </c>
      <c r="T8" s="160">
        <v>6</v>
      </c>
      <c r="U8" s="160">
        <v>4</v>
      </c>
      <c r="V8" s="160">
        <v>3</v>
      </c>
      <c r="W8" s="160">
        <v>3</v>
      </c>
      <c r="X8" s="160">
        <v>2</v>
      </c>
      <c r="Y8" s="160">
        <v>0</v>
      </c>
      <c r="Z8" s="158">
        <v>2</v>
      </c>
      <c r="AA8" s="158"/>
      <c r="AB8" s="158"/>
      <c r="AC8" s="158">
        <v>15</v>
      </c>
    </row>
    <row r="9" spans="1:29" x14ac:dyDescent="0.2">
      <c r="A9" s="138">
        <f t="shared" si="0"/>
        <v>5</v>
      </c>
      <c r="B9" s="156">
        <v>43742</v>
      </c>
      <c r="C9" s="157" t="s">
        <v>750</v>
      </c>
      <c r="D9" s="158" t="s">
        <v>747</v>
      </c>
      <c r="E9" s="158" t="s">
        <v>178</v>
      </c>
      <c r="F9" s="158" t="s">
        <v>284</v>
      </c>
      <c r="G9" s="158" t="s">
        <v>121</v>
      </c>
      <c r="H9" s="159">
        <v>43742</v>
      </c>
      <c r="I9" s="158"/>
      <c r="J9" s="158">
        <v>0</v>
      </c>
      <c r="K9" s="158">
        <v>0</v>
      </c>
      <c r="L9" s="158">
        <v>0</v>
      </c>
      <c r="M9" s="158"/>
      <c r="N9" s="158">
        <v>0</v>
      </c>
      <c r="O9" s="158">
        <v>0</v>
      </c>
      <c r="P9" s="158">
        <v>0</v>
      </c>
      <c r="Q9" s="158"/>
      <c r="R9" s="158">
        <v>0</v>
      </c>
      <c r="S9" s="158" t="s">
        <v>447</v>
      </c>
      <c r="T9" s="160"/>
      <c r="U9" s="160"/>
      <c r="V9" s="160"/>
      <c r="W9" s="160"/>
      <c r="X9" s="160"/>
      <c r="Y9" s="160"/>
      <c r="Z9" s="158">
        <v>0</v>
      </c>
      <c r="AA9" s="158"/>
      <c r="AB9" s="158"/>
      <c r="AC9" s="158">
        <v>90</v>
      </c>
    </row>
    <row r="10" spans="1:29" x14ac:dyDescent="0.2">
      <c r="A10" s="138">
        <f t="shared" si="0"/>
        <v>6</v>
      </c>
      <c r="B10" s="156">
        <v>43745</v>
      </c>
      <c r="C10" s="157" t="s">
        <v>751</v>
      </c>
      <c r="D10" s="158" t="s">
        <v>752</v>
      </c>
      <c r="E10" s="158" t="s">
        <v>143</v>
      </c>
      <c r="F10" s="158" t="s">
        <v>189</v>
      </c>
      <c r="G10" s="158" t="s">
        <v>123</v>
      </c>
      <c r="H10" s="159">
        <v>43743</v>
      </c>
      <c r="I10" s="158" t="s">
        <v>744</v>
      </c>
      <c r="J10" s="158">
        <v>1.5</v>
      </c>
      <c r="K10" s="158">
        <v>1</v>
      </c>
      <c r="L10" s="158">
        <v>0</v>
      </c>
      <c r="M10" s="158" t="s">
        <v>6</v>
      </c>
      <c r="N10" s="158">
        <v>1.25</v>
      </c>
      <c r="O10" s="158">
        <v>1.25</v>
      </c>
      <c r="P10" s="158">
        <v>0</v>
      </c>
      <c r="Q10" s="158" t="s">
        <v>22</v>
      </c>
      <c r="R10" s="158">
        <v>341.03</v>
      </c>
      <c r="S10" s="158" t="s">
        <v>124</v>
      </c>
      <c r="T10" s="160">
        <v>28</v>
      </c>
      <c r="U10" s="160">
        <v>16</v>
      </c>
      <c r="V10" s="160">
        <v>9.25</v>
      </c>
      <c r="W10" s="160">
        <v>9.25</v>
      </c>
      <c r="X10" s="160">
        <v>12</v>
      </c>
      <c r="Y10" s="160">
        <v>0</v>
      </c>
      <c r="Z10" s="158">
        <v>0</v>
      </c>
      <c r="AA10" s="158"/>
      <c r="AB10" s="158"/>
      <c r="AC10" s="158">
        <v>45</v>
      </c>
    </row>
    <row r="11" spans="1:29" x14ac:dyDescent="0.2">
      <c r="A11" s="138">
        <f t="shared" si="0"/>
        <v>7</v>
      </c>
      <c r="B11" s="156">
        <v>43745</v>
      </c>
      <c r="C11" s="157" t="s">
        <v>755</v>
      </c>
      <c r="D11" s="158" t="s">
        <v>756</v>
      </c>
      <c r="E11" s="158" t="s">
        <v>154</v>
      </c>
      <c r="F11" s="158" t="s">
        <v>182</v>
      </c>
      <c r="G11" s="158" t="s">
        <v>123</v>
      </c>
      <c r="H11" s="159">
        <v>43745</v>
      </c>
      <c r="I11" s="158" t="s">
        <v>744</v>
      </c>
      <c r="J11" s="158">
        <v>10</v>
      </c>
      <c r="K11" s="158">
        <v>6</v>
      </c>
      <c r="L11" s="158">
        <v>0</v>
      </c>
      <c r="M11" s="158" t="s">
        <v>6</v>
      </c>
      <c r="N11" s="158">
        <v>2</v>
      </c>
      <c r="O11" s="158">
        <v>2</v>
      </c>
      <c r="P11" s="158">
        <v>0</v>
      </c>
      <c r="Q11" s="158" t="s">
        <v>22</v>
      </c>
      <c r="R11" s="158">
        <v>2706.42</v>
      </c>
      <c r="S11" s="158" t="s">
        <v>124</v>
      </c>
      <c r="T11" s="160"/>
      <c r="U11" s="160"/>
      <c r="V11" s="160"/>
      <c r="W11" s="160"/>
      <c r="X11" s="160"/>
      <c r="Y11" s="160"/>
      <c r="Z11" s="158">
        <v>3.5</v>
      </c>
      <c r="AA11" s="158"/>
      <c r="AB11" s="158"/>
      <c r="AC11" s="158">
        <v>70</v>
      </c>
    </row>
    <row r="12" spans="1:29" x14ac:dyDescent="0.2">
      <c r="A12" s="138">
        <f t="shared" si="0"/>
        <v>8</v>
      </c>
      <c r="B12" s="156">
        <v>43745</v>
      </c>
      <c r="C12" s="157" t="s">
        <v>757</v>
      </c>
      <c r="D12" s="158" t="s">
        <v>758</v>
      </c>
      <c r="E12" s="158" t="s">
        <v>759</v>
      </c>
      <c r="F12" s="158" t="s">
        <v>144</v>
      </c>
      <c r="G12" s="158" t="s">
        <v>123</v>
      </c>
      <c r="H12" s="159">
        <v>43745</v>
      </c>
      <c r="I12" s="158" t="s">
        <v>744</v>
      </c>
      <c r="J12" s="158">
        <v>14</v>
      </c>
      <c r="K12" s="158">
        <v>8</v>
      </c>
      <c r="L12" s="158">
        <v>0</v>
      </c>
      <c r="M12" s="158" t="s">
        <v>6</v>
      </c>
      <c r="N12" s="158">
        <v>5</v>
      </c>
      <c r="O12" s="158">
        <v>5</v>
      </c>
      <c r="P12" s="158">
        <v>0</v>
      </c>
      <c r="Q12" s="158" t="s">
        <v>22</v>
      </c>
      <c r="R12" s="158">
        <v>934.8</v>
      </c>
      <c r="S12" s="158" t="s">
        <v>23</v>
      </c>
      <c r="T12" s="167"/>
      <c r="U12" s="167"/>
      <c r="V12" s="167"/>
      <c r="W12" s="167"/>
      <c r="X12" s="167"/>
      <c r="Y12" s="167"/>
      <c r="Z12" s="158">
        <v>2</v>
      </c>
      <c r="AA12" s="158"/>
      <c r="AB12" s="158"/>
      <c r="AC12" s="158">
        <v>85</v>
      </c>
    </row>
    <row r="13" spans="1:29" x14ac:dyDescent="0.2">
      <c r="A13" s="138">
        <f t="shared" si="0"/>
        <v>9</v>
      </c>
      <c r="B13" s="156">
        <v>43745</v>
      </c>
      <c r="C13" s="157" t="s">
        <v>753</v>
      </c>
      <c r="D13" s="161" t="s">
        <v>535</v>
      </c>
      <c r="E13" s="161" t="s">
        <v>21</v>
      </c>
      <c r="F13" s="161" t="s">
        <v>125</v>
      </c>
      <c r="G13" s="161" t="s">
        <v>121</v>
      </c>
      <c r="H13" s="162">
        <v>43745</v>
      </c>
      <c r="I13" s="161"/>
      <c r="J13" s="158">
        <v>0</v>
      </c>
      <c r="K13" s="158">
        <v>0</v>
      </c>
      <c r="L13" s="158">
        <v>0</v>
      </c>
      <c r="M13" s="161"/>
      <c r="N13" s="158">
        <v>0</v>
      </c>
      <c r="O13" s="158">
        <v>0</v>
      </c>
      <c r="P13" s="158">
        <v>0</v>
      </c>
      <c r="Q13" s="161"/>
      <c r="R13" s="161">
        <v>0</v>
      </c>
      <c r="S13" s="158" t="s">
        <v>447</v>
      </c>
      <c r="T13" s="163"/>
      <c r="U13" s="163"/>
      <c r="V13" s="163"/>
      <c r="W13" s="163"/>
      <c r="X13" s="163"/>
      <c r="Y13" s="163"/>
      <c r="Z13" s="161">
        <v>2.67</v>
      </c>
      <c r="AA13" s="161"/>
      <c r="AB13" s="161"/>
      <c r="AC13" s="161">
        <v>0</v>
      </c>
    </row>
    <row r="14" spans="1:29" x14ac:dyDescent="0.2">
      <c r="A14" s="138">
        <f t="shared" si="0"/>
        <v>10</v>
      </c>
      <c r="B14" s="156">
        <v>43745</v>
      </c>
      <c r="C14" s="157" t="s">
        <v>754</v>
      </c>
      <c r="D14" s="158" t="s">
        <v>749</v>
      </c>
      <c r="E14" s="158" t="s">
        <v>146</v>
      </c>
      <c r="F14" s="158" t="s">
        <v>448</v>
      </c>
      <c r="G14" s="158" t="s">
        <v>123</v>
      </c>
      <c r="H14" s="159">
        <v>43743</v>
      </c>
      <c r="I14" s="158" t="s">
        <v>744</v>
      </c>
      <c r="J14" s="158">
        <v>2.5</v>
      </c>
      <c r="K14" s="158">
        <v>1</v>
      </c>
      <c r="L14" s="158">
        <v>0</v>
      </c>
      <c r="M14" s="158" t="s">
        <v>6</v>
      </c>
      <c r="N14" s="158">
        <v>1</v>
      </c>
      <c r="O14" s="158">
        <v>1</v>
      </c>
      <c r="P14" s="158">
        <v>0</v>
      </c>
      <c r="Q14" s="158" t="s">
        <v>22</v>
      </c>
      <c r="R14" s="158">
        <v>393.78</v>
      </c>
      <c r="S14" s="158" t="s">
        <v>124</v>
      </c>
      <c r="T14" s="222"/>
      <c r="U14" s="222"/>
      <c r="V14" s="222"/>
      <c r="W14" s="222"/>
      <c r="X14" s="222"/>
      <c r="Y14" s="222"/>
      <c r="Z14" s="158">
        <v>0</v>
      </c>
      <c r="AA14" s="158"/>
      <c r="AB14" s="158"/>
      <c r="AC14" s="158">
        <v>0</v>
      </c>
    </row>
    <row r="15" spans="1:29" x14ac:dyDescent="0.2">
      <c r="A15" s="138">
        <f t="shared" si="0"/>
        <v>11</v>
      </c>
      <c r="B15" s="156">
        <v>43747</v>
      </c>
      <c r="C15" s="157" t="s">
        <v>764</v>
      </c>
      <c r="D15" s="158" t="s">
        <v>594</v>
      </c>
      <c r="E15" s="158" t="s">
        <v>154</v>
      </c>
      <c r="F15" s="158" t="s">
        <v>155</v>
      </c>
      <c r="G15" s="158" t="s">
        <v>123</v>
      </c>
      <c r="H15" s="159">
        <v>43745</v>
      </c>
      <c r="I15" s="158" t="s">
        <v>744</v>
      </c>
      <c r="J15" s="158">
        <v>8</v>
      </c>
      <c r="K15" s="158">
        <v>5</v>
      </c>
      <c r="L15" s="158">
        <v>0</v>
      </c>
      <c r="M15" s="158" t="s">
        <v>6</v>
      </c>
      <c r="N15" s="158">
        <v>2.25</v>
      </c>
      <c r="O15" s="158">
        <v>2.25</v>
      </c>
      <c r="P15" s="158">
        <v>0</v>
      </c>
      <c r="Q15" s="158" t="s">
        <v>22</v>
      </c>
      <c r="R15" s="158">
        <v>856.44</v>
      </c>
      <c r="S15" s="158" t="s">
        <v>124</v>
      </c>
      <c r="T15" s="164"/>
      <c r="U15" s="164"/>
      <c r="V15" s="164"/>
      <c r="W15" s="164"/>
      <c r="X15" s="164"/>
      <c r="Y15" s="164"/>
      <c r="Z15" s="158">
        <v>0</v>
      </c>
      <c r="AA15" s="158"/>
      <c r="AB15" s="158"/>
      <c r="AC15" s="158">
        <v>15</v>
      </c>
    </row>
    <row r="16" spans="1:29" x14ac:dyDescent="0.2">
      <c r="A16" s="138">
        <f t="shared" si="0"/>
        <v>12</v>
      </c>
      <c r="B16" s="156">
        <v>43747</v>
      </c>
      <c r="C16" s="157" t="s">
        <v>765</v>
      </c>
      <c r="D16" s="158" t="s">
        <v>594</v>
      </c>
      <c r="E16" s="158" t="s">
        <v>154</v>
      </c>
      <c r="F16" s="158" t="s">
        <v>155</v>
      </c>
      <c r="G16" s="158" t="s">
        <v>123</v>
      </c>
      <c r="H16" s="159">
        <v>43745</v>
      </c>
      <c r="I16" s="158" t="s">
        <v>744</v>
      </c>
      <c r="J16" s="158">
        <v>4</v>
      </c>
      <c r="K16" s="158">
        <v>3</v>
      </c>
      <c r="L16" s="158">
        <v>0</v>
      </c>
      <c r="M16" s="158" t="s">
        <v>6</v>
      </c>
      <c r="N16" s="158">
        <v>2</v>
      </c>
      <c r="O16" s="158">
        <v>2</v>
      </c>
      <c r="P16" s="158">
        <v>0</v>
      </c>
      <c r="Q16" s="158" t="s">
        <v>22</v>
      </c>
      <c r="R16" s="158">
        <v>172.48</v>
      </c>
      <c r="S16" s="158" t="s">
        <v>124</v>
      </c>
      <c r="T16" s="164"/>
      <c r="U16" s="164"/>
      <c r="V16" s="164"/>
      <c r="W16" s="164"/>
      <c r="X16" s="164"/>
      <c r="Y16" s="164"/>
      <c r="Z16" s="158">
        <v>0</v>
      </c>
      <c r="AA16" s="158"/>
      <c r="AB16" s="158"/>
      <c r="AC16" s="158">
        <v>30</v>
      </c>
    </row>
    <row r="17" spans="1:29" x14ac:dyDescent="0.2">
      <c r="A17" s="138">
        <f t="shared" si="0"/>
        <v>13</v>
      </c>
      <c r="B17" s="156">
        <v>43747</v>
      </c>
      <c r="C17" s="157" t="s">
        <v>760</v>
      </c>
      <c r="D17" s="158" t="s">
        <v>761</v>
      </c>
      <c r="E17" s="158" t="s">
        <v>146</v>
      </c>
      <c r="F17" s="158" t="s">
        <v>157</v>
      </c>
      <c r="G17" s="158" t="s">
        <v>121</v>
      </c>
      <c r="H17" s="159">
        <v>43747</v>
      </c>
      <c r="I17" s="158"/>
      <c r="J17" s="158">
        <v>0</v>
      </c>
      <c r="K17" s="158">
        <v>0</v>
      </c>
      <c r="L17" s="158">
        <v>0</v>
      </c>
      <c r="M17" s="158"/>
      <c r="N17" s="158">
        <v>0</v>
      </c>
      <c r="O17" s="158">
        <v>0</v>
      </c>
      <c r="P17" s="158">
        <v>0</v>
      </c>
      <c r="Q17" s="158"/>
      <c r="R17" s="158">
        <v>0</v>
      </c>
      <c r="S17" s="158" t="s">
        <v>447</v>
      </c>
      <c r="T17" s="164">
        <v>22.25</v>
      </c>
      <c r="U17" s="164">
        <v>18.25</v>
      </c>
      <c r="V17" s="164">
        <v>11.25</v>
      </c>
      <c r="W17" s="164">
        <v>11.25</v>
      </c>
      <c r="X17" s="164">
        <v>4</v>
      </c>
      <c r="Y17" s="164">
        <v>0</v>
      </c>
      <c r="Z17" s="158">
        <v>2.67</v>
      </c>
      <c r="AA17" s="158"/>
      <c r="AB17" s="158"/>
      <c r="AC17" s="158">
        <v>0</v>
      </c>
    </row>
    <row r="18" spans="1:29" x14ac:dyDescent="0.2">
      <c r="A18" s="138">
        <f t="shared" si="0"/>
        <v>14</v>
      </c>
      <c r="B18" s="156">
        <v>43747</v>
      </c>
      <c r="C18" s="157" t="s">
        <v>762</v>
      </c>
      <c r="D18" s="158" t="s">
        <v>763</v>
      </c>
      <c r="E18" s="158" t="s">
        <v>21</v>
      </c>
      <c r="F18" s="158" t="s">
        <v>171</v>
      </c>
      <c r="G18" s="158" t="s">
        <v>121</v>
      </c>
      <c r="H18" s="159">
        <v>43747</v>
      </c>
      <c r="I18" s="158" t="s">
        <v>744</v>
      </c>
      <c r="J18" s="158">
        <v>8</v>
      </c>
      <c r="K18" s="158">
        <v>8</v>
      </c>
      <c r="L18" s="158">
        <v>0</v>
      </c>
      <c r="M18" s="158" t="s">
        <v>6</v>
      </c>
      <c r="N18" s="158">
        <v>4</v>
      </c>
      <c r="O18" s="158">
        <v>4</v>
      </c>
      <c r="P18" s="158">
        <v>0</v>
      </c>
      <c r="Q18" s="158"/>
      <c r="R18" s="158">
        <v>0</v>
      </c>
      <c r="S18" s="158" t="s">
        <v>124</v>
      </c>
      <c r="T18" s="164"/>
      <c r="U18" s="164"/>
      <c r="V18" s="164"/>
      <c r="W18" s="164"/>
      <c r="X18" s="164"/>
      <c r="Y18" s="164"/>
      <c r="Z18" s="158">
        <v>0</v>
      </c>
      <c r="AA18" s="158"/>
      <c r="AB18" s="158"/>
      <c r="AC18" s="158">
        <v>65</v>
      </c>
    </row>
    <row r="19" spans="1:29" x14ac:dyDescent="0.2">
      <c r="A19" s="138">
        <f t="shared" si="0"/>
        <v>15</v>
      </c>
      <c r="B19" s="156">
        <v>43747</v>
      </c>
      <c r="C19" s="157" t="s">
        <v>766</v>
      </c>
      <c r="D19" s="158" t="s">
        <v>767</v>
      </c>
      <c r="E19" s="158" t="s">
        <v>128</v>
      </c>
      <c r="F19" s="158" t="s">
        <v>134</v>
      </c>
      <c r="G19" s="158" t="s">
        <v>121</v>
      </c>
      <c r="H19" s="159">
        <v>43747</v>
      </c>
      <c r="I19" s="158" t="s">
        <v>744</v>
      </c>
      <c r="J19" s="158">
        <v>2.25</v>
      </c>
      <c r="K19" s="158">
        <v>2.25</v>
      </c>
      <c r="L19" s="158">
        <v>0</v>
      </c>
      <c r="M19" s="158" t="s">
        <v>6</v>
      </c>
      <c r="N19" s="158">
        <v>3</v>
      </c>
      <c r="O19" s="158">
        <v>3</v>
      </c>
      <c r="P19" s="158">
        <v>0</v>
      </c>
      <c r="Q19" s="158"/>
      <c r="R19" s="158">
        <v>0</v>
      </c>
      <c r="S19" s="158" t="s">
        <v>124</v>
      </c>
      <c r="T19" s="164"/>
      <c r="U19" s="164"/>
      <c r="V19" s="164"/>
      <c r="W19" s="164"/>
      <c r="X19" s="164"/>
      <c r="Y19" s="164"/>
      <c r="Z19" s="158">
        <v>0</v>
      </c>
      <c r="AA19" s="158"/>
      <c r="AB19" s="158"/>
      <c r="AC19" s="158">
        <v>25</v>
      </c>
    </row>
    <row r="20" spans="1:29" x14ac:dyDescent="0.2">
      <c r="A20" s="138">
        <f t="shared" si="0"/>
        <v>16</v>
      </c>
      <c r="B20" s="156">
        <v>43749</v>
      </c>
      <c r="C20" s="157" t="s">
        <v>781</v>
      </c>
      <c r="D20" s="158" t="s">
        <v>782</v>
      </c>
      <c r="E20" s="158" t="s">
        <v>126</v>
      </c>
      <c r="F20" s="158" t="s">
        <v>127</v>
      </c>
      <c r="G20" s="158" t="s">
        <v>770</v>
      </c>
      <c r="H20" s="159">
        <v>43748</v>
      </c>
      <c r="I20" s="158" t="s">
        <v>744</v>
      </c>
      <c r="J20" s="158">
        <v>27</v>
      </c>
      <c r="K20" s="158">
        <v>20</v>
      </c>
      <c r="L20" s="158">
        <v>0</v>
      </c>
      <c r="M20" s="158" t="s">
        <v>6</v>
      </c>
      <c r="N20" s="158">
        <v>14.5</v>
      </c>
      <c r="O20" s="158">
        <v>14</v>
      </c>
      <c r="P20" s="158">
        <v>0</v>
      </c>
      <c r="Q20" s="158" t="s">
        <v>22</v>
      </c>
      <c r="R20" s="158">
        <v>2578</v>
      </c>
      <c r="S20" s="158" t="s">
        <v>142</v>
      </c>
      <c r="T20" s="164"/>
      <c r="U20" s="164"/>
      <c r="V20" s="164"/>
      <c r="W20" s="164"/>
      <c r="X20" s="164"/>
      <c r="Y20" s="164"/>
      <c r="Z20" s="158">
        <v>16</v>
      </c>
      <c r="AA20" s="158"/>
      <c r="AB20" s="158"/>
      <c r="AC20" s="158">
        <v>595</v>
      </c>
    </row>
    <row r="21" spans="1:29" x14ac:dyDescent="0.2">
      <c r="A21" s="138">
        <f t="shared" si="0"/>
        <v>17</v>
      </c>
      <c r="B21" s="156">
        <v>43749</v>
      </c>
      <c r="C21" s="157" t="s">
        <v>775</v>
      </c>
      <c r="D21" s="158" t="s">
        <v>776</v>
      </c>
      <c r="E21" s="158" t="s">
        <v>21</v>
      </c>
      <c r="F21" s="158" t="s">
        <v>24</v>
      </c>
      <c r="G21" s="158" t="s">
        <v>770</v>
      </c>
      <c r="H21" s="159">
        <v>43748</v>
      </c>
      <c r="I21" s="158" t="s">
        <v>744</v>
      </c>
      <c r="J21" s="158">
        <v>16</v>
      </c>
      <c r="K21" s="158">
        <v>12</v>
      </c>
      <c r="L21" s="158">
        <v>0</v>
      </c>
      <c r="M21" s="158" t="s">
        <v>6</v>
      </c>
      <c r="N21" s="158">
        <v>11</v>
      </c>
      <c r="O21" s="158">
        <v>10</v>
      </c>
      <c r="P21" s="158">
        <v>0</v>
      </c>
      <c r="Q21" s="158" t="s">
        <v>22</v>
      </c>
      <c r="R21" s="158">
        <v>2652</v>
      </c>
      <c r="S21" s="158" t="s">
        <v>23</v>
      </c>
      <c r="T21" s="164"/>
      <c r="U21" s="164"/>
      <c r="V21" s="164"/>
      <c r="W21" s="164"/>
      <c r="X21" s="164"/>
      <c r="Y21" s="164"/>
      <c r="Z21" s="158">
        <v>9</v>
      </c>
      <c r="AA21" s="158"/>
      <c r="AB21" s="158"/>
      <c r="AC21" s="158">
        <v>140</v>
      </c>
    </row>
    <row r="22" spans="1:29" x14ac:dyDescent="0.2">
      <c r="A22" s="138">
        <f t="shared" si="0"/>
        <v>18</v>
      </c>
      <c r="B22" s="156">
        <v>43749</v>
      </c>
      <c r="C22" s="157" t="s">
        <v>785</v>
      </c>
      <c r="D22" s="158" t="s">
        <v>786</v>
      </c>
      <c r="E22" s="158" t="s">
        <v>21</v>
      </c>
      <c r="F22" s="158" t="s">
        <v>125</v>
      </c>
      <c r="G22" s="158" t="s">
        <v>770</v>
      </c>
      <c r="H22" s="159">
        <v>43748</v>
      </c>
      <c r="I22" s="158" t="s">
        <v>744</v>
      </c>
      <c r="J22" s="158">
        <v>36</v>
      </c>
      <c r="K22" s="158">
        <v>30</v>
      </c>
      <c r="L22" s="158">
        <v>0</v>
      </c>
      <c r="M22" s="158" t="s">
        <v>6</v>
      </c>
      <c r="N22" s="158">
        <v>13.75</v>
      </c>
      <c r="O22" s="158">
        <v>13.5</v>
      </c>
      <c r="P22" s="158">
        <v>0</v>
      </c>
      <c r="Q22" s="158" t="s">
        <v>22</v>
      </c>
      <c r="R22" s="158">
        <v>2089</v>
      </c>
      <c r="S22" s="158" t="s">
        <v>142</v>
      </c>
      <c r="T22" s="164"/>
      <c r="U22" s="164"/>
      <c r="V22" s="164"/>
      <c r="W22" s="164"/>
      <c r="X22" s="164"/>
      <c r="Y22" s="164"/>
      <c r="Z22" s="158">
        <v>8</v>
      </c>
      <c r="AA22" s="158"/>
      <c r="AB22" s="158"/>
      <c r="AC22" s="158">
        <v>435</v>
      </c>
    </row>
    <row r="23" spans="1:29" x14ac:dyDescent="0.2">
      <c r="A23" s="138">
        <f t="shared" si="0"/>
        <v>19</v>
      </c>
      <c r="B23" s="156">
        <v>43749</v>
      </c>
      <c r="C23" s="157" t="s">
        <v>777</v>
      </c>
      <c r="D23" s="165" t="s">
        <v>778</v>
      </c>
      <c r="E23" s="165" t="s">
        <v>21</v>
      </c>
      <c r="F23" s="165" t="s">
        <v>125</v>
      </c>
      <c r="G23" s="165" t="s">
        <v>770</v>
      </c>
      <c r="H23" s="166">
        <v>43748</v>
      </c>
      <c r="I23" s="165" t="s">
        <v>744</v>
      </c>
      <c r="J23" s="165">
        <v>18</v>
      </c>
      <c r="K23" s="158">
        <v>17</v>
      </c>
      <c r="L23" s="158">
        <v>0</v>
      </c>
      <c r="M23" s="165" t="s">
        <v>6</v>
      </c>
      <c r="N23" s="165">
        <v>12</v>
      </c>
      <c r="O23" s="165">
        <v>12</v>
      </c>
      <c r="P23" s="158">
        <v>0</v>
      </c>
      <c r="Q23" s="165" t="s">
        <v>22</v>
      </c>
      <c r="R23" s="165">
        <v>1564</v>
      </c>
      <c r="S23" s="158" t="s">
        <v>23</v>
      </c>
      <c r="T23" s="164"/>
      <c r="U23" s="164"/>
      <c r="V23" s="164"/>
      <c r="W23" s="164"/>
      <c r="X23" s="164"/>
      <c r="Y23" s="164"/>
      <c r="Z23" s="165">
        <v>8</v>
      </c>
      <c r="AA23" s="165"/>
      <c r="AB23" s="165"/>
      <c r="AC23" s="165">
        <v>500</v>
      </c>
    </row>
    <row r="24" spans="1:29" x14ac:dyDescent="0.2">
      <c r="A24" s="138">
        <f t="shared" si="0"/>
        <v>20</v>
      </c>
      <c r="B24" s="156">
        <v>43749</v>
      </c>
      <c r="C24" s="157" t="s">
        <v>779</v>
      </c>
      <c r="D24" s="158" t="s">
        <v>780</v>
      </c>
      <c r="E24" s="158" t="s">
        <v>21</v>
      </c>
      <c r="F24" s="158" t="s">
        <v>24</v>
      </c>
      <c r="G24" s="158" t="s">
        <v>770</v>
      </c>
      <c r="H24" s="159">
        <v>43748</v>
      </c>
      <c r="I24" s="158" t="s">
        <v>744</v>
      </c>
      <c r="J24" s="158">
        <v>33</v>
      </c>
      <c r="K24" s="158">
        <v>25</v>
      </c>
      <c r="L24" s="158">
        <v>0</v>
      </c>
      <c r="M24" s="158" t="s">
        <v>6</v>
      </c>
      <c r="N24" s="158">
        <v>16.5</v>
      </c>
      <c r="O24" s="158">
        <v>15</v>
      </c>
      <c r="P24" s="158">
        <v>0</v>
      </c>
      <c r="Q24" s="158" t="s">
        <v>22</v>
      </c>
      <c r="R24" s="158">
        <v>2419</v>
      </c>
      <c r="S24" s="158" t="s">
        <v>142</v>
      </c>
      <c r="T24" s="164"/>
      <c r="U24" s="164"/>
      <c r="V24" s="164"/>
      <c r="W24" s="164"/>
      <c r="X24" s="164"/>
      <c r="Y24" s="164"/>
      <c r="Z24" s="158">
        <v>10</v>
      </c>
      <c r="AA24" s="158"/>
      <c r="AB24" s="158"/>
      <c r="AC24" s="158">
        <v>275</v>
      </c>
    </row>
    <row r="25" spans="1:29" x14ac:dyDescent="0.2">
      <c r="A25" s="138">
        <f t="shared" si="0"/>
        <v>21</v>
      </c>
      <c r="B25" s="156">
        <v>43749</v>
      </c>
      <c r="C25" s="157" t="s">
        <v>783</v>
      </c>
      <c r="D25" s="158" t="s">
        <v>784</v>
      </c>
      <c r="E25" s="158" t="s">
        <v>126</v>
      </c>
      <c r="F25" s="158" t="s">
        <v>127</v>
      </c>
      <c r="G25" s="158" t="s">
        <v>770</v>
      </c>
      <c r="H25" s="159">
        <v>43748</v>
      </c>
      <c r="I25" s="158" t="s">
        <v>744</v>
      </c>
      <c r="J25" s="158">
        <v>24</v>
      </c>
      <c r="K25" s="158">
        <v>17</v>
      </c>
      <c r="L25" s="158">
        <v>0</v>
      </c>
      <c r="M25" s="158" t="s">
        <v>6</v>
      </c>
      <c r="N25" s="158">
        <v>15</v>
      </c>
      <c r="O25" s="158">
        <v>13</v>
      </c>
      <c r="P25" s="158">
        <v>0</v>
      </c>
      <c r="Q25" s="158" t="s">
        <v>22</v>
      </c>
      <c r="R25" s="158">
        <v>1517.6</v>
      </c>
      <c r="S25" s="158" t="s">
        <v>142</v>
      </c>
      <c r="T25" s="164"/>
      <c r="U25" s="164"/>
      <c r="V25" s="164"/>
      <c r="W25" s="164"/>
      <c r="X25" s="164"/>
      <c r="Y25" s="164"/>
      <c r="Z25" s="158">
        <v>7</v>
      </c>
      <c r="AA25" s="158"/>
      <c r="AB25" s="158"/>
      <c r="AC25" s="158">
        <v>280</v>
      </c>
    </row>
    <row r="26" spans="1:29" x14ac:dyDescent="0.2">
      <c r="A26" s="138">
        <f t="shared" si="0"/>
        <v>22</v>
      </c>
      <c r="B26" s="156">
        <v>43749</v>
      </c>
      <c r="C26" s="157" t="s">
        <v>768</v>
      </c>
      <c r="D26" s="158" t="s">
        <v>769</v>
      </c>
      <c r="E26" s="158" t="s">
        <v>126</v>
      </c>
      <c r="F26" s="158" t="s">
        <v>127</v>
      </c>
      <c r="G26" s="158" t="s">
        <v>770</v>
      </c>
      <c r="H26" s="159">
        <v>43748</v>
      </c>
      <c r="I26" s="158" t="s">
        <v>744</v>
      </c>
      <c r="J26" s="158">
        <v>16</v>
      </c>
      <c r="K26" s="158">
        <v>14</v>
      </c>
      <c r="L26" s="158">
        <v>0</v>
      </c>
      <c r="M26" s="158" t="s">
        <v>6</v>
      </c>
      <c r="N26" s="158">
        <v>9.25</v>
      </c>
      <c r="O26" s="158">
        <v>9</v>
      </c>
      <c r="P26" s="158">
        <v>0</v>
      </c>
      <c r="Q26" s="158" t="s">
        <v>22</v>
      </c>
      <c r="R26" s="158">
        <v>816</v>
      </c>
      <c r="S26" s="158" t="s">
        <v>23</v>
      </c>
      <c r="T26" s="164">
        <v>201</v>
      </c>
      <c r="U26" s="164">
        <v>159</v>
      </c>
      <c r="V26" s="164">
        <v>111.25</v>
      </c>
      <c r="W26" s="164">
        <v>105.75</v>
      </c>
      <c r="X26" s="164">
        <v>42</v>
      </c>
      <c r="Y26" s="164">
        <v>5.5</v>
      </c>
      <c r="Z26" s="158">
        <v>6</v>
      </c>
      <c r="AA26" s="158"/>
      <c r="AB26" s="158"/>
      <c r="AC26" s="158">
        <v>230</v>
      </c>
    </row>
    <row r="27" spans="1:29" x14ac:dyDescent="0.2">
      <c r="A27" s="138">
        <f t="shared" si="0"/>
        <v>23</v>
      </c>
      <c r="B27" s="156">
        <v>43749</v>
      </c>
      <c r="C27" s="157" t="s">
        <v>773</v>
      </c>
      <c r="D27" s="158" t="s">
        <v>774</v>
      </c>
      <c r="E27" s="158" t="s">
        <v>21</v>
      </c>
      <c r="F27" s="158" t="s">
        <v>24</v>
      </c>
      <c r="G27" s="158" t="s">
        <v>770</v>
      </c>
      <c r="H27" s="159">
        <v>43748</v>
      </c>
      <c r="I27" s="158" t="s">
        <v>744</v>
      </c>
      <c r="J27" s="158">
        <v>10</v>
      </c>
      <c r="K27" s="158">
        <v>7</v>
      </c>
      <c r="L27" s="158">
        <v>0</v>
      </c>
      <c r="M27" s="158" t="s">
        <v>6</v>
      </c>
      <c r="N27" s="158">
        <v>8.25</v>
      </c>
      <c r="O27" s="158">
        <v>8.25</v>
      </c>
      <c r="P27" s="158">
        <v>0</v>
      </c>
      <c r="Q27" s="158" t="s">
        <v>22</v>
      </c>
      <c r="R27" s="158">
        <v>224</v>
      </c>
      <c r="S27" s="158" t="s">
        <v>124</v>
      </c>
      <c r="T27" s="167"/>
      <c r="U27" s="167"/>
      <c r="V27" s="167"/>
      <c r="W27" s="167"/>
      <c r="X27" s="167"/>
      <c r="Y27" s="167"/>
      <c r="Z27" s="158">
        <v>7</v>
      </c>
      <c r="AA27" s="158"/>
      <c r="AB27" s="158"/>
      <c r="AC27" s="158">
        <v>230</v>
      </c>
    </row>
    <row r="28" spans="1:29" x14ac:dyDescent="0.2">
      <c r="A28" s="138">
        <f t="shared" si="0"/>
        <v>24</v>
      </c>
      <c r="B28" s="156">
        <v>43749</v>
      </c>
      <c r="C28" s="157" t="s">
        <v>771</v>
      </c>
      <c r="D28" s="158" t="s">
        <v>772</v>
      </c>
      <c r="E28" s="158" t="s">
        <v>126</v>
      </c>
      <c r="F28" s="158" t="s">
        <v>127</v>
      </c>
      <c r="G28" s="158" t="s">
        <v>770</v>
      </c>
      <c r="H28" s="159">
        <v>43748</v>
      </c>
      <c r="I28" s="158" t="s">
        <v>744</v>
      </c>
      <c r="J28" s="158">
        <v>21</v>
      </c>
      <c r="K28" s="158">
        <v>17</v>
      </c>
      <c r="L28" s="158">
        <v>0</v>
      </c>
      <c r="M28" s="158" t="s">
        <v>6</v>
      </c>
      <c r="N28" s="158">
        <v>11</v>
      </c>
      <c r="O28" s="158">
        <v>11</v>
      </c>
      <c r="P28" s="158">
        <v>0</v>
      </c>
      <c r="Q28" s="158" t="s">
        <v>22</v>
      </c>
      <c r="R28" s="158">
        <v>3275</v>
      </c>
      <c r="S28" s="158" t="s">
        <v>142</v>
      </c>
      <c r="T28" s="167"/>
      <c r="U28" s="167"/>
      <c r="V28" s="167"/>
      <c r="W28" s="167"/>
      <c r="X28" s="167"/>
      <c r="Y28" s="167"/>
      <c r="Z28" s="158">
        <v>14</v>
      </c>
      <c r="AA28" s="158"/>
      <c r="AB28" s="158"/>
      <c r="AC28" s="158">
        <v>930</v>
      </c>
    </row>
    <row r="29" spans="1:29" x14ac:dyDescent="0.2">
      <c r="A29" s="138">
        <f t="shared" si="0"/>
        <v>25</v>
      </c>
      <c r="B29" s="156">
        <v>43750</v>
      </c>
      <c r="C29" s="157" t="s">
        <v>787</v>
      </c>
      <c r="D29" s="158" t="s">
        <v>788</v>
      </c>
      <c r="E29" s="158" t="s">
        <v>126</v>
      </c>
      <c r="F29" s="158" t="s">
        <v>127</v>
      </c>
      <c r="G29" s="158" t="s">
        <v>770</v>
      </c>
      <c r="H29" s="159">
        <v>43750</v>
      </c>
      <c r="I29" s="158"/>
      <c r="J29" s="158">
        <v>0</v>
      </c>
      <c r="K29" s="158">
        <v>0</v>
      </c>
      <c r="L29" s="158">
        <v>0</v>
      </c>
      <c r="M29" s="158"/>
      <c r="N29" s="158">
        <v>0</v>
      </c>
      <c r="O29" s="158">
        <v>0</v>
      </c>
      <c r="P29" s="158">
        <v>0</v>
      </c>
      <c r="Q29" s="158"/>
      <c r="R29" s="158">
        <v>0</v>
      </c>
      <c r="S29" s="158" t="s">
        <v>447</v>
      </c>
      <c r="T29" s="167"/>
      <c r="U29" s="167"/>
      <c r="V29" s="167"/>
      <c r="W29" s="167"/>
      <c r="X29" s="167"/>
      <c r="Y29" s="167"/>
      <c r="Z29" s="158">
        <v>5</v>
      </c>
      <c r="AA29" s="158"/>
      <c r="AB29" s="158"/>
      <c r="AC29" s="158">
        <v>0</v>
      </c>
    </row>
    <row r="30" spans="1:29" x14ac:dyDescent="0.2">
      <c r="A30" s="138">
        <f t="shared" si="0"/>
        <v>26</v>
      </c>
      <c r="B30" s="156">
        <v>43750</v>
      </c>
      <c r="C30" s="157" t="s">
        <v>789</v>
      </c>
      <c r="D30" s="158" t="s">
        <v>790</v>
      </c>
      <c r="E30" s="158" t="s">
        <v>3277</v>
      </c>
      <c r="F30" s="158" t="s">
        <v>181</v>
      </c>
      <c r="G30" s="158" t="s">
        <v>770</v>
      </c>
      <c r="H30" s="159">
        <v>43750</v>
      </c>
      <c r="I30" s="158"/>
      <c r="J30" s="158">
        <v>0</v>
      </c>
      <c r="K30" s="158">
        <v>0</v>
      </c>
      <c r="L30" s="158">
        <v>0</v>
      </c>
      <c r="M30" s="158"/>
      <c r="N30" s="158">
        <v>0</v>
      </c>
      <c r="O30" s="158">
        <v>0</v>
      </c>
      <c r="P30" s="158">
        <v>0</v>
      </c>
      <c r="Q30" s="158"/>
      <c r="R30" s="158">
        <v>0</v>
      </c>
      <c r="S30" s="158" t="s">
        <v>447</v>
      </c>
      <c r="T30" s="167"/>
      <c r="U30" s="167"/>
      <c r="V30" s="167"/>
      <c r="W30" s="167"/>
      <c r="X30" s="167"/>
      <c r="Y30" s="167"/>
      <c r="Z30" s="158">
        <v>2.67</v>
      </c>
      <c r="AA30" s="158"/>
      <c r="AB30" s="158"/>
      <c r="AC30" s="158">
        <v>200</v>
      </c>
    </row>
    <row r="31" spans="1:29" x14ac:dyDescent="0.2">
      <c r="A31" s="138">
        <f t="shared" si="0"/>
        <v>27</v>
      </c>
      <c r="B31" s="156">
        <v>43752</v>
      </c>
      <c r="C31" s="157" t="s">
        <v>791</v>
      </c>
      <c r="D31" s="158" t="s">
        <v>792</v>
      </c>
      <c r="E31" s="158" t="s">
        <v>128</v>
      </c>
      <c r="F31" s="158" t="s">
        <v>599</v>
      </c>
      <c r="G31" s="158" t="s">
        <v>123</v>
      </c>
      <c r="H31" s="159">
        <v>43749</v>
      </c>
      <c r="I31" s="158" t="s">
        <v>744</v>
      </c>
      <c r="J31" s="158">
        <v>10</v>
      </c>
      <c r="K31" s="158">
        <v>5</v>
      </c>
      <c r="L31" s="158">
        <v>0</v>
      </c>
      <c r="M31" s="158" t="s">
        <v>6</v>
      </c>
      <c r="N31" s="158">
        <v>2</v>
      </c>
      <c r="O31" s="158">
        <v>2</v>
      </c>
      <c r="P31" s="158">
        <v>0</v>
      </c>
      <c r="Q31" s="158" t="s">
        <v>22</v>
      </c>
      <c r="R31" s="158">
        <v>19.940000000000001</v>
      </c>
      <c r="S31" s="158" t="s">
        <v>124</v>
      </c>
      <c r="T31" s="167"/>
      <c r="U31" s="167"/>
      <c r="V31" s="167"/>
      <c r="W31" s="167"/>
      <c r="X31" s="167"/>
      <c r="Y31" s="167"/>
      <c r="Z31" s="158">
        <v>0</v>
      </c>
      <c r="AA31" s="158"/>
      <c r="AB31" s="158"/>
      <c r="AC31" s="158">
        <v>0</v>
      </c>
    </row>
    <row r="32" spans="1:29" x14ac:dyDescent="0.2">
      <c r="A32" s="138">
        <f t="shared" si="0"/>
        <v>28</v>
      </c>
      <c r="B32" s="156">
        <v>43752</v>
      </c>
      <c r="C32" s="157" t="s">
        <v>793</v>
      </c>
      <c r="D32" s="158" t="s">
        <v>794</v>
      </c>
      <c r="E32" s="158" t="s">
        <v>130</v>
      </c>
      <c r="F32" s="158" t="s">
        <v>145</v>
      </c>
      <c r="G32" s="158" t="s">
        <v>121</v>
      </c>
      <c r="H32" s="159">
        <v>43752</v>
      </c>
      <c r="I32" s="158" t="s">
        <v>744</v>
      </c>
      <c r="J32" s="158">
        <v>1</v>
      </c>
      <c r="K32" s="158">
        <v>1</v>
      </c>
      <c r="L32" s="158">
        <v>0</v>
      </c>
      <c r="M32" s="158" t="s">
        <v>6</v>
      </c>
      <c r="N32" s="158">
        <v>1</v>
      </c>
      <c r="O32" s="158">
        <v>1</v>
      </c>
      <c r="P32" s="158">
        <v>0</v>
      </c>
      <c r="Q32" s="158"/>
      <c r="R32" s="158">
        <v>0</v>
      </c>
      <c r="S32" s="158" t="s">
        <v>124</v>
      </c>
      <c r="T32" s="167"/>
      <c r="U32" s="167"/>
      <c r="V32" s="167"/>
      <c r="W32" s="167"/>
      <c r="X32" s="167"/>
      <c r="Y32" s="167"/>
      <c r="Z32" s="158">
        <v>1</v>
      </c>
      <c r="AA32" s="158"/>
      <c r="AB32" s="158"/>
      <c r="AC32" s="158">
        <v>29.56</v>
      </c>
    </row>
    <row r="33" spans="1:29" x14ac:dyDescent="0.2">
      <c r="A33" s="138">
        <f t="shared" si="0"/>
        <v>29</v>
      </c>
      <c r="B33" s="156">
        <v>43753</v>
      </c>
      <c r="C33" s="157" t="s">
        <v>798</v>
      </c>
      <c r="D33" s="158" t="s">
        <v>799</v>
      </c>
      <c r="E33" s="158" t="s">
        <v>129</v>
      </c>
      <c r="F33" s="158" t="s">
        <v>605</v>
      </c>
      <c r="G33" s="158" t="s">
        <v>123</v>
      </c>
      <c r="H33" s="159">
        <v>43753</v>
      </c>
      <c r="I33" s="158" t="s">
        <v>744</v>
      </c>
      <c r="J33" s="158">
        <v>10</v>
      </c>
      <c r="K33" s="158">
        <v>6</v>
      </c>
      <c r="L33" s="158">
        <v>0</v>
      </c>
      <c r="M33" s="158" t="s">
        <v>6</v>
      </c>
      <c r="N33" s="158">
        <v>1.5</v>
      </c>
      <c r="O33" s="158">
        <v>1.5</v>
      </c>
      <c r="P33" s="158">
        <v>0</v>
      </c>
      <c r="Q33" s="158" t="s">
        <v>22</v>
      </c>
      <c r="R33" s="158">
        <v>50.4</v>
      </c>
      <c r="S33" s="158" t="s">
        <v>124</v>
      </c>
      <c r="T33" s="167"/>
      <c r="U33" s="167"/>
      <c r="V33" s="167"/>
      <c r="W33" s="167"/>
      <c r="X33" s="167"/>
      <c r="Y33" s="167"/>
      <c r="Z33" s="158">
        <v>0</v>
      </c>
      <c r="AA33" s="158"/>
      <c r="AB33" s="158"/>
      <c r="AC33" s="158">
        <v>85</v>
      </c>
    </row>
    <row r="34" spans="1:29" x14ac:dyDescent="0.2">
      <c r="A34" s="138">
        <f t="shared" si="0"/>
        <v>30</v>
      </c>
      <c r="B34" s="156">
        <v>43753</v>
      </c>
      <c r="C34" s="157" t="s">
        <v>800</v>
      </c>
      <c r="D34" s="158" t="s">
        <v>801</v>
      </c>
      <c r="E34" s="158" t="s">
        <v>180</v>
      </c>
      <c r="F34" s="158" t="s">
        <v>802</v>
      </c>
      <c r="G34" s="158" t="s">
        <v>123</v>
      </c>
      <c r="H34" s="159">
        <v>43753</v>
      </c>
      <c r="I34" s="158" t="s">
        <v>744</v>
      </c>
      <c r="J34" s="158">
        <v>22</v>
      </c>
      <c r="K34" s="158">
        <v>17</v>
      </c>
      <c r="L34" s="158">
        <v>0</v>
      </c>
      <c r="M34" s="158" t="s">
        <v>6</v>
      </c>
      <c r="N34" s="158">
        <v>6.25</v>
      </c>
      <c r="O34" s="158">
        <v>6.25</v>
      </c>
      <c r="P34" s="158">
        <v>0</v>
      </c>
      <c r="Q34" s="158" t="s">
        <v>22</v>
      </c>
      <c r="R34" s="158">
        <v>317.26</v>
      </c>
      <c r="S34" s="158" t="s">
        <v>142</v>
      </c>
      <c r="T34" s="167"/>
      <c r="U34" s="167"/>
      <c r="V34" s="167"/>
      <c r="W34" s="167"/>
      <c r="X34" s="167"/>
      <c r="Y34" s="167"/>
      <c r="Z34" s="158">
        <v>0</v>
      </c>
      <c r="AA34" s="158"/>
      <c r="AB34" s="158"/>
      <c r="AC34" s="158">
        <v>75</v>
      </c>
    </row>
    <row r="35" spans="1:29" x14ac:dyDescent="0.2">
      <c r="A35" s="138">
        <f t="shared" si="0"/>
        <v>31</v>
      </c>
      <c r="B35" s="156">
        <v>43753</v>
      </c>
      <c r="C35" s="157" t="s">
        <v>795</v>
      </c>
      <c r="D35" s="158" t="s">
        <v>335</v>
      </c>
      <c r="E35" s="158" t="s">
        <v>146</v>
      </c>
      <c r="F35" s="158" t="s">
        <v>298</v>
      </c>
      <c r="G35" s="158" t="s">
        <v>123</v>
      </c>
      <c r="H35" s="159">
        <v>43753</v>
      </c>
      <c r="I35" s="158" t="s">
        <v>744</v>
      </c>
      <c r="J35" s="158">
        <v>1</v>
      </c>
      <c r="K35" s="158">
        <v>1</v>
      </c>
      <c r="L35" s="158">
        <v>0</v>
      </c>
      <c r="M35" s="158"/>
      <c r="N35" s="158">
        <v>0</v>
      </c>
      <c r="O35" s="158">
        <v>0</v>
      </c>
      <c r="P35" s="158">
        <v>0</v>
      </c>
      <c r="Q35" s="158" t="s">
        <v>22</v>
      </c>
      <c r="R35" s="158">
        <v>62.07</v>
      </c>
      <c r="S35" s="158" t="s">
        <v>124</v>
      </c>
      <c r="T35" s="167">
        <v>43</v>
      </c>
      <c r="U35" s="167">
        <v>31</v>
      </c>
      <c r="V35" s="167">
        <v>8.75</v>
      </c>
      <c r="W35" s="167">
        <v>8.75</v>
      </c>
      <c r="X35" s="167">
        <v>12</v>
      </c>
      <c r="Y35" s="167">
        <v>0</v>
      </c>
      <c r="Z35" s="158">
        <v>0</v>
      </c>
      <c r="AA35" s="158"/>
      <c r="AB35" s="158"/>
      <c r="AC35" s="158">
        <v>330</v>
      </c>
    </row>
    <row r="36" spans="1:29" x14ac:dyDescent="0.2">
      <c r="A36" s="138">
        <f t="shared" si="0"/>
        <v>32</v>
      </c>
      <c r="B36" s="156">
        <v>43753</v>
      </c>
      <c r="C36" s="157" t="s">
        <v>796</v>
      </c>
      <c r="D36" s="158" t="s">
        <v>797</v>
      </c>
      <c r="E36" s="158" t="s">
        <v>154</v>
      </c>
      <c r="F36" s="158" t="s">
        <v>155</v>
      </c>
      <c r="G36" s="158" t="s">
        <v>123</v>
      </c>
      <c r="H36" s="159">
        <v>43753</v>
      </c>
      <c r="I36" s="158" t="s">
        <v>744</v>
      </c>
      <c r="J36" s="158">
        <v>10</v>
      </c>
      <c r="K36" s="158">
        <v>7</v>
      </c>
      <c r="L36" s="158">
        <v>0</v>
      </c>
      <c r="M36" s="158" t="s">
        <v>6</v>
      </c>
      <c r="N36" s="158">
        <v>1</v>
      </c>
      <c r="O36" s="158">
        <v>1</v>
      </c>
      <c r="P36" s="158">
        <v>0</v>
      </c>
      <c r="Q36" s="158" t="s">
        <v>22</v>
      </c>
      <c r="R36" s="158">
        <v>79.22</v>
      </c>
      <c r="S36" s="158" t="s">
        <v>124</v>
      </c>
      <c r="T36" s="167"/>
      <c r="U36" s="167"/>
      <c r="V36" s="167"/>
      <c r="W36" s="167"/>
      <c r="X36" s="167"/>
      <c r="Y36" s="167"/>
      <c r="Z36" s="158">
        <v>0</v>
      </c>
      <c r="AA36" s="158"/>
      <c r="AB36" s="158"/>
      <c r="AC36" s="158">
        <v>0</v>
      </c>
    </row>
    <row r="37" spans="1:29" x14ac:dyDescent="0.2">
      <c r="A37" s="138">
        <f t="shared" si="0"/>
        <v>33</v>
      </c>
      <c r="B37" s="156">
        <v>43754</v>
      </c>
      <c r="C37" s="157" t="s">
        <v>785</v>
      </c>
      <c r="D37" s="158" t="s">
        <v>786</v>
      </c>
      <c r="E37" s="158" t="s">
        <v>21</v>
      </c>
      <c r="F37" s="158" t="s">
        <v>125</v>
      </c>
      <c r="G37" s="158" t="s">
        <v>770</v>
      </c>
      <c r="H37" s="159">
        <v>43754</v>
      </c>
      <c r="I37" s="158"/>
      <c r="J37" s="158">
        <v>0</v>
      </c>
      <c r="K37" s="158">
        <v>0</v>
      </c>
      <c r="L37" s="158">
        <v>0</v>
      </c>
      <c r="M37" s="158"/>
      <c r="N37" s="158">
        <v>0</v>
      </c>
      <c r="O37" s="158">
        <v>0</v>
      </c>
      <c r="P37" s="158">
        <v>0</v>
      </c>
      <c r="Q37" s="158"/>
      <c r="R37" s="158">
        <v>280</v>
      </c>
      <c r="S37" s="158" t="s">
        <v>447</v>
      </c>
      <c r="T37" s="167"/>
      <c r="U37" s="167"/>
      <c r="V37" s="167"/>
      <c r="W37" s="167"/>
      <c r="X37" s="167"/>
      <c r="Y37" s="167"/>
      <c r="Z37" s="158">
        <v>0</v>
      </c>
      <c r="AA37" s="158" t="s">
        <v>22</v>
      </c>
      <c r="AB37" s="158"/>
      <c r="AC37" s="158">
        <v>0</v>
      </c>
    </row>
    <row r="38" spans="1:29" x14ac:dyDescent="0.2">
      <c r="A38" s="138">
        <f t="shared" si="0"/>
        <v>34</v>
      </c>
      <c r="B38" s="156">
        <v>43754</v>
      </c>
      <c r="C38" s="157" t="s">
        <v>803</v>
      </c>
      <c r="D38" s="158" t="s">
        <v>804</v>
      </c>
      <c r="E38" s="158" t="s">
        <v>172</v>
      </c>
      <c r="F38" s="158" t="s">
        <v>173</v>
      </c>
      <c r="G38" s="158" t="s">
        <v>123</v>
      </c>
      <c r="H38" s="159">
        <v>43747</v>
      </c>
      <c r="I38" s="158" t="s">
        <v>744</v>
      </c>
      <c r="J38" s="158">
        <v>22</v>
      </c>
      <c r="K38" s="158">
        <v>16</v>
      </c>
      <c r="L38" s="158">
        <v>0</v>
      </c>
      <c r="M38" s="158" t="s">
        <v>6</v>
      </c>
      <c r="N38" s="158">
        <v>2.25</v>
      </c>
      <c r="O38" s="158">
        <v>2.25</v>
      </c>
      <c r="P38" s="158">
        <v>0</v>
      </c>
      <c r="Q38" s="158" t="s">
        <v>22</v>
      </c>
      <c r="R38" s="158">
        <v>0</v>
      </c>
      <c r="S38" s="158" t="s">
        <v>142</v>
      </c>
      <c r="T38" s="167">
        <v>69</v>
      </c>
      <c r="U38" s="167">
        <v>50</v>
      </c>
      <c r="V38" s="167">
        <v>14.75</v>
      </c>
      <c r="W38" s="167">
        <v>14.75</v>
      </c>
      <c r="X38" s="167">
        <v>19</v>
      </c>
      <c r="Y38" s="167">
        <v>0</v>
      </c>
      <c r="Z38" s="158">
        <v>0</v>
      </c>
      <c r="AA38" s="158"/>
      <c r="AB38" s="158"/>
      <c r="AC38" s="158">
        <v>0</v>
      </c>
    </row>
    <row r="39" spans="1:29" x14ac:dyDescent="0.2">
      <c r="A39" s="138">
        <f t="shared" si="0"/>
        <v>35</v>
      </c>
      <c r="B39" s="156">
        <v>43754</v>
      </c>
      <c r="C39" s="157" t="s">
        <v>807</v>
      </c>
      <c r="D39" s="161" t="s">
        <v>808</v>
      </c>
      <c r="E39" s="161" t="s">
        <v>21</v>
      </c>
      <c r="F39" s="161" t="s">
        <v>24</v>
      </c>
      <c r="G39" s="161" t="s">
        <v>123</v>
      </c>
      <c r="H39" s="162">
        <v>43752</v>
      </c>
      <c r="I39" s="161" t="s">
        <v>744</v>
      </c>
      <c r="J39" s="158">
        <v>32</v>
      </c>
      <c r="K39" s="158">
        <v>24</v>
      </c>
      <c r="L39" s="158">
        <v>0</v>
      </c>
      <c r="M39" s="161" t="s">
        <v>6</v>
      </c>
      <c r="N39" s="158">
        <v>7.75</v>
      </c>
      <c r="O39" s="158">
        <v>7.75</v>
      </c>
      <c r="P39" s="158">
        <v>0</v>
      </c>
      <c r="Q39" s="161" t="s">
        <v>22</v>
      </c>
      <c r="R39" s="161">
        <v>2287.6</v>
      </c>
      <c r="S39" s="161" t="s">
        <v>142</v>
      </c>
      <c r="T39" s="168"/>
      <c r="U39" s="168"/>
      <c r="V39" s="168"/>
      <c r="W39" s="168"/>
      <c r="X39" s="168"/>
      <c r="Y39" s="168"/>
      <c r="Z39" s="158">
        <v>0</v>
      </c>
      <c r="AA39" s="161"/>
      <c r="AB39" s="161"/>
      <c r="AC39" s="158">
        <v>0</v>
      </c>
    </row>
    <row r="40" spans="1:29" x14ac:dyDescent="0.2">
      <c r="A40" s="138">
        <f t="shared" si="0"/>
        <v>36</v>
      </c>
      <c r="B40" s="156">
        <v>43754</v>
      </c>
      <c r="C40" s="157" t="s">
        <v>787</v>
      </c>
      <c r="D40" s="158" t="s">
        <v>788</v>
      </c>
      <c r="E40" s="158" t="s">
        <v>126</v>
      </c>
      <c r="F40" s="158" t="s">
        <v>127</v>
      </c>
      <c r="G40" s="158" t="s">
        <v>770</v>
      </c>
      <c r="H40" s="159">
        <v>43754</v>
      </c>
      <c r="I40" s="158"/>
      <c r="J40" s="158">
        <v>0</v>
      </c>
      <c r="K40" s="158">
        <v>0</v>
      </c>
      <c r="L40" s="158">
        <v>0</v>
      </c>
      <c r="M40" s="158"/>
      <c r="N40" s="158">
        <v>0</v>
      </c>
      <c r="O40" s="158">
        <v>0</v>
      </c>
      <c r="P40" s="158">
        <v>0</v>
      </c>
      <c r="Q40" s="158"/>
      <c r="R40" s="158">
        <v>630</v>
      </c>
      <c r="S40" s="158" t="s">
        <v>447</v>
      </c>
      <c r="T40" s="167"/>
      <c r="U40" s="167"/>
      <c r="V40" s="167"/>
      <c r="W40" s="167"/>
      <c r="X40" s="167"/>
      <c r="Y40" s="167"/>
      <c r="Z40" s="158">
        <v>0</v>
      </c>
      <c r="AA40" s="158" t="s">
        <v>22</v>
      </c>
      <c r="AB40" s="158"/>
      <c r="AC40" s="158">
        <v>0</v>
      </c>
    </row>
    <row r="41" spans="1:29" x14ac:dyDescent="0.2">
      <c r="A41" s="138">
        <f t="shared" si="0"/>
        <v>37</v>
      </c>
      <c r="B41" s="156">
        <v>43754</v>
      </c>
      <c r="C41" s="157" t="s">
        <v>789</v>
      </c>
      <c r="D41" s="158" t="s">
        <v>790</v>
      </c>
      <c r="E41" s="158" t="s">
        <v>3277</v>
      </c>
      <c r="F41" s="158" t="s">
        <v>181</v>
      </c>
      <c r="G41" s="158" t="s">
        <v>770</v>
      </c>
      <c r="H41" s="159">
        <v>43754</v>
      </c>
      <c r="I41" s="158"/>
      <c r="J41" s="158">
        <v>0</v>
      </c>
      <c r="K41" s="158">
        <v>0</v>
      </c>
      <c r="L41" s="158">
        <v>0</v>
      </c>
      <c r="M41" s="158"/>
      <c r="N41" s="158">
        <v>0</v>
      </c>
      <c r="O41" s="158">
        <v>0</v>
      </c>
      <c r="P41" s="158">
        <v>0</v>
      </c>
      <c r="Q41" s="158"/>
      <c r="R41" s="158">
        <v>155</v>
      </c>
      <c r="S41" s="158" t="s">
        <v>447</v>
      </c>
      <c r="T41" s="167"/>
      <c r="U41" s="167"/>
      <c r="V41" s="167"/>
      <c r="W41" s="167"/>
      <c r="X41" s="167"/>
      <c r="Y41" s="167"/>
      <c r="Z41" s="158">
        <v>0</v>
      </c>
      <c r="AA41" s="158" t="s">
        <v>22</v>
      </c>
      <c r="AB41" s="158"/>
      <c r="AC41" s="158">
        <v>0</v>
      </c>
    </row>
    <row r="42" spans="1:29" x14ac:dyDescent="0.2">
      <c r="A42" s="138">
        <f t="shared" si="0"/>
        <v>38</v>
      </c>
      <c r="B42" s="156">
        <v>43754</v>
      </c>
      <c r="C42" s="157" t="s">
        <v>805</v>
      </c>
      <c r="D42" s="158" t="s">
        <v>806</v>
      </c>
      <c r="E42" s="158" t="s">
        <v>126</v>
      </c>
      <c r="F42" s="158" t="s">
        <v>494</v>
      </c>
      <c r="G42" s="158" t="s">
        <v>123</v>
      </c>
      <c r="H42" s="159">
        <v>43753</v>
      </c>
      <c r="I42" s="158" t="s">
        <v>744</v>
      </c>
      <c r="J42" s="158">
        <v>15</v>
      </c>
      <c r="K42" s="158">
        <v>10</v>
      </c>
      <c r="L42" s="158">
        <v>0</v>
      </c>
      <c r="M42" s="158" t="s">
        <v>6</v>
      </c>
      <c r="N42" s="158">
        <v>4.75</v>
      </c>
      <c r="O42" s="158">
        <v>4.75</v>
      </c>
      <c r="P42" s="158">
        <v>0</v>
      </c>
      <c r="Q42" s="158" t="s">
        <v>22</v>
      </c>
      <c r="R42" s="158">
        <v>1040.32</v>
      </c>
      <c r="S42" s="158" t="s">
        <v>23</v>
      </c>
      <c r="T42" s="167"/>
      <c r="U42" s="167"/>
      <c r="V42" s="167"/>
      <c r="W42" s="167"/>
      <c r="X42" s="167"/>
      <c r="Y42" s="167"/>
      <c r="Z42" s="158">
        <v>0</v>
      </c>
      <c r="AA42" s="158"/>
      <c r="AB42" s="158"/>
      <c r="AC42" s="158">
        <v>0</v>
      </c>
    </row>
    <row r="43" spans="1:29" x14ac:dyDescent="0.2">
      <c r="A43" s="138">
        <f t="shared" si="0"/>
        <v>39</v>
      </c>
      <c r="B43" s="156">
        <v>43755</v>
      </c>
      <c r="C43" s="157" t="s">
        <v>809</v>
      </c>
      <c r="D43" s="158" t="s">
        <v>810</v>
      </c>
      <c r="E43" s="158" t="s">
        <v>759</v>
      </c>
      <c r="F43" s="158" t="s">
        <v>144</v>
      </c>
      <c r="G43" s="158" t="s">
        <v>123</v>
      </c>
      <c r="H43" s="159">
        <v>43754</v>
      </c>
      <c r="I43" s="158" t="s">
        <v>744</v>
      </c>
      <c r="J43" s="158">
        <v>18</v>
      </c>
      <c r="K43" s="158">
        <v>12</v>
      </c>
      <c r="L43" s="158">
        <v>0</v>
      </c>
      <c r="M43" s="158" t="s">
        <v>6</v>
      </c>
      <c r="N43" s="158">
        <v>3</v>
      </c>
      <c r="O43" s="158">
        <v>3</v>
      </c>
      <c r="P43" s="158">
        <v>0</v>
      </c>
      <c r="Q43" s="158"/>
      <c r="R43" s="158">
        <v>0</v>
      </c>
      <c r="S43" s="158" t="s">
        <v>142</v>
      </c>
      <c r="T43" s="167">
        <v>26</v>
      </c>
      <c r="U43" s="167">
        <v>19</v>
      </c>
      <c r="V43" s="167">
        <v>5.75</v>
      </c>
      <c r="W43" s="167">
        <v>5.25</v>
      </c>
      <c r="X43" s="167">
        <v>7</v>
      </c>
      <c r="Y43" s="167">
        <v>0.5</v>
      </c>
      <c r="Z43" s="158">
        <v>0</v>
      </c>
      <c r="AA43" s="158"/>
      <c r="AB43" s="158"/>
      <c r="AC43" s="158">
        <v>35</v>
      </c>
    </row>
    <row r="44" spans="1:29" x14ac:dyDescent="0.2">
      <c r="A44" s="138">
        <f t="shared" si="0"/>
        <v>40</v>
      </c>
      <c r="B44" s="156">
        <v>43755</v>
      </c>
      <c r="C44" s="157" t="s">
        <v>813</v>
      </c>
      <c r="D44" s="161" t="s">
        <v>814</v>
      </c>
      <c r="E44" s="161" t="s">
        <v>186</v>
      </c>
      <c r="F44" s="161" t="s">
        <v>188</v>
      </c>
      <c r="G44" s="161" t="s">
        <v>121</v>
      </c>
      <c r="H44" s="162">
        <v>43755</v>
      </c>
      <c r="I44" s="161" t="s">
        <v>744</v>
      </c>
      <c r="J44" s="158">
        <v>5</v>
      </c>
      <c r="K44" s="158">
        <v>4</v>
      </c>
      <c r="L44" s="158">
        <v>0</v>
      </c>
      <c r="M44" s="161" t="s">
        <v>6</v>
      </c>
      <c r="N44" s="158">
        <v>2.75</v>
      </c>
      <c r="O44" s="158">
        <v>2.25</v>
      </c>
      <c r="P44" s="158">
        <v>0</v>
      </c>
      <c r="Q44" s="161"/>
      <c r="R44" s="158">
        <v>0</v>
      </c>
      <c r="S44" s="161" t="s">
        <v>124</v>
      </c>
      <c r="T44" s="163"/>
      <c r="U44" s="163"/>
      <c r="V44" s="163"/>
      <c r="W44" s="163"/>
      <c r="X44" s="163"/>
      <c r="Y44" s="163"/>
      <c r="Z44" s="161">
        <v>0</v>
      </c>
      <c r="AA44" s="161"/>
      <c r="AB44" s="161"/>
      <c r="AC44" s="158">
        <v>30</v>
      </c>
    </row>
    <row r="45" spans="1:29" x14ac:dyDescent="0.2">
      <c r="A45" s="138">
        <f t="shared" si="0"/>
        <v>41</v>
      </c>
      <c r="B45" s="156">
        <v>43755</v>
      </c>
      <c r="C45" s="157" t="s">
        <v>811</v>
      </c>
      <c r="D45" s="158" t="s">
        <v>812</v>
      </c>
      <c r="E45" s="158" t="s">
        <v>172</v>
      </c>
      <c r="F45" s="158" t="s">
        <v>184</v>
      </c>
      <c r="G45" s="158" t="s">
        <v>121</v>
      </c>
      <c r="H45" s="159">
        <v>43755</v>
      </c>
      <c r="I45" s="158"/>
      <c r="J45" s="158">
        <v>0</v>
      </c>
      <c r="K45" s="158">
        <v>0</v>
      </c>
      <c r="L45" s="158">
        <v>0</v>
      </c>
      <c r="M45" s="158"/>
      <c r="N45" s="158">
        <v>0</v>
      </c>
      <c r="O45" s="158">
        <v>0</v>
      </c>
      <c r="P45" s="158">
        <v>0</v>
      </c>
      <c r="Q45" s="158"/>
      <c r="R45" s="158">
        <v>0</v>
      </c>
      <c r="S45" s="158" t="s">
        <v>447</v>
      </c>
      <c r="T45" s="167"/>
      <c r="U45" s="167"/>
      <c r="V45" s="167"/>
      <c r="W45" s="167"/>
      <c r="X45" s="167"/>
      <c r="Y45" s="167"/>
      <c r="Z45" s="158">
        <v>2.67</v>
      </c>
      <c r="AA45" s="158"/>
      <c r="AB45" s="158"/>
      <c r="AC45" s="158">
        <v>0</v>
      </c>
    </row>
    <row r="46" spans="1:29" x14ac:dyDescent="0.2">
      <c r="A46" s="138">
        <f t="shared" si="0"/>
        <v>42</v>
      </c>
      <c r="B46" s="156">
        <v>43755</v>
      </c>
      <c r="C46" s="157" t="s">
        <v>815</v>
      </c>
      <c r="D46" s="158" t="s">
        <v>801</v>
      </c>
      <c r="E46" s="158" t="s">
        <v>180</v>
      </c>
      <c r="F46" s="158" t="s">
        <v>802</v>
      </c>
      <c r="G46" s="158" t="s">
        <v>121</v>
      </c>
      <c r="H46" s="159">
        <v>43755</v>
      </c>
      <c r="I46" s="158" t="s">
        <v>744</v>
      </c>
      <c r="J46" s="158">
        <v>3</v>
      </c>
      <c r="K46" s="158">
        <v>3</v>
      </c>
      <c r="L46" s="158">
        <v>0</v>
      </c>
      <c r="M46" s="158"/>
      <c r="N46" s="158">
        <v>0</v>
      </c>
      <c r="O46" s="158">
        <v>0</v>
      </c>
      <c r="P46" s="158">
        <v>0</v>
      </c>
      <c r="Q46" s="158"/>
      <c r="R46" s="158">
        <v>0</v>
      </c>
      <c r="S46" s="158" t="s">
        <v>447</v>
      </c>
      <c r="T46" s="160"/>
      <c r="U46" s="160"/>
      <c r="V46" s="160"/>
      <c r="W46" s="160"/>
      <c r="X46" s="160"/>
      <c r="Y46" s="160"/>
      <c r="Z46" s="158">
        <v>0</v>
      </c>
      <c r="AA46" s="158"/>
      <c r="AB46" s="158"/>
      <c r="AC46" s="158">
        <v>0</v>
      </c>
    </row>
    <row r="47" spans="1:29" x14ac:dyDescent="0.2">
      <c r="A47" s="138">
        <f t="shared" si="0"/>
        <v>43</v>
      </c>
      <c r="B47" s="156">
        <v>43756</v>
      </c>
      <c r="C47" s="157" t="s">
        <v>771</v>
      </c>
      <c r="D47" s="158" t="s">
        <v>772</v>
      </c>
      <c r="E47" s="158" t="s">
        <v>126</v>
      </c>
      <c r="F47" s="158" t="s">
        <v>127</v>
      </c>
      <c r="G47" s="158" t="s">
        <v>770</v>
      </c>
      <c r="H47" s="159">
        <v>43755</v>
      </c>
      <c r="I47" s="158"/>
      <c r="J47" s="158">
        <v>0</v>
      </c>
      <c r="K47" s="158">
        <v>0</v>
      </c>
      <c r="L47" s="158">
        <v>0</v>
      </c>
      <c r="M47" s="158"/>
      <c r="N47" s="158">
        <v>0</v>
      </c>
      <c r="O47" s="158">
        <v>0</v>
      </c>
      <c r="P47" s="158">
        <v>0</v>
      </c>
      <c r="Q47" s="158" t="s">
        <v>22</v>
      </c>
      <c r="R47" s="158">
        <v>495</v>
      </c>
      <c r="S47" s="158" t="s">
        <v>447</v>
      </c>
      <c r="T47" s="160"/>
      <c r="U47" s="160"/>
      <c r="V47" s="160"/>
      <c r="W47" s="160"/>
      <c r="X47" s="160"/>
      <c r="Y47" s="160"/>
      <c r="Z47" s="158">
        <v>1</v>
      </c>
      <c r="AA47" s="158"/>
      <c r="AB47" s="158"/>
      <c r="AC47" s="158">
        <v>0</v>
      </c>
    </row>
    <row r="48" spans="1:29" x14ac:dyDescent="0.2">
      <c r="A48" s="138">
        <f t="shared" si="0"/>
        <v>44</v>
      </c>
      <c r="B48" s="156">
        <v>43756</v>
      </c>
      <c r="C48" s="157" t="s">
        <v>816</v>
      </c>
      <c r="D48" s="158" t="s">
        <v>817</v>
      </c>
      <c r="E48" s="158" t="s">
        <v>175</v>
      </c>
      <c r="F48" s="158" t="s">
        <v>818</v>
      </c>
      <c r="G48" s="158" t="s">
        <v>121</v>
      </c>
      <c r="H48" s="159">
        <v>43756</v>
      </c>
      <c r="I48" s="158"/>
      <c r="J48" s="158">
        <v>0</v>
      </c>
      <c r="K48" s="158">
        <v>0</v>
      </c>
      <c r="L48" s="158">
        <v>0</v>
      </c>
      <c r="M48" s="158"/>
      <c r="N48" s="158">
        <v>0</v>
      </c>
      <c r="O48" s="158">
        <v>0</v>
      </c>
      <c r="P48" s="158">
        <v>0</v>
      </c>
      <c r="Q48" s="158" t="s">
        <v>22</v>
      </c>
      <c r="R48" s="158">
        <v>33.9</v>
      </c>
      <c r="S48" s="158" t="s">
        <v>447</v>
      </c>
      <c r="T48" s="160"/>
      <c r="U48" s="160"/>
      <c r="V48" s="160"/>
      <c r="W48" s="160"/>
      <c r="X48" s="160"/>
      <c r="Y48" s="160"/>
      <c r="Z48" s="158">
        <v>2.67</v>
      </c>
      <c r="AA48" s="158"/>
      <c r="AB48" s="158"/>
      <c r="AC48" s="158">
        <v>0</v>
      </c>
    </row>
    <row r="49" spans="1:29" x14ac:dyDescent="0.2">
      <c r="A49" s="138">
        <f t="shared" si="0"/>
        <v>45</v>
      </c>
      <c r="B49" s="156">
        <v>43756</v>
      </c>
      <c r="C49" s="157" t="s">
        <v>816</v>
      </c>
      <c r="D49" s="158" t="s">
        <v>817</v>
      </c>
      <c r="E49" s="158" t="s">
        <v>175</v>
      </c>
      <c r="F49" s="158" t="s">
        <v>818</v>
      </c>
      <c r="G49" s="158" t="s">
        <v>121</v>
      </c>
      <c r="H49" s="159">
        <v>43756</v>
      </c>
      <c r="I49" s="158"/>
      <c r="J49" s="158">
        <v>0</v>
      </c>
      <c r="K49" s="158">
        <v>0</v>
      </c>
      <c r="L49" s="158">
        <v>0</v>
      </c>
      <c r="M49" s="158"/>
      <c r="N49" s="158">
        <v>0</v>
      </c>
      <c r="O49" s="158">
        <v>0</v>
      </c>
      <c r="P49" s="158">
        <v>0</v>
      </c>
      <c r="Q49" s="158" t="s">
        <v>22</v>
      </c>
      <c r="R49" s="158">
        <v>33.9</v>
      </c>
      <c r="S49" s="158" t="s">
        <v>447</v>
      </c>
      <c r="T49" s="160"/>
      <c r="U49" s="160"/>
      <c r="V49" s="160"/>
      <c r="W49" s="160"/>
      <c r="X49" s="160"/>
      <c r="Y49" s="160"/>
      <c r="Z49" s="158">
        <v>0</v>
      </c>
      <c r="AA49" s="158"/>
      <c r="AB49" s="158"/>
      <c r="AC49" s="158">
        <v>0</v>
      </c>
    </row>
    <row r="50" spans="1:29" x14ac:dyDescent="0.2">
      <c r="A50" s="138">
        <f t="shared" si="0"/>
        <v>46</v>
      </c>
      <c r="B50" s="156">
        <v>43756</v>
      </c>
      <c r="C50" s="157" t="s">
        <v>819</v>
      </c>
      <c r="D50" s="158" t="s">
        <v>810</v>
      </c>
      <c r="E50" s="158" t="s">
        <v>759</v>
      </c>
      <c r="F50" s="158" t="s">
        <v>144</v>
      </c>
      <c r="G50" s="158" t="s">
        <v>121</v>
      </c>
      <c r="H50" s="159">
        <v>43756</v>
      </c>
      <c r="I50" s="158"/>
      <c r="J50" s="158">
        <v>0</v>
      </c>
      <c r="K50" s="158">
        <v>0</v>
      </c>
      <c r="L50" s="158">
        <v>0</v>
      </c>
      <c r="M50" s="158"/>
      <c r="N50" s="158">
        <v>0</v>
      </c>
      <c r="O50" s="158">
        <v>0</v>
      </c>
      <c r="P50" s="158">
        <v>0</v>
      </c>
      <c r="Q50" s="158"/>
      <c r="R50" s="158">
        <v>0</v>
      </c>
      <c r="S50" s="158" t="s">
        <v>447</v>
      </c>
      <c r="T50" s="160"/>
      <c r="U50" s="160"/>
      <c r="V50" s="160"/>
      <c r="W50" s="160"/>
      <c r="X50" s="160"/>
      <c r="Y50" s="160"/>
      <c r="Z50" s="158">
        <v>0</v>
      </c>
      <c r="AA50" s="158"/>
      <c r="AB50" s="158"/>
      <c r="AC50" s="158">
        <v>29.6</v>
      </c>
    </row>
    <row r="51" spans="1:29" x14ac:dyDescent="0.2">
      <c r="A51" s="138">
        <f t="shared" si="0"/>
        <v>47</v>
      </c>
      <c r="B51" s="156">
        <v>43757</v>
      </c>
      <c r="C51" s="157" t="s">
        <v>820</v>
      </c>
      <c r="D51" s="158" t="s">
        <v>821</v>
      </c>
      <c r="E51" s="158" t="s">
        <v>187</v>
      </c>
      <c r="F51" s="158" t="s">
        <v>822</v>
      </c>
      <c r="G51" s="158" t="s">
        <v>123</v>
      </c>
      <c r="H51" s="159">
        <v>43756</v>
      </c>
      <c r="I51" s="158" t="s">
        <v>744</v>
      </c>
      <c r="J51" s="158">
        <v>5</v>
      </c>
      <c r="K51" s="158">
        <v>5</v>
      </c>
      <c r="L51" s="158">
        <v>0</v>
      </c>
      <c r="M51" s="158" t="s">
        <v>6</v>
      </c>
      <c r="N51" s="158">
        <v>2</v>
      </c>
      <c r="O51" s="158">
        <v>2</v>
      </c>
      <c r="P51" s="158">
        <v>0</v>
      </c>
      <c r="Q51" s="158"/>
      <c r="R51" s="158">
        <v>0</v>
      </c>
      <c r="S51" s="158" t="s">
        <v>124</v>
      </c>
      <c r="T51" s="160"/>
      <c r="U51" s="160"/>
      <c r="V51" s="160"/>
      <c r="W51" s="160"/>
      <c r="X51" s="160"/>
      <c r="Y51" s="160"/>
      <c r="Z51" s="158">
        <v>0</v>
      </c>
      <c r="AA51" s="158"/>
      <c r="AB51" s="158"/>
      <c r="AC51" s="158">
        <v>0</v>
      </c>
    </row>
    <row r="52" spans="1:29" x14ac:dyDescent="0.2">
      <c r="A52" s="138">
        <f t="shared" si="0"/>
        <v>48</v>
      </c>
      <c r="B52" s="156">
        <v>43759</v>
      </c>
      <c r="C52" s="157" t="s">
        <v>825</v>
      </c>
      <c r="D52" s="158" t="s">
        <v>826</v>
      </c>
      <c r="E52" s="158" t="s">
        <v>21</v>
      </c>
      <c r="F52" s="158" t="s">
        <v>24</v>
      </c>
      <c r="G52" s="158" t="s">
        <v>770</v>
      </c>
      <c r="H52" s="159">
        <v>43757</v>
      </c>
      <c r="I52" s="158" t="s">
        <v>744</v>
      </c>
      <c r="J52" s="158">
        <v>42</v>
      </c>
      <c r="K52" s="158">
        <v>16</v>
      </c>
      <c r="L52" s="158">
        <v>0</v>
      </c>
      <c r="M52" s="158" t="s">
        <v>6</v>
      </c>
      <c r="N52" s="158">
        <v>16.25</v>
      </c>
      <c r="O52" s="158">
        <v>16.25</v>
      </c>
      <c r="P52" s="158">
        <v>0</v>
      </c>
      <c r="Q52" s="158" t="s">
        <v>22</v>
      </c>
      <c r="R52" s="158">
        <v>2219</v>
      </c>
      <c r="S52" s="158" t="s">
        <v>142</v>
      </c>
      <c r="T52" s="160"/>
      <c r="U52" s="160"/>
      <c r="V52" s="160"/>
      <c r="W52" s="160"/>
      <c r="X52" s="160"/>
      <c r="Y52" s="160"/>
      <c r="Z52" s="158">
        <v>10.25</v>
      </c>
      <c r="AA52" s="158"/>
      <c r="AB52" s="158"/>
      <c r="AC52" s="158">
        <v>330</v>
      </c>
    </row>
    <row r="53" spans="1:29" x14ac:dyDescent="0.2">
      <c r="A53" s="138">
        <f t="shared" si="0"/>
        <v>49</v>
      </c>
      <c r="B53" s="156">
        <v>43759</v>
      </c>
      <c r="C53" s="157" t="s">
        <v>823</v>
      </c>
      <c r="D53" s="158" t="s">
        <v>824</v>
      </c>
      <c r="E53" s="158" t="s">
        <v>759</v>
      </c>
      <c r="F53" s="158" t="s">
        <v>144</v>
      </c>
      <c r="G53" s="158" t="s">
        <v>770</v>
      </c>
      <c r="H53" s="159">
        <v>43759</v>
      </c>
      <c r="I53" s="158" t="s">
        <v>744</v>
      </c>
      <c r="J53" s="158">
        <v>18</v>
      </c>
      <c r="K53" s="158">
        <v>10</v>
      </c>
      <c r="L53" s="158">
        <v>0</v>
      </c>
      <c r="M53" s="158" t="s">
        <v>6</v>
      </c>
      <c r="N53" s="158">
        <v>10</v>
      </c>
      <c r="O53" s="158">
        <v>10</v>
      </c>
      <c r="P53" s="158">
        <v>0</v>
      </c>
      <c r="Q53" s="158" t="s">
        <v>22</v>
      </c>
      <c r="R53" s="158">
        <v>1160</v>
      </c>
      <c r="S53" s="158" t="s">
        <v>23</v>
      </c>
      <c r="T53" s="160"/>
      <c r="U53" s="160"/>
      <c r="V53" s="160"/>
      <c r="W53" s="160"/>
      <c r="X53" s="160"/>
      <c r="Y53" s="160"/>
      <c r="Z53" s="158">
        <v>8.25</v>
      </c>
      <c r="AA53" s="158"/>
      <c r="AB53" s="158"/>
      <c r="AC53" s="158">
        <v>400</v>
      </c>
    </row>
    <row r="54" spans="1:29" x14ac:dyDescent="0.2">
      <c r="A54" s="138">
        <f t="shared" si="0"/>
        <v>50</v>
      </c>
      <c r="B54" s="156">
        <v>43759</v>
      </c>
      <c r="C54" s="157" t="s">
        <v>830</v>
      </c>
      <c r="D54" s="158" t="s">
        <v>831</v>
      </c>
      <c r="E54" s="158" t="s">
        <v>21</v>
      </c>
      <c r="F54" s="158" t="s">
        <v>131</v>
      </c>
      <c r="G54" s="158" t="s">
        <v>121</v>
      </c>
      <c r="H54" s="159">
        <v>43759</v>
      </c>
      <c r="I54" s="158"/>
      <c r="J54" s="158">
        <v>0</v>
      </c>
      <c r="K54" s="158">
        <v>0</v>
      </c>
      <c r="L54" s="158">
        <v>0</v>
      </c>
      <c r="M54" s="158"/>
      <c r="N54" s="158">
        <v>0</v>
      </c>
      <c r="O54" s="158">
        <v>0</v>
      </c>
      <c r="P54" s="158">
        <v>0</v>
      </c>
      <c r="Q54" s="158"/>
      <c r="R54" s="158">
        <v>0</v>
      </c>
      <c r="S54" s="158" t="s">
        <v>447</v>
      </c>
      <c r="T54" s="160"/>
      <c r="U54" s="160"/>
      <c r="V54" s="160"/>
      <c r="W54" s="160"/>
      <c r="X54" s="160"/>
      <c r="Y54" s="160"/>
      <c r="Z54" s="158">
        <v>2.67</v>
      </c>
      <c r="AA54" s="158"/>
      <c r="AB54" s="158"/>
      <c r="AC54" s="158">
        <v>0</v>
      </c>
    </row>
    <row r="55" spans="1:29" x14ac:dyDescent="0.2">
      <c r="A55" s="138">
        <f t="shared" si="0"/>
        <v>51</v>
      </c>
      <c r="B55" s="156">
        <v>43759</v>
      </c>
      <c r="C55" s="157" t="s">
        <v>827</v>
      </c>
      <c r="D55" s="158" t="s">
        <v>328</v>
      </c>
      <c r="E55" s="158" t="s">
        <v>21</v>
      </c>
      <c r="F55" s="158" t="s">
        <v>24</v>
      </c>
      <c r="G55" s="158" t="s">
        <v>121</v>
      </c>
      <c r="H55" s="159">
        <v>43759</v>
      </c>
      <c r="I55" s="158"/>
      <c r="J55" s="158">
        <v>0</v>
      </c>
      <c r="K55" s="158">
        <v>0</v>
      </c>
      <c r="L55" s="158">
        <v>0</v>
      </c>
      <c r="M55" s="158"/>
      <c r="N55" s="158">
        <v>0</v>
      </c>
      <c r="O55" s="158">
        <v>0</v>
      </c>
      <c r="P55" s="158">
        <v>0</v>
      </c>
      <c r="Q55" s="158"/>
      <c r="R55" s="158">
        <v>0</v>
      </c>
      <c r="S55" s="158" t="s">
        <v>447</v>
      </c>
      <c r="T55" s="160"/>
      <c r="U55" s="160"/>
      <c r="V55" s="160"/>
      <c r="W55" s="160"/>
      <c r="X55" s="160"/>
      <c r="Y55" s="160"/>
      <c r="Z55" s="158">
        <v>2.67</v>
      </c>
      <c r="AA55" s="158"/>
      <c r="AB55" s="158"/>
      <c r="AC55" s="158">
        <v>0</v>
      </c>
    </row>
    <row r="56" spans="1:29" x14ac:dyDescent="0.2">
      <c r="A56" s="138">
        <f t="shared" si="0"/>
        <v>52</v>
      </c>
      <c r="B56" s="156">
        <v>43759</v>
      </c>
      <c r="C56" s="157" t="s">
        <v>828</v>
      </c>
      <c r="D56" s="158" t="s">
        <v>829</v>
      </c>
      <c r="E56" s="158" t="s">
        <v>759</v>
      </c>
      <c r="F56" s="158" t="s">
        <v>144</v>
      </c>
      <c r="G56" s="158" t="s">
        <v>770</v>
      </c>
      <c r="H56" s="159">
        <v>43759</v>
      </c>
      <c r="I56" s="158" t="s">
        <v>744</v>
      </c>
      <c r="J56" s="158">
        <v>45</v>
      </c>
      <c r="K56" s="158">
        <v>35</v>
      </c>
      <c r="L56" s="158">
        <v>0</v>
      </c>
      <c r="M56" s="158" t="s">
        <v>6</v>
      </c>
      <c r="N56" s="158">
        <v>16</v>
      </c>
      <c r="O56" s="158">
        <v>16</v>
      </c>
      <c r="P56" s="158">
        <v>0</v>
      </c>
      <c r="Q56" s="158" t="s">
        <v>22</v>
      </c>
      <c r="R56" s="158">
        <v>0</v>
      </c>
      <c r="S56" s="158" t="s">
        <v>142</v>
      </c>
      <c r="T56" s="160"/>
      <c r="U56" s="160"/>
      <c r="V56" s="160"/>
      <c r="W56" s="160"/>
      <c r="X56" s="160"/>
      <c r="Y56" s="160"/>
      <c r="Z56" s="158">
        <v>16.25</v>
      </c>
      <c r="AA56" s="158"/>
      <c r="AB56" s="158"/>
      <c r="AC56" s="158">
        <v>0</v>
      </c>
    </row>
    <row r="57" spans="1:29" x14ac:dyDescent="0.2">
      <c r="A57" s="138">
        <f t="shared" si="0"/>
        <v>53</v>
      </c>
      <c r="B57" s="156">
        <v>43760</v>
      </c>
      <c r="C57" s="157" t="s">
        <v>771</v>
      </c>
      <c r="D57" s="158" t="s">
        <v>772</v>
      </c>
      <c r="E57" s="158" t="s">
        <v>126</v>
      </c>
      <c r="F57" s="158" t="s">
        <v>127</v>
      </c>
      <c r="G57" s="158" t="s">
        <v>770</v>
      </c>
      <c r="H57" s="159">
        <v>43760</v>
      </c>
      <c r="I57" s="158"/>
      <c r="J57" s="158">
        <v>0</v>
      </c>
      <c r="K57" s="158">
        <v>0</v>
      </c>
      <c r="L57" s="158">
        <v>0</v>
      </c>
      <c r="M57" s="158" t="s">
        <v>6</v>
      </c>
      <c r="N57" s="158">
        <v>1</v>
      </c>
      <c r="O57" s="158">
        <v>1</v>
      </c>
      <c r="P57" s="158">
        <v>0</v>
      </c>
      <c r="Q57" s="158"/>
      <c r="R57" s="158">
        <v>0</v>
      </c>
      <c r="S57" s="158" t="s">
        <v>124</v>
      </c>
      <c r="T57" s="160"/>
      <c r="U57" s="160"/>
      <c r="V57" s="160"/>
      <c r="W57" s="160"/>
      <c r="X57" s="160"/>
      <c r="Y57" s="160"/>
      <c r="Z57" s="158">
        <v>0</v>
      </c>
      <c r="AA57" s="158"/>
      <c r="AB57" s="158"/>
      <c r="AC57" s="158">
        <v>0</v>
      </c>
    </row>
    <row r="58" spans="1:29" x14ac:dyDescent="0.2">
      <c r="A58" s="138">
        <f t="shared" si="0"/>
        <v>54</v>
      </c>
      <c r="B58" s="156">
        <v>43760</v>
      </c>
      <c r="C58" s="157" t="s">
        <v>835</v>
      </c>
      <c r="D58" s="158" t="s">
        <v>836</v>
      </c>
      <c r="E58" s="158" t="s">
        <v>126</v>
      </c>
      <c r="F58" s="158" t="s">
        <v>127</v>
      </c>
      <c r="G58" s="158" t="s">
        <v>770</v>
      </c>
      <c r="H58" s="159">
        <v>43760</v>
      </c>
      <c r="I58" s="158" t="s">
        <v>744</v>
      </c>
      <c r="J58" s="158">
        <v>64</v>
      </c>
      <c r="K58" s="158">
        <v>45</v>
      </c>
      <c r="L58" s="158">
        <v>0</v>
      </c>
      <c r="M58" s="158" t="s">
        <v>6</v>
      </c>
      <c r="N58" s="158">
        <v>17</v>
      </c>
      <c r="O58" s="158">
        <v>17</v>
      </c>
      <c r="P58" s="158">
        <v>0</v>
      </c>
      <c r="Q58" s="158"/>
      <c r="R58" s="158">
        <v>0</v>
      </c>
      <c r="S58" s="158" t="s">
        <v>23</v>
      </c>
      <c r="T58" s="160"/>
      <c r="U58" s="160"/>
      <c r="V58" s="160"/>
      <c r="W58" s="160"/>
      <c r="X58" s="160"/>
      <c r="Y58" s="160"/>
      <c r="Z58" s="158">
        <v>11</v>
      </c>
      <c r="AA58" s="158"/>
      <c r="AB58" s="158"/>
      <c r="AC58" s="158">
        <v>880</v>
      </c>
    </row>
    <row r="59" spans="1:29" x14ac:dyDescent="0.2">
      <c r="A59" s="138">
        <f t="shared" si="0"/>
        <v>55</v>
      </c>
      <c r="B59" s="156">
        <v>43760</v>
      </c>
      <c r="C59" s="157" t="s">
        <v>832</v>
      </c>
      <c r="D59" s="158" t="s">
        <v>833</v>
      </c>
      <c r="E59" s="158" t="s">
        <v>146</v>
      </c>
      <c r="F59" s="158" t="s">
        <v>179</v>
      </c>
      <c r="G59" s="158" t="s">
        <v>121</v>
      </c>
      <c r="H59" s="159">
        <v>43759</v>
      </c>
      <c r="I59" s="158"/>
      <c r="J59" s="158">
        <v>0</v>
      </c>
      <c r="K59" s="158">
        <v>0</v>
      </c>
      <c r="L59" s="158">
        <v>0</v>
      </c>
      <c r="M59" s="158"/>
      <c r="N59" s="158">
        <v>0</v>
      </c>
      <c r="O59" s="158">
        <v>0</v>
      </c>
      <c r="P59" s="158">
        <v>0</v>
      </c>
      <c r="Q59" s="158"/>
      <c r="R59" s="158">
        <v>0</v>
      </c>
      <c r="S59" s="158" t="s">
        <v>447</v>
      </c>
      <c r="T59" s="160"/>
      <c r="U59" s="160"/>
      <c r="V59" s="160"/>
      <c r="W59" s="160"/>
      <c r="X59" s="160"/>
      <c r="Y59" s="160"/>
      <c r="Z59" s="158">
        <v>1</v>
      </c>
      <c r="AA59" s="158"/>
      <c r="AB59" s="158"/>
      <c r="AC59" s="158">
        <v>0</v>
      </c>
    </row>
    <row r="60" spans="1:29" x14ac:dyDescent="0.2">
      <c r="A60" s="138">
        <f t="shared" si="0"/>
        <v>56</v>
      </c>
      <c r="B60" s="156">
        <v>43760</v>
      </c>
      <c r="C60" s="157" t="s">
        <v>834</v>
      </c>
      <c r="D60" s="158" t="s">
        <v>831</v>
      </c>
      <c r="E60" s="158" t="s">
        <v>21</v>
      </c>
      <c r="F60" s="158" t="s">
        <v>131</v>
      </c>
      <c r="G60" s="158" t="s">
        <v>121</v>
      </c>
      <c r="H60" s="159">
        <v>43759</v>
      </c>
      <c r="I60" s="158" t="s">
        <v>744</v>
      </c>
      <c r="J60" s="158">
        <v>14</v>
      </c>
      <c r="K60" s="158">
        <v>9</v>
      </c>
      <c r="L60" s="158">
        <v>0</v>
      </c>
      <c r="M60" s="158" t="s">
        <v>6</v>
      </c>
      <c r="N60" s="158">
        <v>2</v>
      </c>
      <c r="O60" s="158">
        <v>2</v>
      </c>
      <c r="P60" s="158">
        <v>0</v>
      </c>
      <c r="Q60" s="158"/>
      <c r="R60" s="158">
        <v>0</v>
      </c>
      <c r="S60" s="158" t="s">
        <v>23</v>
      </c>
      <c r="T60" s="160"/>
      <c r="U60" s="160"/>
      <c r="V60" s="160"/>
      <c r="W60" s="160"/>
      <c r="X60" s="160"/>
      <c r="Y60" s="160"/>
      <c r="Z60" s="158">
        <v>0</v>
      </c>
      <c r="AA60" s="158"/>
      <c r="AB60" s="158"/>
      <c r="AC60" s="158">
        <v>20</v>
      </c>
    </row>
    <row r="61" spans="1:29" x14ac:dyDescent="0.2">
      <c r="A61" s="138">
        <f t="shared" si="0"/>
        <v>57</v>
      </c>
      <c r="B61" s="156">
        <v>43761</v>
      </c>
      <c r="C61" s="157" t="s">
        <v>852</v>
      </c>
      <c r="D61" s="158" t="s">
        <v>853</v>
      </c>
      <c r="E61" s="158" t="s">
        <v>126</v>
      </c>
      <c r="F61" s="158" t="s">
        <v>724</v>
      </c>
      <c r="G61" s="158" t="s">
        <v>770</v>
      </c>
      <c r="H61" s="159">
        <v>43760</v>
      </c>
      <c r="I61" s="158" t="s">
        <v>744</v>
      </c>
      <c r="J61" s="158">
        <v>17</v>
      </c>
      <c r="K61" s="158">
        <v>11</v>
      </c>
      <c r="L61" s="158">
        <v>0</v>
      </c>
      <c r="M61" s="158" t="s">
        <v>6</v>
      </c>
      <c r="N61" s="158">
        <v>9</v>
      </c>
      <c r="O61" s="158">
        <v>9</v>
      </c>
      <c r="P61" s="158">
        <v>0</v>
      </c>
      <c r="Q61" s="158" t="s">
        <v>22</v>
      </c>
      <c r="R61" s="158">
        <v>420</v>
      </c>
      <c r="S61" s="158" t="s">
        <v>23</v>
      </c>
      <c r="T61" s="160"/>
      <c r="U61" s="160"/>
      <c r="V61" s="160"/>
      <c r="W61" s="160"/>
      <c r="X61" s="160"/>
      <c r="Y61" s="160"/>
      <c r="Z61" s="158">
        <v>9.25</v>
      </c>
      <c r="AA61" s="158"/>
      <c r="AB61" s="158"/>
      <c r="AC61" s="158">
        <v>0</v>
      </c>
    </row>
    <row r="62" spans="1:29" x14ac:dyDescent="0.2">
      <c r="A62" s="138">
        <f t="shared" si="0"/>
        <v>58</v>
      </c>
      <c r="B62" s="156">
        <v>43761</v>
      </c>
      <c r="C62" s="157" t="s">
        <v>846</v>
      </c>
      <c r="D62" s="158" t="s">
        <v>847</v>
      </c>
      <c r="E62" s="158" t="s">
        <v>759</v>
      </c>
      <c r="F62" s="158" t="s">
        <v>144</v>
      </c>
      <c r="G62" s="158" t="s">
        <v>770</v>
      </c>
      <c r="H62" s="159">
        <v>43760</v>
      </c>
      <c r="I62" s="158" t="s">
        <v>744</v>
      </c>
      <c r="J62" s="158">
        <v>86</v>
      </c>
      <c r="K62" s="158">
        <v>70</v>
      </c>
      <c r="L62" s="158">
        <v>0</v>
      </c>
      <c r="M62" s="158" t="s">
        <v>6</v>
      </c>
      <c r="N62" s="158">
        <v>20</v>
      </c>
      <c r="O62" s="158">
        <v>18</v>
      </c>
      <c r="P62" s="158">
        <v>0</v>
      </c>
      <c r="Q62" s="158" t="s">
        <v>22</v>
      </c>
      <c r="R62" s="158">
        <v>695.98</v>
      </c>
      <c r="S62" s="158" t="s">
        <v>142</v>
      </c>
      <c r="T62" s="160"/>
      <c r="U62" s="160"/>
      <c r="V62" s="160"/>
      <c r="W62" s="160"/>
      <c r="X62" s="160"/>
      <c r="Y62" s="160"/>
      <c r="Z62" s="158">
        <v>8.25</v>
      </c>
      <c r="AA62" s="158"/>
      <c r="AB62" s="158"/>
      <c r="AC62" s="158">
        <v>172.72</v>
      </c>
    </row>
    <row r="63" spans="1:29" x14ac:dyDescent="0.2">
      <c r="A63" s="138">
        <f t="shared" si="0"/>
        <v>59</v>
      </c>
      <c r="B63" s="156">
        <v>43761</v>
      </c>
      <c r="C63" s="157" t="s">
        <v>840</v>
      </c>
      <c r="D63" s="158" t="s">
        <v>841</v>
      </c>
      <c r="E63" s="158" t="s">
        <v>126</v>
      </c>
      <c r="F63" s="158" t="s">
        <v>127</v>
      </c>
      <c r="G63" s="158" t="s">
        <v>770</v>
      </c>
      <c r="H63" s="159">
        <v>43760</v>
      </c>
      <c r="I63" s="158" t="s">
        <v>744</v>
      </c>
      <c r="J63" s="158">
        <v>46</v>
      </c>
      <c r="K63" s="158">
        <v>38</v>
      </c>
      <c r="L63" s="158">
        <v>0</v>
      </c>
      <c r="M63" s="158" t="s">
        <v>6</v>
      </c>
      <c r="N63" s="158">
        <v>18.5</v>
      </c>
      <c r="O63" s="158">
        <v>18.5</v>
      </c>
      <c r="P63" s="158">
        <v>0</v>
      </c>
      <c r="Q63" s="158" t="s">
        <v>22</v>
      </c>
      <c r="R63" s="158">
        <v>1188.18</v>
      </c>
      <c r="S63" s="158" t="s">
        <v>142</v>
      </c>
      <c r="T63" s="160"/>
      <c r="U63" s="160"/>
      <c r="V63" s="160"/>
      <c r="W63" s="160"/>
      <c r="X63" s="160"/>
      <c r="Y63" s="160"/>
      <c r="Z63" s="158">
        <v>23.25</v>
      </c>
      <c r="AA63" s="158"/>
      <c r="AB63" s="158"/>
      <c r="AC63" s="158">
        <v>227.27</v>
      </c>
    </row>
    <row r="64" spans="1:29" x14ac:dyDescent="0.2">
      <c r="A64" s="138">
        <f t="shared" si="0"/>
        <v>60</v>
      </c>
      <c r="B64" s="156">
        <v>43761</v>
      </c>
      <c r="C64" s="157" t="s">
        <v>848</v>
      </c>
      <c r="D64" s="158" t="s">
        <v>849</v>
      </c>
      <c r="E64" s="158" t="s">
        <v>126</v>
      </c>
      <c r="F64" s="158" t="s">
        <v>127</v>
      </c>
      <c r="G64" s="158" t="s">
        <v>770</v>
      </c>
      <c r="H64" s="159">
        <v>43760</v>
      </c>
      <c r="I64" s="158" t="s">
        <v>744</v>
      </c>
      <c r="J64" s="158">
        <v>58</v>
      </c>
      <c r="K64" s="158">
        <v>43</v>
      </c>
      <c r="L64" s="158">
        <v>0</v>
      </c>
      <c r="M64" s="158" t="s">
        <v>6</v>
      </c>
      <c r="N64" s="158">
        <v>17</v>
      </c>
      <c r="O64" s="158">
        <v>17</v>
      </c>
      <c r="P64" s="158">
        <v>0</v>
      </c>
      <c r="Q64" s="158" t="s">
        <v>22</v>
      </c>
      <c r="R64" s="158">
        <v>745.45</v>
      </c>
      <c r="S64" s="158" t="s">
        <v>142</v>
      </c>
      <c r="T64" s="160"/>
      <c r="U64" s="160"/>
      <c r="V64" s="160"/>
      <c r="W64" s="160"/>
      <c r="X64" s="160"/>
      <c r="Y64" s="160"/>
      <c r="Z64" s="158">
        <v>10.25</v>
      </c>
      <c r="AA64" s="158"/>
      <c r="AB64" s="158"/>
      <c r="AC64" s="158">
        <v>127.27</v>
      </c>
    </row>
    <row r="65" spans="1:29" x14ac:dyDescent="0.2">
      <c r="A65" s="138">
        <f t="shared" si="0"/>
        <v>61</v>
      </c>
      <c r="B65" s="156">
        <v>43761</v>
      </c>
      <c r="C65" s="157" t="s">
        <v>837</v>
      </c>
      <c r="D65" s="158" t="s">
        <v>838</v>
      </c>
      <c r="E65" s="158" t="s">
        <v>178</v>
      </c>
      <c r="F65" s="158" t="s">
        <v>839</v>
      </c>
      <c r="G65" s="158" t="s">
        <v>123</v>
      </c>
      <c r="H65" s="159">
        <v>43760</v>
      </c>
      <c r="I65" s="158" t="s">
        <v>744</v>
      </c>
      <c r="J65" s="158">
        <v>18</v>
      </c>
      <c r="K65" s="158">
        <v>12</v>
      </c>
      <c r="L65" s="158">
        <v>0</v>
      </c>
      <c r="M65" s="158" t="s">
        <v>6</v>
      </c>
      <c r="N65" s="158">
        <v>2</v>
      </c>
      <c r="O65" s="158">
        <v>2</v>
      </c>
      <c r="P65" s="158">
        <v>0</v>
      </c>
      <c r="Q65" s="158" t="s">
        <v>22</v>
      </c>
      <c r="R65" s="158">
        <v>236.35</v>
      </c>
      <c r="S65" s="158" t="s">
        <v>23</v>
      </c>
      <c r="T65" s="160"/>
      <c r="U65" s="160"/>
      <c r="V65" s="160"/>
      <c r="W65" s="160"/>
      <c r="X65" s="160"/>
      <c r="Y65" s="160"/>
      <c r="Z65" s="158">
        <v>0</v>
      </c>
      <c r="AA65" s="158"/>
      <c r="AB65" s="158"/>
      <c r="AC65" s="158">
        <v>35</v>
      </c>
    </row>
    <row r="66" spans="1:29" x14ac:dyDescent="0.2">
      <c r="A66" s="138">
        <f t="shared" si="0"/>
        <v>62</v>
      </c>
      <c r="B66" s="156">
        <v>43761</v>
      </c>
      <c r="C66" s="157" t="s">
        <v>834</v>
      </c>
      <c r="D66" s="158" t="s">
        <v>831</v>
      </c>
      <c r="E66" s="158" t="s">
        <v>21</v>
      </c>
      <c r="F66" s="158" t="s">
        <v>131</v>
      </c>
      <c r="G66" s="158" t="s">
        <v>123</v>
      </c>
      <c r="H66" s="159">
        <v>43761</v>
      </c>
      <c r="I66" s="158" t="s">
        <v>744</v>
      </c>
      <c r="J66" s="158">
        <v>3</v>
      </c>
      <c r="K66" s="158">
        <v>3</v>
      </c>
      <c r="L66" s="158">
        <v>0</v>
      </c>
      <c r="M66" s="158" t="s">
        <v>6</v>
      </c>
      <c r="N66" s="158">
        <v>0.5</v>
      </c>
      <c r="O66" s="158">
        <v>0.5</v>
      </c>
      <c r="P66" s="158">
        <v>0</v>
      </c>
      <c r="Q66" s="158"/>
      <c r="R66" s="158">
        <v>0</v>
      </c>
      <c r="S66" s="158" t="s">
        <v>124</v>
      </c>
      <c r="T66" s="160"/>
      <c r="U66" s="160"/>
      <c r="V66" s="160"/>
      <c r="W66" s="160"/>
      <c r="X66" s="160"/>
      <c r="Y66" s="160"/>
      <c r="Z66" s="158">
        <v>0</v>
      </c>
      <c r="AA66" s="158" t="s">
        <v>22</v>
      </c>
      <c r="AB66" s="158"/>
      <c r="AC66" s="158">
        <v>0</v>
      </c>
    </row>
    <row r="67" spans="1:29" x14ac:dyDescent="0.2">
      <c r="A67" s="138">
        <f t="shared" si="0"/>
        <v>63</v>
      </c>
      <c r="B67" s="156">
        <v>43761</v>
      </c>
      <c r="C67" s="157" t="s">
        <v>842</v>
      </c>
      <c r="D67" s="158" t="s">
        <v>843</v>
      </c>
      <c r="E67" s="158" t="s">
        <v>126</v>
      </c>
      <c r="F67" s="158" t="s">
        <v>724</v>
      </c>
      <c r="G67" s="158" t="s">
        <v>123</v>
      </c>
      <c r="H67" s="159">
        <v>43760</v>
      </c>
      <c r="I67" s="158" t="s">
        <v>744</v>
      </c>
      <c r="J67" s="158">
        <v>6</v>
      </c>
      <c r="K67" s="158">
        <v>4</v>
      </c>
      <c r="L67" s="158">
        <v>0</v>
      </c>
      <c r="M67" s="158" t="s">
        <v>6</v>
      </c>
      <c r="N67" s="158">
        <v>2</v>
      </c>
      <c r="O67" s="158">
        <v>2</v>
      </c>
      <c r="P67" s="158">
        <v>0</v>
      </c>
      <c r="Q67" s="158" t="s">
        <v>22</v>
      </c>
      <c r="R67" s="158">
        <v>9.51</v>
      </c>
      <c r="S67" s="158" t="s">
        <v>124</v>
      </c>
      <c r="T67" s="160"/>
      <c r="U67" s="160"/>
      <c r="V67" s="160"/>
      <c r="W67" s="160"/>
      <c r="X67" s="160"/>
      <c r="Y67" s="160"/>
      <c r="Z67" s="158">
        <v>0</v>
      </c>
      <c r="AA67" s="158"/>
      <c r="AB67" s="158"/>
      <c r="AC67" s="158">
        <v>25</v>
      </c>
    </row>
    <row r="68" spans="1:29" x14ac:dyDescent="0.2">
      <c r="A68" s="138">
        <f t="shared" si="0"/>
        <v>64</v>
      </c>
      <c r="B68" s="156">
        <v>43761</v>
      </c>
      <c r="C68" s="157" t="s">
        <v>850</v>
      </c>
      <c r="D68" s="158" t="s">
        <v>851</v>
      </c>
      <c r="E68" s="158" t="s">
        <v>126</v>
      </c>
      <c r="F68" s="158" t="s">
        <v>127</v>
      </c>
      <c r="G68" s="158" t="s">
        <v>770</v>
      </c>
      <c r="H68" s="159">
        <v>43760</v>
      </c>
      <c r="I68" s="158" t="s">
        <v>744</v>
      </c>
      <c r="J68" s="158">
        <v>40.5</v>
      </c>
      <c r="K68" s="158">
        <v>30</v>
      </c>
      <c r="L68" s="158">
        <v>0</v>
      </c>
      <c r="M68" s="158" t="s">
        <v>6</v>
      </c>
      <c r="N68" s="158">
        <v>19</v>
      </c>
      <c r="O68" s="158">
        <v>18</v>
      </c>
      <c r="P68" s="158">
        <v>0</v>
      </c>
      <c r="Q68" s="158"/>
      <c r="R68" s="158">
        <v>0</v>
      </c>
      <c r="S68" s="158" t="s">
        <v>142</v>
      </c>
      <c r="T68" s="160"/>
      <c r="U68" s="160"/>
      <c r="V68" s="160"/>
      <c r="W68" s="160"/>
      <c r="X68" s="160"/>
      <c r="Y68" s="160"/>
      <c r="Z68" s="158">
        <v>17.25</v>
      </c>
      <c r="AA68" s="158"/>
      <c r="AB68" s="158"/>
      <c r="AC68" s="158">
        <v>0</v>
      </c>
    </row>
    <row r="69" spans="1:29" x14ac:dyDescent="0.2">
      <c r="A69" s="138">
        <f t="shared" si="0"/>
        <v>65</v>
      </c>
      <c r="B69" s="156">
        <v>43761</v>
      </c>
      <c r="C69" s="157" t="s">
        <v>844</v>
      </c>
      <c r="D69" s="158" t="s">
        <v>845</v>
      </c>
      <c r="E69" s="158" t="s">
        <v>126</v>
      </c>
      <c r="F69" s="158" t="s">
        <v>127</v>
      </c>
      <c r="G69" s="158" t="s">
        <v>770</v>
      </c>
      <c r="H69" s="159">
        <v>43760</v>
      </c>
      <c r="I69" s="158" t="s">
        <v>744</v>
      </c>
      <c r="J69" s="158">
        <v>16</v>
      </c>
      <c r="K69" s="158">
        <v>12</v>
      </c>
      <c r="L69" s="158">
        <v>0</v>
      </c>
      <c r="M69" s="158" t="s">
        <v>6</v>
      </c>
      <c r="N69" s="158">
        <v>12.5</v>
      </c>
      <c r="O69" s="158">
        <v>12.5</v>
      </c>
      <c r="P69" s="158">
        <v>0</v>
      </c>
      <c r="Q69" s="158" t="s">
        <v>22</v>
      </c>
      <c r="R69" s="158">
        <v>372.72</v>
      </c>
      <c r="S69" s="158" t="s">
        <v>23</v>
      </c>
      <c r="T69" s="160"/>
      <c r="U69" s="160"/>
      <c r="V69" s="160"/>
      <c r="W69" s="160"/>
      <c r="X69" s="160"/>
      <c r="Y69" s="160"/>
      <c r="Z69" s="158">
        <v>9.25</v>
      </c>
      <c r="AA69" s="158"/>
      <c r="AB69" s="158"/>
      <c r="AC69" s="158">
        <v>42.42</v>
      </c>
    </row>
    <row r="70" spans="1:29" x14ac:dyDescent="0.2">
      <c r="A70" s="138">
        <f t="shared" ref="A70:A133" si="1">+A69+1</f>
        <v>66</v>
      </c>
      <c r="B70" s="156">
        <v>43762</v>
      </c>
      <c r="C70" s="157" t="s">
        <v>858</v>
      </c>
      <c r="D70" s="158" t="s">
        <v>859</v>
      </c>
      <c r="E70" s="158" t="s">
        <v>759</v>
      </c>
      <c r="F70" s="158" t="s">
        <v>144</v>
      </c>
      <c r="G70" s="158" t="s">
        <v>770</v>
      </c>
      <c r="H70" s="159">
        <v>43760</v>
      </c>
      <c r="I70" s="158" t="s">
        <v>744</v>
      </c>
      <c r="J70" s="158">
        <v>5</v>
      </c>
      <c r="K70" s="158">
        <v>5</v>
      </c>
      <c r="L70" s="158">
        <v>0</v>
      </c>
      <c r="M70" s="158" t="s">
        <v>6</v>
      </c>
      <c r="N70" s="158">
        <v>6</v>
      </c>
      <c r="O70" s="158">
        <v>6</v>
      </c>
      <c r="P70" s="158">
        <v>0</v>
      </c>
      <c r="Q70" s="158" t="s">
        <v>22</v>
      </c>
      <c r="R70" s="158">
        <v>629.96</v>
      </c>
      <c r="S70" s="158" t="s">
        <v>124</v>
      </c>
      <c r="T70" s="167"/>
      <c r="U70" s="167"/>
      <c r="V70" s="167"/>
      <c r="W70" s="167"/>
      <c r="X70" s="167"/>
      <c r="Y70" s="167"/>
      <c r="Z70" s="158">
        <v>10.25</v>
      </c>
      <c r="AA70" s="158"/>
      <c r="AB70" s="158"/>
      <c r="AC70" s="158">
        <v>136.30000000000001</v>
      </c>
    </row>
    <row r="71" spans="1:29" x14ac:dyDescent="0.2">
      <c r="A71" s="138">
        <f t="shared" si="1"/>
        <v>67</v>
      </c>
      <c r="B71" s="156">
        <v>43762</v>
      </c>
      <c r="C71" s="157" t="s">
        <v>860</v>
      </c>
      <c r="D71" s="158" t="s">
        <v>861</v>
      </c>
      <c r="E71" s="158" t="s">
        <v>156</v>
      </c>
      <c r="F71" s="158" t="s">
        <v>862</v>
      </c>
      <c r="G71" s="158" t="s">
        <v>123</v>
      </c>
      <c r="H71" s="159">
        <v>43762</v>
      </c>
      <c r="I71" s="158" t="s">
        <v>744</v>
      </c>
      <c r="J71" s="158">
        <v>8</v>
      </c>
      <c r="K71" s="158">
        <v>5</v>
      </c>
      <c r="L71" s="158">
        <v>0</v>
      </c>
      <c r="M71" s="158" t="s">
        <v>6</v>
      </c>
      <c r="N71" s="158">
        <v>2</v>
      </c>
      <c r="O71" s="158">
        <v>2</v>
      </c>
      <c r="P71" s="158">
        <v>0</v>
      </c>
      <c r="Q71" s="158" t="s">
        <v>22</v>
      </c>
      <c r="R71" s="158">
        <v>310</v>
      </c>
      <c r="S71" s="158" t="s">
        <v>124</v>
      </c>
      <c r="T71" s="167"/>
      <c r="U71" s="167"/>
      <c r="V71" s="167"/>
      <c r="W71" s="167"/>
      <c r="X71" s="167"/>
      <c r="Y71" s="167"/>
      <c r="Z71" s="158">
        <v>0</v>
      </c>
      <c r="AA71" s="158"/>
      <c r="AB71" s="158"/>
      <c r="AC71" s="158">
        <v>30</v>
      </c>
    </row>
    <row r="72" spans="1:29" x14ac:dyDescent="0.2">
      <c r="A72" s="138">
        <f t="shared" si="1"/>
        <v>68</v>
      </c>
      <c r="B72" s="156">
        <v>43762</v>
      </c>
      <c r="C72" s="157" t="s">
        <v>867</v>
      </c>
      <c r="D72" s="158" t="s">
        <v>868</v>
      </c>
      <c r="E72" s="158" t="s">
        <v>156</v>
      </c>
      <c r="F72" s="158" t="s">
        <v>869</v>
      </c>
      <c r="G72" s="158" t="s">
        <v>123</v>
      </c>
      <c r="H72" s="159">
        <v>43762</v>
      </c>
      <c r="I72" s="158" t="s">
        <v>744</v>
      </c>
      <c r="J72" s="158">
        <v>16</v>
      </c>
      <c r="K72" s="158">
        <v>12</v>
      </c>
      <c r="L72" s="158">
        <v>0</v>
      </c>
      <c r="M72" s="158" t="s">
        <v>6</v>
      </c>
      <c r="N72" s="158">
        <v>3.5</v>
      </c>
      <c r="O72" s="158">
        <v>3.5</v>
      </c>
      <c r="P72" s="158">
        <v>0</v>
      </c>
      <c r="Q72" s="158" t="s">
        <v>22</v>
      </c>
      <c r="R72" s="158">
        <v>915.74</v>
      </c>
      <c r="S72" s="158" t="s">
        <v>23</v>
      </c>
      <c r="T72" s="167"/>
      <c r="U72" s="167"/>
      <c r="V72" s="167"/>
      <c r="W72" s="167"/>
      <c r="X72" s="167"/>
      <c r="Y72" s="167"/>
      <c r="Z72" s="158">
        <v>0</v>
      </c>
      <c r="AA72" s="158"/>
      <c r="AB72" s="158"/>
      <c r="AC72" s="158">
        <v>30</v>
      </c>
    </row>
    <row r="73" spans="1:29" x14ac:dyDescent="0.2">
      <c r="A73" s="138">
        <f t="shared" si="1"/>
        <v>69</v>
      </c>
      <c r="B73" s="156">
        <v>43762</v>
      </c>
      <c r="C73" s="157" t="s">
        <v>871</v>
      </c>
      <c r="D73" s="158" t="s">
        <v>872</v>
      </c>
      <c r="E73" s="158" t="s">
        <v>156</v>
      </c>
      <c r="F73" s="158" t="s">
        <v>176</v>
      </c>
      <c r="G73" s="158" t="s">
        <v>123</v>
      </c>
      <c r="H73" s="159">
        <v>43762</v>
      </c>
      <c r="I73" s="158" t="s">
        <v>744</v>
      </c>
      <c r="J73" s="158">
        <v>9</v>
      </c>
      <c r="K73" s="158">
        <v>6</v>
      </c>
      <c r="L73" s="158">
        <v>0</v>
      </c>
      <c r="M73" s="158" t="s">
        <v>6</v>
      </c>
      <c r="N73" s="158">
        <v>3</v>
      </c>
      <c r="O73" s="158">
        <v>3</v>
      </c>
      <c r="P73" s="158">
        <v>0</v>
      </c>
      <c r="Q73" s="158" t="s">
        <v>22</v>
      </c>
      <c r="R73" s="158">
        <v>52.56</v>
      </c>
      <c r="S73" s="158" t="s">
        <v>124</v>
      </c>
      <c r="T73" s="167"/>
      <c r="U73" s="167"/>
      <c r="V73" s="167"/>
      <c r="W73" s="167"/>
      <c r="X73" s="167"/>
      <c r="Y73" s="167"/>
      <c r="Z73" s="158">
        <v>0</v>
      </c>
      <c r="AA73" s="158"/>
      <c r="AB73" s="158"/>
      <c r="AC73" s="158">
        <v>30</v>
      </c>
    </row>
    <row r="74" spans="1:29" x14ac:dyDescent="0.2">
      <c r="A74" s="138">
        <f t="shared" si="1"/>
        <v>70</v>
      </c>
      <c r="B74" s="156">
        <v>43762</v>
      </c>
      <c r="C74" s="157" t="s">
        <v>854</v>
      </c>
      <c r="D74" s="158" t="s">
        <v>855</v>
      </c>
      <c r="E74" s="158" t="s">
        <v>21</v>
      </c>
      <c r="F74" s="158" t="s">
        <v>131</v>
      </c>
      <c r="G74" s="158" t="s">
        <v>123</v>
      </c>
      <c r="H74" s="159">
        <v>43761</v>
      </c>
      <c r="I74" s="158" t="s">
        <v>744</v>
      </c>
      <c r="J74" s="158">
        <v>5</v>
      </c>
      <c r="K74" s="158">
        <v>3</v>
      </c>
      <c r="L74" s="158">
        <v>0</v>
      </c>
      <c r="M74" s="158" t="s">
        <v>6</v>
      </c>
      <c r="N74" s="158">
        <v>2.25</v>
      </c>
      <c r="O74" s="158">
        <v>2.25</v>
      </c>
      <c r="P74" s="158">
        <v>0</v>
      </c>
      <c r="Q74" s="158" t="s">
        <v>22</v>
      </c>
      <c r="R74" s="158">
        <v>13.27</v>
      </c>
      <c r="S74" s="158" t="s">
        <v>124</v>
      </c>
      <c r="T74" s="167"/>
      <c r="U74" s="167"/>
      <c r="V74" s="167"/>
      <c r="W74" s="167"/>
      <c r="X74" s="167"/>
      <c r="Y74" s="167"/>
      <c r="Z74" s="158">
        <v>0</v>
      </c>
      <c r="AA74" s="158"/>
      <c r="AB74" s="158"/>
      <c r="AC74" s="158">
        <v>80</v>
      </c>
    </row>
    <row r="75" spans="1:29" x14ac:dyDescent="0.2">
      <c r="A75" s="138">
        <f t="shared" si="1"/>
        <v>71</v>
      </c>
      <c r="B75" s="156">
        <v>43762</v>
      </c>
      <c r="C75" s="157" t="s">
        <v>870</v>
      </c>
      <c r="D75" s="158" t="s">
        <v>855</v>
      </c>
      <c r="E75" s="158" t="s">
        <v>21</v>
      </c>
      <c r="F75" s="158" t="s">
        <v>131</v>
      </c>
      <c r="G75" s="158" t="s">
        <v>123</v>
      </c>
      <c r="H75" s="159">
        <v>43762</v>
      </c>
      <c r="I75" s="158" t="s">
        <v>744</v>
      </c>
      <c r="J75" s="158">
        <v>2.5</v>
      </c>
      <c r="K75" s="158">
        <v>2</v>
      </c>
      <c r="L75" s="158">
        <v>0</v>
      </c>
      <c r="M75" s="158" t="s">
        <v>6</v>
      </c>
      <c r="N75" s="158">
        <v>1.5</v>
      </c>
      <c r="O75" s="158">
        <v>1.5</v>
      </c>
      <c r="P75" s="158">
        <v>0</v>
      </c>
      <c r="Q75" s="158" t="s">
        <v>22</v>
      </c>
      <c r="R75" s="158">
        <v>183.26</v>
      </c>
      <c r="S75" s="158" t="s">
        <v>124</v>
      </c>
      <c r="T75" s="167"/>
      <c r="U75" s="167"/>
      <c r="V75" s="167"/>
      <c r="W75" s="167"/>
      <c r="X75" s="167"/>
      <c r="Y75" s="167"/>
      <c r="Z75" s="158">
        <v>0</v>
      </c>
      <c r="AA75" s="158"/>
      <c r="AB75" s="158"/>
      <c r="AC75" s="158">
        <v>65</v>
      </c>
    </row>
    <row r="76" spans="1:29" x14ac:dyDescent="0.2">
      <c r="A76" s="138">
        <f t="shared" si="1"/>
        <v>72</v>
      </c>
      <c r="B76" s="156">
        <v>43762</v>
      </c>
      <c r="C76" s="157" t="s">
        <v>865</v>
      </c>
      <c r="D76" s="158" t="s">
        <v>866</v>
      </c>
      <c r="E76" s="158" t="s">
        <v>759</v>
      </c>
      <c r="F76" s="158" t="s">
        <v>144</v>
      </c>
      <c r="G76" s="158" t="s">
        <v>770</v>
      </c>
      <c r="H76" s="159">
        <v>43760</v>
      </c>
      <c r="I76" s="158" t="s">
        <v>744</v>
      </c>
      <c r="J76" s="158">
        <v>45</v>
      </c>
      <c r="K76" s="158">
        <v>36</v>
      </c>
      <c r="L76" s="158">
        <v>0</v>
      </c>
      <c r="M76" s="158" t="s">
        <v>6</v>
      </c>
      <c r="N76" s="158">
        <v>17</v>
      </c>
      <c r="O76" s="158">
        <v>17</v>
      </c>
      <c r="P76" s="158">
        <v>0</v>
      </c>
      <c r="Q76" s="158"/>
      <c r="R76" s="158">
        <v>0</v>
      </c>
      <c r="S76" s="158" t="s">
        <v>142</v>
      </c>
      <c r="T76" s="167"/>
      <c r="U76" s="167"/>
      <c r="V76" s="167"/>
      <c r="W76" s="167"/>
      <c r="X76" s="167"/>
      <c r="Y76" s="167"/>
      <c r="Z76" s="158">
        <v>16.25</v>
      </c>
      <c r="AA76" s="158"/>
      <c r="AB76" s="158"/>
      <c r="AC76" s="158">
        <v>0</v>
      </c>
    </row>
    <row r="77" spans="1:29" x14ac:dyDescent="0.2">
      <c r="A77" s="138">
        <f t="shared" si="1"/>
        <v>73</v>
      </c>
      <c r="B77" s="156">
        <v>43762</v>
      </c>
      <c r="C77" s="157" t="s">
        <v>856</v>
      </c>
      <c r="D77" s="158" t="s">
        <v>857</v>
      </c>
      <c r="E77" s="158" t="s">
        <v>21</v>
      </c>
      <c r="F77" s="158" t="s">
        <v>24</v>
      </c>
      <c r="G77" s="158" t="s">
        <v>770</v>
      </c>
      <c r="H77" s="159">
        <v>43760</v>
      </c>
      <c r="I77" s="158" t="s">
        <v>744</v>
      </c>
      <c r="J77" s="158">
        <v>31</v>
      </c>
      <c r="K77" s="158">
        <v>20</v>
      </c>
      <c r="L77" s="158">
        <v>0</v>
      </c>
      <c r="M77" s="158" t="s">
        <v>6</v>
      </c>
      <c r="N77" s="158">
        <v>14.5</v>
      </c>
      <c r="O77" s="158">
        <v>14.5</v>
      </c>
      <c r="P77" s="158">
        <v>0</v>
      </c>
      <c r="Q77" s="158" t="s">
        <v>22</v>
      </c>
      <c r="R77" s="158">
        <v>1060</v>
      </c>
      <c r="S77" s="158" t="s">
        <v>142</v>
      </c>
      <c r="T77" s="167"/>
      <c r="U77" s="167"/>
      <c r="V77" s="167"/>
      <c r="W77" s="167"/>
      <c r="X77" s="167"/>
      <c r="Y77" s="167"/>
      <c r="Z77" s="158">
        <v>20.25</v>
      </c>
      <c r="AA77" s="158"/>
      <c r="AB77" s="158"/>
      <c r="AC77" s="158">
        <v>263.63</v>
      </c>
    </row>
    <row r="78" spans="1:29" x14ac:dyDescent="0.2">
      <c r="A78" s="138">
        <f t="shared" si="1"/>
        <v>74</v>
      </c>
      <c r="B78" s="156">
        <v>43762</v>
      </c>
      <c r="C78" s="157" t="s">
        <v>863</v>
      </c>
      <c r="D78" s="158" t="s">
        <v>864</v>
      </c>
      <c r="E78" s="158" t="s">
        <v>156</v>
      </c>
      <c r="F78" s="158" t="s">
        <v>176</v>
      </c>
      <c r="G78" s="158" t="s">
        <v>123</v>
      </c>
      <c r="H78" s="159">
        <v>43762</v>
      </c>
      <c r="I78" s="158" t="s">
        <v>744</v>
      </c>
      <c r="J78" s="158">
        <v>2</v>
      </c>
      <c r="K78" s="158">
        <v>2</v>
      </c>
      <c r="L78" s="158">
        <v>0</v>
      </c>
      <c r="M78" s="158" t="s">
        <v>6</v>
      </c>
      <c r="N78" s="158">
        <v>1.25</v>
      </c>
      <c r="O78" s="158">
        <v>1.25</v>
      </c>
      <c r="P78" s="158">
        <v>0</v>
      </c>
      <c r="Q78" s="158" t="s">
        <v>22</v>
      </c>
      <c r="R78" s="158">
        <v>736.11</v>
      </c>
      <c r="S78" s="158" t="s">
        <v>124</v>
      </c>
      <c r="T78" s="167"/>
      <c r="U78" s="167"/>
      <c r="V78" s="167"/>
      <c r="W78" s="167"/>
      <c r="X78" s="167"/>
      <c r="Y78" s="167"/>
      <c r="Z78" s="158">
        <v>0</v>
      </c>
      <c r="AA78" s="158"/>
      <c r="AB78" s="158"/>
      <c r="AC78" s="158">
        <v>0</v>
      </c>
    </row>
    <row r="79" spans="1:29" x14ac:dyDescent="0.2">
      <c r="A79" s="138">
        <f t="shared" si="1"/>
        <v>75</v>
      </c>
      <c r="B79" s="156">
        <v>43763</v>
      </c>
      <c r="C79" s="157" t="s">
        <v>879</v>
      </c>
      <c r="D79" s="158" t="s">
        <v>880</v>
      </c>
      <c r="E79" s="158" t="s">
        <v>21</v>
      </c>
      <c r="F79" s="158" t="s">
        <v>24</v>
      </c>
      <c r="G79" s="158" t="s">
        <v>770</v>
      </c>
      <c r="H79" s="159">
        <v>43763</v>
      </c>
      <c r="I79" s="158" t="s">
        <v>744</v>
      </c>
      <c r="J79" s="158">
        <v>44</v>
      </c>
      <c r="K79" s="158">
        <v>32</v>
      </c>
      <c r="L79" s="158">
        <v>0</v>
      </c>
      <c r="M79" s="158" t="s">
        <v>6</v>
      </c>
      <c r="N79" s="158">
        <v>18</v>
      </c>
      <c r="O79" s="158">
        <v>18</v>
      </c>
      <c r="P79" s="158">
        <v>0</v>
      </c>
      <c r="Q79" s="158"/>
      <c r="R79" s="158">
        <v>0</v>
      </c>
      <c r="S79" s="158" t="s">
        <v>142</v>
      </c>
      <c r="T79" s="160"/>
      <c r="U79" s="160"/>
      <c r="V79" s="160"/>
      <c r="W79" s="160"/>
      <c r="X79" s="160"/>
      <c r="Y79" s="160"/>
      <c r="Z79" s="158">
        <v>13.25</v>
      </c>
      <c r="AA79" s="158"/>
      <c r="AB79" s="158"/>
      <c r="AC79" s="158">
        <v>145.44999999999999</v>
      </c>
    </row>
    <row r="80" spans="1:29" x14ac:dyDescent="0.2">
      <c r="A80" s="138">
        <f t="shared" si="1"/>
        <v>76</v>
      </c>
      <c r="B80" s="156">
        <v>43763</v>
      </c>
      <c r="C80" s="157" t="s">
        <v>877</v>
      </c>
      <c r="D80" s="158" t="s">
        <v>878</v>
      </c>
      <c r="E80" s="158" t="s">
        <v>146</v>
      </c>
      <c r="F80" s="158" t="s">
        <v>174</v>
      </c>
      <c r="G80" s="158" t="s">
        <v>770</v>
      </c>
      <c r="H80" s="159">
        <v>43763</v>
      </c>
      <c r="I80" s="158" t="s">
        <v>744</v>
      </c>
      <c r="J80" s="158">
        <v>35</v>
      </c>
      <c r="K80" s="158">
        <v>28</v>
      </c>
      <c r="L80" s="158">
        <v>0</v>
      </c>
      <c r="M80" s="158" t="s">
        <v>6</v>
      </c>
      <c r="N80" s="158">
        <v>16.5</v>
      </c>
      <c r="O80" s="158">
        <v>16.5</v>
      </c>
      <c r="P80" s="158">
        <v>0</v>
      </c>
      <c r="Q80" s="158"/>
      <c r="R80" s="158">
        <v>0</v>
      </c>
      <c r="S80" s="158" t="s">
        <v>142</v>
      </c>
      <c r="T80" s="160"/>
      <c r="U80" s="160"/>
      <c r="V80" s="160"/>
      <c r="W80" s="160"/>
      <c r="X80" s="160"/>
      <c r="Y80" s="160"/>
      <c r="Z80" s="158">
        <v>10.25</v>
      </c>
      <c r="AA80" s="158"/>
      <c r="AB80" s="158"/>
      <c r="AC80" s="158">
        <v>115.15</v>
      </c>
    </row>
    <row r="81" spans="1:29" x14ac:dyDescent="0.2">
      <c r="A81" s="138">
        <f t="shared" si="1"/>
        <v>77</v>
      </c>
      <c r="B81" s="156">
        <v>43763</v>
      </c>
      <c r="C81" s="157" t="s">
        <v>873</v>
      </c>
      <c r="D81" s="158" t="s">
        <v>874</v>
      </c>
      <c r="E81" s="158" t="s">
        <v>128</v>
      </c>
      <c r="F81" s="158" t="s">
        <v>141</v>
      </c>
      <c r="G81" s="158" t="s">
        <v>123</v>
      </c>
      <c r="H81" s="159">
        <v>43762</v>
      </c>
      <c r="I81" s="159" t="s">
        <v>744</v>
      </c>
      <c r="J81" s="158">
        <v>5</v>
      </c>
      <c r="K81" s="158">
        <v>3</v>
      </c>
      <c r="L81" s="158">
        <v>0</v>
      </c>
      <c r="M81" s="158" t="s">
        <v>6</v>
      </c>
      <c r="N81" s="158">
        <v>2.25</v>
      </c>
      <c r="O81" s="158">
        <v>2</v>
      </c>
      <c r="P81" s="158">
        <v>0</v>
      </c>
      <c r="Q81" s="158" t="s">
        <v>22</v>
      </c>
      <c r="R81" s="158">
        <v>1188.25</v>
      </c>
      <c r="S81" s="158" t="s">
        <v>124</v>
      </c>
      <c r="T81" s="167"/>
      <c r="U81" s="167"/>
      <c r="V81" s="167"/>
      <c r="W81" s="167"/>
      <c r="X81" s="167"/>
      <c r="Y81" s="167"/>
      <c r="Z81" s="158">
        <v>0</v>
      </c>
      <c r="AA81" s="158"/>
      <c r="AB81" s="158"/>
      <c r="AC81" s="158">
        <v>30</v>
      </c>
    </row>
    <row r="82" spans="1:29" x14ac:dyDescent="0.2">
      <c r="A82" s="138">
        <f t="shared" si="1"/>
        <v>78</v>
      </c>
      <c r="B82" s="156">
        <v>43763</v>
      </c>
      <c r="C82" s="157" t="s">
        <v>875</v>
      </c>
      <c r="D82" s="158" t="s">
        <v>876</v>
      </c>
      <c r="E82" s="158" t="s">
        <v>21</v>
      </c>
      <c r="F82" s="158" t="s">
        <v>125</v>
      </c>
      <c r="G82" s="158" t="s">
        <v>123</v>
      </c>
      <c r="H82" s="159">
        <v>43763</v>
      </c>
      <c r="I82" s="158" t="s">
        <v>744</v>
      </c>
      <c r="J82" s="158">
        <v>32</v>
      </c>
      <c r="K82" s="158">
        <v>24</v>
      </c>
      <c r="L82" s="158">
        <v>0</v>
      </c>
      <c r="M82" s="158" t="s">
        <v>6</v>
      </c>
      <c r="N82" s="158">
        <v>4</v>
      </c>
      <c r="O82" s="158">
        <v>4</v>
      </c>
      <c r="P82" s="158">
        <v>0</v>
      </c>
      <c r="Q82" s="158" t="s">
        <v>22</v>
      </c>
      <c r="R82" s="158">
        <v>156.27000000000001</v>
      </c>
      <c r="S82" s="158" t="s">
        <v>142</v>
      </c>
      <c r="T82" s="160"/>
      <c r="U82" s="160"/>
      <c r="V82" s="160"/>
      <c r="W82" s="160"/>
      <c r="X82" s="160"/>
      <c r="Y82" s="160"/>
      <c r="Z82" s="158">
        <v>0</v>
      </c>
      <c r="AA82" s="158"/>
      <c r="AB82" s="158"/>
      <c r="AC82" s="158">
        <v>80</v>
      </c>
    </row>
    <row r="83" spans="1:29" x14ac:dyDescent="0.2">
      <c r="A83" s="138">
        <f t="shared" si="1"/>
        <v>79</v>
      </c>
      <c r="B83" s="156">
        <v>43766</v>
      </c>
      <c r="C83" s="169" t="s">
        <v>881</v>
      </c>
      <c r="D83" s="158" t="s">
        <v>882</v>
      </c>
      <c r="E83" s="158" t="s">
        <v>21</v>
      </c>
      <c r="F83" s="158" t="s">
        <v>24</v>
      </c>
      <c r="G83" s="158" t="s">
        <v>121</v>
      </c>
      <c r="H83" s="159">
        <v>43766</v>
      </c>
      <c r="I83" s="158" t="s">
        <v>744</v>
      </c>
      <c r="J83" s="158">
        <v>0</v>
      </c>
      <c r="K83" s="158">
        <v>0</v>
      </c>
      <c r="L83" s="158">
        <v>0</v>
      </c>
      <c r="M83" s="158"/>
      <c r="N83" s="158">
        <v>0</v>
      </c>
      <c r="O83" s="158">
        <v>0</v>
      </c>
      <c r="P83" s="158">
        <v>0</v>
      </c>
      <c r="Q83" s="158"/>
      <c r="R83" s="158">
        <v>0</v>
      </c>
      <c r="S83" s="158" t="s">
        <v>447</v>
      </c>
      <c r="T83" s="160"/>
      <c r="U83" s="160"/>
      <c r="V83" s="160"/>
      <c r="W83" s="160"/>
      <c r="X83" s="160"/>
      <c r="Y83" s="160"/>
      <c r="Z83" s="158">
        <v>2.67</v>
      </c>
      <c r="AA83" s="158"/>
      <c r="AB83" s="158"/>
      <c r="AC83" s="158">
        <v>0</v>
      </c>
    </row>
    <row r="84" spans="1:29" x14ac:dyDescent="0.2">
      <c r="A84" s="138">
        <f t="shared" si="1"/>
        <v>80</v>
      </c>
      <c r="B84" s="156">
        <v>43767</v>
      </c>
      <c r="C84" s="169" t="s">
        <v>886</v>
      </c>
      <c r="D84" s="158" t="s">
        <v>887</v>
      </c>
      <c r="E84" s="158" t="s">
        <v>130</v>
      </c>
      <c r="F84" s="158" t="s">
        <v>140</v>
      </c>
      <c r="G84" s="158" t="s">
        <v>123</v>
      </c>
      <c r="H84" s="159">
        <v>43761</v>
      </c>
      <c r="I84" s="158" t="s">
        <v>744</v>
      </c>
      <c r="J84" s="158">
        <v>18</v>
      </c>
      <c r="K84" s="158">
        <v>14</v>
      </c>
      <c r="L84" s="158">
        <v>0</v>
      </c>
      <c r="M84" s="158" t="s">
        <v>6</v>
      </c>
      <c r="N84" s="158">
        <v>3</v>
      </c>
      <c r="O84" s="158">
        <v>2.25</v>
      </c>
      <c r="P84" s="158">
        <v>0</v>
      </c>
      <c r="Q84" s="158"/>
      <c r="R84" s="158">
        <v>0</v>
      </c>
      <c r="S84" s="158" t="s">
        <v>23</v>
      </c>
      <c r="T84" s="160"/>
      <c r="U84" s="160"/>
      <c r="V84" s="160"/>
      <c r="W84" s="160"/>
      <c r="X84" s="160"/>
      <c r="Y84" s="160"/>
      <c r="Z84" s="158">
        <v>0</v>
      </c>
      <c r="AA84" s="158"/>
      <c r="AB84" s="158"/>
      <c r="AC84" s="158">
        <v>15</v>
      </c>
    </row>
    <row r="85" spans="1:29" x14ac:dyDescent="0.2">
      <c r="A85" s="138">
        <f t="shared" si="1"/>
        <v>81</v>
      </c>
      <c r="B85" s="156">
        <v>43767</v>
      </c>
      <c r="C85" s="169" t="s">
        <v>884</v>
      </c>
      <c r="D85" s="158" t="s">
        <v>885</v>
      </c>
      <c r="E85" s="158" t="s">
        <v>146</v>
      </c>
      <c r="F85" s="158" t="s">
        <v>147</v>
      </c>
      <c r="G85" s="158" t="s">
        <v>123</v>
      </c>
      <c r="H85" s="159">
        <v>43761</v>
      </c>
      <c r="I85" s="158" t="s">
        <v>744</v>
      </c>
      <c r="J85" s="158">
        <v>2</v>
      </c>
      <c r="K85" s="158">
        <v>1</v>
      </c>
      <c r="L85" s="158">
        <v>0</v>
      </c>
      <c r="M85" s="158" t="s">
        <v>6</v>
      </c>
      <c r="N85" s="158">
        <v>1</v>
      </c>
      <c r="O85" s="158">
        <v>0</v>
      </c>
      <c r="P85" s="158">
        <v>0</v>
      </c>
      <c r="Q85" s="158"/>
      <c r="R85" s="158">
        <v>0</v>
      </c>
      <c r="S85" s="158" t="s">
        <v>124</v>
      </c>
      <c r="T85" s="160"/>
      <c r="U85" s="160"/>
      <c r="V85" s="160"/>
      <c r="W85" s="160"/>
      <c r="X85" s="160"/>
      <c r="Y85" s="160"/>
      <c r="Z85" s="158">
        <v>0</v>
      </c>
      <c r="AA85" s="158"/>
      <c r="AB85" s="158"/>
      <c r="AC85" s="158">
        <v>30</v>
      </c>
    </row>
    <row r="86" spans="1:29" x14ac:dyDescent="0.2">
      <c r="A86" s="138">
        <f t="shared" si="1"/>
        <v>82</v>
      </c>
      <c r="B86" s="156">
        <v>43767</v>
      </c>
      <c r="C86" s="169" t="s">
        <v>883</v>
      </c>
      <c r="D86" s="158" t="s">
        <v>882</v>
      </c>
      <c r="E86" s="158" t="s">
        <v>21</v>
      </c>
      <c r="F86" s="158" t="s">
        <v>24</v>
      </c>
      <c r="G86" s="158" t="s">
        <v>123</v>
      </c>
      <c r="H86" s="159">
        <v>43767</v>
      </c>
      <c r="I86" s="158" t="s">
        <v>744</v>
      </c>
      <c r="J86" s="158">
        <v>4</v>
      </c>
      <c r="K86" s="158">
        <v>2</v>
      </c>
      <c r="L86" s="158">
        <v>0</v>
      </c>
      <c r="M86" s="158" t="s">
        <v>6</v>
      </c>
      <c r="N86" s="158">
        <v>2</v>
      </c>
      <c r="O86" s="158">
        <v>2</v>
      </c>
      <c r="P86" s="158">
        <v>0</v>
      </c>
      <c r="Q86" s="158" t="s">
        <v>22</v>
      </c>
      <c r="R86" s="158">
        <v>132.27000000000001</v>
      </c>
      <c r="S86" s="158" t="s">
        <v>124</v>
      </c>
      <c r="T86" s="160"/>
      <c r="U86" s="160"/>
      <c r="V86" s="160"/>
      <c r="W86" s="160"/>
      <c r="X86" s="160"/>
      <c r="Y86" s="160"/>
      <c r="Z86" s="158">
        <v>0</v>
      </c>
      <c r="AA86" s="158"/>
      <c r="AB86" s="158"/>
      <c r="AC86" s="158">
        <v>110</v>
      </c>
    </row>
    <row r="87" spans="1:29" x14ac:dyDescent="0.2">
      <c r="A87" s="138">
        <f t="shared" si="1"/>
        <v>83</v>
      </c>
      <c r="B87" s="156">
        <v>43768</v>
      </c>
      <c r="C87" s="169" t="s">
        <v>895</v>
      </c>
      <c r="D87" s="158" t="s">
        <v>896</v>
      </c>
      <c r="E87" s="158" t="s">
        <v>897</v>
      </c>
      <c r="F87" s="158" t="s">
        <v>898</v>
      </c>
      <c r="G87" s="158" t="s">
        <v>123</v>
      </c>
      <c r="H87" s="159">
        <v>43766</v>
      </c>
      <c r="I87" s="158" t="s">
        <v>744</v>
      </c>
      <c r="J87" s="158">
        <v>6</v>
      </c>
      <c r="K87" s="158">
        <v>4</v>
      </c>
      <c r="L87" s="158">
        <v>0</v>
      </c>
      <c r="M87" s="158" t="s">
        <v>6</v>
      </c>
      <c r="N87" s="158">
        <v>3</v>
      </c>
      <c r="O87" s="158">
        <v>3</v>
      </c>
      <c r="P87" s="158">
        <v>0</v>
      </c>
      <c r="Q87" s="158" t="s">
        <v>22</v>
      </c>
      <c r="R87" s="158">
        <v>1058.17</v>
      </c>
      <c r="S87" s="158" t="s">
        <v>124</v>
      </c>
      <c r="T87" s="160"/>
      <c r="U87" s="160"/>
      <c r="V87" s="160"/>
      <c r="W87" s="160"/>
      <c r="X87" s="160"/>
      <c r="Y87" s="160"/>
      <c r="Z87" s="158">
        <v>0</v>
      </c>
      <c r="AA87" s="158"/>
      <c r="AB87" s="158"/>
      <c r="AC87" s="158">
        <v>35</v>
      </c>
    </row>
    <row r="88" spans="1:29" x14ac:dyDescent="0.2">
      <c r="A88" s="138">
        <f t="shared" si="1"/>
        <v>84</v>
      </c>
      <c r="B88" s="156">
        <v>43768</v>
      </c>
      <c r="C88" s="169" t="s">
        <v>888</v>
      </c>
      <c r="D88" s="158" t="s">
        <v>889</v>
      </c>
      <c r="E88" s="158" t="s">
        <v>156</v>
      </c>
      <c r="F88" s="158" t="s">
        <v>412</v>
      </c>
      <c r="G88" s="158" t="s">
        <v>123</v>
      </c>
      <c r="H88" s="159">
        <v>43766</v>
      </c>
      <c r="I88" s="158" t="s">
        <v>744</v>
      </c>
      <c r="J88" s="158">
        <v>2</v>
      </c>
      <c r="K88" s="158">
        <v>1</v>
      </c>
      <c r="L88" s="158">
        <v>0</v>
      </c>
      <c r="M88" s="158" t="s">
        <v>6</v>
      </c>
      <c r="N88" s="158">
        <v>1</v>
      </c>
      <c r="O88" s="158">
        <v>0</v>
      </c>
      <c r="P88" s="158">
        <v>0</v>
      </c>
      <c r="Q88" s="158"/>
      <c r="R88" s="158">
        <v>0</v>
      </c>
      <c r="S88" s="158" t="s">
        <v>124</v>
      </c>
      <c r="T88" s="160"/>
      <c r="U88" s="160"/>
      <c r="V88" s="160"/>
      <c r="W88" s="160"/>
      <c r="X88" s="160"/>
      <c r="Y88" s="160"/>
      <c r="Z88" s="158">
        <v>0</v>
      </c>
      <c r="AA88" s="158"/>
      <c r="AB88" s="158"/>
      <c r="AC88" s="158">
        <v>0</v>
      </c>
    </row>
    <row r="89" spans="1:29" x14ac:dyDescent="0.2">
      <c r="A89" s="138">
        <f t="shared" si="1"/>
        <v>85</v>
      </c>
      <c r="B89" s="156">
        <v>43768</v>
      </c>
      <c r="C89" s="169" t="s">
        <v>894</v>
      </c>
      <c r="D89" s="158" t="s">
        <v>571</v>
      </c>
      <c r="E89" s="158" t="s">
        <v>154</v>
      </c>
      <c r="F89" s="158" t="s">
        <v>155</v>
      </c>
      <c r="G89" s="158" t="s">
        <v>123</v>
      </c>
      <c r="H89" s="159">
        <v>43767</v>
      </c>
      <c r="I89" s="158" t="s">
        <v>744</v>
      </c>
      <c r="J89" s="158">
        <v>6</v>
      </c>
      <c r="K89" s="158">
        <v>4</v>
      </c>
      <c r="L89" s="158">
        <v>0</v>
      </c>
      <c r="M89" s="158" t="s">
        <v>6</v>
      </c>
      <c r="N89" s="158">
        <v>2.5</v>
      </c>
      <c r="O89" s="158">
        <v>2.5</v>
      </c>
      <c r="P89" s="158">
        <v>0</v>
      </c>
      <c r="Q89" s="158" t="s">
        <v>22</v>
      </c>
      <c r="R89" s="158">
        <v>583.19000000000005</v>
      </c>
      <c r="S89" s="158" t="s">
        <v>124</v>
      </c>
      <c r="T89" s="160"/>
      <c r="U89" s="160"/>
      <c r="V89" s="160"/>
      <c r="W89" s="160"/>
      <c r="X89" s="160"/>
      <c r="Y89" s="160"/>
      <c r="Z89" s="158">
        <v>0</v>
      </c>
      <c r="AA89" s="158"/>
      <c r="AB89" s="158"/>
      <c r="AC89" s="158">
        <v>0</v>
      </c>
    </row>
    <row r="90" spans="1:29" x14ac:dyDescent="0.2">
      <c r="A90" s="138">
        <f t="shared" si="1"/>
        <v>86</v>
      </c>
      <c r="B90" s="156">
        <v>43768</v>
      </c>
      <c r="C90" s="169" t="s">
        <v>890</v>
      </c>
      <c r="D90" s="158" t="s">
        <v>891</v>
      </c>
      <c r="E90" s="158" t="s">
        <v>128</v>
      </c>
      <c r="F90" s="158" t="s">
        <v>327</v>
      </c>
      <c r="G90" s="158" t="s">
        <v>121</v>
      </c>
      <c r="H90" s="159">
        <v>43768</v>
      </c>
      <c r="I90" s="158"/>
      <c r="J90" s="158">
        <v>0</v>
      </c>
      <c r="K90" s="158">
        <v>0</v>
      </c>
      <c r="L90" s="158">
        <v>0</v>
      </c>
      <c r="M90" s="158"/>
      <c r="N90" s="158">
        <v>0</v>
      </c>
      <c r="O90" s="158">
        <v>0</v>
      </c>
      <c r="P90" s="158">
        <v>0</v>
      </c>
      <c r="Q90" s="158"/>
      <c r="R90" s="158">
        <v>0</v>
      </c>
      <c r="S90" s="158" t="s">
        <v>447</v>
      </c>
      <c r="T90" s="160"/>
      <c r="U90" s="160"/>
      <c r="V90" s="160"/>
      <c r="W90" s="160"/>
      <c r="X90" s="160"/>
      <c r="Y90" s="160"/>
      <c r="Z90" s="158">
        <v>2.67</v>
      </c>
      <c r="AA90" s="158"/>
      <c r="AB90" s="158"/>
      <c r="AC90" s="158">
        <v>0</v>
      </c>
    </row>
    <row r="91" spans="1:29" x14ac:dyDescent="0.2">
      <c r="A91" s="138">
        <f t="shared" si="1"/>
        <v>87</v>
      </c>
      <c r="B91" s="156">
        <v>43768</v>
      </c>
      <c r="C91" s="169" t="s">
        <v>892</v>
      </c>
      <c r="D91" s="158" t="s">
        <v>893</v>
      </c>
      <c r="E91" s="158" t="s">
        <v>143</v>
      </c>
      <c r="F91" s="158" t="s">
        <v>185</v>
      </c>
      <c r="G91" s="158" t="s">
        <v>121</v>
      </c>
      <c r="H91" s="159">
        <v>43768</v>
      </c>
      <c r="I91" s="158"/>
      <c r="J91" s="158">
        <v>0</v>
      </c>
      <c r="K91" s="158">
        <v>0</v>
      </c>
      <c r="L91" s="158">
        <v>0</v>
      </c>
      <c r="M91" s="158"/>
      <c r="N91" s="158">
        <v>0</v>
      </c>
      <c r="O91" s="158">
        <v>0</v>
      </c>
      <c r="P91" s="158">
        <v>0</v>
      </c>
      <c r="Q91" s="158"/>
      <c r="R91" s="158">
        <v>0</v>
      </c>
      <c r="S91" s="158" t="s">
        <v>447</v>
      </c>
      <c r="T91" s="160"/>
      <c r="U91" s="160"/>
      <c r="V91" s="160"/>
      <c r="W91" s="160"/>
      <c r="X91" s="160"/>
      <c r="Y91" s="160"/>
      <c r="Z91" s="158">
        <v>2.67</v>
      </c>
      <c r="AA91" s="158"/>
      <c r="AB91" s="158"/>
      <c r="AC91" s="158">
        <v>0</v>
      </c>
    </row>
    <row r="92" spans="1:29" x14ac:dyDescent="0.2">
      <c r="A92" s="138">
        <f t="shared" si="1"/>
        <v>88</v>
      </c>
      <c r="B92" s="156">
        <v>43769</v>
      </c>
      <c r="C92" s="169" t="s">
        <v>903</v>
      </c>
      <c r="D92" s="165" t="s">
        <v>904</v>
      </c>
      <c r="E92" s="165" t="s">
        <v>759</v>
      </c>
      <c r="F92" s="165" t="s">
        <v>177</v>
      </c>
      <c r="G92" s="165" t="s">
        <v>123</v>
      </c>
      <c r="H92" s="166">
        <v>43768</v>
      </c>
      <c r="I92" s="165" t="s">
        <v>744</v>
      </c>
      <c r="J92" s="158">
        <v>26</v>
      </c>
      <c r="K92" s="158">
        <v>20</v>
      </c>
      <c r="L92" s="158">
        <v>0</v>
      </c>
      <c r="M92" s="165" t="s">
        <v>6</v>
      </c>
      <c r="N92" s="158">
        <v>4</v>
      </c>
      <c r="O92" s="158">
        <v>4</v>
      </c>
      <c r="P92" s="158">
        <v>0</v>
      </c>
      <c r="Q92" s="165" t="s">
        <v>22</v>
      </c>
      <c r="R92" s="158">
        <v>809</v>
      </c>
      <c r="S92" s="165" t="s">
        <v>142</v>
      </c>
      <c r="T92" s="170"/>
      <c r="U92" s="170"/>
      <c r="V92" s="170"/>
      <c r="W92" s="170"/>
      <c r="X92" s="170"/>
      <c r="Y92" s="170"/>
      <c r="Z92" s="158">
        <v>0</v>
      </c>
      <c r="AA92" s="165"/>
      <c r="AB92" s="165"/>
      <c r="AC92" s="158">
        <v>65</v>
      </c>
    </row>
    <row r="93" spans="1:29" x14ac:dyDescent="0.2">
      <c r="A93" s="138">
        <f t="shared" si="1"/>
        <v>89</v>
      </c>
      <c r="B93" s="156">
        <v>43769</v>
      </c>
      <c r="C93" s="169" t="s">
        <v>901</v>
      </c>
      <c r="D93" s="158" t="s">
        <v>902</v>
      </c>
      <c r="E93" s="158" t="s">
        <v>3277</v>
      </c>
      <c r="F93" s="158" t="s">
        <v>181</v>
      </c>
      <c r="G93" s="158" t="s">
        <v>123</v>
      </c>
      <c r="H93" s="159">
        <v>43769</v>
      </c>
      <c r="I93" s="158" t="s">
        <v>744</v>
      </c>
      <c r="J93" s="158">
        <v>22</v>
      </c>
      <c r="K93" s="158">
        <v>18</v>
      </c>
      <c r="L93" s="158">
        <v>0</v>
      </c>
      <c r="M93" s="158" t="s">
        <v>6</v>
      </c>
      <c r="N93" s="158">
        <v>5.25</v>
      </c>
      <c r="O93" s="158">
        <v>5.25</v>
      </c>
      <c r="P93" s="158">
        <v>0</v>
      </c>
      <c r="Q93" s="158" t="s">
        <v>22</v>
      </c>
      <c r="R93" s="158">
        <v>1028.78</v>
      </c>
      <c r="S93" s="158" t="s">
        <v>142</v>
      </c>
      <c r="T93" s="167"/>
      <c r="U93" s="167"/>
      <c r="V93" s="167"/>
      <c r="W93" s="167"/>
      <c r="X93" s="167"/>
      <c r="Y93" s="167"/>
      <c r="Z93" s="158">
        <v>0</v>
      </c>
      <c r="AA93" s="158"/>
      <c r="AB93" s="158"/>
      <c r="AC93" s="158">
        <v>70</v>
      </c>
    </row>
    <row r="94" spans="1:29" x14ac:dyDescent="0.2">
      <c r="A94" s="138">
        <f t="shared" si="1"/>
        <v>90</v>
      </c>
      <c r="B94" s="156">
        <v>43769</v>
      </c>
      <c r="C94" s="169" t="s">
        <v>899</v>
      </c>
      <c r="D94" s="158" t="s">
        <v>900</v>
      </c>
      <c r="E94" s="158" t="s">
        <v>128</v>
      </c>
      <c r="F94" s="158" t="s">
        <v>134</v>
      </c>
      <c r="G94" s="158" t="s">
        <v>121</v>
      </c>
      <c r="H94" s="159">
        <v>43769</v>
      </c>
      <c r="I94" s="158"/>
      <c r="J94" s="158">
        <v>0</v>
      </c>
      <c r="K94" s="158">
        <v>0</v>
      </c>
      <c r="L94" s="158">
        <v>0</v>
      </c>
      <c r="M94" s="158"/>
      <c r="N94" s="158">
        <v>0</v>
      </c>
      <c r="O94" s="158">
        <v>0</v>
      </c>
      <c r="P94" s="158">
        <v>0</v>
      </c>
      <c r="Q94" s="158"/>
      <c r="R94" s="158">
        <v>0</v>
      </c>
      <c r="S94" s="158" t="s">
        <v>447</v>
      </c>
      <c r="T94" s="167"/>
      <c r="U94" s="167"/>
      <c r="V94" s="167"/>
      <c r="W94" s="167"/>
      <c r="X94" s="167"/>
      <c r="Y94" s="167"/>
      <c r="Z94" s="158">
        <v>2.67</v>
      </c>
      <c r="AA94" s="158"/>
      <c r="AB94" s="158"/>
      <c r="AC94" s="158">
        <v>0</v>
      </c>
    </row>
    <row r="95" spans="1:29" x14ac:dyDescent="0.2">
      <c r="A95" s="138">
        <f t="shared" si="1"/>
        <v>91</v>
      </c>
      <c r="B95" s="156">
        <v>43771</v>
      </c>
      <c r="C95" s="157" t="s">
        <v>1226</v>
      </c>
      <c r="D95" s="158" t="s">
        <v>1256</v>
      </c>
      <c r="E95" s="158" t="s">
        <v>156</v>
      </c>
      <c r="F95" s="158" t="s">
        <v>1257</v>
      </c>
      <c r="G95" s="158" t="s">
        <v>123</v>
      </c>
      <c r="H95" s="159">
        <v>43769</v>
      </c>
      <c r="I95" s="158" t="s">
        <v>744</v>
      </c>
      <c r="J95" s="158">
        <v>2.25</v>
      </c>
      <c r="K95" s="158">
        <v>2</v>
      </c>
      <c r="L95" s="158">
        <v>0</v>
      </c>
      <c r="M95" s="158" t="s">
        <v>6</v>
      </c>
      <c r="N95" s="158">
        <v>1</v>
      </c>
      <c r="O95" s="158">
        <v>1</v>
      </c>
      <c r="P95" s="158">
        <v>0</v>
      </c>
      <c r="Q95" s="158" t="s">
        <v>22</v>
      </c>
      <c r="R95" s="158">
        <v>957.33</v>
      </c>
      <c r="S95" s="158" t="s">
        <v>124</v>
      </c>
      <c r="T95" s="160">
        <v>2.25</v>
      </c>
      <c r="U95" s="160">
        <v>2</v>
      </c>
      <c r="V95" s="160">
        <v>1</v>
      </c>
      <c r="W95" s="160">
        <v>1</v>
      </c>
      <c r="X95" s="160">
        <v>0.25</v>
      </c>
      <c r="Y95" s="160">
        <v>0</v>
      </c>
      <c r="Z95" s="158">
        <v>0</v>
      </c>
      <c r="AA95" s="158"/>
      <c r="AB95" s="158"/>
      <c r="AC95" s="158">
        <v>15</v>
      </c>
    </row>
    <row r="96" spans="1:29" x14ac:dyDescent="0.2">
      <c r="A96" s="138">
        <f t="shared" si="1"/>
        <v>92</v>
      </c>
      <c r="B96" s="156">
        <v>43773</v>
      </c>
      <c r="C96" s="157" t="s">
        <v>1258</v>
      </c>
      <c r="D96" s="158" t="s">
        <v>1259</v>
      </c>
      <c r="E96" s="158" t="s">
        <v>146</v>
      </c>
      <c r="F96" s="158" t="s">
        <v>157</v>
      </c>
      <c r="G96" s="158" t="s">
        <v>123</v>
      </c>
      <c r="H96" s="159">
        <v>43769</v>
      </c>
      <c r="I96" s="158" t="s">
        <v>744</v>
      </c>
      <c r="J96" s="158">
        <v>32</v>
      </c>
      <c r="K96" s="158">
        <v>28</v>
      </c>
      <c r="L96" s="158">
        <v>0</v>
      </c>
      <c r="M96" s="158" t="s">
        <v>6</v>
      </c>
      <c r="N96" s="158">
        <v>5.5</v>
      </c>
      <c r="O96" s="158">
        <v>5.5</v>
      </c>
      <c r="P96" s="158">
        <v>0</v>
      </c>
      <c r="Q96" s="158" t="s">
        <v>22</v>
      </c>
      <c r="R96" s="158">
        <v>111.8</v>
      </c>
      <c r="S96" s="158" t="s">
        <v>142</v>
      </c>
      <c r="T96" s="160">
        <v>67</v>
      </c>
      <c r="U96" s="160">
        <v>51</v>
      </c>
      <c r="V96" s="160">
        <v>13.75</v>
      </c>
      <c r="W96" s="160">
        <v>13.75</v>
      </c>
      <c r="X96" s="160">
        <v>16</v>
      </c>
      <c r="Y96" s="160">
        <v>0</v>
      </c>
      <c r="Z96" s="158">
        <v>0</v>
      </c>
      <c r="AA96" s="158"/>
      <c r="AB96" s="158"/>
      <c r="AC96" s="158">
        <v>0</v>
      </c>
    </row>
    <row r="97" spans="1:29" x14ac:dyDescent="0.2">
      <c r="A97" s="138">
        <f t="shared" si="1"/>
        <v>93</v>
      </c>
      <c r="B97" s="156">
        <v>43773</v>
      </c>
      <c r="C97" s="157" t="s">
        <v>926</v>
      </c>
      <c r="D97" s="158" t="s">
        <v>1260</v>
      </c>
      <c r="E97" s="158" t="s">
        <v>156</v>
      </c>
      <c r="F97" s="158" t="s">
        <v>412</v>
      </c>
      <c r="G97" s="158" t="s">
        <v>123</v>
      </c>
      <c r="H97" s="159">
        <v>43769</v>
      </c>
      <c r="I97" s="158" t="s">
        <v>744</v>
      </c>
      <c r="J97" s="158">
        <v>14</v>
      </c>
      <c r="K97" s="158">
        <v>8</v>
      </c>
      <c r="L97" s="158">
        <v>0</v>
      </c>
      <c r="M97" s="158" t="s">
        <v>6</v>
      </c>
      <c r="N97" s="158">
        <v>2</v>
      </c>
      <c r="O97" s="158">
        <v>2</v>
      </c>
      <c r="P97" s="158">
        <v>0</v>
      </c>
      <c r="Q97" s="158"/>
      <c r="R97" s="158">
        <v>0</v>
      </c>
      <c r="S97" s="158" t="s">
        <v>23</v>
      </c>
      <c r="T97" s="160"/>
      <c r="U97" s="160"/>
      <c r="V97" s="160"/>
      <c r="W97" s="160"/>
      <c r="X97" s="160"/>
      <c r="Y97" s="160"/>
      <c r="Z97" s="158">
        <v>0</v>
      </c>
      <c r="AA97" s="158"/>
      <c r="AB97" s="158"/>
      <c r="AC97" s="158">
        <v>35</v>
      </c>
    </row>
    <row r="98" spans="1:29" x14ac:dyDescent="0.2">
      <c r="A98" s="138">
        <f t="shared" si="1"/>
        <v>94</v>
      </c>
      <c r="B98" s="156">
        <v>43773</v>
      </c>
      <c r="C98" s="157" t="s">
        <v>1223</v>
      </c>
      <c r="D98" s="158" t="s">
        <v>1264</v>
      </c>
      <c r="E98" s="158" t="s">
        <v>154</v>
      </c>
      <c r="F98" s="158" t="s">
        <v>155</v>
      </c>
      <c r="G98" s="158" t="s">
        <v>123</v>
      </c>
      <c r="H98" s="159">
        <v>43769</v>
      </c>
      <c r="I98" s="158" t="s">
        <v>744</v>
      </c>
      <c r="J98" s="158">
        <v>2</v>
      </c>
      <c r="K98" s="158">
        <v>1</v>
      </c>
      <c r="L98" s="158">
        <v>0</v>
      </c>
      <c r="M98" s="158" t="s">
        <v>6</v>
      </c>
      <c r="N98" s="158">
        <v>1</v>
      </c>
      <c r="O98" s="158">
        <v>1</v>
      </c>
      <c r="P98" s="158">
        <v>0</v>
      </c>
      <c r="Q98" s="158"/>
      <c r="R98" s="158">
        <v>0</v>
      </c>
      <c r="S98" s="158" t="s">
        <v>124</v>
      </c>
      <c r="T98" s="160"/>
      <c r="U98" s="160"/>
      <c r="V98" s="160"/>
      <c r="W98" s="160"/>
      <c r="X98" s="160"/>
      <c r="Y98" s="160"/>
      <c r="Z98" s="158">
        <v>0</v>
      </c>
      <c r="AA98" s="158"/>
      <c r="AB98" s="158"/>
      <c r="AC98" s="158">
        <v>50</v>
      </c>
    </row>
    <row r="99" spans="1:29" x14ac:dyDescent="0.2">
      <c r="A99" s="138">
        <f t="shared" si="1"/>
        <v>95</v>
      </c>
      <c r="B99" s="156">
        <v>43773</v>
      </c>
      <c r="C99" s="157" t="s">
        <v>1261</v>
      </c>
      <c r="D99" s="158" t="s">
        <v>1262</v>
      </c>
      <c r="E99" s="158" t="s">
        <v>126</v>
      </c>
      <c r="F99" s="158" t="s">
        <v>1263</v>
      </c>
      <c r="G99" s="158" t="s">
        <v>123</v>
      </c>
      <c r="H99" s="159">
        <v>43769</v>
      </c>
      <c r="I99" s="158" t="s">
        <v>744</v>
      </c>
      <c r="J99" s="158">
        <v>19</v>
      </c>
      <c r="K99" s="158">
        <v>14</v>
      </c>
      <c r="L99" s="158">
        <v>0</v>
      </c>
      <c r="M99" s="158" t="s">
        <v>6</v>
      </c>
      <c r="N99" s="158">
        <v>5.25</v>
      </c>
      <c r="O99" s="158">
        <v>4</v>
      </c>
      <c r="P99" s="158">
        <v>0</v>
      </c>
      <c r="Q99" s="158" t="s">
        <v>22</v>
      </c>
      <c r="R99" s="158">
        <v>139.49</v>
      </c>
      <c r="S99" s="158" t="s">
        <v>23</v>
      </c>
      <c r="T99" s="160"/>
      <c r="U99" s="160"/>
      <c r="V99" s="160"/>
      <c r="W99" s="160"/>
      <c r="X99" s="160"/>
      <c r="Y99" s="160"/>
      <c r="Z99" s="158">
        <v>0</v>
      </c>
      <c r="AA99" s="158"/>
      <c r="AB99" s="158"/>
      <c r="AC99" s="158">
        <v>140</v>
      </c>
    </row>
    <row r="100" spans="1:29" x14ac:dyDescent="0.2">
      <c r="A100" s="138">
        <f t="shared" si="1"/>
        <v>96</v>
      </c>
      <c r="B100" s="156">
        <v>43773</v>
      </c>
      <c r="C100" s="157" t="s">
        <v>1254</v>
      </c>
      <c r="D100" s="158" t="s">
        <v>1265</v>
      </c>
      <c r="E100" s="158" t="s">
        <v>126</v>
      </c>
      <c r="F100" s="158" t="s">
        <v>1266</v>
      </c>
      <c r="G100" s="158" t="s">
        <v>121</v>
      </c>
      <c r="H100" s="159">
        <v>43773</v>
      </c>
      <c r="I100" s="158"/>
      <c r="J100" s="158">
        <v>0</v>
      </c>
      <c r="K100" s="158">
        <v>0</v>
      </c>
      <c r="L100" s="158">
        <v>0</v>
      </c>
      <c r="M100" s="158"/>
      <c r="N100" s="158">
        <v>0</v>
      </c>
      <c r="O100" s="158">
        <v>0</v>
      </c>
      <c r="P100" s="158">
        <v>0</v>
      </c>
      <c r="Q100" s="158"/>
      <c r="R100" s="158">
        <v>0</v>
      </c>
      <c r="S100" s="158" t="s">
        <v>447</v>
      </c>
      <c r="T100" s="160"/>
      <c r="U100" s="160"/>
      <c r="V100" s="160"/>
      <c r="W100" s="160"/>
      <c r="X100" s="160"/>
      <c r="Y100" s="160"/>
      <c r="Z100" s="158">
        <v>2.67</v>
      </c>
      <c r="AA100" s="158"/>
      <c r="AB100" s="158"/>
      <c r="AC100" s="158">
        <v>0</v>
      </c>
    </row>
    <row r="101" spans="1:29" x14ac:dyDescent="0.2">
      <c r="A101" s="138">
        <f t="shared" si="1"/>
        <v>97</v>
      </c>
      <c r="B101" s="156">
        <v>43774</v>
      </c>
      <c r="C101" s="157" t="s">
        <v>1268</v>
      </c>
      <c r="D101" s="158" t="s">
        <v>1269</v>
      </c>
      <c r="E101" s="158" t="s">
        <v>1270</v>
      </c>
      <c r="F101" s="158" t="s">
        <v>1271</v>
      </c>
      <c r="G101" s="158" t="s">
        <v>121</v>
      </c>
      <c r="H101" s="159">
        <v>43773</v>
      </c>
      <c r="I101" s="158" t="s">
        <v>744</v>
      </c>
      <c r="J101" s="158">
        <v>28</v>
      </c>
      <c r="K101" s="158">
        <v>12</v>
      </c>
      <c r="L101" s="158">
        <v>0</v>
      </c>
      <c r="M101" s="158" t="s">
        <v>6</v>
      </c>
      <c r="N101" s="158">
        <v>9.75</v>
      </c>
      <c r="O101" s="158">
        <v>10.75</v>
      </c>
      <c r="P101" s="158">
        <v>0</v>
      </c>
      <c r="Q101" s="158"/>
      <c r="R101" s="158">
        <v>0</v>
      </c>
      <c r="S101" s="158" t="s">
        <v>124</v>
      </c>
      <c r="T101" s="160"/>
      <c r="U101" s="160"/>
      <c r="V101" s="160"/>
      <c r="W101" s="160"/>
      <c r="X101" s="160"/>
      <c r="Y101" s="160"/>
      <c r="Z101" s="158">
        <v>0</v>
      </c>
      <c r="AA101" s="158"/>
      <c r="AB101" s="158"/>
      <c r="AC101" s="158">
        <v>105</v>
      </c>
    </row>
    <row r="102" spans="1:29" x14ac:dyDescent="0.2">
      <c r="A102" s="138">
        <f t="shared" si="1"/>
        <v>98</v>
      </c>
      <c r="B102" s="156">
        <v>43774</v>
      </c>
      <c r="C102" s="157" t="s">
        <v>1239</v>
      </c>
      <c r="D102" s="158" t="s">
        <v>1267</v>
      </c>
      <c r="E102" s="158" t="s">
        <v>146</v>
      </c>
      <c r="F102" s="158" t="s">
        <v>147</v>
      </c>
      <c r="G102" s="158" t="s">
        <v>123</v>
      </c>
      <c r="H102" s="159">
        <v>43774</v>
      </c>
      <c r="I102" s="158" t="s">
        <v>744</v>
      </c>
      <c r="J102" s="158">
        <v>9</v>
      </c>
      <c r="K102" s="158">
        <v>5</v>
      </c>
      <c r="L102" s="158">
        <v>0</v>
      </c>
      <c r="M102" s="158" t="s">
        <v>6</v>
      </c>
      <c r="N102" s="158">
        <v>5</v>
      </c>
      <c r="O102" s="158">
        <v>5</v>
      </c>
      <c r="P102" s="158">
        <v>0</v>
      </c>
      <c r="Q102" s="158" t="s">
        <v>22</v>
      </c>
      <c r="R102" s="158">
        <v>1082.01</v>
      </c>
      <c r="S102" s="158" t="s">
        <v>124</v>
      </c>
      <c r="T102" s="160"/>
      <c r="U102" s="160"/>
      <c r="V102" s="160"/>
      <c r="W102" s="160"/>
      <c r="X102" s="160"/>
      <c r="Y102" s="160"/>
      <c r="Z102" s="158">
        <v>0</v>
      </c>
      <c r="AA102" s="158"/>
      <c r="AB102" s="158"/>
      <c r="AC102" s="158">
        <v>90</v>
      </c>
    </row>
    <row r="103" spans="1:29" x14ac:dyDescent="0.2">
      <c r="A103" s="138">
        <f t="shared" si="1"/>
        <v>99</v>
      </c>
      <c r="B103" s="156">
        <v>43775</v>
      </c>
      <c r="C103" s="157" t="s">
        <v>938</v>
      </c>
      <c r="D103" s="161" t="s">
        <v>1278</v>
      </c>
      <c r="E103" s="161" t="s">
        <v>21</v>
      </c>
      <c r="F103" s="161" t="s">
        <v>24</v>
      </c>
      <c r="G103" s="161" t="s">
        <v>770</v>
      </c>
      <c r="H103" s="162">
        <v>43774</v>
      </c>
      <c r="I103" s="161" t="s">
        <v>744</v>
      </c>
      <c r="J103" s="158">
        <v>26</v>
      </c>
      <c r="K103" s="158">
        <v>21</v>
      </c>
      <c r="L103" s="158">
        <v>0</v>
      </c>
      <c r="M103" s="161" t="s">
        <v>6</v>
      </c>
      <c r="N103" s="158">
        <v>12.5</v>
      </c>
      <c r="O103" s="158">
        <v>12.5</v>
      </c>
      <c r="P103" s="158">
        <v>0</v>
      </c>
      <c r="Q103" s="161" t="s">
        <v>22</v>
      </c>
      <c r="R103" s="161">
        <v>1483.88</v>
      </c>
      <c r="S103" s="161" t="s">
        <v>142</v>
      </c>
      <c r="T103" s="168"/>
      <c r="U103" s="168"/>
      <c r="V103" s="168"/>
      <c r="W103" s="168"/>
      <c r="X103" s="168"/>
      <c r="Y103" s="168"/>
      <c r="Z103" s="158">
        <v>0</v>
      </c>
      <c r="AA103" s="161"/>
      <c r="AB103" s="161"/>
      <c r="AC103" s="161">
        <v>310.447</v>
      </c>
    </row>
    <row r="104" spans="1:29" x14ac:dyDescent="0.2">
      <c r="A104" s="138">
        <f t="shared" si="1"/>
        <v>100</v>
      </c>
      <c r="B104" s="156">
        <v>43775</v>
      </c>
      <c r="C104" s="157" t="s">
        <v>936</v>
      </c>
      <c r="D104" s="158" t="s">
        <v>1277</v>
      </c>
      <c r="E104" s="158" t="s">
        <v>126</v>
      </c>
      <c r="F104" s="158" t="s">
        <v>127</v>
      </c>
      <c r="G104" s="158" t="s">
        <v>770</v>
      </c>
      <c r="H104" s="159">
        <v>43774</v>
      </c>
      <c r="I104" s="158" t="s">
        <v>744</v>
      </c>
      <c r="J104" s="158">
        <v>25</v>
      </c>
      <c r="K104" s="158">
        <v>18</v>
      </c>
      <c r="L104" s="158">
        <v>0</v>
      </c>
      <c r="M104" s="158" t="s">
        <v>6</v>
      </c>
      <c r="N104" s="158">
        <v>13.5</v>
      </c>
      <c r="O104" s="158">
        <v>13.5</v>
      </c>
      <c r="P104" s="158">
        <v>0</v>
      </c>
      <c r="Q104" s="158" t="s">
        <v>22</v>
      </c>
      <c r="R104" s="158">
        <v>931.04399999999998</v>
      </c>
      <c r="S104" s="158" t="s">
        <v>142</v>
      </c>
      <c r="T104" s="164"/>
      <c r="U104" s="164"/>
      <c r="V104" s="164"/>
      <c r="W104" s="164"/>
      <c r="X104" s="164"/>
      <c r="Y104" s="164"/>
      <c r="Z104" s="158">
        <v>21.25</v>
      </c>
      <c r="AA104" s="158"/>
      <c r="AB104" s="158"/>
      <c r="AC104" s="158">
        <v>1185</v>
      </c>
    </row>
    <row r="105" spans="1:29" x14ac:dyDescent="0.2">
      <c r="A105" s="138">
        <f t="shared" si="1"/>
        <v>101</v>
      </c>
      <c r="B105" s="156">
        <v>43775</v>
      </c>
      <c r="C105" s="157" t="s">
        <v>1280</v>
      </c>
      <c r="D105" s="158" t="s">
        <v>1265</v>
      </c>
      <c r="E105" s="158" t="s">
        <v>126</v>
      </c>
      <c r="F105" s="158" t="s">
        <v>1266</v>
      </c>
      <c r="G105" s="158" t="s">
        <v>770</v>
      </c>
      <c r="H105" s="159">
        <v>43774</v>
      </c>
      <c r="I105" s="158" t="s">
        <v>744</v>
      </c>
      <c r="J105" s="158">
        <v>2</v>
      </c>
      <c r="K105" s="158">
        <v>1.5</v>
      </c>
      <c r="L105" s="158">
        <v>0</v>
      </c>
      <c r="M105" s="158" t="s">
        <v>6</v>
      </c>
      <c r="N105" s="158">
        <v>1</v>
      </c>
      <c r="O105" s="158">
        <v>1</v>
      </c>
      <c r="P105" s="158">
        <v>0</v>
      </c>
      <c r="Q105" s="158"/>
      <c r="R105" s="158">
        <v>0</v>
      </c>
      <c r="S105" s="158" t="s">
        <v>124</v>
      </c>
      <c r="T105" s="164"/>
      <c r="U105" s="164"/>
      <c r="V105" s="164"/>
      <c r="W105" s="164"/>
      <c r="X105" s="164"/>
      <c r="Y105" s="164"/>
      <c r="Z105" s="158">
        <v>0</v>
      </c>
      <c r="AA105" s="158"/>
      <c r="AB105" s="158"/>
      <c r="AC105" s="158">
        <v>0</v>
      </c>
    </row>
    <row r="106" spans="1:29" x14ac:dyDescent="0.2">
      <c r="A106" s="138">
        <f t="shared" si="1"/>
        <v>102</v>
      </c>
      <c r="B106" s="156">
        <v>43775</v>
      </c>
      <c r="C106" s="157" t="s">
        <v>1272</v>
      </c>
      <c r="D106" s="158" t="s">
        <v>1273</v>
      </c>
      <c r="E106" s="158" t="s">
        <v>128</v>
      </c>
      <c r="F106" s="158" t="s">
        <v>1274</v>
      </c>
      <c r="G106" s="158" t="s">
        <v>123</v>
      </c>
      <c r="H106" s="159">
        <v>43775</v>
      </c>
      <c r="I106" s="158" t="s">
        <v>744</v>
      </c>
      <c r="J106" s="158">
        <v>9</v>
      </c>
      <c r="K106" s="158">
        <v>6</v>
      </c>
      <c r="L106" s="158">
        <v>0</v>
      </c>
      <c r="M106" s="158" t="s">
        <v>6</v>
      </c>
      <c r="N106" s="158">
        <v>2.25</v>
      </c>
      <c r="O106" s="158">
        <v>2</v>
      </c>
      <c r="P106" s="158">
        <v>0</v>
      </c>
      <c r="Q106" s="158" t="s">
        <v>22</v>
      </c>
      <c r="R106" s="158">
        <v>197.81</v>
      </c>
      <c r="S106" s="158" t="s">
        <v>124</v>
      </c>
      <c r="T106" s="222"/>
      <c r="U106" s="222"/>
      <c r="V106" s="222"/>
      <c r="W106" s="222"/>
      <c r="X106" s="222"/>
      <c r="Y106" s="222"/>
      <c r="Z106" s="158">
        <v>0</v>
      </c>
      <c r="AA106" s="158"/>
      <c r="AB106" s="158"/>
      <c r="AC106" s="158">
        <v>35</v>
      </c>
    </row>
    <row r="107" spans="1:29" x14ac:dyDescent="0.2">
      <c r="A107" s="138">
        <f t="shared" si="1"/>
        <v>103</v>
      </c>
      <c r="B107" s="156">
        <v>43775</v>
      </c>
      <c r="C107" s="157" t="s">
        <v>1246</v>
      </c>
      <c r="D107" s="158" t="s">
        <v>1275</v>
      </c>
      <c r="E107" s="158" t="s">
        <v>122</v>
      </c>
      <c r="F107" s="158" t="s">
        <v>144</v>
      </c>
      <c r="G107" s="158" t="s">
        <v>770</v>
      </c>
      <c r="H107" s="159">
        <v>43774</v>
      </c>
      <c r="I107" s="158" t="s">
        <v>744</v>
      </c>
      <c r="J107" s="158">
        <v>42</v>
      </c>
      <c r="K107" s="158">
        <v>32</v>
      </c>
      <c r="L107" s="158">
        <v>0</v>
      </c>
      <c r="M107" s="158" t="s">
        <v>6</v>
      </c>
      <c r="N107" s="158">
        <v>20</v>
      </c>
      <c r="O107" s="158">
        <v>18</v>
      </c>
      <c r="P107" s="158">
        <v>0</v>
      </c>
      <c r="Q107" s="158" t="s">
        <v>1276</v>
      </c>
      <c r="R107" s="158">
        <v>1045.3699999999999</v>
      </c>
      <c r="S107" s="158" t="s">
        <v>142</v>
      </c>
      <c r="T107" s="164"/>
      <c r="U107" s="164"/>
      <c r="V107" s="164"/>
      <c r="W107" s="164"/>
      <c r="X107" s="164"/>
      <c r="Y107" s="164"/>
      <c r="Z107" s="158">
        <v>22.25</v>
      </c>
      <c r="AA107" s="158"/>
      <c r="AB107" s="158"/>
      <c r="AC107" s="158">
        <v>970</v>
      </c>
    </row>
    <row r="108" spans="1:29" x14ac:dyDescent="0.2">
      <c r="A108" s="138">
        <f t="shared" si="1"/>
        <v>104</v>
      </c>
      <c r="B108" s="156">
        <v>43775</v>
      </c>
      <c r="C108" s="157" t="s">
        <v>1011</v>
      </c>
      <c r="D108" s="158" t="s">
        <v>1012</v>
      </c>
      <c r="E108" s="158" t="s">
        <v>126</v>
      </c>
      <c r="F108" s="158" t="s">
        <v>127</v>
      </c>
      <c r="G108" s="158" t="s">
        <v>770</v>
      </c>
      <c r="H108" s="159">
        <v>43774</v>
      </c>
      <c r="I108" s="158" t="s">
        <v>744</v>
      </c>
      <c r="J108" s="158">
        <v>45</v>
      </c>
      <c r="K108" s="158">
        <v>36</v>
      </c>
      <c r="L108" s="158">
        <v>0</v>
      </c>
      <c r="M108" s="158" t="s">
        <v>6</v>
      </c>
      <c r="N108" s="158">
        <v>20</v>
      </c>
      <c r="O108" s="158">
        <v>18</v>
      </c>
      <c r="P108" s="158">
        <v>0</v>
      </c>
      <c r="Q108" s="158" t="s">
        <v>22</v>
      </c>
      <c r="R108" s="158">
        <v>1130.4469999999999</v>
      </c>
      <c r="S108" s="158" t="s">
        <v>142</v>
      </c>
      <c r="T108" s="164"/>
      <c r="U108" s="164"/>
      <c r="V108" s="164"/>
      <c r="W108" s="164"/>
      <c r="X108" s="164"/>
      <c r="Y108" s="164"/>
      <c r="Z108" s="158">
        <v>24.25</v>
      </c>
      <c r="AA108" s="158"/>
      <c r="AB108" s="158"/>
      <c r="AC108" s="158">
        <v>890</v>
      </c>
    </row>
    <row r="109" spans="1:29" x14ac:dyDescent="0.2">
      <c r="A109" s="138">
        <f t="shared" si="1"/>
        <v>105</v>
      </c>
      <c r="B109" s="156">
        <v>43775</v>
      </c>
      <c r="C109" s="157" t="s">
        <v>1279</v>
      </c>
      <c r="D109" s="158" t="s">
        <v>1265</v>
      </c>
      <c r="E109" s="158" t="s">
        <v>126</v>
      </c>
      <c r="F109" s="158" t="s">
        <v>1266</v>
      </c>
      <c r="G109" s="158" t="s">
        <v>770</v>
      </c>
      <c r="H109" s="159">
        <v>43774</v>
      </c>
      <c r="I109" s="158" t="s">
        <v>744</v>
      </c>
      <c r="J109" s="158">
        <v>2</v>
      </c>
      <c r="K109" s="158">
        <v>1.5</v>
      </c>
      <c r="L109" s="158">
        <v>0</v>
      </c>
      <c r="M109" s="158" t="s">
        <v>6</v>
      </c>
      <c r="N109" s="158">
        <v>1</v>
      </c>
      <c r="O109" s="158">
        <v>1</v>
      </c>
      <c r="P109" s="158">
        <v>0</v>
      </c>
      <c r="Q109" s="158"/>
      <c r="R109" s="158">
        <v>0</v>
      </c>
      <c r="S109" s="158" t="s">
        <v>124</v>
      </c>
      <c r="T109" s="164"/>
      <c r="U109" s="164"/>
      <c r="V109" s="164"/>
      <c r="W109" s="164"/>
      <c r="X109" s="164"/>
      <c r="Y109" s="164"/>
      <c r="Z109" s="158">
        <v>0</v>
      </c>
      <c r="AA109" s="158"/>
      <c r="AB109" s="158"/>
      <c r="AC109" s="158">
        <v>0</v>
      </c>
    </row>
    <row r="110" spans="1:29" x14ac:dyDescent="0.2">
      <c r="A110" s="138">
        <f t="shared" si="1"/>
        <v>106</v>
      </c>
      <c r="B110" s="156">
        <v>43776</v>
      </c>
      <c r="C110" s="157" t="s">
        <v>938</v>
      </c>
      <c r="D110" s="158" t="s">
        <v>1288</v>
      </c>
      <c r="E110" s="158" t="s">
        <v>3277</v>
      </c>
      <c r="F110" s="158" t="s">
        <v>1289</v>
      </c>
      <c r="G110" s="158" t="s">
        <v>123</v>
      </c>
      <c r="H110" s="159">
        <v>43775</v>
      </c>
      <c r="I110" s="158" t="s">
        <v>744</v>
      </c>
      <c r="J110" s="158">
        <v>8</v>
      </c>
      <c r="K110" s="158">
        <v>5</v>
      </c>
      <c r="L110" s="158">
        <v>0</v>
      </c>
      <c r="M110" s="158" t="s">
        <v>6</v>
      </c>
      <c r="N110" s="158">
        <v>3</v>
      </c>
      <c r="O110" s="158">
        <v>3</v>
      </c>
      <c r="P110" s="158">
        <v>0</v>
      </c>
      <c r="Q110" s="158"/>
      <c r="R110" s="158">
        <v>0</v>
      </c>
      <c r="S110" s="158" t="s">
        <v>124</v>
      </c>
      <c r="T110" s="164"/>
      <c r="U110" s="164"/>
      <c r="V110" s="164"/>
      <c r="W110" s="164"/>
      <c r="X110" s="164"/>
      <c r="Y110" s="164"/>
      <c r="Z110" s="158">
        <v>0</v>
      </c>
      <c r="AA110" s="158"/>
      <c r="AB110" s="158"/>
      <c r="AC110" s="158">
        <v>30</v>
      </c>
    </row>
    <row r="111" spans="1:29" x14ac:dyDescent="0.2">
      <c r="A111" s="138">
        <f t="shared" si="1"/>
        <v>107</v>
      </c>
      <c r="B111" s="156">
        <v>43776</v>
      </c>
      <c r="C111" s="157" t="s">
        <v>1284</v>
      </c>
      <c r="D111" s="158" t="s">
        <v>1285</v>
      </c>
      <c r="E111" s="158" t="s">
        <v>172</v>
      </c>
      <c r="F111" s="158" t="s">
        <v>173</v>
      </c>
      <c r="G111" s="158" t="s">
        <v>123</v>
      </c>
      <c r="H111" s="159">
        <v>43775</v>
      </c>
      <c r="I111" s="158" t="s">
        <v>744</v>
      </c>
      <c r="J111" s="158">
        <v>14</v>
      </c>
      <c r="K111" s="158">
        <v>9</v>
      </c>
      <c r="L111" s="158">
        <v>0</v>
      </c>
      <c r="M111" s="158" t="s">
        <v>6</v>
      </c>
      <c r="N111" s="158">
        <v>2</v>
      </c>
      <c r="O111" s="158">
        <v>2</v>
      </c>
      <c r="P111" s="158">
        <v>0</v>
      </c>
      <c r="Q111" s="158"/>
      <c r="R111" s="158">
        <v>0</v>
      </c>
      <c r="S111" s="158" t="s">
        <v>23</v>
      </c>
      <c r="T111" s="164"/>
      <c r="U111" s="164"/>
      <c r="V111" s="164"/>
      <c r="W111" s="164"/>
      <c r="X111" s="164"/>
      <c r="Y111" s="164"/>
      <c r="Z111" s="158">
        <v>0</v>
      </c>
      <c r="AA111" s="158"/>
      <c r="AB111" s="158"/>
      <c r="AC111" s="158">
        <v>0</v>
      </c>
    </row>
    <row r="112" spans="1:29" x14ac:dyDescent="0.2">
      <c r="A112" s="138">
        <f t="shared" si="1"/>
        <v>108</v>
      </c>
      <c r="B112" s="156">
        <v>43776</v>
      </c>
      <c r="C112" s="157" t="s">
        <v>1286</v>
      </c>
      <c r="D112" s="158" t="s">
        <v>1285</v>
      </c>
      <c r="E112" s="158" t="s">
        <v>172</v>
      </c>
      <c r="F112" s="158" t="s">
        <v>173</v>
      </c>
      <c r="G112" s="158" t="s">
        <v>123</v>
      </c>
      <c r="H112" s="159">
        <v>43775</v>
      </c>
      <c r="I112" s="158" t="s">
        <v>744</v>
      </c>
      <c r="J112" s="158">
        <v>11</v>
      </c>
      <c r="K112" s="158">
        <v>5</v>
      </c>
      <c r="L112" s="158">
        <v>0</v>
      </c>
      <c r="M112" s="158" t="s">
        <v>6</v>
      </c>
      <c r="N112" s="158">
        <v>2</v>
      </c>
      <c r="O112" s="158">
        <v>2</v>
      </c>
      <c r="P112" s="158">
        <v>0</v>
      </c>
      <c r="Q112" s="158"/>
      <c r="R112" s="158">
        <v>0</v>
      </c>
      <c r="S112" s="158" t="s">
        <v>124</v>
      </c>
      <c r="T112" s="164"/>
      <c r="U112" s="164"/>
      <c r="V112" s="164"/>
      <c r="W112" s="164"/>
      <c r="X112" s="164"/>
      <c r="Y112" s="164"/>
      <c r="Z112" s="158">
        <v>0</v>
      </c>
      <c r="AA112" s="158"/>
      <c r="AB112" s="158"/>
      <c r="AC112" s="158">
        <v>0</v>
      </c>
    </row>
    <row r="113" spans="1:29" x14ac:dyDescent="0.2">
      <c r="A113" s="138">
        <f t="shared" si="1"/>
        <v>109</v>
      </c>
      <c r="B113" s="156">
        <v>43776</v>
      </c>
      <c r="C113" s="157" t="s">
        <v>1287</v>
      </c>
      <c r="D113" s="165" t="s">
        <v>1285</v>
      </c>
      <c r="E113" s="165" t="s">
        <v>172</v>
      </c>
      <c r="F113" s="165" t="s">
        <v>173</v>
      </c>
      <c r="G113" s="165" t="s">
        <v>123</v>
      </c>
      <c r="H113" s="166">
        <v>43775</v>
      </c>
      <c r="I113" s="165" t="s">
        <v>744</v>
      </c>
      <c r="J113" s="165">
        <v>8</v>
      </c>
      <c r="K113" s="165">
        <v>6</v>
      </c>
      <c r="L113" s="158">
        <v>0</v>
      </c>
      <c r="M113" s="165" t="s">
        <v>6</v>
      </c>
      <c r="N113" s="165">
        <v>5.25</v>
      </c>
      <c r="O113" s="165">
        <v>5.25</v>
      </c>
      <c r="P113" s="158">
        <v>0</v>
      </c>
      <c r="Q113" s="165"/>
      <c r="R113" s="158">
        <v>0</v>
      </c>
      <c r="S113" s="158" t="s">
        <v>124</v>
      </c>
      <c r="T113" s="164"/>
      <c r="U113" s="164"/>
      <c r="V113" s="164"/>
      <c r="W113" s="164"/>
      <c r="X113" s="164"/>
      <c r="Y113" s="164"/>
      <c r="Z113" s="158">
        <v>0</v>
      </c>
      <c r="AA113" s="165"/>
      <c r="AB113" s="165"/>
      <c r="AC113" s="158">
        <v>0</v>
      </c>
    </row>
    <row r="114" spans="1:29" x14ac:dyDescent="0.2">
      <c r="A114" s="138">
        <f t="shared" si="1"/>
        <v>110</v>
      </c>
      <c r="B114" s="156">
        <v>43776</v>
      </c>
      <c r="C114" s="157" t="s">
        <v>1290</v>
      </c>
      <c r="D114" s="158" t="s">
        <v>1291</v>
      </c>
      <c r="E114" s="158" t="s">
        <v>126</v>
      </c>
      <c r="F114" s="158" t="s">
        <v>1292</v>
      </c>
      <c r="G114" s="158" t="s">
        <v>123</v>
      </c>
      <c r="H114" s="159">
        <v>43775</v>
      </c>
      <c r="I114" s="158" t="s">
        <v>744</v>
      </c>
      <c r="J114" s="158">
        <v>2</v>
      </c>
      <c r="K114" s="158">
        <v>2</v>
      </c>
      <c r="L114" s="158">
        <v>0</v>
      </c>
      <c r="M114" s="158" t="s">
        <v>6</v>
      </c>
      <c r="N114" s="158">
        <v>1</v>
      </c>
      <c r="O114" s="158">
        <v>1</v>
      </c>
      <c r="P114" s="158">
        <v>0</v>
      </c>
      <c r="Q114" s="158" t="s">
        <v>22</v>
      </c>
      <c r="R114" s="158">
        <v>182.22</v>
      </c>
      <c r="S114" s="158" t="s">
        <v>124</v>
      </c>
      <c r="T114" s="164"/>
      <c r="U114" s="164"/>
      <c r="V114" s="164"/>
      <c r="W114" s="164"/>
      <c r="X114" s="164"/>
      <c r="Y114" s="164"/>
      <c r="Z114" s="158">
        <v>0</v>
      </c>
      <c r="AA114" s="158"/>
      <c r="AB114" s="158"/>
      <c r="AC114" s="158">
        <v>30</v>
      </c>
    </row>
    <row r="115" spans="1:29" x14ac:dyDescent="0.2">
      <c r="A115" s="138">
        <f t="shared" si="1"/>
        <v>111</v>
      </c>
      <c r="B115" s="156">
        <v>43776</v>
      </c>
      <c r="C115" s="157" t="s">
        <v>1281</v>
      </c>
      <c r="D115" s="158" t="s">
        <v>1282</v>
      </c>
      <c r="E115" s="158" t="s">
        <v>1283</v>
      </c>
      <c r="F115" s="158">
        <v>3161</v>
      </c>
      <c r="G115" s="158" t="s">
        <v>770</v>
      </c>
      <c r="H115" s="159">
        <v>43774</v>
      </c>
      <c r="I115" s="158"/>
      <c r="J115" s="158">
        <v>0</v>
      </c>
      <c r="K115" s="158">
        <v>0</v>
      </c>
      <c r="L115" s="158">
        <v>0</v>
      </c>
      <c r="M115" s="158"/>
      <c r="N115" s="158">
        <v>0</v>
      </c>
      <c r="O115" s="158">
        <v>0</v>
      </c>
      <c r="P115" s="158">
        <v>0</v>
      </c>
      <c r="Q115" s="158"/>
      <c r="R115" s="158">
        <v>0</v>
      </c>
      <c r="S115" s="158" t="s">
        <v>23</v>
      </c>
      <c r="T115" s="164"/>
      <c r="U115" s="164"/>
      <c r="V115" s="164"/>
      <c r="W115" s="164"/>
      <c r="X115" s="164"/>
      <c r="Y115" s="164"/>
      <c r="Z115" s="158">
        <v>2.67</v>
      </c>
      <c r="AA115" s="158"/>
      <c r="AB115" s="158"/>
      <c r="AC115" s="158">
        <v>0</v>
      </c>
    </row>
    <row r="116" spans="1:29" x14ac:dyDescent="0.2">
      <c r="A116" s="138">
        <f t="shared" si="1"/>
        <v>112</v>
      </c>
      <c r="B116" s="156">
        <v>43776</v>
      </c>
      <c r="C116" s="157" t="s">
        <v>1293</v>
      </c>
      <c r="D116" s="158" t="s">
        <v>1291</v>
      </c>
      <c r="E116" s="158" t="s">
        <v>126</v>
      </c>
      <c r="F116" s="158" t="s">
        <v>1292</v>
      </c>
      <c r="G116" s="158" t="s">
        <v>123</v>
      </c>
      <c r="H116" s="159">
        <v>43775</v>
      </c>
      <c r="I116" s="158" t="s">
        <v>744</v>
      </c>
      <c r="J116" s="158">
        <v>2</v>
      </c>
      <c r="K116" s="158">
        <v>2</v>
      </c>
      <c r="L116" s="158">
        <v>0</v>
      </c>
      <c r="M116" s="158" t="s">
        <v>6</v>
      </c>
      <c r="N116" s="158">
        <v>1</v>
      </c>
      <c r="O116" s="158">
        <v>1</v>
      </c>
      <c r="P116" s="158">
        <v>0</v>
      </c>
      <c r="Q116" s="158"/>
      <c r="R116" s="158">
        <v>0</v>
      </c>
      <c r="S116" s="158" t="s">
        <v>124</v>
      </c>
      <c r="T116" s="164"/>
      <c r="U116" s="164"/>
      <c r="V116" s="164"/>
      <c r="W116" s="164"/>
      <c r="X116" s="164"/>
      <c r="Y116" s="164"/>
      <c r="Z116" s="158">
        <v>0</v>
      </c>
      <c r="AA116" s="158"/>
      <c r="AB116" s="158"/>
      <c r="AC116" s="158">
        <v>30</v>
      </c>
    </row>
    <row r="117" spans="1:29" x14ac:dyDescent="0.2">
      <c r="A117" s="138">
        <f t="shared" si="1"/>
        <v>113</v>
      </c>
      <c r="B117" s="156">
        <v>43777</v>
      </c>
      <c r="C117" s="157" t="s">
        <v>848</v>
      </c>
      <c r="D117" s="158" t="s">
        <v>849</v>
      </c>
      <c r="E117" s="158" t="s">
        <v>126</v>
      </c>
      <c r="F117" s="158" t="s">
        <v>127</v>
      </c>
      <c r="G117" s="158" t="s">
        <v>770</v>
      </c>
      <c r="H117" s="159">
        <v>43774</v>
      </c>
      <c r="I117" s="158" t="s">
        <v>744</v>
      </c>
      <c r="J117" s="158">
        <v>0</v>
      </c>
      <c r="K117" s="158">
        <v>0</v>
      </c>
      <c r="L117" s="158">
        <v>0</v>
      </c>
      <c r="M117" s="158" t="s">
        <v>6</v>
      </c>
      <c r="N117" s="158">
        <v>0</v>
      </c>
      <c r="O117" s="158">
        <v>0</v>
      </c>
      <c r="P117" s="158">
        <v>0</v>
      </c>
      <c r="Q117" s="158" t="s">
        <v>22</v>
      </c>
      <c r="R117" s="158">
        <v>71.64</v>
      </c>
      <c r="S117" s="158" t="s">
        <v>23</v>
      </c>
      <c r="T117" s="167"/>
      <c r="U117" s="167"/>
      <c r="V117" s="167"/>
      <c r="W117" s="167"/>
      <c r="X117" s="167"/>
      <c r="Y117" s="167"/>
      <c r="Z117" s="158">
        <v>1</v>
      </c>
      <c r="AA117" s="158"/>
      <c r="AB117" s="158"/>
      <c r="AC117" s="158">
        <v>0</v>
      </c>
    </row>
    <row r="118" spans="1:29" x14ac:dyDescent="0.2">
      <c r="A118" s="138">
        <f t="shared" si="1"/>
        <v>114</v>
      </c>
      <c r="B118" s="156">
        <v>43777</v>
      </c>
      <c r="C118" s="157" t="s">
        <v>877</v>
      </c>
      <c r="D118" s="158" t="s">
        <v>1311</v>
      </c>
      <c r="E118" s="158" t="s">
        <v>146</v>
      </c>
      <c r="F118" s="158" t="s">
        <v>174</v>
      </c>
      <c r="G118" s="158" t="s">
        <v>770</v>
      </c>
      <c r="H118" s="159">
        <v>43777</v>
      </c>
      <c r="I118" s="158"/>
      <c r="J118" s="158">
        <v>0</v>
      </c>
      <c r="K118" s="158">
        <v>0</v>
      </c>
      <c r="L118" s="158">
        <v>0</v>
      </c>
      <c r="M118" s="158"/>
      <c r="N118" s="158">
        <v>0</v>
      </c>
      <c r="O118" s="158">
        <v>0</v>
      </c>
      <c r="P118" s="158">
        <v>0</v>
      </c>
      <c r="Q118" s="158"/>
      <c r="R118" s="158">
        <v>0</v>
      </c>
      <c r="S118" s="158" t="s">
        <v>23</v>
      </c>
      <c r="T118" s="167"/>
      <c r="U118" s="167"/>
      <c r="V118" s="167"/>
      <c r="W118" s="167"/>
      <c r="X118" s="167"/>
      <c r="Y118" s="167"/>
      <c r="Z118" s="158">
        <v>2.67</v>
      </c>
      <c r="AA118" s="158"/>
      <c r="AB118" s="158"/>
      <c r="AC118" s="158">
        <v>0</v>
      </c>
    </row>
    <row r="119" spans="1:29" x14ac:dyDescent="0.2">
      <c r="A119" s="138">
        <f t="shared" si="1"/>
        <v>115</v>
      </c>
      <c r="B119" s="156">
        <v>43777</v>
      </c>
      <c r="C119" s="157" t="s">
        <v>1017</v>
      </c>
      <c r="D119" s="158" t="s">
        <v>1303</v>
      </c>
      <c r="E119" s="158" t="s">
        <v>126</v>
      </c>
      <c r="F119" s="158" t="s">
        <v>127</v>
      </c>
      <c r="G119" s="158" t="s">
        <v>770</v>
      </c>
      <c r="H119" s="159">
        <v>43774</v>
      </c>
      <c r="I119" s="158" t="s">
        <v>744</v>
      </c>
      <c r="J119" s="158">
        <v>52</v>
      </c>
      <c r="K119" s="158">
        <v>34</v>
      </c>
      <c r="L119" s="158">
        <v>0</v>
      </c>
      <c r="M119" s="158" t="s">
        <v>6</v>
      </c>
      <c r="N119" s="158">
        <v>17.5</v>
      </c>
      <c r="O119" s="158">
        <v>17.5</v>
      </c>
      <c r="P119" s="158">
        <v>0</v>
      </c>
      <c r="Q119" s="158" t="s">
        <v>22</v>
      </c>
      <c r="R119" s="158">
        <v>166.2</v>
      </c>
      <c r="S119" s="158" t="s">
        <v>142</v>
      </c>
      <c r="T119" s="167"/>
      <c r="U119" s="167"/>
      <c r="V119" s="167"/>
      <c r="W119" s="167"/>
      <c r="X119" s="167"/>
      <c r="Y119" s="167"/>
      <c r="Z119" s="158">
        <v>19.25</v>
      </c>
      <c r="AA119" s="158"/>
      <c r="AB119" s="158"/>
      <c r="AC119" s="158">
        <v>158.208</v>
      </c>
    </row>
    <row r="120" spans="1:29" x14ac:dyDescent="0.2">
      <c r="A120" s="138">
        <f t="shared" si="1"/>
        <v>116</v>
      </c>
      <c r="B120" s="156">
        <v>43777</v>
      </c>
      <c r="C120" s="157" t="s">
        <v>1008</v>
      </c>
      <c r="D120" s="158" t="s">
        <v>1302</v>
      </c>
      <c r="E120" s="158" t="s">
        <v>21</v>
      </c>
      <c r="F120" s="158" t="s">
        <v>24</v>
      </c>
      <c r="G120" s="158" t="s">
        <v>770</v>
      </c>
      <c r="H120" s="159">
        <v>43774</v>
      </c>
      <c r="I120" s="158" t="s">
        <v>744</v>
      </c>
      <c r="J120" s="158">
        <v>29</v>
      </c>
      <c r="K120" s="158">
        <v>18</v>
      </c>
      <c r="L120" s="158">
        <v>0</v>
      </c>
      <c r="M120" s="158" t="s">
        <v>6</v>
      </c>
      <c r="N120" s="158">
        <v>16</v>
      </c>
      <c r="O120" s="158">
        <v>16</v>
      </c>
      <c r="P120" s="158">
        <v>0</v>
      </c>
      <c r="Q120" s="158" t="s">
        <v>22</v>
      </c>
      <c r="R120" s="158">
        <v>1155.82</v>
      </c>
      <c r="S120" s="158" t="s">
        <v>142</v>
      </c>
      <c r="T120" s="167"/>
      <c r="U120" s="167"/>
      <c r="V120" s="167"/>
      <c r="W120" s="167"/>
      <c r="X120" s="167"/>
      <c r="Y120" s="167"/>
      <c r="Z120" s="158">
        <v>25.25</v>
      </c>
      <c r="AA120" s="158"/>
      <c r="AB120" s="158"/>
      <c r="AC120" s="158">
        <v>0</v>
      </c>
    </row>
    <row r="121" spans="1:29" x14ac:dyDescent="0.2">
      <c r="A121" s="138">
        <f t="shared" si="1"/>
        <v>117</v>
      </c>
      <c r="B121" s="156">
        <v>43777</v>
      </c>
      <c r="C121" s="157" t="s">
        <v>1312</v>
      </c>
      <c r="D121" s="158" t="s">
        <v>1313</v>
      </c>
      <c r="E121" s="158" t="s">
        <v>146</v>
      </c>
      <c r="F121" s="158" t="s">
        <v>1314</v>
      </c>
      <c r="G121" s="158" t="s">
        <v>123</v>
      </c>
      <c r="H121" s="159">
        <v>43776</v>
      </c>
      <c r="I121" s="158" t="s">
        <v>744</v>
      </c>
      <c r="J121" s="158">
        <v>15</v>
      </c>
      <c r="K121" s="158">
        <v>11</v>
      </c>
      <c r="L121" s="158">
        <v>0</v>
      </c>
      <c r="M121" s="158" t="s">
        <v>6</v>
      </c>
      <c r="N121" s="158">
        <v>2</v>
      </c>
      <c r="O121" s="158">
        <v>2</v>
      </c>
      <c r="P121" s="158">
        <v>0</v>
      </c>
      <c r="Q121" s="158"/>
      <c r="R121" s="158">
        <v>0</v>
      </c>
      <c r="S121" s="158" t="s">
        <v>23</v>
      </c>
      <c r="T121" s="167"/>
      <c r="U121" s="167"/>
      <c r="V121" s="167"/>
      <c r="W121" s="167"/>
      <c r="X121" s="167"/>
      <c r="Y121" s="167"/>
      <c r="Z121" s="158">
        <v>0</v>
      </c>
      <c r="AA121" s="158"/>
      <c r="AB121" s="158"/>
      <c r="AC121" s="158">
        <v>0</v>
      </c>
    </row>
    <row r="122" spans="1:29" x14ac:dyDescent="0.2">
      <c r="A122" s="138">
        <f t="shared" si="1"/>
        <v>118</v>
      </c>
      <c r="B122" s="156">
        <v>43777</v>
      </c>
      <c r="C122" s="157" t="s">
        <v>1307</v>
      </c>
      <c r="D122" s="158" t="s">
        <v>1308</v>
      </c>
      <c r="E122" s="158" t="s">
        <v>172</v>
      </c>
      <c r="F122" s="158" t="s">
        <v>1309</v>
      </c>
      <c r="G122" s="158" t="s">
        <v>1310</v>
      </c>
      <c r="H122" s="159">
        <v>43776</v>
      </c>
      <c r="I122" s="158" t="s">
        <v>744</v>
      </c>
      <c r="J122" s="158">
        <v>12</v>
      </c>
      <c r="K122" s="158">
        <v>9</v>
      </c>
      <c r="L122" s="158">
        <v>0</v>
      </c>
      <c r="M122" s="158" t="s">
        <v>6</v>
      </c>
      <c r="N122" s="158">
        <v>2.5</v>
      </c>
      <c r="O122" s="158">
        <v>2</v>
      </c>
      <c r="P122" s="158">
        <v>0</v>
      </c>
      <c r="Q122" s="158"/>
      <c r="R122" s="158">
        <v>0</v>
      </c>
      <c r="S122" s="158" t="s">
        <v>124</v>
      </c>
      <c r="T122" s="167"/>
      <c r="U122" s="167"/>
      <c r="V122" s="167"/>
      <c r="W122" s="167"/>
      <c r="X122" s="167"/>
      <c r="Y122" s="167"/>
      <c r="Z122" s="158">
        <v>0</v>
      </c>
      <c r="AA122" s="158"/>
      <c r="AB122" s="158"/>
      <c r="AC122" s="158">
        <v>0</v>
      </c>
    </row>
    <row r="123" spans="1:29" x14ac:dyDescent="0.2">
      <c r="A123" s="138">
        <f t="shared" si="1"/>
        <v>119</v>
      </c>
      <c r="B123" s="156">
        <v>43777</v>
      </c>
      <c r="C123" s="157" t="s">
        <v>1304</v>
      </c>
      <c r="D123" s="158" t="s">
        <v>1305</v>
      </c>
      <c r="E123" s="158" t="s">
        <v>122</v>
      </c>
      <c r="F123" s="158" t="s">
        <v>1306</v>
      </c>
      <c r="G123" s="158" t="s">
        <v>123</v>
      </c>
      <c r="H123" s="159">
        <v>43777</v>
      </c>
      <c r="I123" s="158" t="s">
        <v>744</v>
      </c>
      <c r="J123" s="158">
        <v>9</v>
      </c>
      <c r="K123" s="158">
        <v>5</v>
      </c>
      <c r="L123" s="158">
        <v>0</v>
      </c>
      <c r="M123" s="158" t="s">
        <v>6</v>
      </c>
      <c r="N123" s="158">
        <v>4.25</v>
      </c>
      <c r="O123" s="158">
        <v>4.25</v>
      </c>
      <c r="P123" s="158">
        <v>0</v>
      </c>
      <c r="Q123" s="158"/>
      <c r="R123" s="158">
        <v>0</v>
      </c>
      <c r="S123" s="158" t="s">
        <v>124</v>
      </c>
      <c r="T123" s="167"/>
      <c r="U123" s="167"/>
      <c r="V123" s="167"/>
      <c r="W123" s="167"/>
      <c r="X123" s="167"/>
      <c r="Y123" s="167"/>
      <c r="Z123" s="158">
        <v>2.67</v>
      </c>
      <c r="AA123" s="158"/>
      <c r="AB123" s="158"/>
      <c r="AC123" s="158">
        <v>0</v>
      </c>
    </row>
    <row r="124" spans="1:29" x14ac:dyDescent="0.2">
      <c r="A124" s="138">
        <f t="shared" si="1"/>
        <v>120</v>
      </c>
      <c r="B124" s="156">
        <v>43777</v>
      </c>
      <c r="C124" s="157" t="s">
        <v>1315</v>
      </c>
      <c r="D124" s="158" t="s">
        <v>1313</v>
      </c>
      <c r="E124" s="158" t="s">
        <v>146</v>
      </c>
      <c r="F124" s="158" t="s">
        <v>1314</v>
      </c>
      <c r="G124" s="158" t="s">
        <v>121</v>
      </c>
      <c r="H124" s="159">
        <v>43776</v>
      </c>
      <c r="I124" s="158" t="s">
        <v>744</v>
      </c>
      <c r="J124" s="158">
        <v>2.6</v>
      </c>
      <c r="K124" s="158">
        <v>2</v>
      </c>
      <c r="L124" s="158">
        <v>0</v>
      </c>
      <c r="M124" s="158" t="s">
        <v>6</v>
      </c>
      <c r="N124" s="158">
        <v>1</v>
      </c>
      <c r="O124" s="158">
        <v>1</v>
      </c>
      <c r="P124" s="158">
        <v>0</v>
      </c>
      <c r="Q124" s="158"/>
      <c r="R124" s="158">
        <v>0</v>
      </c>
      <c r="S124" s="158" t="s">
        <v>124</v>
      </c>
      <c r="T124" s="167"/>
      <c r="U124" s="167"/>
      <c r="V124" s="167"/>
      <c r="W124" s="167"/>
      <c r="X124" s="167"/>
      <c r="Y124" s="167"/>
      <c r="Z124" s="158">
        <v>0</v>
      </c>
      <c r="AA124" s="158"/>
      <c r="AB124" s="158"/>
      <c r="AC124" s="158">
        <v>0</v>
      </c>
    </row>
    <row r="125" spans="1:29" x14ac:dyDescent="0.2">
      <c r="A125" s="138">
        <f t="shared" si="1"/>
        <v>121</v>
      </c>
      <c r="B125" s="156">
        <v>43777</v>
      </c>
      <c r="C125" s="157" t="s">
        <v>1298</v>
      </c>
      <c r="D125" s="158" t="s">
        <v>1299</v>
      </c>
      <c r="E125" s="158" t="s">
        <v>146</v>
      </c>
      <c r="F125" s="158" t="s">
        <v>147</v>
      </c>
      <c r="G125" s="158" t="s">
        <v>770</v>
      </c>
      <c r="H125" s="159">
        <v>43776</v>
      </c>
      <c r="I125" s="158"/>
      <c r="J125" s="158">
        <v>0</v>
      </c>
      <c r="K125" s="158">
        <v>0</v>
      </c>
      <c r="L125" s="158">
        <v>0</v>
      </c>
      <c r="M125" s="158"/>
      <c r="N125" s="158">
        <v>0</v>
      </c>
      <c r="O125" s="158">
        <v>0</v>
      </c>
      <c r="P125" s="158">
        <v>0</v>
      </c>
      <c r="Q125" s="158"/>
      <c r="R125" s="158">
        <v>62.686</v>
      </c>
      <c r="S125" s="158" t="s">
        <v>23</v>
      </c>
      <c r="T125" s="167"/>
      <c r="U125" s="167"/>
      <c r="V125" s="167"/>
      <c r="W125" s="167"/>
      <c r="X125" s="167"/>
      <c r="Y125" s="167"/>
      <c r="Z125" s="158">
        <v>3</v>
      </c>
      <c r="AA125" s="158"/>
      <c r="AB125" s="158"/>
      <c r="AC125" s="158">
        <v>0</v>
      </c>
    </row>
    <row r="126" spans="1:29" x14ac:dyDescent="0.2">
      <c r="A126" s="138">
        <f t="shared" si="1"/>
        <v>122</v>
      </c>
      <c r="B126" s="156">
        <v>43777</v>
      </c>
      <c r="C126" s="157" t="s">
        <v>1250</v>
      </c>
      <c r="D126" s="158" t="s">
        <v>1296</v>
      </c>
      <c r="E126" s="158" t="s">
        <v>1283</v>
      </c>
      <c r="F126" s="158" t="s">
        <v>1297</v>
      </c>
      <c r="G126" s="158" t="s">
        <v>770</v>
      </c>
      <c r="H126" s="159">
        <v>43776</v>
      </c>
      <c r="I126" s="158" t="s">
        <v>744</v>
      </c>
      <c r="J126" s="158">
        <v>3</v>
      </c>
      <c r="K126" s="158">
        <v>3</v>
      </c>
      <c r="L126" s="158">
        <v>0</v>
      </c>
      <c r="M126" s="158"/>
      <c r="N126" s="158">
        <v>0</v>
      </c>
      <c r="O126" s="158">
        <v>0</v>
      </c>
      <c r="P126" s="158">
        <v>0</v>
      </c>
      <c r="Q126" s="158" t="s">
        <v>1276</v>
      </c>
      <c r="R126" s="158">
        <v>232.238</v>
      </c>
      <c r="S126" s="158" t="s">
        <v>124</v>
      </c>
      <c r="T126" s="167"/>
      <c r="U126" s="167"/>
      <c r="V126" s="167"/>
      <c r="W126" s="167"/>
      <c r="X126" s="167"/>
      <c r="Y126" s="167"/>
      <c r="Z126" s="158">
        <v>1</v>
      </c>
      <c r="AA126" s="158"/>
      <c r="AB126" s="158"/>
      <c r="AC126" s="158">
        <v>0</v>
      </c>
    </row>
    <row r="127" spans="1:29" x14ac:dyDescent="0.2">
      <c r="A127" s="138">
        <f t="shared" si="1"/>
        <v>123</v>
      </c>
      <c r="B127" s="156">
        <v>43777</v>
      </c>
      <c r="C127" s="157" t="s">
        <v>1294</v>
      </c>
      <c r="D127" s="158" t="s">
        <v>1295</v>
      </c>
      <c r="E127" s="158" t="s">
        <v>126</v>
      </c>
      <c r="F127" s="158" t="s">
        <v>127</v>
      </c>
      <c r="G127" s="158" t="s">
        <v>770</v>
      </c>
      <c r="H127" s="159">
        <v>43776</v>
      </c>
      <c r="I127" s="158"/>
      <c r="J127" s="158">
        <v>0</v>
      </c>
      <c r="K127" s="158">
        <v>0</v>
      </c>
      <c r="L127" s="158">
        <v>0</v>
      </c>
      <c r="M127" s="158"/>
      <c r="N127" s="158">
        <v>0</v>
      </c>
      <c r="O127" s="158">
        <v>0</v>
      </c>
      <c r="P127" s="158">
        <v>0</v>
      </c>
      <c r="Q127" s="158" t="s">
        <v>22</v>
      </c>
      <c r="R127" s="158">
        <v>185.07</v>
      </c>
      <c r="S127" s="158" t="s">
        <v>23</v>
      </c>
      <c r="T127" s="167">
        <v>222.6</v>
      </c>
      <c r="U127" s="167">
        <v>152</v>
      </c>
      <c r="V127" s="167">
        <v>76.25</v>
      </c>
      <c r="W127" s="167">
        <v>74.75</v>
      </c>
      <c r="X127" s="167">
        <v>70.599999999999994</v>
      </c>
      <c r="Y127" s="167">
        <v>1.5</v>
      </c>
      <c r="Z127" s="158">
        <v>3</v>
      </c>
      <c r="AA127" s="158"/>
      <c r="AB127" s="158"/>
      <c r="AC127" s="158">
        <v>0</v>
      </c>
    </row>
    <row r="128" spans="1:29" x14ac:dyDescent="0.2">
      <c r="A128" s="138">
        <f t="shared" si="1"/>
        <v>124</v>
      </c>
      <c r="B128" s="156">
        <v>43777</v>
      </c>
      <c r="C128" s="157" t="s">
        <v>1019</v>
      </c>
      <c r="D128" s="158" t="s">
        <v>1300</v>
      </c>
      <c r="E128" s="158" t="s">
        <v>126</v>
      </c>
      <c r="F128" s="158" t="s">
        <v>127</v>
      </c>
      <c r="G128" s="158" t="s">
        <v>770</v>
      </c>
      <c r="H128" s="159">
        <v>43774</v>
      </c>
      <c r="I128" s="158" t="s">
        <v>744</v>
      </c>
      <c r="J128" s="158">
        <v>44</v>
      </c>
      <c r="K128" s="158">
        <v>28</v>
      </c>
      <c r="L128" s="158">
        <v>0</v>
      </c>
      <c r="M128" s="158" t="s">
        <v>6</v>
      </c>
      <c r="N128" s="158">
        <v>15</v>
      </c>
      <c r="O128" s="158">
        <v>15</v>
      </c>
      <c r="P128" s="158">
        <v>0</v>
      </c>
      <c r="Q128" s="158" t="s">
        <v>22</v>
      </c>
      <c r="R128" s="158">
        <v>1243.8800000000001</v>
      </c>
      <c r="S128" s="158" t="s">
        <v>142</v>
      </c>
      <c r="T128" s="167"/>
      <c r="U128" s="167"/>
      <c r="V128" s="167"/>
      <c r="W128" s="167"/>
      <c r="X128" s="167"/>
      <c r="Y128" s="167"/>
      <c r="Z128" s="158">
        <v>25.25</v>
      </c>
      <c r="AA128" s="158"/>
      <c r="AB128" s="158"/>
      <c r="AC128" s="158">
        <v>180.59</v>
      </c>
    </row>
    <row r="129" spans="1:29" x14ac:dyDescent="0.2">
      <c r="A129" s="138">
        <f t="shared" si="1"/>
        <v>125</v>
      </c>
      <c r="B129" s="156">
        <v>43777</v>
      </c>
      <c r="C129" s="157" t="s">
        <v>1243</v>
      </c>
      <c r="D129" s="161" t="s">
        <v>1301</v>
      </c>
      <c r="E129" s="161" t="s">
        <v>122</v>
      </c>
      <c r="F129" s="161" t="s">
        <v>144</v>
      </c>
      <c r="G129" s="161" t="s">
        <v>770</v>
      </c>
      <c r="H129" s="162">
        <v>43774</v>
      </c>
      <c r="I129" s="161" t="s">
        <v>744</v>
      </c>
      <c r="J129" s="158">
        <v>56</v>
      </c>
      <c r="K129" s="158">
        <v>42</v>
      </c>
      <c r="L129" s="158">
        <v>0</v>
      </c>
      <c r="M129" s="161" t="s">
        <v>6</v>
      </c>
      <c r="N129" s="158">
        <v>19</v>
      </c>
      <c r="O129" s="158">
        <v>18</v>
      </c>
      <c r="P129" s="158">
        <v>0</v>
      </c>
      <c r="Q129" s="161" t="s">
        <v>22</v>
      </c>
      <c r="R129" s="158">
        <v>1252.835</v>
      </c>
      <c r="S129" s="161" t="s">
        <v>142</v>
      </c>
      <c r="T129" s="168"/>
      <c r="U129" s="168"/>
      <c r="V129" s="168"/>
      <c r="W129" s="168"/>
      <c r="X129" s="168"/>
      <c r="Y129" s="168"/>
      <c r="Z129" s="158">
        <v>19.25</v>
      </c>
      <c r="AA129" s="161"/>
      <c r="AB129" s="161"/>
      <c r="AC129" s="158">
        <v>294.029</v>
      </c>
    </row>
    <row r="130" spans="1:29" x14ac:dyDescent="0.2">
      <c r="A130" s="138">
        <f t="shared" si="1"/>
        <v>126</v>
      </c>
      <c r="B130" s="156">
        <v>43778</v>
      </c>
      <c r="C130" s="157" t="s">
        <v>1015</v>
      </c>
      <c r="D130" s="158" t="s">
        <v>1317</v>
      </c>
      <c r="E130" s="158" t="s">
        <v>1283</v>
      </c>
      <c r="F130" s="158" t="s">
        <v>1297</v>
      </c>
      <c r="G130" s="158" t="s">
        <v>770</v>
      </c>
      <c r="H130" s="159">
        <v>43776</v>
      </c>
      <c r="I130" s="158" t="s">
        <v>744</v>
      </c>
      <c r="J130" s="158">
        <v>49</v>
      </c>
      <c r="K130" s="158">
        <v>36</v>
      </c>
      <c r="L130" s="158">
        <v>0</v>
      </c>
      <c r="M130" s="158" t="s">
        <v>6</v>
      </c>
      <c r="N130" s="158">
        <v>18</v>
      </c>
      <c r="O130" s="158">
        <v>18</v>
      </c>
      <c r="P130" s="158">
        <v>0</v>
      </c>
      <c r="Q130" s="158" t="s">
        <v>1276</v>
      </c>
      <c r="R130" s="158">
        <v>155.02000000000001</v>
      </c>
      <c r="S130" s="158" t="s">
        <v>142</v>
      </c>
      <c r="T130" s="167"/>
      <c r="U130" s="167"/>
      <c r="V130" s="167"/>
      <c r="W130" s="167"/>
      <c r="X130" s="167"/>
      <c r="Y130" s="167"/>
      <c r="Z130" s="158">
        <v>14.25</v>
      </c>
      <c r="AA130" s="158"/>
      <c r="AB130" s="158"/>
      <c r="AC130" s="158">
        <v>210.04</v>
      </c>
    </row>
    <row r="131" spans="1:29" x14ac:dyDescent="0.2">
      <c r="A131" s="138">
        <f t="shared" si="1"/>
        <v>127</v>
      </c>
      <c r="B131" s="156">
        <v>43778</v>
      </c>
      <c r="C131" s="157" t="s">
        <v>1013</v>
      </c>
      <c r="D131" s="158" t="s">
        <v>1316</v>
      </c>
      <c r="E131" s="158" t="s">
        <v>126</v>
      </c>
      <c r="F131" s="158" t="s">
        <v>127</v>
      </c>
      <c r="G131" s="158" t="s">
        <v>770</v>
      </c>
      <c r="H131" s="159">
        <v>43776</v>
      </c>
      <c r="I131" s="158" t="s">
        <v>744</v>
      </c>
      <c r="J131" s="158">
        <v>49</v>
      </c>
      <c r="K131" s="158">
        <v>42</v>
      </c>
      <c r="L131" s="158">
        <v>0</v>
      </c>
      <c r="M131" s="158" t="s">
        <v>6</v>
      </c>
      <c r="N131" s="158">
        <v>18</v>
      </c>
      <c r="O131" s="158">
        <v>18</v>
      </c>
      <c r="P131" s="158">
        <v>0</v>
      </c>
      <c r="Q131" s="158" t="s">
        <v>22</v>
      </c>
      <c r="R131" s="158">
        <v>1263.28</v>
      </c>
      <c r="S131" s="158" t="s">
        <v>142</v>
      </c>
      <c r="T131" s="167">
        <v>98</v>
      </c>
      <c r="U131" s="167">
        <v>78</v>
      </c>
      <c r="V131" s="167">
        <v>36</v>
      </c>
      <c r="W131" s="167">
        <v>36</v>
      </c>
      <c r="X131" s="167">
        <v>20</v>
      </c>
      <c r="Y131" s="167">
        <v>0</v>
      </c>
      <c r="Z131" s="158">
        <v>8.25</v>
      </c>
      <c r="AA131" s="158"/>
      <c r="AB131" s="158"/>
      <c r="AC131" s="158">
        <v>137.31</v>
      </c>
    </row>
    <row r="132" spans="1:29" x14ac:dyDescent="0.2">
      <c r="A132" s="138">
        <f t="shared" si="1"/>
        <v>128</v>
      </c>
      <c r="B132" s="156">
        <v>43778</v>
      </c>
      <c r="C132" s="157" t="s">
        <v>1318</v>
      </c>
      <c r="D132" s="158" t="s">
        <v>1265</v>
      </c>
      <c r="E132" s="158" t="s">
        <v>126</v>
      </c>
      <c r="F132" s="158" t="s">
        <v>1266</v>
      </c>
      <c r="G132" s="158" t="s">
        <v>121</v>
      </c>
      <c r="H132" s="159">
        <v>43777</v>
      </c>
      <c r="I132" s="158"/>
      <c r="J132" s="158">
        <v>0</v>
      </c>
      <c r="K132" s="158">
        <v>0</v>
      </c>
      <c r="L132" s="158">
        <v>0</v>
      </c>
      <c r="M132" s="158"/>
      <c r="N132" s="158">
        <v>0</v>
      </c>
      <c r="O132" s="158">
        <v>0</v>
      </c>
      <c r="P132" s="158">
        <v>0</v>
      </c>
      <c r="Q132" s="158"/>
      <c r="R132" s="158">
        <v>0</v>
      </c>
      <c r="S132" s="158" t="s">
        <v>447</v>
      </c>
      <c r="T132" s="167"/>
      <c r="U132" s="167"/>
      <c r="V132" s="167"/>
      <c r="W132" s="167"/>
      <c r="X132" s="167"/>
      <c r="Y132" s="167"/>
      <c r="Z132" s="158">
        <v>2.67</v>
      </c>
      <c r="AA132" s="158"/>
      <c r="AB132" s="158"/>
      <c r="AC132" s="158">
        <v>0</v>
      </c>
    </row>
    <row r="133" spans="1:29" x14ac:dyDescent="0.2">
      <c r="A133" s="138">
        <f t="shared" si="1"/>
        <v>129</v>
      </c>
      <c r="B133" s="156">
        <v>43780</v>
      </c>
      <c r="C133" s="157" t="s">
        <v>1335</v>
      </c>
      <c r="D133" s="158" t="s">
        <v>1336</v>
      </c>
      <c r="E133" s="158" t="s">
        <v>172</v>
      </c>
      <c r="F133" s="158" t="s">
        <v>1309</v>
      </c>
      <c r="G133" s="158" t="s">
        <v>123</v>
      </c>
      <c r="H133" s="159">
        <v>43773</v>
      </c>
      <c r="I133" s="158" t="s">
        <v>744</v>
      </c>
      <c r="J133" s="158">
        <v>20</v>
      </c>
      <c r="K133" s="158">
        <v>16</v>
      </c>
      <c r="L133" s="158">
        <v>0</v>
      </c>
      <c r="M133" s="158" t="s">
        <v>6</v>
      </c>
      <c r="N133" s="158">
        <v>2</v>
      </c>
      <c r="O133" s="158">
        <v>2</v>
      </c>
      <c r="P133" s="158">
        <v>0</v>
      </c>
      <c r="Q133" s="158"/>
      <c r="R133" s="158">
        <v>0</v>
      </c>
      <c r="S133" s="158" t="s">
        <v>142</v>
      </c>
      <c r="T133" s="160"/>
      <c r="U133" s="160"/>
      <c r="V133" s="160"/>
      <c r="W133" s="160"/>
      <c r="X133" s="160"/>
      <c r="Y133" s="160"/>
      <c r="Z133" s="158">
        <v>0</v>
      </c>
      <c r="AA133" s="158"/>
      <c r="AB133" s="158"/>
      <c r="AC133" s="158">
        <v>0</v>
      </c>
    </row>
    <row r="134" spans="1:29" x14ac:dyDescent="0.2">
      <c r="A134" s="138">
        <f t="shared" ref="A134:A197" si="2">+A133+1</f>
        <v>130</v>
      </c>
      <c r="B134" s="156">
        <v>43780</v>
      </c>
      <c r="C134" s="157" t="s">
        <v>1326</v>
      </c>
      <c r="D134" s="161" t="s">
        <v>1327</v>
      </c>
      <c r="E134" s="161" t="s">
        <v>156</v>
      </c>
      <c r="F134" s="161" t="s">
        <v>1328</v>
      </c>
      <c r="G134" s="161" t="s">
        <v>123</v>
      </c>
      <c r="H134" s="162">
        <v>43774</v>
      </c>
      <c r="I134" s="161" t="s">
        <v>744</v>
      </c>
      <c r="J134" s="161">
        <v>6</v>
      </c>
      <c r="K134" s="161">
        <v>3</v>
      </c>
      <c r="L134" s="158">
        <v>0</v>
      </c>
      <c r="M134" s="161" t="s">
        <v>6</v>
      </c>
      <c r="N134" s="161">
        <v>3.5</v>
      </c>
      <c r="O134" s="161">
        <v>3.5</v>
      </c>
      <c r="P134" s="158">
        <v>0</v>
      </c>
      <c r="Q134" s="161"/>
      <c r="R134" s="158">
        <v>0</v>
      </c>
      <c r="S134" s="161" t="s">
        <v>124</v>
      </c>
      <c r="T134" s="163"/>
      <c r="U134" s="163"/>
      <c r="V134" s="163"/>
      <c r="W134" s="163"/>
      <c r="X134" s="163"/>
      <c r="Y134" s="163"/>
      <c r="Z134" s="158">
        <v>0</v>
      </c>
      <c r="AA134" s="161"/>
      <c r="AB134" s="161"/>
      <c r="AC134" s="158">
        <v>0</v>
      </c>
    </row>
    <row r="135" spans="1:29" x14ac:dyDescent="0.2">
      <c r="A135" s="138">
        <f t="shared" si="2"/>
        <v>131</v>
      </c>
      <c r="B135" s="156">
        <v>43780</v>
      </c>
      <c r="C135" s="157" t="s">
        <v>1329</v>
      </c>
      <c r="D135" s="158" t="s">
        <v>1330</v>
      </c>
      <c r="E135" s="158" t="s">
        <v>1331</v>
      </c>
      <c r="F135" s="158" t="s">
        <v>1332</v>
      </c>
      <c r="G135" s="158" t="s">
        <v>123</v>
      </c>
      <c r="H135" s="159">
        <v>43775</v>
      </c>
      <c r="I135" s="158" t="s">
        <v>744</v>
      </c>
      <c r="J135" s="158">
        <v>8</v>
      </c>
      <c r="K135" s="158">
        <v>5</v>
      </c>
      <c r="L135" s="158">
        <v>0</v>
      </c>
      <c r="M135" s="158" t="s">
        <v>6</v>
      </c>
      <c r="N135" s="158">
        <v>2.5</v>
      </c>
      <c r="O135" s="158">
        <v>2</v>
      </c>
      <c r="P135" s="158">
        <v>0</v>
      </c>
      <c r="Q135" s="158"/>
      <c r="R135" s="158">
        <v>0</v>
      </c>
      <c r="S135" s="158" t="s">
        <v>124</v>
      </c>
      <c r="T135" s="160"/>
      <c r="U135" s="160"/>
      <c r="V135" s="160"/>
      <c r="W135" s="160"/>
      <c r="X135" s="160"/>
      <c r="Y135" s="160"/>
      <c r="Z135" s="158">
        <v>0</v>
      </c>
      <c r="AA135" s="158"/>
      <c r="AB135" s="158"/>
      <c r="AC135" s="158">
        <v>0</v>
      </c>
    </row>
    <row r="136" spans="1:29" x14ac:dyDescent="0.2">
      <c r="A136" s="138">
        <f t="shared" si="2"/>
        <v>132</v>
      </c>
      <c r="B136" s="156">
        <v>43780</v>
      </c>
      <c r="C136" s="157" t="s">
        <v>1322</v>
      </c>
      <c r="D136" s="158" t="s">
        <v>1323</v>
      </c>
      <c r="E136" s="158" t="s">
        <v>187</v>
      </c>
      <c r="F136" s="158" t="s">
        <v>1324</v>
      </c>
      <c r="G136" s="158" t="s">
        <v>123</v>
      </c>
      <c r="H136" s="159">
        <v>43776</v>
      </c>
      <c r="I136" s="158" t="s">
        <v>744</v>
      </c>
      <c r="J136" s="158">
        <v>5</v>
      </c>
      <c r="K136" s="158">
        <v>3</v>
      </c>
      <c r="L136" s="158">
        <v>0</v>
      </c>
      <c r="M136" s="158" t="s">
        <v>6</v>
      </c>
      <c r="N136" s="158">
        <v>2</v>
      </c>
      <c r="O136" s="158">
        <v>2</v>
      </c>
      <c r="P136" s="158">
        <v>0</v>
      </c>
      <c r="Q136" s="158"/>
      <c r="R136" s="158">
        <v>0</v>
      </c>
      <c r="S136" s="158" t="s">
        <v>124</v>
      </c>
      <c r="T136" s="167"/>
      <c r="U136" s="167"/>
      <c r="V136" s="167"/>
      <c r="W136" s="167"/>
      <c r="X136" s="167"/>
      <c r="Y136" s="167"/>
      <c r="Z136" s="158">
        <v>0</v>
      </c>
      <c r="AA136" s="158"/>
      <c r="AB136" s="158"/>
      <c r="AC136" s="158">
        <v>0</v>
      </c>
    </row>
    <row r="137" spans="1:29" x14ac:dyDescent="0.2">
      <c r="A137" s="138">
        <f t="shared" si="2"/>
        <v>133</v>
      </c>
      <c r="B137" s="156">
        <v>43780</v>
      </c>
      <c r="C137" s="157" t="s">
        <v>1333</v>
      </c>
      <c r="D137" s="158" t="s">
        <v>1334</v>
      </c>
      <c r="E137" s="158" t="s">
        <v>146</v>
      </c>
      <c r="F137" s="158" t="s">
        <v>157</v>
      </c>
      <c r="G137" s="158" t="s">
        <v>123</v>
      </c>
      <c r="H137" s="159">
        <v>43776</v>
      </c>
      <c r="I137" s="158" t="s">
        <v>744</v>
      </c>
      <c r="J137" s="158">
        <v>19</v>
      </c>
      <c r="K137" s="158">
        <v>12</v>
      </c>
      <c r="L137" s="158">
        <v>0</v>
      </c>
      <c r="M137" s="158" t="s">
        <v>6</v>
      </c>
      <c r="N137" s="158">
        <v>3</v>
      </c>
      <c r="O137" s="158">
        <v>3</v>
      </c>
      <c r="P137" s="158">
        <v>0</v>
      </c>
      <c r="Q137" s="158"/>
      <c r="R137" s="158">
        <v>0</v>
      </c>
      <c r="S137" s="158" t="s">
        <v>23</v>
      </c>
      <c r="T137" s="160"/>
      <c r="U137" s="160"/>
      <c r="V137" s="160"/>
      <c r="W137" s="160"/>
      <c r="X137" s="160"/>
      <c r="Y137" s="160"/>
      <c r="Z137" s="158">
        <v>0</v>
      </c>
      <c r="AA137" s="158"/>
      <c r="AB137" s="158"/>
      <c r="AC137" s="158">
        <v>0</v>
      </c>
    </row>
    <row r="138" spans="1:29" x14ac:dyDescent="0.2">
      <c r="A138" s="138">
        <f t="shared" si="2"/>
        <v>134</v>
      </c>
      <c r="B138" s="156">
        <v>43780</v>
      </c>
      <c r="C138" s="157" t="s">
        <v>1337</v>
      </c>
      <c r="D138" s="158" t="s">
        <v>1338</v>
      </c>
      <c r="E138" s="158" t="s">
        <v>128</v>
      </c>
      <c r="F138" s="158" t="s">
        <v>327</v>
      </c>
      <c r="G138" s="158" t="s">
        <v>123</v>
      </c>
      <c r="H138" s="159">
        <v>43777</v>
      </c>
      <c r="I138" s="158" t="s">
        <v>744</v>
      </c>
      <c r="J138" s="158">
        <v>11</v>
      </c>
      <c r="K138" s="158">
        <v>8</v>
      </c>
      <c r="L138" s="158">
        <v>0</v>
      </c>
      <c r="M138" s="158" t="s">
        <v>6</v>
      </c>
      <c r="N138" s="158">
        <v>3</v>
      </c>
      <c r="O138" s="158">
        <v>3</v>
      </c>
      <c r="P138" s="158">
        <v>0</v>
      </c>
      <c r="Q138" s="158"/>
      <c r="R138" s="158">
        <v>0</v>
      </c>
      <c r="S138" s="158" t="s">
        <v>124</v>
      </c>
      <c r="T138" s="160"/>
      <c r="U138" s="160"/>
      <c r="V138" s="160"/>
      <c r="W138" s="160"/>
      <c r="X138" s="160"/>
      <c r="Y138" s="160"/>
      <c r="Z138" s="158">
        <v>0</v>
      </c>
      <c r="AA138" s="158"/>
      <c r="AB138" s="158"/>
      <c r="AC138" s="158">
        <v>0</v>
      </c>
    </row>
    <row r="139" spans="1:29" x14ac:dyDescent="0.2">
      <c r="A139" s="138">
        <f t="shared" si="2"/>
        <v>135</v>
      </c>
      <c r="B139" s="156">
        <v>43780</v>
      </c>
      <c r="C139" s="157" t="s">
        <v>1319</v>
      </c>
      <c r="D139" s="158" t="s">
        <v>1320</v>
      </c>
      <c r="E139" s="158" t="s">
        <v>129</v>
      </c>
      <c r="F139" s="158" t="s">
        <v>1321</v>
      </c>
      <c r="G139" s="158" t="s">
        <v>121</v>
      </c>
      <c r="H139" s="159">
        <v>43780</v>
      </c>
      <c r="I139" s="158"/>
      <c r="J139" s="158">
        <v>0</v>
      </c>
      <c r="K139" s="158">
        <v>0</v>
      </c>
      <c r="L139" s="158">
        <v>0</v>
      </c>
      <c r="M139" s="158"/>
      <c r="N139" s="158">
        <v>0</v>
      </c>
      <c r="O139" s="158">
        <v>0</v>
      </c>
      <c r="P139" s="158">
        <v>0</v>
      </c>
      <c r="Q139" s="158"/>
      <c r="R139" s="158">
        <v>0</v>
      </c>
      <c r="S139" s="158" t="s">
        <v>447</v>
      </c>
      <c r="T139" s="167">
        <v>70</v>
      </c>
      <c r="U139" s="167">
        <v>48</v>
      </c>
      <c r="V139" s="167">
        <v>17</v>
      </c>
      <c r="W139" s="167">
        <v>16.5</v>
      </c>
      <c r="X139" s="167">
        <v>22</v>
      </c>
      <c r="Y139" s="167">
        <v>0.5</v>
      </c>
      <c r="Z139" s="158">
        <v>2.67</v>
      </c>
      <c r="AA139" s="158"/>
      <c r="AB139" s="158"/>
      <c r="AC139" s="158">
        <v>0</v>
      </c>
    </row>
    <row r="140" spans="1:29" x14ac:dyDescent="0.2">
      <c r="A140" s="138">
        <f t="shared" si="2"/>
        <v>136</v>
      </c>
      <c r="B140" s="156">
        <v>43780</v>
      </c>
      <c r="C140" s="157" t="s">
        <v>1325</v>
      </c>
      <c r="D140" s="158" t="s">
        <v>1323</v>
      </c>
      <c r="E140" s="158" t="s">
        <v>187</v>
      </c>
      <c r="F140" s="158" t="s">
        <v>1324</v>
      </c>
      <c r="G140" s="158" t="s">
        <v>121</v>
      </c>
      <c r="H140" s="159">
        <v>43780</v>
      </c>
      <c r="I140" s="158" t="s">
        <v>744</v>
      </c>
      <c r="J140" s="158">
        <v>1</v>
      </c>
      <c r="K140" s="158">
        <v>1</v>
      </c>
      <c r="L140" s="158">
        <v>0</v>
      </c>
      <c r="M140" s="158" t="s">
        <v>6</v>
      </c>
      <c r="N140" s="158">
        <v>1</v>
      </c>
      <c r="O140" s="158">
        <v>1</v>
      </c>
      <c r="P140" s="158">
        <v>0</v>
      </c>
      <c r="Q140" s="158"/>
      <c r="R140" s="158">
        <v>0</v>
      </c>
      <c r="S140" s="158" t="s">
        <v>124</v>
      </c>
      <c r="T140" s="160"/>
      <c r="U140" s="160"/>
      <c r="V140" s="160"/>
      <c r="W140" s="160"/>
      <c r="X140" s="160"/>
      <c r="Y140" s="160"/>
      <c r="Z140" s="158">
        <v>0</v>
      </c>
      <c r="AA140" s="158"/>
      <c r="AB140" s="158"/>
      <c r="AC140" s="158">
        <v>0</v>
      </c>
    </row>
    <row r="141" spans="1:29" x14ac:dyDescent="0.2">
      <c r="A141" s="138">
        <f t="shared" si="2"/>
        <v>137</v>
      </c>
      <c r="B141" s="156">
        <v>43781</v>
      </c>
      <c r="C141" s="157" t="s">
        <v>1339</v>
      </c>
      <c r="D141" s="158" t="s">
        <v>1340</v>
      </c>
      <c r="E141" s="158" t="s">
        <v>126</v>
      </c>
      <c r="F141" s="158" t="s">
        <v>1266</v>
      </c>
      <c r="G141" s="158" t="s">
        <v>123</v>
      </c>
      <c r="H141" s="159">
        <v>43780</v>
      </c>
      <c r="I141" s="158" t="s">
        <v>744</v>
      </c>
      <c r="J141" s="158">
        <v>7</v>
      </c>
      <c r="K141" s="158">
        <v>4</v>
      </c>
      <c r="L141" s="158">
        <v>0</v>
      </c>
      <c r="M141" s="158" t="s">
        <v>6</v>
      </c>
      <c r="N141" s="158">
        <v>2</v>
      </c>
      <c r="O141" s="158">
        <v>2</v>
      </c>
      <c r="P141" s="158">
        <v>0</v>
      </c>
      <c r="Q141" s="158"/>
      <c r="R141" s="158">
        <v>0</v>
      </c>
      <c r="S141" s="158" t="s">
        <v>124</v>
      </c>
      <c r="T141" s="160"/>
      <c r="U141" s="160"/>
      <c r="V141" s="160"/>
      <c r="W141" s="160"/>
      <c r="X141" s="160"/>
      <c r="Y141" s="160"/>
      <c r="Z141" s="158">
        <v>0</v>
      </c>
      <c r="AA141" s="158"/>
      <c r="AB141" s="158"/>
      <c r="AC141" s="158">
        <v>0</v>
      </c>
    </row>
    <row r="142" spans="1:29" x14ac:dyDescent="0.2">
      <c r="A142" s="138">
        <f t="shared" si="2"/>
        <v>138</v>
      </c>
      <c r="B142" s="156">
        <v>43781</v>
      </c>
      <c r="C142" s="157" t="s">
        <v>1246</v>
      </c>
      <c r="D142" s="158" t="s">
        <v>1275</v>
      </c>
      <c r="E142" s="158" t="s">
        <v>122</v>
      </c>
      <c r="F142" s="158" t="s">
        <v>144</v>
      </c>
      <c r="G142" s="158" t="s">
        <v>770</v>
      </c>
      <c r="H142" s="159">
        <v>43780</v>
      </c>
      <c r="I142" s="158" t="s">
        <v>744</v>
      </c>
      <c r="J142" s="158">
        <v>3</v>
      </c>
      <c r="K142" s="158">
        <v>2</v>
      </c>
      <c r="L142" s="158">
        <v>0</v>
      </c>
      <c r="M142" s="158"/>
      <c r="N142" s="158">
        <v>0</v>
      </c>
      <c r="O142" s="158">
        <v>0</v>
      </c>
      <c r="P142" s="158">
        <v>0</v>
      </c>
      <c r="Q142" s="158" t="s">
        <v>1276</v>
      </c>
      <c r="R142" s="158">
        <v>50.746000000000002</v>
      </c>
      <c r="S142" s="158" t="s">
        <v>124</v>
      </c>
      <c r="T142" s="160"/>
      <c r="U142" s="160"/>
      <c r="V142" s="160"/>
      <c r="W142" s="160"/>
      <c r="X142" s="160"/>
      <c r="Y142" s="160"/>
      <c r="Z142" s="158">
        <v>0</v>
      </c>
      <c r="AA142" s="158" t="s">
        <v>22</v>
      </c>
      <c r="AB142" s="158"/>
      <c r="AC142" s="158">
        <v>29.85</v>
      </c>
    </row>
    <row r="143" spans="1:29" x14ac:dyDescent="0.2">
      <c r="A143" s="138">
        <f t="shared" si="2"/>
        <v>139</v>
      </c>
      <c r="B143" s="156">
        <v>43781</v>
      </c>
      <c r="C143" s="157" t="s">
        <v>1341</v>
      </c>
      <c r="D143" s="158" t="s">
        <v>1340</v>
      </c>
      <c r="E143" s="158" t="s">
        <v>126</v>
      </c>
      <c r="F143" s="158" t="s">
        <v>1266</v>
      </c>
      <c r="G143" s="158" t="s">
        <v>121</v>
      </c>
      <c r="H143" s="159">
        <v>43780</v>
      </c>
      <c r="I143" s="158" t="s">
        <v>744</v>
      </c>
      <c r="J143" s="158">
        <v>2.6</v>
      </c>
      <c r="K143" s="158">
        <v>2.5</v>
      </c>
      <c r="L143" s="158">
        <v>0</v>
      </c>
      <c r="M143" s="158" t="s">
        <v>6</v>
      </c>
      <c r="N143" s="158">
        <v>1</v>
      </c>
      <c r="O143" s="158">
        <v>1</v>
      </c>
      <c r="P143" s="158">
        <v>0</v>
      </c>
      <c r="Q143" s="158"/>
      <c r="R143" s="158">
        <v>0</v>
      </c>
      <c r="S143" s="158" t="s">
        <v>124</v>
      </c>
      <c r="T143" s="160"/>
      <c r="U143" s="160"/>
      <c r="V143" s="160"/>
      <c r="W143" s="160"/>
      <c r="X143" s="160"/>
      <c r="Y143" s="160"/>
      <c r="Z143" s="158">
        <v>0</v>
      </c>
      <c r="AA143" s="158"/>
      <c r="AB143" s="158"/>
      <c r="AC143" s="158">
        <v>0</v>
      </c>
    </row>
    <row r="144" spans="1:29" x14ac:dyDescent="0.2">
      <c r="A144" s="138">
        <f t="shared" si="2"/>
        <v>140</v>
      </c>
      <c r="B144" s="156">
        <v>43781</v>
      </c>
      <c r="C144" s="157" t="s">
        <v>1342</v>
      </c>
      <c r="D144" s="158" t="s">
        <v>866</v>
      </c>
      <c r="E144" s="158" t="s">
        <v>122</v>
      </c>
      <c r="F144" s="158" t="s">
        <v>144</v>
      </c>
      <c r="G144" s="158" t="s">
        <v>770</v>
      </c>
      <c r="H144" s="159">
        <v>43749</v>
      </c>
      <c r="I144" s="158"/>
      <c r="J144" s="158">
        <v>0</v>
      </c>
      <c r="K144" s="158">
        <v>0</v>
      </c>
      <c r="L144" s="158">
        <v>0</v>
      </c>
      <c r="M144" s="158"/>
      <c r="N144" s="158">
        <v>0</v>
      </c>
      <c r="O144" s="158">
        <v>0</v>
      </c>
      <c r="P144" s="158">
        <v>0</v>
      </c>
      <c r="Q144" s="158"/>
      <c r="R144" s="158">
        <v>62.984999999999999</v>
      </c>
      <c r="S144" s="158" t="s">
        <v>23</v>
      </c>
      <c r="T144" s="160"/>
      <c r="U144" s="160"/>
      <c r="V144" s="160"/>
      <c r="W144" s="160"/>
      <c r="X144" s="160"/>
      <c r="Y144" s="160"/>
      <c r="Z144" s="158">
        <v>1</v>
      </c>
      <c r="AA144" s="158" t="s">
        <v>22</v>
      </c>
      <c r="AB144" s="158"/>
      <c r="AC144" s="158">
        <v>0</v>
      </c>
    </row>
    <row r="145" spans="1:29" x14ac:dyDescent="0.2">
      <c r="A145" s="138">
        <f t="shared" si="2"/>
        <v>141</v>
      </c>
      <c r="B145" s="156">
        <v>43782</v>
      </c>
      <c r="C145" s="157" t="s">
        <v>1345</v>
      </c>
      <c r="D145" s="158" t="s">
        <v>1346</v>
      </c>
      <c r="E145" s="158" t="s">
        <v>128</v>
      </c>
      <c r="F145" s="158" t="s">
        <v>1347</v>
      </c>
      <c r="G145" s="158" t="s">
        <v>123</v>
      </c>
      <c r="H145" s="159">
        <v>43766</v>
      </c>
      <c r="I145" s="158" t="s">
        <v>744</v>
      </c>
      <c r="J145" s="158">
        <v>16</v>
      </c>
      <c r="K145" s="158">
        <v>8</v>
      </c>
      <c r="L145" s="158">
        <v>0</v>
      </c>
      <c r="M145" s="158" t="s">
        <v>6</v>
      </c>
      <c r="N145" s="158">
        <v>3</v>
      </c>
      <c r="O145" s="158">
        <v>3</v>
      </c>
      <c r="P145" s="158">
        <v>0</v>
      </c>
      <c r="Q145" s="158"/>
      <c r="R145" s="158">
        <v>0</v>
      </c>
      <c r="S145" s="158" t="s">
        <v>23</v>
      </c>
      <c r="T145" s="160"/>
      <c r="U145" s="160"/>
      <c r="V145" s="160"/>
      <c r="W145" s="160"/>
      <c r="X145" s="160"/>
      <c r="Y145" s="160"/>
      <c r="Z145" s="158">
        <v>0</v>
      </c>
      <c r="AA145" s="158"/>
      <c r="AB145" s="158"/>
      <c r="AC145" s="158">
        <v>0</v>
      </c>
    </row>
    <row r="146" spans="1:29" x14ac:dyDescent="0.2">
      <c r="A146" s="138">
        <f t="shared" si="2"/>
        <v>142</v>
      </c>
      <c r="B146" s="156">
        <v>43782</v>
      </c>
      <c r="C146" s="157" t="s">
        <v>1343</v>
      </c>
      <c r="D146" s="158" t="s">
        <v>1344</v>
      </c>
      <c r="E146" s="158" t="s">
        <v>21</v>
      </c>
      <c r="F146" s="158" t="s">
        <v>24</v>
      </c>
      <c r="G146" s="158" t="s">
        <v>123</v>
      </c>
      <c r="H146" s="159">
        <v>43782</v>
      </c>
      <c r="I146" s="158" t="s">
        <v>744</v>
      </c>
      <c r="J146" s="158">
        <v>5</v>
      </c>
      <c r="K146" s="158">
        <v>3</v>
      </c>
      <c r="L146" s="158">
        <v>0</v>
      </c>
      <c r="M146" s="158" t="s">
        <v>6</v>
      </c>
      <c r="N146" s="158">
        <v>2</v>
      </c>
      <c r="O146" s="158">
        <v>2</v>
      </c>
      <c r="P146" s="158">
        <v>0</v>
      </c>
      <c r="Q146" s="158"/>
      <c r="R146" s="158">
        <v>0</v>
      </c>
      <c r="S146" s="158" t="s">
        <v>124</v>
      </c>
      <c r="T146" s="160"/>
      <c r="U146" s="160"/>
      <c r="V146" s="160"/>
      <c r="W146" s="160"/>
      <c r="X146" s="160"/>
      <c r="Y146" s="160"/>
      <c r="Z146" s="158">
        <v>0</v>
      </c>
      <c r="AA146" s="158"/>
      <c r="AB146" s="158"/>
      <c r="AC146" s="158">
        <v>0</v>
      </c>
    </row>
    <row r="147" spans="1:29" x14ac:dyDescent="0.2">
      <c r="A147" s="138">
        <f t="shared" si="2"/>
        <v>143</v>
      </c>
      <c r="B147" s="156">
        <v>43782</v>
      </c>
      <c r="C147" s="157" t="s">
        <v>1348</v>
      </c>
      <c r="D147" s="158" t="s">
        <v>1296</v>
      </c>
      <c r="E147" s="158" t="s">
        <v>1283</v>
      </c>
      <c r="F147" s="158" t="s">
        <v>1297</v>
      </c>
      <c r="G147" s="158" t="s">
        <v>770</v>
      </c>
      <c r="H147" s="159">
        <v>43782</v>
      </c>
      <c r="I147" s="158"/>
      <c r="J147" s="158">
        <v>0</v>
      </c>
      <c r="K147" s="158">
        <v>0</v>
      </c>
      <c r="L147" s="158">
        <v>0</v>
      </c>
      <c r="M147" s="158"/>
      <c r="N147" s="158">
        <v>0</v>
      </c>
      <c r="O147" s="158">
        <v>0</v>
      </c>
      <c r="P147" s="158">
        <v>0</v>
      </c>
      <c r="Q147" s="158"/>
      <c r="R147" s="158">
        <v>83.58</v>
      </c>
      <c r="S147" s="158" t="s">
        <v>23</v>
      </c>
      <c r="T147" s="160"/>
      <c r="U147" s="160"/>
      <c r="V147" s="160"/>
      <c r="W147" s="160"/>
      <c r="X147" s="160"/>
      <c r="Y147" s="160"/>
      <c r="Z147" s="158">
        <v>0</v>
      </c>
      <c r="AA147" s="158" t="s">
        <v>22</v>
      </c>
      <c r="AB147" s="158"/>
      <c r="AC147" s="158">
        <v>0</v>
      </c>
    </row>
    <row r="148" spans="1:29" x14ac:dyDescent="0.2">
      <c r="A148" s="138">
        <f t="shared" si="2"/>
        <v>144</v>
      </c>
      <c r="B148" s="156">
        <v>43783</v>
      </c>
      <c r="C148" s="157" t="s">
        <v>1349</v>
      </c>
      <c r="D148" s="158" t="s">
        <v>1350</v>
      </c>
      <c r="E148" s="158" t="s">
        <v>146</v>
      </c>
      <c r="F148" s="158" t="s">
        <v>157</v>
      </c>
      <c r="G148" s="158" t="s">
        <v>123</v>
      </c>
      <c r="H148" s="159">
        <v>43781</v>
      </c>
      <c r="I148" s="158" t="s">
        <v>744</v>
      </c>
      <c r="J148" s="158">
        <v>10</v>
      </c>
      <c r="K148" s="158">
        <v>6</v>
      </c>
      <c r="L148" s="158">
        <v>0</v>
      </c>
      <c r="M148" s="158" t="s">
        <v>6</v>
      </c>
      <c r="N148" s="158">
        <v>2.75</v>
      </c>
      <c r="O148" s="158">
        <v>2.75</v>
      </c>
      <c r="P148" s="158">
        <v>0</v>
      </c>
      <c r="Q148" s="158" t="s">
        <v>22</v>
      </c>
      <c r="R148" s="158">
        <v>1529.3</v>
      </c>
      <c r="S148" s="158" t="s">
        <v>124</v>
      </c>
      <c r="T148" s="160"/>
      <c r="U148" s="160"/>
      <c r="V148" s="160"/>
      <c r="W148" s="160"/>
      <c r="X148" s="160"/>
      <c r="Y148" s="160"/>
      <c r="Z148" s="158">
        <v>0</v>
      </c>
      <c r="AA148" s="158"/>
      <c r="AB148" s="158"/>
      <c r="AC148" s="158">
        <v>50</v>
      </c>
    </row>
    <row r="149" spans="1:29" x14ac:dyDescent="0.2">
      <c r="A149" s="138">
        <f t="shared" si="2"/>
        <v>145</v>
      </c>
      <c r="B149" s="156">
        <v>43783</v>
      </c>
      <c r="C149" s="157" t="s">
        <v>1252</v>
      </c>
      <c r="D149" s="158" t="s">
        <v>1351</v>
      </c>
      <c r="E149" s="158" t="s">
        <v>129</v>
      </c>
      <c r="F149" s="158" t="s">
        <v>1321</v>
      </c>
      <c r="G149" s="158" t="s">
        <v>121</v>
      </c>
      <c r="H149" s="159">
        <v>43781</v>
      </c>
      <c r="I149" s="158"/>
      <c r="J149" s="158">
        <v>0</v>
      </c>
      <c r="K149" s="158">
        <v>0</v>
      </c>
      <c r="L149" s="158">
        <v>0</v>
      </c>
      <c r="M149" s="158"/>
      <c r="N149" s="158">
        <v>0</v>
      </c>
      <c r="O149" s="158">
        <v>0</v>
      </c>
      <c r="P149" s="158">
        <v>0</v>
      </c>
      <c r="Q149" s="158"/>
      <c r="R149" s="158">
        <v>0</v>
      </c>
      <c r="S149" s="158" t="s">
        <v>447</v>
      </c>
      <c r="T149" s="160"/>
      <c r="U149" s="160"/>
      <c r="V149" s="160"/>
      <c r="W149" s="160"/>
      <c r="X149" s="160"/>
      <c r="Y149" s="160"/>
      <c r="Z149" s="158">
        <v>2.67</v>
      </c>
      <c r="AA149" s="158"/>
      <c r="AB149" s="158"/>
      <c r="AC149" s="158">
        <v>0</v>
      </c>
    </row>
    <row r="150" spans="1:29" x14ac:dyDescent="0.2">
      <c r="A150" s="138">
        <f t="shared" si="2"/>
        <v>146</v>
      </c>
      <c r="B150" s="156">
        <v>43785</v>
      </c>
      <c r="C150" s="157" t="s">
        <v>1352</v>
      </c>
      <c r="D150" s="158" t="s">
        <v>1353</v>
      </c>
      <c r="E150" s="158" t="s">
        <v>21</v>
      </c>
      <c r="F150" s="158" t="s">
        <v>24</v>
      </c>
      <c r="G150" s="158" t="s">
        <v>121</v>
      </c>
      <c r="H150" s="159">
        <v>43785</v>
      </c>
      <c r="I150" s="158"/>
      <c r="J150" s="158">
        <v>0</v>
      </c>
      <c r="K150" s="158">
        <v>0</v>
      </c>
      <c r="L150" s="158">
        <v>0</v>
      </c>
      <c r="M150" s="158"/>
      <c r="N150" s="158">
        <v>0</v>
      </c>
      <c r="O150" s="158">
        <v>0</v>
      </c>
      <c r="P150" s="158">
        <v>0</v>
      </c>
      <c r="Q150" s="158"/>
      <c r="R150" s="158">
        <v>0</v>
      </c>
      <c r="S150" s="158" t="s">
        <v>447</v>
      </c>
      <c r="T150" s="160"/>
      <c r="U150" s="160"/>
      <c r="V150" s="160"/>
      <c r="W150" s="160"/>
      <c r="X150" s="160"/>
      <c r="Y150" s="160"/>
      <c r="Z150" s="158">
        <v>2.67</v>
      </c>
      <c r="AA150" s="158"/>
      <c r="AB150" s="158"/>
      <c r="AC150" s="158">
        <v>0</v>
      </c>
    </row>
    <row r="151" spans="1:29" x14ac:dyDescent="0.2">
      <c r="A151" s="138">
        <f t="shared" si="2"/>
        <v>147</v>
      </c>
      <c r="B151" s="156">
        <v>43785</v>
      </c>
      <c r="C151" s="157" t="s">
        <v>1354</v>
      </c>
      <c r="D151" s="158" t="s">
        <v>1355</v>
      </c>
      <c r="E151" s="158" t="s">
        <v>3277</v>
      </c>
      <c r="F151" s="158" t="s">
        <v>181</v>
      </c>
      <c r="G151" s="158" t="s">
        <v>121</v>
      </c>
      <c r="H151" s="159">
        <v>43785</v>
      </c>
      <c r="I151" s="158"/>
      <c r="J151" s="158">
        <v>0</v>
      </c>
      <c r="K151" s="158">
        <v>0</v>
      </c>
      <c r="L151" s="158">
        <v>0</v>
      </c>
      <c r="M151" s="158"/>
      <c r="N151" s="158">
        <v>0</v>
      </c>
      <c r="O151" s="158">
        <v>0</v>
      </c>
      <c r="P151" s="158">
        <v>0</v>
      </c>
      <c r="Q151" s="158"/>
      <c r="R151" s="158">
        <v>0</v>
      </c>
      <c r="S151" s="158" t="s">
        <v>447</v>
      </c>
      <c r="T151" s="160"/>
      <c r="U151" s="160"/>
      <c r="V151" s="160"/>
      <c r="W151" s="160"/>
      <c r="X151" s="160"/>
      <c r="Y151" s="160"/>
      <c r="Z151" s="158">
        <v>2.67</v>
      </c>
      <c r="AA151" s="158"/>
      <c r="AB151" s="158"/>
      <c r="AC151" s="158">
        <v>0</v>
      </c>
    </row>
    <row r="152" spans="1:29" x14ac:dyDescent="0.2">
      <c r="A152" s="138">
        <f t="shared" si="2"/>
        <v>148</v>
      </c>
      <c r="B152" s="156">
        <v>43785</v>
      </c>
      <c r="C152" s="157" t="s">
        <v>1356</v>
      </c>
      <c r="D152" s="158" t="s">
        <v>1357</v>
      </c>
      <c r="E152" s="158" t="s">
        <v>126</v>
      </c>
      <c r="F152" s="158" t="s">
        <v>127</v>
      </c>
      <c r="G152" s="158" t="s">
        <v>770</v>
      </c>
      <c r="H152" s="159">
        <v>43785</v>
      </c>
      <c r="I152" s="158" t="s">
        <v>744</v>
      </c>
      <c r="J152" s="158">
        <v>44</v>
      </c>
      <c r="K152" s="158">
        <v>32</v>
      </c>
      <c r="L152" s="158">
        <v>0</v>
      </c>
      <c r="M152" s="158" t="s">
        <v>6</v>
      </c>
      <c r="N152" s="158">
        <v>18</v>
      </c>
      <c r="O152" s="158">
        <v>18</v>
      </c>
      <c r="P152" s="158">
        <v>0</v>
      </c>
      <c r="Q152" s="158"/>
      <c r="R152" s="158">
        <v>0</v>
      </c>
      <c r="S152" s="158" t="s">
        <v>142</v>
      </c>
      <c r="T152" s="160"/>
      <c r="U152" s="160"/>
      <c r="V152" s="160"/>
      <c r="W152" s="160"/>
      <c r="X152" s="160"/>
      <c r="Y152" s="160"/>
      <c r="Z152" s="158">
        <v>6.5</v>
      </c>
      <c r="AA152" s="158"/>
      <c r="AB152" s="158"/>
      <c r="AC152" s="158">
        <v>0</v>
      </c>
    </row>
    <row r="153" spans="1:29" x14ac:dyDescent="0.2">
      <c r="A153" s="138">
        <f t="shared" si="2"/>
        <v>149</v>
      </c>
      <c r="B153" s="156">
        <v>43787</v>
      </c>
      <c r="C153" s="157" t="s">
        <v>1358</v>
      </c>
      <c r="D153" s="158" t="s">
        <v>814</v>
      </c>
      <c r="E153" s="158" t="s">
        <v>186</v>
      </c>
      <c r="F153" s="158" t="s">
        <v>188</v>
      </c>
      <c r="G153" s="158" t="s">
        <v>123</v>
      </c>
      <c r="H153" s="159"/>
      <c r="I153" s="158" t="s">
        <v>744</v>
      </c>
      <c r="J153" s="158">
        <v>2</v>
      </c>
      <c r="K153" s="158">
        <v>1</v>
      </c>
      <c r="L153" s="158">
        <v>0</v>
      </c>
      <c r="M153" s="158" t="s">
        <v>6</v>
      </c>
      <c r="N153" s="158">
        <v>1</v>
      </c>
      <c r="O153" s="158">
        <v>1</v>
      </c>
      <c r="P153" s="158">
        <v>0</v>
      </c>
      <c r="Q153" s="158" t="s">
        <v>22</v>
      </c>
      <c r="R153" s="158">
        <v>2203.71</v>
      </c>
      <c r="S153" s="158" t="s">
        <v>124</v>
      </c>
      <c r="T153" s="160"/>
      <c r="U153" s="160"/>
      <c r="V153" s="160"/>
      <c r="W153" s="160"/>
      <c r="X153" s="160"/>
      <c r="Y153" s="160"/>
      <c r="Z153" s="158">
        <v>30</v>
      </c>
      <c r="AA153" s="158"/>
      <c r="AB153" s="158"/>
      <c r="AC153" s="158">
        <v>0</v>
      </c>
    </row>
    <row r="154" spans="1:29" x14ac:dyDescent="0.2">
      <c r="A154" s="138">
        <f t="shared" si="2"/>
        <v>150</v>
      </c>
      <c r="B154" s="156">
        <v>43788</v>
      </c>
      <c r="C154" s="157" t="s">
        <v>1359</v>
      </c>
      <c r="D154" s="158" t="s">
        <v>1360</v>
      </c>
      <c r="E154" s="158" t="s">
        <v>178</v>
      </c>
      <c r="F154" s="158" t="s">
        <v>1361</v>
      </c>
      <c r="G154" s="158" t="s">
        <v>123</v>
      </c>
      <c r="H154" s="159">
        <v>43769</v>
      </c>
      <c r="I154" s="158" t="s">
        <v>744</v>
      </c>
      <c r="J154" s="158">
        <v>9</v>
      </c>
      <c r="K154" s="158">
        <v>4</v>
      </c>
      <c r="L154" s="158">
        <v>0</v>
      </c>
      <c r="M154" s="158" t="s">
        <v>6</v>
      </c>
      <c r="N154" s="158">
        <v>2.75</v>
      </c>
      <c r="O154" s="158">
        <v>2.75</v>
      </c>
      <c r="P154" s="158">
        <v>0</v>
      </c>
      <c r="Q154" s="158" t="s">
        <v>22</v>
      </c>
      <c r="R154" s="158">
        <v>2441.34</v>
      </c>
      <c r="S154" s="158" t="s">
        <v>124</v>
      </c>
      <c r="T154" s="160"/>
      <c r="U154" s="160"/>
      <c r="V154" s="160"/>
      <c r="W154" s="160"/>
      <c r="X154" s="160"/>
      <c r="Y154" s="160"/>
      <c r="Z154" s="158">
        <v>0</v>
      </c>
      <c r="AA154" s="158"/>
      <c r="AB154" s="158"/>
      <c r="AC154" s="158">
        <v>35</v>
      </c>
    </row>
    <row r="155" spans="1:29" x14ac:dyDescent="0.2">
      <c r="A155" s="138">
        <f t="shared" si="2"/>
        <v>151</v>
      </c>
      <c r="B155" s="156">
        <v>43789</v>
      </c>
      <c r="C155" s="157" t="s">
        <v>1363</v>
      </c>
      <c r="D155" s="158" t="s">
        <v>1364</v>
      </c>
      <c r="E155" s="158" t="s">
        <v>21</v>
      </c>
      <c r="F155" s="158" t="s">
        <v>171</v>
      </c>
      <c r="G155" s="158" t="s">
        <v>123</v>
      </c>
      <c r="H155" s="159"/>
      <c r="I155" s="158" t="s">
        <v>744</v>
      </c>
      <c r="J155" s="158">
        <v>24</v>
      </c>
      <c r="K155" s="158">
        <v>16</v>
      </c>
      <c r="L155" s="158">
        <v>0</v>
      </c>
      <c r="M155" s="158" t="s">
        <v>6</v>
      </c>
      <c r="N155" s="158">
        <v>5.5</v>
      </c>
      <c r="O155" s="158">
        <v>5.25</v>
      </c>
      <c r="P155" s="158">
        <v>0</v>
      </c>
      <c r="Q155" s="158" t="s">
        <v>22</v>
      </c>
      <c r="R155" s="158">
        <v>1041.54</v>
      </c>
      <c r="S155" s="158" t="s">
        <v>23</v>
      </c>
      <c r="T155" s="160"/>
      <c r="U155" s="160"/>
      <c r="V155" s="160"/>
      <c r="W155" s="160"/>
      <c r="X155" s="160"/>
      <c r="Y155" s="160"/>
      <c r="Z155" s="158">
        <v>0</v>
      </c>
      <c r="AA155" s="158"/>
      <c r="AB155" s="158"/>
      <c r="AC155" s="158">
        <v>0</v>
      </c>
    </row>
    <row r="156" spans="1:29" x14ac:dyDescent="0.2">
      <c r="A156" s="138">
        <f t="shared" si="2"/>
        <v>152</v>
      </c>
      <c r="B156" s="156">
        <v>43789</v>
      </c>
      <c r="C156" s="157" t="s">
        <v>1358</v>
      </c>
      <c r="D156" s="158" t="s">
        <v>1362</v>
      </c>
      <c r="E156" s="158" t="s">
        <v>178</v>
      </c>
      <c r="F156" s="158" t="s">
        <v>1361</v>
      </c>
      <c r="G156" s="158" t="s">
        <v>121</v>
      </c>
      <c r="H156" s="159">
        <v>43789</v>
      </c>
      <c r="I156" s="158"/>
      <c r="J156" s="158">
        <v>0</v>
      </c>
      <c r="K156" s="158">
        <v>0</v>
      </c>
      <c r="L156" s="158">
        <v>0</v>
      </c>
      <c r="M156" s="158"/>
      <c r="N156" s="158">
        <v>0</v>
      </c>
      <c r="O156" s="158">
        <v>0</v>
      </c>
      <c r="P156" s="158">
        <v>0</v>
      </c>
      <c r="Q156" s="158"/>
      <c r="R156" s="158">
        <v>0</v>
      </c>
      <c r="S156" s="158" t="s">
        <v>447</v>
      </c>
      <c r="T156" s="160"/>
      <c r="U156" s="160"/>
      <c r="V156" s="160"/>
      <c r="W156" s="160"/>
      <c r="X156" s="160"/>
      <c r="Y156" s="160"/>
      <c r="Z156" s="158">
        <v>0</v>
      </c>
      <c r="AA156" s="158"/>
      <c r="AB156" s="158"/>
      <c r="AC156" s="158">
        <v>101</v>
      </c>
    </row>
    <row r="157" spans="1:29" x14ac:dyDescent="0.2">
      <c r="A157" s="138">
        <f t="shared" si="2"/>
        <v>153</v>
      </c>
      <c r="B157" s="156">
        <v>43789</v>
      </c>
      <c r="C157" s="157" t="s">
        <v>1008</v>
      </c>
      <c r="D157" s="158" t="s">
        <v>1302</v>
      </c>
      <c r="E157" s="158" t="s">
        <v>21</v>
      </c>
      <c r="F157" s="158" t="s">
        <v>24</v>
      </c>
      <c r="G157" s="158" t="s">
        <v>770</v>
      </c>
      <c r="H157" s="159"/>
      <c r="I157" s="158"/>
      <c r="J157" s="158">
        <v>0</v>
      </c>
      <c r="K157" s="158">
        <v>0</v>
      </c>
      <c r="L157" s="158">
        <v>0</v>
      </c>
      <c r="M157" s="158"/>
      <c r="N157" s="158">
        <v>0</v>
      </c>
      <c r="O157" s="158">
        <v>0</v>
      </c>
      <c r="P157" s="158">
        <v>0</v>
      </c>
      <c r="Q157" s="158"/>
      <c r="R157" s="158">
        <v>0</v>
      </c>
      <c r="S157" s="158" t="s">
        <v>23</v>
      </c>
      <c r="T157" s="160"/>
      <c r="U157" s="160"/>
      <c r="V157" s="160"/>
      <c r="W157" s="160"/>
      <c r="X157" s="160"/>
      <c r="Y157" s="160"/>
      <c r="Z157" s="158">
        <v>3</v>
      </c>
      <c r="AA157" s="158"/>
      <c r="AB157" s="158"/>
      <c r="AC157" s="158">
        <v>670</v>
      </c>
    </row>
    <row r="158" spans="1:29" x14ac:dyDescent="0.2">
      <c r="A158" s="138">
        <f t="shared" si="2"/>
        <v>154</v>
      </c>
      <c r="B158" s="156">
        <v>43790</v>
      </c>
      <c r="C158" s="157" t="s">
        <v>1377</v>
      </c>
      <c r="D158" s="158" t="s">
        <v>1378</v>
      </c>
      <c r="E158" s="158" t="s">
        <v>21</v>
      </c>
      <c r="F158" s="158" t="s">
        <v>24</v>
      </c>
      <c r="G158" s="158" t="s">
        <v>770</v>
      </c>
      <c r="H158" s="159">
        <v>43789</v>
      </c>
      <c r="I158" s="158" t="s">
        <v>744</v>
      </c>
      <c r="J158" s="158">
        <v>40</v>
      </c>
      <c r="K158" s="158">
        <v>32</v>
      </c>
      <c r="L158" s="158">
        <v>0</v>
      </c>
      <c r="M158" s="158" t="s">
        <v>6</v>
      </c>
      <c r="N158" s="158">
        <v>18</v>
      </c>
      <c r="O158" s="158">
        <v>18</v>
      </c>
      <c r="P158" s="158">
        <v>0</v>
      </c>
      <c r="Q158" s="158" t="s">
        <v>22</v>
      </c>
      <c r="R158" s="158">
        <v>2384.1129999999998</v>
      </c>
      <c r="S158" s="158" t="s">
        <v>142</v>
      </c>
      <c r="T158" s="167"/>
      <c r="U158" s="167"/>
      <c r="V158" s="167"/>
      <c r="W158" s="167"/>
      <c r="X158" s="167"/>
      <c r="Y158" s="167"/>
      <c r="Z158" s="158">
        <v>8</v>
      </c>
      <c r="AA158" s="158"/>
      <c r="AB158" s="158"/>
      <c r="AC158" s="158">
        <v>391.04</v>
      </c>
    </row>
    <row r="159" spans="1:29" x14ac:dyDescent="0.2">
      <c r="A159" s="138">
        <f t="shared" si="2"/>
        <v>155</v>
      </c>
      <c r="B159" s="156">
        <v>43790</v>
      </c>
      <c r="C159" s="157" t="s">
        <v>1369</v>
      </c>
      <c r="D159" s="158" t="s">
        <v>1370</v>
      </c>
      <c r="E159" s="158" t="s">
        <v>126</v>
      </c>
      <c r="F159" s="158" t="s">
        <v>127</v>
      </c>
      <c r="G159" s="158" t="s">
        <v>770</v>
      </c>
      <c r="H159" s="159">
        <v>43789</v>
      </c>
      <c r="I159" s="158" t="s">
        <v>744</v>
      </c>
      <c r="J159" s="158">
        <v>52</v>
      </c>
      <c r="K159" s="158">
        <v>39</v>
      </c>
      <c r="L159" s="158">
        <v>0</v>
      </c>
      <c r="M159" s="158" t="s">
        <v>6</v>
      </c>
      <c r="N159" s="158">
        <v>20</v>
      </c>
      <c r="O159" s="158">
        <v>18</v>
      </c>
      <c r="P159" s="158">
        <v>0</v>
      </c>
      <c r="Q159" s="158" t="s">
        <v>22</v>
      </c>
      <c r="R159" s="158">
        <v>1021.79</v>
      </c>
      <c r="S159" s="158" t="s">
        <v>142</v>
      </c>
      <c r="T159" s="167"/>
      <c r="U159" s="167"/>
      <c r="V159" s="167"/>
      <c r="W159" s="167"/>
      <c r="X159" s="167"/>
      <c r="Y159" s="167"/>
      <c r="Z159" s="158">
        <v>21.25</v>
      </c>
      <c r="AA159" s="158"/>
      <c r="AB159" s="158"/>
      <c r="AC159" s="158">
        <v>353.73</v>
      </c>
    </row>
    <row r="160" spans="1:29" x14ac:dyDescent="0.2">
      <c r="A160" s="138">
        <f t="shared" si="2"/>
        <v>156</v>
      </c>
      <c r="B160" s="156">
        <v>43790</v>
      </c>
      <c r="C160" s="157" t="s">
        <v>1365</v>
      </c>
      <c r="D160" s="158" t="s">
        <v>1366</v>
      </c>
      <c r="E160" s="158" t="s">
        <v>21</v>
      </c>
      <c r="F160" s="158" t="s">
        <v>24</v>
      </c>
      <c r="G160" s="158" t="s">
        <v>770</v>
      </c>
      <c r="H160" s="159">
        <v>43789</v>
      </c>
      <c r="I160" s="158" t="s">
        <v>744</v>
      </c>
      <c r="J160" s="158">
        <v>48</v>
      </c>
      <c r="K160" s="158">
        <v>32</v>
      </c>
      <c r="L160" s="158">
        <v>0</v>
      </c>
      <c r="M160" s="158" t="s">
        <v>6</v>
      </c>
      <c r="N160" s="158">
        <v>20</v>
      </c>
      <c r="O160" s="158">
        <v>18</v>
      </c>
      <c r="P160" s="158">
        <v>0</v>
      </c>
      <c r="Q160" s="158" t="s">
        <v>22</v>
      </c>
      <c r="R160" s="158">
        <v>1302.08</v>
      </c>
      <c r="S160" s="158" t="s">
        <v>142</v>
      </c>
      <c r="T160" s="160"/>
      <c r="U160" s="160"/>
      <c r="V160" s="160"/>
      <c r="W160" s="160"/>
      <c r="X160" s="160"/>
      <c r="Y160" s="160"/>
      <c r="Z160" s="158">
        <v>18.25</v>
      </c>
      <c r="AA160" s="158"/>
      <c r="AB160" s="158"/>
      <c r="AC160" s="158">
        <v>149.25</v>
      </c>
    </row>
    <row r="161" spans="1:29" x14ac:dyDescent="0.2">
      <c r="A161" s="138">
        <f t="shared" si="2"/>
        <v>157</v>
      </c>
      <c r="B161" s="156">
        <v>43790</v>
      </c>
      <c r="C161" s="157" t="s">
        <v>1367</v>
      </c>
      <c r="D161" s="158" t="s">
        <v>1368</v>
      </c>
      <c r="E161" s="158" t="s">
        <v>122</v>
      </c>
      <c r="F161" s="158" t="s">
        <v>144</v>
      </c>
      <c r="G161" s="158" t="s">
        <v>770</v>
      </c>
      <c r="H161" s="159">
        <v>43789</v>
      </c>
      <c r="I161" s="158" t="s">
        <v>744</v>
      </c>
      <c r="J161" s="158">
        <v>39</v>
      </c>
      <c r="K161" s="158">
        <v>28</v>
      </c>
      <c r="L161" s="158">
        <v>0</v>
      </c>
      <c r="M161" s="158" t="s">
        <v>6</v>
      </c>
      <c r="N161" s="158">
        <v>15.5</v>
      </c>
      <c r="O161" s="158">
        <v>15.5</v>
      </c>
      <c r="P161" s="158">
        <v>0</v>
      </c>
      <c r="Q161" s="158" t="s">
        <v>22</v>
      </c>
      <c r="R161" s="158">
        <v>2529.9499999999998</v>
      </c>
      <c r="S161" s="158" t="s">
        <v>142</v>
      </c>
      <c r="T161" s="160"/>
      <c r="U161" s="160"/>
      <c r="V161" s="160"/>
      <c r="W161" s="160"/>
      <c r="X161" s="160"/>
      <c r="Y161" s="160"/>
      <c r="Z161" s="158">
        <v>23.25</v>
      </c>
      <c r="AA161" s="158"/>
      <c r="AB161" s="158"/>
      <c r="AC161" s="158">
        <v>0</v>
      </c>
    </row>
    <row r="162" spans="1:29" x14ac:dyDescent="0.2">
      <c r="A162" s="138">
        <f t="shared" si="2"/>
        <v>158</v>
      </c>
      <c r="B162" s="156">
        <v>43790</v>
      </c>
      <c r="C162" s="157" t="s">
        <v>1371</v>
      </c>
      <c r="D162" s="158" t="s">
        <v>1372</v>
      </c>
      <c r="E162" s="158" t="s">
        <v>1283</v>
      </c>
      <c r="F162" s="158" t="s">
        <v>1297</v>
      </c>
      <c r="G162" s="158" t="s">
        <v>770</v>
      </c>
      <c r="H162" s="159">
        <v>43789</v>
      </c>
      <c r="I162" s="158"/>
      <c r="J162" s="158">
        <v>0</v>
      </c>
      <c r="K162" s="158">
        <v>0</v>
      </c>
      <c r="L162" s="158">
        <v>0</v>
      </c>
      <c r="M162" s="158"/>
      <c r="N162" s="158">
        <v>0</v>
      </c>
      <c r="O162" s="158">
        <v>0</v>
      </c>
      <c r="P162" s="158">
        <v>0</v>
      </c>
      <c r="Q162" s="158" t="s">
        <v>22</v>
      </c>
      <c r="R162" s="158">
        <v>411.04</v>
      </c>
      <c r="S162" s="158" t="s">
        <v>23</v>
      </c>
      <c r="T162" s="167"/>
      <c r="U162" s="167"/>
      <c r="V162" s="167"/>
      <c r="W162" s="167"/>
      <c r="X162" s="167"/>
      <c r="Y162" s="167"/>
      <c r="Z162" s="158">
        <v>12.3</v>
      </c>
      <c r="AA162" s="158"/>
      <c r="AB162" s="158"/>
      <c r="AC162" s="158">
        <v>29.85</v>
      </c>
    </row>
    <row r="163" spans="1:29" x14ac:dyDescent="0.2">
      <c r="A163" s="138">
        <f t="shared" si="2"/>
        <v>159</v>
      </c>
      <c r="B163" s="156">
        <v>43790</v>
      </c>
      <c r="C163" s="157" t="s">
        <v>1373</v>
      </c>
      <c r="D163" s="158" t="s">
        <v>1374</v>
      </c>
      <c r="E163" s="158" t="s">
        <v>126</v>
      </c>
      <c r="F163" s="158" t="s">
        <v>127</v>
      </c>
      <c r="G163" s="158" t="s">
        <v>770</v>
      </c>
      <c r="H163" s="159">
        <v>43789</v>
      </c>
      <c r="I163" s="158" t="s">
        <v>744</v>
      </c>
      <c r="J163" s="158">
        <v>40</v>
      </c>
      <c r="K163" s="158">
        <v>28</v>
      </c>
      <c r="L163" s="158">
        <v>0</v>
      </c>
      <c r="M163" s="158" t="s">
        <v>6</v>
      </c>
      <c r="N163" s="158">
        <v>20</v>
      </c>
      <c r="O163" s="158">
        <v>18</v>
      </c>
      <c r="P163" s="158">
        <v>0</v>
      </c>
      <c r="Q163" s="158" t="s">
        <v>22</v>
      </c>
      <c r="R163" s="158">
        <v>1393</v>
      </c>
      <c r="S163" s="158" t="s">
        <v>142</v>
      </c>
      <c r="T163" s="167"/>
      <c r="U163" s="167"/>
      <c r="V163" s="167"/>
      <c r="W163" s="167"/>
      <c r="X163" s="167"/>
      <c r="Y163" s="167"/>
      <c r="Z163" s="158">
        <v>21</v>
      </c>
      <c r="AA163" s="158"/>
      <c r="AB163" s="158"/>
      <c r="AC163" s="158">
        <v>283.58</v>
      </c>
    </row>
    <row r="164" spans="1:29" x14ac:dyDescent="0.2">
      <c r="A164" s="138">
        <f t="shared" si="2"/>
        <v>160</v>
      </c>
      <c r="B164" s="156">
        <v>43790</v>
      </c>
      <c r="C164" s="157" t="s">
        <v>1375</v>
      </c>
      <c r="D164" s="158" t="s">
        <v>1376</v>
      </c>
      <c r="E164" s="158" t="s">
        <v>126</v>
      </c>
      <c r="F164" s="158" t="s">
        <v>127</v>
      </c>
      <c r="G164" s="158" t="s">
        <v>770</v>
      </c>
      <c r="H164" s="159">
        <v>43789</v>
      </c>
      <c r="I164" s="158" t="s">
        <v>744</v>
      </c>
      <c r="J164" s="158">
        <v>54</v>
      </c>
      <c r="K164" s="158">
        <v>40</v>
      </c>
      <c r="L164" s="158">
        <v>0</v>
      </c>
      <c r="M164" s="158" t="s">
        <v>6</v>
      </c>
      <c r="N164" s="158">
        <v>20</v>
      </c>
      <c r="O164" s="158">
        <v>18</v>
      </c>
      <c r="P164" s="158">
        <v>0</v>
      </c>
      <c r="Q164" s="158" t="s">
        <v>22</v>
      </c>
      <c r="R164" s="158">
        <v>1967.76</v>
      </c>
      <c r="S164" s="158" t="s">
        <v>142</v>
      </c>
      <c r="T164" s="167"/>
      <c r="U164" s="167"/>
      <c r="V164" s="167"/>
      <c r="W164" s="167"/>
      <c r="X164" s="167"/>
      <c r="Y164" s="167"/>
      <c r="Z164" s="158">
        <v>20.25</v>
      </c>
      <c r="AA164" s="158"/>
      <c r="AB164" s="158"/>
      <c r="AC164" s="158">
        <v>470.149</v>
      </c>
    </row>
    <row r="165" spans="1:29" x14ac:dyDescent="0.2">
      <c r="A165" s="138">
        <f t="shared" si="2"/>
        <v>161</v>
      </c>
      <c r="B165" s="156">
        <v>43790</v>
      </c>
      <c r="C165" s="157" t="s">
        <v>1379</v>
      </c>
      <c r="D165" s="158" t="s">
        <v>1380</v>
      </c>
      <c r="E165" s="158" t="s">
        <v>126</v>
      </c>
      <c r="F165" s="158" t="s">
        <v>127</v>
      </c>
      <c r="G165" s="158" t="s">
        <v>770</v>
      </c>
      <c r="H165" s="159">
        <v>43789</v>
      </c>
      <c r="I165" s="158" t="s">
        <v>744</v>
      </c>
      <c r="J165" s="158">
        <v>69</v>
      </c>
      <c r="K165" s="158">
        <v>50</v>
      </c>
      <c r="L165" s="158">
        <v>0</v>
      </c>
      <c r="M165" s="158" t="s">
        <v>6</v>
      </c>
      <c r="N165" s="158">
        <v>20</v>
      </c>
      <c r="O165" s="158">
        <v>18</v>
      </c>
      <c r="P165" s="158">
        <v>0</v>
      </c>
      <c r="Q165" s="158" t="s">
        <v>22</v>
      </c>
      <c r="R165" s="158">
        <v>1600.298</v>
      </c>
      <c r="S165" s="158" t="s">
        <v>142</v>
      </c>
      <c r="T165" s="167"/>
      <c r="U165" s="167"/>
      <c r="V165" s="167"/>
      <c r="W165" s="167"/>
      <c r="X165" s="167"/>
      <c r="Y165" s="167"/>
      <c r="Z165" s="158">
        <v>18.25</v>
      </c>
      <c r="AA165" s="158"/>
      <c r="AB165" s="158"/>
      <c r="AC165" s="158">
        <v>179.1</v>
      </c>
    </row>
    <row r="166" spans="1:29" x14ac:dyDescent="0.2">
      <c r="A166" s="138">
        <f t="shared" si="2"/>
        <v>162</v>
      </c>
      <c r="B166" s="156">
        <v>43791</v>
      </c>
      <c r="C166" s="157" t="s">
        <v>1359</v>
      </c>
      <c r="D166" s="158" t="s">
        <v>1360</v>
      </c>
      <c r="E166" s="158" t="s">
        <v>178</v>
      </c>
      <c r="F166" s="158" t="s">
        <v>1361</v>
      </c>
      <c r="G166" s="158" t="s">
        <v>123</v>
      </c>
      <c r="H166" s="159">
        <v>43730</v>
      </c>
      <c r="I166" s="158"/>
      <c r="J166" s="158">
        <v>0</v>
      </c>
      <c r="K166" s="158">
        <v>0</v>
      </c>
      <c r="L166" s="158">
        <v>0</v>
      </c>
      <c r="M166" s="158"/>
      <c r="N166" s="158">
        <v>0</v>
      </c>
      <c r="O166" s="158">
        <v>0</v>
      </c>
      <c r="P166" s="158">
        <v>0</v>
      </c>
      <c r="Q166" s="158"/>
      <c r="R166" s="158">
        <v>0</v>
      </c>
      <c r="S166" s="158" t="s">
        <v>124</v>
      </c>
      <c r="T166" s="160"/>
      <c r="U166" s="160"/>
      <c r="V166" s="160"/>
      <c r="W166" s="160"/>
      <c r="X166" s="160"/>
      <c r="Y166" s="160"/>
      <c r="Z166" s="158">
        <v>0</v>
      </c>
      <c r="AA166" s="158" t="s">
        <v>22</v>
      </c>
      <c r="AB166" s="158"/>
      <c r="AC166" s="158">
        <v>45</v>
      </c>
    </row>
    <row r="167" spans="1:29" x14ac:dyDescent="0.2">
      <c r="A167" s="138">
        <f t="shared" si="2"/>
        <v>163</v>
      </c>
      <c r="B167" s="156">
        <v>43791</v>
      </c>
      <c r="C167" s="157" t="s">
        <v>1356</v>
      </c>
      <c r="D167" s="158" t="s">
        <v>1357</v>
      </c>
      <c r="E167" s="158" t="s">
        <v>126</v>
      </c>
      <c r="F167" s="158" t="s">
        <v>127</v>
      </c>
      <c r="G167" s="158" t="s">
        <v>770</v>
      </c>
      <c r="H167" s="159">
        <v>43789</v>
      </c>
      <c r="I167" s="159" t="s">
        <v>744</v>
      </c>
      <c r="J167" s="158">
        <v>0</v>
      </c>
      <c r="K167" s="158">
        <v>5</v>
      </c>
      <c r="L167" s="158">
        <v>0</v>
      </c>
      <c r="M167" s="158"/>
      <c r="N167" s="158">
        <v>0</v>
      </c>
      <c r="O167" s="158">
        <v>0</v>
      </c>
      <c r="P167" s="158">
        <v>0</v>
      </c>
      <c r="Q167" s="158"/>
      <c r="R167" s="158">
        <v>0</v>
      </c>
      <c r="S167" s="158" t="s">
        <v>124</v>
      </c>
      <c r="T167" s="167"/>
      <c r="U167" s="167"/>
      <c r="V167" s="167"/>
      <c r="W167" s="167"/>
      <c r="X167" s="167"/>
      <c r="Y167" s="167"/>
      <c r="Z167" s="158">
        <v>0</v>
      </c>
      <c r="AA167" s="158"/>
      <c r="AB167" s="158"/>
      <c r="AC167" s="158">
        <v>29.85</v>
      </c>
    </row>
    <row r="168" spans="1:29" x14ac:dyDescent="0.2">
      <c r="A168" s="138">
        <f t="shared" si="2"/>
        <v>164</v>
      </c>
      <c r="B168" s="156">
        <v>43791</v>
      </c>
      <c r="C168" s="157" t="s">
        <v>1387</v>
      </c>
      <c r="D168" s="158" t="s">
        <v>1388</v>
      </c>
      <c r="E168" s="158" t="s">
        <v>146</v>
      </c>
      <c r="F168" s="158" t="s">
        <v>1389</v>
      </c>
      <c r="G168" s="158" t="s">
        <v>123</v>
      </c>
      <c r="H168" s="159">
        <v>43788</v>
      </c>
      <c r="I168" s="158" t="s">
        <v>744</v>
      </c>
      <c r="J168" s="158">
        <v>9</v>
      </c>
      <c r="K168" s="158">
        <v>4</v>
      </c>
      <c r="L168" s="158">
        <v>0</v>
      </c>
      <c r="M168" s="158" t="s">
        <v>6</v>
      </c>
      <c r="N168" s="158">
        <v>4.5</v>
      </c>
      <c r="O168" s="158">
        <v>4.25</v>
      </c>
      <c r="P168" s="158">
        <v>0</v>
      </c>
      <c r="Q168" s="158" t="s">
        <v>22</v>
      </c>
      <c r="R168" s="158">
        <v>1419.67</v>
      </c>
      <c r="S168" s="158" t="s">
        <v>124</v>
      </c>
      <c r="T168" s="160"/>
      <c r="U168" s="160"/>
      <c r="V168" s="160"/>
      <c r="W168" s="160"/>
      <c r="X168" s="160"/>
      <c r="Y168" s="160"/>
      <c r="Z168" s="158">
        <v>0</v>
      </c>
      <c r="AA168" s="158"/>
      <c r="AB168" s="158"/>
      <c r="AC168" s="158">
        <v>0</v>
      </c>
    </row>
    <row r="169" spans="1:29" x14ac:dyDescent="0.2">
      <c r="A169" s="138">
        <f t="shared" si="2"/>
        <v>165</v>
      </c>
      <c r="B169" s="156">
        <v>43791</v>
      </c>
      <c r="C169" s="157" t="s">
        <v>1381</v>
      </c>
      <c r="D169" s="158" t="s">
        <v>1382</v>
      </c>
      <c r="E169" s="158" t="s">
        <v>126</v>
      </c>
      <c r="F169" s="158" t="s">
        <v>494</v>
      </c>
      <c r="G169" s="158" t="s">
        <v>123</v>
      </c>
      <c r="H169" s="159">
        <v>43790</v>
      </c>
      <c r="I169" s="158" t="s">
        <v>744</v>
      </c>
      <c r="J169" s="158">
        <v>5</v>
      </c>
      <c r="K169" s="158">
        <v>4</v>
      </c>
      <c r="L169" s="158">
        <v>0</v>
      </c>
      <c r="M169" s="158" t="s">
        <v>6</v>
      </c>
      <c r="N169" s="158">
        <v>2</v>
      </c>
      <c r="O169" s="158">
        <v>2</v>
      </c>
      <c r="P169" s="158">
        <v>0</v>
      </c>
      <c r="Q169" s="158" t="s">
        <v>22</v>
      </c>
      <c r="R169" s="158">
        <v>0</v>
      </c>
      <c r="S169" s="158" t="s">
        <v>124</v>
      </c>
      <c r="T169" s="167"/>
      <c r="U169" s="167"/>
      <c r="V169" s="167"/>
      <c r="W169" s="167"/>
      <c r="X169" s="167"/>
      <c r="Y169" s="167"/>
      <c r="Z169" s="158">
        <v>1</v>
      </c>
      <c r="AA169" s="158"/>
      <c r="AB169" s="158"/>
      <c r="AC169" s="158">
        <v>65</v>
      </c>
    </row>
    <row r="170" spans="1:29" x14ac:dyDescent="0.2">
      <c r="A170" s="138">
        <f t="shared" si="2"/>
        <v>166</v>
      </c>
      <c r="B170" s="156">
        <v>43791</v>
      </c>
      <c r="C170" s="157" t="s">
        <v>1383</v>
      </c>
      <c r="D170" s="158" t="s">
        <v>1384</v>
      </c>
      <c r="E170" s="158" t="s">
        <v>1283</v>
      </c>
      <c r="F170" s="158" t="s">
        <v>1297</v>
      </c>
      <c r="G170" s="158" t="s">
        <v>770</v>
      </c>
      <c r="H170" s="159">
        <v>43789</v>
      </c>
      <c r="I170" s="158" t="s">
        <v>744</v>
      </c>
      <c r="J170" s="158">
        <v>44</v>
      </c>
      <c r="K170" s="158">
        <v>32</v>
      </c>
      <c r="L170" s="158">
        <v>0</v>
      </c>
      <c r="M170" s="158" t="s">
        <v>6</v>
      </c>
      <c r="N170" s="158">
        <v>21</v>
      </c>
      <c r="O170" s="158">
        <v>18</v>
      </c>
      <c r="P170" s="158">
        <v>0</v>
      </c>
      <c r="Q170" s="158" t="s">
        <v>22</v>
      </c>
      <c r="R170" s="158">
        <v>1894.925</v>
      </c>
      <c r="S170" s="158" t="s">
        <v>142</v>
      </c>
      <c r="T170" s="167"/>
      <c r="U170" s="167"/>
      <c r="V170" s="167"/>
      <c r="W170" s="167"/>
      <c r="X170" s="167"/>
      <c r="Y170" s="167"/>
      <c r="Z170" s="158">
        <v>23.25</v>
      </c>
      <c r="AA170" s="158"/>
      <c r="AB170" s="158"/>
      <c r="AC170" s="158">
        <v>352.238</v>
      </c>
    </row>
    <row r="171" spans="1:29" x14ac:dyDescent="0.2">
      <c r="A171" s="138">
        <f t="shared" si="2"/>
        <v>167</v>
      </c>
      <c r="B171" s="212">
        <v>43791</v>
      </c>
      <c r="C171" s="213" t="s">
        <v>1385</v>
      </c>
      <c r="D171" s="214" t="s">
        <v>1386</v>
      </c>
      <c r="E171" s="214" t="s">
        <v>1283</v>
      </c>
      <c r="F171" s="214" t="s">
        <v>1297</v>
      </c>
      <c r="G171" s="214" t="s">
        <v>770</v>
      </c>
      <c r="H171" s="215">
        <v>43789</v>
      </c>
      <c r="I171" s="214" t="s">
        <v>744</v>
      </c>
      <c r="J171" s="214">
        <v>51</v>
      </c>
      <c r="K171" s="214">
        <v>32</v>
      </c>
      <c r="L171" s="158">
        <v>0</v>
      </c>
      <c r="M171" s="214" t="s">
        <v>6</v>
      </c>
      <c r="N171" s="214">
        <v>20</v>
      </c>
      <c r="O171" s="214">
        <v>19.5</v>
      </c>
      <c r="P171" s="158">
        <v>0</v>
      </c>
      <c r="Q171" s="214" t="s">
        <v>22</v>
      </c>
      <c r="R171" s="214">
        <v>2602.9850000000001</v>
      </c>
      <c r="S171" s="214" t="s">
        <v>142</v>
      </c>
      <c r="T171" s="216"/>
      <c r="U171" s="216"/>
      <c r="V171" s="216"/>
      <c r="W171" s="216"/>
      <c r="X171" s="216"/>
      <c r="Y171" s="216"/>
      <c r="Z171" s="217">
        <v>28.25</v>
      </c>
      <c r="AA171" s="214"/>
      <c r="AB171" s="214"/>
      <c r="AC171" s="214">
        <v>411.94</v>
      </c>
    </row>
    <row r="172" spans="1:29" x14ac:dyDescent="0.2">
      <c r="A172" s="138">
        <f t="shared" si="2"/>
        <v>168</v>
      </c>
      <c r="B172" s="156">
        <v>43792</v>
      </c>
      <c r="C172" s="157" t="s">
        <v>1390</v>
      </c>
      <c r="D172" s="158" t="s">
        <v>1391</v>
      </c>
      <c r="E172" s="158" t="s">
        <v>126</v>
      </c>
      <c r="F172" s="158" t="s">
        <v>127</v>
      </c>
      <c r="G172" s="158" t="s">
        <v>770</v>
      </c>
      <c r="H172" s="159">
        <v>43791</v>
      </c>
      <c r="I172" s="158" t="s">
        <v>744</v>
      </c>
      <c r="J172" s="158">
        <v>73.75</v>
      </c>
      <c r="K172" s="158">
        <v>48</v>
      </c>
      <c r="L172" s="158">
        <v>0</v>
      </c>
      <c r="M172" s="158" t="s">
        <v>6</v>
      </c>
      <c r="N172" s="158">
        <v>21</v>
      </c>
      <c r="O172" s="158">
        <v>19.5</v>
      </c>
      <c r="P172" s="158">
        <v>0</v>
      </c>
      <c r="Q172" s="158" t="s">
        <v>22</v>
      </c>
      <c r="R172" s="158">
        <v>277.61</v>
      </c>
      <c r="S172" s="158" t="s">
        <v>142</v>
      </c>
      <c r="T172" s="160"/>
      <c r="U172" s="160"/>
      <c r="V172" s="160"/>
      <c r="W172" s="160"/>
      <c r="X172" s="160"/>
      <c r="Y172" s="160"/>
      <c r="Z172" s="158">
        <v>23.25</v>
      </c>
      <c r="AA172" s="158"/>
      <c r="AB172" s="158"/>
      <c r="AC172" s="158">
        <v>0</v>
      </c>
    </row>
    <row r="173" spans="1:29" x14ac:dyDescent="0.2">
      <c r="A173" s="138">
        <f t="shared" si="2"/>
        <v>169</v>
      </c>
      <c r="B173" s="156">
        <v>43792</v>
      </c>
      <c r="C173" s="157" t="s">
        <v>1392</v>
      </c>
      <c r="D173" s="158" t="s">
        <v>1393</v>
      </c>
      <c r="E173" s="158" t="s">
        <v>126</v>
      </c>
      <c r="F173" s="158" t="s">
        <v>127</v>
      </c>
      <c r="G173" s="158" t="s">
        <v>770</v>
      </c>
      <c r="H173" s="159">
        <v>43791</v>
      </c>
      <c r="I173" s="158" t="s">
        <v>744</v>
      </c>
      <c r="J173" s="158">
        <v>46</v>
      </c>
      <c r="K173" s="158">
        <v>36</v>
      </c>
      <c r="L173" s="158">
        <v>0</v>
      </c>
      <c r="M173" s="158" t="s">
        <v>6</v>
      </c>
      <c r="N173" s="158">
        <v>20</v>
      </c>
      <c r="O173" s="158">
        <v>18</v>
      </c>
      <c r="P173" s="158">
        <v>0</v>
      </c>
      <c r="Q173" s="158" t="s">
        <v>22</v>
      </c>
      <c r="R173" s="158">
        <v>1055.22</v>
      </c>
      <c r="S173" s="158" t="s">
        <v>142</v>
      </c>
      <c r="T173" s="160"/>
      <c r="U173" s="160"/>
      <c r="V173" s="160"/>
      <c r="W173" s="160"/>
      <c r="X173" s="160"/>
      <c r="Y173" s="160"/>
      <c r="Z173" s="158">
        <v>23.25</v>
      </c>
      <c r="AA173" s="158"/>
      <c r="AB173" s="158"/>
      <c r="AC173" s="158">
        <v>226.86500000000001</v>
      </c>
    </row>
    <row r="174" spans="1:29" x14ac:dyDescent="0.2">
      <c r="A174" s="138">
        <f t="shared" si="2"/>
        <v>170</v>
      </c>
      <c r="B174" s="156">
        <v>43792</v>
      </c>
      <c r="C174" s="157" t="s">
        <v>1394</v>
      </c>
      <c r="D174" s="158" t="s">
        <v>1395</v>
      </c>
      <c r="E174" s="158" t="s">
        <v>126</v>
      </c>
      <c r="F174" s="158" t="s">
        <v>127</v>
      </c>
      <c r="G174" s="158" t="s">
        <v>770</v>
      </c>
      <c r="H174" s="159">
        <v>43791</v>
      </c>
      <c r="I174" s="158" t="s">
        <v>744</v>
      </c>
      <c r="J174" s="158">
        <v>62</v>
      </c>
      <c r="K174" s="158">
        <v>48</v>
      </c>
      <c r="L174" s="158">
        <v>0</v>
      </c>
      <c r="M174" s="158" t="s">
        <v>6</v>
      </c>
      <c r="N174" s="158">
        <v>20</v>
      </c>
      <c r="O174" s="158">
        <v>18</v>
      </c>
      <c r="P174" s="158">
        <v>0</v>
      </c>
      <c r="Q174" s="158" t="s">
        <v>22</v>
      </c>
      <c r="R174" s="158">
        <v>1628.6559999999999</v>
      </c>
      <c r="S174" s="158" t="s">
        <v>142</v>
      </c>
      <c r="T174" s="160"/>
      <c r="U174" s="160"/>
      <c r="V174" s="160"/>
      <c r="W174" s="160"/>
      <c r="X174" s="160"/>
      <c r="Y174" s="160"/>
      <c r="Z174" s="158">
        <v>29.25</v>
      </c>
      <c r="AA174" s="158"/>
      <c r="AB174" s="158"/>
      <c r="AC174" s="158">
        <v>0</v>
      </c>
    </row>
    <row r="175" spans="1:29" x14ac:dyDescent="0.2">
      <c r="A175" s="138">
        <f t="shared" si="2"/>
        <v>171</v>
      </c>
      <c r="B175" s="156">
        <v>43794</v>
      </c>
      <c r="C175" s="157" t="s">
        <v>1396</v>
      </c>
      <c r="D175" s="158" t="s">
        <v>1397</v>
      </c>
      <c r="E175" s="158" t="s">
        <v>156</v>
      </c>
      <c r="F175" s="158" t="s">
        <v>1398</v>
      </c>
      <c r="G175" s="158" t="s">
        <v>123</v>
      </c>
      <c r="H175" s="159">
        <v>43752</v>
      </c>
      <c r="I175" s="158" t="s">
        <v>744</v>
      </c>
      <c r="J175" s="158">
        <v>6</v>
      </c>
      <c r="K175" s="158">
        <v>4</v>
      </c>
      <c r="L175" s="158">
        <v>0</v>
      </c>
      <c r="M175" s="158"/>
      <c r="N175" s="158">
        <v>0</v>
      </c>
      <c r="O175" s="158">
        <v>0</v>
      </c>
      <c r="P175" s="158">
        <v>0</v>
      </c>
      <c r="Q175" s="158"/>
      <c r="R175" s="158">
        <v>0</v>
      </c>
      <c r="S175" s="158" t="s">
        <v>124</v>
      </c>
      <c r="T175" s="160"/>
      <c r="U175" s="160"/>
      <c r="V175" s="160"/>
      <c r="W175" s="160"/>
      <c r="X175" s="160"/>
      <c r="Y175" s="160"/>
      <c r="Z175" s="158">
        <v>2</v>
      </c>
      <c r="AA175" s="158"/>
      <c r="AB175" s="158"/>
      <c r="AC175" s="158">
        <v>135</v>
      </c>
    </row>
    <row r="176" spans="1:29" x14ac:dyDescent="0.2">
      <c r="A176" s="138">
        <f t="shared" si="2"/>
        <v>172</v>
      </c>
      <c r="B176" s="156">
        <v>43794</v>
      </c>
      <c r="C176" s="157" t="s">
        <v>1363</v>
      </c>
      <c r="D176" s="158" t="s">
        <v>1364</v>
      </c>
      <c r="E176" s="158" t="s">
        <v>21</v>
      </c>
      <c r="F176" s="158" t="s">
        <v>171</v>
      </c>
      <c r="G176" s="158" t="s">
        <v>123</v>
      </c>
      <c r="H176" s="159">
        <v>43791</v>
      </c>
      <c r="I176" s="158" t="s">
        <v>744</v>
      </c>
      <c r="J176" s="158">
        <v>0</v>
      </c>
      <c r="K176" s="158">
        <v>0</v>
      </c>
      <c r="L176" s="158">
        <v>0</v>
      </c>
      <c r="M176" s="158"/>
      <c r="N176" s="158">
        <v>0</v>
      </c>
      <c r="O176" s="158">
        <v>0</v>
      </c>
      <c r="P176" s="158">
        <v>0</v>
      </c>
      <c r="Q176" s="158"/>
      <c r="R176" s="158">
        <v>0</v>
      </c>
      <c r="S176" s="158" t="s">
        <v>23</v>
      </c>
      <c r="T176" s="160"/>
      <c r="U176" s="160"/>
      <c r="V176" s="160"/>
      <c r="W176" s="160"/>
      <c r="X176" s="160"/>
      <c r="Y176" s="160"/>
      <c r="Z176" s="158">
        <v>0</v>
      </c>
      <c r="AA176" s="158" t="s">
        <v>22</v>
      </c>
      <c r="AB176" s="158"/>
      <c r="AC176" s="158">
        <v>40</v>
      </c>
    </row>
    <row r="177" spans="1:29" x14ac:dyDescent="0.2">
      <c r="A177" s="138">
        <f t="shared" si="2"/>
        <v>173</v>
      </c>
      <c r="B177" s="156">
        <v>43794</v>
      </c>
      <c r="C177" s="157" t="s">
        <v>1402</v>
      </c>
      <c r="D177" s="158" t="s">
        <v>1403</v>
      </c>
      <c r="E177" s="158" t="s">
        <v>146</v>
      </c>
      <c r="F177" s="158" t="s">
        <v>147</v>
      </c>
      <c r="G177" s="158" t="s">
        <v>123</v>
      </c>
      <c r="H177" s="159">
        <v>43791</v>
      </c>
      <c r="I177" s="158"/>
      <c r="J177" s="158">
        <v>0</v>
      </c>
      <c r="K177" s="158">
        <v>0</v>
      </c>
      <c r="L177" s="158">
        <v>0</v>
      </c>
      <c r="M177" s="158"/>
      <c r="N177" s="158">
        <v>0</v>
      </c>
      <c r="O177" s="158">
        <v>0</v>
      </c>
      <c r="P177" s="158">
        <v>0</v>
      </c>
      <c r="Q177" s="158"/>
      <c r="R177" s="158">
        <v>0</v>
      </c>
      <c r="S177" s="158" t="s">
        <v>124</v>
      </c>
      <c r="T177" s="160"/>
      <c r="U177" s="160"/>
      <c r="V177" s="160"/>
      <c r="W177" s="160"/>
      <c r="X177" s="160"/>
      <c r="Y177" s="160"/>
      <c r="Z177" s="158">
        <v>0</v>
      </c>
      <c r="AA177" s="158"/>
      <c r="AB177" s="158"/>
      <c r="AC177" s="158">
        <v>0</v>
      </c>
    </row>
    <row r="178" spans="1:29" x14ac:dyDescent="0.2">
      <c r="A178" s="138">
        <f t="shared" si="2"/>
        <v>174</v>
      </c>
      <c r="B178" s="156">
        <v>43794</v>
      </c>
      <c r="C178" s="157" t="s">
        <v>1399</v>
      </c>
      <c r="D178" s="158" t="s">
        <v>1400</v>
      </c>
      <c r="E178" s="158" t="s">
        <v>21</v>
      </c>
      <c r="F178" s="158" t="s">
        <v>1401</v>
      </c>
      <c r="G178" s="158" t="s">
        <v>121</v>
      </c>
      <c r="H178" s="159">
        <v>43794</v>
      </c>
      <c r="I178" s="158"/>
      <c r="J178" s="158">
        <v>0</v>
      </c>
      <c r="K178" s="158">
        <v>0</v>
      </c>
      <c r="L178" s="158">
        <v>0</v>
      </c>
      <c r="M178" s="158"/>
      <c r="N178" s="158">
        <v>0</v>
      </c>
      <c r="O178" s="158">
        <v>0</v>
      </c>
      <c r="P178" s="158">
        <v>0</v>
      </c>
      <c r="Q178" s="158"/>
      <c r="R178" s="158">
        <v>0</v>
      </c>
      <c r="S178" s="158" t="s">
        <v>447</v>
      </c>
      <c r="T178" s="160"/>
      <c r="U178" s="160"/>
      <c r="V178" s="160"/>
      <c r="W178" s="160"/>
      <c r="X178" s="160"/>
      <c r="Y178" s="160"/>
      <c r="Z178" s="158">
        <v>2.67</v>
      </c>
      <c r="AA178" s="158"/>
      <c r="AB178" s="158"/>
      <c r="AC178" s="158">
        <v>0</v>
      </c>
    </row>
    <row r="179" spans="1:29" x14ac:dyDescent="0.2">
      <c r="A179" s="138">
        <f t="shared" si="2"/>
        <v>175</v>
      </c>
      <c r="B179" s="156">
        <v>43795</v>
      </c>
      <c r="C179" s="157" t="s">
        <v>1409</v>
      </c>
      <c r="D179" s="158" t="s">
        <v>1410</v>
      </c>
      <c r="E179" s="158" t="s">
        <v>178</v>
      </c>
      <c r="F179" s="158" t="s">
        <v>1411</v>
      </c>
      <c r="G179" s="158" t="s">
        <v>123</v>
      </c>
      <c r="H179" s="159">
        <v>43780</v>
      </c>
      <c r="I179" s="158" t="s">
        <v>744</v>
      </c>
      <c r="J179" s="158">
        <v>12</v>
      </c>
      <c r="K179" s="158">
        <v>8</v>
      </c>
      <c r="L179" s="158">
        <v>0</v>
      </c>
      <c r="M179" s="158" t="s">
        <v>6</v>
      </c>
      <c r="N179" s="158">
        <v>5</v>
      </c>
      <c r="O179" s="158">
        <v>5</v>
      </c>
      <c r="P179" s="158">
        <v>0</v>
      </c>
      <c r="Q179" s="158" t="s">
        <v>22</v>
      </c>
      <c r="R179" s="158">
        <v>1063.6400000000001</v>
      </c>
      <c r="S179" s="158" t="s">
        <v>124</v>
      </c>
      <c r="T179" s="167"/>
      <c r="U179" s="167"/>
      <c r="V179" s="167"/>
      <c r="W179" s="167"/>
      <c r="X179" s="167"/>
      <c r="Y179" s="167"/>
      <c r="Z179" s="158">
        <v>0</v>
      </c>
      <c r="AA179" s="158"/>
      <c r="AB179" s="158"/>
      <c r="AC179" s="158">
        <v>50</v>
      </c>
    </row>
    <row r="180" spans="1:29" x14ac:dyDescent="0.2">
      <c r="A180" s="138">
        <f t="shared" si="2"/>
        <v>176</v>
      </c>
      <c r="B180" s="156">
        <v>43795</v>
      </c>
      <c r="C180" s="157" t="s">
        <v>1404</v>
      </c>
      <c r="D180" s="158" t="s">
        <v>1405</v>
      </c>
      <c r="E180" s="158" t="s">
        <v>130</v>
      </c>
      <c r="F180" s="158" t="s">
        <v>140</v>
      </c>
      <c r="G180" s="158" t="s">
        <v>123</v>
      </c>
      <c r="H180" s="159">
        <v>43791</v>
      </c>
      <c r="I180" s="158" t="s">
        <v>744</v>
      </c>
      <c r="J180" s="158">
        <v>20</v>
      </c>
      <c r="K180" s="158">
        <v>14</v>
      </c>
      <c r="L180" s="158">
        <v>0</v>
      </c>
      <c r="M180" s="158" t="s">
        <v>6</v>
      </c>
      <c r="N180" s="158">
        <v>5</v>
      </c>
      <c r="O180" s="158">
        <v>5</v>
      </c>
      <c r="P180" s="158">
        <v>0</v>
      </c>
      <c r="Q180" s="158" t="s">
        <v>22</v>
      </c>
      <c r="R180" s="158">
        <v>1643.62</v>
      </c>
      <c r="S180" s="158" t="s">
        <v>23</v>
      </c>
      <c r="T180" s="160"/>
      <c r="U180" s="160"/>
      <c r="V180" s="160"/>
      <c r="W180" s="160"/>
      <c r="X180" s="160"/>
      <c r="Y180" s="160"/>
      <c r="Z180" s="158">
        <v>0</v>
      </c>
      <c r="AA180" s="158"/>
      <c r="AB180" s="158"/>
      <c r="AC180" s="158">
        <v>105</v>
      </c>
    </row>
    <row r="181" spans="1:29" x14ac:dyDescent="0.2">
      <c r="A181" s="138">
        <f t="shared" si="2"/>
        <v>177</v>
      </c>
      <c r="B181" s="156">
        <v>43795</v>
      </c>
      <c r="C181" s="157" t="s">
        <v>1406</v>
      </c>
      <c r="D181" s="158" t="s">
        <v>1407</v>
      </c>
      <c r="E181" s="158" t="s">
        <v>21</v>
      </c>
      <c r="F181" s="158" t="s">
        <v>131</v>
      </c>
      <c r="G181" s="158" t="s">
        <v>123</v>
      </c>
      <c r="H181" s="159">
        <v>43791</v>
      </c>
      <c r="I181" s="158" t="s">
        <v>744</v>
      </c>
      <c r="J181" s="158">
        <v>19.5</v>
      </c>
      <c r="K181" s="158">
        <v>13</v>
      </c>
      <c r="L181" s="158">
        <v>0</v>
      </c>
      <c r="M181" s="158" t="s">
        <v>6</v>
      </c>
      <c r="N181" s="158">
        <v>5.5</v>
      </c>
      <c r="O181" s="158">
        <v>5.5</v>
      </c>
      <c r="P181" s="158">
        <v>0</v>
      </c>
      <c r="Q181" s="158" t="s">
        <v>22</v>
      </c>
      <c r="R181" s="158">
        <v>308</v>
      </c>
      <c r="S181" s="158" t="s">
        <v>23</v>
      </c>
      <c r="T181" s="160"/>
      <c r="U181" s="160"/>
      <c r="V181" s="160"/>
      <c r="W181" s="160"/>
      <c r="X181" s="160"/>
      <c r="Y181" s="160"/>
      <c r="Z181" s="158">
        <v>0</v>
      </c>
      <c r="AA181" s="158"/>
      <c r="AB181" s="158"/>
      <c r="AC181" s="158">
        <v>30</v>
      </c>
    </row>
    <row r="182" spans="1:29" x14ac:dyDescent="0.2">
      <c r="A182" s="138">
        <f t="shared" si="2"/>
        <v>178</v>
      </c>
      <c r="B182" s="156">
        <v>43795</v>
      </c>
      <c r="C182" s="157" t="s">
        <v>1408</v>
      </c>
      <c r="D182" s="165" t="s">
        <v>1407</v>
      </c>
      <c r="E182" s="165" t="s">
        <v>21</v>
      </c>
      <c r="F182" s="165" t="s">
        <v>131</v>
      </c>
      <c r="G182" s="165" t="s">
        <v>121</v>
      </c>
      <c r="H182" s="166">
        <v>43795</v>
      </c>
      <c r="I182" s="165" t="s">
        <v>744</v>
      </c>
      <c r="J182" s="165">
        <v>0</v>
      </c>
      <c r="K182" s="165">
        <v>0</v>
      </c>
      <c r="L182" s="158">
        <v>0</v>
      </c>
      <c r="M182" s="165" t="s">
        <v>6</v>
      </c>
      <c r="N182" s="165">
        <v>0.5</v>
      </c>
      <c r="O182" s="165">
        <v>0.25</v>
      </c>
      <c r="P182" s="158">
        <v>0</v>
      </c>
      <c r="Q182" s="165"/>
      <c r="R182" s="165">
        <v>0</v>
      </c>
      <c r="S182" s="165" t="s">
        <v>124</v>
      </c>
      <c r="T182" s="223"/>
      <c r="U182" s="223"/>
      <c r="V182" s="223"/>
      <c r="W182" s="223"/>
      <c r="X182" s="223"/>
      <c r="Y182" s="223"/>
      <c r="Z182" s="158">
        <v>0</v>
      </c>
      <c r="AA182" s="165"/>
      <c r="AB182" s="165"/>
      <c r="AC182" s="165">
        <v>25</v>
      </c>
    </row>
    <row r="183" spans="1:29" x14ac:dyDescent="0.2">
      <c r="A183" s="138">
        <f t="shared" si="2"/>
        <v>179</v>
      </c>
      <c r="B183" s="156">
        <v>43796</v>
      </c>
      <c r="C183" s="157" t="s">
        <v>1412</v>
      </c>
      <c r="D183" s="158" t="s">
        <v>1413</v>
      </c>
      <c r="E183" s="158" t="s">
        <v>187</v>
      </c>
      <c r="F183" s="158" t="s">
        <v>1324</v>
      </c>
      <c r="G183" s="158" t="s">
        <v>121</v>
      </c>
      <c r="H183" s="159">
        <v>43797</v>
      </c>
      <c r="I183" s="158" t="s">
        <v>744</v>
      </c>
      <c r="J183" s="158">
        <v>12.5</v>
      </c>
      <c r="K183" s="158">
        <v>8</v>
      </c>
      <c r="L183" s="158">
        <v>0</v>
      </c>
      <c r="M183" s="158" t="s">
        <v>6</v>
      </c>
      <c r="N183" s="158">
        <v>2.25</v>
      </c>
      <c r="O183" s="158">
        <v>2.25</v>
      </c>
      <c r="P183" s="158">
        <v>0</v>
      </c>
      <c r="Q183" s="158"/>
      <c r="R183" s="158">
        <v>0</v>
      </c>
      <c r="S183" s="158" t="s">
        <v>124</v>
      </c>
      <c r="T183" s="167"/>
      <c r="U183" s="167"/>
      <c r="V183" s="167"/>
      <c r="W183" s="167"/>
      <c r="X183" s="167"/>
      <c r="Y183" s="167"/>
      <c r="Z183" s="158">
        <v>0</v>
      </c>
      <c r="AA183" s="158"/>
      <c r="AB183" s="158"/>
      <c r="AC183" s="158">
        <v>60</v>
      </c>
    </row>
    <row r="184" spans="1:29" x14ac:dyDescent="0.2">
      <c r="A184" s="138">
        <f t="shared" si="2"/>
        <v>180</v>
      </c>
      <c r="B184" s="156">
        <v>43796</v>
      </c>
      <c r="C184" s="157" t="s">
        <v>1414</v>
      </c>
      <c r="D184" s="158" t="s">
        <v>1415</v>
      </c>
      <c r="E184" s="158" t="s">
        <v>21</v>
      </c>
      <c r="F184" s="158" t="s">
        <v>24</v>
      </c>
      <c r="G184" s="158" t="s">
        <v>123</v>
      </c>
      <c r="H184" s="159">
        <v>43795</v>
      </c>
      <c r="I184" s="158" t="s">
        <v>744</v>
      </c>
      <c r="J184" s="158">
        <v>3.5</v>
      </c>
      <c r="K184" s="158">
        <v>2</v>
      </c>
      <c r="L184" s="158">
        <v>0</v>
      </c>
      <c r="M184" s="158" t="s">
        <v>6</v>
      </c>
      <c r="N184" s="158">
        <v>2</v>
      </c>
      <c r="O184" s="158">
        <v>2</v>
      </c>
      <c r="P184" s="158">
        <v>0</v>
      </c>
      <c r="Q184" s="158"/>
      <c r="R184" s="158">
        <v>0</v>
      </c>
      <c r="S184" s="158" t="s">
        <v>124</v>
      </c>
      <c r="T184" s="167"/>
      <c r="U184" s="167"/>
      <c r="V184" s="167"/>
      <c r="W184" s="167"/>
      <c r="X184" s="167"/>
      <c r="Y184" s="167"/>
      <c r="Z184" s="158">
        <v>0</v>
      </c>
      <c r="AA184" s="158"/>
      <c r="AB184" s="158"/>
      <c r="AC184" s="158">
        <v>30</v>
      </c>
    </row>
    <row r="185" spans="1:29" x14ac:dyDescent="0.2">
      <c r="A185" s="138">
        <f t="shared" si="2"/>
        <v>181</v>
      </c>
      <c r="B185" s="156">
        <v>43796</v>
      </c>
      <c r="C185" s="157" t="s">
        <v>1416</v>
      </c>
      <c r="D185" s="161" t="s">
        <v>1415</v>
      </c>
      <c r="E185" s="161" t="s">
        <v>21</v>
      </c>
      <c r="F185" s="161" t="s">
        <v>24</v>
      </c>
      <c r="G185" s="161" t="s">
        <v>121</v>
      </c>
      <c r="H185" s="162">
        <v>43797</v>
      </c>
      <c r="I185" s="161" t="s">
        <v>744</v>
      </c>
      <c r="J185" s="158">
        <v>4.5</v>
      </c>
      <c r="K185" s="158">
        <v>2</v>
      </c>
      <c r="L185" s="158">
        <v>0</v>
      </c>
      <c r="M185" s="161" t="s">
        <v>6</v>
      </c>
      <c r="N185" s="158">
        <v>2</v>
      </c>
      <c r="O185" s="158">
        <v>2</v>
      </c>
      <c r="P185" s="158">
        <v>0</v>
      </c>
      <c r="Q185" s="161"/>
      <c r="R185" s="158">
        <v>0</v>
      </c>
      <c r="S185" s="161" t="s">
        <v>124</v>
      </c>
      <c r="T185" s="168"/>
      <c r="U185" s="168"/>
      <c r="V185" s="168"/>
      <c r="W185" s="168"/>
      <c r="X185" s="168"/>
      <c r="Y185" s="168"/>
      <c r="Z185" s="158">
        <v>0</v>
      </c>
      <c r="AA185" s="161"/>
      <c r="AB185" s="161"/>
      <c r="AC185" s="158">
        <v>0</v>
      </c>
    </row>
    <row r="186" spans="1:29" x14ac:dyDescent="0.2">
      <c r="A186" s="138">
        <f t="shared" si="2"/>
        <v>182</v>
      </c>
      <c r="B186" s="156">
        <v>43798</v>
      </c>
      <c r="C186" s="169" t="s">
        <v>1417</v>
      </c>
      <c r="D186" s="158" t="s">
        <v>1418</v>
      </c>
      <c r="E186" s="158" t="s">
        <v>154</v>
      </c>
      <c r="F186" s="158" t="s">
        <v>155</v>
      </c>
      <c r="G186" s="158" t="s">
        <v>123</v>
      </c>
      <c r="H186" s="159">
        <v>43798</v>
      </c>
      <c r="I186" s="158" t="s">
        <v>744</v>
      </c>
      <c r="J186" s="158">
        <v>2</v>
      </c>
      <c r="K186" s="158">
        <v>1</v>
      </c>
      <c r="L186" s="158">
        <v>0</v>
      </c>
      <c r="M186" s="158" t="s">
        <v>6</v>
      </c>
      <c r="N186" s="158">
        <v>1</v>
      </c>
      <c r="O186" s="158">
        <v>1</v>
      </c>
      <c r="P186" s="158">
        <v>0</v>
      </c>
      <c r="Q186" s="158"/>
      <c r="R186" s="158">
        <v>0</v>
      </c>
      <c r="S186" s="158" t="s">
        <v>124</v>
      </c>
      <c r="T186" s="167"/>
      <c r="U186" s="167"/>
      <c r="V186" s="167"/>
      <c r="W186" s="167"/>
      <c r="X186" s="167"/>
      <c r="Y186" s="167"/>
      <c r="Z186" s="158">
        <v>0</v>
      </c>
      <c r="AA186" s="158"/>
      <c r="AB186" s="158"/>
      <c r="AC186" s="158">
        <v>30</v>
      </c>
    </row>
    <row r="187" spans="1:29" x14ac:dyDescent="0.2">
      <c r="A187" s="138">
        <f t="shared" si="2"/>
        <v>183</v>
      </c>
      <c r="B187" s="156">
        <v>43799</v>
      </c>
      <c r="C187" s="169" t="s">
        <v>1419</v>
      </c>
      <c r="D187" s="158" t="s">
        <v>1344</v>
      </c>
      <c r="E187" s="158" t="s">
        <v>21</v>
      </c>
      <c r="F187" s="158" t="s">
        <v>24</v>
      </c>
      <c r="G187" s="158" t="s">
        <v>121</v>
      </c>
      <c r="H187" s="159">
        <v>43799</v>
      </c>
      <c r="I187" s="158"/>
      <c r="J187" s="158">
        <v>0</v>
      </c>
      <c r="K187" s="158">
        <v>0</v>
      </c>
      <c r="L187" s="158">
        <v>0</v>
      </c>
      <c r="M187" s="158"/>
      <c r="N187" s="158">
        <v>0</v>
      </c>
      <c r="O187" s="158">
        <v>0</v>
      </c>
      <c r="P187" s="158">
        <v>0</v>
      </c>
      <c r="Q187" s="158"/>
      <c r="R187" s="158">
        <v>0</v>
      </c>
      <c r="S187" s="158" t="s">
        <v>447</v>
      </c>
      <c r="T187" s="167"/>
      <c r="U187" s="167"/>
      <c r="V187" s="167"/>
      <c r="W187" s="167"/>
      <c r="X187" s="167"/>
      <c r="Y187" s="167"/>
      <c r="Z187" s="158">
        <v>2.67</v>
      </c>
      <c r="AA187" s="158"/>
      <c r="AB187" s="158"/>
      <c r="AC187" s="158">
        <v>0</v>
      </c>
    </row>
    <row r="188" spans="1:29" x14ac:dyDescent="0.2">
      <c r="A188" s="138">
        <f t="shared" si="2"/>
        <v>184</v>
      </c>
      <c r="B188" s="156">
        <v>43801</v>
      </c>
      <c r="C188" s="157" t="s">
        <v>1896</v>
      </c>
      <c r="D188" s="158" t="s">
        <v>1897</v>
      </c>
      <c r="E188" s="158" t="s">
        <v>143</v>
      </c>
      <c r="F188" s="158" t="s">
        <v>189</v>
      </c>
      <c r="G188" s="158" t="s">
        <v>123</v>
      </c>
      <c r="H188" s="159">
        <v>43795</v>
      </c>
      <c r="I188" s="158" t="s">
        <v>744</v>
      </c>
      <c r="J188" s="158">
        <v>8</v>
      </c>
      <c r="K188" s="158">
        <v>6</v>
      </c>
      <c r="L188" s="158">
        <v>0</v>
      </c>
      <c r="M188" s="158" t="s">
        <v>6</v>
      </c>
      <c r="N188" s="158">
        <v>2.5</v>
      </c>
      <c r="O188" s="158">
        <v>2.5</v>
      </c>
      <c r="P188" s="158">
        <v>0</v>
      </c>
      <c r="Q188" s="158" t="s">
        <v>22</v>
      </c>
      <c r="R188" s="158">
        <v>2407.89</v>
      </c>
      <c r="S188" s="158" t="s">
        <v>124</v>
      </c>
      <c r="T188" s="160"/>
      <c r="U188" s="160"/>
      <c r="V188" s="160"/>
      <c r="W188" s="160"/>
      <c r="X188" s="160"/>
      <c r="Y188" s="160"/>
      <c r="Z188" s="158">
        <v>0</v>
      </c>
      <c r="AA188" s="158"/>
      <c r="AB188" s="158"/>
      <c r="AC188" s="158">
        <v>75</v>
      </c>
    </row>
    <row r="189" spans="1:29" x14ac:dyDescent="0.2">
      <c r="A189" s="138">
        <f t="shared" si="2"/>
        <v>185</v>
      </c>
      <c r="B189" s="156">
        <v>43801</v>
      </c>
      <c r="C189" s="157" t="s">
        <v>1900</v>
      </c>
      <c r="D189" s="158" t="s">
        <v>1901</v>
      </c>
      <c r="E189" s="158" t="s">
        <v>156</v>
      </c>
      <c r="F189" s="158" t="s">
        <v>1902</v>
      </c>
      <c r="G189" s="158" t="s">
        <v>123</v>
      </c>
      <c r="H189" s="159">
        <v>43795</v>
      </c>
      <c r="I189" s="158" t="s">
        <v>744</v>
      </c>
      <c r="J189" s="158">
        <v>9</v>
      </c>
      <c r="K189" s="158">
        <v>5</v>
      </c>
      <c r="L189" s="158">
        <v>0</v>
      </c>
      <c r="M189" s="158" t="s">
        <v>6</v>
      </c>
      <c r="N189" s="158">
        <v>6</v>
      </c>
      <c r="O189" s="158">
        <v>6</v>
      </c>
      <c r="P189" s="158">
        <v>0</v>
      </c>
      <c r="Q189" s="158"/>
      <c r="R189" s="158">
        <v>0</v>
      </c>
      <c r="S189" s="158" t="s">
        <v>124</v>
      </c>
      <c r="T189" s="160"/>
      <c r="U189" s="160"/>
      <c r="V189" s="160"/>
      <c r="W189" s="160"/>
      <c r="X189" s="160"/>
      <c r="Y189" s="160"/>
      <c r="Z189" s="158">
        <v>0</v>
      </c>
      <c r="AA189" s="158"/>
      <c r="AB189" s="158"/>
      <c r="AC189" s="158">
        <v>0</v>
      </c>
    </row>
    <row r="190" spans="1:29" x14ac:dyDescent="0.2">
      <c r="A190" s="138">
        <f t="shared" si="2"/>
        <v>186</v>
      </c>
      <c r="B190" s="156">
        <v>43801</v>
      </c>
      <c r="C190" s="157" t="s">
        <v>1898</v>
      </c>
      <c r="D190" s="158" t="s">
        <v>1899</v>
      </c>
      <c r="E190" s="158" t="s">
        <v>128</v>
      </c>
      <c r="F190" s="158" t="s">
        <v>1274</v>
      </c>
      <c r="G190" s="158" t="s">
        <v>123</v>
      </c>
      <c r="H190" s="159">
        <v>43796</v>
      </c>
      <c r="I190" s="158" t="s">
        <v>744</v>
      </c>
      <c r="J190" s="158">
        <v>20</v>
      </c>
      <c r="K190" s="158">
        <v>14</v>
      </c>
      <c r="L190" s="158">
        <v>0</v>
      </c>
      <c r="M190" s="158" t="s">
        <v>6</v>
      </c>
      <c r="N190" s="158">
        <v>5</v>
      </c>
      <c r="O190" s="158">
        <v>5</v>
      </c>
      <c r="P190" s="158">
        <v>0</v>
      </c>
      <c r="Q190" s="158" t="s">
        <v>22</v>
      </c>
      <c r="R190" s="158">
        <v>737.52</v>
      </c>
      <c r="S190" s="158" t="s">
        <v>23</v>
      </c>
      <c r="T190" s="160"/>
      <c r="U190" s="160"/>
      <c r="V190" s="160"/>
      <c r="W190" s="160"/>
      <c r="X190" s="160"/>
      <c r="Y190" s="160"/>
      <c r="Z190" s="158">
        <v>0</v>
      </c>
      <c r="AA190" s="158"/>
      <c r="AB190" s="158"/>
      <c r="AC190" s="158">
        <v>15</v>
      </c>
    </row>
    <row r="191" spans="1:29" x14ac:dyDescent="0.2">
      <c r="A191" s="138">
        <f t="shared" si="2"/>
        <v>187</v>
      </c>
      <c r="B191" s="156">
        <v>43801</v>
      </c>
      <c r="C191" s="157" t="s">
        <v>1894</v>
      </c>
      <c r="D191" s="158" t="s">
        <v>1895</v>
      </c>
      <c r="E191" s="158" t="s">
        <v>146</v>
      </c>
      <c r="F191" s="158" t="s">
        <v>147</v>
      </c>
      <c r="G191" s="158" t="s">
        <v>123</v>
      </c>
      <c r="H191" s="159">
        <v>43801</v>
      </c>
      <c r="I191" s="158" t="s">
        <v>744</v>
      </c>
      <c r="J191" s="158">
        <v>12</v>
      </c>
      <c r="K191" s="158">
        <v>7</v>
      </c>
      <c r="L191" s="158">
        <v>0</v>
      </c>
      <c r="M191" s="158" t="s">
        <v>6</v>
      </c>
      <c r="N191" s="158">
        <v>2.5</v>
      </c>
      <c r="O191" s="158">
        <v>2.5</v>
      </c>
      <c r="P191" s="158">
        <v>0</v>
      </c>
      <c r="Q191" s="158"/>
      <c r="R191" s="158">
        <v>0</v>
      </c>
      <c r="S191" s="158" t="s">
        <v>124</v>
      </c>
      <c r="T191" s="160"/>
      <c r="U191" s="160"/>
      <c r="V191" s="160"/>
      <c r="W191" s="160"/>
      <c r="X191" s="160"/>
      <c r="Y191" s="160"/>
      <c r="Z191" s="158">
        <v>0</v>
      </c>
      <c r="AA191" s="158"/>
      <c r="AB191" s="158"/>
      <c r="AC191" s="158">
        <v>25</v>
      </c>
    </row>
    <row r="192" spans="1:29" x14ac:dyDescent="0.2">
      <c r="A192" s="138">
        <f t="shared" si="2"/>
        <v>188</v>
      </c>
      <c r="B192" s="156">
        <v>43801</v>
      </c>
      <c r="C192" s="157" t="s">
        <v>1903</v>
      </c>
      <c r="D192" s="158" t="s">
        <v>1901</v>
      </c>
      <c r="E192" s="158" t="s">
        <v>156</v>
      </c>
      <c r="F192" s="158" t="s">
        <v>1902</v>
      </c>
      <c r="G192" s="158" t="s">
        <v>121</v>
      </c>
      <c r="H192" s="159">
        <v>43801</v>
      </c>
      <c r="I192" s="158"/>
      <c r="J192" s="158">
        <v>0</v>
      </c>
      <c r="K192" s="158">
        <v>0</v>
      </c>
      <c r="L192" s="158">
        <v>0</v>
      </c>
      <c r="M192" s="158" t="s">
        <v>6</v>
      </c>
      <c r="N192" s="158">
        <v>0.5</v>
      </c>
      <c r="O192" s="158">
        <v>0.5</v>
      </c>
      <c r="P192" s="158">
        <v>0</v>
      </c>
      <c r="Q192" s="158"/>
      <c r="R192" s="158">
        <v>0</v>
      </c>
      <c r="S192" s="158" t="s">
        <v>124</v>
      </c>
      <c r="T192" s="160"/>
      <c r="U192" s="160"/>
      <c r="V192" s="160"/>
      <c r="W192" s="160"/>
      <c r="X192" s="160"/>
      <c r="Y192" s="160"/>
      <c r="Z192" s="158">
        <v>0</v>
      </c>
      <c r="AA192" s="158"/>
      <c r="AB192" s="158"/>
      <c r="AC192" s="158">
        <v>0</v>
      </c>
    </row>
    <row r="193" spans="1:29" x14ac:dyDescent="0.2">
      <c r="A193" s="138">
        <f t="shared" si="2"/>
        <v>189</v>
      </c>
      <c r="B193" s="156">
        <v>43801</v>
      </c>
      <c r="C193" s="157" t="s">
        <v>1904</v>
      </c>
      <c r="D193" s="158" t="s">
        <v>1905</v>
      </c>
      <c r="E193" s="158" t="s">
        <v>146</v>
      </c>
      <c r="F193" s="158" t="s">
        <v>174</v>
      </c>
      <c r="G193" s="158" t="s">
        <v>770</v>
      </c>
      <c r="H193" s="159">
        <v>43801</v>
      </c>
      <c r="I193" s="158"/>
      <c r="J193" s="158">
        <v>0</v>
      </c>
      <c r="K193" s="158">
        <v>0</v>
      </c>
      <c r="L193" s="158">
        <v>0</v>
      </c>
      <c r="M193" s="158"/>
      <c r="N193" s="158">
        <v>0</v>
      </c>
      <c r="O193" s="158">
        <v>0</v>
      </c>
      <c r="P193" s="158">
        <v>0</v>
      </c>
      <c r="Q193" s="158"/>
      <c r="R193" s="158">
        <v>106.06</v>
      </c>
      <c r="S193" s="158" t="s">
        <v>124</v>
      </c>
      <c r="T193" s="160"/>
      <c r="U193" s="160"/>
      <c r="V193" s="160"/>
      <c r="W193" s="160"/>
      <c r="X193" s="160"/>
      <c r="Y193" s="160"/>
      <c r="Z193" s="158">
        <v>2</v>
      </c>
      <c r="AA193" s="158"/>
      <c r="AB193" s="158"/>
      <c r="AC193" s="158">
        <v>93.93</v>
      </c>
    </row>
    <row r="194" spans="1:29" x14ac:dyDescent="0.2">
      <c r="A194" s="138">
        <f t="shared" si="2"/>
        <v>190</v>
      </c>
      <c r="B194" s="156">
        <v>43801</v>
      </c>
      <c r="C194" s="157" t="s">
        <v>1663</v>
      </c>
      <c r="D194" s="158" t="s">
        <v>1906</v>
      </c>
      <c r="E194" s="158" t="s">
        <v>172</v>
      </c>
      <c r="F194" s="158" t="s">
        <v>1309</v>
      </c>
      <c r="G194" s="158" t="s">
        <v>121</v>
      </c>
      <c r="H194" s="159">
        <v>43801</v>
      </c>
      <c r="I194" s="158"/>
      <c r="J194" s="158">
        <v>0</v>
      </c>
      <c r="K194" s="158">
        <v>0</v>
      </c>
      <c r="L194" s="158">
        <v>0</v>
      </c>
      <c r="M194" s="158"/>
      <c r="N194" s="158">
        <v>0</v>
      </c>
      <c r="O194" s="158">
        <v>0</v>
      </c>
      <c r="P194" s="158">
        <v>0</v>
      </c>
      <c r="Q194" s="158"/>
      <c r="R194" s="158">
        <v>0</v>
      </c>
      <c r="S194" s="158" t="s">
        <v>447</v>
      </c>
      <c r="T194" s="160"/>
      <c r="U194" s="160"/>
      <c r="V194" s="160"/>
      <c r="W194" s="160"/>
      <c r="X194" s="160"/>
      <c r="Y194" s="160"/>
      <c r="Z194" s="158">
        <v>2.67</v>
      </c>
      <c r="AA194" s="158"/>
      <c r="AB194" s="158"/>
      <c r="AC194" s="158">
        <v>0</v>
      </c>
    </row>
    <row r="195" spans="1:29" x14ac:dyDescent="0.2">
      <c r="A195" s="138">
        <f t="shared" si="2"/>
        <v>191</v>
      </c>
      <c r="B195" s="156">
        <v>43801</v>
      </c>
      <c r="C195" s="157" t="s">
        <v>1665</v>
      </c>
      <c r="D195" s="158" t="s">
        <v>1907</v>
      </c>
      <c r="E195" s="158" t="s">
        <v>1908</v>
      </c>
      <c r="F195" s="158" t="s">
        <v>1909</v>
      </c>
      <c r="G195" s="158" t="s">
        <v>121</v>
      </c>
      <c r="H195" s="159">
        <v>43801</v>
      </c>
      <c r="I195" s="158"/>
      <c r="J195" s="158">
        <v>0</v>
      </c>
      <c r="K195" s="158">
        <v>0</v>
      </c>
      <c r="L195" s="158">
        <v>0</v>
      </c>
      <c r="M195" s="158"/>
      <c r="N195" s="158">
        <v>0</v>
      </c>
      <c r="O195" s="158">
        <v>0</v>
      </c>
      <c r="P195" s="158">
        <v>0</v>
      </c>
      <c r="Q195" s="158"/>
      <c r="R195" s="158">
        <v>0</v>
      </c>
      <c r="S195" s="158" t="s">
        <v>447</v>
      </c>
      <c r="T195" s="160"/>
      <c r="U195" s="160"/>
      <c r="V195" s="160"/>
      <c r="W195" s="160"/>
      <c r="X195" s="160"/>
      <c r="Y195" s="160"/>
      <c r="Z195" s="158">
        <v>2.67</v>
      </c>
      <c r="AA195" s="158"/>
      <c r="AB195" s="158"/>
      <c r="AC195" s="158">
        <v>0</v>
      </c>
    </row>
    <row r="196" spans="1:29" x14ac:dyDescent="0.2">
      <c r="A196" s="138">
        <f t="shared" si="2"/>
        <v>192</v>
      </c>
      <c r="B196" s="156">
        <v>43803</v>
      </c>
      <c r="C196" s="157" t="s">
        <v>1015</v>
      </c>
      <c r="D196" s="161" t="s">
        <v>1317</v>
      </c>
      <c r="E196" s="161" t="s">
        <v>1283</v>
      </c>
      <c r="F196" s="161" t="s">
        <v>1297</v>
      </c>
      <c r="G196" s="161" t="s">
        <v>770</v>
      </c>
      <c r="H196" s="162">
        <v>43802</v>
      </c>
      <c r="I196" s="161"/>
      <c r="J196" s="158">
        <v>0</v>
      </c>
      <c r="K196" s="158">
        <v>0</v>
      </c>
      <c r="L196" s="158">
        <v>0</v>
      </c>
      <c r="M196" s="161"/>
      <c r="N196" s="158">
        <v>0</v>
      </c>
      <c r="O196" s="158">
        <v>0</v>
      </c>
      <c r="P196" s="158">
        <v>0</v>
      </c>
      <c r="Q196" s="161" t="s">
        <v>22</v>
      </c>
      <c r="R196" s="161">
        <v>615.45000000000005</v>
      </c>
      <c r="S196" s="161" t="s">
        <v>124</v>
      </c>
      <c r="T196" s="168"/>
      <c r="U196" s="168"/>
      <c r="V196" s="168"/>
      <c r="W196" s="168"/>
      <c r="X196" s="168"/>
      <c r="Y196" s="168"/>
      <c r="Z196" s="158">
        <v>8</v>
      </c>
      <c r="AA196" s="161"/>
      <c r="AB196" s="161"/>
      <c r="AC196" s="158">
        <v>62.2</v>
      </c>
    </row>
    <row r="197" spans="1:29" x14ac:dyDescent="0.2">
      <c r="A197" s="138">
        <f t="shared" si="2"/>
        <v>193</v>
      </c>
      <c r="B197" s="156">
        <v>43803</v>
      </c>
      <c r="C197" s="157" t="s">
        <v>1910</v>
      </c>
      <c r="D197" s="158" t="s">
        <v>1911</v>
      </c>
      <c r="E197" s="158" t="s">
        <v>122</v>
      </c>
      <c r="F197" s="158" t="s">
        <v>1912</v>
      </c>
      <c r="G197" s="158" t="s">
        <v>123</v>
      </c>
      <c r="H197" s="159">
        <v>43801</v>
      </c>
      <c r="I197" s="158" t="s">
        <v>744</v>
      </c>
      <c r="J197" s="158">
        <v>11</v>
      </c>
      <c r="K197" s="158">
        <v>7</v>
      </c>
      <c r="L197" s="158">
        <v>0</v>
      </c>
      <c r="M197" s="158" t="s">
        <v>6</v>
      </c>
      <c r="N197" s="158">
        <v>2</v>
      </c>
      <c r="O197" s="158">
        <v>2</v>
      </c>
      <c r="P197" s="158">
        <v>0</v>
      </c>
      <c r="Q197" s="158" t="s">
        <v>22</v>
      </c>
      <c r="R197" s="158">
        <v>78</v>
      </c>
      <c r="S197" s="158" t="s">
        <v>124</v>
      </c>
      <c r="T197" s="222"/>
      <c r="U197" s="222"/>
      <c r="V197" s="222"/>
      <c r="W197" s="222"/>
      <c r="X197" s="222"/>
      <c r="Y197" s="222"/>
      <c r="Z197" s="158">
        <v>0</v>
      </c>
      <c r="AA197" s="158"/>
      <c r="AB197" s="158"/>
      <c r="AC197" s="158">
        <v>0</v>
      </c>
    </row>
    <row r="198" spans="1:29" x14ac:dyDescent="0.2">
      <c r="A198" s="138">
        <f t="shared" ref="A198:A261" si="3">+A197+1</f>
        <v>194</v>
      </c>
      <c r="B198" s="156">
        <v>43803</v>
      </c>
      <c r="C198" s="157" t="s">
        <v>1915</v>
      </c>
      <c r="D198" s="158" t="s">
        <v>1914</v>
      </c>
      <c r="E198" s="158" t="s">
        <v>178</v>
      </c>
      <c r="F198" s="158" t="s">
        <v>1411</v>
      </c>
      <c r="G198" s="158" t="s">
        <v>123</v>
      </c>
      <c r="H198" s="159">
        <v>43803</v>
      </c>
      <c r="I198" s="158" t="s">
        <v>744</v>
      </c>
      <c r="J198" s="158">
        <v>5</v>
      </c>
      <c r="K198" s="158">
        <v>3</v>
      </c>
      <c r="L198" s="158">
        <v>0</v>
      </c>
      <c r="M198" s="158" t="s">
        <v>6</v>
      </c>
      <c r="N198" s="158">
        <v>2</v>
      </c>
      <c r="O198" s="158">
        <v>2</v>
      </c>
      <c r="P198" s="158">
        <v>0</v>
      </c>
      <c r="Q198" s="158" t="s">
        <v>22</v>
      </c>
      <c r="R198" s="158">
        <v>37.950000000000003</v>
      </c>
      <c r="S198" s="158" t="s">
        <v>124</v>
      </c>
      <c r="T198" s="164"/>
      <c r="U198" s="164"/>
      <c r="V198" s="164"/>
      <c r="W198" s="164"/>
      <c r="X198" s="164"/>
      <c r="Y198" s="164"/>
      <c r="Z198" s="158">
        <v>0</v>
      </c>
      <c r="AA198" s="158"/>
      <c r="AB198" s="158"/>
      <c r="AC198" s="158">
        <v>30</v>
      </c>
    </row>
    <row r="199" spans="1:29" x14ac:dyDescent="0.2">
      <c r="A199" s="138">
        <f t="shared" si="3"/>
        <v>195</v>
      </c>
      <c r="B199" s="156">
        <v>43803</v>
      </c>
      <c r="C199" s="157" t="s">
        <v>1913</v>
      </c>
      <c r="D199" s="158" t="s">
        <v>1914</v>
      </c>
      <c r="E199" s="158" t="s">
        <v>178</v>
      </c>
      <c r="F199" s="158" t="s">
        <v>1411</v>
      </c>
      <c r="G199" s="158" t="s">
        <v>123</v>
      </c>
      <c r="H199" s="159">
        <v>43803</v>
      </c>
      <c r="I199" s="158" t="s">
        <v>744</v>
      </c>
      <c r="J199" s="158">
        <v>2</v>
      </c>
      <c r="K199" s="158">
        <v>1</v>
      </c>
      <c r="L199" s="158">
        <v>0</v>
      </c>
      <c r="M199" s="158" t="s">
        <v>6</v>
      </c>
      <c r="N199" s="158">
        <v>1</v>
      </c>
      <c r="O199" s="158">
        <v>1</v>
      </c>
      <c r="P199" s="158">
        <v>0</v>
      </c>
      <c r="Q199" s="158" t="s">
        <v>22</v>
      </c>
      <c r="R199" s="158">
        <v>32.700000000000003</v>
      </c>
      <c r="S199" s="158" t="s">
        <v>124</v>
      </c>
      <c r="T199" s="164"/>
      <c r="U199" s="164"/>
      <c r="V199" s="164"/>
      <c r="W199" s="164"/>
      <c r="X199" s="164"/>
      <c r="Y199" s="164"/>
      <c r="Z199" s="158">
        <v>0</v>
      </c>
      <c r="AA199" s="158"/>
      <c r="AB199" s="158"/>
      <c r="AC199" s="158">
        <v>0</v>
      </c>
    </row>
    <row r="200" spans="1:29" x14ac:dyDescent="0.2">
      <c r="A200" s="138">
        <f t="shared" si="3"/>
        <v>196</v>
      </c>
      <c r="B200" s="156">
        <v>43804</v>
      </c>
      <c r="C200" s="157" t="s">
        <v>1919</v>
      </c>
      <c r="D200" s="158" t="s">
        <v>1920</v>
      </c>
      <c r="E200" s="158" t="s">
        <v>128</v>
      </c>
      <c r="F200" s="158" t="s">
        <v>327</v>
      </c>
      <c r="G200" s="158" t="s">
        <v>123</v>
      </c>
      <c r="H200" s="159">
        <v>43802</v>
      </c>
      <c r="I200" s="158" t="s">
        <v>744</v>
      </c>
      <c r="J200" s="158">
        <v>7</v>
      </c>
      <c r="K200" s="158">
        <v>4</v>
      </c>
      <c r="L200" s="158">
        <v>0</v>
      </c>
      <c r="M200" s="158" t="s">
        <v>6</v>
      </c>
      <c r="N200" s="158">
        <v>1.5</v>
      </c>
      <c r="O200" s="158">
        <v>1.5</v>
      </c>
      <c r="P200" s="158">
        <v>0</v>
      </c>
      <c r="Q200" s="158" t="s">
        <v>22</v>
      </c>
      <c r="R200" s="158">
        <v>304.56</v>
      </c>
      <c r="S200" s="158" t="s">
        <v>124</v>
      </c>
      <c r="T200" s="164"/>
      <c r="U200" s="164"/>
      <c r="V200" s="164"/>
      <c r="W200" s="164"/>
      <c r="X200" s="164"/>
      <c r="Y200" s="164"/>
      <c r="Z200" s="158">
        <v>0</v>
      </c>
      <c r="AA200" s="158"/>
      <c r="AB200" s="158"/>
      <c r="AC200" s="158">
        <v>0</v>
      </c>
    </row>
    <row r="201" spans="1:29" x14ac:dyDescent="0.2">
      <c r="A201" s="138">
        <f t="shared" si="3"/>
        <v>197</v>
      </c>
      <c r="B201" s="156">
        <v>43804</v>
      </c>
      <c r="C201" s="157" t="s">
        <v>1917</v>
      </c>
      <c r="D201" s="158" t="s">
        <v>1918</v>
      </c>
      <c r="E201" s="158" t="s">
        <v>146</v>
      </c>
      <c r="F201" s="158" t="s">
        <v>157</v>
      </c>
      <c r="G201" s="158" t="s">
        <v>123</v>
      </c>
      <c r="H201" s="159">
        <v>43802</v>
      </c>
      <c r="I201" s="158" t="s">
        <v>744</v>
      </c>
      <c r="J201" s="158">
        <v>30</v>
      </c>
      <c r="K201" s="158">
        <v>24</v>
      </c>
      <c r="L201" s="158">
        <v>0</v>
      </c>
      <c r="M201" s="158" t="s">
        <v>6</v>
      </c>
      <c r="N201" s="158">
        <v>5.5</v>
      </c>
      <c r="O201" s="158">
        <v>5.5</v>
      </c>
      <c r="P201" s="158">
        <v>0</v>
      </c>
      <c r="Q201" s="158" t="s">
        <v>22</v>
      </c>
      <c r="R201" s="158">
        <v>335.05</v>
      </c>
      <c r="S201" s="158" t="s">
        <v>142</v>
      </c>
      <c r="T201" s="164"/>
      <c r="U201" s="164"/>
      <c r="V201" s="164"/>
      <c r="W201" s="164"/>
      <c r="X201" s="164"/>
      <c r="Y201" s="164"/>
      <c r="Z201" s="158">
        <v>0</v>
      </c>
      <c r="AA201" s="158"/>
      <c r="AB201" s="158"/>
      <c r="AC201" s="158">
        <v>65</v>
      </c>
    </row>
    <row r="202" spans="1:29" x14ac:dyDescent="0.2">
      <c r="A202" s="138">
        <f t="shared" si="3"/>
        <v>198</v>
      </c>
      <c r="B202" s="156">
        <v>43804</v>
      </c>
      <c r="C202" s="157" t="s">
        <v>1916</v>
      </c>
      <c r="D202" s="158" t="s">
        <v>1405</v>
      </c>
      <c r="E202" s="158" t="s">
        <v>130</v>
      </c>
      <c r="F202" s="158" t="s">
        <v>140</v>
      </c>
      <c r="G202" s="158" t="s">
        <v>123</v>
      </c>
      <c r="H202" s="159">
        <v>43803</v>
      </c>
      <c r="I202" s="158" t="s">
        <v>744</v>
      </c>
      <c r="J202" s="158">
        <v>11</v>
      </c>
      <c r="K202" s="158">
        <v>7</v>
      </c>
      <c r="L202" s="158">
        <v>0</v>
      </c>
      <c r="M202" s="158" t="s">
        <v>6</v>
      </c>
      <c r="N202" s="158">
        <v>3.75</v>
      </c>
      <c r="O202" s="158">
        <v>3.75</v>
      </c>
      <c r="P202" s="158">
        <v>0</v>
      </c>
      <c r="Q202" s="158" t="s">
        <v>22</v>
      </c>
      <c r="R202" s="158">
        <v>790.66</v>
      </c>
      <c r="S202" s="158" t="s">
        <v>124</v>
      </c>
      <c r="T202" s="164"/>
      <c r="U202" s="164"/>
      <c r="V202" s="164"/>
      <c r="W202" s="164"/>
      <c r="X202" s="164"/>
      <c r="Y202" s="164"/>
      <c r="Z202" s="158">
        <v>0</v>
      </c>
      <c r="AA202" s="158"/>
      <c r="AB202" s="158"/>
      <c r="AC202" s="158">
        <v>10</v>
      </c>
    </row>
    <row r="203" spans="1:29" x14ac:dyDescent="0.2">
      <c r="A203" s="138">
        <f t="shared" si="3"/>
        <v>199</v>
      </c>
      <c r="B203" s="156">
        <v>43805</v>
      </c>
      <c r="C203" s="157" t="s">
        <v>1365</v>
      </c>
      <c r="D203" s="158" t="s">
        <v>1366</v>
      </c>
      <c r="E203" s="158" t="s">
        <v>21</v>
      </c>
      <c r="F203" s="158" t="s">
        <v>24</v>
      </c>
      <c r="G203" s="158" t="s">
        <v>770</v>
      </c>
      <c r="H203" s="159">
        <v>43805</v>
      </c>
      <c r="I203" s="158"/>
      <c r="J203" s="158">
        <v>0</v>
      </c>
      <c r="K203" s="158">
        <v>0</v>
      </c>
      <c r="L203" s="158">
        <v>0</v>
      </c>
      <c r="M203" s="158" t="s">
        <v>6</v>
      </c>
      <c r="N203" s="158">
        <v>0.5</v>
      </c>
      <c r="O203" s="158">
        <v>0.5</v>
      </c>
      <c r="P203" s="158">
        <v>0</v>
      </c>
      <c r="Q203" s="158"/>
      <c r="R203" s="158">
        <v>0</v>
      </c>
      <c r="S203" s="158" t="s">
        <v>124</v>
      </c>
      <c r="T203" s="164"/>
      <c r="U203" s="164"/>
      <c r="V203" s="164"/>
      <c r="W203" s="164"/>
      <c r="X203" s="164"/>
      <c r="Y203" s="164"/>
      <c r="Z203" s="158">
        <v>0</v>
      </c>
      <c r="AA203" s="158"/>
      <c r="AB203" s="158"/>
      <c r="AC203" s="158">
        <v>0</v>
      </c>
    </row>
    <row r="204" spans="1:29" x14ac:dyDescent="0.2">
      <c r="A204" s="138">
        <f t="shared" si="3"/>
        <v>200</v>
      </c>
      <c r="B204" s="156">
        <v>43805</v>
      </c>
      <c r="C204" s="157" t="s">
        <v>1394</v>
      </c>
      <c r="D204" s="158" t="s">
        <v>1395</v>
      </c>
      <c r="E204" s="158" t="s">
        <v>126</v>
      </c>
      <c r="F204" s="158" t="s">
        <v>126</v>
      </c>
      <c r="G204" s="158" t="s">
        <v>770</v>
      </c>
      <c r="H204" s="159">
        <v>43805</v>
      </c>
      <c r="I204" s="158" t="s">
        <v>744</v>
      </c>
      <c r="J204" s="158">
        <v>4</v>
      </c>
      <c r="K204" s="158">
        <v>4</v>
      </c>
      <c r="L204" s="158">
        <v>0</v>
      </c>
      <c r="M204" s="158"/>
      <c r="N204" s="158">
        <v>0</v>
      </c>
      <c r="O204" s="158">
        <v>0</v>
      </c>
      <c r="P204" s="158">
        <v>0</v>
      </c>
      <c r="Q204" s="158" t="s">
        <v>22</v>
      </c>
      <c r="R204" s="158">
        <v>109.09</v>
      </c>
      <c r="S204" s="158" t="s">
        <v>124</v>
      </c>
      <c r="T204" s="164"/>
      <c r="U204" s="164"/>
      <c r="V204" s="164"/>
      <c r="W204" s="164"/>
      <c r="X204" s="164"/>
      <c r="Y204" s="164"/>
      <c r="Z204" s="158">
        <v>0</v>
      </c>
      <c r="AA204" s="158"/>
      <c r="AB204" s="158"/>
      <c r="AC204" s="158">
        <v>21.21</v>
      </c>
    </row>
    <row r="205" spans="1:29" x14ac:dyDescent="0.2">
      <c r="A205" s="138">
        <f t="shared" si="3"/>
        <v>201</v>
      </c>
      <c r="B205" s="156">
        <v>43805</v>
      </c>
      <c r="C205" s="157" t="s">
        <v>1921</v>
      </c>
      <c r="D205" s="158" t="s">
        <v>1922</v>
      </c>
      <c r="E205" s="158" t="s">
        <v>146</v>
      </c>
      <c r="F205" s="158" t="s">
        <v>147</v>
      </c>
      <c r="G205" s="158" t="s">
        <v>123</v>
      </c>
      <c r="H205" s="159">
        <v>43805</v>
      </c>
      <c r="I205" s="158" t="s">
        <v>744</v>
      </c>
      <c r="J205" s="158">
        <v>12</v>
      </c>
      <c r="K205" s="158">
        <v>7</v>
      </c>
      <c r="L205" s="158">
        <v>0</v>
      </c>
      <c r="M205" s="158" t="s">
        <v>6</v>
      </c>
      <c r="N205" s="158">
        <v>2</v>
      </c>
      <c r="O205" s="158">
        <v>2</v>
      </c>
      <c r="P205" s="158">
        <v>0</v>
      </c>
      <c r="Q205" s="158"/>
      <c r="R205" s="158">
        <v>0</v>
      </c>
      <c r="S205" s="158" t="s">
        <v>124</v>
      </c>
      <c r="T205" s="164"/>
      <c r="U205" s="164"/>
      <c r="V205" s="164"/>
      <c r="W205" s="164"/>
      <c r="X205" s="164"/>
      <c r="Y205" s="164"/>
      <c r="Z205" s="158">
        <v>0</v>
      </c>
      <c r="AA205" s="158"/>
      <c r="AB205" s="158"/>
      <c r="AC205" s="158">
        <v>0</v>
      </c>
    </row>
    <row r="206" spans="1:29" x14ac:dyDescent="0.2">
      <c r="A206" s="138">
        <f t="shared" si="3"/>
        <v>202</v>
      </c>
      <c r="B206" s="156">
        <v>43805</v>
      </c>
      <c r="C206" s="157" t="s">
        <v>1924</v>
      </c>
      <c r="D206" s="165" t="s">
        <v>1368</v>
      </c>
      <c r="E206" s="165" t="s">
        <v>122</v>
      </c>
      <c r="F206" s="165" t="s">
        <v>122</v>
      </c>
      <c r="G206" s="165" t="s">
        <v>770</v>
      </c>
      <c r="H206" s="166">
        <v>43805</v>
      </c>
      <c r="I206" s="165"/>
      <c r="J206" s="158">
        <v>0</v>
      </c>
      <c r="K206" s="158">
        <v>0</v>
      </c>
      <c r="L206" s="158">
        <v>0</v>
      </c>
      <c r="M206" s="165"/>
      <c r="N206" s="158">
        <v>0</v>
      </c>
      <c r="O206" s="158">
        <v>0</v>
      </c>
      <c r="P206" s="158">
        <v>0</v>
      </c>
      <c r="Q206" s="165" t="s">
        <v>22</v>
      </c>
      <c r="R206" s="165">
        <v>378.79</v>
      </c>
      <c r="S206" s="158" t="s">
        <v>142</v>
      </c>
      <c r="T206" s="164"/>
      <c r="U206" s="164"/>
      <c r="V206" s="164"/>
      <c r="W206" s="164"/>
      <c r="X206" s="164"/>
      <c r="Y206" s="164"/>
      <c r="Z206" s="158">
        <v>0</v>
      </c>
      <c r="AA206" s="165"/>
      <c r="AB206" s="165"/>
      <c r="AC206" s="165">
        <v>21.21</v>
      </c>
    </row>
    <row r="207" spans="1:29" x14ac:dyDescent="0.2">
      <c r="A207" s="138">
        <f t="shared" si="3"/>
        <v>203</v>
      </c>
      <c r="B207" s="156">
        <v>43805</v>
      </c>
      <c r="C207" s="157" t="s">
        <v>1923</v>
      </c>
      <c r="D207" s="158" t="s">
        <v>1303</v>
      </c>
      <c r="E207" s="158" t="s">
        <v>126</v>
      </c>
      <c r="F207" s="158" t="s">
        <v>126</v>
      </c>
      <c r="G207" s="158" t="s">
        <v>770</v>
      </c>
      <c r="H207" s="159">
        <v>43805</v>
      </c>
      <c r="I207" s="158"/>
      <c r="J207" s="158">
        <v>0</v>
      </c>
      <c r="K207" s="158">
        <v>0</v>
      </c>
      <c r="L207" s="158">
        <v>0</v>
      </c>
      <c r="M207" s="158"/>
      <c r="N207" s="158">
        <v>0</v>
      </c>
      <c r="O207" s="158">
        <v>0</v>
      </c>
      <c r="P207" s="158">
        <v>0</v>
      </c>
      <c r="Q207" s="158" t="s">
        <v>22</v>
      </c>
      <c r="R207" s="158">
        <v>244.45</v>
      </c>
      <c r="S207" s="158" t="s">
        <v>142</v>
      </c>
      <c r="T207" s="164"/>
      <c r="U207" s="164"/>
      <c r="V207" s="164"/>
      <c r="W207" s="164"/>
      <c r="X207" s="164"/>
      <c r="Y207" s="164"/>
      <c r="Z207" s="158">
        <v>1</v>
      </c>
      <c r="AA207" s="158"/>
      <c r="AB207" s="158"/>
      <c r="AC207" s="158">
        <v>0</v>
      </c>
    </row>
    <row r="208" spans="1:29" x14ac:dyDescent="0.2">
      <c r="A208" s="138">
        <f t="shared" si="3"/>
        <v>204</v>
      </c>
      <c r="B208" s="156">
        <v>43806</v>
      </c>
      <c r="C208" s="157" t="s">
        <v>1399</v>
      </c>
      <c r="D208" s="158" t="s">
        <v>1400</v>
      </c>
      <c r="E208" s="158" t="s">
        <v>21</v>
      </c>
      <c r="F208" s="158" t="s">
        <v>1401</v>
      </c>
      <c r="G208" s="158" t="s">
        <v>121</v>
      </c>
      <c r="H208" s="159">
        <v>43806</v>
      </c>
      <c r="I208" s="158" t="s">
        <v>744</v>
      </c>
      <c r="J208" s="158">
        <v>2</v>
      </c>
      <c r="K208" s="158">
        <v>2</v>
      </c>
      <c r="L208" s="158">
        <v>0</v>
      </c>
      <c r="M208" s="158"/>
      <c r="N208" s="158">
        <v>0</v>
      </c>
      <c r="O208" s="158">
        <v>0</v>
      </c>
      <c r="P208" s="158">
        <v>0</v>
      </c>
      <c r="Q208" s="158" t="s">
        <v>22</v>
      </c>
      <c r="R208" s="158">
        <v>2864.55</v>
      </c>
      <c r="S208" s="158" t="s">
        <v>124</v>
      </c>
      <c r="T208" s="164"/>
      <c r="U208" s="164"/>
      <c r="V208" s="164"/>
      <c r="W208" s="164"/>
      <c r="X208" s="164"/>
      <c r="Y208" s="164"/>
      <c r="Z208" s="158">
        <v>2.67</v>
      </c>
      <c r="AA208" s="158"/>
      <c r="AB208" s="158"/>
      <c r="AC208" s="158">
        <v>410.6</v>
      </c>
    </row>
    <row r="209" spans="1:29" x14ac:dyDescent="0.2">
      <c r="A209" s="138">
        <f t="shared" si="3"/>
        <v>205</v>
      </c>
      <c r="B209" s="156">
        <v>43806</v>
      </c>
      <c r="C209" s="157" t="s">
        <v>1665</v>
      </c>
      <c r="D209" s="158" t="s">
        <v>1907</v>
      </c>
      <c r="E209" s="158" t="s">
        <v>1908</v>
      </c>
      <c r="F209" s="158" t="s">
        <v>1909</v>
      </c>
      <c r="G209" s="158" t="s">
        <v>121</v>
      </c>
      <c r="H209" s="159">
        <v>43806</v>
      </c>
      <c r="I209" s="158"/>
      <c r="J209" s="158">
        <v>0</v>
      </c>
      <c r="K209" s="158">
        <v>0</v>
      </c>
      <c r="L209" s="158">
        <v>0</v>
      </c>
      <c r="M209" s="158"/>
      <c r="N209" s="158">
        <v>0</v>
      </c>
      <c r="O209" s="158">
        <v>0</v>
      </c>
      <c r="P209" s="158">
        <v>0</v>
      </c>
      <c r="Q209" s="158"/>
      <c r="R209" s="158">
        <v>0</v>
      </c>
      <c r="S209" s="158" t="s">
        <v>447</v>
      </c>
      <c r="T209" s="164"/>
      <c r="U209" s="164"/>
      <c r="V209" s="164"/>
      <c r="W209" s="164"/>
      <c r="X209" s="164"/>
      <c r="Y209" s="164"/>
      <c r="Z209" s="158">
        <v>0</v>
      </c>
      <c r="AA209" s="158"/>
      <c r="AB209" s="158"/>
      <c r="AC209" s="158">
        <v>0</v>
      </c>
    </row>
    <row r="210" spans="1:29" x14ac:dyDescent="0.2">
      <c r="A210" s="138">
        <f t="shared" si="3"/>
        <v>206</v>
      </c>
      <c r="B210" s="156">
        <v>43808</v>
      </c>
      <c r="C210" s="157" t="s">
        <v>1927</v>
      </c>
      <c r="D210" s="158" t="s">
        <v>1928</v>
      </c>
      <c r="E210" s="158" t="s">
        <v>146</v>
      </c>
      <c r="F210" s="158" t="s">
        <v>147</v>
      </c>
      <c r="G210" s="158" t="s">
        <v>123</v>
      </c>
      <c r="H210" s="159">
        <v>43805</v>
      </c>
      <c r="I210" s="158" t="s">
        <v>744</v>
      </c>
      <c r="J210" s="158">
        <v>30</v>
      </c>
      <c r="K210" s="158">
        <v>24</v>
      </c>
      <c r="L210" s="158">
        <v>0</v>
      </c>
      <c r="M210" s="158" t="s">
        <v>6</v>
      </c>
      <c r="N210" s="158">
        <v>4</v>
      </c>
      <c r="O210" s="158">
        <v>4</v>
      </c>
      <c r="P210" s="158">
        <v>0</v>
      </c>
      <c r="Q210" s="158" t="s">
        <v>22</v>
      </c>
      <c r="R210" s="158">
        <v>578.16</v>
      </c>
      <c r="S210" s="158" t="s">
        <v>142</v>
      </c>
      <c r="T210" s="167"/>
      <c r="U210" s="167"/>
      <c r="V210" s="167"/>
      <c r="W210" s="167"/>
      <c r="X210" s="167"/>
      <c r="Y210" s="167"/>
      <c r="Z210" s="158">
        <v>0</v>
      </c>
      <c r="AA210" s="158"/>
      <c r="AB210" s="158"/>
      <c r="AC210" s="158">
        <v>50</v>
      </c>
    </row>
    <row r="211" spans="1:29" x14ac:dyDescent="0.2">
      <c r="A211" s="138">
        <f t="shared" si="3"/>
        <v>207</v>
      </c>
      <c r="B211" s="156">
        <v>43808</v>
      </c>
      <c r="C211" s="157" t="s">
        <v>1925</v>
      </c>
      <c r="D211" s="158" t="s">
        <v>1926</v>
      </c>
      <c r="E211" s="158" t="s">
        <v>156</v>
      </c>
      <c r="F211" s="158" t="s">
        <v>1902</v>
      </c>
      <c r="G211" s="158" t="s">
        <v>123</v>
      </c>
      <c r="H211" s="159">
        <v>43805</v>
      </c>
      <c r="I211" s="158" t="s">
        <v>744</v>
      </c>
      <c r="J211" s="158">
        <v>2</v>
      </c>
      <c r="K211" s="158">
        <v>1</v>
      </c>
      <c r="L211" s="158">
        <v>0</v>
      </c>
      <c r="M211" s="158" t="s">
        <v>6</v>
      </c>
      <c r="N211" s="158">
        <v>1.5</v>
      </c>
      <c r="O211" s="158">
        <v>1.5</v>
      </c>
      <c r="P211" s="158">
        <v>0</v>
      </c>
      <c r="Q211" s="158" t="s">
        <v>22</v>
      </c>
      <c r="R211" s="158">
        <v>405.26</v>
      </c>
      <c r="S211" s="158" t="s">
        <v>124</v>
      </c>
      <c r="T211" s="167"/>
      <c r="U211" s="167"/>
      <c r="V211" s="167"/>
      <c r="W211" s="167"/>
      <c r="X211" s="167"/>
      <c r="Y211" s="167"/>
      <c r="Z211" s="158">
        <v>0</v>
      </c>
      <c r="AA211" s="158"/>
      <c r="AB211" s="158"/>
      <c r="AC211" s="158">
        <v>25</v>
      </c>
    </row>
    <row r="212" spans="1:29" x14ac:dyDescent="0.2">
      <c r="A212" s="138">
        <f t="shared" si="3"/>
        <v>208</v>
      </c>
      <c r="B212" s="156">
        <v>43809</v>
      </c>
      <c r="C212" s="157" t="s">
        <v>1367</v>
      </c>
      <c r="D212" s="158" t="s">
        <v>1368</v>
      </c>
      <c r="E212" s="158" t="s">
        <v>122</v>
      </c>
      <c r="F212" s="158" t="s">
        <v>144</v>
      </c>
      <c r="G212" s="158" t="s">
        <v>770</v>
      </c>
      <c r="H212" s="159">
        <v>43809</v>
      </c>
      <c r="I212" s="158" t="s">
        <v>744</v>
      </c>
      <c r="J212" s="158">
        <v>0</v>
      </c>
      <c r="K212" s="158">
        <v>4</v>
      </c>
      <c r="L212" s="158">
        <v>0</v>
      </c>
      <c r="M212" s="158"/>
      <c r="N212" s="158">
        <v>0</v>
      </c>
      <c r="O212" s="158">
        <v>0</v>
      </c>
      <c r="P212" s="158">
        <v>0</v>
      </c>
      <c r="Q212" s="158"/>
      <c r="R212" s="158">
        <v>0</v>
      </c>
      <c r="S212" s="158" t="s">
        <v>124</v>
      </c>
      <c r="T212" s="167"/>
      <c r="U212" s="167"/>
      <c r="V212" s="167"/>
      <c r="W212" s="167"/>
      <c r="X212" s="167"/>
      <c r="Y212" s="167"/>
      <c r="Z212" s="158">
        <v>0</v>
      </c>
      <c r="AA212" s="158"/>
      <c r="AB212" s="158"/>
      <c r="AC212" s="158">
        <v>0</v>
      </c>
    </row>
    <row r="213" spans="1:29" x14ac:dyDescent="0.2">
      <c r="A213" s="138">
        <f t="shared" si="3"/>
        <v>209</v>
      </c>
      <c r="B213" s="156">
        <v>43809</v>
      </c>
      <c r="C213" s="157" t="s">
        <v>1390</v>
      </c>
      <c r="D213" s="158" t="s">
        <v>1391</v>
      </c>
      <c r="E213" s="158" t="s">
        <v>126</v>
      </c>
      <c r="F213" s="158" t="s">
        <v>127</v>
      </c>
      <c r="G213" s="158" t="s">
        <v>770</v>
      </c>
      <c r="H213" s="159">
        <v>43809</v>
      </c>
      <c r="I213" s="158" t="s">
        <v>744</v>
      </c>
      <c r="J213" s="158">
        <v>0</v>
      </c>
      <c r="K213" s="158">
        <v>7</v>
      </c>
      <c r="L213" s="158">
        <v>0</v>
      </c>
      <c r="M213" s="158"/>
      <c r="N213" s="158">
        <v>0</v>
      </c>
      <c r="O213" s="158">
        <v>0</v>
      </c>
      <c r="P213" s="158">
        <v>0</v>
      </c>
      <c r="Q213" s="158"/>
      <c r="R213" s="158">
        <v>0</v>
      </c>
      <c r="S213" s="158" t="s">
        <v>124</v>
      </c>
      <c r="T213" s="167"/>
      <c r="U213" s="167"/>
      <c r="V213" s="167"/>
      <c r="W213" s="167"/>
      <c r="X213" s="167"/>
      <c r="Y213" s="167"/>
      <c r="Z213" s="158">
        <v>0</v>
      </c>
      <c r="AA213" s="158"/>
      <c r="AB213" s="158"/>
      <c r="AC213" s="158">
        <v>0</v>
      </c>
    </row>
    <row r="214" spans="1:29" x14ac:dyDescent="0.2">
      <c r="A214" s="138">
        <f t="shared" si="3"/>
        <v>210</v>
      </c>
      <c r="B214" s="156">
        <v>43809</v>
      </c>
      <c r="C214" s="157" t="s">
        <v>2016</v>
      </c>
      <c r="D214" s="158" t="s">
        <v>1929</v>
      </c>
      <c r="E214" s="158" t="s">
        <v>126</v>
      </c>
      <c r="F214" s="158" t="s">
        <v>127</v>
      </c>
      <c r="G214" s="158" t="s">
        <v>770</v>
      </c>
      <c r="H214" s="159">
        <v>43805</v>
      </c>
      <c r="I214" s="158" t="s">
        <v>744</v>
      </c>
      <c r="J214" s="158">
        <v>49</v>
      </c>
      <c r="K214" s="158">
        <v>32</v>
      </c>
      <c r="L214" s="158">
        <v>0</v>
      </c>
      <c r="M214" s="158" t="s">
        <v>6</v>
      </c>
      <c r="N214" s="158">
        <v>20</v>
      </c>
      <c r="O214" s="158">
        <v>18</v>
      </c>
      <c r="P214" s="158">
        <v>0</v>
      </c>
      <c r="Q214" s="158" t="s">
        <v>22</v>
      </c>
      <c r="R214" s="158">
        <v>1858.18</v>
      </c>
      <c r="S214" s="158" t="s">
        <v>142</v>
      </c>
      <c r="T214" s="167"/>
      <c r="U214" s="167"/>
      <c r="V214" s="167"/>
      <c r="W214" s="167"/>
      <c r="X214" s="167"/>
      <c r="Y214" s="167"/>
      <c r="Z214" s="158">
        <v>26.25</v>
      </c>
      <c r="AA214" s="158"/>
      <c r="AB214" s="158"/>
      <c r="AC214" s="158">
        <v>296.47000000000003</v>
      </c>
    </row>
    <row r="215" spans="1:29" x14ac:dyDescent="0.2">
      <c r="A215" s="138">
        <f t="shared" si="3"/>
        <v>211</v>
      </c>
      <c r="B215" s="156">
        <v>43809</v>
      </c>
      <c r="C215" s="157" t="s">
        <v>1930</v>
      </c>
      <c r="D215" s="158" t="s">
        <v>1931</v>
      </c>
      <c r="E215" s="158" t="s">
        <v>126</v>
      </c>
      <c r="F215" s="158" t="s">
        <v>127</v>
      </c>
      <c r="G215" s="158" t="s">
        <v>770</v>
      </c>
      <c r="H215" s="159">
        <v>43805</v>
      </c>
      <c r="I215" s="158" t="s">
        <v>744</v>
      </c>
      <c r="J215" s="158">
        <v>72</v>
      </c>
      <c r="K215" s="158">
        <v>48</v>
      </c>
      <c r="L215" s="158">
        <v>0</v>
      </c>
      <c r="M215" s="158" t="s">
        <v>6</v>
      </c>
      <c r="N215" s="158">
        <v>20</v>
      </c>
      <c r="O215" s="158">
        <v>18</v>
      </c>
      <c r="P215" s="158">
        <v>0</v>
      </c>
      <c r="Q215" s="158" t="s">
        <v>22</v>
      </c>
      <c r="R215" s="158">
        <v>2223</v>
      </c>
      <c r="S215" s="158" t="s">
        <v>142</v>
      </c>
      <c r="T215" s="167"/>
      <c r="U215" s="167"/>
      <c r="V215" s="167"/>
      <c r="W215" s="167"/>
      <c r="X215" s="167"/>
      <c r="Y215" s="167"/>
      <c r="Z215" s="158">
        <v>29.25</v>
      </c>
      <c r="AA215" s="158"/>
      <c r="AB215" s="158"/>
      <c r="AC215" s="158">
        <v>401.51499999999999</v>
      </c>
    </row>
    <row r="216" spans="1:29" x14ac:dyDescent="0.2">
      <c r="A216" s="138">
        <f t="shared" si="3"/>
        <v>212</v>
      </c>
      <c r="B216" s="156">
        <v>43809</v>
      </c>
      <c r="C216" s="157" t="s">
        <v>1932</v>
      </c>
      <c r="D216" s="158" t="s">
        <v>1933</v>
      </c>
      <c r="E216" s="158" t="s">
        <v>130</v>
      </c>
      <c r="F216" s="158" t="s">
        <v>1934</v>
      </c>
      <c r="G216" s="158" t="s">
        <v>123</v>
      </c>
      <c r="H216" s="159">
        <v>43808</v>
      </c>
      <c r="I216" s="158" t="s">
        <v>744</v>
      </c>
      <c r="J216" s="158">
        <v>12</v>
      </c>
      <c r="K216" s="158">
        <v>7</v>
      </c>
      <c r="L216" s="158">
        <v>0</v>
      </c>
      <c r="M216" s="158" t="s">
        <v>6</v>
      </c>
      <c r="N216" s="158">
        <v>5.5</v>
      </c>
      <c r="O216" s="158">
        <v>5.5</v>
      </c>
      <c r="P216" s="158">
        <v>0</v>
      </c>
      <c r="Q216" s="158" t="s">
        <v>22</v>
      </c>
      <c r="R216" s="158">
        <v>510.3</v>
      </c>
      <c r="S216" s="158" t="s">
        <v>124</v>
      </c>
      <c r="T216" s="167"/>
      <c r="U216" s="167"/>
      <c r="V216" s="167"/>
      <c r="W216" s="167"/>
      <c r="X216" s="167"/>
      <c r="Y216" s="167"/>
      <c r="Z216" s="158">
        <v>0</v>
      </c>
      <c r="AA216" s="158"/>
      <c r="AB216" s="158"/>
      <c r="AC216" s="158">
        <v>70</v>
      </c>
    </row>
    <row r="217" spans="1:29" x14ac:dyDescent="0.2">
      <c r="A217" s="138">
        <f t="shared" si="3"/>
        <v>213</v>
      </c>
      <c r="B217" s="156">
        <v>43809</v>
      </c>
      <c r="C217" s="157" t="s">
        <v>1935</v>
      </c>
      <c r="D217" s="158" t="s">
        <v>1936</v>
      </c>
      <c r="E217" s="158" t="s">
        <v>156</v>
      </c>
      <c r="F217" s="158" t="s">
        <v>1902</v>
      </c>
      <c r="G217" s="158" t="s">
        <v>123</v>
      </c>
      <c r="H217" s="159">
        <v>43808</v>
      </c>
      <c r="I217" s="158" t="s">
        <v>744</v>
      </c>
      <c r="J217" s="158">
        <v>2</v>
      </c>
      <c r="K217" s="158">
        <v>1</v>
      </c>
      <c r="L217" s="158">
        <v>0</v>
      </c>
      <c r="M217" s="158" t="s">
        <v>6</v>
      </c>
      <c r="N217" s="158">
        <v>1</v>
      </c>
      <c r="O217" s="158">
        <v>1</v>
      </c>
      <c r="P217" s="158">
        <v>0</v>
      </c>
      <c r="Q217" s="158"/>
      <c r="R217" s="158">
        <v>675.72</v>
      </c>
      <c r="S217" s="158" t="s">
        <v>124</v>
      </c>
      <c r="T217" s="167"/>
      <c r="U217" s="167"/>
      <c r="V217" s="167"/>
      <c r="W217" s="167"/>
      <c r="X217" s="167"/>
      <c r="Y217" s="167"/>
      <c r="Z217" s="158">
        <v>0</v>
      </c>
      <c r="AA217" s="158"/>
      <c r="AB217" s="158"/>
      <c r="AC217" s="158">
        <v>0</v>
      </c>
    </row>
    <row r="218" spans="1:29" x14ac:dyDescent="0.2">
      <c r="A218" s="138">
        <f t="shared" si="3"/>
        <v>214</v>
      </c>
      <c r="B218" s="156">
        <v>43810</v>
      </c>
      <c r="C218" s="157" t="s">
        <v>1939</v>
      </c>
      <c r="D218" s="158" t="s">
        <v>1940</v>
      </c>
      <c r="E218" s="158" t="s">
        <v>126</v>
      </c>
      <c r="F218" s="158" t="s">
        <v>127</v>
      </c>
      <c r="G218" s="158" t="s">
        <v>770</v>
      </c>
      <c r="H218" s="159">
        <v>43808</v>
      </c>
      <c r="I218" s="158" t="s">
        <v>744</v>
      </c>
      <c r="J218" s="158">
        <v>30</v>
      </c>
      <c r="K218" s="158">
        <v>21</v>
      </c>
      <c r="L218" s="158">
        <v>0</v>
      </c>
      <c r="M218" s="158" t="s">
        <v>6</v>
      </c>
      <c r="N218" s="158">
        <v>19</v>
      </c>
      <c r="O218" s="158">
        <v>18</v>
      </c>
      <c r="P218" s="158">
        <v>0</v>
      </c>
      <c r="Q218" s="158" t="s">
        <v>22</v>
      </c>
      <c r="R218" s="158">
        <v>1182.72</v>
      </c>
      <c r="S218" s="158" t="s">
        <v>142</v>
      </c>
      <c r="T218" s="167"/>
      <c r="U218" s="167"/>
      <c r="V218" s="167"/>
      <c r="W218" s="167"/>
      <c r="X218" s="167"/>
      <c r="Y218" s="167"/>
      <c r="Z218" s="158">
        <v>19.25</v>
      </c>
      <c r="AA218" s="158"/>
      <c r="AB218" s="158"/>
      <c r="AC218" s="158">
        <v>206.06</v>
      </c>
    </row>
    <row r="219" spans="1:29" x14ac:dyDescent="0.2">
      <c r="A219" s="138">
        <f t="shared" si="3"/>
        <v>215</v>
      </c>
      <c r="B219" s="156">
        <v>43810</v>
      </c>
      <c r="C219" s="157" t="s">
        <v>1937</v>
      </c>
      <c r="D219" s="158" t="s">
        <v>1938</v>
      </c>
      <c r="E219" s="158" t="s">
        <v>126</v>
      </c>
      <c r="F219" s="158" t="s">
        <v>724</v>
      </c>
      <c r="G219" s="158" t="s">
        <v>770</v>
      </c>
      <c r="H219" s="159">
        <v>43808</v>
      </c>
      <c r="I219" s="158" t="s">
        <v>744</v>
      </c>
      <c r="J219" s="158">
        <v>11</v>
      </c>
      <c r="K219" s="158">
        <v>8</v>
      </c>
      <c r="L219" s="158">
        <v>0</v>
      </c>
      <c r="M219" s="158" t="s">
        <v>6</v>
      </c>
      <c r="N219" s="158">
        <v>8</v>
      </c>
      <c r="O219" s="158">
        <v>8</v>
      </c>
      <c r="P219" s="158">
        <v>0</v>
      </c>
      <c r="Q219" s="158" t="s">
        <v>22</v>
      </c>
      <c r="R219" s="158">
        <v>150</v>
      </c>
      <c r="S219" s="158" t="s">
        <v>124</v>
      </c>
      <c r="T219" s="167"/>
      <c r="U219" s="167"/>
      <c r="V219" s="167"/>
      <c r="W219" s="167"/>
      <c r="X219" s="167"/>
      <c r="Y219" s="167"/>
      <c r="Z219" s="158">
        <v>9.25</v>
      </c>
      <c r="AA219" s="158"/>
      <c r="AB219" s="158"/>
      <c r="AC219" s="158">
        <v>62.12</v>
      </c>
    </row>
    <row r="220" spans="1:29" x14ac:dyDescent="0.2">
      <c r="A220" s="138">
        <f t="shared" si="3"/>
        <v>216</v>
      </c>
      <c r="B220" s="156">
        <v>43810</v>
      </c>
      <c r="C220" s="157" t="s">
        <v>1941</v>
      </c>
      <c r="D220" s="158" t="s">
        <v>1942</v>
      </c>
      <c r="E220" s="158" t="s">
        <v>1943</v>
      </c>
      <c r="F220" s="158" t="s">
        <v>1944</v>
      </c>
      <c r="G220" s="158" t="s">
        <v>123</v>
      </c>
      <c r="H220" s="159">
        <v>43809</v>
      </c>
      <c r="I220" s="158" t="s">
        <v>744</v>
      </c>
      <c r="J220" s="158">
        <v>2</v>
      </c>
      <c r="K220" s="158">
        <v>1</v>
      </c>
      <c r="L220" s="158">
        <v>0</v>
      </c>
      <c r="M220" s="158" t="s">
        <v>6</v>
      </c>
      <c r="N220" s="158">
        <v>1.5</v>
      </c>
      <c r="O220" s="158">
        <v>1.5</v>
      </c>
      <c r="P220" s="158">
        <v>0</v>
      </c>
      <c r="Q220" s="158"/>
      <c r="R220" s="158">
        <v>0</v>
      </c>
      <c r="S220" s="158" t="s">
        <v>124</v>
      </c>
      <c r="T220" s="167"/>
      <c r="U220" s="167"/>
      <c r="V220" s="167"/>
      <c r="W220" s="167"/>
      <c r="X220" s="167"/>
      <c r="Y220" s="167"/>
      <c r="Z220" s="158">
        <v>0</v>
      </c>
      <c r="AA220" s="158"/>
      <c r="AB220" s="158"/>
      <c r="AC220" s="158">
        <v>45</v>
      </c>
    </row>
    <row r="221" spans="1:29" x14ac:dyDescent="0.2">
      <c r="A221" s="138">
        <f t="shared" si="3"/>
        <v>217</v>
      </c>
      <c r="B221" s="156">
        <v>43811</v>
      </c>
      <c r="C221" s="157" t="s">
        <v>1945</v>
      </c>
      <c r="D221" s="158" t="s">
        <v>1946</v>
      </c>
      <c r="E221" s="158" t="s">
        <v>21</v>
      </c>
      <c r="F221" s="158" t="s">
        <v>171</v>
      </c>
      <c r="G221" s="158" t="s">
        <v>123</v>
      </c>
      <c r="H221" s="159">
        <v>43766</v>
      </c>
      <c r="I221" s="158" t="s">
        <v>744</v>
      </c>
      <c r="J221" s="158">
        <v>18</v>
      </c>
      <c r="K221" s="158">
        <v>12</v>
      </c>
      <c r="L221" s="158">
        <v>0</v>
      </c>
      <c r="M221" s="158" t="s">
        <v>6</v>
      </c>
      <c r="N221" s="158">
        <v>5</v>
      </c>
      <c r="O221" s="158">
        <v>5</v>
      </c>
      <c r="P221" s="158">
        <v>0</v>
      </c>
      <c r="Q221" s="158" t="s">
        <v>22</v>
      </c>
      <c r="R221" s="158">
        <v>1735.34</v>
      </c>
      <c r="S221" s="158" t="s">
        <v>23</v>
      </c>
      <c r="T221" s="167"/>
      <c r="U221" s="167"/>
      <c r="V221" s="167"/>
      <c r="W221" s="167"/>
      <c r="X221" s="167"/>
      <c r="Y221" s="167"/>
      <c r="Z221" s="158">
        <v>2</v>
      </c>
      <c r="AA221" s="158"/>
      <c r="AB221" s="158"/>
      <c r="AC221" s="158">
        <v>90</v>
      </c>
    </row>
    <row r="222" spans="1:29" x14ac:dyDescent="0.2">
      <c r="A222" s="138">
        <f t="shared" si="3"/>
        <v>218</v>
      </c>
      <c r="B222" s="156">
        <v>43812</v>
      </c>
      <c r="C222" s="157" t="s">
        <v>1947</v>
      </c>
      <c r="D222" s="161" t="s">
        <v>1948</v>
      </c>
      <c r="E222" s="161" t="s">
        <v>175</v>
      </c>
      <c r="F222" s="161" t="s">
        <v>1949</v>
      </c>
      <c r="G222" s="161" t="s">
        <v>123</v>
      </c>
      <c r="H222" s="162">
        <v>43808</v>
      </c>
      <c r="I222" s="161" t="s">
        <v>744</v>
      </c>
      <c r="J222" s="158">
        <v>6</v>
      </c>
      <c r="K222" s="158">
        <v>4</v>
      </c>
      <c r="L222" s="158">
        <v>0</v>
      </c>
      <c r="M222" s="161" t="s">
        <v>6</v>
      </c>
      <c r="N222" s="158">
        <v>2</v>
      </c>
      <c r="O222" s="158">
        <v>2</v>
      </c>
      <c r="P222" s="158">
        <v>0</v>
      </c>
      <c r="Q222" s="161"/>
      <c r="R222" s="158">
        <v>0</v>
      </c>
      <c r="S222" s="161" t="s">
        <v>124</v>
      </c>
      <c r="T222" s="168"/>
      <c r="U222" s="168"/>
      <c r="V222" s="168"/>
      <c r="W222" s="168"/>
      <c r="X222" s="168"/>
      <c r="Y222" s="168"/>
      <c r="Z222" s="158">
        <v>0</v>
      </c>
      <c r="AA222" s="161"/>
      <c r="AB222" s="161"/>
      <c r="AC222" s="158">
        <v>0</v>
      </c>
    </row>
    <row r="223" spans="1:29" x14ac:dyDescent="0.2">
      <c r="A223" s="138">
        <f t="shared" si="3"/>
        <v>219</v>
      </c>
      <c r="B223" s="156">
        <v>43812</v>
      </c>
      <c r="C223" s="157" t="s">
        <v>1950</v>
      </c>
      <c r="D223" s="158" t="s">
        <v>1948</v>
      </c>
      <c r="E223" s="158" t="s">
        <v>175</v>
      </c>
      <c r="F223" s="158" t="s">
        <v>1949</v>
      </c>
      <c r="G223" s="158" t="s">
        <v>121</v>
      </c>
      <c r="H223" s="159">
        <v>43812</v>
      </c>
      <c r="I223" s="158"/>
      <c r="J223" s="158">
        <v>0</v>
      </c>
      <c r="K223" s="158">
        <v>0</v>
      </c>
      <c r="L223" s="158">
        <v>0</v>
      </c>
      <c r="M223" s="158"/>
      <c r="N223" s="158">
        <v>0</v>
      </c>
      <c r="O223" s="158">
        <v>0</v>
      </c>
      <c r="P223" s="158">
        <v>0</v>
      </c>
      <c r="Q223" s="158"/>
      <c r="R223" s="158">
        <v>0</v>
      </c>
      <c r="S223" s="158" t="s">
        <v>447</v>
      </c>
      <c r="T223" s="167"/>
      <c r="U223" s="167"/>
      <c r="V223" s="167"/>
      <c r="W223" s="167"/>
      <c r="X223" s="167"/>
      <c r="Y223" s="167"/>
      <c r="Z223" s="158">
        <v>2.67</v>
      </c>
      <c r="AA223" s="158"/>
      <c r="AB223" s="158"/>
      <c r="AC223" s="158">
        <v>0</v>
      </c>
    </row>
    <row r="224" spans="1:29" x14ac:dyDescent="0.2">
      <c r="A224" s="138">
        <f t="shared" si="3"/>
        <v>220</v>
      </c>
      <c r="B224" s="156">
        <v>43812</v>
      </c>
      <c r="C224" s="157" t="s">
        <v>1951</v>
      </c>
      <c r="D224" s="158" t="s">
        <v>1418</v>
      </c>
      <c r="E224" s="158" t="s">
        <v>154</v>
      </c>
      <c r="F224" s="158" t="s">
        <v>154</v>
      </c>
      <c r="G224" s="158" t="s">
        <v>121</v>
      </c>
      <c r="H224" s="159">
        <v>43812</v>
      </c>
      <c r="I224" s="158" t="s">
        <v>744</v>
      </c>
      <c r="J224" s="158">
        <v>4.66</v>
      </c>
      <c r="K224" s="158">
        <v>3.5</v>
      </c>
      <c r="L224" s="158">
        <v>0</v>
      </c>
      <c r="M224" s="158" t="s">
        <v>6</v>
      </c>
      <c r="N224" s="158">
        <v>1</v>
      </c>
      <c r="O224" s="158">
        <v>1</v>
      </c>
      <c r="P224" s="158">
        <v>0</v>
      </c>
      <c r="Q224" s="158"/>
      <c r="R224" s="158">
        <v>0</v>
      </c>
      <c r="S224" s="158" t="s">
        <v>124</v>
      </c>
      <c r="T224" s="167"/>
      <c r="U224" s="167"/>
      <c r="V224" s="167"/>
      <c r="W224" s="167"/>
      <c r="X224" s="167"/>
      <c r="Y224" s="167"/>
      <c r="Z224" s="158">
        <v>0</v>
      </c>
      <c r="AA224" s="158"/>
      <c r="AB224" s="158"/>
      <c r="AC224" s="158">
        <v>0</v>
      </c>
    </row>
    <row r="225" spans="1:29" x14ac:dyDescent="0.2">
      <c r="A225" s="138">
        <f t="shared" si="3"/>
        <v>221</v>
      </c>
      <c r="B225" s="156">
        <v>43815</v>
      </c>
      <c r="C225" s="157" t="s">
        <v>1955</v>
      </c>
      <c r="D225" s="158" t="s">
        <v>1956</v>
      </c>
      <c r="E225" s="158" t="s">
        <v>143</v>
      </c>
      <c r="F225" s="158" t="s">
        <v>1957</v>
      </c>
      <c r="G225" s="158" t="s">
        <v>123</v>
      </c>
      <c r="H225" s="159">
        <v>43816</v>
      </c>
      <c r="I225" s="158" t="s">
        <v>744</v>
      </c>
      <c r="J225" s="158">
        <v>10</v>
      </c>
      <c r="K225" s="158">
        <v>8</v>
      </c>
      <c r="L225" s="158">
        <v>0</v>
      </c>
      <c r="M225" s="158" t="s">
        <v>6</v>
      </c>
      <c r="N225" s="158">
        <v>2</v>
      </c>
      <c r="O225" s="158">
        <v>2</v>
      </c>
      <c r="P225" s="158">
        <v>0</v>
      </c>
      <c r="Q225" s="158"/>
      <c r="R225" s="158">
        <v>0</v>
      </c>
      <c r="S225" s="158" t="s">
        <v>124</v>
      </c>
      <c r="T225" s="160"/>
      <c r="U225" s="160"/>
      <c r="V225" s="160"/>
      <c r="W225" s="160"/>
      <c r="X225" s="160"/>
      <c r="Y225" s="160"/>
      <c r="Z225" s="158">
        <v>0</v>
      </c>
      <c r="AA225" s="158"/>
      <c r="AB225" s="158"/>
      <c r="AC225" s="158">
        <v>65</v>
      </c>
    </row>
    <row r="226" spans="1:29" x14ac:dyDescent="0.2">
      <c r="A226" s="138">
        <f t="shared" si="3"/>
        <v>222</v>
      </c>
      <c r="B226" s="156">
        <v>43815</v>
      </c>
      <c r="C226" s="157" t="s">
        <v>1952</v>
      </c>
      <c r="D226" s="161" t="s">
        <v>1953</v>
      </c>
      <c r="E226" s="161" t="s">
        <v>156</v>
      </c>
      <c r="F226" s="161" t="s">
        <v>1902</v>
      </c>
      <c r="G226" s="161" t="s">
        <v>123</v>
      </c>
      <c r="H226" s="162">
        <v>43812</v>
      </c>
      <c r="I226" s="161" t="s">
        <v>744</v>
      </c>
      <c r="J226" s="158">
        <v>1.5</v>
      </c>
      <c r="K226" s="158">
        <v>1.5</v>
      </c>
      <c r="L226" s="158">
        <v>0</v>
      </c>
      <c r="M226" s="161" t="s">
        <v>6</v>
      </c>
      <c r="N226" s="161">
        <v>1</v>
      </c>
      <c r="O226" s="161">
        <v>1</v>
      </c>
      <c r="P226" s="158">
        <v>0</v>
      </c>
      <c r="Q226" s="161"/>
      <c r="R226" s="158">
        <v>0</v>
      </c>
      <c r="S226" s="161" t="s">
        <v>124</v>
      </c>
      <c r="T226" s="168"/>
      <c r="U226" s="168"/>
      <c r="V226" s="168"/>
      <c r="W226" s="168"/>
      <c r="X226" s="168"/>
      <c r="Y226" s="168"/>
      <c r="Z226" s="158">
        <v>0</v>
      </c>
      <c r="AA226" s="161"/>
      <c r="AB226" s="161"/>
      <c r="AC226" s="161">
        <v>30</v>
      </c>
    </row>
    <row r="227" spans="1:29" x14ac:dyDescent="0.2">
      <c r="A227" s="138">
        <f t="shared" si="3"/>
        <v>223</v>
      </c>
      <c r="B227" s="156">
        <v>43815</v>
      </c>
      <c r="C227" s="157" t="s">
        <v>1954</v>
      </c>
      <c r="D227" s="158" t="s">
        <v>1953</v>
      </c>
      <c r="E227" s="158" t="s">
        <v>156</v>
      </c>
      <c r="F227" s="158" t="s">
        <v>1902</v>
      </c>
      <c r="G227" s="158" t="s">
        <v>121</v>
      </c>
      <c r="H227" s="159">
        <v>43815</v>
      </c>
      <c r="I227" s="158"/>
      <c r="J227" s="158">
        <v>0</v>
      </c>
      <c r="K227" s="158">
        <v>0</v>
      </c>
      <c r="L227" s="158">
        <v>0</v>
      </c>
      <c r="M227" s="158" t="s">
        <v>6</v>
      </c>
      <c r="N227" s="158">
        <v>0.5</v>
      </c>
      <c r="O227" s="158">
        <v>0.5</v>
      </c>
      <c r="P227" s="158">
        <v>0</v>
      </c>
      <c r="Q227" s="158"/>
      <c r="R227" s="158">
        <v>0</v>
      </c>
      <c r="S227" s="158" t="s">
        <v>124</v>
      </c>
      <c r="T227" s="167"/>
      <c r="U227" s="167"/>
      <c r="V227" s="167"/>
      <c r="W227" s="167"/>
      <c r="X227" s="167"/>
      <c r="Y227" s="167"/>
      <c r="Z227" s="158">
        <v>0</v>
      </c>
      <c r="AA227" s="158"/>
      <c r="AB227" s="158"/>
      <c r="AC227" s="158">
        <v>30</v>
      </c>
    </row>
    <row r="228" spans="1:29" x14ac:dyDescent="0.2">
      <c r="A228" s="138">
        <f t="shared" si="3"/>
        <v>224</v>
      </c>
      <c r="B228" s="156">
        <v>43816</v>
      </c>
      <c r="C228" s="157" t="s">
        <v>1399</v>
      </c>
      <c r="D228" s="158" t="s">
        <v>1400</v>
      </c>
      <c r="E228" s="158" t="s">
        <v>21</v>
      </c>
      <c r="F228" s="158" t="s">
        <v>1401</v>
      </c>
      <c r="G228" s="158" t="s">
        <v>121</v>
      </c>
      <c r="H228" s="159">
        <v>43816</v>
      </c>
      <c r="I228" s="158"/>
      <c r="J228" s="158">
        <v>0</v>
      </c>
      <c r="K228" s="158">
        <v>0</v>
      </c>
      <c r="L228" s="158">
        <v>0</v>
      </c>
      <c r="M228" s="158"/>
      <c r="N228" s="158">
        <v>0</v>
      </c>
      <c r="O228" s="158">
        <v>0</v>
      </c>
      <c r="P228" s="158">
        <v>0</v>
      </c>
      <c r="Q228" s="158"/>
      <c r="R228" s="158">
        <v>107.57</v>
      </c>
      <c r="S228" s="158" t="s">
        <v>447</v>
      </c>
      <c r="T228" s="160"/>
      <c r="U228" s="160"/>
      <c r="V228" s="160"/>
      <c r="W228" s="160"/>
      <c r="X228" s="160"/>
      <c r="Y228" s="160"/>
      <c r="Z228" s="158">
        <v>0</v>
      </c>
      <c r="AA228" s="158"/>
      <c r="AB228" s="158"/>
      <c r="AC228" s="158">
        <v>0</v>
      </c>
    </row>
    <row r="229" spans="1:29" x14ac:dyDescent="0.2">
      <c r="A229" s="138">
        <f t="shared" si="3"/>
        <v>225</v>
      </c>
      <c r="B229" s="156">
        <v>43816</v>
      </c>
      <c r="C229" s="157" t="s">
        <v>1958</v>
      </c>
      <c r="D229" s="158" t="s">
        <v>1959</v>
      </c>
      <c r="E229" s="158" t="s">
        <v>129</v>
      </c>
      <c r="F229" s="158" t="s">
        <v>1960</v>
      </c>
      <c r="G229" s="158" t="s">
        <v>123</v>
      </c>
      <c r="H229" s="159">
        <v>43815</v>
      </c>
      <c r="I229" s="158" t="s">
        <v>744</v>
      </c>
      <c r="J229" s="158">
        <v>10</v>
      </c>
      <c r="K229" s="158">
        <v>8</v>
      </c>
      <c r="L229" s="158">
        <v>0</v>
      </c>
      <c r="M229" s="158" t="s">
        <v>6</v>
      </c>
      <c r="N229" s="158">
        <v>2</v>
      </c>
      <c r="O229" s="158">
        <v>2</v>
      </c>
      <c r="P229" s="158">
        <v>0</v>
      </c>
      <c r="Q229" s="158" t="s">
        <v>22</v>
      </c>
      <c r="R229" s="158">
        <v>56</v>
      </c>
      <c r="S229" s="158" t="s">
        <v>124</v>
      </c>
      <c r="T229" s="160"/>
      <c r="U229" s="160"/>
      <c r="V229" s="160"/>
      <c r="W229" s="160"/>
      <c r="X229" s="160"/>
      <c r="Y229" s="160"/>
      <c r="Z229" s="158">
        <v>0</v>
      </c>
      <c r="AA229" s="158"/>
      <c r="AB229" s="158"/>
      <c r="AC229" s="158">
        <v>0</v>
      </c>
    </row>
    <row r="230" spans="1:29" x14ac:dyDescent="0.2">
      <c r="A230" s="138">
        <f t="shared" si="3"/>
        <v>226</v>
      </c>
      <c r="B230" s="156">
        <v>43816</v>
      </c>
      <c r="C230" s="157" t="s">
        <v>1961</v>
      </c>
      <c r="D230" s="158" t="s">
        <v>1962</v>
      </c>
      <c r="E230" s="158" t="s">
        <v>172</v>
      </c>
      <c r="F230" s="158" t="s">
        <v>1309</v>
      </c>
      <c r="G230" s="158" t="s">
        <v>123</v>
      </c>
      <c r="H230" s="159">
        <v>43816</v>
      </c>
      <c r="I230" s="158" t="s">
        <v>744</v>
      </c>
      <c r="J230" s="158">
        <v>2</v>
      </c>
      <c r="K230" s="158">
        <v>1.5</v>
      </c>
      <c r="L230" s="158">
        <v>0</v>
      </c>
      <c r="M230" s="158" t="s">
        <v>6</v>
      </c>
      <c r="N230" s="158">
        <v>1.5</v>
      </c>
      <c r="O230" s="158">
        <v>1.5</v>
      </c>
      <c r="P230" s="158">
        <v>0</v>
      </c>
      <c r="Q230" s="158" t="s">
        <v>22</v>
      </c>
      <c r="R230" s="158">
        <v>36.36</v>
      </c>
      <c r="S230" s="158" t="s">
        <v>124</v>
      </c>
      <c r="T230" s="160"/>
      <c r="U230" s="160"/>
      <c r="V230" s="160"/>
      <c r="W230" s="160"/>
      <c r="X230" s="160"/>
      <c r="Y230" s="160"/>
      <c r="Z230" s="158">
        <v>0</v>
      </c>
      <c r="AA230" s="158"/>
      <c r="AB230" s="158"/>
      <c r="AC230" s="158">
        <v>45</v>
      </c>
    </row>
    <row r="231" spans="1:29" x14ac:dyDescent="0.2">
      <c r="A231" s="138">
        <f t="shared" si="3"/>
        <v>227</v>
      </c>
      <c r="B231" s="156">
        <v>43817</v>
      </c>
      <c r="C231" s="157" t="s">
        <v>1963</v>
      </c>
      <c r="D231" s="158" t="s">
        <v>1964</v>
      </c>
      <c r="E231" s="158" t="s">
        <v>146</v>
      </c>
      <c r="F231" s="158" t="s">
        <v>448</v>
      </c>
      <c r="G231" s="158" t="s">
        <v>123</v>
      </c>
      <c r="H231" s="159">
        <v>43817</v>
      </c>
      <c r="I231" s="158"/>
      <c r="J231" s="158">
        <v>0</v>
      </c>
      <c r="K231" s="158">
        <v>0</v>
      </c>
      <c r="L231" s="158">
        <v>0</v>
      </c>
      <c r="M231" s="158"/>
      <c r="N231" s="158">
        <v>0</v>
      </c>
      <c r="O231" s="158">
        <v>0</v>
      </c>
      <c r="P231" s="158">
        <v>0</v>
      </c>
      <c r="Q231" s="158" t="s">
        <v>22</v>
      </c>
      <c r="R231" s="158">
        <v>1061.32</v>
      </c>
      <c r="S231" s="158" t="s">
        <v>124</v>
      </c>
      <c r="T231" s="160"/>
      <c r="U231" s="160"/>
      <c r="V231" s="160"/>
      <c r="W231" s="160"/>
      <c r="X231" s="160"/>
      <c r="Y231" s="160"/>
      <c r="Z231" s="158">
        <v>1</v>
      </c>
      <c r="AA231" s="158"/>
      <c r="AB231" s="158"/>
      <c r="AC231" s="158">
        <v>0</v>
      </c>
    </row>
    <row r="232" spans="1:29" x14ac:dyDescent="0.2">
      <c r="A232" s="138">
        <f t="shared" si="3"/>
        <v>228</v>
      </c>
      <c r="B232" s="156">
        <v>43817</v>
      </c>
      <c r="C232" s="157" t="s">
        <v>1966</v>
      </c>
      <c r="D232" s="158" t="s">
        <v>1967</v>
      </c>
      <c r="E232" s="158" t="s">
        <v>126</v>
      </c>
      <c r="F232" s="158" t="s">
        <v>127</v>
      </c>
      <c r="G232" s="158" t="s">
        <v>770</v>
      </c>
      <c r="H232" s="159">
        <v>43817</v>
      </c>
      <c r="I232" s="158" t="s">
        <v>744</v>
      </c>
      <c r="J232" s="158">
        <v>19</v>
      </c>
      <c r="K232" s="158">
        <v>12</v>
      </c>
      <c r="L232" s="158">
        <v>0</v>
      </c>
      <c r="M232" s="158" t="s">
        <v>6</v>
      </c>
      <c r="N232" s="158">
        <v>13.5</v>
      </c>
      <c r="O232" s="158">
        <v>13.5</v>
      </c>
      <c r="P232" s="158">
        <v>0</v>
      </c>
      <c r="Q232" s="158" t="s">
        <v>22</v>
      </c>
      <c r="R232" s="158">
        <v>1539.39</v>
      </c>
      <c r="S232" s="158" t="s">
        <v>23</v>
      </c>
      <c r="T232" s="160"/>
      <c r="U232" s="160"/>
      <c r="V232" s="160"/>
      <c r="W232" s="160"/>
      <c r="X232" s="160"/>
      <c r="Y232" s="160"/>
      <c r="Z232" s="158">
        <v>0</v>
      </c>
      <c r="AA232" s="158"/>
      <c r="AB232" s="158"/>
      <c r="AC232" s="158">
        <v>0</v>
      </c>
    </row>
    <row r="233" spans="1:29" x14ac:dyDescent="0.2">
      <c r="A233" s="138">
        <f t="shared" si="3"/>
        <v>229</v>
      </c>
      <c r="B233" s="156">
        <v>43817</v>
      </c>
      <c r="C233" s="157" t="s">
        <v>1965</v>
      </c>
      <c r="D233" s="158" t="s">
        <v>1303</v>
      </c>
      <c r="E233" s="158" t="s">
        <v>126</v>
      </c>
      <c r="F233" s="158" t="s">
        <v>127</v>
      </c>
      <c r="G233" s="158" t="s">
        <v>121</v>
      </c>
      <c r="H233" s="159">
        <v>43817</v>
      </c>
      <c r="I233" s="158"/>
      <c r="J233" s="158">
        <v>0</v>
      </c>
      <c r="K233" s="158">
        <v>0</v>
      </c>
      <c r="L233" s="158">
        <v>0</v>
      </c>
      <c r="M233" s="158"/>
      <c r="N233" s="158">
        <v>0</v>
      </c>
      <c r="O233" s="158">
        <v>0</v>
      </c>
      <c r="P233" s="158">
        <v>0</v>
      </c>
      <c r="Q233" s="158" t="s">
        <v>22</v>
      </c>
      <c r="R233" s="158">
        <v>701.49</v>
      </c>
      <c r="S233" s="158" t="s">
        <v>447</v>
      </c>
      <c r="T233" s="160"/>
      <c r="U233" s="160"/>
      <c r="V233" s="160"/>
      <c r="W233" s="160"/>
      <c r="X233" s="160"/>
      <c r="Y233" s="160"/>
      <c r="Z233" s="158">
        <v>1</v>
      </c>
      <c r="AA233" s="158"/>
      <c r="AB233" s="158"/>
      <c r="AC233" s="158">
        <v>402</v>
      </c>
    </row>
    <row r="234" spans="1:29" x14ac:dyDescent="0.2">
      <c r="A234" s="138">
        <f t="shared" si="3"/>
        <v>230</v>
      </c>
      <c r="B234" s="156">
        <v>43818</v>
      </c>
      <c r="C234" s="157" t="s">
        <v>1968</v>
      </c>
      <c r="D234" s="158" t="s">
        <v>1351</v>
      </c>
      <c r="E234" s="158" t="s">
        <v>122</v>
      </c>
      <c r="F234" s="158" t="s">
        <v>1912</v>
      </c>
      <c r="G234" s="158" t="s">
        <v>121</v>
      </c>
      <c r="H234" s="159">
        <v>43818</v>
      </c>
      <c r="I234" s="158"/>
      <c r="J234" s="158">
        <v>0</v>
      </c>
      <c r="K234" s="158">
        <v>0</v>
      </c>
      <c r="L234" s="158">
        <v>0</v>
      </c>
      <c r="M234" s="158"/>
      <c r="N234" s="158">
        <v>0</v>
      </c>
      <c r="O234" s="158">
        <v>0</v>
      </c>
      <c r="P234" s="158">
        <v>0</v>
      </c>
      <c r="Q234" s="158"/>
      <c r="R234" s="158">
        <v>0</v>
      </c>
      <c r="S234" s="158" t="s">
        <v>447</v>
      </c>
      <c r="T234" s="160"/>
      <c r="U234" s="160"/>
      <c r="V234" s="160"/>
      <c r="W234" s="160"/>
      <c r="X234" s="160"/>
      <c r="Y234" s="160"/>
      <c r="Z234" s="158">
        <v>2.67</v>
      </c>
      <c r="AA234" s="158"/>
      <c r="AB234" s="158"/>
      <c r="AC234" s="158">
        <v>0</v>
      </c>
    </row>
    <row r="235" spans="1:29" x14ac:dyDescent="0.2">
      <c r="A235" s="138">
        <f t="shared" si="3"/>
        <v>231</v>
      </c>
      <c r="B235" s="156">
        <v>43819</v>
      </c>
      <c r="C235" s="157" t="s">
        <v>1969</v>
      </c>
      <c r="D235" s="158" t="s">
        <v>1970</v>
      </c>
      <c r="E235" s="158" t="s">
        <v>21</v>
      </c>
      <c r="F235" s="158" t="s">
        <v>131</v>
      </c>
      <c r="G235" s="158" t="s">
        <v>123</v>
      </c>
      <c r="H235" s="159">
        <v>43817</v>
      </c>
      <c r="I235" s="158" t="s">
        <v>744</v>
      </c>
      <c r="J235" s="158">
        <v>10.5</v>
      </c>
      <c r="K235" s="158">
        <v>7</v>
      </c>
      <c r="L235" s="158">
        <v>0</v>
      </c>
      <c r="M235" s="158" t="s">
        <v>6</v>
      </c>
      <c r="N235" s="158">
        <v>2.5</v>
      </c>
      <c r="O235" s="158">
        <v>2.5</v>
      </c>
      <c r="P235" s="158">
        <v>0</v>
      </c>
      <c r="Q235" s="158" t="s">
        <v>22</v>
      </c>
      <c r="R235" s="158">
        <v>688.89</v>
      </c>
      <c r="S235" s="158" t="s">
        <v>124</v>
      </c>
      <c r="T235" s="160"/>
      <c r="U235" s="160"/>
      <c r="V235" s="160"/>
      <c r="W235" s="160"/>
      <c r="X235" s="160"/>
      <c r="Y235" s="160"/>
      <c r="Z235" s="158">
        <v>0</v>
      </c>
      <c r="AA235" s="158"/>
      <c r="AB235" s="158"/>
      <c r="AC235" s="158">
        <v>15</v>
      </c>
    </row>
    <row r="236" spans="1:29" x14ac:dyDescent="0.2">
      <c r="A236" s="138">
        <f t="shared" si="3"/>
        <v>232</v>
      </c>
      <c r="B236" s="156">
        <v>43819</v>
      </c>
      <c r="C236" s="157" t="s">
        <v>1971</v>
      </c>
      <c r="D236" s="158" t="s">
        <v>1972</v>
      </c>
      <c r="E236" s="158" t="s">
        <v>178</v>
      </c>
      <c r="F236" s="158" t="s">
        <v>1411</v>
      </c>
      <c r="G236" s="158" t="s">
        <v>121</v>
      </c>
      <c r="H236" s="159">
        <v>43820</v>
      </c>
      <c r="I236" s="158"/>
      <c r="J236" s="158">
        <v>0</v>
      </c>
      <c r="K236" s="158">
        <v>0</v>
      </c>
      <c r="L236" s="158">
        <v>0</v>
      </c>
      <c r="M236" s="158"/>
      <c r="N236" s="158">
        <v>0</v>
      </c>
      <c r="O236" s="158">
        <v>0</v>
      </c>
      <c r="P236" s="158">
        <v>0</v>
      </c>
      <c r="Q236" s="158"/>
      <c r="R236" s="158">
        <v>0</v>
      </c>
      <c r="S236" s="158" t="s">
        <v>447</v>
      </c>
      <c r="T236" s="160"/>
      <c r="U236" s="160"/>
      <c r="V236" s="160"/>
      <c r="W236" s="160"/>
      <c r="X236" s="160"/>
      <c r="Y236" s="160"/>
      <c r="Z236" s="158">
        <v>1</v>
      </c>
      <c r="AA236" s="158"/>
      <c r="AB236" s="158"/>
      <c r="AC236" s="158">
        <v>0</v>
      </c>
    </row>
    <row r="237" spans="1:29" x14ac:dyDescent="0.2">
      <c r="A237" s="138">
        <f t="shared" si="3"/>
        <v>233</v>
      </c>
      <c r="B237" s="156">
        <v>43822</v>
      </c>
      <c r="C237" s="157" t="s">
        <v>1976</v>
      </c>
      <c r="D237" s="158" t="s">
        <v>1977</v>
      </c>
      <c r="E237" s="158" t="s">
        <v>156</v>
      </c>
      <c r="F237" s="158" t="s">
        <v>1902</v>
      </c>
      <c r="G237" s="158" t="s">
        <v>123</v>
      </c>
      <c r="H237" s="159">
        <v>43818</v>
      </c>
      <c r="I237" s="158" t="s">
        <v>744</v>
      </c>
      <c r="J237" s="158">
        <v>12.25</v>
      </c>
      <c r="K237" s="158">
        <v>7</v>
      </c>
      <c r="L237" s="158">
        <v>0</v>
      </c>
      <c r="M237" s="158" t="s">
        <v>6</v>
      </c>
      <c r="N237" s="158">
        <v>4</v>
      </c>
      <c r="O237" s="158">
        <v>4</v>
      </c>
      <c r="P237" s="158">
        <v>0</v>
      </c>
      <c r="Q237" s="158" t="s">
        <v>22</v>
      </c>
      <c r="R237" s="158">
        <v>781.54</v>
      </c>
      <c r="S237" s="158" t="s">
        <v>124</v>
      </c>
      <c r="T237" s="160"/>
      <c r="U237" s="160"/>
      <c r="V237" s="160"/>
      <c r="W237" s="160"/>
      <c r="X237" s="160"/>
      <c r="Y237" s="160"/>
      <c r="Z237" s="158">
        <v>0</v>
      </c>
      <c r="AA237" s="158"/>
      <c r="AB237" s="158"/>
      <c r="AC237" s="158">
        <v>0</v>
      </c>
    </row>
    <row r="238" spans="1:29" x14ac:dyDescent="0.2">
      <c r="A238" s="138">
        <f t="shared" si="3"/>
        <v>234</v>
      </c>
      <c r="B238" s="156">
        <v>43822</v>
      </c>
      <c r="C238" s="157" t="s">
        <v>1973</v>
      </c>
      <c r="D238" s="158" t="s">
        <v>1974</v>
      </c>
      <c r="E238" s="158" t="s">
        <v>156</v>
      </c>
      <c r="F238" s="158" t="s">
        <v>1975</v>
      </c>
      <c r="G238" s="158" t="s">
        <v>123</v>
      </c>
      <c r="H238" s="159">
        <v>43819</v>
      </c>
      <c r="I238" s="158" t="s">
        <v>744</v>
      </c>
      <c r="J238" s="158">
        <v>4</v>
      </c>
      <c r="K238" s="158">
        <v>3</v>
      </c>
      <c r="L238" s="158">
        <v>0</v>
      </c>
      <c r="M238" s="158" t="s">
        <v>6</v>
      </c>
      <c r="N238" s="158">
        <v>2.5</v>
      </c>
      <c r="O238" s="158">
        <v>2.25</v>
      </c>
      <c r="P238" s="158">
        <v>0</v>
      </c>
      <c r="Q238" s="158" t="s">
        <v>22</v>
      </c>
      <c r="R238" s="158">
        <v>1281.1500000000001</v>
      </c>
      <c r="S238" s="158" t="s">
        <v>124</v>
      </c>
      <c r="T238" s="160"/>
      <c r="U238" s="160"/>
      <c r="V238" s="160"/>
      <c r="W238" s="160"/>
      <c r="X238" s="160"/>
      <c r="Y238" s="160"/>
      <c r="Z238" s="158">
        <v>0</v>
      </c>
      <c r="AA238" s="158"/>
      <c r="AB238" s="158"/>
      <c r="AC238" s="158">
        <v>80</v>
      </c>
    </row>
    <row r="239" spans="1:29" x14ac:dyDescent="0.2">
      <c r="A239" s="138">
        <f t="shared" si="3"/>
        <v>235</v>
      </c>
      <c r="B239" s="156">
        <v>43822</v>
      </c>
      <c r="C239" s="157" t="s">
        <v>1979</v>
      </c>
      <c r="D239" s="158" t="s">
        <v>1980</v>
      </c>
      <c r="E239" s="158" t="s">
        <v>172</v>
      </c>
      <c r="F239" s="158" t="s">
        <v>1981</v>
      </c>
      <c r="G239" s="158" t="s">
        <v>123</v>
      </c>
      <c r="H239" s="159">
        <v>43822</v>
      </c>
      <c r="I239" s="158" t="s">
        <v>744</v>
      </c>
      <c r="J239" s="158">
        <v>4.5</v>
      </c>
      <c r="K239" s="158">
        <v>3</v>
      </c>
      <c r="L239" s="158">
        <v>0</v>
      </c>
      <c r="M239" s="158" t="s">
        <v>6</v>
      </c>
      <c r="N239" s="158">
        <v>2</v>
      </c>
      <c r="O239" s="158">
        <v>2</v>
      </c>
      <c r="P239" s="158">
        <v>0</v>
      </c>
      <c r="Q239" s="158" t="s">
        <v>22</v>
      </c>
      <c r="R239" s="158">
        <v>218.9</v>
      </c>
      <c r="S239" s="158" t="s">
        <v>124</v>
      </c>
      <c r="T239" s="160"/>
      <c r="U239" s="160"/>
      <c r="V239" s="160"/>
      <c r="W239" s="160"/>
      <c r="X239" s="160"/>
      <c r="Y239" s="160"/>
      <c r="Z239" s="158">
        <v>0</v>
      </c>
      <c r="AA239" s="158"/>
      <c r="AB239" s="158"/>
      <c r="AC239" s="158">
        <v>30</v>
      </c>
    </row>
    <row r="240" spans="1:29" x14ac:dyDescent="0.2">
      <c r="A240" s="138">
        <f t="shared" si="3"/>
        <v>236</v>
      </c>
      <c r="B240" s="156">
        <v>43822</v>
      </c>
      <c r="C240" s="157" t="s">
        <v>1978</v>
      </c>
      <c r="D240" s="158" t="s">
        <v>1977</v>
      </c>
      <c r="E240" s="158" t="s">
        <v>156</v>
      </c>
      <c r="F240" s="158" t="s">
        <v>1902</v>
      </c>
      <c r="G240" s="158" t="s">
        <v>121</v>
      </c>
      <c r="H240" s="159">
        <v>43822</v>
      </c>
      <c r="I240" s="158" t="s">
        <v>744</v>
      </c>
      <c r="J240" s="158">
        <v>4.5</v>
      </c>
      <c r="K240" s="158">
        <v>3</v>
      </c>
      <c r="L240" s="158">
        <v>0</v>
      </c>
      <c r="M240" s="158" t="s">
        <v>6</v>
      </c>
      <c r="N240" s="158">
        <v>3.25</v>
      </c>
      <c r="O240" s="158">
        <v>3.25</v>
      </c>
      <c r="P240" s="158">
        <v>0</v>
      </c>
      <c r="Q240" s="158"/>
      <c r="R240" s="158">
        <v>0</v>
      </c>
      <c r="S240" s="158" t="s">
        <v>124</v>
      </c>
      <c r="T240" s="160"/>
      <c r="U240" s="160"/>
      <c r="V240" s="160"/>
      <c r="W240" s="160"/>
      <c r="X240" s="160"/>
      <c r="Y240" s="160"/>
      <c r="Z240" s="158">
        <v>0</v>
      </c>
      <c r="AA240" s="158"/>
      <c r="AB240" s="158"/>
      <c r="AC240" s="158">
        <v>0</v>
      </c>
    </row>
    <row r="241" spans="1:29" x14ac:dyDescent="0.2">
      <c r="A241" s="138">
        <f t="shared" si="3"/>
        <v>237</v>
      </c>
      <c r="B241" s="156">
        <v>43822</v>
      </c>
      <c r="C241" s="157" t="s">
        <v>1982</v>
      </c>
      <c r="D241" s="158" t="s">
        <v>1983</v>
      </c>
      <c r="E241" s="158" t="s">
        <v>146</v>
      </c>
      <c r="F241" s="158" t="s">
        <v>1984</v>
      </c>
      <c r="G241" s="158" t="s">
        <v>121</v>
      </c>
      <c r="H241" s="159">
        <v>43822</v>
      </c>
      <c r="I241" s="158"/>
      <c r="J241" s="158">
        <v>0</v>
      </c>
      <c r="K241" s="158">
        <v>0</v>
      </c>
      <c r="L241" s="158">
        <v>0</v>
      </c>
      <c r="M241" s="158"/>
      <c r="N241" s="158">
        <v>0</v>
      </c>
      <c r="O241" s="158">
        <v>0</v>
      </c>
      <c r="P241" s="158">
        <v>0</v>
      </c>
      <c r="Q241" s="158"/>
      <c r="R241" s="158">
        <v>0</v>
      </c>
      <c r="S241" s="158" t="s">
        <v>447</v>
      </c>
      <c r="T241" s="160"/>
      <c r="U241" s="160"/>
      <c r="V241" s="160"/>
      <c r="W241" s="160"/>
      <c r="X241" s="160"/>
      <c r="Y241" s="160"/>
      <c r="Z241" s="158">
        <v>2.67</v>
      </c>
      <c r="AA241" s="158"/>
      <c r="AB241" s="158"/>
      <c r="AC241" s="158">
        <v>0</v>
      </c>
    </row>
    <row r="242" spans="1:29" x14ac:dyDescent="0.2">
      <c r="A242" s="138">
        <f t="shared" si="3"/>
        <v>238</v>
      </c>
      <c r="B242" s="156">
        <v>43823</v>
      </c>
      <c r="C242" s="157" t="s">
        <v>1985</v>
      </c>
      <c r="D242" s="158" t="s">
        <v>1986</v>
      </c>
      <c r="E242" s="158" t="s">
        <v>21</v>
      </c>
      <c r="F242" s="158" t="s">
        <v>125</v>
      </c>
      <c r="G242" s="158" t="s">
        <v>123</v>
      </c>
      <c r="H242" s="159">
        <v>43822</v>
      </c>
      <c r="I242" s="158" t="s">
        <v>744</v>
      </c>
      <c r="J242" s="158">
        <v>8.5</v>
      </c>
      <c r="K242" s="158">
        <v>6</v>
      </c>
      <c r="L242" s="158">
        <v>0</v>
      </c>
      <c r="M242" s="158" t="s">
        <v>6</v>
      </c>
      <c r="N242" s="158">
        <v>2.5</v>
      </c>
      <c r="O242" s="158">
        <v>2.5</v>
      </c>
      <c r="P242" s="158">
        <v>0</v>
      </c>
      <c r="Q242" s="158" t="s">
        <v>22</v>
      </c>
      <c r="R242" s="158">
        <v>24.23</v>
      </c>
      <c r="S242" s="158" t="s">
        <v>124</v>
      </c>
      <c r="T242" s="160"/>
      <c r="U242" s="160"/>
      <c r="V242" s="160"/>
      <c r="W242" s="160"/>
      <c r="X242" s="160"/>
      <c r="Y242" s="160"/>
      <c r="Z242" s="158">
        <v>0</v>
      </c>
      <c r="AA242" s="158"/>
      <c r="AB242" s="158"/>
      <c r="AC242" s="158">
        <v>0</v>
      </c>
    </row>
    <row r="243" spans="1:29" x14ac:dyDescent="0.2">
      <c r="A243" s="138">
        <f t="shared" si="3"/>
        <v>239</v>
      </c>
      <c r="B243" s="156">
        <v>43823</v>
      </c>
      <c r="C243" s="157" t="s">
        <v>1987</v>
      </c>
      <c r="D243" s="158" t="s">
        <v>1986</v>
      </c>
      <c r="E243" s="158" t="s">
        <v>21</v>
      </c>
      <c r="F243" s="158" t="s">
        <v>125</v>
      </c>
      <c r="G243" s="158" t="s">
        <v>121</v>
      </c>
      <c r="H243" s="159">
        <v>43822</v>
      </c>
      <c r="I243" s="158"/>
      <c r="J243" s="158">
        <v>0</v>
      </c>
      <c r="K243" s="158">
        <v>0</v>
      </c>
      <c r="L243" s="158">
        <v>0</v>
      </c>
      <c r="M243" s="158" t="s">
        <v>6</v>
      </c>
      <c r="N243" s="158">
        <v>1</v>
      </c>
      <c r="O243" s="158">
        <v>1</v>
      </c>
      <c r="P243" s="158">
        <v>0</v>
      </c>
      <c r="Q243" s="158"/>
      <c r="R243" s="158">
        <v>0</v>
      </c>
      <c r="S243" s="158" t="s">
        <v>124</v>
      </c>
      <c r="T243" s="160"/>
      <c r="U243" s="160"/>
      <c r="V243" s="160"/>
      <c r="W243" s="160"/>
      <c r="X243" s="160"/>
      <c r="Y243" s="160"/>
      <c r="Z243" s="158">
        <v>0</v>
      </c>
      <c r="AA243" s="158"/>
      <c r="AB243" s="158"/>
      <c r="AC243" s="158">
        <v>0</v>
      </c>
    </row>
    <row r="244" spans="1:29" x14ac:dyDescent="0.2">
      <c r="A244" s="138">
        <f t="shared" si="3"/>
        <v>240</v>
      </c>
      <c r="B244" s="156">
        <v>43825</v>
      </c>
      <c r="C244" s="157" t="s">
        <v>1988</v>
      </c>
      <c r="D244" s="158" t="s">
        <v>1989</v>
      </c>
      <c r="E244" s="158" t="s">
        <v>1908</v>
      </c>
      <c r="F244" s="158" t="s">
        <v>1990</v>
      </c>
      <c r="G244" s="158" t="s">
        <v>121</v>
      </c>
      <c r="H244" s="159">
        <v>43825</v>
      </c>
      <c r="I244" s="158"/>
      <c r="J244" s="158">
        <v>0</v>
      </c>
      <c r="K244" s="158">
        <v>0</v>
      </c>
      <c r="L244" s="158">
        <v>0</v>
      </c>
      <c r="M244" s="158"/>
      <c r="N244" s="158">
        <v>0</v>
      </c>
      <c r="O244" s="158">
        <v>0</v>
      </c>
      <c r="P244" s="158">
        <v>0</v>
      </c>
      <c r="Q244" s="158"/>
      <c r="R244" s="158">
        <v>0</v>
      </c>
      <c r="S244" s="158" t="s">
        <v>447</v>
      </c>
      <c r="T244" s="160"/>
      <c r="U244" s="160"/>
      <c r="V244" s="160"/>
      <c r="W244" s="160"/>
      <c r="X244" s="160"/>
      <c r="Y244" s="160"/>
      <c r="Z244" s="158">
        <v>2.67</v>
      </c>
      <c r="AA244" s="158"/>
      <c r="AB244" s="158"/>
      <c r="AC244" s="158">
        <v>0</v>
      </c>
    </row>
    <row r="245" spans="1:29" x14ac:dyDescent="0.2">
      <c r="A245" s="138">
        <f t="shared" si="3"/>
        <v>241</v>
      </c>
      <c r="B245" s="156">
        <v>43825</v>
      </c>
      <c r="C245" s="157" t="s">
        <v>1991</v>
      </c>
      <c r="D245" s="158" t="s">
        <v>1980</v>
      </c>
      <c r="E245" s="158" t="s">
        <v>172</v>
      </c>
      <c r="F245" s="158" t="s">
        <v>1981</v>
      </c>
      <c r="G245" s="158" t="s">
        <v>121</v>
      </c>
      <c r="H245" s="159">
        <v>43825</v>
      </c>
      <c r="I245" s="158" t="s">
        <v>744</v>
      </c>
      <c r="J245" s="158">
        <v>2</v>
      </c>
      <c r="K245" s="158">
        <v>2</v>
      </c>
      <c r="L245" s="158">
        <v>0</v>
      </c>
      <c r="M245" s="158" t="s">
        <v>6</v>
      </c>
      <c r="N245" s="158">
        <v>1</v>
      </c>
      <c r="O245" s="158">
        <v>1</v>
      </c>
      <c r="P245" s="158">
        <v>0</v>
      </c>
      <c r="Q245" s="158"/>
      <c r="R245" s="158">
        <v>0</v>
      </c>
      <c r="S245" s="158" t="s">
        <v>124</v>
      </c>
      <c r="T245" s="160"/>
      <c r="U245" s="160"/>
      <c r="V245" s="160"/>
      <c r="W245" s="160"/>
      <c r="X245" s="160"/>
      <c r="Y245" s="160"/>
      <c r="Z245" s="158">
        <v>0</v>
      </c>
      <c r="AA245" s="158"/>
      <c r="AB245" s="158"/>
      <c r="AC245" s="158">
        <v>0</v>
      </c>
    </row>
    <row r="246" spans="1:29" x14ac:dyDescent="0.2">
      <c r="A246" s="138">
        <f t="shared" si="3"/>
        <v>242</v>
      </c>
      <c r="B246" s="156">
        <v>43826</v>
      </c>
      <c r="C246" s="157" t="s">
        <v>1978</v>
      </c>
      <c r="D246" s="158" t="s">
        <v>1977</v>
      </c>
      <c r="E246" s="158" t="s">
        <v>156</v>
      </c>
      <c r="F246" s="158" t="s">
        <v>1902</v>
      </c>
      <c r="G246" s="158" t="s">
        <v>121</v>
      </c>
      <c r="H246" s="159">
        <v>43825</v>
      </c>
      <c r="I246" s="158"/>
      <c r="J246" s="158">
        <v>0</v>
      </c>
      <c r="K246" s="158">
        <v>0</v>
      </c>
      <c r="L246" s="158">
        <v>0</v>
      </c>
      <c r="M246" s="158"/>
      <c r="N246" s="158">
        <v>0</v>
      </c>
      <c r="O246" s="158">
        <v>0</v>
      </c>
      <c r="P246" s="158">
        <v>0</v>
      </c>
      <c r="Q246" s="158"/>
      <c r="R246" s="158">
        <v>0</v>
      </c>
      <c r="S246" s="158" t="s">
        <v>124</v>
      </c>
      <c r="T246" s="160"/>
      <c r="U246" s="160"/>
      <c r="V246" s="160"/>
      <c r="W246" s="160"/>
      <c r="X246" s="160"/>
      <c r="Y246" s="160"/>
      <c r="Z246" s="158">
        <v>0</v>
      </c>
      <c r="AA246" s="158"/>
      <c r="AB246" s="158"/>
      <c r="AC246" s="158">
        <v>10</v>
      </c>
    </row>
    <row r="247" spans="1:29" x14ac:dyDescent="0.2">
      <c r="A247" s="138">
        <f t="shared" si="3"/>
        <v>243</v>
      </c>
      <c r="B247" s="156">
        <v>43826</v>
      </c>
      <c r="C247" s="157" t="s">
        <v>1992</v>
      </c>
      <c r="D247" s="158" t="s">
        <v>1993</v>
      </c>
      <c r="E247" s="158" t="s">
        <v>146</v>
      </c>
      <c r="F247" s="158" t="s">
        <v>1984</v>
      </c>
      <c r="G247" s="158" t="s">
        <v>121</v>
      </c>
      <c r="H247" s="159">
        <v>43826</v>
      </c>
      <c r="I247" s="158"/>
      <c r="J247" s="158">
        <v>0</v>
      </c>
      <c r="K247" s="158">
        <v>0</v>
      </c>
      <c r="L247" s="158">
        <v>0</v>
      </c>
      <c r="M247" s="158"/>
      <c r="N247" s="158">
        <v>0</v>
      </c>
      <c r="O247" s="158">
        <v>0</v>
      </c>
      <c r="P247" s="158">
        <v>0</v>
      </c>
      <c r="Q247" s="158"/>
      <c r="R247" s="158">
        <v>0</v>
      </c>
      <c r="S247" s="158" t="s">
        <v>447</v>
      </c>
      <c r="T247" s="160"/>
      <c r="U247" s="160"/>
      <c r="V247" s="160"/>
      <c r="W247" s="160"/>
      <c r="X247" s="160"/>
      <c r="Y247" s="160"/>
      <c r="Z247" s="158">
        <v>1</v>
      </c>
      <c r="AA247" s="158"/>
      <c r="AB247" s="158"/>
      <c r="AC247" s="158">
        <v>0</v>
      </c>
    </row>
    <row r="248" spans="1:29" x14ac:dyDescent="0.2">
      <c r="A248" s="138">
        <f t="shared" si="3"/>
        <v>244</v>
      </c>
      <c r="B248" s="156">
        <v>43827</v>
      </c>
      <c r="C248" s="157" t="s">
        <v>1994</v>
      </c>
      <c r="D248" s="158" t="s">
        <v>1995</v>
      </c>
      <c r="E248" s="158" t="s">
        <v>130</v>
      </c>
      <c r="F248" s="158" t="s">
        <v>140</v>
      </c>
      <c r="G248" s="158" t="s">
        <v>123</v>
      </c>
      <c r="H248" s="159">
        <v>44188</v>
      </c>
      <c r="I248" s="158"/>
      <c r="J248" s="158">
        <v>8.5</v>
      </c>
      <c r="K248" s="158">
        <v>4</v>
      </c>
      <c r="L248" s="158">
        <v>0</v>
      </c>
      <c r="M248" s="158"/>
      <c r="N248" s="158">
        <v>0</v>
      </c>
      <c r="O248" s="158">
        <v>0</v>
      </c>
      <c r="P248" s="158">
        <v>0</v>
      </c>
      <c r="Q248" s="158"/>
      <c r="R248" s="158">
        <v>0</v>
      </c>
      <c r="S248" s="158" t="s">
        <v>124</v>
      </c>
      <c r="T248" s="160"/>
      <c r="U248" s="160"/>
      <c r="V248" s="160"/>
      <c r="W248" s="160"/>
      <c r="X248" s="160"/>
      <c r="Y248" s="160"/>
      <c r="Z248" s="158">
        <v>0</v>
      </c>
      <c r="AA248" s="158"/>
      <c r="AB248" s="158"/>
      <c r="AC248" s="158">
        <v>0</v>
      </c>
    </row>
    <row r="249" spans="1:29" x14ac:dyDescent="0.2">
      <c r="A249" s="138">
        <f t="shared" si="3"/>
        <v>245</v>
      </c>
      <c r="B249" s="156">
        <v>43827</v>
      </c>
      <c r="C249" s="157" t="s">
        <v>1996</v>
      </c>
      <c r="D249" s="158" t="s">
        <v>1997</v>
      </c>
      <c r="E249" s="158" t="s">
        <v>21</v>
      </c>
      <c r="F249" s="158" t="s">
        <v>1401</v>
      </c>
      <c r="G249" s="158" t="s">
        <v>121</v>
      </c>
      <c r="H249" s="159">
        <v>43827</v>
      </c>
      <c r="I249" s="158"/>
      <c r="J249" s="158">
        <v>0</v>
      </c>
      <c r="K249" s="158">
        <v>0</v>
      </c>
      <c r="L249" s="158">
        <v>0</v>
      </c>
      <c r="M249" s="158"/>
      <c r="N249" s="158">
        <v>0</v>
      </c>
      <c r="O249" s="158">
        <v>0</v>
      </c>
      <c r="P249" s="158">
        <v>0</v>
      </c>
      <c r="Q249" s="158"/>
      <c r="R249" s="158">
        <v>0</v>
      </c>
      <c r="S249" s="158" t="s">
        <v>447</v>
      </c>
      <c r="T249" s="160"/>
      <c r="U249" s="160"/>
      <c r="V249" s="160"/>
      <c r="W249" s="160"/>
      <c r="X249" s="160"/>
      <c r="Y249" s="160"/>
      <c r="Z249" s="158">
        <v>2.67</v>
      </c>
      <c r="AA249" s="158"/>
      <c r="AB249" s="158"/>
      <c r="AC249" s="158">
        <v>0</v>
      </c>
    </row>
    <row r="250" spans="1:29" x14ac:dyDescent="0.2">
      <c r="A250" s="138">
        <f t="shared" si="3"/>
        <v>246</v>
      </c>
      <c r="B250" s="156">
        <v>43829</v>
      </c>
      <c r="C250" s="157" t="s">
        <v>1924</v>
      </c>
      <c r="D250" s="158" t="s">
        <v>1368</v>
      </c>
      <c r="E250" s="158" t="s">
        <v>122</v>
      </c>
      <c r="F250" s="158" t="s">
        <v>144</v>
      </c>
      <c r="G250" s="158" t="s">
        <v>770</v>
      </c>
      <c r="H250" s="159">
        <v>43826</v>
      </c>
      <c r="I250" s="158" t="s">
        <v>744</v>
      </c>
      <c r="J250" s="158">
        <v>0</v>
      </c>
      <c r="K250" s="158">
        <v>0</v>
      </c>
      <c r="L250" s="158">
        <v>0</v>
      </c>
      <c r="M250" s="158"/>
      <c r="N250" s="158">
        <v>0</v>
      </c>
      <c r="O250" s="158">
        <v>0</v>
      </c>
      <c r="P250" s="158">
        <v>0</v>
      </c>
      <c r="Q250" s="158" t="s">
        <v>22</v>
      </c>
      <c r="R250" s="158">
        <v>106.06</v>
      </c>
      <c r="S250" s="158" t="s">
        <v>447</v>
      </c>
      <c r="T250" s="167"/>
      <c r="U250" s="167"/>
      <c r="V250" s="167"/>
      <c r="W250" s="167"/>
      <c r="X250" s="167"/>
      <c r="Y250" s="167"/>
      <c r="Z250" s="158">
        <v>0</v>
      </c>
      <c r="AA250" s="158"/>
      <c r="AB250" s="158"/>
      <c r="AC250" s="158">
        <v>0</v>
      </c>
    </row>
    <row r="251" spans="1:29" x14ac:dyDescent="0.2">
      <c r="A251" s="138">
        <f t="shared" si="3"/>
        <v>247</v>
      </c>
      <c r="B251" s="156">
        <v>43829</v>
      </c>
      <c r="C251" s="157" t="s">
        <v>2000</v>
      </c>
      <c r="D251" s="158" t="s">
        <v>2001</v>
      </c>
      <c r="E251" s="158" t="s">
        <v>126</v>
      </c>
      <c r="F251" s="158" t="s">
        <v>127</v>
      </c>
      <c r="G251" s="158" t="s">
        <v>770</v>
      </c>
      <c r="H251" s="159">
        <v>43826</v>
      </c>
      <c r="I251" s="158" t="s">
        <v>744</v>
      </c>
      <c r="J251" s="158">
        <v>38</v>
      </c>
      <c r="K251" s="158">
        <v>30</v>
      </c>
      <c r="L251" s="158">
        <v>0</v>
      </c>
      <c r="M251" s="158" t="s">
        <v>6</v>
      </c>
      <c r="N251" s="158">
        <v>18</v>
      </c>
      <c r="O251" s="158">
        <v>18</v>
      </c>
      <c r="P251" s="158">
        <v>0</v>
      </c>
      <c r="Q251" s="158" t="s">
        <v>22</v>
      </c>
      <c r="R251" s="158">
        <v>1117.27</v>
      </c>
      <c r="S251" s="158" t="s">
        <v>142</v>
      </c>
      <c r="T251" s="160"/>
      <c r="U251" s="160"/>
      <c r="V251" s="160"/>
      <c r="W251" s="160"/>
      <c r="X251" s="160"/>
      <c r="Y251" s="160"/>
      <c r="Z251" s="158">
        <v>26.25</v>
      </c>
      <c r="AA251" s="158"/>
      <c r="AB251" s="158"/>
      <c r="AC251" s="158">
        <v>443.93900000000002</v>
      </c>
    </row>
    <row r="252" spans="1:29" x14ac:dyDescent="0.2">
      <c r="A252" s="138">
        <f t="shared" si="3"/>
        <v>248</v>
      </c>
      <c r="B252" s="156">
        <v>43829</v>
      </c>
      <c r="C252" s="157" t="s">
        <v>2002</v>
      </c>
      <c r="D252" s="158" t="s">
        <v>859</v>
      </c>
      <c r="E252" s="158" t="s">
        <v>122</v>
      </c>
      <c r="F252" s="158" t="s">
        <v>144</v>
      </c>
      <c r="G252" s="158" t="s">
        <v>770</v>
      </c>
      <c r="H252" s="159">
        <v>43826</v>
      </c>
      <c r="I252" s="158" t="s">
        <v>744</v>
      </c>
      <c r="J252" s="158">
        <v>3</v>
      </c>
      <c r="K252" s="158">
        <v>3</v>
      </c>
      <c r="L252" s="158">
        <v>0</v>
      </c>
      <c r="M252" s="158" t="s">
        <v>6</v>
      </c>
      <c r="N252" s="158">
        <v>0.75</v>
      </c>
      <c r="O252" s="158">
        <v>0.75</v>
      </c>
      <c r="P252" s="158">
        <v>0</v>
      </c>
      <c r="Q252" s="158" t="s">
        <v>22</v>
      </c>
      <c r="R252" s="158">
        <v>263.63</v>
      </c>
      <c r="S252" s="158" t="s">
        <v>124</v>
      </c>
      <c r="T252" s="167"/>
      <c r="U252" s="167"/>
      <c r="V252" s="167"/>
      <c r="W252" s="167"/>
      <c r="X252" s="167"/>
      <c r="Y252" s="167"/>
      <c r="Z252" s="158">
        <v>0</v>
      </c>
      <c r="AA252" s="158"/>
      <c r="AB252" s="158"/>
      <c r="AC252" s="158">
        <v>36.36</v>
      </c>
    </row>
    <row r="253" spans="1:29" x14ac:dyDescent="0.2">
      <c r="A253" s="138">
        <f t="shared" si="3"/>
        <v>249</v>
      </c>
      <c r="B253" s="156">
        <v>43829</v>
      </c>
      <c r="C253" s="157" t="s">
        <v>1998</v>
      </c>
      <c r="D253" s="158" t="s">
        <v>1999</v>
      </c>
      <c r="E253" s="158" t="s">
        <v>126</v>
      </c>
      <c r="F253" s="158" t="s">
        <v>1263</v>
      </c>
      <c r="G253" s="158" t="s">
        <v>770</v>
      </c>
      <c r="H253" s="159">
        <v>43826</v>
      </c>
      <c r="I253" s="158" t="s">
        <v>744</v>
      </c>
      <c r="J253" s="158">
        <v>44</v>
      </c>
      <c r="K253" s="158">
        <v>36</v>
      </c>
      <c r="L253" s="158">
        <v>0</v>
      </c>
      <c r="M253" s="158" t="s">
        <v>6</v>
      </c>
      <c r="N253" s="158">
        <v>18.5</v>
      </c>
      <c r="O253" s="158">
        <v>18</v>
      </c>
      <c r="P253" s="158">
        <v>0</v>
      </c>
      <c r="Q253" s="158" t="s">
        <v>22</v>
      </c>
      <c r="R253" s="158">
        <v>1564.96</v>
      </c>
      <c r="S253" s="158" t="s">
        <v>142</v>
      </c>
      <c r="T253" s="160"/>
      <c r="U253" s="160"/>
      <c r="V253" s="160"/>
      <c r="W253" s="160"/>
      <c r="X253" s="160"/>
      <c r="Y253" s="160"/>
      <c r="Z253" s="158">
        <v>15.25</v>
      </c>
      <c r="AA253" s="158"/>
      <c r="AB253" s="158"/>
      <c r="AC253" s="158">
        <v>195.45400000000001</v>
      </c>
    </row>
    <row r="254" spans="1:29" x14ac:dyDescent="0.2">
      <c r="A254" s="138">
        <f t="shared" si="3"/>
        <v>250</v>
      </c>
      <c r="B254" s="156">
        <v>43829</v>
      </c>
      <c r="C254" s="157" t="s">
        <v>2003</v>
      </c>
      <c r="D254" s="158" t="s">
        <v>2004</v>
      </c>
      <c r="E254" s="158" t="s">
        <v>130</v>
      </c>
      <c r="F254" s="158" t="s">
        <v>140</v>
      </c>
      <c r="G254" s="158" t="s">
        <v>123</v>
      </c>
      <c r="H254" s="159">
        <v>43829</v>
      </c>
      <c r="I254" s="158" t="s">
        <v>744</v>
      </c>
      <c r="J254" s="158">
        <v>8</v>
      </c>
      <c r="K254" s="158">
        <v>6</v>
      </c>
      <c r="L254" s="158">
        <v>0</v>
      </c>
      <c r="M254" s="158" t="s">
        <v>6</v>
      </c>
      <c r="N254" s="158">
        <v>2.5</v>
      </c>
      <c r="O254" s="158">
        <v>2.5</v>
      </c>
      <c r="P254" s="158">
        <v>0</v>
      </c>
      <c r="Q254" s="158"/>
      <c r="R254" s="158">
        <v>0</v>
      </c>
      <c r="S254" s="158" t="s">
        <v>124</v>
      </c>
      <c r="T254" s="167"/>
      <c r="U254" s="167"/>
      <c r="V254" s="167"/>
      <c r="W254" s="167"/>
      <c r="X254" s="167"/>
      <c r="Y254" s="167"/>
      <c r="Z254" s="158">
        <v>0</v>
      </c>
      <c r="AA254" s="158"/>
      <c r="AB254" s="158"/>
      <c r="AC254" s="158">
        <v>25</v>
      </c>
    </row>
    <row r="255" spans="1:29" x14ac:dyDescent="0.2">
      <c r="A255" s="138">
        <f t="shared" si="3"/>
        <v>251</v>
      </c>
      <c r="B255" s="156">
        <v>43830</v>
      </c>
      <c r="C255" s="157" t="s">
        <v>2005</v>
      </c>
      <c r="D255" s="158" t="s">
        <v>1386</v>
      </c>
      <c r="E255" s="158" t="s">
        <v>1283</v>
      </c>
      <c r="F255" s="158" t="s">
        <v>1297</v>
      </c>
      <c r="G255" s="158" t="s">
        <v>770</v>
      </c>
      <c r="H255" s="159">
        <v>44196</v>
      </c>
      <c r="I255" s="158"/>
      <c r="J255" s="158">
        <v>0</v>
      </c>
      <c r="K255" s="158">
        <v>0</v>
      </c>
      <c r="L255" s="158">
        <v>0</v>
      </c>
      <c r="M255" s="158"/>
      <c r="N255" s="158">
        <v>0</v>
      </c>
      <c r="O255" s="158">
        <v>0</v>
      </c>
      <c r="P255" s="158">
        <v>0</v>
      </c>
      <c r="Q255" s="158" t="s">
        <v>22</v>
      </c>
      <c r="R255" s="158">
        <v>282.72000000000003</v>
      </c>
      <c r="S255" s="158" t="s">
        <v>447</v>
      </c>
      <c r="T255" s="167"/>
      <c r="U255" s="167"/>
      <c r="V255" s="167"/>
      <c r="W255" s="167"/>
      <c r="X255" s="167"/>
      <c r="Y255" s="167"/>
      <c r="Z255" s="158">
        <v>0</v>
      </c>
      <c r="AA255" s="158"/>
      <c r="AB255" s="158"/>
      <c r="AC255" s="158">
        <v>0</v>
      </c>
    </row>
    <row r="256" spans="1:29" x14ac:dyDescent="0.2">
      <c r="A256" s="138">
        <f t="shared" si="3"/>
        <v>252</v>
      </c>
      <c r="B256" s="156">
        <v>43832</v>
      </c>
      <c r="C256" s="157" t="s">
        <v>2027</v>
      </c>
      <c r="D256" s="158" t="s">
        <v>2597</v>
      </c>
      <c r="E256" s="158" t="s">
        <v>21</v>
      </c>
      <c r="F256" s="158" t="s">
        <v>131</v>
      </c>
      <c r="G256" s="158" t="s">
        <v>123</v>
      </c>
      <c r="H256" s="159">
        <v>44196</v>
      </c>
      <c r="I256" s="158" t="s">
        <v>744</v>
      </c>
      <c r="J256" s="158">
        <v>16</v>
      </c>
      <c r="K256" s="158">
        <v>12</v>
      </c>
      <c r="L256" s="158">
        <v>0</v>
      </c>
      <c r="M256" s="158" t="s">
        <v>6</v>
      </c>
      <c r="N256" s="158">
        <v>5.5</v>
      </c>
      <c r="O256" s="158">
        <v>5.5</v>
      </c>
      <c r="P256" s="158">
        <v>0</v>
      </c>
      <c r="Q256" s="158" t="s">
        <v>22</v>
      </c>
      <c r="R256" s="158">
        <v>2347.11</v>
      </c>
      <c r="S256" s="158" t="s">
        <v>23</v>
      </c>
      <c r="T256" s="160"/>
      <c r="U256" s="160"/>
      <c r="V256" s="160"/>
      <c r="W256" s="160"/>
      <c r="X256" s="160"/>
      <c r="Y256" s="160"/>
      <c r="Z256" s="158">
        <v>0</v>
      </c>
      <c r="AA256" s="158"/>
      <c r="AB256" s="158"/>
      <c r="AC256" s="158">
        <v>0</v>
      </c>
    </row>
    <row r="257" spans="1:29" x14ac:dyDescent="0.2">
      <c r="A257" s="138">
        <f t="shared" si="3"/>
        <v>253</v>
      </c>
      <c r="B257" s="156">
        <v>43832</v>
      </c>
      <c r="C257" s="157" t="s">
        <v>1994</v>
      </c>
      <c r="D257" s="158" t="s">
        <v>1995</v>
      </c>
      <c r="E257" s="158" t="s">
        <v>130</v>
      </c>
      <c r="F257" s="158" t="s">
        <v>140</v>
      </c>
      <c r="G257" s="158" t="s">
        <v>123</v>
      </c>
      <c r="H257" s="159">
        <v>43832</v>
      </c>
      <c r="I257" s="158" t="s">
        <v>744</v>
      </c>
      <c r="J257" s="158">
        <v>0.5</v>
      </c>
      <c r="K257" s="158">
        <v>0</v>
      </c>
      <c r="L257" s="158">
        <v>0</v>
      </c>
      <c r="M257" s="158"/>
      <c r="N257" s="158">
        <v>0</v>
      </c>
      <c r="O257" s="158">
        <v>0</v>
      </c>
      <c r="P257" s="158">
        <v>0</v>
      </c>
      <c r="Q257" s="158"/>
      <c r="R257" s="158">
        <v>0</v>
      </c>
      <c r="S257" s="158" t="s">
        <v>124</v>
      </c>
      <c r="T257" s="160"/>
      <c r="U257" s="160"/>
      <c r="V257" s="160"/>
      <c r="W257" s="160"/>
      <c r="X257" s="160"/>
      <c r="Y257" s="160"/>
      <c r="Z257" s="158">
        <v>0</v>
      </c>
      <c r="AA257" s="158" t="s">
        <v>22</v>
      </c>
      <c r="AB257" s="158"/>
      <c r="AC257" s="158">
        <v>15</v>
      </c>
    </row>
    <row r="258" spans="1:29" x14ac:dyDescent="0.2">
      <c r="A258" s="138">
        <f t="shared" si="3"/>
        <v>254</v>
      </c>
      <c r="B258" s="156">
        <v>43832</v>
      </c>
      <c r="C258" s="157" t="s">
        <v>2595</v>
      </c>
      <c r="D258" s="158" t="s">
        <v>2596</v>
      </c>
      <c r="E258" s="158" t="s">
        <v>154</v>
      </c>
      <c r="F258" s="158" t="s">
        <v>155</v>
      </c>
      <c r="G258" s="158" t="s">
        <v>123</v>
      </c>
      <c r="H258" s="159">
        <v>44195</v>
      </c>
      <c r="I258" s="158" t="s">
        <v>744</v>
      </c>
      <c r="J258" s="158">
        <v>6</v>
      </c>
      <c r="K258" s="158">
        <v>4</v>
      </c>
      <c r="L258" s="158">
        <v>0</v>
      </c>
      <c r="M258" s="158" t="s">
        <v>6</v>
      </c>
      <c r="N258" s="158">
        <v>2</v>
      </c>
      <c r="O258" s="158">
        <v>2</v>
      </c>
      <c r="P258" s="158">
        <v>0</v>
      </c>
      <c r="Q258" s="158" t="s">
        <v>22</v>
      </c>
      <c r="R258" s="158">
        <v>647.91999999999996</v>
      </c>
      <c r="S258" s="158" t="s">
        <v>124</v>
      </c>
      <c r="T258" s="160"/>
      <c r="U258" s="160"/>
      <c r="V258" s="160"/>
      <c r="W258" s="160"/>
      <c r="X258" s="160"/>
      <c r="Y258" s="160"/>
      <c r="Z258" s="158">
        <v>0</v>
      </c>
      <c r="AA258" s="158"/>
      <c r="AB258" s="158"/>
      <c r="AC258" s="158">
        <v>45</v>
      </c>
    </row>
    <row r="259" spans="1:29" x14ac:dyDescent="0.2">
      <c r="A259" s="138">
        <f t="shared" si="3"/>
        <v>255</v>
      </c>
      <c r="B259" s="156">
        <v>43832</v>
      </c>
      <c r="C259" s="157" t="s">
        <v>2598</v>
      </c>
      <c r="D259" s="158" t="s">
        <v>2599</v>
      </c>
      <c r="E259" s="158" t="s">
        <v>2600</v>
      </c>
      <c r="F259" s="158" t="s">
        <v>2601</v>
      </c>
      <c r="G259" s="158" t="s">
        <v>123</v>
      </c>
      <c r="H259" s="159">
        <v>43832</v>
      </c>
      <c r="I259" s="158" t="s">
        <v>744</v>
      </c>
      <c r="J259" s="158">
        <v>10</v>
      </c>
      <c r="K259" s="158">
        <v>6</v>
      </c>
      <c r="L259" s="158">
        <v>0</v>
      </c>
      <c r="M259" s="158" t="s">
        <v>6</v>
      </c>
      <c r="N259" s="158">
        <v>2</v>
      </c>
      <c r="O259" s="158">
        <v>2</v>
      </c>
      <c r="P259" s="158">
        <v>0</v>
      </c>
      <c r="Q259" s="158"/>
      <c r="R259" s="158">
        <v>0</v>
      </c>
      <c r="S259" s="158" t="s">
        <v>124</v>
      </c>
      <c r="T259" s="160"/>
      <c r="U259" s="160"/>
      <c r="V259" s="160"/>
      <c r="W259" s="160"/>
      <c r="X259" s="160"/>
      <c r="Y259" s="160"/>
      <c r="Z259" s="158">
        <v>0</v>
      </c>
      <c r="AA259" s="158"/>
      <c r="AB259" s="158"/>
      <c r="AC259" s="158">
        <v>15</v>
      </c>
    </row>
    <row r="260" spans="1:29" x14ac:dyDescent="0.2">
      <c r="A260" s="138">
        <f t="shared" si="3"/>
        <v>256</v>
      </c>
      <c r="B260" s="156">
        <v>43833</v>
      </c>
      <c r="C260" s="157" t="s">
        <v>2602</v>
      </c>
      <c r="D260" s="158" t="s">
        <v>2603</v>
      </c>
      <c r="E260" s="158" t="s">
        <v>146</v>
      </c>
      <c r="F260" s="158" t="s">
        <v>174</v>
      </c>
      <c r="G260" s="158" t="s">
        <v>123</v>
      </c>
      <c r="H260" s="159">
        <v>43833</v>
      </c>
      <c r="I260" s="158" t="s">
        <v>744</v>
      </c>
      <c r="J260" s="158">
        <v>0</v>
      </c>
      <c r="K260" s="158">
        <v>0</v>
      </c>
      <c r="L260" s="158">
        <v>0</v>
      </c>
      <c r="M260" s="158"/>
      <c r="N260" s="158">
        <v>0</v>
      </c>
      <c r="O260" s="158">
        <v>0</v>
      </c>
      <c r="P260" s="158">
        <v>0</v>
      </c>
      <c r="Q260" s="158" t="s">
        <v>22</v>
      </c>
      <c r="R260" s="158">
        <v>184.54</v>
      </c>
      <c r="S260" s="158" t="s">
        <v>124</v>
      </c>
      <c r="T260" s="160"/>
      <c r="U260" s="160"/>
      <c r="V260" s="160"/>
      <c r="W260" s="160"/>
      <c r="X260" s="160"/>
      <c r="Y260" s="160"/>
      <c r="Z260" s="158">
        <v>2</v>
      </c>
      <c r="AA260" s="158"/>
      <c r="AB260" s="158"/>
      <c r="AC260" s="158">
        <v>0</v>
      </c>
    </row>
    <row r="261" spans="1:29" x14ac:dyDescent="0.2">
      <c r="A261" s="138">
        <f t="shared" si="3"/>
        <v>257</v>
      </c>
      <c r="B261" s="156">
        <v>43836</v>
      </c>
      <c r="C261" s="157" t="s">
        <v>800</v>
      </c>
      <c r="D261" s="158" t="s">
        <v>801</v>
      </c>
      <c r="E261" s="158" t="s">
        <v>180</v>
      </c>
      <c r="F261" s="158" t="s">
        <v>2607</v>
      </c>
      <c r="G261" s="158" t="s">
        <v>123</v>
      </c>
      <c r="H261" s="159">
        <v>44118</v>
      </c>
      <c r="I261" s="158" t="s">
        <v>744</v>
      </c>
      <c r="J261" s="158">
        <v>0</v>
      </c>
      <c r="K261" s="158">
        <v>0</v>
      </c>
      <c r="L261" s="158">
        <v>0</v>
      </c>
      <c r="M261" s="158" t="s">
        <v>6</v>
      </c>
      <c r="N261" s="158">
        <v>1</v>
      </c>
      <c r="O261" s="158">
        <v>0</v>
      </c>
      <c r="P261" s="158">
        <v>0</v>
      </c>
      <c r="Q261" s="158"/>
      <c r="R261" s="158">
        <v>0</v>
      </c>
      <c r="S261" s="158" t="s">
        <v>124</v>
      </c>
      <c r="T261" s="160"/>
      <c r="U261" s="160"/>
      <c r="V261" s="160"/>
      <c r="W261" s="160"/>
      <c r="X261" s="160"/>
      <c r="Y261" s="160"/>
      <c r="Z261" s="158">
        <v>0</v>
      </c>
      <c r="AA261" s="158"/>
      <c r="AB261" s="158"/>
      <c r="AC261" s="158">
        <v>0</v>
      </c>
    </row>
    <row r="262" spans="1:29" x14ac:dyDescent="0.2">
      <c r="A262" s="138">
        <f t="shared" ref="A262:A331" si="4">+A261+1</f>
        <v>258</v>
      </c>
      <c r="B262" s="156">
        <v>43836</v>
      </c>
      <c r="C262" s="157" t="s">
        <v>2604</v>
      </c>
      <c r="D262" s="158" t="s">
        <v>2605</v>
      </c>
      <c r="E262" s="158" t="s">
        <v>186</v>
      </c>
      <c r="F262" s="158" t="s">
        <v>2606</v>
      </c>
      <c r="G262" s="158" t="s">
        <v>123</v>
      </c>
      <c r="H262" s="159">
        <v>44188</v>
      </c>
      <c r="I262" s="158" t="s">
        <v>744</v>
      </c>
      <c r="J262" s="158">
        <v>6.5</v>
      </c>
      <c r="K262" s="158">
        <v>3</v>
      </c>
      <c r="L262" s="158">
        <v>0</v>
      </c>
      <c r="M262" s="158" t="s">
        <v>6</v>
      </c>
      <c r="N262" s="158">
        <v>0</v>
      </c>
      <c r="O262" s="158">
        <v>0</v>
      </c>
      <c r="P262" s="158">
        <v>0</v>
      </c>
      <c r="Q262" s="158"/>
      <c r="R262" s="158">
        <v>0</v>
      </c>
      <c r="S262" s="158" t="s">
        <v>124</v>
      </c>
      <c r="T262" s="160"/>
      <c r="U262" s="160"/>
      <c r="V262" s="160"/>
      <c r="W262" s="160"/>
      <c r="X262" s="160"/>
      <c r="Y262" s="160"/>
      <c r="Z262" s="158">
        <v>0</v>
      </c>
      <c r="AA262" s="158"/>
      <c r="AB262" s="158"/>
      <c r="AC262" s="158">
        <v>15</v>
      </c>
    </row>
    <row r="263" spans="1:29" x14ac:dyDescent="0.2">
      <c r="A263" s="138">
        <f t="shared" si="4"/>
        <v>259</v>
      </c>
      <c r="B263" s="156">
        <v>43836</v>
      </c>
      <c r="C263" s="157" t="s">
        <v>2512</v>
      </c>
      <c r="D263" s="158" t="s">
        <v>2608</v>
      </c>
      <c r="E263" s="158" t="s">
        <v>122</v>
      </c>
      <c r="F263" s="158" t="s">
        <v>1912</v>
      </c>
      <c r="G263" s="158" t="s">
        <v>123</v>
      </c>
      <c r="H263" s="159">
        <v>43833</v>
      </c>
      <c r="I263" s="158" t="s">
        <v>744</v>
      </c>
      <c r="J263" s="158">
        <v>4.5</v>
      </c>
      <c r="K263" s="158">
        <v>2</v>
      </c>
      <c r="L263" s="158">
        <v>0</v>
      </c>
      <c r="M263" s="158" t="s">
        <v>6</v>
      </c>
      <c r="N263" s="158">
        <v>0</v>
      </c>
      <c r="O263" s="158">
        <v>0</v>
      </c>
      <c r="P263" s="158">
        <v>0</v>
      </c>
      <c r="Q263" s="158"/>
      <c r="R263" s="158">
        <v>0</v>
      </c>
      <c r="S263" s="158" t="s">
        <v>124</v>
      </c>
      <c r="T263" s="160"/>
      <c r="U263" s="160"/>
      <c r="V263" s="160"/>
      <c r="W263" s="160"/>
      <c r="X263" s="160"/>
      <c r="Y263" s="160"/>
      <c r="Z263" s="158">
        <v>0</v>
      </c>
      <c r="AA263" s="158"/>
      <c r="AB263" s="158"/>
      <c r="AC263" s="158">
        <v>0</v>
      </c>
    </row>
    <row r="264" spans="1:29" x14ac:dyDescent="0.2">
      <c r="A264" s="138">
        <f t="shared" si="4"/>
        <v>260</v>
      </c>
      <c r="B264" s="156">
        <v>43836</v>
      </c>
      <c r="C264" s="157" t="s">
        <v>2592</v>
      </c>
      <c r="D264" s="161" t="s">
        <v>2610</v>
      </c>
      <c r="E264" s="161" t="s">
        <v>126</v>
      </c>
      <c r="F264" s="161" t="s">
        <v>127</v>
      </c>
      <c r="G264" s="161" t="s">
        <v>770</v>
      </c>
      <c r="H264" s="162">
        <v>43836</v>
      </c>
      <c r="I264" s="161" t="s">
        <v>744</v>
      </c>
      <c r="J264" s="158">
        <v>24</v>
      </c>
      <c r="K264" s="158">
        <v>22</v>
      </c>
      <c r="L264" s="158">
        <v>0</v>
      </c>
      <c r="M264" s="161" t="s">
        <v>6</v>
      </c>
      <c r="N264" s="158">
        <v>0</v>
      </c>
      <c r="O264" s="158">
        <v>0</v>
      </c>
      <c r="P264" s="158">
        <v>0</v>
      </c>
      <c r="Q264" s="161" t="s">
        <v>22</v>
      </c>
      <c r="R264" s="161">
        <v>276.95999999999998</v>
      </c>
      <c r="S264" s="161" t="s">
        <v>124</v>
      </c>
      <c r="T264" s="168"/>
      <c r="U264" s="168"/>
      <c r="V264" s="168"/>
      <c r="W264" s="168"/>
      <c r="X264" s="168"/>
      <c r="Y264" s="168"/>
      <c r="Z264" s="158">
        <v>0</v>
      </c>
      <c r="AA264" s="161"/>
      <c r="AB264" s="161"/>
      <c r="AC264" s="161">
        <v>90.9</v>
      </c>
    </row>
    <row r="265" spans="1:29" x14ac:dyDescent="0.2">
      <c r="A265" s="138">
        <f t="shared" si="4"/>
        <v>261</v>
      </c>
      <c r="B265" s="156">
        <v>43836</v>
      </c>
      <c r="C265" s="157" t="s">
        <v>2544</v>
      </c>
      <c r="D265" s="158" t="s">
        <v>2609</v>
      </c>
      <c r="E265" s="158" t="s">
        <v>1283</v>
      </c>
      <c r="F265" s="158" t="s">
        <v>1297</v>
      </c>
      <c r="G265" s="158" t="s">
        <v>770</v>
      </c>
      <c r="H265" s="159">
        <v>43836</v>
      </c>
      <c r="I265" s="158" t="s">
        <v>744</v>
      </c>
      <c r="J265" s="158">
        <v>14</v>
      </c>
      <c r="K265" s="158">
        <v>8</v>
      </c>
      <c r="L265" s="158">
        <v>0</v>
      </c>
      <c r="M265" s="158" t="s">
        <v>6</v>
      </c>
      <c r="N265" s="158">
        <v>0</v>
      </c>
      <c r="O265" s="158">
        <v>0</v>
      </c>
      <c r="P265" s="158">
        <v>0</v>
      </c>
      <c r="Q265" s="158" t="s">
        <v>22</v>
      </c>
      <c r="R265" s="158">
        <v>67.27</v>
      </c>
      <c r="S265" s="158" t="s">
        <v>124</v>
      </c>
      <c r="T265" s="222"/>
      <c r="U265" s="222"/>
      <c r="V265" s="222"/>
      <c r="W265" s="222"/>
      <c r="X265" s="222"/>
      <c r="Y265" s="222"/>
      <c r="Z265" s="158">
        <v>0</v>
      </c>
      <c r="AA265" s="158"/>
      <c r="AB265" s="158"/>
      <c r="AC265" s="158">
        <v>90</v>
      </c>
    </row>
    <row r="266" spans="1:29" x14ac:dyDescent="0.2">
      <c r="A266" s="138">
        <f t="shared" si="4"/>
        <v>262</v>
      </c>
      <c r="B266" s="156">
        <v>43837</v>
      </c>
      <c r="C266" s="157" t="s">
        <v>1369</v>
      </c>
      <c r="D266" s="158" t="s">
        <v>1370</v>
      </c>
      <c r="E266" s="158" t="s">
        <v>126</v>
      </c>
      <c r="F266" s="158" t="s">
        <v>127</v>
      </c>
      <c r="G266" s="158" t="s">
        <v>770</v>
      </c>
      <c r="H266" s="159">
        <v>43836</v>
      </c>
      <c r="I266" s="158"/>
      <c r="J266" s="158">
        <v>0</v>
      </c>
      <c r="K266" s="158">
        <v>0</v>
      </c>
      <c r="L266" s="158">
        <v>0</v>
      </c>
      <c r="M266" s="158"/>
      <c r="N266" s="158">
        <v>0</v>
      </c>
      <c r="O266" s="158">
        <v>0</v>
      </c>
      <c r="P266" s="158">
        <v>0</v>
      </c>
      <c r="Q266" s="158" t="s">
        <v>22</v>
      </c>
      <c r="R266" s="158">
        <v>653.03</v>
      </c>
      <c r="S266" s="158" t="s">
        <v>447</v>
      </c>
      <c r="T266" s="164"/>
      <c r="U266" s="164"/>
      <c r="V266" s="164"/>
      <c r="W266" s="164"/>
      <c r="X266" s="164"/>
      <c r="Y266" s="164"/>
      <c r="Z266" s="158">
        <v>0</v>
      </c>
      <c r="AA266" s="158" t="s">
        <v>22</v>
      </c>
      <c r="AB266" s="158"/>
      <c r="AC266" s="158">
        <v>0</v>
      </c>
    </row>
    <row r="267" spans="1:29" x14ac:dyDescent="0.2">
      <c r="A267" s="138">
        <f t="shared" si="4"/>
        <v>263</v>
      </c>
      <c r="B267" s="156">
        <v>43837</v>
      </c>
      <c r="C267" s="157" t="s">
        <v>2016</v>
      </c>
      <c r="D267" s="158" t="s">
        <v>1929</v>
      </c>
      <c r="E267" s="158" t="s">
        <v>126</v>
      </c>
      <c r="F267" s="158" t="s">
        <v>127</v>
      </c>
      <c r="G267" s="158" t="s">
        <v>770</v>
      </c>
      <c r="H267" s="159">
        <v>43836</v>
      </c>
      <c r="I267" s="158"/>
      <c r="J267" s="158">
        <v>0</v>
      </c>
      <c r="K267" s="158">
        <v>0</v>
      </c>
      <c r="L267" s="158">
        <v>0</v>
      </c>
      <c r="M267" s="158"/>
      <c r="N267" s="158">
        <v>0</v>
      </c>
      <c r="O267" s="158">
        <v>0</v>
      </c>
      <c r="P267" s="158">
        <v>0</v>
      </c>
      <c r="Q267" s="158" t="s">
        <v>22</v>
      </c>
      <c r="R267" s="158">
        <v>409.09</v>
      </c>
      <c r="S267" s="158" t="s">
        <v>447</v>
      </c>
      <c r="T267" s="164"/>
      <c r="U267" s="164"/>
      <c r="V267" s="164"/>
      <c r="W267" s="164"/>
      <c r="X267" s="164"/>
      <c r="Y267" s="164"/>
      <c r="Z267" s="158">
        <v>2</v>
      </c>
      <c r="AA267" s="158" t="s">
        <v>22</v>
      </c>
      <c r="AB267" s="158"/>
      <c r="AC267" s="158">
        <v>409.09</v>
      </c>
    </row>
    <row r="268" spans="1:29" x14ac:dyDescent="0.2">
      <c r="A268" s="138">
        <f t="shared" si="4"/>
        <v>264</v>
      </c>
      <c r="B268" s="156">
        <v>43837</v>
      </c>
      <c r="C268" s="157" t="s">
        <v>2614</v>
      </c>
      <c r="D268" s="158" t="s">
        <v>1395</v>
      </c>
      <c r="E268" s="158" t="s">
        <v>126</v>
      </c>
      <c r="F268" s="158" t="s">
        <v>127</v>
      </c>
      <c r="G268" s="158" t="s">
        <v>770</v>
      </c>
      <c r="H268" s="159">
        <v>43836</v>
      </c>
      <c r="I268" s="158"/>
      <c r="J268" s="158">
        <v>0</v>
      </c>
      <c r="K268" s="158">
        <v>0</v>
      </c>
      <c r="L268" s="158">
        <v>0</v>
      </c>
      <c r="M268" s="158"/>
      <c r="N268" s="158">
        <v>0</v>
      </c>
      <c r="O268" s="158">
        <v>0</v>
      </c>
      <c r="P268" s="158">
        <v>0</v>
      </c>
      <c r="Q268" s="158" t="s">
        <v>22</v>
      </c>
      <c r="R268" s="158">
        <v>109.09</v>
      </c>
      <c r="S268" s="158" t="s">
        <v>447</v>
      </c>
      <c r="T268" s="164"/>
      <c r="U268" s="164"/>
      <c r="V268" s="164"/>
      <c r="W268" s="164"/>
      <c r="X268" s="164"/>
      <c r="Y268" s="164"/>
      <c r="Z268" s="158">
        <v>4</v>
      </c>
      <c r="AA268" s="158" t="s">
        <v>22</v>
      </c>
      <c r="AB268" s="158"/>
      <c r="AC268" s="158">
        <v>0</v>
      </c>
    </row>
    <row r="269" spans="1:29" x14ac:dyDescent="0.2">
      <c r="A269" s="138">
        <f t="shared" si="4"/>
        <v>265</v>
      </c>
      <c r="B269" s="156">
        <v>43837</v>
      </c>
      <c r="C269" s="157" t="s">
        <v>2512</v>
      </c>
      <c r="D269" s="158" t="s">
        <v>2608</v>
      </c>
      <c r="E269" s="158" t="s">
        <v>122</v>
      </c>
      <c r="F269" s="158" t="s">
        <v>1912</v>
      </c>
      <c r="G269" s="158" t="s">
        <v>123</v>
      </c>
      <c r="H269" s="159">
        <v>43836</v>
      </c>
      <c r="I269" s="158" t="s">
        <v>744</v>
      </c>
      <c r="J269" s="158">
        <v>4</v>
      </c>
      <c r="K269" s="158">
        <v>4</v>
      </c>
      <c r="L269" s="158">
        <v>0</v>
      </c>
      <c r="M269" s="158"/>
      <c r="N269" s="158">
        <v>0</v>
      </c>
      <c r="O269" s="158">
        <v>0</v>
      </c>
      <c r="P269" s="158">
        <v>0</v>
      </c>
      <c r="Q269" s="158"/>
      <c r="R269" s="158">
        <v>0</v>
      </c>
      <c r="S269" s="158" t="s">
        <v>124</v>
      </c>
      <c r="T269" s="164"/>
      <c r="U269" s="164"/>
      <c r="V269" s="164"/>
      <c r="W269" s="164"/>
      <c r="X269" s="164"/>
      <c r="Y269" s="164"/>
      <c r="Z269" s="158">
        <v>0</v>
      </c>
      <c r="AA269" s="158" t="s">
        <v>22</v>
      </c>
      <c r="AB269" s="158"/>
      <c r="AC269" s="158">
        <v>0</v>
      </c>
    </row>
    <row r="270" spans="1:29" x14ac:dyDescent="0.2">
      <c r="A270" s="138">
        <f t="shared" si="4"/>
        <v>266</v>
      </c>
      <c r="B270" s="156">
        <v>43837</v>
      </c>
      <c r="C270" s="157" t="s">
        <v>2511</v>
      </c>
      <c r="D270" s="158" t="s">
        <v>2615</v>
      </c>
      <c r="E270" s="158" t="s">
        <v>156</v>
      </c>
      <c r="F270" s="158" t="s">
        <v>1902</v>
      </c>
      <c r="G270" s="158" t="s">
        <v>123</v>
      </c>
      <c r="H270" s="159">
        <v>43837</v>
      </c>
      <c r="I270" s="158" t="s">
        <v>744</v>
      </c>
      <c r="J270" s="158">
        <v>14</v>
      </c>
      <c r="K270" s="158">
        <v>8</v>
      </c>
      <c r="L270" s="158">
        <v>0</v>
      </c>
      <c r="M270" s="158" t="s">
        <v>6</v>
      </c>
      <c r="N270" s="158">
        <v>6</v>
      </c>
      <c r="O270" s="158">
        <v>6</v>
      </c>
      <c r="P270" s="158">
        <v>0</v>
      </c>
      <c r="Q270" s="158" t="s">
        <v>22</v>
      </c>
      <c r="R270" s="158">
        <v>1834.58</v>
      </c>
      <c r="S270" s="158" t="s">
        <v>23</v>
      </c>
      <c r="T270" s="164"/>
      <c r="U270" s="164"/>
      <c r="V270" s="164"/>
      <c r="W270" s="164"/>
      <c r="X270" s="164"/>
      <c r="Y270" s="164"/>
      <c r="Z270" s="158">
        <v>1</v>
      </c>
      <c r="AA270" s="158"/>
      <c r="AB270" s="158"/>
      <c r="AC270" s="158">
        <v>35</v>
      </c>
    </row>
    <row r="271" spans="1:29" x14ac:dyDescent="0.2">
      <c r="A271" s="138">
        <f t="shared" si="4"/>
        <v>267</v>
      </c>
      <c r="B271" s="156">
        <v>43837</v>
      </c>
      <c r="C271" s="157" t="s">
        <v>2617</v>
      </c>
      <c r="D271" s="158" t="s">
        <v>2618</v>
      </c>
      <c r="E271" s="158" t="s">
        <v>146</v>
      </c>
      <c r="F271" s="158" t="s">
        <v>1314</v>
      </c>
      <c r="G271" s="158" t="s">
        <v>123</v>
      </c>
      <c r="H271" s="159">
        <v>43837</v>
      </c>
      <c r="I271" s="158" t="s">
        <v>744</v>
      </c>
      <c r="J271" s="158">
        <v>11</v>
      </c>
      <c r="K271" s="158">
        <v>10</v>
      </c>
      <c r="L271" s="158">
        <v>0</v>
      </c>
      <c r="M271" s="158" t="s">
        <v>6</v>
      </c>
      <c r="N271" s="158">
        <v>2.5</v>
      </c>
      <c r="O271" s="158">
        <v>2.5</v>
      </c>
      <c r="P271" s="158">
        <v>0</v>
      </c>
      <c r="Q271" s="158" t="s">
        <v>22</v>
      </c>
      <c r="R271" s="158">
        <v>1815.19</v>
      </c>
      <c r="S271" s="158" t="s">
        <v>23</v>
      </c>
      <c r="T271" s="164"/>
      <c r="U271" s="164"/>
      <c r="V271" s="164"/>
      <c r="W271" s="164"/>
      <c r="X271" s="164"/>
      <c r="Y271" s="164"/>
      <c r="Z271" s="158">
        <v>0</v>
      </c>
      <c r="AA271" s="158"/>
      <c r="AB271" s="158"/>
      <c r="AC271" s="158">
        <v>0</v>
      </c>
    </row>
    <row r="272" spans="1:29" x14ac:dyDescent="0.2">
      <c r="A272" s="138">
        <f t="shared" si="4"/>
        <v>268</v>
      </c>
      <c r="B272" s="156">
        <v>43837</v>
      </c>
      <c r="C272" s="157" t="s">
        <v>2555</v>
      </c>
      <c r="D272" s="158" t="s">
        <v>2611</v>
      </c>
      <c r="E272" s="158" t="s">
        <v>1283</v>
      </c>
      <c r="F272" s="158" t="s">
        <v>1297</v>
      </c>
      <c r="G272" s="158" t="s">
        <v>770</v>
      </c>
      <c r="H272" s="159">
        <v>43836</v>
      </c>
      <c r="I272" s="158" t="s">
        <v>744</v>
      </c>
      <c r="J272" s="158">
        <v>40</v>
      </c>
      <c r="K272" s="158">
        <v>24</v>
      </c>
      <c r="L272" s="158">
        <v>0</v>
      </c>
      <c r="M272" s="158" t="s">
        <v>6</v>
      </c>
      <c r="N272" s="158">
        <v>17</v>
      </c>
      <c r="O272" s="158">
        <v>16.5</v>
      </c>
      <c r="P272" s="158">
        <v>0</v>
      </c>
      <c r="Q272" s="158" t="s">
        <v>22</v>
      </c>
      <c r="R272" s="158">
        <v>473.33</v>
      </c>
      <c r="S272" s="158" t="s">
        <v>142</v>
      </c>
      <c r="T272" s="164"/>
      <c r="U272" s="164"/>
      <c r="V272" s="164"/>
      <c r="W272" s="164"/>
      <c r="X272" s="164"/>
      <c r="Y272" s="164"/>
      <c r="Z272" s="158">
        <v>0</v>
      </c>
      <c r="AA272" s="158"/>
      <c r="AB272" s="158"/>
      <c r="AC272" s="158">
        <v>127.27</v>
      </c>
    </row>
    <row r="273" spans="1:29" x14ac:dyDescent="0.2">
      <c r="A273" s="138">
        <f t="shared" si="4"/>
        <v>269</v>
      </c>
      <c r="B273" s="156">
        <v>43837</v>
      </c>
      <c r="C273" s="157" t="s">
        <v>2612</v>
      </c>
      <c r="D273" s="158" t="s">
        <v>2613</v>
      </c>
      <c r="E273" s="158" t="s">
        <v>1283</v>
      </c>
      <c r="F273" s="158" t="s">
        <v>1297</v>
      </c>
      <c r="G273" s="158" t="s">
        <v>770</v>
      </c>
      <c r="H273" s="159">
        <v>43836</v>
      </c>
      <c r="I273" s="158" t="s">
        <v>744</v>
      </c>
      <c r="J273" s="158">
        <v>22</v>
      </c>
      <c r="K273" s="158">
        <v>14</v>
      </c>
      <c r="L273" s="158">
        <v>0</v>
      </c>
      <c r="M273" s="158" t="s">
        <v>6</v>
      </c>
      <c r="N273" s="158">
        <v>13.5</v>
      </c>
      <c r="O273" s="158">
        <v>13.5</v>
      </c>
      <c r="P273" s="158">
        <v>0</v>
      </c>
      <c r="Q273" s="158" t="s">
        <v>22</v>
      </c>
      <c r="R273" s="158">
        <v>86.96</v>
      </c>
      <c r="S273" s="158" t="s">
        <v>142</v>
      </c>
      <c r="T273" s="164"/>
      <c r="U273" s="164"/>
      <c r="V273" s="164"/>
      <c r="W273" s="164"/>
      <c r="X273" s="164"/>
      <c r="Y273" s="164"/>
      <c r="Z273" s="158">
        <v>0</v>
      </c>
      <c r="AA273" s="158"/>
      <c r="AB273" s="158"/>
      <c r="AC273" s="158">
        <v>27.27</v>
      </c>
    </row>
    <row r="274" spans="1:29" x14ac:dyDescent="0.2">
      <c r="A274" s="138">
        <f t="shared" si="4"/>
        <v>270</v>
      </c>
      <c r="B274" s="156">
        <v>43837</v>
      </c>
      <c r="C274" s="157" t="s">
        <v>2616</v>
      </c>
      <c r="D274" s="165" t="s">
        <v>2615</v>
      </c>
      <c r="E274" s="165" t="s">
        <v>156</v>
      </c>
      <c r="F274" s="165" t="s">
        <v>1902</v>
      </c>
      <c r="G274" s="165" t="s">
        <v>123</v>
      </c>
      <c r="H274" s="166">
        <v>43837</v>
      </c>
      <c r="I274" s="165" t="s">
        <v>744</v>
      </c>
      <c r="J274" s="158">
        <v>1</v>
      </c>
      <c r="K274" s="158">
        <v>1</v>
      </c>
      <c r="L274" s="158">
        <v>0</v>
      </c>
      <c r="M274" s="165" t="s">
        <v>6</v>
      </c>
      <c r="N274" s="158">
        <v>1</v>
      </c>
      <c r="O274" s="158">
        <v>1</v>
      </c>
      <c r="P274" s="158">
        <v>0</v>
      </c>
      <c r="Q274" s="165"/>
      <c r="R274" s="165">
        <v>0</v>
      </c>
      <c r="S274" s="158" t="s">
        <v>124</v>
      </c>
      <c r="T274" s="164"/>
      <c r="U274" s="164"/>
      <c r="V274" s="164"/>
      <c r="W274" s="164"/>
      <c r="X274" s="164"/>
      <c r="Y274" s="164"/>
      <c r="Z274" s="158">
        <v>0</v>
      </c>
      <c r="AA274" s="165"/>
      <c r="AB274" s="165"/>
      <c r="AC274" s="158">
        <v>0</v>
      </c>
    </row>
    <row r="275" spans="1:29" x14ac:dyDescent="0.2">
      <c r="A275" s="138">
        <f t="shared" si="4"/>
        <v>271</v>
      </c>
      <c r="B275" s="156">
        <v>43838</v>
      </c>
      <c r="C275" s="157" t="s">
        <v>2619</v>
      </c>
      <c r="D275" s="158" t="s">
        <v>2620</v>
      </c>
      <c r="E275" s="158" t="s">
        <v>21</v>
      </c>
      <c r="F275" s="158" t="s">
        <v>24</v>
      </c>
      <c r="G275" s="158" t="s">
        <v>123</v>
      </c>
      <c r="H275" s="159">
        <v>43836</v>
      </c>
      <c r="I275" s="158" t="s">
        <v>744</v>
      </c>
      <c r="J275" s="158">
        <v>4.25</v>
      </c>
      <c r="K275" s="158">
        <v>4</v>
      </c>
      <c r="L275" s="158">
        <v>0</v>
      </c>
      <c r="M275" s="158" t="s">
        <v>6</v>
      </c>
      <c r="N275" s="158">
        <v>3</v>
      </c>
      <c r="O275" s="158">
        <v>3</v>
      </c>
      <c r="P275" s="158">
        <v>0</v>
      </c>
      <c r="Q275" s="158" t="s">
        <v>22</v>
      </c>
      <c r="R275" s="158">
        <v>18.87</v>
      </c>
      <c r="S275" s="158" t="s">
        <v>124</v>
      </c>
      <c r="T275" s="164"/>
      <c r="U275" s="164"/>
      <c r="V275" s="164"/>
      <c r="W275" s="164"/>
      <c r="X275" s="164"/>
      <c r="Y275" s="164"/>
      <c r="Z275" s="158">
        <v>0</v>
      </c>
      <c r="AA275" s="158"/>
      <c r="AB275" s="158"/>
      <c r="AC275" s="158">
        <v>30</v>
      </c>
    </row>
    <row r="276" spans="1:29" x14ac:dyDescent="0.2">
      <c r="A276" s="138">
        <f t="shared" si="4"/>
        <v>272</v>
      </c>
      <c r="B276" s="156">
        <v>43838</v>
      </c>
      <c r="C276" s="157" t="s">
        <v>2621</v>
      </c>
      <c r="D276" s="158" t="s">
        <v>2620</v>
      </c>
      <c r="E276" s="158" t="s">
        <v>21</v>
      </c>
      <c r="F276" s="158" t="s">
        <v>24</v>
      </c>
      <c r="G276" s="158" t="s">
        <v>123</v>
      </c>
      <c r="H276" s="159">
        <v>43836</v>
      </c>
      <c r="I276" s="158" t="s">
        <v>744</v>
      </c>
      <c r="J276" s="158">
        <v>0.5</v>
      </c>
      <c r="K276" s="158">
        <v>0.5</v>
      </c>
      <c r="L276" s="158">
        <v>0</v>
      </c>
      <c r="M276" s="158" t="s">
        <v>6</v>
      </c>
      <c r="N276" s="158">
        <v>0.25</v>
      </c>
      <c r="O276" s="158">
        <v>0.25</v>
      </c>
      <c r="P276" s="158">
        <v>0</v>
      </c>
      <c r="Q276" s="158" t="s">
        <v>22</v>
      </c>
      <c r="R276" s="158">
        <v>267.41000000000003</v>
      </c>
      <c r="S276" s="158" t="s">
        <v>124</v>
      </c>
      <c r="T276" s="164"/>
      <c r="U276" s="164"/>
      <c r="V276" s="164"/>
      <c r="W276" s="164"/>
      <c r="X276" s="164"/>
      <c r="Y276" s="164"/>
      <c r="Z276" s="158">
        <v>0</v>
      </c>
      <c r="AA276" s="158"/>
      <c r="AB276" s="158"/>
      <c r="AC276" s="158">
        <v>0</v>
      </c>
    </row>
    <row r="277" spans="1:29" x14ac:dyDescent="0.2">
      <c r="A277" s="138">
        <f t="shared" si="4"/>
        <v>273</v>
      </c>
      <c r="B277" s="156">
        <v>43839</v>
      </c>
      <c r="C277" s="157" t="s">
        <v>2515</v>
      </c>
      <c r="D277" s="158" t="s">
        <v>2629</v>
      </c>
      <c r="E277" s="158" t="s">
        <v>2630</v>
      </c>
      <c r="F277" s="158" t="s">
        <v>2631</v>
      </c>
      <c r="G277" s="158" t="s">
        <v>123</v>
      </c>
      <c r="H277" s="159">
        <v>44192</v>
      </c>
      <c r="I277" s="158" t="s">
        <v>744</v>
      </c>
      <c r="J277" s="158">
        <v>42</v>
      </c>
      <c r="K277" s="158">
        <v>30</v>
      </c>
      <c r="L277" s="158">
        <v>0</v>
      </c>
      <c r="M277" s="158" t="s">
        <v>6</v>
      </c>
      <c r="N277" s="158">
        <v>6.5</v>
      </c>
      <c r="O277" s="158">
        <v>6.5</v>
      </c>
      <c r="P277" s="158">
        <v>0</v>
      </c>
      <c r="Q277" s="158" t="s">
        <v>22</v>
      </c>
      <c r="R277" s="158">
        <v>3967.98</v>
      </c>
      <c r="S277" s="158" t="s">
        <v>142</v>
      </c>
      <c r="T277" s="164"/>
      <c r="U277" s="164"/>
      <c r="V277" s="164"/>
      <c r="W277" s="164"/>
      <c r="X277" s="164"/>
      <c r="Y277" s="164"/>
      <c r="Z277" s="158">
        <v>3</v>
      </c>
      <c r="AA277" s="158"/>
      <c r="AB277" s="158"/>
      <c r="AC277" s="158">
        <v>205</v>
      </c>
    </row>
    <row r="278" spans="1:29" x14ac:dyDescent="0.2">
      <c r="A278" s="138">
        <f t="shared" si="4"/>
        <v>274</v>
      </c>
      <c r="B278" s="156">
        <v>43839</v>
      </c>
      <c r="C278" s="157" t="s">
        <v>2550</v>
      </c>
      <c r="D278" s="158" t="s">
        <v>2627</v>
      </c>
      <c r="E278" s="158" t="s">
        <v>126</v>
      </c>
      <c r="F278" s="158" t="s">
        <v>127</v>
      </c>
      <c r="G278" s="158" t="s">
        <v>770</v>
      </c>
      <c r="H278" s="159">
        <v>43838</v>
      </c>
      <c r="I278" s="158" t="s">
        <v>744</v>
      </c>
      <c r="J278" s="158">
        <v>42</v>
      </c>
      <c r="K278" s="158">
        <v>30</v>
      </c>
      <c r="L278" s="158">
        <v>0</v>
      </c>
      <c r="M278" s="158" t="s">
        <v>6</v>
      </c>
      <c r="N278" s="158">
        <v>17.5</v>
      </c>
      <c r="O278" s="158">
        <v>17.5</v>
      </c>
      <c r="P278" s="158">
        <v>0</v>
      </c>
      <c r="Q278" s="158" t="s">
        <v>22</v>
      </c>
      <c r="R278" s="158">
        <v>1476.96</v>
      </c>
      <c r="S278" s="158" t="s">
        <v>142</v>
      </c>
      <c r="T278" s="167"/>
      <c r="U278" s="167"/>
      <c r="V278" s="167"/>
      <c r="W278" s="167"/>
      <c r="X278" s="167"/>
      <c r="Y278" s="167"/>
      <c r="Z278" s="158">
        <v>26</v>
      </c>
      <c r="AA278" s="158"/>
      <c r="AB278" s="158"/>
      <c r="AC278" s="158">
        <v>216.66</v>
      </c>
    </row>
    <row r="279" spans="1:29" x14ac:dyDescent="0.2">
      <c r="A279" s="138">
        <f t="shared" si="4"/>
        <v>275</v>
      </c>
      <c r="B279" s="156">
        <v>43839</v>
      </c>
      <c r="C279" s="157" t="s">
        <v>2547</v>
      </c>
      <c r="D279" s="158" t="s">
        <v>2628</v>
      </c>
      <c r="E279" s="158" t="s">
        <v>126</v>
      </c>
      <c r="F279" s="158" t="s">
        <v>127</v>
      </c>
      <c r="G279" s="158" t="s">
        <v>770</v>
      </c>
      <c r="H279" s="159">
        <v>43839</v>
      </c>
      <c r="I279" s="158" t="s">
        <v>744</v>
      </c>
      <c r="J279" s="158">
        <v>49</v>
      </c>
      <c r="K279" s="158">
        <v>35</v>
      </c>
      <c r="L279" s="158">
        <v>0</v>
      </c>
      <c r="M279" s="158" t="s">
        <v>6</v>
      </c>
      <c r="N279" s="158">
        <v>18.5</v>
      </c>
      <c r="O279" s="158">
        <v>18</v>
      </c>
      <c r="P279" s="158">
        <v>0</v>
      </c>
      <c r="Q279" s="158" t="s">
        <v>22</v>
      </c>
      <c r="R279" s="158">
        <v>2031.51</v>
      </c>
      <c r="S279" s="158" t="s">
        <v>142</v>
      </c>
      <c r="T279" s="167"/>
      <c r="U279" s="167"/>
      <c r="V279" s="167"/>
      <c r="W279" s="167"/>
      <c r="X279" s="167"/>
      <c r="Y279" s="167"/>
      <c r="Z279" s="158">
        <v>0</v>
      </c>
      <c r="AA279" s="158"/>
      <c r="AB279" s="158"/>
      <c r="AC279" s="158">
        <v>303.02999999999997</v>
      </c>
    </row>
    <row r="280" spans="1:29" x14ac:dyDescent="0.2">
      <c r="A280" s="138">
        <f t="shared" si="4"/>
        <v>276</v>
      </c>
      <c r="B280" s="156">
        <v>43839</v>
      </c>
      <c r="C280" s="157" t="s">
        <v>2560</v>
      </c>
      <c r="D280" s="158" t="s">
        <v>2622</v>
      </c>
      <c r="E280" s="158" t="s">
        <v>180</v>
      </c>
      <c r="F280" s="158" t="s">
        <v>2623</v>
      </c>
      <c r="G280" s="158" t="s">
        <v>770</v>
      </c>
      <c r="H280" s="159">
        <v>44082</v>
      </c>
      <c r="I280" s="158" t="s">
        <v>744</v>
      </c>
      <c r="J280" s="158">
        <v>29</v>
      </c>
      <c r="K280" s="158">
        <v>20</v>
      </c>
      <c r="L280" s="158">
        <v>0</v>
      </c>
      <c r="M280" s="158" t="s">
        <v>6</v>
      </c>
      <c r="N280" s="158">
        <v>15</v>
      </c>
      <c r="O280" s="158">
        <v>15</v>
      </c>
      <c r="P280" s="158">
        <v>0</v>
      </c>
      <c r="Q280" s="158" t="s">
        <v>22</v>
      </c>
      <c r="R280" s="158">
        <v>455.15</v>
      </c>
      <c r="S280" s="158" t="s">
        <v>142</v>
      </c>
      <c r="T280" s="167"/>
      <c r="U280" s="167"/>
      <c r="V280" s="167"/>
      <c r="W280" s="167"/>
      <c r="X280" s="167"/>
      <c r="Y280" s="167"/>
      <c r="Z280" s="158">
        <v>8.5</v>
      </c>
      <c r="AA280" s="158"/>
      <c r="AB280" s="158"/>
      <c r="AC280" s="158">
        <v>103.3</v>
      </c>
    </row>
    <row r="281" spans="1:29" x14ac:dyDescent="0.2">
      <c r="A281" s="138">
        <f t="shared" si="4"/>
        <v>277</v>
      </c>
      <c r="B281" s="156">
        <v>43839</v>
      </c>
      <c r="C281" s="157" t="s">
        <v>2577</v>
      </c>
      <c r="D281" s="158" t="s">
        <v>2624</v>
      </c>
      <c r="E281" s="158" t="s">
        <v>2625</v>
      </c>
      <c r="F281" s="158" t="s">
        <v>2626</v>
      </c>
      <c r="G281" s="158" t="s">
        <v>121</v>
      </c>
      <c r="H281" s="159">
        <v>43839</v>
      </c>
      <c r="I281" s="158"/>
      <c r="J281" s="158">
        <v>0</v>
      </c>
      <c r="K281" s="158">
        <v>0</v>
      </c>
      <c r="L281" s="158">
        <v>0</v>
      </c>
      <c r="M281" s="158"/>
      <c r="N281" s="158">
        <v>0</v>
      </c>
      <c r="O281" s="158">
        <v>0</v>
      </c>
      <c r="P281" s="158">
        <v>0</v>
      </c>
      <c r="Q281" s="158"/>
      <c r="R281" s="158">
        <v>0</v>
      </c>
      <c r="S281" s="158" t="s">
        <v>447</v>
      </c>
      <c r="T281" s="167"/>
      <c r="U281" s="167"/>
      <c r="V281" s="167"/>
      <c r="W281" s="167"/>
      <c r="X281" s="167"/>
      <c r="Y281" s="167"/>
      <c r="Z281" s="158">
        <v>2.67</v>
      </c>
      <c r="AA281" s="158"/>
      <c r="AB281" s="158"/>
      <c r="AC281" s="158">
        <v>0</v>
      </c>
    </row>
    <row r="282" spans="1:29" x14ac:dyDescent="0.2">
      <c r="A282" s="138">
        <f t="shared" si="4"/>
        <v>278</v>
      </c>
      <c r="B282" s="156">
        <v>43840</v>
      </c>
      <c r="C282" s="157" t="s">
        <v>2590</v>
      </c>
      <c r="D282" s="158" t="s">
        <v>2633</v>
      </c>
      <c r="E282" s="158" t="s">
        <v>126</v>
      </c>
      <c r="F282" s="158" t="s">
        <v>127</v>
      </c>
      <c r="G282" s="158" t="s">
        <v>770</v>
      </c>
      <c r="H282" s="159">
        <v>43838</v>
      </c>
      <c r="I282" s="158" t="s">
        <v>744</v>
      </c>
      <c r="J282" s="158">
        <v>33</v>
      </c>
      <c r="K282" s="158">
        <v>24</v>
      </c>
      <c r="L282" s="158">
        <v>0</v>
      </c>
      <c r="M282" s="158" t="s">
        <v>6</v>
      </c>
      <c r="N282" s="158">
        <v>17</v>
      </c>
      <c r="O282" s="158">
        <v>17</v>
      </c>
      <c r="P282" s="158">
        <v>0</v>
      </c>
      <c r="Q282" s="158" t="s">
        <v>22</v>
      </c>
      <c r="R282" s="158">
        <v>424.24</v>
      </c>
      <c r="S282" s="158" t="s">
        <v>142</v>
      </c>
      <c r="T282" s="167"/>
      <c r="U282" s="167"/>
      <c r="V282" s="167"/>
      <c r="W282" s="167"/>
      <c r="X282" s="167"/>
      <c r="Y282" s="167"/>
      <c r="Z282" s="158">
        <v>9</v>
      </c>
      <c r="AA282" s="158"/>
      <c r="AB282" s="158"/>
      <c r="AC282" s="158">
        <v>59.09</v>
      </c>
    </row>
    <row r="283" spans="1:29" x14ac:dyDescent="0.2">
      <c r="A283" s="138">
        <f t="shared" si="4"/>
        <v>279</v>
      </c>
      <c r="B283" s="156">
        <v>43840</v>
      </c>
      <c r="C283" s="157" t="s">
        <v>2568</v>
      </c>
      <c r="D283" s="158" t="s">
        <v>2632</v>
      </c>
      <c r="E283" s="158" t="s">
        <v>126</v>
      </c>
      <c r="F283" s="158" t="s">
        <v>127</v>
      </c>
      <c r="G283" s="158" t="s">
        <v>770</v>
      </c>
      <c r="H283" s="159">
        <v>43838</v>
      </c>
      <c r="I283" s="158" t="s">
        <v>744</v>
      </c>
      <c r="J283" s="158">
        <v>45</v>
      </c>
      <c r="K283" s="158">
        <v>33</v>
      </c>
      <c r="L283" s="158">
        <v>0</v>
      </c>
      <c r="M283" s="158" t="s">
        <v>6</v>
      </c>
      <c r="N283" s="158">
        <v>13</v>
      </c>
      <c r="O283" s="158">
        <v>13</v>
      </c>
      <c r="P283" s="158">
        <v>0</v>
      </c>
      <c r="Q283" s="158" t="s">
        <v>22</v>
      </c>
      <c r="R283" s="158">
        <v>1965.33</v>
      </c>
      <c r="S283" s="158" t="s">
        <v>142</v>
      </c>
      <c r="T283" s="167"/>
      <c r="U283" s="167"/>
      <c r="V283" s="167"/>
      <c r="W283" s="167"/>
      <c r="X283" s="167"/>
      <c r="Y283" s="167"/>
      <c r="Z283" s="158">
        <v>23</v>
      </c>
      <c r="AA283" s="158"/>
      <c r="AB283" s="158"/>
      <c r="AC283" s="158">
        <v>374.24</v>
      </c>
    </row>
    <row r="284" spans="1:29" x14ac:dyDescent="0.2">
      <c r="A284" s="138">
        <f t="shared" si="4"/>
        <v>280</v>
      </c>
      <c r="B284" s="156">
        <v>43841</v>
      </c>
      <c r="C284" s="158" t="s">
        <v>2577</v>
      </c>
      <c r="D284" s="158" t="s">
        <v>2624</v>
      </c>
      <c r="E284" s="158" t="s">
        <v>2625</v>
      </c>
      <c r="F284" s="158" t="s">
        <v>2626</v>
      </c>
      <c r="G284" s="158" t="s">
        <v>121</v>
      </c>
      <c r="H284" s="159">
        <v>43840</v>
      </c>
      <c r="I284" s="158"/>
      <c r="J284" s="158">
        <v>0</v>
      </c>
      <c r="K284" s="158">
        <v>0</v>
      </c>
      <c r="L284" s="158">
        <v>0</v>
      </c>
      <c r="M284" s="158"/>
      <c r="N284" s="158">
        <v>0</v>
      </c>
      <c r="O284" s="158">
        <v>0</v>
      </c>
      <c r="P284" s="158">
        <v>0</v>
      </c>
      <c r="Q284" s="158"/>
      <c r="R284" s="158">
        <v>0</v>
      </c>
      <c r="S284" s="158" t="s">
        <v>447</v>
      </c>
      <c r="T284" s="167"/>
      <c r="U284" s="167"/>
      <c r="V284" s="167"/>
      <c r="W284" s="167"/>
      <c r="X284" s="167"/>
      <c r="Y284" s="167"/>
      <c r="Z284" s="158">
        <v>1</v>
      </c>
      <c r="AA284" s="158"/>
      <c r="AB284" s="158"/>
      <c r="AC284" s="158">
        <v>0</v>
      </c>
    </row>
    <row r="285" spans="1:29" x14ac:dyDescent="0.2">
      <c r="A285" s="138">
        <f t="shared" si="4"/>
        <v>281</v>
      </c>
      <c r="B285" s="156">
        <v>43843</v>
      </c>
      <c r="C285" s="157" t="s">
        <v>2637</v>
      </c>
      <c r="D285" s="158" t="s">
        <v>2638</v>
      </c>
      <c r="E285" s="158" t="s">
        <v>156</v>
      </c>
      <c r="F285" s="158" t="s">
        <v>1902</v>
      </c>
      <c r="G285" s="158" t="s">
        <v>121</v>
      </c>
      <c r="H285" s="159">
        <v>43843</v>
      </c>
      <c r="I285" s="158" t="s">
        <v>744</v>
      </c>
      <c r="J285" s="158">
        <v>1</v>
      </c>
      <c r="K285" s="158">
        <v>1</v>
      </c>
      <c r="L285" s="158">
        <v>0</v>
      </c>
      <c r="M285" s="158"/>
      <c r="N285" s="158">
        <v>0</v>
      </c>
      <c r="O285" s="158">
        <v>0</v>
      </c>
      <c r="P285" s="158">
        <v>0</v>
      </c>
      <c r="Q285" s="158" t="s">
        <v>22</v>
      </c>
      <c r="R285" s="158">
        <v>88.5</v>
      </c>
      <c r="S285" s="158" t="s">
        <v>447</v>
      </c>
      <c r="T285" s="167"/>
      <c r="U285" s="167"/>
      <c r="V285" s="167"/>
      <c r="W285" s="167"/>
      <c r="X285" s="167"/>
      <c r="Y285" s="167"/>
      <c r="Z285" s="158">
        <v>0</v>
      </c>
      <c r="AA285" s="158"/>
      <c r="AB285" s="158"/>
      <c r="AC285" s="158">
        <v>0</v>
      </c>
    </row>
    <row r="286" spans="1:29" x14ac:dyDescent="0.2">
      <c r="A286" s="138">
        <f t="shared" si="4"/>
        <v>282</v>
      </c>
      <c r="B286" s="156">
        <v>43843</v>
      </c>
      <c r="C286" s="157" t="s">
        <v>2634</v>
      </c>
      <c r="D286" s="158" t="s">
        <v>2635</v>
      </c>
      <c r="E286" s="158" t="s">
        <v>172</v>
      </c>
      <c r="F286" s="158" t="s">
        <v>2636</v>
      </c>
      <c r="G286" s="158" t="s">
        <v>123</v>
      </c>
      <c r="H286" s="159">
        <v>43838</v>
      </c>
      <c r="I286" s="158" t="s">
        <v>744</v>
      </c>
      <c r="J286" s="158">
        <v>18</v>
      </c>
      <c r="K286" s="158">
        <v>12</v>
      </c>
      <c r="L286" s="158">
        <v>0</v>
      </c>
      <c r="M286" s="158" t="s">
        <v>6</v>
      </c>
      <c r="N286" s="158">
        <v>1.5</v>
      </c>
      <c r="O286" s="158">
        <v>1.5</v>
      </c>
      <c r="P286" s="158">
        <v>0</v>
      </c>
      <c r="Q286" s="158" t="s">
        <v>22</v>
      </c>
      <c r="R286" s="158">
        <v>765.25</v>
      </c>
      <c r="S286" s="158" t="s">
        <v>23</v>
      </c>
      <c r="T286" s="167"/>
      <c r="U286" s="167"/>
      <c r="V286" s="167"/>
      <c r="W286" s="167"/>
      <c r="X286" s="167"/>
      <c r="Y286" s="167"/>
      <c r="Z286" s="158">
        <v>0</v>
      </c>
      <c r="AA286" s="158"/>
      <c r="AB286" s="158"/>
      <c r="AC286" s="158">
        <v>0</v>
      </c>
    </row>
    <row r="287" spans="1:29" x14ac:dyDescent="0.2">
      <c r="A287" s="138">
        <f t="shared" si="4"/>
        <v>283</v>
      </c>
      <c r="B287" s="156">
        <v>43844</v>
      </c>
      <c r="C287" s="157" t="s">
        <v>2577</v>
      </c>
      <c r="D287" s="158" t="s">
        <v>2624</v>
      </c>
      <c r="E287" s="158" t="s">
        <v>2625</v>
      </c>
      <c r="F287" s="158" t="s">
        <v>2626</v>
      </c>
      <c r="G287" s="158" t="s">
        <v>121</v>
      </c>
      <c r="H287" s="159">
        <v>43844</v>
      </c>
      <c r="I287" s="158"/>
      <c r="J287" s="158">
        <v>0</v>
      </c>
      <c r="K287" s="158">
        <v>0</v>
      </c>
      <c r="L287" s="158">
        <v>0</v>
      </c>
      <c r="M287" s="158"/>
      <c r="N287" s="158">
        <v>0</v>
      </c>
      <c r="O287" s="158">
        <v>0</v>
      </c>
      <c r="P287" s="158">
        <v>0</v>
      </c>
      <c r="Q287" s="158" t="s">
        <v>22</v>
      </c>
      <c r="R287" s="158">
        <v>416.35</v>
      </c>
      <c r="S287" s="158" t="s">
        <v>447</v>
      </c>
      <c r="T287" s="167"/>
      <c r="U287" s="167"/>
      <c r="V287" s="167"/>
      <c r="W287" s="167"/>
      <c r="X287" s="167"/>
      <c r="Y287" s="167"/>
      <c r="Z287" s="158">
        <v>0</v>
      </c>
      <c r="AA287" s="158"/>
      <c r="AB287" s="158"/>
      <c r="AC287" s="158">
        <v>0</v>
      </c>
    </row>
    <row r="288" spans="1:29" x14ac:dyDescent="0.2">
      <c r="A288" s="138">
        <f t="shared" si="4"/>
        <v>284</v>
      </c>
      <c r="B288" s="156">
        <v>43844</v>
      </c>
      <c r="C288" s="157" t="s">
        <v>2639</v>
      </c>
      <c r="D288" s="158" t="s">
        <v>2640</v>
      </c>
      <c r="E288" s="158" t="s">
        <v>172</v>
      </c>
      <c r="F288" s="158" t="s">
        <v>173</v>
      </c>
      <c r="G288" s="158" t="s">
        <v>123</v>
      </c>
      <c r="H288" s="159">
        <v>43843</v>
      </c>
      <c r="I288" s="158" t="s">
        <v>744</v>
      </c>
      <c r="J288" s="158">
        <v>11</v>
      </c>
      <c r="K288" s="158">
        <v>7</v>
      </c>
      <c r="L288" s="158">
        <v>0</v>
      </c>
      <c r="M288" s="158" t="s">
        <v>6</v>
      </c>
      <c r="N288" s="158">
        <v>2.5</v>
      </c>
      <c r="O288" s="158">
        <v>2.5</v>
      </c>
      <c r="P288" s="158">
        <v>0</v>
      </c>
      <c r="Q288" s="158" t="s">
        <v>22</v>
      </c>
      <c r="R288" s="158">
        <v>140.88999999999999</v>
      </c>
      <c r="S288" s="158" t="s">
        <v>124</v>
      </c>
      <c r="T288" s="167"/>
      <c r="U288" s="167"/>
      <c r="V288" s="167"/>
      <c r="W288" s="167"/>
      <c r="X288" s="167"/>
      <c r="Y288" s="167"/>
      <c r="Z288" s="158">
        <v>0</v>
      </c>
      <c r="AA288" s="158"/>
      <c r="AB288" s="158"/>
      <c r="AC288" s="158">
        <v>0</v>
      </c>
    </row>
    <row r="289" spans="1:29" x14ac:dyDescent="0.2">
      <c r="A289" s="138">
        <f t="shared" si="4"/>
        <v>285</v>
      </c>
      <c r="B289" s="156">
        <v>43845</v>
      </c>
      <c r="C289" s="157" t="s">
        <v>1965</v>
      </c>
      <c r="D289" s="158" t="s">
        <v>1303</v>
      </c>
      <c r="E289" s="158" t="s">
        <v>126</v>
      </c>
      <c r="F289" s="158" t="s">
        <v>127</v>
      </c>
      <c r="G289" s="158" t="s">
        <v>770</v>
      </c>
      <c r="H289" s="159">
        <v>43845</v>
      </c>
      <c r="I289" s="158"/>
      <c r="J289" s="158">
        <v>0</v>
      </c>
      <c r="K289" s="158">
        <v>0</v>
      </c>
      <c r="L289" s="158">
        <v>0</v>
      </c>
      <c r="M289" s="158"/>
      <c r="N289" s="158">
        <v>0</v>
      </c>
      <c r="O289" s="158">
        <v>0</v>
      </c>
      <c r="P289" s="158">
        <v>0</v>
      </c>
      <c r="Q289" s="158"/>
      <c r="R289" s="158">
        <v>0</v>
      </c>
      <c r="S289" s="158" t="s">
        <v>124</v>
      </c>
      <c r="T289" s="167"/>
      <c r="U289" s="167"/>
      <c r="V289" s="167"/>
      <c r="W289" s="167"/>
      <c r="X289" s="167"/>
      <c r="Y289" s="167"/>
      <c r="Z289" s="158">
        <v>0</v>
      </c>
      <c r="AA289" s="158"/>
      <c r="AB289" s="158"/>
      <c r="AC289" s="158">
        <v>6.06</v>
      </c>
    </row>
    <row r="290" spans="1:29" x14ac:dyDescent="0.2">
      <c r="A290" s="138">
        <f t="shared" si="4"/>
        <v>286</v>
      </c>
      <c r="B290" s="156">
        <v>43845</v>
      </c>
      <c r="C290" s="157" t="s">
        <v>2521</v>
      </c>
      <c r="D290" s="161" t="s">
        <v>1964</v>
      </c>
      <c r="E290" s="161" t="s">
        <v>146</v>
      </c>
      <c r="F290" s="161" t="s">
        <v>179</v>
      </c>
      <c r="G290" s="161" t="s">
        <v>123</v>
      </c>
      <c r="H290" s="162">
        <v>43843</v>
      </c>
      <c r="I290" s="161" t="s">
        <v>744</v>
      </c>
      <c r="J290" s="158">
        <v>7</v>
      </c>
      <c r="K290" s="158">
        <v>5</v>
      </c>
      <c r="L290" s="158">
        <v>0</v>
      </c>
      <c r="M290" s="161" t="s">
        <v>6</v>
      </c>
      <c r="N290" s="158">
        <v>2.5</v>
      </c>
      <c r="O290" s="158">
        <v>2.5</v>
      </c>
      <c r="P290" s="158">
        <v>0</v>
      </c>
      <c r="Q290" s="161" t="s">
        <v>22</v>
      </c>
      <c r="R290" s="161">
        <v>773.04</v>
      </c>
      <c r="S290" s="161" t="s">
        <v>124</v>
      </c>
      <c r="T290" s="168"/>
      <c r="U290" s="168"/>
      <c r="V290" s="168"/>
      <c r="W290" s="168"/>
      <c r="X290" s="168"/>
      <c r="Y290" s="168"/>
      <c r="Z290" s="158">
        <v>0</v>
      </c>
      <c r="AA290" s="161"/>
      <c r="AB290" s="161"/>
      <c r="AC290" s="158">
        <v>0</v>
      </c>
    </row>
    <row r="291" spans="1:29" x14ac:dyDescent="0.2">
      <c r="A291" s="138">
        <f t="shared" si="4"/>
        <v>287</v>
      </c>
      <c r="B291" s="156">
        <v>43845</v>
      </c>
      <c r="C291" s="157" t="s">
        <v>2641</v>
      </c>
      <c r="D291" s="158" t="s">
        <v>2642</v>
      </c>
      <c r="E291" s="158" t="s">
        <v>130</v>
      </c>
      <c r="F291" s="158" t="s">
        <v>2643</v>
      </c>
      <c r="G291" s="158" t="s">
        <v>123</v>
      </c>
      <c r="H291" s="159">
        <v>43840</v>
      </c>
      <c r="I291" s="158" t="s">
        <v>744</v>
      </c>
      <c r="J291" s="158">
        <v>16</v>
      </c>
      <c r="K291" s="158">
        <v>12</v>
      </c>
      <c r="L291" s="158">
        <v>0</v>
      </c>
      <c r="M291" s="158" t="s">
        <v>6</v>
      </c>
      <c r="N291" s="158">
        <v>2.5</v>
      </c>
      <c r="O291" s="158">
        <v>2.5</v>
      </c>
      <c r="P291" s="158">
        <v>0</v>
      </c>
      <c r="Q291" s="158" t="s">
        <v>22</v>
      </c>
      <c r="R291" s="158">
        <v>466.24</v>
      </c>
      <c r="S291" s="158" t="s">
        <v>23</v>
      </c>
      <c r="T291" s="167"/>
      <c r="U291" s="167"/>
      <c r="V291" s="167"/>
      <c r="W291" s="167"/>
      <c r="X291" s="167"/>
      <c r="Y291" s="167"/>
      <c r="Z291" s="158">
        <v>0</v>
      </c>
      <c r="AA291" s="158"/>
      <c r="AB291" s="158"/>
      <c r="AC291" s="158">
        <v>0</v>
      </c>
    </row>
    <row r="292" spans="1:29" x14ac:dyDescent="0.2">
      <c r="A292" s="138">
        <f t="shared" si="4"/>
        <v>288</v>
      </c>
      <c r="B292" s="156">
        <v>43845</v>
      </c>
      <c r="C292" s="157" t="s">
        <v>2519</v>
      </c>
      <c r="D292" s="158" t="s">
        <v>2644</v>
      </c>
      <c r="E292" s="158" t="s">
        <v>156</v>
      </c>
      <c r="F292" s="158" t="s">
        <v>2645</v>
      </c>
      <c r="G292" s="158" t="s">
        <v>123</v>
      </c>
      <c r="H292" s="159">
        <v>43844</v>
      </c>
      <c r="I292" s="158" t="s">
        <v>744</v>
      </c>
      <c r="J292" s="158">
        <v>19</v>
      </c>
      <c r="K292" s="158">
        <v>12</v>
      </c>
      <c r="L292" s="158">
        <v>0</v>
      </c>
      <c r="M292" s="158" t="s">
        <v>6</v>
      </c>
      <c r="N292" s="158">
        <v>4.75</v>
      </c>
      <c r="O292" s="158">
        <v>4.75</v>
      </c>
      <c r="P292" s="158">
        <v>0</v>
      </c>
      <c r="Q292" s="158" t="s">
        <v>22</v>
      </c>
      <c r="R292" s="158">
        <v>1418.77</v>
      </c>
      <c r="S292" s="158" t="s">
        <v>23</v>
      </c>
      <c r="T292" s="167"/>
      <c r="U292" s="167"/>
      <c r="V292" s="167"/>
      <c r="W292" s="167"/>
      <c r="X292" s="167"/>
      <c r="Y292" s="167"/>
      <c r="Z292" s="158">
        <v>0</v>
      </c>
      <c r="AA292" s="158"/>
      <c r="AB292" s="158"/>
      <c r="AC292" s="158">
        <v>0</v>
      </c>
    </row>
    <row r="293" spans="1:29" x14ac:dyDescent="0.2">
      <c r="A293" s="138">
        <f t="shared" si="4"/>
        <v>289</v>
      </c>
      <c r="B293" s="156">
        <v>43846</v>
      </c>
      <c r="C293" s="157" t="s">
        <v>2649</v>
      </c>
      <c r="D293" s="158" t="s">
        <v>2650</v>
      </c>
      <c r="E293" s="158" t="s">
        <v>2625</v>
      </c>
      <c r="F293" s="158" t="s">
        <v>2651</v>
      </c>
      <c r="G293" s="158" t="s">
        <v>123</v>
      </c>
      <c r="H293" s="159">
        <v>44161</v>
      </c>
      <c r="I293" s="158" t="s">
        <v>744</v>
      </c>
      <c r="J293" s="158">
        <v>30</v>
      </c>
      <c r="K293" s="158">
        <v>22</v>
      </c>
      <c r="L293" s="158">
        <v>0</v>
      </c>
      <c r="M293" s="158" t="s">
        <v>6</v>
      </c>
      <c r="N293" s="158">
        <v>7</v>
      </c>
      <c r="O293" s="158">
        <v>6</v>
      </c>
      <c r="P293" s="158">
        <v>0</v>
      </c>
      <c r="Q293" s="158" t="s">
        <v>22</v>
      </c>
      <c r="R293" s="158">
        <v>3000</v>
      </c>
      <c r="S293" s="158" t="s">
        <v>142</v>
      </c>
      <c r="T293" s="160"/>
      <c r="U293" s="160"/>
      <c r="V293" s="160"/>
      <c r="W293" s="160"/>
      <c r="X293" s="160"/>
      <c r="Y293" s="160"/>
      <c r="Z293" s="158">
        <v>4</v>
      </c>
      <c r="AA293" s="158"/>
      <c r="AB293" s="158"/>
      <c r="AC293" s="158">
        <v>155</v>
      </c>
    </row>
    <row r="294" spans="1:29" x14ac:dyDescent="0.2">
      <c r="A294" s="138">
        <f t="shared" si="4"/>
        <v>290</v>
      </c>
      <c r="B294" s="156">
        <v>43846</v>
      </c>
      <c r="C294" s="157" t="s">
        <v>2647</v>
      </c>
      <c r="D294" s="161" t="s">
        <v>2648</v>
      </c>
      <c r="E294" s="161" t="s">
        <v>128</v>
      </c>
      <c r="F294" s="161" t="s">
        <v>134</v>
      </c>
      <c r="G294" s="161" t="s">
        <v>123</v>
      </c>
      <c r="H294" s="162">
        <v>43845</v>
      </c>
      <c r="I294" s="161" t="s">
        <v>744</v>
      </c>
      <c r="J294" s="158">
        <v>6</v>
      </c>
      <c r="K294" s="158">
        <v>4</v>
      </c>
      <c r="L294" s="158">
        <v>0</v>
      </c>
      <c r="M294" s="161" t="s">
        <v>6</v>
      </c>
      <c r="N294" s="161">
        <v>2.5</v>
      </c>
      <c r="O294" s="161">
        <v>2.5</v>
      </c>
      <c r="P294" s="158">
        <v>0</v>
      </c>
      <c r="Q294" s="161" t="s">
        <v>22</v>
      </c>
      <c r="R294" s="161">
        <v>128</v>
      </c>
      <c r="S294" s="161" t="s">
        <v>124</v>
      </c>
      <c r="T294" s="168"/>
      <c r="U294" s="168"/>
      <c r="V294" s="168"/>
      <c r="W294" s="168"/>
      <c r="X294" s="168"/>
      <c r="Y294" s="168"/>
      <c r="Z294" s="158">
        <v>0</v>
      </c>
      <c r="AA294" s="161"/>
      <c r="AB294" s="161"/>
      <c r="AC294" s="161">
        <v>30</v>
      </c>
    </row>
    <row r="295" spans="1:29" x14ac:dyDescent="0.2">
      <c r="A295" s="138">
        <f t="shared" si="4"/>
        <v>291</v>
      </c>
      <c r="B295" s="156">
        <v>43846</v>
      </c>
      <c r="C295" s="157" t="s">
        <v>2563</v>
      </c>
      <c r="D295" s="158" t="s">
        <v>2646</v>
      </c>
      <c r="E295" s="158" t="s">
        <v>21</v>
      </c>
      <c r="F295" s="158" t="s">
        <v>1401</v>
      </c>
      <c r="G295" s="158" t="s">
        <v>121</v>
      </c>
      <c r="H295" s="159">
        <v>43833</v>
      </c>
      <c r="I295" s="158"/>
      <c r="J295" s="158">
        <v>0</v>
      </c>
      <c r="K295" s="158">
        <v>0</v>
      </c>
      <c r="L295" s="158">
        <v>0</v>
      </c>
      <c r="M295" s="158"/>
      <c r="N295" s="158">
        <v>0</v>
      </c>
      <c r="O295" s="158">
        <v>0</v>
      </c>
      <c r="P295" s="158">
        <v>0</v>
      </c>
      <c r="Q295" s="158" t="s">
        <v>22</v>
      </c>
      <c r="R295" s="158">
        <v>727.57500000000005</v>
      </c>
      <c r="S295" s="158" t="s">
        <v>447</v>
      </c>
      <c r="T295" s="167">
        <v>43</v>
      </c>
      <c r="U295" s="167">
        <v>32</v>
      </c>
      <c r="V295" s="167">
        <v>14</v>
      </c>
      <c r="W295" s="167">
        <v>13</v>
      </c>
      <c r="X295" s="167">
        <v>11</v>
      </c>
      <c r="Y295" s="167">
        <v>1</v>
      </c>
      <c r="Z295" s="158">
        <v>1</v>
      </c>
      <c r="AA295" s="158"/>
      <c r="AB295" s="158"/>
      <c r="AC295" s="158">
        <v>75.5</v>
      </c>
    </row>
    <row r="296" spans="1:29" x14ac:dyDescent="0.2">
      <c r="A296" s="138">
        <f t="shared" si="4"/>
        <v>292</v>
      </c>
      <c r="B296" s="156">
        <v>43846</v>
      </c>
      <c r="C296" s="157" t="s">
        <v>2652</v>
      </c>
      <c r="D296" s="158" t="s">
        <v>2653</v>
      </c>
      <c r="E296" s="158" t="s">
        <v>2654</v>
      </c>
      <c r="F296" s="158" t="s">
        <v>2655</v>
      </c>
      <c r="G296" s="158" t="s">
        <v>121</v>
      </c>
      <c r="H296" s="159">
        <v>43846</v>
      </c>
      <c r="I296" s="158" t="s">
        <v>744</v>
      </c>
      <c r="J296" s="158">
        <v>7</v>
      </c>
      <c r="K296" s="158">
        <v>6</v>
      </c>
      <c r="L296" s="158">
        <v>0</v>
      </c>
      <c r="M296" s="158" t="s">
        <v>6</v>
      </c>
      <c r="N296" s="158">
        <v>4.5</v>
      </c>
      <c r="O296" s="158">
        <v>4.5</v>
      </c>
      <c r="P296" s="158">
        <v>0</v>
      </c>
      <c r="Q296" s="158"/>
      <c r="R296" s="158">
        <v>0</v>
      </c>
      <c r="S296" s="158" t="s">
        <v>124</v>
      </c>
      <c r="T296" s="160"/>
      <c r="U296" s="160"/>
      <c r="V296" s="160"/>
      <c r="W296" s="160"/>
      <c r="X296" s="160"/>
      <c r="Y296" s="160"/>
      <c r="Z296" s="158">
        <v>0</v>
      </c>
      <c r="AA296" s="158"/>
      <c r="AB296" s="158"/>
      <c r="AC296" s="158">
        <v>48.73</v>
      </c>
    </row>
    <row r="297" spans="1:29" x14ac:dyDescent="0.2">
      <c r="A297" s="138">
        <f t="shared" si="4"/>
        <v>293</v>
      </c>
      <c r="B297" s="156">
        <v>43850</v>
      </c>
      <c r="C297" s="157" t="s">
        <v>1998</v>
      </c>
      <c r="D297" s="158" t="s">
        <v>1999</v>
      </c>
      <c r="E297" s="158" t="s">
        <v>126</v>
      </c>
      <c r="F297" s="158" t="s">
        <v>1263</v>
      </c>
      <c r="G297" s="158" t="s">
        <v>770</v>
      </c>
      <c r="H297" s="159">
        <v>43850</v>
      </c>
      <c r="I297" s="158"/>
      <c r="J297" s="158">
        <v>0</v>
      </c>
      <c r="K297" s="158">
        <v>0</v>
      </c>
      <c r="L297" s="158">
        <v>0</v>
      </c>
      <c r="M297" s="158"/>
      <c r="N297" s="158">
        <v>0</v>
      </c>
      <c r="O297" s="158">
        <v>0</v>
      </c>
      <c r="P297" s="158">
        <v>0</v>
      </c>
      <c r="Q297" s="158"/>
      <c r="R297" s="158">
        <v>0</v>
      </c>
      <c r="S297" s="158" t="s">
        <v>124</v>
      </c>
      <c r="T297" s="160"/>
      <c r="U297" s="160"/>
      <c r="V297" s="160"/>
      <c r="W297" s="160"/>
      <c r="X297" s="160"/>
      <c r="Y297" s="160"/>
      <c r="Z297" s="158">
        <v>0</v>
      </c>
      <c r="AA297" s="158" t="s">
        <v>22</v>
      </c>
      <c r="AB297" s="158"/>
      <c r="AC297" s="158">
        <v>4.5</v>
      </c>
    </row>
    <row r="298" spans="1:29" x14ac:dyDescent="0.2">
      <c r="A298" s="138">
        <f t="shared" si="4"/>
        <v>294</v>
      </c>
      <c r="B298" s="156">
        <v>43850</v>
      </c>
      <c r="C298" s="157" t="s">
        <v>2517</v>
      </c>
      <c r="D298" s="158" t="s">
        <v>2518</v>
      </c>
      <c r="E298" s="158" t="s">
        <v>126</v>
      </c>
      <c r="F298" s="158" t="s">
        <v>1266</v>
      </c>
      <c r="G298" s="158" t="s">
        <v>123</v>
      </c>
      <c r="H298" s="159">
        <v>43846</v>
      </c>
      <c r="I298" s="158" t="s">
        <v>744</v>
      </c>
      <c r="J298" s="158">
        <v>7</v>
      </c>
      <c r="K298" s="158">
        <v>4</v>
      </c>
      <c r="L298" s="158">
        <v>0</v>
      </c>
      <c r="M298" s="158" t="s">
        <v>6</v>
      </c>
      <c r="N298" s="158">
        <v>2</v>
      </c>
      <c r="O298" s="158">
        <v>2</v>
      </c>
      <c r="P298" s="158">
        <v>0</v>
      </c>
      <c r="Q298" s="158" t="s">
        <v>22</v>
      </c>
      <c r="R298" s="158">
        <v>25</v>
      </c>
      <c r="S298" s="158" t="s">
        <v>124</v>
      </c>
      <c r="T298" s="160">
        <v>10</v>
      </c>
      <c r="U298" s="160">
        <v>7</v>
      </c>
      <c r="V298" s="160">
        <v>3</v>
      </c>
      <c r="W298" s="160">
        <v>3</v>
      </c>
      <c r="X298" s="160">
        <v>3</v>
      </c>
      <c r="Y298" s="160">
        <v>0</v>
      </c>
      <c r="Z298" s="158">
        <v>0</v>
      </c>
      <c r="AA298" s="158"/>
      <c r="AB298" s="158"/>
      <c r="AC298" s="158">
        <v>0</v>
      </c>
    </row>
    <row r="299" spans="1:29" x14ac:dyDescent="0.2">
      <c r="A299" s="138">
        <f t="shared" si="4"/>
        <v>295</v>
      </c>
      <c r="B299" s="156">
        <v>43850</v>
      </c>
      <c r="C299" s="157" t="s">
        <v>2656</v>
      </c>
      <c r="D299" s="158" t="s">
        <v>2640</v>
      </c>
      <c r="E299" s="158" t="s">
        <v>172</v>
      </c>
      <c r="F299" s="158" t="s">
        <v>173</v>
      </c>
      <c r="G299" s="158" t="s">
        <v>121</v>
      </c>
      <c r="H299" s="159">
        <v>43850</v>
      </c>
      <c r="I299" s="158"/>
      <c r="J299" s="158">
        <v>0</v>
      </c>
      <c r="K299" s="158">
        <v>0</v>
      </c>
      <c r="L299" s="158">
        <v>0</v>
      </c>
      <c r="M299" s="158"/>
      <c r="N299" s="158">
        <v>0</v>
      </c>
      <c r="O299" s="158">
        <v>0</v>
      </c>
      <c r="P299" s="158">
        <v>0</v>
      </c>
      <c r="Q299" s="158"/>
      <c r="R299" s="158">
        <v>0</v>
      </c>
      <c r="S299" s="158" t="s">
        <v>124</v>
      </c>
      <c r="T299" s="160"/>
      <c r="U299" s="160"/>
      <c r="V299" s="160"/>
      <c r="W299" s="160"/>
      <c r="X299" s="160"/>
      <c r="Y299" s="160"/>
      <c r="Z299" s="158">
        <v>0</v>
      </c>
      <c r="AA299" s="158"/>
      <c r="AB299" s="158"/>
      <c r="AC299" s="158">
        <v>0</v>
      </c>
    </row>
    <row r="300" spans="1:29" x14ac:dyDescent="0.2">
      <c r="A300" s="138">
        <f t="shared" si="4"/>
        <v>296</v>
      </c>
      <c r="B300" s="156">
        <v>43850</v>
      </c>
      <c r="C300" s="157" t="s">
        <v>2657</v>
      </c>
      <c r="D300" s="158" t="s">
        <v>2658</v>
      </c>
      <c r="E300" s="158" t="s">
        <v>146</v>
      </c>
      <c r="F300" s="158" t="s">
        <v>1314</v>
      </c>
      <c r="G300" s="158" t="s">
        <v>121</v>
      </c>
      <c r="H300" s="159">
        <v>43850</v>
      </c>
      <c r="I300" s="158" t="s">
        <v>744</v>
      </c>
      <c r="J300" s="158">
        <v>3</v>
      </c>
      <c r="K300" s="158">
        <v>3</v>
      </c>
      <c r="L300" s="158">
        <v>0</v>
      </c>
      <c r="M300" s="158" t="s">
        <v>6</v>
      </c>
      <c r="N300" s="158">
        <v>1</v>
      </c>
      <c r="O300" s="158">
        <v>1</v>
      </c>
      <c r="P300" s="158">
        <v>0</v>
      </c>
      <c r="Q300" s="158"/>
      <c r="R300" s="158">
        <v>0</v>
      </c>
      <c r="S300" s="158" t="s">
        <v>124</v>
      </c>
      <c r="T300" s="160"/>
      <c r="U300" s="160"/>
      <c r="V300" s="160"/>
      <c r="W300" s="160"/>
      <c r="X300" s="160"/>
      <c r="Y300" s="160"/>
      <c r="Z300" s="158">
        <v>0</v>
      </c>
      <c r="AA300" s="158"/>
      <c r="AB300" s="158"/>
      <c r="AC300" s="158">
        <v>0</v>
      </c>
    </row>
    <row r="301" spans="1:29" x14ac:dyDescent="0.2">
      <c r="A301" s="138">
        <f t="shared" si="4"/>
        <v>297</v>
      </c>
      <c r="B301" s="156">
        <v>43851</v>
      </c>
      <c r="C301" s="157" t="s">
        <v>2660</v>
      </c>
      <c r="D301" s="158" t="s">
        <v>2642</v>
      </c>
      <c r="E301" s="158" t="s">
        <v>130</v>
      </c>
      <c r="F301" s="158" t="s">
        <v>2643</v>
      </c>
      <c r="G301" s="158" t="s">
        <v>121</v>
      </c>
      <c r="H301" s="159">
        <v>43851</v>
      </c>
      <c r="I301" s="158" t="s">
        <v>744</v>
      </c>
      <c r="J301" s="158">
        <v>0</v>
      </c>
      <c r="K301" s="158">
        <v>0</v>
      </c>
      <c r="L301" s="158">
        <v>0</v>
      </c>
      <c r="M301" s="158"/>
      <c r="N301" s="158">
        <v>0</v>
      </c>
      <c r="O301" s="158">
        <v>0</v>
      </c>
      <c r="P301" s="158">
        <v>0</v>
      </c>
      <c r="Q301" s="158" t="s">
        <v>22</v>
      </c>
      <c r="R301" s="158">
        <v>130.41999999999999</v>
      </c>
      <c r="S301" s="158" t="s">
        <v>124</v>
      </c>
      <c r="T301" s="160"/>
      <c r="U301" s="160"/>
      <c r="V301" s="160"/>
      <c r="W301" s="160"/>
      <c r="X301" s="160"/>
      <c r="Y301" s="160"/>
      <c r="Z301" s="158">
        <v>0</v>
      </c>
      <c r="AA301" s="158" t="s">
        <v>22</v>
      </c>
      <c r="AB301" s="158"/>
      <c r="AC301" s="158">
        <v>0</v>
      </c>
    </row>
    <row r="302" spans="1:29" x14ac:dyDescent="0.2">
      <c r="A302" s="138">
        <f t="shared" si="4"/>
        <v>298</v>
      </c>
      <c r="B302" s="156">
        <v>43851</v>
      </c>
      <c r="C302" s="157" t="s">
        <v>2659</v>
      </c>
      <c r="D302" s="158" t="s">
        <v>2642</v>
      </c>
      <c r="E302" s="158" t="s">
        <v>130</v>
      </c>
      <c r="F302" s="158" t="s">
        <v>2643</v>
      </c>
      <c r="G302" s="158" t="s">
        <v>121</v>
      </c>
      <c r="H302" s="159">
        <v>43851</v>
      </c>
      <c r="I302" s="158" t="s">
        <v>744</v>
      </c>
      <c r="J302" s="158">
        <v>3</v>
      </c>
      <c r="K302" s="158">
        <v>1</v>
      </c>
      <c r="L302" s="158">
        <v>0</v>
      </c>
      <c r="M302" s="158" t="s">
        <v>6</v>
      </c>
      <c r="N302" s="158">
        <v>1</v>
      </c>
      <c r="O302" s="158">
        <v>1</v>
      </c>
      <c r="P302" s="158">
        <v>0</v>
      </c>
      <c r="Q302" s="158"/>
      <c r="R302" s="158">
        <v>0</v>
      </c>
      <c r="S302" s="158" t="s">
        <v>124</v>
      </c>
      <c r="T302" s="160">
        <v>3</v>
      </c>
      <c r="U302" s="160">
        <v>1</v>
      </c>
      <c r="V302" s="160">
        <v>1</v>
      </c>
      <c r="W302" s="160">
        <v>1</v>
      </c>
      <c r="X302" s="160">
        <v>2</v>
      </c>
      <c r="Y302" s="160">
        <v>0</v>
      </c>
      <c r="Z302" s="158">
        <v>0</v>
      </c>
      <c r="AA302" s="158"/>
      <c r="AB302" s="158"/>
      <c r="AC302" s="158">
        <v>0</v>
      </c>
    </row>
    <row r="303" spans="1:29" x14ac:dyDescent="0.2">
      <c r="A303" s="138">
        <f t="shared" si="4"/>
        <v>299</v>
      </c>
      <c r="B303" s="156">
        <v>43852</v>
      </c>
      <c r="C303" s="157" t="s">
        <v>2662</v>
      </c>
      <c r="D303" s="158" t="s">
        <v>2663</v>
      </c>
      <c r="E303" s="158" t="s">
        <v>156</v>
      </c>
      <c r="F303" s="158" t="s">
        <v>1975</v>
      </c>
      <c r="G303" s="158" t="s">
        <v>123</v>
      </c>
      <c r="H303" s="159">
        <v>43846</v>
      </c>
      <c r="I303" s="158" t="s">
        <v>744</v>
      </c>
      <c r="J303" s="158">
        <v>14</v>
      </c>
      <c r="K303" s="158">
        <v>10</v>
      </c>
      <c r="L303" s="158">
        <v>0</v>
      </c>
      <c r="M303" s="158" t="s">
        <v>6</v>
      </c>
      <c r="N303" s="158">
        <v>3.5</v>
      </c>
      <c r="O303" s="158">
        <v>3.5</v>
      </c>
      <c r="P303" s="158">
        <v>0</v>
      </c>
      <c r="Q303" s="158" t="s">
        <v>1276</v>
      </c>
      <c r="R303" s="158">
        <v>2611.7800000000002</v>
      </c>
      <c r="S303" s="158" t="s">
        <v>23</v>
      </c>
      <c r="T303" s="160"/>
      <c r="U303" s="160"/>
      <c r="V303" s="160"/>
      <c r="W303" s="160"/>
      <c r="X303" s="160"/>
      <c r="Y303" s="160"/>
      <c r="Z303" s="158">
        <v>0</v>
      </c>
      <c r="AA303" s="158"/>
      <c r="AB303" s="158"/>
      <c r="AC303" s="158">
        <v>50</v>
      </c>
    </row>
    <row r="304" spans="1:29" x14ac:dyDescent="0.2">
      <c r="A304" s="138">
        <f t="shared" si="4"/>
        <v>300</v>
      </c>
      <c r="B304" s="156">
        <v>43852</v>
      </c>
      <c r="C304" s="157" t="s">
        <v>2661</v>
      </c>
      <c r="D304" s="158" t="s">
        <v>2608</v>
      </c>
      <c r="E304" s="158" t="s">
        <v>122</v>
      </c>
      <c r="F304" s="158" t="s">
        <v>1912</v>
      </c>
      <c r="G304" s="158" t="s">
        <v>121</v>
      </c>
      <c r="H304" s="159">
        <v>43852</v>
      </c>
      <c r="I304" s="158" t="s">
        <v>744</v>
      </c>
      <c r="J304" s="158">
        <v>2</v>
      </c>
      <c r="K304" s="158">
        <v>1</v>
      </c>
      <c r="L304" s="158">
        <v>0</v>
      </c>
      <c r="M304" s="158" t="s">
        <v>6</v>
      </c>
      <c r="N304" s="158">
        <v>1</v>
      </c>
      <c r="O304" s="158">
        <v>1</v>
      </c>
      <c r="P304" s="158">
        <v>0</v>
      </c>
      <c r="Q304" s="158"/>
      <c r="R304" s="158">
        <v>0</v>
      </c>
      <c r="S304" s="158" t="s">
        <v>124</v>
      </c>
      <c r="T304" s="160">
        <v>21</v>
      </c>
      <c r="U304" s="160">
        <v>14</v>
      </c>
      <c r="V304" s="160">
        <v>6.5</v>
      </c>
      <c r="W304" s="160">
        <v>6.5</v>
      </c>
      <c r="X304" s="160">
        <v>7</v>
      </c>
      <c r="Y304" s="160">
        <v>0</v>
      </c>
      <c r="Z304" s="158">
        <v>0</v>
      </c>
      <c r="AA304" s="158"/>
      <c r="AB304" s="158"/>
      <c r="AC304" s="158">
        <v>0</v>
      </c>
    </row>
    <row r="305" spans="1:29" x14ac:dyDescent="0.2">
      <c r="A305" s="138">
        <f t="shared" si="4"/>
        <v>301</v>
      </c>
      <c r="B305" s="156">
        <v>43852</v>
      </c>
      <c r="C305" s="157" t="s">
        <v>2664</v>
      </c>
      <c r="D305" s="158" t="s">
        <v>2663</v>
      </c>
      <c r="E305" s="158" t="s">
        <v>156</v>
      </c>
      <c r="F305" s="158" t="s">
        <v>1975</v>
      </c>
      <c r="G305" s="158" t="s">
        <v>121</v>
      </c>
      <c r="H305" s="159">
        <v>43852</v>
      </c>
      <c r="I305" s="158" t="s">
        <v>744</v>
      </c>
      <c r="J305" s="158">
        <v>5</v>
      </c>
      <c r="K305" s="158">
        <v>3</v>
      </c>
      <c r="L305" s="158">
        <v>0</v>
      </c>
      <c r="M305" s="158" t="s">
        <v>6</v>
      </c>
      <c r="N305" s="158">
        <v>2</v>
      </c>
      <c r="O305" s="158">
        <v>2</v>
      </c>
      <c r="P305" s="158">
        <v>0</v>
      </c>
      <c r="Q305" s="158"/>
      <c r="R305" s="158">
        <v>0</v>
      </c>
      <c r="S305" s="158" t="s">
        <v>124</v>
      </c>
      <c r="T305" s="160"/>
      <c r="U305" s="160"/>
      <c r="V305" s="160"/>
      <c r="W305" s="160"/>
      <c r="X305" s="160"/>
      <c r="Y305" s="160"/>
      <c r="Z305" s="158">
        <v>0</v>
      </c>
      <c r="AA305" s="158"/>
      <c r="AB305" s="158"/>
      <c r="AC305" s="158">
        <v>0</v>
      </c>
    </row>
    <row r="306" spans="1:29" x14ac:dyDescent="0.2">
      <c r="A306" s="138">
        <f t="shared" si="4"/>
        <v>302</v>
      </c>
      <c r="B306" s="156">
        <v>43853</v>
      </c>
      <c r="C306" s="157" t="s">
        <v>1998</v>
      </c>
      <c r="D306" s="158" t="s">
        <v>1999</v>
      </c>
      <c r="E306" s="158" t="s">
        <v>126</v>
      </c>
      <c r="F306" s="158" t="s">
        <v>1263</v>
      </c>
      <c r="G306" s="158" t="s">
        <v>121</v>
      </c>
      <c r="H306" s="159">
        <v>43853</v>
      </c>
      <c r="I306" s="158" t="s">
        <v>744</v>
      </c>
      <c r="J306" s="158">
        <v>0</v>
      </c>
      <c r="K306" s="158">
        <v>0</v>
      </c>
      <c r="L306" s="158">
        <v>0</v>
      </c>
      <c r="M306" s="158"/>
      <c r="N306" s="158">
        <v>0</v>
      </c>
      <c r="O306" s="158">
        <v>0</v>
      </c>
      <c r="P306" s="158">
        <v>0</v>
      </c>
      <c r="Q306" s="158"/>
      <c r="R306" s="158">
        <v>0</v>
      </c>
      <c r="S306" s="158" t="s">
        <v>124</v>
      </c>
      <c r="T306" s="160"/>
      <c r="U306" s="160"/>
      <c r="V306" s="160"/>
      <c r="W306" s="160"/>
      <c r="X306" s="160"/>
      <c r="Y306" s="160"/>
      <c r="Z306" s="158">
        <v>0</v>
      </c>
      <c r="AA306" s="158" t="s">
        <v>22</v>
      </c>
      <c r="AB306" s="158"/>
      <c r="AC306" s="158">
        <v>15.15</v>
      </c>
    </row>
    <row r="307" spans="1:29" x14ac:dyDescent="0.2">
      <c r="A307" s="138">
        <f t="shared" si="4"/>
        <v>303</v>
      </c>
      <c r="B307" s="156">
        <v>43853</v>
      </c>
      <c r="C307" s="157" t="s">
        <v>2547</v>
      </c>
      <c r="D307" s="158" t="s">
        <v>2628</v>
      </c>
      <c r="E307" s="158" t="s">
        <v>126</v>
      </c>
      <c r="F307" s="158" t="s">
        <v>127</v>
      </c>
      <c r="G307" s="158" t="s">
        <v>121</v>
      </c>
      <c r="H307" s="159">
        <v>43853</v>
      </c>
      <c r="I307" s="158" t="s">
        <v>744</v>
      </c>
      <c r="J307" s="158">
        <v>0</v>
      </c>
      <c r="K307" s="158">
        <v>0</v>
      </c>
      <c r="L307" s="158">
        <v>0</v>
      </c>
      <c r="M307" s="158"/>
      <c r="N307" s="158">
        <v>0</v>
      </c>
      <c r="O307" s="158">
        <v>0</v>
      </c>
      <c r="P307" s="158">
        <v>0</v>
      </c>
      <c r="Q307" s="158"/>
      <c r="R307" s="158">
        <v>0</v>
      </c>
      <c r="S307" s="158" t="s">
        <v>124</v>
      </c>
      <c r="T307" s="160"/>
      <c r="U307" s="160"/>
      <c r="V307" s="160"/>
      <c r="W307" s="160"/>
      <c r="X307" s="160"/>
      <c r="Y307" s="160"/>
      <c r="Z307" s="158">
        <v>0</v>
      </c>
      <c r="AA307" s="158" t="s">
        <v>22</v>
      </c>
      <c r="AB307" s="158"/>
      <c r="AC307" s="158">
        <v>10.9</v>
      </c>
    </row>
    <row r="308" spans="1:29" x14ac:dyDescent="0.2">
      <c r="A308" s="138">
        <f t="shared" si="4"/>
        <v>304</v>
      </c>
      <c r="B308" s="156">
        <v>43853</v>
      </c>
      <c r="C308" s="157" t="s">
        <v>2547</v>
      </c>
      <c r="D308" s="158" t="s">
        <v>2628</v>
      </c>
      <c r="E308" s="158" t="s">
        <v>126</v>
      </c>
      <c r="F308" s="158" t="s">
        <v>127</v>
      </c>
      <c r="G308" s="158" t="s">
        <v>121</v>
      </c>
      <c r="H308" s="159">
        <v>43853</v>
      </c>
      <c r="I308" s="158" t="s">
        <v>744</v>
      </c>
      <c r="J308" s="158">
        <v>0</v>
      </c>
      <c r="K308" s="158">
        <v>0</v>
      </c>
      <c r="L308" s="158">
        <v>0</v>
      </c>
      <c r="M308" s="158"/>
      <c r="N308" s="158">
        <v>0</v>
      </c>
      <c r="O308" s="158">
        <v>0</v>
      </c>
      <c r="P308" s="158">
        <v>0</v>
      </c>
      <c r="Q308" s="158"/>
      <c r="R308" s="158">
        <v>0</v>
      </c>
      <c r="S308" s="158" t="s">
        <v>124</v>
      </c>
      <c r="T308" s="160"/>
      <c r="U308" s="160"/>
      <c r="V308" s="160"/>
      <c r="W308" s="160"/>
      <c r="X308" s="160"/>
      <c r="Y308" s="160"/>
      <c r="Z308" s="158">
        <v>0</v>
      </c>
      <c r="AA308" s="158" t="s">
        <v>22</v>
      </c>
      <c r="AB308" s="158"/>
      <c r="AC308" s="158">
        <v>6.36</v>
      </c>
    </row>
    <row r="309" spans="1:29" x14ac:dyDescent="0.2">
      <c r="A309" s="138">
        <f t="shared" si="4"/>
        <v>305</v>
      </c>
      <c r="B309" s="156">
        <v>43853</v>
      </c>
      <c r="C309" s="157" t="s">
        <v>2665</v>
      </c>
      <c r="D309" s="158" t="s">
        <v>2666</v>
      </c>
      <c r="E309" s="158" t="s">
        <v>21</v>
      </c>
      <c r="F309" s="158" t="s">
        <v>24</v>
      </c>
      <c r="G309" s="158" t="s">
        <v>123</v>
      </c>
      <c r="H309" s="159">
        <v>43851</v>
      </c>
      <c r="I309" s="158" t="s">
        <v>744</v>
      </c>
      <c r="J309" s="158">
        <v>20</v>
      </c>
      <c r="K309" s="158">
        <v>14</v>
      </c>
      <c r="L309" s="158">
        <v>0</v>
      </c>
      <c r="M309" s="158" t="s">
        <v>6</v>
      </c>
      <c r="N309" s="158">
        <v>3.5</v>
      </c>
      <c r="O309" s="158">
        <v>3.5</v>
      </c>
      <c r="P309" s="158">
        <v>0</v>
      </c>
      <c r="Q309" s="158" t="s">
        <v>22</v>
      </c>
      <c r="R309" s="158">
        <v>1028.05</v>
      </c>
      <c r="S309" s="158" t="s">
        <v>142</v>
      </c>
      <c r="T309" s="160">
        <v>22</v>
      </c>
      <c r="U309" s="160">
        <v>16</v>
      </c>
      <c r="V309" s="160">
        <v>4.5</v>
      </c>
      <c r="W309" s="160">
        <v>4.5</v>
      </c>
      <c r="X309" s="160">
        <v>6</v>
      </c>
      <c r="Y309" s="160">
        <v>0</v>
      </c>
      <c r="Z309" s="158">
        <v>1</v>
      </c>
      <c r="AA309" s="158"/>
      <c r="AB309" s="158"/>
      <c r="AC309" s="158">
        <v>30</v>
      </c>
    </row>
    <row r="310" spans="1:29" x14ac:dyDescent="0.2">
      <c r="A310" s="138">
        <f t="shared" si="4"/>
        <v>306</v>
      </c>
      <c r="B310" s="156">
        <v>43853</v>
      </c>
      <c r="C310" s="157" t="s">
        <v>2667</v>
      </c>
      <c r="D310" s="158" t="s">
        <v>2668</v>
      </c>
      <c r="E310" s="158" t="s">
        <v>128</v>
      </c>
      <c r="F310" s="158" t="s">
        <v>2669</v>
      </c>
      <c r="G310" s="158" t="s">
        <v>121</v>
      </c>
      <c r="H310" s="159">
        <v>43853</v>
      </c>
      <c r="I310" s="158" t="s">
        <v>744</v>
      </c>
      <c r="J310" s="158">
        <v>2</v>
      </c>
      <c r="K310" s="158">
        <v>2</v>
      </c>
      <c r="L310" s="158">
        <v>0</v>
      </c>
      <c r="M310" s="158" t="s">
        <v>6</v>
      </c>
      <c r="N310" s="158">
        <v>1</v>
      </c>
      <c r="O310" s="158">
        <v>1</v>
      </c>
      <c r="P310" s="158">
        <v>0</v>
      </c>
      <c r="Q310" s="158"/>
      <c r="R310" s="158">
        <v>0</v>
      </c>
      <c r="S310" s="158" t="s">
        <v>124</v>
      </c>
      <c r="T310" s="160"/>
      <c r="U310" s="160"/>
      <c r="V310" s="160"/>
      <c r="W310" s="160"/>
      <c r="X310" s="160"/>
      <c r="Y310" s="160"/>
      <c r="Z310" s="158">
        <v>0</v>
      </c>
      <c r="AA310" s="158"/>
      <c r="AB310" s="158"/>
      <c r="AC310" s="158">
        <v>60</v>
      </c>
    </row>
    <row r="311" spans="1:29" x14ac:dyDescent="0.2">
      <c r="A311" s="138">
        <f t="shared" si="4"/>
        <v>307</v>
      </c>
      <c r="B311" s="156">
        <v>43854</v>
      </c>
      <c r="C311" s="157" t="s">
        <v>2577</v>
      </c>
      <c r="D311" s="158" t="s">
        <v>2624</v>
      </c>
      <c r="E311" s="158" t="s">
        <v>2625</v>
      </c>
      <c r="F311" s="158" t="s">
        <v>2626</v>
      </c>
      <c r="G311" s="158" t="s">
        <v>121</v>
      </c>
      <c r="H311" s="159">
        <v>43854</v>
      </c>
      <c r="I311" s="158"/>
      <c r="J311" s="158">
        <v>0</v>
      </c>
      <c r="K311" s="158">
        <v>0</v>
      </c>
      <c r="L311" s="158">
        <v>0</v>
      </c>
      <c r="M311" s="158"/>
      <c r="N311" s="158">
        <v>0</v>
      </c>
      <c r="O311" s="158">
        <v>0</v>
      </c>
      <c r="P311" s="158">
        <v>0</v>
      </c>
      <c r="Q311" s="158"/>
      <c r="R311" s="158">
        <v>77.040000000000006</v>
      </c>
      <c r="S311" s="158" t="s">
        <v>447</v>
      </c>
      <c r="T311" s="160">
        <v>17</v>
      </c>
      <c r="U311" s="160">
        <v>10</v>
      </c>
      <c r="V311" s="160">
        <v>3.5</v>
      </c>
      <c r="W311" s="160">
        <v>3.5</v>
      </c>
      <c r="X311" s="160">
        <v>7</v>
      </c>
      <c r="Y311" s="160">
        <v>0</v>
      </c>
      <c r="Z311" s="158">
        <v>0</v>
      </c>
      <c r="AA311" s="158" t="s">
        <v>22</v>
      </c>
      <c r="AB311" s="158"/>
      <c r="AC311" s="158">
        <v>0</v>
      </c>
    </row>
    <row r="312" spans="1:29" x14ac:dyDescent="0.2">
      <c r="A312" s="138">
        <f t="shared" si="4"/>
        <v>308</v>
      </c>
      <c r="B312" s="156">
        <v>43854</v>
      </c>
      <c r="C312" s="157" t="s">
        <v>2670</v>
      </c>
      <c r="D312" s="158" t="s">
        <v>2671</v>
      </c>
      <c r="E312" s="158" t="s">
        <v>122</v>
      </c>
      <c r="F312" s="158" t="s">
        <v>144</v>
      </c>
      <c r="G312" s="158" t="s">
        <v>123</v>
      </c>
      <c r="H312" s="159">
        <v>43853</v>
      </c>
      <c r="I312" s="158" t="s">
        <v>744</v>
      </c>
      <c r="J312" s="158">
        <v>3</v>
      </c>
      <c r="K312" s="158">
        <v>2</v>
      </c>
      <c r="L312" s="158">
        <v>0</v>
      </c>
      <c r="M312" s="158" t="s">
        <v>6</v>
      </c>
      <c r="N312" s="158">
        <v>1</v>
      </c>
      <c r="O312" s="158">
        <v>1</v>
      </c>
      <c r="P312" s="158">
        <v>0</v>
      </c>
      <c r="Q312" s="158"/>
      <c r="R312" s="158">
        <v>0</v>
      </c>
      <c r="S312" s="158" t="s">
        <v>124</v>
      </c>
      <c r="T312" s="160"/>
      <c r="U312" s="160"/>
      <c r="V312" s="160"/>
      <c r="W312" s="160"/>
      <c r="X312" s="160"/>
      <c r="Y312" s="160"/>
      <c r="Z312" s="158">
        <v>0</v>
      </c>
      <c r="AA312" s="158"/>
      <c r="AB312" s="158"/>
      <c r="AC312" s="158">
        <v>0</v>
      </c>
    </row>
    <row r="313" spans="1:29" x14ac:dyDescent="0.2">
      <c r="A313" s="138">
        <f t="shared" si="4"/>
        <v>309</v>
      </c>
      <c r="B313" s="156">
        <v>43854</v>
      </c>
      <c r="C313" s="157" t="s">
        <v>2672</v>
      </c>
      <c r="D313" s="158" t="s">
        <v>2671</v>
      </c>
      <c r="E313" s="158" t="s">
        <v>122</v>
      </c>
      <c r="F313" s="158" t="s">
        <v>144</v>
      </c>
      <c r="G313" s="158" t="s">
        <v>123</v>
      </c>
      <c r="H313" s="159">
        <v>43853</v>
      </c>
      <c r="I313" s="158" t="s">
        <v>744</v>
      </c>
      <c r="J313" s="158">
        <v>14</v>
      </c>
      <c r="K313" s="158">
        <v>8</v>
      </c>
      <c r="L313" s="158">
        <v>0</v>
      </c>
      <c r="M313" s="158" t="s">
        <v>6</v>
      </c>
      <c r="N313" s="158">
        <v>2.5</v>
      </c>
      <c r="O313" s="158">
        <v>2.5</v>
      </c>
      <c r="P313" s="158">
        <v>0</v>
      </c>
      <c r="Q313" s="158" t="s">
        <v>22</v>
      </c>
      <c r="R313" s="158">
        <v>346.78</v>
      </c>
      <c r="S313" s="158" t="s">
        <v>23</v>
      </c>
      <c r="T313" s="160"/>
      <c r="U313" s="160"/>
      <c r="V313" s="160"/>
      <c r="W313" s="160"/>
      <c r="X313" s="160"/>
      <c r="Y313" s="160"/>
      <c r="Z313" s="158">
        <v>0</v>
      </c>
      <c r="AA313" s="158"/>
      <c r="AB313" s="158"/>
      <c r="AC313" s="158">
        <v>50</v>
      </c>
    </row>
    <row r="314" spans="1:29" x14ac:dyDescent="0.2">
      <c r="A314" s="138">
        <f t="shared" si="4"/>
        <v>310</v>
      </c>
      <c r="B314" s="156">
        <v>43854</v>
      </c>
      <c r="C314" s="157" t="s">
        <v>2673</v>
      </c>
      <c r="D314" s="158" t="s">
        <v>2674</v>
      </c>
      <c r="E314" s="158" t="s">
        <v>21</v>
      </c>
      <c r="F314" s="158" t="s">
        <v>24</v>
      </c>
      <c r="G314" s="158" t="s">
        <v>121</v>
      </c>
      <c r="H314" s="159">
        <v>43854</v>
      </c>
      <c r="I314" s="158" t="s">
        <v>744</v>
      </c>
      <c r="J314" s="158">
        <v>0</v>
      </c>
      <c r="K314" s="158">
        <v>0</v>
      </c>
      <c r="L314" s="158">
        <v>0</v>
      </c>
      <c r="M314" s="158"/>
      <c r="N314" s="158">
        <v>0</v>
      </c>
      <c r="O314" s="158">
        <v>0</v>
      </c>
      <c r="P314" s="158">
        <v>0</v>
      </c>
      <c r="Q314" s="158" t="s">
        <v>22</v>
      </c>
      <c r="R314" s="158">
        <v>104</v>
      </c>
      <c r="S314" s="158" t="s">
        <v>447</v>
      </c>
      <c r="T314" s="160"/>
      <c r="U314" s="160"/>
      <c r="V314" s="160"/>
      <c r="W314" s="160"/>
      <c r="X314" s="160"/>
      <c r="Y314" s="160"/>
      <c r="Z314" s="158">
        <v>1</v>
      </c>
      <c r="AA314" s="158"/>
      <c r="AB314" s="158"/>
      <c r="AC314" s="158">
        <v>0</v>
      </c>
    </row>
    <row r="315" spans="1:29" x14ac:dyDescent="0.2">
      <c r="A315" s="138">
        <f t="shared" si="4"/>
        <v>311</v>
      </c>
      <c r="B315" s="156">
        <v>43854</v>
      </c>
      <c r="C315" s="157" t="s">
        <v>2675</v>
      </c>
      <c r="D315" s="158" t="s">
        <v>2658</v>
      </c>
      <c r="E315" s="158" t="s">
        <v>146</v>
      </c>
      <c r="F315" s="158" t="s">
        <v>1314</v>
      </c>
      <c r="G315" s="158" t="s">
        <v>121</v>
      </c>
      <c r="H315" s="159">
        <v>43854</v>
      </c>
      <c r="I315" s="158" t="s">
        <v>744</v>
      </c>
      <c r="J315" s="158">
        <v>0</v>
      </c>
      <c r="K315" s="158">
        <v>0</v>
      </c>
      <c r="L315" s="158">
        <v>0</v>
      </c>
      <c r="M315" s="158"/>
      <c r="N315" s="158">
        <v>0</v>
      </c>
      <c r="O315" s="158">
        <v>0</v>
      </c>
      <c r="P315" s="158">
        <v>0</v>
      </c>
      <c r="Q315" s="158"/>
      <c r="R315" s="158">
        <v>0</v>
      </c>
      <c r="S315" s="158" t="s">
        <v>124</v>
      </c>
      <c r="T315" s="160"/>
      <c r="U315" s="160"/>
      <c r="V315" s="160"/>
      <c r="W315" s="160"/>
      <c r="X315" s="160"/>
      <c r="Y315" s="160"/>
      <c r="Z315" s="158">
        <v>0</v>
      </c>
      <c r="AA315" s="158" t="s">
        <v>22</v>
      </c>
      <c r="AB315" s="158"/>
      <c r="AC315" s="158">
        <v>60</v>
      </c>
    </row>
    <row r="316" spans="1:29" x14ac:dyDescent="0.2">
      <c r="A316" s="138">
        <f t="shared" si="4"/>
        <v>312</v>
      </c>
      <c r="B316" s="156">
        <v>43857</v>
      </c>
      <c r="C316" s="157" t="s">
        <v>1998</v>
      </c>
      <c r="D316" s="158" t="s">
        <v>1999</v>
      </c>
      <c r="E316" s="158" t="s">
        <v>126</v>
      </c>
      <c r="F316" s="158" t="s">
        <v>1263</v>
      </c>
      <c r="G316" s="158" t="s">
        <v>770</v>
      </c>
      <c r="H316" s="159">
        <v>43857</v>
      </c>
      <c r="I316" s="158"/>
      <c r="J316" s="158">
        <v>0</v>
      </c>
      <c r="K316" s="158">
        <v>0</v>
      </c>
      <c r="L316" s="158">
        <v>0</v>
      </c>
      <c r="M316" s="158"/>
      <c r="N316" s="158">
        <v>0</v>
      </c>
      <c r="O316" s="158">
        <v>0</v>
      </c>
      <c r="P316" s="158">
        <v>0</v>
      </c>
      <c r="Q316" s="158" t="s">
        <v>22</v>
      </c>
      <c r="R316" s="158">
        <v>339.04</v>
      </c>
      <c r="S316" s="158" t="s">
        <v>447</v>
      </c>
      <c r="T316" s="160">
        <v>0</v>
      </c>
      <c r="U316" s="160">
        <v>0</v>
      </c>
      <c r="V316" s="160">
        <v>0</v>
      </c>
      <c r="W316" s="160">
        <v>0</v>
      </c>
      <c r="X316" s="160">
        <v>0</v>
      </c>
      <c r="Y316" s="160">
        <v>0</v>
      </c>
      <c r="Z316" s="158">
        <v>4</v>
      </c>
      <c r="AA316" s="158" t="s">
        <v>22</v>
      </c>
      <c r="AB316" s="158"/>
      <c r="AC316" s="158">
        <v>0</v>
      </c>
    </row>
    <row r="317" spans="1:29" x14ac:dyDescent="0.2">
      <c r="A317" s="138">
        <f t="shared" si="4"/>
        <v>313</v>
      </c>
      <c r="B317" s="156">
        <v>43857</v>
      </c>
      <c r="C317" s="157" t="s">
        <v>2550</v>
      </c>
      <c r="D317" s="158" t="s">
        <v>2627</v>
      </c>
      <c r="E317" s="158" t="s">
        <v>126</v>
      </c>
      <c r="F317" s="158" t="s">
        <v>127</v>
      </c>
      <c r="G317" s="158" t="s">
        <v>770</v>
      </c>
      <c r="H317" s="159">
        <v>43857</v>
      </c>
      <c r="I317" s="158"/>
      <c r="J317" s="158">
        <v>0</v>
      </c>
      <c r="K317" s="158">
        <v>0</v>
      </c>
      <c r="L317" s="158">
        <v>0</v>
      </c>
      <c r="M317" s="158"/>
      <c r="N317" s="158">
        <v>0</v>
      </c>
      <c r="O317" s="158">
        <v>0</v>
      </c>
      <c r="P317" s="158">
        <v>0</v>
      </c>
      <c r="Q317" s="158" t="s">
        <v>22</v>
      </c>
      <c r="R317" s="158">
        <v>106.06</v>
      </c>
      <c r="S317" s="158" t="s">
        <v>124</v>
      </c>
      <c r="T317" s="160"/>
      <c r="U317" s="160"/>
      <c r="V317" s="160"/>
      <c r="W317" s="160"/>
      <c r="X317" s="160"/>
      <c r="Y317" s="160"/>
      <c r="Z317" s="158">
        <v>0</v>
      </c>
      <c r="AA317" s="158" t="s">
        <v>22</v>
      </c>
      <c r="AB317" s="158"/>
      <c r="AC317" s="158">
        <v>0</v>
      </c>
    </row>
    <row r="318" spans="1:29" x14ac:dyDescent="0.2">
      <c r="A318" s="138">
        <f t="shared" si="4"/>
        <v>314</v>
      </c>
      <c r="B318" s="156">
        <v>43858</v>
      </c>
      <c r="C318" s="157" t="s">
        <v>2676</v>
      </c>
      <c r="D318" s="158" t="s">
        <v>2668</v>
      </c>
      <c r="E318" s="158" t="s">
        <v>128</v>
      </c>
      <c r="F318" s="158" t="s">
        <v>2669</v>
      </c>
      <c r="G318" s="158" t="s">
        <v>123</v>
      </c>
      <c r="H318" s="159">
        <v>43858</v>
      </c>
      <c r="I318" s="158" t="s">
        <v>744</v>
      </c>
      <c r="J318" s="158">
        <v>1</v>
      </c>
      <c r="K318" s="158">
        <v>1</v>
      </c>
      <c r="L318" s="158">
        <v>0</v>
      </c>
      <c r="M318" s="158" t="s">
        <v>6</v>
      </c>
      <c r="N318" s="158">
        <v>1.25</v>
      </c>
      <c r="O318" s="158">
        <v>1</v>
      </c>
      <c r="P318" s="158">
        <v>0</v>
      </c>
      <c r="Q318" s="158" t="s">
        <v>22</v>
      </c>
      <c r="R318" s="158">
        <v>333.67</v>
      </c>
      <c r="S318" s="158" t="s">
        <v>124</v>
      </c>
      <c r="T318" s="160"/>
      <c r="U318" s="160"/>
      <c r="V318" s="160"/>
      <c r="W318" s="160"/>
      <c r="X318" s="160"/>
      <c r="Y318" s="160"/>
      <c r="Z318" s="158">
        <v>0</v>
      </c>
      <c r="AA318" s="158"/>
      <c r="AB318" s="158"/>
      <c r="AC318" s="158">
        <v>45</v>
      </c>
    </row>
    <row r="319" spans="1:29" x14ac:dyDescent="0.2">
      <c r="A319" s="138">
        <f t="shared" si="4"/>
        <v>315</v>
      </c>
      <c r="B319" s="156">
        <v>43859</v>
      </c>
      <c r="C319" s="157" t="s">
        <v>2588</v>
      </c>
      <c r="D319" s="158" t="s">
        <v>2680</v>
      </c>
      <c r="E319" s="158" t="s">
        <v>178</v>
      </c>
      <c r="F319" s="158" t="s">
        <v>2681</v>
      </c>
      <c r="G319" s="158" t="s">
        <v>123</v>
      </c>
      <c r="H319" s="159">
        <v>43859</v>
      </c>
      <c r="I319" s="158" t="s">
        <v>744</v>
      </c>
      <c r="J319" s="158">
        <v>16</v>
      </c>
      <c r="K319" s="158">
        <v>12</v>
      </c>
      <c r="L319" s="158">
        <v>0</v>
      </c>
      <c r="M319" s="158" t="s">
        <v>6</v>
      </c>
      <c r="N319" s="158">
        <v>3</v>
      </c>
      <c r="O319" s="158">
        <v>3</v>
      </c>
      <c r="P319" s="158">
        <v>0</v>
      </c>
      <c r="Q319" s="158" t="s">
        <v>22</v>
      </c>
      <c r="R319" s="158">
        <v>5246.3</v>
      </c>
      <c r="S319" s="158" t="s">
        <v>23</v>
      </c>
      <c r="T319" s="167"/>
      <c r="U319" s="167"/>
      <c r="V319" s="167"/>
      <c r="W319" s="167"/>
      <c r="X319" s="167"/>
      <c r="Y319" s="167"/>
      <c r="Z319" s="158">
        <v>2</v>
      </c>
      <c r="AA319" s="158"/>
      <c r="AB319" s="158"/>
      <c r="AC319" s="158">
        <v>195</v>
      </c>
    </row>
    <row r="320" spans="1:29" x14ac:dyDescent="0.2">
      <c r="A320" s="138">
        <f t="shared" si="4"/>
        <v>316</v>
      </c>
      <c r="B320" s="156">
        <v>43859</v>
      </c>
      <c r="C320" s="157" t="s">
        <v>2677</v>
      </c>
      <c r="D320" s="158" t="s">
        <v>2678</v>
      </c>
      <c r="E320" s="158" t="s">
        <v>128</v>
      </c>
      <c r="F320" s="158" t="s">
        <v>134</v>
      </c>
      <c r="G320" s="158" t="s">
        <v>123</v>
      </c>
      <c r="H320" s="159">
        <v>43858</v>
      </c>
      <c r="I320" s="158" t="s">
        <v>744</v>
      </c>
      <c r="J320" s="158">
        <v>9</v>
      </c>
      <c r="K320" s="158">
        <v>6</v>
      </c>
      <c r="L320" s="158">
        <v>0</v>
      </c>
      <c r="M320" s="158" t="s">
        <v>6</v>
      </c>
      <c r="N320" s="158">
        <v>3</v>
      </c>
      <c r="O320" s="158">
        <v>3</v>
      </c>
      <c r="P320" s="158">
        <v>0</v>
      </c>
      <c r="Q320" s="158" t="s">
        <v>22</v>
      </c>
      <c r="R320" s="158">
        <v>402.5</v>
      </c>
      <c r="S320" s="158" t="s">
        <v>124</v>
      </c>
      <c r="T320" s="160">
        <v>41</v>
      </c>
      <c r="U320" s="160">
        <v>27</v>
      </c>
      <c r="V320" s="160">
        <v>11</v>
      </c>
      <c r="W320" s="160">
        <v>11</v>
      </c>
      <c r="X320" s="160">
        <v>14</v>
      </c>
      <c r="Y320" s="160">
        <v>0</v>
      </c>
      <c r="Z320" s="158">
        <v>0</v>
      </c>
      <c r="AA320" s="158"/>
      <c r="AB320" s="158"/>
      <c r="AC320" s="158">
        <v>25</v>
      </c>
    </row>
    <row r="321" spans="1:29" x14ac:dyDescent="0.2">
      <c r="A321" s="138">
        <f t="shared" si="4"/>
        <v>317</v>
      </c>
      <c r="B321" s="156">
        <v>43859</v>
      </c>
      <c r="C321" s="157" t="s">
        <v>2682</v>
      </c>
      <c r="D321" s="158" t="s">
        <v>2683</v>
      </c>
      <c r="E321" s="158" t="s">
        <v>122</v>
      </c>
      <c r="F321" s="158" t="s">
        <v>177</v>
      </c>
      <c r="G321" s="158" t="s">
        <v>123</v>
      </c>
      <c r="H321" s="159">
        <v>43858</v>
      </c>
      <c r="I321" s="158" t="s">
        <v>744</v>
      </c>
      <c r="J321" s="158">
        <v>14</v>
      </c>
      <c r="K321" s="158">
        <v>8</v>
      </c>
      <c r="L321" s="158">
        <v>0</v>
      </c>
      <c r="M321" s="158" t="s">
        <v>6</v>
      </c>
      <c r="N321" s="158">
        <v>4</v>
      </c>
      <c r="O321" s="158">
        <v>4</v>
      </c>
      <c r="P321" s="158">
        <v>0</v>
      </c>
      <c r="Q321" s="158" t="s">
        <v>22</v>
      </c>
      <c r="R321" s="158">
        <v>667.59</v>
      </c>
      <c r="S321" s="158" t="s">
        <v>23</v>
      </c>
      <c r="T321" s="167"/>
      <c r="U321" s="167"/>
      <c r="V321" s="167"/>
      <c r="W321" s="167"/>
      <c r="X321" s="167"/>
      <c r="Y321" s="167"/>
      <c r="Z321" s="158">
        <v>1</v>
      </c>
      <c r="AA321" s="158"/>
      <c r="AB321" s="158"/>
      <c r="AC321" s="158">
        <v>80</v>
      </c>
    </row>
    <row r="322" spans="1:29" x14ac:dyDescent="0.2">
      <c r="A322" s="138">
        <f t="shared" si="4"/>
        <v>318</v>
      </c>
      <c r="B322" s="156">
        <v>43859</v>
      </c>
      <c r="C322" s="157" t="s">
        <v>2679</v>
      </c>
      <c r="D322" s="158" t="s">
        <v>1415</v>
      </c>
      <c r="E322" s="158" t="s">
        <v>21</v>
      </c>
      <c r="F322" s="158" t="s">
        <v>24</v>
      </c>
      <c r="G322" s="158" t="s">
        <v>123</v>
      </c>
      <c r="H322" s="159">
        <v>43858</v>
      </c>
      <c r="I322" s="158" t="s">
        <v>744</v>
      </c>
      <c r="J322" s="158">
        <v>2</v>
      </c>
      <c r="K322" s="158">
        <v>1</v>
      </c>
      <c r="L322" s="158">
        <v>0</v>
      </c>
      <c r="M322" s="158" t="s">
        <v>6</v>
      </c>
      <c r="N322" s="158">
        <v>1</v>
      </c>
      <c r="O322" s="158">
        <v>1</v>
      </c>
      <c r="P322" s="158">
        <v>0</v>
      </c>
      <c r="Q322" s="158"/>
      <c r="R322" s="158">
        <v>0</v>
      </c>
      <c r="S322" s="158" t="s">
        <v>124</v>
      </c>
      <c r="T322" s="167"/>
      <c r="U322" s="167"/>
      <c r="V322" s="167"/>
      <c r="W322" s="167"/>
      <c r="X322" s="167"/>
      <c r="Y322" s="167"/>
      <c r="Z322" s="158">
        <v>0</v>
      </c>
      <c r="AA322" s="158"/>
      <c r="AB322" s="158"/>
      <c r="AC322" s="158">
        <v>0</v>
      </c>
    </row>
    <row r="323" spans="1:29" x14ac:dyDescent="0.2">
      <c r="A323" s="138">
        <f t="shared" si="4"/>
        <v>319</v>
      </c>
      <c r="B323" s="156">
        <v>43860</v>
      </c>
      <c r="C323" s="157" t="s">
        <v>2661</v>
      </c>
      <c r="D323" s="158" t="s">
        <v>2608</v>
      </c>
      <c r="E323" s="158" t="s">
        <v>122</v>
      </c>
      <c r="F323" s="158" t="s">
        <v>1912</v>
      </c>
      <c r="G323" s="158" t="s">
        <v>121</v>
      </c>
      <c r="H323" s="159">
        <v>43860</v>
      </c>
      <c r="I323" s="158"/>
      <c r="J323" s="158">
        <v>0</v>
      </c>
      <c r="K323" s="158">
        <v>0</v>
      </c>
      <c r="L323" s="158">
        <v>0</v>
      </c>
      <c r="M323" s="158"/>
      <c r="N323" s="158">
        <v>0</v>
      </c>
      <c r="O323" s="158">
        <v>0</v>
      </c>
      <c r="P323" s="158">
        <v>0</v>
      </c>
      <c r="Q323" s="158"/>
      <c r="R323" s="158">
        <v>0</v>
      </c>
      <c r="S323" s="158" t="s">
        <v>447</v>
      </c>
      <c r="T323" s="167"/>
      <c r="U323" s="167"/>
      <c r="V323" s="167"/>
      <c r="W323" s="167"/>
      <c r="X323" s="167"/>
      <c r="Y323" s="167"/>
      <c r="Z323" s="158">
        <v>0</v>
      </c>
      <c r="AA323" s="158"/>
      <c r="AB323" s="158"/>
      <c r="AC323" s="158">
        <v>73.959999999999994</v>
      </c>
    </row>
    <row r="324" spans="1:29" x14ac:dyDescent="0.2">
      <c r="A324" s="138">
        <f t="shared" si="4"/>
        <v>320</v>
      </c>
      <c r="B324" s="156">
        <v>43860</v>
      </c>
      <c r="C324" s="157" t="s">
        <v>2693</v>
      </c>
      <c r="D324" s="158" t="s">
        <v>1989</v>
      </c>
      <c r="E324" s="158" t="s">
        <v>1908</v>
      </c>
      <c r="F324" s="158" t="s">
        <v>2694</v>
      </c>
      <c r="G324" s="158" t="s">
        <v>121</v>
      </c>
      <c r="H324" s="159">
        <v>30</v>
      </c>
      <c r="I324" s="159"/>
      <c r="J324" s="158">
        <v>0</v>
      </c>
      <c r="K324" s="158">
        <v>0</v>
      </c>
      <c r="L324" s="158">
        <v>0</v>
      </c>
      <c r="M324" s="158"/>
      <c r="N324" s="158">
        <v>0</v>
      </c>
      <c r="O324" s="158">
        <v>0</v>
      </c>
      <c r="P324" s="158">
        <v>0</v>
      </c>
      <c r="Q324" s="158"/>
      <c r="R324" s="158">
        <v>1757.62</v>
      </c>
      <c r="S324" s="158" t="s">
        <v>447</v>
      </c>
      <c r="T324" s="167"/>
      <c r="U324" s="167"/>
      <c r="V324" s="167"/>
      <c r="W324" s="167"/>
      <c r="X324" s="167"/>
      <c r="Y324" s="167"/>
      <c r="Z324" s="158">
        <v>1</v>
      </c>
      <c r="AA324" s="158"/>
      <c r="AB324" s="158"/>
      <c r="AC324" s="158">
        <v>28.96</v>
      </c>
    </row>
    <row r="325" spans="1:29" x14ac:dyDescent="0.2">
      <c r="A325" s="138">
        <f t="shared" si="4"/>
        <v>321</v>
      </c>
      <c r="B325" s="156">
        <v>43860</v>
      </c>
      <c r="C325" s="157" t="s">
        <v>2684</v>
      </c>
      <c r="D325" s="158" t="s">
        <v>2685</v>
      </c>
      <c r="E325" s="158" t="s">
        <v>122</v>
      </c>
      <c r="F325" s="158" t="s">
        <v>2686</v>
      </c>
      <c r="G325" s="158" t="s">
        <v>123</v>
      </c>
      <c r="H325" s="159">
        <v>43858</v>
      </c>
      <c r="I325" s="158" t="s">
        <v>744</v>
      </c>
      <c r="J325" s="158">
        <v>15</v>
      </c>
      <c r="K325" s="158">
        <v>10</v>
      </c>
      <c r="L325" s="158">
        <v>0</v>
      </c>
      <c r="M325" s="158" t="s">
        <v>6</v>
      </c>
      <c r="N325" s="158">
        <v>6</v>
      </c>
      <c r="O325" s="158">
        <v>6</v>
      </c>
      <c r="P325" s="158">
        <v>0</v>
      </c>
      <c r="Q325" s="158" t="s">
        <v>22</v>
      </c>
      <c r="R325" s="158">
        <v>1682.45</v>
      </c>
      <c r="S325" s="158" t="s">
        <v>23</v>
      </c>
      <c r="T325" s="167">
        <v>34</v>
      </c>
      <c r="U325" s="167">
        <v>22</v>
      </c>
      <c r="V325" s="167">
        <v>12.5</v>
      </c>
      <c r="W325" s="167">
        <v>12.5</v>
      </c>
      <c r="X325" s="167">
        <v>12</v>
      </c>
      <c r="Y325" s="167">
        <v>0</v>
      </c>
      <c r="Z325" s="158">
        <v>0</v>
      </c>
      <c r="AA325" s="158"/>
      <c r="AB325" s="158"/>
      <c r="AC325" s="158">
        <v>50</v>
      </c>
    </row>
    <row r="326" spans="1:29" x14ac:dyDescent="0.2">
      <c r="A326" s="138">
        <f t="shared" si="4"/>
        <v>322</v>
      </c>
      <c r="B326" s="156">
        <v>43860</v>
      </c>
      <c r="C326" s="157" t="s">
        <v>2690</v>
      </c>
      <c r="D326" s="158" t="s">
        <v>2691</v>
      </c>
      <c r="E326" s="158" t="s">
        <v>187</v>
      </c>
      <c r="F326" s="158" t="s">
        <v>2692</v>
      </c>
      <c r="G326" s="158" t="s">
        <v>123</v>
      </c>
      <c r="H326" s="159">
        <v>43859</v>
      </c>
      <c r="I326" s="158" t="s">
        <v>744</v>
      </c>
      <c r="J326" s="158">
        <v>1</v>
      </c>
      <c r="K326" s="158">
        <v>1</v>
      </c>
      <c r="L326" s="158">
        <v>0</v>
      </c>
      <c r="M326" s="158" t="s">
        <v>6</v>
      </c>
      <c r="N326" s="158">
        <v>1</v>
      </c>
      <c r="O326" s="158">
        <v>1</v>
      </c>
      <c r="P326" s="158">
        <v>0</v>
      </c>
      <c r="Q326" s="158" t="s">
        <v>22</v>
      </c>
      <c r="R326" s="158">
        <v>549.4</v>
      </c>
      <c r="S326" s="158" t="s">
        <v>124</v>
      </c>
      <c r="T326" s="167"/>
      <c r="U326" s="167"/>
      <c r="V326" s="167"/>
      <c r="W326" s="167"/>
      <c r="X326" s="167"/>
      <c r="Y326" s="167"/>
      <c r="Z326" s="158">
        <v>0</v>
      </c>
      <c r="AA326" s="158"/>
      <c r="AB326" s="158"/>
      <c r="AC326" s="158">
        <v>73.959999999999994</v>
      </c>
    </row>
    <row r="327" spans="1:29" x14ac:dyDescent="0.2">
      <c r="A327" s="138">
        <f t="shared" si="4"/>
        <v>323</v>
      </c>
      <c r="B327" s="156">
        <v>43860</v>
      </c>
      <c r="C327" s="157" t="s">
        <v>2687</v>
      </c>
      <c r="D327" s="158" t="s">
        <v>2688</v>
      </c>
      <c r="E327" s="158" t="s">
        <v>3277</v>
      </c>
      <c r="F327" s="158" t="s">
        <v>181</v>
      </c>
      <c r="G327" s="158" t="s">
        <v>123</v>
      </c>
      <c r="H327" s="159">
        <v>43859</v>
      </c>
      <c r="I327" s="158" t="s">
        <v>744</v>
      </c>
      <c r="J327" s="158">
        <v>16</v>
      </c>
      <c r="K327" s="158">
        <v>10</v>
      </c>
      <c r="L327" s="158">
        <v>0</v>
      </c>
      <c r="M327" s="158" t="s">
        <v>6</v>
      </c>
      <c r="N327" s="158">
        <v>4.5</v>
      </c>
      <c r="O327" s="158">
        <v>4.5</v>
      </c>
      <c r="P327" s="158">
        <v>0</v>
      </c>
      <c r="Q327" s="158" t="s">
        <v>22</v>
      </c>
      <c r="R327" s="158">
        <v>37.020000000000003</v>
      </c>
      <c r="S327" s="158" t="s">
        <v>23</v>
      </c>
      <c r="T327" s="167"/>
      <c r="U327" s="167"/>
      <c r="V327" s="167"/>
      <c r="W327" s="167"/>
      <c r="X327" s="167"/>
      <c r="Y327" s="167"/>
      <c r="Z327" s="158">
        <v>0</v>
      </c>
      <c r="AA327" s="158"/>
      <c r="AB327" s="158"/>
      <c r="AC327" s="158">
        <v>30</v>
      </c>
    </row>
    <row r="328" spans="1:29" x14ac:dyDescent="0.2">
      <c r="A328" s="138">
        <f t="shared" si="4"/>
        <v>324</v>
      </c>
      <c r="B328" s="156">
        <v>43860</v>
      </c>
      <c r="C328" s="157" t="s">
        <v>2679</v>
      </c>
      <c r="D328" s="158" t="s">
        <v>1415</v>
      </c>
      <c r="E328" s="158" t="s">
        <v>21</v>
      </c>
      <c r="F328" s="158" t="s">
        <v>24</v>
      </c>
      <c r="G328" s="158" t="s">
        <v>123</v>
      </c>
      <c r="H328" s="159">
        <v>43858</v>
      </c>
      <c r="I328" s="158" t="s">
        <v>744</v>
      </c>
      <c r="J328" s="158">
        <v>2</v>
      </c>
      <c r="K328" s="158">
        <v>1</v>
      </c>
      <c r="L328" s="158">
        <v>0</v>
      </c>
      <c r="M328" s="158" t="s">
        <v>6</v>
      </c>
      <c r="N328" s="158">
        <v>1</v>
      </c>
      <c r="O328" s="158">
        <v>1</v>
      </c>
      <c r="P328" s="158">
        <v>0</v>
      </c>
      <c r="Q328" s="158" t="s">
        <v>22</v>
      </c>
      <c r="R328" s="158">
        <v>39.83</v>
      </c>
      <c r="S328" s="158" t="s">
        <v>124</v>
      </c>
      <c r="T328" s="167"/>
      <c r="U328" s="167"/>
      <c r="V328" s="167"/>
      <c r="W328" s="167"/>
      <c r="X328" s="167"/>
      <c r="Y328" s="167"/>
      <c r="Z328" s="158">
        <v>0</v>
      </c>
      <c r="AA328" s="158"/>
      <c r="AB328" s="158"/>
      <c r="AC328" s="158">
        <v>55</v>
      </c>
    </row>
    <row r="329" spans="1:29" x14ac:dyDescent="0.2">
      <c r="A329" s="138">
        <f t="shared" si="4"/>
        <v>325</v>
      </c>
      <c r="B329" s="156">
        <v>43860</v>
      </c>
      <c r="C329" s="157" t="s">
        <v>2695</v>
      </c>
      <c r="D329" s="158" t="s">
        <v>2696</v>
      </c>
      <c r="E329" s="158" t="s">
        <v>178</v>
      </c>
      <c r="F329" s="158" t="s">
        <v>1361</v>
      </c>
      <c r="G329" s="158" t="s">
        <v>121</v>
      </c>
      <c r="H329" s="159">
        <v>30</v>
      </c>
      <c r="I329" s="158"/>
      <c r="J329" s="158">
        <v>0</v>
      </c>
      <c r="K329" s="158">
        <v>0</v>
      </c>
      <c r="L329" s="158">
        <v>0</v>
      </c>
      <c r="M329" s="158"/>
      <c r="N329" s="158">
        <v>0</v>
      </c>
      <c r="O329" s="158">
        <v>0</v>
      </c>
      <c r="P329" s="158">
        <v>0</v>
      </c>
      <c r="Q329" s="158"/>
      <c r="R329" s="158">
        <v>0</v>
      </c>
      <c r="S329" s="158" t="s">
        <v>447</v>
      </c>
      <c r="T329" s="160"/>
      <c r="U329" s="160"/>
      <c r="V329" s="160"/>
      <c r="W329" s="160"/>
      <c r="X329" s="160"/>
      <c r="Y329" s="160"/>
      <c r="Z329" s="158">
        <v>1</v>
      </c>
      <c r="AA329" s="158"/>
      <c r="AB329" s="158"/>
      <c r="AC329" s="158">
        <v>0</v>
      </c>
    </row>
    <row r="330" spans="1:29" x14ac:dyDescent="0.2">
      <c r="A330" s="138">
        <f t="shared" si="4"/>
        <v>326</v>
      </c>
      <c r="B330" s="156">
        <v>43860</v>
      </c>
      <c r="C330" s="157" t="s">
        <v>2689</v>
      </c>
      <c r="D330" s="158" t="s">
        <v>2663</v>
      </c>
      <c r="E330" s="158" t="s">
        <v>156</v>
      </c>
      <c r="F330" s="158" t="s">
        <v>1328</v>
      </c>
      <c r="G330" s="158" t="s">
        <v>121</v>
      </c>
      <c r="H330" s="159">
        <v>43860</v>
      </c>
      <c r="I330" s="158"/>
      <c r="J330" s="158">
        <v>0</v>
      </c>
      <c r="K330" s="158">
        <v>0</v>
      </c>
      <c r="L330" s="158">
        <v>0</v>
      </c>
      <c r="M330" s="158"/>
      <c r="N330" s="158">
        <v>0</v>
      </c>
      <c r="O330" s="158">
        <v>0</v>
      </c>
      <c r="P330" s="158">
        <v>0</v>
      </c>
      <c r="Q330" s="158"/>
      <c r="R330" s="158">
        <v>0</v>
      </c>
      <c r="S330" s="158" t="s">
        <v>124</v>
      </c>
      <c r="T330" s="167"/>
      <c r="U330" s="167"/>
      <c r="V330" s="167"/>
      <c r="W330" s="167"/>
      <c r="X330" s="167"/>
      <c r="Y330" s="167"/>
      <c r="Z330" s="158">
        <v>0</v>
      </c>
      <c r="AA330" s="158" t="s">
        <v>22</v>
      </c>
      <c r="AB330" s="158"/>
      <c r="AC330" s="158">
        <v>40</v>
      </c>
    </row>
    <row r="331" spans="1:29" x14ac:dyDescent="0.2">
      <c r="A331" s="138">
        <f t="shared" si="4"/>
        <v>327</v>
      </c>
      <c r="B331" s="156">
        <v>43862</v>
      </c>
      <c r="C331" s="157" t="s">
        <v>2858</v>
      </c>
      <c r="D331" s="158" t="s">
        <v>1353</v>
      </c>
      <c r="E331" s="158" t="s">
        <v>21</v>
      </c>
      <c r="F331" s="158" t="s">
        <v>24</v>
      </c>
      <c r="G331" s="158" t="s">
        <v>121</v>
      </c>
      <c r="H331" s="159">
        <v>43862</v>
      </c>
      <c r="I331" s="158"/>
      <c r="J331" s="158">
        <v>0</v>
      </c>
      <c r="K331" s="158">
        <v>0</v>
      </c>
      <c r="L331" s="158">
        <v>0</v>
      </c>
      <c r="M331" s="158"/>
      <c r="N331" s="158">
        <v>0</v>
      </c>
      <c r="O331" s="158">
        <v>0</v>
      </c>
      <c r="P331" s="158">
        <v>0</v>
      </c>
      <c r="Q331" s="158" t="s">
        <v>22</v>
      </c>
      <c r="R331" s="158">
        <v>6.06</v>
      </c>
      <c r="S331" s="158" t="s">
        <v>447</v>
      </c>
      <c r="T331" s="160"/>
      <c r="U331" s="160"/>
      <c r="V331" s="160"/>
      <c r="W331" s="160"/>
      <c r="X331" s="160"/>
      <c r="Y331" s="160"/>
      <c r="Z331" s="158">
        <v>0</v>
      </c>
      <c r="AA331" s="158"/>
      <c r="AB331" s="158"/>
      <c r="AC331" s="158">
        <v>0</v>
      </c>
    </row>
    <row r="332" spans="1:29" x14ac:dyDescent="0.2">
      <c r="A332" s="138">
        <f>+A331+1</f>
        <v>328</v>
      </c>
      <c r="B332" s="156">
        <v>43865</v>
      </c>
      <c r="C332" s="157" t="s">
        <v>2859</v>
      </c>
      <c r="D332" s="158" t="s">
        <v>2860</v>
      </c>
      <c r="E332" s="158" t="s">
        <v>156</v>
      </c>
      <c r="F332" s="158" t="s">
        <v>869</v>
      </c>
      <c r="G332" s="158" t="s">
        <v>123</v>
      </c>
      <c r="H332" s="159">
        <v>43864</v>
      </c>
      <c r="I332" s="158" t="s">
        <v>2861</v>
      </c>
      <c r="J332" s="158">
        <v>8</v>
      </c>
      <c r="K332" s="158">
        <v>6</v>
      </c>
      <c r="L332" s="158">
        <v>0</v>
      </c>
      <c r="M332" s="158" t="s">
        <v>6</v>
      </c>
      <c r="N332" s="158">
        <v>2</v>
      </c>
      <c r="O332" s="158">
        <v>2</v>
      </c>
      <c r="P332" s="158">
        <v>0</v>
      </c>
      <c r="Q332" s="158" t="s">
        <v>22</v>
      </c>
      <c r="R332" s="158">
        <v>768.96</v>
      </c>
      <c r="S332" s="158" t="s">
        <v>124</v>
      </c>
      <c r="T332" s="160"/>
      <c r="U332" s="160"/>
      <c r="V332" s="160"/>
      <c r="W332" s="160"/>
      <c r="X332" s="160"/>
      <c r="Y332" s="160"/>
      <c r="Z332" s="158">
        <v>0</v>
      </c>
      <c r="AA332" s="158"/>
      <c r="AB332" s="158"/>
      <c r="AC332" s="158">
        <v>0</v>
      </c>
    </row>
    <row r="333" spans="1:29" x14ac:dyDescent="0.2">
      <c r="A333" s="138">
        <f t="shared" ref="A333:A397" si="5">+A332+1</f>
        <v>329</v>
      </c>
      <c r="B333" s="156">
        <v>43865</v>
      </c>
      <c r="C333" s="157" t="s">
        <v>2862</v>
      </c>
      <c r="D333" s="158" t="s">
        <v>2860</v>
      </c>
      <c r="E333" s="158" t="s">
        <v>156</v>
      </c>
      <c r="F333" s="158" t="s">
        <v>869</v>
      </c>
      <c r="G333" s="158" t="s">
        <v>123</v>
      </c>
      <c r="H333" s="159">
        <v>43864</v>
      </c>
      <c r="I333" s="158" t="s">
        <v>2861</v>
      </c>
      <c r="J333" s="158">
        <v>2</v>
      </c>
      <c r="K333" s="158">
        <v>2</v>
      </c>
      <c r="L333" s="158">
        <v>0</v>
      </c>
      <c r="M333" s="158" t="s">
        <v>6</v>
      </c>
      <c r="N333" s="158">
        <v>1</v>
      </c>
      <c r="O333" s="158">
        <v>1</v>
      </c>
      <c r="P333" s="158">
        <v>0</v>
      </c>
      <c r="Q333" s="158" t="s">
        <v>22</v>
      </c>
      <c r="R333" s="158">
        <v>2172.92</v>
      </c>
      <c r="S333" s="158" t="s">
        <v>124</v>
      </c>
      <c r="T333" s="160"/>
      <c r="U333" s="160"/>
      <c r="V333" s="160"/>
      <c r="W333" s="160"/>
      <c r="X333" s="160"/>
      <c r="Y333" s="160"/>
      <c r="Z333" s="158">
        <v>0</v>
      </c>
      <c r="AA333" s="158"/>
      <c r="AB333" s="158"/>
      <c r="AC333" s="158">
        <v>0</v>
      </c>
    </row>
    <row r="334" spans="1:29" x14ac:dyDescent="0.2">
      <c r="A334" s="138">
        <f t="shared" si="5"/>
        <v>330</v>
      </c>
      <c r="B334" s="156">
        <v>43865</v>
      </c>
      <c r="C334" s="157" t="s">
        <v>2863</v>
      </c>
      <c r="D334" s="158" t="s">
        <v>2864</v>
      </c>
      <c r="E334" s="158" t="s">
        <v>146</v>
      </c>
      <c r="F334" s="158" t="s">
        <v>179</v>
      </c>
      <c r="G334" s="158" t="s">
        <v>123</v>
      </c>
      <c r="H334" s="159">
        <v>43864</v>
      </c>
      <c r="I334" s="158" t="s">
        <v>2861</v>
      </c>
      <c r="J334" s="158">
        <v>5.25</v>
      </c>
      <c r="K334" s="158">
        <v>3</v>
      </c>
      <c r="L334" s="158">
        <v>0</v>
      </c>
      <c r="M334" s="158" t="s">
        <v>6</v>
      </c>
      <c r="N334" s="158">
        <v>2</v>
      </c>
      <c r="O334" s="158">
        <v>2</v>
      </c>
      <c r="P334" s="158">
        <v>0</v>
      </c>
      <c r="Q334" s="158" t="s">
        <v>22</v>
      </c>
      <c r="R334" s="158">
        <v>254.72</v>
      </c>
      <c r="S334" s="158" t="s">
        <v>124</v>
      </c>
      <c r="T334" s="160"/>
      <c r="U334" s="160"/>
      <c r="V334" s="160"/>
      <c r="W334" s="160"/>
      <c r="X334" s="160"/>
      <c r="Y334" s="160"/>
      <c r="Z334" s="158">
        <v>0</v>
      </c>
      <c r="AA334" s="158"/>
      <c r="AB334" s="158"/>
      <c r="AC334" s="158">
        <v>50</v>
      </c>
    </row>
    <row r="335" spans="1:29" x14ac:dyDescent="0.2">
      <c r="A335" s="138">
        <f t="shared" si="5"/>
        <v>331</v>
      </c>
      <c r="B335" s="156">
        <v>43866</v>
      </c>
      <c r="C335" s="157" t="s">
        <v>2865</v>
      </c>
      <c r="D335" s="158" t="s">
        <v>2866</v>
      </c>
      <c r="E335" s="158" t="s">
        <v>156</v>
      </c>
      <c r="F335" s="158" t="s">
        <v>2867</v>
      </c>
      <c r="G335" s="158" t="s">
        <v>123</v>
      </c>
      <c r="H335" s="159">
        <v>43864</v>
      </c>
      <c r="I335" s="158" t="s">
        <v>2861</v>
      </c>
      <c r="J335" s="158">
        <v>10</v>
      </c>
      <c r="K335" s="158">
        <v>6</v>
      </c>
      <c r="L335" s="158">
        <v>0</v>
      </c>
      <c r="M335" s="158" t="s">
        <v>6</v>
      </c>
      <c r="N335" s="158">
        <v>4.5</v>
      </c>
      <c r="O335" s="158">
        <v>4.5</v>
      </c>
      <c r="P335" s="158">
        <v>0</v>
      </c>
      <c r="Q335" s="158" t="s">
        <v>22</v>
      </c>
      <c r="R335" s="158">
        <v>1470.5</v>
      </c>
      <c r="S335" s="158" t="s">
        <v>124</v>
      </c>
      <c r="T335" s="160"/>
      <c r="U335" s="160"/>
      <c r="V335" s="160"/>
      <c r="W335" s="160"/>
      <c r="X335" s="160"/>
      <c r="Y335" s="160"/>
      <c r="Z335" s="158">
        <v>0</v>
      </c>
      <c r="AA335" s="158"/>
      <c r="AB335" s="158"/>
      <c r="AC335" s="158">
        <v>0</v>
      </c>
    </row>
    <row r="336" spans="1:29" x14ac:dyDescent="0.2">
      <c r="A336" s="138">
        <f t="shared" si="5"/>
        <v>332</v>
      </c>
      <c r="B336" s="156">
        <v>43866</v>
      </c>
      <c r="C336" s="157" t="s">
        <v>2868</v>
      </c>
      <c r="D336" s="158" t="s">
        <v>2869</v>
      </c>
      <c r="E336" s="158" t="s">
        <v>21</v>
      </c>
      <c r="F336" s="158" t="s">
        <v>125</v>
      </c>
      <c r="G336" s="158" t="s">
        <v>121</v>
      </c>
      <c r="H336" s="159">
        <v>43866</v>
      </c>
      <c r="I336" s="158"/>
      <c r="J336" s="158">
        <v>0</v>
      </c>
      <c r="K336" s="158">
        <v>0</v>
      </c>
      <c r="L336" s="158">
        <v>0</v>
      </c>
      <c r="M336" s="158"/>
      <c r="N336" s="158">
        <v>0</v>
      </c>
      <c r="O336" s="158">
        <v>0</v>
      </c>
      <c r="P336" s="158">
        <v>0</v>
      </c>
      <c r="Q336" s="158"/>
      <c r="R336" s="158"/>
      <c r="S336" s="158" t="s">
        <v>447</v>
      </c>
      <c r="T336" s="160"/>
      <c r="U336" s="160"/>
      <c r="V336" s="160"/>
      <c r="W336" s="160"/>
      <c r="X336" s="160"/>
      <c r="Y336" s="160"/>
      <c r="Z336" s="158">
        <v>1</v>
      </c>
      <c r="AA336" s="158"/>
      <c r="AB336" s="158"/>
      <c r="AC336" s="158">
        <v>20.3</v>
      </c>
    </row>
    <row r="337" spans="1:29" x14ac:dyDescent="0.2">
      <c r="A337" s="138">
        <f t="shared" si="5"/>
        <v>333</v>
      </c>
      <c r="B337" s="156">
        <v>43866</v>
      </c>
      <c r="C337" s="157" t="s">
        <v>2870</v>
      </c>
      <c r="D337" s="158" t="s">
        <v>2871</v>
      </c>
      <c r="E337" s="158" t="s">
        <v>128</v>
      </c>
      <c r="F337" s="158" t="s">
        <v>2872</v>
      </c>
      <c r="G337" s="158" t="s">
        <v>123</v>
      </c>
      <c r="H337" s="159">
        <v>43866</v>
      </c>
      <c r="I337" s="158" t="s">
        <v>2861</v>
      </c>
      <c r="J337" s="158">
        <v>2</v>
      </c>
      <c r="K337" s="158">
        <v>2</v>
      </c>
      <c r="L337" s="158">
        <v>0</v>
      </c>
      <c r="M337" s="158" t="s">
        <v>6</v>
      </c>
      <c r="N337" s="158">
        <v>1</v>
      </c>
      <c r="O337" s="158">
        <v>1</v>
      </c>
      <c r="P337" s="158">
        <v>0</v>
      </c>
      <c r="Q337" s="158" t="s">
        <v>22</v>
      </c>
      <c r="R337" s="158">
        <v>146.99</v>
      </c>
      <c r="S337" s="158" t="s">
        <v>124</v>
      </c>
      <c r="T337" s="160"/>
      <c r="U337" s="160"/>
      <c r="V337" s="160"/>
      <c r="W337" s="160"/>
      <c r="X337" s="160"/>
      <c r="Y337" s="160"/>
      <c r="Z337" s="158">
        <v>0</v>
      </c>
      <c r="AA337" s="158"/>
      <c r="AB337" s="158"/>
      <c r="AC337" s="158">
        <v>40</v>
      </c>
    </row>
    <row r="338" spans="1:29" x14ac:dyDescent="0.2">
      <c r="A338" s="138">
        <f t="shared" si="5"/>
        <v>334</v>
      </c>
      <c r="B338" s="156">
        <v>43866</v>
      </c>
      <c r="C338" s="157" t="s">
        <v>2873</v>
      </c>
      <c r="D338" s="158" t="s">
        <v>2874</v>
      </c>
      <c r="E338" s="158" t="s">
        <v>187</v>
      </c>
      <c r="F338" s="158" t="s">
        <v>2875</v>
      </c>
      <c r="G338" s="158" t="s">
        <v>123</v>
      </c>
      <c r="H338" s="159">
        <v>43861</v>
      </c>
      <c r="I338" s="158" t="s">
        <v>2861</v>
      </c>
      <c r="J338" s="158">
        <v>17</v>
      </c>
      <c r="K338" s="158">
        <v>12</v>
      </c>
      <c r="L338" s="158">
        <v>0</v>
      </c>
      <c r="M338" s="158" t="s">
        <v>6</v>
      </c>
      <c r="N338" s="158">
        <v>6</v>
      </c>
      <c r="O338" s="158">
        <v>6</v>
      </c>
      <c r="P338" s="158">
        <v>0</v>
      </c>
      <c r="Q338" s="158" t="s">
        <v>22</v>
      </c>
      <c r="R338" s="158">
        <v>3055.05</v>
      </c>
      <c r="S338" s="158" t="s">
        <v>23</v>
      </c>
      <c r="T338" s="160"/>
      <c r="U338" s="160"/>
      <c r="V338" s="160"/>
      <c r="W338" s="160"/>
      <c r="X338" s="160"/>
      <c r="Y338" s="160"/>
      <c r="Z338" s="158">
        <v>2</v>
      </c>
      <c r="AA338" s="158"/>
      <c r="AB338" s="158"/>
      <c r="AC338" s="158">
        <v>50</v>
      </c>
    </row>
    <row r="339" spans="1:29" x14ac:dyDescent="0.2">
      <c r="A339" s="138">
        <f t="shared" si="5"/>
        <v>335</v>
      </c>
      <c r="B339" s="156">
        <v>43867</v>
      </c>
      <c r="C339" s="157" t="s">
        <v>2876</v>
      </c>
      <c r="D339" s="161" t="s">
        <v>2877</v>
      </c>
      <c r="E339" s="158" t="s">
        <v>3277</v>
      </c>
      <c r="F339" s="161" t="s">
        <v>2878</v>
      </c>
      <c r="G339" s="161" t="s">
        <v>123</v>
      </c>
      <c r="H339" s="162">
        <v>43866</v>
      </c>
      <c r="I339" s="161" t="s">
        <v>2861</v>
      </c>
      <c r="J339" s="158">
        <v>28</v>
      </c>
      <c r="K339" s="158">
        <v>18</v>
      </c>
      <c r="L339" s="158">
        <v>0</v>
      </c>
      <c r="M339" s="161" t="s">
        <v>6</v>
      </c>
      <c r="N339" s="158">
        <v>4</v>
      </c>
      <c r="O339" s="158">
        <v>4</v>
      </c>
      <c r="P339" s="158">
        <v>0</v>
      </c>
      <c r="Q339" s="161" t="s">
        <v>22</v>
      </c>
      <c r="R339" s="161">
        <v>113.84</v>
      </c>
      <c r="S339" s="161" t="s">
        <v>142</v>
      </c>
      <c r="T339" s="163"/>
      <c r="U339" s="163"/>
      <c r="V339" s="163"/>
      <c r="W339" s="163"/>
      <c r="X339" s="163"/>
      <c r="Y339" s="163"/>
      <c r="Z339" s="158">
        <v>0</v>
      </c>
      <c r="AA339" s="161"/>
      <c r="AB339" s="161"/>
      <c r="AC339" s="161">
        <v>90</v>
      </c>
    </row>
    <row r="340" spans="1:29" x14ac:dyDescent="0.2">
      <c r="A340" s="138">
        <f t="shared" si="5"/>
        <v>336</v>
      </c>
      <c r="B340" s="156">
        <v>43867</v>
      </c>
      <c r="C340" s="157" t="s">
        <v>2879</v>
      </c>
      <c r="D340" s="158" t="s">
        <v>2866</v>
      </c>
      <c r="E340" s="158" t="s">
        <v>156</v>
      </c>
      <c r="F340" s="158" t="s">
        <v>2867</v>
      </c>
      <c r="G340" s="158" t="s">
        <v>123</v>
      </c>
      <c r="H340" s="159">
        <v>43866</v>
      </c>
      <c r="I340" s="158" t="s">
        <v>2861</v>
      </c>
      <c r="J340" s="158">
        <v>4</v>
      </c>
      <c r="K340" s="158">
        <v>2</v>
      </c>
      <c r="L340" s="158">
        <v>0</v>
      </c>
      <c r="M340" s="158" t="s">
        <v>6</v>
      </c>
      <c r="N340" s="158">
        <v>1</v>
      </c>
      <c r="O340" s="158">
        <v>1</v>
      </c>
      <c r="P340" s="158">
        <v>0</v>
      </c>
      <c r="Q340" s="158"/>
      <c r="R340" s="158"/>
      <c r="S340" s="158" t="s">
        <v>124</v>
      </c>
      <c r="T340" s="164"/>
      <c r="U340" s="164"/>
      <c r="V340" s="164"/>
      <c r="W340" s="164"/>
      <c r="X340" s="164"/>
      <c r="Y340" s="164"/>
      <c r="Z340" s="158">
        <v>0</v>
      </c>
      <c r="AA340" s="158"/>
      <c r="AB340" s="158"/>
      <c r="AC340" s="158">
        <v>30</v>
      </c>
    </row>
    <row r="341" spans="1:29" x14ac:dyDescent="0.2">
      <c r="A341" s="138">
        <f t="shared" si="5"/>
        <v>337</v>
      </c>
      <c r="B341" s="156">
        <v>43868</v>
      </c>
      <c r="C341" s="157" t="s">
        <v>2880</v>
      </c>
      <c r="D341" s="158" t="s">
        <v>2881</v>
      </c>
      <c r="E341" s="158" t="s">
        <v>122</v>
      </c>
      <c r="F341" s="158" t="s">
        <v>177</v>
      </c>
      <c r="G341" s="158" t="s">
        <v>123</v>
      </c>
      <c r="H341" s="159">
        <v>43867</v>
      </c>
      <c r="I341" s="158" t="s">
        <v>2861</v>
      </c>
      <c r="J341" s="158">
        <v>14</v>
      </c>
      <c r="K341" s="158">
        <v>9</v>
      </c>
      <c r="L341" s="158">
        <v>0</v>
      </c>
      <c r="M341" s="158" t="s">
        <v>6</v>
      </c>
      <c r="N341" s="158">
        <v>3.5</v>
      </c>
      <c r="O341" s="158">
        <v>3.5</v>
      </c>
      <c r="P341" s="158">
        <v>0</v>
      </c>
      <c r="Q341" s="158" t="s">
        <v>22</v>
      </c>
      <c r="R341" s="158">
        <v>1432</v>
      </c>
      <c r="S341" s="158" t="s">
        <v>23</v>
      </c>
      <c r="T341" s="164"/>
      <c r="U341" s="164"/>
      <c r="V341" s="164"/>
      <c r="W341" s="164"/>
      <c r="X341" s="164"/>
      <c r="Y341" s="164"/>
      <c r="Z341" s="158">
        <v>2</v>
      </c>
      <c r="AA341" s="158"/>
      <c r="AB341" s="158"/>
      <c r="AC341" s="158">
        <v>40</v>
      </c>
    </row>
    <row r="342" spans="1:29" x14ac:dyDescent="0.2">
      <c r="A342" s="138">
        <f t="shared" si="5"/>
        <v>338</v>
      </c>
      <c r="B342" s="156">
        <v>43871</v>
      </c>
      <c r="C342" s="157" t="s">
        <v>2882</v>
      </c>
      <c r="D342" s="158" t="s">
        <v>2883</v>
      </c>
      <c r="E342" s="158" t="s">
        <v>146</v>
      </c>
      <c r="F342" s="158" t="s">
        <v>174</v>
      </c>
      <c r="G342" s="158" t="s">
        <v>121</v>
      </c>
      <c r="H342" s="159">
        <v>43871</v>
      </c>
      <c r="I342" s="158" t="s">
        <v>2861</v>
      </c>
      <c r="J342" s="158">
        <v>3</v>
      </c>
      <c r="K342" s="158">
        <v>3</v>
      </c>
      <c r="L342" s="158">
        <v>0</v>
      </c>
      <c r="M342" s="158" t="s">
        <v>6</v>
      </c>
      <c r="N342" s="158">
        <v>2.25</v>
      </c>
      <c r="O342" s="158">
        <v>2.25</v>
      </c>
      <c r="P342" s="158">
        <v>0</v>
      </c>
      <c r="Q342" s="158"/>
      <c r="R342" s="158"/>
      <c r="S342" s="158" t="s">
        <v>124</v>
      </c>
      <c r="T342" s="164"/>
      <c r="U342" s="164"/>
      <c r="V342" s="164"/>
      <c r="W342" s="164"/>
      <c r="X342" s="164"/>
      <c r="Y342" s="164"/>
      <c r="Z342" s="158">
        <v>0</v>
      </c>
      <c r="AA342" s="158"/>
      <c r="AB342" s="158"/>
      <c r="AC342" s="158">
        <v>15</v>
      </c>
    </row>
    <row r="343" spans="1:29" x14ac:dyDescent="0.2">
      <c r="A343" s="138">
        <f t="shared" si="5"/>
        <v>339</v>
      </c>
      <c r="B343" s="156">
        <v>43871</v>
      </c>
      <c r="C343" s="157" t="s">
        <v>2884</v>
      </c>
      <c r="D343" s="158" t="s">
        <v>2883</v>
      </c>
      <c r="E343" s="158" t="s">
        <v>146</v>
      </c>
      <c r="F343" s="158" t="s">
        <v>174</v>
      </c>
      <c r="G343" s="158" t="s">
        <v>121</v>
      </c>
      <c r="H343" s="159">
        <v>43871</v>
      </c>
      <c r="I343" s="158"/>
      <c r="J343" s="158">
        <v>0</v>
      </c>
      <c r="K343" s="158">
        <v>0</v>
      </c>
      <c r="L343" s="158">
        <v>0</v>
      </c>
      <c r="M343" s="158"/>
      <c r="N343" s="158">
        <v>0</v>
      </c>
      <c r="O343" s="158">
        <v>0</v>
      </c>
      <c r="P343" s="158">
        <v>0</v>
      </c>
      <c r="Q343" s="158" t="s">
        <v>22</v>
      </c>
      <c r="R343" s="158">
        <v>65</v>
      </c>
      <c r="S343" s="158" t="s">
        <v>447</v>
      </c>
      <c r="T343" s="164"/>
      <c r="U343" s="164"/>
      <c r="V343" s="164"/>
      <c r="W343" s="164"/>
      <c r="X343" s="164"/>
      <c r="Y343" s="164"/>
      <c r="Z343" s="158">
        <v>2</v>
      </c>
      <c r="AA343" s="158" t="s">
        <v>22</v>
      </c>
      <c r="AB343" s="158"/>
      <c r="AC343" s="158">
        <v>0</v>
      </c>
    </row>
    <row r="344" spans="1:29" x14ac:dyDescent="0.2">
      <c r="A344" s="138">
        <f t="shared" si="5"/>
        <v>340</v>
      </c>
      <c r="B344" s="156">
        <v>43871</v>
      </c>
      <c r="C344" s="157" t="s">
        <v>3029</v>
      </c>
      <c r="D344" s="158" t="s">
        <v>2883</v>
      </c>
      <c r="E344" s="158" t="s">
        <v>146</v>
      </c>
      <c r="F344" s="158" t="s">
        <v>174</v>
      </c>
      <c r="G344" s="158" t="s">
        <v>121</v>
      </c>
      <c r="H344" s="159">
        <v>43871</v>
      </c>
      <c r="I344" s="158"/>
      <c r="J344" s="158">
        <v>0</v>
      </c>
      <c r="K344" s="158">
        <v>0</v>
      </c>
      <c r="L344" s="158">
        <v>0</v>
      </c>
      <c r="M344" s="158"/>
      <c r="N344" s="158">
        <v>0</v>
      </c>
      <c r="O344" s="158">
        <v>0</v>
      </c>
      <c r="P344" s="158">
        <v>0</v>
      </c>
      <c r="Q344" s="158"/>
      <c r="R344" s="158"/>
      <c r="S344" s="158" t="s">
        <v>447</v>
      </c>
      <c r="T344" s="164"/>
      <c r="U344" s="164"/>
      <c r="V344" s="164"/>
      <c r="W344" s="164"/>
      <c r="X344" s="164"/>
      <c r="Y344" s="164"/>
      <c r="Z344" s="158">
        <v>2.67</v>
      </c>
      <c r="AA344" s="158"/>
      <c r="AB344" s="158"/>
      <c r="AC344" s="158">
        <v>0</v>
      </c>
    </row>
    <row r="345" spans="1:29" x14ac:dyDescent="0.2">
      <c r="A345" s="138">
        <f t="shared" si="5"/>
        <v>341</v>
      </c>
      <c r="B345" s="156">
        <v>43871</v>
      </c>
      <c r="C345" s="157" t="s">
        <v>2885</v>
      </c>
      <c r="D345" s="158" t="s">
        <v>2886</v>
      </c>
      <c r="E345" s="158" t="s">
        <v>2887</v>
      </c>
      <c r="F345" s="158" t="s">
        <v>2888</v>
      </c>
      <c r="G345" s="158" t="s">
        <v>123</v>
      </c>
      <c r="H345" s="159">
        <v>43871</v>
      </c>
      <c r="I345" s="158" t="s">
        <v>2861</v>
      </c>
      <c r="J345" s="158">
        <v>12</v>
      </c>
      <c r="K345" s="158">
        <v>6.5</v>
      </c>
      <c r="L345" s="158">
        <v>0</v>
      </c>
      <c r="M345" s="158" t="s">
        <v>6</v>
      </c>
      <c r="N345" s="158">
        <v>3</v>
      </c>
      <c r="O345" s="158">
        <v>3</v>
      </c>
      <c r="P345" s="158">
        <v>0</v>
      </c>
      <c r="Q345" s="158" t="s">
        <v>22</v>
      </c>
      <c r="R345" s="158">
        <v>9.18</v>
      </c>
      <c r="S345" s="158" t="s">
        <v>23</v>
      </c>
      <c r="T345" s="164"/>
      <c r="U345" s="164"/>
      <c r="V345" s="164"/>
      <c r="W345" s="164"/>
      <c r="X345" s="164"/>
      <c r="Y345" s="164"/>
      <c r="Z345" s="158">
        <v>0</v>
      </c>
      <c r="AA345" s="158"/>
      <c r="AB345" s="158"/>
      <c r="AC345" s="158">
        <v>55</v>
      </c>
    </row>
    <row r="346" spans="1:29" x14ac:dyDescent="0.2">
      <c r="A346" s="138">
        <f t="shared" si="5"/>
        <v>342</v>
      </c>
      <c r="B346" s="156">
        <v>43872</v>
      </c>
      <c r="C346" s="157" t="s">
        <v>2889</v>
      </c>
      <c r="D346" s="158" t="s">
        <v>2890</v>
      </c>
      <c r="E346" s="158" t="s">
        <v>156</v>
      </c>
      <c r="F346" s="158" t="s">
        <v>1257</v>
      </c>
      <c r="G346" s="158" t="s">
        <v>123</v>
      </c>
      <c r="H346" s="159">
        <v>43871</v>
      </c>
      <c r="I346" s="158" t="s">
        <v>2861</v>
      </c>
      <c r="J346" s="158">
        <v>2</v>
      </c>
      <c r="K346" s="158">
        <v>2</v>
      </c>
      <c r="L346" s="158">
        <v>0</v>
      </c>
      <c r="M346" s="158" t="s">
        <v>6</v>
      </c>
      <c r="N346" s="158">
        <v>1</v>
      </c>
      <c r="O346" s="158">
        <v>1</v>
      </c>
      <c r="P346" s="158">
        <v>0</v>
      </c>
      <c r="Q346" s="158" t="s">
        <v>22</v>
      </c>
      <c r="R346" s="158">
        <v>738</v>
      </c>
      <c r="S346" s="158" t="s">
        <v>124</v>
      </c>
      <c r="T346" s="164"/>
      <c r="U346" s="164"/>
      <c r="V346" s="164"/>
      <c r="W346" s="164"/>
      <c r="X346" s="164"/>
      <c r="Y346" s="164"/>
      <c r="Z346" s="158">
        <v>0</v>
      </c>
      <c r="AA346" s="158"/>
      <c r="AB346" s="158"/>
      <c r="AC346" s="158">
        <v>0</v>
      </c>
    </row>
    <row r="347" spans="1:29" x14ac:dyDescent="0.2">
      <c r="A347" s="138">
        <f t="shared" si="5"/>
        <v>343</v>
      </c>
      <c r="B347" s="156">
        <v>43872</v>
      </c>
      <c r="C347" s="157" t="s">
        <v>2891</v>
      </c>
      <c r="D347" s="158" t="s">
        <v>2596</v>
      </c>
      <c r="E347" s="158" t="s">
        <v>154</v>
      </c>
      <c r="F347" s="158" t="s">
        <v>182</v>
      </c>
      <c r="G347" s="158" t="s">
        <v>121</v>
      </c>
      <c r="H347" s="159">
        <v>43871</v>
      </c>
      <c r="I347" s="158" t="s">
        <v>2861</v>
      </c>
      <c r="J347" s="158">
        <v>1.5</v>
      </c>
      <c r="K347" s="158">
        <v>1</v>
      </c>
      <c r="L347" s="158">
        <v>0</v>
      </c>
      <c r="M347" s="158" t="s">
        <v>6</v>
      </c>
      <c r="N347" s="158">
        <v>1</v>
      </c>
      <c r="O347" s="158">
        <v>1</v>
      </c>
      <c r="P347" s="158">
        <v>0</v>
      </c>
      <c r="Q347" s="158"/>
      <c r="R347" s="158"/>
      <c r="S347" s="158" t="s">
        <v>124</v>
      </c>
      <c r="T347" s="164"/>
      <c r="U347" s="164"/>
      <c r="V347" s="164"/>
      <c r="W347" s="164"/>
      <c r="X347" s="164"/>
      <c r="Y347" s="164"/>
      <c r="Z347" s="158">
        <v>0</v>
      </c>
      <c r="AA347" s="158"/>
      <c r="AB347" s="158"/>
      <c r="AC347" s="158">
        <v>30</v>
      </c>
    </row>
    <row r="348" spans="1:29" x14ac:dyDescent="0.2">
      <c r="A348" s="138">
        <f t="shared" si="5"/>
        <v>344</v>
      </c>
      <c r="B348" s="156">
        <v>43872</v>
      </c>
      <c r="C348" s="157" t="s">
        <v>2689</v>
      </c>
      <c r="D348" s="158" t="s">
        <v>2892</v>
      </c>
      <c r="E348" s="158" t="s">
        <v>3277</v>
      </c>
      <c r="F348" s="158" t="s">
        <v>2893</v>
      </c>
      <c r="G348" s="158" t="s">
        <v>123</v>
      </c>
      <c r="H348" s="159">
        <v>43867</v>
      </c>
      <c r="I348" s="158" t="s">
        <v>2861</v>
      </c>
      <c r="J348" s="158">
        <v>1</v>
      </c>
      <c r="K348" s="158">
        <v>1</v>
      </c>
      <c r="L348" s="158">
        <v>0</v>
      </c>
      <c r="M348" s="158"/>
      <c r="N348" s="158">
        <v>0</v>
      </c>
      <c r="O348" s="158">
        <v>0</v>
      </c>
      <c r="P348" s="158">
        <v>0</v>
      </c>
      <c r="Q348" s="158"/>
      <c r="R348" s="158"/>
      <c r="S348" s="158" t="s">
        <v>124</v>
      </c>
      <c r="T348" s="164"/>
      <c r="U348" s="164"/>
      <c r="V348" s="164"/>
      <c r="W348" s="164"/>
      <c r="X348" s="164"/>
      <c r="Y348" s="164"/>
      <c r="Z348" s="158">
        <v>0</v>
      </c>
      <c r="AA348" s="158"/>
      <c r="AB348" s="158"/>
      <c r="AC348" s="158">
        <v>0</v>
      </c>
    </row>
    <row r="349" spans="1:29" x14ac:dyDescent="0.2">
      <c r="A349" s="138">
        <f t="shared" si="5"/>
        <v>345</v>
      </c>
      <c r="B349" s="156">
        <v>43872</v>
      </c>
      <c r="C349" s="157" t="s">
        <v>2894</v>
      </c>
      <c r="D349" s="165" t="s">
        <v>2895</v>
      </c>
      <c r="E349" s="165" t="s">
        <v>2896</v>
      </c>
      <c r="F349" s="165" t="s">
        <v>2897</v>
      </c>
      <c r="G349" s="165" t="s">
        <v>123</v>
      </c>
      <c r="H349" s="166">
        <v>43886</v>
      </c>
      <c r="I349" s="165"/>
      <c r="J349" s="158">
        <v>0</v>
      </c>
      <c r="K349" s="158">
        <v>0</v>
      </c>
      <c r="L349" s="158">
        <v>0</v>
      </c>
      <c r="M349" s="165"/>
      <c r="N349" s="158">
        <v>0</v>
      </c>
      <c r="O349" s="158">
        <v>0</v>
      </c>
      <c r="P349" s="158">
        <v>0</v>
      </c>
      <c r="Q349" s="165" t="s">
        <v>22</v>
      </c>
      <c r="R349" s="165">
        <v>554.66</v>
      </c>
      <c r="S349" s="158" t="s">
        <v>124</v>
      </c>
      <c r="T349" s="164"/>
      <c r="U349" s="164"/>
      <c r="V349" s="164"/>
      <c r="W349" s="164"/>
      <c r="X349" s="164"/>
      <c r="Y349" s="164"/>
      <c r="Z349" s="158">
        <v>3</v>
      </c>
      <c r="AA349" s="165"/>
      <c r="AB349" s="165"/>
      <c r="AC349" s="158">
        <v>0</v>
      </c>
    </row>
    <row r="350" spans="1:29" x14ac:dyDescent="0.2">
      <c r="A350" s="138">
        <f t="shared" si="5"/>
        <v>346</v>
      </c>
      <c r="B350" s="156">
        <v>43873</v>
      </c>
      <c r="C350" s="157" t="s">
        <v>2898</v>
      </c>
      <c r="D350" s="158" t="s">
        <v>2899</v>
      </c>
      <c r="E350" s="158" t="s">
        <v>21</v>
      </c>
      <c r="F350" s="158" t="s">
        <v>131</v>
      </c>
      <c r="G350" s="158" t="s">
        <v>123</v>
      </c>
      <c r="H350" s="159">
        <v>43871</v>
      </c>
      <c r="I350" s="158" t="s">
        <v>2861</v>
      </c>
      <c r="J350" s="158">
        <v>4</v>
      </c>
      <c r="K350" s="158">
        <v>2</v>
      </c>
      <c r="L350" s="158">
        <v>0</v>
      </c>
      <c r="M350" s="158" t="s">
        <v>6</v>
      </c>
      <c r="N350" s="158">
        <v>1</v>
      </c>
      <c r="O350" s="158">
        <v>1</v>
      </c>
      <c r="P350" s="158">
        <v>0</v>
      </c>
      <c r="Q350" s="158"/>
      <c r="R350" s="158"/>
      <c r="S350" s="158" t="s">
        <v>124</v>
      </c>
      <c r="T350" s="164"/>
      <c r="U350" s="164"/>
      <c r="V350" s="164"/>
      <c r="W350" s="164"/>
      <c r="X350" s="164"/>
      <c r="Y350" s="164"/>
      <c r="Z350" s="158">
        <v>0</v>
      </c>
      <c r="AA350" s="158"/>
      <c r="AB350" s="158"/>
      <c r="AC350" s="158">
        <v>60</v>
      </c>
    </row>
    <row r="351" spans="1:29" x14ac:dyDescent="0.2">
      <c r="A351" s="138">
        <f t="shared" si="5"/>
        <v>347</v>
      </c>
      <c r="B351" s="156">
        <v>43873</v>
      </c>
      <c r="C351" s="157" t="s">
        <v>2898</v>
      </c>
      <c r="D351" s="158" t="s">
        <v>2899</v>
      </c>
      <c r="E351" s="158" t="s">
        <v>21</v>
      </c>
      <c r="F351" s="158" t="s">
        <v>131</v>
      </c>
      <c r="G351" s="158" t="s">
        <v>123</v>
      </c>
      <c r="H351" s="159">
        <v>43872</v>
      </c>
      <c r="I351" s="158"/>
      <c r="J351" s="158">
        <v>0</v>
      </c>
      <c r="K351" s="158">
        <v>0</v>
      </c>
      <c r="L351" s="158">
        <v>0</v>
      </c>
      <c r="M351" s="158"/>
      <c r="N351" s="158">
        <v>0</v>
      </c>
      <c r="O351" s="158">
        <v>0</v>
      </c>
      <c r="P351" s="158">
        <v>0</v>
      </c>
      <c r="Q351" s="158"/>
      <c r="R351" s="158"/>
      <c r="S351" s="158" t="s">
        <v>124</v>
      </c>
      <c r="T351" s="164"/>
      <c r="U351" s="164"/>
      <c r="V351" s="164"/>
      <c r="W351" s="164"/>
      <c r="X351" s="164"/>
      <c r="Y351" s="164"/>
      <c r="Z351" s="158">
        <v>0</v>
      </c>
      <c r="AA351" s="158" t="s">
        <v>22</v>
      </c>
      <c r="AB351" s="158"/>
      <c r="AC351" s="158">
        <v>25</v>
      </c>
    </row>
    <row r="352" spans="1:29" x14ac:dyDescent="0.2">
      <c r="A352" s="138">
        <f t="shared" si="5"/>
        <v>348</v>
      </c>
      <c r="B352" s="156">
        <v>43873</v>
      </c>
      <c r="C352" s="157" t="s">
        <v>2851</v>
      </c>
      <c r="D352" s="158" t="s">
        <v>2900</v>
      </c>
      <c r="E352" s="158" t="s">
        <v>172</v>
      </c>
      <c r="F352" s="158" t="s">
        <v>173</v>
      </c>
      <c r="G352" s="158" t="s">
        <v>123</v>
      </c>
      <c r="H352" s="159">
        <v>43859</v>
      </c>
      <c r="I352" s="158" t="s">
        <v>2861</v>
      </c>
      <c r="J352" s="158">
        <v>1</v>
      </c>
      <c r="K352" s="158">
        <v>1</v>
      </c>
      <c r="L352" s="158">
        <v>0</v>
      </c>
      <c r="M352" s="158" t="s">
        <v>6</v>
      </c>
      <c r="N352" s="158">
        <v>0.25</v>
      </c>
      <c r="O352" s="158">
        <v>0.25</v>
      </c>
      <c r="P352" s="158">
        <v>0</v>
      </c>
      <c r="Q352" s="158" t="s">
        <v>22</v>
      </c>
      <c r="R352" s="158">
        <v>562.67999999999995</v>
      </c>
      <c r="S352" s="158" t="s">
        <v>124</v>
      </c>
      <c r="T352" s="164"/>
      <c r="U352" s="164"/>
      <c r="V352" s="164"/>
      <c r="W352" s="164"/>
      <c r="X352" s="164"/>
      <c r="Y352" s="164"/>
      <c r="Z352" s="158">
        <v>0</v>
      </c>
      <c r="AA352" s="158"/>
      <c r="AB352" s="158"/>
      <c r="AC352" s="158">
        <v>20</v>
      </c>
    </row>
    <row r="353" spans="1:29" x14ac:dyDescent="0.2">
      <c r="A353" s="138">
        <f t="shared" si="5"/>
        <v>349</v>
      </c>
      <c r="B353" s="156">
        <v>43873</v>
      </c>
      <c r="C353" s="157" t="s">
        <v>2901</v>
      </c>
      <c r="D353" s="158" t="s">
        <v>2902</v>
      </c>
      <c r="E353" s="158" t="s">
        <v>156</v>
      </c>
      <c r="F353" s="158" t="s">
        <v>1328</v>
      </c>
      <c r="G353" s="158" t="s">
        <v>123</v>
      </c>
      <c r="H353" s="159">
        <v>43873</v>
      </c>
      <c r="I353" s="158" t="s">
        <v>2861</v>
      </c>
      <c r="J353" s="158">
        <v>13</v>
      </c>
      <c r="K353" s="158">
        <v>7</v>
      </c>
      <c r="L353" s="158">
        <v>0</v>
      </c>
      <c r="M353" s="158" t="s">
        <v>6</v>
      </c>
      <c r="N353" s="158">
        <v>5</v>
      </c>
      <c r="O353" s="158">
        <v>5</v>
      </c>
      <c r="P353" s="158">
        <v>0</v>
      </c>
      <c r="Q353" s="158" t="s">
        <v>22</v>
      </c>
      <c r="R353" s="158">
        <v>81.400000000000006</v>
      </c>
      <c r="S353" s="158" t="s">
        <v>23</v>
      </c>
      <c r="T353" s="167"/>
      <c r="U353" s="167"/>
      <c r="V353" s="167"/>
      <c r="W353" s="167"/>
      <c r="X353" s="167"/>
      <c r="Y353" s="167"/>
      <c r="Z353" s="158">
        <v>0</v>
      </c>
      <c r="AA353" s="158"/>
      <c r="AB353" s="158"/>
      <c r="AC353" s="158">
        <v>135</v>
      </c>
    </row>
    <row r="354" spans="1:29" x14ac:dyDescent="0.2">
      <c r="A354" s="138">
        <f t="shared" si="5"/>
        <v>350</v>
      </c>
      <c r="B354" s="156">
        <v>43873</v>
      </c>
      <c r="C354" s="157" t="s">
        <v>2903</v>
      </c>
      <c r="D354" s="158" t="s">
        <v>2904</v>
      </c>
      <c r="E354" s="158" t="s">
        <v>122</v>
      </c>
      <c r="F354" s="158" t="s">
        <v>1912</v>
      </c>
      <c r="G354" s="158" t="s">
        <v>123</v>
      </c>
      <c r="H354" s="159">
        <v>43873</v>
      </c>
      <c r="I354" s="158" t="s">
        <v>2861</v>
      </c>
      <c r="J354" s="158">
        <v>26</v>
      </c>
      <c r="K354" s="158">
        <v>16</v>
      </c>
      <c r="L354" s="158">
        <v>0</v>
      </c>
      <c r="M354" s="158" t="s">
        <v>6</v>
      </c>
      <c r="N354" s="158">
        <v>6.75</v>
      </c>
      <c r="O354" s="158">
        <v>6.75</v>
      </c>
      <c r="P354" s="158">
        <v>0</v>
      </c>
      <c r="Q354" s="158" t="s">
        <v>22</v>
      </c>
      <c r="R354" s="158">
        <v>1571.19</v>
      </c>
      <c r="S354" s="158" t="s">
        <v>142</v>
      </c>
      <c r="T354" s="167"/>
      <c r="U354" s="167"/>
      <c r="V354" s="167"/>
      <c r="W354" s="167"/>
      <c r="X354" s="167"/>
      <c r="Y354" s="167"/>
      <c r="Z354" s="158">
        <v>2</v>
      </c>
      <c r="AA354" s="158"/>
      <c r="AB354" s="158"/>
      <c r="AC354" s="158">
        <v>195</v>
      </c>
    </row>
    <row r="355" spans="1:29" x14ac:dyDescent="0.2">
      <c r="A355" s="138">
        <f t="shared" si="5"/>
        <v>351</v>
      </c>
      <c r="B355" s="156">
        <v>43873</v>
      </c>
      <c r="C355" s="157" t="s">
        <v>2905</v>
      </c>
      <c r="D355" s="158" t="s">
        <v>2906</v>
      </c>
      <c r="E355" s="158" t="s">
        <v>128</v>
      </c>
      <c r="F355" s="158" t="s">
        <v>134</v>
      </c>
      <c r="G355" s="158" t="s">
        <v>123</v>
      </c>
      <c r="H355" s="159">
        <v>43873</v>
      </c>
      <c r="I355" s="158" t="s">
        <v>2861</v>
      </c>
      <c r="J355" s="158">
        <v>12</v>
      </c>
      <c r="K355" s="158">
        <v>7</v>
      </c>
      <c r="L355" s="158">
        <v>0</v>
      </c>
      <c r="M355" s="158" t="s">
        <v>6</v>
      </c>
      <c r="N355" s="158">
        <v>5</v>
      </c>
      <c r="O355" s="158">
        <v>5</v>
      </c>
      <c r="P355" s="158">
        <v>0</v>
      </c>
      <c r="Q355" s="158" t="s">
        <v>22</v>
      </c>
      <c r="R355" s="158">
        <v>170.98</v>
      </c>
      <c r="S355" s="158" t="s">
        <v>23</v>
      </c>
      <c r="T355" s="167"/>
      <c r="U355" s="167"/>
      <c r="V355" s="167"/>
      <c r="W355" s="167"/>
      <c r="X355" s="167"/>
      <c r="Y355" s="167"/>
      <c r="Z355" s="158">
        <v>2</v>
      </c>
      <c r="AA355" s="158"/>
      <c r="AB355" s="158"/>
      <c r="AC355" s="158">
        <v>50</v>
      </c>
    </row>
    <row r="356" spans="1:29" x14ac:dyDescent="0.2">
      <c r="A356" s="138">
        <f t="shared" si="5"/>
        <v>352</v>
      </c>
      <c r="B356" s="156">
        <v>43843</v>
      </c>
      <c r="C356" s="157" t="s">
        <v>2907</v>
      </c>
      <c r="D356" s="231" t="s">
        <v>2904</v>
      </c>
      <c r="E356" s="158" t="s">
        <v>122</v>
      </c>
      <c r="F356" s="158" t="s">
        <v>1912</v>
      </c>
      <c r="G356" s="158" t="s">
        <v>121</v>
      </c>
      <c r="H356" s="159">
        <v>43843</v>
      </c>
      <c r="I356" s="158" t="s">
        <v>2861</v>
      </c>
      <c r="J356" s="158">
        <v>3</v>
      </c>
      <c r="K356" s="158">
        <v>3</v>
      </c>
      <c r="L356" s="158">
        <v>0</v>
      </c>
      <c r="M356" s="158" t="s">
        <v>6</v>
      </c>
      <c r="N356" s="158">
        <v>3</v>
      </c>
      <c r="O356" s="158">
        <v>3</v>
      </c>
      <c r="P356" s="158">
        <v>0</v>
      </c>
      <c r="Q356" s="158"/>
      <c r="R356" s="158"/>
      <c r="S356" s="158" t="s">
        <v>124</v>
      </c>
      <c r="T356" s="167"/>
      <c r="U356" s="167"/>
      <c r="V356" s="167"/>
      <c r="W356" s="167"/>
      <c r="X356" s="167"/>
      <c r="Y356" s="167"/>
      <c r="Z356" s="158">
        <v>0</v>
      </c>
      <c r="AA356" s="158"/>
      <c r="AB356" s="158"/>
      <c r="AC356" s="158">
        <v>0</v>
      </c>
    </row>
    <row r="357" spans="1:29" x14ac:dyDescent="0.2">
      <c r="A357" s="138">
        <f t="shared" si="5"/>
        <v>353</v>
      </c>
      <c r="B357" s="156">
        <v>43875</v>
      </c>
      <c r="C357" s="157" t="s">
        <v>2908</v>
      </c>
      <c r="D357" s="158" t="s">
        <v>3162</v>
      </c>
      <c r="E357" s="158" t="s">
        <v>126</v>
      </c>
      <c r="F357" s="158" t="s">
        <v>2909</v>
      </c>
      <c r="G357" s="158" t="s">
        <v>123</v>
      </c>
      <c r="H357" s="159">
        <v>43874</v>
      </c>
      <c r="I357" s="158" t="s">
        <v>2861</v>
      </c>
      <c r="J357" s="158">
        <v>2</v>
      </c>
      <c r="K357" s="158">
        <v>1</v>
      </c>
      <c r="L357" s="158">
        <v>0</v>
      </c>
      <c r="M357" s="158" t="s">
        <v>6</v>
      </c>
      <c r="N357" s="158">
        <v>1</v>
      </c>
      <c r="O357" s="158">
        <v>1</v>
      </c>
      <c r="P357" s="158">
        <v>0</v>
      </c>
      <c r="Q357" s="158"/>
      <c r="R357" s="158"/>
      <c r="S357" s="158" t="s">
        <v>124</v>
      </c>
      <c r="T357" s="167"/>
      <c r="U357" s="167"/>
      <c r="V357" s="167"/>
      <c r="W357" s="167"/>
      <c r="X357" s="167"/>
      <c r="Y357" s="167"/>
      <c r="Z357" s="158">
        <v>0</v>
      </c>
      <c r="AA357" s="158"/>
      <c r="AB357" s="158"/>
      <c r="AC357" s="158">
        <v>0</v>
      </c>
    </row>
    <row r="358" spans="1:29" x14ac:dyDescent="0.2">
      <c r="A358" s="138">
        <f t="shared" si="5"/>
        <v>354</v>
      </c>
      <c r="B358" s="156">
        <v>43875</v>
      </c>
      <c r="C358" s="157" t="s">
        <v>2910</v>
      </c>
      <c r="D358" s="158" t="s">
        <v>2911</v>
      </c>
      <c r="E358" s="158" t="s">
        <v>146</v>
      </c>
      <c r="F358" s="158" t="s">
        <v>179</v>
      </c>
      <c r="G358" s="158" t="s">
        <v>123</v>
      </c>
      <c r="H358" s="159">
        <v>43856</v>
      </c>
      <c r="I358" s="158" t="s">
        <v>2861</v>
      </c>
      <c r="J358" s="158">
        <v>10</v>
      </c>
      <c r="K358" s="158">
        <v>6</v>
      </c>
      <c r="L358" s="158">
        <v>0</v>
      </c>
      <c r="M358" s="158" t="s">
        <v>6</v>
      </c>
      <c r="N358" s="158">
        <v>2.5</v>
      </c>
      <c r="O358" s="158">
        <v>2.5</v>
      </c>
      <c r="P358" s="158">
        <v>0</v>
      </c>
      <c r="Q358" s="158" t="s">
        <v>22</v>
      </c>
      <c r="R358" s="158">
        <v>550.12</v>
      </c>
      <c r="S358" s="158" t="s">
        <v>124</v>
      </c>
      <c r="T358" s="167"/>
      <c r="U358" s="167"/>
      <c r="V358" s="167"/>
      <c r="W358" s="167"/>
      <c r="X358" s="167"/>
      <c r="Y358" s="167"/>
      <c r="Z358" s="158">
        <v>0</v>
      </c>
      <c r="AA358" s="158"/>
      <c r="AB358" s="158"/>
      <c r="AC358" s="158">
        <v>50</v>
      </c>
    </row>
    <row r="359" spans="1:29" x14ac:dyDescent="0.2">
      <c r="A359" s="138">
        <f t="shared" si="5"/>
        <v>355</v>
      </c>
      <c r="B359" s="156">
        <v>43875</v>
      </c>
      <c r="C359" s="158" t="s">
        <v>2912</v>
      </c>
      <c r="D359" s="158" t="s">
        <v>2913</v>
      </c>
      <c r="E359" s="158" t="s">
        <v>128</v>
      </c>
      <c r="F359" s="158" t="s">
        <v>2872</v>
      </c>
      <c r="G359" s="158" t="s">
        <v>123</v>
      </c>
      <c r="H359" s="159">
        <v>43856</v>
      </c>
      <c r="I359" s="158" t="s">
        <v>2861</v>
      </c>
      <c r="J359" s="158">
        <v>16</v>
      </c>
      <c r="K359" s="158">
        <v>8</v>
      </c>
      <c r="L359" s="158">
        <v>0</v>
      </c>
      <c r="M359" s="158" t="s">
        <v>6</v>
      </c>
      <c r="N359" s="158">
        <v>3.5</v>
      </c>
      <c r="O359" s="158">
        <v>3.5</v>
      </c>
      <c r="P359" s="158">
        <v>0</v>
      </c>
      <c r="Q359" s="158" t="s">
        <v>22</v>
      </c>
      <c r="R359" s="158">
        <v>2134.2800000000002</v>
      </c>
      <c r="S359" s="158" t="s">
        <v>23</v>
      </c>
      <c r="T359" s="167"/>
      <c r="U359" s="167"/>
      <c r="V359" s="167"/>
      <c r="W359" s="167"/>
      <c r="X359" s="167"/>
      <c r="Y359" s="167"/>
      <c r="Z359" s="158">
        <v>0</v>
      </c>
      <c r="AA359" s="158"/>
      <c r="AB359" s="158"/>
      <c r="AC359" s="158">
        <v>0</v>
      </c>
    </row>
    <row r="360" spans="1:29" x14ac:dyDescent="0.2">
      <c r="A360" s="138">
        <f t="shared" si="5"/>
        <v>356</v>
      </c>
      <c r="B360" s="156">
        <v>43878</v>
      </c>
      <c r="C360" s="157" t="s">
        <v>2914</v>
      </c>
      <c r="D360" s="158" t="s">
        <v>2915</v>
      </c>
      <c r="E360" s="158" t="s">
        <v>156</v>
      </c>
      <c r="F360" s="158" t="s">
        <v>1902</v>
      </c>
      <c r="G360" s="158" t="s">
        <v>123</v>
      </c>
      <c r="H360" s="159">
        <v>43878</v>
      </c>
      <c r="I360" s="158" t="s">
        <v>2861</v>
      </c>
      <c r="J360" s="158">
        <v>6</v>
      </c>
      <c r="K360" s="158">
        <v>4</v>
      </c>
      <c r="L360" s="158">
        <v>0</v>
      </c>
      <c r="M360" s="158" t="s">
        <v>6</v>
      </c>
      <c r="N360" s="158">
        <v>2</v>
      </c>
      <c r="O360" s="158">
        <v>2</v>
      </c>
      <c r="P360" s="158">
        <v>0</v>
      </c>
      <c r="Q360" s="158" t="s">
        <v>22</v>
      </c>
      <c r="R360" s="158">
        <v>166.53</v>
      </c>
      <c r="S360" s="158" t="s">
        <v>124</v>
      </c>
      <c r="T360" s="167"/>
      <c r="U360" s="167"/>
      <c r="V360" s="167"/>
      <c r="W360" s="167"/>
      <c r="X360" s="167"/>
      <c r="Y360" s="167"/>
      <c r="Z360" s="158">
        <v>0</v>
      </c>
      <c r="AA360" s="158"/>
      <c r="AB360" s="158"/>
      <c r="AC360" s="158">
        <v>40</v>
      </c>
    </row>
    <row r="361" spans="1:29" x14ac:dyDescent="0.2">
      <c r="A361" s="138">
        <f t="shared" si="5"/>
        <v>357</v>
      </c>
      <c r="B361" s="156">
        <v>43878</v>
      </c>
      <c r="C361" s="157" t="s">
        <v>2916</v>
      </c>
      <c r="D361" s="158" t="s">
        <v>2917</v>
      </c>
      <c r="E361" s="158" t="s">
        <v>130</v>
      </c>
      <c r="F361" s="158" t="s">
        <v>2918</v>
      </c>
      <c r="G361" s="158" t="s">
        <v>123</v>
      </c>
      <c r="H361" s="159">
        <v>43878</v>
      </c>
      <c r="I361" s="158" t="s">
        <v>2861</v>
      </c>
      <c r="J361" s="158">
        <v>20</v>
      </c>
      <c r="K361" s="158">
        <v>14</v>
      </c>
      <c r="L361" s="158">
        <v>0</v>
      </c>
      <c r="M361" s="158" t="s">
        <v>6</v>
      </c>
      <c r="N361" s="158">
        <v>3.5</v>
      </c>
      <c r="O361" s="158">
        <v>3.5</v>
      </c>
      <c r="P361" s="158">
        <v>0</v>
      </c>
      <c r="Q361" s="158"/>
      <c r="R361" s="158">
        <v>309.89999999999998</v>
      </c>
      <c r="S361" s="158" t="s">
        <v>142</v>
      </c>
      <c r="T361" s="167"/>
      <c r="U361" s="167"/>
      <c r="V361" s="167"/>
      <c r="W361" s="167"/>
      <c r="X361" s="167"/>
      <c r="Y361" s="167"/>
      <c r="Z361" s="158">
        <v>0</v>
      </c>
      <c r="AA361" s="158"/>
      <c r="AB361" s="158"/>
      <c r="AC361" s="158">
        <v>55</v>
      </c>
    </row>
    <row r="362" spans="1:29" x14ac:dyDescent="0.2">
      <c r="A362" s="138">
        <f t="shared" si="5"/>
        <v>358</v>
      </c>
      <c r="B362" s="156">
        <v>43878</v>
      </c>
      <c r="C362" s="157" t="s">
        <v>2919</v>
      </c>
      <c r="D362" s="158" t="s">
        <v>2691</v>
      </c>
      <c r="E362" s="158" t="s">
        <v>187</v>
      </c>
      <c r="F362" s="158" t="s">
        <v>2875</v>
      </c>
      <c r="G362" s="158" t="s">
        <v>123</v>
      </c>
      <c r="H362" s="159">
        <v>43859</v>
      </c>
      <c r="I362" s="158" t="s">
        <v>2861</v>
      </c>
      <c r="J362" s="158">
        <v>2</v>
      </c>
      <c r="K362" s="158">
        <v>2</v>
      </c>
      <c r="L362" s="158">
        <v>0</v>
      </c>
      <c r="M362" s="158" t="s">
        <v>6</v>
      </c>
      <c r="N362" s="158">
        <v>2</v>
      </c>
      <c r="O362" s="158">
        <v>2</v>
      </c>
      <c r="P362" s="158">
        <v>0</v>
      </c>
      <c r="Q362" s="158" t="s">
        <v>22</v>
      </c>
      <c r="R362" s="158"/>
      <c r="S362" s="158" t="s">
        <v>124</v>
      </c>
      <c r="T362" s="167"/>
      <c r="U362" s="167"/>
      <c r="V362" s="167"/>
      <c r="W362" s="167"/>
      <c r="X362" s="167"/>
      <c r="Y362" s="167"/>
      <c r="Z362" s="158">
        <v>0</v>
      </c>
      <c r="AA362" s="158"/>
      <c r="AB362" s="158"/>
      <c r="AC362" s="158">
        <v>55</v>
      </c>
    </row>
    <row r="363" spans="1:29" x14ac:dyDescent="0.2">
      <c r="A363" s="138">
        <f t="shared" si="5"/>
        <v>359</v>
      </c>
      <c r="B363" s="156">
        <v>43878</v>
      </c>
      <c r="C363" s="157" t="s">
        <v>2920</v>
      </c>
      <c r="D363" s="158" t="s">
        <v>1407</v>
      </c>
      <c r="E363" s="158" t="s">
        <v>21</v>
      </c>
      <c r="F363" s="158" t="s">
        <v>131</v>
      </c>
      <c r="G363" s="158" t="s">
        <v>123</v>
      </c>
      <c r="H363" s="159">
        <v>43878</v>
      </c>
      <c r="I363" s="158" t="s">
        <v>2861</v>
      </c>
      <c r="J363" s="158">
        <v>10</v>
      </c>
      <c r="K363" s="158">
        <v>7</v>
      </c>
      <c r="L363" s="158">
        <v>0</v>
      </c>
      <c r="M363" s="158" t="s">
        <v>6</v>
      </c>
      <c r="N363" s="158">
        <v>2.5</v>
      </c>
      <c r="O363" s="158">
        <v>2.5</v>
      </c>
      <c r="P363" s="158">
        <v>0</v>
      </c>
      <c r="Q363" s="158" t="s">
        <v>22</v>
      </c>
      <c r="R363" s="158">
        <v>289.63</v>
      </c>
      <c r="S363" s="158" t="s">
        <v>124</v>
      </c>
      <c r="T363" s="167"/>
      <c r="U363" s="167"/>
      <c r="V363" s="167"/>
      <c r="W363" s="167"/>
      <c r="X363" s="167"/>
      <c r="Y363" s="167"/>
      <c r="Z363" s="158">
        <v>0</v>
      </c>
      <c r="AA363" s="158"/>
      <c r="AB363" s="158"/>
      <c r="AC363" s="158">
        <v>0</v>
      </c>
    </row>
    <row r="364" spans="1:29" x14ac:dyDescent="0.2">
      <c r="A364" s="138">
        <f t="shared" si="5"/>
        <v>360</v>
      </c>
      <c r="B364" s="156">
        <v>43879</v>
      </c>
      <c r="C364" s="157" t="s">
        <v>2921</v>
      </c>
      <c r="D364" s="158" t="s">
        <v>2922</v>
      </c>
      <c r="E364" s="158" t="s">
        <v>130</v>
      </c>
      <c r="F364" s="158" t="s">
        <v>2923</v>
      </c>
      <c r="G364" s="158" t="s">
        <v>121</v>
      </c>
      <c r="H364" s="159">
        <v>43878</v>
      </c>
      <c r="I364" s="158"/>
      <c r="J364" s="158">
        <v>0</v>
      </c>
      <c r="K364" s="158">
        <v>0</v>
      </c>
      <c r="L364" s="158">
        <v>0</v>
      </c>
      <c r="M364" s="158"/>
      <c r="N364" s="158">
        <v>0</v>
      </c>
      <c r="O364" s="158">
        <v>0</v>
      </c>
      <c r="P364" s="158">
        <v>0</v>
      </c>
      <c r="Q364" s="158"/>
      <c r="R364" s="158"/>
      <c r="S364" s="158" t="s">
        <v>447</v>
      </c>
      <c r="T364" s="167"/>
      <c r="U364" s="167"/>
      <c r="V364" s="167"/>
      <c r="W364" s="167"/>
      <c r="X364" s="167"/>
      <c r="Y364" s="167"/>
      <c r="Z364" s="158">
        <v>2.67</v>
      </c>
      <c r="AA364" s="158"/>
      <c r="AB364" s="158"/>
      <c r="AC364" s="158">
        <v>454.5</v>
      </c>
    </row>
    <row r="365" spans="1:29" x14ac:dyDescent="0.2">
      <c r="A365" s="138">
        <f t="shared" si="5"/>
        <v>361</v>
      </c>
      <c r="B365" s="156">
        <v>43879</v>
      </c>
      <c r="C365" s="157" t="s">
        <v>2885</v>
      </c>
      <c r="D365" s="158" t="s">
        <v>2886</v>
      </c>
      <c r="E365" s="158" t="s">
        <v>2924</v>
      </c>
      <c r="F365" s="158" t="s">
        <v>2888</v>
      </c>
      <c r="G365" s="158" t="s">
        <v>123</v>
      </c>
      <c r="H365" s="159">
        <v>43878</v>
      </c>
      <c r="I365" s="158"/>
      <c r="J365" s="158">
        <v>0</v>
      </c>
      <c r="K365" s="158">
        <v>0</v>
      </c>
      <c r="L365" s="158">
        <v>0</v>
      </c>
      <c r="M365" s="158"/>
      <c r="N365" s="158">
        <v>0</v>
      </c>
      <c r="O365" s="158">
        <v>0</v>
      </c>
      <c r="P365" s="158">
        <v>0</v>
      </c>
      <c r="Q365" s="158"/>
      <c r="R365" s="158"/>
      <c r="S365" s="158" t="s">
        <v>124</v>
      </c>
      <c r="T365" s="168"/>
      <c r="U365" s="168"/>
      <c r="V365" s="168"/>
      <c r="W365" s="168"/>
      <c r="X365" s="168"/>
      <c r="Y365" s="168"/>
      <c r="Z365" s="158">
        <v>0</v>
      </c>
      <c r="AA365" s="158" t="s">
        <v>22</v>
      </c>
      <c r="AB365" s="158"/>
      <c r="AC365" s="158">
        <v>60</v>
      </c>
    </row>
    <row r="366" spans="1:29" x14ac:dyDescent="0.2">
      <c r="A366" s="138">
        <f t="shared" si="5"/>
        <v>362</v>
      </c>
      <c r="B366" s="156">
        <v>43879</v>
      </c>
      <c r="C366" s="157" t="s">
        <v>2925</v>
      </c>
      <c r="D366" s="158" t="s">
        <v>2926</v>
      </c>
      <c r="E366" s="158" t="s">
        <v>178</v>
      </c>
      <c r="F366" s="158" t="s">
        <v>839</v>
      </c>
      <c r="G366" s="158" t="s">
        <v>121</v>
      </c>
      <c r="H366" s="159">
        <v>43878</v>
      </c>
      <c r="I366" s="158"/>
      <c r="J366" s="158">
        <v>0</v>
      </c>
      <c r="K366" s="158">
        <v>0</v>
      </c>
      <c r="L366" s="158">
        <v>0</v>
      </c>
      <c r="M366" s="158"/>
      <c r="N366" s="158">
        <v>0</v>
      </c>
      <c r="O366" s="158">
        <v>0</v>
      </c>
      <c r="P366" s="158">
        <v>0</v>
      </c>
      <c r="Q366" s="158"/>
      <c r="R366" s="158"/>
      <c r="S366" s="158" t="s">
        <v>447</v>
      </c>
      <c r="T366" s="167"/>
      <c r="U366" s="167"/>
      <c r="V366" s="167"/>
      <c r="W366" s="167"/>
      <c r="X366" s="167"/>
      <c r="Y366" s="167"/>
      <c r="Z366" s="158">
        <v>0</v>
      </c>
      <c r="AA366" s="158"/>
      <c r="AB366" s="158"/>
      <c r="AC366" s="158">
        <v>50</v>
      </c>
    </row>
    <row r="367" spans="1:29" x14ac:dyDescent="0.2">
      <c r="A367" s="138">
        <f t="shared" si="5"/>
        <v>363</v>
      </c>
      <c r="B367" s="156">
        <v>43879</v>
      </c>
      <c r="C367" s="157" t="s">
        <v>3006</v>
      </c>
      <c r="D367" s="232" t="s">
        <v>2928</v>
      </c>
      <c r="E367" s="158" t="s">
        <v>175</v>
      </c>
      <c r="F367" s="158" t="s">
        <v>1949</v>
      </c>
      <c r="G367" s="158" t="s">
        <v>121</v>
      </c>
      <c r="H367" s="159">
        <v>43879</v>
      </c>
      <c r="I367" s="158"/>
      <c r="J367" s="158">
        <v>0</v>
      </c>
      <c r="K367" s="158">
        <v>0</v>
      </c>
      <c r="L367" s="158">
        <v>0</v>
      </c>
      <c r="M367" s="158"/>
      <c r="N367" s="158">
        <v>0</v>
      </c>
      <c r="O367" s="158">
        <v>0</v>
      </c>
      <c r="P367" s="158">
        <v>0</v>
      </c>
      <c r="Q367" s="158"/>
      <c r="R367" s="158"/>
      <c r="S367" s="158" t="s">
        <v>447</v>
      </c>
      <c r="T367" s="167"/>
      <c r="U367" s="167"/>
      <c r="V367" s="167"/>
      <c r="W367" s="167"/>
      <c r="X367" s="167"/>
      <c r="Y367" s="167"/>
      <c r="Z367" s="158">
        <v>0</v>
      </c>
      <c r="AA367" s="158"/>
      <c r="AB367" s="158"/>
      <c r="AC367" s="158">
        <v>300</v>
      </c>
    </row>
    <row r="368" spans="1:29" x14ac:dyDescent="0.2">
      <c r="A368" s="138">
        <f t="shared" si="5"/>
        <v>364</v>
      </c>
      <c r="B368" s="156">
        <v>43880</v>
      </c>
      <c r="C368" s="157" t="s">
        <v>2929</v>
      </c>
      <c r="D368" s="158" t="s">
        <v>2930</v>
      </c>
      <c r="E368" s="158" t="s">
        <v>187</v>
      </c>
      <c r="F368" s="158" t="s">
        <v>2875</v>
      </c>
      <c r="G368" s="158" t="s">
        <v>123</v>
      </c>
      <c r="H368" s="159">
        <v>43879</v>
      </c>
      <c r="I368" s="158" t="s">
        <v>2861</v>
      </c>
      <c r="J368" s="158">
        <v>13</v>
      </c>
      <c r="K368" s="158">
        <v>8</v>
      </c>
      <c r="L368" s="158">
        <v>0</v>
      </c>
      <c r="M368" s="158" t="s">
        <v>6</v>
      </c>
      <c r="N368" s="158">
        <v>2</v>
      </c>
      <c r="O368" s="158">
        <v>2</v>
      </c>
      <c r="P368" s="158">
        <v>0</v>
      </c>
      <c r="Q368" s="158"/>
      <c r="R368" s="158"/>
      <c r="S368" s="158" t="s">
        <v>23</v>
      </c>
      <c r="T368" s="167"/>
      <c r="U368" s="167"/>
      <c r="V368" s="167"/>
      <c r="W368" s="167"/>
      <c r="X368" s="167"/>
      <c r="Y368" s="167"/>
      <c r="Z368" s="158">
        <v>0</v>
      </c>
      <c r="AA368" s="158"/>
      <c r="AB368" s="158"/>
      <c r="AC368" s="158">
        <v>0</v>
      </c>
    </row>
    <row r="369" spans="1:29" x14ac:dyDescent="0.2">
      <c r="A369" s="138">
        <f t="shared" si="5"/>
        <v>365</v>
      </c>
      <c r="B369" s="156">
        <v>43880</v>
      </c>
      <c r="C369" s="157" t="s">
        <v>2931</v>
      </c>
      <c r="D369" s="161" t="s">
        <v>2890</v>
      </c>
      <c r="E369" s="161" t="s">
        <v>156</v>
      </c>
      <c r="F369" s="161" t="s">
        <v>1257</v>
      </c>
      <c r="G369" s="161" t="s">
        <v>121</v>
      </c>
      <c r="H369" s="162">
        <v>43879</v>
      </c>
      <c r="I369" s="161"/>
      <c r="J369" s="158">
        <v>0</v>
      </c>
      <c r="K369" s="158">
        <v>0</v>
      </c>
      <c r="L369" s="158">
        <v>0</v>
      </c>
      <c r="M369" s="161" t="s">
        <v>6</v>
      </c>
      <c r="N369" s="161">
        <v>0.5</v>
      </c>
      <c r="O369" s="161">
        <v>0.5</v>
      </c>
      <c r="P369" s="158">
        <v>0</v>
      </c>
      <c r="Q369" s="161"/>
      <c r="R369" s="161"/>
      <c r="S369" s="161" t="s">
        <v>124</v>
      </c>
      <c r="T369" s="168"/>
      <c r="U369" s="168"/>
      <c r="V369" s="168"/>
      <c r="W369" s="168"/>
      <c r="X369" s="168"/>
      <c r="Y369" s="168"/>
      <c r="Z369" s="158">
        <v>0</v>
      </c>
      <c r="AA369" s="161"/>
      <c r="AB369" s="161"/>
      <c r="AC369" s="158">
        <v>0</v>
      </c>
    </row>
    <row r="370" spans="1:29" x14ac:dyDescent="0.2">
      <c r="A370" s="138">
        <f t="shared" si="5"/>
        <v>366</v>
      </c>
      <c r="B370" s="156">
        <v>43880</v>
      </c>
      <c r="C370" s="157" t="s">
        <v>2932</v>
      </c>
      <c r="D370" s="158" t="s">
        <v>2928</v>
      </c>
      <c r="E370" s="158" t="s">
        <v>175</v>
      </c>
      <c r="F370" s="158" t="s">
        <v>1949</v>
      </c>
      <c r="G370" s="158" t="s">
        <v>121</v>
      </c>
      <c r="H370" s="159">
        <v>43880</v>
      </c>
      <c r="I370" s="158"/>
      <c r="J370" s="158">
        <v>0</v>
      </c>
      <c r="K370" s="158">
        <v>0</v>
      </c>
      <c r="L370" s="158">
        <v>0</v>
      </c>
      <c r="M370" s="158"/>
      <c r="N370" s="158">
        <v>0</v>
      </c>
      <c r="O370" s="158">
        <v>0</v>
      </c>
      <c r="P370" s="158">
        <v>0</v>
      </c>
      <c r="Q370" s="158" t="s">
        <v>22</v>
      </c>
      <c r="R370" s="158">
        <v>84.75</v>
      </c>
      <c r="S370" s="158" t="s">
        <v>447</v>
      </c>
      <c r="T370" s="160"/>
      <c r="U370" s="160"/>
      <c r="V370" s="160"/>
      <c r="W370" s="160"/>
      <c r="X370" s="160"/>
      <c r="Y370" s="160"/>
      <c r="Z370" s="158">
        <v>0</v>
      </c>
      <c r="AA370" s="158"/>
      <c r="AB370" s="158"/>
      <c r="AC370" s="158">
        <v>0</v>
      </c>
    </row>
    <row r="371" spans="1:29" x14ac:dyDescent="0.2">
      <c r="A371" s="138">
        <f t="shared" si="5"/>
        <v>367</v>
      </c>
      <c r="B371" s="156">
        <v>43880</v>
      </c>
      <c r="C371" s="157" t="s">
        <v>2933</v>
      </c>
      <c r="D371" s="158" t="s">
        <v>2934</v>
      </c>
      <c r="E371" s="158" t="s">
        <v>156</v>
      </c>
      <c r="F371" s="158" t="s">
        <v>1902</v>
      </c>
      <c r="G371" s="158" t="s">
        <v>123</v>
      </c>
      <c r="H371" s="159">
        <v>43880</v>
      </c>
      <c r="I371" s="158" t="s">
        <v>2861</v>
      </c>
      <c r="J371" s="158">
        <v>0</v>
      </c>
      <c r="K371" s="158">
        <v>0</v>
      </c>
      <c r="L371" s="158">
        <v>0</v>
      </c>
      <c r="M371" s="158" t="s">
        <v>6</v>
      </c>
      <c r="N371" s="158">
        <v>4</v>
      </c>
      <c r="O371" s="158">
        <v>4</v>
      </c>
      <c r="P371" s="158">
        <v>0</v>
      </c>
      <c r="Q371" s="158" t="s">
        <v>22</v>
      </c>
      <c r="R371" s="158">
        <v>1191.25</v>
      </c>
      <c r="S371" s="158" t="s">
        <v>124</v>
      </c>
      <c r="T371" s="160"/>
      <c r="U371" s="160"/>
      <c r="V371" s="160"/>
      <c r="W371" s="160"/>
      <c r="X371" s="160"/>
      <c r="Y371" s="160"/>
      <c r="Z371" s="158">
        <v>0</v>
      </c>
      <c r="AA371" s="158"/>
      <c r="AB371" s="158"/>
      <c r="AC371" s="158">
        <v>0</v>
      </c>
    </row>
    <row r="372" spans="1:29" x14ac:dyDescent="0.2">
      <c r="A372" s="138">
        <f t="shared" si="5"/>
        <v>368</v>
      </c>
      <c r="B372" s="156">
        <v>43881</v>
      </c>
      <c r="C372" s="157" t="s">
        <v>2935</v>
      </c>
      <c r="D372" s="158" t="s">
        <v>2936</v>
      </c>
      <c r="E372" s="158" t="s">
        <v>122</v>
      </c>
      <c r="F372" s="158" t="s">
        <v>144</v>
      </c>
      <c r="G372" s="158" t="s">
        <v>123</v>
      </c>
      <c r="H372" s="159">
        <v>43871</v>
      </c>
      <c r="I372" s="158" t="s">
        <v>2861</v>
      </c>
      <c r="J372" s="158">
        <v>10</v>
      </c>
      <c r="K372" s="158">
        <v>6</v>
      </c>
      <c r="L372" s="158">
        <v>0</v>
      </c>
      <c r="M372" s="158" t="s">
        <v>6</v>
      </c>
      <c r="N372" s="158">
        <v>3.5</v>
      </c>
      <c r="O372" s="158">
        <v>3.5</v>
      </c>
      <c r="P372" s="158">
        <v>0</v>
      </c>
      <c r="Q372" s="158" t="s">
        <v>22</v>
      </c>
      <c r="R372" s="158">
        <v>442.59</v>
      </c>
      <c r="S372" s="158" t="s">
        <v>124</v>
      </c>
      <c r="T372" s="160"/>
      <c r="U372" s="160"/>
      <c r="V372" s="160"/>
      <c r="W372" s="160"/>
      <c r="X372" s="160"/>
      <c r="Y372" s="160"/>
      <c r="Z372" s="158">
        <v>0</v>
      </c>
      <c r="AA372" s="158"/>
      <c r="AB372" s="158"/>
      <c r="AC372" s="158">
        <v>50</v>
      </c>
    </row>
    <row r="373" spans="1:29" x14ac:dyDescent="0.2">
      <c r="A373" s="138">
        <f t="shared" si="5"/>
        <v>369</v>
      </c>
      <c r="B373" s="156">
        <v>43881</v>
      </c>
      <c r="C373" s="157" t="s">
        <v>3217</v>
      </c>
      <c r="D373" s="233" t="s">
        <v>2938</v>
      </c>
      <c r="E373" s="158" t="s">
        <v>186</v>
      </c>
      <c r="F373" s="158" t="s">
        <v>188</v>
      </c>
      <c r="G373" s="158" t="s">
        <v>121</v>
      </c>
      <c r="H373" s="159">
        <v>43881</v>
      </c>
      <c r="I373" s="158" t="s">
        <v>2861</v>
      </c>
      <c r="J373" s="158">
        <v>5.33</v>
      </c>
      <c r="K373" s="158">
        <v>3</v>
      </c>
      <c r="L373" s="158">
        <v>0</v>
      </c>
      <c r="M373" s="158" t="s">
        <v>6</v>
      </c>
      <c r="N373" s="158">
        <v>2</v>
      </c>
      <c r="O373" s="158">
        <v>2</v>
      </c>
      <c r="P373" s="158">
        <v>0</v>
      </c>
      <c r="Q373" s="158"/>
      <c r="R373" s="158"/>
      <c r="S373" s="158" t="s">
        <v>124</v>
      </c>
      <c r="T373" s="160"/>
      <c r="U373" s="160"/>
      <c r="V373" s="160"/>
      <c r="W373" s="160"/>
      <c r="X373" s="160"/>
      <c r="Y373" s="160"/>
      <c r="Z373" s="158">
        <v>0</v>
      </c>
      <c r="AA373" s="158"/>
      <c r="AB373" s="158"/>
      <c r="AC373" s="158">
        <v>50</v>
      </c>
    </row>
    <row r="374" spans="1:29" x14ac:dyDescent="0.2">
      <c r="A374" s="138">
        <f t="shared" si="5"/>
        <v>370</v>
      </c>
      <c r="B374" s="156">
        <v>43882</v>
      </c>
      <c r="C374" s="157" t="s">
        <v>3163</v>
      </c>
      <c r="D374" s="158" t="s">
        <v>2939</v>
      </c>
      <c r="E374" s="158" t="s">
        <v>21</v>
      </c>
      <c r="F374" s="158" t="s">
        <v>131</v>
      </c>
      <c r="G374" s="158" t="s">
        <v>123</v>
      </c>
      <c r="H374" s="159">
        <v>43880</v>
      </c>
      <c r="I374" s="158" t="s">
        <v>2861</v>
      </c>
      <c r="J374" s="158">
        <v>12</v>
      </c>
      <c r="K374" s="158">
        <v>8</v>
      </c>
      <c r="L374" s="158">
        <v>0</v>
      </c>
      <c r="M374" s="158" t="s">
        <v>6</v>
      </c>
      <c r="N374" s="158">
        <v>12</v>
      </c>
      <c r="O374" s="158">
        <v>12</v>
      </c>
      <c r="P374" s="158">
        <v>0</v>
      </c>
      <c r="Q374" s="158" t="s">
        <v>22</v>
      </c>
      <c r="R374" s="158">
        <v>15.94</v>
      </c>
      <c r="S374" s="158" t="s">
        <v>23</v>
      </c>
      <c r="T374" s="160">
        <v>96</v>
      </c>
      <c r="U374" s="160">
        <v>67</v>
      </c>
      <c r="V374" s="160">
        <v>45</v>
      </c>
      <c r="W374" s="160">
        <v>45</v>
      </c>
      <c r="X374" s="160">
        <v>29</v>
      </c>
      <c r="Y374" s="160">
        <v>0</v>
      </c>
      <c r="Z374" s="158">
        <v>0</v>
      </c>
      <c r="AA374" s="158"/>
      <c r="AB374" s="158"/>
      <c r="AC374" s="158">
        <v>0</v>
      </c>
    </row>
    <row r="375" spans="1:29" x14ac:dyDescent="0.2">
      <c r="A375" s="138">
        <f t="shared" si="5"/>
        <v>371</v>
      </c>
      <c r="B375" s="156">
        <v>43882</v>
      </c>
      <c r="C375" s="157" t="s">
        <v>3164</v>
      </c>
      <c r="D375" s="158" t="s">
        <v>2940</v>
      </c>
      <c r="E375" s="158" t="s">
        <v>130</v>
      </c>
      <c r="F375" s="158" t="s">
        <v>2941</v>
      </c>
      <c r="G375" s="158" t="s">
        <v>123</v>
      </c>
      <c r="H375" s="159">
        <v>43881</v>
      </c>
      <c r="I375" s="158" t="s">
        <v>2861</v>
      </c>
      <c r="J375" s="158">
        <v>12</v>
      </c>
      <c r="K375" s="158">
        <v>8</v>
      </c>
      <c r="L375" s="158">
        <v>0</v>
      </c>
      <c r="M375" s="158" t="s">
        <v>6</v>
      </c>
      <c r="N375" s="158">
        <v>5</v>
      </c>
      <c r="O375" s="158">
        <v>5</v>
      </c>
      <c r="P375" s="158">
        <v>0</v>
      </c>
      <c r="Q375" s="158" t="s">
        <v>22</v>
      </c>
      <c r="R375" s="158" t="s">
        <v>2942</v>
      </c>
      <c r="S375" s="158" t="s">
        <v>23</v>
      </c>
      <c r="T375" s="160"/>
      <c r="U375" s="160"/>
      <c r="V375" s="160"/>
      <c r="W375" s="160"/>
      <c r="X375" s="160"/>
      <c r="Y375" s="160"/>
      <c r="Z375" s="158">
        <v>0</v>
      </c>
      <c r="AA375" s="158"/>
      <c r="AB375" s="158"/>
      <c r="AC375" s="158">
        <v>0</v>
      </c>
    </row>
    <row r="376" spans="1:29" x14ac:dyDescent="0.2">
      <c r="A376" s="138">
        <f t="shared" si="5"/>
        <v>372</v>
      </c>
      <c r="B376" s="156">
        <v>43882</v>
      </c>
      <c r="C376" s="157" t="s">
        <v>3165</v>
      </c>
      <c r="D376" s="158" t="s">
        <v>2943</v>
      </c>
      <c r="E376" s="158" t="s">
        <v>126</v>
      </c>
      <c r="F376" s="158" t="s">
        <v>2944</v>
      </c>
      <c r="G376" s="158" t="s">
        <v>123</v>
      </c>
      <c r="H376" s="159">
        <v>43882</v>
      </c>
      <c r="I376" s="158" t="s">
        <v>2861</v>
      </c>
      <c r="J376" s="158">
        <v>20</v>
      </c>
      <c r="K376" s="158">
        <v>11</v>
      </c>
      <c r="L376" s="158">
        <v>0</v>
      </c>
      <c r="M376" s="158" t="s">
        <v>6</v>
      </c>
      <c r="N376" s="158">
        <v>6</v>
      </c>
      <c r="O376" s="158">
        <v>6</v>
      </c>
      <c r="P376" s="158">
        <v>0</v>
      </c>
      <c r="Q376" s="158" t="s">
        <v>22</v>
      </c>
      <c r="R376" s="158">
        <v>40</v>
      </c>
      <c r="S376" s="158" t="s">
        <v>142</v>
      </c>
      <c r="T376" s="160"/>
      <c r="U376" s="160"/>
      <c r="V376" s="160"/>
      <c r="W376" s="160"/>
      <c r="X376" s="160"/>
      <c r="Y376" s="160"/>
      <c r="Z376" s="158">
        <v>0</v>
      </c>
      <c r="AA376" s="158"/>
      <c r="AB376" s="158"/>
      <c r="AC376" s="158">
        <v>0</v>
      </c>
    </row>
    <row r="377" spans="1:29" x14ac:dyDescent="0.2">
      <c r="A377" s="138">
        <f t="shared" si="5"/>
        <v>373</v>
      </c>
      <c r="B377" s="156">
        <v>43882</v>
      </c>
      <c r="C377" s="157" t="s">
        <v>2927</v>
      </c>
      <c r="D377" s="232" t="s">
        <v>2945</v>
      </c>
      <c r="E377" s="158" t="s">
        <v>2946</v>
      </c>
      <c r="F377" s="158" t="s">
        <v>2947</v>
      </c>
      <c r="G377" s="158" t="s">
        <v>123</v>
      </c>
      <c r="H377" s="159">
        <v>43882</v>
      </c>
      <c r="I377" s="158" t="s">
        <v>2861</v>
      </c>
      <c r="J377" s="158">
        <v>40</v>
      </c>
      <c r="K377" s="158">
        <v>28</v>
      </c>
      <c r="L377" s="158">
        <v>0</v>
      </c>
      <c r="M377" s="158" t="s">
        <v>6</v>
      </c>
      <c r="N377" s="158">
        <v>7</v>
      </c>
      <c r="O377" s="158">
        <v>7</v>
      </c>
      <c r="P377" s="158">
        <v>0</v>
      </c>
      <c r="Q377" s="158" t="s">
        <v>22</v>
      </c>
      <c r="R377" s="158"/>
      <c r="S377" s="158" t="s">
        <v>142</v>
      </c>
      <c r="T377" s="160"/>
      <c r="U377" s="160"/>
      <c r="V377" s="160"/>
      <c r="W377" s="160"/>
      <c r="X377" s="160"/>
      <c r="Y377" s="160"/>
      <c r="Z377" s="158">
        <v>0</v>
      </c>
      <c r="AA377" s="158"/>
      <c r="AB377" s="158"/>
      <c r="AC377" s="158">
        <v>0</v>
      </c>
    </row>
    <row r="378" spans="1:29" x14ac:dyDescent="0.2">
      <c r="A378" s="138">
        <f t="shared" si="5"/>
        <v>374</v>
      </c>
      <c r="B378" s="156">
        <v>43882</v>
      </c>
      <c r="C378" s="157" t="s">
        <v>3166</v>
      </c>
      <c r="D378" s="158" t="s">
        <v>2948</v>
      </c>
      <c r="E378" s="158" t="s">
        <v>122</v>
      </c>
      <c r="F378" s="158" t="s">
        <v>177</v>
      </c>
      <c r="G378" s="158" t="s">
        <v>770</v>
      </c>
      <c r="H378" s="159">
        <v>43865</v>
      </c>
      <c r="I378" s="158" t="s">
        <v>2861</v>
      </c>
      <c r="J378" s="158">
        <v>12</v>
      </c>
      <c r="K378" s="158">
        <v>12</v>
      </c>
      <c r="L378" s="158">
        <v>0</v>
      </c>
      <c r="M378" s="158" t="s">
        <v>6</v>
      </c>
      <c r="N378" s="158">
        <v>15</v>
      </c>
      <c r="O378" s="158">
        <v>15</v>
      </c>
      <c r="P378" s="158">
        <v>0</v>
      </c>
      <c r="Q378" s="158" t="s">
        <v>22</v>
      </c>
      <c r="R378" s="158">
        <v>560.61</v>
      </c>
      <c r="S378" s="158" t="s">
        <v>23</v>
      </c>
      <c r="T378" s="160"/>
      <c r="U378" s="160"/>
      <c r="V378" s="160"/>
      <c r="W378" s="160"/>
      <c r="X378" s="160"/>
      <c r="Y378" s="160"/>
      <c r="Z378" s="158">
        <v>13.5</v>
      </c>
      <c r="AA378" s="158"/>
      <c r="AB378" s="158"/>
      <c r="AC378" s="158">
        <v>137.58000000000001</v>
      </c>
    </row>
    <row r="379" spans="1:29" x14ac:dyDescent="0.2">
      <c r="A379" s="138">
        <f t="shared" si="5"/>
        <v>375</v>
      </c>
      <c r="B379" s="156">
        <v>43883</v>
      </c>
      <c r="C379" s="157" t="s">
        <v>3167</v>
      </c>
      <c r="D379" s="158" t="s">
        <v>2949</v>
      </c>
      <c r="E379" s="158" t="s">
        <v>122</v>
      </c>
      <c r="F379" s="158" t="s">
        <v>144</v>
      </c>
      <c r="G379" s="158" t="s">
        <v>770</v>
      </c>
      <c r="H379" s="159">
        <v>43871</v>
      </c>
      <c r="I379" s="158" t="s">
        <v>2861</v>
      </c>
      <c r="J379" s="158">
        <v>28</v>
      </c>
      <c r="K379" s="158">
        <v>28</v>
      </c>
      <c r="L379" s="158">
        <v>0</v>
      </c>
      <c r="M379" s="158" t="s">
        <v>6</v>
      </c>
      <c r="N379" s="158">
        <v>15</v>
      </c>
      <c r="O379" s="158">
        <v>15</v>
      </c>
      <c r="P379" s="158">
        <v>0</v>
      </c>
      <c r="Q379" s="158" t="s">
        <v>22</v>
      </c>
      <c r="R379" s="158">
        <v>817.21</v>
      </c>
      <c r="S379" s="158" t="s">
        <v>142</v>
      </c>
      <c r="T379" s="160">
        <v>89.5</v>
      </c>
      <c r="U379" s="160">
        <v>86</v>
      </c>
      <c r="V379" s="160">
        <v>63.5</v>
      </c>
      <c r="W379" s="160">
        <v>63.5</v>
      </c>
      <c r="X379" s="160">
        <v>3.5</v>
      </c>
      <c r="Y379" s="160">
        <v>0</v>
      </c>
      <c r="Z379" s="158">
        <v>11.25</v>
      </c>
      <c r="AA379" s="158"/>
      <c r="AB379" s="158"/>
      <c r="AC379" s="158">
        <v>275.25</v>
      </c>
    </row>
    <row r="380" spans="1:29" x14ac:dyDescent="0.2">
      <c r="A380" s="138">
        <f t="shared" si="5"/>
        <v>376</v>
      </c>
      <c r="B380" s="156">
        <v>43883</v>
      </c>
      <c r="C380" s="157" t="s">
        <v>3213</v>
      </c>
      <c r="D380" s="233" t="s">
        <v>2950</v>
      </c>
      <c r="E380" s="158" t="s">
        <v>186</v>
      </c>
      <c r="F380" s="158" t="s">
        <v>188</v>
      </c>
      <c r="G380" s="158" t="s">
        <v>123</v>
      </c>
      <c r="H380" s="159">
        <v>43881</v>
      </c>
      <c r="I380" s="158" t="s">
        <v>2861</v>
      </c>
      <c r="J380" s="158">
        <v>19.5</v>
      </c>
      <c r="K380" s="158">
        <v>16</v>
      </c>
      <c r="L380" s="158">
        <v>0</v>
      </c>
      <c r="M380" s="158" t="s">
        <v>6</v>
      </c>
      <c r="N380" s="158">
        <v>3.5</v>
      </c>
      <c r="O380" s="158">
        <v>3.5</v>
      </c>
      <c r="P380" s="158">
        <v>0</v>
      </c>
      <c r="Q380" s="158" t="s">
        <v>22</v>
      </c>
      <c r="R380" s="158">
        <v>54.05</v>
      </c>
      <c r="S380" s="158" t="s">
        <v>142</v>
      </c>
      <c r="T380" s="160"/>
      <c r="U380" s="160"/>
      <c r="V380" s="160"/>
      <c r="W380" s="160"/>
      <c r="X380" s="160"/>
      <c r="Y380" s="160"/>
      <c r="Z380" s="158">
        <v>0</v>
      </c>
      <c r="AA380" s="158"/>
      <c r="AB380" s="158"/>
      <c r="AC380" s="158">
        <v>50</v>
      </c>
    </row>
    <row r="381" spans="1:29" x14ac:dyDescent="0.2">
      <c r="A381" s="138">
        <f t="shared" si="5"/>
        <v>377</v>
      </c>
      <c r="B381" s="156">
        <v>43883</v>
      </c>
      <c r="C381" s="157" t="s">
        <v>3168</v>
      </c>
      <c r="D381" s="158" t="s">
        <v>3169</v>
      </c>
      <c r="E381" s="158" t="s">
        <v>122</v>
      </c>
      <c r="F381" s="158" t="s">
        <v>144</v>
      </c>
      <c r="G381" s="158" t="s">
        <v>770</v>
      </c>
      <c r="H381" s="159">
        <v>43885</v>
      </c>
      <c r="I381" s="158" t="s">
        <v>2861</v>
      </c>
      <c r="J381" s="158">
        <v>12</v>
      </c>
      <c r="K381" s="158">
        <v>12</v>
      </c>
      <c r="L381" s="158">
        <v>0</v>
      </c>
      <c r="M381" s="158" t="s">
        <v>6</v>
      </c>
      <c r="N381" s="158">
        <v>15</v>
      </c>
      <c r="O381" s="158">
        <v>15</v>
      </c>
      <c r="P381" s="158">
        <v>0</v>
      </c>
      <c r="Q381" s="158" t="s">
        <v>22</v>
      </c>
      <c r="R381" s="158">
        <v>781.21</v>
      </c>
      <c r="S381" s="158" t="s">
        <v>23</v>
      </c>
      <c r="T381" s="160"/>
      <c r="U381" s="160"/>
      <c r="V381" s="160"/>
      <c r="W381" s="160"/>
      <c r="X381" s="160"/>
      <c r="Y381" s="160"/>
      <c r="Z381" s="158">
        <v>8</v>
      </c>
      <c r="AA381" s="158"/>
      <c r="AB381" s="158"/>
      <c r="AC381" s="158">
        <v>153.93</v>
      </c>
    </row>
    <row r="382" spans="1:29" x14ac:dyDescent="0.2">
      <c r="A382" s="138">
        <f t="shared" si="5"/>
        <v>378</v>
      </c>
      <c r="B382" s="156">
        <v>43883</v>
      </c>
      <c r="C382" s="157" t="s">
        <v>3170</v>
      </c>
      <c r="D382" s="158" t="s">
        <v>3171</v>
      </c>
      <c r="E382" s="158" t="s">
        <v>122</v>
      </c>
      <c r="F382" s="158" t="s">
        <v>144</v>
      </c>
      <c r="G382" s="158" t="s">
        <v>770</v>
      </c>
      <c r="H382" s="159">
        <v>43885</v>
      </c>
      <c r="I382" s="158" t="s">
        <v>2861</v>
      </c>
      <c r="J382" s="158">
        <v>10</v>
      </c>
      <c r="K382" s="158">
        <v>10</v>
      </c>
      <c r="L382" s="158">
        <v>0</v>
      </c>
      <c r="M382" s="158" t="s">
        <v>6</v>
      </c>
      <c r="N382" s="158">
        <v>15</v>
      </c>
      <c r="O382" s="158">
        <v>15</v>
      </c>
      <c r="P382" s="158">
        <v>0</v>
      </c>
      <c r="Q382" s="158" t="s">
        <v>22</v>
      </c>
      <c r="R382" s="158">
        <v>909.39</v>
      </c>
      <c r="S382" s="158" t="s">
        <v>124</v>
      </c>
      <c r="T382" s="160"/>
      <c r="U382" s="160"/>
      <c r="V382" s="160"/>
      <c r="W382" s="160"/>
      <c r="X382" s="160"/>
      <c r="Y382" s="160"/>
      <c r="Z382" s="158">
        <v>7.25</v>
      </c>
      <c r="AA382" s="158"/>
      <c r="AB382" s="158"/>
      <c r="AC382" s="158">
        <v>186.36</v>
      </c>
    </row>
    <row r="383" spans="1:29" x14ac:dyDescent="0.2">
      <c r="A383" s="138">
        <f t="shared" si="5"/>
        <v>379</v>
      </c>
      <c r="B383" s="156">
        <v>43883</v>
      </c>
      <c r="C383" s="157" t="s">
        <v>3172</v>
      </c>
      <c r="D383" s="158" t="s">
        <v>3173</v>
      </c>
      <c r="E383" s="158" t="s">
        <v>21</v>
      </c>
      <c r="F383" s="158" t="s">
        <v>1401</v>
      </c>
      <c r="G383" s="158" t="s">
        <v>770</v>
      </c>
      <c r="H383" s="159">
        <v>43889</v>
      </c>
      <c r="I383" s="158" t="s">
        <v>2861</v>
      </c>
      <c r="J383" s="158">
        <v>20</v>
      </c>
      <c r="K383" s="158">
        <v>20</v>
      </c>
      <c r="L383" s="158">
        <v>0</v>
      </c>
      <c r="M383" s="158" t="s">
        <v>6</v>
      </c>
      <c r="N383" s="158">
        <v>15</v>
      </c>
      <c r="O383" s="158">
        <v>15</v>
      </c>
      <c r="P383" s="158">
        <v>0</v>
      </c>
      <c r="Q383" s="158" t="s">
        <v>22</v>
      </c>
      <c r="R383" s="158">
        <v>973.63</v>
      </c>
      <c r="S383" s="158" t="s">
        <v>142</v>
      </c>
      <c r="T383" s="160"/>
      <c r="U383" s="160"/>
      <c r="V383" s="160"/>
      <c r="W383" s="160"/>
      <c r="X383" s="160"/>
      <c r="Y383" s="160"/>
      <c r="Z383" s="158">
        <v>11.25</v>
      </c>
      <c r="AA383" s="158"/>
      <c r="AB383" s="158"/>
      <c r="AC383" s="158">
        <v>184.84</v>
      </c>
    </row>
    <row r="384" spans="1:29" x14ac:dyDescent="0.2">
      <c r="A384" s="138">
        <f t="shared" si="5"/>
        <v>380</v>
      </c>
      <c r="B384" s="156">
        <v>43885</v>
      </c>
      <c r="C384" s="157" t="s">
        <v>3174</v>
      </c>
      <c r="D384" s="158" t="s">
        <v>2951</v>
      </c>
      <c r="E384" s="158" t="s">
        <v>21</v>
      </c>
      <c r="F384" s="158" t="s">
        <v>24</v>
      </c>
      <c r="G384" s="158" t="s">
        <v>770</v>
      </c>
      <c r="H384" s="159">
        <v>43885</v>
      </c>
      <c r="I384" s="158" t="s">
        <v>2861</v>
      </c>
      <c r="J384" s="158">
        <v>22</v>
      </c>
      <c r="K384" s="158">
        <v>22</v>
      </c>
      <c r="L384" s="158">
        <v>0</v>
      </c>
      <c r="M384" s="158" t="s">
        <v>6</v>
      </c>
      <c r="N384" s="158">
        <v>15</v>
      </c>
      <c r="O384" s="158">
        <v>15</v>
      </c>
      <c r="P384" s="158">
        <v>0</v>
      </c>
      <c r="Q384" s="158" t="s">
        <v>22</v>
      </c>
      <c r="R384" s="158">
        <v>1385.45</v>
      </c>
      <c r="S384" s="158" t="s">
        <v>142</v>
      </c>
      <c r="T384" s="160">
        <v>130</v>
      </c>
      <c r="U384" s="160">
        <v>126.5</v>
      </c>
      <c r="V384" s="160">
        <v>80.5</v>
      </c>
      <c r="W384" s="160">
        <v>80.5</v>
      </c>
      <c r="X384" s="160">
        <v>3.5</v>
      </c>
      <c r="Y384" s="160">
        <v>0</v>
      </c>
      <c r="Z384" s="158">
        <v>15.25</v>
      </c>
      <c r="AA384" s="158"/>
      <c r="AB384" s="158"/>
      <c r="AC384" s="158">
        <v>364.24</v>
      </c>
    </row>
    <row r="385" spans="1:29" x14ac:dyDescent="0.2">
      <c r="A385" s="138">
        <f t="shared" si="5"/>
        <v>381</v>
      </c>
      <c r="B385" s="156">
        <v>43885</v>
      </c>
      <c r="C385" s="157" t="s">
        <v>3175</v>
      </c>
      <c r="D385" s="158" t="s">
        <v>2952</v>
      </c>
      <c r="E385" s="158" t="s">
        <v>21</v>
      </c>
      <c r="F385" s="158" t="s">
        <v>24</v>
      </c>
      <c r="G385" s="158" t="s">
        <v>770</v>
      </c>
      <c r="H385" s="159">
        <v>43885</v>
      </c>
      <c r="I385" s="158" t="s">
        <v>2861</v>
      </c>
      <c r="J385" s="158">
        <v>22</v>
      </c>
      <c r="K385" s="158">
        <v>22</v>
      </c>
      <c r="L385" s="158">
        <v>0</v>
      </c>
      <c r="M385" s="158" t="s">
        <v>6</v>
      </c>
      <c r="N385" s="158">
        <v>15</v>
      </c>
      <c r="O385" s="158">
        <v>15</v>
      </c>
      <c r="P385" s="158">
        <v>0</v>
      </c>
      <c r="Q385" s="158" t="s">
        <v>22</v>
      </c>
      <c r="R385" s="158">
        <v>1146.6600000000001</v>
      </c>
      <c r="S385" s="158" t="s">
        <v>142</v>
      </c>
      <c r="T385" s="160"/>
      <c r="U385" s="160"/>
      <c r="V385" s="160"/>
      <c r="W385" s="160"/>
      <c r="X385" s="160"/>
      <c r="Y385" s="160"/>
      <c r="Z385" s="158">
        <v>13.25</v>
      </c>
      <c r="AA385" s="158"/>
      <c r="AB385" s="158"/>
      <c r="AC385" s="158">
        <v>315.14999999999998</v>
      </c>
    </row>
    <row r="386" spans="1:29" x14ac:dyDescent="0.2">
      <c r="A386" s="138">
        <f t="shared" si="5"/>
        <v>382</v>
      </c>
      <c r="B386" s="156">
        <v>43885</v>
      </c>
      <c r="C386" s="157" t="s">
        <v>3176</v>
      </c>
      <c r="D386" s="158" t="s">
        <v>2953</v>
      </c>
      <c r="E386" s="158" t="s">
        <v>126</v>
      </c>
      <c r="F386" s="158" t="s">
        <v>127</v>
      </c>
      <c r="G386" s="158" t="s">
        <v>770</v>
      </c>
      <c r="H386" s="159">
        <v>43885</v>
      </c>
      <c r="I386" s="158" t="s">
        <v>2861</v>
      </c>
      <c r="J386" s="158">
        <v>35</v>
      </c>
      <c r="K386" s="158">
        <v>35</v>
      </c>
      <c r="L386" s="158">
        <v>0</v>
      </c>
      <c r="M386" s="158" t="s">
        <v>6</v>
      </c>
      <c r="N386" s="158">
        <v>15</v>
      </c>
      <c r="O386" s="158">
        <v>15</v>
      </c>
      <c r="P386" s="158">
        <v>0</v>
      </c>
      <c r="Q386" s="158" t="s">
        <v>22</v>
      </c>
      <c r="R386" s="158">
        <v>951.21</v>
      </c>
      <c r="S386" s="158" t="s">
        <v>142</v>
      </c>
      <c r="T386" s="160"/>
      <c r="U386" s="160"/>
      <c r="V386" s="160"/>
      <c r="W386" s="160"/>
      <c r="X386" s="160"/>
      <c r="Y386" s="160"/>
      <c r="Z386" s="158">
        <v>17.25</v>
      </c>
      <c r="AA386" s="158"/>
      <c r="AB386" s="158"/>
      <c r="AC386" s="158">
        <v>192.42</v>
      </c>
    </row>
    <row r="387" spans="1:29" x14ac:dyDescent="0.2">
      <c r="A387" s="138">
        <f t="shared" si="5"/>
        <v>383</v>
      </c>
      <c r="B387" s="156">
        <v>43885</v>
      </c>
      <c r="C387" s="157" t="s">
        <v>3177</v>
      </c>
      <c r="D387" s="158" t="s">
        <v>2954</v>
      </c>
      <c r="E387" s="158" t="s">
        <v>122</v>
      </c>
      <c r="F387" s="158" t="s">
        <v>144</v>
      </c>
      <c r="G387" s="158" t="s">
        <v>770</v>
      </c>
      <c r="H387" s="159">
        <v>43885</v>
      </c>
      <c r="I387" s="158" t="s">
        <v>2861</v>
      </c>
      <c r="J387" s="158">
        <v>20</v>
      </c>
      <c r="K387" s="158">
        <v>20</v>
      </c>
      <c r="L387" s="158">
        <v>0</v>
      </c>
      <c r="M387" s="158" t="s">
        <v>6</v>
      </c>
      <c r="N387" s="158">
        <v>15</v>
      </c>
      <c r="O387" s="158">
        <v>15</v>
      </c>
      <c r="P387" s="158">
        <v>0</v>
      </c>
      <c r="Q387" s="158" t="s">
        <v>22</v>
      </c>
      <c r="R387" s="158">
        <v>973.63</v>
      </c>
      <c r="S387" s="158" t="s">
        <v>142</v>
      </c>
      <c r="T387" s="160"/>
      <c r="U387" s="160"/>
      <c r="V387" s="160"/>
      <c r="W387" s="160"/>
      <c r="X387" s="160"/>
      <c r="Y387" s="160"/>
      <c r="Z387" s="158">
        <v>15.25</v>
      </c>
      <c r="AA387" s="158"/>
      <c r="AB387" s="158"/>
      <c r="AC387" s="158">
        <v>184.84</v>
      </c>
    </row>
    <row r="388" spans="1:29" x14ac:dyDescent="0.2">
      <c r="A388" s="138">
        <f t="shared" si="5"/>
        <v>384</v>
      </c>
      <c r="B388" s="156">
        <v>43885</v>
      </c>
      <c r="C388" s="157" t="s">
        <v>3178</v>
      </c>
      <c r="D388" s="158" t="s">
        <v>2955</v>
      </c>
      <c r="E388" s="158" t="s">
        <v>1283</v>
      </c>
      <c r="F388" s="158" t="s">
        <v>1297</v>
      </c>
      <c r="G388" s="158" t="s">
        <v>770</v>
      </c>
      <c r="H388" s="159">
        <v>43885</v>
      </c>
      <c r="I388" s="158" t="s">
        <v>2861</v>
      </c>
      <c r="J388" s="158">
        <v>15</v>
      </c>
      <c r="K388" s="158">
        <v>15</v>
      </c>
      <c r="L388" s="158">
        <v>0</v>
      </c>
      <c r="M388" s="158" t="s">
        <v>6</v>
      </c>
      <c r="N388" s="158">
        <v>15</v>
      </c>
      <c r="O388" s="158">
        <v>15</v>
      </c>
      <c r="P388" s="158">
        <v>0</v>
      </c>
      <c r="Q388" s="158" t="s">
        <v>22</v>
      </c>
      <c r="R388" s="158">
        <v>605.15</v>
      </c>
      <c r="S388" s="158" t="s">
        <v>23</v>
      </c>
      <c r="T388" s="160"/>
      <c r="U388" s="160"/>
      <c r="V388" s="160"/>
      <c r="W388" s="160"/>
      <c r="X388" s="160"/>
      <c r="Y388" s="160"/>
      <c r="Z388" s="158">
        <v>10.25</v>
      </c>
      <c r="AA388" s="158"/>
      <c r="AB388" s="158"/>
      <c r="AC388" s="158">
        <v>172.72</v>
      </c>
    </row>
    <row r="389" spans="1:29" x14ac:dyDescent="0.2">
      <c r="A389" s="138">
        <f t="shared" si="5"/>
        <v>385</v>
      </c>
      <c r="B389" s="156">
        <v>43885</v>
      </c>
      <c r="C389" s="157" t="s">
        <v>2568</v>
      </c>
      <c r="D389" s="158" t="s">
        <v>2632</v>
      </c>
      <c r="E389" s="158" t="s">
        <v>126</v>
      </c>
      <c r="F389" s="158" t="s">
        <v>127</v>
      </c>
      <c r="G389" s="158" t="s">
        <v>770</v>
      </c>
      <c r="H389" s="159">
        <v>43885</v>
      </c>
      <c r="I389" s="158"/>
      <c r="J389" s="158">
        <v>0</v>
      </c>
      <c r="K389" s="158">
        <v>0</v>
      </c>
      <c r="L389" s="158">
        <v>0</v>
      </c>
      <c r="M389" s="158"/>
      <c r="N389" s="158">
        <v>0</v>
      </c>
      <c r="O389" s="158">
        <v>0</v>
      </c>
      <c r="P389" s="158">
        <v>0</v>
      </c>
      <c r="Q389" s="158" t="s">
        <v>22</v>
      </c>
      <c r="R389" s="158"/>
      <c r="S389" s="158" t="s">
        <v>447</v>
      </c>
      <c r="T389" s="160"/>
      <c r="U389" s="160"/>
      <c r="V389" s="160"/>
      <c r="W389" s="160"/>
      <c r="X389" s="160"/>
      <c r="Y389" s="160"/>
      <c r="Z389" s="158">
        <v>0</v>
      </c>
      <c r="AA389" s="158"/>
      <c r="AB389" s="158"/>
      <c r="AC389" s="158">
        <v>0</v>
      </c>
    </row>
    <row r="390" spans="1:29" x14ac:dyDescent="0.2">
      <c r="A390" s="138">
        <f t="shared" si="5"/>
        <v>386</v>
      </c>
      <c r="B390" s="156">
        <v>43885</v>
      </c>
      <c r="C390" s="157" t="s">
        <v>3179</v>
      </c>
      <c r="D390" s="158" t="s">
        <v>2956</v>
      </c>
      <c r="E390" s="158" t="s">
        <v>128</v>
      </c>
      <c r="F390" s="158" t="s">
        <v>134</v>
      </c>
      <c r="G390" s="158" t="s">
        <v>123</v>
      </c>
      <c r="H390" s="159">
        <v>43881</v>
      </c>
      <c r="I390" s="158" t="s">
        <v>2861</v>
      </c>
      <c r="J390" s="158">
        <v>2</v>
      </c>
      <c r="K390" s="158">
        <v>1.5</v>
      </c>
      <c r="L390" s="158">
        <v>0</v>
      </c>
      <c r="M390" s="158" t="s">
        <v>6</v>
      </c>
      <c r="N390" s="158">
        <v>1</v>
      </c>
      <c r="O390" s="158">
        <v>1</v>
      </c>
      <c r="P390" s="158">
        <v>0</v>
      </c>
      <c r="Q390" s="158"/>
      <c r="R390" s="158"/>
      <c r="S390" s="158" t="s">
        <v>124</v>
      </c>
      <c r="T390" s="160"/>
      <c r="U390" s="160"/>
      <c r="V390" s="160"/>
      <c r="W390" s="160"/>
      <c r="X390" s="160"/>
      <c r="Y390" s="160"/>
      <c r="Z390" s="158">
        <v>0</v>
      </c>
      <c r="AA390" s="158"/>
      <c r="AB390" s="158"/>
      <c r="AC390" s="158">
        <v>30</v>
      </c>
    </row>
    <row r="391" spans="1:29" x14ac:dyDescent="0.2">
      <c r="A391" s="138">
        <f t="shared" si="5"/>
        <v>387</v>
      </c>
      <c r="B391" s="156">
        <v>43885</v>
      </c>
      <c r="C391" s="157" t="s">
        <v>1022</v>
      </c>
      <c r="D391" s="158" t="s">
        <v>2957</v>
      </c>
      <c r="E391" s="158" t="s">
        <v>178</v>
      </c>
      <c r="F391" s="158" t="s">
        <v>2958</v>
      </c>
      <c r="G391" s="231" t="s">
        <v>123</v>
      </c>
      <c r="H391" s="159">
        <v>43885</v>
      </c>
      <c r="I391" s="158" t="s">
        <v>2861</v>
      </c>
      <c r="J391" s="158">
        <v>6</v>
      </c>
      <c r="K391" s="158">
        <v>4</v>
      </c>
      <c r="L391" s="158">
        <v>0</v>
      </c>
      <c r="M391" s="158" t="s">
        <v>6</v>
      </c>
      <c r="N391" s="158">
        <v>1.5</v>
      </c>
      <c r="O391" s="158">
        <v>1.5</v>
      </c>
      <c r="P391" s="158">
        <v>0</v>
      </c>
      <c r="Q391" s="158"/>
      <c r="R391" s="158"/>
      <c r="S391" s="158" t="s">
        <v>124</v>
      </c>
      <c r="T391" s="160"/>
      <c r="U391" s="160"/>
      <c r="V391" s="160"/>
      <c r="W391" s="160"/>
      <c r="X391" s="160"/>
      <c r="Y391" s="160"/>
      <c r="Z391" s="158">
        <v>0</v>
      </c>
      <c r="AA391" s="158"/>
      <c r="AB391" s="158"/>
      <c r="AC391" s="158">
        <v>0</v>
      </c>
    </row>
    <row r="392" spans="1:29" x14ac:dyDescent="0.2">
      <c r="A392" s="138">
        <f t="shared" si="5"/>
        <v>388</v>
      </c>
      <c r="B392" s="156">
        <v>43885</v>
      </c>
      <c r="C392" s="157" t="s">
        <v>3180</v>
      </c>
      <c r="D392" s="158" t="s">
        <v>2957</v>
      </c>
      <c r="E392" s="158" t="s">
        <v>178</v>
      </c>
      <c r="F392" s="158" t="s">
        <v>2958</v>
      </c>
      <c r="G392" s="231" t="s">
        <v>123</v>
      </c>
      <c r="H392" s="159">
        <v>43885</v>
      </c>
      <c r="I392" s="158" t="s">
        <v>2861</v>
      </c>
      <c r="J392" s="158">
        <v>2</v>
      </c>
      <c r="K392" s="158">
        <v>2</v>
      </c>
      <c r="L392" s="158">
        <v>0</v>
      </c>
      <c r="M392" s="158" t="s">
        <v>6</v>
      </c>
      <c r="N392" s="158">
        <v>1</v>
      </c>
      <c r="O392" s="158">
        <v>1</v>
      </c>
      <c r="P392" s="158">
        <v>0</v>
      </c>
      <c r="Q392" s="158"/>
      <c r="R392" s="158"/>
      <c r="S392" s="158" t="s">
        <v>124</v>
      </c>
      <c r="T392" s="160"/>
      <c r="U392" s="160"/>
      <c r="V392" s="160"/>
      <c r="W392" s="160"/>
      <c r="X392" s="160"/>
      <c r="Y392" s="160"/>
      <c r="Z392" s="158">
        <v>0</v>
      </c>
      <c r="AA392" s="158"/>
      <c r="AB392" s="158"/>
      <c r="AC392" s="158">
        <v>0</v>
      </c>
    </row>
    <row r="393" spans="1:29" x14ac:dyDescent="0.2">
      <c r="A393" s="138">
        <f t="shared" si="5"/>
        <v>389</v>
      </c>
      <c r="B393" s="156">
        <v>43885</v>
      </c>
      <c r="C393" s="157" t="s">
        <v>3181</v>
      </c>
      <c r="D393" s="158" t="s">
        <v>2957</v>
      </c>
      <c r="E393" s="158" t="s">
        <v>178</v>
      </c>
      <c r="F393" s="158" t="s">
        <v>2958</v>
      </c>
      <c r="G393" s="231" t="s">
        <v>123</v>
      </c>
      <c r="H393" s="159">
        <v>43885</v>
      </c>
      <c r="I393" s="158" t="s">
        <v>2861</v>
      </c>
      <c r="J393" s="158">
        <v>6</v>
      </c>
      <c r="K393" s="158">
        <v>5</v>
      </c>
      <c r="L393" s="158">
        <v>0</v>
      </c>
      <c r="M393" s="158" t="s">
        <v>6</v>
      </c>
      <c r="N393" s="158">
        <v>2</v>
      </c>
      <c r="O393" s="158">
        <v>2</v>
      </c>
      <c r="P393" s="158">
        <v>0</v>
      </c>
      <c r="Q393" s="158"/>
      <c r="R393" s="158"/>
      <c r="S393" s="158" t="s">
        <v>124</v>
      </c>
      <c r="T393" s="160"/>
      <c r="U393" s="160"/>
      <c r="V393" s="160"/>
      <c r="W393" s="160"/>
      <c r="X393" s="160"/>
      <c r="Y393" s="160"/>
      <c r="Z393" s="158">
        <v>0</v>
      </c>
      <c r="AA393" s="158"/>
      <c r="AB393" s="158"/>
      <c r="AC393" s="158">
        <v>40</v>
      </c>
    </row>
    <row r="394" spans="1:29" x14ac:dyDescent="0.2">
      <c r="A394" s="138">
        <f t="shared" si="5"/>
        <v>390</v>
      </c>
      <c r="B394" s="156">
        <v>43886</v>
      </c>
      <c r="C394" s="157" t="s">
        <v>3182</v>
      </c>
      <c r="D394" s="158" t="s">
        <v>2959</v>
      </c>
      <c r="E394" s="158" t="s">
        <v>172</v>
      </c>
      <c r="F394" s="158" t="s">
        <v>2636</v>
      </c>
      <c r="G394" s="158" t="s">
        <v>123</v>
      </c>
      <c r="H394" s="159">
        <v>43881</v>
      </c>
      <c r="I394" s="158" t="s">
        <v>2861</v>
      </c>
      <c r="J394" s="158">
        <v>4</v>
      </c>
      <c r="K394" s="158">
        <v>2.5</v>
      </c>
      <c r="L394" s="158">
        <v>0</v>
      </c>
      <c r="M394" s="158" t="s">
        <v>6</v>
      </c>
      <c r="N394" s="158">
        <v>1</v>
      </c>
      <c r="O394" s="158">
        <v>1</v>
      </c>
      <c r="P394" s="158">
        <v>0</v>
      </c>
      <c r="Q394" s="158" t="s">
        <v>22</v>
      </c>
      <c r="R394" s="158">
        <v>636.79999999999995</v>
      </c>
      <c r="S394" s="158" t="s">
        <v>124</v>
      </c>
      <c r="T394" s="160">
        <v>29.5</v>
      </c>
      <c r="U394" s="160">
        <v>19.5</v>
      </c>
      <c r="V394" s="160">
        <v>7.5</v>
      </c>
      <c r="W394" s="160">
        <v>7.5</v>
      </c>
      <c r="X394" s="160">
        <v>10</v>
      </c>
      <c r="Y394" s="160">
        <v>0</v>
      </c>
      <c r="Z394" s="158">
        <v>0</v>
      </c>
      <c r="AA394" s="158"/>
      <c r="AB394" s="158"/>
      <c r="AC394" s="158">
        <v>0</v>
      </c>
    </row>
    <row r="395" spans="1:29" x14ac:dyDescent="0.2">
      <c r="A395" s="138">
        <f t="shared" si="5"/>
        <v>391</v>
      </c>
      <c r="B395" s="156">
        <v>43886</v>
      </c>
      <c r="C395" s="157" t="s">
        <v>3161</v>
      </c>
      <c r="D395" s="231" t="s">
        <v>2959</v>
      </c>
      <c r="E395" s="158" t="s">
        <v>172</v>
      </c>
      <c r="F395" s="158" t="s">
        <v>2636</v>
      </c>
      <c r="G395" s="158" t="s">
        <v>121</v>
      </c>
      <c r="H395" s="159">
        <v>43886</v>
      </c>
      <c r="I395" s="158"/>
      <c r="J395" s="158">
        <v>0</v>
      </c>
      <c r="K395" s="158">
        <v>0</v>
      </c>
      <c r="L395" s="158">
        <v>0</v>
      </c>
      <c r="M395" s="158"/>
      <c r="N395" s="158">
        <v>1</v>
      </c>
      <c r="O395" s="158">
        <v>1</v>
      </c>
      <c r="P395" s="158">
        <v>0</v>
      </c>
      <c r="Q395" s="158"/>
      <c r="R395" s="158"/>
      <c r="S395" s="158" t="s">
        <v>124</v>
      </c>
      <c r="T395" s="167"/>
      <c r="U395" s="167"/>
      <c r="V395" s="167"/>
      <c r="W395" s="167"/>
      <c r="X395" s="167"/>
      <c r="Y395" s="167"/>
      <c r="Z395" s="158">
        <v>0</v>
      </c>
      <c r="AA395" s="158"/>
      <c r="AB395" s="158"/>
      <c r="AC395" s="158">
        <v>12</v>
      </c>
    </row>
    <row r="396" spans="1:29" x14ac:dyDescent="0.2">
      <c r="A396" s="138">
        <f t="shared" si="5"/>
        <v>392</v>
      </c>
      <c r="B396" s="156">
        <v>43886</v>
      </c>
      <c r="C396" s="157" t="s">
        <v>2588</v>
      </c>
      <c r="D396" s="158" t="s">
        <v>2680</v>
      </c>
      <c r="E396" s="158" t="s">
        <v>178</v>
      </c>
      <c r="F396" s="158" t="s">
        <v>2958</v>
      </c>
      <c r="G396" s="158" t="s">
        <v>123</v>
      </c>
      <c r="H396" s="159">
        <v>43859</v>
      </c>
      <c r="I396" s="158" t="s">
        <v>2861</v>
      </c>
      <c r="J396" s="158">
        <v>3</v>
      </c>
      <c r="K396" s="158">
        <v>3</v>
      </c>
      <c r="L396" s="158">
        <v>0</v>
      </c>
      <c r="M396" s="158"/>
      <c r="N396" s="158">
        <v>0</v>
      </c>
      <c r="O396" s="158">
        <v>0</v>
      </c>
      <c r="P396" s="158">
        <v>0</v>
      </c>
      <c r="Q396" s="158"/>
      <c r="R396" s="158"/>
      <c r="S396" s="158" t="s">
        <v>124</v>
      </c>
      <c r="T396" s="167"/>
      <c r="U396" s="167"/>
      <c r="V396" s="167"/>
      <c r="W396" s="167"/>
      <c r="X396" s="167"/>
      <c r="Y396" s="167"/>
      <c r="Z396" s="158">
        <v>0</v>
      </c>
      <c r="AA396" s="158" t="s">
        <v>22</v>
      </c>
      <c r="AB396" s="158"/>
      <c r="AC396" s="158">
        <v>0</v>
      </c>
    </row>
    <row r="397" spans="1:29" x14ac:dyDescent="0.2">
      <c r="A397" s="138">
        <f t="shared" si="5"/>
        <v>393</v>
      </c>
      <c r="B397" s="156">
        <v>43886</v>
      </c>
      <c r="C397" s="157" t="s">
        <v>3253</v>
      </c>
      <c r="D397" s="234" t="s">
        <v>2960</v>
      </c>
      <c r="E397" s="158" t="s">
        <v>156</v>
      </c>
      <c r="F397" s="158" t="s">
        <v>1975</v>
      </c>
      <c r="G397" s="158" t="s">
        <v>123</v>
      </c>
      <c r="H397" s="159">
        <v>43886</v>
      </c>
      <c r="I397" s="158" t="s">
        <v>2861</v>
      </c>
      <c r="J397" s="158">
        <v>2</v>
      </c>
      <c r="K397" s="158">
        <v>2</v>
      </c>
      <c r="L397" s="158">
        <v>0</v>
      </c>
      <c r="M397" s="158" t="s">
        <v>6</v>
      </c>
      <c r="N397" s="158">
        <v>1.5</v>
      </c>
      <c r="O397" s="158">
        <v>1.5</v>
      </c>
      <c r="P397" s="158">
        <v>0</v>
      </c>
      <c r="Q397" s="158" t="s">
        <v>22</v>
      </c>
      <c r="R397" s="158">
        <v>69.37</v>
      </c>
      <c r="S397" s="158" t="s">
        <v>124</v>
      </c>
      <c r="T397" s="167"/>
      <c r="U397" s="167"/>
      <c r="V397" s="167"/>
      <c r="W397" s="167"/>
      <c r="X397" s="167"/>
      <c r="Y397" s="167"/>
      <c r="Z397" s="158">
        <v>0</v>
      </c>
      <c r="AA397" s="158"/>
      <c r="AB397" s="158"/>
      <c r="AC397" s="158">
        <v>100</v>
      </c>
    </row>
    <row r="398" spans="1:29" x14ac:dyDescent="0.2">
      <c r="A398" s="138">
        <f t="shared" ref="A398:A409" si="6">+A397+1</f>
        <v>394</v>
      </c>
      <c r="B398" s="156">
        <v>43886</v>
      </c>
      <c r="C398" s="157" t="s">
        <v>3183</v>
      </c>
      <c r="D398" s="234" t="s">
        <v>2961</v>
      </c>
      <c r="E398" s="158" t="s">
        <v>146</v>
      </c>
      <c r="F398" s="158" t="s">
        <v>157</v>
      </c>
      <c r="G398" s="158" t="s">
        <v>123</v>
      </c>
      <c r="H398" s="159">
        <v>43886</v>
      </c>
      <c r="I398" s="158" t="s">
        <v>2861</v>
      </c>
      <c r="J398" s="158">
        <v>20.5</v>
      </c>
      <c r="K398" s="158">
        <v>12</v>
      </c>
      <c r="L398" s="158">
        <v>0</v>
      </c>
      <c r="M398" s="158" t="s">
        <v>6</v>
      </c>
      <c r="N398" s="158">
        <v>4</v>
      </c>
      <c r="O398" s="158">
        <v>4</v>
      </c>
      <c r="P398" s="158">
        <v>0</v>
      </c>
      <c r="Q398" s="158" t="s">
        <v>22</v>
      </c>
      <c r="R398" s="158">
        <v>69.09</v>
      </c>
      <c r="S398" s="158" t="s">
        <v>142</v>
      </c>
      <c r="T398" s="167"/>
      <c r="U398" s="167"/>
      <c r="V398" s="167"/>
      <c r="W398" s="167"/>
      <c r="X398" s="167"/>
      <c r="Y398" s="167"/>
      <c r="Z398" s="158">
        <v>0</v>
      </c>
      <c r="AA398" s="158"/>
      <c r="AB398" s="158"/>
      <c r="AC398" s="158">
        <v>50</v>
      </c>
    </row>
    <row r="399" spans="1:29" x14ac:dyDescent="0.2">
      <c r="A399" s="138">
        <f t="shared" si="6"/>
        <v>395</v>
      </c>
      <c r="B399" s="156">
        <v>43886</v>
      </c>
      <c r="C399" s="157" t="s">
        <v>2962</v>
      </c>
      <c r="D399" s="158" t="s">
        <v>2963</v>
      </c>
      <c r="E399" s="158" t="s">
        <v>2964</v>
      </c>
      <c r="F399" s="158" t="s">
        <v>2965</v>
      </c>
      <c r="G399" s="158" t="s">
        <v>121</v>
      </c>
      <c r="H399" s="159">
        <v>43886</v>
      </c>
      <c r="I399" s="158"/>
      <c r="J399" s="158">
        <v>0</v>
      </c>
      <c r="K399" s="158">
        <v>0</v>
      </c>
      <c r="L399" s="158">
        <v>0</v>
      </c>
      <c r="M399" s="158"/>
      <c r="N399" s="158">
        <v>0</v>
      </c>
      <c r="O399" s="158">
        <v>0</v>
      </c>
      <c r="P399" s="158">
        <v>0</v>
      </c>
      <c r="Q399" s="158"/>
      <c r="R399" s="158"/>
      <c r="S399" s="158" t="s">
        <v>447</v>
      </c>
      <c r="T399" s="167"/>
      <c r="U399" s="167"/>
      <c r="V399" s="167"/>
      <c r="W399" s="167"/>
      <c r="X399" s="167"/>
      <c r="Y399" s="167"/>
      <c r="Z399" s="158">
        <v>2</v>
      </c>
      <c r="AA399" s="158"/>
      <c r="AB399" s="158"/>
      <c r="AC399" s="158">
        <v>0</v>
      </c>
    </row>
    <row r="400" spans="1:29" x14ac:dyDescent="0.2">
      <c r="A400" s="138">
        <f t="shared" si="6"/>
        <v>396</v>
      </c>
      <c r="B400" s="156">
        <v>43887</v>
      </c>
      <c r="C400" s="157" t="s">
        <v>3184</v>
      </c>
      <c r="D400" s="158" t="s">
        <v>3185</v>
      </c>
      <c r="E400" s="158" t="s">
        <v>128</v>
      </c>
      <c r="F400" s="158" t="s">
        <v>134</v>
      </c>
      <c r="G400" s="158" t="s">
        <v>123</v>
      </c>
      <c r="H400" s="159">
        <v>43887</v>
      </c>
      <c r="I400" s="158"/>
      <c r="J400" s="158">
        <v>0</v>
      </c>
      <c r="K400" s="158">
        <v>0</v>
      </c>
      <c r="L400" s="158">
        <v>0</v>
      </c>
      <c r="M400" s="158"/>
      <c r="N400" s="158">
        <v>0</v>
      </c>
      <c r="O400" s="158">
        <v>0</v>
      </c>
      <c r="P400" s="158">
        <v>0</v>
      </c>
      <c r="Q400" s="158"/>
      <c r="R400" s="158"/>
      <c r="S400" s="158" t="s">
        <v>124</v>
      </c>
      <c r="T400" s="167"/>
      <c r="U400" s="167"/>
      <c r="V400" s="167"/>
      <c r="W400" s="167"/>
      <c r="X400" s="167"/>
      <c r="Y400" s="167"/>
      <c r="Z400" s="158">
        <v>2</v>
      </c>
      <c r="AA400" s="158"/>
      <c r="AB400" s="158"/>
      <c r="AC400" s="158">
        <v>0</v>
      </c>
    </row>
    <row r="401" spans="1:29" x14ac:dyDescent="0.2">
      <c r="A401" s="138">
        <f t="shared" si="6"/>
        <v>397</v>
      </c>
      <c r="B401" s="156">
        <v>43888</v>
      </c>
      <c r="C401" s="157" t="s">
        <v>3186</v>
      </c>
      <c r="D401" s="158" t="s">
        <v>3187</v>
      </c>
      <c r="E401" s="158" t="s">
        <v>128</v>
      </c>
      <c r="F401" s="158" t="s">
        <v>3188</v>
      </c>
      <c r="G401" s="158" t="s">
        <v>121</v>
      </c>
      <c r="H401" s="159">
        <v>43888</v>
      </c>
      <c r="I401" s="158" t="s">
        <v>2861</v>
      </c>
      <c r="J401" s="158">
        <v>1</v>
      </c>
      <c r="K401" s="158">
        <v>1</v>
      </c>
      <c r="L401" s="158">
        <v>0</v>
      </c>
      <c r="M401" s="158" t="s">
        <v>6</v>
      </c>
      <c r="N401" s="158">
        <v>1</v>
      </c>
      <c r="O401" s="158">
        <v>1</v>
      </c>
      <c r="P401" s="158">
        <v>0</v>
      </c>
      <c r="Q401" s="158"/>
      <c r="R401" s="158"/>
      <c r="S401" s="158" t="s">
        <v>124</v>
      </c>
      <c r="T401" s="167">
        <v>1</v>
      </c>
      <c r="U401" s="167">
        <v>1</v>
      </c>
      <c r="V401" s="167">
        <v>1</v>
      </c>
      <c r="W401" s="167">
        <v>1</v>
      </c>
      <c r="X401" s="167">
        <v>0</v>
      </c>
      <c r="Y401" s="167">
        <v>0</v>
      </c>
      <c r="Z401" s="158">
        <v>0</v>
      </c>
      <c r="AA401" s="158"/>
      <c r="AB401" s="158"/>
      <c r="AC401" s="158">
        <v>82.63</v>
      </c>
    </row>
    <row r="402" spans="1:29" x14ac:dyDescent="0.2">
      <c r="A402" s="138">
        <f t="shared" si="6"/>
        <v>398</v>
      </c>
      <c r="B402" s="156">
        <v>43888</v>
      </c>
      <c r="C402" s="157" t="s">
        <v>3189</v>
      </c>
      <c r="D402" s="158" t="s">
        <v>3190</v>
      </c>
      <c r="E402" s="158" t="s">
        <v>128</v>
      </c>
      <c r="F402" s="158" t="s">
        <v>2872</v>
      </c>
      <c r="G402" s="158" t="s">
        <v>121</v>
      </c>
      <c r="H402" s="159">
        <v>43889</v>
      </c>
      <c r="I402" s="158"/>
      <c r="J402" s="158">
        <v>0</v>
      </c>
      <c r="K402" s="158">
        <v>0</v>
      </c>
      <c r="L402" s="158">
        <v>0</v>
      </c>
      <c r="M402" s="158"/>
      <c r="N402" s="158">
        <v>0</v>
      </c>
      <c r="O402" s="158">
        <v>0</v>
      </c>
      <c r="P402" s="158">
        <v>0</v>
      </c>
      <c r="Q402" s="158"/>
      <c r="R402" s="158"/>
      <c r="S402" s="158" t="s">
        <v>447</v>
      </c>
      <c r="T402" s="167"/>
      <c r="U402" s="167"/>
      <c r="V402" s="167"/>
      <c r="W402" s="167"/>
      <c r="X402" s="167"/>
      <c r="Y402" s="167"/>
      <c r="Z402" s="158">
        <v>2.67</v>
      </c>
      <c r="AA402" s="158"/>
      <c r="AB402" s="158"/>
      <c r="AC402" s="158">
        <v>0</v>
      </c>
    </row>
    <row r="403" spans="1:29" x14ac:dyDescent="0.2">
      <c r="A403" s="138">
        <f t="shared" si="6"/>
        <v>399</v>
      </c>
      <c r="B403" s="156">
        <v>43889</v>
      </c>
      <c r="C403" s="157" t="s">
        <v>3191</v>
      </c>
      <c r="D403" s="158" t="s">
        <v>3192</v>
      </c>
      <c r="E403" s="158" t="s">
        <v>156</v>
      </c>
      <c r="F403" s="158" t="s">
        <v>2645</v>
      </c>
      <c r="G403" s="158" t="s">
        <v>123</v>
      </c>
      <c r="H403" s="159">
        <v>43888</v>
      </c>
      <c r="I403" s="158" t="s">
        <v>2861</v>
      </c>
      <c r="J403" s="158">
        <v>3</v>
      </c>
      <c r="K403" s="158">
        <v>2</v>
      </c>
      <c r="L403" s="158">
        <v>0</v>
      </c>
      <c r="M403" s="158" t="s">
        <v>6</v>
      </c>
      <c r="N403" s="158">
        <v>2</v>
      </c>
      <c r="O403" s="158">
        <v>2</v>
      </c>
      <c r="P403" s="158">
        <v>0</v>
      </c>
      <c r="Q403" s="158" t="s">
        <v>22</v>
      </c>
      <c r="R403" s="158">
        <v>144.9</v>
      </c>
      <c r="S403" s="158" t="s">
        <v>124</v>
      </c>
      <c r="T403" s="167">
        <v>3</v>
      </c>
      <c r="U403" s="167">
        <v>2</v>
      </c>
      <c r="V403" s="167">
        <v>1</v>
      </c>
      <c r="W403" s="167">
        <v>2</v>
      </c>
      <c r="X403" s="167">
        <v>2</v>
      </c>
      <c r="Y403" s="167">
        <v>0</v>
      </c>
      <c r="Z403" s="158">
        <v>0</v>
      </c>
      <c r="AA403" s="158"/>
      <c r="AB403" s="158"/>
      <c r="AC403" s="158">
        <v>0</v>
      </c>
    </row>
    <row r="404" spans="1:29" x14ac:dyDescent="0.2">
      <c r="A404" s="138">
        <f t="shared" si="6"/>
        <v>400</v>
      </c>
      <c r="B404" s="156">
        <v>43889</v>
      </c>
      <c r="C404" s="157" t="s">
        <v>3011</v>
      </c>
      <c r="D404" s="158" t="s">
        <v>2895</v>
      </c>
      <c r="E404" s="158" t="s">
        <v>2896</v>
      </c>
      <c r="F404" s="158" t="s">
        <v>2897</v>
      </c>
      <c r="G404" s="158" t="s">
        <v>121</v>
      </c>
      <c r="H404" s="159">
        <v>43872</v>
      </c>
      <c r="I404" s="158"/>
      <c r="J404" s="158">
        <v>0</v>
      </c>
      <c r="K404" s="158">
        <v>0</v>
      </c>
      <c r="L404" s="158">
        <v>0</v>
      </c>
      <c r="M404" s="158"/>
      <c r="N404" s="158">
        <v>0</v>
      </c>
      <c r="O404" s="158">
        <v>0</v>
      </c>
      <c r="P404" s="158">
        <v>0</v>
      </c>
      <c r="Q404" s="158"/>
      <c r="R404" s="158"/>
      <c r="S404" s="158" t="s">
        <v>447</v>
      </c>
      <c r="T404" s="167"/>
      <c r="U404" s="167"/>
      <c r="V404" s="167"/>
      <c r="W404" s="167"/>
      <c r="X404" s="167"/>
      <c r="Y404" s="167"/>
      <c r="Z404" s="158">
        <v>0</v>
      </c>
      <c r="AA404" s="158"/>
      <c r="AB404" s="158"/>
      <c r="AC404" s="158">
        <v>0</v>
      </c>
    </row>
    <row r="405" spans="1:29" x14ac:dyDescent="0.2">
      <c r="A405" s="138">
        <f t="shared" si="6"/>
        <v>401</v>
      </c>
      <c r="B405" s="156">
        <v>43889</v>
      </c>
      <c r="C405" s="157" t="s">
        <v>3010</v>
      </c>
      <c r="D405" s="158" t="s">
        <v>2895</v>
      </c>
      <c r="E405" s="158" t="s">
        <v>2896</v>
      </c>
      <c r="F405" s="158" t="s">
        <v>2897</v>
      </c>
      <c r="G405" s="158" t="s">
        <v>121</v>
      </c>
      <c r="H405" s="159">
        <v>43872</v>
      </c>
      <c r="I405" s="158"/>
      <c r="J405" s="158">
        <v>0</v>
      </c>
      <c r="K405" s="158">
        <v>0</v>
      </c>
      <c r="L405" s="158">
        <v>0</v>
      </c>
      <c r="M405" s="158"/>
      <c r="N405" s="158">
        <v>0</v>
      </c>
      <c r="O405" s="158">
        <v>0</v>
      </c>
      <c r="P405" s="158">
        <v>0</v>
      </c>
      <c r="Q405" s="158"/>
      <c r="R405" s="158"/>
      <c r="S405" s="158" t="s">
        <v>447</v>
      </c>
      <c r="T405" s="167"/>
      <c r="U405" s="167"/>
      <c r="V405" s="167"/>
      <c r="W405" s="167"/>
      <c r="X405" s="167"/>
      <c r="Y405" s="167"/>
      <c r="Z405" s="158">
        <v>2.67</v>
      </c>
      <c r="AA405" s="158"/>
      <c r="AB405" s="158"/>
      <c r="AC405" s="158">
        <v>0</v>
      </c>
    </row>
    <row r="406" spans="1:29" x14ac:dyDescent="0.2">
      <c r="A406" s="138">
        <f t="shared" si="6"/>
        <v>402</v>
      </c>
      <c r="B406" s="156">
        <v>43889</v>
      </c>
      <c r="C406" s="157" t="s">
        <v>2981</v>
      </c>
      <c r="D406" s="158" t="s">
        <v>3274</v>
      </c>
      <c r="E406" s="158" t="s">
        <v>128</v>
      </c>
      <c r="F406" s="158" t="s">
        <v>3188</v>
      </c>
      <c r="G406" s="158" t="s">
        <v>123</v>
      </c>
      <c r="H406" s="159">
        <v>43848</v>
      </c>
      <c r="I406" s="158" t="s">
        <v>2861</v>
      </c>
      <c r="J406" s="158">
        <v>15</v>
      </c>
      <c r="K406" s="158">
        <v>6</v>
      </c>
      <c r="L406" s="158">
        <v>0</v>
      </c>
      <c r="M406" s="158" t="s">
        <v>6</v>
      </c>
      <c r="N406" s="158">
        <v>4</v>
      </c>
      <c r="O406" s="158">
        <v>4</v>
      </c>
      <c r="P406" s="158">
        <v>0</v>
      </c>
      <c r="Q406" s="158"/>
      <c r="R406" s="158"/>
      <c r="S406" s="158" t="s">
        <v>124</v>
      </c>
      <c r="T406" s="167"/>
      <c r="U406" s="167"/>
      <c r="V406" s="167"/>
      <c r="W406" s="167"/>
      <c r="X406" s="167"/>
      <c r="Y406" s="167"/>
      <c r="Z406" s="158">
        <v>0</v>
      </c>
      <c r="AA406" s="158"/>
      <c r="AB406" s="158"/>
      <c r="AC406" s="158">
        <v>0</v>
      </c>
    </row>
    <row r="407" spans="1:29" x14ac:dyDescent="0.2">
      <c r="A407" s="138">
        <f t="shared" si="6"/>
        <v>403</v>
      </c>
      <c r="B407" s="156">
        <v>43889</v>
      </c>
      <c r="C407" s="157" t="s">
        <v>3046</v>
      </c>
      <c r="D407" s="158" t="s">
        <v>3275</v>
      </c>
      <c r="E407" s="158" t="s">
        <v>122</v>
      </c>
      <c r="F407" s="158" t="s">
        <v>3276</v>
      </c>
      <c r="G407" s="158" t="s">
        <v>123</v>
      </c>
      <c r="H407" s="159">
        <v>43863</v>
      </c>
      <c r="I407" s="158" t="s">
        <v>2861</v>
      </c>
      <c r="J407" s="158">
        <v>15</v>
      </c>
      <c r="K407" s="158">
        <v>8</v>
      </c>
      <c r="L407" s="158">
        <v>0</v>
      </c>
      <c r="M407" s="158" t="s">
        <v>6</v>
      </c>
      <c r="N407" s="158">
        <v>2.5</v>
      </c>
      <c r="O407" s="158">
        <v>2.5</v>
      </c>
      <c r="P407" s="158">
        <v>0</v>
      </c>
      <c r="Q407" s="158"/>
      <c r="R407" s="158"/>
      <c r="S407" s="158" t="s">
        <v>124</v>
      </c>
      <c r="T407" s="167"/>
      <c r="U407" s="167"/>
      <c r="V407" s="167"/>
      <c r="W407" s="167"/>
      <c r="X407" s="167"/>
      <c r="Y407" s="167"/>
      <c r="Z407" s="158">
        <v>0</v>
      </c>
      <c r="AA407" s="158"/>
      <c r="AB407" s="158"/>
      <c r="AC407" s="158">
        <v>0</v>
      </c>
    </row>
    <row r="408" spans="1:29" x14ac:dyDescent="0.2">
      <c r="A408" s="138">
        <f t="shared" si="6"/>
        <v>404</v>
      </c>
      <c r="B408" s="156">
        <v>43889</v>
      </c>
      <c r="C408" s="157" t="s">
        <v>3061</v>
      </c>
      <c r="D408" s="158" t="s">
        <v>1380</v>
      </c>
      <c r="E408" s="158" t="s">
        <v>126</v>
      </c>
      <c r="F408" s="158" t="s">
        <v>127</v>
      </c>
      <c r="G408" s="158" t="s">
        <v>770</v>
      </c>
      <c r="H408" s="159">
        <v>43879</v>
      </c>
      <c r="I408" s="158"/>
      <c r="J408" s="158">
        <v>0</v>
      </c>
      <c r="K408" s="158">
        <v>0</v>
      </c>
      <c r="L408" s="158">
        <v>0</v>
      </c>
      <c r="M408" s="158"/>
      <c r="N408" s="158">
        <v>0</v>
      </c>
      <c r="O408" s="158">
        <v>0</v>
      </c>
      <c r="P408" s="158">
        <v>0</v>
      </c>
      <c r="Q408" s="158"/>
      <c r="R408" s="158"/>
      <c r="S408" s="158" t="s">
        <v>447</v>
      </c>
      <c r="T408" s="167"/>
      <c r="U408" s="167"/>
      <c r="V408" s="167"/>
      <c r="W408" s="167"/>
      <c r="X408" s="167"/>
      <c r="Y408" s="167"/>
      <c r="Z408" s="158">
        <v>2.67</v>
      </c>
      <c r="AA408" s="158"/>
      <c r="AB408" s="158"/>
      <c r="AC408" s="158">
        <v>0</v>
      </c>
    </row>
    <row r="409" spans="1:29" x14ac:dyDescent="0.2">
      <c r="A409" s="138">
        <f t="shared" si="6"/>
        <v>405</v>
      </c>
      <c r="B409" s="156">
        <v>43889</v>
      </c>
      <c r="C409" s="157" t="s">
        <v>3022</v>
      </c>
      <c r="D409" s="158" t="s">
        <v>2866</v>
      </c>
      <c r="E409" s="158" t="s">
        <v>156</v>
      </c>
      <c r="F409" s="158" t="s">
        <v>862</v>
      </c>
      <c r="G409" s="158" t="s">
        <v>121</v>
      </c>
      <c r="H409" s="159">
        <v>43867</v>
      </c>
      <c r="I409" s="158"/>
      <c r="J409" s="158">
        <v>0</v>
      </c>
      <c r="K409" s="158">
        <v>0</v>
      </c>
      <c r="L409" s="158">
        <v>0</v>
      </c>
      <c r="M409" s="158"/>
      <c r="N409" s="158">
        <v>0</v>
      </c>
      <c r="O409" s="158">
        <v>0</v>
      </c>
      <c r="P409" s="158">
        <v>0</v>
      </c>
      <c r="Q409" s="158"/>
      <c r="R409" s="158"/>
      <c r="S409" s="158" t="s">
        <v>447</v>
      </c>
      <c r="T409" s="167"/>
      <c r="U409" s="167"/>
      <c r="V409" s="167"/>
      <c r="W409" s="167"/>
      <c r="X409" s="167"/>
      <c r="Y409" s="167"/>
      <c r="Z409" s="158">
        <v>0</v>
      </c>
      <c r="AA409" s="158"/>
      <c r="AB409" s="158"/>
      <c r="AC409" s="158">
        <v>0</v>
      </c>
    </row>
  </sheetData>
  <autoFilter ref="B4:AC409" xr:uid="{00000000-0009-0000-0000-000000000000}">
    <sortState xmlns:xlrd2="http://schemas.microsoft.com/office/spreadsheetml/2017/richdata2" ref="B5:AC330">
      <sortCondition ref="N5:N330"/>
    </sortState>
  </autoFilter>
  <sortState xmlns:xlrd2="http://schemas.microsoft.com/office/spreadsheetml/2017/richdata2" ref="A5:AC330">
    <sortCondition ref="B5:B330"/>
    <sortCondition ref="C5:C330"/>
  </sortState>
  <pageMargins left="3.937007874015748E-2" right="3.937007874015748E-2" top="0.15748031496062992" bottom="0.15748031496062992" header="0.31496062992125984" footer="0.31496062992125984"/>
  <pageSetup paperSize="9" scale="6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B050"/>
    <pageSetUpPr fitToPage="1"/>
  </sheetPr>
  <dimension ref="A1:M4122"/>
  <sheetViews>
    <sheetView workbookViewId="0">
      <selection activeCell="B4" sqref="B4:M4"/>
    </sheetView>
  </sheetViews>
  <sheetFormatPr defaultColWidth="11.42578125" defaultRowHeight="12.75" x14ac:dyDescent="0.2"/>
  <cols>
    <col min="1" max="1" width="5.140625" style="16" customWidth="1"/>
    <col min="2" max="2" width="12.7109375" style="16" bestFit="1" customWidth="1"/>
    <col min="3" max="4" width="11.28515625" style="16" bestFit="1" customWidth="1"/>
    <col min="5" max="5" width="9.5703125" style="16" bestFit="1" customWidth="1"/>
    <col min="6" max="6" width="12.7109375" style="16" bestFit="1" customWidth="1"/>
    <col min="7" max="7" width="12" style="16" bestFit="1" customWidth="1"/>
    <col min="8" max="8" width="16.42578125" style="16" bestFit="1" customWidth="1"/>
    <col min="9" max="9" width="14.140625" style="16" bestFit="1" customWidth="1"/>
    <col min="10" max="10" width="32.140625" style="16" bestFit="1" customWidth="1"/>
    <col min="11" max="11" width="11.85546875" style="16" bestFit="1" customWidth="1"/>
    <col min="12" max="12" width="8.28515625" style="16" bestFit="1" customWidth="1"/>
    <col min="13" max="13" width="10.5703125" style="16" bestFit="1" customWidth="1"/>
    <col min="14" max="16384" width="11.42578125" style="16"/>
  </cols>
  <sheetData>
    <row r="1" spans="1:13" x14ac:dyDescent="0.2">
      <c r="A1" s="155" t="s">
        <v>33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</row>
    <row r="3" spans="1:13" x14ac:dyDescent="0.2">
      <c r="A3" s="17" t="s">
        <v>34</v>
      </c>
      <c r="B3" s="17" t="s">
        <v>79</v>
      </c>
      <c r="C3" s="17" t="s">
        <v>35</v>
      </c>
      <c r="D3" s="17" t="s">
        <v>36</v>
      </c>
      <c r="E3" s="17" t="s">
        <v>37</v>
      </c>
      <c r="F3" s="17" t="s">
        <v>38</v>
      </c>
      <c r="G3" s="17" t="s">
        <v>39</v>
      </c>
      <c r="H3" s="17" t="s">
        <v>119</v>
      </c>
      <c r="I3" s="17" t="s">
        <v>44</v>
      </c>
      <c r="J3" s="17" t="s">
        <v>40</v>
      </c>
      <c r="K3" s="17" t="s">
        <v>41</v>
      </c>
      <c r="L3" s="17" t="s">
        <v>42</v>
      </c>
      <c r="M3" s="17" t="s">
        <v>43</v>
      </c>
    </row>
    <row r="4" spans="1:13" x14ac:dyDescent="0.2">
      <c r="A4" s="18">
        <v>1</v>
      </c>
      <c r="B4" s="18" t="s">
        <v>783</v>
      </c>
      <c r="C4" s="18" t="s">
        <v>905</v>
      </c>
      <c r="D4" s="19">
        <v>43762</v>
      </c>
      <c r="E4" s="18">
        <v>1</v>
      </c>
      <c r="F4" s="18">
        <v>5249</v>
      </c>
      <c r="G4" s="18">
        <v>20600892828</v>
      </c>
      <c r="H4" s="18">
        <v>12877</v>
      </c>
      <c r="I4" s="18" t="s">
        <v>137</v>
      </c>
      <c r="J4" s="18" t="s">
        <v>257</v>
      </c>
      <c r="K4" s="20">
        <v>63.56</v>
      </c>
      <c r="L4" s="20">
        <f t="shared" ref="L4:L12" si="0">+K4*18%</f>
        <v>11.440799999999999</v>
      </c>
      <c r="M4" s="21">
        <f t="shared" ref="M4:M12" si="1">+K4+L4</f>
        <v>75.000799999999998</v>
      </c>
    </row>
    <row r="5" spans="1:13" x14ac:dyDescent="0.2">
      <c r="A5" s="18">
        <f>+A4+1</f>
        <v>2</v>
      </c>
      <c r="B5" s="18" t="s">
        <v>798</v>
      </c>
      <c r="C5" s="18" t="s">
        <v>906</v>
      </c>
      <c r="D5" s="19">
        <v>43757</v>
      </c>
      <c r="E5" s="18">
        <v>1</v>
      </c>
      <c r="F5" s="18">
        <v>1189</v>
      </c>
      <c r="G5" s="18">
        <v>10028113817</v>
      </c>
      <c r="H5" s="18">
        <v>12884</v>
      </c>
      <c r="I5" s="18" t="s">
        <v>137</v>
      </c>
      <c r="J5" s="18" t="s">
        <v>257</v>
      </c>
      <c r="K5" s="20">
        <v>76.27</v>
      </c>
      <c r="L5" s="20">
        <f t="shared" si="0"/>
        <v>13.728599999999998</v>
      </c>
      <c r="M5" s="21">
        <f t="shared" si="1"/>
        <v>89.998599999999996</v>
      </c>
    </row>
    <row r="6" spans="1:13" x14ac:dyDescent="0.2">
      <c r="A6" s="18">
        <f t="shared" ref="A6:A69" si="2">+A5+1</f>
        <v>3</v>
      </c>
      <c r="B6" s="18" t="s">
        <v>809</v>
      </c>
      <c r="C6" s="18" t="s">
        <v>907</v>
      </c>
      <c r="D6" s="19">
        <v>43757</v>
      </c>
      <c r="E6" s="18">
        <v>1</v>
      </c>
      <c r="F6" s="18">
        <v>1190</v>
      </c>
      <c r="G6" s="18">
        <v>10028113817</v>
      </c>
      <c r="H6" s="18">
        <v>12896</v>
      </c>
      <c r="I6" s="18" t="s">
        <v>137</v>
      </c>
      <c r="J6" s="18" t="s">
        <v>257</v>
      </c>
      <c r="K6" s="20">
        <v>76.27</v>
      </c>
      <c r="L6" s="20">
        <f t="shared" si="0"/>
        <v>13.728599999999998</v>
      </c>
      <c r="M6" s="21">
        <f t="shared" si="1"/>
        <v>89.998599999999996</v>
      </c>
    </row>
    <row r="7" spans="1:13" x14ac:dyDescent="0.2">
      <c r="A7" s="18">
        <f t="shared" si="2"/>
        <v>4</v>
      </c>
      <c r="B7" s="18" t="s">
        <v>875</v>
      </c>
      <c r="C7" s="18" t="s">
        <v>908</v>
      </c>
      <c r="D7" s="19">
        <v>43768</v>
      </c>
      <c r="E7" s="18">
        <v>1</v>
      </c>
      <c r="F7" s="18">
        <v>5270</v>
      </c>
      <c r="G7" s="18">
        <v>20600892828</v>
      </c>
      <c r="H7" s="18">
        <v>12948</v>
      </c>
      <c r="I7" s="18" t="s">
        <v>137</v>
      </c>
      <c r="J7" s="18" t="s">
        <v>257</v>
      </c>
      <c r="K7" s="20">
        <v>76.27</v>
      </c>
      <c r="L7" s="20">
        <f t="shared" si="0"/>
        <v>13.728599999999998</v>
      </c>
      <c r="M7" s="21">
        <f t="shared" si="1"/>
        <v>89.998599999999996</v>
      </c>
    </row>
    <row r="8" spans="1:13" x14ac:dyDescent="0.2">
      <c r="A8" s="18">
        <f t="shared" si="2"/>
        <v>5</v>
      </c>
      <c r="B8" s="18" t="s">
        <v>883</v>
      </c>
      <c r="C8" s="18" t="s">
        <v>909</v>
      </c>
      <c r="D8" s="19">
        <v>43771</v>
      </c>
      <c r="E8" s="18">
        <v>1</v>
      </c>
      <c r="F8" s="18">
        <v>5273</v>
      </c>
      <c r="G8" s="18">
        <v>20600892828</v>
      </c>
      <c r="H8" s="18">
        <v>12962</v>
      </c>
      <c r="I8" s="18" t="s">
        <v>137</v>
      </c>
      <c r="J8" s="18" t="s">
        <v>257</v>
      </c>
      <c r="K8" s="20">
        <v>76.27</v>
      </c>
      <c r="L8" s="20">
        <f t="shared" si="0"/>
        <v>13.728599999999998</v>
      </c>
      <c r="M8" s="21">
        <f t="shared" si="1"/>
        <v>89.998599999999996</v>
      </c>
    </row>
    <row r="9" spans="1:13" x14ac:dyDescent="0.2">
      <c r="A9" s="18">
        <f t="shared" si="2"/>
        <v>6</v>
      </c>
      <c r="B9" s="18" t="s">
        <v>828</v>
      </c>
      <c r="C9" s="18" t="s">
        <v>910</v>
      </c>
      <c r="D9" s="19">
        <v>43759</v>
      </c>
      <c r="E9" s="18" t="s">
        <v>197</v>
      </c>
      <c r="F9" s="18">
        <v>32241</v>
      </c>
      <c r="G9" s="18">
        <v>20493143612</v>
      </c>
      <c r="H9" s="18">
        <v>12916</v>
      </c>
      <c r="I9" s="18" t="s">
        <v>137</v>
      </c>
      <c r="J9" s="18" t="s">
        <v>199</v>
      </c>
      <c r="K9" s="20">
        <v>42.37</v>
      </c>
      <c r="L9" s="20">
        <f t="shared" si="0"/>
        <v>7.6265999999999989</v>
      </c>
      <c r="M9" s="21">
        <f t="shared" si="1"/>
        <v>49.996599999999994</v>
      </c>
    </row>
    <row r="10" spans="1:13" x14ac:dyDescent="0.2">
      <c r="A10" s="18">
        <f t="shared" si="2"/>
        <v>7</v>
      </c>
      <c r="B10" s="18" t="s">
        <v>777</v>
      </c>
      <c r="C10" s="18" t="s">
        <v>911</v>
      </c>
      <c r="D10" s="19">
        <v>43750</v>
      </c>
      <c r="E10" s="18" t="s">
        <v>463</v>
      </c>
      <c r="F10" s="18">
        <v>1074</v>
      </c>
      <c r="G10" s="18">
        <v>20555180927</v>
      </c>
      <c r="H10" s="18"/>
      <c r="I10" s="18" t="s">
        <v>137</v>
      </c>
      <c r="J10" s="18" t="s">
        <v>253</v>
      </c>
      <c r="K10" s="20">
        <f>70/1.18</f>
        <v>59.322033898305087</v>
      </c>
      <c r="L10" s="20">
        <f t="shared" si="0"/>
        <v>10.677966101694915</v>
      </c>
      <c r="M10" s="21">
        <f t="shared" si="1"/>
        <v>70</v>
      </c>
    </row>
    <row r="11" spans="1:13" x14ac:dyDescent="0.2">
      <c r="A11" s="18">
        <f t="shared" si="2"/>
        <v>8</v>
      </c>
      <c r="B11" s="18" t="s">
        <v>789</v>
      </c>
      <c r="C11" s="18" t="s">
        <v>912</v>
      </c>
      <c r="D11" s="19">
        <v>43752</v>
      </c>
      <c r="E11" s="18" t="s">
        <v>200</v>
      </c>
      <c r="F11" s="18">
        <v>66725</v>
      </c>
      <c r="G11" s="18">
        <v>20493143612</v>
      </c>
      <c r="H11" s="18"/>
      <c r="I11" s="18" t="s">
        <v>137</v>
      </c>
      <c r="J11" s="18" t="s">
        <v>199</v>
      </c>
      <c r="K11" s="20">
        <v>42.37</v>
      </c>
      <c r="L11" s="20">
        <f t="shared" si="0"/>
        <v>7.6265999999999989</v>
      </c>
      <c r="M11" s="21">
        <f t="shared" si="1"/>
        <v>49.996599999999994</v>
      </c>
    </row>
    <row r="12" spans="1:13" x14ac:dyDescent="0.2">
      <c r="A12" s="18">
        <f t="shared" si="2"/>
        <v>9</v>
      </c>
      <c r="B12" s="18" t="s">
        <v>789</v>
      </c>
      <c r="C12" s="18" t="s">
        <v>912</v>
      </c>
      <c r="D12" s="19">
        <v>43753</v>
      </c>
      <c r="E12" s="18">
        <v>1</v>
      </c>
      <c r="F12" s="18">
        <v>652</v>
      </c>
      <c r="G12" s="18">
        <v>20600639634</v>
      </c>
      <c r="H12" s="18"/>
      <c r="I12" s="18" t="s">
        <v>137</v>
      </c>
      <c r="J12" s="18" t="s">
        <v>913</v>
      </c>
      <c r="K12" s="20">
        <f>47.2/1.18</f>
        <v>40.000000000000007</v>
      </c>
      <c r="L12" s="20">
        <f t="shared" si="0"/>
        <v>7.2000000000000011</v>
      </c>
      <c r="M12" s="21">
        <f t="shared" si="1"/>
        <v>47.20000000000001</v>
      </c>
    </row>
    <row r="13" spans="1:13" x14ac:dyDescent="0.2">
      <c r="A13" s="18">
        <f t="shared" si="2"/>
        <v>10</v>
      </c>
      <c r="B13" s="18" t="s">
        <v>760</v>
      </c>
      <c r="C13" s="18" t="s">
        <v>914</v>
      </c>
      <c r="D13" s="19">
        <v>43747</v>
      </c>
      <c r="E13" s="18" t="s">
        <v>463</v>
      </c>
      <c r="F13" s="18">
        <v>2568</v>
      </c>
      <c r="G13" s="18">
        <v>20493018711</v>
      </c>
      <c r="H13" s="18"/>
      <c r="I13" s="18" t="s">
        <v>137</v>
      </c>
      <c r="J13" s="18" t="s">
        <v>915</v>
      </c>
      <c r="K13" s="20">
        <v>55.932203389830512</v>
      </c>
      <c r="L13" s="20">
        <f t="shared" ref="L13:L30" si="3">+K13*18%</f>
        <v>10.067796610169491</v>
      </c>
      <c r="M13" s="21">
        <f t="shared" ref="M13:M30" si="4">+K13+L13</f>
        <v>66</v>
      </c>
    </row>
    <row r="14" spans="1:13" x14ac:dyDescent="0.2">
      <c r="A14" s="18">
        <f t="shared" si="2"/>
        <v>11</v>
      </c>
      <c r="B14" s="18" t="s">
        <v>760</v>
      </c>
      <c r="C14" s="18" t="s">
        <v>914</v>
      </c>
      <c r="D14" s="19">
        <v>43748</v>
      </c>
      <c r="E14" s="18" t="s">
        <v>463</v>
      </c>
      <c r="F14" s="18">
        <v>2574</v>
      </c>
      <c r="G14" s="18">
        <v>20493018711</v>
      </c>
      <c r="H14" s="18"/>
      <c r="I14" s="18" t="s">
        <v>137</v>
      </c>
      <c r="J14" s="18" t="s">
        <v>916</v>
      </c>
      <c r="K14" s="20">
        <v>59.322033898305087</v>
      </c>
      <c r="L14" s="20">
        <f t="shared" si="3"/>
        <v>10.677966101694915</v>
      </c>
      <c r="M14" s="21">
        <f t="shared" si="4"/>
        <v>70</v>
      </c>
    </row>
    <row r="15" spans="1:13" x14ac:dyDescent="0.2">
      <c r="A15" s="18">
        <f t="shared" si="2"/>
        <v>12</v>
      </c>
      <c r="B15" s="18" t="s">
        <v>745</v>
      </c>
      <c r="C15" s="18" t="s">
        <v>917</v>
      </c>
      <c r="D15" s="19">
        <v>43741</v>
      </c>
      <c r="E15" s="18">
        <v>1</v>
      </c>
      <c r="F15" s="18">
        <v>723</v>
      </c>
      <c r="G15" s="18">
        <v>10088679011</v>
      </c>
      <c r="H15" s="18"/>
      <c r="I15" s="18" t="s">
        <v>137</v>
      </c>
      <c r="J15" s="18" t="s">
        <v>918</v>
      </c>
      <c r="K15" s="20">
        <v>67.79661016949153</v>
      </c>
      <c r="L15" s="20">
        <f t="shared" si="3"/>
        <v>12.203389830508474</v>
      </c>
      <c r="M15" s="21">
        <f t="shared" si="4"/>
        <v>80</v>
      </c>
    </row>
    <row r="16" spans="1:13" x14ac:dyDescent="0.2">
      <c r="A16" s="18">
        <f t="shared" si="2"/>
        <v>13</v>
      </c>
      <c r="B16" s="18" t="s">
        <v>787</v>
      </c>
      <c r="C16" s="18" t="s">
        <v>919</v>
      </c>
      <c r="D16" s="19">
        <v>43753</v>
      </c>
      <c r="E16" s="18" t="s">
        <v>200</v>
      </c>
      <c r="F16" s="18">
        <v>66832</v>
      </c>
      <c r="G16" s="18">
        <v>20493143612</v>
      </c>
      <c r="H16" s="18"/>
      <c r="I16" s="18" t="s">
        <v>137</v>
      </c>
      <c r="J16" s="18" t="s">
        <v>199</v>
      </c>
      <c r="K16" s="20">
        <v>42.37</v>
      </c>
      <c r="L16" s="20">
        <f t="shared" si="3"/>
        <v>7.6265999999999989</v>
      </c>
      <c r="M16" s="21">
        <f t="shared" si="4"/>
        <v>49.996599999999994</v>
      </c>
    </row>
    <row r="17" spans="1:13" x14ac:dyDescent="0.2">
      <c r="A17" s="18">
        <f t="shared" si="2"/>
        <v>14</v>
      </c>
      <c r="B17" s="18" t="s">
        <v>773</v>
      </c>
      <c r="C17" s="18" t="s">
        <v>920</v>
      </c>
      <c r="D17" s="19">
        <v>43753</v>
      </c>
      <c r="E17" s="18" t="s">
        <v>200</v>
      </c>
      <c r="F17" s="18">
        <v>66802</v>
      </c>
      <c r="G17" s="18">
        <v>20493143612</v>
      </c>
      <c r="H17" s="18"/>
      <c r="I17" s="18" t="s">
        <v>137</v>
      </c>
      <c r="J17" s="18" t="s">
        <v>199</v>
      </c>
      <c r="K17" s="20">
        <v>42.37</v>
      </c>
      <c r="L17" s="20">
        <f t="shared" si="3"/>
        <v>7.6265999999999989</v>
      </c>
      <c r="M17" s="21">
        <f t="shared" si="4"/>
        <v>49.996599999999994</v>
      </c>
    </row>
    <row r="18" spans="1:13" x14ac:dyDescent="0.2">
      <c r="A18" s="18">
        <f t="shared" si="2"/>
        <v>15</v>
      </c>
      <c r="B18" s="18" t="s">
        <v>779</v>
      </c>
      <c r="C18" s="18" t="s">
        <v>921</v>
      </c>
      <c r="D18" s="19">
        <v>43753</v>
      </c>
      <c r="E18" s="18" t="s">
        <v>463</v>
      </c>
      <c r="F18" s="18">
        <v>2622</v>
      </c>
      <c r="G18" s="18">
        <v>20605180577</v>
      </c>
      <c r="H18" s="18"/>
      <c r="I18" s="18" t="s">
        <v>193</v>
      </c>
      <c r="J18" s="18" t="s">
        <v>916</v>
      </c>
      <c r="K18" s="20">
        <v>110.16949152542374</v>
      </c>
      <c r="L18" s="20">
        <f t="shared" si="3"/>
        <v>19.830508474576273</v>
      </c>
      <c r="M18" s="21">
        <f t="shared" si="4"/>
        <v>130</v>
      </c>
    </row>
    <row r="19" spans="1:13" x14ac:dyDescent="0.2">
      <c r="A19" s="18">
        <f t="shared" si="2"/>
        <v>16</v>
      </c>
      <c r="B19" s="18" t="s">
        <v>779</v>
      </c>
      <c r="C19" s="18" t="s">
        <v>921</v>
      </c>
      <c r="D19" s="19">
        <v>43753</v>
      </c>
      <c r="E19" s="18" t="s">
        <v>463</v>
      </c>
      <c r="F19" s="18">
        <v>1090</v>
      </c>
      <c r="G19" s="18">
        <v>20555180927</v>
      </c>
      <c r="H19" s="18"/>
      <c r="I19" s="18" t="s">
        <v>137</v>
      </c>
      <c r="J19" s="18" t="s">
        <v>922</v>
      </c>
      <c r="K19" s="20">
        <v>33.898305084745765</v>
      </c>
      <c r="L19" s="20">
        <f t="shared" si="3"/>
        <v>6.101694915254237</v>
      </c>
      <c r="M19" s="21">
        <f t="shared" si="4"/>
        <v>40</v>
      </c>
    </row>
    <row r="20" spans="1:13" x14ac:dyDescent="0.2">
      <c r="A20" s="18">
        <f t="shared" si="2"/>
        <v>17</v>
      </c>
      <c r="B20" s="18" t="s">
        <v>771</v>
      </c>
      <c r="C20" s="18" t="s">
        <v>923</v>
      </c>
      <c r="D20" s="19">
        <v>43753</v>
      </c>
      <c r="E20" s="18" t="s">
        <v>463</v>
      </c>
      <c r="F20" s="18">
        <v>1093</v>
      </c>
      <c r="G20" s="18">
        <v>20555180927</v>
      </c>
      <c r="H20" s="18"/>
      <c r="I20" s="18" t="s">
        <v>137</v>
      </c>
      <c r="J20" s="18" t="s">
        <v>922</v>
      </c>
      <c r="K20" s="20">
        <v>33.898305084745765</v>
      </c>
      <c r="L20" s="20">
        <f t="shared" si="3"/>
        <v>6.101694915254237</v>
      </c>
      <c r="M20" s="21">
        <f t="shared" si="4"/>
        <v>40</v>
      </c>
    </row>
    <row r="21" spans="1:13" x14ac:dyDescent="0.2">
      <c r="A21" s="18">
        <f t="shared" si="2"/>
        <v>18</v>
      </c>
      <c r="B21" s="18" t="s">
        <v>771</v>
      </c>
      <c r="C21" s="18" t="s">
        <v>923</v>
      </c>
      <c r="D21" s="19">
        <v>43753</v>
      </c>
      <c r="E21" s="18" t="s">
        <v>463</v>
      </c>
      <c r="F21" s="18">
        <v>2623</v>
      </c>
      <c r="G21" s="18">
        <v>20605180577</v>
      </c>
      <c r="H21" s="18"/>
      <c r="I21" s="18" t="s">
        <v>193</v>
      </c>
      <c r="J21" s="18" t="s">
        <v>916</v>
      </c>
      <c r="K21" s="20">
        <v>59.322033898305087</v>
      </c>
      <c r="L21" s="20">
        <f t="shared" si="3"/>
        <v>10.677966101694915</v>
      </c>
      <c r="M21" s="21">
        <f t="shared" si="4"/>
        <v>70</v>
      </c>
    </row>
    <row r="22" spans="1:13" x14ac:dyDescent="0.2">
      <c r="A22" s="18">
        <f t="shared" si="2"/>
        <v>19</v>
      </c>
      <c r="B22" s="18" t="s">
        <v>903</v>
      </c>
      <c r="C22" s="18" t="s">
        <v>924</v>
      </c>
      <c r="D22" s="19">
        <v>43773</v>
      </c>
      <c r="E22" s="18">
        <v>1</v>
      </c>
      <c r="F22" s="18">
        <v>5309</v>
      </c>
      <c r="G22" s="18">
        <v>20600892828</v>
      </c>
      <c r="H22" s="18">
        <v>12966</v>
      </c>
      <c r="I22" s="18" t="s">
        <v>137</v>
      </c>
      <c r="J22" s="18" t="s">
        <v>257</v>
      </c>
      <c r="K22" s="20">
        <v>76.27</v>
      </c>
      <c r="L22" s="20">
        <f t="shared" si="3"/>
        <v>13.728599999999998</v>
      </c>
      <c r="M22" s="21">
        <f t="shared" si="4"/>
        <v>89.998599999999996</v>
      </c>
    </row>
    <row r="23" spans="1:13" x14ac:dyDescent="0.2">
      <c r="A23" s="18">
        <f t="shared" si="2"/>
        <v>20</v>
      </c>
      <c r="B23" s="18" t="s">
        <v>895</v>
      </c>
      <c r="C23" s="18" t="s">
        <v>925</v>
      </c>
      <c r="D23" s="19">
        <v>43773</v>
      </c>
      <c r="E23" s="18">
        <v>1</v>
      </c>
      <c r="F23" s="18">
        <v>5307</v>
      </c>
      <c r="G23" s="18">
        <v>20600892828</v>
      </c>
      <c r="H23" s="18">
        <v>12953</v>
      </c>
      <c r="I23" s="18" t="s">
        <v>137</v>
      </c>
      <c r="J23" s="18" t="s">
        <v>257</v>
      </c>
      <c r="K23" s="20">
        <v>76.27</v>
      </c>
      <c r="L23" s="20">
        <f t="shared" si="3"/>
        <v>13.728599999999998</v>
      </c>
      <c r="M23" s="21">
        <f t="shared" si="4"/>
        <v>89.998599999999996</v>
      </c>
    </row>
    <row r="24" spans="1:13" x14ac:dyDescent="0.2">
      <c r="A24" s="18">
        <f t="shared" si="2"/>
        <v>21</v>
      </c>
      <c r="B24" s="18" t="s">
        <v>926</v>
      </c>
      <c r="C24" s="18" t="s">
        <v>927</v>
      </c>
      <c r="D24" s="19">
        <v>43776</v>
      </c>
      <c r="E24" s="18">
        <v>1</v>
      </c>
      <c r="F24" s="18">
        <v>5343</v>
      </c>
      <c r="G24" s="18">
        <v>20600892828</v>
      </c>
      <c r="H24" s="18">
        <v>12950</v>
      </c>
      <c r="I24" s="18" t="s">
        <v>137</v>
      </c>
      <c r="J24" s="18" t="s">
        <v>257</v>
      </c>
      <c r="K24" s="20">
        <v>76.27</v>
      </c>
      <c r="L24" s="20">
        <f t="shared" si="3"/>
        <v>13.728599999999998</v>
      </c>
      <c r="M24" s="21">
        <f t="shared" si="4"/>
        <v>89.998599999999996</v>
      </c>
    </row>
    <row r="25" spans="1:13" x14ac:dyDescent="0.2">
      <c r="A25" s="18">
        <f t="shared" si="2"/>
        <v>22</v>
      </c>
      <c r="B25" s="18" t="s">
        <v>771</v>
      </c>
      <c r="C25" s="18" t="s">
        <v>923</v>
      </c>
      <c r="D25" s="19">
        <v>43753</v>
      </c>
      <c r="E25" s="18">
        <v>1</v>
      </c>
      <c r="F25" s="18">
        <v>8519</v>
      </c>
      <c r="G25" s="18">
        <v>10089055402</v>
      </c>
      <c r="H25" s="18"/>
      <c r="I25" s="18" t="s">
        <v>137</v>
      </c>
      <c r="J25" s="18" t="s">
        <v>928</v>
      </c>
      <c r="K25" s="20">
        <f>10/1.18</f>
        <v>8.4745762711864412</v>
      </c>
      <c r="L25" s="20">
        <f t="shared" si="3"/>
        <v>1.5254237288135593</v>
      </c>
      <c r="M25" s="21">
        <f t="shared" si="4"/>
        <v>10</v>
      </c>
    </row>
    <row r="26" spans="1:13" x14ac:dyDescent="0.2">
      <c r="A26" s="18">
        <f t="shared" si="2"/>
        <v>23</v>
      </c>
      <c r="B26" s="18" t="s">
        <v>771</v>
      </c>
      <c r="C26" s="18" t="s">
        <v>923</v>
      </c>
      <c r="D26" s="19">
        <v>43754</v>
      </c>
      <c r="E26" s="18">
        <v>2</v>
      </c>
      <c r="F26" s="18">
        <v>2062</v>
      </c>
      <c r="G26" s="18">
        <v>10108170102</v>
      </c>
      <c r="H26" s="18"/>
      <c r="I26" s="18" t="s">
        <v>137</v>
      </c>
      <c r="J26" s="18" t="s">
        <v>929</v>
      </c>
      <c r="K26" s="20">
        <f>(204/1.18)-20.34</f>
        <v>152.5413559322034</v>
      </c>
      <c r="L26" s="20">
        <f t="shared" si="3"/>
        <v>27.457444067796612</v>
      </c>
      <c r="M26" s="21">
        <f t="shared" si="4"/>
        <v>179.99880000000002</v>
      </c>
    </row>
    <row r="27" spans="1:13" x14ac:dyDescent="0.2">
      <c r="A27" s="18">
        <f t="shared" si="2"/>
        <v>24</v>
      </c>
      <c r="B27" s="18" t="s">
        <v>771</v>
      </c>
      <c r="C27" s="18" t="s">
        <v>923</v>
      </c>
      <c r="D27" s="19">
        <v>43755</v>
      </c>
      <c r="E27" s="18" t="s">
        <v>200</v>
      </c>
      <c r="F27" s="18">
        <v>66926</v>
      </c>
      <c r="G27" s="18">
        <v>20493143612</v>
      </c>
      <c r="H27" s="18"/>
      <c r="I27" s="18" t="s">
        <v>137</v>
      </c>
      <c r="J27" s="18" t="s">
        <v>199</v>
      </c>
      <c r="K27" s="20">
        <v>42.37</v>
      </c>
      <c r="L27" s="20">
        <f t="shared" si="3"/>
        <v>7.6265999999999989</v>
      </c>
      <c r="M27" s="21">
        <f t="shared" si="4"/>
        <v>49.996599999999994</v>
      </c>
    </row>
    <row r="28" spans="1:13" x14ac:dyDescent="0.2">
      <c r="A28" s="18">
        <f t="shared" si="2"/>
        <v>25</v>
      </c>
      <c r="B28" s="18" t="s">
        <v>789</v>
      </c>
      <c r="C28" s="18" t="s">
        <v>912</v>
      </c>
      <c r="D28" s="19">
        <v>43755</v>
      </c>
      <c r="E28" s="18" t="s">
        <v>256</v>
      </c>
      <c r="F28" s="18">
        <v>1960</v>
      </c>
      <c r="G28" s="18">
        <v>20600591968</v>
      </c>
      <c r="H28" s="18"/>
      <c r="I28" s="18" t="s">
        <v>193</v>
      </c>
      <c r="J28" s="18" t="s">
        <v>930</v>
      </c>
      <c r="K28" s="20">
        <f>20/1.18</f>
        <v>16.949152542372882</v>
      </c>
      <c r="L28" s="20">
        <f t="shared" si="3"/>
        <v>3.0508474576271185</v>
      </c>
      <c r="M28" s="21">
        <f t="shared" si="4"/>
        <v>20</v>
      </c>
    </row>
    <row r="29" spans="1:13" x14ac:dyDescent="0.2">
      <c r="A29" s="18">
        <f t="shared" si="2"/>
        <v>26</v>
      </c>
      <c r="B29" s="18" t="s">
        <v>768</v>
      </c>
      <c r="C29" s="18" t="s">
        <v>931</v>
      </c>
      <c r="D29" s="19">
        <v>43754</v>
      </c>
      <c r="E29" s="18" t="s">
        <v>463</v>
      </c>
      <c r="F29" s="18">
        <v>1114</v>
      </c>
      <c r="G29" s="18">
        <v>20555180927</v>
      </c>
      <c r="H29" s="18"/>
      <c r="I29" s="18" t="s">
        <v>137</v>
      </c>
      <c r="J29" s="18" t="s">
        <v>253</v>
      </c>
      <c r="K29" s="20">
        <f>140/1.18-101.69</f>
        <v>16.954067796610175</v>
      </c>
      <c r="L29" s="20">
        <f t="shared" si="3"/>
        <v>3.0517322033898315</v>
      </c>
      <c r="M29" s="21">
        <f t="shared" si="4"/>
        <v>20.005800000000008</v>
      </c>
    </row>
    <row r="30" spans="1:13" x14ac:dyDescent="0.2">
      <c r="A30" s="18">
        <f t="shared" si="2"/>
        <v>27</v>
      </c>
      <c r="B30" s="18" t="s">
        <v>768</v>
      </c>
      <c r="C30" s="18" t="s">
        <v>931</v>
      </c>
      <c r="D30" s="19">
        <v>43757</v>
      </c>
      <c r="E30" s="18" t="s">
        <v>463</v>
      </c>
      <c r="F30" s="18">
        <v>48096</v>
      </c>
      <c r="G30" s="18">
        <v>20493143612</v>
      </c>
      <c r="H30" s="18"/>
      <c r="I30" s="18" t="s">
        <v>137</v>
      </c>
      <c r="J30" s="18" t="s">
        <v>199</v>
      </c>
      <c r="K30" s="20">
        <v>42.37</v>
      </c>
      <c r="L30" s="20">
        <f t="shared" si="3"/>
        <v>7.6265999999999989</v>
      </c>
      <c r="M30" s="21">
        <f t="shared" si="4"/>
        <v>49.996599999999994</v>
      </c>
    </row>
    <row r="31" spans="1:13" x14ac:dyDescent="0.2">
      <c r="A31" s="18">
        <f t="shared" si="2"/>
        <v>28</v>
      </c>
      <c r="B31" s="18" t="s">
        <v>783</v>
      </c>
      <c r="C31" s="18" t="s">
        <v>905</v>
      </c>
      <c r="D31" s="19">
        <v>43756</v>
      </c>
      <c r="E31" s="18">
        <v>1</v>
      </c>
      <c r="F31" s="18">
        <v>76678</v>
      </c>
      <c r="G31" s="18">
        <v>10088631035</v>
      </c>
      <c r="H31" s="18"/>
      <c r="I31" s="18" t="s">
        <v>137</v>
      </c>
      <c r="J31" s="18" t="s">
        <v>738</v>
      </c>
      <c r="K31" s="20">
        <v>11.3</v>
      </c>
      <c r="L31" s="20">
        <f t="shared" ref="L31:L38" si="5">+K31*18%</f>
        <v>2.0340000000000003</v>
      </c>
      <c r="M31" s="21">
        <f t="shared" ref="M31:M38" si="6">+K31+L31</f>
        <v>13.334000000000001</v>
      </c>
    </row>
    <row r="32" spans="1:13" x14ac:dyDescent="0.2">
      <c r="A32" s="18">
        <f t="shared" si="2"/>
        <v>29</v>
      </c>
      <c r="B32" s="18" t="s">
        <v>771</v>
      </c>
      <c r="C32" s="18" t="s">
        <v>923</v>
      </c>
      <c r="D32" s="19">
        <v>43756</v>
      </c>
      <c r="E32" s="18">
        <v>1</v>
      </c>
      <c r="F32" s="18">
        <v>76678</v>
      </c>
      <c r="G32" s="18">
        <v>10088631035</v>
      </c>
      <c r="H32" s="18"/>
      <c r="I32" s="18" t="s">
        <v>137</v>
      </c>
      <c r="J32" s="18" t="s">
        <v>738</v>
      </c>
      <c r="K32" s="20">
        <v>11.3</v>
      </c>
      <c r="L32" s="20">
        <f t="shared" si="5"/>
        <v>2.0340000000000003</v>
      </c>
      <c r="M32" s="21">
        <f t="shared" si="6"/>
        <v>13.334000000000001</v>
      </c>
    </row>
    <row r="33" spans="1:13" x14ac:dyDescent="0.2">
      <c r="A33" s="18">
        <f t="shared" si="2"/>
        <v>30</v>
      </c>
      <c r="B33" s="18" t="s">
        <v>775</v>
      </c>
      <c r="C33" s="18" t="s">
        <v>932</v>
      </c>
      <c r="D33" s="19">
        <v>43756</v>
      </c>
      <c r="E33" s="18">
        <v>1</v>
      </c>
      <c r="F33" s="18">
        <v>76678</v>
      </c>
      <c r="G33" s="18">
        <v>10088631035</v>
      </c>
      <c r="H33" s="18"/>
      <c r="I33" s="18" t="s">
        <v>137</v>
      </c>
      <c r="J33" s="18" t="s">
        <v>738</v>
      </c>
      <c r="K33" s="20">
        <v>11.3</v>
      </c>
      <c r="L33" s="20">
        <f t="shared" si="5"/>
        <v>2.0340000000000003</v>
      </c>
      <c r="M33" s="21">
        <f t="shared" si="6"/>
        <v>13.334000000000001</v>
      </c>
    </row>
    <row r="34" spans="1:13" x14ac:dyDescent="0.2">
      <c r="A34" s="18">
        <f t="shared" si="2"/>
        <v>31</v>
      </c>
      <c r="B34" s="18" t="s">
        <v>785</v>
      </c>
      <c r="C34" s="18" t="s">
        <v>933</v>
      </c>
      <c r="D34" s="19">
        <v>43757</v>
      </c>
      <c r="E34" s="18">
        <v>1</v>
      </c>
      <c r="F34" s="18">
        <v>11184</v>
      </c>
      <c r="G34" s="18">
        <v>10107711291</v>
      </c>
      <c r="H34" s="18"/>
      <c r="I34" s="18" t="s">
        <v>137</v>
      </c>
      <c r="J34" s="18" t="s">
        <v>738</v>
      </c>
      <c r="K34" s="20">
        <f>30/1.18</f>
        <v>25.423728813559322</v>
      </c>
      <c r="L34" s="20">
        <f t="shared" si="5"/>
        <v>4.5762711864406773</v>
      </c>
      <c r="M34" s="21">
        <f t="shared" si="6"/>
        <v>30</v>
      </c>
    </row>
    <row r="35" spans="1:13" x14ac:dyDescent="0.2">
      <c r="A35" s="18">
        <f t="shared" si="2"/>
        <v>32</v>
      </c>
      <c r="B35" s="18" t="s">
        <v>785</v>
      </c>
      <c r="C35" s="18" t="s">
        <v>933</v>
      </c>
      <c r="D35" s="19">
        <v>43756</v>
      </c>
      <c r="E35" s="18" t="s">
        <v>463</v>
      </c>
      <c r="F35" s="18">
        <v>1158</v>
      </c>
      <c r="G35" s="18">
        <v>20555180927</v>
      </c>
      <c r="H35" s="18"/>
      <c r="I35" s="18" t="s">
        <v>137</v>
      </c>
      <c r="J35" s="18" t="s">
        <v>253</v>
      </c>
      <c r="K35" s="20">
        <v>50.85</v>
      </c>
      <c r="L35" s="20">
        <f t="shared" si="5"/>
        <v>9.1530000000000005</v>
      </c>
      <c r="M35" s="21">
        <f t="shared" si="6"/>
        <v>60.003</v>
      </c>
    </row>
    <row r="36" spans="1:13" x14ac:dyDescent="0.2">
      <c r="A36" s="18">
        <f t="shared" si="2"/>
        <v>33</v>
      </c>
      <c r="B36" s="18" t="s">
        <v>783</v>
      </c>
      <c r="C36" s="18" t="s">
        <v>905</v>
      </c>
      <c r="D36" s="19">
        <v>43756</v>
      </c>
      <c r="E36" s="18" t="s">
        <v>463</v>
      </c>
      <c r="F36" s="18">
        <v>1158</v>
      </c>
      <c r="G36" s="18">
        <v>20555180927</v>
      </c>
      <c r="H36" s="18"/>
      <c r="I36" s="18" t="s">
        <v>137</v>
      </c>
      <c r="J36" s="18" t="s">
        <v>253</v>
      </c>
      <c r="K36" s="20">
        <v>50.85</v>
      </c>
      <c r="L36" s="20">
        <f t="shared" si="5"/>
        <v>9.1530000000000005</v>
      </c>
      <c r="M36" s="21">
        <f t="shared" si="6"/>
        <v>60.003</v>
      </c>
    </row>
    <row r="37" spans="1:13" x14ac:dyDescent="0.2">
      <c r="A37" s="18">
        <f t="shared" si="2"/>
        <v>34</v>
      </c>
      <c r="B37" s="18" t="s">
        <v>785</v>
      </c>
      <c r="C37" s="18" t="s">
        <v>933</v>
      </c>
      <c r="D37" s="19">
        <v>43756</v>
      </c>
      <c r="E37" s="18" t="s">
        <v>463</v>
      </c>
      <c r="F37" s="18">
        <v>2667</v>
      </c>
      <c r="G37" s="18">
        <v>20493018711</v>
      </c>
      <c r="H37" s="18"/>
      <c r="I37" s="18" t="s">
        <v>137</v>
      </c>
      <c r="J37" s="18" t="s">
        <v>934</v>
      </c>
      <c r="K37" s="20">
        <v>59.32</v>
      </c>
      <c r="L37" s="20">
        <f t="shared" si="5"/>
        <v>10.6776</v>
      </c>
      <c r="M37" s="21">
        <f t="shared" si="6"/>
        <v>69.997600000000006</v>
      </c>
    </row>
    <row r="38" spans="1:13" x14ac:dyDescent="0.2">
      <c r="A38" s="18">
        <f t="shared" si="2"/>
        <v>35</v>
      </c>
      <c r="B38" s="18" t="s">
        <v>777</v>
      </c>
      <c r="C38" s="18" t="s">
        <v>911</v>
      </c>
      <c r="D38" s="19">
        <v>43757</v>
      </c>
      <c r="E38" s="18" t="s">
        <v>463</v>
      </c>
      <c r="F38" s="18">
        <v>48098</v>
      </c>
      <c r="G38" s="18">
        <v>20493143612</v>
      </c>
      <c r="H38" s="18"/>
      <c r="I38" s="18" t="s">
        <v>137</v>
      </c>
      <c r="J38" s="18" t="s">
        <v>199</v>
      </c>
      <c r="K38" s="20">
        <v>42.37</v>
      </c>
      <c r="L38" s="20">
        <f t="shared" si="5"/>
        <v>7.6265999999999989</v>
      </c>
      <c r="M38" s="21">
        <f t="shared" si="6"/>
        <v>49.996599999999994</v>
      </c>
    </row>
    <row r="39" spans="1:13" x14ac:dyDescent="0.2">
      <c r="A39" s="18">
        <f t="shared" si="2"/>
        <v>36</v>
      </c>
      <c r="B39" s="18" t="s">
        <v>828</v>
      </c>
      <c r="C39" s="18" t="s">
        <v>910</v>
      </c>
      <c r="D39" s="19">
        <v>43759</v>
      </c>
      <c r="E39" s="18" t="s">
        <v>197</v>
      </c>
      <c r="F39" s="18">
        <v>32211</v>
      </c>
      <c r="G39" s="18">
        <v>20493143612</v>
      </c>
      <c r="H39" s="18"/>
      <c r="I39" s="18" t="s">
        <v>137</v>
      </c>
      <c r="J39" s="18" t="s">
        <v>199</v>
      </c>
      <c r="K39" s="20">
        <v>42.37</v>
      </c>
      <c r="L39" s="20">
        <f t="shared" ref="L39:L57" si="7">+K39*18%</f>
        <v>7.6265999999999989</v>
      </c>
      <c r="M39" s="21">
        <f t="shared" ref="M39:M57" si="8">+K39+L39</f>
        <v>49.996599999999994</v>
      </c>
    </row>
    <row r="40" spans="1:13" x14ac:dyDescent="0.2">
      <c r="A40" s="18">
        <f t="shared" si="2"/>
        <v>37</v>
      </c>
      <c r="B40" s="18" t="s">
        <v>777</v>
      </c>
      <c r="C40" s="18" t="s">
        <v>911</v>
      </c>
      <c r="D40" s="19">
        <v>43759</v>
      </c>
      <c r="E40" s="18">
        <v>1</v>
      </c>
      <c r="F40" s="18">
        <v>663</v>
      </c>
      <c r="G40" s="18">
        <v>20600639634</v>
      </c>
      <c r="H40" s="18"/>
      <c r="I40" s="18" t="s">
        <v>137</v>
      </c>
      <c r="J40" s="18" t="s">
        <v>935</v>
      </c>
      <c r="K40" s="20">
        <v>10</v>
      </c>
      <c r="L40" s="20">
        <f t="shared" si="7"/>
        <v>1.7999999999999998</v>
      </c>
      <c r="M40" s="21">
        <f t="shared" si="8"/>
        <v>11.8</v>
      </c>
    </row>
    <row r="41" spans="1:13" x14ac:dyDescent="0.2">
      <c r="A41" s="18">
        <f t="shared" si="2"/>
        <v>38</v>
      </c>
      <c r="B41" s="18" t="s">
        <v>936</v>
      </c>
      <c r="C41" s="18" t="s">
        <v>937</v>
      </c>
      <c r="D41" s="19">
        <v>43780</v>
      </c>
      <c r="E41" s="18">
        <v>1</v>
      </c>
      <c r="F41" s="18">
        <v>1299</v>
      </c>
      <c r="G41" s="18">
        <v>10427505524</v>
      </c>
      <c r="H41" s="18">
        <v>13000</v>
      </c>
      <c r="I41" s="18" t="s">
        <v>137</v>
      </c>
      <c r="J41" s="18" t="s">
        <v>499</v>
      </c>
      <c r="K41" s="20">
        <f>70/1.18</f>
        <v>59.322033898305087</v>
      </c>
      <c r="L41" s="20">
        <f t="shared" si="7"/>
        <v>10.677966101694915</v>
      </c>
      <c r="M41" s="21">
        <f t="shared" si="8"/>
        <v>70</v>
      </c>
    </row>
    <row r="42" spans="1:13" x14ac:dyDescent="0.2">
      <c r="A42" s="18">
        <f t="shared" si="2"/>
        <v>39</v>
      </c>
      <c r="B42" s="18" t="s">
        <v>938</v>
      </c>
      <c r="C42" s="18" t="s">
        <v>939</v>
      </c>
      <c r="D42" s="19">
        <v>43780</v>
      </c>
      <c r="E42" s="18">
        <v>1</v>
      </c>
      <c r="F42" s="18">
        <v>1299</v>
      </c>
      <c r="G42" s="18">
        <v>10427505524</v>
      </c>
      <c r="H42" s="18">
        <v>12998</v>
      </c>
      <c r="I42" s="18" t="s">
        <v>137</v>
      </c>
      <c r="J42" s="18" t="s">
        <v>499</v>
      </c>
      <c r="K42" s="20">
        <f>70/1.18</f>
        <v>59.322033898305087</v>
      </c>
      <c r="L42" s="20">
        <f t="shared" si="7"/>
        <v>10.677966101694915</v>
      </c>
      <c r="M42" s="21">
        <f t="shared" si="8"/>
        <v>70</v>
      </c>
    </row>
    <row r="43" spans="1:13" x14ac:dyDescent="0.2">
      <c r="A43" s="18">
        <f t="shared" si="2"/>
        <v>40</v>
      </c>
      <c r="B43" s="18" t="s">
        <v>844</v>
      </c>
      <c r="C43" s="18" t="s">
        <v>940</v>
      </c>
      <c r="D43" s="19">
        <v>43763</v>
      </c>
      <c r="E43" s="18" t="s">
        <v>463</v>
      </c>
      <c r="F43" s="18">
        <v>1220</v>
      </c>
      <c r="G43" s="18">
        <v>20555180927</v>
      </c>
      <c r="H43" s="18"/>
      <c r="I43" s="18" t="s">
        <v>137</v>
      </c>
      <c r="J43" s="18" t="s">
        <v>253</v>
      </c>
      <c r="K43" s="20">
        <f>20/1.18</f>
        <v>16.949152542372882</v>
      </c>
      <c r="L43" s="20">
        <f t="shared" si="7"/>
        <v>3.0508474576271185</v>
      </c>
      <c r="M43" s="21">
        <f t="shared" si="8"/>
        <v>20</v>
      </c>
    </row>
    <row r="44" spans="1:13" x14ac:dyDescent="0.2">
      <c r="A44" s="18">
        <f t="shared" si="2"/>
        <v>41</v>
      </c>
      <c r="B44" s="18" t="s">
        <v>757</v>
      </c>
      <c r="C44" s="18" t="s">
        <v>941</v>
      </c>
      <c r="D44" s="19">
        <v>43750</v>
      </c>
      <c r="E44" s="18" t="s">
        <v>200</v>
      </c>
      <c r="F44" s="18">
        <v>898</v>
      </c>
      <c r="G44" s="18">
        <v>20300435298</v>
      </c>
      <c r="H44" s="18"/>
      <c r="I44" s="18" t="s">
        <v>137</v>
      </c>
      <c r="J44" s="18" t="s">
        <v>942</v>
      </c>
      <c r="K44" s="20">
        <v>84.75</v>
      </c>
      <c r="L44" s="20">
        <f t="shared" si="7"/>
        <v>15.254999999999999</v>
      </c>
      <c r="M44" s="21">
        <f t="shared" si="8"/>
        <v>100.005</v>
      </c>
    </row>
    <row r="45" spans="1:13" x14ac:dyDescent="0.2">
      <c r="A45" s="18">
        <f t="shared" si="2"/>
        <v>42</v>
      </c>
      <c r="B45" s="18" t="s">
        <v>852</v>
      </c>
      <c r="C45" s="18" t="s">
        <v>943</v>
      </c>
      <c r="D45" s="19">
        <v>43763</v>
      </c>
      <c r="E45" s="18" t="s">
        <v>463</v>
      </c>
      <c r="F45" s="18">
        <v>1219</v>
      </c>
      <c r="G45" s="18">
        <v>20555180927</v>
      </c>
      <c r="H45" s="18"/>
      <c r="I45" s="18" t="s">
        <v>137</v>
      </c>
      <c r="J45" s="18" t="s">
        <v>944</v>
      </c>
      <c r="K45" s="20">
        <f>30/1.18</f>
        <v>25.423728813559322</v>
      </c>
      <c r="L45" s="20">
        <f t="shared" si="7"/>
        <v>4.5762711864406773</v>
      </c>
      <c r="M45" s="21">
        <f t="shared" si="8"/>
        <v>30</v>
      </c>
    </row>
    <row r="46" spans="1:13" x14ac:dyDescent="0.2">
      <c r="A46" s="18">
        <f t="shared" si="2"/>
        <v>43</v>
      </c>
      <c r="B46" s="18" t="s">
        <v>840</v>
      </c>
      <c r="C46" s="18" t="s">
        <v>945</v>
      </c>
      <c r="D46" s="19">
        <v>43763</v>
      </c>
      <c r="E46" s="18">
        <v>2</v>
      </c>
      <c r="F46" s="18">
        <v>2065</v>
      </c>
      <c r="G46" s="18">
        <v>10108170102</v>
      </c>
      <c r="H46" s="18"/>
      <c r="I46" s="18" t="s">
        <v>137</v>
      </c>
      <c r="J46" s="18" t="s">
        <v>946</v>
      </c>
      <c r="K46" s="20">
        <v>180</v>
      </c>
      <c r="L46" s="20">
        <f t="shared" si="7"/>
        <v>32.4</v>
      </c>
      <c r="M46" s="21">
        <f t="shared" si="8"/>
        <v>212.4</v>
      </c>
    </row>
    <row r="47" spans="1:13" x14ac:dyDescent="0.2">
      <c r="A47" s="18">
        <f t="shared" si="2"/>
        <v>44</v>
      </c>
      <c r="B47" s="18" t="s">
        <v>840</v>
      </c>
      <c r="C47" s="18" t="s">
        <v>945</v>
      </c>
      <c r="D47" s="19">
        <v>43763</v>
      </c>
      <c r="E47" s="18">
        <v>1</v>
      </c>
      <c r="F47" s="18">
        <v>11213</v>
      </c>
      <c r="G47" s="18">
        <v>10107711291</v>
      </c>
      <c r="H47" s="18"/>
      <c r="I47" s="18" t="s">
        <v>137</v>
      </c>
      <c r="J47" s="18" t="s">
        <v>947</v>
      </c>
      <c r="K47" s="20">
        <v>25.423728813559322</v>
      </c>
      <c r="L47" s="20">
        <f t="shared" si="7"/>
        <v>4.5762711864406773</v>
      </c>
      <c r="M47" s="21">
        <f t="shared" si="8"/>
        <v>30</v>
      </c>
    </row>
    <row r="48" spans="1:13" x14ac:dyDescent="0.2">
      <c r="A48" s="18">
        <f t="shared" si="2"/>
        <v>45</v>
      </c>
      <c r="B48" s="18" t="s">
        <v>840</v>
      </c>
      <c r="C48" s="18" t="s">
        <v>945</v>
      </c>
      <c r="D48" s="19">
        <v>43763</v>
      </c>
      <c r="E48" s="18" t="s">
        <v>463</v>
      </c>
      <c r="F48" s="18">
        <v>2725</v>
      </c>
      <c r="G48" s="18">
        <v>20493018711</v>
      </c>
      <c r="H48" s="18"/>
      <c r="I48" s="18" t="s">
        <v>137</v>
      </c>
      <c r="J48" s="18" t="s">
        <v>948</v>
      </c>
      <c r="K48" s="20">
        <v>59.322033898305087</v>
      </c>
      <c r="L48" s="20">
        <f t="shared" si="7"/>
        <v>10.677966101694915</v>
      </c>
      <c r="M48" s="21">
        <f t="shared" si="8"/>
        <v>70</v>
      </c>
    </row>
    <row r="49" spans="1:13" x14ac:dyDescent="0.2">
      <c r="A49" s="18">
        <f t="shared" si="2"/>
        <v>46</v>
      </c>
      <c r="B49" s="18" t="s">
        <v>840</v>
      </c>
      <c r="C49" s="18" t="s">
        <v>945</v>
      </c>
      <c r="D49" s="19">
        <v>43763</v>
      </c>
      <c r="E49" s="18" t="s">
        <v>463</v>
      </c>
      <c r="F49" s="18">
        <v>1221</v>
      </c>
      <c r="G49" s="18">
        <v>20555180927</v>
      </c>
      <c r="H49" s="18"/>
      <c r="I49" s="18" t="s">
        <v>137</v>
      </c>
      <c r="J49" s="18" t="s">
        <v>944</v>
      </c>
      <c r="K49" s="20">
        <v>25.423728813559322</v>
      </c>
      <c r="L49" s="20">
        <f t="shared" si="7"/>
        <v>4.5762711864406773</v>
      </c>
      <c r="M49" s="21">
        <f t="shared" si="8"/>
        <v>30</v>
      </c>
    </row>
    <row r="50" spans="1:13" x14ac:dyDescent="0.2">
      <c r="A50" s="18">
        <f t="shared" si="2"/>
        <v>47</v>
      </c>
      <c r="B50" s="18" t="s">
        <v>848</v>
      </c>
      <c r="C50" s="18" t="s">
        <v>949</v>
      </c>
      <c r="D50" s="19">
        <v>43764</v>
      </c>
      <c r="E50" s="18" t="s">
        <v>463</v>
      </c>
      <c r="F50" s="18">
        <v>1233</v>
      </c>
      <c r="G50" s="18">
        <v>20555180927</v>
      </c>
      <c r="H50" s="18"/>
      <c r="I50" s="18" t="s">
        <v>137</v>
      </c>
      <c r="J50" s="18" t="s">
        <v>253</v>
      </c>
      <c r="K50" s="20">
        <v>16.95</v>
      </c>
      <c r="L50" s="20">
        <f t="shared" si="7"/>
        <v>3.0509999999999997</v>
      </c>
      <c r="M50" s="21">
        <f t="shared" si="8"/>
        <v>20.000999999999998</v>
      </c>
    </row>
    <row r="51" spans="1:13" x14ac:dyDescent="0.2">
      <c r="A51" s="18">
        <f t="shared" si="2"/>
        <v>48</v>
      </c>
      <c r="B51" s="18" t="s">
        <v>781</v>
      </c>
      <c r="C51" s="18" t="s">
        <v>950</v>
      </c>
      <c r="D51" s="19">
        <v>43763</v>
      </c>
      <c r="E51" s="18">
        <v>1</v>
      </c>
      <c r="F51" s="18">
        <v>669</v>
      </c>
      <c r="G51" s="18">
        <v>20600639634</v>
      </c>
      <c r="H51" s="18"/>
      <c r="I51" s="18" t="s">
        <v>137</v>
      </c>
      <c r="J51" s="18" t="s">
        <v>935</v>
      </c>
      <c r="K51" s="20">
        <v>10.000000000000002</v>
      </c>
      <c r="L51" s="20">
        <f t="shared" si="7"/>
        <v>1.8000000000000003</v>
      </c>
      <c r="M51" s="21">
        <f t="shared" si="8"/>
        <v>11.800000000000002</v>
      </c>
    </row>
    <row r="52" spans="1:13" x14ac:dyDescent="0.2">
      <c r="A52" s="18">
        <f t="shared" si="2"/>
        <v>49</v>
      </c>
      <c r="B52" s="18" t="s">
        <v>781</v>
      </c>
      <c r="C52" s="18" t="s">
        <v>950</v>
      </c>
      <c r="D52" s="19">
        <v>43762</v>
      </c>
      <c r="E52" s="18">
        <v>5</v>
      </c>
      <c r="F52" s="18">
        <v>365</v>
      </c>
      <c r="G52" s="18">
        <v>10426916393</v>
      </c>
      <c r="H52" s="18"/>
      <c r="I52" s="18" t="s">
        <v>137</v>
      </c>
      <c r="J52" s="18" t="s">
        <v>586</v>
      </c>
      <c r="K52" s="20">
        <v>25.423728813559322</v>
      </c>
      <c r="L52" s="20">
        <f t="shared" si="7"/>
        <v>4.5762711864406773</v>
      </c>
      <c r="M52" s="21">
        <f t="shared" si="8"/>
        <v>30</v>
      </c>
    </row>
    <row r="53" spans="1:13" x14ac:dyDescent="0.2">
      <c r="A53" s="18">
        <f t="shared" si="2"/>
        <v>50</v>
      </c>
      <c r="B53" s="18" t="s">
        <v>781</v>
      </c>
      <c r="C53" s="18" t="s">
        <v>950</v>
      </c>
      <c r="D53" s="19">
        <v>43763</v>
      </c>
      <c r="E53" s="18">
        <v>1</v>
      </c>
      <c r="F53" s="18">
        <v>672</v>
      </c>
      <c r="G53" s="18">
        <v>20600639634</v>
      </c>
      <c r="H53" s="18"/>
      <c r="I53" s="18" t="s">
        <v>137</v>
      </c>
      <c r="J53" s="18" t="s">
        <v>951</v>
      </c>
      <c r="K53" s="20">
        <v>10.000000000000002</v>
      </c>
      <c r="L53" s="20">
        <f t="shared" si="7"/>
        <v>1.8000000000000003</v>
      </c>
      <c r="M53" s="21">
        <f t="shared" si="8"/>
        <v>11.800000000000002</v>
      </c>
    </row>
    <row r="54" spans="1:13" x14ac:dyDescent="0.2">
      <c r="A54" s="18">
        <f t="shared" si="2"/>
        <v>51</v>
      </c>
      <c r="B54" s="18" t="s">
        <v>781</v>
      </c>
      <c r="C54" s="18" t="s">
        <v>950</v>
      </c>
      <c r="D54" s="19">
        <v>43760</v>
      </c>
      <c r="E54" s="18" t="s">
        <v>463</v>
      </c>
      <c r="F54" s="18">
        <v>1195</v>
      </c>
      <c r="G54" s="18">
        <v>20555180927</v>
      </c>
      <c r="H54" s="18"/>
      <c r="I54" s="18" t="s">
        <v>137</v>
      </c>
      <c r="J54" s="18" t="s">
        <v>273</v>
      </c>
      <c r="K54" s="20">
        <v>16.949152542372882</v>
      </c>
      <c r="L54" s="20">
        <f t="shared" si="7"/>
        <v>3.0508474576271185</v>
      </c>
      <c r="M54" s="21">
        <f t="shared" si="8"/>
        <v>20</v>
      </c>
    </row>
    <row r="55" spans="1:13" x14ac:dyDescent="0.2">
      <c r="A55" s="18">
        <f t="shared" si="2"/>
        <v>52</v>
      </c>
      <c r="B55" s="18" t="s">
        <v>781</v>
      </c>
      <c r="C55" s="18" t="s">
        <v>950</v>
      </c>
      <c r="D55" s="19">
        <v>43760</v>
      </c>
      <c r="E55" s="18" t="s">
        <v>463</v>
      </c>
      <c r="F55" s="18">
        <v>2702</v>
      </c>
      <c r="G55" s="18">
        <v>20493018711</v>
      </c>
      <c r="H55" s="18"/>
      <c r="I55" s="18" t="s">
        <v>137</v>
      </c>
      <c r="J55" s="18" t="s">
        <v>948</v>
      </c>
      <c r="K55" s="20">
        <v>59.322033898305087</v>
      </c>
      <c r="L55" s="20">
        <f t="shared" si="7"/>
        <v>10.677966101694915</v>
      </c>
      <c r="M55" s="21">
        <f t="shared" si="8"/>
        <v>70</v>
      </c>
    </row>
    <row r="56" spans="1:13" x14ac:dyDescent="0.2">
      <c r="A56" s="18">
        <f t="shared" si="2"/>
        <v>53</v>
      </c>
      <c r="B56" s="18" t="s">
        <v>781</v>
      </c>
      <c r="C56" s="18" t="s">
        <v>950</v>
      </c>
      <c r="D56" s="19">
        <v>43760</v>
      </c>
      <c r="E56" s="18">
        <v>1</v>
      </c>
      <c r="F56" s="18">
        <v>8523</v>
      </c>
      <c r="G56" s="18">
        <v>10089055402</v>
      </c>
      <c r="H56" s="18"/>
      <c r="I56" s="18" t="s">
        <v>137</v>
      </c>
      <c r="J56" s="18" t="s">
        <v>952</v>
      </c>
      <c r="K56" s="20">
        <v>8.4745762711864412</v>
      </c>
      <c r="L56" s="20">
        <f t="shared" si="7"/>
        <v>1.5254237288135593</v>
      </c>
      <c r="M56" s="21">
        <f t="shared" si="8"/>
        <v>10</v>
      </c>
    </row>
    <row r="57" spans="1:13" x14ac:dyDescent="0.2">
      <c r="A57" s="18">
        <f t="shared" si="2"/>
        <v>54</v>
      </c>
      <c r="B57" s="18" t="s">
        <v>785</v>
      </c>
      <c r="C57" s="18" t="s">
        <v>933</v>
      </c>
      <c r="D57" s="19">
        <v>43763</v>
      </c>
      <c r="E57" s="18">
        <v>1</v>
      </c>
      <c r="F57" s="18">
        <v>671</v>
      </c>
      <c r="G57" s="18">
        <v>20600639634</v>
      </c>
      <c r="H57" s="18"/>
      <c r="I57" s="18" t="s">
        <v>137</v>
      </c>
      <c r="J57" s="18" t="s">
        <v>951</v>
      </c>
      <c r="K57" s="20">
        <v>10.000000000000002</v>
      </c>
      <c r="L57" s="20">
        <f t="shared" si="7"/>
        <v>1.8000000000000003</v>
      </c>
      <c r="M57" s="21">
        <f t="shared" si="8"/>
        <v>11.800000000000002</v>
      </c>
    </row>
    <row r="58" spans="1:13" x14ac:dyDescent="0.2">
      <c r="A58" s="18">
        <f t="shared" si="2"/>
        <v>55</v>
      </c>
      <c r="B58" s="18" t="s">
        <v>830</v>
      </c>
      <c r="C58" s="18" t="s">
        <v>953</v>
      </c>
      <c r="D58" s="19">
        <v>43763</v>
      </c>
      <c r="E58" s="18">
        <v>2</v>
      </c>
      <c r="F58" s="18">
        <v>4362</v>
      </c>
      <c r="G58" s="18">
        <v>10457403807</v>
      </c>
      <c r="H58" s="18"/>
      <c r="I58" s="18" t="s">
        <v>137</v>
      </c>
      <c r="J58" s="18" t="s">
        <v>195</v>
      </c>
      <c r="K58" s="20">
        <v>101.69491525423729</v>
      </c>
      <c r="L58" s="20">
        <f t="shared" ref="L58:L89" si="9">+K58*18%</f>
        <v>18.305084745762709</v>
      </c>
      <c r="M58" s="21">
        <f t="shared" ref="M58:M89" si="10">+K58+L58</f>
        <v>120</v>
      </c>
    </row>
    <row r="59" spans="1:13" x14ac:dyDescent="0.2">
      <c r="A59" s="18">
        <f t="shared" si="2"/>
        <v>56</v>
      </c>
      <c r="B59" s="18" t="s">
        <v>775</v>
      </c>
      <c r="C59" s="18" t="s">
        <v>932</v>
      </c>
      <c r="D59" s="19">
        <v>43760</v>
      </c>
      <c r="E59" s="18" t="s">
        <v>463</v>
      </c>
      <c r="F59" s="18">
        <v>48310</v>
      </c>
      <c r="G59" s="18">
        <v>20493143612</v>
      </c>
      <c r="H59" s="18"/>
      <c r="I59" s="18" t="s">
        <v>137</v>
      </c>
      <c r="J59" s="18" t="s">
        <v>954</v>
      </c>
      <c r="K59" s="20">
        <v>42.372881355932208</v>
      </c>
      <c r="L59" s="20">
        <f t="shared" si="9"/>
        <v>7.6271186440677967</v>
      </c>
      <c r="M59" s="21">
        <f t="shared" si="10"/>
        <v>50.000000000000007</v>
      </c>
    </row>
    <row r="60" spans="1:13" x14ac:dyDescent="0.2">
      <c r="A60" s="18">
        <f t="shared" si="2"/>
        <v>57</v>
      </c>
      <c r="B60" s="18" t="s">
        <v>779</v>
      </c>
      <c r="C60" s="18" t="s">
        <v>921</v>
      </c>
      <c r="D60" s="19">
        <v>43766</v>
      </c>
      <c r="E60" s="18" t="s">
        <v>200</v>
      </c>
      <c r="F60" s="18">
        <v>67576</v>
      </c>
      <c r="G60" s="18">
        <v>20493143612</v>
      </c>
      <c r="H60" s="18"/>
      <c r="I60" s="18" t="s">
        <v>137</v>
      </c>
      <c r="J60" s="18" t="s">
        <v>954</v>
      </c>
      <c r="K60" s="20">
        <v>42.372881355932208</v>
      </c>
      <c r="L60" s="20">
        <f t="shared" si="9"/>
        <v>7.6271186440677967</v>
      </c>
      <c r="M60" s="21">
        <f t="shared" si="10"/>
        <v>50.000000000000007</v>
      </c>
    </row>
    <row r="61" spans="1:13" x14ac:dyDescent="0.2">
      <c r="A61" s="18">
        <f t="shared" si="2"/>
        <v>58</v>
      </c>
      <c r="B61" s="18" t="s">
        <v>858</v>
      </c>
      <c r="C61" s="18" t="s">
        <v>955</v>
      </c>
      <c r="D61" s="19">
        <v>43769</v>
      </c>
      <c r="E61" s="18">
        <v>1</v>
      </c>
      <c r="F61" s="18" t="s">
        <v>956</v>
      </c>
      <c r="G61" s="18">
        <v>20600639634</v>
      </c>
      <c r="H61" s="18"/>
      <c r="I61" s="18" t="s">
        <v>137</v>
      </c>
      <c r="J61" s="18" t="s">
        <v>957</v>
      </c>
      <c r="K61" s="20">
        <v>5.0000000000000009</v>
      </c>
      <c r="L61" s="20">
        <f t="shared" si="9"/>
        <v>0.90000000000000013</v>
      </c>
      <c r="M61" s="21">
        <f t="shared" si="10"/>
        <v>5.9000000000000012</v>
      </c>
    </row>
    <row r="62" spans="1:13" x14ac:dyDescent="0.2">
      <c r="A62" s="18">
        <f t="shared" si="2"/>
        <v>59</v>
      </c>
      <c r="B62" s="18" t="s">
        <v>858</v>
      </c>
      <c r="C62" s="18" t="s">
        <v>955</v>
      </c>
      <c r="D62" s="19">
        <v>43769</v>
      </c>
      <c r="E62" s="18" t="s">
        <v>200</v>
      </c>
      <c r="F62" s="18" t="s">
        <v>958</v>
      </c>
      <c r="G62" s="18">
        <v>20493143612</v>
      </c>
      <c r="H62" s="18"/>
      <c r="I62" s="18" t="s">
        <v>137</v>
      </c>
      <c r="J62" s="18" t="s">
        <v>954</v>
      </c>
      <c r="K62" s="20">
        <v>42.372881355932208</v>
      </c>
      <c r="L62" s="20">
        <f t="shared" si="9"/>
        <v>7.6271186440677967</v>
      </c>
      <c r="M62" s="21">
        <f t="shared" si="10"/>
        <v>50.000000000000007</v>
      </c>
    </row>
    <row r="63" spans="1:13" x14ac:dyDescent="0.2">
      <c r="A63" s="18">
        <f t="shared" si="2"/>
        <v>60</v>
      </c>
      <c r="B63" s="18" t="s">
        <v>825</v>
      </c>
      <c r="C63" s="18" t="s">
        <v>959</v>
      </c>
      <c r="D63" s="19">
        <v>43767</v>
      </c>
      <c r="E63" s="18" t="s">
        <v>960</v>
      </c>
      <c r="F63" s="18" t="s">
        <v>961</v>
      </c>
      <c r="G63" s="18">
        <v>20605180575</v>
      </c>
      <c r="H63" s="18"/>
      <c r="I63" s="18" t="s">
        <v>193</v>
      </c>
      <c r="J63" s="18" t="s">
        <v>962</v>
      </c>
      <c r="K63" s="20">
        <v>76.271186440677965</v>
      </c>
      <c r="L63" s="20">
        <f t="shared" si="9"/>
        <v>13.728813559322033</v>
      </c>
      <c r="M63" s="21">
        <f t="shared" si="10"/>
        <v>90</v>
      </c>
    </row>
    <row r="64" spans="1:13" x14ac:dyDescent="0.2">
      <c r="A64" s="18">
        <f t="shared" si="2"/>
        <v>61</v>
      </c>
      <c r="B64" s="18" t="s">
        <v>825</v>
      </c>
      <c r="C64" s="18" t="s">
        <v>959</v>
      </c>
      <c r="D64" s="19">
        <v>43768</v>
      </c>
      <c r="E64" s="18" t="s">
        <v>463</v>
      </c>
      <c r="F64" s="18" t="s">
        <v>963</v>
      </c>
      <c r="G64" s="18">
        <v>20555180927</v>
      </c>
      <c r="H64" s="18"/>
      <c r="I64" s="18" t="s">
        <v>137</v>
      </c>
      <c r="J64" s="18" t="s">
        <v>253</v>
      </c>
      <c r="K64" s="20">
        <v>16.949152542372882</v>
      </c>
      <c r="L64" s="20">
        <f t="shared" si="9"/>
        <v>3.0508474576271185</v>
      </c>
      <c r="M64" s="21">
        <f t="shared" si="10"/>
        <v>20</v>
      </c>
    </row>
    <row r="65" spans="1:13" x14ac:dyDescent="0.2">
      <c r="A65" s="18">
        <f t="shared" si="2"/>
        <v>62</v>
      </c>
      <c r="B65" s="18" t="s">
        <v>825</v>
      </c>
      <c r="C65" s="18" t="s">
        <v>959</v>
      </c>
      <c r="D65" s="19">
        <v>43771</v>
      </c>
      <c r="E65" s="18" t="s">
        <v>197</v>
      </c>
      <c r="F65" s="18" t="s">
        <v>964</v>
      </c>
      <c r="G65" s="18">
        <v>20493143612</v>
      </c>
      <c r="H65" s="18"/>
      <c r="I65" s="18" t="s">
        <v>137</v>
      </c>
      <c r="J65" s="18" t="s">
        <v>954</v>
      </c>
      <c r="K65" s="20">
        <v>42.372881355932208</v>
      </c>
      <c r="L65" s="20">
        <f t="shared" si="9"/>
        <v>7.6271186440677967</v>
      </c>
      <c r="M65" s="21">
        <f t="shared" si="10"/>
        <v>50.000000000000007</v>
      </c>
    </row>
    <row r="66" spans="1:13" x14ac:dyDescent="0.2">
      <c r="A66" s="18">
        <f t="shared" si="2"/>
        <v>63</v>
      </c>
      <c r="B66" s="18" t="s">
        <v>835</v>
      </c>
      <c r="C66" s="18" t="s">
        <v>965</v>
      </c>
      <c r="D66" s="19">
        <v>43766</v>
      </c>
      <c r="E66" s="18" t="s">
        <v>200</v>
      </c>
      <c r="F66" s="18" t="s">
        <v>966</v>
      </c>
      <c r="G66" s="18">
        <v>20492464636</v>
      </c>
      <c r="H66" s="18"/>
      <c r="I66" s="18" t="s">
        <v>193</v>
      </c>
      <c r="J66" s="18" t="s">
        <v>363</v>
      </c>
      <c r="K66" s="20">
        <v>296.61016949152543</v>
      </c>
      <c r="L66" s="20">
        <f t="shared" si="9"/>
        <v>53.389830508474574</v>
      </c>
      <c r="M66" s="21">
        <f t="shared" si="10"/>
        <v>350</v>
      </c>
    </row>
    <row r="67" spans="1:13" x14ac:dyDescent="0.2">
      <c r="A67" s="18">
        <f t="shared" si="2"/>
        <v>64</v>
      </c>
      <c r="B67" s="18" t="s">
        <v>823</v>
      </c>
      <c r="C67" s="18" t="s">
        <v>967</v>
      </c>
      <c r="D67" s="19">
        <v>43768</v>
      </c>
      <c r="E67" s="18">
        <v>1</v>
      </c>
      <c r="F67" s="18" t="s">
        <v>968</v>
      </c>
      <c r="G67" s="18">
        <v>20600639634</v>
      </c>
      <c r="H67" s="18"/>
      <c r="I67" s="18" t="s">
        <v>137</v>
      </c>
      <c r="J67" s="18" t="s">
        <v>969</v>
      </c>
      <c r="K67" s="20">
        <v>20.000000000000004</v>
      </c>
      <c r="L67" s="20">
        <f t="shared" si="9"/>
        <v>3.6000000000000005</v>
      </c>
      <c r="M67" s="21">
        <f t="shared" si="10"/>
        <v>23.600000000000005</v>
      </c>
    </row>
    <row r="68" spans="1:13" x14ac:dyDescent="0.2">
      <c r="A68" s="18">
        <f t="shared" si="2"/>
        <v>65</v>
      </c>
      <c r="B68" s="18" t="s">
        <v>779</v>
      </c>
      <c r="C68" s="18" t="s">
        <v>921</v>
      </c>
      <c r="D68" s="19">
        <v>43769</v>
      </c>
      <c r="E68" s="18">
        <v>1</v>
      </c>
      <c r="F68" s="18" t="s">
        <v>970</v>
      </c>
      <c r="G68" s="18">
        <v>20600639634</v>
      </c>
      <c r="H68" s="18"/>
      <c r="I68" s="18" t="s">
        <v>137</v>
      </c>
      <c r="J68" s="18" t="s">
        <v>971</v>
      </c>
      <c r="K68" s="20">
        <v>15</v>
      </c>
      <c r="L68" s="20">
        <f t="shared" si="9"/>
        <v>2.6999999999999997</v>
      </c>
      <c r="M68" s="21">
        <f t="shared" si="10"/>
        <v>17.7</v>
      </c>
    </row>
    <row r="69" spans="1:13" x14ac:dyDescent="0.2">
      <c r="A69" s="18">
        <f t="shared" si="2"/>
        <v>66</v>
      </c>
      <c r="B69" s="18" t="s">
        <v>850</v>
      </c>
      <c r="C69" s="18" t="s">
        <v>972</v>
      </c>
      <c r="D69" s="19">
        <v>43767</v>
      </c>
      <c r="E69" s="18">
        <v>3</v>
      </c>
      <c r="F69" s="18" t="s">
        <v>973</v>
      </c>
      <c r="G69" s="18">
        <v>10075011411</v>
      </c>
      <c r="H69" s="18"/>
      <c r="I69" s="18" t="s">
        <v>193</v>
      </c>
      <c r="J69" s="18" t="s">
        <v>974</v>
      </c>
      <c r="K69" s="20">
        <v>144.06779661016949</v>
      </c>
      <c r="L69" s="20">
        <f t="shared" si="9"/>
        <v>25.932203389830509</v>
      </c>
      <c r="M69" s="21">
        <f t="shared" si="10"/>
        <v>170</v>
      </c>
    </row>
    <row r="70" spans="1:13" x14ac:dyDescent="0.2">
      <c r="A70" s="18">
        <f t="shared" ref="A70:A133" si="11">+A69+1</f>
        <v>67</v>
      </c>
      <c r="B70" s="18" t="s">
        <v>892</v>
      </c>
      <c r="C70" s="18" t="s">
        <v>975</v>
      </c>
      <c r="D70" s="19">
        <v>43767</v>
      </c>
      <c r="E70" s="18">
        <v>3</v>
      </c>
      <c r="F70" s="18" t="s">
        <v>976</v>
      </c>
      <c r="G70" s="18">
        <v>10075011411</v>
      </c>
      <c r="H70" s="18"/>
      <c r="I70" s="18" t="s">
        <v>193</v>
      </c>
      <c r="J70" s="18" t="s">
        <v>196</v>
      </c>
      <c r="K70" s="20">
        <v>50.847457627118644</v>
      </c>
      <c r="L70" s="20">
        <f t="shared" si="9"/>
        <v>9.1525423728813546</v>
      </c>
      <c r="M70" s="21">
        <f t="shared" si="10"/>
        <v>60</v>
      </c>
    </row>
    <row r="71" spans="1:13" x14ac:dyDescent="0.2">
      <c r="A71" s="18">
        <f t="shared" si="11"/>
        <v>68</v>
      </c>
      <c r="B71" s="18" t="s">
        <v>892</v>
      </c>
      <c r="C71" s="18" t="s">
        <v>975</v>
      </c>
      <c r="D71" s="19">
        <v>43774</v>
      </c>
      <c r="E71" s="18">
        <v>1</v>
      </c>
      <c r="F71" s="18" t="s">
        <v>977</v>
      </c>
      <c r="G71" s="18">
        <v>20600639634</v>
      </c>
      <c r="H71" s="18"/>
      <c r="I71" s="18" t="s">
        <v>137</v>
      </c>
      <c r="J71" s="18" t="s">
        <v>978</v>
      </c>
      <c r="K71" s="20">
        <v>135.59322033898306</v>
      </c>
      <c r="L71" s="20">
        <f t="shared" si="9"/>
        <v>24.406779661016948</v>
      </c>
      <c r="M71" s="21">
        <f t="shared" si="10"/>
        <v>160</v>
      </c>
    </row>
    <row r="72" spans="1:13" x14ac:dyDescent="0.2">
      <c r="A72" s="18">
        <f t="shared" si="11"/>
        <v>69</v>
      </c>
      <c r="B72" s="18" t="s">
        <v>892</v>
      </c>
      <c r="C72" s="18" t="s">
        <v>975</v>
      </c>
      <c r="D72" s="19">
        <v>43768</v>
      </c>
      <c r="E72" s="18" t="s">
        <v>979</v>
      </c>
      <c r="F72" s="18" t="s">
        <v>980</v>
      </c>
      <c r="G72" s="18">
        <v>20603753896</v>
      </c>
      <c r="H72" s="18"/>
      <c r="I72" s="18" t="s">
        <v>193</v>
      </c>
      <c r="J72" s="18" t="s">
        <v>981</v>
      </c>
      <c r="K72" s="20">
        <v>211.86440677966104</v>
      </c>
      <c r="L72" s="20">
        <f t="shared" si="9"/>
        <v>38.135593220338983</v>
      </c>
      <c r="M72" s="21">
        <f t="shared" si="10"/>
        <v>250.00000000000003</v>
      </c>
    </row>
    <row r="73" spans="1:13" x14ac:dyDescent="0.2">
      <c r="A73" s="18">
        <f t="shared" si="11"/>
        <v>70</v>
      </c>
      <c r="B73" s="18" t="s">
        <v>892</v>
      </c>
      <c r="C73" s="18" t="s">
        <v>975</v>
      </c>
      <c r="D73" s="19">
        <v>43769</v>
      </c>
      <c r="E73" s="18" t="s">
        <v>463</v>
      </c>
      <c r="F73" s="18" t="s">
        <v>982</v>
      </c>
      <c r="G73" s="18">
        <v>20493018711</v>
      </c>
      <c r="H73" s="18"/>
      <c r="I73" s="18" t="s">
        <v>193</v>
      </c>
      <c r="J73" s="18" t="s">
        <v>202</v>
      </c>
      <c r="K73" s="20">
        <v>15.254237288135593</v>
      </c>
      <c r="L73" s="20">
        <f t="shared" si="9"/>
        <v>2.7457627118644066</v>
      </c>
      <c r="M73" s="21">
        <f t="shared" si="10"/>
        <v>18</v>
      </c>
    </row>
    <row r="74" spans="1:13" x14ac:dyDescent="0.2">
      <c r="A74" s="18">
        <f t="shared" si="11"/>
        <v>71</v>
      </c>
      <c r="B74" s="18" t="s">
        <v>879</v>
      </c>
      <c r="C74" s="18" t="s">
        <v>983</v>
      </c>
      <c r="D74" s="19">
        <v>43768</v>
      </c>
      <c r="E74" s="18">
        <v>1</v>
      </c>
      <c r="F74" s="18" t="s">
        <v>984</v>
      </c>
      <c r="G74" s="18">
        <v>10417531055</v>
      </c>
      <c r="H74" s="18"/>
      <c r="I74" s="18" t="s">
        <v>193</v>
      </c>
      <c r="J74" s="18" t="s">
        <v>985</v>
      </c>
      <c r="K74" s="20">
        <v>182.2</v>
      </c>
      <c r="L74" s="20">
        <f t="shared" si="9"/>
        <v>32.795999999999999</v>
      </c>
      <c r="M74" s="21">
        <f t="shared" si="10"/>
        <v>214.99599999999998</v>
      </c>
    </row>
    <row r="75" spans="1:13" x14ac:dyDescent="0.2">
      <c r="A75" s="18">
        <f t="shared" si="11"/>
        <v>72</v>
      </c>
      <c r="B75" s="18" t="s">
        <v>856</v>
      </c>
      <c r="C75" s="18" t="s">
        <v>986</v>
      </c>
      <c r="D75" s="19">
        <v>43769</v>
      </c>
      <c r="E75" s="18">
        <v>1</v>
      </c>
      <c r="F75" s="18" t="s">
        <v>987</v>
      </c>
      <c r="G75" s="18">
        <v>10107711291</v>
      </c>
      <c r="H75" s="18"/>
      <c r="I75" s="18" t="s">
        <v>137</v>
      </c>
      <c r="J75" s="18" t="s">
        <v>988</v>
      </c>
      <c r="K75" s="20">
        <v>25.423728813559322</v>
      </c>
      <c r="L75" s="20">
        <f t="shared" si="9"/>
        <v>4.5762711864406773</v>
      </c>
      <c r="M75" s="21">
        <f t="shared" si="10"/>
        <v>30</v>
      </c>
    </row>
    <row r="76" spans="1:13" x14ac:dyDescent="0.2">
      <c r="A76" s="18">
        <f t="shared" si="11"/>
        <v>73</v>
      </c>
      <c r="B76" s="18" t="s">
        <v>856</v>
      </c>
      <c r="C76" s="18" t="s">
        <v>986</v>
      </c>
      <c r="D76" s="19">
        <v>43773</v>
      </c>
      <c r="E76" s="18" t="s">
        <v>201</v>
      </c>
      <c r="F76" s="18" t="s">
        <v>989</v>
      </c>
      <c r="G76" s="18">
        <v>10100087605</v>
      </c>
      <c r="H76" s="18"/>
      <c r="I76" s="18" t="s">
        <v>193</v>
      </c>
      <c r="J76" s="18" t="s">
        <v>990</v>
      </c>
      <c r="K76" s="20">
        <v>25.423728813559322</v>
      </c>
      <c r="L76" s="20">
        <f t="shared" si="9"/>
        <v>4.5762711864406773</v>
      </c>
      <c r="M76" s="21">
        <f t="shared" si="10"/>
        <v>30</v>
      </c>
    </row>
    <row r="77" spans="1:13" x14ac:dyDescent="0.2">
      <c r="A77" s="18">
        <f t="shared" si="11"/>
        <v>74</v>
      </c>
      <c r="B77" s="18" t="s">
        <v>856</v>
      </c>
      <c r="C77" s="18" t="s">
        <v>986</v>
      </c>
      <c r="D77" s="19">
        <v>43769</v>
      </c>
      <c r="E77" s="18" t="s">
        <v>200</v>
      </c>
      <c r="F77" s="18" t="s">
        <v>991</v>
      </c>
      <c r="G77" s="18">
        <v>20555180927</v>
      </c>
      <c r="H77" s="18"/>
      <c r="I77" s="18" t="s">
        <v>137</v>
      </c>
      <c r="J77" s="18" t="s">
        <v>992</v>
      </c>
      <c r="K77" s="20">
        <v>33.898305084745765</v>
      </c>
      <c r="L77" s="20">
        <f t="shared" si="9"/>
        <v>6.101694915254237</v>
      </c>
      <c r="M77" s="21">
        <f t="shared" si="10"/>
        <v>40</v>
      </c>
    </row>
    <row r="78" spans="1:13" x14ac:dyDescent="0.2">
      <c r="A78" s="18">
        <f t="shared" si="11"/>
        <v>75</v>
      </c>
      <c r="B78" s="18" t="s">
        <v>856</v>
      </c>
      <c r="C78" s="18" t="s">
        <v>986</v>
      </c>
      <c r="D78" s="19">
        <v>43771</v>
      </c>
      <c r="E78" s="18" t="s">
        <v>200</v>
      </c>
      <c r="F78" s="18" t="s">
        <v>993</v>
      </c>
      <c r="G78" s="18">
        <v>20493143612</v>
      </c>
      <c r="H78" s="18"/>
      <c r="I78" s="18" t="s">
        <v>137</v>
      </c>
      <c r="J78" s="18" t="s">
        <v>954</v>
      </c>
      <c r="K78" s="20">
        <v>42.372881355932208</v>
      </c>
      <c r="L78" s="20">
        <f t="shared" si="9"/>
        <v>7.6271186440677967</v>
      </c>
      <c r="M78" s="21">
        <f t="shared" si="10"/>
        <v>50.000000000000007</v>
      </c>
    </row>
    <row r="79" spans="1:13" x14ac:dyDescent="0.2">
      <c r="A79" s="18">
        <f t="shared" si="11"/>
        <v>76</v>
      </c>
      <c r="B79" s="18" t="s">
        <v>771</v>
      </c>
      <c r="C79" s="18" t="s">
        <v>923</v>
      </c>
      <c r="D79" s="19">
        <v>43767</v>
      </c>
      <c r="E79" s="18" t="s">
        <v>200</v>
      </c>
      <c r="F79" s="18" t="s">
        <v>994</v>
      </c>
      <c r="G79" s="18">
        <v>20493143612</v>
      </c>
      <c r="H79" s="18"/>
      <c r="I79" s="18" t="s">
        <v>137</v>
      </c>
      <c r="J79" s="18" t="s">
        <v>954</v>
      </c>
      <c r="K79" s="20">
        <v>42.372881355932208</v>
      </c>
      <c r="L79" s="20">
        <f t="shared" si="9"/>
        <v>7.6271186440677967</v>
      </c>
      <c r="M79" s="21">
        <f t="shared" si="10"/>
        <v>50.000000000000007</v>
      </c>
    </row>
    <row r="80" spans="1:13" x14ac:dyDescent="0.2">
      <c r="A80" s="18">
        <f t="shared" si="11"/>
        <v>77</v>
      </c>
      <c r="B80" s="18" t="s">
        <v>781</v>
      </c>
      <c r="C80" s="18" t="s">
        <v>950</v>
      </c>
      <c r="D80" s="19">
        <v>43767</v>
      </c>
      <c r="E80" s="18" t="s">
        <v>200</v>
      </c>
      <c r="F80" s="18" t="s">
        <v>995</v>
      </c>
      <c r="G80" s="18">
        <v>20493143612</v>
      </c>
      <c r="H80" s="18"/>
      <c r="I80" s="18" t="s">
        <v>137</v>
      </c>
      <c r="J80" s="18" t="s">
        <v>954</v>
      </c>
      <c r="K80" s="20">
        <v>42.372881355932208</v>
      </c>
      <c r="L80" s="20">
        <f t="shared" si="9"/>
        <v>7.6271186440677967</v>
      </c>
      <c r="M80" s="21">
        <f t="shared" si="10"/>
        <v>50.000000000000007</v>
      </c>
    </row>
    <row r="81" spans="1:13" x14ac:dyDescent="0.2">
      <c r="A81" s="18">
        <f t="shared" si="11"/>
        <v>78</v>
      </c>
      <c r="B81" s="18" t="s">
        <v>848</v>
      </c>
      <c r="C81" s="18" t="s">
        <v>949</v>
      </c>
      <c r="D81" s="19">
        <v>43773</v>
      </c>
      <c r="E81" s="18" t="s">
        <v>463</v>
      </c>
      <c r="F81" s="18" t="s">
        <v>996</v>
      </c>
      <c r="G81" s="18">
        <v>20493143613</v>
      </c>
      <c r="H81" s="18"/>
      <c r="I81" s="18" t="s">
        <v>137</v>
      </c>
      <c r="J81" s="18" t="s">
        <v>954</v>
      </c>
      <c r="K81" s="20">
        <v>42.372881355932208</v>
      </c>
      <c r="L81" s="20">
        <f t="shared" si="9"/>
        <v>7.6271186440677967</v>
      </c>
      <c r="M81" s="21">
        <f t="shared" si="10"/>
        <v>50.000000000000007</v>
      </c>
    </row>
    <row r="82" spans="1:13" x14ac:dyDescent="0.2">
      <c r="A82" s="18">
        <f t="shared" si="11"/>
        <v>79</v>
      </c>
      <c r="B82" s="18" t="s">
        <v>840</v>
      </c>
      <c r="C82" s="18" t="s">
        <v>945</v>
      </c>
      <c r="D82" s="19">
        <v>43775</v>
      </c>
      <c r="E82" s="18" t="s">
        <v>200</v>
      </c>
      <c r="F82" s="18" t="s">
        <v>997</v>
      </c>
      <c r="G82" s="18">
        <v>20493143612</v>
      </c>
      <c r="H82" s="18"/>
      <c r="I82" s="18" t="s">
        <v>137</v>
      </c>
      <c r="J82" s="18" t="s">
        <v>954</v>
      </c>
      <c r="K82" s="20">
        <v>42.372881355932208</v>
      </c>
      <c r="L82" s="20">
        <f t="shared" si="9"/>
        <v>7.6271186440677967</v>
      </c>
      <c r="M82" s="21">
        <f t="shared" si="10"/>
        <v>50.000000000000007</v>
      </c>
    </row>
    <row r="83" spans="1:13" x14ac:dyDescent="0.2">
      <c r="A83" s="18">
        <f t="shared" si="11"/>
        <v>80</v>
      </c>
      <c r="B83" s="18" t="s">
        <v>828</v>
      </c>
      <c r="C83" s="18" t="s">
        <v>910</v>
      </c>
      <c r="D83" s="19">
        <v>43775</v>
      </c>
      <c r="E83" s="18" t="s">
        <v>200</v>
      </c>
      <c r="F83" s="18" t="s">
        <v>998</v>
      </c>
      <c r="G83" s="18">
        <v>20493143613</v>
      </c>
      <c r="H83" s="18"/>
      <c r="I83" s="18" t="s">
        <v>137</v>
      </c>
      <c r="J83" s="18" t="s">
        <v>954</v>
      </c>
      <c r="K83" s="20">
        <v>42.372881355932208</v>
      </c>
      <c r="L83" s="20">
        <f t="shared" si="9"/>
        <v>7.6271186440677967</v>
      </c>
      <c r="M83" s="21">
        <f t="shared" si="10"/>
        <v>50.000000000000007</v>
      </c>
    </row>
    <row r="84" spans="1:13" x14ac:dyDescent="0.2">
      <c r="A84" s="18">
        <f t="shared" si="11"/>
        <v>81</v>
      </c>
      <c r="B84" s="18" t="s">
        <v>852</v>
      </c>
      <c r="C84" s="18" t="s">
        <v>943</v>
      </c>
      <c r="D84" s="19">
        <v>43774</v>
      </c>
      <c r="E84" s="18">
        <v>1</v>
      </c>
      <c r="F84" s="18" t="s">
        <v>999</v>
      </c>
      <c r="G84" s="18">
        <v>10417531055</v>
      </c>
      <c r="H84" s="18"/>
      <c r="I84" s="18" t="s">
        <v>193</v>
      </c>
      <c r="J84" s="18" t="s">
        <v>985</v>
      </c>
      <c r="K84" s="20">
        <v>177.96610169491527</v>
      </c>
      <c r="L84" s="20">
        <f t="shared" si="9"/>
        <v>32.033898305084747</v>
      </c>
      <c r="M84" s="21">
        <f t="shared" si="10"/>
        <v>210</v>
      </c>
    </row>
    <row r="85" spans="1:13" x14ac:dyDescent="0.2">
      <c r="A85" s="18">
        <f t="shared" si="11"/>
        <v>82</v>
      </c>
      <c r="B85" s="18" t="s">
        <v>879</v>
      </c>
      <c r="C85" s="18" t="s">
        <v>983</v>
      </c>
      <c r="D85" s="19">
        <v>43774</v>
      </c>
      <c r="E85" s="18" t="s">
        <v>979</v>
      </c>
      <c r="F85" s="18" t="s">
        <v>1000</v>
      </c>
      <c r="G85" s="18">
        <v>20603753896</v>
      </c>
      <c r="H85" s="18"/>
      <c r="I85" s="18" t="s">
        <v>193</v>
      </c>
      <c r="J85" s="18" t="s">
        <v>1001</v>
      </c>
      <c r="K85" s="20">
        <v>305.08474576271186</v>
      </c>
      <c r="L85" s="20">
        <f t="shared" si="9"/>
        <v>54.915254237288131</v>
      </c>
      <c r="M85" s="21">
        <f t="shared" si="10"/>
        <v>360</v>
      </c>
    </row>
    <row r="86" spans="1:13" x14ac:dyDescent="0.2">
      <c r="A86" s="18">
        <f t="shared" si="11"/>
        <v>83</v>
      </c>
      <c r="B86" s="18" t="s">
        <v>865</v>
      </c>
      <c r="C86" s="18" t="s">
        <v>1002</v>
      </c>
      <c r="D86" s="19">
        <v>43774</v>
      </c>
      <c r="E86" s="18" t="s">
        <v>979</v>
      </c>
      <c r="F86" s="18" t="s">
        <v>1003</v>
      </c>
      <c r="G86" s="18">
        <v>20603753896</v>
      </c>
      <c r="H86" s="18"/>
      <c r="I86" s="18" t="s">
        <v>193</v>
      </c>
      <c r="J86" s="18" t="s">
        <v>1004</v>
      </c>
      <c r="K86" s="20">
        <f>449.152542372881-275</f>
        <v>174.15254237288099</v>
      </c>
      <c r="L86" s="20">
        <f t="shared" si="9"/>
        <v>31.347457627118576</v>
      </c>
      <c r="M86" s="21">
        <f t="shared" si="10"/>
        <v>205.49999999999957</v>
      </c>
    </row>
    <row r="87" spans="1:13" x14ac:dyDescent="0.2">
      <c r="A87" s="18">
        <f t="shared" si="11"/>
        <v>84</v>
      </c>
      <c r="B87" s="18" t="s">
        <v>877</v>
      </c>
      <c r="C87" s="18" t="s">
        <v>1005</v>
      </c>
      <c r="D87" s="19">
        <v>43768</v>
      </c>
      <c r="E87" s="18">
        <v>1</v>
      </c>
      <c r="F87" s="18" t="s">
        <v>984</v>
      </c>
      <c r="G87" s="18">
        <v>10417531055</v>
      </c>
      <c r="H87" s="18"/>
      <c r="I87" s="18" t="s">
        <v>193</v>
      </c>
      <c r="J87" s="18" t="s">
        <v>985</v>
      </c>
      <c r="K87" s="20">
        <v>182.2</v>
      </c>
      <c r="L87" s="20">
        <f t="shared" si="9"/>
        <v>32.795999999999999</v>
      </c>
      <c r="M87" s="21">
        <f t="shared" si="10"/>
        <v>214.99599999999998</v>
      </c>
    </row>
    <row r="88" spans="1:13" x14ac:dyDescent="0.2">
      <c r="A88" s="18">
        <f t="shared" si="11"/>
        <v>85</v>
      </c>
      <c r="B88" s="18" t="s">
        <v>865</v>
      </c>
      <c r="C88" s="18" t="s">
        <v>1002</v>
      </c>
      <c r="D88" s="19">
        <v>43774</v>
      </c>
      <c r="E88" s="18">
        <v>1</v>
      </c>
      <c r="F88" s="18">
        <v>1911</v>
      </c>
      <c r="G88" s="18">
        <v>20603753896</v>
      </c>
      <c r="H88" s="18"/>
      <c r="I88" s="18" t="s">
        <v>193</v>
      </c>
      <c r="J88" s="18" t="s">
        <v>1006</v>
      </c>
      <c r="K88" s="20">
        <v>33.9</v>
      </c>
      <c r="L88" s="20">
        <f t="shared" si="9"/>
        <v>6.1019999999999994</v>
      </c>
      <c r="M88" s="21">
        <f t="shared" si="10"/>
        <v>40.001999999999995</v>
      </c>
    </row>
    <row r="89" spans="1:13" x14ac:dyDescent="0.2">
      <c r="A89" s="18">
        <f t="shared" si="11"/>
        <v>86</v>
      </c>
      <c r="B89" s="18" t="s">
        <v>879</v>
      </c>
      <c r="C89" s="18" t="s">
        <v>983</v>
      </c>
      <c r="D89" s="19">
        <v>43774</v>
      </c>
      <c r="E89" s="18">
        <v>1</v>
      </c>
      <c r="F89" s="18">
        <v>1915</v>
      </c>
      <c r="G89" s="18">
        <v>20603753896</v>
      </c>
      <c r="H89" s="18"/>
      <c r="I89" s="18" t="s">
        <v>193</v>
      </c>
      <c r="J89" s="18" t="s">
        <v>229</v>
      </c>
      <c r="K89" s="20">
        <v>38.14</v>
      </c>
      <c r="L89" s="20">
        <f t="shared" si="9"/>
        <v>6.8651999999999997</v>
      </c>
      <c r="M89" s="21">
        <f t="shared" si="10"/>
        <v>45.005200000000002</v>
      </c>
    </row>
    <row r="90" spans="1:13" x14ac:dyDescent="0.2">
      <c r="A90" s="18">
        <f t="shared" si="11"/>
        <v>87</v>
      </c>
      <c r="B90" s="18" t="s">
        <v>879</v>
      </c>
      <c r="C90" s="18" t="s">
        <v>983</v>
      </c>
      <c r="D90" s="19">
        <v>43774</v>
      </c>
      <c r="E90" s="18">
        <v>1</v>
      </c>
      <c r="F90" s="18">
        <v>1915</v>
      </c>
      <c r="G90" s="18">
        <v>20603753896</v>
      </c>
      <c r="H90" s="18"/>
      <c r="I90" s="18" t="s">
        <v>193</v>
      </c>
      <c r="J90" s="18" t="s">
        <v>1007</v>
      </c>
      <c r="K90" s="20">
        <v>38.14</v>
      </c>
      <c r="L90" s="20">
        <f t="shared" ref="L90:L115" si="12">+K90*18%</f>
        <v>6.8651999999999997</v>
      </c>
      <c r="M90" s="21">
        <f t="shared" ref="M90:M115" si="13">+K90+L90</f>
        <v>45.005200000000002</v>
      </c>
    </row>
    <row r="91" spans="1:13" x14ac:dyDescent="0.2">
      <c r="A91" s="18">
        <f t="shared" si="11"/>
        <v>88</v>
      </c>
      <c r="B91" s="18" t="s">
        <v>1008</v>
      </c>
      <c r="C91" s="18" t="s">
        <v>1009</v>
      </c>
      <c r="D91" s="19">
        <v>43780</v>
      </c>
      <c r="E91" s="18" t="s">
        <v>979</v>
      </c>
      <c r="F91" s="18">
        <v>1984</v>
      </c>
      <c r="G91" s="18">
        <v>20603753896</v>
      </c>
      <c r="H91" s="18"/>
      <c r="I91" s="18" t="s">
        <v>193</v>
      </c>
      <c r="J91" s="18" t="s">
        <v>1010</v>
      </c>
      <c r="K91" s="20">
        <v>177.97</v>
      </c>
      <c r="L91" s="20">
        <f t="shared" si="12"/>
        <v>32.034599999999998</v>
      </c>
      <c r="M91" s="21">
        <f t="shared" si="13"/>
        <v>210.00459999999998</v>
      </c>
    </row>
    <row r="92" spans="1:13" x14ac:dyDescent="0.2">
      <c r="A92" s="18">
        <f t="shared" si="11"/>
        <v>89</v>
      </c>
      <c r="B92" s="18" t="s">
        <v>1011</v>
      </c>
      <c r="C92" s="18" t="s">
        <v>1012</v>
      </c>
      <c r="D92" s="19">
        <v>43780</v>
      </c>
      <c r="E92" s="18" t="s">
        <v>979</v>
      </c>
      <c r="F92" s="18">
        <v>1984</v>
      </c>
      <c r="G92" s="18">
        <v>20603753896</v>
      </c>
      <c r="H92" s="18"/>
      <c r="I92" s="18" t="s">
        <v>193</v>
      </c>
      <c r="J92" s="18" t="s">
        <v>503</v>
      </c>
      <c r="K92" s="20">
        <v>101.69</v>
      </c>
      <c r="L92" s="20">
        <f t="shared" si="12"/>
        <v>18.304199999999998</v>
      </c>
      <c r="M92" s="21">
        <f t="shared" si="13"/>
        <v>119.99419999999999</v>
      </c>
    </row>
    <row r="93" spans="1:13" x14ac:dyDescent="0.2">
      <c r="A93" s="18">
        <f t="shared" si="11"/>
        <v>90</v>
      </c>
      <c r="B93" s="18" t="s">
        <v>1013</v>
      </c>
      <c r="C93" s="18" t="s">
        <v>1014</v>
      </c>
      <c r="D93" s="19">
        <v>43780</v>
      </c>
      <c r="E93" s="18">
        <v>1</v>
      </c>
      <c r="F93" s="18">
        <v>71</v>
      </c>
      <c r="G93" s="18">
        <v>20604639621</v>
      </c>
      <c r="H93" s="18"/>
      <c r="I93" s="18" t="s">
        <v>193</v>
      </c>
      <c r="J93" s="18" t="s">
        <v>254</v>
      </c>
      <c r="K93" s="20">
        <v>53.64</v>
      </c>
      <c r="L93" s="20">
        <f t="shared" si="12"/>
        <v>9.6551999999999989</v>
      </c>
      <c r="M93" s="21">
        <f t="shared" si="13"/>
        <v>63.295200000000001</v>
      </c>
    </row>
    <row r="94" spans="1:13" x14ac:dyDescent="0.2">
      <c r="A94" s="18">
        <f t="shared" si="11"/>
        <v>91</v>
      </c>
      <c r="B94" s="18" t="s">
        <v>1015</v>
      </c>
      <c r="C94" s="18" t="s">
        <v>1016</v>
      </c>
      <c r="D94" s="19">
        <v>43780</v>
      </c>
      <c r="E94" s="18">
        <v>5</v>
      </c>
      <c r="F94" s="18">
        <v>466</v>
      </c>
      <c r="G94" s="18">
        <v>10426916393</v>
      </c>
      <c r="H94" s="18"/>
      <c r="I94" s="18" t="s">
        <v>193</v>
      </c>
      <c r="J94" s="18" t="s">
        <v>430</v>
      </c>
      <c r="K94" s="20">
        <v>110.17</v>
      </c>
      <c r="L94" s="20">
        <f t="shared" si="12"/>
        <v>19.8306</v>
      </c>
      <c r="M94" s="21">
        <f t="shared" si="13"/>
        <v>130.00059999999999</v>
      </c>
    </row>
    <row r="95" spans="1:13" x14ac:dyDescent="0.2">
      <c r="A95" s="18">
        <f t="shared" si="11"/>
        <v>92</v>
      </c>
      <c r="B95" s="18" t="s">
        <v>1013</v>
      </c>
      <c r="C95" s="18" t="s">
        <v>1014</v>
      </c>
      <c r="D95" s="19">
        <v>43780</v>
      </c>
      <c r="E95" s="18">
        <v>5</v>
      </c>
      <c r="F95" s="18">
        <v>448</v>
      </c>
      <c r="G95" s="18">
        <v>10426916393</v>
      </c>
      <c r="H95" s="18"/>
      <c r="I95" s="18" t="s">
        <v>193</v>
      </c>
      <c r="J95" s="18" t="s">
        <v>580</v>
      </c>
      <c r="K95" s="20">
        <v>38.14</v>
      </c>
      <c r="L95" s="20">
        <f t="shared" si="12"/>
        <v>6.8651999999999997</v>
      </c>
      <c r="M95" s="21">
        <f t="shared" si="13"/>
        <v>45.005200000000002</v>
      </c>
    </row>
    <row r="96" spans="1:13" x14ac:dyDescent="0.2">
      <c r="A96" s="18">
        <f t="shared" si="11"/>
        <v>93</v>
      </c>
      <c r="B96" s="18" t="s">
        <v>1017</v>
      </c>
      <c r="C96" s="18" t="s">
        <v>1018</v>
      </c>
      <c r="D96" s="19">
        <v>43780</v>
      </c>
      <c r="E96" s="18">
        <v>5</v>
      </c>
      <c r="F96" s="18">
        <v>455</v>
      </c>
      <c r="G96" s="18">
        <v>10426916393</v>
      </c>
      <c r="H96" s="18"/>
      <c r="I96" s="18" t="s">
        <v>193</v>
      </c>
      <c r="J96" s="18" t="s">
        <v>580</v>
      </c>
      <c r="K96" s="20">
        <v>76.28</v>
      </c>
      <c r="L96" s="20">
        <f t="shared" si="12"/>
        <v>13.730399999999999</v>
      </c>
      <c r="M96" s="21">
        <f t="shared" si="13"/>
        <v>90.010400000000004</v>
      </c>
    </row>
    <row r="97" spans="1:13" x14ac:dyDescent="0.2">
      <c r="A97" s="18">
        <f t="shared" si="11"/>
        <v>94</v>
      </c>
      <c r="B97" s="18" t="s">
        <v>1019</v>
      </c>
      <c r="C97" s="18" t="s">
        <v>1020</v>
      </c>
      <c r="D97" s="19">
        <v>43780</v>
      </c>
      <c r="E97" s="18">
        <v>5</v>
      </c>
      <c r="F97" s="18">
        <v>457</v>
      </c>
      <c r="G97" s="18">
        <v>10426916393</v>
      </c>
      <c r="H97" s="18"/>
      <c r="I97" s="18" t="s">
        <v>193</v>
      </c>
      <c r="J97" s="18" t="s">
        <v>1021</v>
      </c>
      <c r="K97" s="20">
        <v>194.92</v>
      </c>
      <c r="L97" s="20">
        <f t="shared" si="12"/>
        <v>35.085599999999999</v>
      </c>
      <c r="M97" s="21">
        <f t="shared" si="13"/>
        <v>230.00559999999999</v>
      </c>
    </row>
    <row r="98" spans="1:13" x14ac:dyDescent="0.2">
      <c r="A98" s="18">
        <f t="shared" si="11"/>
        <v>95</v>
      </c>
      <c r="B98" s="18" t="s">
        <v>1022</v>
      </c>
      <c r="C98" s="18" t="s">
        <v>1023</v>
      </c>
      <c r="D98" s="19">
        <v>43778</v>
      </c>
      <c r="E98" s="18">
        <v>5</v>
      </c>
      <c r="F98" s="18">
        <v>440</v>
      </c>
      <c r="G98" s="18">
        <v>10426916393</v>
      </c>
      <c r="H98" s="18"/>
      <c r="I98" s="18" t="s">
        <v>193</v>
      </c>
      <c r="J98" s="18" t="s">
        <v>202</v>
      </c>
      <c r="K98" s="20">
        <v>21.19</v>
      </c>
      <c r="L98" s="20">
        <f t="shared" si="12"/>
        <v>3.8142</v>
      </c>
      <c r="M98" s="21">
        <f t="shared" si="13"/>
        <v>25.004200000000001</v>
      </c>
    </row>
    <row r="99" spans="1:13" x14ac:dyDescent="0.2">
      <c r="A99" s="18">
        <f t="shared" si="11"/>
        <v>96</v>
      </c>
      <c r="B99" s="18" t="s">
        <v>938</v>
      </c>
      <c r="C99" s="18" t="s">
        <v>939</v>
      </c>
      <c r="D99" s="19">
        <v>43780</v>
      </c>
      <c r="E99" s="18">
        <v>1</v>
      </c>
      <c r="F99" s="18">
        <v>1298</v>
      </c>
      <c r="G99" s="18">
        <v>10427505524</v>
      </c>
      <c r="H99" s="18"/>
      <c r="I99" s="18" t="s">
        <v>193</v>
      </c>
      <c r="J99" s="18" t="s">
        <v>1024</v>
      </c>
      <c r="K99" s="20">
        <v>254.24</v>
      </c>
      <c r="L99" s="20">
        <f t="shared" si="12"/>
        <v>45.763199999999998</v>
      </c>
      <c r="M99" s="21">
        <f t="shared" si="13"/>
        <v>300.00319999999999</v>
      </c>
    </row>
    <row r="100" spans="1:13" x14ac:dyDescent="0.2">
      <c r="A100" s="18">
        <f t="shared" si="11"/>
        <v>97</v>
      </c>
      <c r="B100" s="18" t="s">
        <v>938</v>
      </c>
      <c r="C100" s="18" t="s">
        <v>939</v>
      </c>
      <c r="D100" s="19">
        <v>43778</v>
      </c>
      <c r="E100" s="18">
        <v>1</v>
      </c>
      <c r="F100" s="18">
        <v>2308</v>
      </c>
      <c r="G100" s="18">
        <v>20508971177</v>
      </c>
      <c r="H100" s="18"/>
      <c r="I100" s="18" t="s">
        <v>193</v>
      </c>
      <c r="J100" s="18" t="s">
        <v>1025</v>
      </c>
      <c r="K100" s="20">
        <v>45</v>
      </c>
      <c r="L100" s="20">
        <f t="shared" si="12"/>
        <v>8.1</v>
      </c>
      <c r="M100" s="21">
        <f t="shared" si="13"/>
        <v>53.1</v>
      </c>
    </row>
    <row r="101" spans="1:13" x14ac:dyDescent="0.2">
      <c r="A101" s="18">
        <f t="shared" si="11"/>
        <v>98</v>
      </c>
      <c r="B101" s="18" t="s">
        <v>865</v>
      </c>
      <c r="C101" s="18" t="s">
        <v>1002</v>
      </c>
      <c r="D101" s="19">
        <v>43774</v>
      </c>
      <c r="E101" s="18">
        <v>1</v>
      </c>
      <c r="F101" s="18">
        <v>11258</v>
      </c>
      <c r="G101" s="18">
        <v>10107711291</v>
      </c>
      <c r="H101" s="18"/>
      <c r="I101" s="18" t="s">
        <v>193</v>
      </c>
      <c r="J101" s="18" t="s">
        <v>225</v>
      </c>
      <c r="K101" s="20">
        <v>237.29</v>
      </c>
      <c r="L101" s="20">
        <f t="shared" si="12"/>
        <v>42.712199999999996</v>
      </c>
      <c r="M101" s="21">
        <f t="shared" si="13"/>
        <v>280.00220000000002</v>
      </c>
    </row>
    <row r="102" spans="1:13" x14ac:dyDescent="0.2">
      <c r="A102" s="18">
        <f t="shared" si="11"/>
        <v>99</v>
      </c>
      <c r="B102" s="18" t="s">
        <v>846</v>
      </c>
      <c r="C102" s="18" t="s">
        <v>1221</v>
      </c>
      <c r="D102" s="19">
        <v>43773</v>
      </c>
      <c r="E102" s="18" t="s">
        <v>201</v>
      </c>
      <c r="F102" s="18">
        <v>197</v>
      </c>
      <c r="G102" s="18">
        <v>10442054989</v>
      </c>
      <c r="H102" s="18"/>
      <c r="I102" s="18" t="s">
        <v>137</v>
      </c>
      <c r="J102" s="18" t="s">
        <v>1222</v>
      </c>
      <c r="K102" s="20">
        <v>120</v>
      </c>
      <c r="L102" s="20">
        <f t="shared" si="12"/>
        <v>21.599999999999998</v>
      </c>
      <c r="M102" s="21">
        <f t="shared" si="13"/>
        <v>141.6</v>
      </c>
    </row>
    <row r="103" spans="1:13" x14ac:dyDescent="0.2">
      <c r="A103" s="18">
        <f t="shared" si="11"/>
        <v>100</v>
      </c>
      <c r="B103" s="18" t="s">
        <v>828</v>
      </c>
      <c r="C103" s="18" t="s">
        <v>910</v>
      </c>
      <c r="D103" s="19">
        <v>43775</v>
      </c>
      <c r="E103" s="18" t="s">
        <v>201</v>
      </c>
      <c r="F103" s="18">
        <v>198</v>
      </c>
      <c r="G103" s="18">
        <v>10442054989</v>
      </c>
      <c r="H103" s="18"/>
      <c r="I103" s="18" t="s">
        <v>137</v>
      </c>
      <c r="J103" s="18" t="s">
        <v>1222</v>
      </c>
      <c r="K103" s="20">
        <v>21</v>
      </c>
      <c r="L103" s="20">
        <f t="shared" si="12"/>
        <v>3.78</v>
      </c>
      <c r="M103" s="21">
        <f t="shared" si="13"/>
        <v>24.78</v>
      </c>
    </row>
    <row r="104" spans="1:13" x14ac:dyDescent="0.2">
      <c r="A104" s="18">
        <f t="shared" si="11"/>
        <v>101</v>
      </c>
      <c r="B104" s="18" t="s">
        <v>825</v>
      </c>
      <c r="C104" s="18" t="s">
        <v>959</v>
      </c>
      <c r="D104" s="19">
        <v>43775</v>
      </c>
      <c r="E104" s="18" t="s">
        <v>201</v>
      </c>
      <c r="F104" s="18">
        <v>198</v>
      </c>
      <c r="G104" s="18">
        <v>10442054989</v>
      </c>
      <c r="H104" s="18"/>
      <c r="I104" s="18" t="s">
        <v>137</v>
      </c>
      <c r="J104" s="18" t="s">
        <v>1222</v>
      </c>
      <c r="K104" s="20">
        <v>63</v>
      </c>
      <c r="L104" s="20">
        <f t="shared" si="12"/>
        <v>11.34</v>
      </c>
      <c r="M104" s="21">
        <f t="shared" si="13"/>
        <v>74.34</v>
      </c>
    </row>
    <row r="105" spans="1:13" x14ac:dyDescent="0.2">
      <c r="A105" s="18">
        <f t="shared" si="11"/>
        <v>102</v>
      </c>
      <c r="B105" s="18" t="s">
        <v>871</v>
      </c>
      <c r="C105" s="18" t="s">
        <v>1163</v>
      </c>
      <c r="D105" s="19">
        <v>43773</v>
      </c>
      <c r="E105" s="18" t="s">
        <v>201</v>
      </c>
      <c r="F105" s="18">
        <v>196</v>
      </c>
      <c r="G105" s="18">
        <v>10442054989</v>
      </c>
      <c r="H105" s="18"/>
      <c r="I105" s="18" t="s">
        <v>137</v>
      </c>
      <c r="J105" s="18" t="s">
        <v>1222</v>
      </c>
      <c r="K105" s="20">
        <f>9*3.35</f>
        <v>30.150000000000002</v>
      </c>
      <c r="L105" s="20">
        <f t="shared" si="12"/>
        <v>5.4270000000000005</v>
      </c>
      <c r="M105" s="21">
        <f t="shared" si="13"/>
        <v>35.577000000000005</v>
      </c>
    </row>
    <row r="106" spans="1:13" x14ac:dyDescent="0.2">
      <c r="A106" s="18">
        <f t="shared" si="11"/>
        <v>103</v>
      </c>
      <c r="B106" s="18" t="s">
        <v>854</v>
      </c>
      <c r="C106" s="18" t="s">
        <v>1165</v>
      </c>
      <c r="D106" s="19">
        <v>43773</v>
      </c>
      <c r="E106" s="18" t="s">
        <v>201</v>
      </c>
      <c r="F106" s="18">
        <v>196</v>
      </c>
      <c r="G106" s="18">
        <v>10442054989</v>
      </c>
      <c r="H106" s="18"/>
      <c r="I106" s="18" t="s">
        <v>137</v>
      </c>
      <c r="J106" s="18" t="s">
        <v>1222</v>
      </c>
      <c r="K106" s="20">
        <f>24*3.35</f>
        <v>80.400000000000006</v>
      </c>
      <c r="L106" s="20">
        <f t="shared" si="12"/>
        <v>14.472000000000001</v>
      </c>
      <c r="M106" s="21">
        <f t="shared" si="13"/>
        <v>94.872000000000014</v>
      </c>
    </row>
    <row r="107" spans="1:13" x14ac:dyDescent="0.2">
      <c r="A107" s="18">
        <f t="shared" si="11"/>
        <v>104</v>
      </c>
      <c r="B107" s="18" t="s">
        <v>1202</v>
      </c>
      <c r="C107" s="18" t="s">
        <v>1165</v>
      </c>
      <c r="D107" s="19">
        <v>43773</v>
      </c>
      <c r="E107" s="18" t="s">
        <v>201</v>
      </c>
      <c r="F107" s="18">
        <v>196</v>
      </c>
      <c r="G107" s="18">
        <v>10442054989</v>
      </c>
      <c r="H107" s="18"/>
      <c r="I107" s="18" t="s">
        <v>137</v>
      </c>
      <c r="J107" s="18" t="s">
        <v>1222</v>
      </c>
      <c r="K107" s="20">
        <f>6*3.35</f>
        <v>20.100000000000001</v>
      </c>
      <c r="L107" s="20">
        <f t="shared" si="12"/>
        <v>3.6180000000000003</v>
      </c>
      <c r="M107" s="21">
        <f t="shared" si="13"/>
        <v>23.718000000000004</v>
      </c>
    </row>
    <row r="108" spans="1:13" x14ac:dyDescent="0.2">
      <c r="A108" s="18">
        <f t="shared" si="11"/>
        <v>105</v>
      </c>
      <c r="B108" s="18" t="s">
        <v>842</v>
      </c>
      <c r="C108" s="18" t="s">
        <v>1159</v>
      </c>
      <c r="D108" s="19">
        <v>43773</v>
      </c>
      <c r="E108" s="18" t="s">
        <v>201</v>
      </c>
      <c r="F108" s="18">
        <v>196</v>
      </c>
      <c r="G108" s="18">
        <v>10442054989</v>
      </c>
      <c r="H108" s="18"/>
      <c r="I108" s="18" t="s">
        <v>137</v>
      </c>
      <c r="J108" s="18" t="s">
        <v>1222</v>
      </c>
      <c r="K108" s="20">
        <f>7.5*3.35</f>
        <v>25.125</v>
      </c>
      <c r="L108" s="20">
        <f t="shared" si="12"/>
        <v>4.5225</v>
      </c>
      <c r="M108" s="21">
        <f t="shared" si="13"/>
        <v>29.647500000000001</v>
      </c>
    </row>
    <row r="109" spans="1:13" x14ac:dyDescent="0.2">
      <c r="A109" s="18">
        <f t="shared" si="11"/>
        <v>106</v>
      </c>
      <c r="B109" s="18" t="s">
        <v>837</v>
      </c>
      <c r="C109" s="18" t="s">
        <v>1169</v>
      </c>
      <c r="D109" s="19">
        <v>43773</v>
      </c>
      <c r="E109" s="18" t="s">
        <v>201</v>
      </c>
      <c r="F109" s="18">
        <v>196</v>
      </c>
      <c r="G109" s="18">
        <v>10442054989</v>
      </c>
      <c r="H109" s="18"/>
      <c r="I109" s="18" t="s">
        <v>137</v>
      </c>
      <c r="J109" s="18" t="s">
        <v>1222</v>
      </c>
      <c r="K109" s="20">
        <f>11.4*3.35</f>
        <v>38.190000000000005</v>
      </c>
      <c r="L109" s="20">
        <f t="shared" si="12"/>
        <v>6.874200000000001</v>
      </c>
      <c r="M109" s="21">
        <f t="shared" si="13"/>
        <v>45.064200000000007</v>
      </c>
    </row>
    <row r="110" spans="1:13" x14ac:dyDescent="0.2">
      <c r="A110" s="18">
        <f t="shared" si="11"/>
        <v>107</v>
      </c>
      <c r="B110" s="18" t="s">
        <v>834</v>
      </c>
      <c r="C110" s="18" t="s">
        <v>953</v>
      </c>
      <c r="D110" s="19">
        <v>43773</v>
      </c>
      <c r="E110" s="18" t="s">
        <v>201</v>
      </c>
      <c r="F110" s="18">
        <v>196</v>
      </c>
      <c r="G110" s="18">
        <v>10442054989</v>
      </c>
      <c r="H110" s="18"/>
      <c r="I110" s="18" t="s">
        <v>137</v>
      </c>
      <c r="J110" s="18" t="s">
        <v>1222</v>
      </c>
      <c r="K110" s="20">
        <f>6*3.35</f>
        <v>20.100000000000001</v>
      </c>
      <c r="L110" s="20">
        <f t="shared" si="12"/>
        <v>3.6180000000000003</v>
      </c>
      <c r="M110" s="21">
        <f t="shared" si="13"/>
        <v>23.718000000000004</v>
      </c>
    </row>
    <row r="111" spans="1:13" x14ac:dyDescent="0.2">
      <c r="A111" s="18">
        <f t="shared" si="11"/>
        <v>108</v>
      </c>
      <c r="B111" s="18" t="s">
        <v>875</v>
      </c>
      <c r="C111" s="18" t="s">
        <v>908</v>
      </c>
      <c r="D111" s="19">
        <v>43773</v>
      </c>
      <c r="E111" s="18" t="s">
        <v>201</v>
      </c>
      <c r="F111" s="18">
        <v>195</v>
      </c>
      <c r="G111" s="18">
        <v>10442054989</v>
      </c>
      <c r="H111" s="18"/>
      <c r="I111" s="18" t="s">
        <v>137</v>
      </c>
      <c r="J111" s="18" t="s">
        <v>1222</v>
      </c>
      <c r="K111" s="20">
        <f>4.5*3.35</f>
        <v>15.075000000000001</v>
      </c>
      <c r="L111" s="20">
        <f t="shared" si="12"/>
        <v>2.7135000000000002</v>
      </c>
      <c r="M111" s="21">
        <f t="shared" si="13"/>
        <v>17.788500000000003</v>
      </c>
    </row>
    <row r="112" spans="1:13" x14ac:dyDescent="0.2">
      <c r="A112" s="18">
        <f t="shared" si="11"/>
        <v>109</v>
      </c>
      <c r="B112" s="18" t="s">
        <v>860</v>
      </c>
      <c r="C112" s="18" t="s">
        <v>1168</v>
      </c>
      <c r="D112" s="19">
        <v>43773</v>
      </c>
      <c r="E112" s="18" t="s">
        <v>201</v>
      </c>
      <c r="F112" s="18">
        <v>195</v>
      </c>
      <c r="G112" s="18">
        <v>10442054989</v>
      </c>
      <c r="H112" s="18"/>
      <c r="I112" s="18" t="s">
        <v>137</v>
      </c>
      <c r="J112" s="18" t="s">
        <v>1222</v>
      </c>
      <c r="K112" s="20">
        <f>9*3.35</f>
        <v>30.150000000000002</v>
      </c>
      <c r="L112" s="20">
        <f t="shared" si="12"/>
        <v>5.4270000000000005</v>
      </c>
      <c r="M112" s="21">
        <f t="shared" si="13"/>
        <v>35.577000000000005</v>
      </c>
    </row>
    <row r="113" spans="1:13" x14ac:dyDescent="0.2">
      <c r="A113" s="18">
        <f t="shared" si="11"/>
        <v>110</v>
      </c>
      <c r="B113" s="18" t="s">
        <v>873</v>
      </c>
      <c r="C113" s="18" t="s">
        <v>1167</v>
      </c>
      <c r="D113" s="19">
        <v>43773</v>
      </c>
      <c r="E113" s="18" t="s">
        <v>201</v>
      </c>
      <c r="F113" s="18">
        <v>195</v>
      </c>
      <c r="G113" s="18">
        <v>10442054989</v>
      </c>
      <c r="H113" s="18"/>
      <c r="I113" s="18" t="s">
        <v>137</v>
      </c>
      <c r="J113" s="18" t="s">
        <v>1222</v>
      </c>
      <c r="K113" s="20">
        <f>9*3.35</f>
        <v>30.150000000000002</v>
      </c>
      <c r="L113" s="20">
        <f t="shared" si="12"/>
        <v>5.4270000000000005</v>
      </c>
      <c r="M113" s="21">
        <f t="shared" si="13"/>
        <v>35.577000000000005</v>
      </c>
    </row>
    <row r="114" spans="1:13" x14ac:dyDescent="0.2">
      <c r="A114" s="18">
        <f t="shared" si="11"/>
        <v>111</v>
      </c>
      <c r="B114" s="18" t="s">
        <v>1223</v>
      </c>
      <c r="C114" s="18" t="s">
        <v>1224</v>
      </c>
      <c r="D114" s="19">
        <v>43773</v>
      </c>
      <c r="E114" s="18" t="s">
        <v>201</v>
      </c>
      <c r="F114" s="18">
        <v>195</v>
      </c>
      <c r="G114" s="18">
        <v>10442054989</v>
      </c>
      <c r="H114" s="18"/>
      <c r="I114" s="18" t="s">
        <v>137</v>
      </c>
      <c r="J114" s="18" t="s">
        <v>1222</v>
      </c>
      <c r="K114" s="20">
        <f>15*3.35</f>
        <v>50.25</v>
      </c>
      <c r="L114" s="20">
        <f t="shared" si="12"/>
        <v>9.0449999999999999</v>
      </c>
      <c r="M114" s="21">
        <f t="shared" si="13"/>
        <v>59.295000000000002</v>
      </c>
    </row>
    <row r="115" spans="1:13" x14ac:dyDescent="0.2">
      <c r="A115" s="18">
        <f t="shared" si="11"/>
        <v>112</v>
      </c>
      <c r="B115" s="18" t="s">
        <v>883</v>
      </c>
      <c r="C115" s="18" t="s">
        <v>909</v>
      </c>
      <c r="D115" s="19">
        <v>43773</v>
      </c>
      <c r="E115" s="18" t="s">
        <v>201</v>
      </c>
      <c r="F115" s="18">
        <v>195</v>
      </c>
      <c r="G115" s="18">
        <v>10442054989</v>
      </c>
      <c r="H115" s="18"/>
      <c r="I115" s="18" t="s">
        <v>137</v>
      </c>
      <c r="J115" s="18" t="s">
        <v>1222</v>
      </c>
      <c r="K115" s="20">
        <f>13.5*3.35</f>
        <v>45.225000000000001</v>
      </c>
      <c r="L115" s="20">
        <f t="shared" si="12"/>
        <v>8.1404999999999994</v>
      </c>
      <c r="M115" s="21">
        <f t="shared" si="13"/>
        <v>53.365499999999997</v>
      </c>
    </row>
    <row r="116" spans="1:13" x14ac:dyDescent="0.2">
      <c r="A116" s="18">
        <f t="shared" si="11"/>
        <v>113</v>
      </c>
      <c r="B116" s="18" t="s">
        <v>884</v>
      </c>
      <c r="C116" s="18" t="s">
        <v>1225</v>
      </c>
      <c r="D116" s="19">
        <v>43773</v>
      </c>
      <c r="E116" s="18" t="s">
        <v>201</v>
      </c>
      <c r="F116" s="18">
        <v>195</v>
      </c>
      <c r="G116" s="18">
        <v>10442054989</v>
      </c>
      <c r="H116" s="18"/>
      <c r="I116" s="18" t="s">
        <v>137</v>
      </c>
      <c r="J116" s="18" t="s">
        <v>1222</v>
      </c>
      <c r="K116" s="20">
        <f>9*3.35</f>
        <v>30.150000000000002</v>
      </c>
      <c r="L116" s="20">
        <f t="shared" ref="L116:L123" si="14">+K116*18%</f>
        <v>5.4270000000000005</v>
      </c>
      <c r="M116" s="21">
        <f t="shared" ref="M116:M123" si="15">+K116+L116</f>
        <v>35.577000000000005</v>
      </c>
    </row>
    <row r="117" spans="1:13" x14ac:dyDescent="0.2">
      <c r="A117" s="18">
        <f t="shared" si="11"/>
        <v>114</v>
      </c>
      <c r="B117" s="18" t="s">
        <v>870</v>
      </c>
      <c r="C117" s="18" t="s">
        <v>1165</v>
      </c>
      <c r="D117" s="19">
        <v>43773</v>
      </c>
      <c r="E117" s="18" t="s">
        <v>201</v>
      </c>
      <c r="F117" s="18">
        <v>195</v>
      </c>
      <c r="G117" s="18">
        <v>10442054989</v>
      </c>
      <c r="H117" s="18"/>
      <c r="I117" s="18" t="s">
        <v>137</v>
      </c>
      <c r="J117" s="18" t="s">
        <v>1222</v>
      </c>
      <c r="K117" s="20">
        <f>19.5*3.35</f>
        <v>65.325000000000003</v>
      </c>
      <c r="L117" s="20">
        <f t="shared" si="14"/>
        <v>11.7585</v>
      </c>
      <c r="M117" s="21">
        <f t="shared" si="15"/>
        <v>77.083500000000001</v>
      </c>
    </row>
    <row r="118" spans="1:13" x14ac:dyDescent="0.2">
      <c r="A118" s="18">
        <f t="shared" si="11"/>
        <v>115</v>
      </c>
      <c r="B118" s="18" t="s">
        <v>1226</v>
      </c>
      <c r="C118" s="18" t="s">
        <v>1227</v>
      </c>
      <c r="D118" s="19">
        <v>43773</v>
      </c>
      <c r="E118" s="18" t="s">
        <v>201</v>
      </c>
      <c r="F118" s="18">
        <v>195</v>
      </c>
      <c r="G118" s="18">
        <v>10442054989</v>
      </c>
      <c r="H118" s="18"/>
      <c r="I118" s="18" t="s">
        <v>137</v>
      </c>
      <c r="J118" s="18" t="s">
        <v>1222</v>
      </c>
      <c r="K118" s="20">
        <f>4.5*3.35</f>
        <v>15.075000000000001</v>
      </c>
      <c r="L118" s="20">
        <f t="shared" si="14"/>
        <v>2.7135000000000002</v>
      </c>
      <c r="M118" s="21">
        <f t="shared" si="15"/>
        <v>17.788500000000003</v>
      </c>
    </row>
    <row r="119" spans="1:13" x14ac:dyDescent="0.2">
      <c r="A119" s="18">
        <f t="shared" si="11"/>
        <v>116</v>
      </c>
      <c r="B119" s="18" t="s">
        <v>903</v>
      </c>
      <c r="C119" s="18" t="s">
        <v>924</v>
      </c>
      <c r="D119" s="19">
        <v>43773</v>
      </c>
      <c r="E119" s="18" t="s">
        <v>201</v>
      </c>
      <c r="F119" s="18">
        <v>195</v>
      </c>
      <c r="G119" s="18">
        <v>10442054989</v>
      </c>
      <c r="H119" s="18"/>
      <c r="I119" s="18" t="s">
        <v>137</v>
      </c>
      <c r="J119" s="18" t="s">
        <v>1222</v>
      </c>
      <c r="K119" s="20">
        <f>9*3.35</f>
        <v>30.150000000000002</v>
      </c>
      <c r="L119" s="20">
        <f t="shared" si="14"/>
        <v>5.4270000000000005</v>
      </c>
      <c r="M119" s="21">
        <f t="shared" si="15"/>
        <v>35.577000000000005</v>
      </c>
    </row>
    <row r="120" spans="1:13" x14ac:dyDescent="0.2">
      <c r="A120" s="18">
        <f t="shared" si="11"/>
        <v>117</v>
      </c>
      <c r="B120" s="18" t="s">
        <v>901</v>
      </c>
      <c r="C120" s="18" t="s">
        <v>1228</v>
      </c>
      <c r="D120" s="19">
        <v>43773</v>
      </c>
      <c r="E120" s="18" t="s">
        <v>201</v>
      </c>
      <c r="F120" s="18">
        <v>195</v>
      </c>
      <c r="G120" s="18">
        <v>10442054989</v>
      </c>
      <c r="H120" s="18"/>
      <c r="I120" s="18" t="s">
        <v>137</v>
      </c>
      <c r="J120" s="18" t="s">
        <v>1222</v>
      </c>
      <c r="K120" s="20">
        <f t="shared" ref="K120:K121" si="16">4.5*3.35</f>
        <v>15.075000000000001</v>
      </c>
      <c r="L120" s="20">
        <f t="shared" si="14"/>
        <v>2.7135000000000002</v>
      </c>
      <c r="M120" s="21">
        <f t="shared" si="15"/>
        <v>17.788500000000003</v>
      </c>
    </row>
    <row r="121" spans="1:13" x14ac:dyDescent="0.2">
      <c r="A121" s="18">
        <f t="shared" si="11"/>
        <v>118</v>
      </c>
      <c r="B121" s="18" t="s">
        <v>867</v>
      </c>
      <c r="C121" s="18" t="s">
        <v>1170</v>
      </c>
      <c r="D121" s="19">
        <v>43773</v>
      </c>
      <c r="E121" s="18" t="s">
        <v>201</v>
      </c>
      <c r="F121" s="18">
        <v>195</v>
      </c>
      <c r="G121" s="18">
        <v>10442054989</v>
      </c>
      <c r="H121" s="18"/>
      <c r="I121" s="18" t="s">
        <v>137</v>
      </c>
      <c r="J121" s="18" t="s">
        <v>1222</v>
      </c>
      <c r="K121" s="20">
        <f t="shared" si="16"/>
        <v>15.075000000000001</v>
      </c>
      <c r="L121" s="20">
        <f t="shared" si="14"/>
        <v>2.7135000000000002</v>
      </c>
      <c r="M121" s="21">
        <f t="shared" si="15"/>
        <v>17.788500000000003</v>
      </c>
    </row>
    <row r="122" spans="1:13" x14ac:dyDescent="0.2">
      <c r="A122" s="18">
        <f t="shared" si="11"/>
        <v>119</v>
      </c>
      <c r="B122" s="18" t="s">
        <v>871</v>
      </c>
      <c r="C122" s="18" t="s">
        <v>965</v>
      </c>
      <c r="D122" s="19">
        <v>43773</v>
      </c>
      <c r="E122" s="18" t="s">
        <v>201</v>
      </c>
      <c r="F122" s="18">
        <v>194</v>
      </c>
      <c r="G122" s="18">
        <v>10442054989</v>
      </c>
      <c r="H122" s="18"/>
      <c r="I122" s="18" t="s">
        <v>137</v>
      </c>
      <c r="J122" s="18" t="s">
        <v>1222</v>
      </c>
      <c r="K122" s="20">
        <v>21</v>
      </c>
      <c r="L122" s="20">
        <f t="shared" si="14"/>
        <v>3.78</v>
      </c>
      <c r="M122" s="21">
        <f t="shared" si="15"/>
        <v>24.78</v>
      </c>
    </row>
    <row r="123" spans="1:13" x14ac:dyDescent="0.2">
      <c r="A123" s="18">
        <f t="shared" si="11"/>
        <v>120</v>
      </c>
      <c r="B123" s="18" t="s">
        <v>848</v>
      </c>
      <c r="C123" s="18" t="s">
        <v>949</v>
      </c>
      <c r="D123" s="19">
        <v>43773</v>
      </c>
      <c r="E123" s="18" t="s">
        <v>201</v>
      </c>
      <c r="F123" s="18">
        <v>194</v>
      </c>
      <c r="G123" s="18">
        <v>10442054989</v>
      </c>
      <c r="H123" s="18"/>
      <c r="I123" s="18" t="s">
        <v>137</v>
      </c>
      <c r="J123" s="18" t="s">
        <v>1222</v>
      </c>
      <c r="K123" s="20">
        <v>36</v>
      </c>
      <c r="L123" s="20">
        <f t="shared" si="14"/>
        <v>6.4799999999999995</v>
      </c>
      <c r="M123" s="21">
        <f t="shared" si="15"/>
        <v>42.48</v>
      </c>
    </row>
    <row r="124" spans="1:13" x14ac:dyDescent="0.2">
      <c r="A124" s="18">
        <f t="shared" si="11"/>
        <v>121</v>
      </c>
      <c r="B124" s="18" t="s">
        <v>850</v>
      </c>
      <c r="C124" s="18" t="s">
        <v>972</v>
      </c>
      <c r="D124" s="19">
        <v>43773</v>
      </c>
      <c r="E124" s="18" t="s">
        <v>201</v>
      </c>
      <c r="F124" s="18">
        <v>194</v>
      </c>
      <c r="G124" s="18">
        <v>10442054989</v>
      </c>
      <c r="H124" s="18"/>
      <c r="I124" s="18" t="s">
        <v>137</v>
      </c>
      <c r="J124" s="18" t="s">
        <v>1222</v>
      </c>
      <c r="K124" s="20">
        <v>42</v>
      </c>
      <c r="L124" s="20">
        <f>+K124*18%</f>
        <v>7.56</v>
      </c>
      <c r="M124" s="21">
        <f>+K124+L124</f>
        <v>49.56</v>
      </c>
    </row>
    <row r="125" spans="1:13" x14ac:dyDescent="0.2">
      <c r="A125" s="18">
        <f t="shared" si="11"/>
        <v>122</v>
      </c>
      <c r="B125" s="18" t="s">
        <v>858</v>
      </c>
      <c r="C125" s="18" t="s">
        <v>955</v>
      </c>
      <c r="D125" s="19">
        <v>43773</v>
      </c>
      <c r="E125" s="18" t="s">
        <v>201</v>
      </c>
      <c r="F125" s="18">
        <v>194</v>
      </c>
      <c r="G125" s="18">
        <v>10442054989</v>
      </c>
      <c r="H125" s="18"/>
      <c r="I125" s="18" t="s">
        <v>137</v>
      </c>
      <c r="J125" s="18" t="s">
        <v>1222</v>
      </c>
      <c r="K125" s="20">
        <v>72</v>
      </c>
      <c r="L125" s="20">
        <f>+K125*18%</f>
        <v>12.959999999999999</v>
      </c>
      <c r="M125" s="21">
        <f>+K125+L125</f>
        <v>84.96</v>
      </c>
    </row>
    <row r="126" spans="1:13" x14ac:dyDescent="0.2">
      <c r="A126" s="18">
        <f t="shared" si="11"/>
        <v>123</v>
      </c>
      <c r="B126" s="18" t="s">
        <v>865</v>
      </c>
      <c r="C126" s="18" t="s">
        <v>1002</v>
      </c>
      <c r="D126" s="19">
        <v>43773</v>
      </c>
      <c r="E126" s="18" t="s">
        <v>201</v>
      </c>
      <c r="F126" s="18">
        <v>194</v>
      </c>
      <c r="G126" s="18">
        <v>10442054989</v>
      </c>
      <c r="H126" s="18"/>
      <c r="I126" s="18" t="s">
        <v>137</v>
      </c>
      <c r="J126" s="18" t="s">
        <v>1222</v>
      </c>
      <c r="K126" s="20">
        <v>21</v>
      </c>
      <c r="L126" s="20">
        <f>+K126*18%</f>
        <v>3.78</v>
      </c>
      <c r="M126" s="21">
        <f>+K126+L126</f>
        <v>24.78</v>
      </c>
    </row>
    <row r="127" spans="1:13" x14ac:dyDescent="0.2">
      <c r="A127" s="18">
        <f t="shared" si="11"/>
        <v>124</v>
      </c>
      <c r="B127" s="18" t="s">
        <v>856</v>
      </c>
      <c r="C127" s="18" t="s">
        <v>986</v>
      </c>
      <c r="D127" s="19">
        <v>43773</v>
      </c>
      <c r="E127" s="18" t="s">
        <v>201</v>
      </c>
      <c r="F127" s="18">
        <v>194</v>
      </c>
      <c r="G127" s="18">
        <v>10442054989</v>
      </c>
      <c r="H127" s="18"/>
      <c r="I127" s="18" t="s">
        <v>137</v>
      </c>
      <c r="J127" s="18" t="s">
        <v>1222</v>
      </c>
      <c r="K127" s="20">
        <v>63</v>
      </c>
      <c r="L127" s="20">
        <f t="shared" ref="L127:L190" si="17">+K127*18%</f>
        <v>11.34</v>
      </c>
      <c r="M127" s="21">
        <f t="shared" ref="M127:M190" si="18">+K127+L127</f>
        <v>74.34</v>
      </c>
    </row>
    <row r="128" spans="1:13" x14ac:dyDescent="0.2">
      <c r="A128" s="18">
        <f t="shared" si="11"/>
        <v>125</v>
      </c>
      <c r="B128" s="18" t="s">
        <v>877</v>
      </c>
      <c r="C128" s="18" t="s">
        <v>1229</v>
      </c>
      <c r="D128" s="19">
        <v>43773</v>
      </c>
      <c r="E128" s="18" t="s">
        <v>201</v>
      </c>
      <c r="F128" s="18">
        <v>194</v>
      </c>
      <c r="G128" s="18">
        <v>10442054989</v>
      </c>
      <c r="H128" s="18"/>
      <c r="I128" s="18" t="s">
        <v>137</v>
      </c>
      <c r="J128" s="18" t="s">
        <v>1222</v>
      </c>
      <c r="K128" s="20">
        <v>63</v>
      </c>
      <c r="L128" s="20">
        <f t="shared" si="17"/>
        <v>11.34</v>
      </c>
      <c r="M128" s="21">
        <f t="shared" si="18"/>
        <v>74.34</v>
      </c>
    </row>
    <row r="129" spans="1:13" x14ac:dyDescent="0.2">
      <c r="A129" s="18">
        <f t="shared" si="11"/>
        <v>126</v>
      </c>
      <c r="B129" s="18" t="s">
        <v>879</v>
      </c>
      <c r="C129" s="18" t="s">
        <v>983</v>
      </c>
      <c r="D129" s="19">
        <v>43773</v>
      </c>
      <c r="E129" s="18" t="s">
        <v>201</v>
      </c>
      <c r="F129" s="18">
        <v>194</v>
      </c>
      <c r="G129" s="18">
        <v>10442054989</v>
      </c>
      <c r="H129" s="18"/>
      <c r="I129" s="18" t="s">
        <v>137</v>
      </c>
      <c r="J129" s="18" t="s">
        <v>1222</v>
      </c>
      <c r="K129" s="20">
        <v>42</v>
      </c>
      <c r="L129" s="20">
        <f t="shared" si="17"/>
        <v>7.56</v>
      </c>
      <c r="M129" s="21">
        <f t="shared" si="18"/>
        <v>49.56</v>
      </c>
    </row>
    <row r="130" spans="1:13" x14ac:dyDescent="0.2">
      <c r="A130" s="18">
        <f t="shared" si="11"/>
        <v>127</v>
      </c>
      <c r="B130" s="18" t="s">
        <v>852</v>
      </c>
      <c r="C130" s="18" t="s">
        <v>943</v>
      </c>
      <c r="D130" s="19">
        <v>43773</v>
      </c>
      <c r="E130" s="18" t="s">
        <v>201</v>
      </c>
      <c r="F130" s="18">
        <v>194</v>
      </c>
      <c r="G130" s="18">
        <v>10442054989</v>
      </c>
      <c r="H130" s="18"/>
      <c r="I130" s="18" t="s">
        <v>137</v>
      </c>
      <c r="J130" s="18" t="s">
        <v>1222</v>
      </c>
      <c r="K130" s="20">
        <v>42</v>
      </c>
      <c r="L130" s="20">
        <f t="shared" si="17"/>
        <v>7.56</v>
      </c>
      <c r="M130" s="21">
        <f t="shared" si="18"/>
        <v>49.56</v>
      </c>
    </row>
    <row r="131" spans="1:13" x14ac:dyDescent="0.2">
      <c r="A131" s="18">
        <f t="shared" si="11"/>
        <v>128</v>
      </c>
      <c r="B131" s="18" t="s">
        <v>823</v>
      </c>
      <c r="C131" s="18" t="s">
        <v>967</v>
      </c>
      <c r="D131" s="19">
        <v>43773</v>
      </c>
      <c r="E131" s="18" t="s">
        <v>201</v>
      </c>
      <c r="F131" s="18">
        <v>194</v>
      </c>
      <c r="G131" s="18">
        <v>10442054989</v>
      </c>
      <c r="H131" s="18"/>
      <c r="I131" s="18" t="s">
        <v>137</v>
      </c>
      <c r="J131" s="18" t="s">
        <v>1222</v>
      </c>
      <c r="K131" s="20">
        <v>21</v>
      </c>
      <c r="L131" s="20">
        <f t="shared" si="17"/>
        <v>3.78</v>
      </c>
      <c r="M131" s="21">
        <f t="shared" si="18"/>
        <v>24.78</v>
      </c>
    </row>
    <row r="132" spans="1:13" x14ac:dyDescent="0.2">
      <c r="A132" s="18">
        <f t="shared" si="11"/>
        <v>129</v>
      </c>
      <c r="B132" s="18" t="s">
        <v>1239</v>
      </c>
      <c r="C132" s="18" t="s">
        <v>1240</v>
      </c>
      <c r="D132" s="19">
        <v>43782</v>
      </c>
      <c r="E132" s="18">
        <v>1</v>
      </c>
      <c r="F132" s="18">
        <v>5365</v>
      </c>
      <c r="G132" s="18">
        <v>20600892828</v>
      </c>
      <c r="H132" s="18">
        <v>12980</v>
      </c>
      <c r="I132" s="18" t="s">
        <v>137</v>
      </c>
      <c r="J132" s="18" t="s">
        <v>257</v>
      </c>
      <c r="K132" s="20">
        <v>76.27</v>
      </c>
      <c r="L132" s="20">
        <f t="shared" si="17"/>
        <v>13.728599999999998</v>
      </c>
      <c r="M132" s="21">
        <f t="shared" si="18"/>
        <v>89.998599999999996</v>
      </c>
    </row>
    <row r="133" spans="1:13" x14ac:dyDescent="0.2">
      <c r="A133" s="18">
        <f t="shared" si="11"/>
        <v>130</v>
      </c>
      <c r="B133" s="18" t="s">
        <v>901</v>
      </c>
      <c r="C133" s="18" t="s">
        <v>1228</v>
      </c>
      <c r="D133" s="19">
        <v>43780</v>
      </c>
      <c r="E133" s="18" t="s">
        <v>200</v>
      </c>
      <c r="F133" s="18">
        <v>957</v>
      </c>
      <c r="G133" s="18">
        <v>20300435298</v>
      </c>
      <c r="H133" s="18">
        <v>12967</v>
      </c>
      <c r="I133" s="18" t="s">
        <v>137</v>
      </c>
      <c r="J133" s="18" t="s">
        <v>1241</v>
      </c>
      <c r="K133" s="20">
        <v>84.75</v>
      </c>
      <c r="L133" s="20">
        <f t="shared" si="17"/>
        <v>15.254999999999999</v>
      </c>
      <c r="M133" s="21">
        <f t="shared" si="18"/>
        <v>100.005</v>
      </c>
    </row>
    <row r="134" spans="1:13" x14ac:dyDescent="0.2">
      <c r="A134" s="18">
        <f t="shared" ref="A134:A197" si="19">+A133+1</f>
        <v>131</v>
      </c>
      <c r="B134" s="18" t="s">
        <v>835</v>
      </c>
      <c r="C134" s="18" t="s">
        <v>965</v>
      </c>
      <c r="D134" s="19">
        <v>43776</v>
      </c>
      <c r="E134" s="18">
        <v>15</v>
      </c>
      <c r="F134" s="18">
        <v>124</v>
      </c>
      <c r="G134" s="18">
        <v>20503095174</v>
      </c>
      <c r="H134" s="18"/>
      <c r="I134" s="18" t="s">
        <v>193</v>
      </c>
      <c r="J134" s="18" t="s">
        <v>601</v>
      </c>
      <c r="K134" s="20">
        <v>12.71</v>
      </c>
      <c r="L134" s="20">
        <f t="shared" si="17"/>
        <v>2.2878000000000003</v>
      </c>
      <c r="M134" s="21">
        <f t="shared" si="18"/>
        <v>14.997800000000002</v>
      </c>
    </row>
    <row r="135" spans="1:13" x14ac:dyDescent="0.2">
      <c r="A135" s="18">
        <f t="shared" si="19"/>
        <v>132</v>
      </c>
      <c r="B135" s="18" t="s">
        <v>835</v>
      </c>
      <c r="C135" s="18" t="s">
        <v>965</v>
      </c>
      <c r="D135" s="19">
        <v>43776</v>
      </c>
      <c r="E135" s="18">
        <v>15</v>
      </c>
      <c r="F135" s="18">
        <v>124</v>
      </c>
      <c r="G135" s="18">
        <v>20503095174</v>
      </c>
      <c r="H135" s="18"/>
      <c r="I135" s="18" t="s">
        <v>193</v>
      </c>
      <c r="J135" s="18" t="s">
        <v>211</v>
      </c>
      <c r="K135" s="20">
        <v>16.95</v>
      </c>
      <c r="L135" s="20">
        <f t="shared" si="17"/>
        <v>3.0509999999999997</v>
      </c>
      <c r="M135" s="21">
        <f t="shared" si="18"/>
        <v>20.000999999999998</v>
      </c>
    </row>
    <row r="136" spans="1:13" x14ac:dyDescent="0.2">
      <c r="A136" s="18">
        <f t="shared" si="19"/>
        <v>133</v>
      </c>
      <c r="B136" s="18" t="s">
        <v>835</v>
      </c>
      <c r="C136" s="18" t="s">
        <v>965</v>
      </c>
      <c r="D136" s="19">
        <v>43780</v>
      </c>
      <c r="E136" s="18">
        <v>1</v>
      </c>
      <c r="F136" s="18">
        <v>1986</v>
      </c>
      <c r="G136" s="18">
        <v>20603753896</v>
      </c>
      <c r="H136" s="18"/>
      <c r="I136" s="18" t="s">
        <v>193</v>
      </c>
      <c r="J136" s="18" t="s">
        <v>229</v>
      </c>
      <c r="K136" s="20">
        <v>12.71</v>
      </c>
      <c r="L136" s="20">
        <f t="shared" si="17"/>
        <v>2.2878000000000003</v>
      </c>
      <c r="M136" s="21">
        <f t="shared" si="18"/>
        <v>14.997800000000002</v>
      </c>
    </row>
    <row r="137" spans="1:13" x14ac:dyDescent="0.2">
      <c r="A137" s="18">
        <f t="shared" si="19"/>
        <v>134</v>
      </c>
      <c r="B137" s="18" t="s">
        <v>877</v>
      </c>
      <c r="C137" s="18" t="s">
        <v>1229</v>
      </c>
      <c r="D137" s="19">
        <v>43780</v>
      </c>
      <c r="E137" s="18">
        <v>2</v>
      </c>
      <c r="F137" s="18">
        <v>512</v>
      </c>
      <c r="G137" s="18">
        <v>10101288698</v>
      </c>
      <c r="H137" s="18"/>
      <c r="I137" s="18" t="s">
        <v>193</v>
      </c>
      <c r="J137" s="18" t="s">
        <v>1021</v>
      </c>
      <c r="K137" s="20">
        <v>110.17</v>
      </c>
      <c r="L137" s="20">
        <f t="shared" si="17"/>
        <v>19.8306</v>
      </c>
      <c r="M137" s="21">
        <f t="shared" si="18"/>
        <v>130.00059999999999</v>
      </c>
    </row>
    <row r="138" spans="1:13" x14ac:dyDescent="0.2">
      <c r="A138" s="18">
        <f t="shared" si="19"/>
        <v>135</v>
      </c>
      <c r="B138" s="18" t="s">
        <v>938</v>
      </c>
      <c r="C138" s="18" t="s">
        <v>939</v>
      </c>
      <c r="D138" s="19">
        <v>43783</v>
      </c>
      <c r="E138" s="18">
        <v>1</v>
      </c>
      <c r="F138" s="18">
        <v>100</v>
      </c>
      <c r="G138" s="18">
        <v>10449221422</v>
      </c>
      <c r="H138" s="18"/>
      <c r="I138" s="18" t="s">
        <v>193</v>
      </c>
      <c r="J138" s="18" t="s">
        <v>1242</v>
      </c>
      <c r="K138" s="20">
        <v>60</v>
      </c>
      <c r="L138" s="20">
        <f t="shared" si="17"/>
        <v>10.799999999999999</v>
      </c>
      <c r="M138" s="21">
        <f t="shared" si="18"/>
        <v>70.8</v>
      </c>
    </row>
    <row r="139" spans="1:13" x14ac:dyDescent="0.2">
      <c r="A139" s="18">
        <f t="shared" si="19"/>
        <v>136</v>
      </c>
      <c r="B139" s="18" t="s">
        <v>1243</v>
      </c>
      <c r="C139" s="18" t="s">
        <v>1244</v>
      </c>
      <c r="D139" s="19">
        <v>43781</v>
      </c>
      <c r="E139" s="18">
        <v>1</v>
      </c>
      <c r="F139" s="18">
        <v>40</v>
      </c>
      <c r="G139" s="18">
        <v>10069090767</v>
      </c>
      <c r="H139" s="18"/>
      <c r="I139" s="18" t="s">
        <v>193</v>
      </c>
      <c r="J139" s="18" t="s">
        <v>1245</v>
      </c>
      <c r="K139" s="20">
        <v>200</v>
      </c>
      <c r="L139" s="20">
        <f t="shared" si="17"/>
        <v>36</v>
      </c>
      <c r="M139" s="21">
        <f t="shared" si="18"/>
        <v>236</v>
      </c>
    </row>
    <row r="140" spans="1:13" x14ac:dyDescent="0.2">
      <c r="A140" s="18">
        <f t="shared" si="19"/>
        <v>137</v>
      </c>
      <c r="B140" s="18" t="s">
        <v>1246</v>
      </c>
      <c r="C140" s="18" t="s">
        <v>1247</v>
      </c>
      <c r="D140" s="19">
        <v>43784</v>
      </c>
      <c r="E140" s="18">
        <v>1</v>
      </c>
      <c r="F140" s="18">
        <v>55</v>
      </c>
      <c r="G140" s="18">
        <v>20600808177</v>
      </c>
      <c r="H140" s="18"/>
      <c r="I140" s="18" t="s">
        <v>193</v>
      </c>
      <c r="J140" s="18" t="s">
        <v>414</v>
      </c>
      <c r="K140" s="20">
        <v>320</v>
      </c>
      <c r="L140" s="20">
        <f t="shared" si="17"/>
        <v>57.599999999999994</v>
      </c>
      <c r="M140" s="21">
        <f t="shared" si="18"/>
        <v>377.6</v>
      </c>
    </row>
    <row r="141" spans="1:13" x14ac:dyDescent="0.2">
      <c r="A141" s="18">
        <f t="shared" si="19"/>
        <v>138</v>
      </c>
      <c r="B141" s="18" t="s">
        <v>1011</v>
      </c>
      <c r="C141" s="18" t="s">
        <v>1012</v>
      </c>
      <c r="D141" s="19">
        <v>43784</v>
      </c>
      <c r="E141" s="18">
        <v>1</v>
      </c>
      <c r="F141" s="18">
        <v>54</v>
      </c>
      <c r="G141" s="18">
        <v>20600808177</v>
      </c>
      <c r="H141" s="18"/>
      <c r="I141" s="18" t="s">
        <v>193</v>
      </c>
      <c r="J141" s="18" t="s">
        <v>1248</v>
      </c>
      <c r="K141" s="20">
        <v>310</v>
      </c>
      <c r="L141" s="20">
        <f t="shared" si="17"/>
        <v>55.8</v>
      </c>
      <c r="M141" s="21">
        <f t="shared" si="18"/>
        <v>365.8</v>
      </c>
    </row>
    <row r="142" spans="1:13" x14ac:dyDescent="0.2">
      <c r="A142" s="18">
        <f t="shared" si="19"/>
        <v>139</v>
      </c>
      <c r="B142" s="18" t="s">
        <v>1017</v>
      </c>
      <c r="C142" s="18" t="s">
        <v>1018</v>
      </c>
      <c r="D142" s="19">
        <v>43780</v>
      </c>
      <c r="E142" s="18">
        <v>1</v>
      </c>
      <c r="F142" s="18">
        <v>53</v>
      </c>
      <c r="G142" s="18">
        <v>20600808177</v>
      </c>
      <c r="H142" s="18"/>
      <c r="I142" s="18" t="s">
        <v>193</v>
      </c>
      <c r="J142" s="18" t="s">
        <v>345</v>
      </c>
      <c r="K142" s="20">
        <v>60</v>
      </c>
      <c r="L142" s="20">
        <f t="shared" si="17"/>
        <v>10.799999999999999</v>
      </c>
      <c r="M142" s="21">
        <f t="shared" si="18"/>
        <v>70.8</v>
      </c>
    </row>
    <row r="143" spans="1:13" x14ac:dyDescent="0.2">
      <c r="A143" s="18">
        <f t="shared" si="19"/>
        <v>140</v>
      </c>
      <c r="B143" s="18" t="s">
        <v>835</v>
      </c>
      <c r="C143" s="18" t="s">
        <v>965</v>
      </c>
      <c r="D143" s="19">
        <v>43783</v>
      </c>
      <c r="E143" s="18">
        <v>2</v>
      </c>
      <c r="F143" s="18">
        <v>4105</v>
      </c>
      <c r="G143" s="18">
        <v>20537474344</v>
      </c>
      <c r="H143" s="18"/>
      <c r="I143" s="18" t="s">
        <v>193</v>
      </c>
      <c r="J143" s="18" t="s">
        <v>1249</v>
      </c>
      <c r="K143" s="20">
        <v>16.95</v>
      </c>
      <c r="L143" s="20">
        <f t="shared" si="17"/>
        <v>3.0509999999999997</v>
      </c>
      <c r="M143" s="21">
        <f t="shared" si="18"/>
        <v>20.000999999999998</v>
      </c>
    </row>
    <row r="144" spans="1:13" x14ac:dyDescent="0.2">
      <c r="A144" s="18">
        <f t="shared" si="19"/>
        <v>141</v>
      </c>
      <c r="B144" s="18" t="s">
        <v>1250</v>
      </c>
      <c r="C144" s="18" t="s">
        <v>1251</v>
      </c>
      <c r="D144" s="19">
        <v>43783</v>
      </c>
      <c r="E144" s="18">
        <v>5</v>
      </c>
      <c r="F144" s="18">
        <v>487</v>
      </c>
      <c r="G144" s="18">
        <v>10426916393</v>
      </c>
      <c r="H144" s="18"/>
      <c r="I144" s="18" t="s">
        <v>193</v>
      </c>
      <c r="J144" s="18" t="s">
        <v>255</v>
      </c>
      <c r="K144" s="20">
        <v>182.2</v>
      </c>
      <c r="L144" s="20">
        <f t="shared" si="17"/>
        <v>32.795999999999999</v>
      </c>
      <c r="M144" s="21">
        <f t="shared" si="18"/>
        <v>214.99599999999998</v>
      </c>
    </row>
    <row r="145" spans="1:13" x14ac:dyDescent="0.2">
      <c r="A145" s="18">
        <f t="shared" si="19"/>
        <v>142</v>
      </c>
      <c r="B145" s="18" t="s">
        <v>1252</v>
      </c>
      <c r="C145" s="18" t="s">
        <v>1253</v>
      </c>
      <c r="D145" s="19">
        <v>43783</v>
      </c>
      <c r="E145" s="18">
        <v>3</v>
      </c>
      <c r="F145" s="18">
        <v>1101</v>
      </c>
      <c r="G145" s="18">
        <v>20605180575</v>
      </c>
      <c r="H145" s="18"/>
      <c r="I145" s="18" t="s">
        <v>193</v>
      </c>
      <c r="J145" s="18" t="s">
        <v>198</v>
      </c>
      <c r="K145" s="20">
        <v>10.17</v>
      </c>
      <c r="L145" s="20">
        <f t="shared" si="17"/>
        <v>1.8306</v>
      </c>
      <c r="M145" s="21">
        <f t="shared" si="18"/>
        <v>12.0006</v>
      </c>
    </row>
    <row r="146" spans="1:13" x14ac:dyDescent="0.2">
      <c r="A146" s="18">
        <f t="shared" si="19"/>
        <v>143</v>
      </c>
      <c r="B146" s="18" t="s">
        <v>1254</v>
      </c>
      <c r="C146" s="18" t="s">
        <v>1023</v>
      </c>
      <c r="D146" s="19">
        <v>43776</v>
      </c>
      <c r="E146" s="18">
        <v>15</v>
      </c>
      <c r="F146" s="18">
        <v>1323</v>
      </c>
      <c r="G146" s="18">
        <v>20503095174</v>
      </c>
      <c r="H146" s="18"/>
      <c r="I146" s="18" t="s">
        <v>193</v>
      </c>
      <c r="J146" s="18" t="s">
        <v>202</v>
      </c>
      <c r="K146" s="20">
        <v>12.71</v>
      </c>
      <c r="L146" s="20">
        <f t="shared" si="17"/>
        <v>2.2878000000000003</v>
      </c>
      <c r="M146" s="21">
        <f t="shared" si="18"/>
        <v>14.997800000000002</v>
      </c>
    </row>
    <row r="147" spans="1:13" x14ac:dyDescent="0.2">
      <c r="A147" s="18">
        <f t="shared" si="19"/>
        <v>144</v>
      </c>
      <c r="B147" s="18" t="s">
        <v>1420</v>
      </c>
      <c r="C147" s="18" t="s">
        <v>1421</v>
      </c>
      <c r="D147" s="19">
        <v>43787</v>
      </c>
      <c r="E147" s="18">
        <v>1</v>
      </c>
      <c r="F147" s="18">
        <v>5399</v>
      </c>
      <c r="G147" s="18">
        <v>20600892828</v>
      </c>
      <c r="H147" s="18">
        <v>12887</v>
      </c>
      <c r="I147" s="18" t="s">
        <v>137</v>
      </c>
      <c r="J147" s="18" t="s">
        <v>257</v>
      </c>
      <c r="K147" s="20">
        <v>76.27</v>
      </c>
      <c r="L147" s="20">
        <f t="shared" si="17"/>
        <v>13.728599999999998</v>
      </c>
      <c r="M147" s="21">
        <f t="shared" si="18"/>
        <v>89.998599999999996</v>
      </c>
    </row>
    <row r="148" spans="1:13" x14ac:dyDescent="0.2">
      <c r="A148" s="18">
        <f t="shared" si="19"/>
        <v>145</v>
      </c>
      <c r="B148" s="18" t="s">
        <v>1013</v>
      </c>
      <c r="C148" s="18" t="s">
        <v>1014</v>
      </c>
      <c r="D148" s="19">
        <v>43787</v>
      </c>
      <c r="E148" s="18">
        <v>1</v>
      </c>
      <c r="F148" s="18">
        <v>1301</v>
      </c>
      <c r="G148" s="18">
        <v>10427505524</v>
      </c>
      <c r="H148" s="18">
        <v>13031</v>
      </c>
      <c r="I148" s="18" t="s">
        <v>137</v>
      </c>
      <c r="J148" s="18" t="s">
        <v>1422</v>
      </c>
      <c r="K148" s="20">
        <v>59.32</v>
      </c>
      <c r="L148" s="20">
        <f t="shared" si="17"/>
        <v>10.6776</v>
      </c>
      <c r="M148" s="21">
        <f t="shared" si="18"/>
        <v>69.997600000000006</v>
      </c>
    </row>
    <row r="149" spans="1:13" x14ac:dyDescent="0.2">
      <c r="A149" s="18">
        <f t="shared" si="19"/>
        <v>146</v>
      </c>
      <c r="B149" s="18" t="s">
        <v>938</v>
      </c>
      <c r="C149" s="18" t="s">
        <v>939</v>
      </c>
      <c r="D149" s="19">
        <v>43787</v>
      </c>
      <c r="E149" s="18">
        <v>1</v>
      </c>
      <c r="F149" s="18">
        <v>5153</v>
      </c>
      <c r="G149" s="18">
        <v>20544804236</v>
      </c>
      <c r="H149" s="18"/>
      <c r="I149" s="18" t="s">
        <v>137</v>
      </c>
      <c r="J149" s="18" t="s">
        <v>1423</v>
      </c>
      <c r="K149" s="20">
        <v>29.66</v>
      </c>
      <c r="L149" s="20">
        <f t="shared" si="17"/>
        <v>5.3388</v>
      </c>
      <c r="M149" s="21">
        <f t="shared" si="18"/>
        <v>34.998800000000003</v>
      </c>
    </row>
    <row r="150" spans="1:13" x14ac:dyDescent="0.2">
      <c r="A150" s="18">
        <f t="shared" si="19"/>
        <v>147</v>
      </c>
      <c r="B150" s="18" t="s">
        <v>938</v>
      </c>
      <c r="C150" s="18" t="s">
        <v>939</v>
      </c>
      <c r="D150" s="19">
        <v>43787</v>
      </c>
      <c r="E150" s="18" t="s">
        <v>201</v>
      </c>
      <c r="F150" s="18">
        <v>599</v>
      </c>
      <c r="G150" s="18">
        <v>10100087605</v>
      </c>
      <c r="H150" s="18"/>
      <c r="I150" s="18" t="s">
        <v>137</v>
      </c>
      <c r="J150" s="18" t="s">
        <v>944</v>
      </c>
      <c r="K150" s="20">
        <v>33.9</v>
      </c>
      <c r="L150" s="20">
        <f t="shared" si="17"/>
        <v>6.1019999999999994</v>
      </c>
      <c r="M150" s="21">
        <f t="shared" si="18"/>
        <v>40.001999999999995</v>
      </c>
    </row>
    <row r="151" spans="1:13" x14ac:dyDescent="0.2">
      <c r="A151" s="18">
        <f t="shared" si="19"/>
        <v>148</v>
      </c>
      <c r="B151" s="18" t="s">
        <v>1008</v>
      </c>
      <c r="C151" s="18" t="s">
        <v>1009</v>
      </c>
      <c r="D151" s="19">
        <v>43787</v>
      </c>
      <c r="E151" s="18">
        <v>1</v>
      </c>
      <c r="F151" s="18">
        <v>5152</v>
      </c>
      <c r="G151" s="18">
        <v>20544804236</v>
      </c>
      <c r="H151" s="18"/>
      <c r="I151" s="18" t="s">
        <v>137</v>
      </c>
      <c r="J151" s="18" t="s">
        <v>1423</v>
      </c>
      <c r="K151" s="20">
        <v>29.66</v>
      </c>
      <c r="L151" s="20">
        <f t="shared" si="17"/>
        <v>5.3388</v>
      </c>
      <c r="M151" s="21">
        <f t="shared" si="18"/>
        <v>34.998800000000003</v>
      </c>
    </row>
    <row r="152" spans="1:13" x14ac:dyDescent="0.2">
      <c r="A152" s="18">
        <f t="shared" si="19"/>
        <v>149</v>
      </c>
      <c r="B152" s="18" t="s">
        <v>1008</v>
      </c>
      <c r="C152" s="18" t="s">
        <v>1009</v>
      </c>
      <c r="D152" s="19">
        <v>43787</v>
      </c>
      <c r="E152" s="18" t="s">
        <v>201</v>
      </c>
      <c r="F152" s="18">
        <v>600</v>
      </c>
      <c r="G152" s="18">
        <v>10100087605</v>
      </c>
      <c r="H152" s="18"/>
      <c r="I152" s="18" t="s">
        <v>137</v>
      </c>
      <c r="J152" s="18" t="s">
        <v>944</v>
      </c>
      <c r="K152" s="20">
        <v>33.9</v>
      </c>
      <c r="L152" s="20">
        <f t="shared" si="17"/>
        <v>6.1019999999999994</v>
      </c>
      <c r="M152" s="21">
        <f t="shared" si="18"/>
        <v>40.001999999999995</v>
      </c>
    </row>
    <row r="153" spans="1:13" x14ac:dyDescent="0.2">
      <c r="A153" s="18">
        <f t="shared" si="19"/>
        <v>150</v>
      </c>
      <c r="B153" s="18" t="s">
        <v>1250</v>
      </c>
      <c r="C153" s="18" t="s">
        <v>1251</v>
      </c>
      <c r="D153" s="19">
        <v>43781</v>
      </c>
      <c r="E153" s="18">
        <v>1</v>
      </c>
      <c r="F153" s="18">
        <v>61</v>
      </c>
      <c r="G153" s="18">
        <v>10102312631</v>
      </c>
      <c r="H153" s="18"/>
      <c r="I153" s="18" t="s">
        <v>193</v>
      </c>
      <c r="J153" s="18" t="s">
        <v>613</v>
      </c>
      <c r="K153" s="20">
        <v>65</v>
      </c>
      <c r="L153" s="20">
        <f t="shared" si="17"/>
        <v>11.7</v>
      </c>
      <c r="M153" s="21">
        <f t="shared" si="18"/>
        <v>76.7</v>
      </c>
    </row>
    <row r="154" spans="1:13" x14ac:dyDescent="0.2">
      <c r="A154" s="18">
        <f t="shared" si="19"/>
        <v>151</v>
      </c>
      <c r="B154" s="18" t="s">
        <v>1250</v>
      </c>
      <c r="C154" s="18" t="s">
        <v>1251</v>
      </c>
      <c r="D154" s="19">
        <v>43781</v>
      </c>
      <c r="E154" s="18">
        <v>1</v>
      </c>
      <c r="F154" s="18">
        <v>61</v>
      </c>
      <c r="G154" s="18">
        <v>10102312631</v>
      </c>
      <c r="H154" s="18"/>
      <c r="I154" s="18" t="s">
        <v>193</v>
      </c>
      <c r="J154" s="18" t="s">
        <v>613</v>
      </c>
      <c r="K154" s="20">
        <v>125</v>
      </c>
      <c r="L154" s="20">
        <f t="shared" si="17"/>
        <v>22.5</v>
      </c>
      <c r="M154" s="21">
        <f t="shared" si="18"/>
        <v>147.5</v>
      </c>
    </row>
    <row r="155" spans="1:13" x14ac:dyDescent="0.2">
      <c r="A155" s="18">
        <f t="shared" si="19"/>
        <v>152</v>
      </c>
      <c r="B155" s="18" t="s">
        <v>1013</v>
      </c>
      <c r="C155" s="18" t="s">
        <v>1014</v>
      </c>
      <c r="D155" s="19">
        <v>43787</v>
      </c>
      <c r="E155" s="18" t="s">
        <v>201</v>
      </c>
      <c r="F155" s="18">
        <v>51</v>
      </c>
      <c r="G155" s="18">
        <v>10422550301</v>
      </c>
      <c r="H155" s="18"/>
      <c r="I155" s="18" t="s">
        <v>137</v>
      </c>
      <c r="J155" s="18" t="s">
        <v>1424</v>
      </c>
      <c r="K155" s="20">
        <v>50</v>
      </c>
      <c r="L155" s="20">
        <f t="shared" si="17"/>
        <v>9</v>
      </c>
      <c r="M155" s="21">
        <f t="shared" si="18"/>
        <v>59</v>
      </c>
    </row>
    <row r="156" spans="1:13" x14ac:dyDescent="0.2">
      <c r="A156" s="18">
        <f t="shared" si="19"/>
        <v>153</v>
      </c>
      <c r="B156" s="18" t="s">
        <v>1011</v>
      </c>
      <c r="C156" s="18" t="s">
        <v>1012</v>
      </c>
      <c r="D156" s="19">
        <v>43787</v>
      </c>
      <c r="E156" s="18" t="s">
        <v>201</v>
      </c>
      <c r="F156" s="18">
        <v>51</v>
      </c>
      <c r="G156" s="18">
        <v>10422550301</v>
      </c>
      <c r="H156" s="18"/>
      <c r="I156" s="18" t="s">
        <v>137</v>
      </c>
      <c r="J156" s="18" t="s">
        <v>1425</v>
      </c>
      <c r="K156" s="20">
        <v>150</v>
      </c>
      <c r="L156" s="20">
        <f t="shared" si="17"/>
        <v>27</v>
      </c>
      <c r="M156" s="21">
        <f t="shared" si="18"/>
        <v>177</v>
      </c>
    </row>
    <row r="157" spans="1:13" x14ac:dyDescent="0.2">
      <c r="A157" s="18">
        <f t="shared" si="19"/>
        <v>154</v>
      </c>
      <c r="B157" s="18" t="s">
        <v>879</v>
      </c>
      <c r="C157" s="18" t="s">
        <v>983</v>
      </c>
      <c r="D157" s="19">
        <v>43787</v>
      </c>
      <c r="E157" s="18" t="s">
        <v>201</v>
      </c>
      <c r="F157" s="18">
        <v>51</v>
      </c>
      <c r="G157" s="18">
        <v>10422550301</v>
      </c>
      <c r="H157" s="18"/>
      <c r="I157" s="18" t="s">
        <v>137</v>
      </c>
      <c r="J157" s="18" t="s">
        <v>1425</v>
      </c>
      <c r="K157" s="20">
        <v>150</v>
      </c>
      <c r="L157" s="20">
        <f t="shared" si="17"/>
        <v>27</v>
      </c>
      <c r="M157" s="21">
        <f t="shared" si="18"/>
        <v>177</v>
      </c>
    </row>
    <row r="158" spans="1:13" x14ac:dyDescent="0.2">
      <c r="A158" s="18">
        <f t="shared" si="19"/>
        <v>155</v>
      </c>
      <c r="B158" s="18" t="s">
        <v>1356</v>
      </c>
      <c r="C158" s="18" t="s">
        <v>1426</v>
      </c>
      <c r="D158" s="19">
        <v>43787</v>
      </c>
      <c r="E158" s="18" t="s">
        <v>201</v>
      </c>
      <c r="F158" s="18">
        <v>51</v>
      </c>
      <c r="G158" s="18">
        <v>10422550301</v>
      </c>
      <c r="H158" s="18"/>
      <c r="I158" s="18" t="s">
        <v>137</v>
      </c>
      <c r="J158" s="18" t="s">
        <v>1427</v>
      </c>
      <c r="K158" s="20">
        <v>100</v>
      </c>
      <c r="L158" s="20">
        <f t="shared" si="17"/>
        <v>18</v>
      </c>
      <c r="M158" s="21">
        <f t="shared" si="18"/>
        <v>118</v>
      </c>
    </row>
    <row r="159" spans="1:13" x14ac:dyDescent="0.2">
      <c r="A159" s="18">
        <f t="shared" si="19"/>
        <v>156</v>
      </c>
      <c r="B159" s="18" t="s">
        <v>1349</v>
      </c>
      <c r="C159" s="18" t="s">
        <v>1428</v>
      </c>
      <c r="D159" s="19">
        <v>43789</v>
      </c>
      <c r="E159" s="18" t="s">
        <v>200</v>
      </c>
      <c r="F159" s="18">
        <v>982</v>
      </c>
      <c r="G159" s="18">
        <v>20300435298</v>
      </c>
      <c r="H159" s="18">
        <v>13037</v>
      </c>
      <c r="I159" s="18" t="s">
        <v>137</v>
      </c>
      <c r="J159" s="18" t="s">
        <v>1241</v>
      </c>
      <c r="K159" s="20">
        <v>84.75</v>
      </c>
      <c r="L159" s="20">
        <f t="shared" si="17"/>
        <v>15.254999999999999</v>
      </c>
      <c r="M159" s="21">
        <f t="shared" si="18"/>
        <v>100.005</v>
      </c>
    </row>
    <row r="160" spans="1:13" x14ac:dyDescent="0.2">
      <c r="A160" s="18">
        <f t="shared" si="19"/>
        <v>157</v>
      </c>
      <c r="B160" s="18" t="s">
        <v>1402</v>
      </c>
      <c r="C160" s="18" t="s">
        <v>1429</v>
      </c>
      <c r="D160" s="19">
        <v>43792</v>
      </c>
      <c r="E160" s="18">
        <v>1</v>
      </c>
      <c r="F160" s="18">
        <v>5444</v>
      </c>
      <c r="G160" s="18">
        <v>20600892828</v>
      </c>
      <c r="H160" s="18">
        <v>13055</v>
      </c>
      <c r="I160" s="18" t="s">
        <v>137</v>
      </c>
      <c r="J160" s="18" t="s">
        <v>257</v>
      </c>
      <c r="K160" s="20">
        <v>76.27</v>
      </c>
      <c r="L160" s="20">
        <f t="shared" si="17"/>
        <v>13.728599999999998</v>
      </c>
      <c r="M160" s="21">
        <f t="shared" si="18"/>
        <v>89.998599999999996</v>
      </c>
    </row>
    <row r="161" spans="1:13" x14ac:dyDescent="0.2">
      <c r="A161" s="18">
        <f t="shared" si="19"/>
        <v>158</v>
      </c>
      <c r="B161" s="18" t="s">
        <v>1367</v>
      </c>
      <c r="C161" s="18" t="s">
        <v>1430</v>
      </c>
      <c r="D161" s="19">
        <v>43794</v>
      </c>
      <c r="E161" s="18">
        <v>1</v>
      </c>
      <c r="F161" s="18">
        <v>1311</v>
      </c>
      <c r="G161" s="18">
        <v>10427505524</v>
      </c>
      <c r="H161" s="18">
        <v>13059</v>
      </c>
      <c r="I161" s="18" t="s">
        <v>137</v>
      </c>
      <c r="J161" s="18" t="s">
        <v>1422</v>
      </c>
      <c r="K161" s="20">
        <v>59.32</v>
      </c>
      <c r="L161" s="20">
        <f t="shared" si="17"/>
        <v>10.6776</v>
      </c>
      <c r="M161" s="21">
        <f t="shared" si="18"/>
        <v>69.997600000000006</v>
      </c>
    </row>
    <row r="162" spans="1:13" x14ac:dyDescent="0.2">
      <c r="A162" s="18">
        <f t="shared" si="19"/>
        <v>159</v>
      </c>
      <c r="B162" s="18" t="s">
        <v>1019</v>
      </c>
      <c r="C162" s="18" t="s">
        <v>1020</v>
      </c>
      <c r="D162" s="19">
        <v>43784</v>
      </c>
      <c r="E162" s="18" t="s">
        <v>256</v>
      </c>
      <c r="F162" s="18">
        <v>31648</v>
      </c>
      <c r="G162" s="18">
        <v>20100031648</v>
      </c>
      <c r="H162" s="18"/>
      <c r="I162" s="18" t="s">
        <v>193</v>
      </c>
      <c r="J162" s="18" t="s">
        <v>225</v>
      </c>
      <c r="K162" s="20">
        <v>61.46</v>
      </c>
      <c r="L162" s="20">
        <f t="shared" si="17"/>
        <v>11.062799999999999</v>
      </c>
      <c r="M162" s="21">
        <f t="shared" si="18"/>
        <v>72.522800000000004</v>
      </c>
    </row>
    <row r="163" spans="1:13" x14ac:dyDescent="0.2">
      <c r="A163" s="18">
        <f t="shared" si="19"/>
        <v>160</v>
      </c>
      <c r="B163" s="18" t="s">
        <v>936</v>
      </c>
      <c r="C163" s="18" t="s">
        <v>937</v>
      </c>
      <c r="D163" s="19">
        <v>43784</v>
      </c>
      <c r="E163" s="18" t="s">
        <v>256</v>
      </c>
      <c r="F163" s="18">
        <v>31648</v>
      </c>
      <c r="G163" s="18">
        <v>20100031648</v>
      </c>
      <c r="H163" s="18"/>
      <c r="I163" s="18" t="s">
        <v>193</v>
      </c>
      <c r="J163" s="18" t="s">
        <v>225</v>
      </c>
      <c r="K163" s="20">
        <v>61.46</v>
      </c>
      <c r="L163" s="20">
        <f t="shared" si="17"/>
        <v>11.062799999999999</v>
      </c>
      <c r="M163" s="21">
        <f t="shared" si="18"/>
        <v>72.522800000000004</v>
      </c>
    </row>
    <row r="164" spans="1:13" x14ac:dyDescent="0.2">
      <c r="A164" s="18">
        <f t="shared" si="19"/>
        <v>161</v>
      </c>
      <c r="B164" s="18" t="s">
        <v>1011</v>
      </c>
      <c r="C164" s="18" t="s">
        <v>1012</v>
      </c>
      <c r="D164" s="19">
        <v>43784</v>
      </c>
      <c r="E164" s="18" t="s">
        <v>256</v>
      </c>
      <c r="F164" s="18">
        <v>31648</v>
      </c>
      <c r="G164" s="18">
        <v>20100031648</v>
      </c>
      <c r="H164" s="18"/>
      <c r="I164" s="18" t="s">
        <v>193</v>
      </c>
      <c r="J164" s="18" t="s">
        <v>225</v>
      </c>
      <c r="K164" s="20">
        <v>61.46</v>
      </c>
      <c r="L164" s="20">
        <f t="shared" si="17"/>
        <v>11.062799999999999</v>
      </c>
      <c r="M164" s="21">
        <f t="shared" si="18"/>
        <v>72.522800000000004</v>
      </c>
    </row>
    <row r="165" spans="1:13" x14ac:dyDescent="0.2">
      <c r="A165" s="18">
        <f t="shared" si="19"/>
        <v>162</v>
      </c>
      <c r="B165" s="18" t="s">
        <v>877</v>
      </c>
      <c r="C165" s="18" t="s">
        <v>1229</v>
      </c>
      <c r="D165" s="19">
        <v>43780</v>
      </c>
      <c r="E165" s="18">
        <v>1</v>
      </c>
      <c r="F165" s="18">
        <v>3489</v>
      </c>
      <c r="G165" s="18">
        <v>10088805432</v>
      </c>
      <c r="H165" s="18">
        <v>12954</v>
      </c>
      <c r="I165" s="18" t="s">
        <v>137</v>
      </c>
      <c r="J165" s="18" t="s">
        <v>1431</v>
      </c>
      <c r="K165" s="20">
        <v>150</v>
      </c>
      <c r="L165" s="20">
        <f t="shared" si="17"/>
        <v>27</v>
      </c>
      <c r="M165" s="21">
        <f t="shared" si="18"/>
        <v>177</v>
      </c>
    </row>
    <row r="166" spans="1:13" x14ac:dyDescent="0.2">
      <c r="A166" s="18">
        <f t="shared" si="19"/>
        <v>163</v>
      </c>
      <c r="B166" s="18" t="s">
        <v>877</v>
      </c>
      <c r="C166" s="18" t="s">
        <v>1229</v>
      </c>
      <c r="D166" s="19">
        <v>43781</v>
      </c>
      <c r="E166" s="18" t="s">
        <v>200</v>
      </c>
      <c r="F166" s="18">
        <v>68389</v>
      </c>
      <c r="G166" s="18">
        <v>20493143612</v>
      </c>
      <c r="H166" s="18">
        <v>12954</v>
      </c>
      <c r="I166" s="18" t="s">
        <v>137</v>
      </c>
      <c r="J166" s="18" t="s">
        <v>954</v>
      </c>
      <c r="K166" s="20">
        <v>42.37</v>
      </c>
      <c r="L166" s="20">
        <f t="shared" si="17"/>
        <v>7.6265999999999989</v>
      </c>
      <c r="M166" s="21">
        <f t="shared" si="18"/>
        <v>49.996599999999994</v>
      </c>
    </row>
    <row r="167" spans="1:13" x14ac:dyDescent="0.2">
      <c r="A167" s="18">
        <f t="shared" si="19"/>
        <v>164</v>
      </c>
      <c r="B167" s="18" t="s">
        <v>840</v>
      </c>
      <c r="C167" s="18" t="s">
        <v>945</v>
      </c>
      <c r="D167" s="19">
        <v>43775</v>
      </c>
      <c r="E167" s="18">
        <v>1</v>
      </c>
      <c r="F167" s="18">
        <v>684</v>
      </c>
      <c r="G167" s="18">
        <v>20600639634</v>
      </c>
      <c r="H167" s="18"/>
      <c r="I167" s="18" t="s">
        <v>137</v>
      </c>
      <c r="J167" s="18" t="s">
        <v>1432</v>
      </c>
      <c r="K167" s="20">
        <v>48.9</v>
      </c>
      <c r="L167" s="20">
        <f t="shared" si="17"/>
        <v>8.8019999999999996</v>
      </c>
      <c r="M167" s="21">
        <f t="shared" si="18"/>
        <v>57.701999999999998</v>
      </c>
    </row>
    <row r="168" spans="1:13" x14ac:dyDescent="0.2">
      <c r="A168" s="18">
        <f t="shared" si="19"/>
        <v>165</v>
      </c>
      <c r="B168" s="18" t="s">
        <v>848</v>
      </c>
      <c r="C168" s="18" t="s">
        <v>949</v>
      </c>
      <c r="D168" s="19">
        <v>43777</v>
      </c>
      <c r="E168" s="18">
        <v>1</v>
      </c>
      <c r="F168" s="18">
        <v>467</v>
      </c>
      <c r="G168" s="18">
        <v>10426566422</v>
      </c>
      <c r="H168" s="18">
        <v>12926</v>
      </c>
      <c r="I168" s="18" t="s">
        <v>137</v>
      </c>
      <c r="J168" s="18" t="s">
        <v>1433</v>
      </c>
      <c r="K168" s="20">
        <v>237.29</v>
      </c>
      <c r="L168" s="20">
        <f t="shared" si="17"/>
        <v>42.712199999999996</v>
      </c>
      <c r="M168" s="21">
        <f t="shared" si="18"/>
        <v>280.00220000000002</v>
      </c>
    </row>
    <row r="169" spans="1:13" x14ac:dyDescent="0.2">
      <c r="A169" s="18">
        <f t="shared" si="19"/>
        <v>166</v>
      </c>
      <c r="B169" s="18" t="s">
        <v>848</v>
      </c>
      <c r="C169" s="18" t="s">
        <v>949</v>
      </c>
      <c r="D169" s="19">
        <v>43777</v>
      </c>
      <c r="E169" s="18" t="s">
        <v>201</v>
      </c>
      <c r="F169" s="18">
        <v>581</v>
      </c>
      <c r="G169" s="18">
        <v>10100087605</v>
      </c>
      <c r="H169" s="18">
        <v>12926</v>
      </c>
      <c r="I169" s="18" t="s">
        <v>137</v>
      </c>
      <c r="J169" s="18" t="s">
        <v>1434</v>
      </c>
      <c r="K169" s="20">
        <v>12.71</v>
      </c>
      <c r="L169" s="20">
        <f t="shared" si="17"/>
        <v>2.2878000000000003</v>
      </c>
      <c r="M169" s="21">
        <f t="shared" si="18"/>
        <v>14.997800000000002</v>
      </c>
    </row>
    <row r="170" spans="1:13" x14ac:dyDescent="0.2">
      <c r="A170" s="18">
        <f t="shared" si="19"/>
        <v>167</v>
      </c>
      <c r="B170" s="18" t="s">
        <v>848</v>
      </c>
      <c r="C170" s="18" t="s">
        <v>949</v>
      </c>
      <c r="D170" s="19">
        <v>43777</v>
      </c>
      <c r="E170" s="18" t="s">
        <v>201</v>
      </c>
      <c r="F170" s="18">
        <v>579</v>
      </c>
      <c r="G170" s="18">
        <v>10100087605</v>
      </c>
      <c r="H170" s="18">
        <v>12926</v>
      </c>
      <c r="I170" s="18" t="s">
        <v>137</v>
      </c>
      <c r="J170" s="18" t="s">
        <v>1435</v>
      </c>
      <c r="K170" s="20">
        <v>16.95</v>
      </c>
      <c r="L170" s="20">
        <f t="shared" si="17"/>
        <v>3.0509999999999997</v>
      </c>
      <c r="M170" s="21">
        <f t="shared" si="18"/>
        <v>20.000999999999998</v>
      </c>
    </row>
    <row r="171" spans="1:13" x14ac:dyDescent="0.2">
      <c r="A171" s="18">
        <f t="shared" si="19"/>
        <v>168</v>
      </c>
      <c r="B171" s="18" t="s">
        <v>848</v>
      </c>
      <c r="C171" s="18" t="s">
        <v>949</v>
      </c>
      <c r="D171" s="19">
        <v>43777</v>
      </c>
      <c r="E171" s="18" t="s">
        <v>201</v>
      </c>
      <c r="F171" s="18">
        <v>580</v>
      </c>
      <c r="G171" s="18">
        <v>10100087605</v>
      </c>
      <c r="H171" s="18">
        <v>12926</v>
      </c>
      <c r="I171" s="18" t="s">
        <v>193</v>
      </c>
      <c r="J171" s="18" t="s">
        <v>1436</v>
      </c>
      <c r="K171" s="20">
        <v>55.08</v>
      </c>
      <c r="L171" s="20">
        <f t="shared" si="17"/>
        <v>9.9143999999999988</v>
      </c>
      <c r="M171" s="21">
        <f t="shared" si="18"/>
        <v>64.994399999999999</v>
      </c>
    </row>
    <row r="172" spans="1:13" x14ac:dyDescent="0.2">
      <c r="A172" s="18">
        <f t="shared" si="19"/>
        <v>169</v>
      </c>
      <c r="B172" s="18" t="s">
        <v>835</v>
      </c>
      <c r="C172" s="18" t="s">
        <v>965</v>
      </c>
      <c r="D172" s="19">
        <v>43776</v>
      </c>
      <c r="E172" s="18" t="s">
        <v>201</v>
      </c>
      <c r="F172" s="18">
        <v>577</v>
      </c>
      <c r="G172" s="18">
        <v>10100087605</v>
      </c>
      <c r="H172" s="18"/>
      <c r="I172" s="18" t="s">
        <v>137</v>
      </c>
      <c r="J172" s="18" t="s">
        <v>253</v>
      </c>
      <c r="K172" s="20">
        <v>16.95</v>
      </c>
      <c r="L172" s="20">
        <f t="shared" si="17"/>
        <v>3.0509999999999997</v>
      </c>
      <c r="M172" s="21">
        <f t="shared" si="18"/>
        <v>20.000999999999998</v>
      </c>
    </row>
    <row r="173" spans="1:13" x14ac:dyDescent="0.2">
      <c r="A173" s="18">
        <f t="shared" si="19"/>
        <v>170</v>
      </c>
      <c r="B173" s="18" t="s">
        <v>835</v>
      </c>
      <c r="C173" s="18" t="s">
        <v>965</v>
      </c>
      <c r="D173" s="19">
        <v>43776</v>
      </c>
      <c r="E173" s="18">
        <v>1</v>
      </c>
      <c r="F173" s="18">
        <v>11263</v>
      </c>
      <c r="G173" s="18">
        <v>10107711291</v>
      </c>
      <c r="H173" s="18"/>
      <c r="I173" s="18" t="s">
        <v>137</v>
      </c>
      <c r="J173" s="18" t="s">
        <v>1423</v>
      </c>
      <c r="K173" s="20">
        <v>25.42</v>
      </c>
      <c r="L173" s="20">
        <f t="shared" si="17"/>
        <v>4.5756000000000006</v>
      </c>
      <c r="M173" s="21">
        <f t="shared" si="18"/>
        <v>29.995600000000003</v>
      </c>
    </row>
    <row r="174" spans="1:13" x14ac:dyDescent="0.2">
      <c r="A174" s="18">
        <f t="shared" si="19"/>
        <v>171</v>
      </c>
      <c r="B174" s="18" t="s">
        <v>835</v>
      </c>
      <c r="C174" s="18" t="s">
        <v>965</v>
      </c>
      <c r="D174" s="19">
        <v>43778</v>
      </c>
      <c r="E174" s="18" t="s">
        <v>463</v>
      </c>
      <c r="F174" s="18">
        <v>2856</v>
      </c>
      <c r="G174" s="18">
        <v>20493018711</v>
      </c>
      <c r="H174" s="18"/>
      <c r="I174" s="18" t="s">
        <v>193</v>
      </c>
      <c r="J174" s="18" t="s">
        <v>1437</v>
      </c>
      <c r="K174" s="20">
        <v>59.32</v>
      </c>
      <c r="L174" s="20">
        <f t="shared" si="17"/>
        <v>10.6776</v>
      </c>
      <c r="M174" s="21">
        <f t="shared" si="18"/>
        <v>69.997600000000006</v>
      </c>
    </row>
    <row r="175" spans="1:13" x14ac:dyDescent="0.2">
      <c r="A175" s="18">
        <f t="shared" si="19"/>
        <v>172</v>
      </c>
      <c r="B175" s="18" t="s">
        <v>828</v>
      </c>
      <c r="C175" s="18" t="s">
        <v>910</v>
      </c>
      <c r="D175" s="19">
        <v>43778</v>
      </c>
      <c r="E175" s="18">
        <v>1</v>
      </c>
      <c r="F175" s="18">
        <v>5135</v>
      </c>
      <c r="G175" s="18">
        <v>20544804236</v>
      </c>
      <c r="H175" s="18">
        <v>12916</v>
      </c>
      <c r="I175" s="18" t="s">
        <v>137</v>
      </c>
      <c r="J175" s="18" t="s">
        <v>1423</v>
      </c>
      <c r="K175" s="20">
        <v>29.66</v>
      </c>
      <c r="L175" s="20">
        <f t="shared" si="17"/>
        <v>5.3388</v>
      </c>
      <c r="M175" s="21">
        <f t="shared" si="18"/>
        <v>34.998800000000003</v>
      </c>
    </row>
    <row r="176" spans="1:13" x14ac:dyDescent="0.2">
      <c r="A176" s="18">
        <f t="shared" si="19"/>
        <v>173</v>
      </c>
      <c r="B176" s="18" t="s">
        <v>828</v>
      </c>
      <c r="C176" s="18" t="s">
        <v>910</v>
      </c>
      <c r="D176" s="19">
        <v>43774</v>
      </c>
      <c r="E176" s="18">
        <v>1</v>
      </c>
      <c r="F176" s="18">
        <v>11249</v>
      </c>
      <c r="G176" s="18">
        <v>10107711291</v>
      </c>
      <c r="H176" s="18">
        <v>12916</v>
      </c>
      <c r="I176" s="18" t="s">
        <v>137</v>
      </c>
      <c r="J176" s="18" t="s">
        <v>1423</v>
      </c>
      <c r="K176" s="20">
        <v>25.42</v>
      </c>
      <c r="L176" s="20">
        <f t="shared" si="17"/>
        <v>4.5756000000000006</v>
      </c>
      <c r="M176" s="21">
        <f t="shared" si="18"/>
        <v>29.995600000000003</v>
      </c>
    </row>
    <row r="177" spans="1:13" x14ac:dyDescent="0.2">
      <c r="A177" s="18">
        <f t="shared" si="19"/>
        <v>174</v>
      </c>
      <c r="B177" s="18" t="s">
        <v>828</v>
      </c>
      <c r="C177" s="18" t="s">
        <v>910</v>
      </c>
      <c r="D177" s="19">
        <v>43774</v>
      </c>
      <c r="E177" s="18">
        <v>3</v>
      </c>
      <c r="F177" s="18">
        <v>3358</v>
      </c>
      <c r="G177" s="18">
        <v>10075011411</v>
      </c>
      <c r="H177" s="18">
        <v>12911</v>
      </c>
      <c r="I177" s="18" t="s">
        <v>137</v>
      </c>
      <c r="J177" s="18" t="s">
        <v>1438</v>
      </c>
      <c r="K177" s="20">
        <v>120</v>
      </c>
      <c r="L177" s="20">
        <f t="shared" si="17"/>
        <v>21.599999999999998</v>
      </c>
      <c r="M177" s="21">
        <f t="shared" si="18"/>
        <v>141.6</v>
      </c>
    </row>
    <row r="178" spans="1:13" x14ac:dyDescent="0.2">
      <c r="A178" s="18">
        <f t="shared" si="19"/>
        <v>175</v>
      </c>
      <c r="B178" s="18" t="s">
        <v>828</v>
      </c>
      <c r="C178" s="18" t="s">
        <v>910</v>
      </c>
      <c r="D178" s="19">
        <v>43774</v>
      </c>
      <c r="E178" s="18" t="s">
        <v>463</v>
      </c>
      <c r="F178" s="18">
        <v>2807</v>
      </c>
      <c r="G178" s="18">
        <v>20493018711</v>
      </c>
      <c r="H178" s="18">
        <v>12911</v>
      </c>
      <c r="I178" s="18" t="s">
        <v>193</v>
      </c>
      <c r="J178" s="18" t="s">
        <v>1437</v>
      </c>
      <c r="K178" s="20">
        <v>59.32</v>
      </c>
      <c r="L178" s="20">
        <f t="shared" si="17"/>
        <v>10.6776</v>
      </c>
      <c r="M178" s="21">
        <f t="shared" si="18"/>
        <v>69.997600000000006</v>
      </c>
    </row>
    <row r="179" spans="1:13" x14ac:dyDescent="0.2">
      <c r="A179" s="18">
        <f t="shared" si="19"/>
        <v>176</v>
      </c>
      <c r="B179" s="18" t="s">
        <v>828</v>
      </c>
      <c r="C179" s="18" t="s">
        <v>910</v>
      </c>
      <c r="D179" s="19">
        <v>43774</v>
      </c>
      <c r="E179" s="18" t="s">
        <v>201</v>
      </c>
      <c r="F179" s="18">
        <v>565</v>
      </c>
      <c r="G179" s="18">
        <v>10100087605</v>
      </c>
      <c r="H179" s="18">
        <v>12911</v>
      </c>
      <c r="I179" s="18" t="s">
        <v>137</v>
      </c>
      <c r="J179" s="18" t="s">
        <v>944</v>
      </c>
      <c r="K179" s="20">
        <v>33.9</v>
      </c>
      <c r="L179" s="20">
        <f t="shared" si="17"/>
        <v>6.1019999999999994</v>
      </c>
      <c r="M179" s="21">
        <f t="shared" si="18"/>
        <v>40.001999999999995</v>
      </c>
    </row>
    <row r="180" spans="1:13" x14ac:dyDescent="0.2">
      <c r="A180" s="18">
        <f t="shared" si="19"/>
        <v>177</v>
      </c>
      <c r="B180" s="18" t="s">
        <v>828</v>
      </c>
      <c r="C180" s="18" t="s">
        <v>910</v>
      </c>
      <c r="D180" s="19">
        <v>43778</v>
      </c>
      <c r="E180" s="18" t="s">
        <v>200</v>
      </c>
      <c r="F180" s="18">
        <v>703</v>
      </c>
      <c r="G180" s="18">
        <v>20601635152</v>
      </c>
      <c r="H180" s="18">
        <v>12911</v>
      </c>
      <c r="I180" s="18" t="s">
        <v>137</v>
      </c>
      <c r="J180" s="18" t="s">
        <v>1439</v>
      </c>
      <c r="K180" s="20">
        <v>20</v>
      </c>
      <c r="L180" s="20">
        <f t="shared" si="17"/>
        <v>3.5999999999999996</v>
      </c>
      <c r="M180" s="21">
        <f t="shared" si="18"/>
        <v>23.6</v>
      </c>
    </row>
    <row r="181" spans="1:13" x14ac:dyDescent="0.2">
      <c r="A181" s="18">
        <f t="shared" si="19"/>
        <v>178</v>
      </c>
      <c r="B181" s="18" t="s">
        <v>865</v>
      </c>
      <c r="C181" s="18" t="s">
        <v>1002</v>
      </c>
      <c r="D181" s="19">
        <v>43775</v>
      </c>
      <c r="E181" s="18">
        <v>3</v>
      </c>
      <c r="F181" s="18">
        <v>3361</v>
      </c>
      <c r="G181" s="18">
        <v>10075011411</v>
      </c>
      <c r="H181" s="18">
        <v>12943</v>
      </c>
      <c r="I181" s="18" t="s">
        <v>137</v>
      </c>
      <c r="J181" s="18" t="s">
        <v>1438</v>
      </c>
      <c r="K181" s="20">
        <v>148.31</v>
      </c>
      <c r="L181" s="20">
        <f t="shared" si="17"/>
        <v>26.695799999999998</v>
      </c>
      <c r="M181" s="21">
        <f t="shared" si="18"/>
        <v>175.00579999999999</v>
      </c>
    </row>
    <row r="182" spans="1:13" x14ac:dyDescent="0.2">
      <c r="A182" s="18">
        <f t="shared" si="19"/>
        <v>179</v>
      </c>
      <c r="B182" s="18" t="s">
        <v>865</v>
      </c>
      <c r="C182" s="18" t="s">
        <v>1002</v>
      </c>
      <c r="D182" s="19">
        <v>43777</v>
      </c>
      <c r="E182" s="18">
        <v>1</v>
      </c>
      <c r="F182" s="18">
        <v>686</v>
      </c>
      <c r="G182" s="18">
        <v>20600639634</v>
      </c>
      <c r="H182" s="18">
        <v>12943</v>
      </c>
      <c r="I182" s="18" t="s">
        <v>137</v>
      </c>
      <c r="J182" s="18" t="s">
        <v>1439</v>
      </c>
      <c r="K182" s="20">
        <v>15</v>
      </c>
      <c r="L182" s="20">
        <f t="shared" si="17"/>
        <v>2.6999999999999997</v>
      </c>
      <c r="M182" s="21">
        <f t="shared" si="18"/>
        <v>17.7</v>
      </c>
    </row>
    <row r="183" spans="1:13" x14ac:dyDescent="0.2">
      <c r="A183" s="18">
        <f t="shared" si="19"/>
        <v>180</v>
      </c>
      <c r="B183" s="18" t="s">
        <v>865</v>
      </c>
      <c r="C183" s="18" t="s">
        <v>1002</v>
      </c>
      <c r="D183" s="19">
        <v>43775</v>
      </c>
      <c r="E183" s="18" t="s">
        <v>463</v>
      </c>
      <c r="F183" s="18">
        <v>2826</v>
      </c>
      <c r="G183" s="18">
        <v>20493018711</v>
      </c>
      <c r="H183" s="18">
        <v>12943</v>
      </c>
      <c r="I183" s="18" t="s">
        <v>193</v>
      </c>
      <c r="J183" s="18" t="s">
        <v>1437</v>
      </c>
      <c r="K183" s="20">
        <v>59.32</v>
      </c>
      <c r="L183" s="20">
        <f t="shared" si="17"/>
        <v>10.6776</v>
      </c>
      <c r="M183" s="21">
        <f t="shared" si="18"/>
        <v>69.997600000000006</v>
      </c>
    </row>
    <row r="184" spans="1:13" x14ac:dyDescent="0.2">
      <c r="A184" s="18">
        <f t="shared" si="19"/>
        <v>181</v>
      </c>
      <c r="B184" s="18" t="s">
        <v>865</v>
      </c>
      <c r="C184" s="18" t="s">
        <v>1002</v>
      </c>
      <c r="D184" s="19">
        <v>43775</v>
      </c>
      <c r="E184" s="18" t="s">
        <v>201</v>
      </c>
      <c r="F184" s="18">
        <v>572</v>
      </c>
      <c r="G184" s="18">
        <v>10100087605</v>
      </c>
      <c r="H184" s="18">
        <v>12943</v>
      </c>
      <c r="I184" s="18" t="s">
        <v>137</v>
      </c>
      <c r="J184" s="18" t="s">
        <v>944</v>
      </c>
      <c r="K184" s="20">
        <v>33.9</v>
      </c>
      <c r="L184" s="20">
        <f t="shared" si="17"/>
        <v>6.1019999999999994</v>
      </c>
      <c r="M184" s="21">
        <f t="shared" si="18"/>
        <v>40.001999999999995</v>
      </c>
    </row>
    <row r="185" spans="1:13" x14ac:dyDescent="0.2">
      <c r="A185" s="18">
        <f t="shared" si="19"/>
        <v>182</v>
      </c>
      <c r="B185" s="18" t="s">
        <v>865</v>
      </c>
      <c r="C185" s="18" t="s">
        <v>1002</v>
      </c>
      <c r="D185" s="19">
        <v>43776</v>
      </c>
      <c r="E185" s="18" t="s">
        <v>200</v>
      </c>
      <c r="F185" s="18">
        <v>68126</v>
      </c>
      <c r="G185" s="18">
        <v>20493143612</v>
      </c>
      <c r="H185" s="18">
        <v>12943</v>
      </c>
      <c r="I185" s="18" t="s">
        <v>137</v>
      </c>
      <c r="J185" s="18" t="s">
        <v>954</v>
      </c>
      <c r="K185" s="20">
        <v>42.37</v>
      </c>
      <c r="L185" s="20">
        <f t="shared" si="17"/>
        <v>7.6265999999999989</v>
      </c>
      <c r="M185" s="21">
        <f t="shared" si="18"/>
        <v>49.996599999999994</v>
      </c>
    </row>
    <row r="186" spans="1:13" x14ac:dyDescent="0.2">
      <c r="A186" s="18">
        <f t="shared" si="19"/>
        <v>183</v>
      </c>
      <c r="B186" s="18" t="s">
        <v>865</v>
      </c>
      <c r="C186" s="18" t="s">
        <v>1002</v>
      </c>
      <c r="D186" s="19">
        <v>43777</v>
      </c>
      <c r="E186" s="18" t="s">
        <v>200</v>
      </c>
      <c r="F186" s="18">
        <v>68228</v>
      </c>
      <c r="G186" s="18">
        <v>20493143612</v>
      </c>
      <c r="H186" s="18">
        <v>12943</v>
      </c>
      <c r="I186" s="18" t="s">
        <v>137</v>
      </c>
      <c r="J186" s="18" t="s">
        <v>954</v>
      </c>
      <c r="K186" s="20">
        <v>42.37</v>
      </c>
      <c r="L186" s="20">
        <f t="shared" si="17"/>
        <v>7.6265999999999989</v>
      </c>
      <c r="M186" s="21">
        <f t="shared" si="18"/>
        <v>49.996599999999994</v>
      </c>
    </row>
    <row r="187" spans="1:13" x14ac:dyDescent="0.2">
      <c r="A187" s="18">
        <f t="shared" si="19"/>
        <v>184</v>
      </c>
      <c r="B187" s="18" t="s">
        <v>850</v>
      </c>
      <c r="C187" s="18" t="s">
        <v>972</v>
      </c>
      <c r="D187" s="19">
        <v>43774</v>
      </c>
      <c r="E187" s="18">
        <v>3</v>
      </c>
      <c r="F187" s="18">
        <v>3359</v>
      </c>
      <c r="G187" s="18">
        <v>10075011411</v>
      </c>
      <c r="H187" s="18">
        <v>12927</v>
      </c>
      <c r="I187" s="18" t="s">
        <v>137</v>
      </c>
      <c r="J187" s="18" t="s">
        <v>1438</v>
      </c>
      <c r="K187" s="20">
        <v>180</v>
      </c>
      <c r="L187" s="20">
        <f t="shared" si="17"/>
        <v>32.4</v>
      </c>
      <c r="M187" s="21">
        <f t="shared" si="18"/>
        <v>212.4</v>
      </c>
    </row>
    <row r="188" spans="1:13" x14ac:dyDescent="0.2">
      <c r="A188" s="18">
        <f t="shared" si="19"/>
        <v>185</v>
      </c>
      <c r="B188" s="18" t="s">
        <v>850</v>
      </c>
      <c r="C188" s="18" t="s">
        <v>972</v>
      </c>
      <c r="D188" s="19">
        <v>43774</v>
      </c>
      <c r="E188" s="18">
        <v>1</v>
      </c>
      <c r="F188" s="18">
        <v>11250</v>
      </c>
      <c r="G188" s="18">
        <v>10107711291</v>
      </c>
      <c r="H188" s="18">
        <v>12927</v>
      </c>
      <c r="I188" s="18" t="s">
        <v>137</v>
      </c>
      <c r="J188" s="18" t="s">
        <v>1423</v>
      </c>
      <c r="K188" s="20">
        <v>25.42</v>
      </c>
      <c r="L188" s="20">
        <f t="shared" si="17"/>
        <v>4.5756000000000006</v>
      </c>
      <c r="M188" s="21">
        <f t="shared" si="18"/>
        <v>29.995600000000003</v>
      </c>
    </row>
    <row r="189" spans="1:13" x14ac:dyDescent="0.2">
      <c r="A189" s="18">
        <f t="shared" si="19"/>
        <v>186</v>
      </c>
      <c r="B189" s="18" t="s">
        <v>850</v>
      </c>
      <c r="C189" s="18" t="s">
        <v>972</v>
      </c>
      <c r="D189" s="19">
        <v>43774</v>
      </c>
      <c r="E189" s="18" t="s">
        <v>463</v>
      </c>
      <c r="F189" s="18">
        <v>2806</v>
      </c>
      <c r="G189" s="18">
        <v>20493018711</v>
      </c>
      <c r="H189" s="18">
        <v>12927</v>
      </c>
      <c r="I189" s="18" t="s">
        <v>193</v>
      </c>
      <c r="J189" s="18" t="s">
        <v>1437</v>
      </c>
      <c r="K189" s="20">
        <v>59.32</v>
      </c>
      <c r="L189" s="20">
        <f t="shared" si="17"/>
        <v>10.6776</v>
      </c>
      <c r="M189" s="21">
        <f t="shared" si="18"/>
        <v>69.997600000000006</v>
      </c>
    </row>
    <row r="190" spans="1:13" x14ac:dyDescent="0.2">
      <c r="A190" s="18">
        <f t="shared" si="19"/>
        <v>187</v>
      </c>
      <c r="B190" s="18" t="s">
        <v>850</v>
      </c>
      <c r="C190" s="18" t="s">
        <v>972</v>
      </c>
      <c r="D190" s="19">
        <v>43774</v>
      </c>
      <c r="E190" s="18" t="s">
        <v>201</v>
      </c>
      <c r="F190" s="18">
        <v>564</v>
      </c>
      <c r="G190" s="18">
        <v>10100087605</v>
      </c>
      <c r="H190" s="18">
        <v>12927</v>
      </c>
      <c r="I190" s="18" t="s">
        <v>137</v>
      </c>
      <c r="J190" s="18" t="s">
        <v>1435</v>
      </c>
      <c r="K190" s="20">
        <v>16.95</v>
      </c>
      <c r="L190" s="20">
        <f t="shared" si="17"/>
        <v>3.0509999999999997</v>
      </c>
      <c r="M190" s="21">
        <f t="shared" si="18"/>
        <v>20.000999999999998</v>
      </c>
    </row>
    <row r="191" spans="1:13" x14ac:dyDescent="0.2">
      <c r="A191" s="18">
        <f t="shared" si="19"/>
        <v>188</v>
      </c>
      <c r="B191" s="18" t="s">
        <v>850</v>
      </c>
      <c r="C191" s="18" t="s">
        <v>972</v>
      </c>
      <c r="D191" s="19">
        <v>43775</v>
      </c>
      <c r="E191" s="18" t="s">
        <v>201</v>
      </c>
      <c r="F191" s="18">
        <v>571</v>
      </c>
      <c r="G191" s="18">
        <v>10100087605</v>
      </c>
      <c r="H191" s="18">
        <v>12927</v>
      </c>
      <c r="I191" s="18" t="s">
        <v>137</v>
      </c>
      <c r="J191" s="18" t="s">
        <v>253</v>
      </c>
      <c r="K191" s="20">
        <v>16.95</v>
      </c>
      <c r="L191" s="20">
        <f t="shared" ref="L191:L254" si="20">+K191*18%</f>
        <v>3.0509999999999997</v>
      </c>
      <c r="M191" s="21">
        <f t="shared" ref="M191:M254" si="21">+K191+L191</f>
        <v>20.000999999999998</v>
      </c>
    </row>
    <row r="192" spans="1:13" x14ac:dyDescent="0.2">
      <c r="A192" s="18">
        <f t="shared" si="19"/>
        <v>189</v>
      </c>
      <c r="B192" s="18" t="s">
        <v>852</v>
      </c>
      <c r="C192" s="18" t="s">
        <v>943</v>
      </c>
      <c r="D192" s="19">
        <v>43774</v>
      </c>
      <c r="E192" s="18" t="s">
        <v>201</v>
      </c>
      <c r="F192" s="18">
        <v>566</v>
      </c>
      <c r="G192" s="18">
        <v>10100087605</v>
      </c>
      <c r="H192" s="18">
        <v>12931</v>
      </c>
      <c r="I192" s="18" t="s">
        <v>137</v>
      </c>
      <c r="J192" s="18" t="s">
        <v>253</v>
      </c>
      <c r="K192" s="20">
        <v>8.4700000000000006</v>
      </c>
      <c r="L192" s="20">
        <f t="shared" si="20"/>
        <v>1.5246</v>
      </c>
      <c r="M192" s="21">
        <f t="shared" si="21"/>
        <v>9.9946000000000002</v>
      </c>
    </row>
    <row r="193" spans="1:13" x14ac:dyDescent="0.2">
      <c r="A193" s="18">
        <f t="shared" si="19"/>
        <v>190</v>
      </c>
      <c r="B193" s="18" t="s">
        <v>852</v>
      </c>
      <c r="C193" s="18" t="s">
        <v>943</v>
      </c>
      <c r="D193" s="19">
        <v>43776</v>
      </c>
      <c r="E193" s="18" t="s">
        <v>197</v>
      </c>
      <c r="F193" s="18">
        <v>33598</v>
      </c>
      <c r="G193" s="18">
        <v>20493143612</v>
      </c>
      <c r="H193" s="18">
        <v>12931</v>
      </c>
      <c r="I193" s="18" t="s">
        <v>137</v>
      </c>
      <c r="J193" s="18" t="s">
        <v>954</v>
      </c>
      <c r="K193" s="20">
        <v>42.37</v>
      </c>
      <c r="L193" s="20">
        <f t="shared" si="20"/>
        <v>7.6265999999999989</v>
      </c>
      <c r="M193" s="21">
        <f t="shared" si="21"/>
        <v>49.996599999999994</v>
      </c>
    </row>
    <row r="194" spans="1:13" x14ac:dyDescent="0.2">
      <c r="A194" s="18">
        <f t="shared" si="19"/>
        <v>191</v>
      </c>
      <c r="B194" s="18" t="s">
        <v>1363</v>
      </c>
      <c r="C194" s="18" t="s">
        <v>1440</v>
      </c>
      <c r="D194" s="19">
        <v>43796</v>
      </c>
      <c r="E194" s="18" t="s">
        <v>200</v>
      </c>
      <c r="F194" s="18">
        <v>1002</v>
      </c>
      <c r="G194" s="18">
        <v>20300435298</v>
      </c>
      <c r="H194" s="18">
        <v>12886</v>
      </c>
      <c r="I194" s="18" t="s">
        <v>137</v>
      </c>
      <c r="J194" s="18" t="s">
        <v>1241</v>
      </c>
      <c r="K194" s="20">
        <v>824.5</v>
      </c>
      <c r="L194" s="20">
        <f t="shared" si="20"/>
        <v>148.41</v>
      </c>
      <c r="M194" s="21">
        <f t="shared" si="21"/>
        <v>972.91</v>
      </c>
    </row>
    <row r="195" spans="1:13" x14ac:dyDescent="0.2">
      <c r="A195" s="18">
        <f t="shared" si="19"/>
        <v>192</v>
      </c>
      <c r="B195" s="18" t="s">
        <v>1381</v>
      </c>
      <c r="C195" s="18" t="s">
        <v>1441</v>
      </c>
      <c r="D195" s="19">
        <v>43797</v>
      </c>
      <c r="E195" s="18">
        <v>1</v>
      </c>
      <c r="F195" s="18">
        <v>5469</v>
      </c>
      <c r="G195" s="18">
        <v>20600892828</v>
      </c>
      <c r="H195" s="18">
        <v>13054</v>
      </c>
      <c r="I195" s="18" t="s">
        <v>137</v>
      </c>
      <c r="J195" s="18" t="s">
        <v>257</v>
      </c>
      <c r="K195" s="20">
        <v>76.27</v>
      </c>
      <c r="L195" s="20">
        <f t="shared" si="20"/>
        <v>13.728599999999998</v>
      </c>
      <c r="M195" s="21">
        <f t="shared" si="21"/>
        <v>89.998599999999996</v>
      </c>
    </row>
    <row r="196" spans="1:13" x14ac:dyDescent="0.2">
      <c r="A196" s="18">
        <f t="shared" si="19"/>
        <v>193</v>
      </c>
      <c r="B196" s="18" t="s">
        <v>1348</v>
      </c>
      <c r="C196" s="18" t="s">
        <v>1251</v>
      </c>
      <c r="D196" s="19">
        <v>43791</v>
      </c>
      <c r="E196" s="18">
        <v>5</v>
      </c>
      <c r="F196" s="18">
        <v>530</v>
      </c>
      <c r="G196" s="18">
        <v>10426916393</v>
      </c>
      <c r="H196" s="18"/>
      <c r="I196" s="18" t="s">
        <v>193</v>
      </c>
      <c r="J196" s="18" t="s">
        <v>1442</v>
      </c>
      <c r="K196" s="20">
        <v>59.32</v>
      </c>
      <c r="L196" s="20">
        <f t="shared" si="20"/>
        <v>10.6776</v>
      </c>
      <c r="M196" s="21">
        <f t="shared" si="21"/>
        <v>69.997600000000006</v>
      </c>
    </row>
    <row r="197" spans="1:13" x14ac:dyDescent="0.2">
      <c r="A197" s="18">
        <f t="shared" si="19"/>
        <v>194</v>
      </c>
      <c r="B197" s="18" t="s">
        <v>1373</v>
      </c>
      <c r="C197" s="18" t="s">
        <v>1443</v>
      </c>
      <c r="D197" s="19">
        <v>43791</v>
      </c>
      <c r="E197" s="18">
        <v>5</v>
      </c>
      <c r="F197" s="18">
        <v>535</v>
      </c>
      <c r="G197" s="18">
        <v>10426916393</v>
      </c>
      <c r="H197" s="18"/>
      <c r="I197" s="18" t="s">
        <v>193</v>
      </c>
      <c r="J197" s="18" t="s">
        <v>1444</v>
      </c>
      <c r="K197" s="20">
        <v>71.19</v>
      </c>
      <c r="L197" s="20">
        <f t="shared" si="20"/>
        <v>12.8142</v>
      </c>
      <c r="M197" s="21">
        <f t="shared" si="21"/>
        <v>84.004199999999997</v>
      </c>
    </row>
    <row r="198" spans="1:13" x14ac:dyDescent="0.2">
      <c r="A198" s="18">
        <f t="shared" ref="A198:A261" si="22">+A197+1</f>
        <v>195</v>
      </c>
      <c r="B198" s="18" t="s">
        <v>1356</v>
      </c>
      <c r="C198" s="18" t="s">
        <v>1426</v>
      </c>
      <c r="D198" s="19">
        <v>43791</v>
      </c>
      <c r="E198" s="18">
        <v>1</v>
      </c>
      <c r="F198" s="18">
        <v>56</v>
      </c>
      <c r="G198" s="18">
        <v>20600808177</v>
      </c>
      <c r="H198" s="18"/>
      <c r="I198" s="18" t="s">
        <v>193</v>
      </c>
      <c r="J198" s="18" t="s">
        <v>1445</v>
      </c>
      <c r="K198" s="20">
        <v>45</v>
      </c>
      <c r="L198" s="20">
        <f t="shared" si="20"/>
        <v>8.1</v>
      </c>
      <c r="M198" s="21">
        <f t="shared" si="21"/>
        <v>53.1</v>
      </c>
    </row>
    <row r="199" spans="1:13" x14ac:dyDescent="0.2">
      <c r="A199" s="18">
        <f t="shared" si="22"/>
        <v>196</v>
      </c>
      <c r="B199" s="18" t="s">
        <v>1356</v>
      </c>
      <c r="C199" s="18" t="s">
        <v>1426</v>
      </c>
      <c r="D199" s="19">
        <v>43791</v>
      </c>
      <c r="E199" s="18">
        <v>1</v>
      </c>
      <c r="F199" s="18">
        <v>56</v>
      </c>
      <c r="G199" s="18">
        <v>20600808177</v>
      </c>
      <c r="H199" s="18"/>
      <c r="I199" s="18" t="s">
        <v>193</v>
      </c>
      <c r="J199" s="18" t="s">
        <v>1242</v>
      </c>
      <c r="K199" s="20">
        <v>45</v>
      </c>
      <c r="L199" s="20">
        <f t="shared" si="20"/>
        <v>8.1</v>
      </c>
      <c r="M199" s="21">
        <f t="shared" si="21"/>
        <v>53.1</v>
      </c>
    </row>
    <row r="200" spans="1:13" x14ac:dyDescent="0.2">
      <c r="A200" s="18">
        <f t="shared" si="22"/>
        <v>197</v>
      </c>
      <c r="B200" s="18" t="s">
        <v>1377</v>
      </c>
      <c r="C200" s="18" t="s">
        <v>1446</v>
      </c>
      <c r="D200" s="19">
        <v>43794</v>
      </c>
      <c r="E200" s="18">
        <v>1</v>
      </c>
      <c r="F200" s="18">
        <v>2137</v>
      </c>
      <c r="G200" s="18">
        <v>20603753896</v>
      </c>
      <c r="H200" s="18"/>
      <c r="I200" s="18" t="s">
        <v>193</v>
      </c>
      <c r="J200" s="18" t="s">
        <v>223</v>
      </c>
      <c r="K200" s="20">
        <v>50.85</v>
      </c>
      <c r="L200" s="20">
        <f t="shared" si="20"/>
        <v>9.1530000000000005</v>
      </c>
      <c r="M200" s="21">
        <f t="shared" si="21"/>
        <v>60.003</v>
      </c>
    </row>
    <row r="201" spans="1:13" x14ac:dyDescent="0.2">
      <c r="A201" s="18">
        <f t="shared" si="22"/>
        <v>198</v>
      </c>
      <c r="B201" s="18" t="s">
        <v>1243</v>
      </c>
      <c r="C201" s="18" t="s">
        <v>1244</v>
      </c>
      <c r="D201" s="19">
        <v>43790</v>
      </c>
      <c r="E201" s="18">
        <v>1</v>
      </c>
      <c r="F201" s="18">
        <v>2101</v>
      </c>
      <c r="G201" s="18">
        <v>20603753896</v>
      </c>
      <c r="H201" s="18"/>
      <c r="I201" s="18" t="s">
        <v>193</v>
      </c>
      <c r="J201" s="18" t="s">
        <v>223</v>
      </c>
      <c r="K201" s="20">
        <v>29.66</v>
      </c>
      <c r="L201" s="20">
        <f t="shared" si="20"/>
        <v>5.3388</v>
      </c>
      <c r="M201" s="21">
        <f t="shared" si="21"/>
        <v>34.998800000000003</v>
      </c>
    </row>
    <row r="202" spans="1:13" x14ac:dyDescent="0.2">
      <c r="A202" s="18">
        <f t="shared" si="22"/>
        <v>199</v>
      </c>
      <c r="B202" s="18" t="s">
        <v>1447</v>
      </c>
      <c r="C202" s="18" t="s">
        <v>965</v>
      </c>
      <c r="D202" s="19">
        <v>43798</v>
      </c>
      <c r="E202" s="18">
        <v>1</v>
      </c>
      <c r="F202" s="18">
        <v>4434</v>
      </c>
      <c r="G202" s="18">
        <v>20524196388</v>
      </c>
      <c r="H202" s="18">
        <v>13077</v>
      </c>
      <c r="I202" s="18" t="s">
        <v>137</v>
      </c>
      <c r="J202" s="18" t="s">
        <v>1448</v>
      </c>
      <c r="K202" s="20">
        <v>800</v>
      </c>
      <c r="L202" s="20">
        <f t="shared" si="20"/>
        <v>144</v>
      </c>
      <c r="M202" s="21">
        <f t="shared" si="21"/>
        <v>944</v>
      </c>
    </row>
    <row r="203" spans="1:13" x14ac:dyDescent="0.2">
      <c r="A203" s="18">
        <f t="shared" si="22"/>
        <v>200</v>
      </c>
      <c r="B203" s="18" t="s">
        <v>877</v>
      </c>
      <c r="C203" s="18" t="s">
        <v>1229</v>
      </c>
      <c r="D203" s="19">
        <v>43791</v>
      </c>
      <c r="E203" s="18" t="s">
        <v>201</v>
      </c>
      <c r="F203" s="18">
        <v>611</v>
      </c>
      <c r="G203" s="18">
        <v>10100087605</v>
      </c>
      <c r="H203" s="18"/>
      <c r="I203" s="18" t="s">
        <v>137</v>
      </c>
      <c r="J203" s="18" t="s">
        <v>1434</v>
      </c>
      <c r="K203" s="20">
        <v>4.24</v>
      </c>
      <c r="L203" s="20">
        <f t="shared" si="20"/>
        <v>0.76319999999999999</v>
      </c>
      <c r="M203" s="21">
        <f t="shared" si="21"/>
        <v>5.0032000000000005</v>
      </c>
    </row>
    <row r="204" spans="1:13" x14ac:dyDescent="0.2">
      <c r="A204" s="18">
        <f t="shared" si="22"/>
        <v>201</v>
      </c>
      <c r="B204" s="18" t="s">
        <v>1243</v>
      </c>
      <c r="C204" s="18" t="s">
        <v>1244</v>
      </c>
      <c r="D204" s="19">
        <v>43790</v>
      </c>
      <c r="E204" s="18" t="s">
        <v>979</v>
      </c>
      <c r="F204" s="18">
        <v>2101</v>
      </c>
      <c r="G204" s="18">
        <v>20603753896</v>
      </c>
      <c r="H204" s="18">
        <v>13011</v>
      </c>
      <c r="I204" s="18" t="s">
        <v>193</v>
      </c>
      <c r="J204" s="18" t="s">
        <v>1449</v>
      </c>
      <c r="K204" s="20">
        <v>35</v>
      </c>
      <c r="L204" s="20">
        <f t="shared" si="20"/>
        <v>6.3</v>
      </c>
      <c r="M204" s="21">
        <f t="shared" si="21"/>
        <v>41.3</v>
      </c>
    </row>
    <row r="205" spans="1:13" x14ac:dyDescent="0.2">
      <c r="A205" s="18">
        <f t="shared" si="22"/>
        <v>202</v>
      </c>
      <c r="B205" s="18" t="s">
        <v>1243</v>
      </c>
      <c r="C205" s="18" t="s">
        <v>1244</v>
      </c>
      <c r="D205" s="19">
        <v>43790</v>
      </c>
      <c r="E205" s="18" t="s">
        <v>201</v>
      </c>
      <c r="F205" s="18">
        <v>605</v>
      </c>
      <c r="G205" s="18">
        <v>10100087605</v>
      </c>
      <c r="H205" s="18">
        <v>13011</v>
      </c>
      <c r="I205" s="18" t="s">
        <v>137</v>
      </c>
      <c r="J205" s="18" t="s">
        <v>944</v>
      </c>
      <c r="K205" s="20">
        <v>33.9</v>
      </c>
      <c r="L205" s="20">
        <f t="shared" si="20"/>
        <v>6.1019999999999994</v>
      </c>
      <c r="M205" s="21">
        <f t="shared" si="21"/>
        <v>40.001999999999995</v>
      </c>
    </row>
    <row r="206" spans="1:13" x14ac:dyDescent="0.2">
      <c r="A206" s="18">
        <f t="shared" si="22"/>
        <v>203</v>
      </c>
      <c r="B206" s="18" t="s">
        <v>1243</v>
      </c>
      <c r="C206" s="18" t="s">
        <v>1244</v>
      </c>
      <c r="D206" s="19">
        <v>43791</v>
      </c>
      <c r="E206" s="18" t="s">
        <v>200</v>
      </c>
      <c r="F206" s="18">
        <v>69037</v>
      </c>
      <c r="G206" s="18">
        <v>20493143612</v>
      </c>
      <c r="H206" s="18">
        <v>13011</v>
      </c>
      <c r="I206" s="18" t="s">
        <v>137</v>
      </c>
      <c r="J206" s="18" t="s">
        <v>954</v>
      </c>
      <c r="K206" s="20">
        <v>42.37</v>
      </c>
      <c r="L206" s="20">
        <f t="shared" si="20"/>
        <v>7.6265999999999989</v>
      </c>
      <c r="M206" s="21">
        <f t="shared" si="21"/>
        <v>49.996599999999994</v>
      </c>
    </row>
    <row r="207" spans="1:13" x14ac:dyDescent="0.2">
      <c r="A207" s="18">
        <f t="shared" si="22"/>
        <v>204</v>
      </c>
      <c r="B207" s="18" t="s">
        <v>1243</v>
      </c>
      <c r="C207" s="18" t="s">
        <v>1244</v>
      </c>
      <c r="D207" s="19">
        <v>43796</v>
      </c>
      <c r="E207" s="18">
        <v>1</v>
      </c>
      <c r="F207" s="18">
        <v>1319</v>
      </c>
      <c r="G207" s="18">
        <v>10068062948</v>
      </c>
      <c r="H207" s="18">
        <v>13011</v>
      </c>
      <c r="I207" s="18" t="s">
        <v>137</v>
      </c>
      <c r="J207" s="18" t="s">
        <v>1439</v>
      </c>
      <c r="K207" s="20">
        <v>16.95</v>
      </c>
      <c r="L207" s="20">
        <f t="shared" si="20"/>
        <v>3.0509999999999997</v>
      </c>
      <c r="M207" s="21">
        <f t="shared" si="21"/>
        <v>20.000999999999998</v>
      </c>
    </row>
    <row r="208" spans="1:13" x14ac:dyDescent="0.2">
      <c r="A208" s="18">
        <f t="shared" si="22"/>
        <v>205</v>
      </c>
      <c r="B208" s="18" t="s">
        <v>1019</v>
      </c>
      <c r="C208" s="18" t="s">
        <v>1020</v>
      </c>
      <c r="D208" s="19">
        <v>43789</v>
      </c>
      <c r="E208" s="18">
        <v>1</v>
      </c>
      <c r="F208" s="18">
        <v>8005</v>
      </c>
      <c r="G208" s="18">
        <v>20509732800</v>
      </c>
      <c r="H208" s="18">
        <v>13007</v>
      </c>
      <c r="I208" s="18" t="s">
        <v>137</v>
      </c>
      <c r="J208" s="18" t="s">
        <v>1450</v>
      </c>
      <c r="K208" s="20">
        <v>152.54</v>
      </c>
      <c r="L208" s="20">
        <f t="shared" si="20"/>
        <v>27.457199999999997</v>
      </c>
      <c r="M208" s="21">
        <f t="shared" si="21"/>
        <v>179.99719999999999</v>
      </c>
    </row>
    <row r="209" spans="1:13" x14ac:dyDescent="0.2">
      <c r="A209" s="18">
        <f t="shared" si="22"/>
        <v>206</v>
      </c>
      <c r="B209" s="18" t="s">
        <v>1019</v>
      </c>
      <c r="C209" s="18" t="s">
        <v>1020</v>
      </c>
      <c r="D209" s="19">
        <v>43789</v>
      </c>
      <c r="E209" s="18">
        <v>1</v>
      </c>
      <c r="F209" s="18">
        <v>5157</v>
      </c>
      <c r="G209" s="18">
        <v>20544804236</v>
      </c>
      <c r="H209" s="18">
        <v>13007</v>
      </c>
      <c r="I209" s="18" t="s">
        <v>137</v>
      </c>
      <c r="J209" s="18" t="s">
        <v>1423</v>
      </c>
      <c r="K209" s="20">
        <v>29.66</v>
      </c>
      <c r="L209" s="20">
        <f t="shared" si="20"/>
        <v>5.3388</v>
      </c>
      <c r="M209" s="21">
        <f t="shared" si="21"/>
        <v>34.998800000000003</v>
      </c>
    </row>
    <row r="210" spans="1:13" x14ac:dyDescent="0.2">
      <c r="A210" s="18">
        <f t="shared" si="22"/>
        <v>207</v>
      </c>
      <c r="B210" s="18" t="s">
        <v>1019</v>
      </c>
      <c r="C210" s="18" t="s">
        <v>1020</v>
      </c>
      <c r="D210" s="19">
        <v>43790</v>
      </c>
      <c r="E210" s="18" t="s">
        <v>197</v>
      </c>
      <c r="F210" s="18">
        <v>34710</v>
      </c>
      <c r="G210" s="18">
        <v>20493143612</v>
      </c>
      <c r="H210" s="18">
        <v>13007</v>
      </c>
      <c r="I210" s="18" t="s">
        <v>137</v>
      </c>
      <c r="J210" s="18" t="s">
        <v>954</v>
      </c>
      <c r="K210" s="20">
        <v>42.37</v>
      </c>
      <c r="L210" s="20">
        <f t="shared" si="20"/>
        <v>7.6265999999999989</v>
      </c>
      <c r="M210" s="21">
        <f t="shared" si="21"/>
        <v>49.996599999999994</v>
      </c>
    </row>
    <row r="211" spans="1:13" x14ac:dyDescent="0.2">
      <c r="A211" s="18">
        <f t="shared" si="22"/>
        <v>208</v>
      </c>
      <c r="B211" s="18" t="s">
        <v>1019</v>
      </c>
      <c r="C211" s="18" t="s">
        <v>1020</v>
      </c>
      <c r="D211" s="19">
        <v>43792</v>
      </c>
      <c r="E211" s="18">
        <v>1</v>
      </c>
      <c r="F211" s="18">
        <v>1316</v>
      </c>
      <c r="G211" s="18">
        <v>10068062948</v>
      </c>
      <c r="H211" s="18">
        <v>13007</v>
      </c>
      <c r="I211" s="18" t="s">
        <v>137</v>
      </c>
      <c r="J211" s="18" t="s">
        <v>1439</v>
      </c>
      <c r="K211" s="20">
        <v>10</v>
      </c>
      <c r="L211" s="20">
        <f t="shared" si="20"/>
        <v>1.7999999999999998</v>
      </c>
      <c r="M211" s="21">
        <f t="shared" si="21"/>
        <v>11.8</v>
      </c>
    </row>
    <row r="212" spans="1:13" x14ac:dyDescent="0.2">
      <c r="A212" s="18">
        <f t="shared" si="22"/>
        <v>209</v>
      </c>
      <c r="B212" s="18" t="s">
        <v>1008</v>
      </c>
      <c r="C212" s="18" t="s">
        <v>1009</v>
      </c>
      <c r="D212" s="19">
        <v>43789</v>
      </c>
      <c r="E212" s="18">
        <v>1</v>
      </c>
      <c r="F212" s="18">
        <v>8004</v>
      </c>
      <c r="G212" s="18">
        <v>20509732800</v>
      </c>
      <c r="H212" s="18"/>
      <c r="I212" s="18" t="s">
        <v>137</v>
      </c>
      <c r="J212" s="18" t="s">
        <v>1451</v>
      </c>
      <c r="K212" s="20">
        <v>152.54</v>
      </c>
      <c r="L212" s="20">
        <f t="shared" si="20"/>
        <v>27.457199999999997</v>
      </c>
      <c r="M212" s="21">
        <f t="shared" si="21"/>
        <v>179.99719999999999</v>
      </c>
    </row>
    <row r="213" spans="1:13" x14ac:dyDescent="0.2">
      <c r="A213" s="18">
        <f t="shared" si="22"/>
        <v>210</v>
      </c>
      <c r="B213" s="18" t="s">
        <v>1008</v>
      </c>
      <c r="C213" s="18" t="s">
        <v>1009</v>
      </c>
      <c r="D213" s="19">
        <v>43789</v>
      </c>
      <c r="E213" s="18">
        <v>1</v>
      </c>
      <c r="F213" s="18">
        <v>1465</v>
      </c>
      <c r="G213" s="18">
        <v>10103314769</v>
      </c>
      <c r="H213" s="18"/>
      <c r="I213" s="18" t="s">
        <v>137</v>
      </c>
      <c r="J213" s="18" t="s">
        <v>1452</v>
      </c>
      <c r="K213" s="20">
        <v>59.32</v>
      </c>
      <c r="L213" s="20">
        <f t="shared" si="20"/>
        <v>10.6776</v>
      </c>
      <c r="M213" s="21">
        <f t="shared" si="21"/>
        <v>69.997600000000006</v>
      </c>
    </row>
    <row r="214" spans="1:13" x14ac:dyDescent="0.2">
      <c r="A214" s="18">
        <f t="shared" si="22"/>
        <v>211</v>
      </c>
      <c r="B214" s="18" t="s">
        <v>1008</v>
      </c>
      <c r="C214" s="18" t="s">
        <v>1009</v>
      </c>
      <c r="D214" s="19">
        <v>43791</v>
      </c>
      <c r="E214" s="18">
        <v>1</v>
      </c>
      <c r="F214" s="18">
        <v>709</v>
      </c>
      <c r="G214" s="18">
        <v>20600639634</v>
      </c>
      <c r="H214" s="18"/>
      <c r="I214" s="18" t="s">
        <v>137</v>
      </c>
      <c r="J214" s="18" t="s">
        <v>1453</v>
      </c>
      <c r="K214" s="20">
        <v>5.08</v>
      </c>
      <c r="L214" s="20">
        <f t="shared" si="20"/>
        <v>0.91439999999999999</v>
      </c>
      <c r="M214" s="21">
        <f t="shared" si="21"/>
        <v>5.9943999999999997</v>
      </c>
    </row>
    <row r="215" spans="1:13" x14ac:dyDescent="0.2">
      <c r="A215" s="18">
        <f t="shared" si="22"/>
        <v>212</v>
      </c>
      <c r="B215" s="18" t="s">
        <v>1008</v>
      </c>
      <c r="C215" s="18" t="s">
        <v>1009</v>
      </c>
      <c r="D215" s="19">
        <v>43792</v>
      </c>
      <c r="E215" s="18">
        <v>1</v>
      </c>
      <c r="F215" s="18">
        <v>713</v>
      </c>
      <c r="G215" s="18">
        <v>20600639634</v>
      </c>
      <c r="H215" s="18"/>
      <c r="I215" s="18" t="s">
        <v>137</v>
      </c>
      <c r="J215" s="18" t="s">
        <v>1454</v>
      </c>
      <c r="K215" s="20">
        <v>40</v>
      </c>
      <c r="L215" s="20">
        <f t="shared" si="20"/>
        <v>7.1999999999999993</v>
      </c>
      <c r="M215" s="21">
        <f t="shared" si="21"/>
        <v>47.2</v>
      </c>
    </row>
    <row r="216" spans="1:13" x14ac:dyDescent="0.2">
      <c r="A216" s="18">
        <f t="shared" si="22"/>
        <v>213</v>
      </c>
      <c r="B216" s="18" t="s">
        <v>1008</v>
      </c>
      <c r="C216" s="18" t="s">
        <v>1009</v>
      </c>
      <c r="D216" s="19">
        <v>43790</v>
      </c>
      <c r="E216" s="18">
        <v>1</v>
      </c>
      <c r="F216" s="18">
        <v>1314</v>
      </c>
      <c r="G216" s="18">
        <v>10068062948</v>
      </c>
      <c r="H216" s="18"/>
      <c r="I216" s="18" t="s">
        <v>137</v>
      </c>
      <c r="J216" s="18" t="s">
        <v>1439</v>
      </c>
      <c r="K216" s="20">
        <v>40</v>
      </c>
      <c r="L216" s="20">
        <f t="shared" si="20"/>
        <v>7.1999999999999993</v>
      </c>
      <c r="M216" s="21">
        <f t="shared" si="21"/>
        <v>47.2</v>
      </c>
    </row>
    <row r="217" spans="1:13" x14ac:dyDescent="0.2">
      <c r="A217" s="18">
        <f t="shared" si="22"/>
        <v>214</v>
      </c>
      <c r="B217" s="18" t="s">
        <v>1008</v>
      </c>
      <c r="C217" s="18" t="s">
        <v>1009</v>
      </c>
      <c r="D217" s="19">
        <v>43789</v>
      </c>
      <c r="E217" s="18">
        <v>1</v>
      </c>
      <c r="F217" s="18">
        <v>16671</v>
      </c>
      <c r="G217" s="18">
        <v>10097732651</v>
      </c>
      <c r="H217" s="18"/>
      <c r="I217" s="18" t="s">
        <v>193</v>
      </c>
      <c r="J217" s="18" t="s">
        <v>1455</v>
      </c>
      <c r="K217" s="20">
        <v>84.75</v>
      </c>
      <c r="L217" s="20">
        <f t="shared" si="20"/>
        <v>15.254999999999999</v>
      </c>
      <c r="M217" s="21">
        <f t="shared" si="21"/>
        <v>100.005</v>
      </c>
    </row>
    <row r="218" spans="1:13" x14ac:dyDescent="0.2">
      <c r="A218" s="18">
        <f t="shared" si="22"/>
        <v>215</v>
      </c>
      <c r="B218" s="18" t="s">
        <v>1348</v>
      </c>
      <c r="C218" s="18" t="s">
        <v>1251</v>
      </c>
      <c r="D218" s="19">
        <v>43790</v>
      </c>
      <c r="E218" s="18">
        <v>1</v>
      </c>
      <c r="F218" s="18">
        <v>1315</v>
      </c>
      <c r="G218" s="18">
        <v>10068062948</v>
      </c>
      <c r="H218" s="18"/>
      <c r="I218" s="18" t="s">
        <v>137</v>
      </c>
      <c r="J218" s="18" t="s">
        <v>1454</v>
      </c>
      <c r="K218" s="20">
        <v>40</v>
      </c>
      <c r="L218" s="20">
        <f t="shared" si="20"/>
        <v>7.1999999999999993</v>
      </c>
      <c r="M218" s="21">
        <f t="shared" si="21"/>
        <v>47.2</v>
      </c>
    </row>
    <row r="219" spans="1:13" x14ac:dyDescent="0.2">
      <c r="A219" s="18">
        <f t="shared" si="22"/>
        <v>216</v>
      </c>
      <c r="B219" s="18" t="s">
        <v>1348</v>
      </c>
      <c r="C219" s="18" t="s">
        <v>1251</v>
      </c>
      <c r="D219" s="19">
        <v>43791</v>
      </c>
      <c r="E219" s="18" t="s">
        <v>201</v>
      </c>
      <c r="F219" s="18">
        <v>610</v>
      </c>
      <c r="G219" s="18">
        <v>10100087605</v>
      </c>
      <c r="H219" s="18"/>
      <c r="I219" s="18" t="s">
        <v>137</v>
      </c>
      <c r="J219" s="18" t="s">
        <v>253</v>
      </c>
      <c r="K219" s="20">
        <v>33.9</v>
      </c>
      <c r="L219" s="20">
        <f t="shared" si="20"/>
        <v>6.1019999999999994</v>
      </c>
      <c r="M219" s="21">
        <f t="shared" si="21"/>
        <v>40.001999999999995</v>
      </c>
    </row>
    <row r="220" spans="1:13" x14ac:dyDescent="0.2">
      <c r="A220" s="18">
        <f t="shared" si="22"/>
        <v>217</v>
      </c>
      <c r="B220" s="18" t="s">
        <v>1013</v>
      </c>
      <c r="C220" s="18" t="s">
        <v>1014</v>
      </c>
      <c r="D220" s="19">
        <v>43780</v>
      </c>
      <c r="E220" s="18" t="s">
        <v>201</v>
      </c>
      <c r="F220" s="18">
        <v>71</v>
      </c>
      <c r="G220" s="18">
        <v>20604639621</v>
      </c>
      <c r="H220" s="18">
        <v>13031</v>
      </c>
      <c r="I220" s="18" t="s">
        <v>193</v>
      </c>
      <c r="J220" s="18" t="s">
        <v>254</v>
      </c>
      <c r="K220" s="20">
        <v>53.64</v>
      </c>
      <c r="L220" s="20">
        <f t="shared" si="20"/>
        <v>9.6551999999999989</v>
      </c>
      <c r="M220" s="21">
        <f t="shared" si="21"/>
        <v>63.295200000000001</v>
      </c>
    </row>
    <row r="221" spans="1:13" x14ac:dyDescent="0.2">
      <c r="A221" s="18">
        <f t="shared" si="22"/>
        <v>218</v>
      </c>
      <c r="B221" s="18" t="s">
        <v>850</v>
      </c>
      <c r="C221" s="18" t="s">
        <v>972</v>
      </c>
      <c r="D221" s="19">
        <v>43795</v>
      </c>
      <c r="E221" s="18" t="s">
        <v>200</v>
      </c>
      <c r="F221" s="18">
        <v>69216</v>
      </c>
      <c r="G221" s="18">
        <v>20493143612</v>
      </c>
      <c r="H221" s="18"/>
      <c r="I221" s="18" t="s">
        <v>137</v>
      </c>
      <c r="J221" s="18" t="s">
        <v>954</v>
      </c>
      <c r="K221" s="20">
        <v>42.37</v>
      </c>
      <c r="L221" s="20">
        <f t="shared" si="20"/>
        <v>7.6265999999999989</v>
      </c>
      <c r="M221" s="21">
        <f t="shared" si="21"/>
        <v>49.996599999999994</v>
      </c>
    </row>
    <row r="222" spans="1:13" x14ac:dyDescent="0.2">
      <c r="A222" s="18">
        <f t="shared" si="22"/>
        <v>219</v>
      </c>
      <c r="B222" s="18" t="s">
        <v>1011</v>
      </c>
      <c r="C222" s="18" t="s">
        <v>1012</v>
      </c>
      <c r="D222" s="19">
        <v>43792</v>
      </c>
      <c r="E222" s="18">
        <v>1</v>
      </c>
      <c r="F222" s="18">
        <v>11061</v>
      </c>
      <c r="G222" s="18">
        <v>10061024650</v>
      </c>
      <c r="H222" s="18">
        <v>12996</v>
      </c>
      <c r="I222" s="18" t="s">
        <v>137</v>
      </c>
      <c r="J222" s="18" t="s">
        <v>1437</v>
      </c>
      <c r="K222" s="20">
        <v>59.32</v>
      </c>
      <c r="L222" s="20">
        <f t="shared" si="20"/>
        <v>10.6776</v>
      </c>
      <c r="M222" s="21">
        <f t="shared" si="21"/>
        <v>69.997600000000006</v>
      </c>
    </row>
    <row r="223" spans="1:13" x14ac:dyDescent="0.2">
      <c r="A223" s="18">
        <f t="shared" si="22"/>
        <v>220</v>
      </c>
      <c r="B223" s="18" t="s">
        <v>1011</v>
      </c>
      <c r="C223" s="18" t="s">
        <v>1012</v>
      </c>
      <c r="D223" s="19">
        <v>43797</v>
      </c>
      <c r="E223" s="18">
        <v>1</v>
      </c>
      <c r="F223" s="18">
        <v>5168</v>
      </c>
      <c r="G223" s="18">
        <v>20544804236</v>
      </c>
      <c r="H223" s="18">
        <v>12996</v>
      </c>
      <c r="I223" s="18" t="s">
        <v>137</v>
      </c>
      <c r="J223" s="18" t="s">
        <v>1423</v>
      </c>
      <c r="K223" s="20">
        <v>29.66</v>
      </c>
      <c r="L223" s="20">
        <f t="shared" si="20"/>
        <v>5.3388</v>
      </c>
      <c r="M223" s="21">
        <f t="shared" si="21"/>
        <v>34.998800000000003</v>
      </c>
    </row>
    <row r="224" spans="1:13" x14ac:dyDescent="0.2">
      <c r="A224" s="18">
        <f t="shared" si="22"/>
        <v>221</v>
      </c>
      <c r="B224" s="18" t="s">
        <v>1011</v>
      </c>
      <c r="C224" s="18" t="s">
        <v>1012</v>
      </c>
      <c r="D224" s="19">
        <v>43792</v>
      </c>
      <c r="E224" s="18" t="s">
        <v>201</v>
      </c>
      <c r="F224" s="18">
        <v>613</v>
      </c>
      <c r="G224" s="18">
        <v>10100087605</v>
      </c>
      <c r="H224" s="18">
        <v>12996</v>
      </c>
      <c r="I224" s="18" t="s">
        <v>137</v>
      </c>
      <c r="J224" s="18" t="s">
        <v>944</v>
      </c>
      <c r="K224" s="20">
        <v>33.9</v>
      </c>
      <c r="L224" s="20">
        <f t="shared" si="20"/>
        <v>6.1019999999999994</v>
      </c>
      <c r="M224" s="21">
        <f t="shared" si="21"/>
        <v>40.001999999999995</v>
      </c>
    </row>
    <row r="225" spans="1:13" x14ac:dyDescent="0.2">
      <c r="A225" s="18">
        <f t="shared" si="22"/>
        <v>222</v>
      </c>
      <c r="B225" s="18" t="s">
        <v>1011</v>
      </c>
      <c r="C225" s="18" t="s">
        <v>1012</v>
      </c>
      <c r="D225" s="19">
        <v>43795</v>
      </c>
      <c r="E225" s="18" t="s">
        <v>197</v>
      </c>
      <c r="F225" s="18">
        <v>35039</v>
      </c>
      <c r="G225" s="18">
        <v>20493143612</v>
      </c>
      <c r="H225" s="18">
        <v>12996</v>
      </c>
      <c r="I225" s="18" t="s">
        <v>137</v>
      </c>
      <c r="J225" s="18" t="s">
        <v>954</v>
      </c>
      <c r="K225" s="20">
        <v>42.37</v>
      </c>
      <c r="L225" s="20">
        <f t="shared" si="20"/>
        <v>7.6265999999999989</v>
      </c>
      <c r="M225" s="21">
        <f t="shared" si="21"/>
        <v>49.996599999999994</v>
      </c>
    </row>
    <row r="226" spans="1:13" x14ac:dyDescent="0.2">
      <c r="A226" s="18">
        <f t="shared" si="22"/>
        <v>223</v>
      </c>
      <c r="B226" s="18" t="s">
        <v>1011</v>
      </c>
      <c r="C226" s="18" t="s">
        <v>1012</v>
      </c>
      <c r="D226" s="19">
        <v>43796</v>
      </c>
      <c r="E226" s="18">
        <v>1</v>
      </c>
      <c r="F226" s="18">
        <v>1320</v>
      </c>
      <c r="G226" s="18">
        <v>10068062948</v>
      </c>
      <c r="H226" s="18">
        <v>12996</v>
      </c>
      <c r="I226" s="18" t="s">
        <v>137</v>
      </c>
      <c r="J226" s="18" t="s">
        <v>1439</v>
      </c>
      <c r="K226" s="20">
        <v>10</v>
      </c>
      <c r="L226" s="20">
        <f t="shared" si="20"/>
        <v>1.7999999999999998</v>
      </c>
      <c r="M226" s="21">
        <f t="shared" si="21"/>
        <v>11.8</v>
      </c>
    </row>
    <row r="227" spans="1:13" x14ac:dyDescent="0.2">
      <c r="A227" s="18">
        <f t="shared" si="22"/>
        <v>224</v>
      </c>
      <c r="B227" s="18" t="s">
        <v>1381</v>
      </c>
      <c r="C227" s="18" t="s">
        <v>1441</v>
      </c>
      <c r="D227" s="19">
        <v>43795</v>
      </c>
      <c r="E227" s="18">
        <v>1</v>
      </c>
      <c r="F227" s="18">
        <v>1318</v>
      </c>
      <c r="G227" s="18">
        <v>10068062948</v>
      </c>
      <c r="H227" s="18">
        <v>13054</v>
      </c>
      <c r="I227" s="18" t="s">
        <v>137</v>
      </c>
      <c r="J227" s="18" t="s">
        <v>1439</v>
      </c>
      <c r="K227" s="20">
        <v>40</v>
      </c>
      <c r="L227" s="20">
        <f t="shared" si="20"/>
        <v>7.1999999999999993</v>
      </c>
      <c r="M227" s="21">
        <f t="shared" si="21"/>
        <v>47.2</v>
      </c>
    </row>
    <row r="228" spans="1:13" x14ac:dyDescent="0.2">
      <c r="A228" s="18">
        <f t="shared" si="22"/>
        <v>225</v>
      </c>
      <c r="B228" s="18" t="s">
        <v>1013</v>
      </c>
      <c r="C228" s="18" t="s">
        <v>1014</v>
      </c>
      <c r="D228" s="19">
        <v>43794</v>
      </c>
      <c r="E228" s="18" t="s">
        <v>979</v>
      </c>
      <c r="F228" s="18">
        <v>2143</v>
      </c>
      <c r="G228" s="18">
        <v>20603753896</v>
      </c>
      <c r="H228" s="18">
        <v>13031</v>
      </c>
      <c r="I228" s="18" t="s">
        <v>193</v>
      </c>
      <c r="J228" s="18" t="s">
        <v>229</v>
      </c>
      <c r="K228" s="20">
        <f>15/1.18</f>
        <v>12.711864406779661</v>
      </c>
      <c r="L228" s="20">
        <f t="shared" si="20"/>
        <v>2.2881355932203387</v>
      </c>
      <c r="M228" s="21">
        <f t="shared" si="21"/>
        <v>15</v>
      </c>
    </row>
    <row r="229" spans="1:13" x14ac:dyDescent="0.2">
      <c r="A229" s="18">
        <f t="shared" si="22"/>
        <v>226</v>
      </c>
      <c r="B229" s="18" t="s">
        <v>1013</v>
      </c>
      <c r="C229" s="18" t="s">
        <v>1014</v>
      </c>
      <c r="D229" s="19">
        <v>43796</v>
      </c>
      <c r="E229" s="18" t="s">
        <v>200</v>
      </c>
      <c r="F229" s="18">
        <v>69311</v>
      </c>
      <c r="G229" s="18">
        <v>20493143612</v>
      </c>
      <c r="H229" s="18">
        <v>13031</v>
      </c>
      <c r="I229" s="18" t="s">
        <v>137</v>
      </c>
      <c r="J229" s="18" t="s">
        <v>954</v>
      </c>
      <c r="K229" s="20">
        <v>42.37</v>
      </c>
      <c r="L229" s="20">
        <f t="shared" si="20"/>
        <v>7.6265999999999989</v>
      </c>
      <c r="M229" s="21">
        <f t="shared" si="21"/>
        <v>49.996599999999994</v>
      </c>
    </row>
    <row r="230" spans="1:13" x14ac:dyDescent="0.2">
      <c r="A230" s="18">
        <f t="shared" si="22"/>
        <v>227</v>
      </c>
      <c r="B230" s="18" t="s">
        <v>1456</v>
      </c>
      <c r="C230" s="18" t="s">
        <v>1457</v>
      </c>
      <c r="D230" s="19">
        <v>43790</v>
      </c>
      <c r="E230" s="18">
        <v>1</v>
      </c>
      <c r="F230" s="18">
        <v>1311</v>
      </c>
      <c r="G230" s="18">
        <v>10068062948</v>
      </c>
      <c r="H230" s="18">
        <v>13066</v>
      </c>
      <c r="I230" s="18" t="s">
        <v>137</v>
      </c>
      <c r="J230" s="18" t="s">
        <v>1439</v>
      </c>
      <c r="K230" s="20">
        <v>20</v>
      </c>
      <c r="L230" s="20">
        <f t="shared" si="20"/>
        <v>3.5999999999999996</v>
      </c>
      <c r="M230" s="21">
        <f t="shared" si="21"/>
        <v>23.6</v>
      </c>
    </row>
    <row r="231" spans="1:13" x14ac:dyDescent="0.2">
      <c r="A231" s="18">
        <f t="shared" si="22"/>
        <v>228</v>
      </c>
      <c r="B231" s="18" t="s">
        <v>1013</v>
      </c>
      <c r="C231" s="18" t="s">
        <v>1014</v>
      </c>
      <c r="D231" s="19">
        <v>43795</v>
      </c>
      <c r="E231" s="18" t="s">
        <v>979</v>
      </c>
      <c r="F231" s="18">
        <v>2165</v>
      </c>
      <c r="G231" s="18">
        <v>20603753896</v>
      </c>
      <c r="H231" s="18"/>
      <c r="I231" s="18" t="s">
        <v>193</v>
      </c>
      <c r="J231" s="18" t="s">
        <v>229</v>
      </c>
      <c r="K231" s="20">
        <v>12.71</v>
      </c>
      <c r="L231" s="20">
        <f t="shared" si="20"/>
        <v>2.2878000000000003</v>
      </c>
      <c r="M231" s="21">
        <f t="shared" si="21"/>
        <v>14.997800000000002</v>
      </c>
    </row>
    <row r="232" spans="1:13" x14ac:dyDescent="0.2">
      <c r="A232" s="18">
        <f t="shared" si="22"/>
        <v>229</v>
      </c>
      <c r="B232" s="18" t="s">
        <v>1013</v>
      </c>
      <c r="C232" s="18" t="s">
        <v>1014</v>
      </c>
      <c r="D232" s="19">
        <v>43795</v>
      </c>
      <c r="E232" s="18" t="s">
        <v>201</v>
      </c>
      <c r="F232" s="18">
        <v>621</v>
      </c>
      <c r="G232" s="18">
        <v>10100087605</v>
      </c>
      <c r="H232" s="18"/>
      <c r="I232" s="18" t="s">
        <v>137</v>
      </c>
      <c r="J232" s="18" t="s">
        <v>944</v>
      </c>
      <c r="K232" s="20">
        <v>33.9</v>
      </c>
      <c r="L232" s="20">
        <f t="shared" si="20"/>
        <v>6.1019999999999994</v>
      </c>
      <c r="M232" s="21">
        <f t="shared" si="21"/>
        <v>40.001999999999995</v>
      </c>
    </row>
    <row r="233" spans="1:13" x14ac:dyDescent="0.2">
      <c r="A233" s="18">
        <f t="shared" si="22"/>
        <v>230</v>
      </c>
      <c r="B233" s="18" t="s">
        <v>1379</v>
      </c>
      <c r="C233" s="18" t="s">
        <v>1458</v>
      </c>
      <c r="D233" s="19">
        <v>43795</v>
      </c>
      <c r="E233" s="18" t="s">
        <v>201</v>
      </c>
      <c r="F233" s="18">
        <v>619</v>
      </c>
      <c r="G233" s="18">
        <v>10100087605</v>
      </c>
      <c r="H233" s="18"/>
      <c r="I233" s="18" t="s">
        <v>137</v>
      </c>
      <c r="J233" s="18" t="s">
        <v>928</v>
      </c>
      <c r="K233" s="20">
        <v>4.24</v>
      </c>
      <c r="L233" s="20">
        <f t="shared" si="20"/>
        <v>0.76319999999999999</v>
      </c>
      <c r="M233" s="21">
        <f t="shared" si="21"/>
        <v>5.0032000000000005</v>
      </c>
    </row>
    <row r="234" spans="1:13" x14ac:dyDescent="0.2">
      <c r="A234" s="18">
        <f t="shared" si="22"/>
        <v>231</v>
      </c>
      <c r="B234" s="18" t="s">
        <v>1379</v>
      </c>
      <c r="C234" s="18" t="s">
        <v>1458</v>
      </c>
      <c r="D234" s="19">
        <v>43796</v>
      </c>
      <c r="E234" s="18">
        <v>1</v>
      </c>
      <c r="F234" s="18">
        <v>8023</v>
      </c>
      <c r="G234" s="18">
        <v>20509732800</v>
      </c>
      <c r="H234" s="18"/>
      <c r="I234" s="18" t="s">
        <v>137</v>
      </c>
      <c r="J234" s="18" t="s">
        <v>1451</v>
      </c>
      <c r="K234" s="20">
        <v>152.54</v>
      </c>
      <c r="L234" s="20">
        <f t="shared" si="20"/>
        <v>27.457199999999997</v>
      </c>
      <c r="M234" s="21">
        <f t="shared" si="21"/>
        <v>179.99719999999999</v>
      </c>
    </row>
    <row r="235" spans="1:13" x14ac:dyDescent="0.2">
      <c r="A235" s="18">
        <f t="shared" si="22"/>
        <v>232</v>
      </c>
      <c r="B235" s="18" t="s">
        <v>1375</v>
      </c>
      <c r="C235" s="18" t="s">
        <v>1459</v>
      </c>
      <c r="D235" s="19">
        <v>43796</v>
      </c>
      <c r="E235" s="18" t="s">
        <v>197</v>
      </c>
      <c r="F235" s="18">
        <v>35155</v>
      </c>
      <c r="G235" s="18">
        <v>20193143612</v>
      </c>
      <c r="H235" s="18"/>
      <c r="I235" s="18" t="s">
        <v>137</v>
      </c>
      <c r="J235" s="18" t="s">
        <v>954</v>
      </c>
      <c r="K235" s="20">
        <v>42.37</v>
      </c>
      <c r="L235" s="20">
        <f t="shared" si="20"/>
        <v>7.6265999999999989</v>
      </c>
      <c r="M235" s="21">
        <f t="shared" si="21"/>
        <v>49.996599999999994</v>
      </c>
    </row>
    <row r="236" spans="1:13" x14ac:dyDescent="0.2">
      <c r="A236" s="18">
        <f t="shared" si="22"/>
        <v>233</v>
      </c>
      <c r="B236" s="18" t="s">
        <v>1017</v>
      </c>
      <c r="C236" s="18" t="s">
        <v>1018</v>
      </c>
      <c r="D236" s="19">
        <v>43796</v>
      </c>
      <c r="E236" s="18" t="s">
        <v>200</v>
      </c>
      <c r="F236" s="18">
        <v>9278</v>
      </c>
      <c r="G236" s="18">
        <v>20193143612</v>
      </c>
      <c r="H236" s="18"/>
      <c r="I236" s="18" t="s">
        <v>137</v>
      </c>
      <c r="J236" s="18" t="s">
        <v>954</v>
      </c>
      <c r="K236" s="20">
        <v>42.37</v>
      </c>
      <c r="L236" s="20">
        <f t="shared" si="20"/>
        <v>7.6265999999999989</v>
      </c>
      <c r="M236" s="21">
        <f t="shared" si="21"/>
        <v>49.996599999999994</v>
      </c>
    </row>
    <row r="237" spans="1:13" x14ac:dyDescent="0.2">
      <c r="A237" s="18">
        <f t="shared" si="22"/>
        <v>234</v>
      </c>
      <c r="B237" s="18" t="s">
        <v>1396</v>
      </c>
      <c r="C237" s="18" t="s">
        <v>1460</v>
      </c>
      <c r="D237" s="19">
        <v>43795</v>
      </c>
      <c r="E237" s="18">
        <v>1</v>
      </c>
      <c r="F237" s="18">
        <v>2550</v>
      </c>
      <c r="G237" s="18">
        <v>10078408290</v>
      </c>
      <c r="H237" s="18">
        <v>12883</v>
      </c>
      <c r="I237" s="18" t="s">
        <v>137</v>
      </c>
      <c r="J237" s="18" t="s">
        <v>1452</v>
      </c>
      <c r="K237" s="20">
        <v>55.08</v>
      </c>
      <c r="L237" s="20">
        <f t="shared" si="20"/>
        <v>9.9143999999999988</v>
      </c>
      <c r="M237" s="21">
        <f t="shared" si="21"/>
        <v>64.994399999999999</v>
      </c>
    </row>
    <row r="238" spans="1:13" x14ac:dyDescent="0.2">
      <c r="A238" s="18">
        <f t="shared" si="22"/>
        <v>235</v>
      </c>
      <c r="B238" s="18" t="s">
        <v>936</v>
      </c>
      <c r="C238" s="18" t="s">
        <v>937</v>
      </c>
      <c r="D238" s="19">
        <v>43797</v>
      </c>
      <c r="E238" s="18">
        <v>1</v>
      </c>
      <c r="F238" s="18">
        <v>5169</v>
      </c>
      <c r="G238" s="18">
        <v>20544804236</v>
      </c>
      <c r="H238" s="18"/>
      <c r="I238" s="18" t="s">
        <v>137</v>
      </c>
      <c r="J238" s="18" t="s">
        <v>1423</v>
      </c>
      <c r="K238" s="20">
        <v>29.66</v>
      </c>
      <c r="L238" s="20">
        <f t="shared" si="20"/>
        <v>5.3388</v>
      </c>
      <c r="M238" s="21">
        <f t="shared" si="21"/>
        <v>34.998800000000003</v>
      </c>
    </row>
    <row r="239" spans="1:13" x14ac:dyDescent="0.2">
      <c r="A239" s="18">
        <f t="shared" si="22"/>
        <v>236</v>
      </c>
      <c r="B239" s="18" t="s">
        <v>936</v>
      </c>
      <c r="C239" s="18" t="s">
        <v>937</v>
      </c>
      <c r="D239" s="19">
        <v>43796</v>
      </c>
      <c r="E239" s="18">
        <v>1</v>
      </c>
      <c r="F239" s="18">
        <v>11067</v>
      </c>
      <c r="G239" s="18">
        <v>10061024650</v>
      </c>
      <c r="H239" s="18"/>
      <c r="I239" s="18" t="s">
        <v>137</v>
      </c>
      <c r="J239" s="18" t="s">
        <v>1437</v>
      </c>
      <c r="K239" s="20">
        <v>59.32</v>
      </c>
      <c r="L239" s="20">
        <f t="shared" si="20"/>
        <v>10.6776</v>
      </c>
      <c r="M239" s="21">
        <f t="shared" si="21"/>
        <v>69.997600000000006</v>
      </c>
    </row>
    <row r="240" spans="1:13" x14ac:dyDescent="0.2">
      <c r="A240" s="18">
        <f t="shared" si="22"/>
        <v>237</v>
      </c>
      <c r="B240" s="18" t="s">
        <v>936</v>
      </c>
      <c r="C240" s="18" t="s">
        <v>937</v>
      </c>
      <c r="D240" s="19">
        <v>43796</v>
      </c>
      <c r="E240" s="18">
        <v>1</v>
      </c>
      <c r="F240" s="18">
        <v>8022</v>
      </c>
      <c r="G240" s="18">
        <v>20509732800</v>
      </c>
      <c r="H240" s="18"/>
      <c r="I240" s="18" t="s">
        <v>137</v>
      </c>
      <c r="J240" s="18" t="s">
        <v>1451</v>
      </c>
      <c r="K240" s="20">
        <v>152.54</v>
      </c>
      <c r="L240" s="20">
        <f t="shared" si="20"/>
        <v>27.457199999999997</v>
      </c>
      <c r="M240" s="21">
        <f t="shared" si="21"/>
        <v>179.99719999999999</v>
      </c>
    </row>
    <row r="241" spans="1:13" x14ac:dyDescent="0.2">
      <c r="A241" s="18">
        <f t="shared" si="22"/>
        <v>238</v>
      </c>
      <c r="B241" s="18" t="s">
        <v>936</v>
      </c>
      <c r="C241" s="18" t="s">
        <v>937</v>
      </c>
      <c r="D241" s="19">
        <v>43796</v>
      </c>
      <c r="E241" s="18" t="s">
        <v>201</v>
      </c>
      <c r="F241" s="18">
        <v>622</v>
      </c>
      <c r="G241" s="18">
        <v>10100087605</v>
      </c>
      <c r="H241" s="18"/>
      <c r="I241" s="18" t="s">
        <v>137</v>
      </c>
      <c r="J241" s="18" t="s">
        <v>944</v>
      </c>
      <c r="K241" s="20">
        <v>33.9</v>
      </c>
      <c r="L241" s="20">
        <f t="shared" si="20"/>
        <v>6.1019999999999994</v>
      </c>
      <c r="M241" s="21">
        <f t="shared" si="21"/>
        <v>40.001999999999995</v>
      </c>
    </row>
    <row r="242" spans="1:13" x14ac:dyDescent="0.2">
      <c r="A242" s="18">
        <f t="shared" si="22"/>
        <v>239</v>
      </c>
      <c r="B242" s="18" t="s">
        <v>1394</v>
      </c>
      <c r="C242" s="18" t="s">
        <v>1461</v>
      </c>
      <c r="D242" s="19">
        <v>43797</v>
      </c>
      <c r="E242" s="18">
        <v>1</v>
      </c>
      <c r="F242" s="18">
        <v>3498</v>
      </c>
      <c r="G242" s="18">
        <v>1088805432</v>
      </c>
      <c r="H242" s="18"/>
      <c r="I242" s="18" t="s">
        <v>137</v>
      </c>
      <c r="J242" s="18" t="s">
        <v>1433</v>
      </c>
      <c r="K242" s="20">
        <v>466.1</v>
      </c>
      <c r="L242" s="20">
        <f t="shared" si="20"/>
        <v>83.897999999999996</v>
      </c>
      <c r="M242" s="21">
        <f t="shared" si="21"/>
        <v>549.99800000000005</v>
      </c>
    </row>
    <row r="243" spans="1:13" x14ac:dyDescent="0.2">
      <c r="A243" s="18">
        <f t="shared" si="22"/>
        <v>240</v>
      </c>
      <c r="B243" s="18" t="s">
        <v>1013</v>
      </c>
      <c r="C243" s="18" t="s">
        <v>1014</v>
      </c>
      <c r="D243" s="19">
        <v>43797</v>
      </c>
      <c r="E243" s="18" t="s">
        <v>201</v>
      </c>
      <c r="F243" s="18">
        <v>625</v>
      </c>
      <c r="G243" s="18">
        <v>10100087605</v>
      </c>
      <c r="H243" s="18"/>
      <c r="I243" s="18" t="s">
        <v>137</v>
      </c>
      <c r="J243" s="18" t="s">
        <v>1462</v>
      </c>
      <c r="K243" s="20">
        <v>50.85</v>
      </c>
      <c r="L243" s="20">
        <f t="shared" si="20"/>
        <v>9.1530000000000005</v>
      </c>
      <c r="M243" s="21">
        <f t="shared" si="21"/>
        <v>60.003</v>
      </c>
    </row>
    <row r="244" spans="1:13" x14ac:dyDescent="0.2">
      <c r="A244" s="18">
        <f t="shared" si="22"/>
        <v>241</v>
      </c>
      <c r="B244" s="18" t="s">
        <v>1663</v>
      </c>
      <c r="C244" s="18" t="s">
        <v>1664</v>
      </c>
      <c r="D244" s="19">
        <v>43802</v>
      </c>
      <c r="E244" s="18">
        <v>1</v>
      </c>
      <c r="F244" s="18">
        <v>2234</v>
      </c>
      <c r="G244" s="18">
        <v>20603753896</v>
      </c>
      <c r="H244" s="18"/>
      <c r="I244" s="18" t="s">
        <v>193</v>
      </c>
      <c r="J244" s="18" t="s">
        <v>202</v>
      </c>
      <c r="K244" s="20">
        <v>19.489999999999998</v>
      </c>
      <c r="L244" s="20">
        <f t="shared" si="20"/>
        <v>3.5081999999999995</v>
      </c>
      <c r="M244" s="21">
        <f t="shared" si="21"/>
        <v>22.998199999999997</v>
      </c>
    </row>
    <row r="245" spans="1:13" x14ac:dyDescent="0.2">
      <c r="A245" s="18">
        <f t="shared" si="22"/>
        <v>242</v>
      </c>
      <c r="B245" s="18" t="s">
        <v>1665</v>
      </c>
      <c r="C245" s="18" t="s">
        <v>1666</v>
      </c>
      <c r="D245" s="19">
        <v>43804</v>
      </c>
      <c r="E245" s="18" t="s">
        <v>201</v>
      </c>
      <c r="F245" s="18">
        <v>641</v>
      </c>
      <c r="G245" s="18">
        <v>10100087605</v>
      </c>
      <c r="H245" s="18"/>
      <c r="I245" s="18" t="s">
        <v>137</v>
      </c>
      <c r="J245" s="18" t="s">
        <v>253</v>
      </c>
      <c r="K245" s="20">
        <v>16.95</v>
      </c>
      <c r="L245" s="20">
        <f t="shared" si="20"/>
        <v>3.0509999999999997</v>
      </c>
      <c r="M245" s="21">
        <f t="shared" si="21"/>
        <v>20.000999999999998</v>
      </c>
    </row>
    <row r="246" spans="1:13" x14ac:dyDescent="0.2">
      <c r="A246" s="18">
        <f t="shared" si="22"/>
        <v>243</v>
      </c>
      <c r="B246" s="18" t="s">
        <v>1665</v>
      </c>
      <c r="C246" s="18" t="s">
        <v>1666</v>
      </c>
      <c r="D246" s="19">
        <v>43804</v>
      </c>
      <c r="E246" s="18">
        <v>3</v>
      </c>
      <c r="F246" s="18">
        <v>3390</v>
      </c>
      <c r="G246" s="18">
        <v>10075011411</v>
      </c>
      <c r="H246" s="18"/>
      <c r="I246" s="18" t="s">
        <v>137</v>
      </c>
      <c r="J246" s="18" t="s">
        <v>1667</v>
      </c>
      <c r="K246" s="20">
        <v>25.42</v>
      </c>
      <c r="L246" s="20">
        <f t="shared" si="20"/>
        <v>4.5756000000000006</v>
      </c>
      <c r="M246" s="21">
        <f t="shared" si="21"/>
        <v>29.995600000000003</v>
      </c>
    </row>
    <row r="247" spans="1:13" x14ac:dyDescent="0.2">
      <c r="A247" s="18">
        <f t="shared" si="22"/>
        <v>244</v>
      </c>
      <c r="B247" s="18" t="s">
        <v>1665</v>
      </c>
      <c r="C247" s="18" t="s">
        <v>1666</v>
      </c>
      <c r="D247" s="19">
        <v>43804</v>
      </c>
      <c r="E247" s="18">
        <v>1</v>
      </c>
      <c r="F247" s="18">
        <v>11084</v>
      </c>
      <c r="G247" s="18">
        <v>10061024650</v>
      </c>
      <c r="H247" s="18"/>
      <c r="I247" s="18" t="s">
        <v>137</v>
      </c>
      <c r="J247" s="18" t="s">
        <v>1668</v>
      </c>
      <c r="K247" s="20">
        <v>16.95</v>
      </c>
      <c r="L247" s="20">
        <f t="shared" si="20"/>
        <v>3.0509999999999997</v>
      </c>
      <c r="M247" s="21">
        <f t="shared" si="21"/>
        <v>20.000999999999998</v>
      </c>
    </row>
    <row r="248" spans="1:13" x14ac:dyDescent="0.2">
      <c r="A248" s="18">
        <f t="shared" si="22"/>
        <v>245</v>
      </c>
      <c r="B248" s="18" t="s">
        <v>1385</v>
      </c>
      <c r="C248" s="18" t="s">
        <v>1669</v>
      </c>
      <c r="D248" s="19">
        <v>43804</v>
      </c>
      <c r="E248" s="18">
        <v>1</v>
      </c>
      <c r="F248" s="18">
        <v>5192</v>
      </c>
      <c r="G248" s="18">
        <v>20544804236</v>
      </c>
      <c r="H248" s="18"/>
      <c r="I248" s="18" t="s">
        <v>137</v>
      </c>
      <c r="J248" s="18" t="s">
        <v>1423</v>
      </c>
      <c r="K248" s="20">
        <v>29.66</v>
      </c>
      <c r="L248" s="20">
        <f t="shared" si="20"/>
        <v>5.3388</v>
      </c>
      <c r="M248" s="21">
        <f t="shared" si="21"/>
        <v>34.998800000000003</v>
      </c>
    </row>
    <row r="249" spans="1:13" x14ac:dyDescent="0.2">
      <c r="A249" s="18">
        <f t="shared" si="22"/>
        <v>246</v>
      </c>
      <c r="B249" s="18" t="s">
        <v>1383</v>
      </c>
      <c r="C249" s="18" t="s">
        <v>1670</v>
      </c>
      <c r="D249" s="19">
        <v>43804</v>
      </c>
      <c r="E249" s="18">
        <v>1</v>
      </c>
      <c r="F249" s="18">
        <v>5193</v>
      </c>
      <c r="G249" s="18">
        <v>20544804236</v>
      </c>
      <c r="H249" s="18"/>
      <c r="I249" s="18" t="s">
        <v>137</v>
      </c>
      <c r="J249" s="18" t="s">
        <v>1423</v>
      </c>
      <c r="K249" s="20">
        <v>29.66</v>
      </c>
      <c r="L249" s="20">
        <f t="shared" si="20"/>
        <v>5.3388</v>
      </c>
      <c r="M249" s="21">
        <f t="shared" si="21"/>
        <v>34.998800000000003</v>
      </c>
    </row>
    <row r="250" spans="1:13" x14ac:dyDescent="0.2">
      <c r="A250" s="18">
        <f t="shared" si="22"/>
        <v>247</v>
      </c>
      <c r="B250" s="18" t="s">
        <v>1383</v>
      </c>
      <c r="C250" s="18" t="s">
        <v>1670</v>
      </c>
      <c r="D250" s="19">
        <v>43804</v>
      </c>
      <c r="E250" s="18">
        <v>2</v>
      </c>
      <c r="F250" s="18">
        <v>770</v>
      </c>
      <c r="G250" s="18">
        <v>20525049028</v>
      </c>
      <c r="H250" s="18"/>
      <c r="I250" s="18" t="s">
        <v>137</v>
      </c>
      <c r="J250" s="18" t="s">
        <v>1671</v>
      </c>
      <c r="K250" s="20">
        <v>58.14</v>
      </c>
      <c r="L250" s="20">
        <f t="shared" si="20"/>
        <v>10.465199999999999</v>
      </c>
      <c r="M250" s="21">
        <f t="shared" si="21"/>
        <v>68.605199999999996</v>
      </c>
    </row>
    <row r="251" spans="1:13" x14ac:dyDescent="0.2">
      <c r="A251" s="18">
        <f t="shared" si="22"/>
        <v>248</v>
      </c>
      <c r="B251" s="18" t="s">
        <v>1383</v>
      </c>
      <c r="C251" s="18" t="s">
        <v>1670</v>
      </c>
      <c r="D251" s="19">
        <v>43804</v>
      </c>
      <c r="E251" s="18">
        <v>1</v>
      </c>
      <c r="F251" s="18">
        <v>11083</v>
      </c>
      <c r="G251" s="18">
        <v>10061024650</v>
      </c>
      <c r="H251" s="18"/>
      <c r="I251" s="18" t="s">
        <v>137</v>
      </c>
      <c r="J251" s="18" t="s">
        <v>1672</v>
      </c>
      <c r="K251" s="20">
        <v>59.32</v>
      </c>
      <c r="L251" s="20">
        <f t="shared" si="20"/>
        <v>10.6776</v>
      </c>
      <c r="M251" s="21">
        <f t="shared" si="21"/>
        <v>69.997600000000006</v>
      </c>
    </row>
    <row r="252" spans="1:13" x14ac:dyDescent="0.2">
      <c r="A252" s="18">
        <f t="shared" si="22"/>
        <v>249</v>
      </c>
      <c r="B252" s="18" t="s">
        <v>1383</v>
      </c>
      <c r="C252" s="18" t="s">
        <v>1670</v>
      </c>
      <c r="D252" s="19">
        <v>43804</v>
      </c>
      <c r="E252" s="18">
        <v>2</v>
      </c>
      <c r="F252" s="18">
        <v>5</v>
      </c>
      <c r="G252" s="18">
        <v>10322741231</v>
      </c>
      <c r="H252" s="18"/>
      <c r="I252" s="18" t="s">
        <v>137</v>
      </c>
      <c r="J252" s="18" t="s">
        <v>410</v>
      </c>
      <c r="K252" s="20">
        <v>59.32</v>
      </c>
      <c r="L252" s="20">
        <f t="shared" si="20"/>
        <v>10.6776</v>
      </c>
      <c r="M252" s="21">
        <f t="shared" si="21"/>
        <v>69.997600000000006</v>
      </c>
    </row>
    <row r="253" spans="1:13" x14ac:dyDescent="0.2">
      <c r="A253" s="18">
        <f t="shared" si="22"/>
        <v>250</v>
      </c>
      <c r="B253" s="18" t="s">
        <v>1383</v>
      </c>
      <c r="C253" s="18" t="s">
        <v>1670</v>
      </c>
      <c r="D253" s="19">
        <v>43804</v>
      </c>
      <c r="E253" s="18" t="s">
        <v>201</v>
      </c>
      <c r="F253" s="18">
        <v>640</v>
      </c>
      <c r="G253" s="18">
        <v>10100087605</v>
      </c>
      <c r="H253" s="18"/>
      <c r="I253" s="18" t="s">
        <v>137</v>
      </c>
      <c r="J253" s="18" t="s">
        <v>944</v>
      </c>
      <c r="K253" s="20">
        <v>50.85</v>
      </c>
      <c r="L253" s="20">
        <f t="shared" si="20"/>
        <v>9.1530000000000005</v>
      </c>
      <c r="M253" s="21">
        <f t="shared" si="21"/>
        <v>60.003</v>
      </c>
    </row>
    <row r="254" spans="1:13" x14ac:dyDescent="0.2">
      <c r="A254" s="18">
        <f t="shared" si="22"/>
        <v>251</v>
      </c>
      <c r="B254" s="18" t="s">
        <v>1412</v>
      </c>
      <c r="C254" s="18" t="s">
        <v>2006</v>
      </c>
      <c r="D254" s="19">
        <v>43808</v>
      </c>
      <c r="E254" s="18">
        <v>1</v>
      </c>
      <c r="F254" s="18">
        <v>1324</v>
      </c>
      <c r="G254" s="18">
        <v>10427505524</v>
      </c>
      <c r="H254" s="18">
        <v>13103</v>
      </c>
      <c r="I254" s="18" t="s">
        <v>137</v>
      </c>
      <c r="J254" s="18" t="s">
        <v>1422</v>
      </c>
      <c r="K254" s="20">
        <f>130/1.18</f>
        <v>110.16949152542374</v>
      </c>
      <c r="L254" s="20">
        <f t="shared" si="20"/>
        <v>19.830508474576273</v>
      </c>
      <c r="M254" s="21">
        <f t="shared" si="21"/>
        <v>130</v>
      </c>
    </row>
    <row r="255" spans="1:13" x14ac:dyDescent="0.2">
      <c r="A255" s="18">
        <f t="shared" si="22"/>
        <v>252</v>
      </c>
      <c r="B255" s="18" t="s">
        <v>1404</v>
      </c>
      <c r="C255" s="18" t="s">
        <v>2006</v>
      </c>
      <c r="D255" s="19">
        <v>43808</v>
      </c>
      <c r="E255" s="18">
        <v>1</v>
      </c>
      <c r="F255" s="18">
        <v>1324</v>
      </c>
      <c r="G255" s="18">
        <v>10427505524</v>
      </c>
      <c r="H255" s="18">
        <v>13079</v>
      </c>
      <c r="I255" s="18" t="s">
        <v>137</v>
      </c>
      <c r="J255" s="18" t="s">
        <v>1422</v>
      </c>
      <c r="K255" s="20">
        <f>70/1.18</f>
        <v>59.322033898305087</v>
      </c>
      <c r="L255" s="20">
        <f t="shared" ref="L255:L293" si="23">+K255*18%</f>
        <v>10.677966101694915</v>
      </c>
      <c r="M255" s="21">
        <f t="shared" ref="M255:M293" si="24">+K255+L255</f>
        <v>70</v>
      </c>
    </row>
    <row r="256" spans="1:13" x14ac:dyDescent="0.2">
      <c r="A256" s="18">
        <f t="shared" si="22"/>
        <v>253</v>
      </c>
      <c r="B256" s="18" t="s">
        <v>1927</v>
      </c>
      <c r="C256" s="18" t="s">
        <v>2006</v>
      </c>
      <c r="D256" s="19">
        <v>43808</v>
      </c>
      <c r="E256" s="18">
        <v>1</v>
      </c>
      <c r="F256" s="18">
        <v>1324</v>
      </c>
      <c r="G256" s="18">
        <v>10427505524</v>
      </c>
      <c r="H256" s="18">
        <v>13127</v>
      </c>
      <c r="I256" s="18" t="s">
        <v>137</v>
      </c>
      <c r="J256" s="18" t="s">
        <v>1422</v>
      </c>
      <c r="K256" s="20">
        <f>40/1.18</f>
        <v>33.898305084745765</v>
      </c>
      <c r="L256" s="20">
        <f t="shared" si="23"/>
        <v>6.101694915254237</v>
      </c>
      <c r="M256" s="21">
        <f t="shared" si="24"/>
        <v>40</v>
      </c>
    </row>
    <row r="257" spans="1:13" x14ac:dyDescent="0.2">
      <c r="A257" s="18">
        <f t="shared" si="22"/>
        <v>254</v>
      </c>
      <c r="B257" s="18" t="s">
        <v>1019</v>
      </c>
      <c r="C257" s="18" t="s">
        <v>1020</v>
      </c>
      <c r="D257" s="19">
        <v>43788</v>
      </c>
      <c r="E257" s="18" t="s">
        <v>201</v>
      </c>
      <c r="F257" s="18">
        <v>601</v>
      </c>
      <c r="G257" s="18">
        <v>10100087605</v>
      </c>
      <c r="H257" s="18"/>
      <c r="I257" s="18" t="s">
        <v>137</v>
      </c>
      <c r="J257" s="18" t="s">
        <v>253</v>
      </c>
      <c r="K257" s="20">
        <v>16.95</v>
      </c>
      <c r="L257" s="20">
        <f t="shared" si="23"/>
        <v>3.0509999999999997</v>
      </c>
      <c r="M257" s="21">
        <f t="shared" si="24"/>
        <v>20.000999999999998</v>
      </c>
    </row>
    <row r="258" spans="1:13" x14ac:dyDescent="0.2">
      <c r="A258" s="18">
        <f t="shared" si="22"/>
        <v>255</v>
      </c>
      <c r="B258" s="18" t="s">
        <v>1019</v>
      </c>
      <c r="C258" s="18" t="s">
        <v>1020</v>
      </c>
      <c r="D258" s="19">
        <v>43788</v>
      </c>
      <c r="E258" s="18" t="s">
        <v>201</v>
      </c>
      <c r="F258" s="18">
        <v>602</v>
      </c>
      <c r="G258" s="18">
        <v>10100087605</v>
      </c>
      <c r="H258" s="18"/>
      <c r="I258" s="18" t="s">
        <v>137</v>
      </c>
      <c r="J258" s="18" t="s">
        <v>1435</v>
      </c>
      <c r="K258" s="20">
        <v>16.95</v>
      </c>
      <c r="L258" s="20">
        <f t="shared" si="23"/>
        <v>3.0509999999999997</v>
      </c>
      <c r="M258" s="21">
        <f t="shared" si="24"/>
        <v>20.000999999999998</v>
      </c>
    </row>
    <row r="259" spans="1:13" x14ac:dyDescent="0.2">
      <c r="A259" s="18">
        <f t="shared" si="22"/>
        <v>256</v>
      </c>
      <c r="B259" s="18" t="s">
        <v>1008</v>
      </c>
      <c r="C259" s="18" t="s">
        <v>1009</v>
      </c>
      <c r="D259" s="19">
        <v>43787</v>
      </c>
      <c r="E259" s="18">
        <v>1</v>
      </c>
      <c r="F259" s="18">
        <v>5153</v>
      </c>
      <c r="G259" s="18">
        <v>20544804236</v>
      </c>
      <c r="H259" s="18"/>
      <c r="I259" s="18" t="s">
        <v>137</v>
      </c>
      <c r="J259" s="18" t="s">
        <v>1423</v>
      </c>
      <c r="K259" s="20">
        <v>29.66</v>
      </c>
      <c r="L259" s="20">
        <f t="shared" si="23"/>
        <v>5.3388</v>
      </c>
      <c r="M259" s="21">
        <f t="shared" si="24"/>
        <v>34.998800000000003</v>
      </c>
    </row>
    <row r="260" spans="1:13" x14ac:dyDescent="0.2">
      <c r="A260" s="18">
        <f t="shared" si="22"/>
        <v>257</v>
      </c>
      <c r="B260" s="18" t="s">
        <v>1008</v>
      </c>
      <c r="C260" s="18" t="s">
        <v>1009</v>
      </c>
      <c r="D260" s="19">
        <v>43788</v>
      </c>
      <c r="E260" s="18" t="s">
        <v>200</v>
      </c>
      <c r="F260" s="18">
        <v>68812</v>
      </c>
      <c r="G260" s="18">
        <v>20493143612</v>
      </c>
      <c r="H260" s="18"/>
      <c r="I260" s="18" t="s">
        <v>137</v>
      </c>
      <c r="J260" s="18" t="s">
        <v>954</v>
      </c>
      <c r="K260" s="20">
        <v>42.57</v>
      </c>
      <c r="L260" s="20">
        <f t="shared" si="23"/>
        <v>7.6625999999999994</v>
      </c>
      <c r="M260" s="21">
        <f t="shared" si="24"/>
        <v>50.232599999999998</v>
      </c>
    </row>
    <row r="261" spans="1:13" x14ac:dyDescent="0.2">
      <c r="A261" s="18">
        <f t="shared" si="22"/>
        <v>258</v>
      </c>
      <c r="B261" s="18" t="s">
        <v>1008</v>
      </c>
      <c r="C261" s="18" t="s">
        <v>1009</v>
      </c>
      <c r="D261" s="19">
        <v>43787</v>
      </c>
      <c r="E261" s="18" t="s">
        <v>201</v>
      </c>
      <c r="F261" s="18">
        <v>599</v>
      </c>
      <c r="G261" s="18">
        <v>10100087605</v>
      </c>
      <c r="H261" s="18"/>
      <c r="I261" s="18" t="s">
        <v>137</v>
      </c>
      <c r="J261" s="18" t="s">
        <v>944</v>
      </c>
      <c r="K261" s="20">
        <v>33.9</v>
      </c>
      <c r="L261" s="20">
        <f t="shared" si="23"/>
        <v>6.1019999999999994</v>
      </c>
      <c r="M261" s="21">
        <f t="shared" si="24"/>
        <v>40.001999999999995</v>
      </c>
    </row>
    <row r="262" spans="1:13" x14ac:dyDescent="0.2">
      <c r="A262" s="18">
        <f t="shared" ref="A262:A325" si="25">+A261+1</f>
        <v>259</v>
      </c>
      <c r="B262" s="18" t="s">
        <v>938</v>
      </c>
      <c r="C262" s="18" t="s">
        <v>939</v>
      </c>
      <c r="D262" s="19">
        <v>43788</v>
      </c>
      <c r="E262" s="18">
        <v>1</v>
      </c>
      <c r="F262" s="18">
        <v>11053</v>
      </c>
      <c r="G262" s="18">
        <v>10061024650</v>
      </c>
      <c r="H262" s="18"/>
      <c r="I262" s="18" t="s">
        <v>137</v>
      </c>
      <c r="J262" s="18" t="s">
        <v>1672</v>
      </c>
      <c r="K262" s="20">
        <v>29.66</v>
      </c>
      <c r="L262" s="20">
        <f t="shared" si="23"/>
        <v>5.3388</v>
      </c>
      <c r="M262" s="21">
        <f t="shared" si="24"/>
        <v>34.998800000000003</v>
      </c>
    </row>
    <row r="263" spans="1:13" x14ac:dyDescent="0.2">
      <c r="A263" s="18">
        <f t="shared" si="25"/>
        <v>260</v>
      </c>
      <c r="B263" s="18" t="s">
        <v>938</v>
      </c>
      <c r="C263" s="18" t="s">
        <v>939</v>
      </c>
      <c r="D263" s="19">
        <v>43787</v>
      </c>
      <c r="E263" s="18">
        <v>1</v>
      </c>
      <c r="F263" s="18">
        <v>5152</v>
      </c>
      <c r="G263" s="18">
        <v>20544804236</v>
      </c>
      <c r="H263" s="18"/>
      <c r="I263" s="18" t="s">
        <v>137</v>
      </c>
      <c r="J263" s="18" t="s">
        <v>1423</v>
      </c>
      <c r="K263" s="20">
        <v>29.66</v>
      </c>
      <c r="L263" s="20">
        <f t="shared" si="23"/>
        <v>5.3388</v>
      </c>
      <c r="M263" s="21">
        <f t="shared" si="24"/>
        <v>34.998800000000003</v>
      </c>
    </row>
    <row r="264" spans="1:13" x14ac:dyDescent="0.2">
      <c r="A264" s="18">
        <f t="shared" si="25"/>
        <v>261</v>
      </c>
      <c r="B264" s="18" t="s">
        <v>938</v>
      </c>
      <c r="C264" s="18" t="s">
        <v>939</v>
      </c>
      <c r="D264" s="19">
        <v>43787</v>
      </c>
      <c r="E264" s="18" t="s">
        <v>201</v>
      </c>
      <c r="F264" s="18">
        <v>600</v>
      </c>
      <c r="G264" s="18">
        <v>10100087605</v>
      </c>
      <c r="H264" s="18"/>
      <c r="I264" s="18" t="s">
        <v>137</v>
      </c>
      <c r="J264" s="18" t="s">
        <v>944</v>
      </c>
      <c r="K264" s="20">
        <v>33.9</v>
      </c>
      <c r="L264" s="20">
        <f t="shared" si="23"/>
        <v>6.1019999999999994</v>
      </c>
      <c r="M264" s="21">
        <f t="shared" si="24"/>
        <v>40.001999999999995</v>
      </c>
    </row>
    <row r="265" spans="1:13" x14ac:dyDescent="0.2">
      <c r="A265" s="18">
        <f t="shared" si="25"/>
        <v>262</v>
      </c>
      <c r="B265" s="18" t="s">
        <v>938</v>
      </c>
      <c r="C265" s="18" t="s">
        <v>939</v>
      </c>
      <c r="D265" s="19">
        <v>43788</v>
      </c>
      <c r="E265" s="18" t="s">
        <v>197</v>
      </c>
      <c r="F265" s="18">
        <v>34503</v>
      </c>
      <c r="G265" s="18">
        <v>20493143612</v>
      </c>
      <c r="H265" s="18"/>
      <c r="I265" s="18" t="s">
        <v>137</v>
      </c>
      <c r="J265" s="18" t="s">
        <v>954</v>
      </c>
      <c r="K265" s="20">
        <v>42.57</v>
      </c>
      <c r="L265" s="20">
        <f t="shared" si="23"/>
        <v>7.6625999999999994</v>
      </c>
      <c r="M265" s="21">
        <f t="shared" si="24"/>
        <v>50.232599999999998</v>
      </c>
    </row>
    <row r="266" spans="1:13" x14ac:dyDescent="0.2">
      <c r="A266" s="18">
        <f t="shared" si="25"/>
        <v>263</v>
      </c>
      <c r="B266" s="18" t="s">
        <v>1420</v>
      </c>
      <c r="C266" s="18" t="s">
        <v>1421</v>
      </c>
      <c r="D266" s="19">
        <v>43788</v>
      </c>
      <c r="E266" s="18">
        <v>1</v>
      </c>
      <c r="F266" s="18">
        <v>1310</v>
      </c>
      <c r="G266" s="18">
        <v>10068062948</v>
      </c>
      <c r="H266" s="18">
        <v>12887</v>
      </c>
      <c r="I266" s="18" t="s">
        <v>137</v>
      </c>
      <c r="J266" s="18" t="s">
        <v>1439</v>
      </c>
      <c r="K266" s="20">
        <v>10</v>
      </c>
      <c r="L266" s="20">
        <f t="shared" si="23"/>
        <v>1.7999999999999998</v>
      </c>
      <c r="M266" s="21">
        <f t="shared" si="24"/>
        <v>11.8</v>
      </c>
    </row>
    <row r="267" spans="1:13" x14ac:dyDescent="0.2">
      <c r="A267" s="18">
        <f t="shared" si="25"/>
        <v>264</v>
      </c>
      <c r="B267" s="18" t="s">
        <v>1304</v>
      </c>
      <c r="C267" s="18" t="s">
        <v>1708</v>
      </c>
      <c r="D267" s="19">
        <v>43788</v>
      </c>
      <c r="E267" s="18">
        <v>1</v>
      </c>
      <c r="F267" s="18">
        <v>1308</v>
      </c>
      <c r="G267" s="18">
        <v>10068062948</v>
      </c>
      <c r="H267" s="18">
        <v>13020</v>
      </c>
      <c r="I267" s="18" t="s">
        <v>137</v>
      </c>
      <c r="J267" s="18" t="s">
        <v>1439</v>
      </c>
      <c r="K267" s="20">
        <v>10</v>
      </c>
      <c r="L267" s="20">
        <f t="shared" si="23"/>
        <v>1.7999999999999998</v>
      </c>
      <c r="M267" s="21">
        <f t="shared" si="24"/>
        <v>11.8</v>
      </c>
    </row>
    <row r="268" spans="1:13" x14ac:dyDescent="0.2">
      <c r="A268" s="18">
        <f t="shared" si="25"/>
        <v>265</v>
      </c>
      <c r="B268" s="18" t="s">
        <v>848</v>
      </c>
      <c r="C268" s="18" t="s">
        <v>949</v>
      </c>
      <c r="D268" s="19">
        <v>43783</v>
      </c>
      <c r="E268" s="18">
        <v>1</v>
      </c>
      <c r="F268" s="18">
        <v>1307</v>
      </c>
      <c r="G268" s="18">
        <v>10068062948</v>
      </c>
      <c r="H268" s="18">
        <v>12926</v>
      </c>
      <c r="I268" s="18" t="s">
        <v>137</v>
      </c>
      <c r="J268" s="18" t="s">
        <v>1439</v>
      </c>
      <c r="K268" s="20">
        <v>10</v>
      </c>
      <c r="L268" s="20">
        <f t="shared" si="23"/>
        <v>1.7999999999999998</v>
      </c>
      <c r="M268" s="21">
        <f t="shared" si="24"/>
        <v>11.8</v>
      </c>
    </row>
    <row r="269" spans="1:13" x14ac:dyDescent="0.2">
      <c r="A269" s="18">
        <f t="shared" si="25"/>
        <v>266</v>
      </c>
      <c r="B269" s="18" t="s">
        <v>848</v>
      </c>
      <c r="C269" s="18" t="s">
        <v>949</v>
      </c>
      <c r="D269" s="19">
        <v>43784</v>
      </c>
      <c r="E269" s="18">
        <v>1</v>
      </c>
      <c r="F269" s="18">
        <v>700</v>
      </c>
      <c r="G269" s="18">
        <v>20600639634</v>
      </c>
      <c r="H269" s="18">
        <v>12926</v>
      </c>
      <c r="I269" s="18" t="s">
        <v>137</v>
      </c>
      <c r="J269" s="18" t="s">
        <v>2007</v>
      </c>
      <c r="K269" s="20">
        <v>25</v>
      </c>
      <c r="L269" s="20">
        <f t="shared" si="23"/>
        <v>4.5</v>
      </c>
      <c r="M269" s="21">
        <f t="shared" si="24"/>
        <v>29.5</v>
      </c>
    </row>
    <row r="270" spans="1:13" x14ac:dyDescent="0.2">
      <c r="A270" s="18">
        <f t="shared" si="25"/>
        <v>267</v>
      </c>
      <c r="B270" s="18" t="s">
        <v>1239</v>
      </c>
      <c r="C270" s="18" t="s">
        <v>1240</v>
      </c>
      <c r="D270" s="19">
        <v>43783</v>
      </c>
      <c r="E270" s="18">
        <v>1</v>
      </c>
      <c r="F270" s="18">
        <v>1305</v>
      </c>
      <c r="G270" s="18">
        <v>10068062948</v>
      </c>
      <c r="H270" s="18">
        <v>12980</v>
      </c>
      <c r="I270" s="18" t="s">
        <v>137</v>
      </c>
      <c r="J270" s="18" t="s">
        <v>1439</v>
      </c>
      <c r="K270" s="20">
        <v>10</v>
      </c>
      <c r="L270" s="20">
        <f t="shared" si="23"/>
        <v>1.7999999999999998</v>
      </c>
      <c r="M270" s="21">
        <f t="shared" si="24"/>
        <v>11.8</v>
      </c>
    </row>
    <row r="271" spans="1:13" x14ac:dyDescent="0.2">
      <c r="A271" s="18">
        <f t="shared" si="25"/>
        <v>268</v>
      </c>
      <c r="B271" s="18" t="s">
        <v>1246</v>
      </c>
      <c r="C271" s="18" t="s">
        <v>1247</v>
      </c>
      <c r="D271" s="19">
        <v>43788</v>
      </c>
      <c r="E271" s="18">
        <v>1</v>
      </c>
      <c r="F271" s="18">
        <v>1309</v>
      </c>
      <c r="G271" s="18">
        <v>10068062948</v>
      </c>
      <c r="H271" s="18">
        <v>13002</v>
      </c>
      <c r="I271" s="18" t="s">
        <v>137</v>
      </c>
      <c r="J271" s="18" t="s">
        <v>1439</v>
      </c>
      <c r="K271" s="20">
        <v>10</v>
      </c>
      <c r="L271" s="20">
        <f t="shared" si="23"/>
        <v>1.7999999999999998</v>
      </c>
      <c r="M271" s="21">
        <f t="shared" si="24"/>
        <v>11.8</v>
      </c>
    </row>
    <row r="272" spans="1:13" x14ac:dyDescent="0.2">
      <c r="A272" s="18">
        <f t="shared" si="25"/>
        <v>269</v>
      </c>
      <c r="B272" s="18" t="s">
        <v>1246</v>
      </c>
      <c r="C272" s="18" t="s">
        <v>1247</v>
      </c>
      <c r="D272" s="19">
        <v>43783</v>
      </c>
      <c r="E272" s="18">
        <v>1</v>
      </c>
      <c r="F272" s="18">
        <v>3492</v>
      </c>
      <c r="G272" s="18">
        <v>10088805432</v>
      </c>
      <c r="H272" s="18">
        <v>13002</v>
      </c>
      <c r="I272" s="18" t="s">
        <v>137</v>
      </c>
      <c r="J272" s="18" t="s">
        <v>1431</v>
      </c>
      <c r="K272" s="20">
        <v>560</v>
      </c>
      <c r="L272" s="20">
        <f t="shared" si="23"/>
        <v>100.8</v>
      </c>
      <c r="M272" s="21">
        <f t="shared" si="24"/>
        <v>660.8</v>
      </c>
    </row>
    <row r="273" spans="1:13" x14ac:dyDescent="0.2">
      <c r="A273" s="18">
        <f t="shared" si="25"/>
        <v>270</v>
      </c>
      <c r="B273" s="18" t="s">
        <v>1246</v>
      </c>
      <c r="C273" s="18" t="s">
        <v>1247</v>
      </c>
      <c r="D273" s="19">
        <v>43782</v>
      </c>
      <c r="E273" s="18" t="s">
        <v>463</v>
      </c>
      <c r="F273" s="18">
        <v>2888</v>
      </c>
      <c r="G273" s="18">
        <v>20493018711</v>
      </c>
      <c r="H273" s="18">
        <v>13002</v>
      </c>
      <c r="I273" s="18" t="s">
        <v>137</v>
      </c>
      <c r="J273" s="18" t="s">
        <v>916</v>
      </c>
      <c r="K273" s="20">
        <v>59.32</v>
      </c>
      <c r="L273" s="20">
        <f t="shared" si="23"/>
        <v>10.6776</v>
      </c>
      <c r="M273" s="21">
        <f t="shared" si="24"/>
        <v>69.997600000000006</v>
      </c>
    </row>
    <row r="274" spans="1:13" x14ac:dyDescent="0.2">
      <c r="A274" s="18">
        <f t="shared" si="25"/>
        <v>271</v>
      </c>
      <c r="B274" s="18" t="s">
        <v>1246</v>
      </c>
      <c r="C274" s="18" t="s">
        <v>1247</v>
      </c>
      <c r="D274" s="19">
        <v>43780</v>
      </c>
      <c r="E274" s="18" t="s">
        <v>201</v>
      </c>
      <c r="F274" s="18">
        <v>584</v>
      </c>
      <c r="G274" s="18">
        <v>10100087605</v>
      </c>
      <c r="H274" s="18">
        <v>13002</v>
      </c>
      <c r="I274" s="18" t="s">
        <v>137</v>
      </c>
      <c r="J274" s="18" t="s">
        <v>253</v>
      </c>
      <c r="K274" s="20">
        <v>16.95</v>
      </c>
      <c r="L274" s="20">
        <f t="shared" si="23"/>
        <v>3.0509999999999997</v>
      </c>
      <c r="M274" s="21">
        <f t="shared" si="24"/>
        <v>20.000999999999998</v>
      </c>
    </row>
    <row r="275" spans="1:13" x14ac:dyDescent="0.2">
      <c r="A275" s="18">
        <f t="shared" si="25"/>
        <v>272</v>
      </c>
      <c r="B275" s="18" t="s">
        <v>1246</v>
      </c>
      <c r="C275" s="18" t="s">
        <v>1247</v>
      </c>
      <c r="D275" s="19">
        <v>43780</v>
      </c>
      <c r="E275" s="18" t="s">
        <v>201</v>
      </c>
      <c r="F275" s="18">
        <v>583</v>
      </c>
      <c r="G275" s="18">
        <v>10100087605</v>
      </c>
      <c r="H275" s="18">
        <v>13002</v>
      </c>
      <c r="I275" s="18" t="s">
        <v>137</v>
      </c>
      <c r="J275" s="18" t="s">
        <v>1435</v>
      </c>
      <c r="K275" s="20">
        <v>16.95</v>
      </c>
      <c r="L275" s="20">
        <f t="shared" si="23"/>
        <v>3.0509999999999997</v>
      </c>
      <c r="M275" s="21">
        <f t="shared" si="24"/>
        <v>20.000999999999998</v>
      </c>
    </row>
    <row r="276" spans="1:13" x14ac:dyDescent="0.2">
      <c r="A276" s="18">
        <f t="shared" si="25"/>
        <v>273</v>
      </c>
      <c r="B276" s="18" t="s">
        <v>1017</v>
      </c>
      <c r="C276" s="18" t="s">
        <v>1018</v>
      </c>
      <c r="D276" s="19">
        <v>43781</v>
      </c>
      <c r="E276" s="18" t="s">
        <v>201</v>
      </c>
      <c r="F276" s="18">
        <v>591</v>
      </c>
      <c r="G276" s="18">
        <v>10100087605</v>
      </c>
      <c r="H276" s="18"/>
      <c r="I276" s="18" t="s">
        <v>137</v>
      </c>
      <c r="J276" s="18" t="s">
        <v>944</v>
      </c>
      <c r="K276" s="20">
        <v>33.9</v>
      </c>
      <c r="L276" s="20">
        <f t="shared" si="23"/>
        <v>6.1019999999999994</v>
      </c>
      <c r="M276" s="21">
        <f t="shared" si="24"/>
        <v>40.001999999999995</v>
      </c>
    </row>
    <row r="277" spans="1:13" x14ac:dyDescent="0.2">
      <c r="A277" s="18">
        <f t="shared" si="25"/>
        <v>274</v>
      </c>
      <c r="B277" s="18" t="s">
        <v>1319</v>
      </c>
      <c r="C277" s="18" t="s">
        <v>1856</v>
      </c>
      <c r="D277" s="19">
        <v>43781</v>
      </c>
      <c r="E277" s="18" t="s">
        <v>201</v>
      </c>
      <c r="F277" s="18">
        <v>587</v>
      </c>
      <c r="G277" s="18">
        <v>10100087605</v>
      </c>
      <c r="H277" s="18">
        <v>13002</v>
      </c>
      <c r="I277" s="18" t="s">
        <v>137</v>
      </c>
      <c r="J277" s="18" t="s">
        <v>253</v>
      </c>
      <c r="K277" s="20">
        <v>20.34</v>
      </c>
      <c r="L277" s="20">
        <f t="shared" si="23"/>
        <v>3.6612</v>
      </c>
      <c r="M277" s="21">
        <f t="shared" si="24"/>
        <v>24.001200000000001</v>
      </c>
    </row>
    <row r="278" spans="1:13" x14ac:dyDescent="0.2">
      <c r="A278" s="18">
        <f t="shared" si="25"/>
        <v>275</v>
      </c>
      <c r="B278" s="18" t="s">
        <v>1250</v>
      </c>
      <c r="C278" s="18" t="s">
        <v>1251</v>
      </c>
      <c r="D278" s="19">
        <v>43782</v>
      </c>
      <c r="E278" s="18">
        <v>1</v>
      </c>
      <c r="F278" s="18">
        <v>10209</v>
      </c>
      <c r="G278" s="18">
        <v>20208631536</v>
      </c>
      <c r="H278" s="18"/>
      <c r="I278" s="18" t="s">
        <v>137</v>
      </c>
      <c r="J278" s="18" t="s">
        <v>1671</v>
      </c>
      <c r="K278" s="20">
        <v>38.130000000000003</v>
      </c>
      <c r="L278" s="20">
        <f t="shared" si="23"/>
        <v>6.8634000000000004</v>
      </c>
      <c r="M278" s="21">
        <f t="shared" si="24"/>
        <v>44.993400000000001</v>
      </c>
    </row>
    <row r="279" spans="1:13" x14ac:dyDescent="0.2">
      <c r="A279" s="18">
        <f t="shared" si="25"/>
        <v>276</v>
      </c>
      <c r="B279" s="18" t="s">
        <v>1243</v>
      </c>
      <c r="C279" s="18" t="s">
        <v>1244</v>
      </c>
      <c r="D279" s="19">
        <v>43782</v>
      </c>
      <c r="E279" s="18">
        <v>1</v>
      </c>
      <c r="F279" s="18">
        <v>5144</v>
      </c>
      <c r="G279" s="18">
        <v>20544804236</v>
      </c>
      <c r="H279" s="18"/>
      <c r="I279" s="18" t="s">
        <v>137</v>
      </c>
      <c r="J279" s="18" t="s">
        <v>2008</v>
      </c>
      <c r="K279" s="20">
        <v>29.66</v>
      </c>
      <c r="L279" s="20">
        <f t="shared" si="23"/>
        <v>5.3388</v>
      </c>
      <c r="M279" s="21">
        <f t="shared" si="24"/>
        <v>34.998800000000003</v>
      </c>
    </row>
    <row r="280" spans="1:13" x14ac:dyDescent="0.2">
      <c r="A280" s="18">
        <f t="shared" si="25"/>
        <v>277</v>
      </c>
      <c r="B280" s="18" t="s">
        <v>1243</v>
      </c>
      <c r="C280" s="18" t="s">
        <v>1244</v>
      </c>
      <c r="D280" s="19">
        <v>43781</v>
      </c>
      <c r="E280" s="18" t="s">
        <v>201</v>
      </c>
      <c r="F280" s="18">
        <v>590</v>
      </c>
      <c r="G280" s="18">
        <v>10100087605</v>
      </c>
      <c r="H280" s="18"/>
      <c r="I280" s="18" t="s">
        <v>137</v>
      </c>
      <c r="J280" s="18" t="s">
        <v>944</v>
      </c>
      <c r="K280" s="20">
        <v>33.9</v>
      </c>
      <c r="L280" s="20">
        <f t="shared" si="23"/>
        <v>6.1019999999999994</v>
      </c>
      <c r="M280" s="21">
        <f t="shared" si="24"/>
        <v>40.001999999999995</v>
      </c>
    </row>
    <row r="281" spans="1:13" x14ac:dyDescent="0.2">
      <c r="A281" s="18">
        <f t="shared" si="25"/>
        <v>278</v>
      </c>
      <c r="B281" s="18" t="s">
        <v>840</v>
      </c>
      <c r="C281" s="18" t="s">
        <v>945</v>
      </c>
      <c r="D281" s="19">
        <v>43780</v>
      </c>
      <c r="E281" s="18">
        <v>2</v>
      </c>
      <c r="F281" s="18">
        <v>3883</v>
      </c>
      <c r="G281" s="18">
        <v>10257550694</v>
      </c>
      <c r="H281" s="18"/>
      <c r="I281" s="18" t="s">
        <v>137</v>
      </c>
      <c r="J281" s="18" t="s">
        <v>1451</v>
      </c>
      <c r="K281" s="20">
        <v>25.42</v>
      </c>
      <c r="L281" s="20">
        <f t="shared" si="23"/>
        <v>4.5756000000000006</v>
      </c>
      <c r="M281" s="21">
        <f t="shared" si="24"/>
        <v>29.995600000000003</v>
      </c>
    </row>
    <row r="282" spans="1:13" x14ac:dyDescent="0.2">
      <c r="A282" s="18">
        <f t="shared" si="25"/>
        <v>279</v>
      </c>
      <c r="B282" s="18" t="s">
        <v>877</v>
      </c>
      <c r="C282" s="18" t="s">
        <v>1229</v>
      </c>
      <c r="D282" s="19">
        <v>43783</v>
      </c>
      <c r="E282" s="18">
        <v>1</v>
      </c>
      <c r="F282" s="18">
        <v>696</v>
      </c>
      <c r="G282" s="18">
        <v>20600639634</v>
      </c>
      <c r="H282" s="18"/>
      <c r="I282" s="18" t="s">
        <v>137</v>
      </c>
      <c r="J282" s="18" t="s">
        <v>738</v>
      </c>
      <c r="K282" s="20">
        <v>10</v>
      </c>
      <c r="L282" s="20">
        <f t="shared" si="23"/>
        <v>1.7999999999999998</v>
      </c>
      <c r="M282" s="21">
        <f t="shared" si="24"/>
        <v>11.8</v>
      </c>
    </row>
    <row r="283" spans="1:13" x14ac:dyDescent="0.2">
      <c r="A283" s="18">
        <f t="shared" si="25"/>
        <v>280</v>
      </c>
      <c r="B283" s="18" t="s">
        <v>877</v>
      </c>
      <c r="C283" s="18" t="s">
        <v>1229</v>
      </c>
      <c r="D283" s="19">
        <v>43783</v>
      </c>
      <c r="E283" s="18">
        <v>1</v>
      </c>
      <c r="F283" s="18">
        <v>1306</v>
      </c>
      <c r="G283" s="18">
        <v>10068062948</v>
      </c>
      <c r="H283" s="18"/>
      <c r="I283" s="18" t="s">
        <v>137</v>
      </c>
      <c r="J283" s="18" t="s">
        <v>1439</v>
      </c>
      <c r="K283" s="20">
        <v>10</v>
      </c>
      <c r="L283" s="20">
        <f t="shared" si="23"/>
        <v>1.7999999999999998</v>
      </c>
      <c r="M283" s="21">
        <f t="shared" si="24"/>
        <v>11.8</v>
      </c>
    </row>
    <row r="284" spans="1:13" x14ac:dyDescent="0.2">
      <c r="A284" s="18">
        <f t="shared" si="25"/>
        <v>281</v>
      </c>
      <c r="B284" s="18" t="s">
        <v>877</v>
      </c>
      <c r="C284" s="18" t="s">
        <v>1229</v>
      </c>
      <c r="D284" s="19">
        <v>43783</v>
      </c>
      <c r="E284" s="18">
        <v>1</v>
      </c>
      <c r="F284" s="18">
        <v>512</v>
      </c>
      <c r="G284" s="18">
        <v>10101288698</v>
      </c>
      <c r="H284" s="18"/>
      <c r="I284" s="18" t="s">
        <v>193</v>
      </c>
      <c r="J284" s="18" t="s">
        <v>1593</v>
      </c>
      <c r="K284" s="20">
        <v>110.17</v>
      </c>
      <c r="L284" s="20">
        <f t="shared" si="23"/>
        <v>19.8306</v>
      </c>
      <c r="M284" s="21">
        <f t="shared" si="24"/>
        <v>130.00059999999999</v>
      </c>
    </row>
    <row r="285" spans="1:13" x14ac:dyDescent="0.2">
      <c r="A285" s="18">
        <f t="shared" si="25"/>
        <v>282</v>
      </c>
      <c r="B285" s="18" t="s">
        <v>877</v>
      </c>
      <c r="C285" s="18" t="s">
        <v>1229</v>
      </c>
      <c r="D285" s="19">
        <v>43783</v>
      </c>
      <c r="E285" s="18">
        <v>1</v>
      </c>
      <c r="F285" s="18">
        <v>697</v>
      </c>
      <c r="G285" s="18">
        <v>20600639634</v>
      </c>
      <c r="H285" s="18"/>
      <c r="I285" s="18" t="s">
        <v>137</v>
      </c>
      <c r="J285" s="18" t="s">
        <v>738</v>
      </c>
      <c r="K285" s="20">
        <v>5</v>
      </c>
      <c r="L285" s="20">
        <f t="shared" si="23"/>
        <v>0.89999999999999991</v>
      </c>
      <c r="M285" s="21">
        <f t="shared" si="24"/>
        <v>5.9</v>
      </c>
    </row>
    <row r="286" spans="1:13" x14ac:dyDescent="0.2">
      <c r="A286" s="18">
        <f t="shared" si="25"/>
        <v>283</v>
      </c>
      <c r="B286" s="18" t="s">
        <v>877</v>
      </c>
      <c r="C286" s="18" t="s">
        <v>1229</v>
      </c>
      <c r="D286" s="19">
        <v>43784</v>
      </c>
      <c r="E286" s="18" t="s">
        <v>463</v>
      </c>
      <c r="F286" s="18">
        <v>2907</v>
      </c>
      <c r="G286" s="18">
        <v>20493018711</v>
      </c>
      <c r="H286" s="18"/>
      <c r="I286" s="18" t="s">
        <v>137</v>
      </c>
      <c r="J286" s="18" t="s">
        <v>2009</v>
      </c>
      <c r="K286" s="20">
        <v>59.32</v>
      </c>
      <c r="L286" s="20">
        <f t="shared" si="23"/>
        <v>10.6776</v>
      </c>
      <c r="M286" s="21">
        <f t="shared" si="24"/>
        <v>69.997600000000006</v>
      </c>
    </row>
    <row r="287" spans="1:13" x14ac:dyDescent="0.2">
      <c r="A287" s="18">
        <f t="shared" si="25"/>
        <v>284</v>
      </c>
      <c r="B287" s="18" t="s">
        <v>1252</v>
      </c>
      <c r="C287" s="18" t="s">
        <v>1253</v>
      </c>
      <c r="D287" s="19">
        <v>43783</v>
      </c>
      <c r="E287" s="18" t="s">
        <v>960</v>
      </c>
      <c r="F287" s="18">
        <v>1101</v>
      </c>
      <c r="G287" s="18">
        <v>20605180575</v>
      </c>
      <c r="H287" s="18"/>
      <c r="I287" s="18" t="s">
        <v>193</v>
      </c>
      <c r="J287" s="18" t="s">
        <v>202</v>
      </c>
      <c r="K287" s="20">
        <v>10.17</v>
      </c>
      <c r="L287" s="20">
        <f t="shared" si="23"/>
        <v>1.8306</v>
      </c>
      <c r="M287" s="21">
        <f t="shared" si="24"/>
        <v>12.0006</v>
      </c>
    </row>
    <row r="288" spans="1:13" x14ac:dyDescent="0.2">
      <c r="A288" s="18">
        <f t="shared" si="25"/>
        <v>285</v>
      </c>
      <c r="B288" s="18" t="s">
        <v>879</v>
      </c>
      <c r="C288" s="18" t="s">
        <v>983</v>
      </c>
      <c r="D288" s="19">
        <v>43782</v>
      </c>
      <c r="E288" s="18" t="s">
        <v>200</v>
      </c>
      <c r="F288" s="18">
        <v>68471</v>
      </c>
      <c r="G288" s="18">
        <v>20493143612</v>
      </c>
      <c r="H288" s="18">
        <v>12956</v>
      </c>
      <c r="I288" s="18" t="s">
        <v>137</v>
      </c>
      <c r="J288" s="18" t="s">
        <v>954</v>
      </c>
      <c r="K288" s="20">
        <v>42.37</v>
      </c>
      <c r="L288" s="20">
        <f t="shared" si="23"/>
        <v>7.6265999999999989</v>
      </c>
      <c r="M288" s="21">
        <f t="shared" si="24"/>
        <v>49.996599999999994</v>
      </c>
    </row>
    <row r="289" spans="1:13" x14ac:dyDescent="0.2">
      <c r="A289" s="18">
        <f t="shared" si="25"/>
        <v>286</v>
      </c>
      <c r="B289" s="18" t="s">
        <v>835</v>
      </c>
      <c r="C289" s="18" t="s">
        <v>965</v>
      </c>
      <c r="D289" s="19">
        <v>43783</v>
      </c>
      <c r="E289" s="18" t="s">
        <v>197</v>
      </c>
      <c r="F289" s="18">
        <v>34098</v>
      </c>
      <c r="G289" s="18">
        <v>20493143612</v>
      </c>
      <c r="H289" s="18">
        <v>12921</v>
      </c>
      <c r="I289" s="18" t="s">
        <v>137</v>
      </c>
      <c r="J289" s="18" t="s">
        <v>954</v>
      </c>
      <c r="K289" s="20">
        <v>42.37</v>
      </c>
      <c r="L289" s="20">
        <f t="shared" si="23"/>
        <v>7.6265999999999989</v>
      </c>
      <c r="M289" s="21">
        <f t="shared" si="24"/>
        <v>49.996599999999994</v>
      </c>
    </row>
    <row r="290" spans="1:13" x14ac:dyDescent="0.2">
      <c r="A290" s="18">
        <f t="shared" si="25"/>
        <v>287</v>
      </c>
      <c r="B290" s="18" t="s">
        <v>1394</v>
      </c>
      <c r="C290" s="18" t="s">
        <v>1461</v>
      </c>
      <c r="D290" s="19">
        <v>43804</v>
      </c>
      <c r="E290" s="18">
        <v>5</v>
      </c>
      <c r="F290" s="18">
        <v>606</v>
      </c>
      <c r="G290" s="18">
        <v>10426916393</v>
      </c>
      <c r="H290" s="18"/>
      <c r="I290" s="18" t="s">
        <v>193</v>
      </c>
      <c r="J290" s="18" t="s">
        <v>1442</v>
      </c>
      <c r="K290" s="20">
        <v>50.85</v>
      </c>
      <c r="L290" s="20">
        <f t="shared" si="23"/>
        <v>9.1530000000000005</v>
      </c>
      <c r="M290" s="21">
        <f t="shared" si="24"/>
        <v>60.003</v>
      </c>
    </row>
    <row r="291" spans="1:13" x14ac:dyDescent="0.2">
      <c r="A291" s="18">
        <f t="shared" si="25"/>
        <v>288</v>
      </c>
      <c r="B291" s="18" t="s">
        <v>2010</v>
      </c>
      <c r="C291" s="18" t="s">
        <v>2011</v>
      </c>
      <c r="D291" s="19">
        <v>43811</v>
      </c>
      <c r="E291" s="18">
        <v>1</v>
      </c>
      <c r="F291" s="18">
        <v>5577</v>
      </c>
      <c r="G291" s="18">
        <v>20600892828</v>
      </c>
      <c r="H291" s="18">
        <v>13127</v>
      </c>
      <c r="I291" s="18" t="s">
        <v>137</v>
      </c>
      <c r="J291" s="18" t="s">
        <v>257</v>
      </c>
      <c r="K291" s="20">
        <v>76.27</v>
      </c>
      <c r="L291" s="20">
        <f t="shared" si="23"/>
        <v>13.728599999999998</v>
      </c>
      <c r="M291" s="21">
        <f t="shared" si="24"/>
        <v>89.998599999999996</v>
      </c>
    </row>
    <row r="292" spans="1:13" x14ac:dyDescent="0.2">
      <c r="A292" s="18">
        <f t="shared" si="25"/>
        <v>289</v>
      </c>
      <c r="B292" s="18" t="s">
        <v>1932</v>
      </c>
      <c r="C292" s="18" t="s">
        <v>2012</v>
      </c>
      <c r="D292" s="19">
        <v>43812</v>
      </c>
      <c r="E292" s="18">
        <v>1</v>
      </c>
      <c r="F292" s="18">
        <v>1327</v>
      </c>
      <c r="G292" s="18">
        <v>10427505524</v>
      </c>
      <c r="H292" s="18">
        <v>13125</v>
      </c>
      <c r="I292" s="18" t="s">
        <v>137</v>
      </c>
      <c r="J292" s="18" t="s">
        <v>1422</v>
      </c>
      <c r="K292" s="20">
        <v>59.32</v>
      </c>
      <c r="L292" s="20">
        <f t="shared" si="23"/>
        <v>10.6776</v>
      </c>
      <c r="M292" s="21">
        <f t="shared" si="24"/>
        <v>69.997600000000006</v>
      </c>
    </row>
    <row r="293" spans="1:13" x14ac:dyDescent="0.2">
      <c r="A293" s="18">
        <f t="shared" si="25"/>
        <v>290</v>
      </c>
      <c r="B293" s="18" t="s">
        <v>2013</v>
      </c>
      <c r="C293" s="18" t="s">
        <v>1143</v>
      </c>
      <c r="D293" s="19">
        <v>43815</v>
      </c>
      <c r="E293" s="18">
        <v>1</v>
      </c>
      <c r="F293" s="18">
        <v>5618</v>
      </c>
      <c r="G293" s="18">
        <v>20600892828</v>
      </c>
      <c r="H293" s="18">
        <v>13153</v>
      </c>
      <c r="I293" s="18" t="s">
        <v>137</v>
      </c>
      <c r="J293" s="18" t="s">
        <v>257</v>
      </c>
      <c r="K293" s="20">
        <v>76.27</v>
      </c>
      <c r="L293" s="20">
        <f t="shared" si="23"/>
        <v>13.728599999999998</v>
      </c>
      <c r="M293" s="21">
        <f t="shared" si="24"/>
        <v>89.998599999999996</v>
      </c>
    </row>
    <row r="294" spans="1:13" x14ac:dyDescent="0.2">
      <c r="A294" s="18">
        <f t="shared" si="25"/>
        <v>291</v>
      </c>
      <c r="B294" s="18" t="s">
        <v>1945</v>
      </c>
      <c r="C294" s="18" t="s">
        <v>2014</v>
      </c>
      <c r="D294" s="19">
        <v>43815</v>
      </c>
      <c r="E294" s="18" t="s">
        <v>200</v>
      </c>
      <c r="F294" s="18">
        <v>1049</v>
      </c>
      <c r="G294" s="18">
        <v>20300435298</v>
      </c>
      <c r="H294" s="18">
        <v>12951</v>
      </c>
      <c r="I294" s="18" t="s">
        <v>137</v>
      </c>
      <c r="J294" s="18" t="s">
        <v>2015</v>
      </c>
      <c r="K294" s="20">
        <v>84.75</v>
      </c>
      <c r="L294" s="20">
        <f t="shared" ref="L294:L343" si="26">+K294*18%</f>
        <v>15.254999999999999</v>
      </c>
      <c r="M294" s="21">
        <f t="shared" ref="M294:M343" si="27">+K294+L294</f>
        <v>100.005</v>
      </c>
    </row>
    <row r="295" spans="1:13" x14ac:dyDescent="0.2">
      <c r="A295" s="18">
        <f t="shared" si="25"/>
        <v>292</v>
      </c>
      <c r="B295" s="18" t="s">
        <v>1394</v>
      </c>
      <c r="C295" s="18" t="s">
        <v>1461</v>
      </c>
      <c r="D295" s="19">
        <v>43811</v>
      </c>
      <c r="E295" s="18" t="s">
        <v>201</v>
      </c>
      <c r="F295" s="18">
        <v>69</v>
      </c>
      <c r="G295" s="18">
        <v>20600808177</v>
      </c>
      <c r="H295" s="18"/>
      <c r="I295" s="18" t="s">
        <v>193</v>
      </c>
      <c r="J295" s="18" t="s">
        <v>570</v>
      </c>
      <c r="K295" s="20">
        <v>65</v>
      </c>
      <c r="L295" s="20">
        <f t="shared" si="26"/>
        <v>11.7</v>
      </c>
      <c r="M295" s="21">
        <f t="shared" si="27"/>
        <v>76.7</v>
      </c>
    </row>
    <row r="296" spans="1:13" x14ac:dyDescent="0.2">
      <c r="A296" s="18">
        <f t="shared" si="25"/>
        <v>293</v>
      </c>
      <c r="B296" s="18" t="s">
        <v>2016</v>
      </c>
      <c r="C296" s="18" t="s">
        <v>2017</v>
      </c>
      <c r="D296" s="19">
        <v>43816</v>
      </c>
      <c r="E296" s="18">
        <v>1</v>
      </c>
      <c r="F296" s="18">
        <v>1330</v>
      </c>
      <c r="G296" s="18">
        <v>10427505524</v>
      </c>
      <c r="H296" s="18">
        <v>13141</v>
      </c>
      <c r="I296" s="18" t="s">
        <v>193</v>
      </c>
      <c r="J296" s="18" t="s">
        <v>1422</v>
      </c>
      <c r="K296" s="20">
        <v>59.32</v>
      </c>
      <c r="L296" s="20">
        <f t="shared" si="26"/>
        <v>10.6776</v>
      </c>
      <c r="M296" s="21">
        <f t="shared" si="27"/>
        <v>69.997600000000006</v>
      </c>
    </row>
    <row r="297" spans="1:13" x14ac:dyDescent="0.2">
      <c r="A297" s="18">
        <f t="shared" si="25"/>
        <v>294</v>
      </c>
      <c r="B297" s="18" t="s">
        <v>1950</v>
      </c>
      <c r="C297" s="18" t="s">
        <v>2018</v>
      </c>
      <c r="D297" s="19">
        <v>43816</v>
      </c>
      <c r="E297" s="18" t="s">
        <v>979</v>
      </c>
      <c r="F297" s="18">
        <v>2368</v>
      </c>
      <c r="G297" s="18">
        <v>20603753896</v>
      </c>
      <c r="H297" s="18"/>
      <c r="I297" s="18" t="s">
        <v>193</v>
      </c>
      <c r="J297" s="18" t="s">
        <v>202</v>
      </c>
      <c r="K297" s="20">
        <v>15.25</v>
      </c>
      <c r="L297" s="20">
        <f t="shared" si="26"/>
        <v>2.7450000000000001</v>
      </c>
      <c r="M297" s="21">
        <f t="shared" si="27"/>
        <v>17.995000000000001</v>
      </c>
    </row>
    <row r="298" spans="1:13" x14ac:dyDescent="0.2">
      <c r="A298" s="18">
        <f t="shared" si="25"/>
        <v>295</v>
      </c>
      <c r="B298" s="18" t="s">
        <v>835</v>
      </c>
      <c r="C298" s="18" t="s">
        <v>965</v>
      </c>
      <c r="D298" s="19">
        <v>43818</v>
      </c>
      <c r="E298" s="18">
        <v>1</v>
      </c>
      <c r="F298" s="18">
        <v>4446</v>
      </c>
      <c r="G298" s="18">
        <v>20524196388</v>
      </c>
      <c r="H298" s="18">
        <v>12921</v>
      </c>
      <c r="I298" s="18" t="s">
        <v>137</v>
      </c>
      <c r="J298" s="18" t="s">
        <v>2019</v>
      </c>
      <c r="K298" s="20">
        <v>80</v>
      </c>
      <c r="L298" s="20">
        <f t="shared" si="26"/>
        <v>14.399999999999999</v>
      </c>
      <c r="M298" s="21">
        <f t="shared" si="27"/>
        <v>94.4</v>
      </c>
    </row>
    <row r="299" spans="1:13" x14ac:dyDescent="0.2">
      <c r="A299" s="18">
        <f t="shared" si="25"/>
        <v>296</v>
      </c>
      <c r="B299" s="18" t="s">
        <v>1399</v>
      </c>
      <c r="C299" s="18" t="s">
        <v>2020</v>
      </c>
      <c r="D299" s="19">
        <v>43818</v>
      </c>
      <c r="E299" s="18">
        <v>1</v>
      </c>
      <c r="F299" s="18">
        <v>4447</v>
      </c>
      <c r="G299" s="18">
        <v>20524196388</v>
      </c>
      <c r="H299" s="18">
        <v>13102</v>
      </c>
      <c r="I299" s="18" t="s">
        <v>137</v>
      </c>
      <c r="J299" s="18" t="s">
        <v>1448</v>
      </c>
      <c r="K299" s="20">
        <v>900</v>
      </c>
      <c r="L299" s="20">
        <f t="shared" si="26"/>
        <v>162</v>
      </c>
      <c r="M299" s="21">
        <f t="shared" si="27"/>
        <v>1062</v>
      </c>
    </row>
    <row r="300" spans="1:13" x14ac:dyDescent="0.2">
      <c r="A300" s="18">
        <f t="shared" si="25"/>
        <v>297</v>
      </c>
      <c r="B300" s="18" t="s">
        <v>1973</v>
      </c>
      <c r="C300" s="18" t="s">
        <v>2021</v>
      </c>
      <c r="D300" s="19">
        <v>43826</v>
      </c>
      <c r="E300" s="18">
        <v>1</v>
      </c>
      <c r="F300" s="18">
        <v>1338</v>
      </c>
      <c r="G300" s="18">
        <v>10427505524</v>
      </c>
      <c r="H300" s="18">
        <v>13170</v>
      </c>
      <c r="I300" s="18" t="s">
        <v>137</v>
      </c>
      <c r="J300" s="18" t="s">
        <v>1422</v>
      </c>
      <c r="K300" s="20">
        <v>59.32</v>
      </c>
      <c r="L300" s="20">
        <f t="shared" si="26"/>
        <v>10.6776</v>
      </c>
      <c r="M300" s="21">
        <f t="shared" si="27"/>
        <v>69.997600000000006</v>
      </c>
    </row>
    <row r="301" spans="1:13" x14ac:dyDescent="0.2">
      <c r="A301" s="18">
        <f t="shared" si="25"/>
        <v>298</v>
      </c>
      <c r="B301" s="18" t="s">
        <v>2022</v>
      </c>
      <c r="C301" s="18" t="s">
        <v>2023</v>
      </c>
      <c r="D301" s="19">
        <v>43826</v>
      </c>
      <c r="E301" s="18">
        <v>1</v>
      </c>
      <c r="F301" s="18">
        <v>1337</v>
      </c>
      <c r="G301" s="18">
        <v>10427505524</v>
      </c>
      <c r="H301" s="18">
        <v>13176</v>
      </c>
      <c r="I301" s="18" t="s">
        <v>137</v>
      </c>
      <c r="J301" s="18" t="s">
        <v>2024</v>
      </c>
      <c r="K301" s="20">
        <v>186.44</v>
      </c>
      <c r="L301" s="20">
        <f t="shared" si="26"/>
        <v>33.559199999999997</v>
      </c>
      <c r="M301" s="21">
        <f t="shared" si="27"/>
        <v>219.9992</v>
      </c>
    </row>
    <row r="302" spans="1:13" x14ac:dyDescent="0.2">
      <c r="A302" s="18">
        <f t="shared" si="25"/>
        <v>299</v>
      </c>
      <c r="B302" s="18" t="s">
        <v>1377</v>
      </c>
      <c r="C302" s="18" t="s">
        <v>1446</v>
      </c>
      <c r="D302" s="19">
        <v>43828</v>
      </c>
      <c r="E302" s="18">
        <v>1</v>
      </c>
      <c r="F302" s="18">
        <v>4460</v>
      </c>
      <c r="G302" s="18">
        <v>20524196388</v>
      </c>
      <c r="H302" s="18">
        <v>13080</v>
      </c>
      <c r="I302" s="18" t="s">
        <v>137</v>
      </c>
      <c r="J302" s="18" t="s">
        <v>2025</v>
      </c>
      <c r="K302" s="20">
        <v>300</v>
      </c>
      <c r="L302" s="20">
        <f t="shared" si="26"/>
        <v>54</v>
      </c>
      <c r="M302" s="21">
        <f t="shared" si="27"/>
        <v>354</v>
      </c>
    </row>
    <row r="303" spans="1:13" x14ac:dyDescent="0.2">
      <c r="A303" s="18">
        <f t="shared" si="25"/>
        <v>300</v>
      </c>
      <c r="B303" s="18" t="s">
        <v>1377</v>
      </c>
      <c r="C303" s="18" t="s">
        <v>1446</v>
      </c>
      <c r="D303" s="19">
        <v>43827</v>
      </c>
      <c r="E303" s="18">
        <v>1</v>
      </c>
      <c r="F303" s="18">
        <v>4459</v>
      </c>
      <c r="G303" s="18">
        <v>20524196388</v>
      </c>
      <c r="H303" s="18">
        <v>13080</v>
      </c>
      <c r="I303" s="18" t="s">
        <v>137</v>
      </c>
      <c r="J303" s="18" t="s">
        <v>1448</v>
      </c>
      <c r="K303" s="20">
        <v>400</v>
      </c>
      <c r="L303" s="20">
        <f t="shared" si="26"/>
        <v>72</v>
      </c>
      <c r="M303" s="21">
        <f t="shared" si="27"/>
        <v>472</v>
      </c>
    </row>
    <row r="304" spans="1:13" x14ac:dyDescent="0.2">
      <c r="A304" s="18">
        <f t="shared" si="25"/>
        <v>301</v>
      </c>
      <c r="B304" s="18" t="s">
        <v>1399</v>
      </c>
      <c r="C304" s="18" t="s">
        <v>2020</v>
      </c>
      <c r="D304" s="19">
        <v>43826</v>
      </c>
      <c r="E304" s="18">
        <v>1</v>
      </c>
      <c r="F304" s="18">
        <v>4458</v>
      </c>
      <c r="G304" s="18">
        <v>20524196388</v>
      </c>
      <c r="H304" s="18">
        <v>13102</v>
      </c>
      <c r="I304" s="18" t="s">
        <v>137</v>
      </c>
      <c r="J304" s="18" t="s">
        <v>2025</v>
      </c>
      <c r="K304" s="20">
        <v>400</v>
      </c>
      <c r="L304" s="20">
        <f t="shared" si="26"/>
        <v>72</v>
      </c>
      <c r="M304" s="21">
        <f t="shared" si="27"/>
        <v>472</v>
      </c>
    </row>
    <row r="305" spans="1:13" x14ac:dyDescent="0.2">
      <c r="A305" s="18">
        <f t="shared" si="25"/>
        <v>302</v>
      </c>
      <c r="B305" s="18" t="s">
        <v>1399</v>
      </c>
      <c r="C305" s="18" t="s">
        <v>2020</v>
      </c>
      <c r="D305" s="19">
        <v>43825</v>
      </c>
      <c r="E305" s="18">
        <v>1</v>
      </c>
      <c r="F305" s="18">
        <v>4457</v>
      </c>
      <c r="G305" s="18">
        <v>20524196388</v>
      </c>
      <c r="H305" s="18">
        <v>13102</v>
      </c>
      <c r="I305" s="18" t="s">
        <v>137</v>
      </c>
      <c r="J305" s="18" t="s">
        <v>2026</v>
      </c>
      <c r="K305" s="20">
        <v>500</v>
      </c>
      <c r="L305" s="20">
        <f t="shared" si="26"/>
        <v>90</v>
      </c>
      <c r="M305" s="21">
        <f t="shared" si="27"/>
        <v>590</v>
      </c>
    </row>
    <row r="306" spans="1:13" x14ac:dyDescent="0.2">
      <c r="A306" s="18">
        <f t="shared" si="25"/>
        <v>303</v>
      </c>
      <c r="B306" s="18" t="s">
        <v>1965</v>
      </c>
      <c r="C306" s="18" t="s">
        <v>1018</v>
      </c>
      <c r="D306" s="19">
        <v>43833</v>
      </c>
      <c r="E306" s="18">
        <v>1</v>
      </c>
      <c r="F306" s="18">
        <v>4469</v>
      </c>
      <c r="G306" s="18">
        <v>20524196388</v>
      </c>
      <c r="H306" s="18"/>
      <c r="I306" s="18" t="s">
        <v>137</v>
      </c>
      <c r="J306" s="18" t="s">
        <v>2025</v>
      </c>
      <c r="K306" s="20">
        <f>600/1.18</f>
        <v>508.47457627118649</v>
      </c>
      <c r="L306" s="20">
        <f t="shared" si="26"/>
        <v>91.525423728813564</v>
      </c>
      <c r="M306" s="21">
        <f t="shared" si="27"/>
        <v>600</v>
      </c>
    </row>
    <row r="307" spans="1:13" x14ac:dyDescent="0.2">
      <c r="A307" s="18">
        <f t="shared" si="25"/>
        <v>304</v>
      </c>
      <c r="B307" s="18" t="s">
        <v>1965</v>
      </c>
      <c r="C307" s="18" t="s">
        <v>1018</v>
      </c>
      <c r="D307" s="19">
        <v>43834</v>
      </c>
      <c r="E307" s="18">
        <v>1</v>
      </c>
      <c r="F307" s="18">
        <v>4472</v>
      </c>
      <c r="G307" s="18">
        <v>20524196388</v>
      </c>
      <c r="H307" s="18"/>
      <c r="I307" s="18" t="s">
        <v>137</v>
      </c>
      <c r="J307" s="18" t="s">
        <v>2026</v>
      </c>
      <c r="K307" s="20">
        <f>500/1.18</f>
        <v>423.72881355932208</v>
      </c>
      <c r="L307" s="20">
        <f t="shared" si="26"/>
        <v>76.271186440677965</v>
      </c>
      <c r="M307" s="21">
        <f t="shared" si="27"/>
        <v>500.00000000000006</v>
      </c>
    </row>
    <row r="308" spans="1:13" x14ac:dyDescent="0.2">
      <c r="A308" s="18">
        <f t="shared" si="25"/>
        <v>305</v>
      </c>
      <c r="B308" s="18" t="s">
        <v>1399</v>
      </c>
      <c r="C308" s="18" t="s">
        <v>2020</v>
      </c>
      <c r="D308" s="19">
        <v>43835</v>
      </c>
      <c r="E308" s="18" t="s">
        <v>200</v>
      </c>
      <c r="F308" s="18">
        <v>1120</v>
      </c>
      <c r="G308" s="18">
        <v>20300435298</v>
      </c>
      <c r="H308" s="18"/>
      <c r="I308" s="18" t="s">
        <v>137</v>
      </c>
      <c r="J308" s="18" t="s">
        <v>2015</v>
      </c>
      <c r="K308" s="20">
        <v>84.75</v>
      </c>
      <c r="L308" s="20">
        <f t="shared" si="26"/>
        <v>15.254999999999999</v>
      </c>
      <c r="M308" s="21">
        <f t="shared" si="27"/>
        <v>100.005</v>
      </c>
    </row>
    <row r="309" spans="1:13" x14ac:dyDescent="0.2">
      <c r="A309" s="18">
        <f t="shared" si="25"/>
        <v>306</v>
      </c>
      <c r="B309" s="18" t="s">
        <v>2027</v>
      </c>
      <c r="C309" s="18" t="s">
        <v>2028</v>
      </c>
      <c r="D309" s="19">
        <v>43837</v>
      </c>
      <c r="E309" s="18" t="s">
        <v>200</v>
      </c>
      <c r="F309" s="18">
        <v>1119</v>
      </c>
      <c r="G309" s="18">
        <v>20300435298</v>
      </c>
      <c r="H309" s="18"/>
      <c r="I309" s="18" t="s">
        <v>137</v>
      </c>
      <c r="J309" s="18" t="s">
        <v>2015</v>
      </c>
      <c r="K309" s="20">
        <v>84.75</v>
      </c>
      <c r="L309" s="20">
        <f t="shared" si="26"/>
        <v>15.254999999999999</v>
      </c>
      <c r="M309" s="21">
        <f t="shared" si="27"/>
        <v>100.005</v>
      </c>
    </row>
    <row r="310" spans="1:13" x14ac:dyDescent="0.2">
      <c r="A310" s="18">
        <f t="shared" si="25"/>
        <v>307</v>
      </c>
      <c r="B310" s="18" t="s">
        <v>1015</v>
      </c>
      <c r="C310" s="18" t="s">
        <v>1016</v>
      </c>
      <c r="D310" s="19">
        <v>43798</v>
      </c>
      <c r="E310" s="18">
        <v>1</v>
      </c>
      <c r="F310" s="18">
        <v>11074</v>
      </c>
      <c r="G310" s="18">
        <v>10061024650</v>
      </c>
      <c r="H310" s="18">
        <v>13029</v>
      </c>
      <c r="I310" s="18" t="s">
        <v>137</v>
      </c>
      <c r="J310" s="18" t="s">
        <v>1672</v>
      </c>
      <c r="K310" s="20">
        <v>59.32</v>
      </c>
      <c r="L310" s="20">
        <f t="shared" si="26"/>
        <v>10.6776</v>
      </c>
      <c r="M310" s="21">
        <f t="shared" si="27"/>
        <v>69.997600000000006</v>
      </c>
    </row>
    <row r="311" spans="1:13" x14ac:dyDescent="0.2">
      <c r="A311" s="18">
        <f t="shared" si="25"/>
        <v>308</v>
      </c>
      <c r="B311" s="18" t="s">
        <v>1015</v>
      </c>
      <c r="C311" s="18" t="s">
        <v>1016</v>
      </c>
      <c r="D311" s="19">
        <v>43798</v>
      </c>
      <c r="E311" s="18">
        <v>1</v>
      </c>
      <c r="F311" s="18">
        <v>5174</v>
      </c>
      <c r="G311" s="18">
        <v>20544804236</v>
      </c>
      <c r="H311" s="18">
        <v>13029</v>
      </c>
      <c r="I311" s="18" t="s">
        <v>137</v>
      </c>
      <c r="J311" s="18" t="s">
        <v>2471</v>
      </c>
      <c r="K311" s="20">
        <v>29.66</v>
      </c>
      <c r="L311" s="20">
        <f t="shared" si="26"/>
        <v>5.3388</v>
      </c>
      <c r="M311" s="21">
        <f t="shared" si="27"/>
        <v>34.998800000000003</v>
      </c>
    </row>
    <row r="312" spans="1:13" x14ac:dyDescent="0.2">
      <c r="A312" s="18">
        <f t="shared" si="25"/>
        <v>309</v>
      </c>
      <c r="B312" s="18" t="s">
        <v>1015</v>
      </c>
      <c r="C312" s="18" t="s">
        <v>1016</v>
      </c>
      <c r="D312" s="19">
        <v>43798</v>
      </c>
      <c r="E312" s="18" t="s">
        <v>201</v>
      </c>
      <c r="F312" s="18">
        <v>630</v>
      </c>
      <c r="G312" s="18">
        <v>10100897605</v>
      </c>
      <c r="H312" s="18">
        <v>13029</v>
      </c>
      <c r="I312" s="18" t="s">
        <v>137</v>
      </c>
      <c r="J312" s="18" t="s">
        <v>944</v>
      </c>
      <c r="K312" s="20">
        <v>50.85</v>
      </c>
      <c r="L312" s="20">
        <f t="shared" si="26"/>
        <v>9.1530000000000005</v>
      </c>
      <c r="M312" s="21">
        <f t="shared" si="27"/>
        <v>60.003</v>
      </c>
    </row>
    <row r="313" spans="1:13" x14ac:dyDescent="0.2">
      <c r="A313" s="18">
        <f t="shared" si="25"/>
        <v>310</v>
      </c>
      <c r="B313" s="18" t="s">
        <v>936</v>
      </c>
      <c r="C313" s="18" t="s">
        <v>937</v>
      </c>
      <c r="D313" s="19">
        <v>43798</v>
      </c>
      <c r="E313" s="18">
        <v>1</v>
      </c>
      <c r="F313" s="18">
        <v>1325</v>
      </c>
      <c r="G313" s="18">
        <v>10068062948</v>
      </c>
      <c r="H313" s="18"/>
      <c r="I313" s="18" t="s">
        <v>137</v>
      </c>
      <c r="J313" s="18" t="s">
        <v>1439</v>
      </c>
      <c r="K313" s="20">
        <v>40</v>
      </c>
      <c r="L313" s="20">
        <f t="shared" si="26"/>
        <v>7.1999999999999993</v>
      </c>
      <c r="M313" s="21">
        <f t="shared" si="27"/>
        <v>47.2</v>
      </c>
    </row>
    <row r="314" spans="1:13" x14ac:dyDescent="0.2">
      <c r="A314" s="18">
        <f t="shared" si="25"/>
        <v>311</v>
      </c>
      <c r="B314" s="18" t="s">
        <v>1013</v>
      </c>
      <c r="C314" s="18" t="s">
        <v>1014</v>
      </c>
      <c r="D314" s="19">
        <v>43799</v>
      </c>
      <c r="E314" s="18">
        <v>1</v>
      </c>
      <c r="F314" s="18">
        <v>1327</v>
      </c>
      <c r="G314" s="18">
        <v>10068062948</v>
      </c>
      <c r="H314" s="18"/>
      <c r="I314" s="18" t="s">
        <v>137</v>
      </c>
      <c r="J314" s="18" t="s">
        <v>1439</v>
      </c>
      <c r="K314" s="20">
        <v>10</v>
      </c>
      <c r="L314" s="20">
        <f t="shared" si="26"/>
        <v>1.7999999999999998</v>
      </c>
      <c r="M314" s="21">
        <f t="shared" si="27"/>
        <v>11.8</v>
      </c>
    </row>
    <row r="315" spans="1:13" x14ac:dyDescent="0.2">
      <c r="A315" s="18">
        <f t="shared" si="25"/>
        <v>312</v>
      </c>
      <c r="B315" s="18" t="s">
        <v>1419</v>
      </c>
      <c r="C315" s="18" t="s">
        <v>1703</v>
      </c>
      <c r="D315" s="19">
        <v>43799</v>
      </c>
      <c r="E315" s="18">
        <v>2</v>
      </c>
      <c r="F315" s="18">
        <v>3589</v>
      </c>
      <c r="G315" s="18">
        <v>10438213011</v>
      </c>
      <c r="H315" s="18">
        <v>13115</v>
      </c>
      <c r="I315" s="18" t="s">
        <v>137</v>
      </c>
      <c r="J315" s="18" t="s">
        <v>2472</v>
      </c>
      <c r="K315" s="20">
        <v>44.07</v>
      </c>
      <c r="L315" s="20">
        <f t="shared" si="26"/>
        <v>7.9325999999999999</v>
      </c>
      <c r="M315" s="21">
        <f t="shared" si="27"/>
        <v>52.002600000000001</v>
      </c>
    </row>
    <row r="316" spans="1:13" x14ac:dyDescent="0.2">
      <c r="A316" s="18">
        <f t="shared" si="25"/>
        <v>313</v>
      </c>
      <c r="B316" s="18" t="s">
        <v>1419</v>
      </c>
      <c r="C316" s="18" t="s">
        <v>1703</v>
      </c>
      <c r="D316" s="19">
        <v>43799</v>
      </c>
      <c r="E316" s="18" t="s">
        <v>2473</v>
      </c>
      <c r="F316" s="18">
        <v>7147</v>
      </c>
      <c r="G316" s="18">
        <v>20557240838</v>
      </c>
      <c r="H316" s="18">
        <v>13115</v>
      </c>
      <c r="I316" s="18" t="s">
        <v>137</v>
      </c>
      <c r="J316" s="18" t="s">
        <v>195</v>
      </c>
      <c r="K316" s="20">
        <v>27.12</v>
      </c>
      <c r="L316" s="20">
        <f t="shared" si="26"/>
        <v>4.8815999999999997</v>
      </c>
      <c r="M316" s="21">
        <f t="shared" si="27"/>
        <v>32.001600000000003</v>
      </c>
    </row>
    <row r="317" spans="1:13" x14ac:dyDescent="0.2">
      <c r="A317" s="18">
        <f t="shared" si="25"/>
        <v>314</v>
      </c>
      <c r="B317" s="18" t="s">
        <v>1371</v>
      </c>
      <c r="C317" s="18" t="s">
        <v>2288</v>
      </c>
      <c r="D317" s="19">
        <v>43801</v>
      </c>
      <c r="E317" s="18">
        <v>1</v>
      </c>
      <c r="F317" s="18">
        <v>1329</v>
      </c>
      <c r="G317" s="18">
        <v>10068062948</v>
      </c>
      <c r="H317" s="18"/>
      <c r="I317" s="18" t="s">
        <v>137</v>
      </c>
      <c r="J317" s="18" t="s">
        <v>1439</v>
      </c>
      <c r="K317" s="20">
        <v>16.95</v>
      </c>
      <c r="L317" s="20">
        <f t="shared" si="26"/>
        <v>3.0509999999999997</v>
      </c>
      <c r="M317" s="21">
        <f t="shared" si="27"/>
        <v>20.000999999999998</v>
      </c>
    </row>
    <row r="318" spans="1:13" x14ac:dyDescent="0.2">
      <c r="A318" s="18">
        <f t="shared" si="25"/>
        <v>315</v>
      </c>
      <c r="B318" s="18" t="s">
        <v>1379</v>
      </c>
      <c r="C318" s="18" t="s">
        <v>1458</v>
      </c>
      <c r="D318" s="19">
        <v>43802</v>
      </c>
      <c r="E318" s="18" t="s">
        <v>200</v>
      </c>
      <c r="F318" s="18">
        <v>69683</v>
      </c>
      <c r="G318" s="18">
        <v>20493143612</v>
      </c>
      <c r="H318" s="18"/>
      <c r="I318" s="18" t="s">
        <v>137</v>
      </c>
      <c r="J318" s="18" t="s">
        <v>954</v>
      </c>
      <c r="K318" s="20">
        <v>42.37</v>
      </c>
      <c r="L318" s="20">
        <f t="shared" si="26"/>
        <v>7.6265999999999989</v>
      </c>
      <c r="M318" s="21">
        <f t="shared" si="27"/>
        <v>49.996599999999994</v>
      </c>
    </row>
    <row r="319" spans="1:13" x14ac:dyDescent="0.2">
      <c r="A319" s="18">
        <f t="shared" si="25"/>
        <v>316</v>
      </c>
      <c r="B319" s="18" t="s">
        <v>1015</v>
      </c>
      <c r="C319" s="18" t="s">
        <v>1016</v>
      </c>
      <c r="D319" s="19">
        <v>43798</v>
      </c>
      <c r="E319" s="18" t="s">
        <v>979</v>
      </c>
      <c r="F319" s="18">
        <v>2209</v>
      </c>
      <c r="G319" s="18">
        <v>20548966893</v>
      </c>
      <c r="H319" s="18"/>
      <c r="I319" s="18" t="s">
        <v>193</v>
      </c>
      <c r="J319" s="18" t="s">
        <v>2474</v>
      </c>
      <c r="K319" s="20">
        <v>262.70999999999998</v>
      </c>
      <c r="L319" s="20">
        <f t="shared" si="26"/>
        <v>47.287799999999997</v>
      </c>
      <c r="M319" s="21">
        <f t="shared" si="27"/>
        <v>309.99779999999998</v>
      </c>
    </row>
    <row r="320" spans="1:13" x14ac:dyDescent="0.2">
      <c r="A320" s="18">
        <f t="shared" si="25"/>
        <v>317</v>
      </c>
      <c r="B320" s="18" t="s">
        <v>1447</v>
      </c>
      <c r="C320" s="18" t="s">
        <v>965</v>
      </c>
      <c r="D320" s="19">
        <v>43801</v>
      </c>
      <c r="E320" s="18" t="s">
        <v>2473</v>
      </c>
      <c r="F320" s="18">
        <v>5029</v>
      </c>
      <c r="G320" s="18">
        <v>20537474344</v>
      </c>
      <c r="H320" s="18"/>
      <c r="I320" s="18" t="s">
        <v>193</v>
      </c>
      <c r="J320" s="18" t="s">
        <v>2475</v>
      </c>
      <c r="K320" s="20">
        <v>25.42</v>
      </c>
      <c r="L320" s="20">
        <f t="shared" si="26"/>
        <v>4.5756000000000006</v>
      </c>
      <c r="M320" s="21">
        <f t="shared" si="27"/>
        <v>29.995600000000003</v>
      </c>
    </row>
    <row r="321" spans="1:13" x14ac:dyDescent="0.2">
      <c r="A321" s="18">
        <f t="shared" si="25"/>
        <v>318</v>
      </c>
      <c r="B321" s="18" t="s">
        <v>1015</v>
      </c>
      <c r="C321" s="18" t="s">
        <v>1016</v>
      </c>
      <c r="D321" s="19">
        <v>43802</v>
      </c>
      <c r="E321" s="18">
        <v>2</v>
      </c>
      <c r="F321" s="18">
        <v>760</v>
      </c>
      <c r="G321" s="18">
        <v>20525049028</v>
      </c>
      <c r="H321" s="18"/>
      <c r="I321" s="18" t="s">
        <v>137</v>
      </c>
      <c r="J321" s="18" t="s">
        <v>1671</v>
      </c>
      <c r="K321" s="20">
        <v>38.14</v>
      </c>
      <c r="L321" s="20">
        <f t="shared" si="26"/>
        <v>6.8651999999999997</v>
      </c>
      <c r="M321" s="21">
        <f t="shared" si="27"/>
        <v>45.005200000000002</v>
      </c>
    </row>
    <row r="322" spans="1:13" x14ac:dyDescent="0.2">
      <c r="A322" s="18">
        <f t="shared" si="25"/>
        <v>319</v>
      </c>
      <c r="B322" s="18" t="s">
        <v>1013</v>
      </c>
      <c r="C322" s="18" t="s">
        <v>1014</v>
      </c>
      <c r="D322" s="19">
        <v>43802</v>
      </c>
      <c r="E322" s="18">
        <v>2</v>
      </c>
      <c r="F322" s="18">
        <v>761</v>
      </c>
      <c r="G322" s="18">
        <v>20525049028</v>
      </c>
      <c r="H322" s="18">
        <v>13031</v>
      </c>
      <c r="I322" s="18" t="s">
        <v>137</v>
      </c>
      <c r="J322" s="18" t="s">
        <v>1671</v>
      </c>
      <c r="K322" s="20">
        <v>38.14</v>
      </c>
      <c r="L322" s="20">
        <f t="shared" si="26"/>
        <v>6.8651999999999997</v>
      </c>
      <c r="M322" s="21">
        <f t="shared" si="27"/>
        <v>45.005200000000002</v>
      </c>
    </row>
    <row r="323" spans="1:13" x14ac:dyDescent="0.2">
      <c r="A323" s="18">
        <f t="shared" si="25"/>
        <v>320</v>
      </c>
      <c r="B323" s="18" t="s">
        <v>1385</v>
      </c>
      <c r="C323" s="18" t="s">
        <v>1669</v>
      </c>
      <c r="D323" s="19">
        <v>43795</v>
      </c>
      <c r="E323" s="18">
        <v>1</v>
      </c>
      <c r="F323" s="18">
        <v>478</v>
      </c>
      <c r="G323" s="18">
        <v>10426566422</v>
      </c>
      <c r="H323" s="18">
        <v>13085</v>
      </c>
      <c r="I323" s="18" t="s">
        <v>137</v>
      </c>
      <c r="J323" s="18" t="s">
        <v>2476</v>
      </c>
      <c r="K323" s="20">
        <v>593.22</v>
      </c>
      <c r="L323" s="20">
        <f t="shared" si="26"/>
        <v>106.7796</v>
      </c>
      <c r="M323" s="21">
        <f t="shared" si="27"/>
        <v>699.99959999999999</v>
      </c>
    </row>
    <row r="324" spans="1:13" x14ac:dyDescent="0.2">
      <c r="A324" s="18">
        <f t="shared" si="25"/>
        <v>321</v>
      </c>
      <c r="B324" s="18" t="s">
        <v>1365</v>
      </c>
      <c r="C324" s="18" t="s">
        <v>2297</v>
      </c>
      <c r="D324" s="19">
        <v>43802</v>
      </c>
      <c r="E324" s="18">
        <v>2</v>
      </c>
      <c r="F324" s="18">
        <v>528</v>
      </c>
      <c r="G324" s="18">
        <v>10101288698</v>
      </c>
      <c r="H324" s="18"/>
      <c r="I324" s="18" t="s">
        <v>193</v>
      </c>
      <c r="J324" s="18" t="s">
        <v>2477</v>
      </c>
      <c r="K324" s="20">
        <v>29.66</v>
      </c>
      <c r="L324" s="20">
        <f t="shared" si="26"/>
        <v>5.3388</v>
      </c>
      <c r="M324" s="21">
        <f t="shared" si="27"/>
        <v>34.998800000000003</v>
      </c>
    </row>
    <row r="325" spans="1:13" x14ac:dyDescent="0.2">
      <c r="A325" s="18">
        <f t="shared" si="25"/>
        <v>322</v>
      </c>
      <c r="B325" s="18" t="s">
        <v>1365</v>
      </c>
      <c r="C325" s="18" t="s">
        <v>2297</v>
      </c>
      <c r="D325" s="19">
        <v>43803</v>
      </c>
      <c r="E325" s="18">
        <v>1</v>
      </c>
      <c r="F325" s="18">
        <v>5186</v>
      </c>
      <c r="G325" s="18">
        <v>20544804236</v>
      </c>
      <c r="H325" s="18"/>
      <c r="I325" s="18" t="s">
        <v>137</v>
      </c>
      <c r="J325" s="18" t="s">
        <v>1423</v>
      </c>
      <c r="K325" s="20">
        <v>29.66</v>
      </c>
      <c r="L325" s="20">
        <f t="shared" si="26"/>
        <v>5.3388</v>
      </c>
      <c r="M325" s="21">
        <f t="shared" si="27"/>
        <v>34.998800000000003</v>
      </c>
    </row>
    <row r="326" spans="1:13" x14ac:dyDescent="0.2">
      <c r="A326" s="18">
        <f t="shared" ref="A326:A389" si="28">+A325+1</f>
        <v>323</v>
      </c>
      <c r="B326" s="18" t="s">
        <v>1365</v>
      </c>
      <c r="C326" s="18" t="s">
        <v>2297</v>
      </c>
      <c r="D326" s="19">
        <v>43803</v>
      </c>
      <c r="E326" s="18" t="s">
        <v>201</v>
      </c>
      <c r="F326" s="18">
        <v>638</v>
      </c>
      <c r="G326" s="18">
        <v>10100087605</v>
      </c>
      <c r="H326" s="18"/>
      <c r="I326" s="18" t="s">
        <v>137</v>
      </c>
      <c r="J326" s="18" t="s">
        <v>944</v>
      </c>
      <c r="K326" s="20">
        <v>33.9</v>
      </c>
      <c r="L326" s="20">
        <f t="shared" si="26"/>
        <v>6.1019999999999994</v>
      </c>
      <c r="M326" s="21">
        <f t="shared" si="27"/>
        <v>40.001999999999995</v>
      </c>
    </row>
    <row r="327" spans="1:13" x14ac:dyDescent="0.2">
      <c r="A327" s="18">
        <f t="shared" si="28"/>
        <v>324</v>
      </c>
      <c r="B327" s="18" t="s">
        <v>1017</v>
      </c>
      <c r="C327" s="18" t="s">
        <v>1018</v>
      </c>
      <c r="D327" s="19">
        <v>43803</v>
      </c>
      <c r="E327" s="18">
        <v>1</v>
      </c>
      <c r="F327" s="18">
        <v>5187</v>
      </c>
      <c r="G327" s="18">
        <v>20544804236</v>
      </c>
      <c r="H327" s="18"/>
      <c r="I327" s="18" t="s">
        <v>137</v>
      </c>
      <c r="J327" s="18" t="s">
        <v>1423</v>
      </c>
      <c r="K327" s="20">
        <v>29.66</v>
      </c>
      <c r="L327" s="20">
        <f t="shared" si="26"/>
        <v>5.3388</v>
      </c>
      <c r="M327" s="21">
        <f t="shared" si="27"/>
        <v>34.998800000000003</v>
      </c>
    </row>
    <row r="328" spans="1:13" x14ac:dyDescent="0.2">
      <c r="A328" s="18">
        <f t="shared" si="28"/>
        <v>325</v>
      </c>
      <c r="B328" s="18" t="s">
        <v>1365</v>
      </c>
      <c r="C328" s="18" t="s">
        <v>2297</v>
      </c>
      <c r="D328" s="19">
        <v>43804</v>
      </c>
      <c r="E328" s="18" t="s">
        <v>463</v>
      </c>
      <c r="F328" s="18">
        <v>51420</v>
      </c>
      <c r="G328" s="18">
        <v>20493143612</v>
      </c>
      <c r="H328" s="18"/>
      <c r="I328" s="18" t="s">
        <v>137</v>
      </c>
      <c r="J328" s="18" t="s">
        <v>954</v>
      </c>
      <c r="K328" s="20">
        <v>42.37</v>
      </c>
      <c r="L328" s="20">
        <f t="shared" si="26"/>
        <v>7.6265999999999989</v>
      </c>
      <c r="M328" s="21">
        <f t="shared" si="27"/>
        <v>49.996599999999994</v>
      </c>
    </row>
    <row r="329" spans="1:13" x14ac:dyDescent="0.2">
      <c r="A329" s="18">
        <f t="shared" si="28"/>
        <v>326</v>
      </c>
      <c r="B329" s="18" t="s">
        <v>1665</v>
      </c>
      <c r="C329" s="18" t="s">
        <v>1666</v>
      </c>
      <c r="D329" s="19">
        <v>43803</v>
      </c>
      <c r="E329" s="18">
        <v>1</v>
      </c>
      <c r="F329" s="18">
        <v>9455</v>
      </c>
      <c r="G329" s="18">
        <v>10074442515</v>
      </c>
      <c r="H329" s="18"/>
      <c r="I329" s="18" t="s">
        <v>137</v>
      </c>
      <c r="J329" s="18" t="s">
        <v>2478</v>
      </c>
      <c r="K329" s="20">
        <v>50</v>
      </c>
      <c r="L329" s="20">
        <f t="shared" si="26"/>
        <v>9</v>
      </c>
      <c r="M329" s="21">
        <f t="shared" si="27"/>
        <v>59</v>
      </c>
    </row>
    <row r="330" spans="1:13" x14ac:dyDescent="0.2">
      <c r="A330" s="18">
        <f t="shared" si="28"/>
        <v>327</v>
      </c>
      <c r="B330" s="18" t="s">
        <v>1665</v>
      </c>
      <c r="C330" s="18" t="s">
        <v>1666</v>
      </c>
      <c r="D330" s="19">
        <v>43808</v>
      </c>
      <c r="E330" s="18">
        <v>2</v>
      </c>
      <c r="F330" s="18">
        <v>3398</v>
      </c>
      <c r="G330" s="18">
        <v>10094103571</v>
      </c>
      <c r="H330" s="18"/>
      <c r="I330" s="18" t="s">
        <v>137</v>
      </c>
      <c r="J330" s="18" t="s">
        <v>2479</v>
      </c>
      <c r="K330" s="20">
        <v>29.66</v>
      </c>
      <c r="L330" s="20">
        <f t="shared" si="26"/>
        <v>5.3388</v>
      </c>
      <c r="M330" s="21">
        <f t="shared" si="27"/>
        <v>34.998800000000003</v>
      </c>
    </row>
    <row r="331" spans="1:13" x14ac:dyDescent="0.2">
      <c r="A331" s="18">
        <f t="shared" si="28"/>
        <v>328</v>
      </c>
      <c r="B331" s="18" t="s">
        <v>1665</v>
      </c>
      <c r="C331" s="18" t="s">
        <v>1666</v>
      </c>
      <c r="D331" s="19">
        <v>43808</v>
      </c>
      <c r="E331" s="18">
        <v>1</v>
      </c>
      <c r="F331" s="18">
        <v>11089</v>
      </c>
      <c r="G331" s="18">
        <v>10061024650</v>
      </c>
      <c r="H331" s="18"/>
      <c r="I331" s="18" t="s">
        <v>137</v>
      </c>
      <c r="J331" s="18" t="s">
        <v>2480</v>
      </c>
      <c r="K331" s="20">
        <v>67.8</v>
      </c>
      <c r="L331" s="20">
        <f t="shared" si="26"/>
        <v>12.203999999999999</v>
      </c>
      <c r="M331" s="21">
        <f t="shared" si="27"/>
        <v>80.003999999999991</v>
      </c>
    </row>
    <row r="332" spans="1:13" x14ac:dyDescent="0.2">
      <c r="A332" s="18">
        <f t="shared" si="28"/>
        <v>329</v>
      </c>
      <c r="B332" s="18" t="s">
        <v>1017</v>
      </c>
      <c r="C332" s="18" t="s">
        <v>1018</v>
      </c>
      <c r="D332" s="19">
        <v>43808</v>
      </c>
      <c r="E332" s="18" t="s">
        <v>201</v>
      </c>
      <c r="F332" s="18">
        <v>649</v>
      </c>
      <c r="G332" s="18">
        <v>10100087605</v>
      </c>
      <c r="H332" s="18"/>
      <c r="I332" s="18" t="s">
        <v>137</v>
      </c>
      <c r="J332" s="18" t="s">
        <v>2481</v>
      </c>
      <c r="K332" s="20">
        <v>25.42</v>
      </c>
      <c r="L332" s="20">
        <f t="shared" si="26"/>
        <v>4.5756000000000006</v>
      </c>
      <c r="M332" s="21">
        <f t="shared" si="27"/>
        <v>29.995600000000003</v>
      </c>
    </row>
    <row r="333" spans="1:13" x14ac:dyDescent="0.2">
      <c r="A333" s="18">
        <f t="shared" si="28"/>
        <v>330</v>
      </c>
      <c r="B333" s="18" t="s">
        <v>1373</v>
      </c>
      <c r="C333" s="18" t="s">
        <v>1443</v>
      </c>
      <c r="D333" s="19">
        <v>43808</v>
      </c>
      <c r="E333" s="18">
        <v>1</v>
      </c>
      <c r="F333" s="18">
        <v>7829</v>
      </c>
      <c r="G333" s="18">
        <v>10255738173</v>
      </c>
      <c r="H333" s="18"/>
      <c r="I333" s="18" t="s">
        <v>137</v>
      </c>
      <c r="J333" s="18" t="s">
        <v>1451</v>
      </c>
      <c r="K333" s="20">
        <v>152.54</v>
      </c>
      <c r="L333" s="20">
        <f t="shared" si="26"/>
        <v>27.457199999999997</v>
      </c>
      <c r="M333" s="21">
        <f t="shared" si="27"/>
        <v>179.99719999999999</v>
      </c>
    </row>
    <row r="334" spans="1:13" x14ac:dyDescent="0.2">
      <c r="A334" s="18">
        <f t="shared" si="28"/>
        <v>331</v>
      </c>
      <c r="B334" s="18" t="s">
        <v>1373</v>
      </c>
      <c r="C334" s="18" t="s">
        <v>1443</v>
      </c>
      <c r="D334" s="19">
        <v>43808</v>
      </c>
      <c r="E334" s="18">
        <v>1</v>
      </c>
      <c r="F334" s="18">
        <v>11090</v>
      </c>
      <c r="G334" s="18">
        <v>10061024650</v>
      </c>
      <c r="H334" s="18"/>
      <c r="I334" s="18" t="s">
        <v>137</v>
      </c>
      <c r="J334" s="18" t="s">
        <v>1672</v>
      </c>
      <c r="K334" s="20">
        <v>59.32</v>
      </c>
      <c r="L334" s="20">
        <f t="shared" si="26"/>
        <v>10.6776</v>
      </c>
      <c r="M334" s="21">
        <f t="shared" si="27"/>
        <v>69.997600000000006</v>
      </c>
    </row>
    <row r="335" spans="1:13" x14ac:dyDescent="0.2">
      <c r="A335" s="18">
        <f t="shared" si="28"/>
        <v>332</v>
      </c>
      <c r="B335" s="18" t="s">
        <v>1373</v>
      </c>
      <c r="C335" s="18" t="s">
        <v>1443</v>
      </c>
      <c r="D335" s="19">
        <v>43808</v>
      </c>
      <c r="E335" s="18">
        <v>1</v>
      </c>
      <c r="F335" s="18">
        <v>5202</v>
      </c>
      <c r="G335" s="18">
        <v>20544804236</v>
      </c>
      <c r="H335" s="18"/>
      <c r="I335" s="18" t="s">
        <v>137</v>
      </c>
      <c r="J335" s="18" t="s">
        <v>1423</v>
      </c>
      <c r="K335" s="20">
        <v>29.66</v>
      </c>
      <c r="L335" s="20">
        <f t="shared" si="26"/>
        <v>5.3388</v>
      </c>
      <c r="M335" s="21">
        <f t="shared" si="27"/>
        <v>34.998800000000003</v>
      </c>
    </row>
    <row r="336" spans="1:13" x14ac:dyDescent="0.2">
      <c r="A336" s="18">
        <f t="shared" si="28"/>
        <v>333</v>
      </c>
      <c r="B336" s="18" t="s">
        <v>1373</v>
      </c>
      <c r="C336" s="18" t="s">
        <v>1443</v>
      </c>
      <c r="D336" s="19">
        <v>43808</v>
      </c>
      <c r="E336" s="18" t="s">
        <v>201</v>
      </c>
      <c r="F336" s="18">
        <v>647</v>
      </c>
      <c r="G336" s="18">
        <v>10100087605</v>
      </c>
      <c r="H336" s="18"/>
      <c r="I336" s="18" t="s">
        <v>137</v>
      </c>
      <c r="J336" s="18" t="s">
        <v>944</v>
      </c>
      <c r="K336" s="20">
        <v>33.9</v>
      </c>
      <c r="L336" s="20">
        <f t="shared" si="26"/>
        <v>6.1019999999999994</v>
      </c>
      <c r="M336" s="21">
        <f t="shared" si="27"/>
        <v>40.001999999999995</v>
      </c>
    </row>
    <row r="337" spans="1:13" x14ac:dyDescent="0.2">
      <c r="A337" s="18">
        <f t="shared" si="28"/>
        <v>334</v>
      </c>
      <c r="B337" s="18" t="s">
        <v>1015</v>
      </c>
      <c r="C337" s="18" t="s">
        <v>1016</v>
      </c>
      <c r="D337" s="19">
        <v>43808</v>
      </c>
      <c r="E337" s="18" t="s">
        <v>200</v>
      </c>
      <c r="F337" s="18">
        <v>70051</v>
      </c>
      <c r="G337" s="18">
        <v>20495143612</v>
      </c>
      <c r="H337" s="18"/>
      <c r="I337" s="18" t="s">
        <v>137</v>
      </c>
      <c r="J337" s="18" t="s">
        <v>954</v>
      </c>
      <c r="K337" s="20">
        <v>42.37</v>
      </c>
      <c r="L337" s="20">
        <f t="shared" si="26"/>
        <v>7.6265999999999989</v>
      </c>
      <c r="M337" s="21">
        <f t="shared" si="27"/>
        <v>49.996599999999994</v>
      </c>
    </row>
    <row r="338" spans="1:13" x14ac:dyDescent="0.2">
      <c r="A338" s="18">
        <f t="shared" si="28"/>
        <v>335</v>
      </c>
      <c r="B338" s="18" t="s">
        <v>1383</v>
      </c>
      <c r="C338" s="18" t="s">
        <v>2304</v>
      </c>
      <c r="D338" s="19">
        <v>43808</v>
      </c>
      <c r="E338" s="18" t="s">
        <v>200</v>
      </c>
      <c r="F338" s="18">
        <v>70041</v>
      </c>
      <c r="G338" s="18">
        <v>20495143612</v>
      </c>
      <c r="H338" s="18"/>
      <c r="I338" s="18" t="s">
        <v>137</v>
      </c>
      <c r="J338" s="18" t="s">
        <v>954</v>
      </c>
      <c r="K338" s="20">
        <v>42.37</v>
      </c>
      <c r="L338" s="20">
        <f t="shared" si="26"/>
        <v>7.6265999999999989</v>
      </c>
      <c r="M338" s="21">
        <f t="shared" si="27"/>
        <v>49.996599999999994</v>
      </c>
    </row>
    <row r="339" spans="1:13" x14ac:dyDescent="0.2">
      <c r="A339" s="18">
        <f t="shared" si="28"/>
        <v>336</v>
      </c>
      <c r="B339" s="18" t="s">
        <v>1665</v>
      </c>
      <c r="C339" s="18" t="s">
        <v>1666</v>
      </c>
      <c r="D339" s="19">
        <v>43806</v>
      </c>
      <c r="E339" s="18">
        <v>1</v>
      </c>
      <c r="F339" s="18">
        <v>1334</v>
      </c>
      <c r="G339" s="18">
        <v>10068062948</v>
      </c>
      <c r="H339" s="18"/>
      <c r="I339" s="18" t="s">
        <v>137</v>
      </c>
      <c r="J339" s="18" t="s">
        <v>1439</v>
      </c>
      <c r="K339" s="20">
        <v>10</v>
      </c>
      <c r="L339" s="20">
        <f t="shared" si="26"/>
        <v>1.7999999999999998</v>
      </c>
      <c r="M339" s="21">
        <f t="shared" si="27"/>
        <v>11.8</v>
      </c>
    </row>
    <row r="340" spans="1:13" x14ac:dyDescent="0.2">
      <c r="A340" s="18">
        <f t="shared" si="28"/>
        <v>337</v>
      </c>
      <c r="B340" s="18" t="s">
        <v>1383</v>
      </c>
      <c r="C340" s="18" t="s">
        <v>2304</v>
      </c>
      <c r="D340" s="19">
        <v>43804</v>
      </c>
      <c r="E340" s="18">
        <v>1</v>
      </c>
      <c r="F340" s="18">
        <v>5193</v>
      </c>
      <c r="G340" s="18">
        <v>20544804236</v>
      </c>
      <c r="H340" s="18"/>
      <c r="I340" s="18" t="s">
        <v>137</v>
      </c>
      <c r="J340" s="18" t="s">
        <v>2482</v>
      </c>
      <c r="K340" s="20">
        <v>29.66</v>
      </c>
      <c r="L340" s="20">
        <f t="shared" si="26"/>
        <v>5.3388</v>
      </c>
      <c r="M340" s="21">
        <f t="shared" si="27"/>
        <v>34.998800000000003</v>
      </c>
    </row>
    <row r="341" spans="1:13" x14ac:dyDescent="0.2">
      <c r="A341" s="18">
        <f t="shared" si="28"/>
        <v>338</v>
      </c>
      <c r="B341" s="18" t="s">
        <v>1383</v>
      </c>
      <c r="C341" s="18" t="s">
        <v>2304</v>
      </c>
      <c r="D341" s="19">
        <v>43804</v>
      </c>
      <c r="E341" s="18">
        <v>2</v>
      </c>
      <c r="F341" s="18">
        <v>770</v>
      </c>
      <c r="G341" s="18">
        <v>20525049028</v>
      </c>
      <c r="H341" s="18"/>
      <c r="I341" s="18" t="s">
        <v>137</v>
      </c>
      <c r="J341" s="18" t="s">
        <v>1671</v>
      </c>
      <c r="K341" s="20">
        <v>38.14</v>
      </c>
      <c r="L341" s="20">
        <f t="shared" si="26"/>
        <v>6.8651999999999997</v>
      </c>
      <c r="M341" s="21">
        <f t="shared" si="27"/>
        <v>45.005200000000002</v>
      </c>
    </row>
    <row r="342" spans="1:13" x14ac:dyDescent="0.2">
      <c r="A342" s="18">
        <f t="shared" si="28"/>
        <v>339</v>
      </c>
      <c r="B342" s="18" t="s">
        <v>1383</v>
      </c>
      <c r="C342" s="18" t="s">
        <v>2304</v>
      </c>
      <c r="D342" s="19">
        <v>43804</v>
      </c>
      <c r="E342" s="18">
        <v>1</v>
      </c>
      <c r="F342" s="18">
        <v>11083</v>
      </c>
      <c r="G342" s="18">
        <v>10061024650</v>
      </c>
      <c r="H342" s="18"/>
      <c r="I342" s="18" t="s">
        <v>137</v>
      </c>
      <c r="J342" s="18" t="s">
        <v>1599</v>
      </c>
      <c r="K342" s="20">
        <v>59.32</v>
      </c>
      <c r="L342" s="20">
        <f t="shared" si="26"/>
        <v>10.6776</v>
      </c>
      <c r="M342" s="21">
        <f t="shared" si="27"/>
        <v>69.997600000000006</v>
      </c>
    </row>
    <row r="343" spans="1:13" x14ac:dyDescent="0.2">
      <c r="A343" s="18">
        <f t="shared" si="28"/>
        <v>340</v>
      </c>
      <c r="B343" s="18" t="s">
        <v>1383</v>
      </c>
      <c r="C343" s="18" t="s">
        <v>2304</v>
      </c>
      <c r="D343" s="19">
        <v>43804</v>
      </c>
      <c r="E343" s="18" t="s">
        <v>201</v>
      </c>
      <c r="F343" s="18">
        <v>640</v>
      </c>
      <c r="G343" s="18">
        <v>10100087605</v>
      </c>
      <c r="H343" s="18"/>
      <c r="I343" s="18" t="s">
        <v>137</v>
      </c>
      <c r="J343" s="18" t="s">
        <v>944</v>
      </c>
      <c r="K343" s="20">
        <v>50.85</v>
      </c>
      <c r="L343" s="20">
        <f t="shared" si="26"/>
        <v>9.1530000000000005</v>
      </c>
      <c r="M343" s="21">
        <f t="shared" si="27"/>
        <v>60.003</v>
      </c>
    </row>
    <row r="344" spans="1:13" x14ac:dyDescent="0.2">
      <c r="A344" s="18">
        <f t="shared" si="28"/>
        <v>341</v>
      </c>
      <c r="B344" s="18" t="s">
        <v>1373</v>
      </c>
      <c r="C344" s="18" t="s">
        <v>1443</v>
      </c>
      <c r="D344" s="19">
        <v>43809</v>
      </c>
      <c r="E344" s="18" t="s">
        <v>200</v>
      </c>
      <c r="F344" s="18">
        <v>70114</v>
      </c>
      <c r="G344" s="18">
        <v>20493143612</v>
      </c>
      <c r="H344" s="18"/>
      <c r="I344" s="18" t="s">
        <v>137</v>
      </c>
      <c r="J344" s="18" t="s">
        <v>954</v>
      </c>
      <c r="K344" s="20">
        <v>42.37</v>
      </c>
      <c r="L344" s="51">
        <f>+K344*18%</f>
        <v>7.6265999999999989</v>
      </c>
      <c r="M344" s="52">
        <f>+K344+L344</f>
        <v>49.996599999999994</v>
      </c>
    </row>
    <row r="345" spans="1:13" x14ac:dyDescent="0.2">
      <c r="A345" s="18">
        <f t="shared" si="28"/>
        <v>342</v>
      </c>
      <c r="B345" s="18" t="s">
        <v>1365</v>
      </c>
      <c r="C345" s="18" t="s">
        <v>2297</v>
      </c>
      <c r="D345" s="19">
        <v>43805</v>
      </c>
      <c r="E345" s="18">
        <v>1</v>
      </c>
      <c r="F345" s="18">
        <v>1332</v>
      </c>
      <c r="G345" s="18">
        <v>10068062948</v>
      </c>
      <c r="H345" s="18"/>
      <c r="I345" s="18" t="s">
        <v>137</v>
      </c>
      <c r="J345" s="18" t="s">
        <v>1439</v>
      </c>
      <c r="K345" s="20">
        <v>12.72</v>
      </c>
      <c r="L345" s="51">
        <f t="shared" ref="L345:L376" si="29">+K345*18%</f>
        <v>2.2896000000000001</v>
      </c>
      <c r="M345" s="52">
        <f t="shared" ref="M345:M376" si="30">+K345+L345</f>
        <v>15.009600000000001</v>
      </c>
    </row>
    <row r="346" spans="1:13" x14ac:dyDescent="0.2">
      <c r="A346" s="18">
        <f t="shared" si="28"/>
        <v>343</v>
      </c>
      <c r="B346" s="18" t="s">
        <v>2305</v>
      </c>
      <c r="C346" s="18" t="s">
        <v>1016</v>
      </c>
      <c r="D346" s="19">
        <v>43805</v>
      </c>
      <c r="E346" s="18" t="s">
        <v>200</v>
      </c>
      <c r="F346" s="18">
        <v>777</v>
      </c>
      <c r="G346" s="18">
        <v>20602362664</v>
      </c>
      <c r="H346" s="18"/>
      <c r="I346" s="18" t="s">
        <v>193</v>
      </c>
      <c r="J346" s="18" t="s">
        <v>2483</v>
      </c>
      <c r="K346" s="20">
        <v>38.14</v>
      </c>
      <c r="L346" s="51">
        <f t="shared" si="29"/>
        <v>6.8651999999999997</v>
      </c>
      <c r="M346" s="52">
        <f t="shared" si="30"/>
        <v>45.005200000000002</v>
      </c>
    </row>
    <row r="347" spans="1:13" x14ac:dyDescent="0.2">
      <c r="A347" s="18">
        <f t="shared" si="28"/>
        <v>344</v>
      </c>
      <c r="B347" s="18" t="s">
        <v>2305</v>
      </c>
      <c r="C347" s="18" t="s">
        <v>1016</v>
      </c>
      <c r="D347" s="19">
        <v>43805</v>
      </c>
      <c r="E347" s="18">
        <v>1</v>
      </c>
      <c r="F347" s="18">
        <v>24788</v>
      </c>
      <c r="G347" s="18">
        <v>20601079691</v>
      </c>
      <c r="H347" s="18"/>
      <c r="I347" s="18" t="s">
        <v>193</v>
      </c>
      <c r="J347" s="18" t="s">
        <v>2484</v>
      </c>
      <c r="K347" s="20">
        <v>31.78</v>
      </c>
      <c r="L347" s="51">
        <f t="shared" si="29"/>
        <v>5.7203999999999997</v>
      </c>
      <c r="M347" s="52">
        <f t="shared" si="30"/>
        <v>37.500399999999999</v>
      </c>
    </row>
    <row r="348" spans="1:13" x14ac:dyDescent="0.2">
      <c r="A348" s="18">
        <f t="shared" si="28"/>
        <v>345</v>
      </c>
      <c r="B348" s="18" t="s">
        <v>2305</v>
      </c>
      <c r="C348" s="18" t="s">
        <v>1016</v>
      </c>
      <c r="D348" s="19">
        <v>43805</v>
      </c>
      <c r="E348" s="18" t="s">
        <v>2473</v>
      </c>
      <c r="F348" s="18">
        <v>7343</v>
      </c>
      <c r="G348" s="18">
        <v>20557240838</v>
      </c>
      <c r="H348" s="18"/>
      <c r="I348" s="18" t="s">
        <v>193</v>
      </c>
      <c r="J348" s="18" t="s">
        <v>2485</v>
      </c>
      <c r="K348" s="20">
        <v>8.4700000000000006</v>
      </c>
      <c r="L348" s="51">
        <f t="shared" si="29"/>
        <v>1.5246</v>
      </c>
      <c r="M348" s="52">
        <f t="shared" si="30"/>
        <v>9.9946000000000002</v>
      </c>
    </row>
    <row r="349" spans="1:13" x14ac:dyDescent="0.2">
      <c r="A349" s="18">
        <f t="shared" si="28"/>
        <v>346</v>
      </c>
      <c r="B349" s="18" t="s">
        <v>1383</v>
      </c>
      <c r="C349" s="18" t="s">
        <v>2304</v>
      </c>
      <c r="D349" s="19">
        <v>43805</v>
      </c>
      <c r="E349" s="18">
        <v>2</v>
      </c>
      <c r="F349" s="18">
        <v>252</v>
      </c>
      <c r="G349" s="18">
        <v>10549871535</v>
      </c>
      <c r="H349" s="18"/>
      <c r="I349" s="18" t="s">
        <v>193</v>
      </c>
      <c r="J349" s="18" t="s">
        <v>2474</v>
      </c>
      <c r="K349" s="20">
        <v>33.9</v>
      </c>
      <c r="L349" s="51">
        <f t="shared" si="29"/>
        <v>6.1019999999999994</v>
      </c>
      <c r="M349" s="52">
        <f t="shared" si="30"/>
        <v>40.001999999999995</v>
      </c>
    </row>
    <row r="350" spans="1:13" x14ac:dyDescent="0.2">
      <c r="A350" s="18">
        <f t="shared" si="28"/>
        <v>347</v>
      </c>
      <c r="B350" s="18" t="s">
        <v>1923</v>
      </c>
      <c r="C350" s="18" t="s">
        <v>1018</v>
      </c>
      <c r="D350" s="19">
        <v>43809</v>
      </c>
      <c r="E350" s="18">
        <v>1</v>
      </c>
      <c r="F350" s="18">
        <v>731</v>
      </c>
      <c r="G350" s="18">
        <v>20600639634</v>
      </c>
      <c r="H350" s="18"/>
      <c r="I350" s="18" t="s">
        <v>137</v>
      </c>
      <c r="J350" s="18" t="s">
        <v>738</v>
      </c>
      <c r="K350" s="20">
        <v>16.95</v>
      </c>
      <c r="L350" s="51">
        <f t="shared" si="29"/>
        <v>3.0509999999999997</v>
      </c>
      <c r="M350" s="52">
        <f t="shared" si="30"/>
        <v>20.000999999999998</v>
      </c>
    </row>
    <row r="351" spans="1:13" x14ac:dyDescent="0.2">
      <c r="A351" s="18">
        <f t="shared" si="28"/>
        <v>348</v>
      </c>
      <c r="B351" s="18" t="s">
        <v>1923</v>
      </c>
      <c r="C351" s="18" t="s">
        <v>1018</v>
      </c>
      <c r="D351" s="19">
        <v>43809</v>
      </c>
      <c r="E351" s="18">
        <v>1</v>
      </c>
      <c r="F351" s="18">
        <v>1397</v>
      </c>
      <c r="G351" s="18">
        <v>10451611491</v>
      </c>
      <c r="H351" s="18"/>
      <c r="I351" s="18" t="s">
        <v>193</v>
      </c>
      <c r="J351" s="18" t="s">
        <v>2474</v>
      </c>
      <c r="K351" s="20">
        <v>449.15</v>
      </c>
      <c r="L351" s="51">
        <f t="shared" si="29"/>
        <v>80.846999999999994</v>
      </c>
      <c r="M351" s="52">
        <f t="shared" si="30"/>
        <v>529.99699999999996</v>
      </c>
    </row>
    <row r="352" spans="1:13" x14ac:dyDescent="0.2">
      <c r="A352" s="18">
        <f t="shared" si="28"/>
        <v>349</v>
      </c>
      <c r="B352" s="18" t="s">
        <v>1923</v>
      </c>
      <c r="C352" s="18" t="s">
        <v>1018</v>
      </c>
      <c r="D352" s="19">
        <v>43809</v>
      </c>
      <c r="E352" s="18" t="s">
        <v>201</v>
      </c>
      <c r="F352" s="18">
        <v>652</v>
      </c>
      <c r="G352" s="18">
        <v>10100087605</v>
      </c>
      <c r="H352" s="18"/>
      <c r="I352" s="18" t="s">
        <v>193</v>
      </c>
      <c r="J352" s="18" t="s">
        <v>2486</v>
      </c>
      <c r="K352" s="20">
        <v>12.71</v>
      </c>
      <c r="L352" s="51">
        <f t="shared" si="29"/>
        <v>2.2878000000000003</v>
      </c>
      <c r="M352" s="52">
        <f t="shared" si="30"/>
        <v>14.997800000000002</v>
      </c>
    </row>
    <row r="353" spans="1:13" x14ac:dyDescent="0.2">
      <c r="A353" s="18">
        <f t="shared" si="28"/>
        <v>350</v>
      </c>
      <c r="B353" s="18" t="s">
        <v>850</v>
      </c>
      <c r="C353" s="18" t="s">
        <v>972</v>
      </c>
      <c r="D353" s="19">
        <v>43810</v>
      </c>
      <c r="E353" s="18">
        <v>1</v>
      </c>
      <c r="F353" s="18">
        <v>1335</v>
      </c>
      <c r="G353" s="18">
        <v>10068062948</v>
      </c>
      <c r="H353" s="18"/>
      <c r="I353" s="18" t="s">
        <v>137</v>
      </c>
      <c r="J353" s="18" t="s">
        <v>1439</v>
      </c>
      <c r="K353" s="20">
        <v>25.42</v>
      </c>
      <c r="L353" s="51">
        <f t="shared" si="29"/>
        <v>4.5756000000000006</v>
      </c>
      <c r="M353" s="52">
        <f t="shared" si="30"/>
        <v>29.995600000000003</v>
      </c>
    </row>
    <row r="354" spans="1:13" x14ac:dyDescent="0.2">
      <c r="A354" s="18">
        <f t="shared" si="28"/>
        <v>351</v>
      </c>
      <c r="B354" s="18" t="s">
        <v>1373</v>
      </c>
      <c r="C354" s="18" t="s">
        <v>1443</v>
      </c>
      <c r="D354" s="19">
        <v>43812</v>
      </c>
      <c r="E354" s="18">
        <v>1</v>
      </c>
      <c r="F354" s="18">
        <v>1338</v>
      </c>
      <c r="G354" s="18">
        <v>10068062948</v>
      </c>
      <c r="H354" s="18"/>
      <c r="I354" s="18" t="s">
        <v>137</v>
      </c>
      <c r="J354" s="18" t="s">
        <v>1439</v>
      </c>
      <c r="K354" s="20">
        <v>15</v>
      </c>
      <c r="L354" s="51">
        <f t="shared" si="29"/>
        <v>2.6999999999999997</v>
      </c>
      <c r="M354" s="52">
        <f t="shared" si="30"/>
        <v>17.7</v>
      </c>
    </row>
    <row r="355" spans="1:13" x14ac:dyDescent="0.2">
      <c r="A355" s="18">
        <f t="shared" si="28"/>
        <v>352</v>
      </c>
      <c r="B355" s="18" t="s">
        <v>1015</v>
      </c>
      <c r="C355" s="18" t="s">
        <v>1016</v>
      </c>
      <c r="D355" s="19">
        <v>43811</v>
      </c>
      <c r="E355" s="18">
        <v>1</v>
      </c>
      <c r="F355" s="18">
        <v>1336</v>
      </c>
      <c r="G355" s="18">
        <v>10068062948</v>
      </c>
      <c r="H355" s="18"/>
      <c r="I355" s="18" t="s">
        <v>137</v>
      </c>
      <c r="J355" s="18" t="s">
        <v>1439</v>
      </c>
      <c r="K355" s="20">
        <v>40</v>
      </c>
      <c r="L355" s="51">
        <f t="shared" si="29"/>
        <v>7.1999999999999993</v>
      </c>
      <c r="M355" s="52">
        <f t="shared" si="30"/>
        <v>47.2</v>
      </c>
    </row>
    <row r="356" spans="1:13" x14ac:dyDescent="0.2">
      <c r="A356" s="18">
        <f t="shared" si="28"/>
        <v>353</v>
      </c>
      <c r="B356" s="18" t="s">
        <v>1383</v>
      </c>
      <c r="C356" s="18" t="s">
        <v>2304</v>
      </c>
      <c r="D356" s="19">
        <v>43812</v>
      </c>
      <c r="E356" s="18">
        <v>1</v>
      </c>
      <c r="F356" s="18">
        <v>1339</v>
      </c>
      <c r="G356" s="18">
        <v>10068062948</v>
      </c>
      <c r="H356" s="18"/>
      <c r="I356" s="18" t="s">
        <v>137</v>
      </c>
      <c r="J356" s="18" t="s">
        <v>1439</v>
      </c>
      <c r="K356" s="20">
        <v>16.95</v>
      </c>
      <c r="L356" s="51">
        <f t="shared" si="29"/>
        <v>3.0509999999999997</v>
      </c>
      <c r="M356" s="52">
        <f t="shared" si="30"/>
        <v>20.000999999999998</v>
      </c>
    </row>
    <row r="357" spans="1:13" x14ac:dyDescent="0.2">
      <c r="A357" s="18">
        <f t="shared" si="28"/>
        <v>354</v>
      </c>
      <c r="B357" s="18" t="s">
        <v>2305</v>
      </c>
      <c r="C357" s="18" t="s">
        <v>1016</v>
      </c>
      <c r="D357" s="19">
        <v>43812</v>
      </c>
      <c r="E357" s="18">
        <v>1</v>
      </c>
      <c r="F357" s="18">
        <v>6907</v>
      </c>
      <c r="G357" s="18">
        <v>10106761596</v>
      </c>
      <c r="H357" s="18"/>
      <c r="I357" s="18" t="s">
        <v>137</v>
      </c>
      <c r="J357" s="18" t="s">
        <v>2487</v>
      </c>
      <c r="K357" s="20">
        <v>42.37</v>
      </c>
      <c r="L357" s="51">
        <f t="shared" si="29"/>
        <v>7.6265999999999989</v>
      </c>
      <c r="M357" s="52">
        <f t="shared" si="30"/>
        <v>49.996599999999994</v>
      </c>
    </row>
    <row r="358" spans="1:13" x14ac:dyDescent="0.2">
      <c r="A358" s="18">
        <f t="shared" si="28"/>
        <v>355</v>
      </c>
      <c r="B358" s="18" t="s">
        <v>1373</v>
      </c>
      <c r="C358" s="18" t="s">
        <v>1443</v>
      </c>
      <c r="D358" s="19">
        <v>43812</v>
      </c>
      <c r="E358" s="18">
        <v>1</v>
      </c>
      <c r="F358" s="18">
        <v>737</v>
      </c>
      <c r="G358" s="18">
        <v>20600639634</v>
      </c>
      <c r="H358" s="18"/>
      <c r="I358" s="18" t="s">
        <v>137</v>
      </c>
      <c r="J358" s="18" t="s">
        <v>738</v>
      </c>
      <c r="K358" s="20">
        <v>10</v>
      </c>
      <c r="L358" s="51">
        <f t="shared" si="29"/>
        <v>1.7999999999999998</v>
      </c>
      <c r="M358" s="52">
        <f t="shared" si="30"/>
        <v>11.8</v>
      </c>
    </row>
    <row r="359" spans="1:13" x14ac:dyDescent="0.2">
      <c r="A359" s="18">
        <f t="shared" si="28"/>
        <v>356</v>
      </c>
      <c r="B359" s="18" t="s">
        <v>1379</v>
      </c>
      <c r="C359" s="18" t="s">
        <v>1458</v>
      </c>
      <c r="D359" s="19">
        <v>43812</v>
      </c>
      <c r="E359" s="18">
        <v>1</v>
      </c>
      <c r="F359" s="18">
        <v>1337</v>
      </c>
      <c r="G359" s="18">
        <v>10068062948</v>
      </c>
      <c r="H359" s="18"/>
      <c r="I359" s="18" t="s">
        <v>137</v>
      </c>
      <c r="J359" s="18" t="s">
        <v>1439</v>
      </c>
      <c r="K359" s="20">
        <v>10</v>
      </c>
      <c r="L359" s="51">
        <f t="shared" si="29"/>
        <v>1.7999999999999998</v>
      </c>
      <c r="M359" s="52">
        <f t="shared" si="30"/>
        <v>11.8</v>
      </c>
    </row>
    <row r="360" spans="1:13" x14ac:dyDescent="0.2">
      <c r="A360" s="18">
        <f t="shared" si="28"/>
        <v>357</v>
      </c>
      <c r="B360" s="18" t="s">
        <v>1354</v>
      </c>
      <c r="C360" s="18" t="s">
        <v>1727</v>
      </c>
      <c r="D360" s="19">
        <v>43809</v>
      </c>
      <c r="E360" s="18">
        <v>1</v>
      </c>
      <c r="F360" s="18">
        <v>3500</v>
      </c>
      <c r="G360" s="18">
        <v>10415950999</v>
      </c>
      <c r="H360" s="18">
        <v>13136</v>
      </c>
      <c r="I360" s="18" t="s">
        <v>137</v>
      </c>
      <c r="J360" s="18" t="s">
        <v>2488</v>
      </c>
      <c r="K360" s="20">
        <v>42.37</v>
      </c>
      <c r="L360" s="51">
        <f t="shared" si="29"/>
        <v>7.6265999999999989</v>
      </c>
      <c r="M360" s="52">
        <f t="shared" si="30"/>
        <v>49.996599999999994</v>
      </c>
    </row>
    <row r="361" spans="1:13" x14ac:dyDescent="0.2">
      <c r="A361" s="18">
        <f t="shared" si="28"/>
        <v>358</v>
      </c>
      <c r="B361" s="18" t="s">
        <v>2305</v>
      </c>
      <c r="C361" s="18" t="s">
        <v>1016</v>
      </c>
      <c r="D361" s="19">
        <v>43810</v>
      </c>
      <c r="E361" s="18" t="s">
        <v>200</v>
      </c>
      <c r="F361" s="18">
        <v>70205</v>
      </c>
      <c r="G361" s="18">
        <v>20493143612</v>
      </c>
      <c r="H361" s="18"/>
      <c r="I361" s="18" t="s">
        <v>137</v>
      </c>
      <c r="J361" s="18" t="s">
        <v>954</v>
      </c>
      <c r="K361" s="20">
        <v>42.37</v>
      </c>
      <c r="L361" s="51">
        <f t="shared" si="29"/>
        <v>7.6265999999999989</v>
      </c>
      <c r="M361" s="52">
        <f t="shared" si="30"/>
        <v>49.996599999999994</v>
      </c>
    </row>
    <row r="362" spans="1:13" x14ac:dyDescent="0.2">
      <c r="A362" s="18">
        <f t="shared" si="28"/>
        <v>359</v>
      </c>
      <c r="B362" s="18" t="s">
        <v>1375</v>
      </c>
      <c r="C362" s="18" t="s">
        <v>1459</v>
      </c>
      <c r="D362" s="19">
        <v>43815</v>
      </c>
      <c r="E362" s="18">
        <v>1</v>
      </c>
      <c r="F362" s="18">
        <v>7694</v>
      </c>
      <c r="G362" s="18">
        <v>10255738173</v>
      </c>
      <c r="H362" s="18"/>
      <c r="I362" s="18" t="s">
        <v>137</v>
      </c>
      <c r="J362" s="18" t="s">
        <v>1451</v>
      </c>
      <c r="K362" s="20">
        <v>152.55000000000001</v>
      </c>
      <c r="L362" s="51">
        <f t="shared" si="29"/>
        <v>27.459</v>
      </c>
      <c r="M362" s="52">
        <f t="shared" si="30"/>
        <v>180.00900000000001</v>
      </c>
    </row>
    <row r="363" spans="1:13" x14ac:dyDescent="0.2">
      <c r="A363" s="18">
        <f t="shared" si="28"/>
        <v>360</v>
      </c>
      <c r="B363" s="18" t="s">
        <v>1375</v>
      </c>
      <c r="C363" s="18" t="s">
        <v>1459</v>
      </c>
      <c r="D363" s="19">
        <v>43816</v>
      </c>
      <c r="E363" s="18">
        <v>1</v>
      </c>
      <c r="F363" s="18">
        <v>11097</v>
      </c>
      <c r="G363" s="18">
        <v>10061024650</v>
      </c>
      <c r="H363" s="18"/>
      <c r="I363" s="18" t="s">
        <v>137</v>
      </c>
      <c r="J363" s="18" t="s">
        <v>1599</v>
      </c>
      <c r="K363" s="20">
        <v>59.32</v>
      </c>
      <c r="L363" s="51">
        <f t="shared" si="29"/>
        <v>10.6776</v>
      </c>
      <c r="M363" s="52">
        <f t="shared" si="30"/>
        <v>69.997600000000006</v>
      </c>
    </row>
    <row r="364" spans="1:13" x14ac:dyDescent="0.2">
      <c r="A364" s="18">
        <f t="shared" si="28"/>
        <v>361</v>
      </c>
      <c r="B364" s="18" t="s">
        <v>1375</v>
      </c>
      <c r="C364" s="18" t="s">
        <v>1459</v>
      </c>
      <c r="D364" s="19">
        <v>43816</v>
      </c>
      <c r="E364" s="18" t="s">
        <v>201</v>
      </c>
      <c r="F364" s="18">
        <v>668</v>
      </c>
      <c r="G364" s="18">
        <v>10100087605</v>
      </c>
      <c r="H364" s="18"/>
      <c r="I364" s="18" t="s">
        <v>137</v>
      </c>
      <c r="J364" s="18" t="s">
        <v>944</v>
      </c>
      <c r="K364" s="20">
        <v>33.9</v>
      </c>
      <c r="L364" s="51">
        <f t="shared" si="29"/>
        <v>6.1019999999999994</v>
      </c>
      <c r="M364" s="52">
        <f t="shared" si="30"/>
        <v>40.001999999999995</v>
      </c>
    </row>
    <row r="365" spans="1:13" x14ac:dyDescent="0.2">
      <c r="A365" s="18">
        <f t="shared" si="28"/>
        <v>362</v>
      </c>
      <c r="B365" s="18" t="s">
        <v>1447</v>
      </c>
      <c r="C365" s="18" t="s">
        <v>965</v>
      </c>
      <c r="D365" s="19">
        <v>43815</v>
      </c>
      <c r="E365" s="18">
        <v>2</v>
      </c>
      <c r="F365" s="18">
        <v>778</v>
      </c>
      <c r="G365" s="18">
        <v>20525049028</v>
      </c>
      <c r="H365" s="18"/>
      <c r="I365" s="18" t="s">
        <v>137</v>
      </c>
      <c r="J365" s="18" t="s">
        <v>1671</v>
      </c>
      <c r="K365" s="20">
        <v>42.37</v>
      </c>
      <c r="L365" s="51">
        <f t="shared" si="29"/>
        <v>7.6265999999999989</v>
      </c>
      <c r="M365" s="52">
        <f t="shared" si="30"/>
        <v>49.996599999999994</v>
      </c>
    </row>
    <row r="366" spans="1:13" x14ac:dyDescent="0.2">
      <c r="A366" s="18">
        <f t="shared" si="28"/>
        <v>363</v>
      </c>
      <c r="B366" s="18" t="s">
        <v>1392</v>
      </c>
      <c r="C366" s="18" t="s">
        <v>2489</v>
      </c>
      <c r="D366" s="19">
        <v>43815</v>
      </c>
      <c r="E366" s="18">
        <v>1</v>
      </c>
      <c r="F366" s="18">
        <v>5220</v>
      </c>
      <c r="G366" s="18">
        <v>20544804236</v>
      </c>
      <c r="H366" s="18"/>
      <c r="I366" s="18" t="s">
        <v>137</v>
      </c>
      <c r="J366" s="18" t="s">
        <v>1423</v>
      </c>
      <c r="K366" s="20">
        <v>29.66</v>
      </c>
      <c r="L366" s="51">
        <f t="shared" si="29"/>
        <v>5.3388</v>
      </c>
      <c r="M366" s="52">
        <f t="shared" si="30"/>
        <v>34.998800000000003</v>
      </c>
    </row>
    <row r="367" spans="1:13" x14ac:dyDescent="0.2">
      <c r="A367" s="18">
        <f t="shared" si="28"/>
        <v>364</v>
      </c>
      <c r="B367" s="18" t="s">
        <v>1392</v>
      </c>
      <c r="C367" s="18" t="s">
        <v>2489</v>
      </c>
      <c r="D367" s="19">
        <v>43815</v>
      </c>
      <c r="E367" s="18">
        <v>1</v>
      </c>
      <c r="F367" s="18">
        <v>6220</v>
      </c>
      <c r="G367" s="18">
        <v>10481275518</v>
      </c>
      <c r="H367" s="18"/>
      <c r="I367" s="18" t="s">
        <v>137</v>
      </c>
      <c r="J367" s="18" t="s">
        <v>1451</v>
      </c>
      <c r="K367" s="20">
        <v>152.55000000000001</v>
      </c>
      <c r="L367" s="51">
        <f t="shared" si="29"/>
        <v>27.459</v>
      </c>
      <c r="M367" s="52">
        <f t="shared" si="30"/>
        <v>180.00900000000001</v>
      </c>
    </row>
    <row r="368" spans="1:13" x14ac:dyDescent="0.2">
      <c r="A368" s="18">
        <f t="shared" si="28"/>
        <v>365</v>
      </c>
      <c r="B368" s="18" t="s">
        <v>2016</v>
      </c>
      <c r="C368" s="18" t="s">
        <v>2017</v>
      </c>
      <c r="D368" s="19">
        <v>43820</v>
      </c>
      <c r="E368" s="18" t="s">
        <v>200</v>
      </c>
      <c r="F368" s="18">
        <v>2169</v>
      </c>
      <c r="G368" s="18">
        <v>20538521818</v>
      </c>
      <c r="H368" s="18"/>
      <c r="I368" s="18" t="s">
        <v>193</v>
      </c>
      <c r="J368" s="18" t="s">
        <v>2490</v>
      </c>
      <c r="K368" s="20">
        <v>10.17</v>
      </c>
      <c r="L368" s="51">
        <f t="shared" si="29"/>
        <v>1.8306</v>
      </c>
      <c r="M368" s="52">
        <f t="shared" si="30"/>
        <v>12.0006</v>
      </c>
    </row>
    <row r="369" spans="1:13" x14ac:dyDescent="0.2">
      <c r="A369" s="18">
        <f t="shared" si="28"/>
        <v>366</v>
      </c>
      <c r="B369" s="18" t="s">
        <v>2016</v>
      </c>
      <c r="C369" s="18" t="s">
        <v>2017</v>
      </c>
      <c r="D369" s="19">
        <v>43818</v>
      </c>
      <c r="E369" s="18" t="s">
        <v>200</v>
      </c>
      <c r="F369" s="18">
        <v>52424</v>
      </c>
      <c r="G369" s="18">
        <v>20493143612</v>
      </c>
      <c r="H369" s="18"/>
      <c r="I369" s="18" t="s">
        <v>137</v>
      </c>
      <c r="J369" s="18" t="s">
        <v>954</v>
      </c>
      <c r="K369" s="20">
        <v>42.37</v>
      </c>
      <c r="L369" s="51">
        <f t="shared" si="29"/>
        <v>7.6265999999999989</v>
      </c>
      <c r="M369" s="52">
        <f t="shared" si="30"/>
        <v>49.996599999999994</v>
      </c>
    </row>
    <row r="370" spans="1:13" x14ac:dyDescent="0.2">
      <c r="A370" s="18">
        <f t="shared" si="28"/>
        <v>367</v>
      </c>
      <c r="B370" s="18" t="s">
        <v>1367</v>
      </c>
      <c r="C370" s="18" t="s">
        <v>1430</v>
      </c>
      <c r="D370" s="19">
        <v>43811</v>
      </c>
      <c r="E370" s="18">
        <v>1</v>
      </c>
      <c r="F370" s="18">
        <v>5228</v>
      </c>
      <c r="G370" s="18">
        <v>20544804236</v>
      </c>
      <c r="H370" s="18"/>
      <c r="I370" s="18" t="s">
        <v>137</v>
      </c>
      <c r="J370" s="18" t="s">
        <v>1423</v>
      </c>
      <c r="K370" s="20">
        <v>29.66</v>
      </c>
      <c r="L370" s="51">
        <f t="shared" si="29"/>
        <v>5.3388</v>
      </c>
      <c r="M370" s="52">
        <f t="shared" si="30"/>
        <v>34.998800000000003</v>
      </c>
    </row>
    <row r="371" spans="1:13" x14ac:dyDescent="0.2">
      <c r="A371" s="18">
        <f t="shared" si="28"/>
        <v>368</v>
      </c>
      <c r="B371" s="18" t="s">
        <v>1367</v>
      </c>
      <c r="C371" s="18" t="s">
        <v>1430</v>
      </c>
      <c r="D371" s="19">
        <v>43816</v>
      </c>
      <c r="E371" s="18" t="s">
        <v>201</v>
      </c>
      <c r="F371" s="18">
        <v>671</v>
      </c>
      <c r="G371" s="18">
        <v>10100087605</v>
      </c>
      <c r="H371" s="18"/>
      <c r="I371" s="18" t="s">
        <v>137</v>
      </c>
      <c r="J371" s="18" t="s">
        <v>944</v>
      </c>
      <c r="K371" s="20">
        <v>33.9</v>
      </c>
      <c r="L371" s="51">
        <f t="shared" si="29"/>
        <v>6.1019999999999994</v>
      </c>
      <c r="M371" s="52">
        <f t="shared" si="30"/>
        <v>40.001999999999995</v>
      </c>
    </row>
    <row r="372" spans="1:13" x14ac:dyDescent="0.2">
      <c r="A372" s="18">
        <f t="shared" si="28"/>
        <v>369</v>
      </c>
      <c r="B372" s="18" t="s">
        <v>1937</v>
      </c>
      <c r="C372" s="18" t="s">
        <v>2491</v>
      </c>
      <c r="D372" s="19">
        <v>43817</v>
      </c>
      <c r="E372" s="18" t="s">
        <v>200</v>
      </c>
      <c r="F372" s="18">
        <v>70623</v>
      </c>
      <c r="G372" s="18">
        <v>20493143612</v>
      </c>
      <c r="H372" s="18"/>
      <c r="I372" s="18" t="s">
        <v>137</v>
      </c>
      <c r="J372" s="18" t="s">
        <v>954</v>
      </c>
      <c r="K372" s="20">
        <v>42.37</v>
      </c>
      <c r="L372" s="51">
        <f t="shared" si="29"/>
        <v>7.6265999999999989</v>
      </c>
      <c r="M372" s="52">
        <f t="shared" si="30"/>
        <v>49.996599999999994</v>
      </c>
    </row>
    <row r="373" spans="1:13" x14ac:dyDescent="0.2">
      <c r="A373" s="18">
        <f t="shared" si="28"/>
        <v>370</v>
      </c>
      <c r="B373" s="18" t="s">
        <v>1385</v>
      </c>
      <c r="C373" s="18" t="s">
        <v>1669</v>
      </c>
      <c r="D373" s="19">
        <v>43816</v>
      </c>
      <c r="E373" s="18" t="s">
        <v>201</v>
      </c>
      <c r="F373" s="18">
        <v>672</v>
      </c>
      <c r="G373" s="18">
        <v>10100087605</v>
      </c>
      <c r="H373" s="18"/>
      <c r="I373" s="18" t="s">
        <v>137</v>
      </c>
      <c r="J373" s="18" t="s">
        <v>944</v>
      </c>
      <c r="K373" s="20">
        <v>46.61</v>
      </c>
      <c r="L373" s="51">
        <f t="shared" si="29"/>
        <v>8.3897999999999993</v>
      </c>
      <c r="M373" s="52">
        <f t="shared" si="30"/>
        <v>54.9998</v>
      </c>
    </row>
    <row r="374" spans="1:13" x14ac:dyDescent="0.2">
      <c r="A374" s="18">
        <f t="shared" si="28"/>
        <v>371</v>
      </c>
      <c r="B374" s="18" t="s">
        <v>1937</v>
      </c>
      <c r="C374" s="18" t="s">
        <v>2491</v>
      </c>
      <c r="D374" s="19">
        <v>43816</v>
      </c>
      <c r="E374" s="18" t="s">
        <v>201</v>
      </c>
      <c r="F374" s="18">
        <v>670</v>
      </c>
      <c r="G374" s="18">
        <v>10100087605</v>
      </c>
      <c r="H374" s="18"/>
      <c r="I374" s="18" t="s">
        <v>137</v>
      </c>
      <c r="J374" s="18" t="s">
        <v>253</v>
      </c>
      <c r="K374" s="20">
        <v>16.95</v>
      </c>
      <c r="L374" s="51">
        <f t="shared" si="29"/>
        <v>3.0509999999999997</v>
      </c>
      <c r="M374" s="52">
        <f t="shared" si="30"/>
        <v>20.000999999999998</v>
      </c>
    </row>
    <row r="375" spans="1:13" x14ac:dyDescent="0.2">
      <c r="A375" s="18">
        <f t="shared" si="28"/>
        <v>372</v>
      </c>
      <c r="B375" s="18" t="s">
        <v>1385</v>
      </c>
      <c r="C375" s="18" t="s">
        <v>1669</v>
      </c>
      <c r="D375" s="19">
        <v>43817</v>
      </c>
      <c r="E375" s="18">
        <v>2</v>
      </c>
      <c r="F375" s="18">
        <v>16</v>
      </c>
      <c r="G375" s="18">
        <v>10322741231</v>
      </c>
      <c r="H375" s="18"/>
      <c r="I375" s="18" t="s">
        <v>193</v>
      </c>
      <c r="J375" s="18" t="s">
        <v>410</v>
      </c>
      <c r="K375" s="20">
        <v>59.32</v>
      </c>
      <c r="L375" s="51">
        <f t="shared" si="29"/>
        <v>10.6776</v>
      </c>
      <c r="M375" s="52">
        <f t="shared" si="30"/>
        <v>69.997600000000006</v>
      </c>
    </row>
    <row r="376" spans="1:13" x14ac:dyDescent="0.2">
      <c r="A376" s="18">
        <f t="shared" si="28"/>
        <v>373</v>
      </c>
      <c r="B376" s="18" t="s">
        <v>1385</v>
      </c>
      <c r="C376" s="18" t="s">
        <v>1669</v>
      </c>
      <c r="D376" s="19">
        <v>43817</v>
      </c>
      <c r="E376" s="18">
        <v>1</v>
      </c>
      <c r="F376" s="18">
        <v>5232</v>
      </c>
      <c r="G376" s="18">
        <v>20544804236</v>
      </c>
      <c r="H376" s="18"/>
      <c r="I376" s="18" t="s">
        <v>137</v>
      </c>
      <c r="J376" s="18" t="s">
        <v>1423</v>
      </c>
      <c r="K376" s="20">
        <v>29.66</v>
      </c>
      <c r="L376" s="51">
        <f t="shared" si="29"/>
        <v>5.3388</v>
      </c>
      <c r="M376" s="52">
        <f t="shared" si="30"/>
        <v>34.998800000000003</v>
      </c>
    </row>
    <row r="377" spans="1:13" x14ac:dyDescent="0.2">
      <c r="A377" s="18">
        <f t="shared" si="28"/>
        <v>374</v>
      </c>
      <c r="B377" s="18" t="s">
        <v>1968</v>
      </c>
      <c r="C377" s="18" t="s">
        <v>1253</v>
      </c>
      <c r="D377" s="19">
        <v>43819</v>
      </c>
      <c r="E377" s="18">
        <v>1</v>
      </c>
      <c r="F377" s="18">
        <v>11105</v>
      </c>
      <c r="G377" s="18">
        <v>10061024650</v>
      </c>
      <c r="H377" s="18"/>
      <c r="I377" s="18" t="s">
        <v>137</v>
      </c>
      <c r="J377" s="18" t="s">
        <v>1599</v>
      </c>
      <c r="K377" s="20">
        <v>67.8</v>
      </c>
      <c r="L377" s="51">
        <f t="shared" ref="L377:L431" si="31">+K377*18%</f>
        <v>12.203999999999999</v>
      </c>
      <c r="M377" s="52">
        <f t="shared" ref="M377:M431" si="32">+K377+L377</f>
        <v>80.003999999999991</v>
      </c>
    </row>
    <row r="378" spans="1:13" x14ac:dyDescent="0.2">
      <c r="A378" s="18">
        <f t="shared" si="28"/>
        <v>375</v>
      </c>
      <c r="B378" s="18" t="s">
        <v>1968</v>
      </c>
      <c r="C378" s="18" t="s">
        <v>1253</v>
      </c>
      <c r="D378" s="19">
        <v>43819</v>
      </c>
      <c r="E378" s="18" t="s">
        <v>201</v>
      </c>
      <c r="F378" s="18">
        <v>679</v>
      </c>
      <c r="G378" s="18">
        <v>10100087605</v>
      </c>
      <c r="H378" s="18"/>
      <c r="I378" s="18" t="s">
        <v>137</v>
      </c>
      <c r="J378" s="18" t="s">
        <v>2492</v>
      </c>
      <c r="K378" s="20">
        <v>33.9</v>
      </c>
      <c r="L378" s="51">
        <f t="shared" si="31"/>
        <v>6.1019999999999994</v>
      </c>
      <c r="M378" s="52">
        <f t="shared" si="32"/>
        <v>40.001999999999995</v>
      </c>
    </row>
    <row r="379" spans="1:13" x14ac:dyDescent="0.2">
      <c r="A379" s="18">
        <f t="shared" si="28"/>
        <v>376</v>
      </c>
      <c r="B379" s="18" t="s">
        <v>2016</v>
      </c>
      <c r="C379" s="18" t="s">
        <v>2017</v>
      </c>
      <c r="D379" s="19">
        <v>43818</v>
      </c>
      <c r="E379" s="18" t="s">
        <v>201</v>
      </c>
      <c r="F379" s="18">
        <v>676</v>
      </c>
      <c r="G379" s="18">
        <v>10100087605</v>
      </c>
      <c r="H379" s="18"/>
      <c r="I379" s="18" t="s">
        <v>137</v>
      </c>
      <c r="J379" s="18" t="s">
        <v>2492</v>
      </c>
      <c r="K379" s="20">
        <v>33.9</v>
      </c>
      <c r="L379" s="51">
        <f t="shared" si="31"/>
        <v>6.1019999999999994</v>
      </c>
      <c r="M379" s="52">
        <f t="shared" si="32"/>
        <v>40.001999999999995</v>
      </c>
    </row>
    <row r="380" spans="1:13" x14ac:dyDescent="0.2">
      <c r="A380" s="18">
        <f t="shared" si="28"/>
        <v>377</v>
      </c>
      <c r="B380" s="18" t="s">
        <v>2016</v>
      </c>
      <c r="C380" s="18" t="s">
        <v>2017</v>
      </c>
      <c r="D380" s="19">
        <v>43818</v>
      </c>
      <c r="E380" s="18">
        <v>1</v>
      </c>
      <c r="F380" s="18">
        <v>5238</v>
      </c>
      <c r="G380" s="18">
        <v>20544804236</v>
      </c>
      <c r="H380" s="18"/>
      <c r="I380" s="18" t="s">
        <v>137</v>
      </c>
      <c r="J380" s="18" t="s">
        <v>2482</v>
      </c>
      <c r="K380" s="20">
        <v>29.66</v>
      </c>
      <c r="L380" s="51">
        <f t="shared" si="31"/>
        <v>5.3388</v>
      </c>
      <c r="M380" s="52">
        <f t="shared" si="32"/>
        <v>34.998800000000003</v>
      </c>
    </row>
    <row r="381" spans="1:13" x14ac:dyDescent="0.2">
      <c r="A381" s="18">
        <f t="shared" si="28"/>
        <v>378</v>
      </c>
      <c r="B381" s="18" t="s">
        <v>2016</v>
      </c>
      <c r="C381" s="18" t="s">
        <v>2017</v>
      </c>
      <c r="D381" s="19">
        <v>43819</v>
      </c>
      <c r="E381" s="18">
        <v>2</v>
      </c>
      <c r="F381" s="18">
        <v>800</v>
      </c>
      <c r="G381" s="18">
        <v>20525049028</v>
      </c>
      <c r="H381" s="18"/>
      <c r="I381" s="18" t="s">
        <v>137</v>
      </c>
      <c r="J381" s="18" t="s">
        <v>1671</v>
      </c>
      <c r="K381" s="20">
        <v>38.14</v>
      </c>
      <c r="L381" s="51">
        <f t="shared" si="31"/>
        <v>6.8651999999999997</v>
      </c>
      <c r="M381" s="52">
        <f t="shared" si="32"/>
        <v>45.005200000000002</v>
      </c>
    </row>
    <row r="382" spans="1:13" x14ac:dyDescent="0.2">
      <c r="A382" s="18">
        <f t="shared" si="28"/>
        <v>379</v>
      </c>
      <c r="B382" s="18" t="s">
        <v>2016</v>
      </c>
      <c r="C382" s="18" t="s">
        <v>2017</v>
      </c>
      <c r="D382" s="19">
        <v>43818</v>
      </c>
      <c r="E382" s="18">
        <v>1</v>
      </c>
      <c r="F382" s="18">
        <v>3641</v>
      </c>
      <c r="G382" s="18">
        <v>20602512101</v>
      </c>
      <c r="H382" s="18"/>
      <c r="I382" s="18" t="s">
        <v>137</v>
      </c>
      <c r="J382" s="18" t="s">
        <v>1451</v>
      </c>
      <c r="K382" s="20">
        <v>152.54</v>
      </c>
      <c r="L382" s="51">
        <f t="shared" si="31"/>
        <v>27.457199999999997</v>
      </c>
      <c r="M382" s="52">
        <f t="shared" si="32"/>
        <v>179.99719999999999</v>
      </c>
    </row>
    <row r="383" spans="1:13" x14ac:dyDescent="0.2">
      <c r="A383" s="18">
        <f t="shared" si="28"/>
        <v>380</v>
      </c>
      <c r="B383" s="18" t="s">
        <v>2005</v>
      </c>
      <c r="C383" s="18" t="s">
        <v>1669</v>
      </c>
      <c r="D383" s="19">
        <v>43819</v>
      </c>
      <c r="E383" s="18">
        <v>1</v>
      </c>
      <c r="F383" s="18">
        <v>2596</v>
      </c>
      <c r="G383" s="18">
        <v>10078408290</v>
      </c>
      <c r="H383" s="18"/>
      <c r="I383" s="18" t="s">
        <v>193</v>
      </c>
      <c r="J383" s="18" t="s">
        <v>2474</v>
      </c>
      <c r="K383" s="20">
        <v>76.27</v>
      </c>
      <c r="L383" s="51">
        <f t="shared" si="31"/>
        <v>13.728599999999998</v>
      </c>
      <c r="M383" s="52">
        <f t="shared" si="32"/>
        <v>89.998599999999996</v>
      </c>
    </row>
    <row r="384" spans="1:13" x14ac:dyDescent="0.2">
      <c r="A384" s="18">
        <f t="shared" si="28"/>
        <v>381</v>
      </c>
      <c r="B384" s="18" t="s">
        <v>2005</v>
      </c>
      <c r="C384" s="18" t="s">
        <v>1669</v>
      </c>
      <c r="D384" s="19">
        <v>43818</v>
      </c>
      <c r="E384" s="18">
        <v>2</v>
      </c>
      <c r="F384" s="18">
        <v>17</v>
      </c>
      <c r="G384" s="18">
        <v>10322741231</v>
      </c>
      <c r="H384" s="18"/>
      <c r="I384" s="18" t="s">
        <v>193</v>
      </c>
      <c r="J384" s="18" t="s">
        <v>410</v>
      </c>
      <c r="K384" s="20">
        <v>38.14</v>
      </c>
      <c r="L384" s="51">
        <f t="shared" si="31"/>
        <v>6.8651999999999997</v>
      </c>
      <c r="M384" s="52">
        <f t="shared" si="32"/>
        <v>45.005200000000002</v>
      </c>
    </row>
    <row r="385" spans="1:13" x14ac:dyDescent="0.2">
      <c r="A385" s="18">
        <f t="shared" si="28"/>
        <v>382</v>
      </c>
      <c r="B385" s="18" t="s">
        <v>2005</v>
      </c>
      <c r="C385" s="18" t="s">
        <v>1669</v>
      </c>
      <c r="D385" s="19">
        <v>43819</v>
      </c>
      <c r="E385" s="18">
        <v>4</v>
      </c>
      <c r="F385" s="18">
        <v>3930</v>
      </c>
      <c r="G385" s="18">
        <v>10068060775</v>
      </c>
      <c r="H385" s="18"/>
      <c r="I385" s="18" t="s">
        <v>137</v>
      </c>
      <c r="J385" s="18" t="s">
        <v>2493</v>
      </c>
      <c r="K385" s="20">
        <v>10.17</v>
      </c>
      <c r="L385" s="51">
        <f t="shared" si="31"/>
        <v>1.8306</v>
      </c>
      <c r="M385" s="52">
        <f t="shared" si="32"/>
        <v>12.0006</v>
      </c>
    </row>
    <row r="386" spans="1:13" x14ac:dyDescent="0.2">
      <c r="A386" s="18">
        <f t="shared" si="28"/>
        <v>383</v>
      </c>
      <c r="B386" s="18" t="s">
        <v>2005</v>
      </c>
      <c r="C386" s="18" t="s">
        <v>1669</v>
      </c>
      <c r="D386" s="19">
        <v>43818</v>
      </c>
      <c r="E386" s="18" t="s">
        <v>979</v>
      </c>
      <c r="F386" s="18">
        <v>65</v>
      </c>
      <c r="G386" s="18">
        <v>20603753896</v>
      </c>
      <c r="H386" s="18"/>
      <c r="I386" s="18" t="s">
        <v>137</v>
      </c>
      <c r="J386" s="18" t="s">
        <v>2493</v>
      </c>
      <c r="K386" s="20">
        <v>15.25</v>
      </c>
      <c r="L386" s="51">
        <f t="shared" si="31"/>
        <v>2.7450000000000001</v>
      </c>
      <c r="M386" s="52">
        <f t="shared" si="32"/>
        <v>17.995000000000001</v>
      </c>
    </row>
    <row r="387" spans="1:13" x14ac:dyDescent="0.2">
      <c r="A387" s="18">
        <f t="shared" si="28"/>
        <v>384</v>
      </c>
      <c r="B387" s="18" t="s">
        <v>1447</v>
      </c>
      <c r="C387" s="18" t="s">
        <v>965</v>
      </c>
      <c r="D387" s="19">
        <v>43818</v>
      </c>
      <c r="E387" s="18">
        <v>1</v>
      </c>
      <c r="F387" s="18">
        <v>6356</v>
      </c>
      <c r="G387" s="18">
        <v>10470900020</v>
      </c>
      <c r="H387" s="18"/>
      <c r="I387" s="18" t="s">
        <v>193</v>
      </c>
      <c r="J387" s="18" t="s">
        <v>2494</v>
      </c>
      <c r="K387" s="20">
        <v>50.84</v>
      </c>
      <c r="L387" s="51">
        <f t="shared" si="31"/>
        <v>9.1512000000000011</v>
      </c>
      <c r="M387" s="52">
        <f t="shared" si="32"/>
        <v>59.991200000000006</v>
      </c>
    </row>
    <row r="388" spans="1:13" x14ac:dyDescent="0.2">
      <c r="A388" s="18">
        <f t="shared" si="28"/>
        <v>385</v>
      </c>
      <c r="B388" s="18" t="s">
        <v>1390</v>
      </c>
      <c r="C388" s="18" t="s">
        <v>2495</v>
      </c>
      <c r="D388" s="19">
        <v>43819</v>
      </c>
      <c r="E388" s="18" t="s">
        <v>200</v>
      </c>
      <c r="F388" s="18">
        <v>70802</v>
      </c>
      <c r="G388" s="18">
        <v>20493143612</v>
      </c>
      <c r="H388" s="18"/>
      <c r="I388" s="18" t="s">
        <v>137</v>
      </c>
      <c r="J388" s="18" t="s">
        <v>954</v>
      </c>
      <c r="K388" s="20">
        <v>42.37</v>
      </c>
      <c r="L388" s="51">
        <f t="shared" si="31"/>
        <v>7.6265999999999989</v>
      </c>
      <c r="M388" s="52">
        <f t="shared" si="32"/>
        <v>49.996599999999994</v>
      </c>
    </row>
    <row r="389" spans="1:13" x14ac:dyDescent="0.2">
      <c r="A389" s="18">
        <f t="shared" si="28"/>
        <v>386</v>
      </c>
      <c r="B389" s="18" t="s">
        <v>1385</v>
      </c>
      <c r="C389" s="18" t="s">
        <v>1669</v>
      </c>
      <c r="D389" s="19">
        <v>43817</v>
      </c>
      <c r="E389" s="18" t="s">
        <v>200</v>
      </c>
      <c r="F389" s="18">
        <v>70620</v>
      </c>
      <c r="G389" s="18">
        <v>20493143612</v>
      </c>
      <c r="H389" s="18"/>
      <c r="I389" s="18" t="s">
        <v>137</v>
      </c>
      <c r="J389" s="18" t="s">
        <v>954</v>
      </c>
      <c r="K389" s="20">
        <v>42.37</v>
      </c>
      <c r="L389" s="51">
        <f t="shared" si="31"/>
        <v>7.6265999999999989</v>
      </c>
      <c r="M389" s="52">
        <f t="shared" si="32"/>
        <v>49.996599999999994</v>
      </c>
    </row>
    <row r="390" spans="1:13" x14ac:dyDescent="0.2">
      <c r="A390" s="18">
        <f t="shared" ref="A390:A415" si="33">+A389+1</f>
        <v>387</v>
      </c>
      <c r="B390" s="18" t="s">
        <v>1665</v>
      </c>
      <c r="C390" s="18" t="s">
        <v>1666</v>
      </c>
      <c r="D390" s="19">
        <v>43805</v>
      </c>
      <c r="E390" s="18">
        <v>1</v>
      </c>
      <c r="F390" s="18">
        <v>9465</v>
      </c>
      <c r="G390" s="18">
        <v>10074442515</v>
      </c>
      <c r="H390" s="18"/>
      <c r="I390" s="18" t="s">
        <v>137</v>
      </c>
      <c r="J390" s="18" t="s">
        <v>2019</v>
      </c>
      <c r="K390" s="20">
        <v>50</v>
      </c>
      <c r="L390" s="51">
        <f t="shared" si="31"/>
        <v>9</v>
      </c>
      <c r="M390" s="52">
        <f t="shared" si="32"/>
        <v>59</v>
      </c>
    </row>
    <row r="391" spans="1:13" x14ac:dyDescent="0.2">
      <c r="A391" s="18">
        <f t="shared" si="33"/>
        <v>388</v>
      </c>
      <c r="B391" s="18" t="s">
        <v>1392</v>
      </c>
      <c r="C391" s="18" t="s">
        <v>2489</v>
      </c>
      <c r="D391" s="19">
        <v>43819</v>
      </c>
      <c r="E391" s="18">
        <v>1</v>
      </c>
      <c r="F391" s="18">
        <v>1345</v>
      </c>
      <c r="G391" s="18">
        <v>10068062948</v>
      </c>
      <c r="H391" s="18"/>
      <c r="I391" s="18" t="s">
        <v>137</v>
      </c>
      <c r="J391" s="18" t="s">
        <v>1439</v>
      </c>
      <c r="K391" s="20">
        <v>15</v>
      </c>
      <c r="L391" s="51">
        <f t="shared" si="31"/>
        <v>2.6999999999999997</v>
      </c>
      <c r="M391" s="52">
        <f t="shared" si="32"/>
        <v>17.7</v>
      </c>
    </row>
    <row r="392" spans="1:13" x14ac:dyDescent="0.2">
      <c r="A392" s="18">
        <f t="shared" si="33"/>
        <v>389</v>
      </c>
      <c r="B392" s="18" t="s">
        <v>1385</v>
      </c>
      <c r="C392" s="18" t="s">
        <v>1669</v>
      </c>
      <c r="D392" s="19">
        <v>43822</v>
      </c>
      <c r="E392" s="18">
        <v>1</v>
      </c>
      <c r="F392" s="18">
        <v>1351</v>
      </c>
      <c r="G392" s="18">
        <v>10068062948</v>
      </c>
      <c r="H392" s="18"/>
      <c r="I392" s="18" t="s">
        <v>137</v>
      </c>
      <c r="J392" s="18" t="s">
        <v>1439</v>
      </c>
      <c r="K392" s="20">
        <v>15</v>
      </c>
      <c r="L392" s="51">
        <f t="shared" si="31"/>
        <v>2.6999999999999997</v>
      </c>
      <c r="M392" s="52">
        <f t="shared" si="32"/>
        <v>17.7</v>
      </c>
    </row>
    <row r="393" spans="1:13" x14ac:dyDescent="0.2">
      <c r="A393" s="18">
        <f t="shared" si="33"/>
        <v>390</v>
      </c>
      <c r="B393" s="18" t="s">
        <v>1385</v>
      </c>
      <c r="C393" s="18" t="s">
        <v>1669</v>
      </c>
      <c r="D393" s="19">
        <v>43822</v>
      </c>
      <c r="E393" s="18">
        <v>1</v>
      </c>
      <c r="F393" s="18">
        <v>743</v>
      </c>
      <c r="G393" s="18">
        <v>20600639634</v>
      </c>
      <c r="H393" s="18"/>
      <c r="I393" s="18" t="s">
        <v>137</v>
      </c>
      <c r="J393" s="18" t="s">
        <v>2496</v>
      </c>
      <c r="K393" s="20">
        <v>20</v>
      </c>
      <c r="L393" s="51">
        <f t="shared" si="31"/>
        <v>3.5999999999999996</v>
      </c>
      <c r="M393" s="52">
        <f t="shared" si="32"/>
        <v>23.6</v>
      </c>
    </row>
    <row r="394" spans="1:13" x14ac:dyDescent="0.2">
      <c r="A394" s="18">
        <f t="shared" si="33"/>
        <v>391</v>
      </c>
      <c r="B394" s="18" t="s">
        <v>1937</v>
      </c>
      <c r="C394" s="18" t="s">
        <v>2491</v>
      </c>
      <c r="D394" s="19">
        <v>43822</v>
      </c>
      <c r="E394" s="18">
        <v>1</v>
      </c>
      <c r="F394" s="18">
        <v>1350</v>
      </c>
      <c r="G394" s="18">
        <v>10068062948</v>
      </c>
      <c r="H394" s="18"/>
      <c r="I394" s="18" t="s">
        <v>137</v>
      </c>
      <c r="J394" s="18" t="s">
        <v>1439</v>
      </c>
      <c r="K394" s="20">
        <v>15</v>
      </c>
      <c r="L394" s="51">
        <f t="shared" si="31"/>
        <v>2.6999999999999997</v>
      </c>
      <c r="M394" s="52">
        <f t="shared" si="32"/>
        <v>17.7</v>
      </c>
    </row>
    <row r="395" spans="1:13" x14ac:dyDescent="0.2">
      <c r="A395" s="18">
        <f t="shared" si="33"/>
        <v>392</v>
      </c>
      <c r="B395" s="18" t="s">
        <v>1937</v>
      </c>
      <c r="C395" s="18" t="s">
        <v>2491</v>
      </c>
      <c r="D395" s="19">
        <v>43822</v>
      </c>
      <c r="E395" s="18">
        <v>1</v>
      </c>
      <c r="F395" s="18">
        <v>1349</v>
      </c>
      <c r="G395" s="18">
        <v>10068062948</v>
      </c>
      <c r="H395" s="18"/>
      <c r="I395" s="18" t="s">
        <v>137</v>
      </c>
      <c r="J395" s="18" t="s">
        <v>2497</v>
      </c>
      <c r="K395" s="20">
        <v>15</v>
      </c>
      <c r="L395" s="51">
        <f t="shared" si="31"/>
        <v>2.6999999999999997</v>
      </c>
      <c r="M395" s="52">
        <f t="shared" si="32"/>
        <v>17.7</v>
      </c>
    </row>
    <row r="396" spans="1:13" x14ac:dyDescent="0.2">
      <c r="A396" s="18">
        <f t="shared" si="33"/>
        <v>393</v>
      </c>
      <c r="B396" s="18" t="s">
        <v>1394</v>
      </c>
      <c r="C396" s="18" t="s">
        <v>1461</v>
      </c>
      <c r="D396" s="19">
        <v>43830</v>
      </c>
      <c r="E396" s="18">
        <v>1</v>
      </c>
      <c r="F396" s="18">
        <v>9113</v>
      </c>
      <c r="G396" s="18">
        <v>10089246135</v>
      </c>
      <c r="H396" s="18"/>
      <c r="I396" s="18" t="s">
        <v>193</v>
      </c>
      <c r="J396" s="18" t="s">
        <v>2498</v>
      </c>
      <c r="K396" s="20">
        <v>8.4700000000000006</v>
      </c>
      <c r="L396" s="51">
        <f t="shared" si="31"/>
        <v>1.5246</v>
      </c>
      <c r="M396" s="52">
        <f t="shared" si="32"/>
        <v>9.9946000000000002</v>
      </c>
    </row>
    <row r="397" spans="1:13" x14ac:dyDescent="0.2">
      <c r="A397" s="18">
        <f t="shared" si="33"/>
        <v>394</v>
      </c>
      <c r="B397" s="18" t="s">
        <v>1394</v>
      </c>
      <c r="C397" s="18" t="s">
        <v>1461</v>
      </c>
      <c r="D397" s="19">
        <v>43829</v>
      </c>
      <c r="E397" s="18">
        <v>1</v>
      </c>
      <c r="F397" s="18">
        <v>11113</v>
      </c>
      <c r="G397" s="18">
        <v>10061024650</v>
      </c>
      <c r="H397" s="18"/>
      <c r="I397" s="18" t="s">
        <v>137</v>
      </c>
      <c r="J397" s="18" t="s">
        <v>1599</v>
      </c>
      <c r="K397" s="20">
        <v>50.85</v>
      </c>
      <c r="L397" s="51">
        <f t="shared" si="31"/>
        <v>9.1530000000000005</v>
      </c>
      <c r="M397" s="52">
        <f t="shared" si="32"/>
        <v>60.003</v>
      </c>
    </row>
    <row r="398" spans="1:13" x14ac:dyDescent="0.2">
      <c r="A398" s="18">
        <f t="shared" si="33"/>
        <v>395</v>
      </c>
      <c r="B398" s="18" t="s">
        <v>2005</v>
      </c>
      <c r="C398" s="18" t="s">
        <v>1669</v>
      </c>
      <c r="D398" s="19">
        <v>43827</v>
      </c>
      <c r="E398" s="18">
        <v>1</v>
      </c>
      <c r="F398" s="18">
        <v>389</v>
      </c>
      <c r="G398" s="18">
        <v>10083319891</v>
      </c>
      <c r="H398" s="18"/>
      <c r="I398" s="18" t="s">
        <v>137</v>
      </c>
      <c r="J398" s="18" t="s">
        <v>2499</v>
      </c>
      <c r="K398" s="20">
        <v>42.37</v>
      </c>
      <c r="L398" s="51">
        <f t="shared" si="31"/>
        <v>7.6265999999999989</v>
      </c>
      <c r="M398" s="52">
        <f t="shared" si="32"/>
        <v>49.996599999999994</v>
      </c>
    </row>
    <row r="399" spans="1:13" x14ac:dyDescent="0.2">
      <c r="A399" s="18">
        <f t="shared" si="33"/>
        <v>396</v>
      </c>
      <c r="B399" s="18" t="s">
        <v>1394</v>
      </c>
      <c r="C399" s="18" t="s">
        <v>1461</v>
      </c>
      <c r="D399" s="19">
        <v>43829</v>
      </c>
      <c r="E399" s="18">
        <v>1</v>
      </c>
      <c r="F399" s="18">
        <v>5255</v>
      </c>
      <c r="G399" s="18">
        <v>20544804236</v>
      </c>
      <c r="H399" s="18"/>
      <c r="I399" s="18" t="s">
        <v>137</v>
      </c>
      <c r="J399" s="18" t="s">
        <v>1423</v>
      </c>
      <c r="K399" s="20">
        <v>29.66</v>
      </c>
      <c r="L399" s="51">
        <f t="shared" si="31"/>
        <v>5.3388</v>
      </c>
      <c r="M399" s="52">
        <f t="shared" si="32"/>
        <v>34.998800000000003</v>
      </c>
    </row>
    <row r="400" spans="1:13" x14ac:dyDescent="0.2">
      <c r="A400" s="18">
        <f t="shared" si="33"/>
        <v>397</v>
      </c>
      <c r="B400" s="18" t="s">
        <v>1394</v>
      </c>
      <c r="C400" s="18" t="s">
        <v>1461</v>
      </c>
      <c r="D400" s="19">
        <v>43827</v>
      </c>
      <c r="E400" s="18" t="s">
        <v>2500</v>
      </c>
      <c r="F400" s="18">
        <v>94</v>
      </c>
      <c r="G400" s="18">
        <v>20603753896</v>
      </c>
      <c r="H400" s="18"/>
      <c r="I400" s="18" t="s">
        <v>137</v>
      </c>
      <c r="J400" s="18" t="s">
        <v>2501</v>
      </c>
      <c r="K400" s="20">
        <v>59.32</v>
      </c>
      <c r="L400" s="51">
        <f t="shared" si="31"/>
        <v>10.6776</v>
      </c>
      <c r="M400" s="52">
        <f t="shared" si="32"/>
        <v>69.997600000000006</v>
      </c>
    </row>
    <row r="401" spans="1:13" x14ac:dyDescent="0.2">
      <c r="A401" s="18">
        <f t="shared" si="33"/>
        <v>398</v>
      </c>
      <c r="B401" s="18" t="s">
        <v>1394</v>
      </c>
      <c r="C401" s="18" t="s">
        <v>1461</v>
      </c>
      <c r="D401" s="19">
        <v>43827</v>
      </c>
      <c r="E401" s="18">
        <v>2</v>
      </c>
      <c r="F401" s="18">
        <v>106</v>
      </c>
      <c r="G401" s="18">
        <v>10769872561</v>
      </c>
      <c r="H401" s="18"/>
      <c r="I401" s="18" t="s">
        <v>193</v>
      </c>
      <c r="J401" s="18" t="s">
        <v>2502</v>
      </c>
      <c r="K401" s="20">
        <v>29.66</v>
      </c>
      <c r="L401" s="51">
        <f t="shared" si="31"/>
        <v>5.3388</v>
      </c>
      <c r="M401" s="52">
        <f t="shared" si="32"/>
        <v>34.998800000000003</v>
      </c>
    </row>
    <row r="402" spans="1:13" x14ac:dyDescent="0.2">
      <c r="A402" s="18">
        <f t="shared" si="33"/>
        <v>399</v>
      </c>
      <c r="B402" s="18" t="s">
        <v>1991</v>
      </c>
      <c r="C402" s="18" t="s">
        <v>2373</v>
      </c>
      <c r="D402" s="19">
        <v>43826</v>
      </c>
      <c r="E402" s="18">
        <v>3</v>
      </c>
      <c r="F402" s="18">
        <v>605</v>
      </c>
      <c r="G402" s="18">
        <v>20547168349</v>
      </c>
      <c r="H402" s="18"/>
      <c r="I402" s="18" t="s">
        <v>137</v>
      </c>
      <c r="J402" s="18" t="s">
        <v>2503</v>
      </c>
      <c r="K402" s="20">
        <v>169.49</v>
      </c>
      <c r="L402" s="51">
        <f t="shared" si="31"/>
        <v>30.508200000000002</v>
      </c>
      <c r="M402" s="52">
        <f t="shared" si="32"/>
        <v>199.9982</v>
      </c>
    </row>
    <row r="403" spans="1:13" x14ac:dyDescent="0.2">
      <c r="A403" s="18">
        <f t="shared" si="33"/>
        <v>400</v>
      </c>
      <c r="B403" s="18" t="s">
        <v>1390</v>
      </c>
      <c r="C403" s="18" t="s">
        <v>2495</v>
      </c>
      <c r="D403" s="19">
        <v>43826</v>
      </c>
      <c r="E403" s="18">
        <v>1</v>
      </c>
      <c r="F403" s="18">
        <v>3654</v>
      </c>
      <c r="G403" s="18">
        <v>20602512101</v>
      </c>
      <c r="H403" s="18"/>
      <c r="I403" s="18" t="s">
        <v>137</v>
      </c>
      <c r="J403" s="18" t="s">
        <v>1451</v>
      </c>
      <c r="K403" s="20">
        <v>152.54</v>
      </c>
      <c r="L403" s="51">
        <f t="shared" si="31"/>
        <v>27.457199999999997</v>
      </c>
      <c r="M403" s="52">
        <f t="shared" si="32"/>
        <v>179.99719999999999</v>
      </c>
    </row>
    <row r="404" spans="1:13" x14ac:dyDescent="0.2">
      <c r="A404" s="18">
        <f t="shared" si="33"/>
        <v>401</v>
      </c>
      <c r="B404" s="18" t="s">
        <v>1390</v>
      </c>
      <c r="C404" s="18" t="s">
        <v>2495</v>
      </c>
      <c r="D404" s="19">
        <v>43826</v>
      </c>
      <c r="E404" s="18">
        <v>3</v>
      </c>
      <c r="F404" s="18">
        <v>716</v>
      </c>
      <c r="G404" s="18">
        <v>20517318834</v>
      </c>
      <c r="H404" s="18"/>
      <c r="I404" s="18" t="s">
        <v>137</v>
      </c>
      <c r="J404" s="18" t="s">
        <v>2504</v>
      </c>
      <c r="K404" s="20">
        <v>21.19</v>
      </c>
      <c r="L404" s="51">
        <f t="shared" si="31"/>
        <v>3.8142</v>
      </c>
      <c r="M404" s="52">
        <f t="shared" si="32"/>
        <v>25.004200000000001</v>
      </c>
    </row>
    <row r="405" spans="1:13" x14ac:dyDescent="0.2">
      <c r="A405" s="18">
        <f t="shared" si="33"/>
        <v>402</v>
      </c>
      <c r="B405" s="18" t="s">
        <v>1385</v>
      </c>
      <c r="C405" s="18" t="s">
        <v>1669</v>
      </c>
      <c r="D405" s="19">
        <v>43825</v>
      </c>
      <c r="E405" s="18">
        <v>1</v>
      </c>
      <c r="F405" s="18">
        <v>8650</v>
      </c>
      <c r="G405" s="18">
        <v>10421619251</v>
      </c>
      <c r="H405" s="18"/>
      <c r="I405" s="18" t="s">
        <v>193</v>
      </c>
      <c r="J405" s="18" t="s">
        <v>2505</v>
      </c>
      <c r="K405" s="20">
        <v>84.75</v>
      </c>
      <c r="L405" s="51">
        <f t="shared" si="31"/>
        <v>15.254999999999999</v>
      </c>
      <c r="M405" s="52">
        <f t="shared" si="32"/>
        <v>100.005</v>
      </c>
    </row>
    <row r="406" spans="1:13" x14ac:dyDescent="0.2">
      <c r="A406" s="18">
        <f t="shared" si="33"/>
        <v>403</v>
      </c>
      <c r="B406" s="18" t="s">
        <v>1356</v>
      </c>
      <c r="C406" s="18" t="s">
        <v>1426</v>
      </c>
      <c r="D406" s="19">
        <v>43826</v>
      </c>
      <c r="E406" s="18">
        <v>3</v>
      </c>
      <c r="F406" s="18">
        <v>715</v>
      </c>
      <c r="G406" s="18">
        <v>20517318834</v>
      </c>
      <c r="H406" s="18"/>
      <c r="I406" s="18" t="s">
        <v>193</v>
      </c>
      <c r="J406" s="18" t="s">
        <v>2506</v>
      </c>
      <c r="K406" s="20">
        <v>33.9</v>
      </c>
      <c r="L406" s="51">
        <f t="shared" si="31"/>
        <v>6.1019999999999994</v>
      </c>
      <c r="M406" s="52">
        <f t="shared" si="32"/>
        <v>40.001999999999995</v>
      </c>
    </row>
    <row r="407" spans="1:13" x14ac:dyDescent="0.2">
      <c r="A407" s="18">
        <f t="shared" si="33"/>
        <v>404</v>
      </c>
      <c r="B407" s="18" t="s">
        <v>1356</v>
      </c>
      <c r="C407" s="18" t="s">
        <v>1426</v>
      </c>
      <c r="D407" s="19">
        <v>43826</v>
      </c>
      <c r="E407" s="18">
        <v>1</v>
      </c>
      <c r="F407" s="18">
        <v>7238</v>
      </c>
      <c r="G407" s="18">
        <v>20549871535</v>
      </c>
      <c r="H407" s="18"/>
      <c r="I407" s="18" t="s">
        <v>137</v>
      </c>
      <c r="J407" s="18" t="s">
        <v>1451</v>
      </c>
      <c r="K407" s="20">
        <v>152.54</v>
      </c>
      <c r="L407" s="51">
        <f t="shared" si="31"/>
        <v>27.457199999999997</v>
      </c>
      <c r="M407" s="52">
        <f t="shared" si="32"/>
        <v>179.99719999999999</v>
      </c>
    </row>
    <row r="408" spans="1:13" x14ac:dyDescent="0.2">
      <c r="A408" s="18">
        <f t="shared" si="33"/>
        <v>405</v>
      </c>
      <c r="B408" s="18" t="s">
        <v>1356</v>
      </c>
      <c r="C408" s="18" t="s">
        <v>1426</v>
      </c>
      <c r="D408" s="19">
        <v>43826</v>
      </c>
      <c r="E408" s="18">
        <v>1</v>
      </c>
      <c r="F408" s="18">
        <v>5252</v>
      </c>
      <c r="G408" s="18">
        <v>20544804236</v>
      </c>
      <c r="H408" s="18"/>
      <c r="I408" s="18" t="s">
        <v>137</v>
      </c>
      <c r="J408" s="18" t="s">
        <v>1423</v>
      </c>
      <c r="K408" s="20">
        <v>29.66</v>
      </c>
      <c r="L408" s="51">
        <f t="shared" si="31"/>
        <v>5.3388</v>
      </c>
      <c r="M408" s="52">
        <f t="shared" si="32"/>
        <v>34.998800000000003</v>
      </c>
    </row>
    <row r="409" spans="1:13" x14ac:dyDescent="0.2">
      <c r="A409" s="18">
        <f t="shared" si="33"/>
        <v>406</v>
      </c>
      <c r="B409" s="18" t="s">
        <v>1356</v>
      </c>
      <c r="C409" s="18" t="s">
        <v>1426</v>
      </c>
      <c r="D409" s="19">
        <v>43826</v>
      </c>
      <c r="E409" s="18" t="s">
        <v>201</v>
      </c>
      <c r="F409" s="18">
        <v>693</v>
      </c>
      <c r="G409" s="18">
        <v>10100087605</v>
      </c>
      <c r="H409" s="18"/>
      <c r="I409" s="18" t="s">
        <v>137</v>
      </c>
      <c r="J409" s="18" t="s">
        <v>944</v>
      </c>
      <c r="K409" s="20">
        <v>33.9</v>
      </c>
      <c r="L409" s="51">
        <f t="shared" si="31"/>
        <v>6.1019999999999994</v>
      </c>
      <c r="M409" s="52">
        <f t="shared" si="32"/>
        <v>40.001999999999995</v>
      </c>
    </row>
    <row r="410" spans="1:13" x14ac:dyDescent="0.2">
      <c r="A410" s="18">
        <f t="shared" si="33"/>
        <v>407</v>
      </c>
      <c r="B410" s="18" t="s">
        <v>1369</v>
      </c>
      <c r="C410" s="18" t="s">
        <v>2507</v>
      </c>
      <c r="D410" s="19">
        <v>43825</v>
      </c>
      <c r="E410" s="18" t="s">
        <v>979</v>
      </c>
      <c r="F410" s="18">
        <v>2446</v>
      </c>
      <c r="G410" s="18">
        <v>20603753896</v>
      </c>
      <c r="H410" s="18"/>
      <c r="I410" s="18" t="s">
        <v>193</v>
      </c>
      <c r="J410" s="18" t="s">
        <v>2508</v>
      </c>
      <c r="K410" s="20">
        <f>130/1.18</f>
        <v>110.16949152542374</v>
      </c>
      <c r="L410" s="51">
        <f t="shared" si="31"/>
        <v>19.830508474576273</v>
      </c>
      <c r="M410" s="52">
        <f t="shared" si="32"/>
        <v>130</v>
      </c>
    </row>
    <row r="411" spans="1:13" x14ac:dyDescent="0.2">
      <c r="A411" s="18">
        <f t="shared" si="33"/>
        <v>408</v>
      </c>
      <c r="B411" s="18" t="s">
        <v>1390</v>
      </c>
      <c r="C411" s="18" t="s">
        <v>2495</v>
      </c>
      <c r="D411" s="19">
        <v>43825</v>
      </c>
      <c r="E411" s="18">
        <v>2</v>
      </c>
      <c r="F411" s="18">
        <v>812</v>
      </c>
      <c r="G411" s="18">
        <v>20525049028</v>
      </c>
      <c r="H411" s="18"/>
      <c r="I411" s="18" t="s">
        <v>137</v>
      </c>
      <c r="J411" s="18" t="s">
        <v>1671</v>
      </c>
      <c r="K411" s="20">
        <v>42.37</v>
      </c>
      <c r="L411" s="51">
        <f t="shared" si="31"/>
        <v>7.6265999999999989</v>
      </c>
      <c r="M411" s="52">
        <f t="shared" si="32"/>
        <v>49.996599999999994</v>
      </c>
    </row>
    <row r="412" spans="1:13" x14ac:dyDescent="0.2">
      <c r="A412" s="18">
        <f t="shared" si="33"/>
        <v>409</v>
      </c>
      <c r="B412" s="18" t="s">
        <v>2016</v>
      </c>
      <c r="C412" s="18" t="s">
        <v>2017</v>
      </c>
      <c r="D412" s="19">
        <v>43825</v>
      </c>
      <c r="E412" s="18" t="s">
        <v>979</v>
      </c>
      <c r="F412" s="18">
        <v>2448</v>
      </c>
      <c r="G412" s="18">
        <v>20603753896</v>
      </c>
      <c r="H412" s="18"/>
      <c r="I412" s="18" t="s">
        <v>193</v>
      </c>
      <c r="J412" s="18" t="s">
        <v>2490</v>
      </c>
      <c r="K412" s="20">
        <v>21.19</v>
      </c>
      <c r="L412" s="51">
        <f t="shared" si="31"/>
        <v>3.8142</v>
      </c>
      <c r="M412" s="52">
        <f t="shared" si="32"/>
        <v>25.004200000000001</v>
      </c>
    </row>
    <row r="413" spans="1:13" x14ac:dyDescent="0.2">
      <c r="A413" s="18">
        <f t="shared" si="33"/>
        <v>410</v>
      </c>
      <c r="B413" s="18" t="s">
        <v>1390</v>
      </c>
      <c r="C413" s="18" t="s">
        <v>2495</v>
      </c>
      <c r="D413" s="19">
        <v>43825</v>
      </c>
      <c r="E413" s="18">
        <v>1</v>
      </c>
      <c r="F413" s="18">
        <v>2610</v>
      </c>
      <c r="G413" s="18">
        <v>10078408290</v>
      </c>
      <c r="H413" s="18"/>
      <c r="I413" s="18" t="s">
        <v>137</v>
      </c>
      <c r="J413" s="18" t="s">
        <v>2509</v>
      </c>
      <c r="K413" s="20">
        <v>305.08</v>
      </c>
      <c r="L413" s="51">
        <f t="shared" si="31"/>
        <v>54.914399999999993</v>
      </c>
      <c r="M413" s="52">
        <f t="shared" si="32"/>
        <v>359.99439999999998</v>
      </c>
    </row>
    <row r="414" spans="1:13" x14ac:dyDescent="0.2">
      <c r="A414" s="18">
        <f t="shared" si="33"/>
        <v>411</v>
      </c>
      <c r="B414" s="18" t="s">
        <v>1390</v>
      </c>
      <c r="C414" s="18" t="s">
        <v>2495</v>
      </c>
      <c r="D414" s="19">
        <v>43827</v>
      </c>
      <c r="E414" s="18">
        <v>1</v>
      </c>
      <c r="F414" s="18">
        <v>6358</v>
      </c>
      <c r="G414" s="18">
        <v>10470900020</v>
      </c>
      <c r="H414" s="18"/>
      <c r="I414" s="18" t="s">
        <v>137</v>
      </c>
      <c r="J414" s="18" t="s">
        <v>1451</v>
      </c>
      <c r="K414" s="20">
        <v>152.54</v>
      </c>
      <c r="L414" s="51">
        <f t="shared" si="31"/>
        <v>27.457199999999997</v>
      </c>
      <c r="M414" s="52">
        <f t="shared" si="32"/>
        <v>179.99719999999999</v>
      </c>
    </row>
    <row r="415" spans="1:13" x14ac:dyDescent="0.2">
      <c r="A415" s="18">
        <f t="shared" si="33"/>
        <v>412</v>
      </c>
      <c r="B415" s="18" t="s">
        <v>1385</v>
      </c>
      <c r="C415" s="18" t="s">
        <v>1669</v>
      </c>
      <c r="D415" s="19">
        <v>43848</v>
      </c>
      <c r="E415" s="18">
        <v>1</v>
      </c>
      <c r="F415" s="18">
        <v>4476</v>
      </c>
      <c r="G415" s="18">
        <v>20524196388</v>
      </c>
      <c r="H415" s="18">
        <v>13083</v>
      </c>
      <c r="I415" s="18" t="s">
        <v>137</v>
      </c>
      <c r="J415" s="18" t="s">
        <v>2025</v>
      </c>
      <c r="K415" s="20">
        <v>493</v>
      </c>
      <c r="L415" s="51">
        <f t="shared" si="31"/>
        <v>88.74</v>
      </c>
      <c r="M415" s="52">
        <f t="shared" si="32"/>
        <v>581.74</v>
      </c>
    </row>
    <row r="416" spans="1:13" x14ac:dyDescent="0.2">
      <c r="A416" s="18">
        <f>+A415+1</f>
        <v>413</v>
      </c>
      <c r="B416" s="18" t="s">
        <v>2016</v>
      </c>
      <c r="C416" s="18" t="s">
        <v>2017</v>
      </c>
      <c r="D416" s="19">
        <v>43847</v>
      </c>
      <c r="E416" s="18">
        <v>1</v>
      </c>
      <c r="F416" s="18">
        <v>4475</v>
      </c>
      <c r="G416" s="18">
        <v>20524196388</v>
      </c>
      <c r="H416" s="18">
        <v>13223</v>
      </c>
      <c r="I416" s="18" t="s">
        <v>137</v>
      </c>
      <c r="J416" s="18" t="s">
        <v>2510</v>
      </c>
      <c r="K416" s="20">
        <v>313</v>
      </c>
      <c r="L416" s="51">
        <f t="shared" si="31"/>
        <v>56.339999999999996</v>
      </c>
      <c r="M416" s="52">
        <f t="shared" si="32"/>
        <v>369.34</v>
      </c>
    </row>
    <row r="417" spans="1:13" x14ac:dyDescent="0.2">
      <c r="A417" s="18">
        <f t="shared" ref="A417:A480" si="34">+A416+1</f>
        <v>414</v>
      </c>
      <c r="B417" s="18" t="s">
        <v>2511</v>
      </c>
      <c r="C417" s="18" t="s">
        <v>2292</v>
      </c>
      <c r="D417" s="19">
        <v>43847</v>
      </c>
      <c r="E417" s="18" t="s">
        <v>200</v>
      </c>
      <c r="F417" s="18">
        <v>1148</v>
      </c>
      <c r="G417" s="18">
        <v>20300435298</v>
      </c>
      <c r="H417" s="18">
        <v>13213</v>
      </c>
      <c r="I417" s="18" t="s">
        <v>137</v>
      </c>
      <c r="J417" s="18" t="s">
        <v>2015</v>
      </c>
      <c r="K417" s="20">
        <v>84.75</v>
      </c>
      <c r="L417" s="51">
        <f t="shared" si="31"/>
        <v>15.254999999999999</v>
      </c>
      <c r="M417" s="52">
        <f t="shared" si="32"/>
        <v>100.005</v>
      </c>
    </row>
    <row r="418" spans="1:13" x14ac:dyDescent="0.2">
      <c r="A418" s="18">
        <f t="shared" si="34"/>
        <v>415</v>
      </c>
      <c r="B418" s="18" t="s">
        <v>2512</v>
      </c>
      <c r="C418" s="18" t="s">
        <v>2513</v>
      </c>
      <c r="D418" s="19">
        <v>43844</v>
      </c>
      <c r="E418" s="18" t="s">
        <v>200</v>
      </c>
      <c r="F418" s="18">
        <v>1138</v>
      </c>
      <c r="G418" s="18">
        <v>20300435298</v>
      </c>
      <c r="H418" s="18">
        <v>13208</v>
      </c>
      <c r="I418" s="18" t="s">
        <v>137</v>
      </c>
      <c r="J418" s="18" t="s">
        <v>2015</v>
      </c>
      <c r="K418" s="20">
        <v>186.44</v>
      </c>
      <c r="L418" s="51">
        <f t="shared" si="31"/>
        <v>33.559199999999997</v>
      </c>
      <c r="M418" s="52">
        <f t="shared" si="32"/>
        <v>219.9992</v>
      </c>
    </row>
    <row r="419" spans="1:13" x14ac:dyDescent="0.2">
      <c r="A419" s="18">
        <f t="shared" si="34"/>
        <v>416</v>
      </c>
      <c r="B419" s="18" t="s">
        <v>1998</v>
      </c>
      <c r="C419" s="18" t="s">
        <v>2514</v>
      </c>
      <c r="D419" s="19">
        <v>43852</v>
      </c>
      <c r="E419" s="18">
        <v>1</v>
      </c>
      <c r="F419" s="18">
        <v>1344</v>
      </c>
      <c r="G419" s="18">
        <v>10427505524</v>
      </c>
      <c r="H419" s="18">
        <v>13193</v>
      </c>
      <c r="I419" s="18" t="s">
        <v>137</v>
      </c>
      <c r="J419" s="18" t="s">
        <v>1422</v>
      </c>
      <c r="K419" s="20">
        <v>59.32</v>
      </c>
      <c r="L419" s="51">
        <f t="shared" si="31"/>
        <v>10.6776</v>
      </c>
      <c r="M419" s="52">
        <f t="shared" si="32"/>
        <v>69.997600000000006</v>
      </c>
    </row>
    <row r="420" spans="1:13" x14ac:dyDescent="0.2">
      <c r="A420" s="18">
        <f t="shared" si="34"/>
        <v>417</v>
      </c>
      <c r="B420" s="18" t="s">
        <v>2515</v>
      </c>
      <c r="C420" s="18" t="s">
        <v>2516</v>
      </c>
      <c r="D420" s="19">
        <v>43852</v>
      </c>
      <c r="E420" s="18">
        <v>1</v>
      </c>
      <c r="F420" s="18">
        <v>5838</v>
      </c>
      <c r="G420" s="18">
        <v>20600892828</v>
      </c>
      <c r="H420" s="18">
        <v>13186</v>
      </c>
      <c r="I420" s="18" t="s">
        <v>137</v>
      </c>
      <c r="J420" s="18" t="s">
        <v>257</v>
      </c>
      <c r="K420" s="20">
        <v>76.27</v>
      </c>
      <c r="L420" s="51">
        <f t="shared" si="31"/>
        <v>13.728599999999998</v>
      </c>
      <c r="M420" s="52">
        <f t="shared" si="32"/>
        <v>89.998599999999996</v>
      </c>
    </row>
    <row r="421" spans="1:13" x14ac:dyDescent="0.2">
      <c r="A421" s="18">
        <f t="shared" si="34"/>
        <v>418</v>
      </c>
      <c r="B421" s="18" t="s">
        <v>2517</v>
      </c>
      <c r="C421" s="18" t="s">
        <v>2518</v>
      </c>
      <c r="D421" s="19">
        <v>43852</v>
      </c>
      <c r="E421" s="18">
        <v>1</v>
      </c>
      <c r="F421" s="18">
        <v>5839</v>
      </c>
      <c r="G421" s="18">
        <v>20600892828</v>
      </c>
      <c r="H421" s="18">
        <v>13242</v>
      </c>
      <c r="I421" s="18" t="s">
        <v>137</v>
      </c>
      <c r="J421" s="18" t="s">
        <v>257</v>
      </c>
      <c r="K421" s="20">
        <v>76.27</v>
      </c>
      <c r="L421" s="51">
        <f t="shared" si="31"/>
        <v>13.728599999999998</v>
      </c>
      <c r="M421" s="52">
        <f t="shared" si="32"/>
        <v>89.998599999999996</v>
      </c>
    </row>
    <row r="422" spans="1:13" x14ac:dyDescent="0.2">
      <c r="A422" s="18">
        <f t="shared" si="34"/>
        <v>419</v>
      </c>
      <c r="B422" s="18" t="s">
        <v>2519</v>
      </c>
      <c r="C422" s="18" t="s">
        <v>2520</v>
      </c>
      <c r="D422" s="19">
        <v>43852</v>
      </c>
      <c r="E422" s="18">
        <v>1</v>
      </c>
      <c r="F422" s="18">
        <v>1161</v>
      </c>
      <c r="G422" s="18">
        <v>20300435298</v>
      </c>
      <c r="H422" s="18">
        <v>13241</v>
      </c>
      <c r="I422" s="18" t="s">
        <v>137</v>
      </c>
      <c r="J422" s="18" t="s">
        <v>2015</v>
      </c>
      <c r="K422" s="20">
        <v>84.75</v>
      </c>
      <c r="L422" s="51">
        <f t="shared" si="31"/>
        <v>15.254999999999999</v>
      </c>
      <c r="M422" s="52">
        <f t="shared" si="32"/>
        <v>100.005</v>
      </c>
    </row>
    <row r="423" spans="1:13" x14ac:dyDescent="0.2">
      <c r="A423" s="18">
        <f t="shared" si="34"/>
        <v>420</v>
      </c>
      <c r="B423" s="18" t="s">
        <v>2521</v>
      </c>
      <c r="C423" s="18" t="s">
        <v>2328</v>
      </c>
      <c r="D423" s="19">
        <v>43852</v>
      </c>
      <c r="E423" s="18">
        <v>1</v>
      </c>
      <c r="F423" s="18">
        <v>1162</v>
      </c>
      <c r="G423" s="18">
        <v>20300435298</v>
      </c>
      <c r="H423" s="18">
        <v>13227</v>
      </c>
      <c r="I423" s="18" t="s">
        <v>137</v>
      </c>
      <c r="J423" s="18" t="s">
        <v>2015</v>
      </c>
      <c r="K423" s="20">
        <v>84.75</v>
      </c>
      <c r="L423" s="51">
        <f t="shared" si="31"/>
        <v>15.254999999999999</v>
      </c>
      <c r="M423" s="52">
        <f t="shared" si="32"/>
        <v>100.005</v>
      </c>
    </row>
    <row r="424" spans="1:13" x14ac:dyDescent="0.2">
      <c r="A424" s="18">
        <f t="shared" si="34"/>
        <v>421</v>
      </c>
      <c r="B424" s="18" t="s">
        <v>1915</v>
      </c>
      <c r="C424" s="18" t="s">
        <v>2522</v>
      </c>
      <c r="D424" s="19">
        <v>43833</v>
      </c>
      <c r="E424" s="18">
        <v>1</v>
      </c>
      <c r="F424" s="18">
        <v>1092</v>
      </c>
      <c r="G424" s="18">
        <v>10423140637</v>
      </c>
      <c r="H424" s="18">
        <v>13207</v>
      </c>
      <c r="I424" s="18" t="s">
        <v>193</v>
      </c>
      <c r="J424" s="18" t="s">
        <v>2523</v>
      </c>
      <c r="K424" s="20">
        <f>140/1.18</f>
        <v>118.64406779661017</v>
      </c>
      <c r="L424" s="51">
        <f t="shared" si="31"/>
        <v>21.35593220338983</v>
      </c>
      <c r="M424" s="52">
        <f t="shared" si="32"/>
        <v>140</v>
      </c>
    </row>
    <row r="425" spans="1:13" x14ac:dyDescent="0.2">
      <c r="A425" s="18">
        <f t="shared" si="34"/>
        <v>422</v>
      </c>
      <c r="B425" s="18" t="s">
        <v>2002</v>
      </c>
      <c r="C425" s="18" t="s">
        <v>955</v>
      </c>
      <c r="D425" s="19">
        <v>43834</v>
      </c>
      <c r="E425" s="18">
        <v>2</v>
      </c>
      <c r="F425" s="18">
        <v>463</v>
      </c>
      <c r="G425" s="18">
        <v>20549871535</v>
      </c>
      <c r="H425" s="18"/>
      <c r="I425" s="18" t="s">
        <v>193</v>
      </c>
      <c r="J425" s="18" t="s">
        <v>2524</v>
      </c>
      <c r="K425" s="20">
        <v>42.37</v>
      </c>
      <c r="L425" s="51">
        <f t="shared" si="31"/>
        <v>7.6265999999999989</v>
      </c>
      <c r="M425" s="52">
        <f t="shared" si="32"/>
        <v>49.996599999999994</v>
      </c>
    </row>
    <row r="426" spans="1:13" x14ac:dyDescent="0.2">
      <c r="A426" s="18">
        <f t="shared" si="34"/>
        <v>423</v>
      </c>
      <c r="B426" s="18" t="s">
        <v>1377</v>
      </c>
      <c r="C426" s="18" t="s">
        <v>1446</v>
      </c>
      <c r="D426" s="19">
        <v>43834</v>
      </c>
      <c r="E426" s="18" t="s">
        <v>2500</v>
      </c>
      <c r="F426" s="18">
        <v>104</v>
      </c>
      <c r="G426" s="18">
        <v>20603753896</v>
      </c>
      <c r="H426" s="18"/>
      <c r="I426" s="18" t="s">
        <v>193</v>
      </c>
      <c r="J426" s="18" t="s">
        <v>2525</v>
      </c>
      <c r="K426" s="20">
        <v>93.22</v>
      </c>
      <c r="L426" s="51">
        <f t="shared" si="31"/>
        <v>16.779599999999999</v>
      </c>
      <c r="M426" s="52">
        <f t="shared" si="32"/>
        <v>109.9996</v>
      </c>
    </row>
    <row r="427" spans="1:13" x14ac:dyDescent="0.2">
      <c r="A427" s="18">
        <f t="shared" si="34"/>
        <v>424</v>
      </c>
      <c r="B427" s="18" t="s">
        <v>1390</v>
      </c>
      <c r="C427" s="18" t="s">
        <v>2495</v>
      </c>
      <c r="D427" s="19">
        <v>43833</v>
      </c>
      <c r="E427" s="18">
        <v>2</v>
      </c>
      <c r="F427" s="18">
        <v>30</v>
      </c>
      <c r="G427" s="18">
        <v>10322741231</v>
      </c>
      <c r="H427" s="18"/>
      <c r="I427" s="18" t="s">
        <v>193</v>
      </c>
      <c r="J427" s="18" t="s">
        <v>410</v>
      </c>
      <c r="K427" s="20">
        <v>33.9</v>
      </c>
      <c r="L427" s="51">
        <f t="shared" si="31"/>
        <v>6.1019999999999994</v>
      </c>
      <c r="M427" s="52">
        <f t="shared" si="32"/>
        <v>40.001999999999995</v>
      </c>
    </row>
    <row r="428" spans="1:13" x14ac:dyDescent="0.2">
      <c r="A428" s="18">
        <f t="shared" si="34"/>
        <v>425</v>
      </c>
      <c r="B428" s="18" t="s">
        <v>1390</v>
      </c>
      <c r="C428" s="18" t="s">
        <v>2495</v>
      </c>
      <c r="D428" s="19">
        <v>43833</v>
      </c>
      <c r="E428" s="18">
        <v>1</v>
      </c>
      <c r="F428" s="18">
        <v>5264</v>
      </c>
      <c r="G428" s="18">
        <v>20544804236</v>
      </c>
      <c r="H428" s="18"/>
      <c r="I428" s="18" t="s">
        <v>137</v>
      </c>
      <c r="J428" s="18" t="s">
        <v>2526</v>
      </c>
      <c r="K428" s="20">
        <v>29.66</v>
      </c>
      <c r="L428" s="51">
        <f t="shared" si="31"/>
        <v>5.3388</v>
      </c>
      <c r="M428" s="52">
        <f t="shared" si="32"/>
        <v>34.998800000000003</v>
      </c>
    </row>
    <row r="429" spans="1:13" x14ac:dyDescent="0.2">
      <c r="A429" s="18">
        <f t="shared" si="34"/>
        <v>426</v>
      </c>
      <c r="B429" s="18" t="s">
        <v>1369</v>
      </c>
      <c r="C429" s="18" t="s">
        <v>2507</v>
      </c>
      <c r="D429" s="19">
        <v>43833</v>
      </c>
      <c r="E429" s="18">
        <v>2</v>
      </c>
      <c r="F429" s="18">
        <v>2011</v>
      </c>
      <c r="G429" s="18">
        <v>10108700896</v>
      </c>
      <c r="H429" s="18"/>
      <c r="I429" s="18" t="s">
        <v>137</v>
      </c>
      <c r="J429" s="18" t="s">
        <v>1451</v>
      </c>
      <c r="K429" s="20">
        <v>152.54</v>
      </c>
      <c r="L429" s="51">
        <f t="shared" si="31"/>
        <v>27.457199999999997</v>
      </c>
      <c r="M429" s="52">
        <f t="shared" si="32"/>
        <v>179.99719999999999</v>
      </c>
    </row>
    <row r="430" spans="1:13" x14ac:dyDescent="0.2">
      <c r="A430" s="18">
        <f t="shared" si="34"/>
        <v>427</v>
      </c>
      <c r="B430" s="18" t="s">
        <v>1369</v>
      </c>
      <c r="C430" s="18" t="s">
        <v>2507</v>
      </c>
      <c r="D430" s="19">
        <v>43833</v>
      </c>
      <c r="E430" s="18">
        <v>1</v>
      </c>
      <c r="F430" s="18">
        <v>11117</v>
      </c>
      <c r="G430" s="18">
        <v>10061024650</v>
      </c>
      <c r="H430" s="18"/>
      <c r="I430" s="18" t="s">
        <v>137</v>
      </c>
      <c r="J430" s="18" t="s">
        <v>1599</v>
      </c>
      <c r="K430" s="20">
        <v>29.66</v>
      </c>
      <c r="L430" s="51">
        <f t="shared" si="31"/>
        <v>5.3388</v>
      </c>
      <c r="M430" s="52">
        <f t="shared" si="32"/>
        <v>34.998800000000003</v>
      </c>
    </row>
    <row r="431" spans="1:13" x14ac:dyDescent="0.2">
      <c r="A431" s="18">
        <f t="shared" si="34"/>
        <v>428</v>
      </c>
      <c r="B431" s="18" t="s">
        <v>1369</v>
      </c>
      <c r="C431" s="18" t="s">
        <v>2507</v>
      </c>
      <c r="D431" s="19">
        <v>43833</v>
      </c>
      <c r="E431" s="18">
        <v>1</v>
      </c>
      <c r="F431" s="18">
        <v>11117</v>
      </c>
      <c r="G431" s="18">
        <v>10061024650</v>
      </c>
      <c r="H431" s="18"/>
      <c r="I431" s="18" t="s">
        <v>137</v>
      </c>
      <c r="J431" s="18" t="s">
        <v>1599</v>
      </c>
      <c r="K431" s="20">
        <v>59.32</v>
      </c>
      <c r="L431" s="51">
        <f t="shared" si="31"/>
        <v>10.6776</v>
      </c>
      <c r="M431" s="52">
        <f t="shared" si="32"/>
        <v>69.997600000000006</v>
      </c>
    </row>
    <row r="432" spans="1:13" x14ac:dyDescent="0.2">
      <c r="A432" s="18">
        <f t="shared" si="34"/>
        <v>429</v>
      </c>
      <c r="B432" s="18" t="s">
        <v>1369</v>
      </c>
      <c r="C432" s="18" t="s">
        <v>2507</v>
      </c>
      <c r="D432" s="19">
        <v>43833</v>
      </c>
      <c r="E432" s="18">
        <v>1</v>
      </c>
      <c r="F432" s="18">
        <v>5265</v>
      </c>
      <c r="G432" s="18">
        <v>20544804236</v>
      </c>
      <c r="H432" s="18"/>
      <c r="I432" s="18" t="s">
        <v>137</v>
      </c>
      <c r="J432" s="18" t="s">
        <v>2526</v>
      </c>
      <c r="K432" s="20">
        <v>29.66</v>
      </c>
      <c r="L432" s="51">
        <f t="shared" ref="L432:L472" si="35">+K432*18%</f>
        <v>5.3388</v>
      </c>
      <c r="M432" s="52">
        <f t="shared" ref="M432:M472" si="36">+K432+L432</f>
        <v>34.998800000000003</v>
      </c>
    </row>
    <row r="433" spans="1:13" x14ac:dyDescent="0.2">
      <c r="A433" s="18">
        <f t="shared" si="34"/>
        <v>430</v>
      </c>
      <c r="B433" s="18" t="s">
        <v>1369</v>
      </c>
      <c r="C433" s="18" t="s">
        <v>2507</v>
      </c>
      <c r="D433" s="19">
        <v>43833</v>
      </c>
      <c r="E433" s="18" t="s">
        <v>201</v>
      </c>
      <c r="F433" s="18">
        <v>709</v>
      </c>
      <c r="G433" s="18">
        <v>10100087605</v>
      </c>
      <c r="H433" s="18"/>
      <c r="I433" s="18" t="s">
        <v>137</v>
      </c>
      <c r="J433" s="18" t="s">
        <v>1435</v>
      </c>
      <c r="K433" s="20">
        <v>16.95</v>
      </c>
      <c r="L433" s="51">
        <f t="shared" si="35"/>
        <v>3.0509999999999997</v>
      </c>
      <c r="M433" s="52">
        <f t="shared" si="36"/>
        <v>20.000999999999998</v>
      </c>
    </row>
    <row r="434" spans="1:13" x14ac:dyDescent="0.2">
      <c r="A434" s="18">
        <f t="shared" si="34"/>
        <v>431</v>
      </c>
      <c r="B434" s="18" t="s">
        <v>1939</v>
      </c>
      <c r="C434" s="18" t="s">
        <v>2527</v>
      </c>
      <c r="D434" s="19">
        <v>43834</v>
      </c>
      <c r="E434" s="18" t="s">
        <v>201</v>
      </c>
      <c r="F434" s="18">
        <v>710</v>
      </c>
      <c r="G434" s="18">
        <v>10100087605</v>
      </c>
      <c r="H434" s="18"/>
      <c r="I434" s="18" t="s">
        <v>137</v>
      </c>
      <c r="J434" s="18" t="s">
        <v>944</v>
      </c>
      <c r="K434" s="20">
        <v>33.9</v>
      </c>
      <c r="L434" s="51">
        <f t="shared" si="35"/>
        <v>6.1019999999999994</v>
      </c>
      <c r="M434" s="52">
        <f t="shared" si="36"/>
        <v>40.001999999999995</v>
      </c>
    </row>
    <row r="435" spans="1:13" x14ac:dyDescent="0.2">
      <c r="A435" s="18">
        <f t="shared" si="34"/>
        <v>432</v>
      </c>
      <c r="B435" s="18" t="s">
        <v>2002</v>
      </c>
      <c r="C435" s="18" t="s">
        <v>955</v>
      </c>
      <c r="D435" s="19">
        <v>43833</v>
      </c>
      <c r="E435" s="18">
        <v>1</v>
      </c>
      <c r="F435" s="18">
        <v>757</v>
      </c>
      <c r="G435" s="18">
        <v>10088679011</v>
      </c>
      <c r="H435" s="18"/>
      <c r="I435" s="18" t="s">
        <v>137</v>
      </c>
      <c r="J435" s="18" t="s">
        <v>2528</v>
      </c>
      <c r="K435" s="20">
        <v>80</v>
      </c>
      <c r="L435" s="51">
        <f t="shared" si="35"/>
        <v>14.399999999999999</v>
      </c>
      <c r="M435" s="52">
        <f t="shared" si="36"/>
        <v>94.4</v>
      </c>
    </row>
    <row r="436" spans="1:13" x14ac:dyDescent="0.2">
      <c r="A436" s="18">
        <f t="shared" si="34"/>
        <v>433</v>
      </c>
      <c r="B436" s="18" t="s">
        <v>1385</v>
      </c>
      <c r="C436" s="18" t="s">
        <v>1669</v>
      </c>
      <c r="D436" s="19">
        <v>43834</v>
      </c>
      <c r="E436" s="18" t="s">
        <v>200</v>
      </c>
      <c r="F436" s="18">
        <v>1148</v>
      </c>
      <c r="G436" s="18">
        <v>20602362664</v>
      </c>
      <c r="H436" s="18"/>
      <c r="I436" s="18" t="s">
        <v>137</v>
      </c>
      <c r="J436" s="18" t="s">
        <v>2529</v>
      </c>
      <c r="K436" s="20">
        <v>144.91999999999999</v>
      </c>
      <c r="L436" s="51">
        <f t="shared" si="35"/>
        <v>26.085599999999996</v>
      </c>
      <c r="M436" s="52">
        <f t="shared" si="36"/>
        <v>171.00559999999999</v>
      </c>
    </row>
    <row r="437" spans="1:13" x14ac:dyDescent="0.2">
      <c r="A437" s="18">
        <f t="shared" si="34"/>
        <v>434</v>
      </c>
      <c r="B437" s="18" t="s">
        <v>1390</v>
      </c>
      <c r="C437" s="18" t="s">
        <v>2495</v>
      </c>
      <c r="D437" s="19">
        <v>43837</v>
      </c>
      <c r="E437" s="18">
        <v>1</v>
      </c>
      <c r="F437" s="18">
        <v>1353</v>
      </c>
      <c r="G437" s="18">
        <v>10068062948</v>
      </c>
      <c r="H437" s="18"/>
      <c r="I437" s="18" t="s">
        <v>137</v>
      </c>
      <c r="J437" s="18" t="s">
        <v>1439</v>
      </c>
      <c r="K437" s="20">
        <v>15</v>
      </c>
      <c r="L437" s="51">
        <f t="shared" si="35"/>
        <v>2.6999999999999997</v>
      </c>
      <c r="M437" s="52">
        <f t="shared" si="36"/>
        <v>17.7</v>
      </c>
    </row>
    <row r="438" spans="1:13" x14ac:dyDescent="0.2">
      <c r="A438" s="18">
        <f t="shared" si="34"/>
        <v>435</v>
      </c>
      <c r="B438" s="18" t="s">
        <v>1390</v>
      </c>
      <c r="C438" s="18" t="s">
        <v>2495</v>
      </c>
      <c r="D438" s="19">
        <v>43837</v>
      </c>
      <c r="E438" s="18">
        <v>1</v>
      </c>
      <c r="F438" s="18">
        <v>755</v>
      </c>
      <c r="G438" s="18">
        <v>20600639634</v>
      </c>
      <c r="H438" s="18"/>
      <c r="I438" s="18" t="s">
        <v>137</v>
      </c>
      <c r="J438" s="18" t="s">
        <v>2530</v>
      </c>
      <c r="K438" s="20">
        <v>10</v>
      </c>
      <c r="L438" s="51">
        <f t="shared" si="35"/>
        <v>1.7999999999999998</v>
      </c>
      <c r="M438" s="52">
        <f t="shared" si="36"/>
        <v>11.8</v>
      </c>
    </row>
    <row r="439" spans="1:13" x14ac:dyDescent="0.2">
      <c r="A439" s="18">
        <f t="shared" si="34"/>
        <v>436</v>
      </c>
      <c r="B439" s="18" t="s">
        <v>1377</v>
      </c>
      <c r="C439" s="18" t="s">
        <v>1446</v>
      </c>
      <c r="D439" s="19">
        <v>43837</v>
      </c>
      <c r="E439" s="18">
        <v>1</v>
      </c>
      <c r="F439" s="18">
        <v>3728</v>
      </c>
      <c r="G439" s="18">
        <v>20602512101</v>
      </c>
      <c r="H439" s="18"/>
      <c r="I439" s="18" t="s">
        <v>193</v>
      </c>
      <c r="J439" s="18" t="s">
        <v>2531</v>
      </c>
      <c r="K439" s="20">
        <v>46.61</v>
      </c>
      <c r="L439" s="51">
        <f t="shared" si="35"/>
        <v>8.3897999999999993</v>
      </c>
      <c r="M439" s="52">
        <f t="shared" si="36"/>
        <v>54.9998</v>
      </c>
    </row>
    <row r="440" spans="1:13" x14ac:dyDescent="0.2">
      <c r="A440" s="18">
        <f t="shared" si="34"/>
        <v>437</v>
      </c>
      <c r="B440" s="18" t="s">
        <v>1377</v>
      </c>
      <c r="C440" s="18" t="s">
        <v>1446</v>
      </c>
      <c r="D440" s="19">
        <v>43837</v>
      </c>
      <c r="E440" s="18">
        <v>1</v>
      </c>
      <c r="F440" s="18">
        <v>6194</v>
      </c>
      <c r="G440" s="18">
        <v>10481275518</v>
      </c>
      <c r="H440" s="18"/>
      <c r="I440" s="18" t="s">
        <v>137</v>
      </c>
      <c r="J440" s="18" t="s">
        <v>1451</v>
      </c>
      <c r="K440" s="20">
        <v>152.54</v>
      </c>
      <c r="L440" s="51">
        <f t="shared" si="35"/>
        <v>27.457199999999997</v>
      </c>
      <c r="M440" s="52">
        <f t="shared" si="36"/>
        <v>179.99719999999999</v>
      </c>
    </row>
    <row r="441" spans="1:13" x14ac:dyDescent="0.2">
      <c r="A441" s="18">
        <f t="shared" si="34"/>
        <v>438</v>
      </c>
      <c r="B441" s="18" t="s">
        <v>1377</v>
      </c>
      <c r="C441" s="18" t="s">
        <v>1446</v>
      </c>
      <c r="D441" s="19">
        <v>43837</v>
      </c>
      <c r="E441" s="18" t="s">
        <v>2500</v>
      </c>
      <c r="F441" s="18">
        <v>126</v>
      </c>
      <c r="G441" s="18">
        <v>20603753896</v>
      </c>
      <c r="H441" s="18"/>
      <c r="I441" s="18" t="s">
        <v>193</v>
      </c>
      <c r="J441" s="18" t="s">
        <v>2532</v>
      </c>
      <c r="K441" s="20">
        <v>220.34</v>
      </c>
      <c r="L441" s="51">
        <f t="shared" si="35"/>
        <v>39.661200000000001</v>
      </c>
      <c r="M441" s="52">
        <f t="shared" si="36"/>
        <v>260.00119999999998</v>
      </c>
    </row>
    <row r="442" spans="1:13" x14ac:dyDescent="0.2">
      <c r="A442" s="18">
        <f t="shared" si="34"/>
        <v>439</v>
      </c>
      <c r="B442" s="18" t="s">
        <v>1394</v>
      </c>
      <c r="C442" s="18" t="s">
        <v>1461</v>
      </c>
      <c r="D442" s="19">
        <v>43836</v>
      </c>
      <c r="E442" s="18">
        <v>1</v>
      </c>
      <c r="F442" s="18">
        <v>758</v>
      </c>
      <c r="G442" s="18">
        <v>10088679011</v>
      </c>
      <c r="H442" s="18"/>
      <c r="I442" s="18" t="s">
        <v>137</v>
      </c>
      <c r="J442" s="18" t="s">
        <v>2533</v>
      </c>
      <c r="K442" s="20">
        <v>50.84</v>
      </c>
      <c r="L442" s="51">
        <f t="shared" si="35"/>
        <v>9.1512000000000011</v>
      </c>
      <c r="M442" s="52">
        <f t="shared" si="36"/>
        <v>59.991200000000006</v>
      </c>
    </row>
    <row r="443" spans="1:13" x14ac:dyDescent="0.2">
      <c r="A443" s="18">
        <f t="shared" si="34"/>
        <v>440</v>
      </c>
      <c r="B443" s="18" t="s">
        <v>1930</v>
      </c>
      <c r="C443" s="18" t="s">
        <v>2534</v>
      </c>
      <c r="D443" s="19">
        <v>43837</v>
      </c>
      <c r="E443" s="18">
        <v>1</v>
      </c>
      <c r="F443" s="18">
        <v>11126</v>
      </c>
      <c r="G443" s="18">
        <v>10061024650</v>
      </c>
      <c r="H443" s="18"/>
      <c r="I443" s="18" t="s">
        <v>193</v>
      </c>
      <c r="J443" s="18" t="s">
        <v>1599</v>
      </c>
      <c r="K443" s="20">
        <v>59.32</v>
      </c>
      <c r="L443" s="51">
        <f t="shared" si="35"/>
        <v>10.6776</v>
      </c>
      <c r="M443" s="52">
        <f t="shared" si="36"/>
        <v>69.997600000000006</v>
      </c>
    </row>
    <row r="444" spans="1:13" x14ac:dyDescent="0.2">
      <c r="A444" s="18">
        <f t="shared" si="34"/>
        <v>441</v>
      </c>
      <c r="B444" s="18" t="s">
        <v>1930</v>
      </c>
      <c r="C444" s="18" t="s">
        <v>2534</v>
      </c>
      <c r="D444" s="19">
        <v>43837</v>
      </c>
      <c r="E444" s="18">
        <v>1</v>
      </c>
      <c r="F444" s="18">
        <v>5271</v>
      </c>
      <c r="G444" s="18">
        <v>20544804236</v>
      </c>
      <c r="H444" s="18"/>
      <c r="I444" s="18" t="s">
        <v>137</v>
      </c>
      <c r="J444" s="18" t="s">
        <v>2535</v>
      </c>
      <c r="K444" s="20">
        <v>266.94</v>
      </c>
      <c r="L444" s="51">
        <f t="shared" si="35"/>
        <v>48.049199999999999</v>
      </c>
      <c r="M444" s="52">
        <f t="shared" si="36"/>
        <v>314.98919999999998</v>
      </c>
    </row>
    <row r="445" spans="1:13" x14ac:dyDescent="0.2">
      <c r="A445" s="18">
        <f t="shared" si="34"/>
        <v>442</v>
      </c>
      <c r="B445" s="18" t="s">
        <v>1930</v>
      </c>
      <c r="C445" s="18" t="s">
        <v>2534</v>
      </c>
      <c r="D445" s="19">
        <v>43837</v>
      </c>
      <c r="E445" s="18" t="s">
        <v>201</v>
      </c>
      <c r="F445" s="18">
        <v>714</v>
      </c>
      <c r="G445" s="18">
        <v>10100087605</v>
      </c>
      <c r="H445" s="18"/>
      <c r="I445" s="18" t="s">
        <v>137</v>
      </c>
      <c r="J445" s="18" t="s">
        <v>2536</v>
      </c>
      <c r="K445" s="20">
        <v>29.66</v>
      </c>
      <c r="L445" s="51">
        <f t="shared" si="35"/>
        <v>5.3388</v>
      </c>
      <c r="M445" s="52">
        <f t="shared" si="36"/>
        <v>34.998800000000003</v>
      </c>
    </row>
    <row r="446" spans="1:13" x14ac:dyDescent="0.2">
      <c r="A446" s="18">
        <f t="shared" si="34"/>
        <v>443</v>
      </c>
      <c r="B446" s="18" t="s">
        <v>1966</v>
      </c>
      <c r="C446" s="18" t="s">
        <v>2537</v>
      </c>
      <c r="D446" s="19">
        <v>43837</v>
      </c>
      <c r="E446" s="18">
        <v>2</v>
      </c>
      <c r="F446" s="18">
        <v>2104</v>
      </c>
      <c r="G446" s="18">
        <v>10108700896</v>
      </c>
      <c r="H446" s="18"/>
      <c r="I446" s="18" t="s">
        <v>137</v>
      </c>
      <c r="J446" s="18" t="s">
        <v>1451</v>
      </c>
      <c r="K446" s="20">
        <v>152.54</v>
      </c>
      <c r="L446" s="51">
        <f t="shared" si="35"/>
        <v>27.457199999999997</v>
      </c>
      <c r="M446" s="52">
        <f t="shared" si="36"/>
        <v>179.99719999999999</v>
      </c>
    </row>
    <row r="447" spans="1:13" x14ac:dyDescent="0.2">
      <c r="A447" s="18">
        <f t="shared" si="34"/>
        <v>444</v>
      </c>
      <c r="B447" s="18" t="s">
        <v>1966</v>
      </c>
      <c r="C447" s="18" t="s">
        <v>2537</v>
      </c>
      <c r="D447" s="19">
        <v>43836</v>
      </c>
      <c r="E447" s="18">
        <v>1</v>
      </c>
      <c r="F447" s="18">
        <v>11121</v>
      </c>
      <c r="G447" s="18">
        <v>10061024650</v>
      </c>
      <c r="H447" s="18"/>
      <c r="I447" s="18" t="s">
        <v>137</v>
      </c>
      <c r="J447" s="18" t="s">
        <v>2538</v>
      </c>
      <c r="K447" s="20">
        <v>21.19</v>
      </c>
      <c r="L447" s="51">
        <f t="shared" si="35"/>
        <v>3.8142</v>
      </c>
      <c r="M447" s="52">
        <f t="shared" si="36"/>
        <v>25.004200000000001</v>
      </c>
    </row>
    <row r="448" spans="1:13" x14ac:dyDescent="0.2">
      <c r="A448" s="18">
        <f t="shared" si="34"/>
        <v>445</v>
      </c>
      <c r="B448" s="18" t="s">
        <v>1966</v>
      </c>
      <c r="C448" s="18" t="s">
        <v>2537</v>
      </c>
      <c r="D448" s="19">
        <v>43836</v>
      </c>
      <c r="E448" s="18">
        <v>1</v>
      </c>
      <c r="F448" s="18">
        <v>712</v>
      </c>
      <c r="G448" s="18">
        <v>10100087605</v>
      </c>
      <c r="H448" s="18"/>
      <c r="I448" s="18" t="s">
        <v>137</v>
      </c>
      <c r="J448" s="18" t="s">
        <v>944</v>
      </c>
      <c r="K448" s="20">
        <v>33.9</v>
      </c>
      <c r="L448" s="51">
        <f t="shared" si="35"/>
        <v>6.1019999999999994</v>
      </c>
      <c r="M448" s="52">
        <f t="shared" si="36"/>
        <v>40.001999999999995</v>
      </c>
    </row>
    <row r="449" spans="1:13" x14ac:dyDescent="0.2">
      <c r="A449" s="18">
        <f t="shared" si="34"/>
        <v>446</v>
      </c>
      <c r="B449" s="18" t="s">
        <v>1377</v>
      </c>
      <c r="C449" s="18" t="s">
        <v>1446</v>
      </c>
      <c r="D449" s="19">
        <v>43838</v>
      </c>
      <c r="E449" s="18" t="s">
        <v>463</v>
      </c>
      <c r="F449" s="18">
        <v>53431</v>
      </c>
      <c r="G449" s="18">
        <v>20493143612</v>
      </c>
      <c r="H449" s="18"/>
      <c r="I449" s="18" t="s">
        <v>137</v>
      </c>
      <c r="J449" s="18" t="s">
        <v>954</v>
      </c>
      <c r="K449" s="20">
        <v>42.37</v>
      </c>
      <c r="L449" s="51">
        <f t="shared" si="35"/>
        <v>7.6265999999999989</v>
      </c>
      <c r="M449" s="52">
        <f t="shared" si="36"/>
        <v>49.996599999999994</v>
      </c>
    </row>
    <row r="450" spans="1:13" x14ac:dyDescent="0.2">
      <c r="A450" s="18">
        <f t="shared" si="34"/>
        <v>447</v>
      </c>
      <c r="B450" s="18" t="s">
        <v>1930</v>
      </c>
      <c r="C450" s="18" t="s">
        <v>2534</v>
      </c>
      <c r="D450" s="19">
        <v>43838</v>
      </c>
      <c r="E450" s="18">
        <v>2</v>
      </c>
      <c r="F450" s="18">
        <v>844</v>
      </c>
      <c r="G450" s="18">
        <v>20525049028</v>
      </c>
      <c r="H450" s="18"/>
      <c r="I450" s="18" t="s">
        <v>137</v>
      </c>
      <c r="J450" s="18" t="s">
        <v>2539</v>
      </c>
      <c r="K450" s="20">
        <v>42.37</v>
      </c>
      <c r="L450" s="51">
        <f t="shared" si="35"/>
        <v>7.6265999999999989</v>
      </c>
      <c r="M450" s="52">
        <f t="shared" si="36"/>
        <v>49.996599999999994</v>
      </c>
    </row>
    <row r="451" spans="1:13" x14ac:dyDescent="0.2">
      <c r="A451" s="18">
        <f t="shared" si="34"/>
        <v>448</v>
      </c>
      <c r="B451" s="18" t="s">
        <v>1930</v>
      </c>
      <c r="C451" s="18" t="s">
        <v>2534</v>
      </c>
      <c r="D451" s="19">
        <v>43838</v>
      </c>
      <c r="E451" s="18">
        <v>3</v>
      </c>
      <c r="F451" s="18">
        <v>722</v>
      </c>
      <c r="G451" s="18">
        <v>20517318834</v>
      </c>
      <c r="H451" s="18"/>
      <c r="I451" s="18" t="s">
        <v>193</v>
      </c>
      <c r="J451" s="18" t="s">
        <v>2506</v>
      </c>
      <c r="K451" s="20">
        <v>38.14</v>
      </c>
      <c r="L451" s="51">
        <f t="shared" si="35"/>
        <v>6.8651999999999997</v>
      </c>
      <c r="M451" s="52">
        <f t="shared" si="36"/>
        <v>45.005200000000002</v>
      </c>
    </row>
    <row r="452" spans="1:13" x14ac:dyDescent="0.2">
      <c r="A452" s="18">
        <f t="shared" si="34"/>
        <v>449</v>
      </c>
      <c r="B452" s="18" t="s">
        <v>1965</v>
      </c>
      <c r="C452" s="18" t="s">
        <v>1018</v>
      </c>
      <c r="D452" s="19">
        <v>43838</v>
      </c>
      <c r="E452" s="18">
        <v>2</v>
      </c>
      <c r="F452" s="18">
        <v>3413</v>
      </c>
      <c r="G452" s="18">
        <v>10094103571</v>
      </c>
      <c r="H452" s="18"/>
      <c r="I452" s="18" t="s">
        <v>137</v>
      </c>
      <c r="J452" s="18" t="s">
        <v>2540</v>
      </c>
      <c r="K452" s="20">
        <v>59.32</v>
      </c>
      <c r="L452" s="51">
        <f t="shared" si="35"/>
        <v>10.6776</v>
      </c>
      <c r="M452" s="52">
        <f t="shared" si="36"/>
        <v>69.997600000000006</v>
      </c>
    </row>
    <row r="453" spans="1:13" x14ac:dyDescent="0.2">
      <c r="A453" s="18">
        <f t="shared" si="34"/>
        <v>450</v>
      </c>
      <c r="B453" s="18" t="s">
        <v>1369</v>
      </c>
      <c r="C453" s="18" t="s">
        <v>2507</v>
      </c>
      <c r="D453" s="19">
        <v>43838</v>
      </c>
      <c r="E453" s="18">
        <v>2</v>
      </c>
      <c r="F453" s="18">
        <v>544</v>
      </c>
      <c r="G453" s="18">
        <v>10101288698</v>
      </c>
      <c r="H453" s="18"/>
      <c r="I453" s="18" t="s">
        <v>193</v>
      </c>
      <c r="J453" s="18" t="s">
        <v>2541</v>
      </c>
      <c r="K453" s="20">
        <v>25.42</v>
      </c>
      <c r="L453" s="51">
        <f t="shared" si="35"/>
        <v>4.5756000000000006</v>
      </c>
      <c r="M453" s="52">
        <f t="shared" si="36"/>
        <v>29.995600000000003</v>
      </c>
    </row>
    <row r="454" spans="1:13" x14ac:dyDescent="0.2">
      <c r="A454" s="18">
        <f t="shared" si="34"/>
        <v>451</v>
      </c>
      <c r="B454" s="18" t="s">
        <v>1966</v>
      </c>
      <c r="C454" s="18" t="s">
        <v>2537</v>
      </c>
      <c r="D454" s="19">
        <v>43840</v>
      </c>
      <c r="E454" s="18">
        <v>2</v>
      </c>
      <c r="F454" s="18">
        <v>41</v>
      </c>
      <c r="G454" s="18">
        <v>10322741231</v>
      </c>
      <c r="H454" s="18"/>
      <c r="I454" s="18" t="s">
        <v>193</v>
      </c>
      <c r="J454" s="18" t="s">
        <v>410</v>
      </c>
      <c r="K454" s="20">
        <v>46.61</v>
      </c>
      <c r="L454" s="51">
        <f t="shared" si="35"/>
        <v>8.3897999999999993</v>
      </c>
      <c r="M454" s="52">
        <f t="shared" si="36"/>
        <v>54.9998</v>
      </c>
    </row>
    <row r="455" spans="1:13" x14ac:dyDescent="0.2">
      <c r="A455" s="18">
        <f t="shared" si="34"/>
        <v>452</v>
      </c>
      <c r="B455" s="18" t="s">
        <v>1966</v>
      </c>
      <c r="C455" s="18" t="s">
        <v>2537</v>
      </c>
      <c r="D455" s="19">
        <v>43838</v>
      </c>
      <c r="E455" s="18">
        <v>2</v>
      </c>
      <c r="F455" s="18">
        <v>545</v>
      </c>
      <c r="G455" s="18">
        <v>10101288698</v>
      </c>
      <c r="H455" s="18"/>
      <c r="I455" s="18" t="s">
        <v>193</v>
      </c>
      <c r="J455" s="18" t="s">
        <v>2541</v>
      </c>
      <c r="K455" s="20">
        <v>25.42</v>
      </c>
      <c r="L455" s="51">
        <f t="shared" si="35"/>
        <v>4.5756000000000006</v>
      </c>
      <c r="M455" s="52">
        <f t="shared" si="36"/>
        <v>29.995600000000003</v>
      </c>
    </row>
    <row r="456" spans="1:13" x14ac:dyDescent="0.2">
      <c r="A456" s="18">
        <f t="shared" si="34"/>
        <v>453</v>
      </c>
      <c r="B456" s="18" t="s">
        <v>1966</v>
      </c>
      <c r="C456" s="18" t="s">
        <v>2537</v>
      </c>
      <c r="D456" s="19">
        <v>43839</v>
      </c>
      <c r="E456" s="18" t="s">
        <v>200</v>
      </c>
      <c r="F456" s="18">
        <v>71729</v>
      </c>
      <c r="G456" s="18">
        <v>20493143612</v>
      </c>
      <c r="H456" s="18"/>
      <c r="I456" s="18" t="s">
        <v>137</v>
      </c>
      <c r="J456" s="18" t="s">
        <v>954</v>
      </c>
      <c r="K456" s="20">
        <v>42.37</v>
      </c>
      <c r="L456" s="51">
        <f t="shared" si="35"/>
        <v>7.6265999999999989</v>
      </c>
      <c r="M456" s="52">
        <f t="shared" si="36"/>
        <v>49.996599999999994</v>
      </c>
    </row>
    <row r="457" spans="1:13" x14ac:dyDescent="0.2">
      <c r="A457" s="18">
        <f t="shared" si="34"/>
        <v>454</v>
      </c>
      <c r="B457" s="18" t="s">
        <v>1965</v>
      </c>
      <c r="C457" s="18" t="s">
        <v>1018</v>
      </c>
      <c r="D457" s="19">
        <v>43839</v>
      </c>
      <c r="E457" s="18">
        <v>3</v>
      </c>
      <c r="F457" s="18">
        <v>724</v>
      </c>
      <c r="G457" s="18">
        <v>20517318834</v>
      </c>
      <c r="H457" s="18"/>
      <c r="I457" s="18" t="s">
        <v>137</v>
      </c>
      <c r="J457" s="18" t="s">
        <v>2542</v>
      </c>
      <c r="K457" s="20">
        <v>21.19</v>
      </c>
      <c r="L457" s="51">
        <f t="shared" si="35"/>
        <v>3.8142</v>
      </c>
      <c r="M457" s="52">
        <f t="shared" si="36"/>
        <v>25.004200000000001</v>
      </c>
    </row>
    <row r="458" spans="1:13" x14ac:dyDescent="0.2">
      <c r="A458" s="18">
        <f t="shared" si="34"/>
        <v>455</v>
      </c>
      <c r="B458" s="18" t="s">
        <v>1965</v>
      </c>
      <c r="C458" s="18" t="s">
        <v>1018</v>
      </c>
      <c r="D458" s="19">
        <v>43839</v>
      </c>
      <c r="E458" s="18">
        <v>3</v>
      </c>
      <c r="F458" s="18">
        <v>725</v>
      </c>
      <c r="G458" s="18">
        <v>20517318834</v>
      </c>
      <c r="H458" s="18"/>
      <c r="I458" s="18" t="s">
        <v>137</v>
      </c>
      <c r="J458" s="18" t="s">
        <v>2543</v>
      </c>
      <c r="K458" s="20">
        <v>25.42</v>
      </c>
      <c r="L458" s="51">
        <f t="shared" si="35"/>
        <v>4.5756000000000006</v>
      </c>
      <c r="M458" s="52">
        <f t="shared" si="36"/>
        <v>29.995600000000003</v>
      </c>
    </row>
    <row r="459" spans="1:13" x14ac:dyDescent="0.2">
      <c r="A459" s="18">
        <f t="shared" si="34"/>
        <v>456</v>
      </c>
      <c r="B459" s="18" t="s">
        <v>1965</v>
      </c>
      <c r="C459" s="18" t="s">
        <v>1018</v>
      </c>
      <c r="D459" s="19">
        <v>43839</v>
      </c>
      <c r="E459" s="18">
        <v>3</v>
      </c>
      <c r="F459" s="18">
        <v>723</v>
      </c>
      <c r="G459" s="18">
        <v>20517318834</v>
      </c>
      <c r="H459" s="18"/>
      <c r="I459" s="18" t="s">
        <v>137</v>
      </c>
      <c r="J459" s="18" t="s">
        <v>2118</v>
      </c>
      <c r="K459" s="20">
        <v>33.9</v>
      </c>
      <c r="L459" s="51">
        <f t="shared" si="35"/>
        <v>6.1019999999999994</v>
      </c>
      <c r="M459" s="52">
        <f t="shared" si="36"/>
        <v>40.001999999999995</v>
      </c>
    </row>
    <row r="460" spans="1:13" x14ac:dyDescent="0.2">
      <c r="A460" s="18">
        <f t="shared" si="34"/>
        <v>457</v>
      </c>
      <c r="B460" s="18" t="s">
        <v>2544</v>
      </c>
      <c r="C460" s="18" t="s">
        <v>2545</v>
      </c>
      <c r="D460" s="19">
        <v>43840</v>
      </c>
      <c r="E460" s="18">
        <v>1</v>
      </c>
      <c r="F460" s="18">
        <v>1356</v>
      </c>
      <c r="G460" s="18">
        <v>10068062948</v>
      </c>
      <c r="H460" s="18"/>
      <c r="I460" s="18" t="s">
        <v>137</v>
      </c>
      <c r="J460" s="18" t="s">
        <v>1439</v>
      </c>
      <c r="K460" s="20">
        <v>15</v>
      </c>
      <c r="L460" s="51">
        <f t="shared" si="35"/>
        <v>2.6999999999999997</v>
      </c>
      <c r="M460" s="52">
        <f t="shared" si="36"/>
        <v>17.7</v>
      </c>
    </row>
    <row r="461" spans="1:13" x14ac:dyDescent="0.2">
      <c r="A461" s="18">
        <f t="shared" si="34"/>
        <v>458</v>
      </c>
      <c r="B461" s="18" t="s">
        <v>1394</v>
      </c>
      <c r="C461" s="18" t="s">
        <v>1461</v>
      </c>
      <c r="D461" s="19">
        <v>43839</v>
      </c>
      <c r="E461" s="18">
        <v>1</v>
      </c>
      <c r="F461" s="18">
        <v>1355</v>
      </c>
      <c r="G461" s="18">
        <v>10068062948</v>
      </c>
      <c r="H461" s="18"/>
      <c r="I461" s="18" t="s">
        <v>137</v>
      </c>
      <c r="J461" s="18" t="s">
        <v>1439</v>
      </c>
      <c r="K461" s="20">
        <v>15</v>
      </c>
      <c r="L461" s="51">
        <f t="shared" si="35"/>
        <v>2.6999999999999997</v>
      </c>
      <c r="M461" s="52">
        <f t="shared" si="36"/>
        <v>17.7</v>
      </c>
    </row>
    <row r="462" spans="1:13" x14ac:dyDescent="0.2">
      <c r="A462" s="18">
        <f t="shared" si="34"/>
        <v>459</v>
      </c>
      <c r="B462" s="18" t="s">
        <v>1939</v>
      </c>
      <c r="C462" s="18" t="s">
        <v>2527</v>
      </c>
      <c r="D462" s="19">
        <v>43839</v>
      </c>
      <c r="E462" s="18" t="s">
        <v>200</v>
      </c>
      <c r="F462" s="18">
        <v>71759</v>
      </c>
      <c r="G462" s="18">
        <v>20493143612</v>
      </c>
      <c r="H462" s="18"/>
      <c r="I462" s="18" t="s">
        <v>137</v>
      </c>
      <c r="J462" s="18" t="s">
        <v>954</v>
      </c>
      <c r="K462" s="20">
        <v>42.37</v>
      </c>
      <c r="L462" s="51">
        <f t="shared" si="35"/>
        <v>7.6265999999999989</v>
      </c>
      <c r="M462" s="52">
        <f t="shared" si="36"/>
        <v>49.996599999999994</v>
      </c>
    </row>
    <row r="463" spans="1:13" x14ac:dyDescent="0.2">
      <c r="A463" s="18">
        <f t="shared" si="34"/>
        <v>460</v>
      </c>
      <c r="B463" s="18" t="s">
        <v>1390</v>
      </c>
      <c r="C463" s="18" t="s">
        <v>2495</v>
      </c>
      <c r="D463" s="19">
        <v>43839</v>
      </c>
      <c r="E463" s="18">
        <v>4</v>
      </c>
      <c r="F463" s="18">
        <v>4039</v>
      </c>
      <c r="G463" s="18">
        <v>10068060775</v>
      </c>
      <c r="H463" s="18"/>
      <c r="I463" s="18" t="s">
        <v>137</v>
      </c>
      <c r="J463" s="18" t="s">
        <v>456</v>
      </c>
      <c r="K463" s="20">
        <v>21.19</v>
      </c>
      <c r="L463" s="51">
        <f t="shared" si="35"/>
        <v>3.8142</v>
      </c>
      <c r="M463" s="52">
        <f t="shared" si="36"/>
        <v>25.004200000000001</v>
      </c>
    </row>
    <row r="464" spans="1:13" x14ac:dyDescent="0.2">
      <c r="A464" s="18">
        <f t="shared" si="34"/>
        <v>461</v>
      </c>
      <c r="B464" s="18" t="s">
        <v>2544</v>
      </c>
      <c r="C464" s="18" t="s">
        <v>2545</v>
      </c>
      <c r="D464" s="19">
        <v>43840</v>
      </c>
      <c r="E464" s="18" t="s">
        <v>200</v>
      </c>
      <c r="F464" s="18">
        <v>71825</v>
      </c>
      <c r="G464" s="18">
        <v>20493143612</v>
      </c>
      <c r="H464" s="18"/>
      <c r="I464" s="18" t="s">
        <v>137</v>
      </c>
      <c r="J464" s="18" t="s">
        <v>954</v>
      </c>
      <c r="K464" s="20">
        <v>42.37</v>
      </c>
      <c r="L464" s="51">
        <f t="shared" si="35"/>
        <v>7.6265999999999989</v>
      </c>
      <c r="M464" s="52">
        <f t="shared" si="36"/>
        <v>49.996599999999994</v>
      </c>
    </row>
    <row r="465" spans="1:13" x14ac:dyDescent="0.2">
      <c r="A465" s="18">
        <f t="shared" si="34"/>
        <v>462</v>
      </c>
      <c r="B465" s="18" t="s">
        <v>1930</v>
      </c>
      <c r="C465" s="18" t="s">
        <v>2534</v>
      </c>
      <c r="D465" s="19">
        <v>43840</v>
      </c>
      <c r="E465" s="18" t="s">
        <v>463</v>
      </c>
      <c r="F465" s="18">
        <v>53604</v>
      </c>
      <c r="G465" s="18">
        <v>20493143612</v>
      </c>
      <c r="H465" s="18"/>
      <c r="I465" s="18" t="s">
        <v>137</v>
      </c>
      <c r="J465" s="18" t="s">
        <v>954</v>
      </c>
      <c r="K465" s="20">
        <v>42.37</v>
      </c>
      <c r="L465" s="51">
        <f t="shared" si="35"/>
        <v>7.6265999999999989</v>
      </c>
      <c r="M465" s="52">
        <f t="shared" si="36"/>
        <v>49.996599999999994</v>
      </c>
    </row>
    <row r="466" spans="1:13" x14ac:dyDescent="0.2">
      <c r="A466" s="18">
        <f t="shared" si="34"/>
        <v>463</v>
      </c>
      <c r="B466" s="18" t="s">
        <v>1390</v>
      </c>
      <c r="C466" s="18" t="s">
        <v>2495</v>
      </c>
      <c r="D466" s="19">
        <v>43840</v>
      </c>
      <c r="E466" s="18">
        <v>1</v>
      </c>
      <c r="F466" s="18">
        <v>759</v>
      </c>
      <c r="G466" s="18">
        <v>20600639634</v>
      </c>
      <c r="H466" s="18"/>
      <c r="I466" s="18" t="s">
        <v>137</v>
      </c>
      <c r="J466" s="18" t="s">
        <v>2546</v>
      </c>
      <c r="K466" s="20">
        <v>16.95</v>
      </c>
      <c r="L466" s="51">
        <f t="shared" si="35"/>
        <v>3.0509999999999997</v>
      </c>
      <c r="M466" s="52">
        <f t="shared" si="36"/>
        <v>20.000999999999998</v>
      </c>
    </row>
    <row r="467" spans="1:13" x14ac:dyDescent="0.2">
      <c r="A467" s="18">
        <f t="shared" si="34"/>
        <v>464</v>
      </c>
      <c r="B467" s="18" t="s">
        <v>2547</v>
      </c>
      <c r="C467" s="18" t="s">
        <v>2548</v>
      </c>
      <c r="D467" s="19">
        <v>43840</v>
      </c>
      <c r="E467" s="18" t="s">
        <v>200</v>
      </c>
      <c r="F467" s="18">
        <v>71828</v>
      </c>
      <c r="G467" s="18">
        <v>20493143612</v>
      </c>
      <c r="H467" s="18"/>
      <c r="I467" s="18" t="s">
        <v>137</v>
      </c>
      <c r="J467" s="18" t="s">
        <v>954</v>
      </c>
      <c r="K467" s="20">
        <v>42.37</v>
      </c>
      <c r="L467" s="51">
        <f t="shared" si="35"/>
        <v>7.6265999999999989</v>
      </c>
      <c r="M467" s="52">
        <f t="shared" si="36"/>
        <v>49.996599999999994</v>
      </c>
    </row>
    <row r="468" spans="1:13" x14ac:dyDescent="0.2">
      <c r="A468" s="18">
        <f t="shared" si="34"/>
        <v>465</v>
      </c>
      <c r="B468" s="18" t="s">
        <v>1966</v>
      </c>
      <c r="C468" s="18" t="s">
        <v>2537</v>
      </c>
      <c r="D468" s="19">
        <v>43840</v>
      </c>
      <c r="E468" s="18">
        <v>1</v>
      </c>
      <c r="F468" s="18">
        <v>1357</v>
      </c>
      <c r="G468" s="18">
        <v>10068062948</v>
      </c>
      <c r="H468" s="18"/>
      <c r="I468" s="18" t="s">
        <v>137</v>
      </c>
      <c r="J468" s="18" t="s">
        <v>1439</v>
      </c>
      <c r="K468" s="20">
        <v>15</v>
      </c>
      <c r="L468" s="51">
        <f t="shared" si="35"/>
        <v>2.6999999999999997</v>
      </c>
      <c r="M468" s="52">
        <f t="shared" si="36"/>
        <v>17.7</v>
      </c>
    </row>
    <row r="469" spans="1:13" x14ac:dyDescent="0.2">
      <c r="A469" s="18">
        <f t="shared" si="34"/>
        <v>466</v>
      </c>
      <c r="B469" s="18" t="s">
        <v>1939</v>
      </c>
      <c r="C469" s="18" t="s">
        <v>2527</v>
      </c>
      <c r="D469" s="19">
        <v>43841</v>
      </c>
      <c r="E469" s="18">
        <v>1</v>
      </c>
      <c r="F469" s="18">
        <v>761</v>
      </c>
      <c r="G469" s="18">
        <v>20600639436</v>
      </c>
      <c r="H469" s="18"/>
      <c r="I469" s="18" t="s">
        <v>137</v>
      </c>
      <c r="J469" s="18" t="s">
        <v>2549</v>
      </c>
      <c r="K469" s="20">
        <v>20</v>
      </c>
      <c r="L469" s="51">
        <f t="shared" si="35"/>
        <v>3.5999999999999996</v>
      </c>
      <c r="M469" s="52">
        <f t="shared" si="36"/>
        <v>23.6</v>
      </c>
    </row>
    <row r="470" spans="1:13" x14ac:dyDescent="0.2">
      <c r="A470" s="18">
        <f t="shared" si="34"/>
        <v>467</v>
      </c>
      <c r="B470" s="18" t="s">
        <v>2550</v>
      </c>
      <c r="C470" s="18" t="s">
        <v>2551</v>
      </c>
      <c r="D470" s="19">
        <v>43841</v>
      </c>
      <c r="E470" s="18" t="s">
        <v>197</v>
      </c>
      <c r="F470" s="18">
        <v>38357</v>
      </c>
      <c r="G470" s="18">
        <v>20493143612</v>
      </c>
      <c r="H470" s="18"/>
      <c r="I470" s="18" t="s">
        <v>137</v>
      </c>
      <c r="J470" s="18" t="s">
        <v>954</v>
      </c>
      <c r="K470" s="20">
        <v>42.37</v>
      </c>
      <c r="L470" s="51">
        <f t="shared" si="35"/>
        <v>7.6265999999999989</v>
      </c>
      <c r="M470" s="52">
        <f t="shared" si="36"/>
        <v>49.996599999999994</v>
      </c>
    </row>
    <row r="471" spans="1:13" x14ac:dyDescent="0.2">
      <c r="A471" s="18">
        <f t="shared" si="34"/>
        <v>468</v>
      </c>
      <c r="B471" s="18" t="s">
        <v>2512</v>
      </c>
      <c r="C471" s="18" t="s">
        <v>2552</v>
      </c>
      <c r="D471" s="19">
        <v>43841</v>
      </c>
      <c r="E471" s="18">
        <v>2</v>
      </c>
      <c r="F471" s="18">
        <v>848</v>
      </c>
      <c r="G471" s="18">
        <v>20525049028</v>
      </c>
      <c r="H471" s="18"/>
      <c r="I471" s="18" t="s">
        <v>137</v>
      </c>
      <c r="J471" s="18" t="s">
        <v>2553</v>
      </c>
      <c r="K471" s="20">
        <v>12.72</v>
      </c>
      <c r="L471" s="51">
        <f t="shared" si="35"/>
        <v>2.2896000000000001</v>
      </c>
      <c r="M471" s="52">
        <f t="shared" si="36"/>
        <v>15.009600000000001</v>
      </c>
    </row>
    <row r="472" spans="1:13" x14ac:dyDescent="0.2">
      <c r="A472" s="18">
        <f t="shared" si="34"/>
        <v>469</v>
      </c>
      <c r="B472" s="18" t="s">
        <v>1017</v>
      </c>
      <c r="C472" s="18" t="s">
        <v>1018</v>
      </c>
      <c r="D472" s="19">
        <v>43843</v>
      </c>
      <c r="E472" s="18">
        <v>1</v>
      </c>
      <c r="F472" s="18">
        <v>215</v>
      </c>
      <c r="G472" s="18">
        <v>20546227082</v>
      </c>
      <c r="H472" s="18"/>
      <c r="I472" s="18" t="s">
        <v>137</v>
      </c>
      <c r="J472" s="18" t="s">
        <v>2554</v>
      </c>
      <c r="K472" s="20">
        <v>25.42</v>
      </c>
      <c r="L472" s="51">
        <f t="shared" si="35"/>
        <v>4.5756000000000006</v>
      </c>
      <c r="M472" s="52">
        <f t="shared" si="36"/>
        <v>29.995600000000003</v>
      </c>
    </row>
    <row r="473" spans="1:13" x14ac:dyDescent="0.2">
      <c r="A473" s="18">
        <f t="shared" si="34"/>
        <v>470</v>
      </c>
      <c r="B473" s="18" t="s">
        <v>1965</v>
      </c>
      <c r="C473" s="18" t="s">
        <v>1018</v>
      </c>
      <c r="D473" s="19">
        <v>43844</v>
      </c>
      <c r="E473" s="18" t="s">
        <v>197</v>
      </c>
      <c r="F473" s="18">
        <v>38562</v>
      </c>
      <c r="G473" s="18">
        <v>20493143612</v>
      </c>
      <c r="H473" s="18"/>
      <c r="I473" s="18" t="s">
        <v>137</v>
      </c>
      <c r="J473" s="18" t="s">
        <v>954</v>
      </c>
      <c r="K473" s="20">
        <v>42.37</v>
      </c>
      <c r="L473" s="49">
        <f t="shared" ref="L473:L502" si="37">+K473*18%</f>
        <v>7.6265999999999989</v>
      </c>
      <c r="M473" s="50">
        <f>+K473+L473</f>
        <v>49.996599999999994</v>
      </c>
    </row>
    <row r="474" spans="1:13" x14ac:dyDescent="0.2">
      <c r="A474" s="18">
        <f t="shared" si="34"/>
        <v>471</v>
      </c>
      <c r="B474" s="18" t="s">
        <v>1377</v>
      </c>
      <c r="C474" s="18" t="s">
        <v>1446</v>
      </c>
      <c r="D474" s="19">
        <v>43832</v>
      </c>
      <c r="E474" s="18">
        <v>2</v>
      </c>
      <c r="F474" s="18">
        <v>29</v>
      </c>
      <c r="G474" s="18">
        <v>10322741231</v>
      </c>
      <c r="H474" s="18"/>
      <c r="I474" s="18" t="s">
        <v>193</v>
      </c>
      <c r="J474" s="18" t="s">
        <v>410</v>
      </c>
      <c r="K474" s="20">
        <v>55.08</v>
      </c>
      <c r="L474" s="49">
        <f t="shared" si="37"/>
        <v>9.9143999999999988</v>
      </c>
      <c r="M474" s="50">
        <f t="shared" ref="M474:M502" si="38">+K474+L474</f>
        <v>64.994399999999999</v>
      </c>
    </row>
    <row r="475" spans="1:13" x14ac:dyDescent="0.2">
      <c r="A475" s="18">
        <f t="shared" si="34"/>
        <v>472</v>
      </c>
      <c r="B475" s="18" t="s">
        <v>1394</v>
      </c>
      <c r="C475" s="18" t="s">
        <v>1461</v>
      </c>
      <c r="D475" s="19">
        <v>43832</v>
      </c>
      <c r="E475" s="18" t="s">
        <v>463</v>
      </c>
      <c r="F475" s="18">
        <v>53185</v>
      </c>
      <c r="G475" s="18">
        <v>20493143612</v>
      </c>
      <c r="H475" s="18"/>
      <c r="I475" s="18" t="s">
        <v>137</v>
      </c>
      <c r="J475" s="18" t="s">
        <v>954</v>
      </c>
      <c r="K475" s="20">
        <v>42.37</v>
      </c>
      <c r="L475" s="49">
        <f t="shared" si="37"/>
        <v>7.6265999999999989</v>
      </c>
      <c r="M475" s="50">
        <f t="shared" si="38"/>
        <v>49.996599999999994</v>
      </c>
    </row>
    <row r="476" spans="1:13" x14ac:dyDescent="0.2">
      <c r="A476" s="18">
        <f t="shared" si="34"/>
        <v>473</v>
      </c>
      <c r="B476" s="18" t="s">
        <v>2555</v>
      </c>
      <c r="C476" s="18" t="s">
        <v>2556</v>
      </c>
      <c r="D476" s="19">
        <v>43845</v>
      </c>
      <c r="E476" s="18">
        <v>4</v>
      </c>
      <c r="F476" s="18">
        <v>2192</v>
      </c>
      <c r="G476" s="18">
        <v>10088417122</v>
      </c>
      <c r="H476" s="18"/>
      <c r="I476" s="18" t="s">
        <v>193</v>
      </c>
      <c r="J476" s="18" t="s">
        <v>2557</v>
      </c>
      <c r="K476" s="20">
        <v>7.62</v>
      </c>
      <c r="L476" s="49">
        <f t="shared" si="37"/>
        <v>1.3715999999999999</v>
      </c>
      <c r="M476" s="50">
        <f t="shared" si="38"/>
        <v>8.9916</v>
      </c>
    </row>
    <row r="477" spans="1:13" x14ac:dyDescent="0.2">
      <c r="A477" s="18">
        <f t="shared" si="34"/>
        <v>474</v>
      </c>
      <c r="B477" s="18" t="s">
        <v>2555</v>
      </c>
      <c r="C477" s="18" t="s">
        <v>2556</v>
      </c>
      <c r="D477" s="19">
        <v>43845</v>
      </c>
      <c r="E477" s="18" t="s">
        <v>201</v>
      </c>
      <c r="F477" s="18">
        <v>735</v>
      </c>
      <c r="G477" s="18">
        <v>10100087605</v>
      </c>
      <c r="H477" s="18"/>
      <c r="I477" s="18" t="s">
        <v>137</v>
      </c>
      <c r="J477" s="18" t="s">
        <v>253</v>
      </c>
      <c r="K477" s="20">
        <v>33.9</v>
      </c>
      <c r="L477" s="49">
        <f t="shared" si="37"/>
        <v>6.1019999999999994</v>
      </c>
      <c r="M477" s="50">
        <f t="shared" si="38"/>
        <v>40.001999999999995</v>
      </c>
    </row>
    <row r="478" spans="1:13" x14ac:dyDescent="0.2">
      <c r="A478" s="18">
        <f t="shared" si="34"/>
        <v>475</v>
      </c>
      <c r="B478" s="18" t="s">
        <v>1965</v>
      </c>
      <c r="C478" s="18" t="s">
        <v>1018</v>
      </c>
      <c r="D478" s="19">
        <v>43845</v>
      </c>
      <c r="E478" s="18">
        <v>2</v>
      </c>
      <c r="F478" s="18">
        <v>850</v>
      </c>
      <c r="G478" s="18">
        <v>20525049028</v>
      </c>
      <c r="H478" s="18">
        <v>13164</v>
      </c>
      <c r="I478" s="18" t="s">
        <v>137</v>
      </c>
      <c r="J478" s="18" t="s">
        <v>2558</v>
      </c>
      <c r="K478" s="20">
        <v>42.37</v>
      </c>
      <c r="L478" s="49">
        <f t="shared" si="37"/>
        <v>7.6265999999999989</v>
      </c>
      <c r="M478" s="50">
        <f t="shared" si="38"/>
        <v>49.996599999999994</v>
      </c>
    </row>
    <row r="479" spans="1:13" x14ac:dyDescent="0.2">
      <c r="A479" s="18">
        <f t="shared" si="34"/>
        <v>476</v>
      </c>
      <c r="B479" s="18" t="s">
        <v>1965</v>
      </c>
      <c r="C479" s="18" t="s">
        <v>1018</v>
      </c>
      <c r="D479" s="19">
        <v>43846</v>
      </c>
      <c r="E479" s="18">
        <v>1</v>
      </c>
      <c r="F479" s="18">
        <v>1360</v>
      </c>
      <c r="G479" s="18">
        <v>10068062948</v>
      </c>
      <c r="H479" s="18">
        <v>13164</v>
      </c>
      <c r="I479" s="18" t="s">
        <v>137</v>
      </c>
      <c r="J479" s="18" t="s">
        <v>1439</v>
      </c>
      <c r="K479" s="20">
        <v>15</v>
      </c>
      <c r="L479" s="49">
        <f t="shared" si="37"/>
        <v>2.6999999999999997</v>
      </c>
      <c r="M479" s="50">
        <f t="shared" si="38"/>
        <v>17.7</v>
      </c>
    </row>
    <row r="480" spans="1:13" x14ac:dyDescent="0.2">
      <c r="A480" s="18">
        <f t="shared" si="34"/>
        <v>477</v>
      </c>
      <c r="B480" s="18" t="s">
        <v>2547</v>
      </c>
      <c r="C480" s="18" t="s">
        <v>2548</v>
      </c>
      <c r="D480" s="19">
        <v>43845</v>
      </c>
      <c r="E480" s="18">
        <v>2</v>
      </c>
      <c r="F480" s="18">
        <v>548</v>
      </c>
      <c r="G480" s="18">
        <v>10101288698</v>
      </c>
      <c r="H480" s="18"/>
      <c r="I480" s="18" t="s">
        <v>193</v>
      </c>
      <c r="J480" s="18" t="s">
        <v>2559</v>
      </c>
      <c r="K480" s="20">
        <v>76.27</v>
      </c>
      <c r="L480" s="49">
        <f t="shared" si="37"/>
        <v>13.728599999999998</v>
      </c>
      <c r="M480" s="50">
        <f t="shared" si="38"/>
        <v>89.998599999999996</v>
      </c>
    </row>
    <row r="481" spans="1:13" x14ac:dyDescent="0.2">
      <c r="A481" s="18">
        <f t="shared" ref="A481:A544" si="39">+A480+1</f>
        <v>478</v>
      </c>
      <c r="B481" s="18" t="s">
        <v>2547</v>
      </c>
      <c r="C481" s="18" t="s">
        <v>2548</v>
      </c>
      <c r="D481" s="19">
        <v>43844</v>
      </c>
      <c r="E481" s="18">
        <v>1</v>
      </c>
      <c r="F481" s="18">
        <v>5283</v>
      </c>
      <c r="G481" s="18">
        <v>20544804236</v>
      </c>
      <c r="H481" s="18"/>
      <c r="I481" s="18" t="s">
        <v>137</v>
      </c>
      <c r="J481" s="18" t="s">
        <v>1423</v>
      </c>
      <c r="K481" s="20">
        <v>29.66</v>
      </c>
      <c r="L481" s="49">
        <f t="shared" si="37"/>
        <v>5.3388</v>
      </c>
      <c r="M481" s="50">
        <f t="shared" si="38"/>
        <v>34.998800000000003</v>
      </c>
    </row>
    <row r="482" spans="1:13" x14ac:dyDescent="0.2">
      <c r="A482" s="18">
        <f t="shared" si="39"/>
        <v>479</v>
      </c>
      <c r="B482" s="18" t="s">
        <v>2547</v>
      </c>
      <c r="C482" s="18" t="s">
        <v>2548</v>
      </c>
      <c r="D482" s="19">
        <v>43844</v>
      </c>
      <c r="E482" s="18">
        <v>2</v>
      </c>
      <c r="F482" s="18">
        <v>43</v>
      </c>
      <c r="G482" s="18">
        <v>10322741231</v>
      </c>
      <c r="H482" s="18"/>
      <c r="I482" s="18" t="s">
        <v>193</v>
      </c>
      <c r="J482" s="18" t="s">
        <v>410</v>
      </c>
      <c r="K482" s="20">
        <v>101.69</v>
      </c>
      <c r="L482" s="49">
        <f t="shared" si="37"/>
        <v>18.304199999999998</v>
      </c>
      <c r="M482" s="50">
        <f t="shared" si="38"/>
        <v>119.99419999999999</v>
      </c>
    </row>
    <row r="483" spans="1:13" x14ac:dyDescent="0.2">
      <c r="A483" s="18">
        <f t="shared" si="39"/>
        <v>480</v>
      </c>
      <c r="B483" s="18" t="s">
        <v>2547</v>
      </c>
      <c r="C483" s="18" t="s">
        <v>2548</v>
      </c>
      <c r="D483" s="19">
        <v>43844</v>
      </c>
      <c r="E483" s="18">
        <v>1</v>
      </c>
      <c r="F483" s="18">
        <v>6407</v>
      </c>
      <c r="G483" s="18">
        <v>10470900020</v>
      </c>
      <c r="H483" s="18"/>
      <c r="I483" s="18" t="s">
        <v>137</v>
      </c>
      <c r="J483" s="18" t="s">
        <v>1451</v>
      </c>
      <c r="K483" s="20">
        <v>152.54</v>
      </c>
      <c r="L483" s="49">
        <f t="shared" si="37"/>
        <v>27.457199999999997</v>
      </c>
      <c r="M483" s="50">
        <f t="shared" si="38"/>
        <v>179.99719999999999</v>
      </c>
    </row>
    <row r="484" spans="1:13" x14ac:dyDescent="0.2">
      <c r="A484" s="18">
        <f t="shared" si="39"/>
        <v>481</v>
      </c>
      <c r="B484" s="18" t="s">
        <v>2547</v>
      </c>
      <c r="C484" s="18" t="s">
        <v>2548</v>
      </c>
      <c r="D484" s="19">
        <v>43844</v>
      </c>
      <c r="E484" s="18" t="s">
        <v>201</v>
      </c>
      <c r="F484" s="18">
        <v>731</v>
      </c>
      <c r="G484" s="18">
        <v>10100087605</v>
      </c>
      <c r="H484" s="18"/>
      <c r="I484" s="18" t="s">
        <v>137</v>
      </c>
      <c r="J484" s="18" t="s">
        <v>944</v>
      </c>
      <c r="K484" s="20">
        <v>33.9</v>
      </c>
      <c r="L484" s="49">
        <f t="shared" si="37"/>
        <v>6.1019999999999994</v>
      </c>
      <c r="M484" s="50">
        <f t="shared" si="38"/>
        <v>40.001999999999995</v>
      </c>
    </row>
    <row r="485" spans="1:13" x14ac:dyDescent="0.2">
      <c r="A485" s="18">
        <f t="shared" si="39"/>
        <v>482</v>
      </c>
      <c r="B485" s="18" t="s">
        <v>2547</v>
      </c>
      <c r="C485" s="18" t="s">
        <v>2548</v>
      </c>
      <c r="D485" s="19">
        <v>43844</v>
      </c>
      <c r="E485" s="18" t="s">
        <v>201</v>
      </c>
      <c r="F485" s="18">
        <v>159</v>
      </c>
      <c r="G485" s="18">
        <v>10464686423</v>
      </c>
      <c r="H485" s="18"/>
      <c r="I485" s="18" t="s">
        <v>193</v>
      </c>
      <c r="J485" s="18" t="s">
        <v>1599</v>
      </c>
      <c r="K485" s="20">
        <v>50.84</v>
      </c>
      <c r="L485" s="49">
        <f t="shared" si="37"/>
        <v>9.1512000000000011</v>
      </c>
      <c r="M485" s="50">
        <f t="shared" si="38"/>
        <v>59.991200000000006</v>
      </c>
    </row>
    <row r="486" spans="1:13" x14ac:dyDescent="0.2">
      <c r="A486" s="18">
        <f t="shared" si="39"/>
        <v>483</v>
      </c>
      <c r="B486" s="18" t="s">
        <v>2560</v>
      </c>
      <c r="C486" s="18" t="s">
        <v>2561</v>
      </c>
      <c r="D486" s="19">
        <v>43848</v>
      </c>
      <c r="E486" s="18">
        <v>1</v>
      </c>
      <c r="F486" s="18">
        <v>23462</v>
      </c>
      <c r="G486" s="18">
        <v>10077901472</v>
      </c>
      <c r="H486" s="18"/>
      <c r="I486" s="18" t="s">
        <v>193</v>
      </c>
      <c r="J486" s="18" t="s">
        <v>2474</v>
      </c>
      <c r="K486" s="20">
        <v>105.93</v>
      </c>
      <c r="L486" s="49">
        <f t="shared" si="37"/>
        <v>19.067399999999999</v>
      </c>
      <c r="M486" s="50">
        <f t="shared" si="38"/>
        <v>124.9974</v>
      </c>
    </row>
    <row r="487" spans="1:13" x14ac:dyDescent="0.2">
      <c r="A487" s="18">
        <f t="shared" si="39"/>
        <v>484</v>
      </c>
      <c r="B487" s="18" t="s">
        <v>1369</v>
      </c>
      <c r="C487" s="18" t="s">
        <v>2507</v>
      </c>
      <c r="D487" s="19">
        <v>43846</v>
      </c>
      <c r="E487" s="18">
        <v>1</v>
      </c>
      <c r="F487" s="18">
        <v>766</v>
      </c>
      <c r="G487" s="18">
        <v>20600639634</v>
      </c>
      <c r="H487" s="18"/>
      <c r="I487" s="18" t="s">
        <v>137</v>
      </c>
      <c r="J487" s="18" t="s">
        <v>2562</v>
      </c>
      <c r="K487" s="20">
        <v>110</v>
      </c>
      <c r="L487" s="49">
        <f t="shared" si="37"/>
        <v>19.8</v>
      </c>
      <c r="M487" s="50">
        <f t="shared" si="38"/>
        <v>129.80000000000001</v>
      </c>
    </row>
    <row r="488" spans="1:13" x14ac:dyDescent="0.2">
      <c r="A488" s="18">
        <f t="shared" si="39"/>
        <v>485</v>
      </c>
      <c r="B488" s="18" t="s">
        <v>1369</v>
      </c>
      <c r="C488" s="18" t="s">
        <v>2507</v>
      </c>
      <c r="D488" s="19">
        <v>43845</v>
      </c>
      <c r="E488" s="18">
        <v>1</v>
      </c>
      <c r="F488" s="18">
        <v>765</v>
      </c>
      <c r="G488" s="18">
        <v>20600639634</v>
      </c>
      <c r="H488" s="18"/>
      <c r="I488" s="18" t="s">
        <v>137</v>
      </c>
      <c r="J488" s="18" t="s">
        <v>1439</v>
      </c>
      <c r="K488" s="20">
        <v>20</v>
      </c>
      <c r="L488" s="49">
        <f t="shared" si="37"/>
        <v>3.5999999999999996</v>
      </c>
      <c r="M488" s="50">
        <f t="shared" si="38"/>
        <v>23.6</v>
      </c>
    </row>
    <row r="489" spans="1:13" x14ac:dyDescent="0.2">
      <c r="A489" s="18">
        <f t="shared" si="39"/>
        <v>486</v>
      </c>
      <c r="B489" s="18" t="s">
        <v>1998</v>
      </c>
      <c r="C489" s="18" t="s">
        <v>2514</v>
      </c>
      <c r="D489" s="19">
        <v>43846</v>
      </c>
      <c r="E489" s="18">
        <v>3</v>
      </c>
      <c r="F489" s="18">
        <v>3</v>
      </c>
      <c r="G489" s="18">
        <v>10095656591</v>
      </c>
      <c r="H489" s="18"/>
      <c r="I489" s="18" t="s">
        <v>137</v>
      </c>
      <c r="J489" s="18" t="s">
        <v>408</v>
      </c>
      <c r="K489" s="20">
        <v>33.9</v>
      </c>
      <c r="L489" s="49">
        <f t="shared" si="37"/>
        <v>6.1019999999999994</v>
      </c>
      <c r="M489" s="50">
        <f t="shared" si="38"/>
        <v>40.001999999999995</v>
      </c>
    </row>
    <row r="490" spans="1:13" x14ac:dyDescent="0.2">
      <c r="A490" s="18">
        <f t="shared" si="39"/>
        <v>487</v>
      </c>
      <c r="B490" s="18" t="s">
        <v>2563</v>
      </c>
      <c r="C490" s="18" t="s">
        <v>2564</v>
      </c>
      <c r="D490" s="19">
        <v>43846</v>
      </c>
      <c r="E490" s="18">
        <v>1</v>
      </c>
      <c r="F490" s="18">
        <v>11132</v>
      </c>
      <c r="G490" s="18">
        <v>10061024650</v>
      </c>
      <c r="H490" s="18">
        <v>13209</v>
      </c>
      <c r="I490" s="18" t="s">
        <v>137</v>
      </c>
      <c r="J490" s="18" t="s">
        <v>2538</v>
      </c>
      <c r="K490" s="20">
        <v>33.9</v>
      </c>
      <c r="L490" s="49">
        <f t="shared" si="37"/>
        <v>6.1019999999999994</v>
      </c>
      <c r="M490" s="50">
        <f t="shared" si="38"/>
        <v>40.001999999999995</v>
      </c>
    </row>
    <row r="491" spans="1:13" x14ac:dyDescent="0.2">
      <c r="A491" s="18">
        <f t="shared" si="39"/>
        <v>488</v>
      </c>
      <c r="B491" s="18" t="s">
        <v>2563</v>
      </c>
      <c r="C491" s="18" t="s">
        <v>2564</v>
      </c>
      <c r="D491" s="19">
        <v>43847</v>
      </c>
      <c r="E491" s="18">
        <v>1</v>
      </c>
      <c r="F491" s="18">
        <v>1361</v>
      </c>
      <c r="G491" s="18">
        <v>10068062948</v>
      </c>
      <c r="H491" s="18">
        <v>13209</v>
      </c>
      <c r="I491" s="18" t="s">
        <v>137</v>
      </c>
      <c r="J491" s="18" t="s">
        <v>1439</v>
      </c>
      <c r="K491" s="20">
        <v>15</v>
      </c>
      <c r="L491" s="49">
        <f t="shared" si="37"/>
        <v>2.6999999999999997</v>
      </c>
      <c r="M491" s="50">
        <f t="shared" si="38"/>
        <v>17.7</v>
      </c>
    </row>
    <row r="492" spans="1:13" x14ac:dyDescent="0.2">
      <c r="A492" s="18">
        <f t="shared" si="39"/>
        <v>489</v>
      </c>
      <c r="B492" s="18" t="s">
        <v>2555</v>
      </c>
      <c r="C492" s="18" t="s">
        <v>2556</v>
      </c>
      <c r="D492" s="19">
        <v>43846</v>
      </c>
      <c r="E492" s="18">
        <v>23</v>
      </c>
      <c r="F492" s="18">
        <v>19</v>
      </c>
      <c r="G492" s="18">
        <v>20513091380</v>
      </c>
      <c r="H492" s="18">
        <v>13219</v>
      </c>
      <c r="I492" s="18" t="s">
        <v>137</v>
      </c>
      <c r="J492" s="18" t="s">
        <v>2565</v>
      </c>
      <c r="K492" s="20">
        <v>5.93</v>
      </c>
      <c r="L492" s="49">
        <f t="shared" si="37"/>
        <v>1.0673999999999999</v>
      </c>
      <c r="M492" s="50">
        <f t="shared" si="38"/>
        <v>6.9973999999999998</v>
      </c>
    </row>
    <row r="493" spans="1:13" x14ac:dyDescent="0.2">
      <c r="A493" s="18">
        <f t="shared" si="39"/>
        <v>490</v>
      </c>
      <c r="B493" s="18" t="s">
        <v>2555</v>
      </c>
      <c r="C493" s="18" t="s">
        <v>2556</v>
      </c>
      <c r="D493" s="19">
        <v>43847</v>
      </c>
      <c r="E493" s="18">
        <v>1</v>
      </c>
      <c r="F493" s="18">
        <v>1383</v>
      </c>
      <c r="G493" s="18">
        <v>10157000930</v>
      </c>
      <c r="H493" s="18">
        <v>13219</v>
      </c>
      <c r="I493" s="18" t="s">
        <v>137</v>
      </c>
      <c r="J493" s="18" t="s">
        <v>2546</v>
      </c>
      <c r="K493" s="20">
        <v>20</v>
      </c>
      <c r="L493" s="49">
        <f t="shared" si="37"/>
        <v>3.5999999999999996</v>
      </c>
      <c r="M493" s="50">
        <f t="shared" si="38"/>
        <v>23.6</v>
      </c>
    </row>
    <row r="494" spans="1:13" x14ac:dyDescent="0.2">
      <c r="A494" s="18">
        <f t="shared" si="39"/>
        <v>491</v>
      </c>
      <c r="B494" s="18" t="s">
        <v>1377</v>
      </c>
      <c r="C494" s="18" t="s">
        <v>1446</v>
      </c>
      <c r="D494" s="19">
        <v>43846</v>
      </c>
      <c r="E494" s="18">
        <v>3</v>
      </c>
      <c r="F494" s="18">
        <v>641</v>
      </c>
      <c r="G494" s="18">
        <v>20547168349</v>
      </c>
      <c r="H494" s="18">
        <v>13081</v>
      </c>
      <c r="I494" s="18" t="s">
        <v>193</v>
      </c>
      <c r="J494" s="18" t="s">
        <v>2566</v>
      </c>
      <c r="K494" s="20">
        <v>60</v>
      </c>
      <c r="L494" s="49">
        <f t="shared" si="37"/>
        <v>10.799999999999999</v>
      </c>
      <c r="M494" s="50">
        <f t="shared" si="38"/>
        <v>70.8</v>
      </c>
    </row>
    <row r="495" spans="1:13" x14ac:dyDescent="0.2">
      <c r="A495" s="18">
        <f t="shared" si="39"/>
        <v>492</v>
      </c>
      <c r="B495" s="18" t="s">
        <v>1385</v>
      </c>
      <c r="C495" s="18" t="s">
        <v>1669</v>
      </c>
      <c r="D495" s="19">
        <v>43850</v>
      </c>
      <c r="E495" s="18">
        <v>2</v>
      </c>
      <c r="F495" s="18">
        <v>177</v>
      </c>
      <c r="G495" s="18">
        <v>10074617196</v>
      </c>
      <c r="H495" s="18">
        <v>13169</v>
      </c>
      <c r="I495" s="18" t="s">
        <v>137</v>
      </c>
      <c r="J495" s="18" t="s">
        <v>2567</v>
      </c>
      <c r="K495" s="20">
        <v>16.940000000000001</v>
      </c>
      <c r="L495" s="49">
        <f t="shared" si="37"/>
        <v>3.0491999999999999</v>
      </c>
      <c r="M495" s="50">
        <f t="shared" si="38"/>
        <v>19.9892</v>
      </c>
    </row>
    <row r="496" spans="1:13" x14ac:dyDescent="0.2">
      <c r="A496" s="18">
        <f t="shared" si="39"/>
        <v>493</v>
      </c>
      <c r="B496" s="18" t="s">
        <v>1385</v>
      </c>
      <c r="C496" s="18" t="s">
        <v>1669</v>
      </c>
      <c r="D496" s="19">
        <v>43850</v>
      </c>
      <c r="E496" s="18">
        <v>1</v>
      </c>
      <c r="F496" s="18">
        <v>3086</v>
      </c>
      <c r="G496" s="18">
        <v>20546937888</v>
      </c>
      <c r="H496" s="18">
        <v>13169</v>
      </c>
      <c r="I496" s="18" t="s">
        <v>137</v>
      </c>
      <c r="J496" s="18" t="s">
        <v>2546</v>
      </c>
      <c r="K496" s="20">
        <v>131.36000000000001</v>
      </c>
      <c r="L496" s="49">
        <f t="shared" si="37"/>
        <v>23.6448</v>
      </c>
      <c r="M496" s="50">
        <f t="shared" si="38"/>
        <v>155.00480000000002</v>
      </c>
    </row>
    <row r="497" spans="1:13" x14ac:dyDescent="0.2">
      <c r="A497" s="18">
        <f t="shared" si="39"/>
        <v>494</v>
      </c>
      <c r="B497" s="18" t="s">
        <v>2568</v>
      </c>
      <c r="C497" s="18" t="s">
        <v>2569</v>
      </c>
      <c r="D497" s="19">
        <v>43844</v>
      </c>
      <c r="E497" s="18">
        <v>1</v>
      </c>
      <c r="F497" s="18">
        <v>7210</v>
      </c>
      <c r="G497" s="18">
        <v>20549871535</v>
      </c>
      <c r="H497" s="18"/>
      <c r="I497" s="18" t="s">
        <v>137</v>
      </c>
      <c r="J497" s="18" t="s">
        <v>1451</v>
      </c>
      <c r="K497" s="20">
        <v>152.54</v>
      </c>
      <c r="L497" s="49">
        <f t="shared" si="37"/>
        <v>27.457199999999997</v>
      </c>
      <c r="M497" s="50">
        <f t="shared" si="38"/>
        <v>179.99719999999999</v>
      </c>
    </row>
    <row r="498" spans="1:13" x14ac:dyDescent="0.2">
      <c r="A498" s="18">
        <f t="shared" si="39"/>
        <v>495</v>
      </c>
      <c r="B498" s="18" t="s">
        <v>2568</v>
      </c>
      <c r="C498" s="18" t="s">
        <v>2569</v>
      </c>
      <c r="D498" s="19">
        <v>43844</v>
      </c>
      <c r="E498" s="18">
        <v>1</v>
      </c>
      <c r="F498" s="18">
        <v>5284</v>
      </c>
      <c r="G498" s="18">
        <v>20544804236</v>
      </c>
      <c r="H498" s="18"/>
      <c r="I498" s="18" t="s">
        <v>137</v>
      </c>
      <c r="J498" s="18" t="s">
        <v>2570</v>
      </c>
      <c r="K498" s="20">
        <v>29.66</v>
      </c>
      <c r="L498" s="49">
        <f t="shared" si="37"/>
        <v>5.3388</v>
      </c>
      <c r="M498" s="50">
        <f t="shared" si="38"/>
        <v>34.998800000000003</v>
      </c>
    </row>
    <row r="499" spans="1:13" x14ac:dyDescent="0.2">
      <c r="A499" s="18">
        <f t="shared" si="39"/>
        <v>496</v>
      </c>
      <c r="B499" s="18" t="s">
        <v>2568</v>
      </c>
      <c r="C499" s="18" t="s">
        <v>2569</v>
      </c>
      <c r="D499" s="19">
        <v>43844</v>
      </c>
      <c r="E499" s="18" t="s">
        <v>201</v>
      </c>
      <c r="F499" s="18">
        <v>732</v>
      </c>
      <c r="G499" s="18">
        <v>10100087605</v>
      </c>
      <c r="H499" s="18"/>
      <c r="I499" s="18" t="s">
        <v>137</v>
      </c>
      <c r="J499" s="18" t="s">
        <v>944</v>
      </c>
      <c r="K499" s="20">
        <v>33.9</v>
      </c>
      <c r="L499" s="49">
        <f t="shared" si="37"/>
        <v>6.1019999999999994</v>
      </c>
      <c r="M499" s="50">
        <f t="shared" si="38"/>
        <v>40.001999999999995</v>
      </c>
    </row>
    <row r="500" spans="1:13" x14ac:dyDescent="0.2">
      <c r="A500" s="18">
        <f t="shared" si="39"/>
        <v>497</v>
      </c>
      <c r="B500" s="18" t="s">
        <v>2568</v>
      </c>
      <c r="C500" s="18" t="s">
        <v>2569</v>
      </c>
      <c r="D500" s="19">
        <v>43847</v>
      </c>
      <c r="E500" s="18">
        <v>1</v>
      </c>
      <c r="F500" s="18">
        <v>862</v>
      </c>
      <c r="G500" s="18">
        <v>20525049028</v>
      </c>
      <c r="H500" s="18">
        <v>13238</v>
      </c>
      <c r="I500" s="18" t="s">
        <v>137</v>
      </c>
      <c r="J500" s="18" t="s">
        <v>1671</v>
      </c>
      <c r="K500" s="20">
        <v>42.37</v>
      </c>
      <c r="L500" s="49">
        <f t="shared" si="37"/>
        <v>7.6265999999999989</v>
      </c>
      <c r="M500" s="50">
        <f t="shared" si="38"/>
        <v>49.996599999999994</v>
      </c>
    </row>
    <row r="501" spans="1:13" x14ac:dyDescent="0.2">
      <c r="A501" s="18">
        <f t="shared" si="39"/>
        <v>498</v>
      </c>
      <c r="B501" s="18" t="s">
        <v>2547</v>
      </c>
      <c r="C501" s="18" t="s">
        <v>2548</v>
      </c>
      <c r="D501" s="19">
        <v>43847</v>
      </c>
      <c r="E501" s="18">
        <v>1</v>
      </c>
      <c r="F501" s="18">
        <v>862</v>
      </c>
      <c r="G501" s="18">
        <v>20525049028</v>
      </c>
      <c r="H501" s="18"/>
      <c r="I501" s="18" t="s">
        <v>137</v>
      </c>
      <c r="J501" s="18" t="s">
        <v>1671</v>
      </c>
      <c r="K501" s="20">
        <v>42.38</v>
      </c>
      <c r="L501" s="49">
        <f t="shared" si="37"/>
        <v>7.6284000000000001</v>
      </c>
      <c r="M501" s="50">
        <f t="shared" si="38"/>
        <v>50.008400000000002</v>
      </c>
    </row>
    <row r="502" spans="1:13" x14ac:dyDescent="0.2">
      <c r="A502" s="18">
        <f t="shared" si="39"/>
        <v>499</v>
      </c>
      <c r="B502" s="18" t="s">
        <v>2547</v>
      </c>
      <c r="C502" s="18" t="s">
        <v>2548</v>
      </c>
      <c r="D502" s="19">
        <v>43846</v>
      </c>
      <c r="E502" s="18" t="s">
        <v>2500</v>
      </c>
      <c r="F502" s="18">
        <v>142</v>
      </c>
      <c r="G502" s="18">
        <v>20603753896</v>
      </c>
      <c r="H502" s="18">
        <v>13235</v>
      </c>
      <c r="I502" s="18" t="s">
        <v>193</v>
      </c>
      <c r="J502" s="18" t="s">
        <v>2571</v>
      </c>
      <c r="K502" s="20">
        <f>35/1.18</f>
        <v>29.661016949152543</v>
      </c>
      <c r="L502" s="49">
        <f t="shared" si="37"/>
        <v>5.3389830508474576</v>
      </c>
      <c r="M502" s="50">
        <f t="shared" si="38"/>
        <v>35</v>
      </c>
    </row>
    <row r="503" spans="1:13" x14ac:dyDescent="0.2">
      <c r="A503" s="18">
        <f t="shared" si="39"/>
        <v>500</v>
      </c>
      <c r="B503" s="18" t="s">
        <v>2550</v>
      </c>
      <c r="C503" s="18" t="s">
        <v>2551</v>
      </c>
      <c r="D503" s="19">
        <v>43844</v>
      </c>
      <c r="E503" s="18">
        <v>2</v>
      </c>
      <c r="F503" s="18">
        <v>44</v>
      </c>
      <c r="G503" s="18">
        <v>10322741231</v>
      </c>
      <c r="H503" s="18"/>
      <c r="I503" s="18" t="s">
        <v>193</v>
      </c>
      <c r="J503" s="18" t="s">
        <v>410</v>
      </c>
      <c r="K503" s="20">
        <v>29.66</v>
      </c>
      <c r="L503" s="49">
        <f t="shared" ref="L503:L523" si="40">+K503*18%</f>
        <v>5.3388</v>
      </c>
      <c r="M503" s="50">
        <f t="shared" ref="M503:M523" si="41">+K503+L503</f>
        <v>34.998800000000003</v>
      </c>
    </row>
    <row r="504" spans="1:13" x14ac:dyDescent="0.2">
      <c r="A504" s="18">
        <f t="shared" si="39"/>
        <v>501</v>
      </c>
      <c r="B504" s="18" t="s">
        <v>2550</v>
      </c>
      <c r="C504" s="18" t="s">
        <v>2551</v>
      </c>
      <c r="D504" s="19">
        <v>43850</v>
      </c>
      <c r="E504" s="18" t="s">
        <v>2500</v>
      </c>
      <c r="F504" s="18">
        <v>164</v>
      </c>
      <c r="G504" s="18">
        <v>20603753896</v>
      </c>
      <c r="H504" s="18"/>
      <c r="I504" s="18" t="s">
        <v>193</v>
      </c>
      <c r="J504" s="18" t="s">
        <v>2572</v>
      </c>
      <c r="K504" s="20">
        <f>65/1.18</f>
        <v>55.084745762711869</v>
      </c>
      <c r="L504" s="49">
        <f t="shared" si="40"/>
        <v>9.9152542372881367</v>
      </c>
      <c r="M504" s="50">
        <f t="shared" si="41"/>
        <v>65</v>
      </c>
    </row>
    <row r="505" spans="1:13" x14ac:dyDescent="0.2">
      <c r="A505" s="18">
        <f t="shared" si="39"/>
        <v>502</v>
      </c>
      <c r="B505" s="18" t="s">
        <v>2550</v>
      </c>
      <c r="C505" s="18" t="s">
        <v>2551</v>
      </c>
      <c r="D505" s="19">
        <v>43851</v>
      </c>
      <c r="E505" s="18">
        <v>1</v>
      </c>
      <c r="F505" s="18">
        <v>11137</v>
      </c>
      <c r="G505" s="18">
        <v>10061024650</v>
      </c>
      <c r="H505" s="18"/>
      <c r="I505" s="18" t="s">
        <v>137</v>
      </c>
      <c r="J505" s="18" t="s">
        <v>2538</v>
      </c>
      <c r="K505" s="20">
        <v>59.32</v>
      </c>
      <c r="L505" s="49">
        <f t="shared" si="40"/>
        <v>10.6776</v>
      </c>
      <c r="M505" s="50">
        <f t="shared" si="41"/>
        <v>69.997600000000006</v>
      </c>
    </row>
    <row r="506" spans="1:13" x14ac:dyDescent="0.2">
      <c r="A506" s="18">
        <f t="shared" si="39"/>
        <v>503</v>
      </c>
      <c r="B506" s="18" t="s">
        <v>2550</v>
      </c>
      <c r="C506" s="18" t="s">
        <v>2551</v>
      </c>
      <c r="D506" s="19">
        <v>43851</v>
      </c>
      <c r="E506" s="18">
        <v>3</v>
      </c>
      <c r="F506" s="18">
        <v>2</v>
      </c>
      <c r="G506" s="18">
        <v>10107521416</v>
      </c>
      <c r="H506" s="18"/>
      <c r="I506" s="18" t="s">
        <v>137</v>
      </c>
      <c r="J506" s="18" t="s">
        <v>1451</v>
      </c>
      <c r="K506" s="20">
        <v>152.54</v>
      </c>
      <c r="L506" s="49">
        <f t="shared" si="40"/>
        <v>27.457199999999997</v>
      </c>
      <c r="M506" s="50">
        <f t="shared" si="41"/>
        <v>179.99719999999999</v>
      </c>
    </row>
    <row r="507" spans="1:13" x14ac:dyDescent="0.2">
      <c r="A507" s="18">
        <f t="shared" si="39"/>
        <v>504</v>
      </c>
      <c r="B507" s="18" t="s">
        <v>2550</v>
      </c>
      <c r="C507" s="18" t="s">
        <v>2551</v>
      </c>
      <c r="D507" s="19">
        <v>43851</v>
      </c>
      <c r="E507" s="18">
        <v>1</v>
      </c>
      <c r="F507" s="18">
        <v>5305</v>
      </c>
      <c r="G507" s="18">
        <v>20544804236</v>
      </c>
      <c r="H507" s="18"/>
      <c r="I507" s="18" t="s">
        <v>137</v>
      </c>
      <c r="J507" s="18" t="s">
        <v>1423</v>
      </c>
      <c r="K507" s="20">
        <v>29.66</v>
      </c>
      <c r="L507" s="49">
        <f t="shared" si="40"/>
        <v>5.3388</v>
      </c>
      <c r="M507" s="50">
        <f t="shared" si="41"/>
        <v>34.998800000000003</v>
      </c>
    </row>
    <row r="508" spans="1:13" x14ac:dyDescent="0.2">
      <c r="A508" s="18">
        <f t="shared" si="39"/>
        <v>505</v>
      </c>
      <c r="B508" s="18" t="s">
        <v>2550</v>
      </c>
      <c r="C508" s="18" t="s">
        <v>2551</v>
      </c>
      <c r="D508" s="19">
        <v>43850</v>
      </c>
      <c r="E508" s="18">
        <v>2</v>
      </c>
      <c r="F508" s="18">
        <v>52</v>
      </c>
      <c r="G508" s="18">
        <v>10322741231</v>
      </c>
      <c r="H508" s="18"/>
      <c r="I508" s="18" t="s">
        <v>137</v>
      </c>
      <c r="J508" s="18" t="s">
        <v>410</v>
      </c>
      <c r="K508" s="20">
        <v>114.41</v>
      </c>
      <c r="L508" s="49">
        <f t="shared" si="40"/>
        <v>20.593799999999998</v>
      </c>
      <c r="M508" s="50">
        <f t="shared" si="41"/>
        <v>135.00379999999998</v>
      </c>
    </row>
    <row r="509" spans="1:13" x14ac:dyDescent="0.2">
      <c r="A509" s="18">
        <f t="shared" si="39"/>
        <v>506</v>
      </c>
      <c r="B509" s="18" t="s">
        <v>2550</v>
      </c>
      <c r="C509" s="18" t="s">
        <v>2551</v>
      </c>
      <c r="D509" s="19">
        <v>43851</v>
      </c>
      <c r="E509" s="18" t="s">
        <v>201</v>
      </c>
      <c r="F509" s="18">
        <v>753</v>
      </c>
      <c r="G509" s="18">
        <v>10100087605</v>
      </c>
      <c r="H509" s="18"/>
      <c r="I509" s="18" t="s">
        <v>137</v>
      </c>
      <c r="J509" s="18" t="s">
        <v>253</v>
      </c>
      <c r="K509" s="20">
        <v>16.95</v>
      </c>
      <c r="L509" s="49">
        <f t="shared" si="40"/>
        <v>3.0509999999999997</v>
      </c>
      <c r="M509" s="50">
        <f t="shared" si="41"/>
        <v>20.000999999999998</v>
      </c>
    </row>
    <row r="510" spans="1:13" x14ac:dyDescent="0.2">
      <c r="A510" s="18">
        <f t="shared" si="39"/>
        <v>507</v>
      </c>
      <c r="B510" s="18" t="s">
        <v>1377</v>
      </c>
      <c r="C510" s="18" t="s">
        <v>1446</v>
      </c>
      <c r="D510" s="19">
        <v>43847</v>
      </c>
      <c r="E510" s="18" t="s">
        <v>201</v>
      </c>
      <c r="F510" s="18">
        <v>741</v>
      </c>
      <c r="G510" s="18">
        <v>10100087605</v>
      </c>
      <c r="H510" s="18"/>
      <c r="I510" s="18" t="s">
        <v>137</v>
      </c>
      <c r="J510" s="18" t="s">
        <v>2573</v>
      </c>
      <c r="K510" s="20">
        <v>25.42</v>
      </c>
      <c r="L510" s="49">
        <f t="shared" si="40"/>
        <v>4.5756000000000006</v>
      </c>
      <c r="M510" s="50">
        <f t="shared" si="41"/>
        <v>29.995600000000003</v>
      </c>
    </row>
    <row r="511" spans="1:13" x14ac:dyDescent="0.2">
      <c r="A511" s="18">
        <f t="shared" si="39"/>
        <v>508</v>
      </c>
      <c r="B511" s="18" t="s">
        <v>1930</v>
      </c>
      <c r="C511" s="18" t="s">
        <v>2534</v>
      </c>
      <c r="D511" s="19">
        <v>43847</v>
      </c>
      <c r="E511" s="18">
        <v>1</v>
      </c>
      <c r="F511" s="18">
        <v>1362</v>
      </c>
      <c r="G511" s="18">
        <v>10068062948</v>
      </c>
      <c r="H511" s="18">
        <v>13138</v>
      </c>
      <c r="I511" s="18" t="s">
        <v>137</v>
      </c>
      <c r="J511" s="18" t="s">
        <v>1439</v>
      </c>
      <c r="K511" s="20">
        <v>15</v>
      </c>
      <c r="L511" s="49">
        <f t="shared" si="40"/>
        <v>2.6999999999999997</v>
      </c>
      <c r="M511" s="50">
        <f t="shared" si="41"/>
        <v>17.7</v>
      </c>
    </row>
    <row r="512" spans="1:13" x14ac:dyDescent="0.2">
      <c r="A512" s="18">
        <f t="shared" si="39"/>
        <v>509</v>
      </c>
      <c r="B512" s="18" t="s">
        <v>2016</v>
      </c>
      <c r="C512" s="18" t="s">
        <v>2017</v>
      </c>
      <c r="D512" s="19">
        <v>43851</v>
      </c>
      <c r="E512" s="18" t="s">
        <v>197</v>
      </c>
      <c r="F512" s="18">
        <v>39109</v>
      </c>
      <c r="G512" s="18">
        <v>20493143612</v>
      </c>
      <c r="H512" s="18">
        <v>13141</v>
      </c>
      <c r="I512" s="18" t="s">
        <v>137</v>
      </c>
      <c r="J512" s="18" t="s">
        <v>954</v>
      </c>
      <c r="K512" s="20">
        <v>42.37</v>
      </c>
      <c r="L512" s="49">
        <f t="shared" si="40"/>
        <v>7.6265999999999989</v>
      </c>
      <c r="M512" s="50">
        <f t="shared" si="41"/>
        <v>49.996599999999994</v>
      </c>
    </row>
    <row r="513" spans="1:13" x14ac:dyDescent="0.2">
      <c r="A513" s="18">
        <f t="shared" si="39"/>
        <v>510</v>
      </c>
      <c r="B513" s="18" t="s">
        <v>2016</v>
      </c>
      <c r="C513" s="18" t="s">
        <v>2017</v>
      </c>
      <c r="D513" s="19">
        <v>43851</v>
      </c>
      <c r="E513" s="18">
        <v>2</v>
      </c>
      <c r="F513" s="18">
        <v>864</v>
      </c>
      <c r="G513" s="18">
        <v>20525049028</v>
      </c>
      <c r="H513" s="18">
        <v>13141</v>
      </c>
      <c r="I513" s="18" t="s">
        <v>137</v>
      </c>
      <c r="J513" s="18" t="s">
        <v>1671</v>
      </c>
      <c r="K513" s="20">
        <v>50.85</v>
      </c>
      <c r="L513" s="49">
        <f t="shared" si="40"/>
        <v>9.1530000000000005</v>
      </c>
      <c r="M513" s="50">
        <f t="shared" si="41"/>
        <v>60.003</v>
      </c>
    </row>
    <row r="514" spans="1:13" x14ac:dyDescent="0.2">
      <c r="A514" s="18">
        <f t="shared" si="39"/>
        <v>511</v>
      </c>
      <c r="B514" s="18" t="s">
        <v>2563</v>
      </c>
      <c r="C514" s="18" t="s">
        <v>2564</v>
      </c>
      <c r="D514" s="19">
        <v>43847</v>
      </c>
      <c r="E514" s="18">
        <v>1</v>
      </c>
      <c r="F514" s="18">
        <v>25551</v>
      </c>
      <c r="G514" s="18">
        <v>20601079691</v>
      </c>
      <c r="H514" s="18">
        <v>13209</v>
      </c>
      <c r="I514" s="18" t="s">
        <v>137</v>
      </c>
      <c r="J514" s="18" t="s">
        <v>2574</v>
      </c>
      <c r="K514" s="20">
        <v>28.39</v>
      </c>
      <c r="L514" s="49">
        <f t="shared" si="40"/>
        <v>5.1101999999999999</v>
      </c>
      <c r="M514" s="50">
        <f t="shared" si="41"/>
        <v>33.5002</v>
      </c>
    </row>
    <row r="515" spans="1:13" x14ac:dyDescent="0.2">
      <c r="A515" s="18">
        <f t="shared" si="39"/>
        <v>512</v>
      </c>
      <c r="B515" s="18" t="s">
        <v>2568</v>
      </c>
      <c r="C515" s="18" t="s">
        <v>2569</v>
      </c>
      <c r="D515" s="19">
        <v>43848</v>
      </c>
      <c r="E515" s="18">
        <v>1</v>
      </c>
      <c r="F515" s="18">
        <v>25562</v>
      </c>
      <c r="G515" s="18">
        <v>20601079691</v>
      </c>
      <c r="H515" s="18">
        <v>13238</v>
      </c>
      <c r="I515" s="18" t="s">
        <v>137</v>
      </c>
      <c r="J515" s="18" t="s">
        <v>2575</v>
      </c>
      <c r="K515" s="20">
        <v>5.08</v>
      </c>
      <c r="L515" s="49">
        <f t="shared" si="40"/>
        <v>0.91439999999999999</v>
      </c>
      <c r="M515" s="50">
        <f t="shared" si="41"/>
        <v>5.9943999999999997</v>
      </c>
    </row>
    <row r="516" spans="1:13" x14ac:dyDescent="0.2">
      <c r="A516" s="18">
        <f t="shared" si="39"/>
        <v>513</v>
      </c>
      <c r="B516" s="18" t="s">
        <v>2568</v>
      </c>
      <c r="C516" s="18" t="s">
        <v>2569</v>
      </c>
      <c r="D516" s="19">
        <v>43847</v>
      </c>
      <c r="E516" s="18">
        <v>2</v>
      </c>
      <c r="F516" s="18">
        <v>49</v>
      </c>
      <c r="G516" s="18">
        <v>10322741231</v>
      </c>
      <c r="H516" s="18">
        <v>13238</v>
      </c>
      <c r="I516" s="18" t="s">
        <v>193</v>
      </c>
      <c r="J516" s="18" t="s">
        <v>410</v>
      </c>
      <c r="K516" s="20">
        <v>42.37</v>
      </c>
      <c r="L516" s="49">
        <f t="shared" si="40"/>
        <v>7.6265999999999989</v>
      </c>
      <c r="M516" s="50">
        <f t="shared" si="41"/>
        <v>49.996599999999994</v>
      </c>
    </row>
    <row r="517" spans="1:13" x14ac:dyDescent="0.2">
      <c r="A517" s="18">
        <f t="shared" si="39"/>
        <v>514</v>
      </c>
      <c r="B517" s="18" t="s">
        <v>1377</v>
      </c>
      <c r="C517" s="18" t="s">
        <v>1446</v>
      </c>
      <c r="D517" s="19">
        <v>43850</v>
      </c>
      <c r="E517" s="18">
        <v>1</v>
      </c>
      <c r="F517" s="18">
        <v>1363</v>
      </c>
      <c r="G517" s="18">
        <v>10068062948</v>
      </c>
      <c r="H517" s="18">
        <v>13080</v>
      </c>
      <c r="I517" s="18" t="s">
        <v>137</v>
      </c>
      <c r="J517" s="18" t="s">
        <v>1439</v>
      </c>
      <c r="K517" s="20">
        <v>50.85</v>
      </c>
      <c r="L517" s="49">
        <f t="shared" si="40"/>
        <v>9.1530000000000005</v>
      </c>
      <c r="M517" s="50">
        <f t="shared" si="41"/>
        <v>60.003</v>
      </c>
    </row>
    <row r="518" spans="1:13" x14ac:dyDescent="0.2">
      <c r="A518" s="18">
        <f t="shared" si="39"/>
        <v>515</v>
      </c>
      <c r="B518" s="18" t="s">
        <v>1377</v>
      </c>
      <c r="C518" s="18" t="s">
        <v>1446</v>
      </c>
      <c r="D518" s="19">
        <v>43850</v>
      </c>
      <c r="E518" s="18" t="s">
        <v>463</v>
      </c>
      <c r="F518" s="18">
        <v>54133</v>
      </c>
      <c r="G518" s="18">
        <v>20493143612</v>
      </c>
      <c r="H518" s="18">
        <v>13080</v>
      </c>
      <c r="I518" s="18" t="s">
        <v>137</v>
      </c>
      <c r="J518" s="18" t="s">
        <v>954</v>
      </c>
      <c r="K518" s="20">
        <v>25.42</v>
      </c>
      <c r="L518" s="49">
        <f t="shared" si="40"/>
        <v>4.5756000000000006</v>
      </c>
      <c r="M518" s="50">
        <f t="shared" si="41"/>
        <v>29.995600000000003</v>
      </c>
    </row>
    <row r="519" spans="1:13" x14ac:dyDescent="0.2">
      <c r="A519" s="18">
        <f t="shared" si="39"/>
        <v>516</v>
      </c>
      <c r="B519" s="18" t="s">
        <v>2000</v>
      </c>
      <c r="C519" s="18" t="s">
        <v>2576</v>
      </c>
      <c r="D519" s="19">
        <v>43850</v>
      </c>
      <c r="E519" s="18">
        <v>2</v>
      </c>
      <c r="F519" s="18">
        <v>190</v>
      </c>
      <c r="G519" s="18">
        <v>10769872561</v>
      </c>
      <c r="H519" s="18">
        <v>13197</v>
      </c>
      <c r="I519" s="18" t="s">
        <v>193</v>
      </c>
      <c r="J519" s="18" t="s">
        <v>2419</v>
      </c>
      <c r="K519" s="20">
        <v>25.42</v>
      </c>
      <c r="L519" s="49">
        <f t="shared" si="40"/>
        <v>4.5756000000000006</v>
      </c>
      <c r="M519" s="50">
        <f t="shared" si="41"/>
        <v>29.995600000000003</v>
      </c>
    </row>
    <row r="520" spans="1:13" x14ac:dyDescent="0.2">
      <c r="A520" s="18">
        <f t="shared" si="39"/>
        <v>517</v>
      </c>
      <c r="B520" s="18" t="s">
        <v>2000</v>
      </c>
      <c r="C520" s="18" t="s">
        <v>2576</v>
      </c>
      <c r="D520" s="19">
        <v>43849</v>
      </c>
      <c r="E520" s="18">
        <v>2</v>
      </c>
      <c r="F520" s="18">
        <v>50</v>
      </c>
      <c r="G520" s="18">
        <v>10322741231</v>
      </c>
      <c r="H520" s="18">
        <v>13197</v>
      </c>
      <c r="I520" s="18" t="s">
        <v>193</v>
      </c>
      <c r="J520" s="18" t="s">
        <v>410</v>
      </c>
      <c r="K520" s="20">
        <v>72.03</v>
      </c>
      <c r="L520" s="49">
        <f t="shared" si="40"/>
        <v>12.965399999999999</v>
      </c>
      <c r="M520" s="50">
        <f t="shared" si="41"/>
        <v>84.995400000000004</v>
      </c>
    </row>
    <row r="521" spans="1:13" x14ac:dyDescent="0.2">
      <c r="A521" s="18">
        <f t="shared" si="39"/>
        <v>518</v>
      </c>
      <c r="B521" s="18" t="s">
        <v>2000</v>
      </c>
      <c r="C521" s="18" t="s">
        <v>2576</v>
      </c>
      <c r="D521" s="19">
        <v>43850</v>
      </c>
      <c r="E521" s="18">
        <v>1</v>
      </c>
      <c r="F521" s="18">
        <v>11134</v>
      </c>
      <c r="G521" s="18">
        <v>10061024650</v>
      </c>
      <c r="H521" s="18">
        <v>13197</v>
      </c>
      <c r="I521" s="18" t="s">
        <v>193</v>
      </c>
      <c r="J521" s="18" t="s">
        <v>1599</v>
      </c>
      <c r="K521" s="20">
        <v>50.85</v>
      </c>
      <c r="L521" s="49">
        <f t="shared" si="40"/>
        <v>9.1530000000000005</v>
      </c>
      <c r="M521" s="50">
        <f t="shared" si="41"/>
        <v>60.003</v>
      </c>
    </row>
    <row r="522" spans="1:13" x14ac:dyDescent="0.2">
      <c r="A522" s="18">
        <f t="shared" si="39"/>
        <v>519</v>
      </c>
      <c r="B522" s="18" t="s">
        <v>2000</v>
      </c>
      <c r="C522" s="18" t="s">
        <v>2576</v>
      </c>
      <c r="D522" s="19">
        <v>43850</v>
      </c>
      <c r="E522" s="18">
        <v>2</v>
      </c>
      <c r="F522" s="18">
        <v>863</v>
      </c>
      <c r="G522" s="18">
        <v>20525049028</v>
      </c>
      <c r="H522" s="18">
        <v>13197</v>
      </c>
      <c r="I522" s="18" t="s">
        <v>137</v>
      </c>
      <c r="J522" s="18" t="s">
        <v>1671</v>
      </c>
      <c r="K522" s="20">
        <v>42.37</v>
      </c>
      <c r="L522" s="49">
        <f t="shared" si="40"/>
        <v>7.6265999999999989</v>
      </c>
      <c r="M522" s="50">
        <f t="shared" si="41"/>
        <v>49.996599999999994</v>
      </c>
    </row>
    <row r="523" spans="1:13" x14ac:dyDescent="0.2">
      <c r="A523" s="18">
        <f t="shared" si="39"/>
        <v>520</v>
      </c>
      <c r="B523" s="18" t="s">
        <v>2000</v>
      </c>
      <c r="C523" s="18" t="s">
        <v>2576</v>
      </c>
      <c r="D523" s="19">
        <v>43850</v>
      </c>
      <c r="E523" s="18">
        <v>3</v>
      </c>
      <c r="F523" s="18">
        <v>1</v>
      </c>
      <c r="G523" s="18">
        <v>10107521416</v>
      </c>
      <c r="H523" s="18">
        <v>13197</v>
      </c>
      <c r="I523" s="18" t="s">
        <v>137</v>
      </c>
      <c r="J523" s="18" t="s">
        <v>1451</v>
      </c>
      <c r="K523" s="20">
        <v>152.54</v>
      </c>
      <c r="L523" s="49">
        <f t="shared" si="40"/>
        <v>27.457199999999997</v>
      </c>
      <c r="M523" s="50">
        <f t="shared" si="41"/>
        <v>179.99719999999999</v>
      </c>
    </row>
    <row r="524" spans="1:13" x14ac:dyDescent="0.2">
      <c r="A524" s="18">
        <f t="shared" si="39"/>
        <v>521</v>
      </c>
      <c r="B524" s="18" t="s">
        <v>2000</v>
      </c>
      <c r="C524" s="18" t="s">
        <v>2576</v>
      </c>
      <c r="D524" s="19">
        <v>43850</v>
      </c>
      <c r="E524" s="18">
        <v>1</v>
      </c>
      <c r="F524" s="18">
        <v>5299</v>
      </c>
      <c r="G524" s="18">
        <v>20544804236</v>
      </c>
      <c r="H524" s="18">
        <v>13197</v>
      </c>
      <c r="I524" s="18" t="s">
        <v>137</v>
      </c>
      <c r="J524" s="18" t="s">
        <v>1423</v>
      </c>
      <c r="K524" s="20">
        <v>29.66</v>
      </c>
      <c r="L524" s="49">
        <f t="shared" ref="L524:L537" si="42">+K524*18%</f>
        <v>5.3388</v>
      </c>
      <c r="M524" s="50">
        <f t="shared" ref="M524:M537" si="43">+K524+L524</f>
        <v>34.998800000000003</v>
      </c>
    </row>
    <row r="525" spans="1:13" x14ac:dyDescent="0.2">
      <c r="A525" s="18">
        <f t="shared" si="39"/>
        <v>522</v>
      </c>
      <c r="B525" s="18" t="s">
        <v>2000</v>
      </c>
      <c r="C525" s="18" t="s">
        <v>2576</v>
      </c>
      <c r="D525" s="19">
        <v>43850</v>
      </c>
      <c r="E525" s="18" t="s">
        <v>201</v>
      </c>
      <c r="F525" s="18">
        <v>747</v>
      </c>
      <c r="G525" s="18">
        <v>10100087605</v>
      </c>
      <c r="H525" s="18">
        <v>13197</v>
      </c>
      <c r="I525" s="18" t="s">
        <v>137</v>
      </c>
      <c r="J525" s="18" t="s">
        <v>944</v>
      </c>
      <c r="K525" s="20">
        <v>46.61</v>
      </c>
      <c r="L525" s="49">
        <f t="shared" si="42"/>
        <v>8.3897999999999993</v>
      </c>
      <c r="M525" s="50">
        <f t="shared" si="43"/>
        <v>54.9998</v>
      </c>
    </row>
    <row r="526" spans="1:13" x14ac:dyDescent="0.2">
      <c r="A526" s="18">
        <f t="shared" si="39"/>
        <v>523</v>
      </c>
      <c r="B526" s="18" t="s">
        <v>2577</v>
      </c>
      <c r="C526" s="18" t="s">
        <v>2578</v>
      </c>
      <c r="D526" s="19">
        <v>43857</v>
      </c>
      <c r="E526" s="18">
        <v>2</v>
      </c>
      <c r="F526" s="18">
        <v>3423</v>
      </c>
      <c r="G526" s="18">
        <v>10094103571</v>
      </c>
      <c r="H526" s="18"/>
      <c r="I526" s="18" t="s">
        <v>137</v>
      </c>
      <c r="J526" s="18" t="s">
        <v>2579</v>
      </c>
      <c r="K526" s="20">
        <v>30</v>
      </c>
      <c r="L526" s="49">
        <f t="shared" si="42"/>
        <v>5.3999999999999995</v>
      </c>
      <c r="M526" s="50">
        <f t="shared" si="43"/>
        <v>35.4</v>
      </c>
    </row>
    <row r="527" spans="1:13" x14ac:dyDescent="0.2">
      <c r="A527" s="18">
        <f t="shared" si="39"/>
        <v>524</v>
      </c>
      <c r="B527" s="18" t="s">
        <v>1998</v>
      </c>
      <c r="C527" s="18" t="s">
        <v>2514</v>
      </c>
      <c r="D527" s="19">
        <v>43855</v>
      </c>
      <c r="E527" s="18">
        <v>1</v>
      </c>
      <c r="F527" s="18">
        <v>767</v>
      </c>
      <c r="G527" s="18">
        <v>10088679011</v>
      </c>
      <c r="H527" s="18"/>
      <c r="I527" s="18" t="s">
        <v>137</v>
      </c>
      <c r="J527" s="18" t="s">
        <v>2580</v>
      </c>
      <c r="K527" s="20">
        <v>101.7</v>
      </c>
      <c r="L527" s="49">
        <f t="shared" si="42"/>
        <v>18.306000000000001</v>
      </c>
      <c r="M527" s="50">
        <f t="shared" si="43"/>
        <v>120.006</v>
      </c>
    </row>
    <row r="528" spans="1:13" x14ac:dyDescent="0.2">
      <c r="A528" s="18">
        <f t="shared" si="39"/>
        <v>525</v>
      </c>
      <c r="B528" s="18" t="s">
        <v>1998</v>
      </c>
      <c r="C528" s="18" t="s">
        <v>2514</v>
      </c>
      <c r="D528" s="19">
        <v>43854</v>
      </c>
      <c r="E528" s="18">
        <v>1</v>
      </c>
      <c r="F528" s="18">
        <v>1367</v>
      </c>
      <c r="G528" s="18">
        <v>10068062948</v>
      </c>
      <c r="H528" s="18"/>
      <c r="I528" s="18" t="s">
        <v>137</v>
      </c>
      <c r="J528" s="18" t="s">
        <v>1439</v>
      </c>
      <c r="K528" s="20">
        <v>59.32</v>
      </c>
      <c r="L528" s="49">
        <f t="shared" si="42"/>
        <v>10.6776</v>
      </c>
      <c r="M528" s="50">
        <f t="shared" si="43"/>
        <v>69.997600000000006</v>
      </c>
    </row>
    <row r="529" spans="1:13" x14ac:dyDescent="0.2">
      <c r="A529" s="18">
        <f t="shared" si="39"/>
        <v>526</v>
      </c>
      <c r="B529" s="18" t="s">
        <v>1998</v>
      </c>
      <c r="C529" s="18" t="s">
        <v>2514</v>
      </c>
      <c r="D529" s="19">
        <v>43854</v>
      </c>
      <c r="E529" s="18" t="s">
        <v>463</v>
      </c>
      <c r="F529" s="18">
        <v>54420</v>
      </c>
      <c r="G529" s="18">
        <v>20493143612</v>
      </c>
      <c r="H529" s="18"/>
      <c r="I529" s="18" t="s">
        <v>137</v>
      </c>
      <c r="J529" s="18" t="s">
        <v>954</v>
      </c>
      <c r="K529" s="20">
        <v>42.37</v>
      </c>
      <c r="L529" s="49">
        <f t="shared" si="42"/>
        <v>7.6265999999999989</v>
      </c>
      <c r="M529" s="50">
        <f t="shared" si="43"/>
        <v>49.996599999999994</v>
      </c>
    </row>
    <row r="530" spans="1:13" x14ac:dyDescent="0.2">
      <c r="A530" s="18">
        <f t="shared" si="39"/>
        <v>527</v>
      </c>
      <c r="B530" s="18" t="s">
        <v>1356</v>
      </c>
      <c r="C530" s="18" t="s">
        <v>1426</v>
      </c>
      <c r="D530" s="19">
        <v>43857</v>
      </c>
      <c r="E530" s="18">
        <v>1</v>
      </c>
      <c r="F530" s="18">
        <v>25719</v>
      </c>
      <c r="G530" s="18">
        <v>20601079691</v>
      </c>
      <c r="H530" s="18">
        <v>13046</v>
      </c>
      <c r="I530" s="18" t="s">
        <v>193</v>
      </c>
      <c r="J530" s="18" t="s">
        <v>2474</v>
      </c>
      <c r="K530" s="20">
        <v>6.86</v>
      </c>
      <c r="L530" s="49">
        <f t="shared" si="42"/>
        <v>1.2348000000000001</v>
      </c>
      <c r="M530" s="50">
        <f t="shared" si="43"/>
        <v>8.0948000000000011</v>
      </c>
    </row>
    <row r="531" spans="1:13" x14ac:dyDescent="0.2">
      <c r="A531" s="18">
        <f t="shared" si="39"/>
        <v>528</v>
      </c>
      <c r="B531" s="18" t="s">
        <v>1356</v>
      </c>
      <c r="C531" s="18" t="s">
        <v>1426</v>
      </c>
      <c r="D531" s="19">
        <v>43853</v>
      </c>
      <c r="E531" s="18">
        <v>2</v>
      </c>
      <c r="F531" s="18">
        <v>557</v>
      </c>
      <c r="G531" s="18">
        <v>10101288698</v>
      </c>
      <c r="H531" s="18">
        <v>13046</v>
      </c>
      <c r="I531" s="18" t="s">
        <v>193</v>
      </c>
      <c r="J531" s="18" t="s">
        <v>2541</v>
      </c>
      <c r="K531" s="20">
        <v>76.27</v>
      </c>
      <c r="L531" s="49">
        <f t="shared" si="42"/>
        <v>13.728599999999998</v>
      </c>
      <c r="M531" s="50">
        <f t="shared" si="43"/>
        <v>89.998599999999996</v>
      </c>
    </row>
    <row r="532" spans="1:13" x14ac:dyDescent="0.2">
      <c r="A532" s="18">
        <f t="shared" si="39"/>
        <v>529</v>
      </c>
      <c r="B532" s="18" t="s">
        <v>2577</v>
      </c>
      <c r="C532" s="18" t="s">
        <v>2578</v>
      </c>
      <c r="D532" s="19">
        <v>43855</v>
      </c>
      <c r="E532" s="18">
        <v>1</v>
      </c>
      <c r="F532" s="18">
        <v>8603</v>
      </c>
      <c r="G532" s="18">
        <v>10089055402</v>
      </c>
      <c r="H532" s="18">
        <v>13271</v>
      </c>
      <c r="I532" s="18" t="s">
        <v>137</v>
      </c>
      <c r="J532" s="18" t="s">
        <v>2581</v>
      </c>
      <c r="K532" s="20">
        <v>20</v>
      </c>
      <c r="L532" s="49">
        <f t="shared" si="42"/>
        <v>3.5999999999999996</v>
      </c>
      <c r="M532" s="50">
        <f t="shared" si="43"/>
        <v>23.6</v>
      </c>
    </row>
    <row r="533" spans="1:13" x14ac:dyDescent="0.2">
      <c r="A533" s="18">
        <f t="shared" si="39"/>
        <v>530</v>
      </c>
      <c r="B533" s="18" t="s">
        <v>2577</v>
      </c>
      <c r="C533" s="18" t="s">
        <v>2578</v>
      </c>
      <c r="D533" s="19">
        <v>43854</v>
      </c>
      <c r="E533" s="18">
        <v>2</v>
      </c>
      <c r="F533" s="18">
        <v>213</v>
      </c>
      <c r="G533" s="18">
        <v>10769872561</v>
      </c>
      <c r="H533" s="18">
        <v>13271</v>
      </c>
      <c r="I533" s="18" t="s">
        <v>193</v>
      </c>
      <c r="J533" s="18" t="s">
        <v>2582</v>
      </c>
      <c r="K533" s="20">
        <v>150</v>
      </c>
      <c r="L533" s="49">
        <f t="shared" si="42"/>
        <v>27</v>
      </c>
      <c r="M533" s="50">
        <f t="shared" si="43"/>
        <v>177</v>
      </c>
    </row>
    <row r="534" spans="1:13" x14ac:dyDescent="0.2">
      <c r="A534" s="18">
        <f t="shared" si="39"/>
        <v>531</v>
      </c>
      <c r="B534" s="18" t="s">
        <v>2577</v>
      </c>
      <c r="C534" s="18" t="s">
        <v>2578</v>
      </c>
      <c r="D534" s="19">
        <v>43854</v>
      </c>
      <c r="E534" s="18" t="s">
        <v>2583</v>
      </c>
      <c r="F534" s="18">
        <v>2528</v>
      </c>
      <c r="G534" s="18">
        <v>20215702813</v>
      </c>
      <c r="H534" s="18">
        <v>13271</v>
      </c>
      <c r="I534" s="18" t="s">
        <v>193</v>
      </c>
      <c r="J534" s="18" t="s">
        <v>2584</v>
      </c>
      <c r="K534" s="20">
        <v>25.42</v>
      </c>
      <c r="L534" s="49">
        <f t="shared" si="42"/>
        <v>4.5756000000000006</v>
      </c>
      <c r="M534" s="50">
        <f t="shared" si="43"/>
        <v>29.995600000000003</v>
      </c>
    </row>
    <row r="535" spans="1:13" x14ac:dyDescent="0.2">
      <c r="A535" s="18">
        <f t="shared" si="39"/>
        <v>532</v>
      </c>
      <c r="B535" s="18" t="s">
        <v>2016</v>
      </c>
      <c r="C535" s="18" t="s">
        <v>2017</v>
      </c>
      <c r="D535" s="19">
        <v>43853</v>
      </c>
      <c r="E535" s="18">
        <v>1</v>
      </c>
      <c r="F535" s="18">
        <v>25652</v>
      </c>
      <c r="G535" s="18">
        <v>20601079691</v>
      </c>
      <c r="H535" s="18">
        <v>13141</v>
      </c>
      <c r="I535" s="18" t="s">
        <v>193</v>
      </c>
      <c r="J535" s="18" t="s">
        <v>2585</v>
      </c>
      <c r="K535" s="20">
        <v>42.37</v>
      </c>
      <c r="L535" s="49">
        <f t="shared" si="42"/>
        <v>7.6265999999999989</v>
      </c>
      <c r="M535" s="50">
        <f t="shared" si="43"/>
        <v>49.996599999999994</v>
      </c>
    </row>
    <row r="536" spans="1:13" x14ac:dyDescent="0.2">
      <c r="A536" s="18">
        <f t="shared" si="39"/>
        <v>533</v>
      </c>
      <c r="B536" s="18" t="s">
        <v>2016</v>
      </c>
      <c r="C536" s="18" t="s">
        <v>2017</v>
      </c>
      <c r="D536" s="19">
        <v>43852</v>
      </c>
      <c r="E536" s="18">
        <v>2</v>
      </c>
      <c r="F536" s="18">
        <v>556</v>
      </c>
      <c r="G536" s="18">
        <v>10101288698</v>
      </c>
      <c r="H536" s="18">
        <v>13141</v>
      </c>
      <c r="I536" s="18" t="s">
        <v>193</v>
      </c>
      <c r="J536" s="18" t="s">
        <v>2586</v>
      </c>
      <c r="K536" s="20">
        <v>8.4700000000000006</v>
      </c>
      <c r="L536" s="49">
        <f t="shared" si="42"/>
        <v>1.5246</v>
      </c>
      <c r="M536" s="50">
        <f t="shared" si="43"/>
        <v>9.9946000000000002</v>
      </c>
    </row>
    <row r="537" spans="1:13" x14ac:dyDescent="0.2">
      <c r="A537" s="18">
        <f t="shared" si="39"/>
        <v>534</v>
      </c>
      <c r="B537" s="18" t="s">
        <v>2016</v>
      </c>
      <c r="C537" s="18" t="s">
        <v>2017</v>
      </c>
      <c r="D537" s="19">
        <v>43853</v>
      </c>
      <c r="E537" s="18">
        <v>1</v>
      </c>
      <c r="F537" s="18">
        <v>1366</v>
      </c>
      <c r="G537" s="18">
        <v>10068062948</v>
      </c>
      <c r="H537" s="18">
        <v>13141</v>
      </c>
      <c r="I537" s="18" t="s">
        <v>137</v>
      </c>
      <c r="J537" s="18" t="s">
        <v>1439</v>
      </c>
      <c r="K537" s="20">
        <v>59.32</v>
      </c>
      <c r="L537" s="49">
        <f t="shared" si="42"/>
        <v>10.6776</v>
      </c>
      <c r="M537" s="50">
        <f t="shared" si="43"/>
        <v>69.997600000000006</v>
      </c>
    </row>
    <row r="538" spans="1:13" x14ac:dyDescent="0.2">
      <c r="A538" s="18">
        <f t="shared" si="39"/>
        <v>535</v>
      </c>
      <c r="B538" s="18" t="s">
        <v>2000</v>
      </c>
      <c r="C538" s="18" t="s">
        <v>2576</v>
      </c>
      <c r="D538" s="19">
        <v>43852</v>
      </c>
      <c r="E538" s="18" t="s">
        <v>197</v>
      </c>
      <c r="F538" s="18">
        <v>39225</v>
      </c>
      <c r="G538" s="18">
        <v>20495143612</v>
      </c>
      <c r="H538" s="18">
        <v>13197</v>
      </c>
      <c r="I538" s="18" t="s">
        <v>137</v>
      </c>
      <c r="J538" s="18" t="s">
        <v>954</v>
      </c>
      <c r="K538" s="20">
        <v>42.37</v>
      </c>
      <c r="L538" s="49">
        <f t="shared" ref="L538:L547" si="44">+K538*18%</f>
        <v>7.6265999999999989</v>
      </c>
      <c r="M538" s="50">
        <f t="shared" ref="M538:M547" si="45">+K538+L538</f>
        <v>49.996599999999994</v>
      </c>
    </row>
    <row r="539" spans="1:13" x14ac:dyDescent="0.2">
      <c r="A539" s="18">
        <f t="shared" si="39"/>
        <v>536</v>
      </c>
      <c r="B539" s="18" t="s">
        <v>2000</v>
      </c>
      <c r="C539" s="18" t="s">
        <v>2576</v>
      </c>
      <c r="D539" s="19">
        <v>43854</v>
      </c>
      <c r="E539" s="18">
        <v>1</v>
      </c>
      <c r="F539" s="18">
        <v>1369</v>
      </c>
      <c r="G539" s="18">
        <v>10068062948</v>
      </c>
      <c r="H539" s="18">
        <v>13197</v>
      </c>
      <c r="I539" s="18" t="s">
        <v>137</v>
      </c>
      <c r="J539" s="18" t="s">
        <v>1439</v>
      </c>
      <c r="K539" s="20">
        <v>33.89</v>
      </c>
      <c r="L539" s="49">
        <f t="shared" si="44"/>
        <v>6.1002000000000001</v>
      </c>
      <c r="M539" s="50">
        <f t="shared" si="45"/>
        <v>39.990200000000002</v>
      </c>
    </row>
    <row r="540" spans="1:13" x14ac:dyDescent="0.2">
      <c r="A540" s="18">
        <f t="shared" si="39"/>
        <v>537</v>
      </c>
      <c r="B540" s="18" t="s">
        <v>2000</v>
      </c>
      <c r="C540" s="18" t="s">
        <v>2576</v>
      </c>
      <c r="D540" s="19">
        <v>43852</v>
      </c>
      <c r="E540" s="18">
        <v>1</v>
      </c>
      <c r="F540" s="18">
        <v>11138</v>
      </c>
      <c r="G540" s="18">
        <v>10061024650</v>
      </c>
      <c r="H540" s="18">
        <v>13197</v>
      </c>
      <c r="I540" s="18" t="s">
        <v>137</v>
      </c>
      <c r="J540" s="18" t="s">
        <v>2587</v>
      </c>
      <c r="K540" s="20">
        <v>8.4700000000000006</v>
      </c>
      <c r="L540" s="49">
        <f t="shared" si="44"/>
        <v>1.5246</v>
      </c>
      <c r="M540" s="50">
        <f t="shared" si="45"/>
        <v>9.9946000000000002</v>
      </c>
    </row>
    <row r="541" spans="1:13" x14ac:dyDescent="0.2">
      <c r="A541" s="18">
        <f t="shared" si="39"/>
        <v>538</v>
      </c>
      <c r="B541" s="18" t="s">
        <v>2550</v>
      </c>
      <c r="C541" s="18" t="s">
        <v>2551</v>
      </c>
      <c r="D541" s="19">
        <v>43855</v>
      </c>
      <c r="E541" s="18">
        <v>1</v>
      </c>
      <c r="F541" s="18">
        <v>1370</v>
      </c>
      <c r="G541" s="18">
        <v>10068062948</v>
      </c>
      <c r="H541" s="18">
        <v>13233</v>
      </c>
      <c r="I541" s="18" t="s">
        <v>137</v>
      </c>
      <c r="J541" s="18" t="s">
        <v>1439</v>
      </c>
      <c r="K541" s="20">
        <v>42.37</v>
      </c>
      <c r="L541" s="49">
        <f t="shared" si="44"/>
        <v>7.6265999999999989</v>
      </c>
      <c r="M541" s="50">
        <f t="shared" si="45"/>
        <v>49.996599999999994</v>
      </c>
    </row>
    <row r="542" spans="1:13" x14ac:dyDescent="0.2">
      <c r="A542" s="18">
        <f t="shared" si="39"/>
        <v>539</v>
      </c>
      <c r="B542" s="18" t="s">
        <v>2550</v>
      </c>
      <c r="C542" s="18" t="s">
        <v>2551</v>
      </c>
      <c r="D542" s="19">
        <v>43852</v>
      </c>
      <c r="E542" s="18" t="s">
        <v>2500</v>
      </c>
      <c r="F542" s="18">
        <v>176</v>
      </c>
      <c r="G542" s="18">
        <v>20603753896</v>
      </c>
      <c r="H542" s="18">
        <v>13233</v>
      </c>
      <c r="I542" s="18" t="s">
        <v>193</v>
      </c>
      <c r="J542" s="18" t="s">
        <v>2571</v>
      </c>
      <c r="K542" s="20">
        <v>29.66</v>
      </c>
      <c r="L542" s="49">
        <f t="shared" si="44"/>
        <v>5.3388</v>
      </c>
      <c r="M542" s="50">
        <f t="shared" si="45"/>
        <v>34.998800000000003</v>
      </c>
    </row>
    <row r="543" spans="1:13" x14ac:dyDescent="0.2">
      <c r="A543" s="18">
        <f t="shared" si="39"/>
        <v>540</v>
      </c>
      <c r="B543" s="18" t="s">
        <v>2588</v>
      </c>
      <c r="C543" s="18" t="s">
        <v>2589</v>
      </c>
      <c r="D543" s="19">
        <v>43864</v>
      </c>
      <c r="E543" s="18">
        <v>1</v>
      </c>
      <c r="F543" s="18">
        <v>5922</v>
      </c>
      <c r="G543" s="18">
        <v>20600892828</v>
      </c>
      <c r="H543" s="18">
        <v>13248</v>
      </c>
      <c r="I543" s="18" t="s">
        <v>137</v>
      </c>
      <c r="J543" s="18" t="s">
        <v>257</v>
      </c>
      <c r="K543" s="20">
        <v>76.27</v>
      </c>
      <c r="L543" s="49">
        <f t="shared" si="44"/>
        <v>13.728599999999998</v>
      </c>
      <c r="M543" s="50">
        <f t="shared" si="45"/>
        <v>89.998599999999996</v>
      </c>
    </row>
    <row r="544" spans="1:13" x14ac:dyDescent="0.2">
      <c r="A544" s="18">
        <f t="shared" si="39"/>
        <v>541</v>
      </c>
      <c r="B544" s="18" t="s">
        <v>1356</v>
      </c>
      <c r="C544" s="18" t="s">
        <v>1426</v>
      </c>
      <c r="D544" s="19">
        <v>43854</v>
      </c>
      <c r="E544" s="18">
        <v>2</v>
      </c>
      <c r="F544" s="18">
        <v>59</v>
      </c>
      <c r="G544" s="18">
        <v>10322741231</v>
      </c>
      <c r="H544" s="18">
        <v>13046</v>
      </c>
      <c r="I544" s="18" t="s">
        <v>137</v>
      </c>
      <c r="J544" s="18" t="s">
        <v>410</v>
      </c>
      <c r="K544" s="20">
        <v>50.85</v>
      </c>
      <c r="L544" s="49">
        <f t="shared" si="44"/>
        <v>9.1530000000000005</v>
      </c>
      <c r="M544" s="50">
        <f t="shared" si="45"/>
        <v>60.003</v>
      </c>
    </row>
    <row r="545" spans="1:13" x14ac:dyDescent="0.2">
      <c r="A545" s="18">
        <f t="shared" ref="A545:A608" si="46">+A544+1</f>
        <v>542</v>
      </c>
      <c r="B545" s="18" t="s">
        <v>2590</v>
      </c>
      <c r="C545" s="18" t="s">
        <v>2591</v>
      </c>
      <c r="D545" s="19">
        <v>43852</v>
      </c>
      <c r="E545" s="18" t="s">
        <v>197</v>
      </c>
      <c r="F545" s="18">
        <v>39227</v>
      </c>
      <c r="G545" s="18">
        <v>20493143612</v>
      </c>
      <c r="H545" s="18"/>
      <c r="I545" s="18" t="s">
        <v>137</v>
      </c>
      <c r="J545" s="18" t="s">
        <v>954</v>
      </c>
      <c r="K545" s="20">
        <v>42.37</v>
      </c>
      <c r="L545" s="49">
        <f t="shared" si="44"/>
        <v>7.6265999999999989</v>
      </c>
      <c r="M545" s="50">
        <f t="shared" si="45"/>
        <v>49.996599999999994</v>
      </c>
    </row>
    <row r="546" spans="1:13" x14ac:dyDescent="0.2">
      <c r="A546" s="18">
        <f t="shared" si="46"/>
        <v>543</v>
      </c>
      <c r="B546" s="18" t="s">
        <v>2592</v>
      </c>
      <c r="C546" s="18" t="s">
        <v>2593</v>
      </c>
      <c r="D546" s="19">
        <v>43853</v>
      </c>
      <c r="E546" s="18" t="s">
        <v>200</v>
      </c>
      <c r="F546" s="18">
        <v>72601</v>
      </c>
      <c r="G546" s="18">
        <v>20493143612</v>
      </c>
      <c r="H546" s="18"/>
      <c r="I546" s="18" t="s">
        <v>137</v>
      </c>
      <c r="J546" s="18" t="s">
        <v>954</v>
      </c>
      <c r="K546" s="20">
        <v>42.37</v>
      </c>
      <c r="L546" s="49">
        <f t="shared" si="44"/>
        <v>7.6265999999999989</v>
      </c>
      <c r="M546" s="50">
        <f t="shared" si="45"/>
        <v>49.996599999999994</v>
      </c>
    </row>
    <row r="547" spans="1:13" x14ac:dyDescent="0.2">
      <c r="A547" s="18">
        <f t="shared" si="46"/>
        <v>544</v>
      </c>
      <c r="B547" s="18" t="s">
        <v>1377</v>
      </c>
      <c r="C547" s="18" t="s">
        <v>1446</v>
      </c>
      <c r="D547" s="19">
        <v>43853</v>
      </c>
      <c r="E547" s="18">
        <v>1</v>
      </c>
      <c r="F547" s="18">
        <v>1384</v>
      </c>
      <c r="G547" s="18">
        <v>10157000930</v>
      </c>
      <c r="H547" s="18">
        <v>13081</v>
      </c>
      <c r="I547" s="18" t="s">
        <v>137</v>
      </c>
      <c r="J547" s="18" t="s">
        <v>2594</v>
      </c>
      <c r="K547" s="20">
        <v>59.32</v>
      </c>
      <c r="L547" s="49">
        <f t="shared" si="44"/>
        <v>10.6776</v>
      </c>
      <c r="M547" s="50">
        <f t="shared" si="45"/>
        <v>69.997600000000006</v>
      </c>
    </row>
    <row r="548" spans="1:13" x14ac:dyDescent="0.2">
      <c r="A548" s="18">
        <f t="shared" si="46"/>
        <v>545</v>
      </c>
      <c r="B548" s="18" t="s">
        <v>1377</v>
      </c>
      <c r="C548" s="18" t="s">
        <v>1446</v>
      </c>
      <c r="D548" s="19">
        <v>43858</v>
      </c>
      <c r="E548" s="18" t="s">
        <v>463</v>
      </c>
      <c r="F548" s="18">
        <v>54682</v>
      </c>
      <c r="G548" s="18">
        <v>20493143612</v>
      </c>
      <c r="H548" s="18">
        <v>13081</v>
      </c>
      <c r="I548" s="18" t="s">
        <v>137</v>
      </c>
      <c r="J548" s="18" t="s">
        <v>954</v>
      </c>
      <c r="K548" s="20">
        <v>16.95</v>
      </c>
      <c r="L548" s="49">
        <f t="shared" ref="L548:L573" si="47">+K548*18%</f>
        <v>3.0509999999999997</v>
      </c>
      <c r="M548" s="50">
        <f t="shared" ref="M548:M573" si="48">+K548+L548</f>
        <v>20.000999999999998</v>
      </c>
    </row>
    <row r="549" spans="1:13" x14ac:dyDescent="0.2">
      <c r="A549" s="18">
        <f t="shared" si="46"/>
        <v>546</v>
      </c>
      <c r="B549" s="18" t="s">
        <v>2517</v>
      </c>
      <c r="C549" s="18" t="s">
        <v>2518</v>
      </c>
      <c r="D549" s="19">
        <v>43858</v>
      </c>
      <c r="E549" s="18">
        <v>1</v>
      </c>
      <c r="F549" s="18">
        <v>1371</v>
      </c>
      <c r="G549" s="18">
        <v>10068062948</v>
      </c>
      <c r="H549" s="18">
        <v>13242</v>
      </c>
      <c r="I549" s="18" t="s">
        <v>137</v>
      </c>
      <c r="J549" s="18" t="s">
        <v>1439</v>
      </c>
      <c r="K549" s="20">
        <v>15</v>
      </c>
      <c r="L549" s="49">
        <f t="shared" si="47"/>
        <v>2.6999999999999997</v>
      </c>
      <c r="M549" s="50">
        <f t="shared" si="48"/>
        <v>17.7</v>
      </c>
    </row>
    <row r="550" spans="1:13" x14ac:dyDescent="0.2">
      <c r="A550" s="18">
        <f t="shared" si="46"/>
        <v>547</v>
      </c>
      <c r="B550" s="18" t="s">
        <v>2517</v>
      </c>
      <c r="C550" s="18" t="s">
        <v>2518</v>
      </c>
      <c r="D550" s="19">
        <v>43858</v>
      </c>
      <c r="E550" s="18" t="s">
        <v>463</v>
      </c>
      <c r="F550" s="18">
        <v>54685</v>
      </c>
      <c r="G550" s="18">
        <v>20493143612</v>
      </c>
      <c r="H550" s="18">
        <v>13242</v>
      </c>
      <c r="I550" s="18" t="s">
        <v>137</v>
      </c>
      <c r="J550" s="18" t="s">
        <v>954</v>
      </c>
      <c r="K550" s="20">
        <v>8.4700000000000006</v>
      </c>
      <c r="L550" s="49">
        <f t="shared" si="47"/>
        <v>1.5246</v>
      </c>
      <c r="M550" s="50">
        <f t="shared" si="48"/>
        <v>9.9946000000000002</v>
      </c>
    </row>
    <row r="551" spans="1:13" x14ac:dyDescent="0.2">
      <c r="A551" s="18">
        <f t="shared" si="46"/>
        <v>548</v>
      </c>
      <c r="B551" s="18" t="s">
        <v>2555</v>
      </c>
      <c r="C551" s="18" t="s">
        <v>2556</v>
      </c>
      <c r="D551" s="19">
        <v>43857</v>
      </c>
      <c r="E551" s="18" t="s">
        <v>200</v>
      </c>
      <c r="F551" s="18">
        <v>72732</v>
      </c>
      <c r="G551" s="18">
        <v>20493143612</v>
      </c>
      <c r="H551" s="18">
        <v>13219</v>
      </c>
      <c r="I551" s="18" t="s">
        <v>137</v>
      </c>
      <c r="J551" s="18" t="s">
        <v>954</v>
      </c>
      <c r="K551" s="20">
        <v>42.37</v>
      </c>
      <c r="L551" s="49">
        <f t="shared" si="47"/>
        <v>7.6265999999999989</v>
      </c>
      <c r="M551" s="50">
        <f t="shared" si="48"/>
        <v>49.996599999999994</v>
      </c>
    </row>
    <row r="552" spans="1:13" x14ac:dyDescent="0.2">
      <c r="A552" s="18">
        <f t="shared" si="46"/>
        <v>549</v>
      </c>
      <c r="B552" s="18" t="s">
        <v>1356</v>
      </c>
      <c r="C552" s="18" t="s">
        <v>1426</v>
      </c>
      <c r="D552" s="19">
        <v>43860</v>
      </c>
      <c r="E552" s="18">
        <v>1</v>
      </c>
      <c r="F552" s="18">
        <v>1373</v>
      </c>
      <c r="G552" s="18">
        <v>10068062948</v>
      </c>
      <c r="H552" s="18">
        <v>13046</v>
      </c>
      <c r="I552" s="18" t="s">
        <v>137</v>
      </c>
      <c r="J552" s="18" t="s">
        <v>1439</v>
      </c>
      <c r="K552" s="20">
        <v>42.37</v>
      </c>
      <c r="L552" s="49">
        <f t="shared" si="47"/>
        <v>7.6265999999999989</v>
      </c>
      <c r="M552" s="50">
        <f t="shared" si="48"/>
        <v>49.996599999999994</v>
      </c>
    </row>
    <row r="553" spans="1:13" x14ac:dyDescent="0.2">
      <c r="A553" s="18">
        <f t="shared" si="46"/>
        <v>550</v>
      </c>
      <c r="B553" s="18" t="s">
        <v>1356</v>
      </c>
      <c r="C553" s="18" t="s">
        <v>1426</v>
      </c>
      <c r="D553" s="19">
        <v>43860</v>
      </c>
      <c r="E553" s="18" t="s">
        <v>200</v>
      </c>
      <c r="F553" s="18">
        <v>72933</v>
      </c>
      <c r="G553" s="18">
        <v>20493143612</v>
      </c>
      <c r="H553" s="18">
        <v>13046</v>
      </c>
      <c r="I553" s="18" t="s">
        <v>137</v>
      </c>
      <c r="J553" s="18" t="s">
        <v>954</v>
      </c>
      <c r="K553" s="20">
        <v>20</v>
      </c>
      <c r="L553" s="49">
        <f t="shared" si="47"/>
        <v>3.5999999999999996</v>
      </c>
      <c r="M553" s="50">
        <f t="shared" si="48"/>
        <v>23.6</v>
      </c>
    </row>
    <row r="554" spans="1:13" x14ac:dyDescent="0.2">
      <c r="A554" s="18">
        <f t="shared" si="46"/>
        <v>551</v>
      </c>
      <c r="B554" s="18" t="s">
        <v>1356</v>
      </c>
      <c r="C554" s="18" t="s">
        <v>1426</v>
      </c>
      <c r="D554" s="19">
        <v>43861</v>
      </c>
      <c r="E554" s="18">
        <v>1</v>
      </c>
      <c r="F554" s="18">
        <v>12243</v>
      </c>
      <c r="G554" s="18">
        <v>20451748913</v>
      </c>
      <c r="H554" s="18">
        <v>13046</v>
      </c>
      <c r="I554" s="18" t="s">
        <v>137</v>
      </c>
      <c r="J554" s="18" t="s">
        <v>2848</v>
      </c>
      <c r="K554" s="20">
        <v>25.42</v>
      </c>
      <c r="L554" s="49">
        <f t="shared" si="47"/>
        <v>4.5756000000000006</v>
      </c>
      <c r="M554" s="50">
        <f t="shared" si="48"/>
        <v>29.995600000000003</v>
      </c>
    </row>
    <row r="555" spans="1:13" x14ac:dyDescent="0.2">
      <c r="A555" s="18">
        <f t="shared" si="46"/>
        <v>552</v>
      </c>
      <c r="B555" s="18" t="s">
        <v>1385</v>
      </c>
      <c r="C555" s="18" t="s">
        <v>1669</v>
      </c>
      <c r="D555" s="19">
        <v>43859</v>
      </c>
      <c r="E555" s="18">
        <v>1</v>
      </c>
      <c r="F555" s="18">
        <v>14810</v>
      </c>
      <c r="G555" s="18">
        <v>10087364858</v>
      </c>
      <c r="H555" s="18">
        <v>13169</v>
      </c>
      <c r="I555" s="18" t="s">
        <v>137</v>
      </c>
      <c r="J555" s="18" t="s">
        <v>2849</v>
      </c>
      <c r="K555" s="20">
        <v>33.9</v>
      </c>
      <c r="L555" s="49">
        <f t="shared" si="47"/>
        <v>6.1019999999999994</v>
      </c>
      <c r="M555" s="50">
        <f t="shared" si="48"/>
        <v>40.001999999999995</v>
      </c>
    </row>
    <row r="556" spans="1:13" x14ac:dyDescent="0.2">
      <c r="A556" s="18">
        <f t="shared" si="46"/>
        <v>553</v>
      </c>
      <c r="B556" s="18" t="s">
        <v>1998</v>
      </c>
      <c r="C556" s="18" t="s">
        <v>2514</v>
      </c>
      <c r="D556" s="19">
        <v>43858</v>
      </c>
      <c r="E556" s="18">
        <v>1</v>
      </c>
      <c r="F556" s="18">
        <v>5316</v>
      </c>
      <c r="G556" s="18">
        <v>20544804236</v>
      </c>
      <c r="H556" s="18">
        <v>13278</v>
      </c>
      <c r="I556" s="18" t="s">
        <v>137</v>
      </c>
      <c r="J556" s="18" t="s">
        <v>1423</v>
      </c>
      <c r="K556" s="20">
        <v>29.66</v>
      </c>
      <c r="L556" s="49">
        <f t="shared" si="47"/>
        <v>5.3388</v>
      </c>
      <c r="M556" s="50">
        <f t="shared" si="48"/>
        <v>34.998800000000003</v>
      </c>
    </row>
    <row r="557" spans="1:13" x14ac:dyDescent="0.2">
      <c r="A557" s="18">
        <f t="shared" si="46"/>
        <v>554</v>
      </c>
      <c r="B557" s="18" t="s">
        <v>2547</v>
      </c>
      <c r="C557" s="18" t="s">
        <v>2548</v>
      </c>
      <c r="D557" s="19">
        <v>43865</v>
      </c>
      <c r="E557" s="18">
        <v>1</v>
      </c>
      <c r="F557" s="18">
        <v>25871</v>
      </c>
      <c r="G557" s="18">
        <v>20601079691</v>
      </c>
      <c r="H557" s="18"/>
      <c r="I557" s="18" t="s">
        <v>193</v>
      </c>
      <c r="J557" s="18" t="s">
        <v>2574</v>
      </c>
      <c r="K557" s="20">
        <f>28/1.18</f>
        <v>23.728813559322035</v>
      </c>
      <c r="L557" s="49">
        <f t="shared" si="47"/>
        <v>4.2711864406779663</v>
      </c>
      <c r="M557" s="50">
        <f t="shared" si="48"/>
        <v>28</v>
      </c>
    </row>
    <row r="558" spans="1:13" x14ac:dyDescent="0.2">
      <c r="A558" s="18">
        <f t="shared" si="46"/>
        <v>555</v>
      </c>
      <c r="B558" s="18" t="s">
        <v>2695</v>
      </c>
      <c r="C558" s="18" t="s">
        <v>2850</v>
      </c>
      <c r="D558" s="19">
        <v>43865</v>
      </c>
      <c r="E558" s="18">
        <v>1</v>
      </c>
      <c r="F558" s="18">
        <v>25871</v>
      </c>
      <c r="G558" s="18">
        <v>20601079691</v>
      </c>
      <c r="H558" s="18"/>
      <c r="I558" s="18" t="s">
        <v>193</v>
      </c>
      <c r="J558" s="18" t="s">
        <v>2574</v>
      </c>
      <c r="K558" s="20">
        <f>5/1.18</f>
        <v>4.2372881355932206</v>
      </c>
      <c r="L558" s="49">
        <f t="shared" si="47"/>
        <v>0.76271186440677963</v>
      </c>
      <c r="M558" s="50">
        <f t="shared" si="48"/>
        <v>5</v>
      </c>
    </row>
    <row r="559" spans="1:13" x14ac:dyDescent="0.2">
      <c r="A559" s="18">
        <f t="shared" si="46"/>
        <v>556</v>
      </c>
      <c r="B559" s="18" t="s">
        <v>2547</v>
      </c>
      <c r="C559" s="18" t="s">
        <v>2548</v>
      </c>
      <c r="D559" s="19">
        <v>43865</v>
      </c>
      <c r="E559" s="18">
        <v>1</v>
      </c>
      <c r="F559" s="18">
        <v>1375</v>
      </c>
      <c r="G559" s="18">
        <v>10068062948</v>
      </c>
      <c r="H559" s="18"/>
      <c r="I559" s="18" t="s">
        <v>137</v>
      </c>
      <c r="J559" s="18" t="s">
        <v>1439</v>
      </c>
      <c r="K559" s="20">
        <v>40</v>
      </c>
      <c r="L559" s="49">
        <f t="shared" si="47"/>
        <v>7.1999999999999993</v>
      </c>
      <c r="M559" s="50">
        <f t="shared" si="48"/>
        <v>47.2</v>
      </c>
    </row>
    <row r="560" spans="1:13" x14ac:dyDescent="0.2">
      <c r="A560" s="18">
        <f t="shared" si="46"/>
        <v>557</v>
      </c>
      <c r="B560" s="18" t="s">
        <v>2547</v>
      </c>
      <c r="C560" s="18" t="s">
        <v>2548</v>
      </c>
      <c r="D560" s="19">
        <v>43865</v>
      </c>
      <c r="E560" s="18" t="s">
        <v>197</v>
      </c>
      <c r="F560" s="18">
        <v>40182</v>
      </c>
      <c r="G560" s="18">
        <v>20493143612</v>
      </c>
      <c r="H560" s="18"/>
      <c r="I560" s="18" t="s">
        <v>137</v>
      </c>
      <c r="J560" s="18" t="s">
        <v>954</v>
      </c>
      <c r="K560" s="20">
        <v>16.95</v>
      </c>
      <c r="L560" s="49">
        <f t="shared" si="47"/>
        <v>3.0509999999999997</v>
      </c>
      <c r="M560" s="50">
        <f t="shared" si="48"/>
        <v>20.000999999999998</v>
      </c>
    </row>
    <row r="561" spans="1:13" x14ac:dyDescent="0.2">
      <c r="A561" s="18">
        <f t="shared" si="46"/>
        <v>558</v>
      </c>
      <c r="B561" s="18" t="s">
        <v>1356</v>
      </c>
      <c r="C561" s="18" t="s">
        <v>1426</v>
      </c>
      <c r="D561" s="19">
        <v>43858</v>
      </c>
      <c r="E561" s="18" t="s">
        <v>2473</v>
      </c>
      <c r="F561" s="18">
        <v>8799</v>
      </c>
      <c r="G561" s="18">
        <v>20557210838</v>
      </c>
      <c r="H561" s="18"/>
      <c r="I561" s="18" t="s">
        <v>193</v>
      </c>
      <c r="J561" s="18" t="s">
        <v>465</v>
      </c>
      <c r="K561" s="20">
        <f>29.24/3</f>
        <v>9.7466666666666661</v>
      </c>
      <c r="L561" s="49">
        <f t="shared" si="47"/>
        <v>1.7543999999999997</v>
      </c>
      <c r="M561" s="50">
        <f t="shared" si="48"/>
        <v>11.501066666666667</v>
      </c>
    </row>
    <row r="562" spans="1:13" x14ac:dyDescent="0.2">
      <c r="A562" s="18">
        <f t="shared" si="46"/>
        <v>559</v>
      </c>
      <c r="B562" s="18" t="s">
        <v>2851</v>
      </c>
      <c r="C562" s="18" t="s">
        <v>2852</v>
      </c>
      <c r="D562" s="19">
        <v>43865</v>
      </c>
      <c r="E562" s="18">
        <v>1</v>
      </c>
      <c r="F562" s="18">
        <v>670</v>
      </c>
      <c r="G562" s="18">
        <v>20601577209</v>
      </c>
      <c r="H562" s="18">
        <v>13286</v>
      </c>
      <c r="I562" s="18" t="s">
        <v>193</v>
      </c>
      <c r="J562" s="18" t="s">
        <v>2853</v>
      </c>
      <c r="K562" s="20">
        <v>42.37</v>
      </c>
      <c r="L562" s="49">
        <f t="shared" si="47"/>
        <v>7.6265999999999989</v>
      </c>
      <c r="M562" s="50">
        <f t="shared" si="48"/>
        <v>49.996599999999994</v>
      </c>
    </row>
    <row r="563" spans="1:13" x14ac:dyDescent="0.2">
      <c r="A563" s="18">
        <f t="shared" si="46"/>
        <v>560</v>
      </c>
      <c r="B563" s="18" t="s">
        <v>2590</v>
      </c>
      <c r="C563" s="18" t="s">
        <v>2591</v>
      </c>
      <c r="D563" s="19">
        <v>43860</v>
      </c>
      <c r="E563" s="18">
        <v>1</v>
      </c>
      <c r="F563" s="18">
        <v>1372</v>
      </c>
      <c r="G563" s="18">
        <v>10068062948</v>
      </c>
      <c r="H563" s="18">
        <v>13240</v>
      </c>
      <c r="I563" s="18" t="s">
        <v>137</v>
      </c>
      <c r="J563" s="18" t="s">
        <v>1439</v>
      </c>
      <c r="K563" s="20">
        <v>15</v>
      </c>
      <c r="L563" s="49">
        <f t="shared" si="47"/>
        <v>2.6999999999999997</v>
      </c>
      <c r="M563" s="50">
        <f t="shared" si="48"/>
        <v>17.7</v>
      </c>
    </row>
    <row r="564" spans="1:13" x14ac:dyDescent="0.2">
      <c r="A564" s="18">
        <f t="shared" si="46"/>
        <v>561</v>
      </c>
      <c r="B564" s="18" t="s">
        <v>2693</v>
      </c>
      <c r="C564" s="18" t="s">
        <v>2336</v>
      </c>
      <c r="D564" s="19">
        <v>43862</v>
      </c>
      <c r="E564" s="18">
        <v>1</v>
      </c>
      <c r="F564" s="18">
        <v>1374</v>
      </c>
      <c r="G564" s="18">
        <v>10068062948</v>
      </c>
      <c r="H564" s="18">
        <v>13220</v>
      </c>
      <c r="I564" s="18" t="s">
        <v>137</v>
      </c>
      <c r="J564" s="18" t="s">
        <v>1439</v>
      </c>
      <c r="K564" s="20">
        <v>59.32</v>
      </c>
      <c r="L564" s="49">
        <f t="shared" si="47"/>
        <v>10.6776</v>
      </c>
      <c r="M564" s="50">
        <f t="shared" si="48"/>
        <v>69.997600000000006</v>
      </c>
    </row>
    <row r="565" spans="1:13" x14ac:dyDescent="0.2">
      <c r="A565" s="18">
        <f t="shared" si="46"/>
        <v>562</v>
      </c>
      <c r="B565" s="18" t="s">
        <v>2568</v>
      </c>
      <c r="C565" s="18" t="s">
        <v>2569</v>
      </c>
      <c r="D565" s="19">
        <v>43865</v>
      </c>
      <c r="E565" s="18" t="s">
        <v>2854</v>
      </c>
      <c r="F565" s="18">
        <v>36398</v>
      </c>
      <c r="G565" s="18">
        <v>20100095578</v>
      </c>
      <c r="H565" s="18"/>
      <c r="I565" s="18" t="s">
        <v>193</v>
      </c>
      <c r="J565" s="18" t="s">
        <v>2855</v>
      </c>
      <c r="K565" s="20">
        <v>16</v>
      </c>
      <c r="L565" s="49">
        <f t="shared" si="47"/>
        <v>2.88</v>
      </c>
      <c r="M565" s="50">
        <f t="shared" si="48"/>
        <v>18.88</v>
      </c>
    </row>
    <row r="566" spans="1:13" x14ac:dyDescent="0.2">
      <c r="A566" s="18">
        <f t="shared" si="46"/>
        <v>563</v>
      </c>
      <c r="B566" s="18" t="s">
        <v>1937</v>
      </c>
      <c r="C566" s="18" t="s">
        <v>3138</v>
      </c>
      <c r="D566" s="19">
        <v>43874</v>
      </c>
      <c r="E566" s="18">
        <v>3</v>
      </c>
      <c r="F566" s="18">
        <v>8378</v>
      </c>
      <c r="G566" s="18">
        <v>10074044986</v>
      </c>
      <c r="H566" s="18"/>
      <c r="I566" s="18" t="s">
        <v>193</v>
      </c>
      <c r="J566" s="18" t="s">
        <v>3139</v>
      </c>
      <c r="K566" s="20">
        <v>16.100000000000001</v>
      </c>
      <c r="L566" s="49">
        <f t="shared" si="47"/>
        <v>2.8980000000000001</v>
      </c>
      <c r="M566" s="50">
        <f t="shared" si="48"/>
        <v>18.998000000000001</v>
      </c>
    </row>
    <row r="567" spans="1:13" x14ac:dyDescent="0.2">
      <c r="A567" s="18">
        <f t="shared" si="46"/>
        <v>564</v>
      </c>
      <c r="B567" s="18" t="s">
        <v>2695</v>
      </c>
      <c r="C567" s="18" t="s">
        <v>2850</v>
      </c>
      <c r="D567" s="19">
        <v>43872</v>
      </c>
      <c r="E567" s="18" t="s">
        <v>200</v>
      </c>
      <c r="F567" s="18">
        <v>2532</v>
      </c>
      <c r="G567" s="18">
        <v>10087340177</v>
      </c>
      <c r="H567" s="18"/>
      <c r="I567" s="18" t="s">
        <v>193</v>
      </c>
      <c r="J567" s="18" t="s">
        <v>1599</v>
      </c>
      <c r="K567" s="20">
        <v>169.49</v>
      </c>
      <c r="L567" s="49">
        <f t="shared" si="47"/>
        <v>30.508200000000002</v>
      </c>
      <c r="M567" s="50">
        <f t="shared" si="48"/>
        <v>199.9982</v>
      </c>
    </row>
    <row r="568" spans="1:13" x14ac:dyDescent="0.2">
      <c r="A568" s="18">
        <f t="shared" si="46"/>
        <v>565</v>
      </c>
      <c r="B568" s="18" t="s">
        <v>2695</v>
      </c>
      <c r="C568" s="18" t="s">
        <v>2850</v>
      </c>
      <c r="D568" s="19">
        <v>43872</v>
      </c>
      <c r="E568" s="18" t="s">
        <v>197</v>
      </c>
      <c r="F568" s="18">
        <v>1068</v>
      </c>
      <c r="G568" s="18">
        <v>20605180575</v>
      </c>
      <c r="H568" s="18"/>
      <c r="I568" s="18" t="s">
        <v>193</v>
      </c>
      <c r="J568" s="18" t="s">
        <v>198</v>
      </c>
      <c r="K568" s="20">
        <v>16.95</v>
      </c>
      <c r="L568" s="49">
        <f t="shared" si="47"/>
        <v>3.0509999999999997</v>
      </c>
      <c r="M568" s="50">
        <f t="shared" si="48"/>
        <v>20.000999999999998</v>
      </c>
    </row>
    <row r="569" spans="1:13" x14ac:dyDescent="0.2">
      <c r="A569" s="18">
        <f t="shared" si="46"/>
        <v>566</v>
      </c>
      <c r="B569" s="18" t="s">
        <v>2695</v>
      </c>
      <c r="C569" s="18" t="s">
        <v>2850</v>
      </c>
      <c r="D569" s="19">
        <v>43872</v>
      </c>
      <c r="E569" s="18">
        <v>1</v>
      </c>
      <c r="F569" s="18">
        <v>9479</v>
      </c>
      <c r="G569" s="18">
        <v>10074442515</v>
      </c>
      <c r="H569" s="18"/>
      <c r="I569" s="18" t="s">
        <v>137</v>
      </c>
      <c r="J569" s="18" t="s">
        <v>3140</v>
      </c>
      <c r="K569" s="20">
        <v>70</v>
      </c>
      <c r="L569" s="49">
        <f t="shared" si="47"/>
        <v>12.6</v>
      </c>
      <c r="M569" s="50">
        <f t="shared" si="48"/>
        <v>82.6</v>
      </c>
    </row>
    <row r="570" spans="1:13" x14ac:dyDescent="0.2">
      <c r="A570" s="18">
        <f t="shared" si="46"/>
        <v>567</v>
      </c>
      <c r="B570" s="18" t="s">
        <v>2894</v>
      </c>
      <c r="C570" s="18" t="s">
        <v>3009</v>
      </c>
      <c r="D570" s="19">
        <v>43876</v>
      </c>
      <c r="E570" s="18">
        <v>1</v>
      </c>
      <c r="F570" s="18">
        <v>788</v>
      </c>
      <c r="G570" s="18">
        <v>20600639634</v>
      </c>
      <c r="H570" s="18"/>
      <c r="I570" s="18" t="s">
        <v>137</v>
      </c>
      <c r="J570" s="18" t="s">
        <v>3141</v>
      </c>
      <c r="K570" s="20">
        <v>169.49</v>
      </c>
      <c r="L570" s="49">
        <f t="shared" si="47"/>
        <v>30.508200000000002</v>
      </c>
      <c r="M570" s="50">
        <f t="shared" si="48"/>
        <v>199.9982</v>
      </c>
    </row>
    <row r="571" spans="1:13" x14ac:dyDescent="0.2">
      <c r="A571" s="18">
        <f t="shared" si="46"/>
        <v>568</v>
      </c>
      <c r="B571" s="18" t="s">
        <v>2865</v>
      </c>
      <c r="C571" s="18" t="s">
        <v>3021</v>
      </c>
      <c r="D571" s="19">
        <v>43874</v>
      </c>
      <c r="E571" s="18">
        <v>1</v>
      </c>
      <c r="F571" s="18">
        <v>13881</v>
      </c>
      <c r="G571" s="18">
        <v>10068062948</v>
      </c>
      <c r="H571" s="18">
        <v>13293</v>
      </c>
      <c r="I571" s="18" t="s">
        <v>137</v>
      </c>
      <c r="J571" s="18" t="s">
        <v>3141</v>
      </c>
      <c r="K571" s="20">
        <v>159.32</v>
      </c>
      <c r="L571" s="49">
        <f t="shared" si="47"/>
        <v>28.677599999999998</v>
      </c>
      <c r="M571" s="50">
        <f t="shared" si="48"/>
        <v>187.99759999999998</v>
      </c>
    </row>
    <row r="572" spans="1:13" x14ac:dyDescent="0.2">
      <c r="A572" s="18">
        <f t="shared" si="46"/>
        <v>569</v>
      </c>
      <c r="B572" s="18" t="s">
        <v>2865</v>
      </c>
      <c r="C572" s="18" t="s">
        <v>3021</v>
      </c>
      <c r="D572" s="19">
        <v>43874</v>
      </c>
      <c r="E572" s="18" t="s">
        <v>200</v>
      </c>
      <c r="F572" s="18">
        <v>737655</v>
      </c>
      <c r="G572" s="18">
        <v>20493143612</v>
      </c>
      <c r="H572" s="18">
        <v>13293</v>
      </c>
      <c r="I572" s="18" t="s">
        <v>137</v>
      </c>
      <c r="J572" s="18" t="s">
        <v>954</v>
      </c>
      <c r="K572" s="20">
        <v>16.96</v>
      </c>
      <c r="L572" s="49">
        <f t="shared" si="47"/>
        <v>3.0528</v>
      </c>
      <c r="M572" s="50">
        <f t="shared" si="48"/>
        <v>20.012800000000002</v>
      </c>
    </row>
    <row r="573" spans="1:13" x14ac:dyDescent="0.2">
      <c r="A573" s="18">
        <f t="shared" si="46"/>
        <v>570</v>
      </c>
      <c r="B573" s="18" t="s">
        <v>1385</v>
      </c>
      <c r="C573" s="18" t="s">
        <v>1669</v>
      </c>
      <c r="D573" s="19">
        <v>43868</v>
      </c>
      <c r="E573" s="18">
        <v>2</v>
      </c>
      <c r="F573" s="18">
        <v>1898</v>
      </c>
      <c r="G573" s="18">
        <v>10091623337</v>
      </c>
      <c r="H573" s="18"/>
      <c r="I573" s="18" t="s">
        <v>137</v>
      </c>
      <c r="J573" s="18" t="s">
        <v>3142</v>
      </c>
      <c r="K573" s="20">
        <v>101.7</v>
      </c>
      <c r="L573" s="49">
        <f t="shared" si="47"/>
        <v>18.306000000000001</v>
      </c>
      <c r="M573" s="50">
        <f t="shared" si="48"/>
        <v>120.006</v>
      </c>
    </row>
    <row r="574" spans="1:13" x14ac:dyDescent="0.2">
      <c r="A574" s="18">
        <f t="shared" si="46"/>
        <v>571</v>
      </c>
      <c r="B574" s="18" t="s">
        <v>1385</v>
      </c>
      <c r="C574" s="18" t="s">
        <v>1669</v>
      </c>
      <c r="D574" s="19">
        <v>43871</v>
      </c>
      <c r="E574" s="18" t="s">
        <v>200</v>
      </c>
      <c r="F574" s="18">
        <v>1679</v>
      </c>
      <c r="G574" s="18">
        <v>20602362664</v>
      </c>
      <c r="H574" s="18"/>
      <c r="I574" s="18" t="s">
        <v>137</v>
      </c>
      <c r="J574" s="18" t="s">
        <v>3143</v>
      </c>
      <c r="K574" s="20">
        <v>110.17</v>
      </c>
      <c r="L574" s="49">
        <f t="shared" ref="L574:L636" si="49">+K574*18%</f>
        <v>19.8306</v>
      </c>
      <c r="M574" s="50">
        <f t="shared" ref="M574:M636" si="50">+K574+L574</f>
        <v>130.00059999999999</v>
      </c>
    </row>
    <row r="575" spans="1:13" x14ac:dyDescent="0.2">
      <c r="A575" s="18">
        <f t="shared" si="46"/>
        <v>572</v>
      </c>
      <c r="B575" s="18" t="s">
        <v>1385</v>
      </c>
      <c r="C575" s="18" t="s">
        <v>1669</v>
      </c>
      <c r="D575" s="19">
        <v>43869</v>
      </c>
      <c r="E575" s="18" t="s">
        <v>200</v>
      </c>
      <c r="F575" s="18">
        <v>1659</v>
      </c>
      <c r="G575" s="18">
        <v>20602362664</v>
      </c>
      <c r="H575" s="18"/>
      <c r="I575" s="18" t="s">
        <v>137</v>
      </c>
      <c r="J575" s="18" t="s">
        <v>2502</v>
      </c>
      <c r="K575" s="20">
        <v>25.42</v>
      </c>
      <c r="L575" s="49">
        <f t="shared" si="49"/>
        <v>4.5756000000000006</v>
      </c>
      <c r="M575" s="50">
        <f t="shared" si="50"/>
        <v>29.995600000000003</v>
      </c>
    </row>
    <row r="576" spans="1:13" x14ac:dyDescent="0.2">
      <c r="A576" s="18">
        <f t="shared" si="46"/>
        <v>573</v>
      </c>
      <c r="B576" s="18" t="s">
        <v>2568</v>
      </c>
      <c r="C576" s="18" t="s">
        <v>3144</v>
      </c>
      <c r="D576" s="19">
        <v>43866</v>
      </c>
      <c r="E576" s="18">
        <v>1</v>
      </c>
      <c r="F576" s="18">
        <v>1376</v>
      </c>
      <c r="G576" s="18">
        <v>10068062948</v>
      </c>
      <c r="H576" s="18"/>
      <c r="I576" s="18" t="s">
        <v>137</v>
      </c>
      <c r="J576" s="18" t="s">
        <v>3141</v>
      </c>
      <c r="K576" s="20">
        <v>15</v>
      </c>
      <c r="L576" s="49">
        <f t="shared" si="49"/>
        <v>2.6999999999999997</v>
      </c>
      <c r="M576" s="50">
        <f t="shared" si="50"/>
        <v>17.7</v>
      </c>
    </row>
    <row r="577" spans="1:13" x14ac:dyDescent="0.2">
      <c r="A577" s="18">
        <f t="shared" si="46"/>
        <v>574</v>
      </c>
      <c r="B577" s="18" t="s">
        <v>2568</v>
      </c>
      <c r="C577" s="18" t="s">
        <v>3144</v>
      </c>
      <c r="D577" s="19">
        <v>43866</v>
      </c>
      <c r="E577" s="18">
        <v>1</v>
      </c>
      <c r="F577" s="18">
        <v>1391</v>
      </c>
      <c r="G577" s="18">
        <v>10157000930</v>
      </c>
      <c r="H577" s="18"/>
      <c r="I577" s="18" t="s">
        <v>137</v>
      </c>
      <c r="J577" s="18" t="s">
        <v>2546</v>
      </c>
      <c r="K577" s="20">
        <v>10</v>
      </c>
      <c r="L577" s="49">
        <f t="shared" si="49"/>
        <v>1.7999999999999998</v>
      </c>
      <c r="M577" s="50">
        <f t="shared" si="50"/>
        <v>11.8</v>
      </c>
    </row>
    <row r="578" spans="1:13" x14ac:dyDescent="0.2">
      <c r="A578" s="18">
        <f t="shared" si="46"/>
        <v>575</v>
      </c>
      <c r="B578" s="18" t="s">
        <v>2568</v>
      </c>
      <c r="C578" s="18" t="s">
        <v>3144</v>
      </c>
      <c r="D578" s="19">
        <v>43866</v>
      </c>
      <c r="E578" s="18">
        <v>2</v>
      </c>
      <c r="F578" s="18">
        <v>1895</v>
      </c>
      <c r="G578" s="18">
        <v>10091623337</v>
      </c>
      <c r="H578" s="18"/>
      <c r="I578" s="18" t="s">
        <v>137</v>
      </c>
      <c r="J578" s="18" t="s">
        <v>3145</v>
      </c>
      <c r="K578" s="20">
        <v>42.37</v>
      </c>
      <c r="L578" s="49">
        <f t="shared" si="49"/>
        <v>7.6265999999999989</v>
      </c>
      <c r="M578" s="50">
        <f t="shared" si="50"/>
        <v>49.996599999999994</v>
      </c>
    </row>
    <row r="579" spans="1:13" x14ac:dyDescent="0.2">
      <c r="A579" s="18">
        <f t="shared" si="46"/>
        <v>576</v>
      </c>
      <c r="B579" s="18" t="s">
        <v>2568</v>
      </c>
      <c r="C579" s="18" t="s">
        <v>3144</v>
      </c>
      <c r="D579" s="19">
        <v>43868</v>
      </c>
      <c r="E579" s="18">
        <v>1</v>
      </c>
      <c r="F579" s="18">
        <v>25938</v>
      </c>
      <c r="G579" s="18">
        <v>20601079691</v>
      </c>
      <c r="H579" s="18"/>
      <c r="I579" s="18" t="s">
        <v>193</v>
      </c>
      <c r="J579" s="18" t="s">
        <v>3146</v>
      </c>
      <c r="K579" s="20">
        <v>6.78</v>
      </c>
      <c r="L579" s="49">
        <f t="shared" si="49"/>
        <v>1.2203999999999999</v>
      </c>
      <c r="M579" s="50">
        <f t="shared" si="50"/>
        <v>8.0004000000000008</v>
      </c>
    </row>
    <row r="580" spans="1:13" x14ac:dyDescent="0.2">
      <c r="A580" s="18">
        <f t="shared" si="46"/>
        <v>577</v>
      </c>
      <c r="B580" s="18" t="s">
        <v>2590</v>
      </c>
      <c r="C580" s="18" t="s">
        <v>2591</v>
      </c>
      <c r="D580" s="19">
        <v>43867</v>
      </c>
      <c r="E580" s="18" t="s">
        <v>463</v>
      </c>
      <c r="F580" s="18">
        <v>55257</v>
      </c>
      <c r="G580" s="18">
        <v>20493143612</v>
      </c>
      <c r="H580" s="18"/>
      <c r="I580" s="18" t="s">
        <v>137</v>
      </c>
      <c r="J580" s="18" t="s">
        <v>954</v>
      </c>
      <c r="K580" s="20">
        <v>21.19</v>
      </c>
      <c r="L580" s="49">
        <f t="shared" si="49"/>
        <v>3.8142</v>
      </c>
      <c r="M580" s="50">
        <f t="shared" si="50"/>
        <v>25.004200000000001</v>
      </c>
    </row>
    <row r="581" spans="1:13" x14ac:dyDescent="0.2">
      <c r="A581" s="18">
        <f t="shared" si="46"/>
        <v>578</v>
      </c>
      <c r="B581" s="18" t="s">
        <v>2547</v>
      </c>
      <c r="C581" s="18" t="s">
        <v>2548</v>
      </c>
      <c r="D581" s="19">
        <v>43865</v>
      </c>
      <c r="E581" s="18" t="s">
        <v>197</v>
      </c>
      <c r="F581" s="18">
        <v>40182</v>
      </c>
      <c r="G581" s="18">
        <v>20493143612</v>
      </c>
      <c r="H581" s="18"/>
      <c r="I581" s="18" t="s">
        <v>137</v>
      </c>
      <c r="J581" s="18" t="s">
        <v>954</v>
      </c>
      <c r="K581" s="20">
        <v>16.95</v>
      </c>
      <c r="L581" s="49">
        <f t="shared" si="49"/>
        <v>3.0509999999999997</v>
      </c>
      <c r="M581" s="50">
        <f t="shared" si="50"/>
        <v>20.000999999999998</v>
      </c>
    </row>
    <row r="582" spans="1:13" x14ac:dyDescent="0.2">
      <c r="A582" s="18">
        <f t="shared" si="46"/>
        <v>579</v>
      </c>
      <c r="B582" s="18" t="s">
        <v>2684</v>
      </c>
      <c r="C582" s="18" t="s">
        <v>3038</v>
      </c>
      <c r="D582" s="19">
        <v>43864</v>
      </c>
      <c r="E582" s="18" t="s">
        <v>200</v>
      </c>
      <c r="F582" s="18">
        <v>1201</v>
      </c>
      <c r="G582" s="18">
        <v>20300435298</v>
      </c>
      <c r="H582" s="18">
        <v>13275</v>
      </c>
      <c r="I582" s="18" t="s">
        <v>137</v>
      </c>
      <c r="J582" s="18" t="s">
        <v>2015</v>
      </c>
      <c r="K582" s="20">
        <v>84.75</v>
      </c>
      <c r="L582" s="49">
        <f t="shared" si="49"/>
        <v>15.254999999999999</v>
      </c>
      <c r="M582" s="50">
        <f t="shared" si="50"/>
        <v>100.005</v>
      </c>
    </row>
    <row r="583" spans="1:13" x14ac:dyDescent="0.2">
      <c r="A583" s="18">
        <f t="shared" si="46"/>
        <v>580</v>
      </c>
      <c r="B583" s="18" t="s">
        <v>2662</v>
      </c>
      <c r="C583" s="18" t="s">
        <v>2699</v>
      </c>
      <c r="D583" s="19">
        <v>43867</v>
      </c>
      <c r="E583" s="18">
        <v>1</v>
      </c>
      <c r="F583" s="18">
        <v>1352</v>
      </c>
      <c r="G583" s="18">
        <v>10427505524</v>
      </c>
      <c r="H583" s="18">
        <v>13250</v>
      </c>
      <c r="I583" s="18" t="s">
        <v>137</v>
      </c>
      <c r="J583" s="18" t="s">
        <v>3147</v>
      </c>
      <c r="K583" s="20">
        <v>59.322033898305087</v>
      </c>
      <c r="L583" s="49">
        <f t="shared" si="49"/>
        <v>10.677966101694915</v>
      </c>
      <c r="M583" s="50">
        <f t="shared" si="50"/>
        <v>70</v>
      </c>
    </row>
    <row r="584" spans="1:13" x14ac:dyDescent="0.2">
      <c r="A584" s="18">
        <f t="shared" si="46"/>
        <v>581</v>
      </c>
      <c r="B584" s="18" t="s">
        <v>3046</v>
      </c>
      <c r="C584" s="18" t="s">
        <v>3045</v>
      </c>
      <c r="D584" s="19">
        <v>43867</v>
      </c>
      <c r="E584" s="18">
        <v>1</v>
      </c>
      <c r="F584" s="18">
        <v>1352</v>
      </c>
      <c r="G584" s="18">
        <v>10427505524</v>
      </c>
      <c r="H584" s="18">
        <v>13294</v>
      </c>
      <c r="I584" s="18" t="s">
        <v>137</v>
      </c>
      <c r="J584" s="18" t="s">
        <v>3147</v>
      </c>
      <c r="K584" s="20">
        <v>59.322033898305087</v>
      </c>
      <c r="L584" s="49">
        <f t="shared" si="49"/>
        <v>10.677966101694915</v>
      </c>
      <c r="M584" s="50">
        <f t="shared" si="50"/>
        <v>70</v>
      </c>
    </row>
    <row r="585" spans="1:13" x14ac:dyDescent="0.2">
      <c r="A585" s="18">
        <f t="shared" si="46"/>
        <v>582</v>
      </c>
      <c r="B585" s="18" t="s">
        <v>2649</v>
      </c>
      <c r="C585" s="18" t="s">
        <v>2971</v>
      </c>
      <c r="D585" s="19">
        <v>43869</v>
      </c>
      <c r="E585" s="18">
        <v>1</v>
      </c>
      <c r="F585" s="18">
        <v>5960</v>
      </c>
      <c r="G585" s="18">
        <v>20600892828</v>
      </c>
      <c r="H585" s="18">
        <v>13091</v>
      </c>
      <c r="I585" s="18" t="s">
        <v>137</v>
      </c>
      <c r="J585" s="18" t="s">
        <v>257</v>
      </c>
      <c r="K585" s="20">
        <v>101.69</v>
      </c>
      <c r="L585" s="49">
        <f t="shared" si="49"/>
        <v>18.304199999999998</v>
      </c>
      <c r="M585" s="50">
        <f t="shared" si="50"/>
        <v>119.99419999999999</v>
      </c>
    </row>
    <row r="586" spans="1:13" x14ac:dyDescent="0.2">
      <c r="A586" s="18">
        <f t="shared" si="46"/>
        <v>583</v>
      </c>
      <c r="B586" s="18" t="s">
        <v>2865</v>
      </c>
      <c r="C586" s="18" t="s">
        <v>3021</v>
      </c>
      <c r="D586" s="19">
        <v>43869</v>
      </c>
      <c r="E586" s="18">
        <v>1</v>
      </c>
      <c r="F586" s="18">
        <v>5959</v>
      </c>
      <c r="G586" s="18">
        <v>20600892828</v>
      </c>
      <c r="H586" s="18">
        <v>13293</v>
      </c>
      <c r="I586" s="18" t="s">
        <v>137</v>
      </c>
      <c r="J586" s="18" t="s">
        <v>257</v>
      </c>
      <c r="K586" s="20">
        <v>76.27</v>
      </c>
      <c r="L586" s="49">
        <f t="shared" si="49"/>
        <v>13.728599999999998</v>
      </c>
      <c r="M586" s="50">
        <f t="shared" si="50"/>
        <v>89.998599999999996</v>
      </c>
    </row>
    <row r="587" spans="1:13" x14ac:dyDescent="0.2">
      <c r="A587" s="18">
        <f t="shared" si="46"/>
        <v>584</v>
      </c>
      <c r="B587" s="18" t="s">
        <v>2588</v>
      </c>
      <c r="C587" s="18" t="s">
        <v>2589</v>
      </c>
      <c r="D587" s="19">
        <v>43878</v>
      </c>
      <c r="E587" s="18" t="s">
        <v>200</v>
      </c>
      <c r="F587" s="18">
        <v>1235</v>
      </c>
      <c r="G587" s="18">
        <v>20300435298</v>
      </c>
      <c r="H587" s="18">
        <v>13248</v>
      </c>
      <c r="I587" s="18" t="s">
        <v>137</v>
      </c>
      <c r="J587" s="18" t="s">
        <v>2015</v>
      </c>
      <c r="K587" s="20">
        <v>84.75</v>
      </c>
      <c r="L587" s="49">
        <f t="shared" si="49"/>
        <v>15.254999999999999</v>
      </c>
      <c r="M587" s="50">
        <f t="shared" si="50"/>
        <v>100.005</v>
      </c>
    </row>
    <row r="588" spans="1:13" x14ac:dyDescent="0.2">
      <c r="A588" s="18">
        <f t="shared" si="46"/>
        <v>585</v>
      </c>
      <c r="B588" s="18" t="s">
        <v>2912</v>
      </c>
      <c r="C588" s="18" t="s">
        <v>3055</v>
      </c>
      <c r="D588" s="19">
        <v>43885</v>
      </c>
      <c r="E588" s="18">
        <v>1</v>
      </c>
      <c r="F588" s="18">
        <v>1355</v>
      </c>
      <c r="G588" s="18">
        <v>10427505524</v>
      </c>
      <c r="H588" s="18">
        <v>13253</v>
      </c>
      <c r="I588" s="18" t="s">
        <v>137</v>
      </c>
      <c r="J588" s="18" t="s">
        <v>3147</v>
      </c>
      <c r="K588" s="20">
        <v>33.9</v>
      </c>
      <c r="L588" s="49">
        <f t="shared" si="49"/>
        <v>6.1019999999999994</v>
      </c>
      <c r="M588" s="50">
        <f t="shared" si="50"/>
        <v>40.001999999999995</v>
      </c>
    </row>
    <row r="589" spans="1:13" x14ac:dyDescent="0.2">
      <c r="A589" s="18">
        <f t="shared" si="46"/>
        <v>586</v>
      </c>
      <c r="B589" s="18" t="s">
        <v>3061</v>
      </c>
      <c r="C589" s="18" t="s">
        <v>1458</v>
      </c>
      <c r="D589" s="19">
        <v>43863</v>
      </c>
      <c r="E589" s="18">
        <v>1</v>
      </c>
      <c r="F589" s="18">
        <v>3518</v>
      </c>
      <c r="G589" s="18">
        <v>10088805432</v>
      </c>
      <c r="H589" s="18"/>
      <c r="I589" s="18" t="s">
        <v>137</v>
      </c>
      <c r="J589" s="18" t="s">
        <v>3149</v>
      </c>
      <c r="K589" s="20">
        <v>169.49</v>
      </c>
      <c r="L589" s="49">
        <f t="shared" si="49"/>
        <v>30.508200000000002</v>
      </c>
      <c r="M589" s="50">
        <f t="shared" si="50"/>
        <v>199.9982</v>
      </c>
    </row>
    <row r="590" spans="1:13" x14ac:dyDescent="0.2">
      <c r="A590" s="18">
        <f t="shared" si="46"/>
        <v>587</v>
      </c>
      <c r="B590" s="18" t="s">
        <v>2005</v>
      </c>
      <c r="C590" s="18" t="s">
        <v>1669</v>
      </c>
      <c r="D590" s="19">
        <v>43882</v>
      </c>
      <c r="E590" s="18">
        <v>1</v>
      </c>
      <c r="F590" s="18">
        <v>26228</v>
      </c>
      <c r="G590" s="18">
        <v>20601079691</v>
      </c>
      <c r="H590" s="18">
        <v>13169</v>
      </c>
      <c r="I590" s="18" t="s">
        <v>193</v>
      </c>
      <c r="J590" s="18" t="s">
        <v>2575</v>
      </c>
      <c r="K590" s="20">
        <v>4.24</v>
      </c>
      <c r="L590" s="49">
        <f t="shared" si="49"/>
        <v>0.76319999999999999</v>
      </c>
      <c r="M590" s="50">
        <f t="shared" si="50"/>
        <v>5.0032000000000005</v>
      </c>
    </row>
    <row r="591" spans="1:13" x14ac:dyDescent="0.2">
      <c r="A591" s="18">
        <f t="shared" si="46"/>
        <v>588</v>
      </c>
      <c r="B591" s="18" t="s">
        <v>2588</v>
      </c>
      <c r="C591" s="18" t="s">
        <v>2589</v>
      </c>
      <c r="D591" s="19">
        <v>43880</v>
      </c>
      <c r="E591" s="18">
        <v>1</v>
      </c>
      <c r="F591" s="18">
        <v>792</v>
      </c>
      <c r="G591" s="18">
        <v>20600639634</v>
      </c>
      <c r="H591" s="18">
        <v>13248</v>
      </c>
      <c r="I591" s="18" t="s">
        <v>137</v>
      </c>
      <c r="J591" s="18" t="s">
        <v>3150</v>
      </c>
      <c r="K591" s="20">
        <v>59.32</v>
      </c>
      <c r="L591" s="49">
        <f t="shared" si="49"/>
        <v>10.6776</v>
      </c>
      <c r="M591" s="50">
        <f t="shared" si="50"/>
        <v>69.997600000000006</v>
      </c>
    </row>
    <row r="592" spans="1:13" x14ac:dyDescent="0.2">
      <c r="A592" s="18">
        <f t="shared" si="46"/>
        <v>589</v>
      </c>
      <c r="B592" s="18" t="s">
        <v>3022</v>
      </c>
      <c r="C592" s="18" t="s">
        <v>3021</v>
      </c>
      <c r="D592" s="19">
        <v>43880</v>
      </c>
      <c r="E592" s="18" t="s">
        <v>3151</v>
      </c>
      <c r="F592" s="18">
        <v>4</v>
      </c>
      <c r="G592" s="18">
        <v>20493143612</v>
      </c>
      <c r="H592" s="18">
        <v>13326</v>
      </c>
      <c r="I592" s="18" t="s">
        <v>137</v>
      </c>
      <c r="J592" s="18" t="s">
        <v>954</v>
      </c>
      <c r="K592" s="20">
        <v>16.95</v>
      </c>
      <c r="L592" s="49">
        <f t="shared" si="49"/>
        <v>3.0509999999999997</v>
      </c>
      <c r="M592" s="50">
        <f t="shared" si="50"/>
        <v>20.000999999999998</v>
      </c>
    </row>
    <row r="593" spans="1:13" x14ac:dyDescent="0.2">
      <c r="A593" s="18">
        <f t="shared" si="46"/>
        <v>590</v>
      </c>
      <c r="B593" s="18" t="s">
        <v>2903</v>
      </c>
      <c r="C593" s="18" t="s">
        <v>2987</v>
      </c>
      <c r="D593" s="19">
        <v>43888</v>
      </c>
      <c r="E593" s="18">
        <v>1</v>
      </c>
      <c r="F593" s="18">
        <v>1361</v>
      </c>
      <c r="G593" s="18">
        <v>10427505524</v>
      </c>
      <c r="H593" s="18">
        <v>13312</v>
      </c>
      <c r="I593" s="18" t="s">
        <v>137</v>
      </c>
      <c r="J593" s="18" t="s">
        <v>3147</v>
      </c>
      <c r="K593" s="20">
        <v>59.32</v>
      </c>
      <c r="L593" s="49">
        <f t="shared" si="49"/>
        <v>10.6776</v>
      </c>
      <c r="M593" s="50">
        <f t="shared" si="50"/>
        <v>69.997600000000006</v>
      </c>
    </row>
    <row r="594" spans="1:13" x14ac:dyDescent="0.2">
      <c r="A594" s="18">
        <f t="shared" si="46"/>
        <v>591</v>
      </c>
      <c r="B594" s="18" t="s">
        <v>3166</v>
      </c>
      <c r="C594" s="18" t="s">
        <v>2948</v>
      </c>
      <c r="D594" s="19">
        <v>43887</v>
      </c>
      <c r="E594" s="18" t="s">
        <v>200</v>
      </c>
      <c r="F594" s="18">
        <v>520</v>
      </c>
      <c r="G594" s="18">
        <v>20512866698</v>
      </c>
      <c r="H594" s="18"/>
      <c r="I594" s="18" t="s">
        <v>137</v>
      </c>
      <c r="J594" s="18" t="s">
        <v>3148</v>
      </c>
      <c r="K594" s="20">
        <v>69.492000000000004</v>
      </c>
      <c r="L594" s="49">
        <f t="shared" si="49"/>
        <v>12.508560000000001</v>
      </c>
      <c r="M594" s="50">
        <f t="shared" si="50"/>
        <v>82.000560000000007</v>
      </c>
    </row>
    <row r="595" spans="1:13" x14ac:dyDescent="0.2">
      <c r="A595" s="18">
        <f t="shared" si="46"/>
        <v>592</v>
      </c>
      <c r="B595" s="18" t="s">
        <v>3167</v>
      </c>
      <c r="C595" s="18" t="s">
        <v>2949</v>
      </c>
      <c r="D595" s="19">
        <v>43887</v>
      </c>
      <c r="E595" s="18" t="s">
        <v>200</v>
      </c>
      <c r="F595" s="18">
        <v>520</v>
      </c>
      <c r="G595" s="18">
        <v>20512866698</v>
      </c>
      <c r="H595" s="18"/>
      <c r="I595" s="18" t="s">
        <v>137</v>
      </c>
      <c r="J595" s="18" t="s">
        <v>3148</v>
      </c>
      <c r="K595" s="20">
        <v>69.492000000000004</v>
      </c>
      <c r="L595" s="49">
        <f t="shared" si="49"/>
        <v>12.508560000000001</v>
      </c>
      <c r="M595" s="50">
        <f t="shared" si="50"/>
        <v>82.000560000000007</v>
      </c>
    </row>
    <row r="596" spans="1:13" x14ac:dyDescent="0.2">
      <c r="A596" s="18">
        <f t="shared" si="46"/>
        <v>593</v>
      </c>
      <c r="B596" s="18" t="s">
        <v>3168</v>
      </c>
      <c r="C596" s="18" t="s">
        <v>3169</v>
      </c>
      <c r="D596" s="19">
        <v>43887</v>
      </c>
      <c r="E596" s="18" t="s">
        <v>200</v>
      </c>
      <c r="F596" s="18">
        <v>520</v>
      </c>
      <c r="G596" s="18">
        <v>20512866698</v>
      </c>
      <c r="H596" s="18"/>
      <c r="I596" s="18" t="s">
        <v>137</v>
      </c>
      <c r="J596" s="18" t="s">
        <v>3148</v>
      </c>
      <c r="K596" s="20">
        <v>69.492000000000004</v>
      </c>
      <c r="L596" s="49">
        <f t="shared" si="49"/>
        <v>12.508560000000001</v>
      </c>
      <c r="M596" s="50">
        <f t="shared" si="50"/>
        <v>82.000560000000007</v>
      </c>
    </row>
    <row r="597" spans="1:13" x14ac:dyDescent="0.2">
      <c r="A597" s="18">
        <f t="shared" si="46"/>
        <v>594</v>
      </c>
      <c r="B597" s="18" t="s">
        <v>3170</v>
      </c>
      <c r="C597" s="18" t="s">
        <v>3171</v>
      </c>
      <c r="D597" s="19">
        <v>43887</v>
      </c>
      <c r="E597" s="18" t="s">
        <v>200</v>
      </c>
      <c r="F597" s="18">
        <v>520</v>
      </c>
      <c r="G597" s="18">
        <v>20512866698</v>
      </c>
      <c r="H597" s="18"/>
      <c r="I597" s="18" t="s">
        <v>137</v>
      </c>
      <c r="J597" s="18" t="s">
        <v>3148</v>
      </c>
      <c r="K597" s="20">
        <v>69.492000000000004</v>
      </c>
      <c r="L597" s="49">
        <f t="shared" si="49"/>
        <v>12.508560000000001</v>
      </c>
      <c r="M597" s="50">
        <f t="shared" si="50"/>
        <v>82.000560000000007</v>
      </c>
    </row>
    <row r="598" spans="1:13" x14ac:dyDescent="0.2">
      <c r="A598" s="18">
        <f t="shared" si="46"/>
        <v>595</v>
      </c>
      <c r="B598" s="18" t="s">
        <v>3172</v>
      </c>
      <c r="C598" s="18" t="s">
        <v>3173</v>
      </c>
      <c r="D598" s="19">
        <v>43887</v>
      </c>
      <c r="E598" s="18" t="s">
        <v>200</v>
      </c>
      <c r="F598" s="18">
        <v>520</v>
      </c>
      <c r="G598" s="18">
        <v>20512866698</v>
      </c>
      <c r="H598" s="18"/>
      <c r="I598" s="18" t="s">
        <v>137</v>
      </c>
      <c r="J598" s="18" t="s">
        <v>3148</v>
      </c>
      <c r="K598" s="20">
        <v>69.492000000000004</v>
      </c>
      <c r="L598" s="49">
        <f t="shared" si="49"/>
        <v>12.508560000000001</v>
      </c>
      <c r="M598" s="50">
        <f t="shared" si="50"/>
        <v>82.000560000000007</v>
      </c>
    </row>
    <row r="599" spans="1:13" x14ac:dyDescent="0.2">
      <c r="A599" s="18">
        <f t="shared" si="46"/>
        <v>596</v>
      </c>
      <c r="B599" s="18" t="s">
        <v>3174</v>
      </c>
      <c r="C599" s="18" t="s">
        <v>2951</v>
      </c>
      <c r="D599" s="19">
        <v>43887</v>
      </c>
      <c r="E599" s="18" t="s">
        <v>200</v>
      </c>
      <c r="F599" s="18">
        <v>520</v>
      </c>
      <c r="G599" s="18">
        <v>20512866698</v>
      </c>
      <c r="H599" s="18"/>
      <c r="I599" s="18" t="s">
        <v>137</v>
      </c>
      <c r="J599" s="18" t="s">
        <v>3148</v>
      </c>
      <c r="K599" s="20">
        <v>69.492000000000004</v>
      </c>
      <c r="L599" s="49">
        <f t="shared" si="49"/>
        <v>12.508560000000001</v>
      </c>
      <c r="M599" s="50">
        <f t="shared" si="50"/>
        <v>82.000560000000007</v>
      </c>
    </row>
    <row r="600" spans="1:13" x14ac:dyDescent="0.2">
      <c r="A600" s="18">
        <f t="shared" si="46"/>
        <v>597</v>
      </c>
      <c r="B600" s="18" t="s">
        <v>3175</v>
      </c>
      <c r="C600" s="18" t="s">
        <v>2952</v>
      </c>
      <c r="D600" s="19">
        <v>43887</v>
      </c>
      <c r="E600" s="18" t="s">
        <v>200</v>
      </c>
      <c r="F600" s="18">
        <v>520</v>
      </c>
      <c r="G600" s="18">
        <v>20512866698</v>
      </c>
      <c r="H600" s="18"/>
      <c r="I600" s="18" t="s">
        <v>137</v>
      </c>
      <c r="J600" s="18" t="s">
        <v>3148</v>
      </c>
      <c r="K600" s="20">
        <v>69.492000000000004</v>
      </c>
      <c r="L600" s="49">
        <f t="shared" si="49"/>
        <v>12.508560000000001</v>
      </c>
      <c r="M600" s="50">
        <f t="shared" si="50"/>
        <v>82.000560000000007</v>
      </c>
    </row>
    <row r="601" spans="1:13" x14ac:dyDescent="0.2">
      <c r="A601" s="18">
        <f t="shared" si="46"/>
        <v>598</v>
      </c>
      <c r="B601" s="18" t="s">
        <v>3176</v>
      </c>
      <c r="C601" s="18" t="s">
        <v>2953</v>
      </c>
      <c r="D601" s="19">
        <v>43887</v>
      </c>
      <c r="E601" s="18" t="s">
        <v>200</v>
      </c>
      <c r="F601" s="18">
        <v>520</v>
      </c>
      <c r="G601" s="18">
        <v>20512866698</v>
      </c>
      <c r="H601" s="18"/>
      <c r="I601" s="18" t="s">
        <v>137</v>
      </c>
      <c r="J601" s="18" t="s">
        <v>3148</v>
      </c>
      <c r="K601" s="20">
        <v>69.492000000000004</v>
      </c>
      <c r="L601" s="49">
        <f t="shared" si="49"/>
        <v>12.508560000000001</v>
      </c>
      <c r="M601" s="50">
        <f t="shared" si="50"/>
        <v>82.000560000000007</v>
      </c>
    </row>
    <row r="602" spans="1:13" x14ac:dyDescent="0.2">
      <c r="A602" s="18">
        <f t="shared" si="46"/>
        <v>599</v>
      </c>
      <c r="B602" s="18" t="s">
        <v>3177</v>
      </c>
      <c r="C602" s="18" t="s">
        <v>2954</v>
      </c>
      <c r="D602" s="19">
        <v>43887</v>
      </c>
      <c r="E602" s="18" t="s">
        <v>200</v>
      </c>
      <c r="F602" s="18">
        <v>520</v>
      </c>
      <c r="G602" s="18">
        <v>20512866698</v>
      </c>
      <c r="H602" s="18"/>
      <c r="I602" s="18" t="s">
        <v>137</v>
      </c>
      <c r="J602" s="18" t="s">
        <v>3148</v>
      </c>
      <c r="K602" s="20">
        <v>69.492000000000004</v>
      </c>
      <c r="L602" s="49">
        <f t="shared" si="49"/>
        <v>12.508560000000001</v>
      </c>
      <c r="M602" s="50">
        <f t="shared" si="50"/>
        <v>82.000560000000007</v>
      </c>
    </row>
    <row r="603" spans="1:13" x14ac:dyDescent="0.2">
      <c r="A603" s="18">
        <f t="shared" si="46"/>
        <v>600</v>
      </c>
      <c r="B603" s="18" t="s">
        <v>3178</v>
      </c>
      <c r="C603" s="18" t="s">
        <v>2955</v>
      </c>
      <c r="D603" s="19">
        <v>43887</v>
      </c>
      <c r="E603" s="18" t="s">
        <v>200</v>
      </c>
      <c r="F603" s="18">
        <v>520</v>
      </c>
      <c r="G603" s="18">
        <v>20512866698</v>
      </c>
      <c r="H603" s="18"/>
      <c r="I603" s="18" t="s">
        <v>137</v>
      </c>
      <c r="J603" s="18" t="s">
        <v>3148</v>
      </c>
      <c r="K603" s="20">
        <v>69.492000000000004</v>
      </c>
      <c r="L603" s="49">
        <f t="shared" si="49"/>
        <v>12.508560000000001</v>
      </c>
      <c r="M603" s="50">
        <f t="shared" si="50"/>
        <v>82.000560000000007</v>
      </c>
    </row>
    <row r="604" spans="1:13" x14ac:dyDescent="0.2">
      <c r="A604" s="18">
        <f t="shared" si="46"/>
        <v>601</v>
      </c>
      <c r="B604" s="18" t="s">
        <v>3170</v>
      </c>
      <c r="C604" s="18" t="s">
        <v>3171</v>
      </c>
      <c r="D604" s="19">
        <v>43888</v>
      </c>
      <c r="E604" s="18">
        <v>1</v>
      </c>
      <c r="F604" s="18">
        <v>1357</v>
      </c>
      <c r="G604" s="18">
        <v>10427505524</v>
      </c>
      <c r="H604" s="18"/>
      <c r="I604" s="18" t="s">
        <v>193</v>
      </c>
      <c r="J604" s="18" t="s">
        <v>3238</v>
      </c>
      <c r="K604" s="20">
        <v>250</v>
      </c>
      <c r="L604" s="49">
        <f t="shared" si="49"/>
        <v>45</v>
      </c>
      <c r="M604" s="50">
        <f t="shared" si="50"/>
        <v>295</v>
      </c>
    </row>
    <row r="605" spans="1:13" x14ac:dyDescent="0.2">
      <c r="A605" s="18">
        <f t="shared" si="46"/>
        <v>602</v>
      </c>
      <c r="B605" s="18" t="s">
        <v>2005</v>
      </c>
      <c r="C605" s="18" t="s">
        <v>1669</v>
      </c>
      <c r="D605" s="19">
        <v>43879</v>
      </c>
      <c r="E605" s="18">
        <v>1</v>
      </c>
      <c r="F605" s="18">
        <v>2151</v>
      </c>
      <c r="G605" s="18">
        <v>20546227082</v>
      </c>
      <c r="H605" s="18"/>
      <c r="I605" s="18" t="s">
        <v>137</v>
      </c>
      <c r="J605" s="18" t="s">
        <v>3254</v>
      </c>
      <c r="K605" s="20">
        <v>60</v>
      </c>
      <c r="L605" s="49">
        <f t="shared" si="49"/>
        <v>10.799999999999999</v>
      </c>
      <c r="M605" s="50">
        <f t="shared" si="50"/>
        <v>70.8</v>
      </c>
    </row>
    <row r="606" spans="1:13" x14ac:dyDescent="0.2">
      <c r="A606" s="18">
        <f t="shared" si="46"/>
        <v>603</v>
      </c>
      <c r="B606" s="18" t="s">
        <v>1385</v>
      </c>
      <c r="C606" s="18" t="s">
        <v>1669</v>
      </c>
      <c r="D606" s="19">
        <v>43879</v>
      </c>
      <c r="E606" s="18" t="s">
        <v>201</v>
      </c>
      <c r="F606" s="18">
        <v>4</v>
      </c>
      <c r="G606" s="18">
        <v>10421925378</v>
      </c>
      <c r="H606" s="18"/>
      <c r="I606" s="18" t="s">
        <v>193</v>
      </c>
      <c r="J606" s="18" t="s">
        <v>607</v>
      </c>
      <c r="K606" s="20">
        <v>317.8</v>
      </c>
      <c r="L606" s="49">
        <f t="shared" si="49"/>
        <v>57.204000000000001</v>
      </c>
      <c r="M606" s="50">
        <f t="shared" si="50"/>
        <v>375.00400000000002</v>
      </c>
    </row>
    <row r="607" spans="1:13" x14ac:dyDescent="0.2">
      <c r="A607" s="18">
        <f t="shared" si="46"/>
        <v>604</v>
      </c>
      <c r="B607" s="18" t="s">
        <v>3178</v>
      </c>
      <c r="C607" s="18" t="s">
        <v>3255</v>
      </c>
      <c r="D607" s="19">
        <v>43882</v>
      </c>
      <c r="E607" s="18" t="s">
        <v>197</v>
      </c>
      <c r="F607" s="18">
        <v>41406</v>
      </c>
      <c r="G607" s="18">
        <v>20493143612</v>
      </c>
      <c r="H607" s="18"/>
      <c r="I607" s="18" t="s">
        <v>137</v>
      </c>
      <c r="J607" s="18" t="s">
        <v>954</v>
      </c>
      <c r="K607" s="20">
        <v>27.97</v>
      </c>
      <c r="L607" s="49">
        <f t="shared" si="49"/>
        <v>5.0345999999999993</v>
      </c>
      <c r="M607" s="50">
        <f t="shared" si="50"/>
        <v>33.004599999999996</v>
      </c>
    </row>
    <row r="608" spans="1:13" x14ac:dyDescent="0.2">
      <c r="A608" s="18">
        <f t="shared" si="46"/>
        <v>605</v>
      </c>
      <c r="B608" s="18" t="s">
        <v>3176</v>
      </c>
      <c r="C608" s="18" t="s">
        <v>3256</v>
      </c>
      <c r="D608" s="19">
        <v>43882</v>
      </c>
      <c r="E608" s="18" t="s">
        <v>197</v>
      </c>
      <c r="F608" s="18">
        <v>41410</v>
      </c>
      <c r="G608" s="18">
        <v>20493143612</v>
      </c>
      <c r="H608" s="18"/>
      <c r="I608" s="18" t="s">
        <v>137</v>
      </c>
      <c r="J608" s="18" t="s">
        <v>954</v>
      </c>
      <c r="K608" s="20">
        <v>27.97</v>
      </c>
      <c r="L608" s="49">
        <f t="shared" si="49"/>
        <v>5.0345999999999993</v>
      </c>
      <c r="M608" s="50">
        <f t="shared" si="50"/>
        <v>33.004599999999996</v>
      </c>
    </row>
    <row r="609" spans="1:13" x14ac:dyDescent="0.2">
      <c r="A609" s="18">
        <f t="shared" ref="A609:A654" si="51">+A608+1</f>
        <v>606</v>
      </c>
      <c r="B609" s="18" t="s">
        <v>2894</v>
      </c>
      <c r="C609" s="18" t="s">
        <v>3009</v>
      </c>
      <c r="D609" s="19">
        <v>43885</v>
      </c>
      <c r="E609" s="18">
        <v>1</v>
      </c>
      <c r="F609" s="18">
        <v>797</v>
      </c>
      <c r="G609" s="18">
        <v>20600639634</v>
      </c>
      <c r="H609" s="18"/>
      <c r="I609" s="18" t="s">
        <v>137</v>
      </c>
      <c r="J609" s="18" t="s">
        <v>3257</v>
      </c>
      <c r="K609" s="20">
        <v>10</v>
      </c>
      <c r="L609" s="49">
        <f t="shared" si="49"/>
        <v>1.7999999999999998</v>
      </c>
      <c r="M609" s="50">
        <f t="shared" si="50"/>
        <v>11.8</v>
      </c>
    </row>
    <row r="610" spans="1:13" x14ac:dyDescent="0.2">
      <c r="A610" s="18">
        <f t="shared" si="51"/>
        <v>607</v>
      </c>
      <c r="B610" s="18" t="s">
        <v>3166</v>
      </c>
      <c r="C610" s="18" t="s">
        <v>3258</v>
      </c>
      <c r="D610" s="19">
        <v>43881</v>
      </c>
      <c r="E610" s="18" t="s">
        <v>200</v>
      </c>
      <c r="F610" s="18">
        <v>74040</v>
      </c>
      <c r="G610" s="18">
        <v>20493143612</v>
      </c>
      <c r="H610" s="18"/>
      <c r="I610" s="18" t="s">
        <v>137</v>
      </c>
      <c r="J610" s="18" t="s">
        <v>954</v>
      </c>
      <c r="K610" s="20">
        <v>16.95</v>
      </c>
      <c r="L610" s="49">
        <f t="shared" si="49"/>
        <v>3.0509999999999997</v>
      </c>
      <c r="M610" s="50">
        <f t="shared" si="50"/>
        <v>20.000999999999998</v>
      </c>
    </row>
    <row r="611" spans="1:13" x14ac:dyDescent="0.2">
      <c r="A611" s="18">
        <f t="shared" si="51"/>
        <v>608</v>
      </c>
      <c r="B611" s="18" t="s">
        <v>3166</v>
      </c>
      <c r="C611" s="18" t="s">
        <v>3258</v>
      </c>
      <c r="D611" s="19">
        <v>43885</v>
      </c>
      <c r="E611" s="18">
        <v>1</v>
      </c>
      <c r="F611" s="18">
        <v>5358</v>
      </c>
      <c r="G611" s="18">
        <v>20544804236</v>
      </c>
      <c r="H611" s="18"/>
      <c r="I611" s="18" t="s">
        <v>137</v>
      </c>
      <c r="J611" s="18" t="s">
        <v>1423</v>
      </c>
      <c r="K611" s="20">
        <v>29.66</v>
      </c>
      <c r="L611" s="49">
        <f t="shared" si="49"/>
        <v>5.3388</v>
      </c>
      <c r="M611" s="50">
        <f t="shared" si="50"/>
        <v>34.998800000000003</v>
      </c>
    </row>
    <row r="612" spans="1:13" x14ac:dyDescent="0.2">
      <c r="A612" s="18">
        <f t="shared" si="51"/>
        <v>609</v>
      </c>
      <c r="B612" s="18" t="s">
        <v>3166</v>
      </c>
      <c r="C612" s="18" t="s">
        <v>3258</v>
      </c>
      <c r="D612" s="19">
        <v>43885</v>
      </c>
      <c r="E612" s="18" t="s">
        <v>201</v>
      </c>
      <c r="F612" s="18">
        <v>835</v>
      </c>
      <c r="G612" s="18">
        <v>10100087605</v>
      </c>
      <c r="H612" s="18"/>
      <c r="I612" s="18" t="s">
        <v>137</v>
      </c>
      <c r="J612" s="18" t="s">
        <v>944</v>
      </c>
      <c r="K612" s="20">
        <v>33.9</v>
      </c>
      <c r="L612" s="49">
        <f t="shared" si="49"/>
        <v>6.1019999999999994</v>
      </c>
      <c r="M612" s="50">
        <f t="shared" si="50"/>
        <v>40.001999999999995</v>
      </c>
    </row>
    <row r="613" spans="1:13" x14ac:dyDescent="0.2">
      <c r="A613" s="18">
        <f t="shared" si="51"/>
        <v>610</v>
      </c>
      <c r="B613" s="18" t="s">
        <v>3170</v>
      </c>
      <c r="C613" s="18" t="s">
        <v>3259</v>
      </c>
      <c r="D613" s="19">
        <v>43885</v>
      </c>
      <c r="E613" s="18">
        <v>1</v>
      </c>
      <c r="F613" s="18">
        <v>11180</v>
      </c>
      <c r="G613" s="18">
        <v>10061024650</v>
      </c>
      <c r="H613" s="18"/>
      <c r="I613" s="18" t="s">
        <v>193</v>
      </c>
      <c r="J613" s="18" t="s">
        <v>1599</v>
      </c>
      <c r="K613" s="20">
        <v>101.69</v>
      </c>
      <c r="L613" s="49">
        <f t="shared" si="49"/>
        <v>18.304199999999998</v>
      </c>
      <c r="M613" s="50">
        <f t="shared" si="50"/>
        <v>119.99419999999999</v>
      </c>
    </row>
    <row r="614" spans="1:13" x14ac:dyDescent="0.2">
      <c r="A614" s="18">
        <f t="shared" si="51"/>
        <v>611</v>
      </c>
      <c r="B614" s="18" t="s">
        <v>3170</v>
      </c>
      <c r="C614" s="18" t="s">
        <v>3259</v>
      </c>
      <c r="D614" s="19">
        <v>43885</v>
      </c>
      <c r="E614" s="18">
        <v>2</v>
      </c>
      <c r="F614" s="18">
        <v>937</v>
      </c>
      <c r="G614" s="18">
        <v>20525049028</v>
      </c>
      <c r="H614" s="18"/>
      <c r="I614" s="18" t="s">
        <v>137</v>
      </c>
      <c r="J614" s="18" t="s">
        <v>1671</v>
      </c>
      <c r="K614" s="20">
        <v>42.38</v>
      </c>
      <c r="L614" s="49">
        <f t="shared" si="49"/>
        <v>7.6284000000000001</v>
      </c>
      <c r="M614" s="50">
        <f t="shared" si="50"/>
        <v>50.008400000000002</v>
      </c>
    </row>
    <row r="615" spans="1:13" x14ac:dyDescent="0.2">
      <c r="A615" s="18">
        <f t="shared" si="51"/>
        <v>612</v>
      </c>
      <c r="B615" s="18" t="s">
        <v>3170</v>
      </c>
      <c r="C615" s="18" t="s">
        <v>3259</v>
      </c>
      <c r="D615" s="19">
        <v>43885</v>
      </c>
      <c r="E615" s="18">
        <v>2</v>
      </c>
      <c r="F615" s="18">
        <v>91</v>
      </c>
      <c r="G615" s="18">
        <v>10322741231</v>
      </c>
      <c r="H615" s="18"/>
      <c r="I615" s="18" t="s">
        <v>193</v>
      </c>
      <c r="J615" s="18" t="s">
        <v>3260</v>
      </c>
      <c r="K615" s="20">
        <v>42.37</v>
      </c>
      <c r="L615" s="49">
        <f t="shared" si="49"/>
        <v>7.6265999999999989</v>
      </c>
      <c r="M615" s="50">
        <f t="shared" si="50"/>
        <v>49.996599999999994</v>
      </c>
    </row>
    <row r="616" spans="1:13" x14ac:dyDescent="0.2">
      <c r="A616" s="18">
        <f t="shared" si="51"/>
        <v>613</v>
      </c>
      <c r="B616" s="18" t="s">
        <v>3167</v>
      </c>
      <c r="C616" s="18" t="s">
        <v>3261</v>
      </c>
      <c r="D616" s="19">
        <v>43885</v>
      </c>
      <c r="E616" s="18">
        <v>1</v>
      </c>
      <c r="F616" s="18">
        <v>11181</v>
      </c>
      <c r="G616" s="18">
        <v>10061024650</v>
      </c>
      <c r="H616" s="18"/>
      <c r="I616" s="18" t="s">
        <v>193</v>
      </c>
      <c r="J616" s="18" t="s">
        <v>1599</v>
      </c>
      <c r="K616" s="20">
        <v>101.69</v>
      </c>
      <c r="L616" s="49">
        <f t="shared" si="49"/>
        <v>18.304199999999998</v>
      </c>
      <c r="M616" s="50">
        <f t="shared" si="50"/>
        <v>119.99419999999999</v>
      </c>
    </row>
    <row r="617" spans="1:13" x14ac:dyDescent="0.2">
      <c r="A617" s="18">
        <f t="shared" si="51"/>
        <v>614</v>
      </c>
      <c r="B617" s="18" t="s">
        <v>3167</v>
      </c>
      <c r="C617" s="18" t="s">
        <v>3261</v>
      </c>
      <c r="D617" s="19">
        <v>43885</v>
      </c>
      <c r="E617" s="18">
        <v>1</v>
      </c>
      <c r="F617" s="18">
        <v>92</v>
      </c>
      <c r="G617" s="18">
        <v>10322741231</v>
      </c>
      <c r="H617" s="18"/>
      <c r="I617" s="18" t="s">
        <v>193</v>
      </c>
      <c r="J617" s="18" t="s">
        <v>3260</v>
      </c>
      <c r="K617" s="20">
        <v>42.37</v>
      </c>
      <c r="L617" s="49">
        <f t="shared" si="49"/>
        <v>7.6265999999999989</v>
      </c>
      <c r="M617" s="50">
        <f t="shared" si="50"/>
        <v>49.996599999999994</v>
      </c>
    </row>
    <row r="618" spans="1:13" x14ac:dyDescent="0.2">
      <c r="A618" s="18">
        <f t="shared" si="51"/>
        <v>615</v>
      </c>
      <c r="B618" s="18" t="s">
        <v>3167</v>
      </c>
      <c r="C618" s="18" t="s">
        <v>3261</v>
      </c>
      <c r="D618" s="19">
        <v>43885</v>
      </c>
      <c r="E618" s="18" t="s">
        <v>201</v>
      </c>
      <c r="F618" s="18">
        <v>836</v>
      </c>
      <c r="G618" s="18">
        <v>10100087605</v>
      </c>
      <c r="H618" s="18"/>
      <c r="I618" s="18" t="s">
        <v>137</v>
      </c>
      <c r="J618" s="18" t="s">
        <v>944</v>
      </c>
      <c r="K618" s="20">
        <v>33.9</v>
      </c>
      <c r="L618" s="49">
        <f t="shared" si="49"/>
        <v>6.1019999999999994</v>
      </c>
      <c r="M618" s="50">
        <f t="shared" si="50"/>
        <v>40.001999999999995</v>
      </c>
    </row>
    <row r="619" spans="1:13" x14ac:dyDescent="0.2">
      <c r="A619" s="18">
        <f t="shared" si="51"/>
        <v>616</v>
      </c>
      <c r="B619" s="18" t="s">
        <v>3168</v>
      </c>
      <c r="C619" s="18" t="s">
        <v>3262</v>
      </c>
      <c r="D619" s="19">
        <v>43885</v>
      </c>
      <c r="E619" s="18" t="s">
        <v>201</v>
      </c>
      <c r="F619" s="18">
        <v>837</v>
      </c>
      <c r="G619" s="18">
        <v>10100087605</v>
      </c>
      <c r="H619" s="18"/>
      <c r="I619" s="18" t="s">
        <v>137</v>
      </c>
      <c r="J619" s="18" t="s">
        <v>1435</v>
      </c>
      <c r="K619" s="20">
        <v>16.95</v>
      </c>
      <c r="L619" s="49">
        <f t="shared" si="49"/>
        <v>3.0509999999999997</v>
      </c>
      <c r="M619" s="50">
        <f t="shared" si="50"/>
        <v>20.000999999999998</v>
      </c>
    </row>
    <row r="620" spans="1:13" x14ac:dyDescent="0.2">
      <c r="A620" s="18">
        <f t="shared" si="51"/>
        <v>617</v>
      </c>
      <c r="B620" s="18" t="s">
        <v>3189</v>
      </c>
      <c r="C620" s="18" t="s">
        <v>3190</v>
      </c>
      <c r="D620" s="19">
        <v>43888</v>
      </c>
      <c r="E620" s="18">
        <v>4</v>
      </c>
      <c r="F620" s="18">
        <v>4308</v>
      </c>
      <c r="G620" s="18">
        <v>10068060775</v>
      </c>
      <c r="H620" s="18">
        <v>13369</v>
      </c>
      <c r="I620" s="18" t="s">
        <v>193</v>
      </c>
      <c r="J620" s="18" t="s">
        <v>202</v>
      </c>
      <c r="K620" s="20">
        <v>12.71</v>
      </c>
      <c r="L620" s="49">
        <f t="shared" si="49"/>
        <v>2.2878000000000003</v>
      </c>
      <c r="M620" s="50">
        <f t="shared" si="50"/>
        <v>14.997800000000002</v>
      </c>
    </row>
    <row r="621" spans="1:13" x14ac:dyDescent="0.2">
      <c r="A621" s="18">
        <f t="shared" si="51"/>
        <v>618</v>
      </c>
      <c r="B621" s="18" t="s">
        <v>3174</v>
      </c>
      <c r="C621" s="18" t="s">
        <v>3263</v>
      </c>
      <c r="D621" s="19">
        <v>43889</v>
      </c>
      <c r="E621" s="18">
        <v>2</v>
      </c>
      <c r="F621" s="18">
        <v>575</v>
      </c>
      <c r="G621" s="18">
        <v>10101288698</v>
      </c>
      <c r="H621" s="18"/>
      <c r="I621" s="18" t="s">
        <v>137</v>
      </c>
      <c r="J621" s="18" t="s">
        <v>3264</v>
      </c>
      <c r="K621" s="20">
        <v>101.69</v>
      </c>
      <c r="L621" s="49">
        <f t="shared" si="49"/>
        <v>18.304199999999998</v>
      </c>
      <c r="M621" s="50">
        <f t="shared" si="50"/>
        <v>119.99419999999999</v>
      </c>
    </row>
    <row r="622" spans="1:13" x14ac:dyDescent="0.2">
      <c r="A622" s="18">
        <f t="shared" si="51"/>
        <v>619</v>
      </c>
      <c r="B622" s="18" t="s">
        <v>3174</v>
      </c>
      <c r="C622" s="18" t="s">
        <v>3263</v>
      </c>
      <c r="D622" s="19">
        <v>43893</v>
      </c>
      <c r="E622" s="18">
        <v>2</v>
      </c>
      <c r="F622" s="18">
        <v>101</v>
      </c>
      <c r="G622" s="18">
        <v>10322741231</v>
      </c>
      <c r="H622" s="18"/>
      <c r="I622" s="18" t="s">
        <v>137</v>
      </c>
      <c r="J622" s="18" t="s">
        <v>410</v>
      </c>
      <c r="K622" s="20">
        <v>55.08</v>
      </c>
      <c r="L622" s="49">
        <f t="shared" si="49"/>
        <v>9.9143999999999988</v>
      </c>
      <c r="M622" s="50">
        <f t="shared" si="50"/>
        <v>64.994399999999999</v>
      </c>
    </row>
    <row r="623" spans="1:13" x14ac:dyDescent="0.2">
      <c r="A623" s="18">
        <f t="shared" si="51"/>
        <v>620</v>
      </c>
      <c r="B623" s="18" t="s">
        <v>3174</v>
      </c>
      <c r="C623" s="18" t="s">
        <v>3263</v>
      </c>
      <c r="D623" s="19">
        <v>43890</v>
      </c>
      <c r="E623" s="18">
        <v>3</v>
      </c>
      <c r="F623" s="18">
        <v>7</v>
      </c>
      <c r="G623" s="18">
        <v>10107521416</v>
      </c>
      <c r="H623" s="18"/>
      <c r="I623" s="18" t="s">
        <v>137</v>
      </c>
      <c r="J623" s="18" t="s">
        <v>1451</v>
      </c>
      <c r="K623" s="20">
        <v>152.54</v>
      </c>
      <c r="L623" s="49">
        <f t="shared" si="49"/>
        <v>27.457199999999997</v>
      </c>
      <c r="M623" s="50">
        <f t="shared" si="50"/>
        <v>179.99719999999999</v>
      </c>
    </row>
    <row r="624" spans="1:13" x14ac:dyDescent="0.2">
      <c r="A624" s="18">
        <f t="shared" si="51"/>
        <v>621</v>
      </c>
      <c r="B624" s="18" t="s">
        <v>3174</v>
      </c>
      <c r="C624" s="18" t="s">
        <v>3263</v>
      </c>
      <c r="D624" s="19">
        <v>43892</v>
      </c>
      <c r="E624" s="18" t="s">
        <v>201</v>
      </c>
      <c r="F624" s="18">
        <v>542</v>
      </c>
      <c r="G624" s="18">
        <v>10773789539</v>
      </c>
      <c r="H624" s="18"/>
      <c r="I624" s="18" t="s">
        <v>193</v>
      </c>
      <c r="J624" s="18" t="s">
        <v>3265</v>
      </c>
      <c r="K624" s="20">
        <v>8.4700000000000006</v>
      </c>
      <c r="L624" s="49">
        <f t="shared" si="49"/>
        <v>1.5246</v>
      </c>
      <c r="M624" s="50">
        <f t="shared" si="50"/>
        <v>9.9946000000000002</v>
      </c>
    </row>
    <row r="625" spans="1:13" x14ac:dyDescent="0.2">
      <c r="A625" s="18">
        <f t="shared" si="51"/>
        <v>622</v>
      </c>
      <c r="B625" s="18" t="s">
        <v>3174</v>
      </c>
      <c r="C625" s="18" t="s">
        <v>3263</v>
      </c>
      <c r="D625" s="19">
        <v>43889</v>
      </c>
      <c r="E625" s="18" t="s">
        <v>201</v>
      </c>
      <c r="F625" s="18">
        <v>851</v>
      </c>
      <c r="G625" s="18">
        <v>10100087605</v>
      </c>
      <c r="H625" s="18"/>
      <c r="I625" s="18" t="s">
        <v>137</v>
      </c>
      <c r="J625" s="18" t="s">
        <v>3266</v>
      </c>
      <c r="K625" s="20">
        <v>33.9</v>
      </c>
      <c r="L625" s="49">
        <f t="shared" si="49"/>
        <v>6.1019999999999994</v>
      </c>
      <c r="M625" s="50">
        <f t="shared" si="50"/>
        <v>40.001999999999995</v>
      </c>
    </row>
    <row r="626" spans="1:13" x14ac:dyDescent="0.2">
      <c r="A626" s="18">
        <f t="shared" si="51"/>
        <v>623</v>
      </c>
      <c r="B626" s="18" t="s">
        <v>1385</v>
      </c>
      <c r="C626" s="18" t="s">
        <v>1669</v>
      </c>
      <c r="D626" s="19">
        <v>43892</v>
      </c>
      <c r="E626" s="18">
        <v>1</v>
      </c>
      <c r="F626" s="18">
        <v>9132</v>
      </c>
      <c r="G626" s="18">
        <v>10421619251</v>
      </c>
      <c r="H626" s="18"/>
      <c r="I626" s="18" t="s">
        <v>137</v>
      </c>
      <c r="J626" s="18" t="s">
        <v>3267</v>
      </c>
      <c r="K626" s="20">
        <v>63.56</v>
      </c>
      <c r="L626" s="49">
        <f t="shared" si="49"/>
        <v>11.440799999999999</v>
      </c>
      <c r="M626" s="50">
        <f t="shared" si="50"/>
        <v>75.000799999999998</v>
      </c>
    </row>
    <row r="627" spans="1:13" x14ac:dyDescent="0.2">
      <c r="A627" s="18">
        <f t="shared" si="51"/>
        <v>624</v>
      </c>
      <c r="B627" s="18" t="s">
        <v>1385</v>
      </c>
      <c r="C627" s="18" t="s">
        <v>1669</v>
      </c>
      <c r="D627" s="19">
        <v>43893</v>
      </c>
      <c r="E627" s="18">
        <v>1</v>
      </c>
      <c r="F627" s="18">
        <v>6249</v>
      </c>
      <c r="G627" s="18">
        <v>20601087210</v>
      </c>
      <c r="H627" s="18"/>
      <c r="I627" s="18" t="s">
        <v>137</v>
      </c>
      <c r="J627" s="18" t="s">
        <v>3146</v>
      </c>
      <c r="K627" s="20">
        <v>9.32</v>
      </c>
      <c r="L627" s="49">
        <f t="shared" si="49"/>
        <v>1.6776</v>
      </c>
      <c r="M627" s="50">
        <f t="shared" si="50"/>
        <v>10.9976</v>
      </c>
    </row>
    <row r="628" spans="1:13" x14ac:dyDescent="0.2">
      <c r="A628" s="18">
        <f t="shared" si="51"/>
        <v>625</v>
      </c>
      <c r="B628" s="18" t="s">
        <v>3175</v>
      </c>
      <c r="C628" s="18" t="s">
        <v>3268</v>
      </c>
      <c r="D628" s="19">
        <v>43893</v>
      </c>
      <c r="E628" s="18" t="s">
        <v>200</v>
      </c>
      <c r="F628" s="18">
        <v>74699</v>
      </c>
      <c r="G628" s="18">
        <v>20493143612</v>
      </c>
      <c r="H628" s="18"/>
      <c r="I628" s="18" t="s">
        <v>137</v>
      </c>
      <c r="J628" s="18" t="s">
        <v>954</v>
      </c>
      <c r="K628" s="20">
        <v>42.37</v>
      </c>
      <c r="L628" s="49">
        <f t="shared" si="49"/>
        <v>7.6265999999999989</v>
      </c>
      <c r="M628" s="50">
        <f t="shared" si="50"/>
        <v>49.996599999999994</v>
      </c>
    </row>
    <row r="629" spans="1:13" x14ac:dyDescent="0.2">
      <c r="A629" s="18">
        <f t="shared" si="51"/>
        <v>626</v>
      </c>
      <c r="B629" s="18" t="s">
        <v>3175</v>
      </c>
      <c r="C629" s="18" t="s">
        <v>3268</v>
      </c>
      <c r="D629" s="19">
        <v>43890</v>
      </c>
      <c r="E629" s="18">
        <v>2</v>
      </c>
      <c r="F629" s="18">
        <v>953</v>
      </c>
      <c r="G629" s="18">
        <v>20525049028</v>
      </c>
      <c r="H629" s="18"/>
      <c r="I629" s="18" t="s">
        <v>137</v>
      </c>
      <c r="J629" s="18" t="s">
        <v>3269</v>
      </c>
      <c r="K629" s="20">
        <v>25.42</v>
      </c>
      <c r="L629" s="49">
        <f t="shared" si="49"/>
        <v>4.5756000000000006</v>
      </c>
      <c r="M629" s="50">
        <f t="shared" si="50"/>
        <v>29.995600000000003</v>
      </c>
    </row>
    <row r="630" spans="1:13" x14ac:dyDescent="0.2">
      <c r="A630" s="18">
        <f t="shared" si="51"/>
        <v>627</v>
      </c>
      <c r="B630" s="18" t="s">
        <v>3175</v>
      </c>
      <c r="C630" s="18" t="s">
        <v>3268</v>
      </c>
      <c r="D630" s="19">
        <v>43889</v>
      </c>
      <c r="E630" s="18">
        <v>1</v>
      </c>
      <c r="F630" s="18">
        <v>5365</v>
      </c>
      <c r="G630" s="18">
        <v>20544804236</v>
      </c>
      <c r="H630" s="18"/>
      <c r="I630" s="18" t="s">
        <v>137</v>
      </c>
      <c r="J630" s="18" t="s">
        <v>1423</v>
      </c>
      <c r="K630" s="20">
        <v>29.66</v>
      </c>
      <c r="L630" s="49">
        <f t="shared" si="49"/>
        <v>5.3388</v>
      </c>
      <c r="M630" s="50">
        <f t="shared" si="50"/>
        <v>34.998800000000003</v>
      </c>
    </row>
    <row r="631" spans="1:13" x14ac:dyDescent="0.2">
      <c r="A631" s="18">
        <f t="shared" si="51"/>
        <v>628</v>
      </c>
      <c r="B631" s="18" t="s">
        <v>3175</v>
      </c>
      <c r="C631" s="18" t="s">
        <v>3268</v>
      </c>
      <c r="D631" s="19">
        <v>43889</v>
      </c>
      <c r="E631" s="18" t="s">
        <v>201</v>
      </c>
      <c r="F631" s="18">
        <v>849</v>
      </c>
      <c r="G631" s="18">
        <v>10100087605</v>
      </c>
      <c r="H631" s="18"/>
      <c r="I631" s="18" t="s">
        <v>137</v>
      </c>
      <c r="J631" s="18" t="s">
        <v>1435</v>
      </c>
      <c r="K631" s="20">
        <v>16.95</v>
      </c>
      <c r="L631" s="49">
        <f t="shared" si="49"/>
        <v>3.0509999999999997</v>
      </c>
      <c r="M631" s="50">
        <f t="shared" si="50"/>
        <v>20.000999999999998</v>
      </c>
    </row>
    <row r="632" spans="1:13" x14ac:dyDescent="0.2">
      <c r="A632" s="18">
        <f t="shared" si="51"/>
        <v>629</v>
      </c>
      <c r="B632" s="18" t="s">
        <v>3168</v>
      </c>
      <c r="C632" s="18" t="s">
        <v>3262</v>
      </c>
      <c r="D632" s="19">
        <v>43887</v>
      </c>
      <c r="E632" s="18">
        <v>3</v>
      </c>
      <c r="F632" s="18">
        <v>6</v>
      </c>
      <c r="G632" s="18">
        <v>10107521416</v>
      </c>
      <c r="H632" s="18"/>
      <c r="I632" s="18" t="s">
        <v>137</v>
      </c>
      <c r="J632" s="18" t="s">
        <v>3270</v>
      </c>
      <c r="K632" s="20">
        <v>63.56</v>
      </c>
      <c r="L632" s="49">
        <f t="shared" si="49"/>
        <v>11.440799999999999</v>
      </c>
      <c r="M632" s="50">
        <f t="shared" si="50"/>
        <v>75.000799999999998</v>
      </c>
    </row>
    <row r="633" spans="1:13" x14ac:dyDescent="0.2">
      <c r="A633" s="18">
        <f t="shared" si="51"/>
        <v>630</v>
      </c>
      <c r="B633" s="18" t="s">
        <v>3168</v>
      </c>
      <c r="C633" s="18" t="s">
        <v>3262</v>
      </c>
      <c r="D633" s="19">
        <v>43892</v>
      </c>
      <c r="E633" s="18" t="s">
        <v>201</v>
      </c>
      <c r="F633" s="18">
        <v>858</v>
      </c>
      <c r="G633" s="18">
        <v>10100087605</v>
      </c>
      <c r="H633" s="18"/>
      <c r="I633" s="18" t="s">
        <v>137</v>
      </c>
      <c r="J633" s="18" t="s">
        <v>3266</v>
      </c>
      <c r="K633" s="20">
        <v>16.95</v>
      </c>
      <c r="L633" s="49">
        <f t="shared" si="49"/>
        <v>3.0509999999999997</v>
      </c>
      <c r="M633" s="50">
        <f t="shared" si="50"/>
        <v>20.000999999999998</v>
      </c>
    </row>
    <row r="634" spans="1:13" x14ac:dyDescent="0.2">
      <c r="A634" s="18">
        <f t="shared" si="51"/>
        <v>631</v>
      </c>
      <c r="B634" s="18" t="s">
        <v>3176</v>
      </c>
      <c r="C634" s="18" t="s">
        <v>3256</v>
      </c>
      <c r="D634" s="19">
        <v>43892</v>
      </c>
      <c r="E634" s="18" t="s">
        <v>200</v>
      </c>
      <c r="F634" s="18">
        <v>74647</v>
      </c>
      <c r="G634" s="18">
        <v>20493143612</v>
      </c>
      <c r="H634" s="18"/>
      <c r="I634" s="18" t="s">
        <v>137</v>
      </c>
      <c r="J634" s="18" t="s">
        <v>954</v>
      </c>
      <c r="K634" s="20">
        <v>25.42</v>
      </c>
      <c r="L634" s="49">
        <f t="shared" si="49"/>
        <v>4.5756000000000006</v>
      </c>
      <c r="M634" s="50">
        <f t="shared" si="50"/>
        <v>29.995600000000003</v>
      </c>
    </row>
    <row r="635" spans="1:13" x14ac:dyDescent="0.2">
      <c r="A635" s="18">
        <f t="shared" si="51"/>
        <v>632</v>
      </c>
      <c r="B635" s="18" t="s">
        <v>3176</v>
      </c>
      <c r="C635" s="18" t="s">
        <v>3256</v>
      </c>
      <c r="D635" s="19">
        <v>43889</v>
      </c>
      <c r="E635" s="18">
        <v>2</v>
      </c>
      <c r="F635" s="18">
        <v>949</v>
      </c>
      <c r="G635" s="18">
        <v>20525049028</v>
      </c>
      <c r="H635" s="18"/>
      <c r="I635" s="18" t="s">
        <v>137</v>
      </c>
      <c r="J635" s="18" t="s">
        <v>1671</v>
      </c>
      <c r="K635" s="20">
        <v>32.799999999999997</v>
      </c>
      <c r="L635" s="49">
        <f t="shared" si="49"/>
        <v>5.903999999999999</v>
      </c>
      <c r="M635" s="50">
        <f t="shared" si="50"/>
        <v>38.703999999999994</v>
      </c>
    </row>
    <row r="636" spans="1:13" x14ac:dyDescent="0.2">
      <c r="A636" s="18">
        <f t="shared" si="51"/>
        <v>633</v>
      </c>
      <c r="B636" s="18" t="s">
        <v>3176</v>
      </c>
      <c r="C636" s="18" t="s">
        <v>3256</v>
      </c>
      <c r="D636" s="19">
        <v>43889</v>
      </c>
      <c r="E636" s="18">
        <v>1</v>
      </c>
      <c r="F636" s="18">
        <v>5366</v>
      </c>
      <c r="G636" s="18">
        <v>20544804236</v>
      </c>
      <c r="H636" s="18"/>
      <c r="I636" s="18" t="s">
        <v>137</v>
      </c>
      <c r="J636" s="18" t="s">
        <v>1423</v>
      </c>
      <c r="K636" s="20">
        <v>29.66</v>
      </c>
      <c r="L636" s="49">
        <f t="shared" si="49"/>
        <v>5.3388</v>
      </c>
      <c r="M636" s="50">
        <f t="shared" si="50"/>
        <v>34.998800000000003</v>
      </c>
    </row>
    <row r="637" spans="1:13" x14ac:dyDescent="0.2">
      <c r="A637" s="18">
        <f t="shared" si="51"/>
        <v>634</v>
      </c>
      <c r="B637" s="18" t="s">
        <v>3176</v>
      </c>
      <c r="C637" s="18" t="s">
        <v>3256</v>
      </c>
      <c r="D637" s="19">
        <v>43889</v>
      </c>
      <c r="E637" s="18">
        <v>1</v>
      </c>
      <c r="F637" s="18">
        <v>11188</v>
      </c>
      <c r="G637" s="18">
        <v>10061024650</v>
      </c>
      <c r="H637" s="18"/>
      <c r="I637" s="18" t="s">
        <v>137</v>
      </c>
      <c r="J637" s="18" t="s">
        <v>3271</v>
      </c>
      <c r="K637" s="20">
        <v>101.69</v>
      </c>
      <c r="L637" s="49">
        <f t="shared" ref="L637:L644" si="52">+K637*18%</f>
        <v>18.304199999999998</v>
      </c>
      <c r="M637" s="50">
        <f t="shared" ref="M637:M644" si="53">+K637+L637</f>
        <v>119.99419999999999</v>
      </c>
    </row>
    <row r="638" spans="1:13" x14ac:dyDescent="0.2">
      <c r="A638" s="18">
        <f t="shared" si="51"/>
        <v>635</v>
      </c>
      <c r="B638" s="18" t="s">
        <v>3176</v>
      </c>
      <c r="C638" s="18" t="s">
        <v>3256</v>
      </c>
      <c r="D638" s="19">
        <v>43889</v>
      </c>
      <c r="E638" s="18" t="s">
        <v>201</v>
      </c>
      <c r="F638" s="18">
        <v>850</v>
      </c>
      <c r="G638" s="18">
        <v>10100087605</v>
      </c>
      <c r="H638" s="18"/>
      <c r="I638" s="18" t="s">
        <v>137</v>
      </c>
      <c r="J638" s="18" t="s">
        <v>3272</v>
      </c>
      <c r="K638" s="20">
        <v>25.42</v>
      </c>
      <c r="L638" s="49">
        <f t="shared" si="52"/>
        <v>4.5756000000000006</v>
      </c>
      <c r="M638" s="50">
        <f t="shared" si="53"/>
        <v>29.995600000000003</v>
      </c>
    </row>
    <row r="639" spans="1:13" x14ac:dyDescent="0.2">
      <c r="A639" s="18">
        <f t="shared" si="51"/>
        <v>636</v>
      </c>
      <c r="B639" s="18" t="s">
        <v>3176</v>
      </c>
      <c r="C639" s="18" t="s">
        <v>3256</v>
      </c>
      <c r="D639" s="19">
        <v>43889</v>
      </c>
      <c r="E639" s="18" t="s">
        <v>201</v>
      </c>
      <c r="F639" s="18">
        <v>848</v>
      </c>
      <c r="G639" s="18">
        <v>10100087605</v>
      </c>
      <c r="H639" s="18"/>
      <c r="I639" s="18" t="s">
        <v>137</v>
      </c>
      <c r="J639" s="18" t="s">
        <v>253</v>
      </c>
      <c r="K639" s="20">
        <v>16.95</v>
      </c>
      <c r="L639" s="49">
        <f t="shared" si="52"/>
        <v>3.0509999999999997</v>
      </c>
      <c r="M639" s="50">
        <f t="shared" si="53"/>
        <v>20.000999999999998</v>
      </c>
    </row>
    <row r="640" spans="1:13" x14ac:dyDescent="0.2">
      <c r="A640" s="18">
        <f t="shared" si="51"/>
        <v>637</v>
      </c>
      <c r="B640" s="18" t="s">
        <v>3167</v>
      </c>
      <c r="C640" s="18" t="s">
        <v>3261</v>
      </c>
      <c r="D640" s="19">
        <v>43888</v>
      </c>
      <c r="E640" s="18">
        <v>2</v>
      </c>
      <c r="F640" s="18">
        <v>925</v>
      </c>
      <c r="G640" s="18">
        <v>20549871535</v>
      </c>
      <c r="H640" s="18"/>
      <c r="I640" s="18" t="s">
        <v>193</v>
      </c>
      <c r="J640" s="18" t="s">
        <v>3146</v>
      </c>
      <c r="K640" s="20">
        <v>27.32</v>
      </c>
      <c r="L640" s="49">
        <f t="shared" si="52"/>
        <v>4.9176000000000002</v>
      </c>
      <c r="M640" s="50">
        <f t="shared" si="53"/>
        <v>32.2376</v>
      </c>
    </row>
    <row r="641" spans="1:13" x14ac:dyDescent="0.2">
      <c r="A641" s="18">
        <f t="shared" si="51"/>
        <v>638</v>
      </c>
      <c r="B641" s="18" t="s">
        <v>3170</v>
      </c>
      <c r="C641" s="18" t="s">
        <v>3259</v>
      </c>
      <c r="D641" s="19">
        <v>43888</v>
      </c>
      <c r="E641" s="18">
        <v>2</v>
      </c>
      <c r="F641" s="18">
        <v>925</v>
      </c>
      <c r="G641" s="18">
        <v>20549871535</v>
      </c>
      <c r="H641" s="18"/>
      <c r="I641" s="18" t="s">
        <v>193</v>
      </c>
      <c r="J641" s="18" t="s">
        <v>3146</v>
      </c>
      <c r="K641" s="20">
        <v>27.32</v>
      </c>
      <c r="L641" s="49">
        <f t="shared" si="52"/>
        <v>4.9176000000000002</v>
      </c>
      <c r="M641" s="50">
        <f t="shared" si="53"/>
        <v>32.2376</v>
      </c>
    </row>
    <row r="642" spans="1:13" x14ac:dyDescent="0.2">
      <c r="A642" s="18">
        <f t="shared" si="51"/>
        <v>639</v>
      </c>
      <c r="B642" s="18" t="s">
        <v>3167</v>
      </c>
      <c r="C642" s="18" t="s">
        <v>3261</v>
      </c>
      <c r="D642" s="19">
        <v>43887</v>
      </c>
      <c r="E642" s="18">
        <v>1</v>
      </c>
      <c r="F642" s="18">
        <v>26325</v>
      </c>
      <c r="G642" s="18">
        <v>20601079691</v>
      </c>
      <c r="H642" s="18"/>
      <c r="I642" s="18" t="s">
        <v>193</v>
      </c>
      <c r="J642" s="18" t="s">
        <v>2484</v>
      </c>
      <c r="K642" s="20">
        <v>5.25</v>
      </c>
      <c r="L642" s="49">
        <f t="shared" si="52"/>
        <v>0.94499999999999995</v>
      </c>
      <c r="M642" s="50">
        <f t="shared" si="53"/>
        <v>6.1950000000000003</v>
      </c>
    </row>
    <row r="643" spans="1:13" x14ac:dyDescent="0.2">
      <c r="A643" s="18">
        <f t="shared" si="51"/>
        <v>640</v>
      </c>
      <c r="B643" s="18" t="s">
        <v>3167</v>
      </c>
      <c r="C643" s="18" t="s">
        <v>3261</v>
      </c>
      <c r="D643" s="19">
        <v>43887</v>
      </c>
      <c r="E643" s="18">
        <v>2</v>
      </c>
      <c r="F643" s="18">
        <v>93</v>
      </c>
      <c r="G643" s="18">
        <v>10322741231</v>
      </c>
      <c r="H643" s="18"/>
      <c r="I643" s="18" t="s">
        <v>137</v>
      </c>
      <c r="J643" s="18" t="s">
        <v>410</v>
      </c>
      <c r="K643" s="20">
        <v>46.61</v>
      </c>
      <c r="L643" s="49">
        <f t="shared" si="52"/>
        <v>8.3897999999999993</v>
      </c>
      <c r="M643" s="50">
        <f t="shared" si="53"/>
        <v>54.9998</v>
      </c>
    </row>
    <row r="644" spans="1:13" x14ac:dyDescent="0.2">
      <c r="A644" s="18">
        <f t="shared" si="51"/>
        <v>641</v>
      </c>
      <c r="B644" s="18" t="s">
        <v>3170</v>
      </c>
      <c r="C644" s="18" t="s">
        <v>3259</v>
      </c>
      <c r="D644" s="19">
        <v>43859</v>
      </c>
      <c r="E644" s="18">
        <v>2</v>
      </c>
      <c r="F644" s="18">
        <v>952</v>
      </c>
      <c r="G644" s="18">
        <v>20525049028</v>
      </c>
      <c r="H644" s="18"/>
      <c r="I644" s="18" t="s">
        <v>137</v>
      </c>
      <c r="J644" s="18" t="s">
        <v>3269</v>
      </c>
      <c r="K644" s="20">
        <v>25.42</v>
      </c>
      <c r="L644" s="49">
        <f t="shared" si="52"/>
        <v>4.5756000000000006</v>
      </c>
      <c r="M644" s="50">
        <f t="shared" si="53"/>
        <v>29.995600000000003</v>
      </c>
    </row>
    <row r="645" spans="1:13" x14ac:dyDescent="0.2">
      <c r="A645" s="18">
        <f t="shared" si="51"/>
        <v>642</v>
      </c>
      <c r="B645" s="18" t="s">
        <v>3170</v>
      </c>
      <c r="C645" s="18" t="s">
        <v>3259</v>
      </c>
      <c r="D645" s="19">
        <v>43889</v>
      </c>
      <c r="E645" s="18">
        <v>1</v>
      </c>
      <c r="F645" s="18">
        <v>11189</v>
      </c>
      <c r="G645" s="18">
        <v>10061024650</v>
      </c>
      <c r="H645" s="18"/>
      <c r="I645" s="18" t="s">
        <v>137</v>
      </c>
      <c r="J645" s="18" t="s">
        <v>1599</v>
      </c>
      <c r="K645" s="20">
        <v>101.69</v>
      </c>
      <c r="L645" s="49">
        <f t="shared" ref="L645:L671" si="54">+K645*18%</f>
        <v>18.304199999999998</v>
      </c>
      <c r="M645" s="50">
        <f t="shared" ref="M645:M671" si="55">+K645+L645</f>
        <v>119.99419999999999</v>
      </c>
    </row>
    <row r="646" spans="1:13" x14ac:dyDescent="0.2">
      <c r="A646" s="18">
        <f t="shared" si="51"/>
        <v>643</v>
      </c>
      <c r="B646" s="18" t="s">
        <v>3170</v>
      </c>
      <c r="C646" s="18" t="s">
        <v>3259</v>
      </c>
      <c r="D646" s="19">
        <v>43889</v>
      </c>
      <c r="E646" s="18">
        <v>2</v>
      </c>
      <c r="F646" s="18">
        <v>95</v>
      </c>
      <c r="G646" s="18">
        <v>10322741231</v>
      </c>
      <c r="H646" s="18"/>
      <c r="I646" s="18" t="s">
        <v>137</v>
      </c>
      <c r="J646" s="18" t="s">
        <v>410</v>
      </c>
      <c r="K646" s="20">
        <v>46.61</v>
      </c>
      <c r="L646" s="49">
        <f t="shared" si="54"/>
        <v>8.3897999999999993</v>
      </c>
      <c r="M646" s="50">
        <f t="shared" si="55"/>
        <v>54.9998</v>
      </c>
    </row>
    <row r="647" spans="1:13" x14ac:dyDescent="0.2">
      <c r="A647" s="18">
        <f t="shared" si="51"/>
        <v>644</v>
      </c>
      <c r="B647" s="18" t="s">
        <v>3170</v>
      </c>
      <c r="C647" s="18" t="s">
        <v>3259</v>
      </c>
      <c r="D647" s="19">
        <v>43887</v>
      </c>
      <c r="E647" s="18" t="s">
        <v>201</v>
      </c>
      <c r="F647" s="18">
        <v>841</v>
      </c>
      <c r="G647" s="18">
        <v>10100087605</v>
      </c>
      <c r="H647" s="18"/>
      <c r="I647" s="18" t="s">
        <v>137</v>
      </c>
      <c r="J647" s="18" t="s">
        <v>3273</v>
      </c>
      <c r="K647" s="20">
        <v>25.42</v>
      </c>
      <c r="L647" s="49">
        <f t="shared" si="54"/>
        <v>4.5756000000000006</v>
      </c>
      <c r="M647" s="50">
        <f t="shared" si="55"/>
        <v>29.995600000000003</v>
      </c>
    </row>
    <row r="648" spans="1:13" x14ac:dyDescent="0.2">
      <c r="A648" s="18">
        <f t="shared" si="51"/>
        <v>645</v>
      </c>
      <c r="B648" s="18" t="s">
        <v>3166</v>
      </c>
      <c r="C648" s="18" t="s">
        <v>3258</v>
      </c>
      <c r="D648" s="19">
        <v>43889</v>
      </c>
      <c r="E648" s="18">
        <v>1</v>
      </c>
      <c r="F648" s="18">
        <v>5367</v>
      </c>
      <c r="G648" s="18">
        <v>20544804236</v>
      </c>
      <c r="H648" s="18"/>
      <c r="I648" s="18" t="s">
        <v>137</v>
      </c>
      <c r="J648" s="18" t="s">
        <v>1423</v>
      </c>
      <c r="K648" s="20">
        <v>29.66</v>
      </c>
      <c r="L648" s="49">
        <f t="shared" si="54"/>
        <v>5.3388</v>
      </c>
      <c r="M648" s="50">
        <f t="shared" si="55"/>
        <v>34.998800000000003</v>
      </c>
    </row>
    <row r="649" spans="1:13" x14ac:dyDescent="0.2">
      <c r="A649" s="18">
        <f t="shared" si="51"/>
        <v>646</v>
      </c>
      <c r="B649" s="18" t="s">
        <v>2568</v>
      </c>
      <c r="C649" s="18" t="s">
        <v>2569</v>
      </c>
      <c r="D649" s="19">
        <v>43892</v>
      </c>
      <c r="E649" s="18" t="s">
        <v>200</v>
      </c>
      <c r="F649" s="18">
        <v>74632</v>
      </c>
      <c r="G649" s="18">
        <v>20493143612</v>
      </c>
      <c r="H649" s="18"/>
      <c r="I649" s="18" t="s">
        <v>137</v>
      </c>
      <c r="J649" s="18" t="s">
        <v>954</v>
      </c>
      <c r="K649" s="20">
        <v>42.37</v>
      </c>
      <c r="L649" s="49">
        <f t="shared" si="54"/>
        <v>7.6265999999999989</v>
      </c>
      <c r="M649" s="50">
        <f t="shared" si="55"/>
        <v>49.996599999999994</v>
      </c>
    </row>
    <row r="650" spans="1:13" x14ac:dyDescent="0.2">
      <c r="A650" s="18">
        <f t="shared" si="51"/>
        <v>647</v>
      </c>
      <c r="B650" s="18" t="s">
        <v>2568</v>
      </c>
      <c r="C650" s="18" t="s">
        <v>2569</v>
      </c>
      <c r="D650" s="19">
        <v>43887</v>
      </c>
      <c r="E650" s="18" t="s">
        <v>201</v>
      </c>
      <c r="F650" s="18">
        <v>7</v>
      </c>
      <c r="G650" s="18">
        <v>10421925378</v>
      </c>
      <c r="H650" s="18"/>
      <c r="I650" s="18" t="s">
        <v>193</v>
      </c>
      <c r="J650" s="18" t="s">
        <v>607</v>
      </c>
      <c r="K650" s="20">
        <v>50.85</v>
      </c>
      <c r="L650" s="49">
        <f t="shared" si="54"/>
        <v>9.1530000000000005</v>
      </c>
      <c r="M650" s="50">
        <f t="shared" si="55"/>
        <v>60.003</v>
      </c>
    </row>
    <row r="651" spans="1:13" x14ac:dyDescent="0.2">
      <c r="A651" s="18">
        <f t="shared" si="51"/>
        <v>648</v>
      </c>
      <c r="B651" s="18" t="s">
        <v>2894</v>
      </c>
      <c r="C651" s="18" t="s">
        <v>3009</v>
      </c>
      <c r="D651" s="19">
        <v>43874</v>
      </c>
      <c r="E651" s="18">
        <v>1</v>
      </c>
      <c r="F651" s="18">
        <v>5989</v>
      </c>
      <c r="G651" s="18">
        <v>20600892828</v>
      </c>
      <c r="H651" s="18">
        <v>13263</v>
      </c>
      <c r="I651" s="18" t="s">
        <v>137</v>
      </c>
      <c r="J651" s="18" t="s">
        <v>257</v>
      </c>
      <c r="K651" s="20">
        <v>76.27</v>
      </c>
      <c r="L651" s="49">
        <f t="shared" si="54"/>
        <v>13.728599999999998</v>
      </c>
      <c r="M651" s="50">
        <f t="shared" si="55"/>
        <v>89.998599999999996</v>
      </c>
    </row>
    <row r="652" spans="1:13" x14ac:dyDescent="0.2">
      <c r="A652" s="18">
        <f t="shared" si="51"/>
        <v>649</v>
      </c>
      <c r="B652" s="18" t="s">
        <v>2876</v>
      </c>
      <c r="C652" s="18" t="s">
        <v>3014</v>
      </c>
      <c r="D652" s="19">
        <v>43874</v>
      </c>
      <c r="E652" s="18">
        <v>1</v>
      </c>
      <c r="F652" s="18">
        <v>5990</v>
      </c>
      <c r="G652" s="18">
        <v>20600892828</v>
      </c>
      <c r="H652" s="18">
        <v>13301</v>
      </c>
      <c r="I652" s="18" t="s">
        <v>137</v>
      </c>
      <c r="J652" s="18" t="s">
        <v>257</v>
      </c>
      <c r="K652" s="20">
        <v>76.27</v>
      </c>
      <c r="L652" s="49">
        <f t="shared" si="54"/>
        <v>13.728599999999998</v>
      </c>
      <c r="M652" s="50">
        <f t="shared" si="55"/>
        <v>89.998599999999996</v>
      </c>
    </row>
    <row r="653" spans="1:13" x14ac:dyDescent="0.2">
      <c r="A653" s="18">
        <f t="shared" si="51"/>
        <v>650</v>
      </c>
      <c r="B653" s="18" t="s">
        <v>2898</v>
      </c>
      <c r="C653" s="18" t="s">
        <v>3017</v>
      </c>
      <c r="D653" s="19">
        <v>43875</v>
      </c>
      <c r="E653" s="18">
        <v>1</v>
      </c>
      <c r="F653" s="18">
        <v>5992</v>
      </c>
      <c r="G653" s="18">
        <v>20600892828</v>
      </c>
      <c r="H653" s="18">
        <v>13307</v>
      </c>
      <c r="I653" s="18" t="s">
        <v>137</v>
      </c>
      <c r="J653" s="18" t="s">
        <v>257</v>
      </c>
      <c r="K653" s="20">
        <v>76.27</v>
      </c>
      <c r="L653" s="49">
        <f t="shared" si="54"/>
        <v>13.728599999999998</v>
      </c>
      <c r="M653" s="50">
        <f t="shared" si="55"/>
        <v>89.998599999999996</v>
      </c>
    </row>
    <row r="654" spans="1:13" x14ac:dyDescent="0.2">
      <c r="A654" s="18">
        <f t="shared" si="51"/>
        <v>651</v>
      </c>
      <c r="B654" s="18" t="s">
        <v>2903</v>
      </c>
      <c r="C654" s="18" t="s">
        <v>2987</v>
      </c>
      <c r="D654" s="19">
        <v>43892</v>
      </c>
      <c r="E654" s="18" t="s">
        <v>200</v>
      </c>
      <c r="F654" s="18">
        <v>1275</v>
      </c>
      <c r="G654" s="18">
        <v>20300435298</v>
      </c>
      <c r="H654" s="18">
        <v>13312</v>
      </c>
      <c r="I654" s="18" t="s">
        <v>137</v>
      </c>
      <c r="J654" s="18" t="s">
        <v>2015</v>
      </c>
      <c r="K654" s="20">
        <v>84.75</v>
      </c>
      <c r="L654" s="49">
        <f t="shared" si="54"/>
        <v>15.254999999999999</v>
      </c>
      <c r="M654" s="50">
        <f t="shared" si="55"/>
        <v>100.005</v>
      </c>
    </row>
    <row r="655" spans="1:13" x14ac:dyDescent="0.2">
      <c r="A655" s="18"/>
      <c r="B655" s="18"/>
      <c r="C655" s="18"/>
      <c r="D655" s="19"/>
      <c r="E655" s="18"/>
      <c r="F655" s="18"/>
      <c r="G655" s="18"/>
      <c r="H655" s="18"/>
      <c r="I655" s="18"/>
      <c r="J655" s="18"/>
      <c r="K655" s="20"/>
      <c r="L655" s="49">
        <f t="shared" si="54"/>
        <v>0</v>
      </c>
      <c r="M655" s="50">
        <f t="shared" si="55"/>
        <v>0</v>
      </c>
    </row>
    <row r="656" spans="1:13" x14ac:dyDescent="0.2">
      <c r="A656" s="18"/>
      <c r="B656" s="18"/>
      <c r="C656" s="18"/>
      <c r="D656" s="19"/>
      <c r="E656" s="18"/>
      <c r="F656" s="18"/>
      <c r="G656" s="18"/>
      <c r="H656" s="18"/>
      <c r="I656" s="18"/>
      <c r="J656" s="18"/>
      <c r="K656" s="20"/>
      <c r="L656" s="49">
        <f t="shared" si="54"/>
        <v>0</v>
      </c>
      <c r="M656" s="50">
        <f t="shared" si="55"/>
        <v>0</v>
      </c>
    </row>
    <row r="657" spans="1:13" x14ac:dyDescent="0.2">
      <c r="A657" s="18"/>
      <c r="B657" s="18"/>
      <c r="C657" s="18"/>
      <c r="D657" s="19"/>
      <c r="E657" s="18"/>
      <c r="F657" s="18"/>
      <c r="G657" s="18"/>
      <c r="H657" s="18"/>
      <c r="I657" s="18"/>
      <c r="J657" s="18"/>
      <c r="K657" s="20"/>
      <c r="L657" s="49">
        <f t="shared" si="54"/>
        <v>0</v>
      </c>
      <c r="M657" s="50">
        <f t="shared" si="55"/>
        <v>0</v>
      </c>
    </row>
    <row r="658" spans="1:13" x14ac:dyDescent="0.2">
      <c r="A658" s="18"/>
      <c r="B658" s="18"/>
      <c r="C658" s="18"/>
      <c r="D658" s="19"/>
      <c r="E658" s="18"/>
      <c r="F658" s="18"/>
      <c r="G658" s="18"/>
      <c r="H658" s="18"/>
      <c r="I658" s="18"/>
      <c r="J658" s="18"/>
      <c r="K658" s="20"/>
      <c r="L658" s="49">
        <f t="shared" si="54"/>
        <v>0</v>
      </c>
      <c r="M658" s="50">
        <f t="shared" si="55"/>
        <v>0</v>
      </c>
    </row>
    <row r="659" spans="1:13" x14ac:dyDescent="0.2">
      <c r="A659" s="18"/>
      <c r="B659" s="18"/>
      <c r="C659" s="18"/>
      <c r="D659" s="19"/>
      <c r="E659" s="18"/>
      <c r="F659" s="18"/>
      <c r="G659" s="18"/>
      <c r="H659" s="18"/>
      <c r="I659" s="18"/>
      <c r="J659" s="18"/>
      <c r="K659" s="20"/>
      <c r="L659" s="49">
        <f t="shared" si="54"/>
        <v>0</v>
      </c>
      <c r="M659" s="50">
        <f t="shared" si="55"/>
        <v>0</v>
      </c>
    </row>
    <row r="660" spans="1:13" x14ac:dyDescent="0.2">
      <c r="A660" s="18"/>
      <c r="B660" s="18"/>
      <c r="C660" s="18"/>
      <c r="D660" s="19"/>
      <c r="E660" s="18"/>
      <c r="F660" s="18"/>
      <c r="G660" s="18"/>
      <c r="H660" s="18"/>
      <c r="I660" s="18"/>
      <c r="J660" s="18"/>
      <c r="K660" s="20"/>
      <c r="L660" s="49">
        <f t="shared" si="54"/>
        <v>0</v>
      </c>
      <c r="M660" s="50">
        <f t="shared" si="55"/>
        <v>0</v>
      </c>
    </row>
    <row r="661" spans="1:13" x14ac:dyDescent="0.2">
      <c r="A661" s="18"/>
      <c r="B661" s="18"/>
      <c r="C661" s="18"/>
      <c r="D661" s="19"/>
      <c r="E661" s="18"/>
      <c r="F661" s="18"/>
      <c r="G661" s="18"/>
      <c r="H661" s="18"/>
      <c r="I661" s="18"/>
      <c r="J661" s="18"/>
      <c r="K661" s="20"/>
      <c r="L661" s="49">
        <f t="shared" si="54"/>
        <v>0</v>
      </c>
      <c r="M661" s="50">
        <f t="shared" si="55"/>
        <v>0</v>
      </c>
    </row>
    <row r="662" spans="1:13" x14ac:dyDescent="0.2">
      <c r="A662" s="18"/>
      <c r="B662" s="18"/>
      <c r="C662" s="18"/>
      <c r="D662" s="19"/>
      <c r="E662" s="18"/>
      <c r="F662" s="18"/>
      <c r="G662" s="18"/>
      <c r="H662" s="18"/>
      <c r="I662" s="18"/>
      <c r="J662" s="18"/>
      <c r="K662" s="20"/>
      <c r="L662" s="49">
        <f t="shared" si="54"/>
        <v>0</v>
      </c>
      <c r="M662" s="50">
        <f t="shared" si="55"/>
        <v>0</v>
      </c>
    </row>
    <row r="663" spans="1:13" x14ac:dyDescent="0.2">
      <c r="A663" s="18"/>
      <c r="B663" s="18"/>
      <c r="C663" s="18"/>
      <c r="D663" s="19"/>
      <c r="E663" s="18"/>
      <c r="F663" s="18"/>
      <c r="G663" s="18"/>
      <c r="H663" s="18"/>
      <c r="I663" s="18"/>
      <c r="J663" s="18"/>
      <c r="K663" s="20"/>
      <c r="L663" s="49">
        <f t="shared" si="54"/>
        <v>0</v>
      </c>
      <c r="M663" s="50">
        <f t="shared" si="55"/>
        <v>0</v>
      </c>
    </row>
    <row r="664" spans="1:13" x14ac:dyDescent="0.2">
      <c r="A664" s="18"/>
      <c r="B664" s="18"/>
      <c r="C664" s="18"/>
      <c r="D664" s="19"/>
      <c r="E664" s="18"/>
      <c r="F664" s="18"/>
      <c r="G664" s="18"/>
      <c r="H664" s="18"/>
      <c r="I664" s="18"/>
      <c r="J664" s="18"/>
      <c r="K664" s="20"/>
      <c r="L664" s="49">
        <f t="shared" si="54"/>
        <v>0</v>
      </c>
      <c r="M664" s="50">
        <f t="shared" si="55"/>
        <v>0</v>
      </c>
    </row>
    <row r="665" spans="1:13" x14ac:dyDescent="0.2">
      <c r="A665" s="18"/>
      <c r="B665" s="18"/>
      <c r="C665" s="18"/>
      <c r="D665" s="19"/>
      <c r="E665" s="18"/>
      <c r="F665" s="18"/>
      <c r="G665" s="18"/>
      <c r="H665" s="18"/>
      <c r="I665" s="18"/>
      <c r="J665" s="18"/>
      <c r="K665" s="20"/>
      <c r="L665" s="49">
        <f t="shared" si="54"/>
        <v>0</v>
      </c>
      <c r="M665" s="50">
        <f t="shared" si="55"/>
        <v>0</v>
      </c>
    </row>
    <row r="666" spans="1:13" x14ac:dyDescent="0.2">
      <c r="A666" s="18"/>
      <c r="B666" s="18"/>
      <c r="C666" s="18"/>
      <c r="D666" s="19"/>
      <c r="E666" s="18"/>
      <c r="F666" s="18"/>
      <c r="G666" s="18"/>
      <c r="H666" s="18"/>
      <c r="I666" s="18"/>
      <c r="J666" s="18"/>
      <c r="K666" s="20"/>
      <c r="L666" s="49">
        <f t="shared" si="54"/>
        <v>0</v>
      </c>
      <c r="M666" s="50">
        <f t="shared" si="55"/>
        <v>0</v>
      </c>
    </row>
    <row r="667" spans="1:13" x14ac:dyDescent="0.2">
      <c r="A667" s="18"/>
      <c r="B667" s="18"/>
      <c r="C667" s="18"/>
      <c r="D667" s="19"/>
      <c r="E667" s="18"/>
      <c r="F667" s="18"/>
      <c r="G667" s="18"/>
      <c r="H667" s="18"/>
      <c r="I667" s="18"/>
      <c r="J667" s="18"/>
      <c r="K667" s="20"/>
      <c r="L667" s="49">
        <f t="shared" si="54"/>
        <v>0</v>
      </c>
      <c r="M667" s="50">
        <f t="shared" si="55"/>
        <v>0</v>
      </c>
    </row>
    <row r="668" spans="1:13" x14ac:dyDescent="0.2">
      <c r="A668" s="18"/>
      <c r="B668" s="18"/>
      <c r="C668" s="18"/>
      <c r="D668" s="19"/>
      <c r="E668" s="18"/>
      <c r="F668" s="18"/>
      <c r="G668" s="18"/>
      <c r="H668" s="18"/>
      <c r="I668" s="18"/>
      <c r="J668" s="18"/>
      <c r="K668" s="20"/>
      <c r="L668" s="49">
        <f t="shared" si="54"/>
        <v>0</v>
      </c>
      <c r="M668" s="50">
        <f t="shared" si="55"/>
        <v>0</v>
      </c>
    </row>
    <row r="669" spans="1:13" x14ac:dyDescent="0.2">
      <c r="A669" s="18"/>
      <c r="B669" s="18"/>
      <c r="C669" s="18"/>
      <c r="D669" s="19"/>
      <c r="E669" s="18"/>
      <c r="F669" s="18"/>
      <c r="G669" s="18"/>
      <c r="H669" s="18"/>
      <c r="I669" s="18"/>
      <c r="J669" s="18"/>
      <c r="K669" s="20"/>
      <c r="L669" s="49">
        <f t="shared" si="54"/>
        <v>0</v>
      </c>
      <c r="M669" s="50">
        <f t="shared" si="55"/>
        <v>0</v>
      </c>
    </row>
    <row r="670" spans="1:13" x14ac:dyDescent="0.2">
      <c r="A670" s="18"/>
      <c r="B670" s="18"/>
      <c r="C670" s="18"/>
      <c r="D670" s="19"/>
      <c r="E670" s="18"/>
      <c r="F670" s="18"/>
      <c r="G670" s="18"/>
      <c r="H670" s="18"/>
      <c r="I670" s="18"/>
      <c r="J670" s="18"/>
      <c r="K670" s="20"/>
      <c r="L670" s="49">
        <f t="shared" si="54"/>
        <v>0</v>
      </c>
      <c r="M670" s="50">
        <f t="shared" si="55"/>
        <v>0</v>
      </c>
    </row>
    <row r="671" spans="1:13" x14ac:dyDescent="0.2">
      <c r="A671" s="18"/>
      <c r="B671" s="18"/>
      <c r="C671" s="18"/>
      <c r="D671" s="19"/>
      <c r="E671" s="18"/>
      <c r="F671" s="18"/>
      <c r="G671" s="18"/>
      <c r="H671" s="18"/>
      <c r="I671" s="18"/>
      <c r="J671" s="18"/>
      <c r="K671" s="20"/>
      <c r="L671" s="49">
        <f t="shared" si="54"/>
        <v>0</v>
      </c>
      <c r="M671" s="50">
        <f t="shared" si="55"/>
        <v>0</v>
      </c>
    </row>
    <row r="672" spans="1:13" x14ac:dyDescent="0.2">
      <c r="A672" s="18"/>
      <c r="B672" s="18"/>
      <c r="C672" s="18"/>
      <c r="D672" s="19"/>
      <c r="E672" s="18"/>
      <c r="F672" s="18"/>
      <c r="G672" s="18"/>
      <c r="H672" s="18"/>
      <c r="I672" s="18"/>
      <c r="J672" s="18"/>
      <c r="K672" s="18"/>
      <c r="L672" s="49">
        <f t="shared" ref="L672:L735" si="56">+K672*18%</f>
        <v>0</v>
      </c>
      <c r="M672" s="50">
        <f t="shared" ref="M672:M735" si="57">+K672+L672</f>
        <v>0</v>
      </c>
    </row>
    <row r="673" spans="1:13" x14ac:dyDescent="0.2">
      <c r="A673" s="18"/>
      <c r="B673" s="77"/>
      <c r="C673" s="77"/>
      <c r="D673" s="19"/>
      <c r="E673" s="18"/>
      <c r="F673" s="18"/>
      <c r="G673" s="18"/>
      <c r="H673" s="77"/>
      <c r="I673" s="77"/>
      <c r="J673" s="18"/>
      <c r="K673" s="18"/>
      <c r="L673" s="49">
        <f t="shared" si="56"/>
        <v>0</v>
      </c>
      <c r="M673" s="50">
        <f t="shared" si="57"/>
        <v>0</v>
      </c>
    </row>
    <row r="674" spans="1:13" x14ac:dyDescent="0.2">
      <c r="A674" s="18"/>
      <c r="B674" s="77"/>
      <c r="C674" s="77"/>
      <c r="D674" s="19"/>
      <c r="E674" s="18"/>
      <c r="F674" s="18"/>
      <c r="G674" s="18"/>
      <c r="H674" s="77"/>
      <c r="I674" s="77"/>
      <c r="J674" s="77"/>
      <c r="K674" s="77"/>
      <c r="L674" s="49">
        <f t="shared" si="56"/>
        <v>0</v>
      </c>
      <c r="M674" s="50">
        <f t="shared" si="57"/>
        <v>0</v>
      </c>
    </row>
    <row r="675" spans="1:13" x14ac:dyDescent="0.2">
      <c r="A675" s="18"/>
      <c r="B675" s="77"/>
      <c r="C675" s="77"/>
      <c r="D675" s="19"/>
      <c r="E675" s="18"/>
      <c r="F675" s="18"/>
      <c r="G675" s="18"/>
      <c r="H675" s="77"/>
      <c r="I675" s="77"/>
      <c r="J675" s="18"/>
      <c r="K675" s="18"/>
      <c r="L675" s="49">
        <f t="shared" si="56"/>
        <v>0</v>
      </c>
      <c r="M675" s="50">
        <f t="shared" si="57"/>
        <v>0</v>
      </c>
    </row>
    <row r="676" spans="1:13" x14ac:dyDescent="0.2">
      <c r="A676" s="18"/>
      <c r="B676" s="77"/>
      <c r="C676" s="77"/>
      <c r="D676" s="78"/>
      <c r="E676" s="77"/>
      <c r="F676" s="77"/>
      <c r="G676" s="77"/>
      <c r="H676" s="77"/>
      <c r="I676" s="77"/>
      <c r="J676" s="77"/>
      <c r="K676" s="79"/>
      <c r="L676" s="49">
        <f t="shared" si="56"/>
        <v>0</v>
      </c>
      <c r="M676" s="50">
        <f t="shared" si="57"/>
        <v>0</v>
      </c>
    </row>
    <row r="677" spans="1:13" x14ac:dyDescent="0.2">
      <c r="A677" s="18"/>
      <c r="B677" s="77"/>
      <c r="C677" s="77"/>
      <c r="D677" s="78"/>
      <c r="E677" s="77"/>
      <c r="F677" s="77"/>
      <c r="G677" s="77"/>
      <c r="H677" s="77"/>
      <c r="I677" s="77"/>
      <c r="J677" s="77"/>
      <c r="K677" s="79"/>
      <c r="L677" s="49">
        <f t="shared" si="56"/>
        <v>0</v>
      </c>
      <c r="M677" s="50">
        <f t="shared" si="57"/>
        <v>0</v>
      </c>
    </row>
    <row r="678" spans="1:13" x14ac:dyDescent="0.2">
      <c r="A678" s="18"/>
      <c r="B678" s="77"/>
      <c r="C678" s="77"/>
      <c r="D678" s="78"/>
      <c r="E678" s="77"/>
      <c r="F678" s="77"/>
      <c r="G678" s="77"/>
      <c r="H678" s="77"/>
      <c r="I678" s="77"/>
      <c r="J678" s="77"/>
      <c r="K678" s="79"/>
      <c r="L678" s="49">
        <f t="shared" si="56"/>
        <v>0</v>
      </c>
      <c r="M678" s="50">
        <f t="shared" si="57"/>
        <v>0</v>
      </c>
    </row>
    <row r="679" spans="1:13" x14ac:dyDescent="0.2">
      <c r="A679" s="18"/>
      <c r="B679" s="77"/>
      <c r="C679" s="77"/>
      <c r="D679" s="78"/>
      <c r="E679" s="77"/>
      <c r="F679" s="77"/>
      <c r="G679" s="77"/>
      <c r="H679" s="77"/>
      <c r="I679" s="77"/>
      <c r="J679" s="77"/>
      <c r="K679" s="79"/>
      <c r="L679" s="49">
        <f t="shared" si="56"/>
        <v>0</v>
      </c>
      <c r="M679" s="50">
        <f t="shared" si="57"/>
        <v>0</v>
      </c>
    </row>
    <row r="680" spans="1:13" x14ac:dyDescent="0.2">
      <c r="A680" s="18"/>
      <c r="B680" s="77"/>
      <c r="C680" s="77"/>
      <c r="D680" s="78"/>
      <c r="E680" s="77"/>
      <c r="F680" s="77"/>
      <c r="G680" s="77"/>
      <c r="H680" s="77"/>
      <c r="I680" s="77"/>
      <c r="J680" s="77"/>
      <c r="K680" s="79"/>
      <c r="L680" s="49">
        <f t="shared" si="56"/>
        <v>0</v>
      </c>
      <c r="M680" s="50">
        <f t="shared" si="57"/>
        <v>0</v>
      </c>
    </row>
    <row r="681" spans="1:13" x14ac:dyDescent="0.2">
      <c r="A681" s="18"/>
      <c r="B681" s="77"/>
      <c r="C681" s="77"/>
      <c r="D681" s="78"/>
      <c r="E681" s="77"/>
      <c r="F681" s="77"/>
      <c r="G681" s="77"/>
      <c r="H681" s="77"/>
      <c r="I681" s="77"/>
      <c r="J681" s="77"/>
      <c r="K681" s="79"/>
      <c r="L681" s="49">
        <f t="shared" si="56"/>
        <v>0</v>
      </c>
      <c r="M681" s="50">
        <f t="shared" si="57"/>
        <v>0</v>
      </c>
    </row>
    <row r="682" spans="1:13" x14ac:dyDescent="0.2">
      <c r="A682" s="18"/>
      <c r="B682" s="77"/>
      <c r="C682" s="77"/>
      <c r="D682" s="78"/>
      <c r="E682" s="77"/>
      <c r="F682" s="77"/>
      <c r="G682" s="77"/>
      <c r="H682" s="77"/>
      <c r="I682" s="77"/>
      <c r="J682" s="77"/>
      <c r="K682" s="79"/>
      <c r="L682" s="49">
        <f t="shared" si="56"/>
        <v>0</v>
      </c>
      <c r="M682" s="50">
        <f t="shared" si="57"/>
        <v>0</v>
      </c>
    </row>
    <row r="683" spans="1:13" x14ac:dyDescent="0.2">
      <c r="A683" s="18"/>
      <c r="B683" s="77"/>
      <c r="C683" s="77"/>
      <c r="D683" s="78"/>
      <c r="E683" s="77"/>
      <c r="F683" s="77"/>
      <c r="G683" s="77"/>
      <c r="H683" s="77"/>
      <c r="I683" s="77"/>
      <c r="J683" s="77"/>
      <c r="K683" s="79"/>
      <c r="L683" s="49">
        <f t="shared" si="56"/>
        <v>0</v>
      </c>
      <c r="M683" s="50">
        <f t="shared" si="57"/>
        <v>0</v>
      </c>
    </row>
    <row r="684" spans="1:13" x14ac:dyDescent="0.2">
      <c r="A684" s="18"/>
      <c r="B684" s="77"/>
      <c r="C684" s="77"/>
      <c r="D684" s="78"/>
      <c r="E684" s="77"/>
      <c r="F684" s="77"/>
      <c r="G684" s="77"/>
      <c r="H684" s="77"/>
      <c r="I684" s="77"/>
      <c r="J684" s="77"/>
      <c r="K684" s="79"/>
      <c r="L684" s="49">
        <f t="shared" si="56"/>
        <v>0</v>
      </c>
      <c r="M684" s="50">
        <f t="shared" si="57"/>
        <v>0</v>
      </c>
    </row>
    <row r="685" spans="1:13" x14ac:dyDescent="0.2">
      <c r="A685" s="18"/>
      <c r="B685" s="77"/>
      <c r="C685" s="77"/>
      <c r="D685" s="78"/>
      <c r="E685" s="77"/>
      <c r="F685" s="77"/>
      <c r="G685" s="77"/>
      <c r="H685" s="77"/>
      <c r="I685" s="77"/>
      <c r="J685" s="77"/>
      <c r="K685" s="79"/>
      <c r="L685" s="49">
        <f t="shared" si="56"/>
        <v>0</v>
      </c>
      <c r="M685" s="50">
        <f t="shared" si="57"/>
        <v>0</v>
      </c>
    </row>
    <row r="686" spans="1:13" x14ac:dyDescent="0.2">
      <c r="A686" s="18"/>
      <c r="B686" s="77"/>
      <c r="C686" s="77"/>
      <c r="D686" s="78"/>
      <c r="E686" s="77"/>
      <c r="F686" s="77"/>
      <c r="G686" s="77"/>
      <c r="H686" s="77"/>
      <c r="I686" s="77"/>
      <c r="J686" s="77"/>
      <c r="K686" s="79"/>
      <c r="L686" s="49">
        <f t="shared" si="56"/>
        <v>0</v>
      </c>
      <c r="M686" s="50">
        <f t="shared" si="57"/>
        <v>0</v>
      </c>
    </row>
    <row r="687" spans="1:13" x14ac:dyDescent="0.2">
      <c r="A687" s="18"/>
      <c r="B687" s="77"/>
      <c r="C687" s="77"/>
      <c r="D687" s="78"/>
      <c r="E687" s="77"/>
      <c r="F687" s="77"/>
      <c r="G687" s="77"/>
      <c r="H687" s="77"/>
      <c r="I687" s="77"/>
      <c r="J687" s="77"/>
      <c r="K687" s="79"/>
      <c r="L687" s="49">
        <f t="shared" si="56"/>
        <v>0</v>
      </c>
      <c r="M687" s="50">
        <f t="shared" si="57"/>
        <v>0</v>
      </c>
    </row>
    <row r="688" spans="1:13" x14ac:dyDescent="0.2">
      <c r="A688" s="18"/>
      <c r="B688" s="77"/>
      <c r="C688" s="77"/>
      <c r="D688" s="78"/>
      <c r="E688" s="77"/>
      <c r="F688" s="77"/>
      <c r="G688" s="77"/>
      <c r="H688" s="77"/>
      <c r="I688" s="77"/>
      <c r="J688" s="77"/>
      <c r="K688" s="79"/>
      <c r="L688" s="49">
        <f t="shared" si="56"/>
        <v>0</v>
      </c>
      <c r="M688" s="50">
        <f t="shared" si="57"/>
        <v>0</v>
      </c>
    </row>
    <row r="689" spans="1:13" x14ac:dyDescent="0.2">
      <c r="A689" s="18"/>
      <c r="B689" s="77"/>
      <c r="C689" s="77"/>
      <c r="D689" s="78"/>
      <c r="E689" s="77"/>
      <c r="F689" s="77"/>
      <c r="G689" s="77"/>
      <c r="H689" s="77"/>
      <c r="I689" s="77"/>
      <c r="J689" s="77"/>
      <c r="K689" s="79"/>
      <c r="L689" s="49">
        <f t="shared" si="56"/>
        <v>0</v>
      </c>
      <c r="M689" s="50">
        <f t="shared" si="57"/>
        <v>0</v>
      </c>
    </row>
    <row r="690" spans="1:13" x14ac:dyDescent="0.2">
      <c r="A690" s="18"/>
      <c r="B690" s="77"/>
      <c r="C690" s="77"/>
      <c r="D690" s="78"/>
      <c r="E690" s="77"/>
      <c r="F690" s="77"/>
      <c r="G690" s="77"/>
      <c r="H690" s="77"/>
      <c r="I690" s="77"/>
      <c r="J690" s="77"/>
      <c r="K690" s="79"/>
      <c r="L690" s="49">
        <f t="shared" si="56"/>
        <v>0</v>
      </c>
      <c r="M690" s="50">
        <f t="shared" si="57"/>
        <v>0</v>
      </c>
    </row>
    <row r="691" spans="1:13" x14ac:dyDescent="0.2">
      <c r="A691" s="18"/>
      <c r="B691" s="77"/>
      <c r="C691" s="77"/>
      <c r="D691" s="78"/>
      <c r="E691" s="77"/>
      <c r="F691" s="77"/>
      <c r="G691" s="77"/>
      <c r="H691" s="77"/>
      <c r="I691" s="77"/>
      <c r="J691" s="77"/>
      <c r="K691" s="79"/>
      <c r="L691" s="49">
        <f t="shared" si="56"/>
        <v>0</v>
      </c>
      <c r="M691" s="50">
        <f t="shared" si="57"/>
        <v>0</v>
      </c>
    </row>
    <row r="692" spans="1:13" x14ac:dyDescent="0.2">
      <c r="A692" s="18"/>
      <c r="B692" s="77"/>
      <c r="C692" s="77"/>
      <c r="D692" s="78"/>
      <c r="E692" s="77"/>
      <c r="F692" s="77"/>
      <c r="G692" s="77"/>
      <c r="H692" s="77"/>
      <c r="I692" s="77"/>
      <c r="J692" s="77"/>
      <c r="K692" s="79"/>
      <c r="L692" s="49">
        <f t="shared" si="56"/>
        <v>0</v>
      </c>
      <c r="M692" s="50">
        <f t="shared" si="57"/>
        <v>0</v>
      </c>
    </row>
    <row r="693" spans="1:13" x14ac:dyDescent="0.2">
      <c r="A693" s="18"/>
      <c r="B693" s="77"/>
      <c r="C693" s="77"/>
      <c r="D693" s="78"/>
      <c r="E693" s="77"/>
      <c r="F693" s="77"/>
      <c r="G693" s="77"/>
      <c r="H693" s="77"/>
      <c r="I693" s="77"/>
      <c r="J693" s="77"/>
      <c r="K693" s="79"/>
      <c r="L693" s="49">
        <f t="shared" si="56"/>
        <v>0</v>
      </c>
      <c r="M693" s="50">
        <f t="shared" si="57"/>
        <v>0</v>
      </c>
    </row>
    <row r="694" spans="1:13" x14ac:dyDescent="0.2">
      <c r="A694" s="18"/>
      <c r="B694" s="77"/>
      <c r="C694" s="77"/>
      <c r="D694" s="78"/>
      <c r="E694" s="77"/>
      <c r="F694" s="77"/>
      <c r="G694" s="77"/>
      <c r="H694" s="77"/>
      <c r="I694" s="77"/>
      <c r="J694" s="77"/>
      <c r="K694" s="79"/>
      <c r="L694" s="49">
        <f t="shared" si="56"/>
        <v>0</v>
      </c>
      <c r="M694" s="50">
        <f t="shared" si="57"/>
        <v>0</v>
      </c>
    </row>
    <row r="695" spans="1:13" x14ac:dyDescent="0.2">
      <c r="A695" s="18"/>
      <c r="B695" s="77"/>
      <c r="C695" s="77"/>
      <c r="D695" s="78"/>
      <c r="E695" s="77"/>
      <c r="F695" s="77"/>
      <c r="G695" s="77"/>
      <c r="H695" s="77"/>
      <c r="I695" s="77"/>
      <c r="J695" s="77"/>
      <c r="K695" s="79"/>
      <c r="L695" s="49">
        <f t="shared" si="56"/>
        <v>0</v>
      </c>
      <c r="M695" s="50">
        <f t="shared" si="57"/>
        <v>0</v>
      </c>
    </row>
    <row r="696" spans="1:13" x14ac:dyDescent="0.2">
      <c r="A696" s="18"/>
      <c r="B696" s="77"/>
      <c r="C696" s="77"/>
      <c r="D696" s="78"/>
      <c r="E696" s="77"/>
      <c r="F696" s="77"/>
      <c r="G696" s="77"/>
      <c r="H696" s="77"/>
      <c r="I696" s="77"/>
      <c r="J696" s="77"/>
      <c r="K696" s="79"/>
      <c r="L696" s="49">
        <f t="shared" si="56"/>
        <v>0</v>
      </c>
      <c r="M696" s="50">
        <f t="shared" si="57"/>
        <v>0</v>
      </c>
    </row>
    <row r="697" spans="1:13" x14ac:dyDescent="0.2">
      <c r="A697" s="18"/>
      <c r="B697" s="77"/>
      <c r="C697" s="77"/>
      <c r="D697" s="78"/>
      <c r="E697" s="77"/>
      <c r="F697" s="77"/>
      <c r="G697" s="77"/>
      <c r="H697" s="77"/>
      <c r="I697" s="77"/>
      <c r="J697" s="77"/>
      <c r="K697" s="79"/>
      <c r="L697" s="49">
        <f t="shared" si="56"/>
        <v>0</v>
      </c>
      <c r="M697" s="50">
        <f t="shared" si="57"/>
        <v>0</v>
      </c>
    </row>
    <row r="698" spans="1:13" x14ac:dyDescent="0.2">
      <c r="A698" s="18"/>
      <c r="B698" s="77"/>
      <c r="C698" s="77"/>
      <c r="D698" s="78"/>
      <c r="E698" s="77"/>
      <c r="F698" s="77"/>
      <c r="G698" s="77"/>
      <c r="H698" s="77"/>
      <c r="I698" s="77"/>
      <c r="J698" s="77"/>
      <c r="K698" s="79"/>
      <c r="L698" s="49">
        <f t="shared" si="56"/>
        <v>0</v>
      </c>
      <c r="M698" s="50">
        <f t="shared" si="57"/>
        <v>0</v>
      </c>
    </row>
    <row r="699" spans="1:13" x14ac:dyDescent="0.2">
      <c r="A699" s="18"/>
      <c r="B699" s="77"/>
      <c r="C699" s="77"/>
      <c r="D699" s="78"/>
      <c r="E699" s="77"/>
      <c r="F699" s="77"/>
      <c r="G699" s="77"/>
      <c r="H699" s="77"/>
      <c r="I699" s="77"/>
      <c r="J699" s="77"/>
      <c r="K699" s="79"/>
      <c r="L699" s="49">
        <f t="shared" si="56"/>
        <v>0</v>
      </c>
      <c r="M699" s="50">
        <f t="shared" si="57"/>
        <v>0</v>
      </c>
    </row>
    <row r="700" spans="1:13" x14ac:dyDescent="0.2">
      <c r="A700" s="18"/>
      <c r="B700" s="77"/>
      <c r="C700" s="77"/>
      <c r="D700" s="78"/>
      <c r="E700" s="77"/>
      <c r="F700" s="77"/>
      <c r="G700" s="77"/>
      <c r="H700" s="77"/>
      <c r="I700" s="77"/>
      <c r="J700" s="77"/>
      <c r="K700" s="79"/>
      <c r="L700" s="49">
        <f t="shared" si="56"/>
        <v>0</v>
      </c>
      <c r="M700" s="50">
        <f t="shared" si="57"/>
        <v>0</v>
      </c>
    </row>
    <row r="701" spans="1:13" x14ac:dyDescent="0.2">
      <c r="A701" s="18"/>
      <c r="B701" s="77"/>
      <c r="C701" s="77"/>
      <c r="D701" s="78"/>
      <c r="E701" s="77"/>
      <c r="F701" s="77"/>
      <c r="G701" s="77"/>
      <c r="H701" s="77"/>
      <c r="I701" s="77"/>
      <c r="J701" s="77"/>
      <c r="K701" s="79"/>
      <c r="L701" s="49">
        <f t="shared" si="56"/>
        <v>0</v>
      </c>
      <c r="M701" s="50">
        <f t="shared" si="57"/>
        <v>0</v>
      </c>
    </row>
    <row r="702" spans="1:13" x14ac:dyDescent="0.2">
      <c r="A702" s="18"/>
      <c r="B702" s="77"/>
      <c r="C702" s="77"/>
      <c r="D702" s="78"/>
      <c r="E702" s="77"/>
      <c r="F702" s="77"/>
      <c r="G702" s="77"/>
      <c r="H702" s="77"/>
      <c r="I702" s="77"/>
      <c r="J702" s="77"/>
      <c r="K702" s="79"/>
      <c r="L702" s="49">
        <f t="shared" si="56"/>
        <v>0</v>
      </c>
      <c r="M702" s="50">
        <f t="shared" si="57"/>
        <v>0</v>
      </c>
    </row>
    <row r="703" spans="1:13" x14ac:dyDescent="0.2">
      <c r="A703" s="18"/>
      <c r="B703" s="77"/>
      <c r="C703" s="77"/>
      <c r="D703" s="78"/>
      <c r="E703" s="77"/>
      <c r="F703" s="77"/>
      <c r="G703" s="77"/>
      <c r="H703" s="77"/>
      <c r="I703" s="77"/>
      <c r="J703" s="77"/>
      <c r="K703" s="79"/>
      <c r="L703" s="49">
        <f t="shared" si="56"/>
        <v>0</v>
      </c>
      <c r="M703" s="50">
        <f t="shared" si="57"/>
        <v>0</v>
      </c>
    </row>
    <row r="704" spans="1:13" x14ac:dyDescent="0.2">
      <c r="A704" s="18"/>
      <c r="B704" s="77"/>
      <c r="C704" s="77"/>
      <c r="D704" s="78"/>
      <c r="E704" s="77"/>
      <c r="F704" s="77"/>
      <c r="G704" s="77"/>
      <c r="H704" s="77"/>
      <c r="I704" s="77"/>
      <c r="J704" s="77"/>
      <c r="K704" s="79"/>
      <c r="L704" s="49">
        <f t="shared" si="56"/>
        <v>0</v>
      </c>
      <c r="M704" s="50">
        <f t="shared" si="57"/>
        <v>0</v>
      </c>
    </row>
    <row r="705" spans="1:13" x14ac:dyDescent="0.2">
      <c r="A705" s="18"/>
      <c r="B705" s="77"/>
      <c r="C705" s="77"/>
      <c r="D705" s="78"/>
      <c r="E705" s="77"/>
      <c r="F705" s="77"/>
      <c r="G705" s="77"/>
      <c r="H705" s="77"/>
      <c r="I705" s="77"/>
      <c r="J705" s="77"/>
      <c r="K705" s="79"/>
      <c r="L705" s="49">
        <f t="shared" si="56"/>
        <v>0</v>
      </c>
      <c r="M705" s="50">
        <f t="shared" si="57"/>
        <v>0</v>
      </c>
    </row>
    <row r="706" spans="1:13" x14ac:dyDescent="0.2">
      <c r="A706" s="18"/>
      <c r="B706" s="77"/>
      <c r="C706" s="77"/>
      <c r="D706" s="78"/>
      <c r="E706" s="77"/>
      <c r="F706" s="77"/>
      <c r="G706" s="77"/>
      <c r="H706" s="77"/>
      <c r="I706" s="77"/>
      <c r="J706" s="77"/>
      <c r="K706" s="79"/>
      <c r="L706" s="49">
        <f t="shared" si="56"/>
        <v>0</v>
      </c>
      <c r="M706" s="50">
        <f t="shared" si="57"/>
        <v>0</v>
      </c>
    </row>
    <row r="707" spans="1:13" x14ac:dyDescent="0.2">
      <c r="A707" s="18"/>
      <c r="B707" s="77"/>
      <c r="C707" s="77"/>
      <c r="D707" s="78"/>
      <c r="E707" s="77"/>
      <c r="F707" s="77"/>
      <c r="G707" s="77"/>
      <c r="H707" s="77"/>
      <c r="I707" s="77"/>
      <c r="J707" s="77"/>
      <c r="K707" s="79"/>
      <c r="L707" s="49">
        <f t="shared" si="56"/>
        <v>0</v>
      </c>
      <c r="M707" s="50">
        <f t="shared" si="57"/>
        <v>0</v>
      </c>
    </row>
    <row r="708" spans="1:13" x14ac:dyDescent="0.2">
      <c r="A708" s="18"/>
      <c r="B708" s="77"/>
      <c r="C708" s="77"/>
      <c r="D708" s="78"/>
      <c r="E708" s="77"/>
      <c r="F708" s="77"/>
      <c r="G708" s="77"/>
      <c r="H708" s="77"/>
      <c r="I708" s="77"/>
      <c r="J708" s="77"/>
      <c r="K708" s="79"/>
      <c r="L708" s="49">
        <f t="shared" si="56"/>
        <v>0</v>
      </c>
      <c r="M708" s="50">
        <f t="shared" si="57"/>
        <v>0</v>
      </c>
    </row>
    <row r="709" spans="1:13" x14ac:dyDescent="0.2">
      <c r="A709" s="18"/>
      <c r="B709" s="77"/>
      <c r="C709" s="77"/>
      <c r="D709" s="78"/>
      <c r="E709" s="77"/>
      <c r="F709" s="77"/>
      <c r="G709" s="77"/>
      <c r="H709" s="77"/>
      <c r="I709" s="77"/>
      <c r="J709" s="77"/>
      <c r="K709" s="79"/>
      <c r="L709" s="49">
        <f t="shared" si="56"/>
        <v>0</v>
      </c>
      <c r="M709" s="50">
        <f t="shared" si="57"/>
        <v>0</v>
      </c>
    </row>
    <row r="710" spans="1:13" x14ac:dyDescent="0.2">
      <c r="A710" s="18"/>
      <c r="B710" s="77"/>
      <c r="C710" s="77"/>
      <c r="D710" s="78"/>
      <c r="E710" s="77"/>
      <c r="F710" s="77"/>
      <c r="G710" s="77"/>
      <c r="H710" s="77"/>
      <c r="I710" s="77"/>
      <c r="J710" s="77"/>
      <c r="K710" s="79"/>
      <c r="L710" s="49">
        <f t="shared" si="56"/>
        <v>0</v>
      </c>
      <c r="M710" s="50">
        <f t="shared" si="57"/>
        <v>0</v>
      </c>
    </row>
    <row r="711" spans="1:13" x14ac:dyDescent="0.2">
      <c r="A711" s="18"/>
      <c r="B711" s="77"/>
      <c r="C711" s="77"/>
      <c r="D711" s="78"/>
      <c r="E711" s="77"/>
      <c r="F711" s="77"/>
      <c r="G711" s="77"/>
      <c r="H711" s="77"/>
      <c r="I711" s="77"/>
      <c r="J711" s="77"/>
      <c r="K711" s="79"/>
      <c r="L711" s="49">
        <f t="shared" si="56"/>
        <v>0</v>
      </c>
      <c r="M711" s="50">
        <f t="shared" si="57"/>
        <v>0</v>
      </c>
    </row>
    <row r="712" spans="1:13" x14ac:dyDescent="0.2">
      <c r="A712" s="18"/>
      <c r="B712" s="77"/>
      <c r="C712" s="77"/>
      <c r="D712" s="78"/>
      <c r="E712" s="77"/>
      <c r="F712" s="77"/>
      <c r="G712" s="77"/>
      <c r="H712" s="77"/>
      <c r="I712" s="77"/>
      <c r="J712" s="77"/>
      <c r="K712" s="79"/>
      <c r="L712" s="49">
        <f t="shared" si="56"/>
        <v>0</v>
      </c>
      <c r="M712" s="50">
        <f t="shared" si="57"/>
        <v>0</v>
      </c>
    </row>
    <row r="713" spans="1:13" x14ac:dyDescent="0.2">
      <c r="A713" s="18"/>
      <c r="B713" s="77"/>
      <c r="C713" s="77"/>
      <c r="D713" s="78"/>
      <c r="E713" s="77"/>
      <c r="F713" s="77"/>
      <c r="G713" s="77"/>
      <c r="H713" s="77"/>
      <c r="I713" s="77"/>
      <c r="J713" s="77"/>
      <c r="K713" s="79"/>
      <c r="L713" s="49">
        <f t="shared" si="56"/>
        <v>0</v>
      </c>
      <c r="M713" s="50">
        <f t="shared" si="57"/>
        <v>0</v>
      </c>
    </row>
    <row r="714" spans="1:13" x14ac:dyDescent="0.2">
      <c r="A714" s="18"/>
      <c r="B714" s="77"/>
      <c r="C714" s="77"/>
      <c r="D714" s="78"/>
      <c r="E714" s="77"/>
      <c r="F714" s="77"/>
      <c r="G714" s="77"/>
      <c r="H714" s="77"/>
      <c r="I714" s="77"/>
      <c r="J714" s="77"/>
      <c r="K714" s="79"/>
      <c r="L714" s="49">
        <f t="shared" si="56"/>
        <v>0</v>
      </c>
      <c r="M714" s="50">
        <f t="shared" si="57"/>
        <v>0</v>
      </c>
    </row>
    <row r="715" spans="1:13" x14ac:dyDescent="0.2">
      <c r="A715" s="18"/>
      <c r="B715" s="77"/>
      <c r="C715" s="77"/>
      <c r="D715" s="78"/>
      <c r="E715" s="77"/>
      <c r="F715" s="77"/>
      <c r="G715" s="77"/>
      <c r="H715" s="77"/>
      <c r="I715" s="77"/>
      <c r="J715" s="77"/>
      <c r="K715" s="79"/>
      <c r="L715" s="49">
        <f t="shared" si="56"/>
        <v>0</v>
      </c>
      <c r="M715" s="50">
        <f t="shared" si="57"/>
        <v>0</v>
      </c>
    </row>
    <row r="716" spans="1:13" x14ac:dyDescent="0.2">
      <c r="A716" s="18"/>
      <c r="B716" s="77"/>
      <c r="C716" s="77"/>
      <c r="D716" s="78"/>
      <c r="E716" s="77"/>
      <c r="F716" s="77"/>
      <c r="G716" s="77"/>
      <c r="H716" s="77"/>
      <c r="I716" s="77"/>
      <c r="J716" s="77"/>
      <c r="K716" s="79"/>
      <c r="L716" s="49">
        <f t="shared" si="56"/>
        <v>0</v>
      </c>
      <c r="M716" s="50">
        <f t="shared" si="57"/>
        <v>0</v>
      </c>
    </row>
    <row r="717" spans="1:13" x14ac:dyDescent="0.2">
      <c r="A717" s="18"/>
      <c r="B717" s="77"/>
      <c r="C717" s="77"/>
      <c r="D717" s="78"/>
      <c r="E717" s="77"/>
      <c r="F717" s="77"/>
      <c r="G717" s="77"/>
      <c r="H717" s="77"/>
      <c r="I717" s="77"/>
      <c r="J717" s="77"/>
      <c r="K717" s="79"/>
      <c r="L717" s="49">
        <f t="shared" si="56"/>
        <v>0</v>
      </c>
      <c r="M717" s="50">
        <f t="shared" si="57"/>
        <v>0</v>
      </c>
    </row>
    <row r="718" spans="1:13" x14ac:dyDescent="0.2">
      <c r="A718" s="18"/>
      <c r="B718" s="77"/>
      <c r="C718" s="77"/>
      <c r="D718" s="78"/>
      <c r="E718" s="77"/>
      <c r="F718" s="77"/>
      <c r="G718" s="77"/>
      <c r="H718" s="77"/>
      <c r="I718" s="77"/>
      <c r="J718" s="77"/>
      <c r="K718" s="79"/>
      <c r="L718" s="49">
        <f t="shared" si="56"/>
        <v>0</v>
      </c>
      <c r="M718" s="50">
        <f t="shared" si="57"/>
        <v>0</v>
      </c>
    </row>
    <row r="719" spans="1:13" x14ac:dyDescent="0.2">
      <c r="A719" s="18"/>
      <c r="B719" s="77"/>
      <c r="C719" s="77"/>
      <c r="D719" s="78"/>
      <c r="E719" s="77"/>
      <c r="F719" s="77"/>
      <c r="G719" s="77"/>
      <c r="H719" s="77"/>
      <c r="I719" s="77"/>
      <c r="J719" s="77"/>
      <c r="K719" s="79"/>
      <c r="L719" s="49">
        <f t="shared" si="56"/>
        <v>0</v>
      </c>
      <c r="M719" s="50">
        <f t="shared" si="57"/>
        <v>0</v>
      </c>
    </row>
    <row r="720" spans="1:13" x14ac:dyDescent="0.2">
      <c r="A720" s="18"/>
      <c r="B720" s="77"/>
      <c r="C720" s="77"/>
      <c r="D720" s="78"/>
      <c r="E720" s="77"/>
      <c r="F720" s="77"/>
      <c r="G720" s="77"/>
      <c r="H720" s="77"/>
      <c r="I720" s="77"/>
      <c r="J720" s="77"/>
      <c r="K720" s="79"/>
      <c r="L720" s="49">
        <f t="shared" si="56"/>
        <v>0</v>
      </c>
      <c r="M720" s="50">
        <f t="shared" si="57"/>
        <v>0</v>
      </c>
    </row>
    <row r="721" spans="1:13" x14ac:dyDescent="0.2">
      <c r="A721" s="18"/>
      <c r="B721" s="77"/>
      <c r="C721" s="77"/>
      <c r="D721" s="78"/>
      <c r="E721" s="77"/>
      <c r="F721" s="77"/>
      <c r="G721" s="77"/>
      <c r="H721" s="77"/>
      <c r="I721" s="77"/>
      <c r="J721" s="77"/>
      <c r="K721" s="79"/>
      <c r="L721" s="49">
        <f t="shared" si="56"/>
        <v>0</v>
      </c>
      <c r="M721" s="50">
        <f t="shared" si="57"/>
        <v>0</v>
      </c>
    </row>
    <row r="722" spans="1:13" x14ac:dyDescent="0.2">
      <c r="A722" s="18"/>
      <c r="B722" s="77"/>
      <c r="C722" s="77"/>
      <c r="D722" s="78"/>
      <c r="E722" s="77"/>
      <c r="F722" s="77"/>
      <c r="G722" s="77"/>
      <c r="H722" s="77"/>
      <c r="I722" s="77"/>
      <c r="J722" s="77"/>
      <c r="K722" s="79"/>
      <c r="L722" s="49">
        <f t="shared" si="56"/>
        <v>0</v>
      </c>
      <c r="M722" s="50">
        <f t="shared" si="57"/>
        <v>0</v>
      </c>
    </row>
    <row r="723" spans="1:13" x14ac:dyDescent="0.2">
      <c r="A723" s="18"/>
      <c r="B723" s="77"/>
      <c r="C723" s="77"/>
      <c r="D723" s="78"/>
      <c r="E723" s="77"/>
      <c r="F723" s="77"/>
      <c r="G723" s="77"/>
      <c r="H723" s="77"/>
      <c r="I723" s="77"/>
      <c r="J723" s="77"/>
      <c r="K723" s="79"/>
      <c r="L723" s="49">
        <f t="shared" si="56"/>
        <v>0</v>
      </c>
      <c r="M723" s="50">
        <f t="shared" si="57"/>
        <v>0</v>
      </c>
    </row>
    <row r="724" spans="1:13" x14ac:dyDescent="0.2">
      <c r="A724" s="18"/>
      <c r="B724" s="77"/>
      <c r="C724" s="77"/>
      <c r="D724" s="78"/>
      <c r="E724" s="77"/>
      <c r="F724" s="77"/>
      <c r="G724" s="77"/>
      <c r="H724" s="77"/>
      <c r="I724" s="77"/>
      <c r="J724" s="77"/>
      <c r="K724" s="79"/>
      <c r="L724" s="49">
        <f t="shared" si="56"/>
        <v>0</v>
      </c>
      <c r="M724" s="50">
        <f t="shared" si="57"/>
        <v>0</v>
      </c>
    </row>
    <row r="725" spans="1:13" x14ac:dyDescent="0.2">
      <c r="A725" s="18"/>
      <c r="B725" s="77"/>
      <c r="C725" s="77"/>
      <c r="D725" s="78"/>
      <c r="E725" s="77"/>
      <c r="F725" s="77"/>
      <c r="G725" s="77"/>
      <c r="H725" s="77"/>
      <c r="I725" s="77"/>
      <c r="J725" s="77"/>
      <c r="K725" s="79"/>
      <c r="L725" s="49">
        <f t="shared" si="56"/>
        <v>0</v>
      </c>
      <c r="M725" s="50">
        <f t="shared" si="57"/>
        <v>0</v>
      </c>
    </row>
    <row r="726" spans="1:13" x14ac:dyDescent="0.2">
      <c r="A726" s="18"/>
      <c r="B726" s="77"/>
      <c r="C726" s="77"/>
      <c r="D726" s="78"/>
      <c r="E726" s="77"/>
      <c r="F726" s="77"/>
      <c r="G726" s="77"/>
      <c r="H726" s="77"/>
      <c r="I726" s="77"/>
      <c r="J726" s="77"/>
      <c r="K726" s="79"/>
      <c r="L726" s="49">
        <f t="shared" si="56"/>
        <v>0</v>
      </c>
      <c r="M726" s="50">
        <f t="shared" si="57"/>
        <v>0</v>
      </c>
    </row>
    <row r="727" spans="1:13" x14ac:dyDescent="0.2">
      <c r="A727" s="18"/>
      <c r="B727" s="77"/>
      <c r="C727" s="77"/>
      <c r="D727" s="78"/>
      <c r="E727" s="77"/>
      <c r="F727" s="77"/>
      <c r="G727" s="77"/>
      <c r="H727" s="77"/>
      <c r="I727" s="77"/>
      <c r="J727" s="77"/>
      <c r="K727" s="79"/>
      <c r="L727" s="49">
        <f t="shared" si="56"/>
        <v>0</v>
      </c>
      <c r="M727" s="50">
        <f t="shared" si="57"/>
        <v>0</v>
      </c>
    </row>
    <row r="728" spans="1:13" x14ac:dyDescent="0.2">
      <c r="A728" s="18"/>
      <c r="B728" s="77"/>
      <c r="C728" s="77"/>
      <c r="D728" s="78"/>
      <c r="E728" s="77"/>
      <c r="F728" s="77"/>
      <c r="G728" s="77"/>
      <c r="H728" s="77"/>
      <c r="I728" s="77"/>
      <c r="J728" s="77"/>
      <c r="K728" s="79"/>
      <c r="L728" s="49">
        <f t="shared" si="56"/>
        <v>0</v>
      </c>
      <c r="M728" s="50">
        <f t="shared" si="57"/>
        <v>0</v>
      </c>
    </row>
    <row r="729" spans="1:13" x14ac:dyDescent="0.2">
      <c r="A729" s="18"/>
      <c r="B729" s="77"/>
      <c r="C729" s="77"/>
      <c r="D729" s="78"/>
      <c r="E729" s="77"/>
      <c r="F729" s="77"/>
      <c r="G729" s="77"/>
      <c r="H729" s="77"/>
      <c r="I729" s="77"/>
      <c r="J729" s="77"/>
      <c r="K729" s="79"/>
      <c r="L729" s="49">
        <f t="shared" si="56"/>
        <v>0</v>
      </c>
      <c r="M729" s="50">
        <f t="shared" si="57"/>
        <v>0</v>
      </c>
    </row>
    <row r="730" spans="1:13" x14ac:dyDescent="0.2">
      <c r="A730" s="18"/>
      <c r="B730" s="77"/>
      <c r="C730" s="77"/>
      <c r="D730" s="78"/>
      <c r="E730" s="77"/>
      <c r="F730" s="77"/>
      <c r="G730" s="77"/>
      <c r="H730" s="77"/>
      <c r="I730" s="77"/>
      <c r="J730" s="77"/>
      <c r="K730" s="79"/>
      <c r="L730" s="49">
        <f t="shared" si="56"/>
        <v>0</v>
      </c>
      <c r="M730" s="50">
        <f t="shared" si="57"/>
        <v>0</v>
      </c>
    </row>
    <row r="731" spans="1:13" x14ac:dyDescent="0.2">
      <c r="A731" s="18"/>
      <c r="B731" s="77"/>
      <c r="C731" s="77"/>
      <c r="D731" s="78"/>
      <c r="E731" s="77"/>
      <c r="F731" s="77"/>
      <c r="G731" s="77"/>
      <c r="H731" s="77"/>
      <c r="I731" s="77"/>
      <c r="J731" s="77"/>
      <c r="K731" s="79"/>
      <c r="L731" s="49">
        <f t="shared" si="56"/>
        <v>0</v>
      </c>
      <c r="M731" s="50">
        <f t="shared" si="57"/>
        <v>0</v>
      </c>
    </row>
    <row r="732" spans="1:13" x14ac:dyDescent="0.2">
      <c r="A732" s="18"/>
      <c r="B732" s="77"/>
      <c r="C732" s="77"/>
      <c r="D732" s="78"/>
      <c r="E732" s="77"/>
      <c r="F732" s="77"/>
      <c r="G732" s="77"/>
      <c r="H732" s="77"/>
      <c r="I732" s="77"/>
      <c r="J732" s="77"/>
      <c r="K732" s="79"/>
      <c r="L732" s="49">
        <f t="shared" si="56"/>
        <v>0</v>
      </c>
      <c r="M732" s="50">
        <f t="shared" si="57"/>
        <v>0</v>
      </c>
    </row>
    <row r="733" spans="1:13" x14ac:dyDescent="0.2">
      <c r="A733" s="18"/>
      <c r="B733" s="77"/>
      <c r="C733" s="77"/>
      <c r="D733" s="78"/>
      <c r="E733" s="77"/>
      <c r="F733" s="77"/>
      <c r="G733" s="77"/>
      <c r="H733" s="77"/>
      <c r="I733" s="77"/>
      <c r="J733" s="77"/>
      <c r="K733" s="79"/>
      <c r="L733" s="49">
        <f t="shared" si="56"/>
        <v>0</v>
      </c>
      <c r="M733" s="50">
        <f t="shared" si="57"/>
        <v>0</v>
      </c>
    </row>
    <row r="734" spans="1:13" x14ac:dyDescent="0.2">
      <c r="A734" s="18"/>
      <c r="B734" s="77"/>
      <c r="C734" s="77"/>
      <c r="D734" s="78"/>
      <c r="E734" s="77"/>
      <c r="F734" s="77"/>
      <c r="G734" s="77"/>
      <c r="H734" s="77"/>
      <c r="I734" s="77"/>
      <c r="J734" s="77"/>
      <c r="K734" s="79"/>
      <c r="L734" s="49">
        <f t="shared" si="56"/>
        <v>0</v>
      </c>
      <c r="M734" s="50">
        <f t="shared" si="57"/>
        <v>0</v>
      </c>
    </row>
    <row r="735" spans="1:13" x14ac:dyDescent="0.2">
      <c r="A735" s="18"/>
      <c r="B735" s="77"/>
      <c r="C735" s="77"/>
      <c r="D735" s="78"/>
      <c r="E735" s="77"/>
      <c r="F735" s="77"/>
      <c r="G735" s="77"/>
      <c r="H735" s="77"/>
      <c r="I735" s="77"/>
      <c r="J735" s="77"/>
      <c r="K735" s="79"/>
      <c r="L735" s="49">
        <f t="shared" si="56"/>
        <v>0</v>
      </c>
      <c r="M735" s="50">
        <f t="shared" si="57"/>
        <v>0</v>
      </c>
    </row>
    <row r="736" spans="1:13" x14ac:dyDescent="0.2">
      <c r="A736" s="18"/>
      <c r="B736" s="77"/>
      <c r="C736" s="77"/>
      <c r="D736" s="78"/>
      <c r="E736" s="77"/>
      <c r="F736" s="77"/>
      <c r="G736" s="77"/>
      <c r="H736" s="77"/>
      <c r="I736" s="77"/>
      <c r="J736" s="77"/>
      <c r="K736" s="79"/>
      <c r="L736" s="49">
        <f t="shared" ref="L736:L768" si="58">+K736*18%</f>
        <v>0</v>
      </c>
      <c r="M736" s="50">
        <f t="shared" ref="M736:M768" si="59">+K736+L736</f>
        <v>0</v>
      </c>
    </row>
    <row r="737" spans="1:13" x14ac:dyDescent="0.2">
      <c r="A737" s="18"/>
      <c r="B737" s="77"/>
      <c r="C737" s="77"/>
      <c r="D737" s="78"/>
      <c r="E737" s="77"/>
      <c r="F737" s="77"/>
      <c r="G737" s="77"/>
      <c r="H737" s="77"/>
      <c r="I737" s="77"/>
      <c r="J737" s="77"/>
      <c r="K737" s="79"/>
      <c r="L737" s="49">
        <f t="shared" si="58"/>
        <v>0</v>
      </c>
      <c r="M737" s="50">
        <f t="shared" si="59"/>
        <v>0</v>
      </c>
    </row>
    <row r="738" spans="1:13" x14ac:dyDescent="0.2">
      <c r="A738" s="18"/>
      <c r="B738" s="77"/>
      <c r="C738" s="77"/>
      <c r="D738" s="78"/>
      <c r="E738" s="77"/>
      <c r="F738" s="77"/>
      <c r="G738" s="77"/>
      <c r="H738" s="77"/>
      <c r="I738" s="77"/>
      <c r="J738" s="77"/>
      <c r="K738" s="79"/>
      <c r="L738" s="49">
        <f t="shared" si="58"/>
        <v>0</v>
      </c>
      <c r="M738" s="50">
        <f t="shared" si="59"/>
        <v>0</v>
      </c>
    </row>
    <row r="739" spans="1:13" x14ac:dyDescent="0.2">
      <c r="A739" s="18"/>
      <c r="B739" s="77"/>
      <c r="C739" s="77"/>
      <c r="D739" s="78"/>
      <c r="E739" s="77"/>
      <c r="F739" s="77"/>
      <c r="G739" s="77"/>
      <c r="H739" s="77"/>
      <c r="I739" s="77"/>
      <c r="J739" s="77"/>
      <c r="K739" s="79"/>
      <c r="L739" s="49">
        <f t="shared" si="58"/>
        <v>0</v>
      </c>
      <c r="M739" s="50">
        <f t="shared" si="59"/>
        <v>0</v>
      </c>
    </row>
    <row r="740" spans="1:13" x14ac:dyDescent="0.2">
      <c r="A740" s="18"/>
      <c r="B740" s="77"/>
      <c r="C740" s="77"/>
      <c r="D740" s="78"/>
      <c r="E740" s="77"/>
      <c r="F740" s="77"/>
      <c r="G740" s="77"/>
      <c r="H740" s="77"/>
      <c r="I740" s="77"/>
      <c r="J740" s="77"/>
      <c r="K740" s="79"/>
      <c r="L740" s="49">
        <f t="shared" si="58"/>
        <v>0</v>
      </c>
      <c r="M740" s="50">
        <f t="shared" si="59"/>
        <v>0</v>
      </c>
    </row>
    <row r="741" spans="1:13" x14ac:dyDescent="0.2">
      <c r="A741" s="18"/>
      <c r="B741" s="77"/>
      <c r="C741" s="77"/>
      <c r="D741" s="78"/>
      <c r="E741" s="77"/>
      <c r="F741" s="77"/>
      <c r="G741" s="77"/>
      <c r="H741" s="77"/>
      <c r="I741" s="77"/>
      <c r="J741" s="77"/>
      <c r="K741" s="79"/>
      <c r="L741" s="49">
        <f t="shared" si="58"/>
        <v>0</v>
      </c>
      <c r="M741" s="50">
        <f t="shared" si="59"/>
        <v>0</v>
      </c>
    </row>
    <row r="742" spans="1:13" x14ac:dyDescent="0.2">
      <c r="A742" s="18"/>
      <c r="B742" s="77"/>
      <c r="C742" s="77"/>
      <c r="D742" s="78"/>
      <c r="E742" s="77"/>
      <c r="F742" s="77"/>
      <c r="G742" s="77"/>
      <c r="H742" s="77"/>
      <c r="I742" s="77"/>
      <c r="J742" s="77"/>
      <c r="K742" s="79"/>
      <c r="L742" s="49">
        <f t="shared" si="58"/>
        <v>0</v>
      </c>
      <c r="M742" s="50">
        <f t="shared" si="59"/>
        <v>0</v>
      </c>
    </row>
    <row r="743" spans="1:13" x14ac:dyDescent="0.2">
      <c r="A743" s="18"/>
      <c r="B743" s="77"/>
      <c r="C743" s="77"/>
      <c r="D743" s="78"/>
      <c r="E743" s="77"/>
      <c r="F743" s="77"/>
      <c r="G743" s="77"/>
      <c r="H743" s="77"/>
      <c r="I743" s="77"/>
      <c r="J743" s="77"/>
      <c r="K743" s="79"/>
      <c r="L743" s="49">
        <f t="shared" si="58"/>
        <v>0</v>
      </c>
      <c r="M743" s="50">
        <f t="shared" si="59"/>
        <v>0</v>
      </c>
    </row>
    <row r="744" spans="1:13" x14ac:dyDescent="0.2">
      <c r="A744" s="18"/>
      <c r="B744" s="77"/>
      <c r="C744" s="77"/>
      <c r="D744" s="78"/>
      <c r="E744" s="77"/>
      <c r="F744" s="77"/>
      <c r="G744" s="77"/>
      <c r="H744" s="77"/>
      <c r="I744" s="77"/>
      <c r="J744" s="77"/>
      <c r="K744" s="79"/>
      <c r="L744" s="49">
        <f t="shared" si="58"/>
        <v>0</v>
      </c>
      <c r="M744" s="50">
        <f t="shared" si="59"/>
        <v>0</v>
      </c>
    </row>
    <row r="745" spans="1:13" x14ac:dyDescent="0.2">
      <c r="A745" s="18"/>
      <c r="B745" s="77"/>
      <c r="C745" s="77"/>
      <c r="D745" s="78"/>
      <c r="E745" s="77"/>
      <c r="F745" s="77"/>
      <c r="G745" s="77"/>
      <c r="H745" s="77"/>
      <c r="I745" s="77"/>
      <c r="J745" s="77"/>
      <c r="K745" s="79"/>
      <c r="L745" s="49">
        <f t="shared" si="58"/>
        <v>0</v>
      </c>
      <c r="M745" s="50">
        <f t="shared" si="59"/>
        <v>0</v>
      </c>
    </row>
    <row r="746" spans="1:13" x14ac:dyDescent="0.2">
      <c r="A746" s="18"/>
      <c r="B746" s="77"/>
      <c r="C746" s="77"/>
      <c r="D746" s="78"/>
      <c r="E746" s="77"/>
      <c r="F746" s="77"/>
      <c r="G746" s="77"/>
      <c r="H746" s="77"/>
      <c r="I746" s="77"/>
      <c r="J746" s="77"/>
      <c r="K746" s="79"/>
      <c r="L746" s="49">
        <f t="shared" si="58"/>
        <v>0</v>
      </c>
      <c r="M746" s="50">
        <f t="shared" si="59"/>
        <v>0</v>
      </c>
    </row>
    <row r="747" spans="1:13" x14ac:dyDescent="0.2">
      <c r="A747" s="18"/>
      <c r="B747" s="77"/>
      <c r="C747" s="77"/>
      <c r="D747" s="78"/>
      <c r="E747" s="77"/>
      <c r="F747" s="77"/>
      <c r="G747" s="77"/>
      <c r="H747" s="77"/>
      <c r="I747" s="77"/>
      <c r="J747" s="77"/>
      <c r="K747" s="79"/>
      <c r="L747" s="49">
        <f t="shared" si="58"/>
        <v>0</v>
      </c>
      <c r="M747" s="50">
        <f t="shared" si="59"/>
        <v>0</v>
      </c>
    </row>
    <row r="748" spans="1:13" x14ac:dyDescent="0.2">
      <c r="A748" s="18"/>
      <c r="B748" s="77"/>
      <c r="C748" s="77"/>
      <c r="D748" s="78"/>
      <c r="E748" s="77"/>
      <c r="F748" s="77"/>
      <c r="G748" s="77"/>
      <c r="H748" s="77"/>
      <c r="I748" s="77"/>
      <c r="J748" s="77"/>
      <c r="K748" s="79"/>
      <c r="L748" s="49">
        <f t="shared" si="58"/>
        <v>0</v>
      </c>
      <c r="M748" s="50">
        <f t="shared" si="59"/>
        <v>0</v>
      </c>
    </row>
    <row r="749" spans="1:13" x14ac:dyDescent="0.2">
      <c r="A749" s="18"/>
      <c r="B749" s="77"/>
      <c r="C749" s="77"/>
      <c r="D749" s="78"/>
      <c r="E749" s="77"/>
      <c r="F749" s="77"/>
      <c r="G749" s="77"/>
      <c r="H749" s="77"/>
      <c r="I749" s="77"/>
      <c r="J749" s="77"/>
      <c r="K749" s="79"/>
      <c r="L749" s="49">
        <f t="shared" si="58"/>
        <v>0</v>
      </c>
      <c r="M749" s="50">
        <f t="shared" si="59"/>
        <v>0</v>
      </c>
    </row>
    <row r="750" spans="1:13" x14ac:dyDescent="0.2">
      <c r="A750" s="18"/>
      <c r="B750" s="77"/>
      <c r="C750" s="77"/>
      <c r="D750" s="78"/>
      <c r="E750" s="77"/>
      <c r="F750" s="77"/>
      <c r="G750" s="77"/>
      <c r="H750" s="77"/>
      <c r="I750" s="77"/>
      <c r="J750" s="77"/>
      <c r="K750" s="79"/>
      <c r="L750" s="49">
        <f t="shared" si="58"/>
        <v>0</v>
      </c>
      <c r="M750" s="50">
        <f t="shared" si="59"/>
        <v>0</v>
      </c>
    </row>
    <row r="751" spans="1:13" x14ac:dyDescent="0.2">
      <c r="A751" s="18"/>
      <c r="B751" s="77"/>
      <c r="C751" s="77"/>
      <c r="D751" s="78"/>
      <c r="E751" s="77"/>
      <c r="F751" s="77"/>
      <c r="G751" s="77"/>
      <c r="H751" s="77"/>
      <c r="I751" s="77"/>
      <c r="J751" s="77"/>
      <c r="K751" s="79"/>
      <c r="L751" s="49">
        <f t="shared" si="58"/>
        <v>0</v>
      </c>
      <c r="M751" s="50">
        <f t="shared" si="59"/>
        <v>0</v>
      </c>
    </row>
    <row r="752" spans="1:13" x14ac:dyDescent="0.2">
      <c r="A752" s="18"/>
      <c r="B752" s="77"/>
      <c r="C752" s="77"/>
      <c r="D752" s="78"/>
      <c r="E752" s="77"/>
      <c r="F752" s="77"/>
      <c r="G752" s="77"/>
      <c r="H752" s="77"/>
      <c r="I752" s="77"/>
      <c r="J752" s="77"/>
      <c r="K752" s="79"/>
      <c r="L752" s="49">
        <f t="shared" si="58"/>
        <v>0</v>
      </c>
      <c r="M752" s="50">
        <f t="shared" si="59"/>
        <v>0</v>
      </c>
    </row>
    <row r="753" spans="1:13" x14ac:dyDescent="0.2">
      <c r="A753" s="18"/>
      <c r="B753" s="77"/>
      <c r="C753" s="77"/>
      <c r="D753" s="78"/>
      <c r="E753" s="77"/>
      <c r="F753" s="77"/>
      <c r="G753" s="77"/>
      <c r="H753" s="77"/>
      <c r="I753" s="77"/>
      <c r="J753" s="77"/>
      <c r="K753" s="79"/>
      <c r="L753" s="49">
        <f t="shared" si="58"/>
        <v>0</v>
      </c>
      <c r="M753" s="50">
        <f t="shared" si="59"/>
        <v>0</v>
      </c>
    </row>
    <row r="754" spans="1:13" x14ac:dyDescent="0.2">
      <c r="A754" s="18"/>
      <c r="B754" s="77"/>
      <c r="C754" s="77"/>
      <c r="D754" s="78"/>
      <c r="E754" s="77"/>
      <c r="F754" s="77"/>
      <c r="G754" s="77"/>
      <c r="H754" s="77"/>
      <c r="I754" s="77"/>
      <c r="J754" s="77"/>
      <c r="K754" s="79"/>
      <c r="L754" s="49">
        <f t="shared" si="58"/>
        <v>0</v>
      </c>
      <c r="M754" s="50">
        <f t="shared" si="59"/>
        <v>0</v>
      </c>
    </row>
    <row r="755" spans="1:13" x14ac:dyDescent="0.2">
      <c r="A755" s="18"/>
      <c r="B755" s="77"/>
      <c r="C755" s="77"/>
      <c r="D755" s="78"/>
      <c r="E755" s="77"/>
      <c r="F755" s="77"/>
      <c r="G755" s="77"/>
      <c r="H755" s="77"/>
      <c r="I755" s="77"/>
      <c r="J755" s="77"/>
      <c r="K755" s="79"/>
      <c r="L755" s="49">
        <f t="shared" si="58"/>
        <v>0</v>
      </c>
      <c r="M755" s="50">
        <f t="shared" si="59"/>
        <v>0</v>
      </c>
    </row>
    <row r="756" spans="1:13" x14ac:dyDescent="0.2">
      <c r="A756" s="18"/>
      <c r="B756" s="77"/>
      <c r="C756" s="77"/>
      <c r="D756" s="78"/>
      <c r="E756" s="77"/>
      <c r="F756" s="77"/>
      <c r="G756" s="77"/>
      <c r="H756" s="77"/>
      <c r="I756" s="77"/>
      <c r="J756" s="77"/>
      <c r="K756" s="79"/>
      <c r="L756" s="49">
        <f t="shared" si="58"/>
        <v>0</v>
      </c>
      <c r="M756" s="50">
        <f t="shared" si="59"/>
        <v>0</v>
      </c>
    </row>
    <row r="757" spans="1:13" x14ac:dyDescent="0.2">
      <c r="A757" s="18"/>
      <c r="B757" s="77"/>
      <c r="C757" s="77"/>
      <c r="D757" s="78"/>
      <c r="E757" s="77"/>
      <c r="F757" s="77"/>
      <c r="G757" s="77"/>
      <c r="H757" s="77"/>
      <c r="I757" s="77"/>
      <c r="J757" s="77"/>
      <c r="K757" s="79"/>
      <c r="L757" s="49">
        <f t="shared" si="58"/>
        <v>0</v>
      </c>
      <c r="M757" s="50">
        <f t="shared" si="59"/>
        <v>0</v>
      </c>
    </row>
    <row r="758" spans="1:13" x14ac:dyDescent="0.2">
      <c r="A758" s="18"/>
      <c r="B758" s="77"/>
      <c r="C758" s="77"/>
      <c r="D758" s="78"/>
      <c r="E758" s="77"/>
      <c r="F758" s="77"/>
      <c r="G758" s="77"/>
      <c r="H758" s="77"/>
      <c r="I758" s="77"/>
      <c r="J758" s="77"/>
      <c r="K758" s="79"/>
      <c r="L758" s="49">
        <f t="shared" si="58"/>
        <v>0</v>
      </c>
      <c r="M758" s="50">
        <f t="shared" si="59"/>
        <v>0</v>
      </c>
    </row>
    <row r="759" spans="1:13" x14ac:dyDescent="0.2">
      <c r="A759" s="18"/>
      <c r="B759" s="77"/>
      <c r="C759" s="77"/>
      <c r="D759" s="78"/>
      <c r="E759" s="77"/>
      <c r="F759" s="77"/>
      <c r="G759" s="77"/>
      <c r="H759" s="77"/>
      <c r="I759" s="77"/>
      <c r="J759" s="77"/>
      <c r="K759" s="79"/>
      <c r="L759" s="49">
        <f t="shared" si="58"/>
        <v>0</v>
      </c>
      <c r="M759" s="50">
        <f t="shared" si="59"/>
        <v>0</v>
      </c>
    </row>
    <row r="760" spans="1:13" x14ac:dyDescent="0.2">
      <c r="A760" s="18"/>
      <c r="B760" s="77"/>
      <c r="C760" s="77"/>
      <c r="D760" s="78"/>
      <c r="E760" s="77"/>
      <c r="F760" s="77"/>
      <c r="G760" s="77"/>
      <c r="H760" s="77"/>
      <c r="I760" s="77"/>
      <c r="J760" s="77"/>
      <c r="K760" s="79"/>
      <c r="L760" s="49">
        <f t="shared" si="58"/>
        <v>0</v>
      </c>
      <c r="M760" s="50">
        <f t="shared" si="59"/>
        <v>0</v>
      </c>
    </row>
    <row r="761" spans="1:13" x14ac:dyDescent="0.2">
      <c r="A761" s="18"/>
      <c r="B761" s="77"/>
      <c r="C761" s="77"/>
      <c r="D761" s="78"/>
      <c r="E761" s="77"/>
      <c r="F761" s="77"/>
      <c r="G761" s="77"/>
      <c r="H761" s="77"/>
      <c r="I761" s="77"/>
      <c r="J761" s="77"/>
      <c r="K761" s="79"/>
      <c r="L761" s="49">
        <f t="shared" si="58"/>
        <v>0</v>
      </c>
      <c r="M761" s="50">
        <f t="shared" si="59"/>
        <v>0</v>
      </c>
    </row>
    <row r="762" spans="1:13" x14ac:dyDescent="0.2">
      <c r="A762" s="18"/>
      <c r="B762" s="77"/>
      <c r="C762" s="77"/>
      <c r="D762" s="78"/>
      <c r="E762" s="77"/>
      <c r="F762" s="77"/>
      <c r="G762" s="77"/>
      <c r="H762" s="77"/>
      <c r="I762" s="77"/>
      <c r="J762" s="77"/>
      <c r="K762" s="79"/>
      <c r="L762" s="49">
        <f t="shared" si="58"/>
        <v>0</v>
      </c>
      <c r="M762" s="50">
        <f t="shared" si="59"/>
        <v>0</v>
      </c>
    </row>
    <row r="763" spans="1:13" x14ac:dyDescent="0.2">
      <c r="A763" s="18"/>
      <c r="B763" s="77"/>
      <c r="C763" s="77"/>
      <c r="D763" s="78"/>
      <c r="E763" s="77"/>
      <c r="F763" s="77"/>
      <c r="G763" s="77"/>
      <c r="H763" s="77"/>
      <c r="I763" s="77"/>
      <c r="J763" s="77"/>
      <c r="K763" s="79"/>
      <c r="L763" s="49">
        <f t="shared" si="58"/>
        <v>0</v>
      </c>
      <c r="M763" s="50">
        <f t="shared" si="59"/>
        <v>0</v>
      </c>
    </row>
    <row r="764" spans="1:13" x14ac:dyDescent="0.2">
      <c r="A764" s="18"/>
      <c r="B764" s="77"/>
      <c r="C764" s="77"/>
      <c r="D764" s="78"/>
      <c r="E764" s="77"/>
      <c r="F764" s="77"/>
      <c r="G764" s="77"/>
      <c r="H764" s="77"/>
      <c r="I764" s="77"/>
      <c r="J764" s="77"/>
      <c r="K764" s="79"/>
      <c r="L764" s="49">
        <f t="shared" si="58"/>
        <v>0</v>
      </c>
      <c r="M764" s="50">
        <f t="shared" si="59"/>
        <v>0</v>
      </c>
    </row>
    <row r="765" spans="1:13" x14ac:dyDescent="0.2">
      <c r="A765" s="18"/>
      <c r="B765" s="77"/>
      <c r="C765" s="77"/>
      <c r="D765" s="78"/>
      <c r="E765" s="77"/>
      <c r="F765" s="77"/>
      <c r="G765" s="77"/>
      <c r="H765" s="77"/>
      <c r="I765" s="77"/>
      <c r="J765" s="77"/>
      <c r="K765" s="79"/>
      <c r="L765" s="49">
        <f t="shared" si="58"/>
        <v>0</v>
      </c>
      <c r="M765" s="50">
        <f t="shared" si="59"/>
        <v>0</v>
      </c>
    </row>
    <row r="766" spans="1:13" x14ac:dyDescent="0.2">
      <c r="A766" s="18"/>
      <c r="B766" s="77"/>
      <c r="C766" s="77"/>
      <c r="D766" s="78"/>
      <c r="E766" s="77"/>
      <c r="F766" s="77"/>
      <c r="G766" s="77"/>
      <c r="H766" s="77"/>
      <c r="I766" s="77"/>
      <c r="J766" s="77"/>
      <c r="K766" s="79"/>
      <c r="L766" s="49">
        <f t="shared" si="58"/>
        <v>0</v>
      </c>
      <c r="M766" s="50">
        <f t="shared" si="59"/>
        <v>0</v>
      </c>
    </row>
    <row r="767" spans="1:13" x14ac:dyDescent="0.2">
      <c r="A767" s="18"/>
      <c r="B767" s="77"/>
      <c r="C767" s="77"/>
      <c r="D767" s="78"/>
      <c r="E767" s="77"/>
      <c r="F767" s="77"/>
      <c r="G767" s="77"/>
      <c r="H767" s="77"/>
      <c r="I767" s="77"/>
      <c r="J767" s="77"/>
      <c r="K767" s="79"/>
      <c r="L767" s="49">
        <f t="shared" si="58"/>
        <v>0</v>
      </c>
      <c r="M767" s="50">
        <f t="shared" si="59"/>
        <v>0</v>
      </c>
    </row>
    <row r="768" spans="1:13" x14ac:dyDescent="0.2">
      <c r="A768" s="18"/>
      <c r="B768" s="77"/>
      <c r="C768" s="77"/>
      <c r="D768" s="78"/>
      <c r="E768" s="77"/>
      <c r="F768" s="77"/>
      <c r="G768" s="77"/>
      <c r="H768" s="77"/>
      <c r="I768" s="77"/>
      <c r="J768" s="77"/>
      <c r="K768" s="79"/>
      <c r="L768" s="49">
        <f t="shared" si="58"/>
        <v>0</v>
      </c>
      <c r="M768" s="50">
        <f t="shared" si="59"/>
        <v>0</v>
      </c>
    </row>
    <row r="769" spans="1:13" x14ac:dyDescent="0.2">
      <c r="A769" s="18"/>
      <c r="B769" s="77"/>
      <c r="C769" s="77"/>
      <c r="D769" s="78"/>
      <c r="E769" s="77"/>
      <c r="F769" s="77"/>
      <c r="G769" s="77"/>
      <c r="H769" s="77"/>
      <c r="I769" s="77"/>
      <c r="J769" s="77"/>
      <c r="K769" s="79"/>
      <c r="L769" s="49">
        <f t="shared" ref="L769:L787" si="60">+K769*18%</f>
        <v>0</v>
      </c>
      <c r="M769" s="50">
        <f t="shared" ref="M769:M787" si="61">+K769+L769</f>
        <v>0</v>
      </c>
    </row>
    <row r="770" spans="1:13" x14ac:dyDescent="0.2">
      <c r="A770" s="18"/>
      <c r="B770" s="77"/>
      <c r="C770" s="77"/>
      <c r="D770" s="78"/>
      <c r="E770" s="77"/>
      <c r="F770" s="77"/>
      <c r="G770" s="77"/>
      <c r="H770" s="77"/>
      <c r="I770" s="77"/>
      <c r="J770" s="77"/>
      <c r="K770" s="79"/>
      <c r="L770" s="49">
        <f t="shared" si="60"/>
        <v>0</v>
      </c>
      <c r="M770" s="50">
        <f t="shared" si="61"/>
        <v>0</v>
      </c>
    </row>
    <row r="771" spans="1:13" x14ac:dyDescent="0.2">
      <c r="A771" s="18"/>
      <c r="B771" s="77"/>
      <c r="C771" s="77"/>
      <c r="D771" s="78"/>
      <c r="E771" s="77"/>
      <c r="F771" s="77"/>
      <c r="G771" s="77"/>
      <c r="H771" s="77"/>
      <c r="I771" s="77"/>
      <c r="J771" s="77"/>
      <c r="K771" s="79"/>
      <c r="L771" s="49">
        <f t="shared" si="60"/>
        <v>0</v>
      </c>
      <c r="M771" s="50">
        <f t="shared" si="61"/>
        <v>0</v>
      </c>
    </row>
    <row r="772" spans="1:13" x14ac:dyDescent="0.2">
      <c r="A772" s="18"/>
      <c r="B772" s="77"/>
      <c r="C772" s="77"/>
      <c r="D772" s="78"/>
      <c r="E772" s="77"/>
      <c r="F772" s="77"/>
      <c r="G772" s="77"/>
      <c r="H772" s="77"/>
      <c r="I772" s="77"/>
      <c r="J772" s="77"/>
      <c r="K772" s="79"/>
      <c r="L772" s="49">
        <f t="shared" si="60"/>
        <v>0</v>
      </c>
      <c r="M772" s="50">
        <f t="shared" si="61"/>
        <v>0</v>
      </c>
    </row>
    <row r="773" spans="1:13" x14ac:dyDescent="0.2">
      <c r="A773" s="18"/>
      <c r="B773" s="77"/>
      <c r="C773" s="77"/>
      <c r="D773" s="78"/>
      <c r="E773" s="77"/>
      <c r="F773" s="77"/>
      <c r="G773" s="77"/>
      <c r="H773" s="77"/>
      <c r="I773" s="77"/>
      <c r="J773" s="77"/>
      <c r="K773" s="79"/>
      <c r="L773" s="49">
        <f t="shared" si="60"/>
        <v>0</v>
      </c>
      <c r="M773" s="50">
        <f t="shared" si="61"/>
        <v>0</v>
      </c>
    </row>
    <row r="774" spans="1:13" x14ac:dyDescent="0.2">
      <c r="A774" s="18"/>
      <c r="B774" s="77"/>
      <c r="C774" s="77"/>
      <c r="D774" s="78"/>
      <c r="E774" s="77"/>
      <c r="F774" s="77"/>
      <c r="G774" s="77"/>
      <c r="H774" s="77"/>
      <c r="I774" s="77"/>
      <c r="J774" s="77"/>
      <c r="K774" s="79"/>
      <c r="L774" s="49">
        <f t="shared" si="60"/>
        <v>0</v>
      </c>
      <c r="M774" s="50">
        <f t="shared" si="61"/>
        <v>0</v>
      </c>
    </row>
    <row r="775" spans="1:13" x14ac:dyDescent="0.2">
      <c r="A775" s="18"/>
      <c r="B775" s="77"/>
      <c r="C775" s="77"/>
      <c r="D775" s="78"/>
      <c r="E775" s="77"/>
      <c r="F775" s="77"/>
      <c r="G775" s="77"/>
      <c r="H775" s="77"/>
      <c r="I775" s="77"/>
      <c r="J775" s="77"/>
      <c r="K775" s="79"/>
      <c r="L775" s="49">
        <f t="shared" si="60"/>
        <v>0</v>
      </c>
      <c r="M775" s="50">
        <f t="shared" si="61"/>
        <v>0</v>
      </c>
    </row>
    <row r="776" spans="1:13" x14ac:dyDescent="0.2">
      <c r="A776" s="18"/>
      <c r="B776" s="77"/>
      <c r="C776" s="77"/>
      <c r="D776" s="78"/>
      <c r="E776" s="77"/>
      <c r="F776" s="77"/>
      <c r="G776" s="77"/>
      <c r="H776" s="77"/>
      <c r="I776" s="77"/>
      <c r="J776" s="77"/>
      <c r="K776" s="79"/>
      <c r="L776" s="49">
        <f t="shared" si="60"/>
        <v>0</v>
      </c>
      <c r="M776" s="50">
        <f t="shared" si="61"/>
        <v>0</v>
      </c>
    </row>
    <row r="777" spans="1:13" x14ac:dyDescent="0.2">
      <c r="A777" s="18"/>
      <c r="B777" s="77"/>
      <c r="C777" s="77"/>
      <c r="D777" s="78"/>
      <c r="E777" s="77"/>
      <c r="F777" s="77"/>
      <c r="G777" s="77"/>
      <c r="H777" s="77"/>
      <c r="I777" s="77"/>
      <c r="J777" s="77"/>
      <c r="K777" s="79"/>
      <c r="L777" s="49">
        <f t="shared" si="60"/>
        <v>0</v>
      </c>
      <c r="M777" s="50">
        <f t="shared" si="61"/>
        <v>0</v>
      </c>
    </row>
    <row r="778" spans="1:13" x14ac:dyDescent="0.2">
      <c r="A778" s="18"/>
      <c r="B778" s="77"/>
      <c r="C778" s="77"/>
      <c r="D778" s="78"/>
      <c r="E778" s="77"/>
      <c r="F778" s="77"/>
      <c r="G778" s="77"/>
      <c r="H778" s="77"/>
      <c r="I778" s="77"/>
      <c r="J778" s="77"/>
      <c r="K778" s="79"/>
      <c r="L778" s="49">
        <f t="shared" si="60"/>
        <v>0</v>
      </c>
      <c r="M778" s="50">
        <f t="shared" si="61"/>
        <v>0</v>
      </c>
    </row>
    <row r="779" spans="1:13" x14ac:dyDescent="0.2">
      <c r="A779" s="18"/>
      <c r="B779" s="77"/>
      <c r="C779" s="84"/>
      <c r="D779" s="78"/>
      <c r="E779" s="77"/>
      <c r="F779" s="77"/>
      <c r="G779" s="77"/>
      <c r="H779" s="77"/>
      <c r="I779" s="77"/>
      <c r="J779" s="77"/>
      <c r="K779" s="79"/>
      <c r="L779" s="49">
        <f t="shared" si="60"/>
        <v>0</v>
      </c>
      <c r="M779" s="50">
        <f t="shared" si="61"/>
        <v>0</v>
      </c>
    </row>
    <row r="780" spans="1:13" x14ac:dyDescent="0.2">
      <c r="A780" s="18"/>
      <c r="B780" s="77"/>
      <c r="C780" s="85"/>
      <c r="D780" s="78"/>
      <c r="E780" s="77"/>
      <c r="F780" s="77"/>
      <c r="G780" s="77"/>
      <c r="H780" s="77"/>
      <c r="I780" s="77"/>
      <c r="J780" s="77"/>
      <c r="K780" s="79"/>
      <c r="L780" s="49">
        <f t="shared" si="60"/>
        <v>0</v>
      </c>
      <c r="M780" s="50">
        <f t="shared" si="61"/>
        <v>0</v>
      </c>
    </row>
    <row r="781" spans="1:13" x14ac:dyDescent="0.2">
      <c r="A781" s="18"/>
      <c r="B781" s="77"/>
      <c r="C781" s="85"/>
      <c r="D781" s="78"/>
      <c r="E781" s="77"/>
      <c r="F781" s="77"/>
      <c r="G781" s="77"/>
      <c r="H781" s="77"/>
      <c r="I781" s="77"/>
      <c r="J781" s="77"/>
      <c r="K781" s="79"/>
      <c r="L781" s="49">
        <f t="shared" si="60"/>
        <v>0</v>
      </c>
      <c r="M781" s="50">
        <f t="shared" si="61"/>
        <v>0</v>
      </c>
    </row>
    <row r="782" spans="1:13" x14ac:dyDescent="0.2">
      <c r="A782" s="18"/>
      <c r="B782" s="77"/>
      <c r="C782" s="85"/>
      <c r="D782" s="78"/>
      <c r="E782" s="77"/>
      <c r="F782" s="77"/>
      <c r="G782" s="77"/>
      <c r="H782" s="77"/>
      <c r="I782" s="77"/>
      <c r="J782" s="77"/>
      <c r="K782" s="79"/>
      <c r="L782" s="49">
        <f t="shared" si="60"/>
        <v>0</v>
      </c>
      <c r="M782" s="50">
        <f t="shared" si="61"/>
        <v>0</v>
      </c>
    </row>
    <row r="783" spans="1:13" x14ac:dyDescent="0.2">
      <c r="A783" s="18"/>
      <c r="B783" s="77"/>
      <c r="C783" s="85"/>
      <c r="D783" s="78"/>
      <c r="E783" s="77"/>
      <c r="F783" s="77"/>
      <c r="G783" s="77"/>
      <c r="H783" s="77"/>
      <c r="I783" s="77"/>
      <c r="J783" s="77"/>
      <c r="K783" s="79"/>
      <c r="L783" s="49">
        <f t="shared" si="60"/>
        <v>0</v>
      </c>
      <c r="M783" s="50">
        <f t="shared" si="61"/>
        <v>0</v>
      </c>
    </row>
    <row r="784" spans="1:13" x14ac:dyDescent="0.2">
      <c r="A784" s="18"/>
      <c r="B784" s="77"/>
      <c r="C784" s="85"/>
      <c r="D784" s="78"/>
      <c r="E784" s="77"/>
      <c r="F784" s="77"/>
      <c r="G784" s="77"/>
      <c r="H784" s="77"/>
      <c r="I784" s="77"/>
      <c r="J784" s="77"/>
      <c r="K784" s="79"/>
      <c r="L784" s="49">
        <f t="shared" si="60"/>
        <v>0</v>
      </c>
      <c r="M784" s="50">
        <f t="shared" si="61"/>
        <v>0</v>
      </c>
    </row>
    <row r="785" spans="1:13" x14ac:dyDescent="0.2">
      <c r="A785" s="18"/>
      <c r="B785" s="77"/>
      <c r="C785" s="85"/>
      <c r="D785" s="78"/>
      <c r="E785" s="77"/>
      <c r="F785" s="77"/>
      <c r="G785" s="77"/>
      <c r="H785" s="77"/>
      <c r="I785" s="77"/>
      <c r="J785" s="77"/>
      <c r="K785" s="79"/>
      <c r="L785" s="49">
        <f t="shared" si="60"/>
        <v>0</v>
      </c>
      <c r="M785" s="50">
        <f t="shared" si="61"/>
        <v>0</v>
      </c>
    </row>
    <row r="786" spans="1:13" x14ac:dyDescent="0.2">
      <c r="A786" s="18"/>
      <c r="B786" s="77"/>
      <c r="C786" s="85"/>
      <c r="D786" s="78"/>
      <c r="E786" s="77"/>
      <c r="F786" s="77"/>
      <c r="G786" s="77"/>
      <c r="H786" s="77"/>
      <c r="I786" s="77"/>
      <c r="J786" s="77"/>
      <c r="K786" s="79"/>
      <c r="L786" s="49">
        <f t="shared" si="60"/>
        <v>0</v>
      </c>
      <c r="M786" s="50">
        <f t="shared" si="61"/>
        <v>0</v>
      </c>
    </row>
    <row r="787" spans="1:13" x14ac:dyDescent="0.2">
      <c r="A787" s="18"/>
      <c r="B787" s="77"/>
      <c r="C787" s="85"/>
      <c r="D787" s="78"/>
      <c r="E787" s="77"/>
      <c r="F787" s="77"/>
      <c r="G787" s="77"/>
      <c r="H787" s="77"/>
      <c r="I787" s="77"/>
      <c r="J787" s="77"/>
      <c r="K787" s="79"/>
      <c r="L787" s="49">
        <f t="shared" si="60"/>
        <v>0</v>
      </c>
      <c r="M787" s="50">
        <f t="shared" si="61"/>
        <v>0</v>
      </c>
    </row>
    <row r="788" spans="1:13" x14ac:dyDescent="0.2">
      <c r="A788" s="18"/>
      <c r="B788" s="77"/>
      <c r="C788" s="85"/>
      <c r="D788" s="78"/>
      <c r="E788" s="77"/>
      <c r="F788" s="77"/>
      <c r="G788" s="77"/>
      <c r="H788" s="77"/>
      <c r="I788" s="77"/>
      <c r="J788" s="77"/>
      <c r="K788" s="79"/>
      <c r="L788" s="49">
        <f t="shared" ref="L788:L802" si="62">+K788*18%</f>
        <v>0</v>
      </c>
      <c r="M788" s="50">
        <f t="shared" ref="M788:M802" si="63">+K788+L788</f>
        <v>0</v>
      </c>
    </row>
    <row r="789" spans="1:13" x14ac:dyDescent="0.2">
      <c r="A789" s="18"/>
      <c r="B789" s="77"/>
      <c r="C789" s="85"/>
      <c r="D789" s="78"/>
      <c r="E789" s="77"/>
      <c r="F789" s="77"/>
      <c r="G789" s="77"/>
      <c r="H789" s="77"/>
      <c r="I789" s="77"/>
      <c r="J789" s="77"/>
      <c r="K789" s="79"/>
      <c r="L789" s="49">
        <f t="shared" si="62"/>
        <v>0</v>
      </c>
      <c r="M789" s="50">
        <f t="shared" si="63"/>
        <v>0</v>
      </c>
    </row>
    <row r="790" spans="1:13" x14ac:dyDescent="0.2">
      <c r="A790" s="18"/>
      <c r="B790" s="77"/>
      <c r="C790" s="85"/>
      <c r="D790" s="78"/>
      <c r="E790" s="77"/>
      <c r="F790" s="77"/>
      <c r="G790" s="77"/>
      <c r="H790" s="77"/>
      <c r="I790" s="77"/>
      <c r="J790" s="77"/>
      <c r="K790" s="79"/>
      <c r="L790" s="49">
        <f t="shared" si="62"/>
        <v>0</v>
      </c>
      <c r="M790" s="50">
        <f t="shared" si="63"/>
        <v>0</v>
      </c>
    </row>
    <row r="791" spans="1:13" x14ac:dyDescent="0.2">
      <c r="A791" s="18"/>
      <c r="B791" s="77"/>
      <c r="C791" s="85"/>
      <c r="D791" s="78"/>
      <c r="E791" s="77"/>
      <c r="F791" s="77"/>
      <c r="G791" s="77"/>
      <c r="H791" s="77"/>
      <c r="I791" s="77"/>
      <c r="J791" s="77"/>
      <c r="K791" s="79"/>
      <c r="L791" s="49">
        <f t="shared" si="62"/>
        <v>0</v>
      </c>
      <c r="M791" s="50">
        <f t="shared" si="63"/>
        <v>0</v>
      </c>
    </row>
    <row r="792" spans="1:13" x14ac:dyDescent="0.2">
      <c r="A792" s="18"/>
      <c r="B792" s="77"/>
      <c r="C792" s="85"/>
      <c r="D792" s="78"/>
      <c r="E792" s="77"/>
      <c r="F792" s="77"/>
      <c r="G792" s="77"/>
      <c r="H792" s="77"/>
      <c r="I792" s="77"/>
      <c r="J792" s="77"/>
      <c r="K792" s="79"/>
      <c r="L792" s="49">
        <f t="shared" si="62"/>
        <v>0</v>
      </c>
      <c r="M792" s="50">
        <f t="shared" si="63"/>
        <v>0</v>
      </c>
    </row>
    <row r="793" spans="1:13" x14ac:dyDescent="0.2">
      <c r="A793" s="18"/>
      <c r="B793" s="77"/>
      <c r="C793" s="85"/>
      <c r="D793" s="78"/>
      <c r="E793" s="77"/>
      <c r="F793" s="77"/>
      <c r="G793" s="77"/>
      <c r="H793" s="77"/>
      <c r="I793" s="77"/>
      <c r="J793" s="77"/>
      <c r="K793" s="79"/>
      <c r="L793" s="49">
        <f t="shared" si="62"/>
        <v>0</v>
      </c>
      <c r="M793" s="50">
        <f t="shared" si="63"/>
        <v>0</v>
      </c>
    </row>
    <row r="794" spans="1:13" x14ac:dyDescent="0.2">
      <c r="A794" s="18"/>
      <c r="B794" s="77"/>
      <c r="C794" s="85"/>
      <c r="D794" s="78"/>
      <c r="E794" s="77"/>
      <c r="F794" s="77"/>
      <c r="G794" s="77"/>
      <c r="H794" s="77"/>
      <c r="I794" s="77"/>
      <c r="J794" s="77"/>
      <c r="K794" s="79"/>
      <c r="L794" s="49">
        <f t="shared" si="62"/>
        <v>0</v>
      </c>
      <c r="M794" s="50">
        <f t="shared" si="63"/>
        <v>0</v>
      </c>
    </row>
    <row r="795" spans="1:13" x14ac:dyDescent="0.2">
      <c r="A795" s="18"/>
      <c r="B795" s="77"/>
      <c r="C795" s="85"/>
      <c r="D795" s="78"/>
      <c r="E795" s="77"/>
      <c r="F795" s="77"/>
      <c r="G795" s="77"/>
      <c r="H795" s="77"/>
      <c r="I795" s="77"/>
      <c r="J795" s="77"/>
      <c r="K795" s="79"/>
      <c r="L795" s="49">
        <f t="shared" si="62"/>
        <v>0</v>
      </c>
      <c r="M795" s="50">
        <f t="shared" si="63"/>
        <v>0</v>
      </c>
    </row>
    <row r="796" spans="1:13" x14ac:dyDescent="0.2">
      <c r="A796" s="18"/>
      <c r="B796" s="77"/>
      <c r="C796" s="85"/>
      <c r="D796" s="78"/>
      <c r="E796" s="77"/>
      <c r="F796" s="77"/>
      <c r="G796" s="77"/>
      <c r="H796" s="77"/>
      <c r="I796" s="77"/>
      <c r="J796" s="77"/>
      <c r="K796" s="79"/>
      <c r="L796" s="49">
        <f t="shared" si="62"/>
        <v>0</v>
      </c>
      <c r="M796" s="50">
        <f t="shared" si="63"/>
        <v>0</v>
      </c>
    </row>
    <row r="797" spans="1:13" x14ac:dyDescent="0.2">
      <c r="A797" s="18"/>
      <c r="B797" s="77"/>
      <c r="C797" s="85"/>
      <c r="D797" s="78"/>
      <c r="E797" s="77"/>
      <c r="F797" s="77"/>
      <c r="G797" s="77"/>
      <c r="H797" s="77"/>
      <c r="I797" s="77"/>
      <c r="J797" s="77"/>
      <c r="K797" s="79"/>
      <c r="L797" s="49">
        <f t="shared" si="62"/>
        <v>0</v>
      </c>
      <c r="M797" s="50">
        <f t="shared" si="63"/>
        <v>0</v>
      </c>
    </row>
    <row r="798" spans="1:13" x14ac:dyDescent="0.2">
      <c r="A798" s="18"/>
      <c r="B798" s="77"/>
      <c r="C798" s="85"/>
      <c r="D798" s="78"/>
      <c r="E798" s="77"/>
      <c r="F798" s="77"/>
      <c r="G798" s="77"/>
      <c r="H798" s="77"/>
      <c r="I798" s="77"/>
      <c r="J798" s="77"/>
      <c r="K798" s="79"/>
      <c r="L798" s="49">
        <f t="shared" si="62"/>
        <v>0</v>
      </c>
      <c r="M798" s="50">
        <f t="shared" si="63"/>
        <v>0</v>
      </c>
    </row>
    <row r="799" spans="1:13" x14ac:dyDescent="0.2">
      <c r="A799" s="18"/>
      <c r="B799" s="77"/>
      <c r="C799" s="85"/>
      <c r="D799" s="78"/>
      <c r="E799" s="77"/>
      <c r="F799" s="77"/>
      <c r="G799" s="77"/>
      <c r="H799" s="77"/>
      <c r="I799" s="77"/>
      <c r="J799" s="77"/>
      <c r="K799" s="79"/>
      <c r="L799" s="49">
        <f t="shared" si="62"/>
        <v>0</v>
      </c>
      <c r="M799" s="50">
        <f t="shared" si="63"/>
        <v>0</v>
      </c>
    </row>
    <row r="800" spans="1:13" x14ac:dyDescent="0.2">
      <c r="A800" s="18"/>
      <c r="B800" s="77"/>
      <c r="C800" s="85"/>
      <c r="D800" s="78"/>
      <c r="E800" s="77"/>
      <c r="F800" s="77"/>
      <c r="G800" s="77"/>
      <c r="H800" s="77"/>
      <c r="I800" s="77"/>
      <c r="J800" s="77"/>
      <c r="K800" s="79"/>
      <c r="L800" s="49">
        <f t="shared" si="62"/>
        <v>0</v>
      </c>
      <c r="M800" s="50">
        <f t="shared" si="63"/>
        <v>0</v>
      </c>
    </row>
    <row r="801" spans="1:13" x14ac:dyDescent="0.2">
      <c r="A801" s="18"/>
      <c r="B801" s="77"/>
      <c r="C801" s="85"/>
      <c r="D801" s="78"/>
      <c r="E801" s="77"/>
      <c r="F801" s="77"/>
      <c r="G801" s="77"/>
      <c r="H801" s="77"/>
      <c r="I801" s="77"/>
      <c r="J801" s="77"/>
      <c r="K801" s="79"/>
      <c r="L801" s="49">
        <f t="shared" si="62"/>
        <v>0</v>
      </c>
      <c r="M801" s="50">
        <f t="shared" si="63"/>
        <v>0</v>
      </c>
    </row>
    <row r="802" spans="1:13" x14ac:dyDescent="0.2">
      <c r="A802" s="18"/>
      <c r="B802" s="77"/>
      <c r="C802" s="85"/>
      <c r="D802" s="78"/>
      <c r="E802" s="77"/>
      <c r="F802" s="77"/>
      <c r="G802" s="77"/>
      <c r="H802" s="77"/>
      <c r="I802" s="77"/>
      <c r="J802" s="77"/>
      <c r="K802" s="18"/>
      <c r="L802" s="49">
        <f t="shared" si="62"/>
        <v>0</v>
      </c>
      <c r="M802" s="50">
        <f t="shared" si="63"/>
        <v>0</v>
      </c>
    </row>
    <row r="803" spans="1:13" x14ac:dyDescent="0.2">
      <c r="A803" s="18"/>
      <c r="B803" s="18"/>
      <c r="C803" s="18"/>
      <c r="D803" s="19"/>
      <c r="E803" s="18"/>
      <c r="F803" s="18"/>
      <c r="G803" s="18"/>
      <c r="H803" s="18"/>
      <c r="I803" s="18"/>
      <c r="J803" s="18"/>
      <c r="K803" s="18"/>
      <c r="L803" s="49">
        <f t="shared" ref="L803:L842" si="64">+K803*18%</f>
        <v>0</v>
      </c>
      <c r="M803" s="50">
        <f t="shared" ref="M803:M842" si="65">+K803+L803</f>
        <v>0</v>
      </c>
    </row>
    <row r="804" spans="1:13" x14ac:dyDescent="0.2">
      <c r="A804" s="18"/>
      <c r="B804" s="77"/>
      <c r="C804" s="77"/>
      <c r="D804" s="19"/>
      <c r="E804" s="18"/>
      <c r="F804" s="18"/>
      <c r="G804" s="18"/>
      <c r="H804" s="77"/>
      <c r="I804" s="77"/>
      <c r="J804" s="18"/>
      <c r="K804" s="18"/>
      <c r="L804" s="49">
        <f t="shared" si="64"/>
        <v>0</v>
      </c>
      <c r="M804" s="50">
        <f t="shared" si="65"/>
        <v>0</v>
      </c>
    </row>
    <row r="805" spans="1:13" x14ac:dyDescent="0.2">
      <c r="A805" s="18"/>
      <c r="B805" s="77"/>
      <c r="C805" s="77"/>
      <c r="D805" s="19"/>
      <c r="E805" s="18"/>
      <c r="F805" s="18"/>
      <c r="G805" s="18"/>
      <c r="H805" s="77"/>
      <c r="I805" s="77"/>
      <c r="J805" s="18"/>
      <c r="K805" s="18"/>
      <c r="L805" s="49">
        <f t="shared" si="64"/>
        <v>0</v>
      </c>
      <c r="M805" s="50">
        <f t="shared" si="65"/>
        <v>0</v>
      </c>
    </row>
    <row r="806" spans="1:13" x14ac:dyDescent="0.2">
      <c r="A806" s="18"/>
      <c r="B806" s="77"/>
      <c r="C806" s="77"/>
      <c r="D806" s="19"/>
      <c r="E806" s="18"/>
      <c r="F806" s="18"/>
      <c r="G806" s="18"/>
      <c r="H806" s="77"/>
      <c r="I806" s="77"/>
      <c r="J806" s="18"/>
      <c r="K806" s="18"/>
      <c r="L806" s="49">
        <f t="shared" si="64"/>
        <v>0</v>
      </c>
      <c r="M806" s="50">
        <f t="shared" si="65"/>
        <v>0</v>
      </c>
    </row>
    <row r="807" spans="1:13" x14ac:dyDescent="0.2">
      <c r="A807" s="18"/>
      <c r="B807" s="77"/>
      <c r="C807" s="77"/>
      <c r="D807" s="78"/>
      <c r="E807" s="77"/>
      <c r="F807" s="77"/>
      <c r="G807" s="77"/>
      <c r="H807" s="77"/>
      <c r="I807" s="77"/>
      <c r="J807" s="77"/>
      <c r="K807" s="79"/>
      <c r="L807" s="49">
        <f t="shared" si="64"/>
        <v>0</v>
      </c>
      <c r="M807" s="50">
        <f t="shared" si="65"/>
        <v>0</v>
      </c>
    </row>
    <row r="808" spans="1:13" x14ac:dyDescent="0.2">
      <c r="A808" s="18"/>
      <c r="B808" s="77"/>
      <c r="C808" s="77"/>
      <c r="D808" s="78"/>
      <c r="E808" s="77"/>
      <c r="F808" s="77"/>
      <c r="G808" s="77"/>
      <c r="H808" s="77"/>
      <c r="I808" s="77"/>
      <c r="J808" s="77"/>
      <c r="K808" s="79"/>
      <c r="L808" s="49">
        <f t="shared" si="64"/>
        <v>0</v>
      </c>
      <c r="M808" s="50">
        <f t="shared" si="65"/>
        <v>0</v>
      </c>
    </row>
    <row r="809" spans="1:13" x14ac:dyDescent="0.2">
      <c r="A809" s="18"/>
      <c r="B809" s="77"/>
      <c r="C809" s="77"/>
      <c r="D809" s="78"/>
      <c r="E809" s="77"/>
      <c r="F809" s="77"/>
      <c r="G809" s="77"/>
      <c r="H809" s="77"/>
      <c r="I809" s="77"/>
      <c r="J809" s="77"/>
      <c r="K809" s="79"/>
      <c r="L809" s="49">
        <f t="shared" si="64"/>
        <v>0</v>
      </c>
      <c r="M809" s="50">
        <f t="shared" si="65"/>
        <v>0</v>
      </c>
    </row>
    <row r="810" spans="1:13" x14ac:dyDescent="0.2">
      <c r="A810" s="18"/>
      <c r="B810" s="77"/>
      <c r="C810" s="77"/>
      <c r="D810" s="78"/>
      <c r="E810" s="77"/>
      <c r="F810" s="77"/>
      <c r="G810" s="77"/>
      <c r="H810" s="77"/>
      <c r="I810" s="77"/>
      <c r="J810" s="77"/>
      <c r="K810" s="79"/>
      <c r="L810" s="49">
        <f t="shared" si="64"/>
        <v>0</v>
      </c>
      <c r="M810" s="50">
        <f t="shared" si="65"/>
        <v>0</v>
      </c>
    </row>
    <row r="811" spans="1:13" x14ac:dyDescent="0.2">
      <c r="A811" s="18"/>
      <c r="B811" s="77"/>
      <c r="C811" s="77"/>
      <c r="D811" s="78"/>
      <c r="E811" s="77"/>
      <c r="F811" s="77"/>
      <c r="G811" s="77"/>
      <c r="H811" s="77"/>
      <c r="I811" s="77"/>
      <c r="J811" s="77"/>
      <c r="K811" s="79"/>
      <c r="L811" s="49">
        <f t="shared" si="64"/>
        <v>0</v>
      </c>
      <c r="M811" s="50">
        <f t="shared" si="65"/>
        <v>0</v>
      </c>
    </row>
    <row r="812" spans="1:13" x14ac:dyDescent="0.2">
      <c r="A812" s="18"/>
      <c r="B812" s="77"/>
      <c r="C812" s="77"/>
      <c r="D812" s="78"/>
      <c r="E812" s="77"/>
      <c r="F812" s="77"/>
      <c r="G812" s="77"/>
      <c r="H812" s="77"/>
      <c r="I812" s="77"/>
      <c r="J812" s="77"/>
      <c r="K812" s="79"/>
      <c r="L812" s="49">
        <f t="shared" si="64"/>
        <v>0</v>
      </c>
      <c r="M812" s="50">
        <f t="shared" si="65"/>
        <v>0</v>
      </c>
    </row>
    <row r="813" spans="1:13" x14ac:dyDescent="0.2">
      <c r="A813" s="18"/>
      <c r="B813" s="77"/>
      <c r="C813" s="77"/>
      <c r="D813" s="78"/>
      <c r="E813" s="77"/>
      <c r="F813" s="77"/>
      <c r="G813" s="77"/>
      <c r="H813" s="77"/>
      <c r="I813" s="77"/>
      <c r="J813" s="77"/>
      <c r="K813" s="79"/>
      <c r="L813" s="49">
        <f t="shared" si="64"/>
        <v>0</v>
      </c>
      <c r="M813" s="50">
        <f t="shared" si="65"/>
        <v>0</v>
      </c>
    </row>
    <row r="814" spans="1:13" x14ac:dyDescent="0.2">
      <c r="A814" s="18"/>
      <c r="B814" s="77"/>
      <c r="C814" s="77"/>
      <c r="D814" s="78"/>
      <c r="E814" s="77"/>
      <c r="F814" s="77"/>
      <c r="G814" s="77"/>
      <c r="H814" s="77"/>
      <c r="I814" s="77"/>
      <c r="J814" s="77"/>
      <c r="K814" s="79"/>
      <c r="L814" s="49">
        <f t="shared" si="64"/>
        <v>0</v>
      </c>
      <c r="M814" s="50">
        <f t="shared" si="65"/>
        <v>0</v>
      </c>
    </row>
    <row r="815" spans="1:13" x14ac:dyDescent="0.2">
      <c r="A815" s="18"/>
      <c r="B815" s="77"/>
      <c r="C815" s="77"/>
      <c r="D815" s="78"/>
      <c r="E815" s="77"/>
      <c r="F815" s="77"/>
      <c r="G815" s="77"/>
      <c r="H815" s="77"/>
      <c r="I815" s="77"/>
      <c r="J815" s="77"/>
      <c r="K815" s="79"/>
      <c r="L815" s="49">
        <f t="shared" si="64"/>
        <v>0</v>
      </c>
      <c r="M815" s="50">
        <f t="shared" si="65"/>
        <v>0</v>
      </c>
    </row>
    <row r="816" spans="1:13" x14ac:dyDescent="0.2">
      <c r="A816" s="18"/>
      <c r="B816" s="77"/>
      <c r="C816" s="77"/>
      <c r="D816" s="78"/>
      <c r="E816" s="77"/>
      <c r="F816" s="77"/>
      <c r="G816" s="77"/>
      <c r="H816" s="77"/>
      <c r="I816" s="77"/>
      <c r="J816" s="77"/>
      <c r="K816" s="79"/>
      <c r="L816" s="49">
        <f t="shared" si="64"/>
        <v>0</v>
      </c>
      <c r="M816" s="50">
        <f t="shared" si="65"/>
        <v>0</v>
      </c>
    </row>
    <row r="817" spans="1:13" x14ac:dyDescent="0.2">
      <c r="A817" s="18"/>
      <c r="B817" s="77"/>
      <c r="C817" s="77"/>
      <c r="D817" s="78"/>
      <c r="E817" s="77"/>
      <c r="F817" s="77"/>
      <c r="G817" s="77"/>
      <c r="H817" s="77"/>
      <c r="I817" s="77"/>
      <c r="J817" s="77"/>
      <c r="K817" s="79"/>
      <c r="L817" s="49">
        <f t="shared" si="64"/>
        <v>0</v>
      </c>
      <c r="M817" s="50">
        <f t="shared" si="65"/>
        <v>0</v>
      </c>
    </row>
    <row r="818" spans="1:13" x14ac:dyDescent="0.2">
      <c r="A818" s="18"/>
      <c r="B818" s="77"/>
      <c r="C818" s="77"/>
      <c r="D818" s="78"/>
      <c r="E818" s="77"/>
      <c r="F818" s="77"/>
      <c r="G818" s="77"/>
      <c r="H818" s="77"/>
      <c r="I818" s="77"/>
      <c r="J818" s="77"/>
      <c r="K818" s="79"/>
      <c r="L818" s="49">
        <f t="shared" si="64"/>
        <v>0</v>
      </c>
      <c r="M818" s="50">
        <f t="shared" si="65"/>
        <v>0</v>
      </c>
    </row>
    <row r="819" spans="1:13" x14ac:dyDescent="0.2">
      <c r="A819" s="18"/>
      <c r="B819" s="77"/>
      <c r="C819" s="77"/>
      <c r="D819" s="78"/>
      <c r="E819" s="77"/>
      <c r="F819" s="77"/>
      <c r="G819" s="77"/>
      <c r="H819" s="77"/>
      <c r="I819" s="77"/>
      <c r="J819" s="77"/>
      <c r="K819" s="79"/>
      <c r="L819" s="49">
        <f t="shared" si="64"/>
        <v>0</v>
      </c>
      <c r="M819" s="50">
        <f t="shared" si="65"/>
        <v>0</v>
      </c>
    </row>
    <row r="820" spans="1:13" x14ac:dyDescent="0.2">
      <c r="A820" s="18"/>
      <c r="B820" s="77"/>
      <c r="C820" s="77"/>
      <c r="D820" s="78"/>
      <c r="E820" s="77"/>
      <c r="F820" s="77"/>
      <c r="G820" s="77"/>
      <c r="H820" s="77"/>
      <c r="I820" s="77"/>
      <c r="J820" s="77"/>
      <c r="K820" s="79"/>
      <c r="L820" s="49">
        <f t="shared" si="64"/>
        <v>0</v>
      </c>
      <c r="M820" s="50">
        <f t="shared" si="65"/>
        <v>0</v>
      </c>
    </row>
    <row r="821" spans="1:13" x14ac:dyDescent="0.2">
      <c r="A821" s="18"/>
      <c r="B821" s="77"/>
      <c r="C821" s="77"/>
      <c r="D821" s="78"/>
      <c r="E821" s="77"/>
      <c r="F821" s="77"/>
      <c r="G821" s="77"/>
      <c r="H821" s="77"/>
      <c r="I821" s="77"/>
      <c r="J821" s="77"/>
      <c r="K821" s="79"/>
      <c r="L821" s="49">
        <f t="shared" si="64"/>
        <v>0</v>
      </c>
      <c r="M821" s="50">
        <f t="shared" si="65"/>
        <v>0</v>
      </c>
    </row>
    <row r="822" spans="1:13" x14ac:dyDescent="0.2">
      <c r="A822" s="18"/>
      <c r="B822" s="77"/>
      <c r="C822" s="77"/>
      <c r="D822" s="78"/>
      <c r="E822" s="77"/>
      <c r="F822" s="77"/>
      <c r="G822" s="77"/>
      <c r="H822" s="77"/>
      <c r="I822" s="77"/>
      <c r="J822" s="77"/>
      <c r="K822" s="79"/>
      <c r="L822" s="49">
        <f t="shared" si="64"/>
        <v>0</v>
      </c>
      <c r="M822" s="50">
        <f t="shared" si="65"/>
        <v>0</v>
      </c>
    </row>
    <row r="823" spans="1:13" x14ac:dyDescent="0.2">
      <c r="A823" s="18"/>
      <c r="B823" s="77"/>
      <c r="C823" s="77"/>
      <c r="D823" s="78"/>
      <c r="E823" s="77"/>
      <c r="F823" s="77"/>
      <c r="G823" s="77"/>
      <c r="H823" s="77"/>
      <c r="I823" s="77"/>
      <c r="J823" s="77"/>
      <c r="K823" s="79"/>
      <c r="L823" s="49">
        <f t="shared" si="64"/>
        <v>0</v>
      </c>
      <c r="M823" s="50">
        <f t="shared" si="65"/>
        <v>0</v>
      </c>
    </row>
    <row r="824" spans="1:13" x14ac:dyDescent="0.2">
      <c r="A824" s="18"/>
      <c r="B824" s="77"/>
      <c r="C824" s="77"/>
      <c r="D824" s="78"/>
      <c r="E824" s="77"/>
      <c r="F824" s="77"/>
      <c r="G824" s="77"/>
      <c r="H824" s="77"/>
      <c r="I824" s="77"/>
      <c r="J824" s="77"/>
      <c r="K824" s="79"/>
      <c r="L824" s="49">
        <f t="shared" si="64"/>
        <v>0</v>
      </c>
      <c r="M824" s="50">
        <f t="shared" si="65"/>
        <v>0</v>
      </c>
    </row>
    <row r="825" spans="1:13" x14ac:dyDescent="0.2">
      <c r="A825" s="18"/>
      <c r="B825" s="77"/>
      <c r="C825" s="77"/>
      <c r="D825" s="78"/>
      <c r="E825" s="77"/>
      <c r="F825" s="77"/>
      <c r="G825" s="77"/>
      <c r="H825" s="77"/>
      <c r="I825" s="77"/>
      <c r="J825" s="77"/>
      <c r="K825" s="79"/>
      <c r="L825" s="49">
        <f t="shared" si="64"/>
        <v>0</v>
      </c>
      <c r="M825" s="50">
        <f t="shared" si="65"/>
        <v>0</v>
      </c>
    </row>
    <row r="826" spans="1:13" x14ac:dyDescent="0.2">
      <c r="A826" s="18"/>
      <c r="B826" s="77"/>
      <c r="C826" s="77"/>
      <c r="D826" s="78"/>
      <c r="E826" s="77"/>
      <c r="F826" s="77"/>
      <c r="G826" s="77"/>
      <c r="H826" s="77"/>
      <c r="I826" s="77"/>
      <c r="J826" s="77"/>
      <c r="K826" s="79"/>
      <c r="L826" s="49">
        <f t="shared" si="64"/>
        <v>0</v>
      </c>
      <c r="M826" s="50">
        <f t="shared" si="65"/>
        <v>0</v>
      </c>
    </row>
    <row r="827" spans="1:13" x14ac:dyDescent="0.2">
      <c r="A827" s="18"/>
      <c r="B827" s="77"/>
      <c r="C827" s="77"/>
      <c r="D827" s="78"/>
      <c r="E827" s="77"/>
      <c r="F827" s="77"/>
      <c r="G827" s="77"/>
      <c r="H827" s="77"/>
      <c r="I827" s="77"/>
      <c r="J827" s="77"/>
      <c r="K827" s="79"/>
      <c r="L827" s="49">
        <f t="shared" si="64"/>
        <v>0</v>
      </c>
      <c r="M827" s="50">
        <f t="shared" si="65"/>
        <v>0</v>
      </c>
    </row>
    <row r="828" spans="1:13" x14ac:dyDescent="0.2">
      <c r="A828" s="18"/>
      <c r="B828" s="77"/>
      <c r="C828" s="77"/>
      <c r="D828" s="78"/>
      <c r="E828" s="77"/>
      <c r="F828" s="77"/>
      <c r="G828" s="77"/>
      <c r="H828" s="77"/>
      <c r="I828" s="77"/>
      <c r="J828" s="77"/>
      <c r="K828" s="79"/>
      <c r="L828" s="49">
        <f t="shared" si="64"/>
        <v>0</v>
      </c>
      <c r="M828" s="50">
        <f t="shared" si="65"/>
        <v>0</v>
      </c>
    </row>
    <row r="829" spans="1:13" x14ac:dyDescent="0.2">
      <c r="A829" s="18"/>
      <c r="B829" s="77"/>
      <c r="C829" s="77"/>
      <c r="D829" s="78"/>
      <c r="E829" s="77"/>
      <c r="F829" s="77"/>
      <c r="G829" s="77"/>
      <c r="H829" s="77"/>
      <c r="I829" s="77"/>
      <c r="J829" s="77"/>
      <c r="K829" s="79"/>
      <c r="L829" s="49">
        <f t="shared" si="64"/>
        <v>0</v>
      </c>
      <c r="M829" s="50">
        <f t="shared" si="65"/>
        <v>0</v>
      </c>
    </row>
    <row r="830" spans="1:13" x14ac:dyDescent="0.2">
      <c r="A830" s="18"/>
      <c r="B830" s="77"/>
      <c r="C830" s="77"/>
      <c r="D830" s="78"/>
      <c r="E830" s="77"/>
      <c r="F830" s="77"/>
      <c r="G830" s="77"/>
      <c r="H830" s="77"/>
      <c r="I830" s="77"/>
      <c r="J830" s="77"/>
      <c r="K830" s="79"/>
      <c r="L830" s="49">
        <f t="shared" si="64"/>
        <v>0</v>
      </c>
      <c r="M830" s="50">
        <f t="shared" si="65"/>
        <v>0</v>
      </c>
    </row>
    <row r="831" spans="1:13" x14ac:dyDescent="0.2">
      <c r="A831" s="18"/>
      <c r="B831" s="77"/>
      <c r="C831" s="77"/>
      <c r="D831" s="78"/>
      <c r="E831" s="77"/>
      <c r="F831" s="77"/>
      <c r="G831" s="77"/>
      <c r="H831" s="77"/>
      <c r="I831" s="77"/>
      <c r="J831" s="77"/>
      <c r="K831" s="79"/>
      <c r="L831" s="49">
        <f t="shared" si="64"/>
        <v>0</v>
      </c>
      <c r="M831" s="50">
        <f t="shared" si="65"/>
        <v>0</v>
      </c>
    </row>
    <row r="832" spans="1:13" x14ac:dyDescent="0.2">
      <c r="A832" s="18"/>
      <c r="B832" s="77"/>
      <c r="C832" s="77"/>
      <c r="D832" s="78"/>
      <c r="E832" s="77"/>
      <c r="F832" s="77"/>
      <c r="G832" s="77"/>
      <c r="H832" s="77"/>
      <c r="I832" s="77"/>
      <c r="J832" s="77"/>
      <c r="K832" s="79"/>
      <c r="L832" s="49">
        <f t="shared" si="64"/>
        <v>0</v>
      </c>
      <c r="M832" s="50">
        <f t="shared" si="65"/>
        <v>0</v>
      </c>
    </row>
    <row r="833" spans="1:13" x14ac:dyDescent="0.2">
      <c r="A833" s="18"/>
      <c r="B833" s="77"/>
      <c r="C833" s="77"/>
      <c r="D833" s="78"/>
      <c r="E833" s="77"/>
      <c r="F833" s="77"/>
      <c r="G833" s="77"/>
      <c r="H833" s="77"/>
      <c r="I833" s="77"/>
      <c r="J833" s="77"/>
      <c r="K833" s="79"/>
      <c r="L833" s="49">
        <f t="shared" si="64"/>
        <v>0</v>
      </c>
      <c r="M833" s="50">
        <f t="shared" si="65"/>
        <v>0</v>
      </c>
    </row>
    <row r="834" spans="1:13" x14ac:dyDescent="0.2">
      <c r="A834" s="18"/>
      <c r="B834" s="77"/>
      <c r="C834" s="77"/>
      <c r="D834" s="78"/>
      <c r="E834" s="77"/>
      <c r="F834" s="77"/>
      <c r="G834" s="77"/>
      <c r="H834" s="77"/>
      <c r="I834" s="77"/>
      <c r="J834" s="77"/>
      <c r="K834" s="79"/>
      <c r="L834" s="49">
        <f t="shared" si="64"/>
        <v>0</v>
      </c>
      <c r="M834" s="50">
        <f t="shared" si="65"/>
        <v>0</v>
      </c>
    </row>
    <row r="835" spans="1:13" x14ac:dyDescent="0.2">
      <c r="A835" s="18"/>
      <c r="B835" s="77"/>
      <c r="C835" s="77"/>
      <c r="D835" s="78"/>
      <c r="E835" s="77"/>
      <c r="F835" s="77"/>
      <c r="G835" s="77"/>
      <c r="H835" s="77"/>
      <c r="I835" s="77"/>
      <c r="J835" s="77"/>
      <c r="K835" s="79"/>
      <c r="L835" s="49">
        <f t="shared" si="64"/>
        <v>0</v>
      </c>
      <c r="M835" s="50">
        <f t="shared" si="65"/>
        <v>0</v>
      </c>
    </row>
    <row r="836" spans="1:13" x14ac:dyDescent="0.2">
      <c r="A836" s="18"/>
      <c r="B836" s="77"/>
      <c r="C836" s="77"/>
      <c r="D836" s="78"/>
      <c r="E836" s="77"/>
      <c r="F836" s="77"/>
      <c r="G836" s="77"/>
      <c r="H836" s="77"/>
      <c r="I836" s="77"/>
      <c r="J836" s="77"/>
      <c r="K836" s="79"/>
      <c r="L836" s="49">
        <f t="shared" si="64"/>
        <v>0</v>
      </c>
      <c r="M836" s="50">
        <f t="shared" si="65"/>
        <v>0</v>
      </c>
    </row>
    <row r="837" spans="1:13" x14ac:dyDescent="0.2">
      <c r="A837" s="18"/>
      <c r="B837" s="77"/>
      <c r="C837" s="77"/>
      <c r="D837" s="78"/>
      <c r="E837" s="77"/>
      <c r="F837" s="77"/>
      <c r="G837" s="77"/>
      <c r="H837" s="77"/>
      <c r="I837" s="77"/>
      <c r="J837" s="77"/>
      <c r="K837" s="79"/>
      <c r="L837" s="49">
        <f t="shared" si="64"/>
        <v>0</v>
      </c>
      <c r="M837" s="50">
        <f t="shared" si="65"/>
        <v>0</v>
      </c>
    </row>
    <row r="838" spans="1:13" x14ac:dyDescent="0.2">
      <c r="A838" s="18"/>
      <c r="B838" s="77"/>
      <c r="C838" s="77"/>
      <c r="D838" s="78"/>
      <c r="E838" s="77"/>
      <c r="F838" s="77"/>
      <c r="G838" s="77"/>
      <c r="H838" s="77"/>
      <c r="I838" s="77"/>
      <c r="J838" s="77"/>
      <c r="K838" s="79"/>
      <c r="L838" s="49">
        <f t="shared" si="64"/>
        <v>0</v>
      </c>
      <c r="M838" s="50">
        <f t="shared" si="65"/>
        <v>0</v>
      </c>
    </row>
    <row r="839" spans="1:13" x14ac:dyDescent="0.2">
      <c r="A839" s="18"/>
      <c r="B839" s="77"/>
      <c r="C839" s="77"/>
      <c r="D839" s="78"/>
      <c r="E839" s="77"/>
      <c r="F839" s="77"/>
      <c r="G839" s="77"/>
      <c r="H839" s="77"/>
      <c r="I839" s="77"/>
      <c r="J839" s="77"/>
      <c r="K839" s="79"/>
      <c r="L839" s="49">
        <f t="shared" si="64"/>
        <v>0</v>
      </c>
      <c r="M839" s="50">
        <f t="shared" si="65"/>
        <v>0</v>
      </c>
    </row>
    <row r="840" spans="1:13" x14ac:dyDescent="0.2">
      <c r="A840" s="18"/>
      <c r="B840" s="77"/>
      <c r="C840" s="77"/>
      <c r="D840" s="78"/>
      <c r="E840" s="77"/>
      <c r="F840" s="77"/>
      <c r="G840" s="77"/>
      <c r="H840" s="77"/>
      <c r="I840" s="77"/>
      <c r="J840" s="77"/>
      <c r="K840" s="79"/>
      <c r="L840" s="49">
        <f t="shared" si="64"/>
        <v>0</v>
      </c>
      <c r="M840" s="50">
        <f t="shared" si="65"/>
        <v>0</v>
      </c>
    </row>
    <row r="841" spans="1:13" x14ac:dyDescent="0.2">
      <c r="A841" s="18"/>
      <c r="B841" s="77"/>
      <c r="C841" s="77"/>
      <c r="D841" s="78"/>
      <c r="E841" s="77"/>
      <c r="F841" s="77"/>
      <c r="G841" s="77"/>
      <c r="H841" s="77"/>
      <c r="I841" s="77"/>
      <c r="J841" s="77"/>
      <c r="K841" s="79"/>
      <c r="L841" s="49">
        <f t="shared" si="64"/>
        <v>0</v>
      </c>
      <c r="M841" s="50">
        <f t="shared" si="65"/>
        <v>0</v>
      </c>
    </row>
    <row r="842" spans="1:13" x14ac:dyDescent="0.2">
      <c r="A842" s="18"/>
      <c r="B842" s="86"/>
      <c r="C842" s="86"/>
      <c r="D842" s="87"/>
      <c r="E842" s="86"/>
      <c r="F842" s="86"/>
      <c r="G842" s="86"/>
      <c r="H842" s="86"/>
      <c r="I842" s="86"/>
      <c r="J842" s="86"/>
      <c r="K842" s="88"/>
      <c r="L842" s="49">
        <f t="shared" si="64"/>
        <v>0</v>
      </c>
      <c r="M842" s="50">
        <f t="shared" si="65"/>
        <v>0</v>
      </c>
    </row>
    <row r="843" spans="1:13" x14ac:dyDescent="0.2">
      <c r="A843" s="18"/>
      <c r="B843" s="77"/>
      <c r="C843" s="77"/>
      <c r="D843" s="78"/>
      <c r="E843" s="77"/>
      <c r="F843" s="77"/>
      <c r="G843" s="77"/>
      <c r="H843" s="77"/>
      <c r="I843" s="77"/>
      <c r="J843" s="77"/>
      <c r="K843" s="79"/>
      <c r="L843" s="49">
        <f t="shared" ref="L843:L882" si="66">+K843*18%</f>
        <v>0</v>
      </c>
      <c r="M843" s="50">
        <f t="shared" ref="M843:M882" si="67">+K843+L843</f>
        <v>0</v>
      </c>
    </row>
    <row r="844" spans="1:13" x14ac:dyDescent="0.2">
      <c r="A844" s="18"/>
      <c r="B844" s="77"/>
      <c r="C844" s="77"/>
      <c r="D844" s="78"/>
      <c r="E844" s="77"/>
      <c r="F844" s="77"/>
      <c r="G844" s="77"/>
      <c r="H844" s="77"/>
      <c r="I844" s="77"/>
      <c r="J844" s="77"/>
      <c r="K844" s="79"/>
      <c r="L844" s="49">
        <f t="shared" si="66"/>
        <v>0</v>
      </c>
      <c r="M844" s="50">
        <f t="shared" si="67"/>
        <v>0</v>
      </c>
    </row>
    <row r="845" spans="1:13" x14ac:dyDescent="0.2">
      <c r="A845" s="18"/>
      <c r="B845" s="77"/>
      <c r="C845" s="77"/>
      <c r="D845" s="78"/>
      <c r="E845" s="77"/>
      <c r="F845" s="77"/>
      <c r="G845" s="77"/>
      <c r="H845" s="77"/>
      <c r="I845" s="77"/>
      <c r="J845" s="77"/>
      <c r="K845" s="79"/>
      <c r="L845" s="49">
        <f t="shared" si="66"/>
        <v>0</v>
      </c>
      <c r="M845" s="50">
        <f t="shared" si="67"/>
        <v>0</v>
      </c>
    </row>
    <row r="846" spans="1:13" x14ac:dyDescent="0.2">
      <c r="A846" s="18"/>
      <c r="B846" s="77"/>
      <c r="C846" s="77"/>
      <c r="D846" s="78"/>
      <c r="E846" s="77"/>
      <c r="F846" s="77"/>
      <c r="G846" s="77"/>
      <c r="H846" s="77"/>
      <c r="I846" s="77"/>
      <c r="J846" s="77"/>
      <c r="K846" s="79"/>
      <c r="L846" s="49">
        <f t="shared" si="66"/>
        <v>0</v>
      </c>
      <c r="M846" s="50">
        <f t="shared" si="67"/>
        <v>0</v>
      </c>
    </row>
    <row r="847" spans="1:13" x14ac:dyDescent="0.2">
      <c r="A847" s="18"/>
      <c r="B847" s="77"/>
      <c r="C847" s="77"/>
      <c r="D847" s="78"/>
      <c r="E847" s="77"/>
      <c r="F847" s="77"/>
      <c r="G847" s="77"/>
      <c r="H847" s="77"/>
      <c r="I847" s="77"/>
      <c r="J847" s="77"/>
      <c r="K847" s="79"/>
      <c r="L847" s="49">
        <f t="shared" si="66"/>
        <v>0</v>
      </c>
      <c r="M847" s="50">
        <f t="shared" si="67"/>
        <v>0</v>
      </c>
    </row>
    <row r="848" spans="1:13" x14ac:dyDescent="0.2">
      <c r="A848" s="18"/>
      <c r="B848" s="77"/>
      <c r="C848" s="77"/>
      <c r="D848" s="78"/>
      <c r="E848" s="77"/>
      <c r="F848" s="77"/>
      <c r="G848" s="77"/>
      <c r="H848" s="77"/>
      <c r="I848" s="77"/>
      <c r="J848" s="77"/>
      <c r="K848" s="79"/>
      <c r="L848" s="49">
        <f t="shared" si="66"/>
        <v>0</v>
      </c>
      <c r="M848" s="50">
        <f t="shared" si="67"/>
        <v>0</v>
      </c>
    </row>
    <row r="849" spans="1:13" x14ac:dyDescent="0.2">
      <c r="A849" s="18"/>
      <c r="B849" s="77"/>
      <c r="C849" s="77"/>
      <c r="D849" s="78"/>
      <c r="E849" s="77"/>
      <c r="F849" s="77"/>
      <c r="G849" s="77"/>
      <c r="H849" s="77"/>
      <c r="I849" s="77"/>
      <c r="J849" s="77"/>
      <c r="K849" s="79"/>
      <c r="L849" s="49">
        <f t="shared" si="66"/>
        <v>0</v>
      </c>
      <c r="M849" s="50">
        <f t="shared" si="67"/>
        <v>0</v>
      </c>
    </row>
    <row r="850" spans="1:13" x14ac:dyDescent="0.2">
      <c r="A850" s="18"/>
      <c r="B850" s="77"/>
      <c r="C850" s="77"/>
      <c r="D850" s="78"/>
      <c r="E850" s="77"/>
      <c r="F850" s="77"/>
      <c r="G850" s="77"/>
      <c r="H850" s="77"/>
      <c r="I850" s="77"/>
      <c r="J850" s="77"/>
      <c r="K850" s="79"/>
      <c r="L850" s="49">
        <f t="shared" si="66"/>
        <v>0</v>
      </c>
      <c r="M850" s="50">
        <f t="shared" si="67"/>
        <v>0</v>
      </c>
    </row>
    <row r="851" spans="1:13" x14ac:dyDescent="0.2">
      <c r="A851" s="18"/>
      <c r="B851" s="77"/>
      <c r="C851" s="77"/>
      <c r="D851" s="78"/>
      <c r="E851" s="77"/>
      <c r="F851" s="77"/>
      <c r="G851" s="77"/>
      <c r="H851" s="77"/>
      <c r="I851" s="77"/>
      <c r="J851" s="77"/>
      <c r="K851" s="79"/>
      <c r="L851" s="49">
        <f t="shared" si="66"/>
        <v>0</v>
      </c>
      <c r="M851" s="50">
        <f t="shared" si="67"/>
        <v>0</v>
      </c>
    </row>
    <row r="852" spans="1:13" x14ac:dyDescent="0.2">
      <c r="A852" s="18"/>
      <c r="B852" s="77"/>
      <c r="C852" s="77"/>
      <c r="D852" s="78"/>
      <c r="E852" s="77"/>
      <c r="F852" s="77"/>
      <c r="G852" s="77"/>
      <c r="H852" s="77"/>
      <c r="I852" s="77"/>
      <c r="J852" s="77"/>
      <c r="K852" s="79"/>
      <c r="L852" s="49">
        <f t="shared" si="66"/>
        <v>0</v>
      </c>
      <c r="M852" s="50">
        <f t="shared" si="67"/>
        <v>0</v>
      </c>
    </row>
    <row r="853" spans="1:13" x14ac:dyDescent="0.2">
      <c r="A853" s="18"/>
      <c r="B853" s="77"/>
      <c r="C853" s="77"/>
      <c r="D853" s="78"/>
      <c r="E853" s="77"/>
      <c r="F853" s="77"/>
      <c r="G853" s="77"/>
      <c r="H853" s="77"/>
      <c r="I853" s="77"/>
      <c r="J853" s="77"/>
      <c r="K853" s="79"/>
      <c r="L853" s="49">
        <f t="shared" si="66"/>
        <v>0</v>
      </c>
      <c r="M853" s="50">
        <f t="shared" si="67"/>
        <v>0</v>
      </c>
    </row>
    <row r="854" spans="1:13" x14ac:dyDescent="0.2">
      <c r="A854" s="18"/>
      <c r="B854" s="77"/>
      <c r="C854" s="77"/>
      <c r="D854" s="78"/>
      <c r="E854" s="77"/>
      <c r="F854" s="77"/>
      <c r="G854" s="77"/>
      <c r="H854" s="77"/>
      <c r="I854" s="77"/>
      <c r="J854" s="77"/>
      <c r="K854" s="79"/>
      <c r="L854" s="49">
        <f t="shared" si="66"/>
        <v>0</v>
      </c>
      <c r="M854" s="50">
        <f t="shared" si="67"/>
        <v>0</v>
      </c>
    </row>
    <row r="855" spans="1:13" x14ac:dyDescent="0.2">
      <c r="A855" s="18"/>
      <c r="B855" s="77"/>
      <c r="C855" s="77"/>
      <c r="D855" s="78"/>
      <c r="E855" s="77"/>
      <c r="F855" s="77"/>
      <c r="G855" s="77"/>
      <c r="H855" s="77"/>
      <c r="I855" s="77"/>
      <c r="J855" s="77"/>
      <c r="K855" s="79"/>
      <c r="L855" s="49">
        <f t="shared" si="66"/>
        <v>0</v>
      </c>
      <c r="M855" s="50">
        <f t="shared" si="67"/>
        <v>0</v>
      </c>
    </row>
    <row r="856" spans="1:13" x14ac:dyDescent="0.2">
      <c r="A856" s="18"/>
      <c r="B856" s="77"/>
      <c r="C856" s="77"/>
      <c r="D856" s="78"/>
      <c r="E856" s="77"/>
      <c r="F856" s="77"/>
      <c r="G856" s="77"/>
      <c r="H856" s="77"/>
      <c r="I856" s="77"/>
      <c r="J856" s="77"/>
      <c r="K856" s="79"/>
      <c r="L856" s="49">
        <f t="shared" si="66"/>
        <v>0</v>
      </c>
      <c r="M856" s="50">
        <f t="shared" si="67"/>
        <v>0</v>
      </c>
    </row>
    <row r="857" spans="1:13" x14ac:dyDescent="0.2">
      <c r="A857" s="18"/>
      <c r="B857" s="77"/>
      <c r="C857" s="77"/>
      <c r="D857" s="78"/>
      <c r="E857" s="77"/>
      <c r="F857" s="77"/>
      <c r="G857" s="77"/>
      <c r="H857" s="77"/>
      <c r="I857" s="77"/>
      <c r="J857" s="77"/>
      <c r="K857" s="79"/>
      <c r="L857" s="49">
        <f t="shared" si="66"/>
        <v>0</v>
      </c>
      <c r="M857" s="50">
        <f t="shared" si="67"/>
        <v>0</v>
      </c>
    </row>
    <row r="858" spans="1:13" x14ac:dyDescent="0.2">
      <c r="A858" s="18"/>
      <c r="B858" s="77"/>
      <c r="C858" s="77"/>
      <c r="D858" s="78"/>
      <c r="E858" s="77"/>
      <c r="F858" s="77"/>
      <c r="G858" s="77"/>
      <c r="H858" s="77"/>
      <c r="I858" s="77"/>
      <c r="J858" s="77"/>
      <c r="K858" s="79"/>
      <c r="L858" s="49">
        <f t="shared" si="66"/>
        <v>0</v>
      </c>
      <c r="M858" s="50">
        <f t="shared" si="67"/>
        <v>0</v>
      </c>
    </row>
    <row r="859" spans="1:13" x14ac:dyDescent="0.2">
      <c r="A859" s="18"/>
      <c r="B859" s="77"/>
      <c r="C859" s="77"/>
      <c r="D859" s="78"/>
      <c r="E859" s="77"/>
      <c r="F859" s="77"/>
      <c r="G859" s="77"/>
      <c r="H859" s="77"/>
      <c r="I859" s="77"/>
      <c r="J859" s="77"/>
      <c r="K859" s="79"/>
      <c r="L859" s="49">
        <f t="shared" si="66"/>
        <v>0</v>
      </c>
      <c r="M859" s="50">
        <f t="shared" si="67"/>
        <v>0</v>
      </c>
    </row>
    <row r="860" spans="1:13" x14ac:dyDescent="0.2">
      <c r="A860" s="18"/>
      <c r="B860" s="77"/>
      <c r="C860" s="77"/>
      <c r="D860" s="78"/>
      <c r="E860" s="77"/>
      <c r="F860" s="77"/>
      <c r="G860" s="77"/>
      <c r="H860" s="77"/>
      <c r="I860" s="77"/>
      <c r="J860" s="77"/>
      <c r="K860" s="79"/>
      <c r="L860" s="49">
        <f t="shared" si="66"/>
        <v>0</v>
      </c>
      <c r="M860" s="50">
        <f t="shared" si="67"/>
        <v>0</v>
      </c>
    </row>
    <row r="861" spans="1:13" x14ac:dyDescent="0.2">
      <c r="A861" s="18"/>
      <c r="B861" s="77"/>
      <c r="C861" s="77"/>
      <c r="D861" s="78"/>
      <c r="E861" s="77"/>
      <c r="F861" s="77"/>
      <c r="G861" s="77"/>
      <c r="H861" s="77"/>
      <c r="I861" s="77"/>
      <c r="J861" s="77"/>
      <c r="K861" s="79"/>
      <c r="L861" s="49">
        <f t="shared" si="66"/>
        <v>0</v>
      </c>
      <c r="M861" s="50">
        <f t="shared" si="67"/>
        <v>0</v>
      </c>
    </row>
    <row r="862" spans="1:13" x14ac:dyDescent="0.2">
      <c r="A862" s="18"/>
      <c r="B862" s="77"/>
      <c r="C862" s="77"/>
      <c r="D862" s="78"/>
      <c r="E862" s="77"/>
      <c r="F862" s="77"/>
      <c r="G862" s="77"/>
      <c r="H862" s="77"/>
      <c r="I862" s="77"/>
      <c r="J862" s="77"/>
      <c r="K862" s="79"/>
      <c r="L862" s="49">
        <f t="shared" si="66"/>
        <v>0</v>
      </c>
      <c r="M862" s="50">
        <f t="shared" si="67"/>
        <v>0</v>
      </c>
    </row>
    <row r="863" spans="1:13" x14ac:dyDescent="0.2">
      <c r="A863" s="18"/>
      <c r="B863" s="77"/>
      <c r="C863" s="77"/>
      <c r="D863" s="78"/>
      <c r="E863" s="77"/>
      <c r="F863" s="77"/>
      <c r="G863" s="77"/>
      <c r="H863" s="77"/>
      <c r="I863" s="77"/>
      <c r="J863" s="77"/>
      <c r="K863" s="79"/>
      <c r="L863" s="49">
        <f t="shared" si="66"/>
        <v>0</v>
      </c>
      <c r="M863" s="50">
        <f t="shared" si="67"/>
        <v>0</v>
      </c>
    </row>
    <row r="864" spans="1:13" x14ac:dyDescent="0.2">
      <c r="A864" s="18"/>
      <c r="B864" s="77"/>
      <c r="C864" s="77"/>
      <c r="D864" s="78"/>
      <c r="E864" s="77"/>
      <c r="F864" s="77"/>
      <c r="G864" s="77"/>
      <c r="H864" s="77"/>
      <c r="I864" s="77"/>
      <c r="J864" s="77"/>
      <c r="K864" s="79"/>
      <c r="L864" s="49">
        <f t="shared" si="66"/>
        <v>0</v>
      </c>
      <c r="M864" s="50">
        <f t="shared" si="67"/>
        <v>0</v>
      </c>
    </row>
    <row r="865" spans="1:13" x14ac:dyDescent="0.2">
      <c r="A865" s="18"/>
      <c r="B865" s="77"/>
      <c r="C865" s="77"/>
      <c r="D865" s="78"/>
      <c r="E865" s="77"/>
      <c r="F865" s="77"/>
      <c r="G865" s="77"/>
      <c r="H865" s="77"/>
      <c r="I865" s="77"/>
      <c r="J865" s="77"/>
      <c r="K865" s="79"/>
      <c r="L865" s="49">
        <f t="shared" si="66"/>
        <v>0</v>
      </c>
      <c r="M865" s="50">
        <f t="shared" si="67"/>
        <v>0</v>
      </c>
    </row>
    <row r="866" spans="1:13" x14ac:dyDescent="0.2">
      <c r="A866" s="18"/>
      <c r="B866" s="77"/>
      <c r="C866" s="77"/>
      <c r="D866" s="78"/>
      <c r="E866" s="77"/>
      <c r="F866" s="77"/>
      <c r="G866" s="77"/>
      <c r="H866" s="77"/>
      <c r="I866" s="77"/>
      <c r="J866" s="77"/>
      <c r="K866" s="79"/>
      <c r="L866" s="49">
        <f t="shared" si="66"/>
        <v>0</v>
      </c>
      <c r="M866" s="50">
        <f t="shared" si="67"/>
        <v>0</v>
      </c>
    </row>
    <row r="867" spans="1:13" x14ac:dyDescent="0.2">
      <c r="A867" s="18"/>
      <c r="B867" s="77"/>
      <c r="C867" s="77"/>
      <c r="D867" s="78"/>
      <c r="E867" s="77"/>
      <c r="F867" s="77"/>
      <c r="G867" s="77"/>
      <c r="H867" s="77"/>
      <c r="I867" s="77"/>
      <c r="J867" s="77"/>
      <c r="K867" s="79"/>
      <c r="L867" s="49">
        <f t="shared" si="66"/>
        <v>0</v>
      </c>
      <c r="M867" s="50">
        <f t="shared" si="67"/>
        <v>0</v>
      </c>
    </row>
    <row r="868" spans="1:13" x14ac:dyDescent="0.2">
      <c r="A868" s="18"/>
      <c r="B868" s="77"/>
      <c r="C868" s="77"/>
      <c r="D868" s="78"/>
      <c r="E868" s="77"/>
      <c r="F868" s="77"/>
      <c r="G868" s="77"/>
      <c r="H868" s="77"/>
      <c r="I868" s="77"/>
      <c r="J868" s="77"/>
      <c r="K868" s="79"/>
      <c r="L868" s="49">
        <f t="shared" si="66"/>
        <v>0</v>
      </c>
      <c r="M868" s="50">
        <f t="shared" si="67"/>
        <v>0</v>
      </c>
    </row>
    <row r="869" spans="1:13" x14ac:dyDescent="0.2">
      <c r="A869" s="18"/>
      <c r="B869" s="77"/>
      <c r="C869" s="77"/>
      <c r="D869" s="78"/>
      <c r="E869" s="77"/>
      <c r="F869" s="77"/>
      <c r="G869" s="77"/>
      <c r="H869" s="77"/>
      <c r="I869" s="77"/>
      <c r="J869" s="77"/>
      <c r="K869" s="79"/>
      <c r="L869" s="49">
        <f t="shared" si="66"/>
        <v>0</v>
      </c>
      <c r="M869" s="50">
        <f t="shared" si="67"/>
        <v>0</v>
      </c>
    </row>
    <row r="870" spans="1:13" x14ac:dyDescent="0.2">
      <c r="A870" s="18"/>
      <c r="B870" s="77"/>
      <c r="C870" s="77"/>
      <c r="D870" s="78"/>
      <c r="E870" s="77"/>
      <c r="F870" s="77"/>
      <c r="G870" s="77"/>
      <c r="H870" s="77"/>
      <c r="I870" s="77"/>
      <c r="J870" s="77"/>
      <c r="K870" s="79"/>
      <c r="L870" s="49">
        <f t="shared" si="66"/>
        <v>0</v>
      </c>
      <c r="M870" s="50">
        <f t="shared" si="67"/>
        <v>0</v>
      </c>
    </row>
    <row r="871" spans="1:13" x14ac:dyDescent="0.2">
      <c r="A871" s="18"/>
      <c r="B871" s="77"/>
      <c r="C871" s="77"/>
      <c r="D871" s="78"/>
      <c r="E871" s="77"/>
      <c r="F871" s="77"/>
      <c r="G871" s="77"/>
      <c r="H871" s="77"/>
      <c r="I871" s="77"/>
      <c r="J871" s="77"/>
      <c r="K871" s="79"/>
      <c r="L871" s="49">
        <f t="shared" si="66"/>
        <v>0</v>
      </c>
      <c r="M871" s="50">
        <f t="shared" si="67"/>
        <v>0</v>
      </c>
    </row>
    <row r="872" spans="1:13" x14ac:dyDescent="0.2">
      <c r="A872" s="18"/>
      <c r="B872" s="77"/>
      <c r="C872" s="77"/>
      <c r="D872" s="78"/>
      <c r="E872" s="77"/>
      <c r="F872" s="77"/>
      <c r="G872" s="77"/>
      <c r="H872" s="77"/>
      <c r="I872" s="77"/>
      <c r="J872" s="77"/>
      <c r="K872" s="79"/>
      <c r="L872" s="49">
        <f t="shared" si="66"/>
        <v>0</v>
      </c>
      <c r="M872" s="50">
        <f t="shared" si="67"/>
        <v>0</v>
      </c>
    </row>
    <row r="873" spans="1:13" x14ac:dyDescent="0.2">
      <c r="A873" s="18"/>
      <c r="B873" s="77"/>
      <c r="C873" s="77"/>
      <c r="D873" s="78"/>
      <c r="E873" s="77"/>
      <c r="F873" s="77"/>
      <c r="G873" s="77"/>
      <c r="H873" s="77"/>
      <c r="I873" s="77"/>
      <c r="J873" s="77"/>
      <c r="K873" s="79"/>
      <c r="L873" s="49">
        <f t="shared" si="66"/>
        <v>0</v>
      </c>
      <c r="M873" s="50">
        <f t="shared" si="67"/>
        <v>0</v>
      </c>
    </row>
    <row r="874" spans="1:13" x14ac:dyDescent="0.2">
      <c r="A874" s="18"/>
      <c r="B874" s="77"/>
      <c r="C874" s="77"/>
      <c r="D874" s="78"/>
      <c r="E874" s="77"/>
      <c r="F874" s="77"/>
      <c r="G874" s="77"/>
      <c r="H874" s="77"/>
      <c r="I874" s="77"/>
      <c r="J874" s="77"/>
      <c r="K874" s="79"/>
      <c r="L874" s="49">
        <f t="shared" si="66"/>
        <v>0</v>
      </c>
      <c r="M874" s="50">
        <f t="shared" si="67"/>
        <v>0</v>
      </c>
    </row>
    <row r="875" spans="1:13" x14ac:dyDescent="0.2">
      <c r="A875" s="18"/>
      <c r="B875" s="77"/>
      <c r="C875" s="77"/>
      <c r="D875" s="78"/>
      <c r="E875" s="77"/>
      <c r="F875" s="77"/>
      <c r="G875" s="77"/>
      <c r="H875" s="77"/>
      <c r="I875" s="77"/>
      <c r="J875" s="77"/>
      <c r="K875" s="79"/>
      <c r="L875" s="49">
        <f t="shared" si="66"/>
        <v>0</v>
      </c>
      <c r="M875" s="50">
        <f t="shared" si="67"/>
        <v>0</v>
      </c>
    </row>
    <row r="876" spans="1:13" x14ac:dyDescent="0.2">
      <c r="A876" s="18"/>
      <c r="B876" s="77"/>
      <c r="C876" s="77"/>
      <c r="D876" s="78"/>
      <c r="E876" s="77"/>
      <c r="F876" s="77"/>
      <c r="G876" s="77"/>
      <c r="H876" s="77"/>
      <c r="I876" s="77"/>
      <c r="J876" s="77"/>
      <c r="K876" s="79"/>
      <c r="L876" s="49">
        <f t="shared" si="66"/>
        <v>0</v>
      </c>
      <c r="M876" s="50">
        <f t="shared" si="67"/>
        <v>0</v>
      </c>
    </row>
    <row r="877" spans="1:13" x14ac:dyDescent="0.2">
      <c r="A877" s="18"/>
      <c r="B877" s="77"/>
      <c r="C877" s="77"/>
      <c r="D877" s="78"/>
      <c r="E877" s="77"/>
      <c r="F877" s="77"/>
      <c r="G877" s="77"/>
      <c r="H877" s="77"/>
      <c r="I877" s="77"/>
      <c r="J877" s="77"/>
      <c r="K877" s="79"/>
      <c r="L877" s="49">
        <f t="shared" si="66"/>
        <v>0</v>
      </c>
      <c r="M877" s="50">
        <f t="shared" si="67"/>
        <v>0</v>
      </c>
    </row>
    <row r="878" spans="1:13" x14ac:dyDescent="0.2">
      <c r="A878" s="18"/>
      <c r="B878" s="77"/>
      <c r="C878" s="77"/>
      <c r="D878" s="78"/>
      <c r="E878" s="77"/>
      <c r="F878" s="77"/>
      <c r="G878" s="77"/>
      <c r="H878" s="77"/>
      <c r="I878" s="77"/>
      <c r="J878" s="77"/>
      <c r="K878" s="79"/>
      <c r="L878" s="49">
        <f t="shared" si="66"/>
        <v>0</v>
      </c>
      <c r="M878" s="50">
        <f t="shared" si="67"/>
        <v>0</v>
      </c>
    </row>
    <row r="879" spans="1:13" x14ac:dyDescent="0.2">
      <c r="A879" s="18"/>
      <c r="B879" s="77"/>
      <c r="C879" s="77"/>
      <c r="D879" s="78"/>
      <c r="E879" s="77"/>
      <c r="F879" s="77"/>
      <c r="G879" s="77"/>
      <c r="H879" s="77"/>
      <c r="I879" s="77"/>
      <c r="J879" s="77"/>
      <c r="K879" s="79"/>
      <c r="L879" s="49">
        <f t="shared" si="66"/>
        <v>0</v>
      </c>
      <c r="M879" s="50">
        <f t="shared" si="67"/>
        <v>0</v>
      </c>
    </row>
    <row r="880" spans="1:13" x14ac:dyDescent="0.2">
      <c r="A880" s="18"/>
      <c r="B880" s="77"/>
      <c r="C880" s="77"/>
      <c r="D880" s="78"/>
      <c r="E880" s="77"/>
      <c r="F880" s="77"/>
      <c r="G880" s="77"/>
      <c r="H880" s="77"/>
      <c r="I880" s="77"/>
      <c r="J880" s="77"/>
      <c r="K880" s="79"/>
      <c r="L880" s="49">
        <f t="shared" si="66"/>
        <v>0</v>
      </c>
      <c r="M880" s="50">
        <f t="shared" si="67"/>
        <v>0</v>
      </c>
    </row>
    <row r="881" spans="1:13" x14ac:dyDescent="0.2">
      <c r="A881" s="18"/>
      <c r="B881" s="77"/>
      <c r="C881" s="77"/>
      <c r="D881" s="78"/>
      <c r="E881" s="77"/>
      <c r="F881" s="77"/>
      <c r="G881" s="77"/>
      <c r="H881" s="77"/>
      <c r="I881" s="77"/>
      <c r="J881" s="77"/>
      <c r="K881" s="79"/>
      <c r="L881" s="49">
        <f t="shared" si="66"/>
        <v>0</v>
      </c>
      <c r="M881" s="50">
        <f t="shared" si="67"/>
        <v>0</v>
      </c>
    </row>
    <row r="882" spans="1:13" x14ac:dyDescent="0.2">
      <c r="A882" s="18"/>
      <c r="B882" s="86"/>
      <c r="C882" s="86"/>
      <c r="D882" s="87"/>
      <c r="E882" s="86"/>
      <c r="F882" s="86"/>
      <c r="G882" s="86"/>
      <c r="H882" s="86"/>
      <c r="I882" s="86"/>
      <c r="J882" s="86"/>
      <c r="K882" s="88"/>
      <c r="L882" s="49">
        <f t="shared" si="66"/>
        <v>0</v>
      </c>
      <c r="M882" s="50">
        <f t="shared" si="67"/>
        <v>0</v>
      </c>
    </row>
    <row r="883" spans="1:13" x14ac:dyDescent="0.2">
      <c r="A883" s="18"/>
      <c r="B883" s="77"/>
      <c r="C883" s="77"/>
      <c r="D883" s="78"/>
      <c r="E883" s="77"/>
      <c r="F883" s="77"/>
      <c r="G883" s="77"/>
      <c r="H883" s="77"/>
      <c r="I883" s="77"/>
      <c r="J883" s="77"/>
      <c r="K883" s="79"/>
      <c r="L883" s="49">
        <f t="shared" ref="L883:L909" si="68">+K883*18%</f>
        <v>0</v>
      </c>
      <c r="M883" s="50">
        <f t="shared" ref="M883:M909" si="69">+K883+L883</f>
        <v>0</v>
      </c>
    </row>
    <row r="884" spans="1:13" x14ac:dyDescent="0.2">
      <c r="A884" s="18"/>
      <c r="B884" s="77"/>
      <c r="C884" s="77"/>
      <c r="D884" s="78"/>
      <c r="E884" s="77"/>
      <c r="F884" s="77"/>
      <c r="G884" s="77"/>
      <c r="H884" s="77"/>
      <c r="I884" s="77"/>
      <c r="J884" s="77"/>
      <c r="K884" s="79"/>
      <c r="L884" s="49">
        <f t="shared" si="68"/>
        <v>0</v>
      </c>
      <c r="M884" s="50">
        <f t="shared" si="69"/>
        <v>0</v>
      </c>
    </row>
    <row r="885" spans="1:13" x14ac:dyDescent="0.2">
      <c r="A885" s="18"/>
      <c r="B885" s="77"/>
      <c r="C885" s="77"/>
      <c r="D885" s="78"/>
      <c r="E885" s="77"/>
      <c r="F885" s="77"/>
      <c r="G885" s="77"/>
      <c r="H885" s="77"/>
      <c r="I885" s="77"/>
      <c r="J885" s="77"/>
      <c r="K885" s="79"/>
      <c r="L885" s="49">
        <f t="shared" si="68"/>
        <v>0</v>
      </c>
      <c r="M885" s="50">
        <f t="shared" si="69"/>
        <v>0</v>
      </c>
    </row>
    <row r="886" spans="1:13" x14ac:dyDescent="0.2">
      <c r="A886" s="18"/>
      <c r="B886" s="77"/>
      <c r="C886" s="77"/>
      <c r="D886" s="78"/>
      <c r="E886" s="77"/>
      <c r="F886" s="77"/>
      <c r="G886" s="77"/>
      <c r="H886" s="77"/>
      <c r="I886" s="77"/>
      <c r="J886" s="77"/>
      <c r="K886" s="79"/>
      <c r="L886" s="49">
        <f t="shared" si="68"/>
        <v>0</v>
      </c>
      <c r="M886" s="50">
        <f t="shared" si="69"/>
        <v>0</v>
      </c>
    </row>
    <row r="887" spans="1:13" x14ac:dyDescent="0.2">
      <c r="A887" s="18"/>
      <c r="B887" s="77"/>
      <c r="C887" s="77"/>
      <c r="D887" s="78"/>
      <c r="E887" s="77"/>
      <c r="F887" s="77"/>
      <c r="G887" s="77"/>
      <c r="H887" s="77"/>
      <c r="I887" s="77"/>
      <c r="J887" s="77"/>
      <c r="K887" s="79"/>
      <c r="L887" s="49">
        <f t="shared" si="68"/>
        <v>0</v>
      </c>
      <c r="M887" s="50">
        <f t="shared" si="69"/>
        <v>0</v>
      </c>
    </row>
    <row r="888" spans="1:13" x14ac:dyDescent="0.2">
      <c r="A888" s="18"/>
      <c r="B888" s="77"/>
      <c r="C888" s="77"/>
      <c r="D888" s="78"/>
      <c r="E888" s="77"/>
      <c r="F888" s="77"/>
      <c r="G888" s="77"/>
      <c r="H888" s="77"/>
      <c r="I888" s="77"/>
      <c r="J888" s="77"/>
      <c r="K888" s="79"/>
      <c r="L888" s="49">
        <f t="shared" si="68"/>
        <v>0</v>
      </c>
      <c r="M888" s="50">
        <f t="shared" si="69"/>
        <v>0</v>
      </c>
    </row>
    <row r="889" spans="1:13" x14ac:dyDescent="0.2">
      <c r="A889" s="18"/>
      <c r="B889" s="77"/>
      <c r="C889" s="77"/>
      <c r="D889" s="78"/>
      <c r="E889" s="77"/>
      <c r="F889" s="77"/>
      <c r="G889" s="77"/>
      <c r="H889" s="77"/>
      <c r="I889" s="77"/>
      <c r="J889" s="77"/>
      <c r="K889" s="79"/>
      <c r="L889" s="49">
        <f t="shared" si="68"/>
        <v>0</v>
      </c>
      <c r="M889" s="50">
        <f t="shared" si="69"/>
        <v>0</v>
      </c>
    </row>
    <row r="890" spans="1:13" x14ac:dyDescent="0.2">
      <c r="A890" s="18"/>
      <c r="B890" s="77"/>
      <c r="C890" s="77"/>
      <c r="D890" s="78"/>
      <c r="E890" s="77"/>
      <c r="F890" s="77"/>
      <c r="G890" s="77"/>
      <c r="H890" s="77"/>
      <c r="I890" s="77"/>
      <c r="J890" s="77"/>
      <c r="K890" s="79"/>
      <c r="L890" s="49">
        <f t="shared" si="68"/>
        <v>0</v>
      </c>
      <c r="M890" s="50">
        <f t="shared" si="69"/>
        <v>0</v>
      </c>
    </row>
    <row r="891" spans="1:13" x14ac:dyDescent="0.2">
      <c r="A891" s="18"/>
      <c r="B891" s="77"/>
      <c r="C891" s="77"/>
      <c r="D891" s="78"/>
      <c r="E891" s="77"/>
      <c r="F891" s="77"/>
      <c r="G891" s="77"/>
      <c r="H891" s="77"/>
      <c r="I891" s="77"/>
      <c r="J891" s="77"/>
      <c r="K891" s="79"/>
      <c r="L891" s="49">
        <f t="shared" si="68"/>
        <v>0</v>
      </c>
      <c r="M891" s="50">
        <f t="shared" si="69"/>
        <v>0</v>
      </c>
    </row>
    <row r="892" spans="1:13" x14ac:dyDescent="0.2">
      <c r="A892" s="18"/>
      <c r="B892" s="77"/>
      <c r="C892" s="77"/>
      <c r="D892" s="78"/>
      <c r="E892" s="77"/>
      <c r="F892" s="77"/>
      <c r="G892" s="77"/>
      <c r="H892" s="77"/>
      <c r="I892" s="77"/>
      <c r="J892" s="77"/>
      <c r="K892" s="79"/>
      <c r="L892" s="49">
        <f t="shared" si="68"/>
        <v>0</v>
      </c>
      <c r="M892" s="50">
        <f t="shared" si="69"/>
        <v>0</v>
      </c>
    </row>
    <row r="893" spans="1:13" x14ac:dyDescent="0.2">
      <c r="A893" s="18"/>
      <c r="B893" s="77"/>
      <c r="C893" s="77"/>
      <c r="D893" s="78"/>
      <c r="E893" s="77"/>
      <c r="F893" s="77"/>
      <c r="G893" s="77"/>
      <c r="H893" s="77"/>
      <c r="I893" s="77"/>
      <c r="J893" s="77"/>
      <c r="K893" s="79"/>
      <c r="L893" s="49">
        <f t="shared" si="68"/>
        <v>0</v>
      </c>
      <c r="M893" s="50">
        <f t="shared" si="69"/>
        <v>0</v>
      </c>
    </row>
    <row r="894" spans="1:13" x14ac:dyDescent="0.2">
      <c r="A894" s="18"/>
      <c r="B894" s="77"/>
      <c r="C894" s="77"/>
      <c r="D894" s="78"/>
      <c r="E894" s="77"/>
      <c r="F894" s="77"/>
      <c r="G894" s="77"/>
      <c r="H894" s="77"/>
      <c r="I894" s="77"/>
      <c r="J894" s="77"/>
      <c r="K894" s="79"/>
      <c r="L894" s="49">
        <f t="shared" si="68"/>
        <v>0</v>
      </c>
      <c r="M894" s="50">
        <f t="shared" si="69"/>
        <v>0</v>
      </c>
    </row>
    <row r="895" spans="1:13" x14ac:dyDescent="0.2">
      <c r="A895" s="18"/>
      <c r="B895" s="77"/>
      <c r="C895" s="77"/>
      <c r="D895" s="78"/>
      <c r="E895" s="77"/>
      <c r="F895" s="77"/>
      <c r="G895" s="77"/>
      <c r="H895" s="77"/>
      <c r="I895" s="77"/>
      <c r="J895" s="77"/>
      <c r="K895" s="79"/>
      <c r="L895" s="49">
        <f t="shared" si="68"/>
        <v>0</v>
      </c>
      <c r="M895" s="50">
        <f t="shared" si="69"/>
        <v>0</v>
      </c>
    </row>
    <row r="896" spans="1:13" x14ac:dyDescent="0.2">
      <c r="A896" s="18"/>
      <c r="B896" s="77"/>
      <c r="C896" s="77"/>
      <c r="D896" s="78"/>
      <c r="E896" s="77"/>
      <c r="F896" s="77"/>
      <c r="G896" s="77"/>
      <c r="H896" s="77"/>
      <c r="I896" s="77"/>
      <c r="J896" s="77"/>
      <c r="K896" s="79"/>
      <c r="L896" s="49">
        <f t="shared" si="68"/>
        <v>0</v>
      </c>
      <c r="M896" s="50">
        <f t="shared" si="69"/>
        <v>0</v>
      </c>
    </row>
    <row r="897" spans="1:13" x14ac:dyDescent="0.2">
      <c r="A897" s="18"/>
      <c r="B897" s="77"/>
      <c r="C897" s="77"/>
      <c r="D897" s="78"/>
      <c r="E897" s="77"/>
      <c r="F897" s="77"/>
      <c r="G897" s="77"/>
      <c r="H897" s="77"/>
      <c r="I897" s="77"/>
      <c r="J897" s="77"/>
      <c r="K897" s="79"/>
      <c r="L897" s="49">
        <f t="shared" si="68"/>
        <v>0</v>
      </c>
      <c r="M897" s="50">
        <f t="shared" si="69"/>
        <v>0</v>
      </c>
    </row>
    <row r="898" spans="1:13" x14ac:dyDescent="0.2">
      <c r="A898" s="18"/>
      <c r="B898" s="77"/>
      <c r="C898" s="77"/>
      <c r="D898" s="78"/>
      <c r="E898" s="77"/>
      <c r="F898" s="77"/>
      <c r="G898" s="77"/>
      <c r="H898" s="77"/>
      <c r="I898" s="77"/>
      <c r="J898" s="77"/>
      <c r="K898" s="79"/>
      <c r="L898" s="49">
        <f t="shared" si="68"/>
        <v>0</v>
      </c>
      <c r="M898" s="50">
        <f t="shared" si="69"/>
        <v>0</v>
      </c>
    </row>
    <row r="899" spans="1:13" x14ac:dyDescent="0.2">
      <c r="A899" s="18"/>
      <c r="B899" s="77"/>
      <c r="C899" s="77"/>
      <c r="D899" s="78"/>
      <c r="E899" s="77"/>
      <c r="F899" s="77"/>
      <c r="G899" s="77"/>
      <c r="H899" s="77"/>
      <c r="I899" s="77"/>
      <c r="J899" s="77"/>
      <c r="K899" s="79"/>
      <c r="L899" s="49">
        <f t="shared" si="68"/>
        <v>0</v>
      </c>
      <c r="M899" s="50">
        <f t="shared" si="69"/>
        <v>0</v>
      </c>
    </row>
    <row r="900" spans="1:13" x14ac:dyDescent="0.2">
      <c r="A900" s="18"/>
      <c r="B900" s="77"/>
      <c r="C900" s="77"/>
      <c r="D900" s="78"/>
      <c r="E900" s="77"/>
      <c r="F900" s="77"/>
      <c r="G900" s="77"/>
      <c r="H900" s="77"/>
      <c r="I900" s="77"/>
      <c r="J900" s="77"/>
      <c r="K900" s="79"/>
      <c r="L900" s="49">
        <f t="shared" si="68"/>
        <v>0</v>
      </c>
      <c r="M900" s="50">
        <f t="shared" si="69"/>
        <v>0</v>
      </c>
    </row>
    <row r="901" spans="1:13" x14ac:dyDescent="0.2">
      <c r="A901" s="18"/>
      <c r="B901" s="77"/>
      <c r="C901" s="77"/>
      <c r="D901" s="78"/>
      <c r="E901" s="77"/>
      <c r="F901" s="77"/>
      <c r="G901" s="77"/>
      <c r="H901" s="77"/>
      <c r="I901" s="77"/>
      <c r="J901" s="77"/>
      <c r="K901" s="79"/>
      <c r="L901" s="49">
        <f t="shared" si="68"/>
        <v>0</v>
      </c>
      <c r="M901" s="50">
        <f t="shared" si="69"/>
        <v>0</v>
      </c>
    </row>
    <row r="902" spans="1:13" x14ac:dyDescent="0.2">
      <c r="A902" s="18"/>
      <c r="B902" s="77"/>
      <c r="C902" s="77"/>
      <c r="D902" s="78"/>
      <c r="E902" s="77"/>
      <c r="F902" s="77"/>
      <c r="G902" s="77"/>
      <c r="H902" s="77"/>
      <c r="I902" s="77"/>
      <c r="J902" s="77"/>
      <c r="K902" s="79"/>
      <c r="L902" s="49">
        <f t="shared" si="68"/>
        <v>0</v>
      </c>
      <c r="M902" s="50">
        <f t="shared" si="69"/>
        <v>0</v>
      </c>
    </row>
    <row r="903" spans="1:13" x14ac:dyDescent="0.2">
      <c r="A903" s="18"/>
      <c r="B903" s="77"/>
      <c r="C903" s="77"/>
      <c r="D903" s="78"/>
      <c r="E903" s="77"/>
      <c r="F903" s="77"/>
      <c r="G903" s="77"/>
      <c r="H903" s="77"/>
      <c r="I903" s="77"/>
      <c r="J903" s="77"/>
      <c r="K903" s="79"/>
      <c r="L903" s="49">
        <f t="shared" si="68"/>
        <v>0</v>
      </c>
      <c r="M903" s="50">
        <f t="shared" si="69"/>
        <v>0</v>
      </c>
    </row>
    <row r="904" spans="1:13" x14ac:dyDescent="0.2">
      <c r="A904" s="18"/>
      <c r="B904" s="77"/>
      <c r="C904" s="77"/>
      <c r="D904" s="78"/>
      <c r="E904" s="77"/>
      <c r="F904" s="77"/>
      <c r="G904" s="77"/>
      <c r="H904" s="77"/>
      <c r="I904" s="77"/>
      <c r="J904" s="77"/>
      <c r="K904" s="79"/>
      <c r="L904" s="49">
        <f t="shared" si="68"/>
        <v>0</v>
      </c>
      <c r="M904" s="50">
        <f t="shared" si="69"/>
        <v>0</v>
      </c>
    </row>
    <row r="905" spans="1:13" x14ac:dyDescent="0.2">
      <c r="A905" s="18"/>
      <c r="B905" s="77"/>
      <c r="C905" s="77"/>
      <c r="D905" s="78"/>
      <c r="E905" s="77"/>
      <c r="F905" s="77"/>
      <c r="G905" s="77"/>
      <c r="H905" s="77"/>
      <c r="I905" s="77"/>
      <c r="J905" s="77"/>
      <c r="K905" s="79"/>
      <c r="L905" s="49">
        <f t="shared" si="68"/>
        <v>0</v>
      </c>
      <c r="M905" s="50">
        <f t="shared" si="69"/>
        <v>0</v>
      </c>
    </row>
    <row r="906" spans="1:13" x14ac:dyDescent="0.2">
      <c r="A906" s="18"/>
      <c r="B906" s="77"/>
      <c r="C906" s="77"/>
      <c r="D906" s="78"/>
      <c r="E906" s="77"/>
      <c r="F906" s="77"/>
      <c r="G906" s="77"/>
      <c r="H906" s="77"/>
      <c r="I906" s="77"/>
      <c r="J906" s="77"/>
      <c r="K906" s="79"/>
      <c r="L906" s="49">
        <f t="shared" si="68"/>
        <v>0</v>
      </c>
      <c r="M906" s="50">
        <f t="shared" si="69"/>
        <v>0</v>
      </c>
    </row>
    <row r="907" spans="1:13" x14ac:dyDescent="0.2">
      <c r="A907" s="18"/>
      <c r="B907" s="77"/>
      <c r="C907" s="77"/>
      <c r="D907" s="78"/>
      <c r="E907" s="77"/>
      <c r="F907" s="77"/>
      <c r="G907" s="77"/>
      <c r="H907" s="77"/>
      <c r="I907" s="77"/>
      <c r="J907" s="77"/>
      <c r="K907" s="79"/>
      <c r="L907" s="49">
        <f t="shared" si="68"/>
        <v>0</v>
      </c>
      <c r="M907" s="50">
        <f t="shared" si="69"/>
        <v>0</v>
      </c>
    </row>
    <row r="908" spans="1:13" x14ac:dyDescent="0.2">
      <c r="A908" s="18"/>
      <c r="B908" s="77"/>
      <c r="C908" s="77"/>
      <c r="D908" s="78"/>
      <c r="E908" s="77"/>
      <c r="F908" s="77"/>
      <c r="G908" s="77"/>
      <c r="H908" s="77"/>
      <c r="I908" s="77"/>
      <c r="J908" s="77"/>
      <c r="K908" s="79"/>
      <c r="L908" s="49">
        <f t="shared" si="68"/>
        <v>0</v>
      </c>
      <c r="M908" s="50">
        <f t="shared" si="69"/>
        <v>0</v>
      </c>
    </row>
    <row r="909" spans="1:13" x14ac:dyDescent="0.2">
      <c r="A909" s="18"/>
      <c r="B909" s="86"/>
      <c r="C909" s="86"/>
      <c r="D909" s="87"/>
      <c r="E909" s="86"/>
      <c r="F909" s="86"/>
      <c r="G909" s="86"/>
      <c r="H909" s="86"/>
      <c r="I909" s="86"/>
      <c r="J909" s="86"/>
      <c r="K909" s="88"/>
      <c r="L909" s="49">
        <f t="shared" si="68"/>
        <v>0</v>
      </c>
      <c r="M909" s="50">
        <f t="shared" si="69"/>
        <v>0</v>
      </c>
    </row>
    <row r="910" spans="1:13" x14ac:dyDescent="0.2">
      <c r="A910" s="18"/>
      <c r="B910" s="18"/>
      <c r="C910" s="18"/>
      <c r="D910" s="19"/>
      <c r="E910" s="18"/>
      <c r="F910" s="18"/>
      <c r="G910" s="18"/>
      <c r="H910" s="18"/>
      <c r="I910" s="18"/>
      <c r="J910" s="18"/>
      <c r="K910" s="18"/>
      <c r="L910" s="49">
        <f t="shared" ref="L910:L973" si="70">+K910*18%</f>
        <v>0</v>
      </c>
      <c r="M910" s="50">
        <f t="shared" ref="M910:M973" si="71">+K910+L910</f>
        <v>0</v>
      </c>
    </row>
    <row r="911" spans="1:13" x14ac:dyDescent="0.2">
      <c r="A911" s="18"/>
      <c r="B911" s="77"/>
      <c r="C911" s="77"/>
      <c r="D911" s="19"/>
      <c r="E911" s="18"/>
      <c r="F911" s="18"/>
      <c r="G911" s="18"/>
      <c r="H911" s="77"/>
      <c r="I911" s="77"/>
      <c r="J911" s="18"/>
      <c r="K911" s="18"/>
      <c r="L911" s="49">
        <f t="shared" si="70"/>
        <v>0</v>
      </c>
      <c r="M911" s="50">
        <f t="shared" si="71"/>
        <v>0</v>
      </c>
    </row>
    <row r="912" spans="1:13" x14ac:dyDescent="0.2">
      <c r="A912" s="18"/>
      <c r="B912" s="77"/>
      <c r="C912" s="77"/>
      <c r="D912" s="19"/>
      <c r="E912" s="18"/>
      <c r="F912" s="18"/>
      <c r="G912" s="18"/>
      <c r="H912" s="77"/>
      <c r="I912" s="77"/>
      <c r="J912" s="18"/>
      <c r="K912" s="18"/>
      <c r="L912" s="49">
        <f t="shared" si="70"/>
        <v>0</v>
      </c>
      <c r="M912" s="50">
        <f t="shared" si="71"/>
        <v>0</v>
      </c>
    </row>
    <row r="913" spans="1:13" x14ac:dyDescent="0.2">
      <c r="A913" s="18"/>
      <c r="B913" s="77"/>
      <c r="C913" s="77"/>
      <c r="D913" s="19"/>
      <c r="E913" s="18"/>
      <c r="F913" s="18"/>
      <c r="G913" s="18"/>
      <c r="H913" s="77"/>
      <c r="I913" s="77"/>
      <c r="J913" s="18"/>
      <c r="K913" s="18"/>
      <c r="L913" s="49">
        <f t="shared" si="70"/>
        <v>0</v>
      </c>
      <c r="M913" s="50">
        <f t="shared" si="71"/>
        <v>0</v>
      </c>
    </row>
    <row r="914" spans="1:13" x14ac:dyDescent="0.2">
      <c r="A914" s="18"/>
      <c r="B914" s="77"/>
      <c r="C914" s="77"/>
      <c r="D914" s="78"/>
      <c r="E914" s="77"/>
      <c r="F914" s="77"/>
      <c r="G914" s="18"/>
      <c r="H914" s="77"/>
      <c r="I914" s="77"/>
      <c r="J914" s="18"/>
      <c r="K914" s="18"/>
      <c r="L914" s="49">
        <f t="shared" si="70"/>
        <v>0</v>
      </c>
      <c r="M914" s="50">
        <f t="shared" si="71"/>
        <v>0</v>
      </c>
    </row>
    <row r="915" spans="1:13" x14ac:dyDescent="0.2">
      <c r="A915" s="18"/>
      <c r="B915" s="77"/>
      <c r="C915" s="77"/>
      <c r="D915" s="78"/>
      <c r="E915" s="77"/>
      <c r="F915" s="77"/>
      <c r="G915" s="18"/>
      <c r="H915" s="77"/>
      <c r="I915" s="77"/>
      <c r="J915" s="18"/>
      <c r="K915" s="18"/>
      <c r="L915" s="49">
        <f t="shared" si="70"/>
        <v>0</v>
      </c>
      <c r="M915" s="50">
        <f t="shared" si="71"/>
        <v>0</v>
      </c>
    </row>
    <row r="916" spans="1:13" x14ac:dyDescent="0.2">
      <c r="A916" s="18"/>
      <c r="B916" s="77"/>
      <c r="C916" s="77"/>
      <c r="D916" s="78"/>
      <c r="E916" s="77"/>
      <c r="F916" s="77"/>
      <c r="G916" s="77"/>
      <c r="H916" s="77"/>
      <c r="I916" s="77"/>
      <c r="J916" s="77"/>
      <c r="K916" s="79"/>
      <c r="L916" s="49">
        <f t="shared" si="70"/>
        <v>0</v>
      </c>
      <c r="M916" s="50">
        <f t="shared" si="71"/>
        <v>0</v>
      </c>
    </row>
    <row r="917" spans="1:13" x14ac:dyDescent="0.2">
      <c r="A917" s="18"/>
      <c r="B917" s="77"/>
      <c r="C917" s="77"/>
      <c r="D917" s="78"/>
      <c r="E917" s="77"/>
      <c r="F917" s="77"/>
      <c r="G917" s="77"/>
      <c r="H917" s="77"/>
      <c r="I917" s="77"/>
      <c r="J917" s="77"/>
      <c r="K917" s="79"/>
      <c r="L917" s="49">
        <f t="shared" si="70"/>
        <v>0</v>
      </c>
      <c r="M917" s="50">
        <f t="shared" si="71"/>
        <v>0</v>
      </c>
    </row>
    <row r="918" spans="1:13" x14ac:dyDescent="0.2">
      <c r="A918" s="18"/>
      <c r="B918" s="77"/>
      <c r="C918" s="77"/>
      <c r="D918" s="78"/>
      <c r="E918" s="77"/>
      <c r="F918" s="77"/>
      <c r="G918" s="77"/>
      <c r="H918" s="77"/>
      <c r="I918" s="77"/>
      <c r="J918" s="77"/>
      <c r="K918" s="79"/>
      <c r="L918" s="49">
        <f t="shared" si="70"/>
        <v>0</v>
      </c>
      <c r="M918" s="50">
        <f t="shared" si="71"/>
        <v>0</v>
      </c>
    </row>
    <row r="919" spans="1:13" x14ac:dyDescent="0.2">
      <c r="A919" s="18"/>
      <c r="B919" s="77"/>
      <c r="C919" s="77"/>
      <c r="D919" s="78"/>
      <c r="E919" s="77"/>
      <c r="F919" s="77"/>
      <c r="G919" s="77"/>
      <c r="H919" s="77"/>
      <c r="I919" s="77"/>
      <c r="J919" s="77"/>
      <c r="K919" s="79"/>
      <c r="L919" s="49">
        <f t="shared" si="70"/>
        <v>0</v>
      </c>
      <c r="M919" s="50">
        <f t="shared" si="71"/>
        <v>0</v>
      </c>
    </row>
    <row r="920" spans="1:13" x14ac:dyDescent="0.2">
      <c r="A920" s="18"/>
      <c r="B920" s="77"/>
      <c r="C920" s="77"/>
      <c r="D920" s="78"/>
      <c r="E920" s="77"/>
      <c r="F920" s="77"/>
      <c r="G920" s="77"/>
      <c r="H920" s="77"/>
      <c r="I920" s="77"/>
      <c r="J920" s="77"/>
      <c r="K920" s="79"/>
      <c r="L920" s="49">
        <f t="shared" si="70"/>
        <v>0</v>
      </c>
      <c r="M920" s="50">
        <f t="shared" si="71"/>
        <v>0</v>
      </c>
    </row>
    <row r="921" spans="1:13" x14ac:dyDescent="0.2">
      <c r="A921" s="18"/>
      <c r="B921" s="77"/>
      <c r="C921" s="77"/>
      <c r="D921" s="78"/>
      <c r="E921" s="77"/>
      <c r="F921" s="77"/>
      <c r="G921" s="77"/>
      <c r="H921" s="77"/>
      <c r="I921" s="77"/>
      <c r="J921" s="77"/>
      <c r="K921" s="79"/>
      <c r="L921" s="49">
        <f t="shared" si="70"/>
        <v>0</v>
      </c>
      <c r="M921" s="50">
        <f t="shared" si="71"/>
        <v>0</v>
      </c>
    </row>
    <row r="922" spans="1:13" x14ac:dyDescent="0.2">
      <c r="A922" s="18"/>
      <c r="B922" s="77"/>
      <c r="C922" s="77"/>
      <c r="D922" s="78"/>
      <c r="E922" s="77"/>
      <c r="F922" s="77"/>
      <c r="G922" s="77"/>
      <c r="H922" s="77"/>
      <c r="I922" s="77"/>
      <c r="J922" s="77"/>
      <c r="K922" s="79"/>
      <c r="L922" s="49">
        <f t="shared" si="70"/>
        <v>0</v>
      </c>
      <c r="M922" s="50">
        <f t="shared" si="71"/>
        <v>0</v>
      </c>
    </row>
    <row r="923" spans="1:13" x14ac:dyDescent="0.2">
      <c r="A923" s="18"/>
      <c r="B923" s="77"/>
      <c r="C923" s="77"/>
      <c r="D923" s="78"/>
      <c r="E923" s="77"/>
      <c r="F923" s="77"/>
      <c r="G923" s="77"/>
      <c r="H923" s="77"/>
      <c r="I923" s="77"/>
      <c r="J923" s="77"/>
      <c r="K923" s="79"/>
      <c r="L923" s="49">
        <f t="shared" si="70"/>
        <v>0</v>
      </c>
      <c r="M923" s="50">
        <f t="shared" si="71"/>
        <v>0</v>
      </c>
    </row>
    <row r="924" spans="1:13" x14ac:dyDescent="0.2">
      <c r="A924" s="18"/>
      <c r="B924" s="77"/>
      <c r="C924" s="77"/>
      <c r="D924" s="78"/>
      <c r="E924" s="77"/>
      <c r="F924" s="77"/>
      <c r="G924" s="77"/>
      <c r="H924" s="77"/>
      <c r="I924" s="77"/>
      <c r="J924" s="77"/>
      <c r="K924" s="79"/>
      <c r="L924" s="49">
        <f t="shared" si="70"/>
        <v>0</v>
      </c>
      <c r="M924" s="50">
        <f t="shared" si="71"/>
        <v>0</v>
      </c>
    </row>
    <row r="925" spans="1:13" x14ac:dyDescent="0.2">
      <c r="A925" s="18"/>
      <c r="B925" s="77"/>
      <c r="C925" s="77"/>
      <c r="D925" s="78"/>
      <c r="E925" s="77"/>
      <c r="F925" s="77"/>
      <c r="G925" s="77"/>
      <c r="H925" s="77"/>
      <c r="I925" s="77"/>
      <c r="J925" s="77"/>
      <c r="K925" s="79"/>
      <c r="L925" s="49">
        <f t="shared" si="70"/>
        <v>0</v>
      </c>
      <c r="M925" s="50">
        <f t="shared" si="71"/>
        <v>0</v>
      </c>
    </row>
    <row r="926" spans="1:13" x14ac:dyDescent="0.2">
      <c r="A926" s="18"/>
      <c r="B926" s="77"/>
      <c r="C926" s="77"/>
      <c r="D926" s="78"/>
      <c r="E926" s="77"/>
      <c r="F926" s="77"/>
      <c r="G926" s="77"/>
      <c r="H926" s="77"/>
      <c r="I926" s="77"/>
      <c r="J926" s="77"/>
      <c r="K926" s="79"/>
      <c r="L926" s="49">
        <f t="shared" si="70"/>
        <v>0</v>
      </c>
      <c r="M926" s="50">
        <f t="shared" si="71"/>
        <v>0</v>
      </c>
    </row>
    <row r="927" spans="1:13" x14ac:dyDescent="0.2">
      <c r="A927" s="18"/>
      <c r="B927" s="77"/>
      <c r="C927" s="77"/>
      <c r="D927" s="78"/>
      <c r="E927" s="77"/>
      <c r="F927" s="77"/>
      <c r="G927" s="77"/>
      <c r="H927" s="77"/>
      <c r="I927" s="77"/>
      <c r="J927" s="77"/>
      <c r="K927" s="79"/>
      <c r="L927" s="49">
        <f t="shared" si="70"/>
        <v>0</v>
      </c>
      <c r="M927" s="50">
        <f t="shared" si="71"/>
        <v>0</v>
      </c>
    </row>
    <row r="928" spans="1:13" x14ac:dyDescent="0.2">
      <c r="A928" s="18"/>
      <c r="B928" s="77"/>
      <c r="C928" s="77"/>
      <c r="D928" s="78"/>
      <c r="E928" s="77"/>
      <c r="F928" s="77"/>
      <c r="G928" s="77"/>
      <c r="H928" s="77"/>
      <c r="I928" s="77"/>
      <c r="J928" s="77"/>
      <c r="K928" s="79"/>
      <c r="L928" s="49">
        <f t="shared" si="70"/>
        <v>0</v>
      </c>
      <c r="M928" s="50">
        <f t="shared" si="71"/>
        <v>0</v>
      </c>
    </row>
    <row r="929" spans="1:13" x14ac:dyDescent="0.2">
      <c r="A929" s="18"/>
      <c r="B929" s="77"/>
      <c r="C929" s="77"/>
      <c r="D929" s="78"/>
      <c r="E929" s="77"/>
      <c r="F929" s="77"/>
      <c r="G929" s="77"/>
      <c r="H929" s="77"/>
      <c r="I929" s="77"/>
      <c r="J929" s="77"/>
      <c r="K929" s="79"/>
      <c r="L929" s="49">
        <f t="shared" si="70"/>
        <v>0</v>
      </c>
      <c r="M929" s="50">
        <f t="shared" si="71"/>
        <v>0</v>
      </c>
    </row>
    <row r="930" spans="1:13" x14ac:dyDescent="0.2">
      <c r="A930" s="18"/>
      <c r="B930" s="77"/>
      <c r="C930" s="77"/>
      <c r="D930" s="78"/>
      <c r="E930" s="77"/>
      <c r="F930" s="77"/>
      <c r="G930" s="77"/>
      <c r="H930" s="77"/>
      <c r="I930" s="77"/>
      <c r="J930" s="77"/>
      <c r="K930" s="79"/>
      <c r="L930" s="49">
        <f t="shared" si="70"/>
        <v>0</v>
      </c>
      <c r="M930" s="50">
        <f t="shared" si="71"/>
        <v>0</v>
      </c>
    </row>
    <row r="931" spans="1:13" x14ac:dyDescent="0.2">
      <c r="A931" s="18"/>
      <c r="B931" s="77"/>
      <c r="C931" s="77"/>
      <c r="D931" s="78"/>
      <c r="E931" s="77"/>
      <c r="F931" s="77"/>
      <c r="G931" s="77"/>
      <c r="H931" s="77"/>
      <c r="I931" s="77"/>
      <c r="J931" s="77"/>
      <c r="K931" s="79"/>
      <c r="L931" s="49">
        <f t="shared" si="70"/>
        <v>0</v>
      </c>
      <c r="M931" s="50">
        <f t="shared" si="71"/>
        <v>0</v>
      </c>
    </row>
    <row r="932" spans="1:13" x14ac:dyDescent="0.2">
      <c r="A932" s="18"/>
      <c r="B932" s="77"/>
      <c r="C932" s="77"/>
      <c r="D932" s="78"/>
      <c r="E932" s="77"/>
      <c r="F932" s="77"/>
      <c r="G932" s="77"/>
      <c r="H932" s="77"/>
      <c r="I932" s="77"/>
      <c r="J932" s="77"/>
      <c r="K932" s="79"/>
      <c r="L932" s="49">
        <f t="shared" si="70"/>
        <v>0</v>
      </c>
      <c r="M932" s="50">
        <f t="shared" si="71"/>
        <v>0</v>
      </c>
    </row>
    <row r="933" spans="1:13" x14ac:dyDescent="0.2">
      <c r="A933" s="18"/>
      <c r="B933" s="77"/>
      <c r="C933" s="77"/>
      <c r="D933" s="78"/>
      <c r="E933" s="77"/>
      <c r="F933" s="77"/>
      <c r="G933" s="77"/>
      <c r="H933" s="77"/>
      <c r="I933" s="77"/>
      <c r="J933" s="77"/>
      <c r="K933" s="79"/>
      <c r="L933" s="49">
        <f t="shared" si="70"/>
        <v>0</v>
      </c>
      <c r="M933" s="50">
        <f t="shared" si="71"/>
        <v>0</v>
      </c>
    </row>
    <row r="934" spans="1:13" x14ac:dyDescent="0.2">
      <c r="A934" s="18"/>
      <c r="B934" s="77"/>
      <c r="C934" s="77"/>
      <c r="D934" s="78"/>
      <c r="E934" s="77"/>
      <c r="F934" s="77"/>
      <c r="G934" s="77"/>
      <c r="H934" s="77"/>
      <c r="I934" s="77"/>
      <c r="J934" s="77"/>
      <c r="K934" s="79"/>
      <c r="L934" s="49">
        <f t="shared" si="70"/>
        <v>0</v>
      </c>
      <c r="M934" s="50">
        <f t="shared" si="71"/>
        <v>0</v>
      </c>
    </row>
    <row r="935" spans="1:13" x14ac:dyDescent="0.2">
      <c r="A935" s="18"/>
      <c r="B935" s="77"/>
      <c r="C935" s="77"/>
      <c r="D935" s="78"/>
      <c r="E935" s="77"/>
      <c r="F935" s="77"/>
      <c r="G935" s="77"/>
      <c r="H935" s="77"/>
      <c r="I935" s="77"/>
      <c r="J935" s="77"/>
      <c r="K935" s="79"/>
      <c r="L935" s="49">
        <f t="shared" si="70"/>
        <v>0</v>
      </c>
      <c r="M935" s="50">
        <f t="shared" si="71"/>
        <v>0</v>
      </c>
    </row>
    <row r="936" spans="1:13" x14ac:dyDescent="0.2">
      <c r="A936" s="18"/>
      <c r="B936" s="77"/>
      <c r="C936" s="77"/>
      <c r="D936" s="78"/>
      <c r="E936" s="77"/>
      <c r="F936" s="77"/>
      <c r="G936" s="77"/>
      <c r="H936" s="77"/>
      <c r="I936" s="77"/>
      <c r="J936" s="77"/>
      <c r="K936" s="79"/>
      <c r="L936" s="49">
        <f t="shared" si="70"/>
        <v>0</v>
      </c>
      <c r="M936" s="50">
        <f t="shared" si="71"/>
        <v>0</v>
      </c>
    </row>
    <row r="937" spans="1:13" x14ac:dyDescent="0.2">
      <c r="A937" s="18"/>
      <c r="B937" s="77"/>
      <c r="C937" s="77"/>
      <c r="D937" s="78"/>
      <c r="E937" s="77"/>
      <c r="F937" s="77"/>
      <c r="G937" s="77"/>
      <c r="H937" s="77"/>
      <c r="I937" s="77"/>
      <c r="J937" s="77"/>
      <c r="K937" s="79"/>
      <c r="L937" s="49">
        <f t="shared" si="70"/>
        <v>0</v>
      </c>
      <c r="M937" s="50">
        <f t="shared" si="71"/>
        <v>0</v>
      </c>
    </row>
    <row r="938" spans="1:13" x14ac:dyDescent="0.2">
      <c r="A938" s="18"/>
      <c r="B938" s="77"/>
      <c r="C938" s="77"/>
      <c r="D938" s="78"/>
      <c r="E938" s="77"/>
      <c r="F938" s="77"/>
      <c r="G938" s="77"/>
      <c r="H938" s="77"/>
      <c r="I938" s="77"/>
      <c r="J938" s="77"/>
      <c r="K938" s="79"/>
      <c r="L938" s="49">
        <f t="shared" si="70"/>
        <v>0</v>
      </c>
      <c r="M938" s="50">
        <f t="shared" si="71"/>
        <v>0</v>
      </c>
    </row>
    <row r="939" spans="1:13" x14ac:dyDescent="0.2">
      <c r="A939" s="18"/>
      <c r="B939" s="77"/>
      <c r="C939" s="77"/>
      <c r="D939" s="78"/>
      <c r="E939" s="77"/>
      <c r="F939" s="77"/>
      <c r="G939" s="77"/>
      <c r="H939" s="77"/>
      <c r="I939" s="77"/>
      <c r="J939" s="77"/>
      <c r="K939" s="79"/>
      <c r="L939" s="49">
        <f t="shared" si="70"/>
        <v>0</v>
      </c>
      <c r="M939" s="50">
        <f t="shared" si="71"/>
        <v>0</v>
      </c>
    </row>
    <row r="940" spans="1:13" x14ac:dyDescent="0.2">
      <c r="A940" s="18"/>
      <c r="B940" s="77"/>
      <c r="C940" s="77"/>
      <c r="D940" s="78"/>
      <c r="E940" s="77"/>
      <c r="F940" s="77"/>
      <c r="G940" s="77"/>
      <c r="H940" s="77"/>
      <c r="I940" s="77"/>
      <c r="J940" s="77"/>
      <c r="K940" s="79"/>
      <c r="L940" s="49">
        <f t="shared" si="70"/>
        <v>0</v>
      </c>
      <c r="M940" s="50">
        <f t="shared" si="71"/>
        <v>0</v>
      </c>
    </row>
    <row r="941" spans="1:13" x14ac:dyDescent="0.2">
      <c r="A941" s="18"/>
      <c r="B941" s="77"/>
      <c r="C941" s="77"/>
      <c r="D941" s="78"/>
      <c r="E941" s="77"/>
      <c r="F941" s="77"/>
      <c r="G941" s="77"/>
      <c r="H941" s="77"/>
      <c r="I941" s="77"/>
      <c r="J941" s="77"/>
      <c r="K941" s="79"/>
      <c r="L941" s="49">
        <f t="shared" si="70"/>
        <v>0</v>
      </c>
      <c r="M941" s="50">
        <f t="shared" si="71"/>
        <v>0</v>
      </c>
    </row>
    <row r="942" spans="1:13" x14ac:dyDescent="0.2">
      <c r="A942" s="18"/>
      <c r="B942" s="77"/>
      <c r="C942" s="77"/>
      <c r="D942" s="78"/>
      <c r="E942" s="77"/>
      <c r="F942" s="77"/>
      <c r="G942" s="77"/>
      <c r="H942" s="77"/>
      <c r="I942" s="77"/>
      <c r="J942" s="77"/>
      <c r="K942" s="79"/>
      <c r="L942" s="49">
        <f t="shared" si="70"/>
        <v>0</v>
      </c>
      <c r="M942" s="50">
        <f t="shared" si="71"/>
        <v>0</v>
      </c>
    </row>
    <row r="943" spans="1:13" x14ac:dyDescent="0.2">
      <c r="A943" s="18"/>
      <c r="B943" s="77"/>
      <c r="C943" s="77"/>
      <c r="D943" s="78"/>
      <c r="E943" s="77"/>
      <c r="F943" s="77"/>
      <c r="G943" s="77"/>
      <c r="H943" s="77"/>
      <c r="I943" s="77"/>
      <c r="J943" s="77"/>
      <c r="K943" s="79"/>
      <c r="L943" s="49">
        <f t="shared" si="70"/>
        <v>0</v>
      </c>
      <c r="M943" s="50">
        <f t="shared" si="71"/>
        <v>0</v>
      </c>
    </row>
    <row r="944" spans="1:13" x14ac:dyDescent="0.2">
      <c r="A944" s="18"/>
      <c r="B944" s="77"/>
      <c r="C944" s="77"/>
      <c r="D944" s="78"/>
      <c r="E944" s="77"/>
      <c r="F944" s="77"/>
      <c r="G944" s="77"/>
      <c r="H944" s="77"/>
      <c r="I944" s="77"/>
      <c r="J944" s="77"/>
      <c r="K944" s="79"/>
      <c r="L944" s="49">
        <f t="shared" si="70"/>
        <v>0</v>
      </c>
      <c r="M944" s="50">
        <f t="shared" si="71"/>
        <v>0</v>
      </c>
    </row>
    <row r="945" spans="1:13" x14ac:dyDescent="0.2">
      <c r="A945" s="18"/>
      <c r="B945" s="77"/>
      <c r="C945" s="77"/>
      <c r="D945" s="78"/>
      <c r="E945" s="77"/>
      <c r="F945" s="77"/>
      <c r="G945" s="77"/>
      <c r="H945" s="77"/>
      <c r="I945" s="77"/>
      <c r="J945" s="77"/>
      <c r="K945" s="79"/>
      <c r="L945" s="49">
        <f t="shared" si="70"/>
        <v>0</v>
      </c>
      <c r="M945" s="50">
        <f t="shared" si="71"/>
        <v>0</v>
      </c>
    </row>
    <row r="946" spans="1:13" x14ac:dyDescent="0.2">
      <c r="A946" s="18"/>
      <c r="B946" s="77"/>
      <c r="C946" s="77"/>
      <c r="D946" s="78"/>
      <c r="E946" s="77"/>
      <c r="F946" s="77"/>
      <c r="G946" s="77"/>
      <c r="H946" s="77"/>
      <c r="I946" s="77"/>
      <c r="J946" s="77"/>
      <c r="K946" s="79"/>
      <c r="L946" s="49">
        <f t="shared" si="70"/>
        <v>0</v>
      </c>
      <c r="M946" s="50">
        <f t="shared" si="71"/>
        <v>0</v>
      </c>
    </row>
    <row r="947" spans="1:13" x14ac:dyDescent="0.2">
      <c r="A947" s="18"/>
      <c r="B947" s="77"/>
      <c r="C947" s="77"/>
      <c r="D947" s="78"/>
      <c r="E947" s="77"/>
      <c r="F947" s="77"/>
      <c r="G947" s="77"/>
      <c r="H947" s="77"/>
      <c r="I947" s="77"/>
      <c r="J947" s="77"/>
      <c r="K947" s="79"/>
      <c r="L947" s="49">
        <f t="shared" si="70"/>
        <v>0</v>
      </c>
      <c r="M947" s="50">
        <f t="shared" si="71"/>
        <v>0</v>
      </c>
    </row>
    <row r="948" spans="1:13" x14ac:dyDescent="0.2">
      <c r="A948" s="18"/>
      <c r="B948" s="77"/>
      <c r="C948" s="77"/>
      <c r="D948" s="78"/>
      <c r="E948" s="77"/>
      <c r="F948" s="77"/>
      <c r="G948" s="77"/>
      <c r="H948" s="77"/>
      <c r="I948" s="77"/>
      <c r="J948" s="77"/>
      <c r="K948" s="79"/>
      <c r="L948" s="49">
        <f t="shared" si="70"/>
        <v>0</v>
      </c>
      <c r="M948" s="50">
        <f t="shared" si="71"/>
        <v>0</v>
      </c>
    </row>
    <row r="949" spans="1:13" x14ac:dyDescent="0.2">
      <c r="A949" s="18"/>
      <c r="B949" s="77"/>
      <c r="C949" s="77"/>
      <c r="D949" s="78"/>
      <c r="E949" s="77"/>
      <c r="F949" s="77"/>
      <c r="G949" s="77"/>
      <c r="H949" s="77"/>
      <c r="I949" s="77"/>
      <c r="J949" s="77"/>
      <c r="K949" s="79"/>
      <c r="L949" s="49">
        <f t="shared" si="70"/>
        <v>0</v>
      </c>
      <c r="M949" s="50">
        <f t="shared" si="71"/>
        <v>0</v>
      </c>
    </row>
    <row r="950" spans="1:13" x14ac:dyDescent="0.2">
      <c r="A950" s="18"/>
      <c r="B950" s="77"/>
      <c r="C950" s="77"/>
      <c r="D950" s="78"/>
      <c r="E950" s="77"/>
      <c r="F950" s="77"/>
      <c r="G950" s="77"/>
      <c r="H950" s="77"/>
      <c r="I950" s="77"/>
      <c r="J950" s="77"/>
      <c r="K950" s="79"/>
      <c r="L950" s="49">
        <f t="shared" si="70"/>
        <v>0</v>
      </c>
      <c r="M950" s="50">
        <f t="shared" si="71"/>
        <v>0</v>
      </c>
    </row>
    <row r="951" spans="1:13" x14ac:dyDescent="0.2">
      <c r="A951" s="18"/>
      <c r="B951" s="77"/>
      <c r="C951" s="77"/>
      <c r="D951" s="78"/>
      <c r="E951" s="77"/>
      <c r="F951" s="77"/>
      <c r="G951" s="77"/>
      <c r="H951" s="77"/>
      <c r="I951" s="77"/>
      <c r="J951" s="77"/>
      <c r="K951" s="79"/>
      <c r="L951" s="49">
        <f t="shared" si="70"/>
        <v>0</v>
      </c>
      <c r="M951" s="50">
        <f t="shared" si="71"/>
        <v>0</v>
      </c>
    </row>
    <row r="952" spans="1:13" x14ac:dyDescent="0.2">
      <c r="A952" s="18"/>
      <c r="B952" s="77"/>
      <c r="C952" s="77"/>
      <c r="D952" s="78"/>
      <c r="E952" s="77"/>
      <c r="F952" s="77"/>
      <c r="G952" s="77"/>
      <c r="H952" s="77"/>
      <c r="I952" s="77"/>
      <c r="J952" s="77"/>
      <c r="K952" s="79"/>
      <c r="L952" s="49">
        <f t="shared" si="70"/>
        <v>0</v>
      </c>
      <c r="M952" s="50">
        <f t="shared" si="71"/>
        <v>0</v>
      </c>
    </row>
    <row r="953" spans="1:13" x14ac:dyDescent="0.2">
      <c r="A953" s="18"/>
      <c r="B953" s="77"/>
      <c r="C953" s="77"/>
      <c r="D953" s="78"/>
      <c r="E953" s="77"/>
      <c r="F953" s="77"/>
      <c r="G953" s="77"/>
      <c r="H953" s="77"/>
      <c r="I953" s="77"/>
      <c r="J953" s="77"/>
      <c r="K953" s="79"/>
      <c r="L953" s="49">
        <f t="shared" si="70"/>
        <v>0</v>
      </c>
      <c r="M953" s="50">
        <f t="shared" si="71"/>
        <v>0</v>
      </c>
    </row>
    <row r="954" spans="1:13" x14ac:dyDescent="0.2">
      <c r="A954" s="18"/>
      <c r="B954" s="77"/>
      <c r="C954" s="77"/>
      <c r="D954" s="78"/>
      <c r="E954" s="77"/>
      <c r="F954" s="77"/>
      <c r="G954" s="77"/>
      <c r="H954" s="77"/>
      <c r="I954" s="77"/>
      <c r="J954" s="77"/>
      <c r="K954" s="79"/>
      <c r="L954" s="49">
        <f t="shared" si="70"/>
        <v>0</v>
      </c>
      <c r="M954" s="50">
        <f t="shared" si="71"/>
        <v>0</v>
      </c>
    </row>
    <row r="955" spans="1:13" x14ac:dyDescent="0.2">
      <c r="A955" s="18"/>
      <c r="B955" s="77"/>
      <c r="C955" s="77"/>
      <c r="D955" s="78"/>
      <c r="E955" s="77"/>
      <c r="F955" s="77"/>
      <c r="G955" s="77"/>
      <c r="H955" s="77"/>
      <c r="I955" s="77"/>
      <c r="J955" s="77"/>
      <c r="K955" s="79"/>
      <c r="L955" s="49">
        <f t="shared" si="70"/>
        <v>0</v>
      </c>
      <c r="M955" s="50">
        <f t="shared" si="71"/>
        <v>0</v>
      </c>
    </row>
    <row r="956" spans="1:13" x14ac:dyDescent="0.2">
      <c r="A956" s="18"/>
      <c r="B956" s="77"/>
      <c r="C956" s="77"/>
      <c r="D956" s="78"/>
      <c r="E956" s="77"/>
      <c r="F956" s="77"/>
      <c r="G956" s="77"/>
      <c r="H956" s="77"/>
      <c r="I956" s="77"/>
      <c r="J956" s="77"/>
      <c r="K956" s="79"/>
      <c r="L956" s="49">
        <f t="shared" si="70"/>
        <v>0</v>
      </c>
      <c r="M956" s="50">
        <f t="shared" si="71"/>
        <v>0</v>
      </c>
    </row>
    <row r="957" spans="1:13" x14ac:dyDescent="0.2">
      <c r="A957" s="18"/>
      <c r="B957" s="77"/>
      <c r="C957" s="77"/>
      <c r="D957" s="78"/>
      <c r="E957" s="77"/>
      <c r="F957" s="77"/>
      <c r="G957" s="77"/>
      <c r="H957" s="77"/>
      <c r="I957" s="77"/>
      <c r="J957" s="77"/>
      <c r="K957" s="79"/>
      <c r="L957" s="49">
        <f t="shared" si="70"/>
        <v>0</v>
      </c>
      <c r="M957" s="50">
        <f t="shared" si="71"/>
        <v>0</v>
      </c>
    </row>
    <row r="958" spans="1:13" x14ac:dyDescent="0.2">
      <c r="A958" s="18"/>
      <c r="B958" s="77"/>
      <c r="C958" s="77"/>
      <c r="D958" s="78"/>
      <c r="E958" s="77"/>
      <c r="F958" s="77"/>
      <c r="G958" s="77"/>
      <c r="H958" s="77"/>
      <c r="I958" s="77"/>
      <c r="J958" s="77"/>
      <c r="K958" s="79"/>
      <c r="L958" s="49">
        <f t="shared" si="70"/>
        <v>0</v>
      </c>
      <c r="M958" s="50">
        <f t="shared" si="71"/>
        <v>0</v>
      </c>
    </row>
    <row r="959" spans="1:13" x14ac:dyDescent="0.2">
      <c r="A959" s="18"/>
      <c r="B959" s="77"/>
      <c r="C959" s="77"/>
      <c r="D959" s="78"/>
      <c r="E959" s="77"/>
      <c r="F959" s="77"/>
      <c r="G959" s="77"/>
      <c r="H959" s="77"/>
      <c r="I959" s="77"/>
      <c r="J959" s="77"/>
      <c r="K959" s="79"/>
      <c r="L959" s="49">
        <f t="shared" si="70"/>
        <v>0</v>
      </c>
      <c r="M959" s="50">
        <f t="shared" si="71"/>
        <v>0</v>
      </c>
    </row>
    <row r="960" spans="1:13" x14ac:dyDescent="0.2">
      <c r="A960" s="18"/>
      <c r="B960" s="77"/>
      <c r="C960" s="77"/>
      <c r="D960" s="78"/>
      <c r="E960" s="77"/>
      <c r="F960" s="77"/>
      <c r="G960" s="77"/>
      <c r="H960" s="77"/>
      <c r="I960" s="77"/>
      <c r="J960" s="77"/>
      <c r="K960" s="79"/>
      <c r="L960" s="49">
        <f t="shared" si="70"/>
        <v>0</v>
      </c>
      <c r="M960" s="50">
        <f t="shared" si="71"/>
        <v>0</v>
      </c>
    </row>
    <row r="961" spans="1:13" x14ac:dyDescent="0.2">
      <c r="A961" s="18"/>
      <c r="B961" s="77"/>
      <c r="C961" s="77"/>
      <c r="D961" s="78"/>
      <c r="E961" s="77"/>
      <c r="F961" s="77"/>
      <c r="G961" s="77"/>
      <c r="H961" s="77"/>
      <c r="I961" s="77"/>
      <c r="J961" s="77"/>
      <c r="K961" s="79"/>
      <c r="L961" s="49">
        <f t="shared" si="70"/>
        <v>0</v>
      </c>
      <c r="M961" s="50">
        <f t="shared" si="71"/>
        <v>0</v>
      </c>
    </row>
    <row r="962" spans="1:13" x14ac:dyDescent="0.2">
      <c r="A962" s="18"/>
      <c r="B962" s="77"/>
      <c r="C962" s="77"/>
      <c r="D962" s="78"/>
      <c r="E962" s="77"/>
      <c r="F962" s="77"/>
      <c r="G962" s="77"/>
      <c r="H962" s="77"/>
      <c r="I962" s="77"/>
      <c r="J962" s="77"/>
      <c r="K962" s="79"/>
      <c r="L962" s="49">
        <f t="shared" si="70"/>
        <v>0</v>
      </c>
      <c r="M962" s="50">
        <f t="shared" si="71"/>
        <v>0</v>
      </c>
    </row>
    <row r="963" spans="1:13" x14ac:dyDescent="0.2">
      <c r="A963" s="18"/>
      <c r="B963" s="77"/>
      <c r="C963" s="77"/>
      <c r="D963" s="78"/>
      <c r="E963" s="77"/>
      <c r="F963" s="77"/>
      <c r="G963" s="77"/>
      <c r="H963" s="77"/>
      <c r="I963" s="77"/>
      <c r="J963" s="77"/>
      <c r="K963" s="79"/>
      <c r="L963" s="49">
        <f t="shared" si="70"/>
        <v>0</v>
      </c>
      <c r="M963" s="50">
        <f t="shared" si="71"/>
        <v>0</v>
      </c>
    </row>
    <row r="964" spans="1:13" x14ac:dyDescent="0.2">
      <c r="A964" s="18"/>
      <c r="B964" s="77"/>
      <c r="C964" s="77"/>
      <c r="D964" s="78"/>
      <c r="E964" s="77"/>
      <c r="F964" s="77"/>
      <c r="G964" s="77"/>
      <c r="H964" s="77"/>
      <c r="I964" s="77"/>
      <c r="J964" s="77"/>
      <c r="K964" s="79"/>
      <c r="L964" s="49">
        <f t="shared" si="70"/>
        <v>0</v>
      </c>
      <c r="M964" s="50">
        <f t="shared" si="71"/>
        <v>0</v>
      </c>
    </row>
    <row r="965" spans="1:13" x14ac:dyDescent="0.2">
      <c r="A965" s="18"/>
      <c r="B965" s="77"/>
      <c r="C965" s="77"/>
      <c r="D965" s="78"/>
      <c r="E965" s="77"/>
      <c r="F965" s="77"/>
      <c r="G965" s="77"/>
      <c r="H965" s="77"/>
      <c r="I965" s="77"/>
      <c r="J965" s="77"/>
      <c r="K965" s="79"/>
      <c r="L965" s="49">
        <f t="shared" si="70"/>
        <v>0</v>
      </c>
      <c r="M965" s="50">
        <f t="shared" si="71"/>
        <v>0</v>
      </c>
    </row>
    <row r="966" spans="1:13" x14ac:dyDescent="0.2">
      <c r="A966" s="18"/>
      <c r="B966" s="77"/>
      <c r="C966" s="77"/>
      <c r="D966" s="78"/>
      <c r="E966" s="77"/>
      <c r="F966" s="77"/>
      <c r="G966" s="77"/>
      <c r="H966" s="77"/>
      <c r="I966" s="77"/>
      <c r="J966" s="77"/>
      <c r="K966" s="79"/>
      <c r="L966" s="49">
        <f t="shared" si="70"/>
        <v>0</v>
      </c>
      <c r="M966" s="50">
        <f t="shared" si="71"/>
        <v>0</v>
      </c>
    </row>
    <row r="967" spans="1:13" x14ac:dyDescent="0.2">
      <c r="A967" s="18"/>
      <c r="B967" s="77"/>
      <c r="C967" s="77"/>
      <c r="D967" s="78"/>
      <c r="E967" s="77"/>
      <c r="F967" s="77"/>
      <c r="G967" s="77"/>
      <c r="H967" s="77"/>
      <c r="I967" s="77"/>
      <c r="J967" s="77"/>
      <c r="K967" s="79"/>
      <c r="L967" s="49">
        <f t="shared" si="70"/>
        <v>0</v>
      </c>
      <c r="M967" s="50">
        <f t="shared" si="71"/>
        <v>0</v>
      </c>
    </row>
    <row r="968" spans="1:13" x14ac:dyDescent="0.2">
      <c r="A968" s="18"/>
      <c r="B968" s="77"/>
      <c r="C968" s="77"/>
      <c r="D968" s="78"/>
      <c r="E968" s="77"/>
      <c r="F968" s="77"/>
      <c r="G968" s="77"/>
      <c r="H968" s="77"/>
      <c r="I968" s="77"/>
      <c r="J968" s="77"/>
      <c r="K968" s="79"/>
      <c r="L968" s="49">
        <f t="shared" si="70"/>
        <v>0</v>
      </c>
      <c r="M968" s="50">
        <f t="shared" si="71"/>
        <v>0</v>
      </c>
    </row>
    <row r="969" spans="1:13" x14ac:dyDescent="0.2">
      <c r="A969" s="18"/>
      <c r="B969" s="77"/>
      <c r="C969" s="77"/>
      <c r="D969" s="78"/>
      <c r="E969" s="77"/>
      <c r="F969" s="77"/>
      <c r="G969" s="77"/>
      <c r="H969" s="77"/>
      <c r="I969" s="77"/>
      <c r="J969" s="77"/>
      <c r="K969" s="79"/>
      <c r="L969" s="49">
        <f t="shared" si="70"/>
        <v>0</v>
      </c>
      <c r="M969" s="50">
        <f t="shared" si="71"/>
        <v>0</v>
      </c>
    </row>
    <row r="970" spans="1:13" x14ac:dyDescent="0.2">
      <c r="A970" s="18"/>
      <c r="B970" s="77"/>
      <c r="C970" s="77"/>
      <c r="D970" s="78"/>
      <c r="E970" s="77"/>
      <c r="F970" s="77"/>
      <c r="G970" s="77"/>
      <c r="H970" s="77"/>
      <c r="I970" s="77"/>
      <c r="J970" s="77"/>
      <c r="K970" s="79"/>
      <c r="L970" s="49">
        <f t="shared" si="70"/>
        <v>0</v>
      </c>
      <c r="M970" s="50">
        <f t="shared" si="71"/>
        <v>0</v>
      </c>
    </row>
    <row r="971" spans="1:13" x14ac:dyDescent="0.2">
      <c r="A971" s="18"/>
      <c r="B971" s="77"/>
      <c r="C971" s="77"/>
      <c r="D971" s="78"/>
      <c r="E971" s="77"/>
      <c r="F971" s="77"/>
      <c r="G971" s="77"/>
      <c r="H971" s="77"/>
      <c r="I971" s="77"/>
      <c r="J971" s="77"/>
      <c r="K971" s="79"/>
      <c r="L971" s="49">
        <f t="shared" si="70"/>
        <v>0</v>
      </c>
      <c r="M971" s="50">
        <f t="shared" si="71"/>
        <v>0</v>
      </c>
    </row>
    <row r="972" spans="1:13" x14ac:dyDescent="0.2">
      <c r="A972" s="18"/>
      <c r="B972" s="77"/>
      <c r="C972" s="77"/>
      <c r="D972" s="78"/>
      <c r="E972" s="77"/>
      <c r="F972" s="77"/>
      <c r="G972" s="77"/>
      <c r="H972" s="77"/>
      <c r="I972" s="77"/>
      <c r="J972" s="77"/>
      <c r="K972" s="79"/>
      <c r="L972" s="49">
        <f t="shared" si="70"/>
        <v>0</v>
      </c>
      <c r="M972" s="50">
        <f t="shared" si="71"/>
        <v>0</v>
      </c>
    </row>
    <row r="973" spans="1:13" x14ac:dyDescent="0.2">
      <c r="A973" s="18"/>
      <c r="B973" s="77"/>
      <c r="C973" s="77"/>
      <c r="D973" s="78"/>
      <c r="E973" s="77"/>
      <c r="F973" s="77"/>
      <c r="G973" s="77"/>
      <c r="H973" s="77"/>
      <c r="I973" s="77"/>
      <c r="J973" s="77"/>
      <c r="K973" s="79"/>
      <c r="L973" s="49">
        <f t="shared" si="70"/>
        <v>0</v>
      </c>
      <c r="M973" s="50">
        <f t="shared" si="71"/>
        <v>0</v>
      </c>
    </row>
    <row r="974" spans="1:13" x14ac:dyDescent="0.2">
      <c r="A974" s="18"/>
      <c r="B974" s="77"/>
      <c r="C974" s="77"/>
      <c r="D974" s="78"/>
      <c r="E974" s="77"/>
      <c r="F974" s="77"/>
      <c r="G974" s="77"/>
      <c r="H974" s="77"/>
      <c r="I974" s="77"/>
      <c r="J974" s="77"/>
      <c r="K974" s="79"/>
      <c r="L974" s="49">
        <f t="shared" ref="L974:L1023" si="72">+K974*18%</f>
        <v>0</v>
      </c>
      <c r="M974" s="50">
        <f t="shared" ref="M974:M1023" si="73">+K974+L974</f>
        <v>0</v>
      </c>
    </row>
    <row r="975" spans="1:13" x14ac:dyDescent="0.2">
      <c r="A975" s="18"/>
      <c r="B975" s="77"/>
      <c r="C975" s="77"/>
      <c r="D975" s="78"/>
      <c r="E975" s="77"/>
      <c r="F975" s="77"/>
      <c r="G975" s="77"/>
      <c r="H975" s="77"/>
      <c r="I975" s="77"/>
      <c r="J975" s="77"/>
      <c r="K975" s="79"/>
      <c r="L975" s="49">
        <f t="shared" si="72"/>
        <v>0</v>
      </c>
      <c r="M975" s="50">
        <f t="shared" si="73"/>
        <v>0</v>
      </c>
    </row>
    <row r="976" spans="1:13" x14ac:dyDescent="0.2">
      <c r="A976" s="18"/>
      <c r="B976" s="77"/>
      <c r="C976" s="77"/>
      <c r="D976" s="78"/>
      <c r="E976" s="77"/>
      <c r="F976" s="77"/>
      <c r="G976" s="77"/>
      <c r="H976" s="77"/>
      <c r="I976" s="77"/>
      <c r="J976" s="77"/>
      <c r="K976" s="79"/>
      <c r="L976" s="49">
        <f t="shared" si="72"/>
        <v>0</v>
      </c>
      <c r="M976" s="50">
        <f t="shared" si="73"/>
        <v>0</v>
      </c>
    </row>
    <row r="977" spans="1:13" x14ac:dyDescent="0.2">
      <c r="A977" s="18"/>
      <c r="B977" s="77"/>
      <c r="C977" s="77"/>
      <c r="D977" s="78"/>
      <c r="E977" s="77"/>
      <c r="F977" s="77"/>
      <c r="G977" s="77"/>
      <c r="H977" s="77"/>
      <c r="I977" s="77"/>
      <c r="J977" s="77"/>
      <c r="K977" s="79"/>
      <c r="L977" s="49">
        <f t="shared" si="72"/>
        <v>0</v>
      </c>
      <c r="M977" s="50">
        <f t="shared" si="73"/>
        <v>0</v>
      </c>
    </row>
    <row r="978" spans="1:13" x14ac:dyDescent="0.2">
      <c r="A978" s="18"/>
      <c r="B978" s="77"/>
      <c r="C978" s="77"/>
      <c r="D978" s="78"/>
      <c r="E978" s="77"/>
      <c r="F978" s="77"/>
      <c r="G978" s="77"/>
      <c r="H978" s="77"/>
      <c r="I978" s="77"/>
      <c r="J978" s="77"/>
      <c r="K978" s="79"/>
      <c r="L978" s="49">
        <f t="shared" si="72"/>
        <v>0</v>
      </c>
      <c r="M978" s="50">
        <f t="shared" si="73"/>
        <v>0</v>
      </c>
    </row>
    <row r="979" spans="1:13" x14ac:dyDescent="0.2">
      <c r="A979" s="18"/>
      <c r="B979" s="77"/>
      <c r="C979" s="77"/>
      <c r="D979" s="78"/>
      <c r="E979" s="77"/>
      <c r="F979" s="77"/>
      <c r="G979" s="77"/>
      <c r="H979" s="77"/>
      <c r="I979" s="77"/>
      <c r="J979" s="77"/>
      <c r="K979" s="79"/>
      <c r="L979" s="49">
        <f t="shared" si="72"/>
        <v>0</v>
      </c>
      <c r="M979" s="50">
        <f t="shared" si="73"/>
        <v>0</v>
      </c>
    </row>
    <row r="980" spans="1:13" x14ac:dyDescent="0.2">
      <c r="A980" s="18"/>
      <c r="B980" s="77"/>
      <c r="C980" s="77"/>
      <c r="D980" s="78"/>
      <c r="E980" s="77"/>
      <c r="F980" s="77"/>
      <c r="G980" s="77"/>
      <c r="H980" s="77"/>
      <c r="I980" s="77"/>
      <c r="J980" s="77"/>
      <c r="K980" s="79"/>
      <c r="L980" s="49">
        <f t="shared" si="72"/>
        <v>0</v>
      </c>
      <c r="M980" s="50">
        <f t="shared" si="73"/>
        <v>0</v>
      </c>
    </row>
    <row r="981" spans="1:13" x14ac:dyDescent="0.2">
      <c r="A981" s="18"/>
      <c r="B981" s="77"/>
      <c r="C981" s="77"/>
      <c r="D981" s="78"/>
      <c r="E981" s="77"/>
      <c r="F981" s="77"/>
      <c r="G981" s="77"/>
      <c r="H981" s="77"/>
      <c r="I981" s="77"/>
      <c r="J981" s="77"/>
      <c r="K981" s="79"/>
      <c r="L981" s="49">
        <f t="shared" si="72"/>
        <v>0</v>
      </c>
      <c r="M981" s="50">
        <f t="shared" si="73"/>
        <v>0</v>
      </c>
    </row>
    <row r="982" spans="1:13" x14ac:dyDescent="0.2">
      <c r="A982" s="18"/>
      <c r="B982" s="77"/>
      <c r="C982" s="77"/>
      <c r="D982" s="78"/>
      <c r="E982" s="77"/>
      <c r="F982" s="77"/>
      <c r="G982" s="77"/>
      <c r="H982" s="77"/>
      <c r="I982" s="77"/>
      <c r="J982" s="77"/>
      <c r="K982" s="79"/>
      <c r="L982" s="49">
        <f t="shared" si="72"/>
        <v>0</v>
      </c>
      <c r="M982" s="50">
        <f t="shared" si="73"/>
        <v>0</v>
      </c>
    </row>
    <row r="983" spans="1:13" x14ac:dyDescent="0.2">
      <c r="A983" s="18"/>
      <c r="B983" s="77"/>
      <c r="C983" s="77"/>
      <c r="D983" s="78"/>
      <c r="E983" s="77"/>
      <c r="F983" s="77"/>
      <c r="G983" s="77"/>
      <c r="H983" s="77"/>
      <c r="I983" s="77"/>
      <c r="J983" s="77"/>
      <c r="K983" s="79"/>
      <c r="L983" s="49">
        <f t="shared" si="72"/>
        <v>0</v>
      </c>
      <c r="M983" s="50">
        <f t="shared" si="73"/>
        <v>0</v>
      </c>
    </row>
    <row r="984" spans="1:13" x14ac:dyDescent="0.2">
      <c r="A984" s="18"/>
      <c r="B984" s="77"/>
      <c r="C984" s="77"/>
      <c r="D984" s="78"/>
      <c r="E984" s="77"/>
      <c r="F984" s="77"/>
      <c r="G984" s="77"/>
      <c r="H984" s="77"/>
      <c r="I984" s="77"/>
      <c r="J984" s="77"/>
      <c r="K984" s="79"/>
      <c r="L984" s="49">
        <f t="shared" si="72"/>
        <v>0</v>
      </c>
      <c r="M984" s="50">
        <f t="shared" si="73"/>
        <v>0</v>
      </c>
    </row>
    <row r="985" spans="1:13" x14ac:dyDescent="0.2">
      <c r="A985" s="18"/>
      <c r="B985" s="77"/>
      <c r="C985" s="77"/>
      <c r="D985" s="78"/>
      <c r="E985" s="77"/>
      <c r="F985" s="77"/>
      <c r="G985" s="77"/>
      <c r="H985" s="77"/>
      <c r="I985" s="77"/>
      <c r="J985" s="77"/>
      <c r="K985" s="79"/>
      <c r="L985" s="49">
        <f t="shared" si="72"/>
        <v>0</v>
      </c>
      <c r="M985" s="50">
        <f t="shared" si="73"/>
        <v>0</v>
      </c>
    </row>
    <row r="986" spans="1:13" x14ac:dyDescent="0.2">
      <c r="A986" s="18"/>
      <c r="B986" s="77"/>
      <c r="C986" s="77"/>
      <c r="D986" s="78"/>
      <c r="E986" s="77"/>
      <c r="F986" s="77"/>
      <c r="G986" s="77"/>
      <c r="H986" s="77"/>
      <c r="I986" s="77"/>
      <c r="J986" s="77"/>
      <c r="K986" s="79"/>
      <c r="L986" s="49">
        <f t="shared" si="72"/>
        <v>0</v>
      </c>
      <c r="M986" s="50">
        <f t="shared" si="73"/>
        <v>0</v>
      </c>
    </row>
    <row r="987" spans="1:13" x14ac:dyDescent="0.2">
      <c r="A987" s="18"/>
      <c r="B987" s="77"/>
      <c r="C987" s="77"/>
      <c r="D987" s="78"/>
      <c r="E987" s="77"/>
      <c r="F987" s="77"/>
      <c r="G987" s="77"/>
      <c r="H987" s="77"/>
      <c r="I987" s="77"/>
      <c r="J987" s="77"/>
      <c r="K987" s="79"/>
      <c r="L987" s="49">
        <f t="shared" si="72"/>
        <v>0</v>
      </c>
      <c r="M987" s="50">
        <f t="shared" si="73"/>
        <v>0</v>
      </c>
    </row>
    <row r="988" spans="1:13" x14ac:dyDescent="0.2">
      <c r="A988" s="18"/>
      <c r="B988" s="77"/>
      <c r="C988" s="77"/>
      <c r="D988" s="78"/>
      <c r="E988" s="77"/>
      <c r="F988" s="77"/>
      <c r="G988" s="77"/>
      <c r="H988" s="77"/>
      <c r="I988" s="77"/>
      <c r="J988" s="77"/>
      <c r="K988" s="79"/>
      <c r="L988" s="49">
        <f t="shared" si="72"/>
        <v>0</v>
      </c>
      <c r="M988" s="50">
        <f t="shared" si="73"/>
        <v>0</v>
      </c>
    </row>
    <row r="989" spans="1:13" x14ac:dyDescent="0.2">
      <c r="A989" s="18"/>
      <c r="B989" s="77"/>
      <c r="C989" s="77"/>
      <c r="D989" s="78"/>
      <c r="E989" s="77"/>
      <c r="F989" s="77"/>
      <c r="G989" s="77"/>
      <c r="H989" s="77"/>
      <c r="I989" s="77"/>
      <c r="J989" s="77"/>
      <c r="K989" s="79"/>
      <c r="L989" s="49">
        <f t="shared" si="72"/>
        <v>0</v>
      </c>
      <c r="M989" s="50">
        <f t="shared" si="73"/>
        <v>0</v>
      </c>
    </row>
    <row r="990" spans="1:13" x14ac:dyDescent="0.2">
      <c r="A990" s="18"/>
      <c r="B990" s="77"/>
      <c r="C990" s="77"/>
      <c r="D990" s="78"/>
      <c r="E990" s="77"/>
      <c r="F990" s="77"/>
      <c r="G990" s="77"/>
      <c r="H990" s="77"/>
      <c r="I990" s="77"/>
      <c r="J990" s="77"/>
      <c r="K990" s="79"/>
      <c r="L990" s="49">
        <f t="shared" si="72"/>
        <v>0</v>
      </c>
      <c r="M990" s="50">
        <f t="shared" si="73"/>
        <v>0</v>
      </c>
    </row>
    <row r="991" spans="1:13" x14ac:dyDescent="0.2">
      <c r="A991" s="18"/>
      <c r="B991" s="77"/>
      <c r="C991" s="77"/>
      <c r="D991" s="78"/>
      <c r="E991" s="77"/>
      <c r="F991" s="77"/>
      <c r="G991" s="77"/>
      <c r="H991" s="77"/>
      <c r="I991" s="77"/>
      <c r="J991" s="77"/>
      <c r="K991" s="79"/>
      <c r="L991" s="49">
        <f t="shared" si="72"/>
        <v>0</v>
      </c>
      <c r="M991" s="50">
        <f t="shared" si="73"/>
        <v>0</v>
      </c>
    </row>
    <row r="992" spans="1:13" x14ac:dyDescent="0.2">
      <c r="A992" s="18"/>
      <c r="B992" s="77"/>
      <c r="C992" s="77"/>
      <c r="D992" s="78"/>
      <c r="E992" s="77"/>
      <c r="F992" s="77"/>
      <c r="G992" s="77"/>
      <c r="H992" s="77"/>
      <c r="I992" s="77"/>
      <c r="J992" s="77"/>
      <c r="K992" s="79"/>
      <c r="L992" s="49">
        <f t="shared" si="72"/>
        <v>0</v>
      </c>
      <c r="M992" s="50">
        <f t="shared" si="73"/>
        <v>0</v>
      </c>
    </row>
    <row r="993" spans="1:13" x14ac:dyDescent="0.2">
      <c r="A993" s="18"/>
      <c r="B993" s="77"/>
      <c r="C993" s="77"/>
      <c r="D993" s="78"/>
      <c r="E993" s="77"/>
      <c r="F993" s="77"/>
      <c r="G993" s="77"/>
      <c r="H993" s="77"/>
      <c r="I993" s="77"/>
      <c r="J993" s="77"/>
      <c r="K993" s="79"/>
      <c r="L993" s="49">
        <f t="shared" si="72"/>
        <v>0</v>
      </c>
      <c r="M993" s="50">
        <f t="shared" si="73"/>
        <v>0</v>
      </c>
    </row>
    <row r="994" spans="1:13" x14ac:dyDescent="0.2">
      <c r="A994" s="18"/>
      <c r="B994" s="77"/>
      <c r="C994" s="77"/>
      <c r="D994" s="78"/>
      <c r="E994" s="77"/>
      <c r="F994" s="77"/>
      <c r="G994" s="77"/>
      <c r="H994" s="77"/>
      <c r="I994" s="77"/>
      <c r="J994" s="77"/>
      <c r="K994" s="79"/>
      <c r="L994" s="49">
        <f t="shared" si="72"/>
        <v>0</v>
      </c>
      <c r="M994" s="50">
        <f t="shared" si="73"/>
        <v>0</v>
      </c>
    </row>
    <row r="995" spans="1:13" x14ac:dyDescent="0.2">
      <c r="A995" s="18"/>
      <c r="B995" s="77"/>
      <c r="C995" s="77"/>
      <c r="D995" s="78"/>
      <c r="E995" s="77"/>
      <c r="F995" s="77"/>
      <c r="G995" s="77"/>
      <c r="H995" s="77"/>
      <c r="I995" s="77"/>
      <c r="J995" s="77"/>
      <c r="K995" s="79"/>
      <c r="L995" s="49">
        <f t="shared" si="72"/>
        <v>0</v>
      </c>
      <c r="M995" s="50">
        <f t="shared" si="73"/>
        <v>0</v>
      </c>
    </row>
    <row r="996" spans="1:13" x14ac:dyDescent="0.2">
      <c r="A996" s="18"/>
      <c r="B996" s="77"/>
      <c r="C996" s="77"/>
      <c r="D996" s="78"/>
      <c r="E996" s="77"/>
      <c r="F996" s="77"/>
      <c r="G996" s="77"/>
      <c r="H996" s="77"/>
      <c r="I996" s="77"/>
      <c r="J996" s="77"/>
      <c r="K996" s="79"/>
      <c r="L996" s="49">
        <f t="shared" si="72"/>
        <v>0</v>
      </c>
      <c r="M996" s="50">
        <f t="shared" si="73"/>
        <v>0</v>
      </c>
    </row>
    <row r="997" spans="1:13" x14ac:dyDescent="0.2">
      <c r="A997" s="18"/>
      <c r="B997" s="77"/>
      <c r="C997" s="77"/>
      <c r="D997" s="78"/>
      <c r="E997" s="77"/>
      <c r="F997" s="77"/>
      <c r="G997" s="77"/>
      <c r="H997" s="77"/>
      <c r="I997" s="77"/>
      <c r="J997" s="77"/>
      <c r="K997" s="79"/>
      <c r="L997" s="49">
        <f t="shared" si="72"/>
        <v>0</v>
      </c>
      <c r="M997" s="50">
        <f t="shared" si="73"/>
        <v>0</v>
      </c>
    </row>
    <row r="998" spans="1:13" x14ac:dyDescent="0.2">
      <c r="A998" s="18"/>
      <c r="B998" s="77"/>
      <c r="C998" s="77"/>
      <c r="D998" s="78"/>
      <c r="E998" s="77"/>
      <c r="F998" s="77"/>
      <c r="G998" s="77"/>
      <c r="H998" s="77"/>
      <c r="I998" s="77"/>
      <c r="J998" s="77"/>
      <c r="K998" s="79"/>
      <c r="L998" s="49">
        <f t="shared" si="72"/>
        <v>0</v>
      </c>
      <c r="M998" s="50">
        <f t="shared" si="73"/>
        <v>0</v>
      </c>
    </row>
    <row r="999" spans="1:13" x14ac:dyDescent="0.2">
      <c r="A999" s="18"/>
      <c r="B999" s="77"/>
      <c r="C999" s="77"/>
      <c r="D999" s="78"/>
      <c r="E999" s="77"/>
      <c r="F999" s="77"/>
      <c r="G999" s="77"/>
      <c r="H999" s="77"/>
      <c r="I999" s="77"/>
      <c r="J999" s="77"/>
      <c r="K999" s="79"/>
      <c r="L999" s="49">
        <f t="shared" si="72"/>
        <v>0</v>
      </c>
      <c r="M999" s="50">
        <f t="shared" si="73"/>
        <v>0</v>
      </c>
    </row>
    <row r="1000" spans="1:13" x14ac:dyDescent="0.2">
      <c r="A1000" s="18"/>
      <c r="B1000" s="77"/>
      <c r="C1000" s="77"/>
      <c r="D1000" s="78"/>
      <c r="E1000" s="77"/>
      <c r="F1000" s="77"/>
      <c r="G1000" s="77"/>
      <c r="H1000" s="77"/>
      <c r="I1000" s="77"/>
      <c r="J1000" s="77"/>
      <c r="K1000" s="79"/>
      <c r="L1000" s="49">
        <f t="shared" si="72"/>
        <v>0</v>
      </c>
      <c r="M1000" s="50">
        <f t="shared" si="73"/>
        <v>0</v>
      </c>
    </row>
    <row r="1001" spans="1:13" x14ac:dyDescent="0.2">
      <c r="A1001" s="18"/>
      <c r="B1001" s="77"/>
      <c r="C1001" s="77"/>
      <c r="D1001" s="78"/>
      <c r="E1001" s="77"/>
      <c r="F1001" s="77"/>
      <c r="G1001" s="77"/>
      <c r="H1001" s="77"/>
      <c r="I1001" s="77"/>
      <c r="J1001" s="77"/>
      <c r="K1001" s="79"/>
      <c r="L1001" s="49">
        <f t="shared" si="72"/>
        <v>0</v>
      </c>
      <c r="M1001" s="50">
        <f t="shared" si="73"/>
        <v>0</v>
      </c>
    </row>
    <row r="1002" spans="1:13" x14ac:dyDescent="0.2">
      <c r="A1002" s="18"/>
      <c r="B1002" s="77"/>
      <c r="C1002" s="77"/>
      <c r="D1002" s="78"/>
      <c r="E1002" s="77"/>
      <c r="F1002" s="77"/>
      <c r="G1002" s="77"/>
      <c r="H1002" s="77"/>
      <c r="I1002" s="77"/>
      <c r="J1002" s="77"/>
      <c r="K1002" s="79"/>
      <c r="L1002" s="49">
        <f t="shared" si="72"/>
        <v>0</v>
      </c>
      <c r="M1002" s="50">
        <f t="shared" si="73"/>
        <v>0</v>
      </c>
    </row>
    <row r="1003" spans="1:13" x14ac:dyDescent="0.2">
      <c r="A1003" s="18"/>
      <c r="B1003" s="77"/>
      <c r="C1003" s="77"/>
      <c r="D1003" s="78"/>
      <c r="E1003" s="77"/>
      <c r="F1003" s="77"/>
      <c r="G1003" s="77"/>
      <c r="H1003" s="77"/>
      <c r="I1003" s="77"/>
      <c r="J1003" s="77"/>
      <c r="K1003" s="79"/>
      <c r="L1003" s="49">
        <f t="shared" si="72"/>
        <v>0</v>
      </c>
      <c r="M1003" s="50">
        <f t="shared" si="73"/>
        <v>0</v>
      </c>
    </row>
    <row r="1004" spans="1:13" x14ac:dyDescent="0.2">
      <c r="A1004" s="18"/>
      <c r="B1004" s="77"/>
      <c r="C1004" s="77"/>
      <c r="D1004" s="78"/>
      <c r="E1004" s="77"/>
      <c r="F1004" s="77"/>
      <c r="G1004" s="77"/>
      <c r="H1004" s="77"/>
      <c r="I1004" s="77"/>
      <c r="J1004" s="77"/>
      <c r="K1004" s="79"/>
      <c r="L1004" s="49">
        <f t="shared" si="72"/>
        <v>0</v>
      </c>
      <c r="M1004" s="50">
        <f t="shared" si="73"/>
        <v>0</v>
      </c>
    </row>
    <row r="1005" spans="1:13" x14ac:dyDescent="0.2">
      <c r="A1005" s="18"/>
      <c r="B1005" s="77"/>
      <c r="C1005" s="77"/>
      <c r="D1005" s="78"/>
      <c r="E1005" s="77"/>
      <c r="F1005" s="77"/>
      <c r="G1005" s="77"/>
      <c r="H1005" s="77"/>
      <c r="I1005" s="77"/>
      <c r="J1005" s="77"/>
      <c r="K1005" s="79"/>
      <c r="L1005" s="49">
        <f t="shared" si="72"/>
        <v>0</v>
      </c>
      <c r="M1005" s="50">
        <f t="shared" si="73"/>
        <v>0</v>
      </c>
    </row>
    <row r="1006" spans="1:13" x14ac:dyDescent="0.2">
      <c r="A1006" s="18"/>
      <c r="B1006" s="77"/>
      <c r="C1006" s="77"/>
      <c r="D1006" s="78"/>
      <c r="E1006" s="77"/>
      <c r="F1006" s="77"/>
      <c r="G1006" s="77"/>
      <c r="H1006" s="77"/>
      <c r="I1006" s="77"/>
      <c r="J1006" s="77"/>
      <c r="K1006" s="79"/>
      <c r="L1006" s="49">
        <f t="shared" si="72"/>
        <v>0</v>
      </c>
      <c r="M1006" s="50">
        <f t="shared" si="73"/>
        <v>0</v>
      </c>
    </row>
    <row r="1007" spans="1:13" x14ac:dyDescent="0.2">
      <c r="A1007" s="18"/>
      <c r="B1007" s="77"/>
      <c r="C1007" s="77"/>
      <c r="D1007" s="78"/>
      <c r="E1007" s="77"/>
      <c r="F1007" s="77"/>
      <c r="G1007" s="77"/>
      <c r="H1007" s="77"/>
      <c r="I1007" s="77"/>
      <c r="J1007" s="77"/>
      <c r="K1007" s="79"/>
      <c r="L1007" s="49">
        <f t="shared" si="72"/>
        <v>0</v>
      </c>
      <c r="M1007" s="50">
        <f t="shared" si="73"/>
        <v>0</v>
      </c>
    </row>
    <row r="1008" spans="1:13" x14ac:dyDescent="0.2">
      <c r="A1008" s="18"/>
      <c r="B1008" s="77"/>
      <c r="C1008" s="77"/>
      <c r="D1008" s="78"/>
      <c r="E1008" s="77"/>
      <c r="F1008" s="77"/>
      <c r="G1008" s="77"/>
      <c r="H1008" s="77"/>
      <c r="I1008" s="77"/>
      <c r="J1008" s="77"/>
      <c r="K1008" s="79"/>
      <c r="L1008" s="49">
        <f t="shared" si="72"/>
        <v>0</v>
      </c>
      <c r="M1008" s="50">
        <f t="shared" si="73"/>
        <v>0</v>
      </c>
    </row>
    <row r="1009" spans="1:13" x14ac:dyDescent="0.2">
      <c r="A1009" s="18"/>
      <c r="B1009" s="77"/>
      <c r="C1009" s="77"/>
      <c r="D1009" s="78"/>
      <c r="E1009" s="77"/>
      <c r="F1009" s="77"/>
      <c r="G1009" s="77"/>
      <c r="H1009" s="77"/>
      <c r="I1009" s="77"/>
      <c r="J1009" s="77"/>
      <c r="K1009" s="79"/>
      <c r="L1009" s="49">
        <f t="shared" si="72"/>
        <v>0</v>
      </c>
      <c r="M1009" s="50">
        <f t="shared" si="73"/>
        <v>0</v>
      </c>
    </row>
    <row r="1010" spans="1:13" x14ac:dyDescent="0.2">
      <c r="A1010" s="18"/>
      <c r="B1010" s="77"/>
      <c r="C1010" s="77"/>
      <c r="D1010" s="78"/>
      <c r="E1010" s="77"/>
      <c r="F1010" s="77"/>
      <c r="G1010" s="77"/>
      <c r="H1010" s="77"/>
      <c r="I1010" s="77"/>
      <c r="J1010" s="77"/>
      <c r="K1010" s="79"/>
      <c r="L1010" s="49">
        <f t="shared" si="72"/>
        <v>0</v>
      </c>
      <c r="M1010" s="50">
        <f t="shared" si="73"/>
        <v>0</v>
      </c>
    </row>
    <row r="1011" spans="1:13" x14ac:dyDescent="0.2">
      <c r="A1011" s="18"/>
      <c r="B1011" s="77"/>
      <c r="C1011" s="77"/>
      <c r="D1011" s="78"/>
      <c r="E1011" s="77"/>
      <c r="F1011" s="77"/>
      <c r="G1011" s="77"/>
      <c r="H1011" s="77"/>
      <c r="I1011" s="77"/>
      <c r="J1011" s="77"/>
      <c r="K1011" s="79"/>
      <c r="L1011" s="49">
        <f t="shared" si="72"/>
        <v>0</v>
      </c>
      <c r="M1011" s="50">
        <f t="shared" si="73"/>
        <v>0</v>
      </c>
    </row>
    <row r="1012" spans="1:13" x14ac:dyDescent="0.2">
      <c r="A1012" s="18"/>
      <c r="B1012" s="77"/>
      <c r="C1012" s="77"/>
      <c r="D1012" s="78"/>
      <c r="E1012" s="77"/>
      <c r="F1012" s="77"/>
      <c r="G1012" s="77"/>
      <c r="H1012" s="77"/>
      <c r="I1012" s="77"/>
      <c r="J1012" s="77"/>
      <c r="K1012" s="79"/>
      <c r="L1012" s="49">
        <f t="shared" si="72"/>
        <v>0</v>
      </c>
      <c r="M1012" s="50">
        <f t="shared" si="73"/>
        <v>0</v>
      </c>
    </row>
    <row r="1013" spans="1:13" x14ac:dyDescent="0.2">
      <c r="A1013" s="18"/>
      <c r="B1013" s="77"/>
      <c r="C1013" s="77"/>
      <c r="D1013" s="78"/>
      <c r="E1013" s="77"/>
      <c r="F1013" s="77"/>
      <c r="G1013" s="77"/>
      <c r="H1013" s="77"/>
      <c r="I1013" s="77"/>
      <c r="J1013" s="77"/>
      <c r="K1013" s="79"/>
      <c r="L1013" s="49">
        <f t="shared" si="72"/>
        <v>0</v>
      </c>
      <c r="M1013" s="50">
        <f t="shared" si="73"/>
        <v>0</v>
      </c>
    </row>
    <row r="1014" spans="1:13" x14ac:dyDescent="0.2">
      <c r="A1014" s="18"/>
      <c r="B1014" s="77"/>
      <c r="C1014" s="77"/>
      <c r="D1014" s="78"/>
      <c r="E1014" s="77"/>
      <c r="F1014" s="77"/>
      <c r="G1014" s="77"/>
      <c r="H1014" s="77"/>
      <c r="I1014" s="77"/>
      <c r="J1014" s="77"/>
      <c r="K1014" s="79"/>
      <c r="L1014" s="49">
        <f t="shared" si="72"/>
        <v>0</v>
      </c>
      <c r="M1014" s="50">
        <f t="shared" si="73"/>
        <v>0</v>
      </c>
    </row>
    <row r="1015" spans="1:13" x14ac:dyDescent="0.2">
      <c r="A1015" s="18"/>
      <c r="B1015" s="77"/>
      <c r="C1015" s="77"/>
      <c r="D1015" s="78"/>
      <c r="E1015" s="77"/>
      <c r="F1015" s="77"/>
      <c r="G1015" s="77"/>
      <c r="H1015" s="77"/>
      <c r="I1015" s="77"/>
      <c r="J1015" s="77"/>
      <c r="K1015" s="79"/>
      <c r="L1015" s="49">
        <f t="shared" si="72"/>
        <v>0</v>
      </c>
      <c r="M1015" s="50">
        <f t="shared" si="73"/>
        <v>0</v>
      </c>
    </row>
    <row r="1016" spans="1:13" x14ac:dyDescent="0.2">
      <c r="A1016" s="18"/>
      <c r="B1016" s="77"/>
      <c r="C1016" s="77"/>
      <c r="D1016" s="78"/>
      <c r="E1016" s="77"/>
      <c r="F1016" s="77"/>
      <c r="G1016" s="77"/>
      <c r="H1016" s="77"/>
      <c r="I1016" s="77"/>
      <c r="J1016" s="77"/>
      <c r="K1016" s="79"/>
      <c r="L1016" s="49">
        <f t="shared" si="72"/>
        <v>0</v>
      </c>
      <c r="M1016" s="50">
        <f t="shared" si="73"/>
        <v>0</v>
      </c>
    </row>
    <row r="1017" spans="1:13" x14ac:dyDescent="0.2">
      <c r="A1017" s="18"/>
      <c r="B1017" s="77"/>
      <c r="C1017" s="77"/>
      <c r="D1017" s="78"/>
      <c r="E1017" s="77"/>
      <c r="F1017" s="77"/>
      <c r="G1017" s="77"/>
      <c r="H1017" s="77"/>
      <c r="I1017" s="77"/>
      <c r="J1017" s="77"/>
      <c r="K1017" s="79"/>
      <c r="L1017" s="49">
        <f t="shared" si="72"/>
        <v>0</v>
      </c>
      <c r="M1017" s="50">
        <f t="shared" si="73"/>
        <v>0</v>
      </c>
    </row>
    <row r="1018" spans="1:13" x14ac:dyDescent="0.2">
      <c r="A1018" s="18"/>
      <c r="B1018" s="77"/>
      <c r="C1018" s="77"/>
      <c r="D1018" s="78"/>
      <c r="E1018" s="77"/>
      <c r="F1018" s="77"/>
      <c r="G1018" s="77"/>
      <c r="H1018" s="77"/>
      <c r="I1018" s="77"/>
      <c r="J1018" s="77"/>
      <c r="K1018" s="79"/>
      <c r="L1018" s="49">
        <f t="shared" si="72"/>
        <v>0</v>
      </c>
      <c r="M1018" s="50">
        <f t="shared" si="73"/>
        <v>0</v>
      </c>
    </row>
    <row r="1019" spans="1:13" x14ac:dyDescent="0.2">
      <c r="A1019" s="18"/>
      <c r="B1019" s="77"/>
      <c r="C1019" s="77"/>
      <c r="D1019" s="78"/>
      <c r="E1019" s="77"/>
      <c r="F1019" s="77"/>
      <c r="G1019" s="77"/>
      <c r="H1019" s="77"/>
      <c r="I1019" s="77"/>
      <c r="J1019" s="77"/>
      <c r="K1019" s="79"/>
      <c r="L1019" s="49">
        <f t="shared" si="72"/>
        <v>0</v>
      </c>
      <c r="M1019" s="50">
        <f t="shared" si="73"/>
        <v>0</v>
      </c>
    </row>
    <row r="1020" spans="1:13" x14ac:dyDescent="0.2">
      <c r="A1020" s="18"/>
      <c r="B1020" s="77"/>
      <c r="C1020" s="77"/>
      <c r="D1020" s="78"/>
      <c r="E1020" s="77"/>
      <c r="F1020" s="77"/>
      <c r="G1020" s="77"/>
      <c r="H1020" s="77"/>
      <c r="I1020" s="77"/>
      <c r="J1020" s="77"/>
      <c r="K1020" s="79"/>
      <c r="L1020" s="49">
        <f t="shared" si="72"/>
        <v>0</v>
      </c>
      <c r="M1020" s="50">
        <f t="shared" si="73"/>
        <v>0</v>
      </c>
    </row>
    <row r="1021" spans="1:13" x14ac:dyDescent="0.2">
      <c r="A1021" s="18"/>
      <c r="B1021" s="77"/>
      <c r="C1021" s="77"/>
      <c r="D1021" s="78"/>
      <c r="E1021" s="77"/>
      <c r="F1021" s="77"/>
      <c r="G1021" s="77"/>
      <c r="H1021" s="77"/>
      <c r="I1021" s="77"/>
      <c r="J1021" s="77"/>
      <c r="K1021" s="79"/>
      <c r="L1021" s="49">
        <f t="shared" si="72"/>
        <v>0</v>
      </c>
      <c r="M1021" s="50">
        <f t="shared" si="73"/>
        <v>0</v>
      </c>
    </row>
    <row r="1022" spans="1:13" x14ac:dyDescent="0.2">
      <c r="A1022" s="18"/>
      <c r="B1022" s="77"/>
      <c r="C1022" s="77"/>
      <c r="D1022" s="78"/>
      <c r="E1022" s="77"/>
      <c r="F1022" s="77"/>
      <c r="G1022" s="77"/>
      <c r="H1022" s="77"/>
      <c r="I1022" s="77"/>
      <c r="J1022" s="77"/>
      <c r="K1022" s="79"/>
      <c r="L1022" s="49">
        <f t="shared" si="72"/>
        <v>0</v>
      </c>
      <c r="M1022" s="50">
        <f t="shared" si="73"/>
        <v>0</v>
      </c>
    </row>
    <row r="1023" spans="1:13" x14ac:dyDescent="0.2">
      <c r="A1023" s="18"/>
      <c r="B1023" s="86"/>
      <c r="C1023" s="86"/>
      <c r="D1023" s="87"/>
      <c r="E1023" s="86"/>
      <c r="F1023" s="86"/>
      <c r="G1023" s="86"/>
      <c r="H1023" s="86"/>
      <c r="I1023" s="86"/>
      <c r="J1023" s="86"/>
      <c r="K1023" s="88"/>
      <c r="L1023" s="49">
        <f t="shared" si="72"/>
        <v>0</v>
      </c>
      <c r="M1023" s="50">
        <f t="shared" si="73"/>
        <v>0</v>
      </c>
    </row>
    <row r="1024" spans="1:13" x14ac:dyDescent="0.2">
      <c r="A1024" s="18"/>
      <c r="B1024" s="77"/>
      <c r="C1024" s="77"/>
      <c r="D1024" s="78"/>
      <c r="E1024" s="77"/>
      <c r="F1024" s="77"/>
      <c r="G1024" s="77"/>
      <c r="H1024" s="77"/>
      <c r="I1024" s="77"/>
      <c r="J1024" s="77"/>
      <c r="K1024" s="79"/>
      <c r="L1024" s="49">
        <f t="shared" ref="L1024:L1045" si="74">+K1024*18%</f>
        <v>0</v>
      </c>
      <c r="M1024" s="50">
        <f t="shared" ref="M1024:M1045" si="75">+K1024+L1024</f>
        <v>0</v>
      </c>
    </row>
    <row r="1025" spans="1:13" x14ac:dyDescent="0.2">
      <c r="A1025" s="18"/>
      <c r="B1025" s="77"/>
      <c r="C1025" s="77"/>
      <c r="D1025" s="78"/>
      <c r="E1025" s="77"/>
      <c r="F1025" s="77"/>
      <c r="G1025" s="77"/>
      <c r="H1025" s="77"/>
      <c r="I1025" s="77"/>
      <c r="J1025" s="77"/>
      <c r="K1025" s="79"/>
      <c r="L1025" s="49">
        <f t="shared" si="74"/>
        <v>0</v>
      </c>
      <c r="M1025" s="50">
        <f t="shared" si="75"/>
        <v>0</v>
      </c>
    </row>
    <row r="1026" spans="1:13" x14ac:dyDescent="0.2">
      <c r="A1026" s="18"/>
      <c r="B1026" s="77"/>
      <c r="C1026" s="77"/>
      <c r="D1026" s="78"/>
      <c r="E1026" s="77"/>
      <c r="F1026" s="77"/>
      <c r="G1026" s="77"/>
      <c r="H1026" s="77"/>
      <c r="I1026" s="77"/>
      <c r="J1026" s="77"/>
      <c r="K1026" s="79"/>
      <c r="L1026" s="49">
        <f t="shared" si="74"/>
        <v>0</v>
      </c>
      <c r="M1026" s="50">
        <f t="shared" si="75"/>
        <v>0</v>
      </c>
    </row>
    <row r="1027" spans="1:13" x14ac:dyDescent="0.2">
      <c r="A1027" s="18"/>
      <c r="B1027" s="77"/>
      <c r="C1027" s="77"/>
      <c r="D1027" s="78"/>
      <c r="E1027" s="77"/>
      <c r="F1027" s="77"/>
      <c r="G1027" s="77"/>
      <c r="H1027" s="77"/>
      <c r="I1027" s="77"/>
      <c r="J1027" s="77"/>
      <c r="K1027" s="79"/>
      <c r="L1027" s="49">
        <f t="shared" si="74"/>
        <v>0</v>
      </c>
      <c r="M1027" s="50">
        <f t="shared" si="75"/>
        <v>0</v>
      </c>
    </row>
    <row r="1028" spans="1:13" x14ac:dyDescent="0.2">
      <c r="A1028" s="18"/>
      <c r="B1028" s="77"/>
      <c r="C1028" s="77"/>
      <c r="D1028" s="78"/>
      <c r="E1028" s="77"/>
      <c r="F1028" s="77"/>
      <c r="G1028" s="77"/>
      <c r="H1028" s="77"/>
      <c r="I1028" s="77"/>
      <c r="J1028" s="77"/>
      <c r="K1028" s="79"/>
      <c r="L1028" s="49">
        <f t="shared" si="74"/>
        <v>0</v>
      </c>
      <c r="M1028" s="50">
        <f t="shared" si="75"/>
        <v>0</v>
      </c>
    </row>
    <row r="1029" spans="1:13" x14ac:dyDescent="0.2">
      <c r="A1029" s="18"/>
      <c r="B1029" s="77"/>
      <c r="C1029" s="77"/>
      <c r="D1029" s="78"/>
      <c r="E1029" s="77"/>
      <c r="F1029" s="77"/>
      <c r="G1029" s="77"/>
      <c r="H1029" s="77"/>
      <c r="I1029" s="77"/>
      <c r="J1029" s="77"/>
      <c r="K1029" s="79"/>
      <c r="L1029" s="49">
        <f t="shared" si="74"/>
        <v>0</v>
      </c>
      <c r="M1029" s="50">
        <f t="shared" si="75"/>
        <v>0</v>
      </c>
    </row>
    <row r="1030" spans="1:13" x14ac:dyDescent="0.2">
      <c r="A1030" s="18"/>
      <c r="B1030" s="77"/>
      <c r="C1030" s="77"/>
      <c r="D1030" s="78"/>
      <c r="E1030" s="77"/>
      <c r="F1030" s="77"/>
      <c r="G1030" s="77"/>
      <c r="H1030" s="77"/>
      <c r="I1030" s="77"/>
      <c r="J1030" s="77"/>
      <c r="K1030" s="79"/>
      <c r="L1030" s="49">
        <f t="shared" si="74"/>
        <v>0</v>
      </c>
      <c r="M1030" s="50">
        <f t="shared" si="75"/>
        <v>0</v>
      </c>
    </row>
    <row r="1031" spans="1:13" x14ac:dyDescent="0.2">
      <c r="A1031" s="18"/>
      <c r="B1031" s="77"/>
      <c r="C1031" s="77"/>
      <c r="D1031" s="78"/>
      <c r="E1031" s="77"/>
      <c r="F1031" s="77"/>
      <c r="G1031" s="77"/>
      <c r="H1031" s="77"/>
      <c r="I1031" s="77"/>
      <c r="J1031" s="77"/>
      <c r="K1031" s="79"/>
      <c r="L1031" s="49">
        <f t="shared" si="74"/>
        <v>0</v>
      </c>
      <c r="M1031" s="50">
        <f t="shared" si="75"/>
        <v>0</v>
      </c>
    </row>
    <row r="1032" spans="1:13" x14ac:dyDescent="0.2">
      <c r="A1032" s="18"/>
      <c r="B1032" s="77"/>
      <c r="C1032" s="77"/>
      <c r="D1032" s="78"/>
      <c r="E1032" s="77"/>
      <c r="F1032" s="77"/>
      <c r="G1032" s="77"/>
      <c r="H1032" s="77"/>
      <c r="I1032" s="77"/>
      <c r="J1032" s="77"/>
      <c r="K1032" s="79"/>
      <c r="L1032" s="49">
        <f t="shared" si="74"/>
        <v>0</v>
      </c>
      <c r="M1032" s="50">
        <f t="shared" si="75"/>
        <v>0</v>
      </c>
    </row>
    <row r="1033" spans="1:13" x14ac:dyDescent="0.2">
      <c r="A1033" s="18"/>
      <c r="B1033" s="77"/>
      <c r="C1033" s="77"/>
      <c r="D1033" s="78"/>
      <c r="E1033" s="77"/>
      <c r="F1033" s="77"/>
      <c r="G1033" s="77"/>
      <c r="H1033" s="77"/>
      <c r="I1033" s="77"/>
      <c r="J1033" s="77"/>
      <c r="K1033" s="79"/>
      <c r="L1033" s="49">
        <f t="shared" si="74"/>
        <v>0</v>
      </c>
      <c r="M1033" s="50">
        <f t="shared" si="75"/>
        <v>0</v>
      </c>
    </row>
    <row r="1034" spans="1:13" x14ac:dyDescent="0.2">
      <c r="A1034" s="18"/>
      <c r="B1034" s="77"/>
      <c r="C1034" s="77"/>
      <c r="D1034" s="78"/>
      <c r="E1034" s="77"/>
      <c r="F1034" s="77"/>
      <c r="G1034" s="77"/>
      <c r="H1034" s="77"/>
      <c r="I1034" s="77"/>
      <c r="J1034" s="77"/>
      <c r="K1034" s="79"/>
      <c r="L1034" s="49">
        <f t="shared" si="74"/>
        <v>0</v>
      </c>
      <c r="M1034" s="50">
        <f t="shared" si="75"/>
        <v>0</v>
      </c>
    </row>
    <row r="1035" spans="1:13" x14ac:dyDescent="0.2">
      <c r="A1035" s="18"/>
      <c r="B1035" s="77"/>
      <c r="C1035" s="77"/>
      <c r="D1035" s="78"/>
      <c r="E1035" s="77"/>
      <c r="F1035" s="77"/>
      <c r="G1035" s="77"/>
      <c r="H1035" s="77"/>
      <c r="I1035" s="77"/>
      <c r="J1035" s="77"/>
      <c r="K1035" s="79"/>
      <c r="L1035" s="49">
        <f t="shared" si="74"/>
        <v>0</v>
      </c>
      <c r="M1035" s="50">
        <f t="shared" si="75"/>
        <v>0</v>
      </c>
    </row>
    <row r="1036" spans="1:13" x14ac:dyDescent="0.2">
      <c r="A1036" s="18"/>
      <c r="B1036" s="77"/>
      <c r="C1036" s="77"/>
      <c r="D1036" s="78"/>
      <c r="E1036" s="77"/>
      <c r="F1036" s="77"/>
      <c r="G1036" s="77"/>
      <c r="H1036" s="77"/>
      <c r="I1036" s="77"/>
      <c r="J1036" s="77"/>
      <c r="K1036" s="79"/>
      <c r="L1036" s="49">
        <f t="shared" si="74"/>
        <v>0</v>
      </c>
      <c r="M1036" s="50">
        <f t="shared" si="75"/>
        <v>0</v>
      </c>
    </row>
    <row r="1037" spans="1:13" x14ac:dyDescent="0.2">
      <c r="A1037" s="18"/>
      <c r="B1037" s="77"/>
      <c r="C1037" s="77"/>
      <c r="D1037" s="78"/>
      <c r="E1037" s="77"/>
      <c r="F1037" s="77"/>
      <c r="G1037" s="77"/>
      <c r="H1037" s="77"/>
      <c r="I1037" s="77"/>
      <c r="J1037" s="77"/>
      <c r="K1037" s="79"/>
      <c r="L1037" s="49">
        <f t="shared" si="74"/>
        <v>0</v>
      </c>
      <c r="M1037" s="50">
        <f t="shared" si="75"/>
        <v>0</v>
      </c>
    </row>
    <row r="1038" spans="1:13" x14ac:dyDescent="0.2">
      <c r="A1038" s="18"/>
      <c r="B1038" s="77"/>
      <c r="C1038" s="77"/>
      <c r="D1038" s="78"/>
      <c r="E1038" s="77"/>
      <c r="F1038" s="77"/>
      <c r="G1038" s="77"/>
      <c r="H1038" s="77"/>
      <c r="I1038" s="77"/>
      <c r="J1038" s="77"/>
      <c r="K1038" s="79"/>
      <c r="L1038" s="49">
        <f t="shared" si="74"/>
        <v>0</v>
      </c>
      <c r="M1038" s="50">
        <f t="shared" si="75"/>
        <v>0</v>
      </c>
    </row>
    <row r="1039" spans="1:13" x14ac:dyDescent="0.2">
      <c r="A1039" s="18"/>
      <c r="B1039" s="77"/>
      <c r="C1039" s="77"/>
      <c r="D1039" s="78"/>
      <c r="E1039" s="77"/>
      <c r="F1039" s="77"/>
      <c r="G1039" s="77"/>
      <c r="H1039" s="77"/>
      <c r="I1039" s="77"/>
      <c r="J1039" s="77"/>
      <c r="K1039" s="79"/>
      <c r="L1039" s="49">
        <f t="shared" si="74"/>
        <v>0</v>
      </c>
      <c r="M1039" s="50">
        <f t="shared" si="75"/>
        <v>0</v>
      </c>
    </row>
    <row r="1040" spans="1:13" x14ac:dyDescent="0.2">
      <c r="A1040" s="18"/>
      <c r="B1040" s="77"/>
      <c r="C1040" s="77"/>
      <c r="D1040" s="78"/>
      <c r="E1040" s="77"/>
      <c r="F1040" s="77"/>
      <c r="G1040" s="77"/>
      <c r="H1040" s="77"/>
      <c r="I1040" s="77"/>
      <c r="J1040" s="77"/>
      <c r="K1040" s="79"/>
      <c r="L1040" s="49">
        <f t="shared" si="74"/>
        <v>0</v>
      </c>
      <c r="M1040" s="50">
        <f t="shared" si="75"/>
        <v>0</v>
      </c>
    </row>
    <row r="1041" spans="1:13" x14ac:dyDescent="0.2">
      <c r="A1041" s="18"/>
      <c r="B1041" s="77"/>
      <c r="C1041" s="77"/>
      <c r="D1041" s="78"/>
      <c r="E1041" s="77"/>
      <c r="F1041" s="77"/>
      <c r="G1041" s="77"/>
      <c r="H1041" s="77"/>
      <c r="I1041" s="77"/>
      <c r="J1041" s="77"/>
      <c r="K1041" s="79"/>
      <c r="L1041" s="49">
        <f t="shared" si="74"/>
        <v>0</v>
      </c>
      <c r="M1041" s="50">
        <f t="shared" si="75"/>
        <v>0</v>
      </c>
    </row>
    <row r="1042" spans="1:13" x14ac:dyDescent="0.2">
      <c r="A1042" s="18"/>
      <c r="B1042" s="77"/>
      <c r="C1042" s="77"/>
      <c r="D1042" s="78"/>
      <c r="E1042" s="77"/>
      <c r="F1042" s="77"/>
      <c r="G1042" s="77"/>
      <c r="H1042" s="77"/>
      <c r="I1042" s="77"/>
      <c r="J1042" s="77"/>
      <c r="K1042" s="79"/>
      <c r="L1042" s="49">
        <f t="shared" si="74"/>
        <v>0</v>
      </c>
      <c r="M1042" s="50">
        <f t="shared" si="75"/>
        <v>0</v>
      </c>
    </row>
    <row r="1043" spans="1:13" x14ac:dyDescent="0.2">
      <c r="A1043" s="18"/>
      <c r="B1043" s="77"/>
      <c r="C1043" s="77"/>
      <c r="D1043" s="78"/>
      <c r="E1043" s="77"/>
      <c r="F1043" s="77"/>
      <c r="G1043" s="77"/>
      <c r="H1043" s="77"/>
      <c r="I1043" s="77"/>
      <c r="J1043" s="77"/>
      <c r="K1043" s="79"/>
      <c r="L1043" s="49">
        <f t="shared" si="74"/>
        <v>0</v>
      </c>
      <c r="M1043" s="50">
        <f t="shared" si="75"/>
        <v>0</v>
      </c>
    </row>
    <row r="1044" spans="1:13" x14ac:dyDescent="0.2">
      <c r="A1044" s="18"/>
      <c r="B1044" s="77"/>
      <c r="C1044" s="77"/>
      <c r="D1044" s="78"/>
      <c r="E1044" s="77"/>
      <c r="F1044" s="77"/>
      <c r="G1044" s="77"/>
      <c r="H1044" s="77"/>
      <c r="I1044" s="77"/>
      <c r="J1044" s="77"/>
      <c r="K1044" s="79"/>
      <c r="L1044" s="49">
        <f t="shared" si="74"/>
        <v>0</v>
      </c>
      <c r="M1044" s="50">
        <f t="shared" si="75"/>
        <v>0</v>
      </c>
    </row>
    <row r="1045" spans="1:13" x14ac:dyDescent="0.2">
      <c r="A1045" s="18"/>
      <c r="B1045" s="77"/>
      <c r="C1045" s="77"/>
      <c r="D1045" s="78"/>
      <c r="E1045" s="77"/>
      <c r="F1045" s="77"/>
      <c r="G1045" s="77"/>
      <c r="H1045" s="77"/>
      <c r="I1045" s="77"/>
      <c r="J1045" s="77"/>
      <c r="K1045" s="79"/>
      <c r="L1045" s="49">
        <f t="shared" si="74"/>
        <v>0</v>
      </c>
      <c r="M1045" s="50">
        <f t="shared" si="75"/>
        <v>0</v>
      </c>
    </row>
    <row r="1046" spans="1:13" x14ac:dyDescent="0.2">
      <c r="A1046" s="18"/>
      <c r="B1046" s="18"/>
      <c r="C1046" s="18"/>
      <c r="D1046" s="19"/>
      <c r="E1046" s="18"/>
      <c r="F1046" s="18"/>
      <c r="G1046" s="18"/>
      <c r="H1046" s="18"/>
      <c r="I1046" s="18"/>
      <c r="J1046" s="18"/>
      <c r="K1046" s="18"/>
      <c r="L1046" s="49">
        <f t="shared" ref="L1046:L1109" si="76">+K1046*18%</f>
        <v>0</v>
      </c>
      <c r="M1046" s="50">
        <f t="shared" ref="M1046:M1109" si="77">+K1046+L1046</f>
        <v>0</v>
      </c>
    </row>
    <row r="1047" spans="1:13" x14ac:dyDescent="0.2">
      <c r="A1047" s="18"/>
      <c r="B1047" s="18"/>
      <c r="C1047" s="18"/>
      <c r="D1047" s="19"/>
      <c r="E1047" s="18"/>
      <c r="F1047" s="18"/>
      <c r="G1047" s="18"/>
      <c r="H1047" s="18"/>
      <c r="I1047" s="77"/>
      <c r="J1047" s="18"/>
      <c r="K1047" s="18"/>
      <c r="L1047" s="49">
        <f t="shared" si="76"/>
        <v>0</v>
      </c>
      <c r="M1047" s="50">
        <f t="shared" si="77"/>
        <v>0</v>
      </c>
    </row>
    <row r="1048" spans="1:13" x14ac:dyDescent="0.2">
      <c r="A1048" s="18"/>
      <c r="B1048" s="77"/>
      <c r="C1048" s="77"/>
      <c r="D1048" s="19"/>
      <c r="E1048" s="18"/>
      <c r="F1048" s="18"/>
      <c r="G1048" s="18"/>
      <c r="H1048" s="77"/>
      <c r="I1048" s="77"/>
      <c r="J1048" s="18"/>
      <c r="K1048" s="18"/>
      <c r="L1048" s="49">
        <f t="shared" si="76"/>
        <v>0</v>
      </c>
      <c r="M1048" s="50">
        <f t="shared" si="77"/>
        <v>0</v>
      </c>
    </row>
    <row r="1049" spans="1:13" x14ac:dyDescent="0.2">
      <c r="A1049" s="18"/>
      <c r="B1049" s="77"/>
      <c r="C1049" s="77"/>
      <c r="D1049" s="19"/>
      <c r="E1049" s="18"/>
      <c r="F1049" s="18"/>
      <c r="G1049" s="18"/>
      <c r="H1049" s="77"/>
      <c r="I1049" s="77"/>
      <c r="J1049" s="18"/>
      <c r="K1049" s="18"/>
      <c r="L1049" s="49">
        <f t="shared" si="76"/>
        <v>0</v>
      </c>
      <c r="M1049" s="50">
        <f t="shared" si="77"/>
        <v>0</v>
      </c>
    </row>
    <row r="1050" spans="1:13" x14ac:dyDescent="0.2">
      <c r="A1050" s="18"/>
      <c r="B1050" s="77"/>
      <c r="C1050" s="77"/>
      <c r="D1050" s="78"/>
      <c r="E1050" s="77"/>
      <c r="F1050" s="77"/>
      <c r="G1050" s="18"/>
      <c r="H1050" s="77"/>
      <c r="I1050" s="77"/>
      <c r="J1050" s="18"/>
      <c r="K1050" s="18"/>
      <c r="L1050" s="49">
        <f t="shared" si="76"/>
        <v>0</v>
      </c>
      <c r="M1050" s="50">
        <f t="shared" si="77"/>
        <v>0</v>
      </c>
    </row>
    <row r="1051" spans="1:13" x14ac:dyDescent="0.2">
      <c r="A1051" s="18"/>
      <c r="B1051" s="77"/>
      <c r="C1051" s="77"/>
      <c r="D1051" s="78"/>
      <c r="E1051" s="77"/>
      <c r="F1051" s="77"/>
      <c r="G1051" s="18"/>
      <c r="H1051" s="77"/>
      <c r="I1051" s="77"/>
      <c r="J1051" s="18"/>
      <c r="K1051" s="18"/>
      <c r="L1051" s="49">
        <f t="shared" si="76"/>
        <v>0</v>
      </c>
      <c r="M1051" s="50">
        <f t="shared" si="77"/>
        <v>0</v>
      </c>
    </row>
    <row r="1052" spans="1:13" x14ac:dyDescent="0.2">
      <c r="A1052" s="18"/>
      <c r="B1052" s="77"/>
      <c r="C1052" s="77"/>
      <c r="D1052" s="78"/>
      <c r="E1052" s="77"/>
      <c r="F1052" s="77"/>
      <c r="G1052" s="77"/>
      <c r="H1052" s="77"/>
      <c r="I1052" s="77"/>
      <c r="J1052" s="77"/>
      <c r="K1052" s="79"/>
      <c r="L1052" s="49">
        <f t="shared" si="76"/>
        <v>0</v>
      </c>
      <c r="M1052" s="50">
        <f t="shared" si="77"/>
        <v>0</v>
      </c>
    </row>
    <row r="1053" spans="1:13" x14ac:dyDescent="0.2">
      <c r="A1053" s="18"/>
      <c r="B1053" s="77"/>
      <c r="C1053" s="77"/>
      <c r="D1053" s="78"/>
      <c r="E1053" s="77"/>
      <c r="F1053" s="77"/>
      <c r="G1053" s="77"/>
      <c r="H1053" s="77"/>
      <c r="I1053" s="77"/>
      <c r="J1053" s="77"/>
      <c r="K1053" s="79"/>
      <c r="L1053" s="49">
        <f t="shared" si="76"/>
        <v>0</v>
      </c>
      <c r="M1053" s="50">
        <f t="shared" si="77"/>
        <v>0</v>
      </c>
    </row>
    <row r="1054" spans="1:13" x14ac:dyDescent="0.2">
      <c r="A1054" s="18"/>
      <c r="B1054" s="77"/>
      <c r="C1054" s="77"/>
      <c r="D1054" s="78"/>
      <c r="E1054" s="77"/>
      <c r="F1054" s="77"/>
      <c r="G1054" s="77"/>
      <c r="H1054" s="77"/>
      <c r="I1054" s="77"/>
      <c r="J1054" s="77"/>
      <c r="K1054" s="79"/>
      <c r="L1054" s="49">
        <f t="shared" si="76"/>
        <v>0</v>
      </c>
      <c r="M1054" s="50">
        <f t="shared" si="77"/>
        <v>0</v>
      </c>
    </row>
    <row r="1055" spans="1:13" x14ac:dyDescent="0.2">
      <c r="A1055" s="18"/>
      <c r="B1055" s="77"/>
      <c r="C1055" s="77"/>
      <c r="D1055" s="78"/>
      <c r="E1055" s="77"/>
      <c r="F1055" s="77"/>
      <c r="G1055" s="77"/>
      <c r="H1055" s="77"/>
      <c r="I1055" s="77"/>
      <c r="J1055" s="77"/>
      <c r="K1055" s="79"/>
      <c r="L1055" s="49">
        <f t="shared" si="76"/>
        <v>0</v>
      </c>
      <c r="M1055" s="50">
        <f t="shared" si="77"/>
        <v>0</v>
      </c>
    </row>
    <row r="1056" spans="1:13" x14ac:dyDescent="0.2">
      <c r="A1056" s="18"/>
      <c r="B1056" s="77"/>
      <c r="C1056" s="77"/>
      <c r="D1056" s="78"/>
      <c r="E1056" s="77"/>
      <c r="F1056" s="77"/>
      <c r="G1056" s="77"/>
      <c r="H1056" s="77"/>
      <c r="I1056" s="77"/>
      <c r="J1056" s="77"/>
      <c r="K1056" s="79"/>
      <c r="L1056" s="49">
        <f t="shared" si="76"/>
        <v>0</v>
      </c>
      <c r="M1056" s="50">
        <f t="shared" si="77"/>
        <v>0</v>
      </c>
    </row>
    <row r="1057" spans="1:13" x14ac:dyDescent="0.2">
      <c r="A1057" s="18"/>
      <c r="B1057" s="77"/>
      <c r="C1057" s="77"/>
      <c r="D1057" s="78"/>
      <c r="E1057" s="77"/>
      <c r="F1057" s="77"/>
      <c r="G1057" s="77"/>
      <c r="H1057" s="77"/>
      <c r="I1057" s="77"/>
      <c r="J1057" s="77"/>
      <c r="K1057" s="79"/>
      <c r="L1057" s="49">
        <f t="shared" si="76"/>
        <v>0</v>
      </c>
      <c r="M1057" s="50">
        <f t="shared" si="77"/>
        <v>0</v>
      </c>
    </row>
    <row r="1058" spans="1:13" x14ac:dyDescent="0.2">
      <c r="A1058" s="18"/>
      <c r="B1058" s="77"/>
      <c r="C1058" s="77"/>
      <c r="D1058" s="78"/>
      <c r="E1058" s="77"/>
      <c r="F1058" s="77"/>
      <c r="G1058" s="77"/>
      <c r="H1058" s="77"/>
      <c r="I1058" s="77"/>
      <c r="J1058" s="77"/>
      <c r="K1058" s="79"/>
      <c r="L1058" s="49">
        <f t="shared" si="76"/>
        <v>0</v>
      </c>
      <c r="M1058" s="50">
        <f t="shared" si="77"/>
        <v>0</v>
      </c>
    </row>
    <row r="1059" spans="1:13" x14ac:dyDescent="0.2">
      <c r="A1059" s="18"/>
      <c r="B1059" s="77"/>
      <c r="C1059" s="77"/>
      <c r="D1059" s="78"/>
      <c r="E1059" s="77"/>
      <c r="F1059" s="77"/>
      <c r="G1059" s="77"/>
      <c r="H1059" s="77"/>
      <c r="I1059" s="77"/>
      <c r="J1059" s="77"/>
      <c r="K1059" s="79"/>
      <c r="L1059" s="49">
        <f t="shared" si="76"/>
        <v>0</v>
      </c>
      <c r="M1059" s="50">
        <f t="shared" si="77"/>
        <v>0</v>
      </c>
    </row>
    <row r="1060" spans="1:13" x14ac:dyDescent="0.2">
      <c r="A1060" s="18"/>
      <c r="B1060" s="77"/>
      <c r="C1060" s="77"/>
      <c r="D1060" s="78"/>
      <c r="E1060" s="77"/>
      <c r="F1060" s="77"/>
      <c r="G1060" s="77"/>
      <c r="H1060" s="77"/>
      <c r="I1060" s="77"/>
      <c r="J1060" s="77"/>
      <c r="K1060" s="79"/>
      <c r="L1060" s="49">
        <f t="shared" si="76"/>
        <v>0</v>
      </c>
      <c r="M1060" s="50">
        <f t="shared" si="77"/>
        <v>0</v>
      </c>
    </row>
    <row r="1061" spans="1:13" x14ac:dyDescent="0.2">
      <c r="A1061" s="18"/>
      <c r="B1061" s="77"/>
      <c r="C1061" s="77"/>
      <c r="D1061" s="78"/>
      <c r="E1061" s="77"/>
      <c r="F1061" s="77"/>
      <c r="G1061" s="77"/>
      <c r="H1061" s="77"/>
      <c r="I1061" s="77"/>
      <c r="J1061" s="77"/>
      <c r="K1061" s="79"/>
      <c r="L1061" s="49">
        <f t="shared" si="76"/>
        <v>0</v>
      </c>
      <c r="M1061" s="50">
        <f t="shared" si="77"/>
        <v>0</v>
      </c>
    </row>
    <row r="1062" spans="1:13" x14ac:dyDescent="0.2">
      <c r="A1062" s="18"/>
      <c r="B1062" s="77"/>
      <c r="C1062" s="77"/>
      <c r="D1062" s="78"/>
      <c r="E1062" s="77"/>
      <c r="F1062" s="77"/>
      <c r="G1062" s="77"/>
      <c r="H1062" s="77"/>
      <c r="I1062" s="77"/>
      <c r="J1062" s="77"/>
      <c r="K1062" s="79"/>
      <c r="L1062" s="49">
        <f t="shared" si="76"/>
        <v>0</v>
      </c>
      <c r="M1062" s="50">
        <f t="shared" si="77"/>
        <v>0</v>
      </c>
    </row>
    <row r="1063" spans="1:13" x14ac:dyDescent="0.2">
      <c r="A1063" s="18"/>
      <c r="B1063" s="77"/>
      <c r="C1063" s="77"/>
      <c r="D1063" s="78"/>
      <c r="E1063" s="77"/>
      <c r="F1063" s="77"/>
      <c r="G1063" s="77"/>
      <c r="H1063" s="77"/>
      <c r="I1063" s="77"/>
      <c r="J1063" s="77"/>
      <c r="K1063" s="79"/>
      <c r="L1063" s="49">
        <f t="shared" si="76"/>
        <v>0</v>
      </c>
      <c r="M1063" s="50">
        <f t="shared" si="77"/>
        <v>0</v>
      </c>
    </row>
    <row r="1064" spans="1:13" x14ac:dyDescent="0.2">
      <c r="A1064" s="18"/>
      <c r="B1064" s="77"/>
      <c r="C1064" s="77"/>
      <c r="D1064" s="78"/>
      <c r="E1064" s="77"/>
      <c r="F1064" s="77"/>
      <c r="G1064" s="77"/>
      <c r="H1064" s="77"/>
      <c r="I1064" s="77"/>
      <c r="J1064" s="77"/>
      <c r="K1064" s="79"/>
      <c r="L1064" s="49">
        <f t="shared" si="76"/>
        <v>0</v>
      </c>
      <c r="M1064" s="50">
        <f t="shared" si="77"/>
        <v>0</v>
      </c>
    </row>
    <row r="1065" spans="1:13" x14ac:dyDescent="0.2">
      <c r="A1065" s="18"/>
      <c r="B1065" s="77"/>
      <c r="C1065" s="77"/>
      <c r="D1065" s="78"/>
      <c r="E1065" s="77"/>
      <c r="F1065" s="77"/>
      <c r="G1065" s="77"/>
      <c r="H1065" s="77"/>
      <c r="I1065" s="77"/>
      <c r="J1065" s="77"/>
      <c r="K1065" s="79"/>
      <c r="L1065" s="49">
        <f t="shared" si="76"/>
        <v>0</v>
      </c>
      <c r="M1065" s="50">
        <f t="shared" si="77"/>
        <v>0</v>
      </c>
    </row>
    <row r="1066" spans="1:13" x14ac:dyDescent="0.2">
      <c r="A1066" s="18"/>
      <c r="B1066" s="77"/>
      <c r="C1066" s="77"/>
      <c r="D1066" s="78"/>
      <c r="E1066" s="77"/>
      <c r="F1066" s="77"/>
      <c r="G1066" s="77"/>
      <c r="H1066" s="77"/>
      <c r="I1066" s="77"/>
      <c r="J1066" s="77"/>
      <c r="K1066" s="79"/>
      <c r="L1066" s="49">
        <f t="shared" si="76"/>
        <v>0</v>
      </c>
      <c r="M1066" s="50">
        <f t="shared" si="77"/>
        <v>0</v>
      </c>
    </row>
    <row r="1067" spans="1:13" x14ac:dyDescent="0.2">
      <c r="A1067" s="18"/>
      <c r="B1067" s="77"/>
      <c r="C1067" s="77"/>
      <c r="D1067" s="78"/>
      <c r="E1067" s="77"/>
      <c r="F1067" s="77"/>
      <c r="G1067" s="77"/>
      <c r="H1067" s="77"/>
      <c r="I1067" s="77"/>
      <c r="J1067" s="77"/>
      <c r="K1067" s="79"/>
      <c r="L1067" s="49">
        <f t="shared" si="76"/>
        <v>0</v>
      </c>
      <c r="M1067" s="50">
        <f t="shared" si="77"/>
        <v>0</v>
      </c>
    </row>
    <row r="1068" spans="1:13" x14ac:dyDescent="0.2">
      <c r="A1068" s="18"/>
      <c r="B1068" s="77"/>
      <c r="C1068" s="77"/>
      <c r="D1068" s="78"/>
      <c r="E1068" s="77"/>
      <c r="F1068" s="77"/>
      <c r="G1068" s="77"/>
      <c r="H1068" s="77"/>
      <c r="I1068" s="77"/>
      <c r="J1068" s="77"/>
      <c r="K1068" s="79"/>
      <c r="L1068" s="49">
        <f t="shared" si="76"/>
        <v>0</v>
      </c>
      <c r="M1068" s="50">
        <f t="shared" si="77"/>
        <v>0</v>
      </c>
    </row>
    <row r="1069" spans="1:13" x14ac:dyDescent="0.2">
      <c r="A1069" s="18"/>
      <c r="B1069" s="77"/>
      <c r="C1069" s="77"/>
      <c r="D1069" s="78"/>
      <c r="E1069" s="77"/>
      <c r="F1069" s="77"/>
      <c r="G1069" s="77"/>
      <c r="H1069" s="77"/>
      <c r="I1069" s="77"/>
      <c r="J1069" s="77"/>
      <c r="K1069" s="79"/>
      <c r="L1069" s="49">
        <f t="shared" si="76"/>
        <v>0</v>
      </c>
      <c r="M1069" s="50">
        <f t="shared" si="77"/>
        <v>0</v>
      </c>
    </row>
    <row r="1070" spans="1:13" x14ac:dyDescent="0.2">
      <c r="A1070" s="18"/>
      <c r="B1070" s="77"/>
      <c r="C1070" s="77"/>
      <c r="D1070" s="78"/>
      <c r="E1070" s="77"/>
      <c r="F1070" s="77"/>
      <c r="G1070" s="77"/>
      <c r="H1070" s="77"/>
      <c r="I1070" s="77"/>
      <c r="J1070" s="77"/>
      <c r="K1070" s="79"/>
      <c r="L1070" s="49">
        <f t="shared" si="76"/>
        <v>0</v>
      </c>
      <c r="M1070" s="50">
        <f t="shared" si="77"/>
        <v>0</v>
      </c>
    </row>
    <row r="1071" spans="1:13" x14ac:dyDescent="0.2">
      <c r="A1071" s="18"/>
      <c r="B1071" s="77"/>
      <c r="C1071" s="77"/>
      <c r="D1071" s="78"/>
      <c r="E1071" s="77"/>
      <c r="F1071" s="77"/>
      <c r="G1071" s="77"/>
      <c r="H1071" s="77"/>
      <c r="I1071" s="77"/>
      <c r="J1071" s="77"/>
      <c r="K1071" s="79"/>
      <c r="L1071" s="49">
        <f t="shared" si="76"/>
        <v>0</v>
      </c>
      <c r="M1071" s="50">
        <f t="shared" si="77"/>
        <v>0</v>
      </c>
    </row>
    <row r="1072" spans="1:13" x14ac:dyDescent="0.2">
      <c r="A1072" s="18"/>
      <c r="B1072" s="77"/>
      <c r="C1072" s="77"/>
      <c r="D1072" s="78"/>
      <c r="E1072" s="77"/>
      <c r="F1072" s="77"/>
      <c r="G1072" s="77"/>
      <c r="H1072" s="77"/>
      <c r="I1072" s="77"/>
      <c r="J1072" s="77"/>
      <c r="K1072" s="79"/>
      <c r="L1072" s="49">
        <f t="shared" si="76"/>
        <v>0</v>
      </c>
      <c r="M1072" s="50">
        <f t="shared" si="77"/>
        <v>0</v>
      </c>
    </row>
    <row r="1073" spans="1:13" x14ac:dyDescent="0.2">
      <c r="A1073" s="18"/>
      <c r="B1073" s="77"/>
      <c r="C1073" s="77"/>
      <c r="D1073" s="78"/>
      <c r="E1073" s="77"/>
      <c r="F1073" s="77"/>
      <c r="G1073" s="77"/>
      <c r="H1073" s="77"/>
      <c r="I1073" s="77"/>
      <c r="J1073" s="77"/>
      <c r="K1073" s="79"/>
      <c r="L1073" s="49">
        <f t="shared" si="76"/>
        <v>0</v>
      </c>
      <c r="M1073" s="50">
        <f t="shared" si="77"/>
        <v>0</v>
      </c>
    </row>
    <row r="1074" spans="1:13" x14ac:dyDescent="0.2">
      <c r="A1074" s="18"/>
      <c r="B1074" s="77"/>
      <c r="C1074" s="77"/>
      <c r="D1074" s="78"/>
      <c r="E1074" s="77"/>
      <c r="F1074" s="77"/>
      <c r="G1074" s="77"/>
      <c r="H1074" s="77"/>
      <c r="I1074" s="77"/>
      <c r="J1074" s="77"/>
      <c r="K1074" s="79"/>
      <c r="L1074" s="49">
        <f t="shared" si="76"/>
        <v>0</v>
      </c>
      <c r="M1074" s="50">
        <f t="shared" si="77"/>
        <v>0</v>
      </c>
    </row>
    <row r="1075" spans="1:13" x14ac:dyDescent="0.2">
      <c r="A1075" s="18"/>
      <c r="B1075" s="77"/>
      <c r="C1075" s="77"/>
      <c r="D1075" s="78"/>
      <c r="E1075" s="77"/>
      <c r="F1075" s="77"/>
      <c r="G1075" s="77"/>
      <c r="H1075" s="77"/>
      <c r="I1075" s="77"/>
      <c r="J1075" s="77"/>
      <c r="K1075" s="79"/>
      <c r="L1075" s="49">
        <f t="shared" si="76"/>
        <v>0</v>
      </c>
      <c r="M1075" s="50">
        <f t="shared" si="77"/>
        <v>0</v>
      </c>
    </row>
    <row r="1076" spans="1:13" x14ac:dyDescent="0.2">
      <c r="A1076" s="18"/>
      <c r="B1076" s="77"/>
      <c r="C1076" s="77"/>
      <c r="D1076" s="78"/>
      <c r="E1076" s="77"/>
      <c r="F1076" s="77"/>
      <c r="G1076" s="77"/>
      <c r="H1076" s="77"/>
      <c r="I1076" s="77"/>
      <c r="J1076" s="77"/>
      <c r="K1076" s="79"/>
      <c r="L1076" s="49">
        <f t="shared" si="76"/>
        <v>0</v>
      </c>
      <c r="M1076" s="50">
        <f t="shared" si="77"/>
        <v>0</v>
      </c>
    </row>
    <row r="1077" spans="1:13" x14ac:dyDescent="0.2">
      <c r="A1077" s="18"/>
      <c r="B1077" s="77"/>
      <c r="C1077" s="77"/>
      <c r="D1077" s="78"/>
      <c r="E1077" s="77"/>
      <c r="F1077" s="77"/>
      <c r="G1077" s="77"/>
      <c r="H1077" s="77"/>
      <c r="I1077" s="77"/>
      <c r="J1077" s="77"/>
      <c r="K1077" s="79"/>
      <c r="L1077" s="49">
        <f t="shared" si="76"/>
        <v>0</v>
      </c>
      <c r="M1077" s="50">
        <f t="shared" si="77"/>
        <v>0</v>
      </c>
    </row>
    <row r="1078" spans="1:13" x14ac:dyDescent="0.2">
      <c r="A1078" s="18"/>
      <c r="B1078" s="77"/>
      <c r="C1078" s="77"/>
      <c r="D1078" s="78"/>
      <c r="E1078" s="77"/>
      <c r="F1078" s="77"/>
      <c r="G1078" s="77"/>
      <c r="H1078" s="77"/>
      <c r="I1078" s="77"/>
      <c r="J1078" s="77"/>
      <c r="K1078" s="79"/>
      <c r="L1078" s="49">
        <f t="shared" si="76"/>
        <v>0</v>
      </c>
      <c r="M1078" s="50">
        <f t="shared" si="77"/>
        <v>0</v>
      </c>
    </row>
    <row r="1079" spans="1:13" x14ac:dyDescent="0.2">
      <c r="A1079" s="18"/>
      <c r="B1079" s="77"/>
      <c r="C1079" s="77"/>
      <c r="D1079" s="78"/>
      <c r="E1079" s="77"/>
      <c r="F1079" s="77"/>
      <c r="G1079" s="77"/>
      <c r="H1079" s="77"/>
      <c r="I1079" s="77"/>
      <c r="J1079" s="77"/>
      <c r="K1079" s="79"/>
      <c r="L1079" s="49">
        <f t="shared" si="76"/>
        <v>0</v>
      </c>
      <c r="M1079" s="50">
        <f t="shared" si="77"/>
        <v>0</v>
      </c>
    </row>
    <row r="1080" spans="1:13" x14ac:dyDescent="0.2">
      <c r="A1080" s="18"/>
      <c r="B1080" s="77"/>
      <c r="C1080" s="77"/>
      <c r="D1080" s="78"/>
      <c r="E1080" s="77"/>
      <c r="F1080" s="77"/>
      <c r="G1080" s="77"/>
      <c r="H1080" s="77"/>
      <c r="I1080" s="77"/>
      <c r="J1080" s="77"/>
      <c r="K1080" s="79"/>
      <c r="L1080" s="49">
        <f t="shared" si="76"/>
        <v>0</v>
      </c>
      <c r="M1080" s="50">
        <f t="shared" si="77"/>
        <v>0</v>
      </c>
    </row>
    <row r="1081" spans="1:13" x14ac:dyDescent="0.2">
      <c r="A1081" s="18"/>
      <c r="B1081" s="77"/>
      <c r="C1081" s="77"/>
      <c r="D1081" s="78"/>
      <c r="E1081" s="77"/>
      <c r="F1081" s="77"/>
      <c r="G1081" s="77"/>
      <c r="H1081" s="77"/>
      <c r="I1081" s="77"/>
      <c r="J1081" s="77"/>
      <c r="K1081" s="79"/>
      <c r="L1081" s="49">
        <f t="shared" si="76"/>
        <v>0</v>
      </c>
      <c r="M1081" s="50">
        <f t="shared" si="77"/>
        <v>0</v>
      </c>
    </row>
    <row r="1082" spans="1:13" x14ac:dyDescent="0.2">
      <c r="A1082" s="18"/>
      <c r="B1082" s="77"/>
      <c r="C1082" s="77"/>
      <c r="D1082" s="78"/>
      <c r="E1082" s="77"/>
      <c r="F1082" s="77"/>
      <c r="G1082" s="77"/>
      <c r="H1082" s="77"/>
      <c r="I1082" s="77"/>
      <c r="J1082" s="77"/>
      <c r="K1082" s="79"/>
      <c r="L1082" s="49">
        <f t="shared" si="76"/>
        <v>0</v>
      </c>
      <c r="M1082" s="50">
        <f t="shared" si="77"/>
        <v>0</v>
      </c>
    </row>
    <row r="1083" spans="1:13" x14ac:dyDescent="0.2">
      <c r="A1083" s="18"/>
      <c r="B1083" s="77"/>
      <c r="C1083" s="77"/>
      <c r="D1083" s="78"/>
      <c r="E1083" s="77"/>
      <c r="F1083" s="77"/>
      <c r="G1083" s="77"/>
      <c r="H1083" s="77"/>
      <c r="I1083" s="77"/>
      <c r="J1083" s="77"/>
      <c r="K1083" s="79"/>
      <c r="L1083" s="49">
        <f t="shared" si="76"/>
        <v>0</v>
      </c>
      <c r="M1083" s="50">
        <f t="shared" si="77"/>
        <v>0</v>
      </c>
    </row>
    <row r="1084" spans="1:13" x14ac:dyDescent="0.2">
      <c r="A1084" s="18"/>
      <c r="B1084" s="77"/>
      <c r="C1084" s="77"/>
      <c r="D1084" s="78"/>
      <c r="E1084" s="77"/>
      <c r="F1084" s="77"/>
      <c r="G1084" s="77"/>
      <c r="H1084" s="77"/>
      <c r="I1084" s="77"/>
      <c r="J1084" s="77"/>
      <c r="K1084" s="79"/>
      <c r="L1084" s="49">
        <f t="shared" si="76"/>
        <v>0</v>
      </c>
      <c r="M1084" s="50">
        <f t="shared" si="77"/>
        <v>0</v>
      </c>
    </row>
    <row r="1085" spans="1:13" x14ac:dyDescent="0.2">
      <c r="A1085" s="18"/>
      <c r="B1085" s="77"/>
      <c r="C1085" s="77"/>
      <c r="D1085" s="78"/>
      <c r="E1085" s="77"/>
      <c r="F1085" s="77"/>
      <c r="G1085" s="77"/>
      <c r="H1085" s="77"/>
      <c r="I1085" s="77"/>
      <c r="J1085" s="77"/>
      <c r="K1085" s="79"/>
      <c r="L1085" s="49">
        <f t="shared" si="76"/>
        <v>0</v>
      </c>
      <c r="M1085" s="50">
        <f t="shared" si="77"/>
        <v>0</v>
      </c>
    </row>
    <row r="1086" spans="1:13" x14ac:dyDescent="0.2">
      <c r="A1086" s="18"/>
      <c r="B1086" s="77"/>
      <c r="C1086" s="77"/>
      <c r="D1086" s="78"/>
      <c r="E1086" s="77"/>
      <c r="F1086" s="77"/>
      <c r="G1086" s="77"/>
      <c r="H1086" s="77"/>
      <c r="I1086" s="77"/>
      <c r="J1086" s="77"/>
      <c r="K1086" s="79"/>
      <c r="L1086" s="49">
        <f t="shared" si="76"/>
        <v>0</v>
      </c>
      <c r="M1086" s="50">
        <f t="shared" si="77"/>
        <v>0</v>
      </c>
    </row>
    <row r="1087" spans="1:13" x14ac:dyDescent="0.2">
      <c r="A1087" s="18"/>
      <c r="B1087" s="77"/>
      <c r="C1087" s="77"/>
      <c r="D1087" s="78"/>
      <c r="E1087" s="77"/>
      <c r="F1087" s="77"/>
      <c r="G1087" s="77"/>
      <c r="H1087" s="77"/>
      <c r="I1087" s="77"/>
      <c r="J1087" s="77"/>
      <c r="K1087" s="79"/>
      <c r="L1087" s="49">
        <f t="shared" si="76"/>
        <v>0</v>
      </c>
      <c r="M1087" s="50">
        <f t="shared" si="77"/>
        <v>0</v>
      </c>
    </row>
    <row r="1088" spans="1:13" x14ac:dyDescent="0.2">
      <c r="A1088" s="18"/>
      <c r="B1088" s="77"/>
      <c r="C1088" s="77"/>
      <c r="D1088" s="78"/>
      <c r="E1088" s="77"/>
      <c r="F1088" s="77"/>
      <c r="G1088" s="77"/>
      <c r="H1088" s="77"/>
      <c r="I1088" s="77"/>
      <c r="J1088" s="77"/>
      <c r="K1088" s="79"/>
      <c r="L1088" s="49">
        <f t="shared" si="76"/>
        <v>0</v>
      </c>
      <c r="M1088" s="50">
        <f t="shared" si="77"/>
        <v>0</v>
      </c>
    </row>
    <row r="1089" spans="1:13" x14ac:dyDescent="0.2">
      <c r="A1089" s="18"/>
      <c r="B1089" s="77"/>
      <c r="C1089" s="77"/>
      <c r="D1089" s="78"/>
      <c r="E1089" s="77"/>
      <c r="F1089" s="77"/>
      <c r="G1089" s="77"/>
      <c r="H1089" s="77"/>
      <c r="I1089" s="77"/>
      <c r="J1089" s="77"/>
      <c r="K1089" s="79"/>
      <c r="L1089" s="49">
        <f t="shared" si="76"/>
        <v>0</v>
      </c>
      <c r="M1089" s="50">
        <f t="shared" si="77"/>
        <v>0</v>
      </c>
    </row>
    <row r="1090" spans="1:13" x14ac:dyDescent="0.2">
      <c r="A1090" s="18"/>
      <c r="B1090" s="77"/>
      <c r="C1090" s="77"/>
      <c r="D1090" s="78"/>
      <c r="E1090" s="77"/>
      <c r="F1090" s="77"/>
      <c r="G1090" s="77"/>
      <c r="H1090" s="77"/>
      <c r="I1090" s="77"/>
      <c r="J1090" s="77"/>
      <c r="K1090" s="79"/>
      <c r="L1090" s="49">
        <f t="shared" si="76"/>
        <v>0</v>
      </c>
      <c r="M1090" s="50">
        <f t="shared" si="77"/>
        <v>0</v>
      </c>
    </row>
    <row r="1091" spans="1:13" x14ac:dyDescent="0.2">
      <c r="A1091" s="18"/>
      <c r="B1091" s="77"/>
      <c r="C1091" s="77"/>
      <c r="D1091" s="78"/>
      <c r="E1091" s="77"/>
      <c r="F1091" s="77"/>
      <c r="G1091" s="77"/>
      <c r="H1091" s="77"/>
      <c r="I1091" s="77"/>
      <c r="J1091" s="77"/>
      <c r="K1091" s="79"/>
      <c r="L1091" s="49">
        <f t="shared" si="76"/>
        <v>0</v>
      </c>
      <c r="M1091" s="50">
        <f t="shared" si="77"/>
        <v>0</v>
      </c>
    </row>
    <row r="1092" spans="1:13" x14ac:dyDescent="0.2">
      <c r="A1092" s="18"/>
      <c r="B1092" s="77"/>
      <c r="C1092" s="77"/>
      <c r="D1092" s="78"/>
      <c r="E1092" s="77"/>
      <c r="F1092" s="77"/>
      <c r="G1092" s="77"/>
      <c r="H1092" s="77"/>
      <c r="I1092" s="77"/>
      <c r="J1092" s="77"/>
      <c r="K1092" s="79"/>
      <c r="L1092" s="49">
        <f t="shared" si="76"/>
        <v>0</v>
      </c>
      <c r="M1092" s="50">
        <f t="shared" si="77"/>
        <v>0</v>
      </c>
    </row>
    <row r="1093" spans="1:13" x14ac:dyDescent="0.2">
      <c r="A1093" s="18"/>
      <c r="B1093" s="77"/>
      <c r="C1093" s="77"/>
      <c r="D1093" s="78"/>
      <c r="E1093" s="77"/>
      <c r="F1093" s="77"/>
      <c r="G1093" s="77"/>
      <c r="H1093" s="77"/>
      <c r="I1093" s="77"/>
      <c r="J1093" s="77"/>
      <c r="K1093" s="79"/>
      <c r="L1093" s="49">
        <f t="shared" si="76"/>
        <v>0</v>
      </c>
      <c r="M1093" s="50">
        <f t="shared" si="77"/>
        <v>0</v>
      </c>
    </row>
    <row r="1094" spans="1:13" x14ac:dyDescent="0.2">
      <c r="A1094" s="18"/>
      <c r="B1094" s="77"/>
      <c r="C1094" s="77"/>
      <c r="D1094" s="78"/>
      <c r="E1094" s="77"/>
      <c r="F1094" s="77"/>
      <c r="G1094" s="77"/>
      <c r="H1094" s="77"/>
      <c r="I1094" s="77"/>
      <c r="J1094" s="77"/>
      <c r="K1094" s="79"/>
      <c r="L1094" s="49">
        <f t="shared" si="76"/>
        <v>0</v>
      </c>
      <c r="M1094" s="50">
        <f t="shared" si="77"/>
        <v>0</v>
      </c>
    </row>
    <row r="1095" spans="1:13" x14ac:dyDescent="0.2">
      <c r="A1095" s="18"/>
      <c r="B1095" s="77"/>
      <c r="C1095" s="77"/>
      <c r="D1095" s="78"/>
      <c r="E1095" s="77"/>
      <c r="F1095" s="77"/>
      <c r="G1095" s="77"/>
      <c r="H1095" s="77"/>
      <c r="I1095" s="77"/>
      <c r="J1095" s="77"/>
      <c r="K1095" s="79"/>
      <c r="L1095" s="49">
        <f t="shared" si="76"/>
        <v>0</v>
      </c>
      <c r="M1095" s="50">
        <f t="shared" si="77"/>
        <v>0</v>
      </c>
    </row>
    <row r="1096" spans="1:13" x14ac:dyDescent="0.2">
      <c r="A1096" s="18"/>
      <c r="B1096" s="77"/>
      <c r="C1096" s="77"/>
      <c r="D1096" s="78"/>
      <c r="E1096" s="77"/>
      <c r="F1096" s="77"/>
      <c r="G1096" s="77"/>
      <c r="H1096" s="77"/>
      <c r="I1096" s="77"/>
      <c r="J1096" s="77"/>
      <c r="K1096" s="79"/>
      <c r="L1096" s="49">
        <f t="shared" si="76"/>
        <v>0</v>
      </c>
      <c r="M1096" s="50">
        <f t="shared" si="77"/>
        <v>0</v>
      </c>
    </row>
    <row r="1097" spans="1:13" x14ac:dyDescent="0.2">
      <c r="A1097" s="18"/>
      <c r="B1097" s="77"/>
      <c r="C1097" s="77"/>
      <c r="D1097" s="78"/>
      <c r="E1097" s="77"/>
      <c r="F1097" s="77"/>
      <c r="G1097" s="77"/>
      <c r="H1097" s="77"/>
      <c r="I1097" s="77"/>
      <c r="J1097" s="77"/>
      <c r="K1097" s="79"/>
      <c r="L1097" s="49">
        <f t="shared" si="76"/>
        <v>0</v>
      </c>
      <c r="M1097" s="50">
        <f t="shared" si="77"/>
        <v>0</v>
      </c>
    </row>
    <row r="1098" spans="1:13" x14ac:dyDescent="0.2">
      <c r="A1098" s="18"/>
      <c r="B1098" s="77"/>
      <c r="C1098" s="77"/>
      <c r="D1098" s="78"/>
      <c r="E1098" s="77"/>
      <c r="F1098" s="77"/>
      <c r="G1098" s="77"/>
      <c r="H1098" s="77"/>
      <c r="I1098" s="77"/>
      <c r="J1098" s="77"/>
      <c r="K1098" s="79"/>
      <c r="L1098" s="49">
        <f t="shared" si="76"/>
        <v>0</v>
      </c>
      <c r="M1098" s="50">
        <f t="shared" si="77"/>
        <v>0</v>
      </c>
    </row>
    <row r="1099" spans="1:13" x14ac:dyDescent="0.2">
      <c r="A1099" s="18"/>
      <c r="B1099" s="77"/>
      <c r="C1099" s="77"/>
      <c r="D1099" s="78"/>
      <c r="E1099" s="77"/>
      <c r="F1099" s="77"/>
      <c r="G1099" s="77"/>
      <c r="H1099" s="77"/>
      <c r="I1099" s="77"/>
      <c r="J1099" s="77"/>
      <c r="K1099" s="79"/>
      <c r="L1099" s="49">
        <f t="shared" si="76"/>
        <v>0</v>
      </c>
      <c r="M1099" s="50">
        <f t="shared" si="77"/>
        <v>0</v>
      </c>
    </row>
    <row r="1100" spans="1:13" x14ac:dyDescent="0.2">
      <c r="A1100" s="18"/>
      <c r="B1100" s="77"/>
      <c r="C1100" s="77"/>
      <c r="D1100" s="78"/>
      <c r="E1100" s="77"/>
      <c r="F1100" s="77"/>
      <c r="G1100" s="77"/>
      <c r="H1100" s="77"/>
      <c r="I1100" s="77"/>
      <c r="J1100" s="77"/>
      <c r="K1100" s="79"/>
      <c r="L1100" s="49">
        <f t="shared" si="76"/>
        <v>0</v>
      </c>
      <c r="M1100" s="50">
        <f t="shared" si="77"/>
        <v>0</v>
      </c>
    </row>
    <row r="1101" spans="1:13" x14ac:dyDescent="0.2">
      <c r="A1101" s="18"/>
      <c r="B1101" s="77"/>
      <c r="C1101" s="77"/>
      <c r="D1101" s="78"/>
      <c r="E1101" s="77"/>
      <c r="F1101" s="77"/>
      <c r="G1101" s="77"/>
      <c r="H1101" s="77"/>
      <c r="I1101" s="77"/>
      <c r="J1101" s="77"/>
      <c r="K1101" s="79"/>
      <c r="L1101" s="49">
        <f t="shared" si="76"/>
        <v>0</v>
      </c>
      <c r="M1101" s="50">
        <f t="shared" si="77"/>
        <v>0</v>
      </c>
    </row>
    <row r="1102" spans="1:13" x14ac:dyDescent="0.2">
      <c r="A1102" s="18"/>
      <c r="B1102" s="77"/>
      <c r="C1102" s="77"/>
      <c r="D1102" s="78"/>
      <c r="E1102" s="77"/>
      <c r="F1102" s="77"/>
      <c r="G1102" s="77"/>
      <c r="H1102" s="77"/>
      <c r="I1102" s="77"/>
      <c r="J1102" s="77"/>
      <c r="K1102" s="79"/>
      <c r="L1102" s="49">
        <f t="shared" si="76"/>
        <v>0</v>
      </c>
      <c r="M1102" s="50">
        <f t="shared" si="77"/>
        <v>0</v>
      </c>
    </row>
    <row r="1103" spans="1:13" x14ac:dyDescent="0.2">
      <c r="A1103" s="18"/>
      <c r="B1103" s="77"/>
      <c r="C1103" s="77"/>
      <c r="D1103" s="78"/>
      <c r="E1103" s="77"/>
      <c r="F1103" s="77"/>
      <c r="G1103" s="77"/>
      <c r="H1103" s="77"/>
      <c r="I1103" s="77"/>
      <c r="J1103" s="77"/>
      <c r="K1103" s="79"/>
      <c r="L1103" s="49">
        <f t="shared" si="76"/>
        <v>0</v>
      </c>
      <c r="M1103" s="50">
        <f t="shared" si="77"/>
        <v>0</v>
      </c>
    </row>
    <row r="1104" spans="1:13" x14ac:dyDescent="0.2">
      <c r="A1104" s="18"/>
      <c r="B1104" s="77"/>
      <c r="C1104" s="77"/>
      <c r="D1104" s="78"/>
      <c r="E1104" s="77"/>
      <c r="F1104" s="77"/>
      <c r="G1104" s="77"/>
      <c r="H1104" s="77"/>
      <c r="I1104" s="77"/>
      <c r="J1104" s="77"/>
      <c r="K1104" s="79"/>
      <c r="L1104" s="49">
        <f t="shared" si="76"/>
        <v>0</v>
      </c>
      <c r="M1104" s="50">
        <f t="shared" si="77"/>
        <v>0</v>
      </c>
    </row>
    <row r="1105" spans="1:13" x14ac:dyDescent="0.2">
      <c r="A1105" s="18"/>
      <c r="B1105" s="77"/>
      <c r="C1105" s="77"/>
      <c r="D1105" s="78"/>
      <c r="E1105" s="77"/>
      <c r="F1105" s="77"/>
      <c r="G1105" s="77"/>
      <c r="H1105" s="77"/>
      <c r="I1105" s="77"/>
      <c r="J1105" s="77"/>
      <c r="K1105" s="79"/>
      <c r="L1105" s="49">
        <f t="shared" si="76"/>
        <v>0</v>
      </c>
      <c r="M1105" s="50">
        <f t="shared" si="77"/>
        <v>0</v>
      </c>
    </row>
    <row r="1106" spans="1:13" x14ac:dyDescent="0.2">
      <c r="A1106" s="18"/>
      <c r="B1106" s="77"/>
      <c r="C1106" s="77"/>
      <c r="D1106" s="78"/>
      <c r="E1106" s="77"/>
      <c r="F1106" s="77"/>
      <c r="G1106" s="77"/>
      <c r="H1106" s="77"/>
      <c r="I1106" s="77"/>
      <c r="J1106" s="77"/>
      <c r="K1106" s="79"/>
      <c r="L1106" s="49">
        <f t="shared" si="76"/>
        <v>0</v>
      </c>
      <c r="M1106" s="50">
        <f t="shared" si="77"/>
        <v>0</v>
      </c>
    </row>
    <row r="1107" spans="1:13" x14ac:dyDescent="0.2">
      <c r="A1107" s="18"/>
      <c r="B1107" s="77"/>
      <c r="C1107" s="77"/>
      <c r="D1107" s="78"/>
      <c r="E1107" s="77"/>
      <c r="F1107" s="77"/>
      <c r="G1107" s="77"/>
      <c r="H1107" s="77"/>
      <c r="I1107" s="77"/>
      <c r="J1107" s="77"/>
      <c r="K1107" s="79"/>
      <c r="L1107" s="49">
        <f t="shared" si="76"/>
        <v>0</v>
      </c>
      <c r="M1107" s="50">
        <f t="shared" si="77"/>
        <v>0</v>
      </c>
    </row>
    <row r="1108" spans="1:13" x14ac:dyDescent="0.2">
      <c r="A1108" s="18"/>
      <c r="B1108" s="77"/>
      <c r="C1108" s="77"/>
      <c r="D1108" s="78"/>
      <c r="E1108" s="77"/>
      <c r="F1108" s="77"/>
      <c r="G1108" s="77"/>
      <c r="H1108" s="77"/>
      <c r="I1108" s="77"/>
      <c r="J1108" s="77"/>
      <c r="K1108" s="79"/>
      <c r="L1108" s="49">
        <f t="shared" si="76"/>
        <v>0</v>
      </c>
      <c r="M1108" s="50">
        <f t="shared" si="77"/>
        <v>0</v>
      </c>
    </row>
    <row r="1109" spans="1:13" x14ac:dyDescent="0.2">
      <c r="A1109" s="18"/>
      <c r="B1109" s="77"/>
      <c r="C1109" s="77"/>
      <c r="D1109" s="78"/>
      <c r="E1109" s="77"/>
      <c r="F1109" s="77"/>
      <c r="G1109" s="77"/>
      <c r="H1109" s="77"/>
      <c r="I1109" s="77"/>
      <c r="J1109" s="77"/>
      <c r="K1109" s="79"/>
      <c r="L1109" s="49">
        <f t="shared" si="76"/>
        <v>0</v>
      </c>
      <c r="M1109" s="50">
        <f t="shared" si="77"/>
        <v>0</v>
      </c>
    </row>
    <row r="1110" spans="1:13" x14ac:dyDescent="0.2">
      <c r="A1110" s="18"/>
      <c r="B1110" s="77"/>
      <c r="C1110" s="77"/>
      <c r="D1110" s="78"/>
      <c r="E1110" s="77"/>
      <c r="F1110" s="77"/>
      <c r="G1110" s="77"/>
      <c r="H1110" s="77"/>
      <c r="I1110" s="77"/>
      <c r="J1110" s="77"/>
      <c r="K1110" s="79"/>
      <c r="L1110" s="49">
        <f t="shared" ref="L1110:L1172" si="78">+K1110*18%</f>
        <v>0</v>
      </c>
      <c r="M1110" s="50">
        <f t="shared" ref="M1110:M1172" si="79">+K1110+L1110</f>
        <v>0</v>
      </c>
    </row>
    <row r="1111" spans="1:13" x14ac:dyDescent="0.2">
      <c r="A1111" s="18"/>
      <c r="B1111" s="77"/>
      <c r="C1111" s="77"/>
      <c r="D1111" s="78"/>
      <c r="E1111" s="77"/>
      <c r="F1111" s="77"/>
      <c r="G1111" s="77"/>
      <c r="H1111" s="77"/>
      <c r="I1111" s="77"/>
      <c r="J1111" s="77"/>
      <c r="K1111" s="79"/>
      <c r="L1111" s="49">
        <f t="shared" si="78"/>
        <v>0</v>
      </c>
      <c r="M1111" s="50">
        <f t="shared" si="79"/>
        <v>0</v>
      </c>
    </row>
    <row r="1112" spans="1:13" x14ac:dyDescent="0.2">
      <c r="A1112" s="18"/>
      <c r="B1112" s="77"/>
      <c r="C1112" s="77"/>
      <c r="D1112" s="78"/>
      <c r="E1112" s="77"/>
      <c r="F1112" s="77"/>
      <c r="G1112" s="77"/>
      <c r="H1112" s="77"/>
      <c r="I1112" s="77"/>
      <c r="J1112" s="77"/>
      <c r="K1112" s="79"/>
      <c r="L1112" s="49">
        <f t="shared" si="78"/>
        <v>0</v>
      </c>
      <c r="M1112" s="50">
        <f t="shared" si="79"/>
        <v>0</v>
      </c>
    </row>
    <row r="1113" spans="1:13" x14ac:dyDescent="0.2">
      <c r="A1113" s="18"/>
      <c r="B1113" s="77"/>
      <c r="C1113" s="77"/>
      <c r="D1113" s="78"/>
      <c r="E1113" s="77"/>
      <c r="F1113" s="77"/>
      <c r="G1113" s="77"/>
      <c r="H1113" s="77"/>
      <c r="I1113" s="77"/>
      <c r="J1113" s="77"/>
      <c r="K1113" s="79"/>
      <c r="L1113" s="49">
        <f t="shared" si="78"/>
        <v>0</v>
      </c>
      <c r="M1113" s="50">
        <f t="shared" si="79"/>
        <v>0</v>
      </c>
    </row>
    <row r="1114" spans="1:13" x14ac:dyDescent="0.2">
      <c r="A1114" s="18"/>
      <c r="B1114" s="77"/>
      <c r="C1114" s="77"/>
      <c r="D1114" s="78"/>
      <c r="E1114" s="77"/>
      <c r="F1114" s="77"/>
      <c r="G1114" s="77"/>
      <c r="H1114" s="77"/>
      <c r="I1114" s="77"/>
      <c r="J1114" s="77"/>
      <c r="K1114" s="79"/>
      <c r="L1114" s="49">
        <f t="shared" si="78"/>
        <v>0</v>
      </c>
      <c r="M1114" s="50">
        <f t="shared" si="79"/>
        <v>0</v>
      </c>
    </row>
    <row r="1115" spans="1:13" x14ac:dyDescent="0.2">
      <c r="A1115" s="18"/>
      <c r="B1115" s="77"/>
      <c r="C1115" s="77"/>
      <c r="D1115" s="78"/>
      <c r="E1115" s="77"/>
      <c r="F1115" s="77"/>
      <c r="G1115" s="77"/>
      <c r="H1115" s="77"/>
      <c r="I1115" s="77"/>
      <c r="J1115" s="77"/>
      <c r="K1115" s="79"/>
      <c r="L1115" s="49">
        <f t="shared" si="78"/>
        <v>0</v>
      </c>
      <c r="M1115" s="50">
        <f t="shared" si="79"/>
        <v>0</v>
      </c>
    </row>
    <row r="1116" spans="1:13" x14ac:dyDescent="0.2">
      <c r="A1116" s="18"/>
      <c r="B1116" s="77"/>
      <c r="C1116" s="77"/>
      <c r="D1116" s="78"/>
      <c r="E1116" s="77"/>
      <c r="F1116" s="77"/>
      <c r="G1116" s="77"/>
      <c r="H1116" s="77"/>
      <c r="I1116" s="77"/>
      <c r="J1116" s="77"/>
      <c r="K1116" s="79"/>
      <c r="L1116" s="49">
        <f t="shared" si="78"/>
        <v>0</v>
      </c>
      <c r="M1116" s="50">
        <f t="shared" si="79"/>
        <v>0</v>
      </c>
    </row>
    <row r="1117" spans="1:13" x14ac:dyDescent="0.2">
      <c r="A1117" s="18"/>
      <c r="B1117" s="77"/>
      <c r="C1117" s="77"/>
      <c r="D1117" s="78"/>
      <c r="E1117" s="77"/>
      <c r="F1117" s="77"/>
      <c r="G1117" s="77"/>
      <c r="H1117" s="77"/>
      <c r="I1117" s="77"/>
      <c r="J1117" s="77"/>
      <c r="K1117" s="79"/>
      <c r="L1117" s="49">
        <f t="shared" si="78"/>
        <v>0</v>
      </c>
      <c r="M1117" s="50">
        <f t="shared" si="79"/>
        <v>0</v>
      </c>
    </row>
    <row r="1118" spans="1:13" x14ac:dyDescent="0.2">
      <c r="A1118" s="18"/>
      <c r="B1118" s="77"/>
      <c r="C1118" s="77"/>
      <c r="D1118" s="78"/>
      <c r="E1118" s="77"/>
      <c r="F1118" s="77"/>
      <c r="G1118" s="77"/>
      <c r="H1118" s="77"/>
      <c r="I1118" s="77"/>
      <c r="J1118" s="77"/>
      <c r="K1118" s="79"/>
      <c r="L1118" s="49">
        <f t="shared" si="78"/>
        <v>0</v>
      </c>
      <c r="M1118" s="50">
        <f t="shared" si="79"/>
        <v>0</v>
      </c>
    </row>
    <row r="1119" spans="1:13" x14ac:dyDescent="0.2">
      <c r="A1119" s="18"/>
      <c r="B1119" s="77"/>
      <c r="C1119" s="77"/>
      <c r="D1119" s="78"/>
      <c r="E1119" s="77"/>
      <c r="F1119" s="77"/>
      <c r="G1119" s="77"/>
      <c r="H1119" s="77"/>
      <c r="I1119" s="77"/>
      <c r="J1119" s="77"/>
      <c r="K1119" s="79"/>
      <c r="L1119" s="49">
        <f t="shared" si="78"/>
        <v>0</v>
      </c>
      <c r="M1119" s="50">
        <f t="shared" si="79"/>
        <v>0</v>
      </c>
    </row>
    <row r="1120" spans="1:13" x14ac:dyDescent="0.2">
      <c r="A1120" s="18"/>
      <c r="B1120" s="77"/>
      <c r="C1120" s="77"/>
      <c r="D1120" s="78"/>
      <c r="E1120" s="77"/>
      <c r="F1120" s="77"/>
      <c r="G1120" s="77"/>
      <c r="H1120" s="77"/>
      <c r="I1120" s="77"/>
      <c r="J1120" s="77"/>
      <c r="K1120" s="79"/>
      <c r="L1120" s="49">
        <f t="shared" si="78"/>
        <v>0</v>
      </c>
      <c r="M1120" s="50">
        <f t="shared" si="79"/>
        <v>0</v>
      </c>
    </row>
    <row r="1121" spans="1:13" x14ac:dyDescent="0.2">
      <c r="A1121" s="18"/>
      <c r="B1121" s="77"/>
      <c r="C1121" s="77"/>
      <c r="D1121" s="78"/>
      <c r="E1121" s="77"/>
      <c r="F1121" s="77"/>
      <c r="G1121" s="77"/>
      <c r="H1121" s="77"/>
      <c r="I1121" s="77"/>
      <c r="J1121" s="77"/>
      <c r="K1121" s="79"/>
      <c r="L1121" s="49">
        <f t="shared" si="78"/>
        <v>0</v>
      </c>
      <c r="M1121" s="50">
        <f t="shared" si="79"/>
        <v>0</v>
      </c>
    </row>
    <row r="1122" spans="1:13" x14ac:dyDescent="0.2">
      <c r="A1122" s="18"/>
      <c r="B1122" s="77"/>
      <c r="C1122" s="77"/>
      <c r="D1122" s="78"/>
      <c r="E1122" s="77"/>
      <c r="F1122" s="77"/>
      <c r="G1122" s="77"/>
      <c r="H1122" s="77"/>
      <c r="I1122" s="77"/>
      <c r="J1122" s="77"/>
      <c r="K1122" s="79"/>
      <c r="L1122" s="49">
        <f t="shared" si="78"/>
        <v>0</v>
      </c>
      <c r="M1122" s="50">
        <f t="shared" si="79"/>
        <v>0</v>
      </c>
    </row>
    <row r="1123" spans="1:13" x14ac:dyDescent="0.2">
      <c r="A1123" s="18"/>
      <c r="B1123" s="77"/>
      <c r="C1123" s="77"/>
      <c r="D1123" s="78"/>
      <c r="E1123" s="77"/>
      <c r="F1123" s="77"/>
      <c r="G1123" s="77"/>
      <c r="H1123" s="77"/>
      <c r="I1123" s="77"/>
      <c r="J1123" s="77"/>
      <c r="K1123" s="79"/>
      <c r="L1123" s="49">
        <f t="shared" si="78"/>
        <v>0</v>
      </c>
      <c r="M1123" s="50">
        <f t="shared" si="79"/>
        <v>0</v>
      </c>
    </row>
    <row r="1124" spans="1:13" x14ac:dyDescent="0.2">
      <c r="A1124" s="18"/>
      <c r="B1124" s="77"/>
      <c r="C1124" s="77"/>
      <c r="D1124" s="78"/>
      <c r="E1124" s="77"/>
      <c r="F1124" s="77"/>
      <c r="G1124" s="77"/>
      <c r="H1124" s="77"/>
      <c r="I1124" s="77"/>
      <c r="J1124" s="77"/>
      <c r="K1124" s="79"/>
      <c r="L1124" s="49">
        <f t="shared" si="78"/>
        <v>0</v>
      </c>
      <c r="M1124" s="50">
        <f t="shared" si="79"/>
        <v>0</v>
      </c>
    </row>
    <row r="1125" spans="1:13" x14ac:dyDescent="0.2">
      <c r="A1125" s="18"/>
      <c r="B1125" s="77"/>
      <c r="C1125" s="77"/>
      <c r="D1125" s="78"/>
      <c r="E1125" s="77"/>
      <c r="F1125" s="77"/>
      <c r="G1125" s="77"/>
      <c r="H1125" s="77"/>
      <c r="I1125" s="77"/>
      <c r="J1125" s="77"/>
      <c r="K1125" s="79"/>
      <c r="L1125" s="49">
        <f t="shared" si="78"/>
        <v>0</v>
      </c>
      <c r="M1125" s="50">
        <f t="shared" si="79"/>
        <v>0</v>
      </c>
    </row>
    <row r="1126" spans="1:13" x14ac:dyDescent="0.2">
      <c r="A1126" s="18"/>
      <c r="B1126" s="77"/>
      <c r="C1126" s="77"/>
      <c r="D1126" s="78"/>
      <c r="E1126" s="77"/>
      <c r="F1126" s="77"/>
      <c r="G1126" s="77"/>
      <c r="H1126" s="77"/>
      <c r="I1126" s="77"/>
      <c r="J1126" s="77"/>
      <c r="K1126" s="79"/>
      <c r="L1126" s="49">
        <f t="shared" si="78"/>
        <v>0</v>
      </c>
      <c r="M1126" s="50">
        <f t="shared" si="79"/>
        <v>0</v>
      </c>
    </row>
    <row r="1127" spans="1:13" x14ac:dyDescent="0.2">
      <c r="A1127" s="18"/>
      <c r="B1127" s="77"/>
      <c r="C1127" s="77"/>
      <c r="D1127" s="78"/>
      <c r="E1127" s="77"/>
      <c r="F1127" s="77"/>
      <c r="G1127" s="77"/>
      <c r="H1127" s="77"/>
      <c r="I1127" s="77"/>
      <c r="J1127" s="77"/>
      <c r="K1127" s="79"/>
      <c r="L1127" s="49">
        <f t="shared" si="78"/>
        <v>0</v>
      </c>
      <c r="M1127" s="50">
        <f t="shared" si="79"/>
        <v>0</v>
      </c>
    </row>
    <row r="1128" spans="1:13" x14ac:dyDescent="0.2">
      <c r="A1128" s="18"/>
      <c r="B1128" s="77"/>
      <c r="C1128" s="77"/>
      <c r="D1128" s="78"/>
      <c r="E1128" s="77"/>
      <c r="F1128" s="77"/>
      <c r="G1128" s="77"/>
      <c r="H1128" s="77"/>
      <c r="I1128" s="77"/>
      <c r="J1128" s="77"/>
      <c r="K1128" s="79"/>
      <c r="L1128" s="49">
        <f t="shared" si="78"/>
        <v>0</v>
      </c>
      <c r="M1128" s="50">
        <f t="shared" si="79"/>
        <v>0</v>
      </c>
    </row>
    <row r="1129" spans="1:13" x14ac:dyDescent="0.2">
      <c r="A1129" s="18"/>
      <c r="B1129" s="77"/>
      <c r="C1129" s="77"/>
      <c r="D1129" s="78"/>
      <c r="E1129" s="77"/>
      <c r="F1129" s="77"/>
      <c r="G1129" s="77"/>
      <c r="H1129" s="77"/>
      <c r="I1129" s="77"/>
      <c r="J1129" s="77"/>
      <c r="K1129" s="79"/>
      <c r="L1129" s="49">
        <f t="shared" si="78"/>
        <v>0</v>
      </c>
      <c r="M1129" s="50">
        <f t="shared" si="79"/>
        <v>0</v>
      </c>
    </row>
    <row r="1130" spans="1:13" x14ac:dyDescent="0.2">
      <c r="A1130" s="18"/>
      <c r="B1130" s="77"/>
      <c r="C1130" s="77"/>
      <c r="D1130" s="78"/>
      <c r="E1130" s="77"/>
      <c r="F1130" s="77"/>
      <c r="G1130" s="77"/>
      <c r="H1130" s="77"/>
      <c r="I1130" s="77"/>
      <c r="J1130" s="77"/>
      <c r="K1130" s="79"/>
      <c r="L1130" s="49">
        <f t="shared" si="78"/>
        <v>0</v>
      </c>
      <c r="M1130" s="50">
        <f t="shared" si="79"/>
        <v>0</v>
      </c>
    </row>
    <row r="1131" spans="1:13" x14ac:dyDescent="0.2">
      <c r="A1131" s="18"/>
      <c r="B1131" s="77"/>
      <c r="C1131" s="77"/>
      <c r="D1131" s="78"/>
      <c r="E1131" s="77"/>
      <c r="F1131" s="77"/>
      <c r="G1131" s="77"/>
      <c r="H1131" s="77"/>
      <c r="I1131" s="77"/>
      <c r="J1131" s="77"/>
      <c r="K1131" s="79"/>
      <c r="L1131" s="49">
        <f t="shared" si="78"/>
        <v>0</v>
      </c>
      <c r="M1131" s="50">
        <f t="shared" si="79"/>
        <v>0</v>
      </c>
    </row>
    <row r="1132" spans="1:13" x14ac:dyDescent="0.2">
      <c r="A1132" s="18"/>
      <c r="B1132" s="77"/>
      <c r="C1132" s="77"/>
      <c r="D1132" s="78"/>
      <c r="E1132" s="77"/>
      <c r="F1132" s="77"/>
      <c r="G1132" s="77"/>
      <c r="H1132" s="77"/>
      <c r="I1132" s="77"/>
      <c r="J1132" s="77"/>
      <c r="K1132" s="79"/>
      <c r="L1132" s="49">
        <f t="shared" si="78"/>
        <v>0</v>
      </c>
      <c r="M1132" s="50">
        <f t="shared" si="79"/>
        <v>0</v>
      </c>
    </row>
    <row r="1133" spans="1:13" x14ac:dyDescent="0.2">
      <c r="A1133" s="18"/>
      <c r="B1133" s="77"/>
      <c r="C1133" s="77"/>
      <c r="D1133" s="78"/>
      <c r="E1133" s="77"/>
      <c r="F1133" s="77"/>
      <c r="G1133" s="77"/>
      <c r="H1133" s="77"/>
      <c r="I1133" s="77"/>
      <c r="J1133" s="77"/>
      <c r="K1133" s="79"/>
      <c r="L1133" s="49">
        <f t="shared" si="78"/>
        <v>0</v>
      </c>
      <c r="M1133" s="50">
        <f t="shared" si="79"/>
        <v>0</v>
      </c>
    </row>
    <row r="1134" spans="1:13" x14ac:dyDescent="0.2">
      <c r="A1134" s="18"/>
      <c r="B1134" s="77"/>
      <c r="C1134" s="77"/>
      <c r="D1134" s="78"/>
      <c r="E1134" s="77"/>
      <c r="F1134" s="77"/>
      <c r="G1134" s="77"/>
      <c r="H1134" s="77"/>
      <c r="I1134" s="77"/>
      <c r="J1134" s="77"/>
      <c r="K1134" s="79"/>
      <c r="L1134" s="49">
        <f t="shared" si="78"/>
        <v>0</v>
      </c>
      <c r="M1134" s="50">
        <f t="shared" si="79"/>
        <v>0</v>
      </c>
    </row>
    <row r="1135" spans="1:13" x14ac:dyDescent="0.2">
      <c r="A1135" s="18"/>
      <c r="B1135" s="77"/>
      <c r="C1135" s="77"/>
      <c r="D1135" s="78"/>
      <c r="E1135" s="77"/>
      <c r="F1135" s="77"/>
      <c r="G1135" s="77"/>
      <c r="H1135" s="77"/>
      <c r="I1135" s="77"/>
      <c r="J1135" s="77"/>
      <c r="K1135" s="79"/>
      <c r="L1135" s="49">
        <f t="shared" si="78"/>
        <v>0</v>
      </c>
      <c r="M1135" s="50">
        <f t="shared" si="79"/>
        <v>0</v>
      </c>
    </row>
    <row r="1136" spans="1:13" x14ac:dyDescent="0.2">
      <c r="A1136" s="18"/>
      <c r="B1136" s="77"/>
      <c r="C1136" s="77"/>
      <c r="D1136" s="78"/>
      <c r="E1136" s="77"/>
      <c r="F1136" s="77"/>
      <c r="G1136" s="77"/>
      <c r="H1136" s="77"/>
      <c r="I1136" s="77"/>
      <c r="J1136" s="77"/>
      <c r="K1136" s="79"/>
      <c r="L1136" s="49">
        <f t="shared" si="78"/>
        <v>0</v>
      </c>
      <c r="M1136" s="50">
        <f t="shared" si="79"/>
        <v>0</v>
      </c>
    </row>
    <row r="1137" spans="1:13" x14ac:dyDescent="0.2">
      <c r="A1137" s="18"/>
      <c r="B1137" s="77"/>
      <c r="C1137" s="77"/>
      <c r="D1137" s="78"/>
      <c r="E1137" s="77"/>
      <c r="F1137" s="77"/>
      <c r="G1137" s="77"/>
      <c r="H1137" s="77"/>
      <c r="I1137" s="77"/>
      <c r="J1137" s="77"/>
      <c r="K1137" s="79"/>
      <c r="L1137" s="49">
        <f t="shared" si="78"/>
        <v>0</v>
      </c>
      <c r="M1137" s="50">
        <f t="shared" si="79"/>
        <v>0</v>
      </c>
    </row>
    <row r="1138" spans="1:13" x14ac:dyDescent="0.2">
      <c r="A1138" s="18"/>
      <c r="B1138" s="77"/>
      <c r="C1138" s="77"/>
      <c r="D1138" s="78"/>
      <c r="E1138" s="77"/>
      <c r="F1138" s="77"/>
      <c r="G1138" s="77"/>
      <c r="H1138" s="77"/>
      <c r="I1138" s="77"/>
      <c r="J1138" s="77"/>
      <c r="K1138" s="79"/>
      <c r="L1138" s="49">
        <f t="shared" si="78"/>
        <v>0</v>
      </c>
      <c r="M1138" s="50">
        <f t="shared" si="79"/>
        <v>0</v>
      </c>
    </row>
    <row r="1139" spans="1:13" x14ac:dyDescent="0.2">
      <c r="A1139" s="18"/>
      <c r="B1139" s="77"/>
      <c r="C1139" s="77"/>
      <c r="D1139" s="78"/>
      <c r="E1139" s="77"/>
      <c r="F1139" s="77"/>
      <c r="G1139" s="77"/>
      <c r="H1139" s="77"/>
      <c r="I1139" s="77"/>
      <c r="J1139" s="77"/>
      <c r="K1139" s="79"/>
      <c r="L1139" s="49">
        <f t="shared" si="78"/>
        <v>0</v>
      </c>
      <c r="M1139" s="50">
        <f t="shared" si="79"/>
        <v>0</v>
      </c>
    </row>
    <row r="1140" spans="1:13" x14ac:dyDescent="0.2">
      <c r="A1140" s="18"/>
      <c r="B1140" s="77"/>
      <c r="C1140" s="77"/>
      <c r="D1140" s="78"/>
      <c r="E1140" s="77"/>
      <c r="F1140" s="77"/>
      <c r="G1140" s="77"/>
      <c r="H1140" s="77"/>
      <c r="I1140" s="77"/>
      <c r="J1140" s="77"/>
      <c r="K1140" s="79"/>
      <c r="L1140" s="49">
        <f t="shared" si="78"/>
        <v>0</v>
      </c>
      <c r="M1140" s="50">
        <f t="shared" si="79"/>
        <v>0</v>
      </c>
    </row>
    <row r="1141" spans="1:13" x14ac:dyDescent="0.2">
      <c r="A1141" s="18"/>
      <c r="B1141" s="77"/>
      <c r="C1141" s="77"/>
      <c r="D1141" s="78"/>
      <c r="E1141" s="77"/>
      <c r="F1141" s="77"/>
      <c r="G1141" s="77"/>
      <c r="H1141" s="77"/>
      <c r="I1141" s="77"/>
      <c r="J1141" s="77"/>
      <c r="K1141" s="79"/>
      <c r="L1141" s="49">
        <f t="shared" si="78"/>
        <v>0</v>
      </c>
      <c r="M1141" s="50">
        <f t="shared" si="79"/>
        <v>0</v>
      </c>
    </row>
    <row r="1142" spans="1:13" x14ac:dyDescent="0.2">
      <c r="A1142" s="18"/>
      <c r="B1142" s="77"/>
      <c r="C1142" s="77"/>
      <c r="D1142" s="78"/>
      <c r="E1142" s="77"/>
      <c r="F1142" s="77"/>
      <c r="G1142" s="77"/>
      <c r="H1142" s="77"/>
      <c r="I1142" s="77"/>
      <c r="J1142" s="77"/>
      <c r="K1142" s="79"/>
      <c r="L1142" s="49">
        <f t="shared" si="78"/>
        <v>0</v>
      </c>
      <c r="M1142" s="50">
        <f t="shared" si="79"/>
        <v>0</v>
      </c>
    </row>
    <row r="1143" spans="1:13" x14ac:dyDescent="0.2">
      <c r="A1143" s="18"/>
      <c r="B1143" s="77"/>
      <c r="C1143" s="77"/>
      <c r="D1143" s="78"/>
      <c r="E1143" s="77"/>
      <c r="F1143" s="77"/>
      <c r="G1143" s="77"/>
      <c r="H1143" s="77"/>
      <c r="I1143" s="77"/>
      <c r="J1143" s="77"/>
      <c r="K1143" s="79"/>
      <c r="L1143" s="49">
        <f t="shared" si="78"/>
        <v>0</v>
      </c>
      <c r="M1143" s="50">
        <f t="shared" si="79"/>
        <v>0</v>
      </c>
    </row>
    <row r="1144" spans="1:13" x14ac:dyDescent="0.2">
      <c r="A1144" s="18"/>
      <c r="B1144" s="77"/>
      <c r="C1144" s="77"/>
      <c r="D1144" s="78"/>
      <c r="E1144" s="77"/>
      <c r="F1144" s="77"/>
      <c r="G1144" s="77"/>
      <c r="H1144" s="77"/>
      <c r="I1144" s="77"/>
      <c r="J1144" s="77"/>
      <c r="K1144" s="79"/>
      <c r="L1144" s="49">
        <f t="shared" si="78"/>
        <v>0</v>
      </c>
      <c r="M1144" s="50">
        <f t="shared" si="79"/>
        <v>0</v>
      </c>
    </row>
    <row r="1145" spans="1:13" x14ac:dyDescent="0.2">
      <c r="A1145" s="18"/>
      <c r="B1145" s="77"/>
      <c r="C1145" s="77"/>
      <c r="D1145" s="78"/>
      <c r="E1145" s="77"/>
      <c r="F1145" s="77"/>
      <c r="G1145" s="77"/>
      <c r="H1145" s="77"/>
      <c r="I1145" s="77"/>
      <c r="J1145" s="77"/>
      <c r="K1145" s="79"/>
      <c r="L1145" s="49">
        <f t="shared" si="78"/>
        <v>0</v>
      </c>
      <c r="M1145" s="50">
        <f t="shared" si="79"/>
        <v>0</v>
      </c>
    </row>
    <row r="1146" spans="1:13" x14ac:dyDescent="0.2">
      <c r="A1146" s="18"/>
      <c r="B1146" s="77"/>
      <c r="C1146" s="77"/>
      <c r="D1146" s="78"/>
      <c r="E1146" s="77"/>
      <c r="F1146" s="77"/>
      <c r="G1146" s="77"/>
      <c r="H1146" s="77"/>
      <c r="I1146" s="77"/>
      <c r="J1146" s="77"/>
      <c r="K1146" s="79"/>
      <c r="L1146" s="49">
        <f t="shared" si="78"/>
        <v>0</v>
      </c>
      <c r="M1146" s="50">
        <f t="shared" si="79"/>
        <v>0</v>
      </c>
    </row>
    <row r="1147" spans="1:13" x14ac:dyDescent="0.2">
      <c r="A1147" s="18"/>
      <c r="B1147" s="77"/>
      <c r="C1147" s="77"/>
      <c r="D1147" s="78"/>
      <c r="E1147" s="77"/>
      <c r="F1147" s="77"/>
      <c r="G1147" s="77"/>
      <c r="H1147" s="77"/>
      <c r="I1147" s="77"/>
      <c r="J1147" s="77"/>
      <c r="K1147" s="79"/>
      <c r="L1147" s="49">
        <f t="shared" si="78"/>
        <v>0</v>
      </c>
      <c r="M1147" s="50">
        <f t="shared" si="79"/>
        <v>0</v>
      </c>
    </row>
    <row r="1148" spans="1:13" x14ac:dyDescent="0.2">
      <c r="A1148" s="18"/>
      <c r="B1148" s="77"/>
      <c r="C1148" s="77"/>
      <c r="D1148" s="78"/>
      <c r="E1148" s="77"/>
      <c r="F1148" s="77"/>
      <c r="G1148" s="77"/>
      <c r="H1148" s="77"/>
      <c r="I1148" s="77"/>
      <c r="J1148" s="77"/>
      <c r="K1148" s="79"/>
      <c r="L1148" s="49">
        <f t="shared" si="78"/>
        <v>0</v>
      </c>
      <c r="M1148" s="50">
        <f t="shared" si="79"/>
        <v>0</v>
      </c>
    </row>
    <row r="1149" spans="1:13" x14ac:dyDescent="0.2">
      <c r="A1149" s="18"/>
      <c r="B1149" s="77"/>
      <c r="C1149" s="77"/>
      <c r="D1149" s="78"/>
      <c r="E1149" s="77"/>
      <c r="F1149" s="77"/>
      <c r="G1149" s="77"/>
      <c r="H1149" s="77"/>
      <c r="I1149" s="77"/>
      <c r="J1149" s="77"/>
      <c r="K1149" s="79"/>
      <c r="L1149" s="49">
        <f t="shared" si="78"/>
        <v>0</v>
      </c>
      <c r="M1149" s="50">
        <f t="shared" si="79"/>
        <v>0</v>
      </c>
    </row>
    <row r="1150" spans="1:13" x14ac:dyDescent="0.2">
      <c r="A1150" s="18"/>
      <c r="B1150" s="77"/>
      <c r="C1150" s="77"/>
      <c r="D1150" s="78"/>
      <c r="E1150" s="77"/>
      <c r="F1150" s="77"/>
      <c r="G1150" s="77"/>
      <c r="H1150" s="77"/>
      <c r="I1150" s="77"/>
      <c r="J1150" s="77"/>
      <c r="K1150" s="79"/>
      <c r="L1150" s="49">
        <f t="shared" si="78"/>
        <v>0</v>
      </c>
      <c r="M1150" s="50">
        <f t="shared" si="79"/>
        <v>0</v>
      </c>
    </row>
    <row r="1151" spans="1:13" x14ac:dyDescent="0.2">
      <c r="A1151" s="18"/>
      <c r="B1151" s="77"/>
      <c r="C1151" s="77"/>
      <c r="D1151" s="78"/>
      <c r="E1151" s="77"/>
      <c r="F1151" s="77"/>
      <c r="G1151" s="77"/>
      <c r="H1151" s="77"/>
      <c r="I1151" s="77"/>
      <c r="J1151" s="77"/>
      <c r="K1151" s="79"/>
      <c r="L1151" s="49">
        <f t="shared" si="78"/>
        <v>0</v>
      </c>
      <c r="M1151" s="50">
        <f t="shared" si="79"/>
        <v>0</v>
      </c>
    </row>
    <row r="1152" spans="1:13" x14ac:dyDescent="0.2">
      <c r="A1152" s="18"/>
      <c r="B1152" s="77"/>
      <c r="C1152" s="77"/>
      <c r="D1152" s="78"/>
      <c r="E1152" s="77"/>
      <c r="F1152" s="77"/>
      <c r="G1152" s="77"/>
      <c r="H1152" s="77"/>
      <c r="I1152" s="77"/>
      <c r="J1152" s="77"/>
      <c r="K1152" s="79"/>
      <c r="L1152" s="49">
        <f t="shared" si="78"/>
        <v>0</v>
      </c>
      <c r="M1152" s="50">
        <f t="shared" si="79"/>
        <v>0</v>
      </c>
    </row>
    <row r="1153" spans="1:13" x14ac:dyDescent="0.2">
      <c r="A1153" s="18"/>
      <c r="B1153" s="77"/>
      <c r="C1153" s="77"/>
      <c r="D1153" s="78"/>
      <c r="E1153" s="77"/>
      <c r="F1153" s="77"/>
      <c r="G1153" s="77"/>
      <c r="H1153" s="77"/>
      <c r="I1153" s="77"/>
      <c r="J1153" s="77"/>
      <c r="K1153" s="79"/>
      <c r="L1153" s="49">
        <f t="shared" si="78"/>
        <v>0</v>
      </c>
      <c r="M1153" s="50">
        <f t="shared" si="79"/>
        <v>0</v>
      </c>
    </row>
    <row r="1154" spans="1:13" x14ac:dyDescent="0.2">
      <c r="A1154" s="18"/>
      <c r="B1154" s="77"/>
      <c r="C1154" s="77"/>
      <c r="D1154" s="78"/>
      <c r="E1154" s="77"/>
      <c r="F1154" s="77"/>
      <c r="G1154" s="77"/>
      <c r="H1154" s="77"/>
      <c r="I1154" s="77"/>
      <c r="J1154" s="77"/>
      <c r="K1154" s="79"/>
      <c r="L1154" s="49">
        <f t="shared" si="78"/>
        <v>0</v>
      </c>
      <c r="M1154" s="50">
        <f t="shared" si="79"/>
        <v>0</v>
      </c>
    </row>
    <row r="1155" spans="1:13" x14ac:dyDescent="0.2">
      <c r="A1155" s="18"/>
      <c r="B1155" s="77"/>
      <c r="C1155" s="77"/>
      <c r="D1155" s="78"/>
      <c r="E1155" s="77"/>
      <c r="F1155" s="77"/>
      <c r="G1155" s="77"/>
      <c r="H1155" s="77"/>
      <c r="I1155" s="77"/>
      <c r="J1155" s="77"/>
      <c r="K1155" s="79"/>
      <c r="L1155" s="49">
        <f t="shared" si="78"/>
        <v>0</v>
      </c>
      <c r="M1155" s="50">
        <f t="shared" si="79"/>
        <v>0</v>
      </c>
    </row>
    <row r="1156" spans="1:13" x14ac:dyDescent="0.2">
      <c r="A1156" s="18"/>
      <c r="B1156" s="77"/>
      <c r="C1156" s="77"/>
      <c r="D1156" s="78"/>
      <c r="E1156" s="77"/>
      <c r="F1156" s="77"/>
      <c r="G1156" s="77"/>
      <c r="H1156" s="77"/>
      <c r="I1156" s="77"/>
      <c r="J1156" s="77"/>
      <c r="K1156" s="79"/>
      <c r="L1156" s="49">
        <f t="shared" si="78"/>
        <v>0</v>
      </c>
      <c r="M1156" s="50">
        <f t="shared" si="79"/>
        <v>0</v>
      </c>
    </row>
    <row r="1157" spans="1:13" x14ac:dyDescent="0.2">
      <c r="A1157" s="18"/>
      <c r="B1157" s="77"/>
      <c r="C1157" s="77"/>
      <c r="D1157" s="78"/>
      <c r="E1157" s="77"/>
      <c r="F1157" s="77"/>
      <c r="G1157" s="77"/>
      <c r="H1157" s="77"/>
      <c r="I1157" s="77"/>
      <c r="J1157" s="77"/>
      <c r="K1157" s="79"/>
      <c r="L1157" s="49">
        <f t="shared" si="78"/>
        <v>0</v>
      </c>
      <c r="M1157" s="50">
        <f t="shared" si="79"/>
        <v>0</v>
      </c>
    </row>
    <row r="1158" spans="1:13" x14ac:dyDescent="0.2">
      <c r="A1158" s="18"/>
      <c r="B1158" s="77"/>
      <c r="C1158" s="77"/>
      <c r="D1158" s="78"/>
      <c r="E1158" s="77"/>
      <c r="F1158" s="77"/>
      <c r="G1158" s="77"/>
      <c r="H1158" s="77"/>
      <c r="I1158" s="77"/>
      <c r="J1158" s="77"/>
      <c r="K1158" s="79"/>
      <c r="L1158" s="49">
        <f t="shared" si="78"/>
        <v>0</v>
      </c>
      <c r="M1158" s="50">
        <f t="shared" si="79"/>
        <v>0</v>
      </c>
    </row>
    <row r="1159" spans="1:13" x14ac:dyDescent="0.2">
      <c r="A1159" s="18"/>
      <c r="B1159" s="77"/>
      <c r="C1159" s="77"/>
      <c r="D1159" s="78"/>
      <c r="E1159" s="77"/>
      <c r="F1159" s="77"/>
      <c r="G1159" s="77"/>
      <c r="H1159" s="77"/>
      <c r="I1159" s="77"/>
      <c r="J1159" s="77"/>
      <c r="K1159" s="79"/>
      <c r="L1159" s="49">
        <f t="shared" si="78"/>
        <v>0</v>
      </c>
      <c r="M1159" s="50">
        <f t="shared" si="79"/>
        <v>0</v>
      </c>
    </row>
    <row r="1160" spans="1:13" x14ac:dyDescent="0.2">
      <c r="A1160" s="18"/>
      <c r="B1160" s="77"/>
      <c r="C1160" s="77"/>
      <c r="D1160" s="78"/>
      <c r="E1160" s="77"/>
      <c r="F1160" s="77"/>
      <c r="G1160" s="77"/>
      <c r="H1160" s="77"/>
      <c r="I1160" s="77"/>
      <c r="J1160" s="77"/>
      <c r="K1160" s="79"/>
      <c r="L1160" s="49">
        <f t="shared" si="78"/>
        <v>0</v>
      </c>
      <c r="M1160" s="50">
        <f t="shared" si="79"/>
        <v>0</v>
      </c>
    </row>
    <row r="1161" spans="1:13" x14ac:dyDescent="0.2">
      <c r="A1161" s="18"/>
      <c r="B1161" s="77"/>
      <c r="C1161" s="77"/>
      <c r="D1161" s="78"/>
      <c r="E1161" s="77"/>
      <c r="F1161" s="77"/>
      <c r="G1161" s="77"/>
      <c r="H1161" s="77"/>
      <c r="I1161" s="77"/>
      <c r="J1161" s="77"/>
      <c r="K1161" s="79"/>
      <c r="L1161" s="49">
        <f t="shared" si="78"/>
        <v>0</v>
      </c>
      <c r="M1161" s="50">
        <f t="shared" si="79"/>
        <v>0</v>
      </c>
    </row>
    <row r="1162" spans="1:13" x14ac:dyDescent="0.2">
      <c r="A1162" s="18"/>
      <c r="B1162" s="77"/>
      <c r="C1162" s="77"/>
      <c r="D1162" s="78"/>
      <c r="E1162" s="77"/>
      <c r="F1162" s="77"/>
      <c r="G1162" s="77"/>
      <c r="H1162" s="77"/>
      <c r="I1162" s="77"/>
      <c r="J1162" s="77"/>
      <c r="K1162" s="79"/>
      <c r="L1162" s="49">
        <f t="shared" si="78"/>
        <v>0</v>
      </c>
      <c r="M1162" s="50">
        <f t="shared" si="79"/>
        <v>0</v>
      </c>
    </row>
    <row r="1163" spans="1:13" x14ac:dyDescent="0.2">
      <c r="A1163" s="18"/>
      <c r="B1163" s="77"/>
      <c r="C1163" s="77"/>
      <c r="D1163" s="78"/>
      <c r="E1163" s="77"/>
      <c r="F1163" s="77"/>
      <c r="G1163" s="77"/>
      <c r="H1163" s="77"/>
      <c r="I1163" s="77"/>
      <c r="J1163" s="77"/>
      <c r="K1163" s="79"/>
      <c r="L1163" s="49">
        <f t="shared" si="78"/>
        <v>0</v>
      </c>
      <c r="M1163" s="50">
        <f t="shared" si="79"/>
        <v>0</v>
      </c>
    </row>
    <row r="1164" spans="1:13" x14ac:dyDescent="0.2">
      <c r="A1164" s="18"/>
      <c r="B1164" s="77"/>
      <c r="C1164" s="77"/>
      <c r="D1164" s="78"/>
      <c r="E1164" s="77"/>
      <c r="F1164" s="77"/>
      <c r="G1164" s="77"/>
      <c r="H1164" s="77"/>
      <c r="I1164" s="77"/>
      <c r="J1164" s="77"/>
      <c r="K1164" s="79"/>
      <c r="L1164" s="49">
        <f t="shared" si="78"/>
        <v>0</v>
      </c>
      <c r="M1164" s="50">
        <f t="shared" si="79"/>
        <v>0</v>
      </c>
    </row>
    <row r="1165" spans="1:13" x14ac:dyDescent="0.2">
      <c r="A1165" s="18"/>
      <c r="B1165" s="77"/>
      <c r="C1165" s="77"/>
      <c r="D1165" s="78"/>
      <c r="E1165" s="77"/>
      <c r="F1165" s="77"/>
      <c r="G1165" s="77"/>
      <c r="H1165" s="77"/>
      <c r="I1165" s="77"/>
      <c r="J1165" s="77"/>
      <c r="K1165" s="79"/>
      <c r="L1165" s="49">
        <f t="shared" si="78"/>
        <v>0</v>
      </c>
      <c r="M1165" s="50">
        <f t="shared" si="79"/>
        <v>0</v>
      </c>
    </row>
    <row r="1166" spans="1:13" x14ac:dyDescent="0.2">
      <c r="A1166" s="18"/>
      <c r="B1166" s="77"/>
      <c r="C1166" s="77"/>
      <c r="D1166" s="78"/>
      <c r="E1166" s="77"/>
      <c r="F1166" s="77"/>
      <c r="G1166" s="77"/>
      <c r="H1166" s="77"/>
      <c r="I1166" s="77"/>
      <c r="J1166" s="77"/>
      <c r="K1166" s="79"/>
      <c r="L1166" s="49">
        <f t="shared" si="78"/>
        <v>0</v>
      </c>
      <c r="M1166" s="50">
        <f t="shared" si="79"/>
        <v>0</v>
      </c>
    </row>
    <row r="1167" spans="1:13" x14ac:dyDescent="0.2">
      <c r="A1167" s="18"/>
      <c r="B1167" s="77"/>
      <c r="C1167" s="77"/>
      <c r="D1167" s="78"/>
      <c r="E1167" s="77"/>
      <c r="F1167" s="77"/>
      <c r="G1167" s="77"/>
      <c r="H1167" s="77"/>
      <c r="I1167" s="77"/>
      <c r="J1167" s="77"/>
      <c r="K1167" s="79"/>
      <c r="L1167" s="49">
        <f t="shared" si="78"/>
        <v>0</v>
      </c>
      <c r="M1167" s="50">
        <f t="shared" si="79"/>
        <v>0</v>
      </c>
    </row>
    <row r="1168" spans="1:13" x14ac:dyDescent="0.2">
      <c r="A1168" s="18"/>
      <c r="B1168" s="77"/>
      <c r="C1168" s="77"/>
      <c r="D1168" s="78"/>
      <c r="E1168" s="77"/>
      <c r="F1168" s="77"/>
      <c r="G1168" s="77"/>
      <c r="H1168" s="77"/>
      <c r="I1168" s="77"/>
      <c r="J1168" s="77"/>
      <c r="K1168" s="79"/>
      <c r="L1168" s="49">
        <f t="shared" si="78"/>
        <v>0</v>
      </c>
      <c r="M1168" s="50">
        <f t="shared" si="79"/>
        <v>0</v>
      </c>
    </row>
    <row r="1169" spans="1:13" x14ac:dyDescent="0.2">
      <c r="A1169" s="18"/>
      <c r="B1169" s="77"/>
      <c r="C1169" s="77"/>
      <c r="D1169" s="78"/>
      <c r="E1169" s="77"/>
      <c r="F1169" s="77"/>
      <c r="G1169" s="77"/>
      <c r="H1169" s="77"/>
      <c r="I1169" s="77"/>
      <c r="J1169" s="77"/>
      <c r="K1169" s="79"/>
      <c r="L1169" s="49">
        <f t="shared" si="78"/>
        <v>0</v>
      </c>
      <c r="M1169" s="50">
        <f t="shared" si="79"/>
        <v>0</v>
      </c>
    </row>
    <row r="1170" spans="1:13" x14ac:dyDescent="0.2">
      <c r="A1170" s="18"/>
      <c r="B1170" s="77"/>
      <c r="C1170" s="77"/>
      <c r="D1170" s="78"/>
      <c r="E1170" s="77"/>
      <c r="F1170" s="77"/>
      <c r="G1170" s="77"/>
      <c r="H1170" s="77"/>
      <c r="I1170" s="77"/>
      <c r="J1170" s="77"/>
      <c r="K1170" s="79"/>
      <c r="L1170" s="49">
        <f t="shared" si="78"/>
        <v>0</v>
      </c>
      <c r="M1170" s="50">
        <f t="shared" si="79"/>
        <v>0</v>
      </c>
    </row>
    <row r="1171" spans="1:13" x14ac:dyDescent="0.2">
      <c r="A1171" s="18"/>
      <c r="B1171" s="77"/>
      <c r="C1171" s="77"/>
      <c r="D1171" s="78"/>
      <c r="E1171" s="77"/>
      <c r="F1171" s="77"/>
      <c r="G1171" s="77"/>
      <c r="H1171" s="77"/>
      <c r="I1171" s="77"/>
      <c r="J1171" s="77"/>
      <c r="K1171" s="79"/>
      <c r="L1171" s="49">
        <f t="shared" si="78"/>
        <v>0</v>
      </c>
      <c r="M1171" s="50">
        <f t="shared" si="79"/>
        <v>0</v>
      </c>
    </row>
    <row r="1172" spans="1:13" x14ac:dyDescent="0.2">
      <c r="A1172" s="18"/>
      <c r="B1172" s="77"/>
      <c r="C1172" s="77"/>
      <c r="D1172" s="78"/>
      <c r="E1172" s="77"/>
      <c r="F1172" s="77"/>
      <c r="G1172" s="77"/>
      <c r="H1172" s="77"/>
      <c r="I1172" s="77"/>
      <c r="J1172" s="77"/>
      <c r="K1172" s="79"/>
      <c r="L1172" s="49">
        <f t="shared" si="78"/>
        <v>0</v>
      </c>
      <c r="M1172" s="50">
        <f t="shared" si="79"/>
        <v>0</v>
      </c>
    </row>
    <row r="1173" spans="1:13" x14ac:dyDescent="0.2">
      <c r="A1173" s="18"/>
      <c r="B1173" s="77"/>
      <c r="C1173" s="77"/>
      <c r="D1173" s="78"/>
      <c r="E1173" s="77"/>
      <c r="F1173" s="77"/>
      <c r="G1173" s="77"/>
      <c r="H1173" s="77"/>
      <c r="I1173" s="77"/>
      <c r="J1173" s="77"/>
      <c r="K1173" s="79"/>
      <c r="L1173" s="49">
        <f t="shared" ref="L1173:L1236" si="80">+K1173*18%</f>
        <v>0</v>
      </c>
      <c r="M1173" s="50">
        <f t="shared" ref="M1173:M1236" si="81">+K1173+L1173</f>
        <v>0</v>
      </c>
    </row>
    <row r="1174" spans="1:13" x14ac:dyDescent="0.2">
      <c r="A1174" s="18"/>
      <c r="B1174" s="77"/>
      <c r="C1174" s="77"/>
      <c r="D1174" s="78"/>
      <c r="E1174" s="77"/>
      <c r="F1174" s="77"/>
      <c r="G1174" s="77"/>
      <c r="H1174" s="77"/>
      <c r="I1174" s="77"/>
      <c r="J1174" s="77"/>
      <c r="K1174" s="79"/>
      <c r="L1174" s="49">
        <f t="shared" si="80"/>
        <v>0</v>
      </c>
      <c r="M1174" s="50">
        <f t="shared" si="81"/>
        <v>0</v>
      </c>
    </row>
    <row r="1175" spans="1:13" x14ac:dyDescent="0.2">
      <c r="A1175" s="18"/>
      <c r="B1175" s="77"/>
      <c r="C1175" s="77"/>
      <c r="D1175" s="78"/>
      <c r="E1175" s="77"/>
      <c r="F1175" s="77"/>
      <c r="G1175" s="77"/>
      <c r="H1175" s="77"/>
      <c r="I1175" s="77"/>
      <c r="J1175" s="77"/>
      <c r="K1175" s="79"/>
      <c r="L1175" s="49">
        <f t="shared" si="80"/>
        <v>0</v>
      </c>
      <c r="M1175" s="50">
        <f t="shared" si="81"/>
        <v>0</v>
      </c>
    </row>
    <row r="1176" spans="1:13" x14ac:dyDescent="0.2">
      <c r="A1176" s="18"/>
      <c r="B1176" s="77"/>
      <c r="C1176" s="77"/>
      <c r="D1176" s="78"/>
      <c r="E1176" s="77"/>
      <c r="F1176" s="77"/>
      <c r="G1176" s="77"/>
      <c r="H1176" s="77"/>
      <c r="I1176" s="77"/>
      <c r="J1176" s="77"/>
      <c r="K1176" s="79"/>
      <c r="L1176" s="49">
        <f t="shared" si="80"/>
        <v>0</v>
      </c>
      <c r="M1176" s="50">
        <f t="shared" si="81"/>
        <v>0</v>
      </c>
    </row>
    <row r="1177" spans="1:13" x14ac:dyDescent="0.2">
      <c r="A1177" s="18"/>
      <c r="B1177" s="77"/>
      <c r="C1177" s="77"/>
      <c r="D1177" s="78"/>
      <c r="E1177" s="77"/>
      <c r="F1177" s="77"/>
      <c r="G1177" s="77"/>
      <c r="H1177" s="77"/>
      <c r="I1177" s="77"/>
      <c r="J1177" s="77"/>
      <c r="K1177" s="79"/>
      <c r="L1177" s="49">
        <f t="shared" si="80"/>
        <v>0</v>
      </c>
      <c r="M1177" s="50">
        <f t="shared" si="81"/>
        <v>0</v>
      </c>
    </row>
    <row r="1178" spans="1:13" x14ac:dyDescent="0.2">
      <c r="A1178" s="18"/>
      <c r="B1178" s="77"/>
      <c r="C1178" s="77"/>
      <c r="D1178" s="78"/>
      <c r="E1178" s="77"/>
      <c r="F1178" s="77"/>
      <c r="G1178" s="77"/>
      <c r="H1178" s="77"/>
      <c r="I1178" s="77"/>
      <c r="J1178" s="77"/>
      <c r="K1178" s="79"/>
      <c r="L1178" s="49">
        <f t="shared" si="80"/>
        <v>0</v>
      </c>
      <c r="M1178" s="50">
        <f t="shared" si="81"/>
        <v>0</v>
      </c>
    </row>
    <row r="1179" spans="1:13" x14ac:dyDescent="0.2">
      <c r="A1179" s="18"/>
      <c r="B1179" s="77"/>
      <c r="C1179" s="77"/>
      <c r="D1179" s="78"/>
      <c r="E1179" s="77"/>
      <c r="F1179" s="77"/>
      <c r="G1179" s="77"/>
      <c r="H1179" s="77"/>
      <c r="I1179" s="77"/>
      <c r="J1179" s="77"/>
      <c r="K1179" s="79"/>
      <c r="L1179" s="49">
        <f t="shared" si="80"/>
        <v>0</v>
      </c>
      <c r="M1179" s="50">
        <f t="shared" si="81"/>
        <v>0</v>
      </c>
    </row>
    <row r="1180" spans="1:13" x14ac:dyDescent="0.2">
      <c r="A1180" s="18"/>
      <c r="B1180" s="77"/>
      <c r="C1180" s="77"/>
      <c r="D1180" s="78"/>
      <c r="E1180" s="77"/>
      <c r="F1180" s="77"/>
      <c r="G1180" s="77"/>
      <c r="H1180" s="77"/>
      <c r="I1180" s="77"/>
      <c r="J1180" s="77"/>
      <c r="K1180" s="79"/>
      <c r="L1180" s="49">
        <f t="shared" si="80"/>
        <v>0</v>
      </c>
      <c r="M1180" s="50">
        <f t="shared" si="81"/>
        <v>0</v>
      </c>
    </row>
    <row r="1181" spans="1:13" x14ac:dyDescent="0.2">
      <c r="A1181" s="18"/>
      <c r="B1181" s="77"/>
      <c r="C1181" s="77"/>
      <c r="D1181" s="78"/>
      <c r="E1181" s="77"/>
      <c r="F1181" s="77"/>
      <c r="G1181" s="77"/>
      <c r="H1181" s="77"/>
      <c r="I1181" s="77"/>
      <c r="J1181" s="77"/>
      <c r="K1181" s="79"/>
      <c r="L1181" s="49">
        <f t="shared" si="80"/>
        <v>0</v>
      </c>
      <c r="M1181" s="50">
        <f t="shared" si="81"/>
        <v>0</v>
      </c>
    </row>
    <row r="1182" spans="1:13" x14ac:dyDescent="0.2">
      <c r="A1182" s="18"/>
      <c r="B1182" s="77"/>
      <c r="C1182" s="77"/>
      <c r="D1182" s="78"/>
      <c r="E1182" s="77"/>
      <c r="F1182" s="77"/>
      <c r="G1182" s="77"/>
      <c r="H1182" s="77"/>
      <c r="I1182" s="77"/>
      <c r="J1182" s="77"/>
      <c r="K1182" s="79"/>
      <c r="L1182" s="49">
        <f t="shared" si="80"/>
        <v>0</v>
      </c>
      <c r="M1182" s="50">
        <f t="shared" si="81"/>
        <v>0</v>
      </c>
    </row>
    <row r="1183" spans="1:13" x14ac:dyDescent="0.2">
      <c r="A1183" s="18"/>
      <c r="B1183" s="77"/>
      <c r="C1183" s="77"/>
      <c r="D1183" s="78"/>
      <c r="E1183" s="77"/>
      <c r="F1183" s="77"/>
      <c r="G1183" s="77"/>
      <c r="H1183" s="77"/>
      <c r="I1183" s="77"/>
      <c r="J1183" s="77"/>
      <c r="K1183" s="79"/>
      <c r="L1183" s="49">
        <f t="shared" si="80"/>
        <v>0</v>
      </c>
      <c r="M1183" s="50">
        <f t="shared" si="81"/>
        <v>0</v>
      </c>
    </row>
    <row r="1184" spans="1:13" x14ac:dyDescent="0.2">
      <c r="A1184" s="18"/>
      <c r="B1184" s="77"/>
      <c r="C1184" s="77"/>
      <c r="D1184" s="78"/>
      <c r="E1184" s="77"/>
      <c r="F1184" s="77"/>
      <c r="G1184" s="77"/>
      <c r="H1184" s="77"/>
      <c r="I1184" s="77"/>
      <c r="J1184" s="77"/>
      <c r="K1184" s="79"/>
      <c r="L1184" s="49">
        <f t="shared" si="80"/>
        <v>0</v>
      </c>
      <c r="M1184" s="50">
        <f t="shared" si="81"/>
        <v>0</v>
      </c>
    </row>
    <row r="1185" spans="1:13" x14ac:dyDescent="0.2">
      <c r="A1185" s="18"/>
      <c r="B1185" s="77"/>
      <c r="C1185" s="77"/>
      <c r="D1185" s="78"/>
      <c r="E1185" s="77"/>
      <c r="F1185" s="77"/>
      <c r="G1185" s="77"/>
      <c r="H1185" s="77"/>
      <c r="I1185" s="77"/>
      <c r="J1185" s="77"/>
      <c r="K1185" s="79"/>
      <c r="L1185" s="49">
        <f t="shared" si="80"/>
        <v>0</v>
      </c>
      <c r="M1185" s="50">
        <f t="shared" si="81"/>
        <v>0</v>
      </c>
    </row>
    <row r="1186" spans="1:13" x14ac:dyDescent="0.2">
      <c r="A1186" s="18"/>
      <c r="B1186" s="77"/>
      <c r="C1186" s="77"/>
      <c r="D1186" s="78"/>
      <c r="E1186" s="77"/>
      <c r="F1186" s="77"/>
      <c r="G1186" s="77"/>
      <c r="H1186" s="77"/>
      <c r="I1186" s="77"/>
      <c r="J1186" s="77"/>
      <c r="K1186" s="79"/>
      <c r="L1186" s="49">
        <f t="shared" si="80"/>
        <v>0</v>
      </c>
      <c r="M1186" s="50">
        <f t="shared" si="81"/>
        <v>0</v>
      </c>
    </row>
    <row r="1187" spans="1:13" x14ac:dyDescent="0.2">
      <c r="A1187" s="18"/>
      <c r="B1187" s="77"/>
      <c r="C1187" s="77"/>
      <c r="D1187" s="78"/>
      <c r="E1187" s="77"/>
      <c r="F1187" s="77"/>
      <c r="G1187" s="77"/>
      <c r="H1187" s="77"/>
      <c r="I1187" s="77"/>
      <c r="J1187" s="77"/>
      <c r="K1187" s="79"/>
      <c r="L1187" s="49">
        <f t="shared" si="80"/>
        <v>0</v>
      </c>
      <c r="M1187" s="50">
        <f t="shared" si="81"/>
        <v>0</v>
      </c>
    </row>
    <row r="1188" spans="1:13" x14ac:dyDescent="0.2">
      <c r="A1188" s="18"/>
      <c r="B1188" s="77"/>
      <c r="C1188" s="77"/>
      <c r="D1188" s="78"/>
      <c r="E1188" s="77"/>
      <c r="F1188" s="77"/>
      <c r="G1188" s="77"/>
      <c r="H1188" s="77"/>
      <c r="I1188" s="77"/>
      <c r="J1188" s="77"/>
      <c r="K1188" s="79"/>
      <c r="L1188" s="49">
        <f t="shared" si="80"/>
        <v>0</v>
      </c>
      <c r="M1188" s="50">
        <f t="shared" si="81"/>
        <v>0</v>
      </c>
    </row>
    <row r="1189" spans="1:13" x14ac:dyDescent="0.2">
      <c r="A1189" s="18"/>
      <c r="B1189" s="77"/>
      <c r="C1189" s="77"/>
      <c r="D1189" s="78"/>
      <c r="E1189" s="77"/>
      <c r="F1189" s="77"/>
      <c r="G1189" s="77"/>
      <c r="H1189" s="77"/>
      <c r="I1189" s="77"/>
      <c r="J1189" s="77"/>
      <c r="K1189" s="79"/>
      <c r="L1189" s="49">
        <f t="shared" si="80"/>
        <v>0</v>
      </c>
      <c r="M1189" s="50">
        <f t="shared" si="81"/>
        <v>0</v>
      </c>
    </row>
    <row r="1190" spans="1:13" x14ac:dyDescent="0.2">
      <c r="A1190" s="18"/>
      <c r="B1190" s="77"/>
      <c r="C1190" s="77"/>
      <c r="D1190" s="78"/>
      <c r="E1190" s="77"/>
      <c r="F1190" s="77"/>
      <c r="G1190" s="77"/>
      <c r="H1190" s="77"/>
      <c r="I1190" s="77"/>
      <c r="J1190" s="77"/>
      <c r="K1190" s="79"/>
      <c r="L1190" s="49">
        <f t="shared" si="80"/>
        <v>0</v>
      </c>
      <c r="M1190" s="50">
        <f t="shared" si="81"/>
        <v>0</v>
      </c>
    </row>
    <row r="1191" spans="1:13" x14ac:dyDescent="0.2">
      <c r="A1191" s="18"/>
      <c r="B1191" s="77"/>
      <c r="C1191" s="77"/>
      <c r="D1191" s="78"/>
      <c r="E1191" s="77"/>
      <c r="F1191" s="77"/>
      <c r="G1191" s="77"/>
      <c r="H1191" s="77"/>
      <c r="I1191" s="77"/>
      <c r="J1191" s="77"/>
      <c r="K1191" s="79"/>
      <c r="L1191" s="49">
        <f t="shared" si="80"/>
        <v>0</v>
      </c>
      <c r="M1191" s="50">
        <f t="shared" si="81"/>
        <v>0</v>
      </c>
    </row>
    <row r="1192" spans="1:13" x14ac:dyDescent="0.2">
      <c r="A1192" s="18"/>
      <c r="B1192" s="77"/>
      <c r="C1192" s="77"/>
      <c r="D1192" s="78"/>
      <c r="E1192" s="77"/>
      <c r="F1192" s="77"/>
      <c r="G1192" s="77"/>
      <c r="H1192" s="77"/>
      <c r="I1192" s="77"/>
      <c r="J1192" s="77"/>
      <c r="K1192" s="79"/>
      <c r="L1192" s="49">
        <f t="shared" si="80"/>
        <v>0</v>
      </c>
      <c r="M1192" s="50">
        <f t="shared" si="81"/>
        <v>0</v>
      </c>
    </row>
    <row r="1193" spans="1:13" x14ac:dyDescent="0.2">
      <c r="A1193" s="18"/>
      <c r="B1193" s="77"/>
      <c r="C1193" s="77"/>
      <c r="D1193" s="78"/>
      <c r="E1193" s="77"/>
      <c r="F1193" s="77"/>
      <c r="G1193" s="77"/>
      <c r="H1193" s="77"/>
      <c r="I1193" s="77"/>
      <c r="J1193" s="77"/>
      <c r="K1193" s="79"/>
      <c r="L1193" s="49">
        <f t="shared" si="80"/>
        <v>0</v>
      </c>
      <c r="M1193" s="50">
        <f t="shared" si="81"/>
        <v>0</v>
      </c>
    </row>
    <row r="1194" spans="1:13" x14ac:dyDescent="0.2">
      <c r="A1194" s="18"/>
      <c r="B1194" s="77"/>
      <c r="C1194" s="77"/>
      <c r="D1194" s="78"/>
      <c r="E1194" s="77"/>
      <c r="F1194" s="77"/>
      <c r="G1194" s="77"/>
      <c r="H1194" s="77"/>
      <c r="I1194" s="77"/>
      <c r="J1194" s="77"/>
      <c r="K1194" s="79"/>
      <c r="L1194" s="49">
        <f t="shared" si="80"/>
        <v>0</v>
      </c>
      <c r="M1194" s="50">
        <f t="shared" si="81"/>
        <v>0</v>
      </c>
    </row>
    <row r="1195" spans="1:13" x14ac:dyDescent="0.2">
      <c r="A1195" s="18"/>
      <c r="B1195" s="77"/>
      <c r="C1195" s="77"/>
      <c r="D1195" s="78"/>
      <c r="E1195" s="77"/>
      <c r="F1195" s="77"/>
      <c r="G1195" s="77"/>
      <c r="H1195" s="77"/>
      <c r="I1195" s="77"/>
      <c r="J1195" s="77"/>
      <c r="K1195" s="79"/>
      <c r="L1195" s="49">
        <f t="shared" si="80"/>
        <v>0</v>
      </c>
      <c r="M1195" s="50">
        <f t="shared" si="81"/>
        <v>0</v>
      </c>
    </row>
    <row r="1196" spans="1:13" x14ac:dyDescent="0.2">
      <c r="A1196" s="18"/>
      <c r="B1196" s="77"/>
      <c r="C1196" s="77"/>
      <c r="D1196" s="78"/>
      <c r="E1196" s="77"/>
      <c r="F1196" s="77"/>
      <c r="G1196" s="77"/>
      <c r="H1196" s="77"/>
      <c r="I1196" s="77"/>
      <c r="J1196" s="77"/>
      <c r="K1196" s="79"/>
      <c r="L1196" s="49">
        <f t="shared" si="80"/>
        <v>0</v>
      </c>
      <c r="M1196" s="50">
        <f t="shared" si="81"/>
        <v>0</v>
      </c>
    </row>
    <row r="1197" spans="1:13" x14ac:dyDescent="0.2">
      <c r="A1197" s="18"/>
      <c r="B1197" s="77"/>
      <c r="C1197" s="77"/>
      <c r="D1197" s="78"/>
      <c r="E1197" s="77"/>
      <c r="F1197" s="77"/>
      <c r="G1197" s="77"/>
      <c r="H1197" s="77"/>
      <c r="I1197" s="77"/>
      <c r="J1197" s="77"/>
      <c r="K1197" s="79"/>
      <c r="L1197" s="49">
        <f t="shared" si="80"/>
        <v>0</v>
      </c>
      <c r="M1197" s="50">
        <f t="shared" si="81"/>
        <v>0</v>
      </c>
    </row>
    <row r="1198" spans="1:13" x14ac:dyDescent="0.2">
      <c r="A1198" s="18"/>
      <c r="B1198" s="77"/>
      <c r="C1198" s="77"/>
      <c r="D1198" s="78"/>
      <c r="E1198" s="77"/>
      <c r="F1198" s="77"/>
      <c r="G1198" s="77"/>
      <c r="H1198" s="77"/>
      <c r="I1198" s="77"/>
      <c r="J1198" s="77"/>
      <c r="K1198" s="79"/>
      <c r="L1198" s="49">
        <f t="shared" si="80"/>
        <v>0</v>
      </c>
      <c r="M1198" s="50">
        <f t="shared" si="81"/>
        <v>0</v>
      </c>
    </row>
    <row r="1199" spans="1:13" x14ac:dyDescent="0.2">
      <c r="A1199" s="18"/>
      <c r="B1199" s="77"/>
      <c r="C1199" s="77"/>
      <c r="D1199" s="78"/>
      <c r="E1199" s="77"/>
      <c r="F1199" s="77"/>
      <c r="G1199" s="77"/>
      <c r="H1199" s="77"/>
      <c r="I1199" s="77"/>
      <c r="J1199" s="77"/>
      <c r="K1199" s="79"/>
      <c r="L1199" s="49">
        <f t="shared" si="80"/>
        <v>0</v>
      </c>
      <c r="M1199" s="50">
        <f t="shared" si="81"/>
        <v>0</v>
      </c>
    </row>
    <row r="1200" spans="1:13" x14ac:dyDescent="0.2">
      <c r="A1200" s="18"/>
      <c r="B1200" s="77"/>
      <c r="C1200" s="77"/>
      <c r="D1200" s="78"/>
      <c r="E1200" s="77"/>
      <c r="F1200" s="77"/>
      <c r="G1200" s="77"/>
      <c r="H1200" s="77"/>
      <c r="I1200" s="77"/>
      <c r="J1200" s="77"/>
      <c r="K1200" s="79"/>
      <c r="L1200" s="49">
        <f t="shared" si="80"/>
        <v>0</v>
      </c>
      <c r="M1200" s="50">
        <f t="shared" si="81"/>
        <v>0</v>
      </c>
    </row>
    <row r="1201" spans="1:13" x14ac:dyDescent="0.2">
      <c r="A1201" s="18"/>
      <c r="B1201" s="77"/>
      <c r="C1201" s="77"/>
      <c r="D1201" s="78"/>
      <c r="E1201" s="77"/>
      <c r="F1201" s="77"/>
      <c r="G1201" s="77"/>
      <c r="H1201" s="77"/>
      <c r="I1201" s="77"/>
      <c r="J1201" s="77"/>
      <c r="K1201" s="79"/>
      <c r="L1201" s="49">
        <f t="shared" si="80"/>
        <v>0</v>
      </c>
      <c r="M1201" s="50">
        <f t="shared" si="81"/>
        <v>0</v>
      </c>
    </row>
    <row r="1202" spans="1:13" x14ac:dyDescent="0.2">
      <c r="A1202" s="18"/>
      <c r="B1202" s="77"/>
      <c r="C1202" s="77"/>
      <c r="D1202" s="78"/>
      <c r="E1202" s="77"/>
      <c r="F1202" s="77"/>
      <c r="G1202" s="77"/>
      <c r="H1202" s="77"/>
      <c r="I1202" s="77"/>
      <c r="J1202" s="77"/>
      <c r="K1202" s="79"/>
      <c r="L1202" s="49">
        <f t="shared" si="80"/>
        <v>0</v>
      </c>
      <c r="M1202" s="50">
        <f t="shared" si="81"/>
        <v>0</v>
      </c>
    </row>
    <row r="1203" spans="1:13" x14ac:dyDescent="0.2">
      <c r="A1203" s="18"/>
      <c r="B1203" s="77"/>
      <c r="C1203" s="77"/>
      <c r="D1203" s="78"/>
      <c r="E1203" s="77"/>
      <c r="F1203" s="77"/>
      <c r="G1203" s="77"/>
      <c r="H1203" s="77"/>
      <c r="I1203" s="77"/>
      <c r="J1203" s="77"/>
      <c r="K1203" s="79"/>
      <c r="L1203" s="49">
        <f t="shared" si="80"/>
        <v>0</v>
      </c>
      <c r="M1203" s="50">
        <f t="shared" si="81"/>
        <v>0</v>
      </c>
    </row>
    <row r="1204" spans="1:13" x14ac:dyDescent="0.2">
      <c r="A1204" s="18"/>
      <c r="B1204" s="77"/>
      <c r="C1204" s="77"/>
      <c r="D1204" s="78"/>
      <c r="E1204" s="77"/>
      <c r="F1204" s="77"/>
      <c r="G1204" s="77"/>
      <c r="H1204" s="77"/>
      <c r="I1204" s="77"/>
      <c r="J1204" s="77"/>
      <c r="K1204" s="79"/>
      <c r="L1204" s="49">
        <f t="shared" si="80"/>
        <v>0</v>
      </c>
      <c r="M1204" s="50">
        <f t="shared" si="81"/>
        <v>0</v>
      </c>
    </row>
    <row r="1205" spans="1:13" x14ac:dyDescent="0.2">
      <c r="A1205" s="18"/>
      <c r="B1205" s="77"/>
      <c r="C1205" s="77"/>
      <c r="D1205" s="78"/>
      <c r="E1205" s="77"/>
      <c r="F1205" s="77"/>
      <c r="G1205" s="77"/>
      <c r="H1205" s="77"/>
      <c r="I1205" s="77"/>
      <c r="J1205" s="77"/>
      <c r="K1205" s="79"/>
      <c r="L1205" s="49">
        <f t="shared" si="80"/>
        <v>0</v>
      </c>
      <c r="M1205" s="50">
        <f t="shared" si="81"/>
        <v>0</v>
      </c>
    </row>
    <row r="1206" spans="1:13" x14ac:dyDescent="0.2">
      <c r="A1206" s="18"/>
      <c r="B1206" s="77"/>
      <c r="C1206" s="77"/>
      <c r="D1206" s="78"/>
      <c r="E1206" s="77"/>
      <c r="F1206" s="77"/>
      <c r="G1206" s="77"/>
      <c r="H1206" s="77"/>
      <c r="I1206" s="77"/>
      <c r="J1206" s="77"/>
      <c r="K1206" s="79"/>
      <c r="L1206" s="49">
        <f t="shared" si="80"/>
        <v>0</v>
      </c>
      <c r="M1206" s="50">
        <f t="shared" si="81"/>
        <v>0</v>
      </c>
    </row>
    <row r="1207" spans="1:13" x14ac:dyDescent="0.2">
      <c r="A1207" s="18"/>
      <c r="B1207" s="77"/>
      <c r="C1207" s="77"/>
      <c r="D1207" s="78"/>
      <c r="E1207" s="77"/>
      <c r="F1207" s="77"/>
      <c r="G1207" s="77"/>
      <c r="H1207" s="77"/>
      <c r="I1207" s="77"/>
      <c r="J1207" s="77"/>
      <c r="K1207" s="79"/>
      <c r="L1207" s="49">
        <f t="shared" si="80"/>
        <v>0</v>
      </c>
      <c r="M1207" s="50">
        <f t="shared" si="81"/>
        <v>0</v>
      </c>
    </row>
    <row r="1208" spans="1:13" x14ac:dyDescent="0.2">
      <c r="A1208" s="18"/>
      <c r="B1208" s="77"/>
      <c r="C1208" s="77"/>
      <c r="D1208" s="78"/>
      <c r="E1208" s="77"/>
      <c r="F1208" s="77"/>
      <c r="G1208" s="77"/>
      <c r="H1208" s="77"/>
      <c r="I1208" s="77"/>
      <c r="J1208" s="77"/>
      <c r="K1208" s="79"/>
      <c r="L1208" s="49">
        <f t="shared" si="80"/>
        <v>0</v>
      </c>
      <c r="M1208" s="50">
        <f t="shared" si="81"/>
        <v>0</v>
      </c>
    </row>
    <row r="1209" spans="1:13" x14ac:dyDescent="0.2">
      <c r="A1209" s="18"/>
      <c r="B1209" s="77"/>
      <c r="C1209" s="77"/>
      <c r="D1209" s="78"/>
      <c r="E1209" s="77"/>
      <c r="F1209" s="77"/>
      <c r="G1209" s="77"/>
      <c r="H1209" s="77"/>
      <c r="I1209" s="77"/>
      <c r="J1209" s="77"/>
      <c r="K1209" s="79"/>
      <c r="L1209" s="49">
        <f t="shared" si="80"/>
        <v>0</v>
      </c>
      <c r="M1209" s="50">
        <f t="shared" si="81"/>
        <v>0</v>
      </c>
    </row>
    <row r="1210" spans="1:13" x14ac:dyDescent="0.2">
      <c r="A1210" s="18"/>
      <c r="B1210" s="77"/>
      <c r="C1210" s="77"/>
      <c r="D1210" s="78"/>
      <c r="E1210" s="77"/>
      <c r="F1210" s="77"/>
      <c r="G1210" s="77"/>
      <c r="H1210" s="77"/>
      <c r="I1210" s="77"/>
      <c r="J1210" s="77"/>
      <c r="K1210" s="79"/>
      <c r="L1210" s="49">
        <f t="shared" si="80"/>
        <v>0</v>
      </c>
      <c r="M1210" s="50">
        <f t="shared" si="81"/>
        <v>0</v>
      </c>
    </row>
    <row r="1211" spans="1:13" x14ac:dyDescent="0.2">
      <c r="A1211" s="18"/>
      <c r="B1211" s="77"/>
      <c r="C1211" s="77"/>
      <c r="D1211" s="78"/>
      <c r="E1211" s="77"/>
      <c r="F1211" s="77"/>
      <c r="G1211" s="77"/>
      <c r="H1211" s="77"/>
      <c r="I1211" s="77"/>
      <c r="J1211" s="77"/>
      <c r="K1211" s="79"/>
      <c r="L1211" s="49">
        <f t="shared" si="80"/>
        <v>0</v>
      </c>
      <c r="M1211" s="50">
        <f t="shared" si="81"/>
        <v>0</v>
      </c>
    </row>
    <row r="1212" spans="1:13" x14ac:dyDescent="0.2">
      <c r="A1212" s="18"/>
      <c r="B1212" s="77"/>
      <c r="C1212" s="77"/>
      <c r="D1212" s="78"/>
      <c r="E1212" s="77"/>
      <c r="F1212" s="77"/>
      <c r="G1212" s="77"/>
      <c r="H1212" s="77"/>
      <c r="I1212" s="77"/>
      <c r="J1212" s="77"/>
      <c r="K1212" s="79"/>
      <c r="L1212" s="49">
        <f t="shared" si="80"/>
        <v>0</v>
      </c>
      <c r="M1212" s="50">
        <f t="shared" si="81"/>
        <v>0</v>
      </c>
    </row>
    <row r="1213" spans="1:13" x14ac:dyDescent="0.2">
      <c r="A1213" s="18"/>
      <c r="B1213" s="77"/>
      <c r="C1213" s="77"/>
      <c r="D1213" s="78"/>
      <c r="E1213" s="77"/>
      <c r="F1213" s="77"/>
      <c r="G1213" s="77"/>
      <c r="H1213" s="77"/>
      <c r="I1213" s="77"/>
      <c r="J1213" s="77"/>
      <c r="K1213" s="79"/>
      <c r="L1213" s="49">
        <f t="shared" si="80"/>
        <v>0</v>
      </c>
      <c r="M1213" s="50">
        <f t="shared" si="81"/>
        <v>0</v>
      </c>
    </row>
    <row r="1214" spans="1:13" x14ac:dyDescent="0.2">
      <c r="A1214" s="18"/>
      <c r="B1214" s="77"/>
      <c r="C1214" s="77"/>
      <c r="D1214" s="78"/>
      <c r="E1214" s="77"/>
      <c r="F1214" s="77"/>
      <c r="G1214" s="77"/>
      <c r="H1214" s="77"/>
      <c r="I1214" s="77"/>
      <c r="J1214" s="77"/>
      <c r="K1214" s="79"/>
      <c r="L1214" s="49">
        <f t="shared" si="80"/>
        <v>0</v>
      </c>
      <c r="M1214" s="50">
        <f t="shared" si="81"/>
        <v>0</v>
      </c>
    </row>
    <row r="1215" spans="1:13" x14ac:dyDescent="0.2">
      <c r="A1215" s="18"/>
      <c r="B1215" s="77"/>
      <c r="C1215" s="77"/>
      <c r="D1215" s="78"/>
      <c r="E1215" s="77"/>
      <c r="F1215" s="77"/>
      <c r="G1215" s="77"/>
      <c r="H1215" s="77"/>
      <c r="I1215" s="77"/>
      <c r="J1215" s="77"/>
      <c r="K1215" s="79"/>
      <c r="L1215" s="49">
        <f t="shared" si="80"/>
        <v>0</v>
      </c>
      <c r="M1215" s="50">
        <f t="shared" si="81"/>
        <v>0</v>
      </c>
    </row>
    <row r="1216" spans="1:13" x14ac:dyDescent="0.2">
      <c r="A1216" s="18"/>
      <c r="B1216" s="77"/>
      <c r="C1216" s="77"/>
      <c r="D1216" s="78"/>
      <c r="E1216" s="77"/>
      <c r="F1216" s="77"/>
      <c r="G1216" s="77"/>
      <c r="H1216" s="77"/>
      <c r="I1216" s="77"/>
      <c r="J1216" s="77"/>
      <c r="K1216" s="79"/>
      <c r="L1216" s="49">
        <f t="shared" si="80"/>
        <v>0</v>
      </c>
      <c r="M1216" s="50">
        <f t="shared" si="81"/>
        <v>0</v>
      </c>
    </row>
    <row r="1217" spans="1:13" x14ac:dyDescent="0.2">
      <c r="A1217" s="18"/>
      <c r="B1217" s="77"/>
      <c r="C1217" s="77"/>
      <c r="D1217" s="78"/>
      <c r="E1217" s="77"/>
      <c r="F1217" s="77"/>
      <c r="G1217" s="77"/>
      <c r="H1217" s="77"/>
      <c r="I1217" s="77"/>
      <c r="J1217" s="77"/>
      <c r="K1217" s="79"/>
      <c r="L1217" s="49">
        <f t="shared" si="80"/>
        <v>0</v>
      </c>
      <c r="M1217" s="50">
        <f t="shared" si="81"/>
        <v>0</v>
      </c>
    </row>
    <row r="1218" spans="1:13" x14ac:dyDescent="0.2">
      <c r="A1218" s="18"/>
      <c r="B1218" s="77"/>
      <c r="C1218" s="77"/>
      <c r="D1218" s="78"/>
      <c r="E1218" s="77"/>
      <c r="F1218" s="77"/>
      <c r="G1218" s="77"/>
      <c r="H1218" s="77"/>
      <c r="I1218" s="77"/>
      <c r="J1218" s="77"/>
      <c r="K1218" s="79"/>
      <c r="L1218" s="49">
        <f t="shared" si="80"/>
        <v>0</v>
      </c>
      <c r="M1218" s="50">
        <f t="shared" si="81"/>
        <v>0</v>
      </c>
    </row>
    <row r="1219" spans="1:13" x14ac:dyDescent="0.2">
      <c r="A1219" s="18"/>
      <c r="B1219" s="77"/>
      <c r="C1219" s="77"/>
      <c r="D1219" s="78"/>
      <c r="E1219" s="77"/>
      <c r="F1219" s="77"/>
      <c r="G1219" s="77"/>
      <c r="H1219" s="77"/>
      <c r="I1219" s="77"/>
      <c r="J1219" s="77"/>
      <c r="K1219" s="79"/>
      <c r="L1219" s="49">
        <f t="shared" si="80"/>
        <v>0</v>
      </c>
      <c r="M1219" s="50">
        <f t="shared" si="81"/>
        <v>0</v>
      </c>
    </row>
    <row r="1220" spans="1:13" x14ac:dyDescent="0.2">
      <c r="A1220" s="18"/>
      <c r="B1220" s="77"/>
      <c r="C1220" s="77"/>
      <c r="D1220" s="78"/>
      <c r="E1220" s="77"/>
      <c r="F1220" s="77"/>
      <c r="G1220" s="77"/>
      <c r="H1220" s="77"/>
      <c r="I1220" s="77"/>
      <c r="J1220" s="77"/>
      <c r="K1220" s="79"/>
      <c r="L1220" s="49">
        <f t="shared" si="80"/>
        <v>0</v>
      </c>
      <c r="M1220" s="50">
        <f t="shared" si="81"/>
        <v>0</v>
      </c>
    </row>
    <row r="1221" spans="1:13" x14ac:dyDescent="0.2">
      <c r="A1221" s="18"/>
      <c r="B1221" s="77"/>
      <c r="C1221" s="77"/>
      <c r="D1221" s="78"/>
      <c r="E1221" s="77"/>
      <c r="F1221" s="77"/>
      <c r="G1221" s="77"/>
      <c r="H1221" s="77"/>
      <c r="I1221" s="77"/>
      <c r="J1221" s="77"/>
      <c r="K1221" s="79"/>
      <c r="L1221" s="49">
        <f t="shared" si="80"/>
        <v>0</v>
      </c>
      <c r="M1221" s="50">
        <f t="shared" si="81"/>
        <v>0</v>
      </c>
    </row>
    <row r="1222" spans="1:13" x14ac:dyDescent="0.2">
      <c r="A1222" s="18"/>
      <c r="B1222" s="77"/>
      <c r="C1222" s="77"/>
      <c r="D1222" s="78"/>
      <c r="E1222" s="77"/>
      <c r="F1222" s="77"/>
      <c r="G1222" s="77"/>
      <c r="H1222" s="77"/>
      <c r="I1222" s="77"/>
      <c r="J1222" s="77"/>
      <c r="K1222" s="79"/>
      <c r="L1222" s="49">
        <f t="shared" si="80"/>
        <v>0</v>
      </c>
      <c r="M1222" s="50">
        <f t="shared" si="81"/>
        <v>0</v>
      </c>
    </row>
    <row r="1223" spans="1:13" x14ac:dyDescent="0.2">
      <c r="A1223" s="18"/>
      <c r="B1223" s="77"/>
      <c r="C1223" s="77"/>
      <c r="D1223" s="78"/>
      <c r="E1223" s="77"/>
      <c r="F1223" s="77"/>
      <c r="G1223" s="77"/>
      <c r="H1223" s="77"/>
      <c r="I1223" s="77"/>
      <c r="J1223" s="77"/>
      <c r="K1223" s="79"/>
      <c r="L1223" s="49">
        <f t="shared" si="80"/>
        <v>0</v>
      </c>
      <c r="M1223" s="50">
        <f t="shared" si="81"/>
        <v>0</v>
      </c>
    </row>
    <row r="1224" spans="1:13" x14ac:dyDescent="0.2">
      <c r="A1224" s="18"/>
      <c r="B1224" s="77"/>
      <c r="C1224" s="77"/>
      <c r="D1224" s="78"/>
      <c r="E1224" s="77"/>
      <c r="F1224" s="77"/>
      <c r="G1224" s="77"/>
      <c r="H1224" s="77"/>
      <c r="I1224" s="77"/>
      <c r="J1224" s="77"/>
      <c r="K1224" s="79"/>
      <c r="L1224" s="49">
        <f t="shared" si="80"/>
        <v>0</v>
      </c>
      <c r="M1224" s="50">
        <f t="shared" si="81"/>
        <v>0</v>
      </c>
    </row>
    <row r="1225" spans="1:13" x14ac:dyDescent="0.2">
      <c r="A1225" s="18"/>
      <c r="B1225" s="77"/>
      <c r="C1225" s="77"/>
      <c r="D1225" s="78"/>
      <c r="E1225" s="77"/>
      <c r="F1225" s="77"/>
      <c r="G1225" s="77"/>
      <c r="H1225" s="77"/>
      <c r="I1225" s="77"/>
      <c r="J1225" s="77"/>
      <c r="K1225" s="79"/>
      <c r="L1225" s="49">
        <f t="shared" si="80"/>
        <v>0</v>
      </c>
      <c r="M1225" s="50">
        <f t="shared" si="81"/>
        <v>0</v>
      </c>
    </row>
    <row r="1226" spans="1:13" x14ac:dyDescent="0.2">
      <c r="A1226" s="18"/>
      <c r="B1226" s="77"/>
      <c r="C1226" s="77"/>
      <c r="D1226" s="78"/>
      <c r="E1226" s="77"/>
      <c r="F1226" s="77"/>
      <c r="G1226" s="77"/>
      <c r="H1226" s="77"/>
      <c r="I1226" s="77"/>
      <c r="J1226" s="77"/>
      <c r="K1226" s="79"/>
      <c r="L1226" s="49">
        <f t="shared" si="80"/>
        <v>0</v>
      </c>
      <c r="M1226" s="50">
        <f t="shared" si="81"/>
        <v>0</v>
      </c>
    </row>
    <row r="1227" spans="1:13" x14ac:dyDescent="0.2">
      <c r="A1227" s="18"/>
      <c r="B1227" s="77"/>
      <c r="C1227" s="77"/>
      <c r="D1227" s="78"/>
      <c r="E1227" s="77"/>
      <c r="F1227" s="77"/>
      <c r="G1227" s="77"/>
      <c r="H1227" s="77"/>
      <c r="I1227" s="77"/>
      <c r="J1227" s="77"/>
      <c r="K1227" s="79"/>
      <c r="L1227" s="49">
        <f t="shared" si="80"/>
        <v>0</v>
      </c>
      <c r="M1227" s="50">
        <f t="shared" si="81"/>
        <v>0</v>
      </c>
    </row>
    <row r="1228" spans="1:13" x14ac:dyDescent="0.2">
      <c r="A1228" s="18"/>
      <c r="B1228" s="77"/>
      <c r="C1228" s="77"/>
      <c r="D1228" s="78"/>
      <c r="E1228" s="77"/>
      <c r="F1228" s="77"/>
      <c r="G1228" s="77"/>
      <c r="H1228" s="77"/>
      <c r="I1228" s="77"/>
      <c r="J1228" s="77"/>
      <c r="K1228" s="79"/>
      <c r="L1228" s="49">
        <f t="shared" si="80"/>
        <v>0</v>
      </c>
      <c r="M1228" s="50">
        <f t="shared" si="81"/>
        <v>0</v>
      </c>
    </row>
    <row r="1229" spans="1:13" x14ac:dyDescent="0.2">
      <c r="A1229" s="18"/>
      <c r="B1229" s="77"/>
      <c r="C1229" s="77"/>
      <c r="D1229" s="78"/>
      <c r="E1229" s="77"/>
      <c r="F1229" s="77"/>
      <c r="G1229" s="77"/>
      <c r="H1229" s="77"/>
      <c r="I1229" s="77"/>
      <c r="J1229" s="77"/>
      <c r="K1229" s="79"/>
      <c r="L1229" s="49">
        <f t="shared" si="80"/>
        <v>0</v>
      </c>
      <c r="M1229" s="50">
        <f t="shared" si="81"/>
        <v>0</v>
      </c>
    </row>
    <row r="1230" spans="1:13" x14ac:dyDescent="0.2">
      <c r="A1230" s="18"/>
      <c r="B1230" s="77"/>
      <c r="C1230" s="77"/>
      <c r="D1230" s="78"/>
      <c r="E1230" s="77"/>
      <c r="F1230" s="77"/>
      <c r="G1230" s="77"/>
      <c r="H1230" s="77"/>
      <c r="I1230" s="77"/>
      <c r="J1230" s="77"/>
      <c r="K1230" s="79"/>
      <c r="L1230" s="49">
        <f t="shared" si="80"/>
        <v>0</v>
      </c>
      <c r="M1230" s="50">
        <f t="shared" si="81"/>
        <v>0</v>
      </c>
    </row>
    <row r="1231" spans="1:13" x14ac:dyDescent="0.2">
      <c r="A1231" s="18"/>
      <c r="B1231" s="77"/>
      <c r="C1231" s="77"/>
      <c r="D1231" s="78"/>
      <c r="E1231" s="77"/>
      <c r="F1231" s="77"/>
      <c r="G1231" s="77"/>
      <c r="H1231" s="77"/>
      <c r="I1231" s="77"/>
      <c r="J1231" s="77"/>
      <c r="K1231" s="79"/>
      <c r="L1231" s="49">
        <f t="shared" si="80"/>
        <v>0</v>
      </c>
      <c r="M1231" s="50">
        <f t="shared" si="81"/>
        <v>0</v>
      </c>
    </row>
    <row r="1232" spans="1:13" x14ac:dyDescent="0.2">
      <c r="A1232" s="18"/>
      <c r="B1232" s="77"/>
      <c r="C1232" s="77"/>
      <c r="D1232" s="78"/>
      <c r="E1232" s="77"/>
      <c r="F1232" s="77"/>
      <c r="G1232" s="77"/>
      <c r="H1232" s="77"/>
      <c r="I1232" s="77"/>
      <c r="J1232" s="77"/>
      <c r="K1232" s="79"/>
      <c r="L1232" s="49">
        <f t="shared" si="80"/>
        <v>0</v>
      </c>
      <c r="M1232" s="50">
        <f t="shared" si="81"/>
        <v>0</v>
      </c>
    </row>
    <row r="1233" spans="1:13" x14ac:dyDescent="0.2">
      <c r="A1233" s="18"/>
      <c r="B1233" s="77"/>
      <c r="C1233" s="77"/>
      <c r="D1233" s="78"/>
      <c r="E1233" s="77"/>
      <c r="F1233" s="77"/>
      <c r="G1233" s="77"/>
      <c r="H1233" s="77"/>
      <c r="I1233" s="77"/>
      <c r="J1233" s="77"/>
      <c r="K1233" s="79"/>
      <c r="L1233" s="49">
        <f t="shared" si="80"/>
        <v>0</v>
      </c>
      <c r="M1233" s="50">
        <f t="shared" si="81"/>
        <v>0</v>
      </c>
    </row>
    <row r="1234" spans="1:13" x14ac:dyDescent="0.2">
      <c r="A1234" s="18"/>
      <c r="B1234" s="77"/>
      <c r="C1234" s="77"/>
      <c r="D1234" s="78"/>
      <c r="E1234" s="77"/>
      <c r="F1234" s="77"/>
      <c r="G1234" s="77"/>
      <c r="H1234" s="77"/>
      <c r="I1234" s="77"/>
      <c r="J1234" s="77"/>
      <c r="K1234" s="79"/>
      <c r="L1234" s="49">
        <f t="shared" si="80"/>
        <v>0</v>
      </c>
      <c r="M1234" s="50">
        <f t="shared" si="81"/>
        <v>0</v>
      </c>
    </row>
    <row r="1235" spans="1:13" x14ac:dyDescent="0.2">
      <c r="A1235" s="18"/>
      <c r="B1235" s="77"/>
      <c r="C1235" s="77"/>
      <c r="D1235" s="78"/>
      <c r="E1235" s="77"/>
      <c r="F1235" s="77"/>
      <c r="G1235" s="77"/>
      <c r="H1235" s="77"/>
      <c r="I1235" s="77"/>
      <c r="J1235" s="77"/>
      <c r="K1235" s="79"/>
      <c r="L1235" s="49">
        <f t="shared" si="80"/>
        <v>0</v>
      </c>
      <c r="M1235" s="50">
        <f t="shared" si="81"/>
        <v>0</v>
      </c>
    </row>
    <row r="1236" spans="1:13" x14ac:dyDescent="0.2">
      <c r="A1236" s="18"/>
      <c r="B1236" s="77"/>
      <c r="C1236" s="77"/>
      <c r="D1236" s="78"/>
      <c r="E1236" s="77"/>
      <c r="F1236" s="77"/>
      <c r="G1236" s="77"/>
      <c r="H1236" s="77"/>
      <c r="I1236" s="77"/>
      <c r="J1236" s="77"/>
      <c r="K1236" s="79"/>
      <c r="L1236" s="49">
        <f t="shared" si="80"/>
        <v>0</v>
      </c>
      <c r="M1236" s="50">
        <f t="shared" si="81"/>
        <v>0</v>
      </c>
    </row>
    <row r="1237" spans="1:13" x14ac:dyDescent="0.2">
      <c r="A1237" s="18"/>
      <c r="B1237" s="77"/>
      <c r="C1237" s="77"/>
      <c r="D1237" s="78"/>
      <c r="E1237" s="77"/>
      <c r="F1237" s="77"/>
      <c r="G1237" s="77"/>
      <c r="H1237" s="77"/>
      <c r="I1237" s="77"/>
      <c r="J1237" s="77"/>
      <c r="K1237" s="79"/>
      <c r="L1237" s="49">
        <f t="shared" ref="L1237:L1245" si="82">+K1237*18%</f>
        <v>0</v>
      </c>
      <c r="M1237" s="50">
        <f t="shared" ref="M1237:M1245" si="83">+K1237+L1237</f>
        <v>0</v>
      </c>
    </row>
    <row r="1238" spans="1:13" x14ac:dyDescent="0.2">
      <c r="A1238" s="18"/>
      <c r="B1238" s="77"/>
      <c r="C1238" s="77"/>
      <c r="D1238" s="78"/>
      <c r="E1238" s="77"/>
      <c r="F1238" s="77"/>
      <c r="G1238" s="77"/>
      <c r="H1238" s="77"/>
      <c r="I1238" s="77"/>
      <c r="J1238" s="77"/>
      <c r="K1238" s="79"/>
      <c r="L1238" s="49">
        <f t="shared" si="82"/>
        <v>0</v>
      </c>
      <c r="M1238" s="50">
        <f t="shared" si="83"/>
        <v>0</v>
      </c>
    </row>
    <row r="1239" spans="1:13" x14ac:dyDescent="0.2">
      <c r="A1239" s="18"/>
      <c r="B1239" s="77"/>
      <c r="C1239" s="77"/>
      <c r="D1239" s="78"/>
      <c r="E1239" s="77"/>
      <c r="F1239" s="77"/>
      <c r="G1239" s="77"/>
      <c r="H1239" s="77"/>
      <c r="I1239" s="77"/>
      <c r="J1239" s="77"/>
      <c r="K1239" s="79"/>
      <c r="L1239" s="49">
        <f t="shared" si="82"/>
        <v>0</v>
      </c>
      <c r="M1239" s="50">
        <f t="shared" si="83"/>
        <v>0</v>
      </c>
    </row>
    <row r="1240" spans="1:13" x14ac:dyDescent="0.2">
      <c r="A1240" s="18"/>
      <c r="B1240" s="77"/>
      <c r="C1240" s="77"/>
      <c r="D1240" s="78"/>
      <c r="E1240" s="77"/>
      <c r="F1240" s="77"/>
      <c r="G1240" s="77"/>
      <c r="H1240" s="77"/>
      <c r="I1240" s="77"/>
      <c r="J1240" s="77"/>
      <c r="K1240" s="79"/>
      <c r="L1240" s="49">
        <f t="shared" si="82"/>
        <v>0</v>
      </c>
      <c r="M1240" s="50">
        <f t="shared" si="83"/>
        <v>0</v>
      </c>
    </row>
    <row r="1241" spans="1:13" x14ac:dyDescent="0.2">
      <c r="A1241" s="18"/>
      <c r="B1241" s="77"/>
      <c r="C1241" s="77"/>
      <c r="D1241" s="78"/>
      <c r="E1241" s="77"/>
      <c r="F1241" s="77"/>
      <c r="G1241" s="77"/>
      <c r="H1241" s="77"/>
      <c r="I1241" s="77"/>
      <c r="J1241" s="77"/>
      <c r="K1241" s="79"/>
      <c r="L1241" s="49">
        <f t="shared" si="82"/>
        <v>0</v>
      </c>
      <c r="M1241" s="50">
        <f t="shared" si="83"/>
        <v>0</v>
      </c>
    </row>
    <row r="1242" spans="1:13" x14ac:dyDescent="0.2">
      <c r="A1242" s="18"/>
      <c r="B1242" s="77"/>
      <c r="C1242" s="77"/>
      <c r="D1242" s="78"/>
      <c r="E1242" s="77"/>
      <c r="F1242" s="77"/>
      <c r="G1242" s="77"/>
      <c r="H1242" s="77"/>
      <c r="I1242" s="77"/>
      <c r="J1242" s="77"/>
      <c r="K1242" s="79"/>
      <c r="L1242" s="49">
        <f t="shared" si="82"/>
        <v>0</v>
      </c>
      <c r="M1242" s="50">
        <f t="shared" si="83"/>
        <v>0</v>
      </c>
    </row>
    <row r="1243" spans="1:13" x14ac:dyDescent="0.2">
      <c r="A1243" s="18"/>
      <c r="B1243" s="77"/>
      <c r="C1243" s="77"/>
      <c r="D1243" s="78"/>
      <c r="E1243" s="77"/>
      <c r="F1243" s="77"/>
      <c r="G1243" s="77"/>
      <c r="H1243" s="77"/>
      <c r="I1243" s="77"/>
      <c r="J1243" s="77"/>
      <c r="K1243" s="79"/>
      <c r="L1243" s="49">
        <f t="shared" si="82"/>
        <v>0</v>
      </c>
      <c r="M1243" s="50">
        <f t="shared" si="83"/>
        <v>0</v>
      </c>
    </row>
    <row r="1244" spans="1:13" x14ac:dyDescent="0.2">
      <c r="A1244" s="18"/>
      <c r="B1244" s="77"/>
      <c r="C1244" s="77"/>
      <c r="D1244" s="78"/>
      <c r="E1244" s="77"/>
      <c r="F1244" s="77"/>
      <c r="G1244" s="77"/>
      <c r="H1244" s="77"/>
      <c r="I1244" s="77"/>
      <c r="J1244" s="77"/>
      <c r="K1244" s="79"/>
      <c r="L1244" s="49">
        <f t="shared" si="82"/>
        <v>0</v>
      </c>
      <c r="M1244" s="50">
        <f t="shared" si="83"/>
        <v>0</v>
      </c>
    </row>
    <row r="1245" spans="1:13" x14ac:dyDescent="0.2">
      <c r="A1245" s="18"/>
      <c r="B1245" s="77"/>
      <c r="C1245" s="77"/>
      <c r="D1245" s="78"/>
      <c r="E1245" s="77"/>
      <c r="F1245" s="77"/>
      <c r="G1245" s="77"/>
      <c r="H1245" s="77"/>
      <c r="I1245" s="77"/>
      <c r="J1245" s="77"/>
      <c r="K1245" s="79"/>
      <c r="L1245" s="49">
        <f t="shared" si="82"/>
        <v>0</v>
      </c>
      <c r="M1245" s="50">
        <f t="shared" si="83"/>
        <v>0</v>
      </c>
    </row>
    <row r="1246" spans="1:13" x14ac:dyDescent="0.2">
      <c r="A1246" s="18"/>
      <c r="B1246" s="77"/>
      <c r="C1246" s="77"/>
      <c r="D1246" s="78"/>
      <c r="E1246" s="77"/>
      <c r="F1246" s="77"/>
      <c r="G1246" s="77"/>
      <c r="H1246" s="77"/>
      <c r="I1246" s="77"/>
      <c r="J1246" s="77"/>
      <c r="K1246" s="79"/>
      <c r="L1246" s="49">
        <f t="shared" ref="L1246:L1309" si="84">+K1246*18%</f>
        <v>0</v>
      </c>
      <c r="M1246" s="50">
        <f t="shared" ref="M1246:M1309" si="85">+K1246+L1246</f>
        <v>0</v>
      </c>
    </row>
    <row r="1247" spans="1:13" x14ac:dyDescent="0.2">
      <c r="A1247" s="18"/>
      <c r="B1247" s="77"/>
      <c r="C1247" s="77"/>
      <c r="D1247" s="78"/>
      <c r="E1247" s="77"/>
      <c r="F1247" s="77"/>
      <c r="G1247" s="77"/>
      <c r="H1247" s="77"/>
      <c r="I1247" s="77"/>
      <c r="J1247" s="77"/>
      <c r="K1247" s="79"/>
      <c r="L1247" s="49">
        <f t="shared" si="84"/>
        <v>0</v>
      </c>
      <c r="M1247" s="50">
        <f t="shared" si="85"/>
        <v>0</v>
      </c>
    </row>
    <row r="1248" spans="1:13" x14ac:dyDescent="0.2">
      <c r="A1248" s="18"/>
      <c r="B1248" s="77"/>
      <c r="C1248" s="77"/>
      <c r="D1248" s="78"/>
      <c r="E1248" s="77"/>
      <c r="F1248" s="77"/>
      <c r="G1248" s="77"/>
      <c r="H1248" s="77"/>
      <c r="I1248" s="77"/>
      <c r="J1248" s="77"/>
      <c r="K1248" s="79"/>
      <c r="L1248" s="49">
        <f t="shared" si="84"/>
        <v>0</v>
      </c>
      <c r="M1248" s="50">
        <f t="shared" si="85"/>
        <v>0</v>
      </c>
    </row>
    <row r="1249" spans="1:13" x14ac:dyDescent="0.2">
      <c r="A1249" s="18"/>
      <c r="B1249" s="77"/>
      <c r="C1249" s="77"/>
      <c r="D1249" s="78"/>
      <c r="E1249" s="77"/>
      <c r="F1249" s="77"/>
      <c r="G1249" s="77"/>
      <c r="H1249" s="77"/>
      <c r="I1249" s="77"/>
      <c r="J1249" s="77"/>
      <c r="K1249" s="79"/>
      <c r="L1249" s="49">
        <f t="shared" si="84"/>
        <v>0</v>
      </c>
      <c r="M1249" s="50">
        <f t="shared" si="85"/>
        <v>0</v>
      </c>
    </row>
    <row r="1250" spans="1:13" x14ac:dyDescent="0.2">
      <c r="A1250" s="18"/>
      <c r="B1250" s="77"/>
      <c r="C1250" s="77"/>
      <c r="D1250" s="78"/>
      <c r="E1250" s="77"/>
      <c r="F1250" s="77"/>
      <c r="G1250" s="77"/>
      <c r="H1250" s="77"/>
      <c r="I1250" s="77"/>
      <c r="J1250" s="77"/>
      <c r="K1250" s="79"/>
      <c r="L1250" s="49">
        <f t="shared" si="84"/>
        <v>0</v>
      </c>
      <c r="M1250" s="50">
        <f t="shared" si="85"/>
        <v>0</v>
      </c>
    </row>
    <row r="1251" spans="1:13" x14ac:dyDescent="0.2">
      <c r="A1251" s="18"/>
      <c r="B1251" s="77"/>
      <c r="C1251" s="77"/>
      <c r="D1251" s="78"/>
      <c r="E1251" s="77"/>
      <c r="F1251" s="77"/>
      <c r="G1251" s="77"/>
      <c r="H1251" s="77"/>
      <c r="I1251" s="77"/>
      <c r="J1251" s="77"/>
      <c r="K1251" s="79"/>
      <c r="L1251" s="49">
        <f t="shared" si="84"/>
        <v>0</v>
      </c>
      <c r="M1251" s="50">
        <f t="shared" si="85"/>
        <v>0</v>
      </c>
    </row>
    <row r="1252" spans="1:13" x14ac:dyDescent="0.2">
      <c r="A1252" s="18"/>
      <c r="B1252" s="77"/>
      <c r="C1252" s="77"/>
      <c r="D1252" s="78"/>
      <c r="E1252" s="77"/>
      <c r="F1252" s="77"/>
      <c r="G1252" s="77"/>
      <c r="H1252" s="77"/>
      <c r="I1252" s="77"/>
      <c r="J1252" s="77"/>
      <c r="K1252" s="79"/>
      <c r="L1252" s="49">
        <f t="shared" si="84"/>
        <v>0</v>
      </c>
      <c r="M1252" s="50">
        <f t="shared" si="85"/>
        <v>0</v>
      </c>
    </row>
    <row r="1253" spans="1:13" x14ac:dyDescent="0.2">
      <c r="A1253" s="18"/>
      <c r="B1253" s="77"/>
      <c r="C1253" s="77"/>
      <c r="D1253" s="78"/>
      <c r="E1253" s="77"/>
      <c r="F1253" s="77"/>
      <c r="G1253" s="77"/>
      <c r="H1253" s="77"/>
      <c r="I1253" s="77"/>
      <c r="J1253" s="77"/>
      <c r="K1253" s="79"/>
      <c r="L1253" s="49">
        <f t="shared" si="84"/>
        <v>0</v>
      </c>
      <c r="M1253" s="50">
        <f t="shared" si="85"/>
        <v>0</v>
      </c>
    </row>
    <row r="1254" spans="1:13" x14ac:dyDescent="0.2">
      <c r="A1254" s="18"/>
      <c r="B1254" s="77"/>
      <c r="C1254" s="77"/>
      <c r="D1254" s="78"/>
      <c r="E1254" s="77"/>
      <c r="F1254" s="77"/>
      <c r="G1254" s="77"/>
      <c r="H1254" s="77"/>
      <c r="I1254" s="77"/>
      <c r="J1254" s="77"/>
      <c r="K1254" s="79"/>
      <c r="L1254" s="49">
        <f t="shared" si="84"/>
        <v>0</v>
      </c>
      <c r="M1254" s="50">
        <f t="shared" si="85"/>
        <v>0</v>
      </c>
    </row>
    <row r="1255" spans="1:13" x14ac:dyDescent="0.2">
      <c r="A1255" s="18"/>
      <c r="B1255" s="77"/>
      <c r="C1255" s="77"/>
      <c r="D1255" s="78"/>
      <c r="E1255" s="77"/>
      <c r="F1255" s="77"/>
      <c r="G1255" s="77"/>
      <c r="H1255" s="77"/>
      <c r="I1255" s="77"/>
      <c r="J1255" s="77"/>
      <c r="K1255" s="79"/>
      <c r="L1255" s="49">
        <f t="shared" si="84"/>
        <v>0</v>
      </c>
      <c r="M1255" s="50">
        <f t="shared" si="85"/>
        <v>0</v>
      </c>
    </row>
    <row r="1256" spans="1:13" x14ac:dyDescent="0.2">
      <c r="A1256" s="18"/>
      <c r="B1256" s="77"/>
      <c r="C1256" s="77"/>
      <c r="D1256" s="78"/>
      <c r="E1256" s="77"/>
      <c r="F1256" s="77"/>
      <c r="G1256" s="77"/>
      <c r="H1256" s="77"/>
      <c r="I1256" s="77"/>
      <c r="J1256" s="77"/>
      <c r="K1256" s="79"/>
      <c r="L1256" s="49">
        <f t="shared" si="84"/>
        <v>0</v>
      </c>
      <c r="M1256" s="50">
        <f t="shared" si="85"/>
        <v>0</v>
      </c>
    </row>
    <row r="1257" spans="1:13" x14ac:dyDescent="0.2">
      <c r="A1257" s="18"/>
      <c r="B1257" s="77"/>
      <c r="C1257" s="77"/>
      <c r="D1257" s="78"/>
      <c r="E1257" s="77"/>
      <c r="F1257" s="77"/>
      <c r="G1257" s="77"/>
      <c r="H1257" s="77"/>
      <c r="I1257" s="77"/>
      <c r="J1257" s="77"/>
      <c r="K1257" s="79"/>
      <c r="L1257" s="49">
        <f t="shared" si="84"/>
        <v>0</v>
      </c>
      <c r="M1257" s="50">
        <f t="shared" si="85"/>
        <v>0</v>
      </c>
    </row>
    <row r="1258" spans="1:13" x14ac:dyDescent="0.2">
      <c r="A1258" s="18"/>
      <c r="B1258" s="77"/>
      <c r="C1258" s="77"/>
      <c r="D1258" s="78"/>
      <c r="E1258" s="77"/>
      <c r="F1258" s="77"/>
      <c r="G1258" s="77"/>
      <c r="H1258" s="77"/>
      <c r="I1258" s="77"/>
      <c r="J1258" s="77"/>
      <c r="K1258" s="79"/>
      <c r="L1258" s="49">
        <f t="shared" si="84"/>
        <v>0</v>
      </c>
      <c r="M1258" s="50">
        <f t="shared" si="85"/>
        <v>0</v>
      </c>
    </row>
    <row r="1259" spans="1:13" x14ac:dyDescent="0.2">
      <c r="A1259" s="18"/>
      <c r="B1259" s="77"/>
      <c r="C1259" s="77"/>
      <c r="D1259" s="78"/>
      <c r="E1259" s="77"/>
      <c r="F1259" s="77"/>
      <c r="G1259" s="77"/>
      <c r="H1259" s="77"/>
      <c r="I1259" s="77"/>
      <c r="J1259" s="77"/>
      <c r="K1259" s="79"/>
      <c r="L1259" s="49">
        <f t="shared" si="84"/>
        <v>0</v>
      </c>
      <c r="M1259" s="50">
        <f t="shared" si="85"/>
        <v>0</v>
      </c>
    </row>
    <row r="1260" spans="1:13" x14ac:dyDescent="0.2">
      <c r="A1260" s="18"/>
      <c r="B1260" s="77"/>
      <c r="C1260" s="77"/>
      <c r="D1260" s="78"/>
      <c r="E1260" s="77"/>
      <c r="F1260" s="77"/>
      <c r="G1260" s="77"/>
      <c r="H1260" s="77"/>
      <c r="I1260" s="77"/>
      <c r="J1260" s="77"/>
      <c r="K1260" s="79"/>
      <c r="L1260" s="49">
        <f t="shared" si="84"/>
        <v>0</v>
      </c>
      <c r="M1260" s="50">
        <f t="shared" si="85"/>
        <v>0</v>
      </c>
    </row>
    <row r="1261" spans="1:13" x14ac:dyDescent="0.2">
      <c r="A1261" s="18"/>
      <c r="B1261" s="77"/>
      <c r="C1261" s="77"/>
      <c r="D1261" s="78"/>
      <c r="E1261" s="77"/>
      <c r="F1261" s="77"/>
      <c r="G1261" s="77"/>
      <c r="H1261" s="77"/>
      <c r="I1261" s="77"/>
      <c r="J1261" s="77"/>
      <c r="K1261" s="79"/>
      <c r="L1261" s="49">
        <f t="shared" si="84"/>
        <v>0</v>
      </c>
      <c r="M1261" s="50">
        <f t="shared" si="85"/>
        <v>0</v>
      </c>
    </row>
    <row r="1262" spans="1:13" x14ac:dyDescent="0.2">
      <c r="A1262" s="18"/>
      <c r="B1262" s="77"/>
      <c r="C1262" s="77"/>
      <c r="D1262" s="78"/>
      <c r="E1262" s="77"/>
      <c r="F1262" s="77"/>
      <c r="G1262" s="77"/>
      <c r="H1262" s="77"/>
      <c r="I1262" s="77"/>
      <c r="J1262" s="77"/>
      <c r="K1262" s="79"/>
      <c r="L1262" s="49">
        <f t="shared" si="84"/>
        <v>0</v>
      </c>
      <c r="M1262" s="50">
        <f t="shared" si="85"/>
        <v>0</v>
      </c>
    </row>
    <row r="1263" spans="1:13" x14ac:dyDescent="0.2">
      <c r="A1263" s="18"/>
      <c r="B1263" s="77"/>
      <c r="C1263" s="77"/>
      <c r="D1263" s="78"/>
      <c r="E1263" s="77"/>
      <c r="F1263" s="77"/>
      <c r="G1263" s="77"/>
      <c r="H1263" s="77"/>
      <c r="I1263" s="77"/>
      <c r="J1263" s="77"/>
      <c r="K1263" s="79"/>
      <c r="L1263" s="49">
        <f t="shared" si="84"/>
        <v>0</v>
      </c>
      <c r="M1263" s="50">
        <f t="shared" si="85"/>
        <v>0</v>
      </c>
    </row>
    <row r="1264" spans="1:13" x14ac:dyDescent="0.2">
      <c r="A1264" s="18"/>
      <c r="B1264" s="77"/>
      <c r="C1264" s="77"/>
      <c r="D1264" s="78"/>
      <c r="E1264" s="77"/>
      <c r="F1264" s="77"/>
      <c r="G1264" s="77"/>
      <c r="H1264" s="77"/>
      <c r="I1264" s="77"/>
      <c r="J1264" s="77"/>
      <c r="K1264" s="79"/>
      <c r="L1264" s="49">
        <f t="shared" si="84"/>
        <v>0</v>
      </c>
      <c r="M1264" s="50">
        <f t="shared" si="85"/>
        <v>0</v>
      </c>
    </row>
    <row r="1265" spans="1:13" x14ac:dyDescent="0.2">
      <c r="A1265" s="18"/>
      <c r="B1265" s="77"/>
      <c r="C1265" s="77"/>
      <c r="D1265" s="78"/>
      <c r="E1265" s="77"/>
      <c r="F1265" s="77"/>
      <c r="G1265" s="77"/>
      <c r="H1265" s="77"/>
      <c r="I1265" s="77"/>
      <c r="J1265" s="77"/>
      <c r="K1265" s="79"/>
      <c r="L1265" s="49">
        <f t="shared" si="84"/>
        <v>0</v>
      </c>
      <c r="M1265" s="50">
        <f t="shared" si="85"/>
        <v>0</v>
      </c>
    </row>
    <row r="1266" spans="1:13" x14ac:dyDescent="0.2">
      <c r="A1266" s="18"/>
      <c r="B1266" s="77"/>
      <c r="C1266" s="77"/>
      <c r="D1266" s="78"/>
      <c r="E1266" s="77"/>
      <c r="F1266" s="77"/>
      <c r="G1266" s="77"/>
      <c r="H1266" s="77"/>
      <c r="I1266" s="77"/>
      <c r="J1266" s="77"/>
      <c r="K1266" s="79"/>
      <c r="L1266" s="49">
        <f t="shared" si="84"/>
        <v>0</v>
      </c>
      <c r="M1266" s="50">
        <f t="shared" si="85"/>
        <v>0</v>
      </c>
    </row>
    <row r="1267" spans="1:13" x14ac:dyDescent="0.2">
      <c r="A1267" s="18"/>
      <c r="B1267" s="77"/>
      <c r="C1267" s="77"/>
      <c r="D1267" s="78"/>
      <c r="E1267" s="77"/>
      <c r="F1267" s="77"/>
      <c r="G1267" s="77"/>
      <c r="H1267" s="77"/>
      <c r="I1267" s="77"/>
      <c r="J1267" s="77"/>
      <c r="K1267" s="79"/>
      <c r="L1267" s="49">
        <f t="shared" si="84"/>
        <v>0</v>
      </c>
      <c r="M1267" s="50">
        <f t="shared" si="85"/>
        <v>0</v>
      </c>
    </row>
    <row r="1268" spans="1:13" x14ac:dyDescent="0.2">
      <c r="A1268" s="18"/>
      <c r="B1268" s="77"/>
      <c r="C1268" s="77"/>
      <c r="D1268" s="78"/>
      <c r="E1268" s="77"/>
      <c r="F1268" s="77"/>
      <c r="G1268" s="77"/>
      <c r="H1268" s="77"/>
      <c r="I1268" s="77"/>
      <c r="J1268" s="77"/>
      <c r="K1268" s="79"/>
      <c r="L1268" s="49">
        <f t="shared" si="84"/>
        <v>0</v>
      </c>
      <c r="M1268" s="50">
        <f t="shared" si="85"/>
        <v>0</v>
      </c>
    </row>
    <row r="1269" spans="1:13" x14ac:dyDescent="0.2">
      <c r="A1269" s="18"/>
      <c r="B1269" s="77"/>
      <c r="C1269" s="77"/>
      <c r="D1269" s="78"/>
      <c r="E1269" s="77"/>
      <c r="F1269" s="77"/>
      <c r="G1269" s="77"/>
      <c r="H1269" s="77"/>
      <c r="I1269" s="77"/>
      <c r="J1269" s="77"/>
      <c r="K1269" s="79"/>
      <c r="L1269" s="49">
        <f t="shared" si="84"/>
        <v>0</v>
      </c>
      <c r="M1269" s="50">
        <f t="shared" si="85"/>
        <v>0</v>
      </c>
    </row>
    <row r="1270" spans="1:13" x14ac:dyDescent="0.2">
      <c r="A1270" s="18"/>
      <c r="B1270" s="77"/>
      <c r="C1270" s="77"/>
      <c r="D1270" s="78"/>
      <c r="E1270" s="77"/>
      <c r="F1270" s="77"/>
      <c r="G1270" s="77"/>
      <c r="H1270" s="77"/>
      <c r="I1270" s="77"/>
      <c r="J1270" s="77"/>
      <c r="K1270" s="79"/>
      <c r="L1270" s="49">
        <f t="shared" si="84"/>
        <v>0</v>
      </c>
      <c r="M1270" s="50">
        <f t="shared" si="85"/>
        <v>0</v>
      </c>
    </row>
    <row r="1271" spans="1:13" x14ac:dyDescent="0.2">
      <c r="A1271" s="18"/>
      <c r="B1271" s="77"/>
      <c r="C1271" s="77"/>
      <c r="D1271" s="78"/>
      <c r="E1271" s="77"/>
      <c r="F1271" s="77"/>
      <c r="G1271" s="77"/>
      <c r="H1271" s="77"/>
      <c r="I1271" s="77"/>
      <c r="J1271" s="77"/>
      <c r="K1271" s="79"/>
      <c r="L1271" s="49">
        <f t="shared" si="84"/>
        <v>0</v>
      </c>
      <c r="M1271" s="50">
        <f t="shared" si="85"/>
        <v>0</v>
      </c>
    </row>
    <row r="1272" spans="1:13" x14ac:dyDescent="0.2">
      <c r="A1272" s="18"/>
      <c r="B1272" s="77"/>
      <c r="C1272" s="77"/>
      <c r="D1272" s="78"/>
      <c r="E1272" s="77"/>
      <c r="F1272" s="77"/>
      <c r="G1272" s="77"/>
      <c r="H1272" s="77"/>
      <c r="I1272" s="77"/>
      <c r="J1272" s="77"/>
      <c r="K1272" s="79"/>
      <c r="L1272" s="49">
        <f t="shared" si="84"/>
        <v>0</v>
      </c>
      <c r="M1272" s="50">
        <f t="shared" si="85"/>
        <v>0</v>
      </c>
    </row>
    <row r="1273" spans="1:13" x14ac:dyDescent="0.2">
      <c r="A1273" s="18"/>
      <c r="B1273" s="77"/>
      <c r="C1273" s="77"/>
      <c r="D1273" s="78"/>
      <c r="E1273" s="77"/>
      <c r="F1273" s="77"/>
      <c r="G1273" s="77"/>
      <c r="H1273" s="77"/>
      <c r="I1273" s="77"/>
      <c r="J1273" s="77"/>
      <c r="K1273" s="79"/>
      <c r="L1273" s="49">
        <f t="shared" si="84"/>
        <v>0</v>
      </c>
      <c r="M1273" s="50">
        <f t="shared" si="85"/>
        <v>0</v>
      </c>
    </row>
    <row r="1274" spans="1:13" x14ac:dyDescent="0.2">
      <c r="A1274" s="18"/>
      <c r="B1274" s="77"/>
      <c r="C1274" s="77"/>
      <c r="D1274" s="78"/>
      <c r="E1274" s="77"/>
      <c r="F1274" s="77"/>
      <c r="G1274" s="77"/>
      <c r="H1274" s="77"/>
      <c r="I1274" s="77"/>
      <c r="J1274" s="77"/>
      <c r="K1274" s="79"/>
      <c r="L1274" s="49">
        <f t="shared" si="84"/>
        <v>0</v>
      </c>
      <c r="M1274" s="50">
        <f t="shared" si="85"/>
        <v>0</v>
      </c>
    </row>
    <row r="1275" spans="1:13" x14ac:dyDescent="0.2">
      <c r="A1275" s="18"/>
      <c r="B1275" s="77"/>
      <c r="C1275" s="77"/>
      <c r="D1275" s="78"/>
      <c r="E1275" s="77"/>
      <c r="F1275" s="77"/>
      <c r="G1275" s="77"/>
      <c r="H1275" s="77"/>
      <c r="I1275" s="77"/>
      <c r="J1275" s="77"/>
      <c r="K1275" s="79"/>
      <c r="L1275" s="49">
        <f t="shared" si="84"/>
        <v>0</v>
      </c>
      <c r="M1275" s="50">
        <f t="shared" si="85"/>
        <v>0</v>
      </c>
    </row>
    <row r="1276" spans="1:13" x14ac:dyDescent="0.2">
      <c r="A1276" s="18"/>
      <c r="B1276" s="77"/>
      <c r="C1276" s="77"/>
      <c r="D1276" s="78"/>
      <c r="E1276" s="77"/>
      <c r="F1276" s="77"/>
      <c r="G1276" s="77"/>
      <c r="H1276" s="77"/>
      <c r="I1276" s="77"/>
      <c r="J1276" s="77"/>
      <c r="K1276" s="79"/>
      <c r="L1276" s="49">
        <f t="shared" si="84"/>
        <v>0</v>
      </c>
      <c r="M1276" s="50">
        <f t="shared" si="85"/>
        <v>0</v>
      </c>
    </row>
    <row r="1277" spans="1:13" x14ac:dyDescent="0.2">
      <c r="A1277" s="18"/>
      <c r="B1277" s="77"/>
      <c r="C1277" s="77"/>
      <c r="D1277" s="78"/>
      <c r="E1277" s="77"/>
      <c r="F1277" s="77"/>
      <c r="G1277" s="77"/>
      <c r="H1277" s="77"/>
      <c r="I1277" s="77"/>
      <c r="J1277" s="77"/>
      <c r="K1277" s="79"/>
      <c r="L1277" s="49">
        <f t="shared" si="84"/>
        <v>0</v>
      </c>
      <c r="M1277" s="50">
        <f t="shared" si="85"/>
        <v>0</v>
      </c>
    </row>
    <row r="1278" spans="1:13" x14ac:dyDescent="0.2">
      <c r="A1278" s="18"/>
      <c r="B1278" s="77"/>
      <c r="C1278" s="77"/>
      <c r="D1278" s="78"/>
      <c r="E1278" s="77"/>
      <c r="F1278" s="77"/>
      <c r="G1278" s="77"/>
      <c r="H1278" s="77"/>
      <c r="I1278" s="77"/>
      <c r="J1278" s="77"/>
      <c r="K1278" s="79"/>
      <c r="L1278" s="49">
        <f t="shared" si="84"/>
        <v>0</v>
      </c>
      <c r="M1278" s="50">
        <f t="shared" si="85"/>
        <v>0</v>
      </c>
    </row>
    <row r="1279" spans="1:13" x14ac:dyDescent="0.2">
      <c r="A1279" s="18"/>
      <c r="B1279" s="77"/>
      <c r="C1279" s="77"/>
      <c r="D1279" s="78"/>
      <c r="E1279" s="77"/>
      <c r="F1279" s="77"/>
      <c r="G1279" s="77"/>
      <c r="H1279" s="77"/>
      <c r="I1279" s="77"/>
      <c r="J1279" s="77"/>
      <c r="K1279" s="79"/>
      <c r="L1279" s="49">
        <f t="shared" si="84"/>
        <v>0</v>
      </c>
      <c r="M1279" s="50">
        <f t="shared" si="85"/>
        <v>0</v>
      </c>
    </row>
    <row r="1280" spans="1:13" x14ac:dyDescent="0.2">
      <c r="A1280" s="18"/>
      <c r="B1280" s="77"/>
      <c r="C1280" s="77"/>
      <c r="D1280" s="78"/>
      <c r="E1280" s="77"/>
      <c r="F1280" s="77"/>
      <c r="G1280" s="77"/>
      <c r="H1280" s="77"/>
      <c r="I1280" s="77"/>
      <c r="J1280" s="77"/>
      <c r="K1280" s="79"/>
      <c r="L1280" s="49">
        <f t="shared" si="84"/>
        <v>0</v>
      </c>
      <c r="M1280" s="50">
        <f t="shared" si="85"/>
        <v>0</v>
      </c>
    </row>
    <row r="1281" spans="1:13" x14ac:dyDescent="0.2">
      <c r="A1281" s="18"/>
      <c r="B1281" s="77"/>
      <c r="C1281" s="77"/>
      <c r="D1281" s="78"/>
      <c r="E1281" s="77"/>
      <c r="F1281" s="77"/>
      <c r="G1281" s="77"/>
      <c r="H1281" s="77"/>
      <c r="I1281" s="77"/>
      <c r="J1281" s="77"/>
      <c r="K1281" s="79"/>
      <c r="L1281" s="49">
        <f t="shared" si="84"/>
        <v>0</v>
      </c>
      <c r="M1281" s="50">
        <f t="shared" si="85"/>
        <v>0</v>
      </c>
    </row>
    <row r="1282" spans="1:13" x14ac:dyDescent="0.2">
      <c r="A1282" s="18"/>
      <c r="B1282" s="77"/>
      <c r="C1282" s="77"/>
      <c r="D1282" s="78"/>
      <c r="E1282" s="77"/>
      <c r="F1282" s="77"/>
      <c r="G1282" s="77"/>
      <c r="H1282" s="77"/>
      <c r="I1282" s="77"/>
      <c r="J1282" s="77"/>
      <c r="K1282" s="79"/>
      <c r="L1282" s="49">
        <f t="shared" si="84"/>
        <v>0</v>
      </c>
      <c r="M1282" s="50">
        <f t="shared" si="85"/>
        <v>0</v>
      </c>
    </row>
    <row r="1283" spans="1:13" x14ac:dyDescent="0.2">
      <c r="A1283" s="18"/>
      <c r="B1283" s="77"/>
      <c r="C1283" s="77"/>
      <c r="D1283" s="78"/>
      <c r="E1283" s="77"/>
      <c r="F1283" s="77"/>
      <c r="G1283" s="77"/>
      <c r="H1283" s="77"/>
      <c r="I1283" s="77"/>
      <c r="J1283" s="77"/>
      <c r="K1283" s="79"/>
      <c r="L1283" s="49">
        <f t="shared" si="84"/>
        <v>0</v>
      </c>
      <c r="M1283" s="50">
        <f t="shared" si="85"/>
        <v>0</v>
      </c>
    </row>
    <row r="1284" spans="1:13" x14ac:dyDescent="0.2">
      <c r="A1284" s="18"/>
      <c r="B1284" s="77"/>
      <c r="C1284" s="77"/>
      <c r="D1284" s="78"/>
      <c r="E1284" s="77"/>
      <c r="F1284" s="77"/>
      <c r="G1284" s="77"/>
      <c r="H1284" s="77"/>
      <c r="I1284" s="77"/>
      <c r="J1284" s="77"/>
      <c r="K1284" s="79"/>
      <c r="L1284" s="49">
        <f t="shared" si="84"/>
        <v>0</v>
      </c>
      <c r="M1284" s="50">
        <f t="shared" si="85"/>
        <v>0</v>
      </c>
    </row>
    <row r="1285" spans="1:13" x14ac:dyDescent="0.2">
      <c r="A1285" s="18"/>
      <c r="B1285" s="77"/>
      <c r="C1285" s="77"/>
      <c r="D1285" s="78"/>
      <c r="E1285" s="77"/>
      <c r="F1285" s="77"/>
      <c r="G1285" s="77"/>
      <c r="H1285" s="77"/>
      <c r="I1285" s="77"/>
      <c r="J1285" s="77"/>
      <c r="K1285" s="79"/>
      <c r="L1285" s="49">
        <f t="shared" si="84"/>
        <v>0</v>
      </c>
      <c r="M1285" s="50">
        <f t="shared" si="85"/>
        <v>0</v>
      </c>
    </row>
    <row r="1286" spans="1:13" x14ac:dyDescent="0.2">
      <c r="A1286" s="18"/>
      <c r="B1286" s="77"/>
      <c r="C1286" s="77"/>
      <c r="D1286" s="78"/>
      <c r="E1286" s="77"/>
      <c r="F1286" s="77"/>
      <c r="G1286" s="77"/>
      <c r="H1286" s="77"/>
      <c r="I1286" s="77"/>
      <c r="J1286" s="77"/>
      <c r="K1286" s="79"/>
      <c r="L1286" s="49">
        <f t="shared" si="84"/>
        <v>0</v>
      </c>
      <c r="M1286" s="50">
        <f t="shared" si="85"/>
        <v>0</v>
      </c>
    </row>
    <row r="1287" spans="1:13" x14ac:dyDescent="0.2">
      <c r="A1287" s="18"/>
      <c r="B1287" s="77"/>
      <c r="C1287" s="77"/>
      <c r="D1287" s="78"/>
      <c r="E1287" s="77"/>
      <c r="F1287" s="77"/>
      <c r="G1287" s="77"/>
      <c r="H1287" s="77"/>
      <c r="I1287" s="77"/>
      <c r="J1287" s="77"/>
      <c r="K1287" s="79"/>
      <c r="L1287" s="49">
        <f t="shared" si="84"/>
        <v>0</v>
      </c>
      <c r="M1287" s="50">
        <f t="shared" si="85"/>
        <v>0</v>
      </c>
    </row>
    <row r="1288" spans="1:13" x14ac:dyDescent="0.2">
      <c r="A1288" s="18"/>
      <c r="B1288" s="77"/>
      <c r="C1288" s="77"/>
      <c r="D1288" s="78"/>
      <c r="E1288" s="77"/>
      <c r="F1288" s="77"/>
      <c r="G1288" s="77"/>
      <c r="H1288" s="77"/>
      <c r="I1288" s="77"/>
      <c r="J1288" s="77"/>
      <c r="K1288" s="79"/>
      <c r="L1288" s="49">
        <f t="shared" si="84"/>
        <v>0</v>
      </c>
      <c r="M1288" s="50">
        <f t="shared" si="85"/>
        <v>0</v>
      </c>
    </row>
    <row r="1289" spans="1:13" x14ac:dyDescent="0.2">
      <c r="A1289" s="18"/>
      <c r="B1289" s="77"/>
      <c r="C1289" s="77"/>
      <c r="D1289" s="78"/>
      <c r="E1289" s="77"/>
      <c r="F1289" s="77"/>
      <c r="G1289" s="77"/>
      <c r="H1289" s="77"/>
      <c r="I1289" s="77"/>
      <c r="J1289" s="77"/>
      <c r="K1289" s="79"/>
      <c r="L1289" s="49">
        <f t="shared" si="84"/>
        <v>0</v>
      </c>
      <c r="M1289" s="50">
        <f t="shared" si="85"/>
        <v>0</v>
      </c>
    </row>
    <row r="1290" spans="1:13" x14ac:dyDescent="0.2">
      <c r="A1290" s="18"/>
      <c r="B1290" s="77"/>
      <c r="C1290" s="77"/>
      <c r="D1290" s="78"/>
      <c r="E1290" s="77"/>
      <c r="F1290" s="77"/>
      <c r="G1290" s="77"/>
      <c r="H1290" s="77"/>
      <c r="I1290" s="77"/>
      <c r="J1290" s="77"/>
      <c r="K1290" s="79"/>
      <c r="L1290" s="49">
        <f t="shared" si="84"/>
        <v>0</v>
      </c>
      <c r="M1290" s="50">
        <f t="shared" si="85"/>
        <v>0</v>
      </c>
    </row>
    <row r="1291" spans="1:13" x14ac:dyDescent="0.2">
      <c r="A1291" s="18"/>
      <c r="B1291" s="77"/>
      <c r="C1291" s="77"/>
      <c r="D1291" s="78"/>
      <c r="E1291" s="77"/>
      <c r="F1291" s="77"/>
      <c r="G1291" s="77"/>
      <c r="H1291" s="77"/>
      <c r="I1291" s="77"/>
      <c r="J1291" s="77"/>
      <c r="K1291" s="79"/>
      <c r="L1291" s="49">
        <f t="shared" si="84"/>
        <v>0</v>
      </c>
      <c r="M1291" s="50">
        <f t="shared" si="85"/>
        <v>0</v>
      </c>
    </row>
    <row r="1292" spans="1:13" x14ac:dyDescent="0.2">
      <c r="A1292" s="18"/>
      <c r="B1292" s="77"/>
      <c r="C1292" s="77"/>
      <c r="D1292" s="78"/>
      <c r="E1292" s="77"/>
      <c r="F1292" s="77"/>
      <c r="G1292" s="77"/>
      <c r="H1292" s="77"/>
      <c r="I1292" s="77"/>
      <c r="J1292" s="77"/>
      <c r="K1292" s="79"/>
      <c r="L1292" s="49">
        <f t="shared" si="84"/>
        <v>0</v>
      </c>
      <c r="M1292" s="50">
        <f t="shared" si="85"/>
        <v>0</v>
      </c>
    </row>
    <row r="1293" spans="1:13" x14ac:dyDescent="0.2">
      <c r="A1293" s="18"/>
      <c r="B1293" s="77"/>
      <c r="C1293" s="77"/>
      <c r="D1293" s="78"/>
      <c r="E1293" s="77"/>
      <c r="F1293" s="77"/>
      <c r="G1293" s="77"/>
      <c r="H1293" s="77"/>
      <c r="I1293" s="77"/>
      <c r="J1293" s="77"/>
      <c r="K1293" s="79"/>
      <c r="L1293" s="49">
        <f t="shared" si="84"/>
        <v>0</v>
      </c>
      <c r="M1293" s="50">
        <f t="shared" si="85"/>
        <v>0</v>
      </c>
    </row>
    <row r="1294" spans="1:13" x14ac:dyDescent="0.2">
      <c r="A1294" s="18"/>
      <c r="B1294" s="77"/>
      <c r="C1294" s="77"/>
      <c r="D1294" s="78"/>
      <c r="E1294" s="77"/>
      <c r="F1294" s="77"/>
      <c r="G1294" s="77"/>
      <c r="H1294" s="77"/>
      <c r="I1294" s="77"/>
      <c r="J1294" s="77"/>
      <c r="K1294" s="79"/>
      <c r="L1294" s="49">
        <f t="shared" si="84"/>
        <v>0</v>
      </c>
      <c r="M1294" s="50">
        <f t="shared" si="85"/>
        <v>0</v>
      </c>
    </row>
    <row r="1295" spans="1:13" x14ac:dyDescent="0.2">
      <c r="A1295" s="18"/>
      <c r="B1295" s="77"/>
      <c r="C1295" s="77"/>
      <c r="D1295" s="78"/>
      <c r="E1295" s="77"/>
      <c r="F1295" s="77"/>
      <c r="G1295" s="77"/>
      <c r="H1295" s="77"/>
      <c r="I1295" s="77"/>
      <c r="J1295" s="77"/>
      <c r="K1295" s="79"/>
      <c r="L1295" s="49">
        <f t="shared" si="84"/>
        <v>0</v>
      </c>
      <c r="M1295" s="50">
        <f t="shared" si="85"/>
        <v>0</v>
      </c>
    </row>
    <row r="1296" spans="1:13" x14ac:dyDescent="0.2">
      <c r="A1296" s="18"/>
      <c r="B1296" s="77"/>
      <c r="C1296" s="77"/>
      <c r="D1296" s="78"/>
      <c r="E1296" s="77"/>
      <c r="F1296" s="77"/>
      <c r="G1296" s="77"/>
      <c r="H1296" s="77"/>
      <c r="I1296" s="77"/>
      <c r="J1296" s="77"/>
      <c r="K1296" s="79"/>
      <c r="L1296" s="49">
        <f t="shared" si="84"/>
        <v>0</v>
      </c>
      <c r="M1296" s="50">
        <f t="shared" si="85"/>
        <v>0</v>
      </c>
    </row>
    <row r="1297" spans="1:13" x14ac:dyDescent="0.2">
      <c r="A1297" s="18"/>
      <c r="B1297" s="77"/>
      <c r="C1297" s="77"/>
      <c r="D1297" s="78"/>
      <c r="E1297" s="77"/>
      <c r="F1297" s="77"/>
      <c r="G1297" s="77"/>
      <c r="H1297" s="77"/>
      <c r="I1297" s="77"/>
      <c r="J1297" s="77"/>
      <c r="K1297" s="79"/>
      <c r="L1297" s="49">
        <f t="shared" si="84"/>
        <v>0</v>
      </c>
      <c r="M1297" s="50">
        <f t="shared" si="85"/>
        <v>0</v>
      </c>
    </row>
    <row r="1298" spans="1:13" x14ac:dyDescent="0.2">
      <c r="A1298" s="18"/>
      <c r="B1298" s="77"/>
      <c r="C1298" s="77"/>
      <c r="D1298" s="78"/>
      <c r="E1298" s="77"/>
      <c r="F1298" s="77"/>
      <c r="G1298" s="77"/>
      <c r="H1298" s="77"/>
      <c r="I1298" s="77"/>
      <c r="J1298" s="77"/>
      <c r="K1298" s="79"/>
      <c r="L1298" s="49">
        <f t="shared" si="84"/>
        <v>0</v>
      </c>
      <c r="M1298" s="50">
        <f t="shared" si="85"/>
        <v>0</v>
      </c>
    </row>
    <row r="1299" spans="1:13" x14ac:dyDescent="0.2">
      <c r="A1299" s="18"/>
      <c r="B1299" s="77"/>
      <c r="C1299" s="77"/>
      <c r="D1299" s="78"/>
      <c r="E1299" s="77"/>
      <c r="F1299" s="77"/>
      <c r="G1299" s="77"/>
      <c r="H1299" s="77"/>
      <c r="I1299" s="77"/>
      <c r="J1299" s="77"/>
      <c r="K1299" s="79"/>
      <c r="L1299" s="49">
        <f t="shared" si="84"/>
        <v>0</v>
      </c>
      <c r="M1299" s="50">
        <f t="shared" si="85"/>
        <v>0</v>
      </c>
    </row>
    <row r="1300" spans="1:13" x14ac:dyDescent="0.2">
      <c r="A1300" s="18"/>
      <c r="B1300" s="77"/>
      <c r="C1300" s="77"/>
      <c r="D1300" s="78"/>
      <c r="E1300" s="77"/>
      <c r="F1300" s="77"/>
      <c r="G1300" s="77"/>
      <c r="H1300" s="77"/>
      <c r="I1300" s="77"/>
      <c r="J1300" s="77"/>
      <c r="K1300" s="79"/>
      <c r="L1300" s="49">
        <f t="shared" si="84"/>
        <v>0</v>
      </c>
      <c r="M1300" s="50">
        <f t="shared" si="85"/>
        <v>0</v>
      </c>
    </row>
    <row r="1301" spans="1:13" x14ac:dyDescent="0.2">
      <c r="A1301" s="18"/>
      <c r="B1301" s="77"/>
      <c r="C1301" s="77"/>
      <c r="D1301" s="78"/>
      <c r="E1301" s="77"/>
      <c r="F1301" s="77"/>
      <c r="G1301" s="77"/>
      <c r="H1301" s="77"/>
      <c r="I1301" s="77"/>
      <c r="J1301" s="77"/>
      <c r="K1301" s="79"/>
      <c r="L1301" s="49">
        <f t="shared" si="84"/>
        <v>0</v>
      </c>
      <c r="M1301" s="50">
        <f t="shared" si="85"/>
        <v>0</v>
      </c>
    </row>
    <row r="1302" spans="1:13" x14ac:dyDescent="0.2">
      <c r="A1302" s="18"/>
      <c r="B1302" s="77"/>
      <c r="C1302" s="77"/>
      <c r="D1302" s="78"/>
      <c r="E1302" s="77"/>
      <c r="F1302" s="77"/>
      <c r="G1302" s="77"/>
      <c r="H1302" s="77"/>
      <c r="I1302" s="77"/>
      <c r="J1302" s="77"/>
      <c r="K1302" s="79"/>
      <c r="L1302" s="49">
        <f t="shared" si="84"/>
        <v>0</v>
      </c>
      <c r="M1302" s="50">
        <f t="shared" si="85"/>
        <v>0</v>
      </c>
    </row>
    <row r="1303" spans="1:13" x14ac:dyDescent="0.2">
      <c r="A1303" s="18"/>
      <c r="B1303" s="77"/>
      <c r="C1303" s="77"/>
      <c r="D1303" s="78"/>
      <c r="E1303" s="77"/>
      <c r="F1303" s="77"/>
      <c r="G1303" s="77"/>
      <c r="H1303" s="77"/>
      <c r="I1303" s="77"/>
      <c r="J1303" s="77"/>
      <c r="K1303" s="79"/>
      <c r="L1303" s="49">
        <f t="shared" si="84"/>
        <v>0</v>
      </c>
      <c r="M1303" s="50">
        <f t="shared" si="85"/>
        <v>0</v>
      </c>
    </row>
    <row r="1304" spans="1:13" x14ac:dyDescent="0.2">
      <c r="A1304" s="18"/>
      <c r="B1304" s="77"/>
      <c r="C1304" s="77"/>
      <c r="D1304" s="78"/>
      <c r="E1304" s="77"/>
      <c r="F1304" s="77"/>
      <c r="G1304" s="77"/>
      <c r="H1304" s="77"/>
      <c r="I1304" s="77"/>
      <c r="J1304" s="77"/>
      <c r="K1304" s="79"/>
      <c r="L1304" s="49">
        <f t="shared" si="84"/>
        <v>0</v>
      </c>
      <c r="M1304" s="50">
        <f t="shared" si="85"/>
        <v>0</v>
      </c>
    </row>
    <row r="1305" spans="1:13" x14ac:dyDescent="0.2">
      <c r="A1305" s="18"/>
      <c r="B1305" s="77"/>
      <c r="C1305" s="77"/>
      <c r="D1305" s="78"/>
      <c r="E1305" s="77"/>
      <c r="F1305" s="77"/>
      <c r="G1305" s="77"/>
      <c r="H1305" s="77"/>
      <c r="I1305" s="77"/>
      <c r="J1305" s="77"/>
      <c r="K1305" s="79"/>
      <c r="L1305" s="49">
        <f t="shared" si="84"/>
        <v>0</v>
      </c>
      <c r="M1305" s="50">
        <f t="shared" si="85"/>
        <v>0</v>
      </c>
    </row>
    <row r="1306" spans="1:13" x14ac:dyDescent="0.2">
      <c r="A1306" s="18"/>
      <c r="B1306" s="77"/>
      <c r="C1306" s="77"/>
      <c r="D1306" s="78"/>
      <c r="E1306" s="77"/>
      <c r="F1306" s="77"/>
      <c r="G1306" s="77"/>
      <c r="H1306" s="77"/>
      <c r="I1306" s="77"/>
      <c r="J1306" s="77"/>
      <c r="K1306" s="79"/>
      <c r="L1306" s="49">
        <f t="shared" si="84"/>
        <v>0</v>
      </c>
      <c r="M1306" s="50">
        <f t="shared" si="85"/>
        <v>0</v>
      </c>
    </row>
    <row r="1307" spans="1:13" x14ac:dyDescent="0.2">
      <c r="A1307" s="18"/>
      <c r="B1307" s="77"/>
      <c r="C1307" s="77"/>
      <c r="D1307" s="78"/>
      <c r="E1307" s="77"/>
      <c r="F1307" s="77"/>
      <c r="G1307" s="77"/>
      <c r="H1307" s="77"/>
      <c r="I1307" s="77"/>
      <c r="J1307" s="77"/>
      <c r="K1307" s="79"/>
      <c r="L1307" s="49">
        <f t="shared" si="84"/>
        <v>0</v>
      </c>
      <c r="M1307" s="50">
        <f t="shared" si="85"/>
        <v>0</v>
      </c>
    </row>
    <row r="1308" spans="1:13" x14ac:dyDescent="0.2">
      <c r="A1308" s="18"/>
      <c r="B1308" s="77"/>
      <c r="C1308" s="77"/>
      <c r="D1308" s="78"/>
      <c r="E1308" s="77"/>
      <c r="F1308" s="77"/>
      <c r="G1308" s="77"/>
      <c r="H1308" s="77"/>
      <c r="I1308" s="77"/>
      <c r="J1308" s="77"/>
      <c r="K1308" s="79"/>
      <c r="L1308" s="49">
        <f t="shared" si="84"/>
        <v>0</v>
      </c>
      <c r="M1308" s="50">
        <f t="shared" si="85"/>
        <v>0</v>
      </c>
    </row>
    <row r="1309" spans="1:13" x14ac:dyDescent="0.2">
      <c r="A1309" s="18"/>
      <c r="B1309" s="77"/>
      <c r="C1309" s="77"/>
      <c r="D1309" s="78"/>
      <c r="E1309" s="77"/>
      <c r="F1309" s="77"/>
      <c r="G1309" s="77"/>
      <c r="H1309" s="77"/>
      <c r="I1309" s="77"/>
      <c r="J1309" s="77"/>
      <c r="K1309" s="79"/>
      <c r="L1309" s="49">
        <f t="shared" si="84"/>
        <v>0</v>
      </c>
      <c r="M1309" s="50">
        <f t="shared" si="85"/>
        <v>0</v>
      </c>
    </row>
    <row r="1310" spans="1:13" x14ac:dyDescent="0.2">
      <c r="A1310" s="18"/>
      <c r="B1310" s="77"/>
      <c r="C1310" s="77"/>
      <c r="D1310" s="78"/>
      <c r="E1310" s="77"/>
      <c r="F1310" s="77"/>
      <c r="G1310" s="77"/>
      <c r="H1310" s="77"/>
      <c r="I1310" s="77"/>
      <c r="J1310" s="77"/>
      <c r="K1310" s="79"/>
      <c r="L1310" s="49">
        <f t="shared" ref="L1310:L1352" si="86">+K1310*18%</f>
        <v>0</v>
      </c>
      <c r="M1310" s="50">
        <f t="shared" ref="M1310:M1352" si="87">+K1310+L1310</f>
        <v>0</v>
      </c>
    </row>
    <row r="1311" spans="1:13" x14ac:dyDescent="0.2">
      <c r="A1311" s="18"/>
      <c r="B1311" s="77"/>
      <c r="C1311" s="77"/>
      <c r="D1311" s="78"/>
      <c r="E1311" s="77"/>
      <c r="F1311" s="77"/>
      <c r="G1311" s="77"/>
      <c r="H1311" s="77"/>
      <c r="I1311" s="77"/>
      <c r="J1311" s="77"/>
      <c r="K1311" s="79"/>
      <c r="L1311" s="49">
        <f t="shared" si="86"/>
        <v>0</v>
      </c>
      <c r="M1311" s="50">
        <f t="shared" si="87"/>
        <v>0</v>
      </c>
    </row>
    <row r="1312" spans="1:13" x14ac:dyDescent="0.2">
      <c r="A1312" s="18"/>
      <c r="B1312" s="77"/>
      <c r="C1312" s="77"/>
      <c r="D1312" s="78"/>
      <c r="E1312" s="77"/>
      <c r="F1312" s="77"/>
      <c r="G1312" s="77"/>
      <c r="H1312" s="77"/>
      <c r="I1312" s="77"/>
      <c r="J1312" s="77"/>
      <c r="K1312" s="79"/>
      <c r="L1312" s="49">
        <f t="shared" si="86"/>
        <v>0</v>
      </c>
      <c r="M1312" s="50">
        <f t="shared" si="87"/>
        <v>0</v>
      </c>
    </row>
    <row r="1313" spans="1:13" x14ac:dyDescent="0.2">
      <c r="A1313" s="18"/>
      <c r="B1313" s="77"/>
      <c r="C1313" s="77"/>
      <c r="D1313" s="78"/>
      <c r="E1313" s="77"/>
      <c r="F1313" s="77"/>
      <c r="G1313" s="77"/>
      <c r="H1313" s="77"/>
      <c r="I1313" s="77"/>
      <c r="J1313" s="77"/>
      <c r="K1313" s="79"/>
      <c r="L1313" s="49">
        <f t="shared" si="86"/>
        <v>0</v>
      </c>
      <c r="M1313" s="50">
        <f t="shared" si="87"/>
        <v>0</v>
      </c>
    </row>
    <row r="1314" spans="1:13" x14ac:dyDescent="0.2">
      <c r="A1314" s="18"/>
      <c r="B1314" s="77"/>
      <c r="C1314" s="77"/>
      <c r="D1314" s="78"/>
      <c r="E1314" s="77"/>
      <c r="F1314" s="77"/>
      <c r="G1314" s="77"/>
      <c r="H1314" s="77"/>
      <c r="I1314" s="77"/>
      <c r="J1314" s="77"/>
      <c r="K1314" s="79"/>
      <c r="L1314" s="49">
        <f t="shared" si="86"/>
        <v>0</v>
      </c>
      <c r="M1314" s="50">
        <f t="shared" si="87"/>
        <v>0</v>
      </c>
    </row>
    <row r="1315" spans="1:13" x14ac:dyDescent="0.2">
      <c r="A1315" s="18"/>
      <c r="B1315" s="77"/>
      <c r="C1315" s="77"/>
      <c r="D1315" s="78"/>
      <c r="E1315" s="77"/>
      <c r="F1315" s="77"/>
      <c r="G1315" s="77"/>
      <c r="H1315" s="77"/>
      <c r="I1315" s="77"/>
      <c r="J1315" s="77"/>
      <c r="K1315" s="79"/>
      <c r="L1315" s="49">
        <f t="shared" si="86"/>
        <v>0</v>
      </c>
      <c r="M1315" s="50">
        <f t="shared" si="87"/>
        <v>0</v>
      </c>
    </row>
    <row r="1316" spans="1:13" x14ac:dyDescent="0.2">
      <c r="A1316" s="18"/>
      <c r="B1316" s="77"/>
      <c r="C1316" s="77"/>
      <c r="D1316" s="78"/>
      <c r="E1316" s="77"/>
      <c r="F1316" s="77"/>
      <c r="G1316" s="77"/>
      <c r="H1316" s="77"/>
      <c r="I1316" s="77"/>
      <c r="J1316" s="77"/>
      <c r="K1316" s="79"/>
      <c r="L1316" s="49">
        <f t="shared" si="86"/>
        <v>0</v>
      </c>
      <c r="M1316" s="50">
        <f t="shared" si="87"/>
        <v>0</v>
      </c>
    </row>
    <row r="1317" spans="1:13" x14ac:dyDescent="0.2">
      <c r="A1317" s="18"/>
      <c r="B1317" s="77"/>
      <c r="C1317" s="77"/>
      <c r="D1317" s="78"/>
      <c r="E1317" s="77"/>
      <c r="F1317" s="77"/>
      <c r="G1317" s="77"/>
      <c r="H1317" s="77"/>
      <c r="I1317" s="77"/>
      <c r="J1317" s="77"/>
      <c r="K1317" s="79"/>
      <c r="L1317" s="49">
        <f t="shared" si="86"/>
        <v>0</v>
      </c>
      <c r="M1317" s="50">
        <f t="shared" si="87"/>
        <v>0</v>
      </c>
    </row>
    <row r="1318" spans="1:13" x14ac:dyDescent="0.2">
      <c r="A1318" s="18"/>
      <c r="B1318" s="77"/>
      <c r="C1318" s="77"/>
      <c r="D1318" s="78"/>
      <c r="E1318" s="77"/>
      <c r="F1318" s="77"/>
      <c r="G1318" s="77"/>
      <c r="H1318" s="77"/>
      <c r="I1318" s="77"/>
      <c r="J1318" s="77"/>
      <c r="K1318" s="79"/>
      <c r="L1318" s="49">
        <f t="shared" si="86"/>
        <v>0</v>
      </c>
      <c r="M1318" s="50">
        <f t="shared" si="87"/>
        <v>0</v>
      </c>
    </row>
    <row r="1319" spans="1:13" x14ac:dyDescent="0.2">
      <c r="A1319" s="18"/>
      <c r="B1319" s="77"/>
      <c r="C1319" s="77"/>
      <c r="D1319" s="78"/>
      <c r="E1319" s="77"/>
      <c r="F1319" s="77"/>
      <c r="G1319" s="77"/>
      <c r="H1319" s="77"/>
      <c r="I1319" s="77"/>
      <c r="J1319" s="77"/>
      <c r="K1319" s="79"/>
      <c r="L1319" s="49">
        <f t="shared" si="86"/>
        <v>0</v>
      </c>
      <c r="M1319" s="50">
        <f t="shared" si="87"/>
        <v>0</v>
      </c>
    </row>
    <row r="1320" spans="1:13" x14ac:dyDescent="0.2">
      <c r="A1320" s="18"/>
      <c r="B1320" s="77"/>
      <c r="C1320" s="77"/>
      <c r="D1320" s="78"/>
      <c r="E1320" s="77"/>
      <c r="F1320" s="77"/>
      <c r="G1320" s="77"/>
      <c r="H1320" s="77"/>
      <c r="I1320" s="77"/>
      <c r="J1320" s="77"/>
      <c r="K1320" s="79"/>
      <c r="L1320" s="49">
        <f t="shared" si="86"/>
        <v>0</v>
      </c>
      <c r="M1320" s="50">
        <f t="shared" si="87"/>
        <v>0</v>
      </c>
    </row>
    <row r="1321" spans="1:13" x14ac:dyDescent="0.2">
      <c r="A1321" s="18"/>
      <c r="B1321" s="77"/>
      <c r="C1321" s="77"/>
      <c r="D1321" s="78"/>
      <c r="E1321" s="77"/>
      <c r="F1321" s="77"/>
      <c r="G1321" s="77"/>
      <c r="H1321" s="77"/>
      <c r="I1321" s="77"/>
      <c r="J1321" s="77"/>
      <c r="K1321" s="79"/>
      <c r="L1321" s="49">
        <f t="shared" si="86"/>
        <v>0</v>
      </c>
      <c r="M1321" s="50">
        <f t="shared" si="87"/>
        <v>0</v>
      </c>
    </row>
    <row r="1322" spans="1:13" x14ac:dyDescent="0.2">
      <c r="A1322" s="18"/>
      <c r="B1322" s="77"/>
      <c r="C1322" s="77"/>
      <c r="D1322" s="78"/>
      <c r="E1322" s="77"/>
      <c r="F1322" s="77"/>
      <c r="G1322" s="77"/>
      <c r="H1322" s="77"/>
      <c r="I1322" s="77"/>
      <c r="J1322" s="77"/>
      <c r="K1322" s="79"/>
      <c r="L1322" s="49">
        <f t="shared" si="86"/>
        <v>0</v>
      </c>
      <c r="M1322" s="50">
        <f t="shared" si="87"/>
        <v>0</v>
      </c>
    </row>
    <row r="1323" spans="1:13" x14ac:dyDescent="0.2">
      <c r="A1323" s="18"/>
      <c r="B1323" s="77"/>
      <c r="C1323" s="77"/>
      <c r="D1323" s="78"/>
      <c r="E1323" s="77"/>
      <c r="F1323" s="77"/>
      <c r="G1323" s="77"/>
      <c r="H1323" s="77"/>
      <c r="I1323" s="77"/>
      <c r="J1323" s="77"/>
      <c r="K1323" s="79"/>
      <c r="L1323" s="49">
        <f t="shared" si="86"/>
        <v>0</v>
      </c>
      <c r="M1323" s="50">
        <f t="shared" si="87"/>
        <v>0</v>
      </c>
    </row>
    <row r="1324" spans="1:13" x14ac:dyDescent="0.2">
      <c r="A1324" s="18"/>
      <c r="B1324" s="77"/>
      <c r="C1324" s="77"/>
      <c r="D1324" s="78"/>
      <c r="E1324" s="77"/>
      <c r="F1324" s="77"/>
      <c r="G1324" s="77"/>
      <c r="H1324" s="77"/>
      <c r="I1324" s="77"/>
      <c r="J1324" s="77"/>
      <c r="K1324" s="79"/>
      <c r="L1324" s="49">
        <f t="shared" si="86"/>
        <v>0</v>
      </c>
      <c r="M1324" s="50">
        <f t="shared" si="87"/>
        <v>0</v>
      </c>
    </row>
    <row r="1325" spans="1:13" x14ac:dyDescent="0.2">
      <c r="A1325" s="18"/>
      <c r="B1325" s="77"/>
      <c r="C1325" s="77"/>
      <c r="D1325" s="78"/>
      <c r="E1325" s="77"/>
      <c r="F1325" s="77"/>
      <c r="G1325" s="77"/>
      <c r="H1325" s="77"/>
      <c r="I1325" s="77"/>
      <c r="J1325" s="77"/>
      <c r="K1325" s="79"/>
      <c r="L1325" s="49">
        <f t="shared" si="86"/>
        <v>0</v>
      </c>
      <c r="M1325" s="50">
        <f t="shared" si="87"/>
        <v>0</v>
      </c>
    </row>
    <row r="1326" spans="1:13" x14ac:dyDescent="0.2">
      <c r="A1326" s="18"/>
      <c r="B1326" s="77"/>
      <c r="C1326" s="77"/>
      <c r="D1326" s="78"/>
      <c r="E1326" s="77"/>
      <c r="F1326" s="77"/>
      <c r="G1326" s="77"/>
      <c r="H1326" s="77"/>
      <c r="I1326" s="77"/>
      <c r="J1326" s="77"/>
      <c r="K1326" s="79"/>
      <c r="L1326" s="49">
        <f t="shared" si="86"/>
        <v>0</v>
      </c>
      <c r="M1326" s="50">
        <f t="shared" si="87"/>
        <v>0</v>
      </c>
    </row>
    <row r="1327" spans="1:13" x14ac:dyDescent="0.2">
      <c r="A1327" s="18"/>
      <c r="B1327" s="77"/>
      <c r="C1327" s="77"/>
      <c r="D1327" s="78"/>
      <c r="E1327" s="77"/>
      <c r="F1327" s="77"/>
      <c r="G1327" s="77"/>
      <c r="H1327" s="77"/>
      <c r="I1327" s="77"/>
      <c r="J1327" s="77"/>
      <c r="K1327" s="79"/>
      <c r="L1327" s="49">
        <f t="shared" si="86"/>
        <v>0</v>
      </c>
      <c r="M1327" s="50">
        <f t="shared" si="87"/>
        <v>0</v>
      </c>
    </row>
    <row r="1328" spans="1:13" x14ac:dyDescent="0.2">
      <c r="A1328" s="18"/>
      <c r="B1328" s="77"/>
      <c r="C1328" s="77"/>
      <c r="D1328" s="78"/>
      <c r="E1328" s="77"/>
      <c r="F1328" s="77"/>
      <c r="G1328" s="77"/>
      <c r="H1328" s="77"/>
      <c r="I1328" s="77"/>
      <c r="J1328" s="77"/>
      <c r="K1328" s="79"/>
      <c r="L1328" s="49">
        <f t="shared" si="86"/>
        <v>0</v>
      </c>
      <c r="M1328" s="50">
        <f t="shared" si="87"/>
        <v>0</v>
      </c>
    </row>
    <row r="1329" spans="1:13" x14ac:dyDescent="0.2">
      <c r="A1329" s="18"/>
      <c r="B1329" s="77"/>
      <c r="C1329" s="77"/>
      <c r="D1329" s="78"/>
      <c r="E1329" s="77"/>
      <c r="F1329" s="77"/>
      <c r="G1329" s="77"/>
      <c r="H1329" s="77"/>
      <c r="I1329" s="77"/>
      <c r="J1329" s="77"/>
      <c r="K1329" s="79"/>
      <c r="L1329" s="49">
        <f t="shared" si="86"/>
        <v>0</v>
      </c>
      <c r="M1329" s="50">
        <f t="shared" si="87"/>
        <v>0</v>
      </c>
    </row>
    <row r="1330" spans="1:13" x14ac:dyDescent="0.2">
      <c r="A1330" s="18"/>
      <c r="B1330" s="77"/>
      <c r="C1330" s="77"/>
      <c r="D1330" s="78"/>
      <c r="E1330" s="77"/>
      <c r="F1330" s="77"/>
      <c r="G1330" s="77"/>
      <c r="H1330" s="77"/>
      <c r="I1330" s="77"/>
      <c r="J1330" s="77"/>
      <c r="K1330" s="79"/>
      <c r="L1330" s="49">
        <f t="shared" si="86"/>
        <v>0</v>
      </c>
      <c r="M1330" s="50">
        <f t="shared" si="87"/>
        <v>0</v>
      </c>
    </row>
    <row r="1331" spans="1:13" x14ac:dyDescent="0.2">
      <c r="A1331" s="18"/>
      <c r="B1331" s="77"/>
      <c r="C1331" s="77"/>
      <c r="D1331" s="78"/>
      <c r="E1331" s="77"/>
      <c r="F1331" s="77"/>
      <c r="G1331" s="77"/>
      <c r="H1331" s="77"/>
      <c r="I1331" s="77"/>
      <c r="J1331" s="77"/>
      <c r="K1331" s="79"/>
      <c r="L1331" s="49">
        <f t="shared" si="86"/>
        <v>0</v>
      </c>
      <c r="M1331" s="50">
        <f t="shared" si="87"/>
        <v>0</v>
      </c>
    </row>
    <row r="1332" spans="1:13" x14ac:dyDescent="0.2">
      <c r="A1332" s="18"/>
      <c r="B1332" s="77"/>
      <c r="C1332" s="77"/>
      <c r="D1332" s="78"/>
      <c r="E1332" s="77"/>
      <c r="F1332" s="77"/>
      <c r="G1332" s="77"/>
      <c r="H1332" s="77"/>
      <c r="I1332" s="77"/>
      <c r="J1332" s="77"/>
      <c r="K1332" s="79"/>
      <c r="L1332" s="49">
        <f t="shared" si="86"/>
        <v>0</v>
      </c>
      <c r="M1332" s="50">
        <f t="shared" si="87"/>
        <v>0</v>
      </c>
    </row>
    <row r="1333" spans="1:13" x14ac:dyDescent="0.2">
      <c r="A1333" s="18"/>
      <c r="B1333" s="77"/>
      <c r="C1333" s="77"/>
      <c r="D1333" s="78"/>
      <c r="E1333" s="77"/>
      <c r="F1333" s="77"/>
      <c r="G1333" s="77"/>
      <c r="H1333" s="77"/>
      <c r="I1333" s="77"/>
      <c r="J1333" s="77"/>
      <c r="K1333" s="79"/>
      <c r="L1333" s="49">
        <f t="shared" si="86"/>
        <v>0</v>
      </c>
      <c r="M1333" s="50">
        <f t="shared" si="87"/>
        <v>0</v>
      </c>
    </row>
    <row r="1334" spans="1:13" x14ac:dyDescent="0.2">
      <c r="A1334" s="18"/>
      <c r="B1334" s="77"/>
      <c r="C1334" s="77"/>
      <c r="D1334" s="78"/>
      <c r="E1334" s="77"/>
      <c r="F1334" s="77"/>
      <c r="G1334" s="77"/>
      <c r="H1334" s="77"/>
      <c r="I1334" s="77"/>
      <c r="J1334" s="77"/>
      <c r="K1334" s="79"/>
      <c r="L1334" s="49">
        <f t="shared" si="86"/>
        <v>0</v>
      </c>
      <c r="M1334" s="50">
        <f t="shared" si="87"/>
        <v>0</v>
      </c>
    </row>
    <row r="1335" spans="1:13" x14ac:dyDescent="0.2">
      <c r="A1335" s="18"/>
      <c r="B1335" s="77"/>
      <c r="C1335" s="77"/>
      <c r="D1335" s="78"/>
      <c r="E1335" s="77"/>
      <c r="F1335" s="77"/>
      <c r="G1335" s="77"/>
      <c r="H1335" s="77"/>
      <c r="I1335" s="77"/>
      <c r="J1335" s="77"/>
      <c r="K1335" s="79"/>
      <c r="L1335" s="49">
        <f t="shared" si="86"/>
        <v>0</v>
      </c>
      <c r="M1335" s="50">
        <f t="shared" si="87"/>
        <v>0</v>
      </c>
    </row>
    <row r="1336" spans="1:13" x14ac:dyDescent="0.2">
      <c r="A1336" s="18"/>
      <c r="B1336" s="77"/>
      <c r="C1336" s="77"/>
      <c r="D1336" s="78"/>
      <c r="E1336" s="77"/>
      <c r="F1336" s="77"/>
      <c r="G1336" s="77"/>
      <c r="H1336" s="77"/>
      <c r="I1336" s="77"/>
      <c r="J1336" s="77"/>
      <c r="K1336" s="79"/>
      <c r="L1336" s="49">
        <f t="shared" si="86"/>
        <v>0</v>
      </c>
      <c r="M1336" s="50">
        <f t="shared" si="87"/>
        <v>0</v>
      </c>
    </row>
    <row r="1337" spans="1:13" x14ac:dyDescent="0.2">
      <c r="A1337" s="18"/>
      <c r="B1337" s="77"/>
      <c r="C1337" s="77"/>
      <c r="D1337" s="78"/>
      <c r="E1337" s="77"/>
      <c r="F1337" s="77"/>
      <c r="G1337" s="77"/>
      <c r="H1337" s="77"/>
      <c r="I1337" s="77"/>
      <c r="J1337" s="77"/>
      <c r="K1337" s="79"/>
      <c r="L1337" s="49">
        <f t="shared" si="86"/>
        <v>0</v>
      </c>
      <c r="M1337" s="50">
        <f t="shared" si="87"/>
        <v>0</v>
      </c>
    </row>
    <row r="1338" spans="1:13" x14ac:dyDescent="0.2">
      <c r="A1338" s="18"/>
      <c r="B1338" s="77"/>
      <c r="C1338" s="77"/>
      <c r="D1338" s="78"/>
      <c r="E1338" s="77"/>
      <c r="F1338" s="77"/>
      <c r="G1338" s="77"/>
      <c r="H1338" s="77"/>
      <c r="I1338" s="77"/>
      <c r="J1338" s="77"/>
      <c r="K1338" s="79"/>
      <c r="L1338" s="49">
        <f t="shared" si="86"/>
        <v>0</v>
      </c>
      <c r="M1338" s="50">
        <f t="shared" si="87"/>
        <v>0</v>
      </c>
    </row>
    <row r="1339" spans="1:13" x14ac:dyDescent="0.2">
      <c r="A1339" s="18"/>
      <c r="B1339" s="77"/>
      <c r="C1339" s="77"/>
      <c r="D1339" s="78"/>
      <c r="E1339" s="77"/>
      <c r="F1339" s="77"/>
      <c r="G1339" s="77"/>
      <c r="H1339" s="77"/>
      <c r="I1339" s="77"/>
      <c r="J1339" s="77"/>
      <c r="K1339" s="79"/>
      <c r="L1339" s="49">
        <f t="shared" si="86"/>
        <v>0</v>
      </c>
      <c r="M1339" s="50">
        <f t="shared" si="87"/>
        <v>0</v>
      </c>
    </row>
    <row r="1340" spans="1:13" x14ac:dyDescent="0.2">
      <c r="A1340" s="18"/>
      <c r="B1340" s="77"/>
      <c r="C1340" s="77"/>
      <c r="D1340" s="78"/>
      <c r="E1340" s="77"/>
      <c r="F1340" s="77"/>
      <c r="G1340" s="77"/>
      <c r="H1340" s="77"/>
      <c r="I1340" s="77"/>
      <c r="J1340" s="77"/>
      <c r="K1340" s="79"/>
      <c r="L1340" s="49">
        <f t="shared" si="86"/>
        <v>0</v>
      </c>
      <c r="M1340" s="50">
        <f t="shared" si="87"/>
        <v>0</v>
      </c>
    </row>
    <row r="1341" spans="1:13" x14ac:dyDescent="0.2">
      <c r="A1341" s="18"/>
      <c r="B1341" s="77"/>
      <c r="C1341" s="77"/>
      <c r="D1341" s="78"/>
      <c r="E1341" s="77"/>
      <c r="F1341" s="77"/>
      <c r="G1341" s="77"/>
      <c r="H1341" s="77"/>
      <c r="I1341" s="77"/>
      <c r="J1341" s="77"/>
      <c r="K1341" s="79"/>
      <c r="L1341" s="49">
        <f t="shared" si="86"/>
        <v>0</v>
      </c>
      <c r="M1341" s="50">
        <f t="shared" si="87"/>
        <v>0</v>
      </c>
    </row>
    <row r="1342" spans="1:13" x14ac:dyDescent="0.2">
      <c r="A1342" s="18"/>
      <c r="B1342" s="77"/>
      <c r="C1342" s="77"/>
      <c r="D1342" s="78"/>
      <c r="E1342" s="77"/>
      <c r="F1342" s="77"/>
      <c r="G1342" s="77"/>
      <c r="H1342" s="77"/>
      <c r="I1342" s="77"/>
      <c r="J1342" s="77"/>
      <c r="K1342" s="79"/>
      <c r="L1342" s="49">
        <f t="shared" si="86"/>
        <v>0</v>
      </c>
      <c r="M1342" s="50">
        <f t="shared" si="87"/>
        <v>0</v>
      </c>
    </row>
    <row r="1343" spans="1:13" x14ac:dyDescent="0.2">
      <c r="A1343" s="18"/>
      <c r="B1343" s="77"/>
      <c r="C1343" s="77"/>
      <c r="D1343" s="78"/>
      <c r="E1343" s="77"/>
      <c r="F1343" s="77"/>
      <c r="G1343" s="77"/>
      <c r="H1343" s="77"/>
      <c r="I1343" s="77"/>
      <c r="J1343" s="77"/>
      <c r="K1343" s="79"/>
      <c r="L1343" s="49">
        <f t="shared" si="86"/>
        <v>0</v>
      </c>
      <c r="M1343" s="50">
        <f t="shared" si="87"/>
        <v>0</v>
      </c>
    </row>
    <row r="1344" spans="1:13" x14ac:dyDescent="0.2">
      <c r="A1344" s="18"/>
      <c r="B1344" s="77"/>
      <c r="C1344" s="77"/>
      <c r="D1344" s="78"/>
      <c r="E1344" s="77"/>
      <c r="F1344" s="77"/>
      <c r="G1344" s="77"/>
      <c r="H1344" s="77"/>
      <c r="I1344" s="77"/>
      <c r="J1344" s="77"/>
      <c r="K1344" s="79"/>
      <c r="L1344" s="49">
        <f t="shared" si="86"/>
        <v>0</v>
      </c>
      <c r="M1344" s="50">
        <f t="shared" si="87"/>
        <v>0</v>
      </c>
    </row>
    <row r="1345" spans="1:13" x14ac:dyDescent="0.2">
      <c r="A1345" s="18"/>
      <c r="B1345" s="77"/>
      <c r="C1345" s="77"/>
      <c r="D1345" s="78"/>
      <c r="E1345" s="77"/>
      <c r="F1345" s="77"/>
      <c r="G1345" s="77"/>
      <c r="H1345" s="77"/>
      <c r="I1345" s="77"/>
      <c r="J1345" s="77"/>
      <c r="K1345" s="79"/>
      <c r="L1345" s="49">
        <f t="shared" si="86"/>
        <v>0</v>
      </c>
      <c r="M1345" s="50">
        <f t="shared" si="87"/>
        <v>0</v>
      </c>
    </row>
    <row r="1346" spans="1:13" x14ac:dyDescent="0.2">
      <c r="A1346" s="18"/>
      <c r="B1346" s="77"/>
      <c r="C1346" s="77"/>
      <c r="D1346" s="78"/>
      <c r="E1346" s="77"/>
      <c r="F1346" s="77"/>
      <c r="G1346" s="77"/>
      <c r="H1346" s="77"/>
      <c r="I1346" s="77"/>
      <c r="J1346" s="77"/>
      <c r="K1346" s="79"/>
      <c r="L1346" s="49">
        <f t="shared" si="86"/>
        <v>0</v>
      </c>
      <c r="M1346" s="50">
        <f t="shared" si="87"/>
        <v>0</v>
      </c>
    </row>
    <row r="1347" spans="1:13" x14ac:dyDescent="0.2">
      <c r="A1347" s="18"/>
      <c r="B1347" s="77"/>
      <c r="C1347" s="77"/>
      <c r="D1347" s="78"/>
      <c r="E1347" s="77"/>
      <c r="F1347" s="77"/>
      <c r="G1347" s="77"/>
      <c r="H1347" s="77"/>
      <c r="I1347" s="77"/>
      <c r="J1347" s="77"/>
      <c r="K1347" s="79"/>
      <c r="L1347" s="49">
        <f t="shared" si="86"/>
        <v>0</v>
      </c>
      <c r="M1347" s="50">
        <f t="shared" si="87"/>
        <v>0</v>
      </c>
    </row>
    <row r="1348" spans="1:13" x14ac:dyDescent="0.2">
      <c r="A1348" s="18"/>
      <c r="B1348" s="77"/>
      <c r="C1348" s="77"/>
      <c r="D1348" s="78"/>
      <c r="E1348" s="77"/>
      <c r="F1348" s="77"/>
      <c r="G1348" s="77"/>
      <c r="H1348" s="77"/>
      <c r="I1348" s="77"/>
      <c r="J1348" s="77"/>
      <c r="K1348" s="79"/>
      <c r="L1348" s="49">
        <f t="shared" si="86"/>
        <v>0</v>
      </c>
      <c r="M1348" s="50">
        <f t="shared" si="87"/>
        <v>0</v>
      </c>
    </row>
    <row r="1349" spans="1:13" x14ac:dyDescent="0.2">
      <c r="A1349" s="18"/>
      <c r="B1349" s="77"/>
      <c r="C1349" s="77"/>
      <c r="D1349" s="78"/>
      <c r="E1349" s="77"/>
      <c r="F1349" s="77"/>
      <c r="G1349" s="77"/>
      <c r="H1349" s="77"/>
      <c r="I1349" s="77"/>
      <c r="J1349" s="77"/>
      <c r="K1349" s="79"/>
      <c r="L1349" s="49">
        <f t="shared" si="86"/>
        <v>0</v>
      </c>
      <c r="M1349" s="50">
        <f t="shared" si="87"/>
        <v>0</v>
      </c>
    </row>
    <row r="1350" spans="1:13" x14ac:dyDescent="0.2">
      <c r="A1350" s="18"/>
      <c r="B1350" s="77"/>
      <c r="C1350" s="77"/>
      <c r="D1350" s="78"/>
      <c r="E1350" s="77"/>
      <c r="F1350" s="77"/>
      <c r="G1350" s="77"/>
      <c r="H1350" s="77"/>
      <c r="I1350" s="77"/>
      <c r="J1350" s="77"/>
      <c r="K1350" s="79"/>
      <c r="L1350" s="49">
        <f t="shared" si="86"/>
        <v>0</v>
      </c>
      <c r="M1350" s="50">
        <f t="shared" si="87"/>
        <v>0</v>
      </c>
    </row>
    <row r="1351" spans="1:13" x14ac:dyDescent="0.2">
      <c r="A1351" s="18"/>
      <c r="B1351" s="77"/>
      <c r="C1351" s="77"/>
      <c r="D1351" s="78"/>
      <c r="E1351" s="77"/>
      <c r="F1351" s="77"/>
      <c r="G1351" s="77"/>
      <c r="H1351" s="77"/>
      <c r="I1351" s="77"/>
      <c r="J1351" s="77"/>
      <c r="K1351" s="79"/>
      <c r="L1351" s="49">
        <f t="shared" si="86"/>
        <v>0</v>
      </c>
      <c r="M1351" s="50">
        <f t="shared" si="87"/>
        <v>0</v>
      </c>
    </row>
    <row r="1352" spans="1:13" x14ac:dyDescent="0.2">
      <c r="A1352" s="18"/>
      <c r="B1352" s="77"/>
      <c r="C1352" s="77"/>
      <c r="D1352" s="78"/>
      <c r="E1352" s="77"/>
      <c r="F1352" s="77"/>
      <c r="G1352" s="77"/>
      <c r="H1352" s="77"/>
      <c r="I1352" s="77"/>
      <c r="J1352" s="77"/>
      <c r="K1352" s="79"/>
      <c r="L1352" s="49">
        <f t="shared" si="86"/>
        <v>0</v>
      </c>
      <c r="M1352" s="50">
        <f t="shared" si="87"/>
        <v>0</v>
      </c>
    </row>
    <row r="1353" spans="1:13" x14ac:dyDescent="0.2">
      <c r="A1353" s="18"/>
      <c r="B1353" s="77"/>
      <c r="C1353" s="77"/>
      <c r="D1353" s="78"/>
      <c r="E1353" s="77"/>
      <c r="F1353" s="77"/>
      <c r="G1353" s="77"/>
      <c r="H1353" s="77"/>
      <c r="I1353" s="77"/>
      <c r="J1353" s="77"/>
      <c r="K1353" s="79"/>
      <c r="L1353" s="49">
        <f t="shared" ref="L1353:L1383" si="88">+K1353*18%</f>
        <v>0</v>
      </c>
      <c r="M1353" s="50">
        <f t="shared" ref="M1353:M1383" si="89">+K1353+L1353</f>
        <v>0</v>
      </c>
    </row>
    <row r="1354" spans="1:13" x14ac:dyDescent="0.2">
      <c r="A1354" s="18"/>
      <c r="B1354" s="77"/>
      <c r="C1354" s="77"/>
      <c r="D1354" s="78"/>
      <c r="E1354" s="77"/>
      <c r="F1354" s="77"/>
      <c r="G1354" s="77"/>
      <c r="H1354" s="77"/>
      <c r="I1354" s="77"/>
      <c r="J1354" s="77"/>
      <c r="K1354" s="79"/>
      <c r="L1354" s="49">
        <f t="shared" si="88"/>
        <v>0</v>
      </c>
      <c r="M1354" s="50">
        <f t="shared" si="89"/>
        <v>0</v>
      </c>
    </row>
    <row r="1355" spans="1:13" x14ac:dyDescent="0.2">
      <c r="A1355" s="18"/>
      <c r="B1355" s="77"/>
      <c r="C1355" s="77"/>
      <c r="D1355" s="78"/>
      <c r="E1355" s="77"/>
      <c r="F1355" s="77"/>
      <c r="G1355" s="77"/>
      <c r="H1355" s="77"/>
      <c r="I1355" s="77"/>
      <c r="J1355" s="77"/>
      <c r="K1355" s="79"/>
      <c r="L1355" s="49">
        <f t="shared" si="88"/>
        <v>0</v>
      </c>
      <c r="M1355" s="50">
        <f t="shared" si="89"/>
        <v>0</v>
      </c>
    </row>
    <row r="1356" spans="1:13" x14ac:dyDescent="0.2">
      <c r="A1356" s="18"/>
      <c r="B1356" s="77"/>
      <c r="C1356" s="77"/>
      <c r="D1356" s="78"/>
      <c r="E1356" s="77"/>
      <c r="F1356" s="77"/>
      <c r="G1356" s="77"/>
      <c r="H1356" s="77"/>
      <c r="I1356" s="77"/>
      <c r="J1356" s="77"/>
      <c r="K1356" s="79"/>
      <c r="L1356" s="49">
        <f t="shared" si="88"/>
        <v>0</v>
      </c>
      <c r="M1356" s="50">
        <f t="shared" si="89"/>
        <v>0</v>
      </c>
    </row>
    <row r="1357" spans="1:13" x14ac:dyDescent="0.2">
      <c r="A1357" s="18"/>
      <c r="B1357" s="77"/>
      <c r="C1357" s="77"/>
      <c r="D1357" s="78"/>
      <c r="E1357" s="77"/>
      <c r="F1357" s="77"/>
      <c r="G1357" s="77"/>
      <c r="H1357" s="77"/>
      <c r="I1357" s="77"/>
      <c r="J1357" s="77"/>
      <c r="K1357" s="79"/>
      <c r="L1357" s="49">
        <f t="shared" si="88"/>
        <v>0</v>
      </c>
      <c r="M1357" s="50">
        <f t="shared" si="89"/>
        <v>0</v>
      </c>
    </row>
    <row r="1358" spans="1:13" x14ac:dyDescent="0.2">
      <c r="A1358" s="18"/>
      <c r="B1358" s="77"/>
      <c r="C1358" s="77"/>
      <c r="D1358" s="78"/>
      <c r="E1358" s="77"/>
      <c r="F1358" s="77"/>
      <c r="G1358" s="77"/>
      <c r="H1358" s="77"/>
      <c r="I1358" s="77"/>
      <c r="J1358" s="77"/>
      <c r="K1358" s="79"/>
      <c r="L1358" s="49">
        <f t="shared" si="88"/>
        <v>0</v>
      </c>
      <c r="M1358" s="50">
        <f t="shared" si="89"/>
        <v>0</v>
      </c>
    </row>
    <row r="1359" spans="1:13" x14ac:dyDescent="0.2">
      <c r="A1359" s="18"/>
      <c r="B1359" s="77"/>
      <c r="C1359" s="77"/>
      <c r="D1359" s="78"/>
      <c r="E1359" s="77"/>
      <c r="F1359" s="77"/>
      <c r="G1359" s="77"/>
      <c r="H1359" s="77"/>
      <c r="I1359" s="77"/>
      <c r="J1359" s="77"/>
      <c r="K1359" s="79"/>
      <c r="L1359" s="49">
        <f t="shared" si="88"/>
        <v>0</v>
      </c>
      <c r="M1359" s="50">
        <f t="shared" si="89"/>
        <v>0</v>
      </c>
    </row>
    <row r="1360" spans="1:13" x14ac:dyDescent="0.2">
      <c r="A1360" s="18"/>
      <c r="B1360" s="77"/>
      <c r="C1360" s="77"/>
      <c r="D1360" s="78"/>
      <c r="E1360" s="77"/>
      <c r="F1360" s="77"/>
      <c r="G1360" s="77"/>
      <c r="H1360" s="77"/>
      <c r="I1360" s="77"/>
      <c r="J1360" s="77"/>
      <c r="K1360" s="79"/>
      <c r="L1360" s="49">
        <f t="shared" si="88"/>
        <v>0</v>
      </c>
      <c r="M1360" s="50">
        <f t="shared" si="89"/>
        <v>0</v>
      </c>
    </row>
    <row r="1361" spans="1:13" x14ac:dyDescent="0.2">
      <c r="A1361" s="18"/>
      <c r="B1361" s="77"/>
      <c r="C1361" s="77"/>
      <c r="D1361" s="78"/>
      <c r="E1361" s="77"/>
      <c r="F1361" s="77"/>
      <c r="G1361" s="77"/>
      <c r="H1361" s="77"/>
      <c r="I1361" s="77"/>
      <c r="J1361" s="77"/>
      <c r="K1361" s="79"/>
      <c r="L1361" s="49">
        <f t="shared" si="88"/>
        <v>0</v>
      </c>
      <c r="M1361" s="50">
        <f t="shared" si="89"/>
        <v>0</v>
      </c>
    </row>
    <row r="1362" spans="1:13" x14ac:dyDescent="0.2">
      <c r="A1362" s="18"/>
      <c r="B1362" s="77"/>
      <c r="C1362" s="77"/>
      <c r="D1362" s="78"/>
      <c r="E1362" s="77"/>
      <c r="F1362" s="77"/>
      <c r="G1362" s="77"/>
      <c r="H1362" s="77"/>
      <c r="I1362" s="77"/>
      <c r="J1362" s="77"/>
      <c r="K1362" s="79"/>
      <c r="L1362" s="49">
        <f t="shared" si="88"/>
        <v>0</v>
      </c>
      <c r="M1362" s="50">
        <f t="shared" si="89"/>
        <v>0</v>
      </c>
    </row>
    <row r="1363" spans="1:13" x14ac:dyDescent="0.2">
      <c r="A1363" s="18"/>
      <c r="B1363" s="77"/>
      <c r="C1363" s="77"/>
      <c r="D1363" s="78"/>
      <c r="E1363" s="77"/>
      <c r="F1363" s="77"/>
      <c r="G1363" s="77"/>
      <c r="H1363" s="77"/>
      <c r="I1363" s="77"/>
      <c r="J1363" s="77"/>
      <c r="K1363" s="79"/>
      <c r="L1363" s="49">
        <f t="shared" si="88"/>
        <v>0</v>
      </c>
      <c r="M1363" s="50">
        <f t="shared" si="89"/>
        <v>0</v>
      </c>
    </row>
    <row r="1364" spans="1:13" x14ac:dyDescent="0.2">
      <c r="A1364" s="18"/>
      <c r="B1364" s="77"/>
      <c r="C1364" s="77"/>
      <c r="D1364" s="78"/>
      <c r="E1364" s="77"/>
      <c r="F1364" s="77"/>
      <c r="G1364" s="77"/>
      <c r="H1364" s="77"/>
      <c r="I1364" s="77"/>
      <c r="J1364" s="77"/>
      <c r="K1364" s="79"/>
      <c r="L1364" s="49">
        <f t="shared" si="88"/>
        <v>0</v>
      </c>
      <c r="M1364" s="50">
        <f t="shared" si="89"/>
        <v>0</v>
      </c>
    </row>
    <row r="1365" spans="1:13" x14ac:dyDescent="0.2">
      <c r="A1365" s="18"/>
      <c r="B1365" s="77"/>
      <c r="C1365" s="77"/>
      <c r="D1365" s="78"/>
      <c r="E1365" s="77"/>
      <c r="F1365" s="77"/>
      <c r="G1365" s="77"/>
      <c r="H1365" s="77"/>
      <c r="I1365" s="77"/>
      <c r="J1365" s="77"/>
      <c r="K1365" s="79"/>
      <c r="L1365" s="49">
        <f t="shared" si="88"/>
        <v>0</v>
      </c>
      <c r="M1365" s="50">
        <f t="shared" si="89"/>
        <v>0</v>
      </c>
    </row>
    <row r="1366" spans="1:13" x14ac:dyDescent="0.2">
      <c r="A1366" s="18"/>
      <c r="B1366" s="77"/>
      <c r="C1366" s="77"/>
      <c r="D1366" s="78"/>
      <c r="E1366" s="77"/>
      <c r="F1366" s="77"/>
      <c r="G1366" s="77"/>
      <c r="H1366" s="77"/>
      <c r="I1366" s="77"/>
      <c r="J1366" s="77"/>
      <c r="K1366" s="79"/>
      <c r="L1366" s="49">
        <f t="shared" si="88"/>
        <v>0</v>
      </c>
      <c r="M1366" s="50">
        <f t="shared" si="89"/>
        <v>0</v>
      </c>
    </row>
    <row r="1367" spans="1:13" x14ac:dyDescent="0.2">
      <c r="A1367" s="18"/>
      <c r="B1367" s="77"/>
      <c r="C1367" s="77"/>
      <c r="D1367" s="78"/>
      <c r="E1367" s="77"/>
      <c r="F1367" s="77"/>
      <c r="G1367" s="77"/>
      <c r="H1367" s="77"/>
      <c r="I1367" s="77"/>
      <c r="J1367" s="77"/>
      <c r="K1367" s="79"/>
      <c r="L1367" s="49">
        <f t="shared" si="88"/>
        <v>0</v>
      </c>
      <c r="M1367" s="50">
        <f t="shared" si="89"/>
        <v>0</v>
      </c>
    </row>
    <row r="1368" spans="1:13" x14ac:dyDescent="0.2">
      <c r="A1368" s="18"/>
      <c r="B1368" s="77"/>
      <c r="C1368" s="77"/>
      <c r="D1368" s="78"/>
      <c r="E1368" s="77"/>
      <c r="F1368" s="77"/>
      <c r="G1368" s="77"/>
      <c r="H1368" s="77"/>
      <c r="I1368" s="77"/>
      <c r="J1368" s="77"/>
      <c r="K1368" s="79"/>
      <c r="L1368" s="49">
        <f t="shared" si="88"/>
        <v>0</v>
      </c>
      <c r="M1368" s="50">
        <f t="shared" si="89"/>
        <v>0</v>
      </c>
    </row>
    <row r="1369" spans="1:13" x14ac:dyDescent="0.2">
      <c r="A1369" s="18"/>
      <c r="B1369" s="77"/>
      <c r="C1369" s="77"/>
      <c r="D1369" s="78"/>
      <c r="E1369" s="77"/>
      <c r="F1369" s="77"/>
      <c r="G1369" s="77"/>
      <c r="H1369" s="77"/>
      <c r="I1369" s="77"/>
      <c r="J1369" s="77"/>
      <c r="K1369" s="79"/>
      <c r="L1369" s="49">
        <f t="shared" si="88"/>
        <v>0</v>
      </c>
      <c r="M1369" s="50">
        <f t="shared" si="89"/>
        <v>0</v>
      </c>
    </row>
    <row r="1370" spans="1:13" x14ac:dyDescent="0.2">
      <c r="A1370" s="18"/>
      <c r="B1370" s="77"/>
      <c r="C1370" s="77"/>
      <c r="D1370" s="78"/>
      <c r="E1370" s="77"/>
      <c r="F1370" s="77"/>
      <c r="G1370" s="77"/>
      <c r="H1370" s="77"/>
      <c r="I1370" s="77"/>
      <c r="J1370" s="77"/>
      <c r="K1370" s="79"/>
      <c r="L1370" s="49">
        <f t="shared" si="88"/>
        <v>0</v>
      </c>
      <c r="M1370" s="50">
        <f t="shared" si="89"/>
        <v>0</v>
      </c>
    </row>
    <row r="1371" spans="1:13" x14ac:dyDescent="0.2">
      <c r="A1371" s="18"/>
      <c r="B1371" s="77"/>
      <c r="C1371" s="77"/>
      <c r="D1371" s="78"/>
      <c r="E1371" s="77"/>
      <c r="F1371" s="77"/>
      <c r="G1371" s="77"/>
      <c r="H1371" s="77"/>
      <c r="I1371" s="77"/>
      <c r="J1371" s="77"/>
      <c r="K1371" s="79"/>
      <c r="L1371" s="49">
        <f t="shared" si="88"/>
        <v>0</v>
      </c>
      <c r="M1371" s="50">
        <f t="shared" si="89"/>
        <v>0</v>
      </c>
    </row>
    <row r="1372" spans="1:13" x14ac:dyDescent="0.2">
      <c r="A1372" s="18"/>
      <c r="B1372" s="77"/>
      <c r="C1372" s="77"/>
      <c r="D1372" s="78"/>
      <c r="E1372" s="77"/>
      <c r="F1372" s="77"/>
      <c r="G1372" s="77"/>
      <c r="H1372" s="77"/>
      <c r="I1372" s="77"/>
      <c r="J1372" s="77"/>
      <c r="K1372" s="79"/>
      <c r="L1372" s="49">
        <f t="shared" si="88"/>
        <v>0</v>
      </c>
      <c r="M1372" s="50">
        <f t="shared" si="89"/>
        <v>0</v>
      </c>
    </row>
    <row r="1373" spans="1:13" x14ac:dyDescent="0.2">
      <c r="A1373" s="18"/>
      <c r="B1373" s="77"/>
      <c r="C1373" s="77"/>
      <c r="D1373" s="78"/>
      <c r="E1373" s="77"/>
      <c r="F1373" s="77"/>
      <c r="G1373" s="77"/>
      <c r="H1373" s="77"/>
      <c r="I1373" s="77"/>
      <c r="J1373" s="77"/>
      <c r="K1373" s="79"/>
      <c r="L1373" s="49">
        <f t="shared" si="88"/>
        <v>0</v>
      </c>
      <c r="M1373" s="50">
        <f t="shared" si="89"/>
        <v>0</v>
      </c>
    </row>
    <row r="1374" spans="1:13" x14ac:dyDescent="0.2">
      <c r="A1374" s="18"/>
      <c r="B1374" s="77"/>
      <c r="C1374" s="77"/>
      <c r="D1374" s="78"/>
      <c r="E1374" s="77"/>
      <c r="F1374" s="77"/>
      <c r="G1374" s="77"/>
      <c r="H1374" s="77"/>
      <c r="I1374" s="77"/>
      <c r="J1374" s="77"/>
      <c r="K1374" s="79"/>
      <c r="L1374" s="49">
        <f t="shared" si="88"/>
        <v>0</v>
      </c>
      <c r="M1374" s="50">
        <f t="shared" si="89"/>
        <v>0</v>
      </c>
    </row>
    <row r="1375" spans="1:13" x14ac:dyDescent="0.2">
      <c r="A1375" s="18"/>
      <c r="B1375" s="77"/>
      <c r="C1375" s="77"/>
      <c r="D1375" s="78"/>
      <c r="E1375" s="77"/>
      <c r="F1375" s="77"/>
      <c r="G1375" s="77"/>
      <c r="H1375" s="77"/>
      <c r="I1375" s="77"/>
      <c r="J1375" s="77"/>
      <c r="K1375" s="79"/>
      <c r="L1375" s="49">
        <f t="shared" si="88"/>
        <v>0</v>
      </c>
      <c r="M1375" s="50">
        <f t="shared" si="89"/>
        <v>0</v>
      </c>
    </row>
    <row r="1376" spans="1:13" x14ac:dyDescent="0.2">
      <c r="A1376" s="18"/>
      <c r="B1376" s="77"/>
      <c r="C1376" s="77"/>
      <c r="D1376" s="78"/>
      <c r="E1376" s="77"/>
      <c r="F1376" s="77"/>
      <c r="G1376" s="77"/>
      <c r="H1376" s="77"/>
      <c r="I1376" s="77"/>
      <c r="J1376" s="77"/>
      <c r="K1376" s="79"/>
      <c r="L1376" s="49">
        <f t="shared" si="88"/>
        <v>0</v>
      </c>
      <c r="M1376" s="50">
        <f t="shared" si="89"/>
        <v>0</v>
      </c>
    </row>
    <row r="1377" spans="1:13" x14ac:dyDescent="0.2">
      <c r="A1377" s="18"/>
      <c r="B1377" s="77"/>
      <c r="C1377" s="77"/>
      <c r="D1377" s="78"/>
      <c r="E1377" s="77"/>
      <c r="F1377" s="77"/>
      <c r="G1377" s="77"/>
      <c r="H1377" s="77"/>
      <c r="I1377" s="77"/>
      <c r="J1377" s="77"/>
      <c r="K1377" s="79"/>
      <c r="L1377" s="49">
        <f t="shared" si="88"/>
        <v>0</v>
      </c>
      <c r="M1377" s="50">
        <f t="shared" si="89"/>
        <v>0</v>
      </c>
    </row>
    <row r="1378" spans="1:13" x14ac:dyDescent="0.2">
      <c r="A1378" s="18"/>
      <c r="B1378" s="77"/>
      <c r="C1378" s="77"/>
      <c r="D1378" s="78"/>
      <c r="E1378" s="77"/>
      <c r="F1378" s="77"/>
      <c r="G1378" s="77"/>
      <c r="H1378" s="77"/>
      <c r="I1378" s="77"/>
      <c r="J1378" s="77"/>
      <c r="K1378" s="79"/>
      <c r="L1378" s="49">
        <f t="shared" si="88"/>
        <v>0</v>
      </c>
      <c r="M1378" s="50">
        <f t="shared" si="89"/>
        <v>0</v>
      </c>
    </row>
    <row r="1379" spans="1:13" x14ac:dyDescent="0.2">
      <c r="A1379" s="18"/>
      <c r="B1379" s="77"/>
      <c r="C1379" s="77"/>
      <c r="D1379" s="78"/>
      <c r="E1379" s="77"/>
      <c r="F1379" s="77"/>
      <c r="G1379" s="77"/>
      <c r="H1379" s="77"/>
      <c r="I1379" s="77"/>
      <c r="J1379" s="77"/>
      <c r="K1379" s="79"/>
      <c r="L1379" s="49">
        <f t="shared" si="88"/>
        <v>0</v>
      </c>
      <c r="M1379" s="50">
        <f t="shared" si="89"/>
        <v>0</v>
      </c>
    </row>
    <row r="1380" spans="1:13" x14ac:dyDescent="0.2">
      <c r="A1380" s="18"/>
      <c r="B1380" s="77"/>
      <c r="C1380" s="77"/>
      <c r="D1380" s="78"/>
      <c r="E1380" s="77"/>
      <c r="F1380" s="77"/>
      <c r="G1380" s="77"/>
      <c r="H1380" s="77"/>
      <c r="I1380" s="77"/>
      <c r="J1380" s="77"/>
      <c r="K1380" s="79"/>
      <c r="L1380" s="49">
        <f t="shared" si="88"/>
        <v>0</v>
      </c>
      <c r="M1380" s="50">
        <f t="shared" si="89"/>
        <v>0</v>
      </c>
    </row>
    <row r="1381" spans="1:13" x14ac:dyDescent="0.2">
      <c r="A1381" s="18"/>
      <c r="B1381" s="77"/>
      <c r="C1381" s="77"/>
      <c r="D1381" s="78"/>
      <c r="E1381" s="77"/>
      <c r="F1381" s="77"/>
      <c r="G1381" s="77"/>
      <c r="H1381" s="77"/>
      <c r="I1381" s="77"/>
      <c r="J1381" s="77"/>
      <c r="K1381" s="79"/>
      <c r="L1381" s="49">
        <f t="shared" si="88"/>
        <v>0</v>
      </c>
      <c r="M1381" s="50">
        <f t="shared" si="89"/>
        <v>0</v>
      </c>
    </row>
    <row r="1382" spans="1:13" x14ac:dyDescent="0.2">
      <c r="A1382" s="18"/>
      <c r="B1382" s="77"/>
      <c r="C1382" s="77"/>
      <c r="D1382" s="78"/>
      <c r="E1382" s="77"/>
      <c r="F1382" s="77"/>
      <c r="G1382" s="77"/>
      <c r="H1382" s="77"/>
      <c r="I1382" s="77"/>
      <c r="J1382" s="77"/>
      <c r="K1382" s="79"/>
      <c r="L1382" s="49">
        <f t="shared" si="88"/>
        <v>0</v>
      </c>
      <c r="M1382" s="50">
        <f t="shared" si="89"/>
        <v>0</v>
      </c>
    </row>
    <row r="1383" spans="1:13" x14ac:dyDescent="0.2">
      <c r="A1383" s="18"/>
      <c r="B1383" s="77"/>
      <c r="C1383" s="77"/>
      <c r="D1383" s="78"/>
      <c r="E1383" s="77"/>
      <c r="F1383" s="77"/>
      <c r="G1383" s="77"/>
      <c r="H1383" s="77"/>
      <c r="I1383" s="77"/>
      <c r="J1383" s="77"/>
      <c r="K1383" s="79"/>
      <c r="L1383" s="49">
        <f t="shared" si="88"/>
        <v>0</v>
      </c>
      <c r="M1383" s="50">
        <f t="shared" si="89"/>
        <v>0</v>
      </c>
    </row>
    <row r="1384" spans="1:13" x14ac:dyDescent="0.2">
      <c r="A1384" s="18"/>
      <c r="B1384" s="77"/>
      <c r="C1384" s="77"/>
      <c r="D1384" s="78"/>
      <c r="E1384" s="77"/>
      <c r="F1384" s="77"/>
      <c r="G1384" s="77"/>
      <c r="H1384" s="77"/>
      <c r="I1384" s="77"/>
      <c r="J1384" s="77"/>
      <c r="K1384" s="79"/>
      <c r="L1384" s="49">
        <f t="shared" ref="L1384:L1399" si="90">+K1384*18%</f>
        <v>0</v>
      </c>
      <c r="M1384" s="50">
        <f t="shared" ref="M1384:M1399" si="91">+K1384+L1384</f>
        <v>0</v>
      </c>
    </row>
    <row r="1385" spans="1:13" x14ac:dyDescent="0.2">
      <c r="A1385" s="18"/>
      <c r="B1385" s="77"/>
      <c r="C1385" s="77"/>
      <c r="D1385" s="78"/>
      <c r="E1385" s="77"/>
      <c r="F1385" s="77"/>
      <c r="G1385" s="77"/>
      <c r="H1385" s="77"/>
      <c r="I1385" s="77"/>
      <c r="J1385" s="77"/>
      <c r="K1385" s="79"/>
      <c r="L1385" s="49">
        <f t="shared" si="90"/>
        <v>0</v>
      </c>
      <c r="M1385" s="50">
        <f t="shared" si="91"/>
        <v>0</v>
      </c>
    </row>
    <row r="1386" spans="1:13" x14ac:dyDescent="0.2">
      <c r="A1386" s="18"/>
      <c r="B1386" s="77"/>
      <c r="C1386" s="77"/>
      <c r="D1386" s="78"/>
      <c r="E1386" s="77"/>
      <c r="F1386" s="77"/>
      <c r="G1386" s="77"/>
      <c r="H1386" s="77"/>
      <c r="I1386" s="77"/>
      <c r="J1386" s="77"/>
      <c r="K1386" s="79"/>
      <c r="L1386" s="49">
        <f t="shared" si="90"/>
        <v>0</v>
      </c>
      <c r="M1386" s="50">
        <f t="shared" si="91"/>
        <v>0</v>
      </c>
    </row>
    <row r="1387" spans="1:13" x14ac:dyDescent="0.2">
      <c r="A1387" s="18"/>
      <c r="B1387" s="77"/>
      <c r="C1387" s="77"/>
      <c r="D1387" s="78"/>
      <c r="E1387" s="77"/>
      <c r="F1387" s="77"/>
      <c r="G1387" s="77"/>
      <c r="H1387" s="77"/>
      <c r="I1387" s="77"/>
      <c r="J1387" s="77"/>
      <c r="K1387" s="79"/>
      <c r="L1387" s="49">
        <f t="shared" si="90"/>
        <v>0</v>
      </c>
      <c r="M1387" s="50">
        <f t="shared" si="91"/>
        <v>0</v>
      </c>
    </row>
    <row r="1388" spans="1:13" x14ac:dyDescent="0.2">
      <c r="A1388" s="18"/>
      <c r="B1388" s="77"/>
      <c r="C1388" s="77"/>
      <c r="D1388" s="78"/>
      <c r="E1388" s="77"/>
      <c r="F1388" s="77"/>
      <c r="G1388" s="77"/>
      <c r="H1388" s="77"/>
      <c r="I1388" s="77"/>
      <c r="J1388" s="77"/>
      <c r="K1388" s="79"/>
      <c r="L1388" s="49">
        <f t="shared" si="90"/>
        <v>0</v>
      </c>
      <c r="M1388" s="50">
        <f t="shared" si="91"/>
        <v>0</v>
      </c>
    </row>
    <row r="1389" spans="1:13" x14ac:dyDescent="0.2">
      <c r="A1389" s="18"/>
      <c r="B1389" s="77"/>
      <c r="C1389" s="77"/>
      <c r="D1389" s="78"/>
      <c r="E1389" s="77"/>
      <c r="F1389" s="77"/>
      <c r="G1389" s="77"/>
      <c r="H1389" s="77"/>
      <c r="I1389" s="77"/>
      <c r="J1389" s="77"/>
      <c r="K1389" s="79"/>
      <c r="L1389" s="49">
        <f t="shared" si="90"/>
        <v>0</v>
      </c>
      <c r="M1389" s="50">
        <f t="shared" si="91"/>
        <v>0</v>
      </c>
    </row>
    <row r="1390" spans="1:13" x14ac:dyDescent="0.2">
      <c r="A1390" s="18"/>
      <c r="B1390" s="77"/>
      <c r="C1390" s="77"/>
      <c r="D1390" s="78"/>
      <c r="E1390" s="77"/>
      <c r="F1390" s="77"/>
      <c r="G1390" s="77"/>
      <c r="H1390" s="77"/>
      <c r="I1390" s="77"/>
      <c r="J1390" s="77"/>
      <c r="K1390" s="79"/>
      <c r="L1390" s="49">
        <f t="shared" si="90"/>
        <v>0</v>
      </c>
      <c r="M1390" s="50">
        <f t="shared" si="91"/>
        <v>0</v>
      </c>
    </row>
    <row r="1391" spans="1:13" x14ac:dyDescent="0.2">
      <c r="A1391" s="18"/>
      <c r="B1391" s="77"/>
      <c r="C1391" s="77"/>
      <c r="D1391" s="78"/>
      <c r="E1391" s="77"/>
      <c r="F1391" s="77"/>
      <c r="G1391" s="77"/>
      <c r="H1391" s="77"/>
      <c r="I1391" s="77"/>
      <c r="J1391" s="77"/>
      <c r="K1391" s="79"/>
      <c r="L1391" s="49">
        <f t="shared" si="90"/>
        <v>0</v>
      </c>
      <c r="M1391" s="50">
        <f t="shared" si="91"/>
        <v>0</v>
      </c>
    </row>
    <row r="1392" spans="1:13" x14ac:dyDescent="0.2">
      <c r="A1392" s="18"/>
      <c r="B1392" s="77"/>
      <c r="C1392" s="77"/>
      <c r="D1392" s="78"/>
      <c r="E1392" s="77"/>
      <c r="F1392" s="77"/>
      <c r="G1392" s="77"/>
      <c r="H1392" s="77"/>
      <c r="I1392" s="77"/>
      <c r="J1392" s="77"/>
      <c r="K1392" s="79"/>
      <c r="L1392" s="49">
        <f t="shared" si="90"/>
        <v>0</v>
      </c>
      <c r="M1392" s="50">
        <f t="shared" si="91"/>
        <v>0</v>
      </c>
    </row>
    <row r="1393" spans="1:13" x14ac:dyDescent="0.2">
      <c r="A1393" s="18"/>
      <c r="B1393" s="77"/>
      <c r="C1393" s="77"/>
      <c r="D1393" s="78"/>
      <c r="E1393" s="77"/>
      <c r="F1393" s="77"/>
      <c r="G1393" s="77"/>
      <c r="H1393" s="77"/>
      <c r="I1393" s="77"/>
      <c r="J1393" s="77"/>
      <c r="K1393" s="79"/>
      <c r="L1393" s="49">
        <f t="shared" si="90"/>
        <v>0</v>
      </c>
      <c r="M1393" s="50">
        <f t="shared" si="91"/>
        <v>0</v>
      </c>
    </row>
    <row r="1394" spans="1:13" x14ac:dyDescent="0.2">
      <c r="A1394" s="18"/>
      <c r="B1394" s="77"/>
      <c r="C1394" s="77"/>
      <c r="D1394" s="78"/>
      <c r="E1394" s="77"/>
      <c r="F1394" s="77"/>
      <c r="G1394" s="77"/>
      <c r="H1394" s="77"/>
      <c r="I1394" s="77"/>
      <c r="J1394" s="77"/>
      <c r="K1394" s="79"/>
      <c r="L1394" s="49">
        <f t="shared" si="90"/>
        <v>0</v>
      </c>
      <c r="M1394" s="50">
        <f t="shared" si="91"/>
        <v>0</v>
      </c>
    </row>
    <row r="1395" spans="1:13" x14ac:dyDescent="0.2">
      <c r="A1395" s="18"/>
      <c r="B1395" s="77"/>
      <c r="C1395" s="77"/>
      <c r="D1395" s="78"/>
      <c r="E1395" s="77"/>
      <c r="F1395" s="77"/>
      <c r="G1395" s="77"/>
      <c r="H1395" s="77"/>
      <c r="I1395" s="77"/>
      <c r="J1395" s="77"/>
      <c r="K1395" s="79"/>
      <c r="L1395" s="49">
        <f t="shared" si="90"/>
        <v>0</v>
      </c>
      <c r="M1395" s="50">
        <f t="shared" si="91"/>
        <v>0</v>
      </c>
    </row>
    <row r="1396" spans="1:13" x14ac:dyDescent="0.2">
      <c r="A1396" s="18"/>
      <c r="B1396" s="77"/>
      <c r="C1396" s="77"/>
      <c r="D1396" s="78"/>
      <c r="E1396" s="77"/>
      <c r="F1396" s="77"/>
      <c r="G1396" s="77"/>
      <c r="H1396" s="77"/>
      <c r="I1396" s="77"/>
      <c r="J1396" s="77"/>
      <c r="K1396" s="79"/>
      <c r="L1396" s="49">
        <f t="shared" si="90"/>
        <v>0</v>
      </c>
      <c r="M1396" s="50">
        <f t="shared" si="91"/>
        <v>0</v>
      </c>
    </row>
    <row r="1397" spans="1:13" x14ac:dyDescent="0.2">
      <c r="A1397" s="18"/>
      <c r="B1397" s="77"/>
      <c r="C1397" s="77"/>
      <c r="D1397" s="78"/>
      <c r="E1397" s="77"/>
      <c r="F1397" s="77"/>
      <c r="G1397" s="77"/>
      <c r="H1397" s="77"/>
      <c r="I1397" s="77"/>
      <c r="J1397" s="77"/>
      <c r="K1397" s="79"/>
      <c r="L1397" s="49">
        <f t="shared" si="90"/>
        <v>0</v>
      </c>
      <c r="M1397" s="50">
        <f t="shared" si="91"/>
        <v>0</v>
      </c>
    </row>
    <row r="1398" spans="1:13" x14ac:dyDescent="0.2">
      <c r="A1398" s="18"/>
      <c r="B1398" s="77"/>
      <c r="C1398" s="77"/>
      <c r="D1398" s="78"/>
      <c r="E1398" s="77"/>
      <c r="F1398" s="77"/>
      <c r="G1398" s="77"/>
      <c r="H1398" s="77"/>
      <c r="I1398" s="77"/>
      <c r="J1398" s="77"/>
      <c r="K1398" s="79"/>
      <c r="L1398" s="49">
        <f t="shared" si="90"/>
        <v>0</v>
      </c>
      <c r="M1398" s="50">
        <f t="shared" si="91"/>
        <v>0</v>
      </c>
    </row>
    <row r="1399" spans="1:13" x14ac:dyDescent="0.2">
      <c r="A1399" s="18"/>
      <c r="B1399" s="77"/>
      <c r="C1399" s="77"/>
      <c r="D1399" s="78"/>
      <c r="E1399" s="77"/>
      <c r="F1399" s="77"/>
      <c r="G1399" s="77"/>
      <c r="H1399" s="77"/>
      <c r="I1399" s="77"/>
      <c r="J1399" s="77"/>
      <c r="K1399" s="79"/>
      <c r="L1399" s="49">
        <f t="shared" si="90"/>
        <v>0</v>
      </c>
      <c r="M1399" s="50">
        <f t="shared" si="91"/>
        <v>0</v>
      </c>
    </row>
    <row r="1400" spans="1:13" x14ac:dyDescent="0.2">
      <c r="A1400" s="18"/>
      <c r="B1400" s="77"/>
      <c r="C1400" s="77"/>
      <c r="D1400" s="78"/>
      <c r="E1400" s="77"/>
      <c r="F1400" s="77"/>
      <c r="G1400" s="77"/>
      <c r="H1400" s="77"/>
      <c r="I1400" s="77"/>
      <c r="J1400" s="77"/>
      <c r="K1400" s="79"/>
      <c r="L1400" s="49">
        <f t="shared" ref="L1400:L1406" si="92">+K1400*18%</f>
        <v>0</v>
      </c>
      <c r="M1400" s="50">
        <f t="shared" ref="M1400:M1406" si="93">+K1400+L1400</f>
        <v>0</v>
      </c>
    </row>
    <row r="1401" spans="1:13" x14ac:dyDescent="0.2">
      <c r="A1401" s="18"/>
      <c r="B1401" s="77"/>
      <c r="C1401" s="77"/>
      <c r="D1401" s="78"/>
      <c r="E1401" s="77"/>
      <c r="F1401" s="77"/>
      <c r="G1401" s="77"/>
      <c r="H1401" s="77"/>
      <c r="I1401" s="77"/>
      <c r="J1401" s="77"/>
      <c r="K1401" s="79"/>
      <c r="L1401" s="49">
        <f t="shared" si="92"/>
        <v>0</v>
      </c>
      <c r="M1401" s="50">
        <f t="shared" si="93"/>
        <v>0</v>
      </c>
    </row>
    <row r="1402" spans="1:13" x14ac:dyDescent="0.2">
      <c r="A1402" s="18"/>
      <c r="B1402" s="77"/>
      <c r="C1402" s="77"/>
      <c r="D1402" s="78"/>
      <c r="E1402" s="77"/>
      <c r="F1402" s="77"/>
      <c r="G1402" s="77"/>
      <c r="H1402" s="77"/>
      <c r="I1402" s="77"/>
      <c r="J1402" s="77"/>
      <c r="K1402" s="79"/>
      <c r="L1402" s="49">
        <f t="shared" si="92"/>
        <v>0</v>
      </c>
      <c r="M1402" s="50">
        <f t="shared" si="93"/>
        <v>0</v>
      </c>
    </row>
    <row r="1403" spans="1:13" x14ac:dyDescent="0.2">
      <c r="A1403" s="18"/>
      <c r="B1403" s="77"/>
      <c r="C1403" s="77"/>
      <c r="D1403" s="78"/>
      <c r="E1403" s="77"/>
      <c r="F1403" s="77"/>
      <c r="G1403" s="77"/>
      <c r="H1403" s="77"/>
      <c r="I1403" s="77"/>
      <c r="J1403" s="77"/>
      <c r="K1403" s="79"/>
      <c r="L1403" s="49">
        <f t="shared" si="92"/>
        <v>0</v>
      </c>
      <c r="M1403" s="50">
        <f t="shared" si="93"/>
        <v>0</v>
      </c>
    </row>
    <row r="1404" spans="1:13" x14ac:dyDescent="0.2">
      <c r="A1404" s="18"/>
      <c r="B1404" s="77"/>
      <c r="C1404" s="77"/>
      <c r="D1404" s="78"/>
      <c r="E1404" s="77"/>
      <c r="F1404" s="77"/>
      <c r="G1404" s="77"/>
      <c r="H1404" s="77"/>
      <c r="I1404" s="77"/>
      <c r="J1404" s="77"/>
      <c r="K1404" s="79"/>
      <c r="L1404" s="49">
        <f t="shared" si="92"/>
        <v>0</v>
      </c>
      <c r="M1404" s="50">
        <f t="shared" si="93"/>
        <v>0</v>
      </c>
    </row>
    <row r="1405" spans="1:13" x14ac:dyDescent="0.2">
      <c r="A1405" s="18"/>
      <c r="B1405" s="77"/>
      <c r="C1405" s="77"/>
      <c r="D1405" s="78"/>
      <c r="E1405" s="77"/>
      <c r="F1405" s="77"/>
      <c r="G1405" s="77"/>
      <c r="H1405" s="77"/>
      <c r="I1405" s="77"/>
      <c r="J1405" s="77"/>
      <c r="K1405" s="79"/>
      <c r="L1405" s="49">
        <f t="shared" si="92"/>
        <v>0</v>
      </c>
      <c r="M1405" s="50">
        <f t="shared" si="93"/>
        <v>0</v>
      </c>
    </row>
    <row r="1406" spans="1:13" x14ac:dyDescent="0.2">
      <c r="A1406" s="18"/>
      <c r="B1406" s="77"/>
      <c r="C1406" s="77"/>
      <c r="D1406" s="78"/>
      <c r="E1406" s="77"/>
      <c r="F1406" s="77"/>
      <c r="G1406" s="77"/>
      <c r="H1406" s="77"/>
      <c r="I1406" s="77"/>
      <c r="J1406" s="77"/>
      <c r="K1406" s="79"/>
      <c r="L1406" s="49">
        <f t="shared" si="92"/>
        <v>0</v>
      </c>
      <c r="M1406" s="50">
        <f t="shared" si="93"/>
        <v>0</v>
      </c>
    </row>
    <row r="1407" spans="1:13" x14ac:dyDescent="0.2">
      <c r="A1407" s="18"/>
      <c r="B1407" s="77"/>
      <c r="C1407" s="77"/>
      <c r="D1407" s="78"/>
      <c r="E1407" s="77"/>
      <c r="F1407" s="77"/>
      <c r="G1407" s="77"/>
      <c r="H1407" s="77"/>
      <c r="I1407" s="77"/>
      <c r="J1407" s="77"/>
      <c r="K1407" s="79"/>
      <c r="L1407" s="49">
        <f t="shared" ref="L1407:L1421" si="94">+K1407*18%</f>
        <v>0</v>
      </c>
      <c r="M1407" s="50">
        <f t="shared" ref="M1407:M1421" si="95">+K1407+L1407</f>
        <v>0</v>
      </c>
    </row>
    <row r="1408" spans="1:13" x14ac:dyDescent="0.2">
      <c r="A1408" s="18"/>
      <c r="B1408" s="77"/>
      <c r="C1408" s="77"/>
      <c r="D1408" s="78"/>
      <c r="E1408" s="77"/>
      <c r="F1408" s="77"/>
      <c r="G1408" s="77"/>
      <c r="H1408" s="77"/>
      <c r="I1408" s="77"/>
      <c r="J1408" s="77"/>
      <c r="K1408" s="79"/>
      <c r="L1408" s="49">
        <f t="shared" si="94"/>
        <v>0</v>
      </c>
      <c r="M1408" s="50">
        <f t="shared" si="95"/>
        <v>0</v>
      </c>
    </row>
    <row r="1409" spans="1:13" x14ac:dyDescent="0.2">
      <c r="A1409" s="18"/>
      <c r="B1409" s="77"/>
      <c r="C1409" s="77"/>
      <c r="D1409" s="78"/>
      <c r="E1409" s="77"/>
      <c r="F1409" s="77"/>
      <c r="G1409" s="77"/>
      <c r="H1409" s="77"/>
      <c r="I1409" s="77"/>
      <c r="J1409" s="77"/>
      <c r="K1409" s="79"/>
      <c r="L1409" s="49">
        <f t="shared" si="94"/>
        <v>0</v>
      </c>
      <c r="M1409" s="50">
        <f t="shared" si="95"/>
        <v>0</v>
      </c>
    </row>
    <row r="1410" spans="1:13" x14ac:dyDescent="0.2">
      <c r="A1410" s="18"/>
      <c r="B1410" s="77"/>
      <c r="C1410" s="77"/>
      <c r="D1410" s="78"/>
      <c r="E1410" s="77"/>
      <c r="F1410" s="77"/>
      <c r="G1410" s="77"/>
      <c r="H1410" s="77"/>
      <c r="I1410" s="77"/>
      <c r="J1410" s="77"/>
      <c r="K1410" s="79"/>
      <c r="L1410" s="49">
        <f t="shared" si="94"/>
        <v>0</v>
      </c>
      <c r="M1410" s="50">
        <f t="shared" si="95"/>
        <v>0</v>
      </c>
    </row>
    <row r="1411" spans="1:13" x14ac:dyDescent="0.2">
      <c r="A1411" s="18"/>
      <c r="B1411" s="77"/>
      <c r="C1411" s="77"/>
      <c r="D1411" s="78"/>
      <c r="E1411" s="77"/>
      <c r="F1411" s="77"/>
      <c r="G1411" s="77"/>
      <c r="H1411" s="77"/>
      <c r="I1411" s="77"/>
      <c r="J1411" s="77"/>
      <c r="K1411" s="79"/>
      <c r="L1411" s="49">
        <f t="shared" si="94"/>
        <v>0</v>
      </c>
      <c r="M1411" s="50">
        <f t="shared" si="95"/>
        <v>0</v>
      </c>
    </row>
    <row r="1412" spans="1:13" x14ac:dyDescent="0.2">
      <c r="A1412" s="18"/>
      <c r="B1412" s="77"/>
      <c r="C1412" s="77"/>
      <c r="D1412" s="78"/>
      <c r="E1412" s="77"/>
      <c r="F1412" s="77"/>
      <c r="G1412" s="77"/>
      <c r="H1412" s="77"/>
      <c r="I1412" s="77"/>
      <c r="J1412" s="77"/>
      <c r="K1412" s="79"/>
      <c r="L1412" s="49">
        <f t="shared" si="94"/>
        <v>0</v>
      </c>
      <c r="M1412" s="50">
        <f t="shared" si="95"/>
        <v>0</v>
      </c>
    </row>
    <row r="1413" spans="1:13" x14ac:dyDescent="0.2">
      <c r="A1413" s="18"/>
      <c r="B1413" s="77"/>
      <c r="C1413" s="77"/>
      <c r="D1413" s="78"/>
      <c r="E1413" s="77"/>
      <c r="F1413" s="77"/>
      <c r="G1413" s="77"/>
      <c r="H1413" s="77"/>
      <c r="I1413" s="77"/>
      <c r="J1413" s="77"/>
      <c r="K1413" s="79"/>
      <c r="L1413" s="49">
        <f t="shared" si="94"/>
        <v>0</v>
      </c>
      <c r="M1413" s="50">
        <f t="shared" si="95"/>
        <v>0</v>
      </c>
    </row>
    <row r="1414" spans="1:13" x14ac:dyDescent="0.2">
      <c r="A1414" s="18"/>
      <c r="B1414" s="77"/>
      <c r="C1414" s="77"/>
      <c r="D1414" s="78"/>
      <c r="E1414" s="77"/>
      <c r="F1414" s="77"/>
      <c r="G1414" s="77"/>
      <c r="H1414" s="77"/>
      <c r="I1414" s="77"/>
      <c r="J1414" s="77"/>
      <c r="K1414" s="79"/>
      <c r="L1414" s="49">
        <f t="shared" si="94"/>
        <v>0</v>
      </c>
      <c r="M1414" s="50">
        <f t="shared" si="95"/>
        <v>0</v>
      </c>
    </row>
    <row r="1415" spans="1:13" x14ac:dyDescent="0.2">
      <c r="A1415" s="18"/>
      <c r="B1415" s="77"/>
      <c r="C1415" s="77"/>
      <c r="D1415" s="78"/>
      <c r="E1415" s="77"/>
      <c r="F1415" s="77"/>
      <c r="G1415" s="77"/>
      <c r="H1415" s="77"/>
      <c r="I1415" s="77"/>
      <c r="J1415" s="77"/>
      <c r="K1415" s="79"/>
      <c r="L1415" s="49">
        <f t="shared" si="94"/>
        <v>0</v>
      </c>
      <c r="M1415" s="50">
        <f t="shared" si="95"/>
        <v>0</v>
      </c>
    </row>
    <row r="1416" spans="1:13" x14ac:dyDescent="0.2">
      <c r="A1416" s="18"/>
      <c r="B1416" s="77"/>
      <c r="C1416" s="77"/>
      <c r="D1416" s="78"/>
      <c r="E1416" s="77"/>
      <c r="F1416" s="77"/>
      <c r="G1416" s="77"/>
      <c r="H1416" s="77"/>
      <c r="I1416" s="77"/>
      <c r="J1416" s="77"/>
      <c r="K1416" s="79"/>
      <c r="L1416" s="49">
        <f t="shared" si="94"/>
        <v>0</v>
      </c>
      <c r="M1416" s="50">
        <f t="shared" si="95"/>
        <v>0</v>
      </c>
    </row>
    <row r="1417" spans="1:13" x14ac:dyDescent="0.2">
      <c r="A1417" s="18"/>
      <c r="B1417" s="77"/>
      <c r="C1417" s="77"/>
      <c r="D1417" s="78"/>
      <c r="E1417" s="77"/>
      <c r="F1417" s="77"/>
      <c r="G1417" s="77"/>
      <c r="H1417" s="77"/>
      <c r="I1417" s="77"/>
      <c r="J1417" s="77"/>
      <c r="K1417" s="79"/>
      <c r="L1417" s="49">
        <f t="shared" si="94"/>
        <v>0</v>
      </c>
      <c r="M1417" s="50">
        <f t="shared" si="95"/>
        <v>0</v>
      </c>
    </row>
    <row r="1418" spans="1:13" x14ac:dyDescent="0.2">
      <c r="A1418" s="18"/>
      <c r="B1418" s="77"/>
      <c r="C1418" s="77"/>
      <c r="D1418" s="78"/>
      <c r="E1418" s="77"/>
      <c r="F1418" s="77"/>
      <c r="G1418" s="77"/>
      <c r="H1418" s="77"/>
      <c r="I1418" s="77"/>
      <c r="J1418" s="77"/>
      <c r="K1418" s="79"/>
      <c r="L1418" s="49">
        <f t="shared" si="94"/>
        <v>0</v>
      </c>
      <c r="M1418" s="50">
        <f t="shared" si="95"/>
        <v>0</v>
      </c>
    </row>
    <row r="1419" spans="1:13" x14ac:dyDescent="0.2">
      <c r="A1419" s="18"/>
      <c r="B1419" s="77"/>
      <c r="C1419" s="77"/>
      <c r="D1419" s="78"/>
      <c r="E1419" s="77"/>
      <c r="F1419" s="77"/>
      <c r="G1419" s="77"/>
      <c r="H1419" s="77"/>
      <c r="I1419" s="77"/>
      <c r="J1419" s="77"/>
      <c r="K1419" s="79"/>
      <c r="L1419" s="49">
        <f t="shared" si="94"/>
        <v>0</v>
      </c>
      <c r="M1419" s="50">
        <f t="shared" si="95"/>
        <v>0</v>
      </c>
    </row>
    <row r="1420" spans="1:13" x14ac:dyDescent="0.2">
      <c r="A1420" s="18"/>
      <c r="B1420" s="77"/>
      <c r="C1420" s="77"/>
      <c r="D1420" s="78"/>
      <c r="E1420" s="77"/>
      <c r="F1420" s="77"/>
      <c r="G1420" s="77"/>
      <c r="H1420" s="77"/>
      <c r="I1420" s="77"/>
      <c r="J1420" s="77"/>
      <c r="K1420" s="79"/>
      <c r="L1420" s="49">
        <f t="shared" si="94"/>
        <v>0</v>
      </c>
      <c r="M1420" s="50">
        <f t="shared" si="95"/>
        <v>0</v>
      </c>
    </row>
    <row r="1421" spans="1:13" x14ac:dyDescent="0.2">
      <c r="A1421" s="18"/>
      <c r="B1421" s="77"/>
      <c r="C1421" s="77"/>
      <c r="D1421" s="78"/>
      <c r="E1421" s="77"/>
      <c r="F1421" s="77"/>
      <c r="G1421" s="77"/>
      <c r="H1421" s="77"/>
      <c r="I1421" s="77"/>
      <c r="J1421" s="77"/>
      <c r="K1421" s="79"/>
      <c r="L1421" s="49">
        <f t="shared" si="94"/>
        <v>0</v>
      </c>
      <c r="M1421" s="50">
        <f t="shared" si="95"/>
        <v>0</v>
      </c>
    </row>
    <row r="1422" spans="1:13" x14ac:dyDescent="0.2">
      <c r="A1422" s="18"/>
      <c r="B1422" s="77"/>
      <c r="C1422" s="77"/>
      <c r="D1422" s="78"/>
      <c r="E1422" s="77"/>
      <c r="F1422" s="77"/>
      <c r="G1422" s="77"/>
      <c r="H1422" s="77"/>
      <c r="I1422" s="77"/>
      <c r="J1422" s="77"/>
      <c r="K1422" s="79"/>
      <c r="L1422" s="49">
        <f t="shared" ref="L1422:L1485" si="96">+K1422*18%</f>
        <v>0</v>
      </c>
      <c r="M1422" s="50">
        <f t="shared" ref="M1422:M1485" si="97">+K1422+L1422</f>
        <v>0</v>
      </c>
    </row>
    <row r="1423" spans="1:13" x14ac:dyDescent="0.2">
      <c r="A1423" s="18"/>
      <c r="B1423" s="77"/>
      <c r="C1423" s="77"/>
      <c r="D1423" s="78"/>
      <c r="E1423" s="77"/>
      <c r="F1423" s="77"/>
      <c r="G1423" s="77"/>
      <c r="H1423" s="77"/>
      <c r="I1423" s="77"/>
      <c r="J1423" s="77"/>
      <c r="K1423" s="79"/>
      <c r="L1423" s="49">
        <f t="shared" si="96"/>
        <v>0</v>
      </c>
      <c r="M1423" s="50">
        <f t="shared" si="97"/>
        <v>0</v>
      </c>
    </row>
    <row r="1424" spans="1:13" x14ac:dyDescent="0.2">
      <c r="A1424" s="18"/>
      <c r="B1424" s="77"/>
      <c r="C1424" s="77"/>
      <c r="D1424" s="78"/>
      <c r="E1424" s="77"/>
      <c r="F1424" s="77"/>
      <c r="G1424" s="77"/>
      <c r="H1424" s="77"/>
      <c r="I1424" s="77"/>
      <c r="J1424" s="77"/>
      <c r="K1424" s="79"/>
      <c r="L1424" s="49">
        <f t="shared" si="96"/>
        <v>0</v>
      </c>
      <c r="M1424" s="50">
        <f t="shared" si="97"/>
        <v>0</v>
      </c>
    </row>
    <row r="1425" spans="1:13" x14ac:dyDescent="0.2">
      <c r="A1425" s="18"/>
      <c r="B1425" s="77"/>
      <c r="C1425" s="77"/>
      <c r="D1425" s="78"/>
      <c r="E1425" s="77"/>
      <c r="F1425" s="77"/>
      <c r="G1425" s="77"/>
      <c r="H1425" s="77"/>
      <c r="I1425" s="77"/>
      <c r="J1425" s="77"/>
      <c r="K1425" s="79"/>
      <c r="L1425" s="49">
        <f t="shared" si="96"/>
        <v>0</v>
      </c>
      <c r="M1425" s="50">
        <f t="shared" si="97"/>
        <v>0</v>
      </c>
    </row>
    <row r="1426" spans="1:13" x14ac:dyDescent="0.2">
      <c r="A1426" s="18"/>
      <c r="B1426" s="77"/>
      <c r="C1426" s="77"/>
      <c r="D1426" s="78"/>
      <c r="E1426" s="77"/>
      <c r="F1426" s="77"/>
      <c r="G1426" s="77"/>
      <c r="H1426" s="77"/>
      <c r="I1426" s="77"/>
      <c r="J1426" s="77"/>
      <c r="K1426" s="79"/>
      <c r="L1426" s="49">
        <f t="shared" si="96"/>
        <v>0</v>
      </c>
      <c r="M1426" s="50">
        <f t="shared" si="97"/>
        <v>0</v>
      </c>
    </row>
    <row r="1427" spans="1:13" x14ac:dyDescent="0.2">
      <c r="A1427" s="18"/>
      <c r="B1427" s="77"/>
      <c r="C1427" s="77"/>
      <c r="D1427" s="78"/>
      <c r="E1427" s="77"/>
      <c r="F1427" s="77"/>
      <c r="G1427" s="77"/>
      <c r="H1427" s="77"/>
      <c r="I1427" s="77"/>
      <c r="J1427" s="77"/>
      <c r="K1427" s="79"/>
      <c r="L1427" s="49">
        <f t="shared" si="96"/>
        <v>0</v>
      </c>
      <c r="M1427" s="50">
        <f t="shared" si="97"/>
        <v>0</v>
      </c>
    </row>
    <row r="1428" spans="1:13" x14ac:dyDescent="0.2">
      <c r="A1428" s="18"/>
      <c r="B1428" s="77"/>
      <c r="C1428" s="77"/>
      <c r="D1428" s="78"/>
      <c r="E1428" s="77"/>
      <c r="F1428" s="77"/>
      <c r="G1428" s="77"/>
      <c r="H1428" s="77"/>
      <c r="I1428" s="77"/>
      <c r="J1428" s="77"/>
      <c r="K1428" s="79"/>
      <c r="L1428" s="49">
        <f t="shared" si="96"/>
        <v>0</v>
      </c>
      <c r="M1428" s="50">
        <f t="shared" si="97"/>
        <v>0</v>
      </c>
    </row>
    <row r="1429" spans="1:13" x14ac:dyDescent="0.2">
      <c r="A1429" s="18"/>
      <c r="B1429" s="77"/>
      <c r="C1429" s="77"/>
      <c r="D1429" s="78"/>
      <c r="E1429" s="77"/>
      <c r="F1429" s="77"/>
      <c r="G1429" s="77"/>
      <c r="H1429" s="77"/>
      <c r="I1429" s="77"/>
      <c r="J1429" s="77"/>
      <c r="K1429" s="79"/>
      <c r="L1429" s="49">
        <f t="shared" si="96"/>
        <v>0</v>
      </c>
      <c r="M1429" s="50">
        <f t="shared" si="97"/>
        <v>0</v>
      </c>
    </row>
    <row r="1430" spans="1:13" x14ac:dyDescent="0.2">
      <c r="A1430" s="18"/>
      <c r="B1430" s="77"/>
      <c r="C1430" s="77"/>
      <c r="D1430" s="78"/>
      <c r="E1430" s="77"/>
      <c r="F1430" s="77"/>
      <c r="G1430" s="77"/>
      <c r="H1430" s="77"/>
      <c r="I1430" s="77"/>
      <c r="J1430" s="77"/>
      <c r="K1430" s="79"/>
      <c r="L1430" s="49">
        <f t="shared" si="96"/>
        <v>0</v>
      </c>
      <c r="M1430" s="50">
        <f t="shared" si="97"/>
        <v>0</v>
      </c>
    </row>
    <row r="1431" spans="1:13" x14ac:dyDescent="0.2">
      <c r="A1431" s="18"/>
      <c r="B1431" s="77"/>
      <c r="C1431" s="77"/>
      <c r="D1431" s="78"/>
      <c r="E1431" s="77"/>
      <c r="F1431" s="77"/>
      <c r="G1431" s="77"/>
      <c r="H1431" s="77"/>
      <c r="I1431" s="77"/>
      <c r="J1431" s="77"/>
      <c r="K1431" s="79"/>
      <c r="L1431" s="49">
        <f t="shared" si="96"/>
        <v>0</v>
      </c>
      <c r="M1431" s="50">
        <f t="shared" si="97"/>
        <v>0</v>
      </c>
    </row>
    <row r="1432" spans="1:13" x14ac:dyDescent="0.2">
      <c r="A1432" s="18"/>
      <c r="B1432" s="77"/>
      <c r="C1432" s="77"/>
      <c r="D1432" s="78"/>
      <c r="E1432" s="77"/>
      <c r="F1432" s="77"/>
      <c r="G1432" s="77"/>
      <c r="H1432" s="77"/>
      <c r="I1432" s="77"/>
      <c r="J1432" s="77"/>
      <c r="K1432" s="79"/>
      <c r="L1432" s="49">
        <f t="shared" si="96"/>
        <v>0</v>
      </c>
      <c r="M1432" s="50">
        <f t="shared" si="97"/>
        <v>0</v>
      </c>
    </row>
    <row r="1433" spans="1:13" x14ac:dyDescent="0.2">
      <c r="A1433" s="18"/>
      <c r="B1433" s="77"/>
      <c r="C1433" s="77"/>
      <c r="D1433" s="78"/>
      <c r="E1433" s="77"/>
      <c r="F1433" s="77"/>
      <c r="G1433" s="77"/>
      <c r="H1433" s="77"/>
      <c r="I1433" s="77"/>
      <c r="J1433" s="77"/>
      <c r="K1433" s="79"/>
      <c r="L1433" s="49">
        <f t="shared" si="96"/>
        <v>0</v>
      </c>
      <c r="M1433" s="50">
        <f t="shared" si="97"/>
        <v>0</v>
      </c>
    </row>
    <row r="1434" spans="1:13" x14ac:dyDescent="0.2">
      <c r="A1434" s="18"/>
      <c r="B1434" s="77"/>
      <c r="C1434" s="77"/>
      <c r="D1434" s="78"/>
      <c r="E1434" s="77"/>
      <c r="F1434" s="77"/>
      <c r="G1434" s="77"/>
      <c r="H1434" s="77"/>
      <c r="I1434" s="77"/>
      <c r="J1434" s="77"/>
      <c r="K1434" s="79"/>
      <c r="L1434" s="49">
        <f t="shared" si="96"/>
        <v>0</v>
      </c>
      <c r="M1434" s="50">
        <f t="shared" si="97"/>
        <v>0</v>
      </c>
    </row>
    <row r="1435" spans="1:13" x14ac:dyDescent="0.2">
      <c r="A1435" s="18"/>
      <c r="B1435" s="77"/>
      <c r="C1435" s="77"/>
      <c r="D1435" s="78"/>
      <c r="E1435" s="77"/>
      <c r="F1435" s="77"/>
      <c r="G1435" s="77"/>
      <c r="H1435" s="77"/>
      <c r="I1435" s="77"/>
      <c r="J1435" s="77"/>
      <c r="K1435" s="79"/>
      <c r="L1435" s="49">
        <f t="shared" si="96"/>
        <v>0</v>
      </c>
      <c r="M1435" s="50">
        <f t="shared" si="97"/>
        <v>0</v>
      </c>
    </row>
    <row r="1436" spans="1:13" x14ac:dyDescent="0.2">
      <c r="A1436" s="18"/>
      <c r="B1436" s="77"/>
      <c r="C1436" s="77"/>
      <c r="D1436" s="78"/>
      <c r="E1436" s="77"/>
      <c r="F1436" s="77"/>
      <c r="G1436" s="77"/>
      <c r="H1436" s="77"/>
      <c r="I1436" s="77"/>
      <c r="J1436" s="77"/>
      <c r="K1436" s="79"/>
      <c r="L1436" s="49">
        <f t="shared" si="96"/>
        <v>0</v>
      </c>
      <c r="M1436" s="50">
        <f t="shared" si="97"/>
        <v>0</v>
      </c>
    </row>
    <row r="1437" spans="1:13" x14ac:dyDescent="0.2">
      <c r="A1437" s="18"/>
      <c r="B1437" s="77"/>
      <c r="C1437" s="77"/>
      <c r="D1437" s="78"/>
      <c r="E1437" s="77"/>
      <c r="F1437" s="77"/>
      <c r="G1437" s="77"/>
      <c r="H1437" s="77"/>
      <c r="I1437" s="77"/>
      <c r="J1437" s="77"/>
      <c r="K1437" s="79"/>
      <c r="L1437" s="49">
        <f t="shared" si="96"/>
        <v>0</v>
      </c>
      <c r="M1437" s="50">
        <f t="shared" si="97"/>
        <v>0</v>
      </c>
    </row>
    <row r="1438" spans="1:13" x14ac:dyDescent="0.2">
      <c r="A1438" s="18"/>
      <c r="B1438" s="77"/>
      <c r="C1438" s="77"/>
      <c r="D1438" s="78"/>
      <c r="E1438" s="77"/>
      <c r="F1438" s="77"/>
      <c r="G1438" s="77"/>
      <c r="H1438" s="77"/>
      <c r="I1438" s="77"/>
      <c r="J1438" s="77"/>
      <c r="K1438" s="79"/>
      <c r="L1438" s="49">
        <f t="shared" si="96"/>
        <v>0</v>
      </c>
      <c r="M1438" s="50">
        <f t="shared" si="97"/>
        <v>0</v>
      </c>
    </row>
    <row r="1439" spans="1:13" x14ac:dyDescent="0.2">
      <c r="A1439" s="18"/>
      <c r="B1439" s="77"/>
      <c r="C1439" s="77"/>
      <c r="D1439" s="78"/>
      <c r="E1439" s="77"/>
      <c r="F1439" s="77"/>
      <c r="G1439" s="77"/>
      <c r="H1439" s="77"/>
      <c r="I1439" s="77"/>
      <c r="J1439" s="77"/>
      <c r="K1439" s="79"/>
      <c r="L1439" s="49">
        <f t="shared" si="96"/>
        <v>0</v>
      </c>
      <c r="M1439" s="50">
        <f t="shared" si="97"/>
        <v>0</v>
      </c>
    </row>
    <row r="1440" spans="1:13" x14ac:dyDescent="0.2">
      <c r="A1440" s="18"/>
      <c r="B1440" s="77"/>
      <c r="C1440" s="77"/>
      <c r="D1440" s="78"/>
      <c r="E1440" s="77"/>
      <c r="F1440" s="77"/>
      <c r="G1440" s="77"/>
      <c r="H1440" s="77"/>
      <c r="I1440" s="77"/>
      <c r="J1440" s="77"/>
      <c r="K1440" s="79"/>
      <c r="L1440" s="49">
        <f t="shared" si="96"/>
        <v>0</v>
      </c>
      <c r="M1440" s="50">
        <f t="shared" si="97"/>
        <v>0</v>
      </c>
    </row>
    <row r="1441" spans="1:13" x14ac:dyDescent="0.2">
      <c r="A1441" s="18"/>
      <c r="B1441" s="77"/>
      <c r="C1441" s="77"/>
      <c r="D1441" s="78"/>
      <c r="E1441" s="77"/>
      <c r="F1441" s="77"/>
      <c r="G1441" s="77"/>
      <c r="H1441" s="77"/>
      <c r="I1441" s="77"/>
      <c r="J1441" s="77"/>
      <c r="K1441" s="79"/>
      <c r="L1441" s="49">
        <f t="shared" si="96"/>
        <v>0</v>
      </c>
      <c r="M1441" s="50">
        <f t="shared" si="97"/>
        <v>0</v>
      </c>
    </row>
    <row r="1442" spans="1:13" x14ac:dyDescent="0.2">
      <c r="A1442" s="18"/>
      <c r="B1442" s="77"/>
      <c r="C1442" s="77"/>
      <c r="D1442" s="78"/>
      <c r="E1442" s="77"/>
      <c r="F1442" s="77"/>
      <c r="G1442" s="77"/>
      <c r="H1442" s="77"/>
      <c r="I1442" s="77"/>
      <c r="J1442" s="77"/>
      <c r="K1442" s="79"/>
      <c r="L1442" s="49">
        <f t="shared" si="96"/>
        <v>0</v>
      </c>
      <c r="M1442" s="50">
        <f t="shared" si="97"/>
        <v>0</v>
      </c>
    </row>
    <row r="1443" spans="1:13" x14ac:dyDescent="0.2">
      <c r="A1443" s="18"/>
      <c r="B1443" s="77"/>
      <c r="C1443" s="77"/>
      <c r="D1443" s="78"/>
      <c r="E1443" s="77"/>
      <c r="F1443" s="77"/>
      <c r="G1443" s="77"/>
      <c r="H1443" s="77"/>
      <c r="I1443" s="77"/>
      <c r="J1443" s="77"/>
      <c r="K1443" s="79"/>
      <c r="L1443" s="49">
        <f t="shared" si="96"/>
        <v>0</v>
      </c>
      <c r="M1443" s="50">
        <f t="shared" si="97"/>
        <v>0</v>
      </c>
    </row>
    <row r="1444" spans="1:13" x14ac:dyDescent="0.2">
      <c r="A1444" s="18"/>
      <c r="B1444" s="77"/>
      <c r="C1444" s="77"/>
      <c r="D1444" s="78"/>
      <c r="E1444" s="77"/>
      <c r="F1444" s="77"/>
      <c r="G1444" s="77"/>
      <c r="H1444" s="77"/>
      <c r="I1444" s="77"/>
      <c r="J1444" s="77"/>
      <c r="K1444" s="79"/>
      <c r="L1444" s="49">
        <f t="shared" si="96"/>
        <v>0</v>
      </c>
      <c r="M1444" s="50">
        <f t="shared" si="97"/>
        <v>0</v>
      </c>
    </row>
    <row r="1445" spans="1:13" x14ac:dyDescent="0.2">
      <c r="A1445" s="18"/>
      <c r="B1445" s="77"/>
      <c r="C1445" s="77"/>
      <c r="D1445" s="78"/>
      <c r="E1445" s="77"/>
      <c r="F1445" s="77"/>
      <c r="G1445" s="77"/>
      <c r="H1445" s="77"/>
      <c r="I1445" s="77"/>
      <c r="J1445" s="77"/>
      <c r="K1445" s="79"/>
      <c r="L1445" s="49">
        <f t="shared" si="96"/>
        <v>0</v>
      </c>
      <c r="M1445" s="50">
        <f t="shared" si="97"/>
        <v>0</v>
      </c>
    </row>
    <row r="1446" spans="1:13" x14ac:dyDescent="0.2">
      <c r="A1446" s="18"/>
      <c r="B1446" s="77"/>
      <c r="C1446" s="77"/>
      <c r="D1446" s="78"/>
      <c r="E1446" s="77"/>
      <c r="F1446" s="77"/>
      <c r="G1446" s="77"/>
      <c r="H1446" s="77"/>
      <c r="I1446" s="77"/>
      <c r="J1446" s="77"/>
      <c r="K1446" s="79"/>
      <c r="L1446" s="49">
        <f t="shared" si="96"/>
        <v>0</v>
      </c>
      <c r="M1446" s="50">
        <f t="shared" si="97"/>
        <v>0</v>
      </c>
    </row>
    <row r="1447" spans="1:13" x14ac:dyDescent="0.2">
      <c r="A1447" s="18"/>
      <c r="B1447" s="77"/>
      <c r="C1447" s="77"/>
      <c r="D1447" s="78"/>
      <c r="E1447" s="77"/>
      <c r="F1447" s="77"/>
      <c r="G1447" s="77"/>
      <c r="H1447" s="77"/>
      <c r="I1447" s="77"/>
      <c r="J1447" s="77"/>
      <c r="K1447" s="79"/>
      <c r="L1447" s="49">
        <f t="shared" si="96"/>
        <v>0</v>
      </c>
      <c r="M1447" s="50">
        <f t="shared" si="97"/>
        <v>0</v>
      </c>
    </row>
    <row r="1448" spans="1:13" x14ac:dyDescent="0.2">
      <c r="A1448" s="18"/>
      <c r="B1448" s="77"/>
      <c r="C1448" s="77"/>
      <c r="D1448" s="78"/>
      <c r="E1448" s="77"/>
      <c r="F1448" s="77"/>
      <c r="G1448" s="77"/>
      <c r="H1448" s="77"/>
      <c r="I1448" s="77"/>
      <c r="J1448" s="77"/>
      <c r="K1448" s="79"/>
      <c r="L1448" s="49">
        <f t="shared" si="96"/>
        <v>0</v>
      </c>
      <c r="M1448" s="50">
        <f t="shared" si="97"/>
        <v>0</v>
      </c>
    </row>
    <row r="1449" spans="1:13" x14ac:dyDescent="0.2">
      <c r="A1449" s="18"/>
      <c r="B1449" s="77"/>
      <c r="C1449" s="77"/>
      <c r="D1449" s="78"/>
      <c r="E1449" s="77"/>
      <c r="F1449" s="77"/>
      <c r="G1449" s="77"/>
      <c r="H1449" s="77"/>
      <c r="I1449" s="77"/>
      <c r="J1449" s="77"/>
      <c r="K1449" s="79"/>
      <c r="L1449" s="49">
        <f t="shared" si="96"/>
        <v>0</v>
      </c>
      <c r="M1449" s="50">
        <f t="shared" si="97"/>
        <v>0</v>
      </c>
    </row>
    <row r="1450" spans="1:13" x14ac:dyDescent="0.2">
      <c r="A1450" s="18"/>
      <c r="B1450" s="77"/>
      <c r="C1450" s="77"/>
      <c r="D1450" s="78"/>
      <c r="E1450" s="77"/>
      <c r="F1450" s="77"/>
      <c r="G1450" s="77"/>
      <c r="H1450" s="77"/>
      <c r="I1450" s="77"/>
      <c r="J1450" s="77"/>
      <c r="K1450" s="79"/>
      <c r="L1450" s="49">
        <f t="shared" si="96"/>
        <v>0</v>
      </c>
      <c r="M1450" s="50">
        <f t="shared" si="97"/>
        <v>0</v>
      </c>
    </row>
    <row r="1451" spans="1:13" x14ac:dyDescent="0.2">
      <c r="A1451" s="18"/>
      <c r="B1451" s="77"/>
      <c r="C1451" s="77"/>
      <c r="D1451" s="78"/>
      <c r="E1451" s="77"/>
      <c r="F1451" s="77"/>
      <c r="G1451" s="77"/>
      <c r="H1451" s="77"/>
      <c r="I1451" s="77"/>
      <c r="J1451" s="77"/>
      <c r="K1451" s="79"/>
      <c r="L1451" s="49">
        <f t="shared" si="96"/>
        <v>0</v>
      </c>
      <c r="M1451" s="50">
        <f t="shared" si="97"/>
        <v>0</v>
      </c>
    </row>
    <row r="1452" spans="1:13" x14ac:dyDescent="0.2">
      <c r="A1452" s="18"/>
      <c r="B1452" s="77"/>
      <c r="C1452" s="77"/>
      <c r="D1452" s="78"/>
      <c r="E1452" s="77"/>
      <c r="F1452" s="77"/>
      <c r="G1452" s="77"/>
      <c r="H1452" s="77"/>
      <c r="I1452" s="77"/>
      <c r="J1452" s="77"/>
      <c r="K1452" s="79"/>
      <c r="L1452" s="49">
        <f t="shared" si="96"/>
        <v>0</v>
      </c>
      <c r="M1452" s="50">
        <f t="shared" si="97"/>
        <v>0</v>
      </c>
    </row>
    <row r="1453" spans="1:13" x14ac:dyDescent="0.2">
      <c r="A1453" s="18"/>
      <c r="B1453" s="77"/>
      <c r="C1453" s="77"/>
      <c r="D1453" s="78"/>
      <c r="E1453" s="77"/>
      <c r="F1453" s="77"/>
      <c r="G1453" s="77"/>
      <c r="H1453" s="77"/>
      <c r="I1453" s="77"/>
      <c r="J1453" s="77"/>
      <c r="K1453" s="79"/>
      <c r="L1453" s="49">
        <f t="shared" si="96"/>
        <v>0</v>
      </c>
      <c r="M1453" s="50">
        <f t="shared" si="97"/>
        <v>0</v>
      </c>
    </row>
    <row r="1454" spans="1:13" x14ac:dyDescent="0.2">
      <c r="A1454" s="18"/>
      <c r="B1454" s="77"/>
      <c r="C1454" s="77"/>
      <c r="D1454" s="78"/>
      <c r="E1454" s="77"/>
      <c r="F1454" s="77"/>
      <c r="G1454" s="77"/>
      <c r="H1454" s="77"/>
      <c r="I1454" s="77"/>
      <c r="J1454" s="77"/>
      <c r="K1454" s="79"/>
      <c r="L1454" s="49">
        <f t="shared" si="96"/>
        <v>0</v>
      </c>
      <c r="M1454" s="50">
        <f t="shared" si="97"/>
        <v>0</v>
      </c>
    </row>
    <row r="1455" spans="1:13" x14ac:dyDescent="0.2">
      <c r="A1455" s="18"/>
      <c r="B1455" s="77"/>
      <c r="C1455" s="77"/>
      <c r="D1455" s="78"/>
      <c r="E1455" s="77"/>
      <c r="F1455" s="77"/>
      <c r="G1455" s="77"/>
      <c r="H1455" s="77"/>
      <c r="I1455" s="77"/>
      <c r="J1455" s="77"/>
      <c r="K1455" s="79"/>
      <c r="L1455" s="49">
        <f t="shared" si="96"/>
        <v>0</v>
      </c>
      <c r="M1455" s="50">
        <f t="shared" si="97"/>
        <v>0</v>
      </c>
    </row>
    <row r="1456" spans="1:13" x14ac:dyDescent="0.2">
      <c r="A1456" s="18"/>
      <c r="B1456" s="77"/>
      <c r="C1456" s="77"/>
      <c r="D1456" s="78"/>
      <c r="E1456" s="77"/>
      <c r="F1456" s="77"/>
      <c r="G1456" s="77"/>
      <c r="H1456" s="77"/>
      <c r="I1456" s="77"/>
      <c r="J1456" s="77"/>
      <c r="K1456" s="79"/>
      <c r="L1456" s="49">
        <f t="shared" si="96"/>
        <v>0</v>
      </c>
      <c r="M1456" s="50">
        <f t="shared" si="97"/>
        <v>0</v>
      </c>
    </row>
    <row r="1457" spans="1:13" x14ac:dyDescent="0.2">
      <c r="A1457" s="18"/>
      <c r="B1457" s="77"/>
      <c r="C1457" s="77"/>
      <c r="D1457" s="78"/>
      <c r="E1457" s="77"/>
      <c r="F1457" s="77"/>
      <c r="G1457" s="77"/>
      <c r="H1457" s="77"/>
      <c r="I1457" s="77"/>
      <c r="J1457" s="77"/>
      <c r="K1457" s="79"/>
      <c r="L1457" s="49">
        <f t="shared" si="96"/>
        <v>0</v>
      </c>
      <c r="M1457" s="50">
        <f t="shared" si="97"/>
        <v>0</v>
      </c>
    </row>
    <row r="1458" spans="1:13" x14ac:dyDescent="0.2">
      <c r="A1458" s="18"/>
      <c r="B1458" s="77"/>
      <c r="C1458" s="77"/>
      <c r="D1458" s="78"/>
      <c r="E1458" s="77"/>
      <c r="F1458" s="77"/>
      <c r="G1458" s="77"/>
      <c r="H1458" s="77"/>
      <c r="I1458" s="77"/>
      <c r="J1458" s="77"/>
      <c r="K1458" s="79"/>
      <c r="L1458" s="49">
        <f t="shared" si="96"/>
        <v>0</v>
      </c>
      <c r="M1458" s="50">
        <f t="shared" si="97"/>
        <v>0</v>
      </c>
    </row>
    <row r="1459" spans="1:13" x14ac:dyDescent="0.2">
      <c r="A1459" s="18"/>
      <c r="B1459" s="77"/>
      <c r="C1459" s="77"/>
      <c r="D1459" s="78"/>
      <c r="E1459" s="77"/>
      <c r="F1459" s="77"/>
      <c r="G1459" s="77"/>
      <c r="H1459" s="77"/>
      <c r="I1459" s="77"/>
      <c r="J1459" s="77"/>
      <c r="K1459" s="79"/>
      <c r="L1459" s="49">
        <f t="shared" si="96"/>
        <v>0</v>
      </c>
      <c r="M1459" s="50">
        <f t="shared" si="97"/>
        <v>0</v>
      </c>
    </row>
    <row r="1460" spans="1:13" x14ac:dyDescent="0.2">
      <c r="A1460" s="18"/>
      <c r="B1460" s="77"/>
      <c r="C1460" s="77"/>
      <c r="D1460" s="78"/>
      <c r="E1460" s="77"/>
      <c r="F1460" s="77"/>
      <c r="G1460" s="77"/>
      <c r="H1460" s="77"/>
      <c r="I1460" s="77"/>
      <c r="J1460" s="77"/>
      <c r="K1460" s="79"/>
      <c r="L1460" s="49">
        <f t="shared" si="96"/>
        <v>0</v>
      </c>
      <c r="M1460" s="50">
        <f t="shared" si="97"/>
        <v>0</v>
      </c>
    </row>
    <row r="1461" spans="1:13" x14ac:dyDescent="0.2">
      <c r="A1461" s="18"/>
      <c r="B1461" s="77"/>
      <c r="C1461" s="77"/>
      <c r="D1461" s="78"/>
      <c r="E1461" s="77"/>
      <c r="F1461" s="77"/>
      <c r="G1461" s="77"/>
      <c r="H1461" s="77"/>
      <c r="I1461" s="77"/>
      <c r="J1461" s="77"/>
      <c r="K1461" s="79"/>
      <c r="L1461" s="49">
        <f t="shared" si="96"/>
        <v>0</v>
      </c>
      <c r="M1461" s="50">
        <f t="shared" si="97"/>
        <v>0</v>
      </c>
    </row>
    <row r="1462" spans="1:13" x14ac:dyDescent="0.2">
      <c r="A1462" s="18"/>
      <c r="B1462" s="77"/>
      <c r="C1462" s="77"/>
      <c r="D1462" s="78"/>
      <c r="E1462" s="77"/>
      <c r="F1462" s="77"/>
      <c r="G1462" s="77"/>
      <c r="H1462" s="77"/>
      <c r="I1462" s="77"/>
      <c r="J1462" s="77"/>
      <c r="K1462" s="79"/>
      <c r="L1462" s="49">
        <f t="shared" si="96"/>
        <v>0</v>
      </c>
      <c r="M1462" s="50">
        <f t="shared" si="97"/>
        <v>0</v>
      </c>
    </row>
    <row r="1463" spans="1:13" x14ac:dyDescent="0.2">
      <c r="A1463" s="18"/>
      <c r="B1463" s="77"/>
      <c r="C1463" s="77"/>
      <c r="D1463" s="78"/>
      <c r="E1463" s="77"/>
      <c r="F1463" s="77"/>
      <c r="G1463" s="77"/>
      <c r="H1463" s="77"/>
      <c r="I1463" s="77"/>
      <c r="J1463" s="77"/>
      <c r="K1463" s="79"/>
      <c r="L1463" s="49">
        <f t="shared" si="96"/>
        <v>0</v>
      </c>
      <c r="M1463" s="50">
        <f t="shared" si="97"/>
        <v>0</v>
      </c>
    </row>
    <row r="1464" spans="1:13" x14ac:dyDescent="0.2">
      <c r="A1464" s="18"/>
      <c r="B1464" s="77"/>
      <c r="C1464" s="77"/>
      <c r="D1464" s="78"/>
      <c r="E1464" s="77"/>
      <c r="F1464" s="77"/>
      <c r="G1464" s="77"/>
      <c r="H1464" s="77"/>
      <c r="I1464" s="77"/>
      <c r="J1464" s="77"/>
      <c r="K1464" s="79"/>
      <c r="L1464" s="49">
        <f t="shared" si="96"/>
        <v>0</v>
      </c>
      <c r="M1464" s="50">
        <f t="shared" si="97"/>
        <v>0</v>
      </c>
    </row>
    <row r="1465" spans="1:13" x14ac:dyDescent="0.2">
      <c r="A1465" s="18"/>
      <c r="B1465" s="77"/>
      <c r="C1465" s="77"/>
      <c r="D1465" s="78"/>
      <c r="E1465" s="77"/>
      <c r="F1465" s="77"/>
      <c r="G1465" s="77"/>
      <c r="H1465" s="77"/>
      <c r="I1465" s="77"/>
      <c r="J1465" s="77"/>
      <c r="K1465" s="79"/>
      <c r="L1465" s="49">
        <f t="shared" si="96"/>
        <v>0</v>
      </c>
      <c r="M1465" s="50">
        <f t="shared" si="97"/>
        <v>0</v>
      </c>
    </row>
    <row r="1466" spans="1:13" x14ac:dyDescent="0.2">
      <c r="A1466" s="18"/>
      <c r="B1466" s="77"/>
      <c r="C1466" s="77"/>
      <c r="D1466" s="78"/>
      <c r="E1466" s="77"/>
      <c r="F1466" s="77"/>
      <c r="G1466" s="77"/>
      <c r="H1466" s="77"/>
      <c r="I1466" s="77"/>
      <c r="J1466" s="77"/>
      <c r="K1466" s="79"/>
      <c r="L1466" s="49">
        <f t="shared" si="96"/>
        <v>0</v>
      </c>
      <c r="M1466" s="50">
        <f t="shared" si="97"/>
        <v>0</v>
      </c>
    </row>
    <row r="1467" spans="1:13" x14ac:dyDescent="0.2">
      <c r="A1467" s="18"/>
      <c r="B1467" s="77"/>
      <c r="C1467" s="77"/>
      <c r="D1467" s="78"/>
      <c r="E1467" s="77"/>
      <c r="F1467" s="77"/>
      <c r="G1467" s="77"/>
      <c r="H1467" s="77"/>
      <c r="I1467" s="77"/>
      <c r="J1467" s="77"/>
      <c r="K1467" s="79"/>
      <c r="L1467" s="49">
        <f t="shared" si="96"/>
        <v>0</v>
      </c>
      <c r="M1467" s="50">
        <f t="shared" si="97"/>
        <v>0</v>
      </c>
    </row>
    <row r="1468" spans="1:13" x14ac:dyDescent="0.2">
      <c r="A1468" s="18"/>
      <c r="B1468" s="77"/>
      <c r="C1468" s="77"/>
      <c r="D1468" s="78"/>
      <c r="E1468" s="77"/>
      <c r="F1468" s="77"/>
      <c r="G1468" s="77"/>
      <c r="H1468" s="77"/>
      <c r="I1468" s="77"/>
      <c r="J1468" s="77"/>
      <c r="K1468" s="79"/>
      <c r="L1468" s="49">
        <f t="shared" si="96"/>
        <v>0</v>
      </c>
      <c r="M1468" s="50">
        <f t="shared" si="97"/>
        <v>0</v>
      </c>
    </row>
    <row r="1469" spans="1:13" x14ac:dyDescent="0.2">
      <c r="A1469" s="18"/>
      <c r="B1469" s="77"/>
      <c r="C1469" s="77"/>
      <c r="D1469" s="78"/>
      <c r="E1469" s="77"/>
      <c r="F1469" s="77"/>
      <c r="G1469" s="77"/>
      <c r="H1469" s="77"/>
      <c r="I1469" s="77"/>
      <c r="J1469" s="77"/>
      <c r="K1469" s="79"/>
      <c r="L1469" s="49">
        <f t="shared" si="96"/>
        <v>0</v>
      </c>
      <c r="M1469" s="50">
        <f t="shared" si="97"/>
        <v>0</v>
      </c>
    </row>
    <row r="1470" spans="1:13" x14ac:dyDescent="0.2">
      <c r="A1470" s="18"/>
      <c r="B1470" s="77"/>
      <c r="C1470" s="77"/>
      <c r="D1470" s="78"/>
      <c r="E1470" s="77"/>
      <c r="F1470" s="77"/>
      <c r="G1470" s="77"/>
      <c r="H1470" s="77"/>
      <c r="I1470" s="77"/>
      <c r="J1470" s="77"/>
      <c r="K1470" s="79"/>
      <c r="L1470" s="49">
        <f t="shared" si="96"/>
        <v>0</v>
      </c>
      <c r="M1470" s="50">
        <f t="shared" si="97"/>
        <v>0</v>
      </c>
    </row>
    <row r="1471" spans="1:13" x14ac:dyDescent="0.2">
      <c r="A1471" s="18"/>
      <c r="B1471" s="77"/>
      <c r="C1471" s="77"/>
      <c r="D1471" s="78"/>
      <c r="E1471" s="77"/>
      <c r="F1471" s="77"/>
      <c r="G1471" s="77"/>
      <c r="H1471" s="77"/>
      <c r="I1471" s="77"/>
      <c r="J1471" s="77"/>
      <c r="K1471" s="79"/>
      <c r="L1471" s="49">
        <f t="shared" si="96"/>
        <v>0</v>
      </c>
      <c r="M1471" s="50">
        <f t="shared" si="97"/>
        <v>0</v>
      </c>
    </row>
    <row r="1472" spans="1:13" x14ac:dyDescent="0.2">
      <c r="A1472" s="18"/>
      <c r="B1472" s="77"/>
      <c r="C1472" s="77"/>
      <c r="D1472" s="78"/>
      <c r="E1472" s="77"/>
      <c r="F1472" s="77"/>
      <c r="G1472" s="77"/>
      <c r="H1472" s="77"/>
      <c r="I1472" s="77"/>
      <c r="J1472" s="77"/>
      <c r="K1472" s="79"/>
      <c r="L1472" s="49">
        <f t="shared" si="96"/>
        <v>0</v>
      </c>
      <c r="M1472" s="50">
        <f t="shared" si="97"/>
        <v>0</v>
      </c>
    </row>
    <row r="1473" spans="1:13" x14ac:dyDescent="0.2">
      <c r="A1473" s="18"/>
      <c r="B1473" s="77"/>
      <c r="C1473" s="77"/>
      <c r="D1473" s="78"/>
      <c r="E1473" s="77"/>
      <c r="F1473" s="77"/>
      <c r="G1473" s="77"/>
      <c r="H1473" s="77"/>
      <c r="I1473" s="77"/>
      <c r="J1473" s="77"/>
      <c r="K1473" s="79"/>
      <c r="L1473" s="49">
        <f t="shared" si="96"/>
        <v>0</v>
      </c>
      <c r="M1473" s="50">
        <f t="shared" si="97"/>
        <v>0</v>
      </c>
    </row>
    <row r="1474" spans="1:13" x14ac:dyDescent="0.2">
      <c r="A1474" s="18"/>
      <c r="B1474" s="77"/>
      <c r="C1474" s="77"/>
      <c r="D1474" s="78"/>
      <c r="E1474" s="77"/>
      <c r="F1474" s="77"/>
      <c r="G1474" s="77"/>
      <c r="H1474" s="77"/>
      <c r="I1474" s="77"/>
      <c r="J1474" s="77"/>
      <c r="K1474" s="79"/>
      <c r="L1474" s="49">
        <f t="shared" si="96"/>
        <v>0</v>
      </c>
      <c r="M1474" s="50">
        <f t="shared" si="97"/>
        <v>0</v>
      </c>
    </row>
    <row r="1475" spans="1:13" x14ac:dyDescent="0.2">
      <c r="A1475" s="18"/>
      <c r="B1475" s="77"/>
      <c r="C1475" s="77"/>
      <c r="D1475" s="78"/>
      <c r="E1475" s="77"/>
      <c r="F1475" s="77"/>
      <c r="G1475" s="77"/>
      <c r="H1475" s="77"/>
      <c r="I1475" s="77"/>
      <c r="J1475" s="77"/>
      <c r="K1475" s="79"/>
      <c r="L1475" s="49">
        <f t="shared" si="96"/>
        <v>0</v>
      </c>
      <c r="M1475" s="50">
        <f t="shared" si="97"/>
        <v>0</v>
      </c>
    </row>
    <row r="1476" spans="1:13" x14ac:dyDescent="0.2">
      <c r="A1476" s="18"/>
      <c r="B1476" s="77"/>
      <c r="C1476" s="77"/>
      <c r="D1476" s="78"/>
      <c r="E1476" s="77"/>
      <c r="F1476" s="77"/>
      <c r="G1476" s="77"/>
      <c r="H1476" s="77"/>
      <c r="I1476" s="77"/>
      <c r="J1476" s="77"/>
      <c r="K1476" s="79"/>
      <c r="L1476" s="49">
        <f t="shared" si="96"/>
        <v>0</v>
      </c>
      <c r="M1476" s="50">
        <f t="shared" si="97"/>
        <v>0</v>
      </c>
    </row>
    <row r="1477" spans="1:13" x14ac:dyDescent="0.2">
      <c r="A1477" s="18"/>
      <c r="B1477" s="77"/>
      <c r="C1477" s="77"/>
      <c r="D1477" s="78"/>
      <c r="E1477" s="77"/>
      <c r="F1477" s="77"/>
      <c r="G1477" s="77"/>
      <c r="H1477" s="77"/>
      <c r="I1477" s="77"/>
      <c r="J1477" s="77"/>
      <c r="K1477" s="79"/>
      <c r="L1477" s="49">
        <f t="shared" si="96"/>
        <v>0</v>
      </c>
      <c r="M1477" s="50">
        <f t="shared" si="97"/>
        <v>0</v>
      </c>
    </row>
    <row r="1478" spans="1:13" x14ac:dyDescent="0.2">
      <c r="A1478" s="18"/>
      <c r="B1478" s="77"/>
      <c r="C1478" s="77"/>
      <c r="D1478" s="78"/>
      <c r="E1478" s="77"/>
      <c r="F1478" s="77"/>
      <c r="G1478" s="77"/>
      <c r="I1478" s="77"/>
      <c r="J1478" s="77"/>
      <c r="K1478" s="79"/>
      <c r="L1478" s="49">
        <f t="shared" si="96"/>
        <v>0</v>
      </c>
      <c r="M1478" s="50">
        <f t="shared" si="97"/>
        <v>0</v>
      </c>
    </row>
    <row r="1479" spans="1:13" x14ac:dyDescent="0.2">
      <c r="A1479" s="18"/>
      <c r="B1479" s="77"/>
      <c r="C1479" s="77"/>
      <c r="D1479" s="78"/>
      <c r="E1479" s="77"/>
      <c r="F1479" s="77"/>
      <c r="G1479" s="77"/>
      <c r="H1479" s="77"/>
      <c r="I1479" s="77"/>
      <c r="J1479" s="77"/>
      <c r="K1479" s="79"/>
      <c r="L1479" s="49">
        <f t="shared" si="96"/>
        <v>0</v>
      </c>
      <c r="M1479" s="50">
        <f t="shared" si="97"/>
        <v>0</v>
      </c>
    </row>
    <row r="1480" spans="1:13" x14ac:dyDescent="0.2">
      <c r="A1480" s="18"/>
      <c r="B1480" s="77"/>
      <c r="C1480" s="77"/>
      <c r="D1480" s="78"/>
      <c r="E1480" s="77"/>
      <c r="F1480" s="77"/>
      <c r="G1480" s="77"/>
      <c r="H1480" s="77"/>
      <c r="I1480" s="77"/>
      <c r="J1480" s="77"/>
      <c r="K1480" s="79"/>
      <c r="L1480" s="49">
        <f t="shared" si="96"/>
        <v>0</v>
      </c>
      <c r="M1480" s="50">
        <f t="shared" si="97"/>
        <v>0</v>
      </c>
    </row>
    <row r="1481" spans="1:13" x14ac:dyDescent="0.2">
      <c r="A1481" s="18"/>
      <c r="B1481" s="77"/>
      <c r="C1481" s="77"/>
      <c r="D1481" s="78"/>
      <c r="E1481" s="77"/>
      <c r="F1481" s="77"/>
      <c r="G1481" s="77"/>
      <c r="H1481" s="77"/>
      <c r="I1481" s="77"/>
      <c r="J1481" s="77"/>
      <c r="K1481" s="79"/>
      <c r="L1481" s="49">
        <f t="shared" si="96"/>
        <v>0</v>
      </c>
      <c r="M1481" s="50">
        <f t="shared" si="97"/>
        <v>0</v>
      </c>
    </row>
    <row r="1482" spans="1:13" x14ac:dyDescent="0.2">
      <c r="A1482" s="18"/>
      <c r="B1482" s="77"/>
      <c r="C1482" s="77"/>
      <c r="D1482" s="78"/>
      <c r="E1482" s="77"/>
      <c r="F1482" s="77"/>
      <c r="G1482" s="77"/>
      <c r="H1482" s="77"/>
      <c r="I1482" s="77"/>
      <c r="J1482" s="77"/>
      <c r="K1482" s="79"/>
      <c r="L1482" s="49">
        <f t="shared" si="96"/>
        <v>0</v>
      </c>
      <c r="M1482" s="50">
        <f t="shared" si="97"/>
        <v>0</v>
      </c>
    </row>
    <row r="1483" spans="1:13" x14ac:dyDescent="0.2">
      <c r="A1483" s="18"/>
      <c r="B1483" s="77"/>
      <c r="C1483" s="77"/>
      <c r="D1483" s="78"/>
      <c r="E1483" s="77"/>
      <c r="F1483" s="77"/>
      <c r="G1483" s="77"/>
      <c r="H1483" s="77"/>
      <c r="I1483" s="77"/>
      <c r="J1483" s="77"/>
      <c r="K1483" s="79"/>
      <c r="L1483" s="49">
        <f t="shared" si="96"/>
        <v>0</v>
      </c>
      <c r="M1483" s="50">
        <f t="shared" si="97"/>
        <v>0</v>
      </c>
    </row>
    <row r="1484" spans="1:13" x14ac:dyDescent="0.2">
      <c r="A1484" s="18"/>
      <c r="B1484" s="77"/>
      <c r="C1484" s="77"/>
      <c r="D1484" s="78"/>
      <c r="E1484" s="77"/>
      <c r="F1484" s="77"/>
      <c r="G1484" s="77"/>
      <c r="H1484" s="77"/>
      <c r="I1484" s="77"/>
      <c r="J1484" s="77"/>
      <c r="K1484" s="79"/>
      <c r="L1484" s="49">
        <f t="shared" si="96"/>
        <v>0</v>
      </c>
      <c r="M1484" s="50">
        <f t="shared" si="97"/>
        <v>0</v>
      </c>
    </row>
    <row r="1485" spans="1:13" x14ac:dyDescent="0.2">
      <c r="A1485" s="18"/>
      <c r="B1485" s="77"/>
      <c r="C1485" s="77"/>
      <c r="D1485" s="78"/>
      <c r="E1485" s="77"/>
      <c r="F1485" s="77"/>
      <c r="G1485" s="77"/>
      <c r="H1485" s="77"/>
      <c r="I1485" s="77"/>
      <c r="J1485" s="77"/>
      <c r="K1485" s="79"/>
      <c r="L1485" s="49">
        <f t="shared" si="96"/>
        <v>0</v>
      </c>
      <c r="M1485" s="50">
        <f t="shared" si="97"/>
        <v>0</v>
      </c>
    </row>
    <row r="1486" spans="1:13" x14ac:dyDescent="0.2">
      <c r="A1486" s="18"/>
      <c r="B1486" s="77"/>
      <c r="C1486" s="77"/>
      <c r="D1486" s="78"/>
      <c r="E1486" s="77"/>
      <c r="F1486" s="77"/>
      <c r="G1486" s="77"/>
      <c r="H1486" s="77"/>
      <c r="I1486" s="77"/>
      <c r="J1486" s="77"/>
      <c r="K1486" s="79"/>
      <c r="L1486" s="49">
        <f t="shared" ref="L1486:L1549" si="98">+K1486*18%</f>
        <v>0</v>
      </c>
      <c r="M1486" s="50">
        <f t="shared" ref="M1486:M1549" si="99">+K1486+L1486</f>
        <v>0</v>
      </c>
    </row>
    <row r="1487" spans="1:13" x14ac:dyDescent="0.2">
      <c r="A1487" s="18"/>
      <c r="B1487" s="77"/>
      <c r="C1487" s="77"/>
      <c r="D1487" s="78"/>
      <c r="E1487" s="77"/>
      <c r="F1487" s="77"/>
      <c r="G1487" s="77"/>
      <c r="H1487" s="77"/>
      <c r="I1487" s="77"/>
      <c r="J1487" s="77"/>
      <c r="K1487" s="79"/>
      <c r="L1487" s="49">
        <f t="shared" si="98"/>
        <v>0</v>
      </c>
      <c r="M1487" s="50">
        <f t="shared" si="99"/>
        <v>0</v>
      </c>
    </row>
    <row r="1488" spans="1:13" x14ac:dyDescent="0.2">
      <c r="A1488" s="18"/>
      <c r="B1488" s="77"/>
      <c r="C1488" s="77"/>
      <c r="D1488" s="78"/>
      <c r="E1488" s="77"/>
      <c r="F1488" s="77"/>
      <c r="G1488" s="77"/>
      <c r="H1488" s="77"/>
      <c r="I1488" s="77"/>
      <c r="J1488" s="77"/>
      <c r="K1488" s="79"/>
      <c r="L1488" s="49">
        <f t="shared" si="98"/>
        <v>0</v>
      </c>
      <c r="M1488" s="50">
        <f t="shared" si="99"/>
        <v>0</v>
      </c>
    </row>
    <row r="1489" spans="1:13" x14ac:dyDescent="0.2">
      <c r="A1489" s="18"/>
      <c r="B1489" s="77"/>
      <c r="C1489" s="77"/>
      <c r="D1489" s="78"/>
      <c r="E1489" s="77"/>
      <c r="F1489" s="77"/>
      <c r="G1489" s="77"/>
      <c r="H1489" s="77"/>
      <c r="I1489" s="77"/>
      <c r="J1489" s="77"/>
      <c r="K1489" s="79"/>
      <c r="L1489" s="49">
        <f t="shared" si="98"/>
        <v>0</v>
      </c>
      <c r="M1489" s="50">
        <f t="shared" si="99"/>
        <v>0</v>
      </c>
    </row>
    <row r="1490" spans="1:13" x14ac:dyDescent="0.2">
      <c r="A1490" s="18"/>
      <c r="B1490" s="77"/>
      <c r="C1490" s="77"/>
      <c r="D1490" s="78"/>
      <c r="E1490" s="77"/>
      <c r="F1490" s="77"/>
      <c r="G1490" s="77"/>
      <c r="H1490" s="77"/>
      <c r="I1490" s="77"/>
      <c r="J1490" s="77"/>
      <c r="K1490" s="79"/>
      <c r="L1490" s="49">
        <f t="shared" si="98"/>
        <v>0</v>
      </c>
      <c r="M1490" s="50">
        <f t="shared" si="99"/>
        <v>0</v>
      </c>
    </row>
    <row r="1491" spans="1:13" x14ac:dyDescent="0.2">
      <c r="A1491" s="18"/>
      <c r="B1491" s="77"/>
      <c r="C1491" s="77"/>
      <c r="D1491" s="78"/>
      <c r="E1491" s="77"/>
      <c r="F1491" s="77"/>
      <c r="G1491" s="77"/>
      <c r="H1491" s="77"/>
      <c r="I1491" s="77"/>
      <c r="J1491" s="77"/>
      <c r="K1491" s="79"/>
      <c r="L1491" s="49">
        <f t="shared" si="98"/>
        <v>0</v>
      </c>
      <c r="M1491" s="50">
        <f t="shared" si="99"/>
        <v>0</v>
      </c>
    </row>
    <row r="1492" spans="1:13" x14ac:dyDescent="0.2">
      <c r="A1492" s="18"/>
      <c r="B1492" s="77"/>
      <c r="C1492" s="77"/>
      <c r="D1492" s="78"/>
      <c r="E1492" s="77"/>
      <c r="F1492" s="77"/>
      <c r="G1492" s="77"/>
      <c r="H1492" s="77"/>
      <c r="I1492" s="77"/>
      <c r="J1492" s="77"/>
      <c r="K1492" s="79"/>
      <c r="L1492" s="49">
        <f t="shared" si="98"/>
        <v>0</v>
      </c>
      <c r="M1492" s="50">
        <f t="shared" si="99"/>
        <v>0</v>
      </c>
    </row>
    <row r="1493" spans="1:13" x14ac:dyDescent="0.2">
      <c r="A1493" s="18"/>
      <c r="B1493" s="77"/>
      <c r="C1493" s="77"/>
      <c r="D1493" s="78"/>
      <c r="E1493" s="77"/>
      <c r="F1493" s="77"/>
      <c r="G1493" s="77"/>
      <c r="H1493" s="77"/>
      <c r="I1493" s="77"/>
      <c r="J1493" s="77"/>
      <c r="K1493" s="79"/>
      <c r="L1493" s="49">
        <f t="shared" si="98"/>
        <v>0</v>
      </c>
      <c r="M1493" s="50">
        <f t="shared" si="99"/>
        <v>0</v>
      </c>
    </row>
    <row r="1494" spans="1:13" x14ac:dyDescent="0.2">
      <c r="A1494" s="18"/>
      <c r="B1494" s="77"/>
      <c r="C1494" s="77"/>
      <c r="D1494" s="78"/>
      <c r="E1494" s="77"/>
      <c r="F1494" s="77"/>
      <c r="G1494" s="77"/>
      <c r="H1494" s="77"/>
      <c r="I1494" s="77"/>
      <c r="J1494" s="77"/>
      <c r="K1494" s="79"/>
      <c r="L1494" s="49">
        <f t="shared" si="98"/>
        <v>0</v>
      </c>
      <c r="M1494" s="50">
        <f t="shared" si="99"/>
        <v>0</v>
      </c>
    </row>
    <row r="1495" spans="1:13" x14ac:dyDescent="0.2">
      <c r="A1495" s="18"/>
      <c r="B1495" s="77"/>
      <c r="C1495" s="77"/>
      <c r="D1495" s="78"/>
      <c r="E1495" s="77"/>
      <c r="F1495" s="77"/>
      <c r="G1495" s="77"/>
      <c r="H1495" s="77"/>
      <c r="I1495" s="77"/>
      <c r="J1495" s="77"/>
      <c r="K1495" s="79"/>
      <c r="L1495" s="49">
        <f t="shared" si="98"/>
        <v>0</v>
      </c>
      <c r="M1495" s="50">
        <f t="shared" si="99"/>
        <v>0</v>
      </c>
    </row>
    <row r="1496" spans="1:13" x14ac:dyDescent="0.2">
      <c r="A1496" s="18"/>
      <c r="B1496" s="77"/>
      <c r="C1496" s="77"/>
      <c r="D1496" s="78"/>
      <c r="E1496" s="77"/>
      <c r="F1496" s="77"/>
      <c r="G1496" s="77"/>
      <c r="H1496" s="77"/>
      <c r="I1496" s="77"/>
      <c r="J1496" s="77"/>
      <c r="K1496" s="79"/>
      <c r="L1496" s="49">
        <f t="shared" si="98"/>
        <v>0</v>
      </c>
      <c r="M1496" s="50">
        <f t="shared" si="99"/>
        <v>0</v>
      </c>
    </row>
    <row r="1497" spans="1:13" x14ac:dyDescent="0.2">
      <c r="A1497" s="18"/>
      <c r="B1497" s="77"/>
      <c r="C1497" s="77"/>
      <c r="D1497" s="78"/>
      <c r="E1497" s="77"/>
      <c r="F1497" s="77"/>
      <c r="G1497" s="77"/>
      <c r="H1497" s="77"/>
      <c r="I1497" s="77"/>
      <c r="J1497" s="77"/>
      <c r="K1497" s="79"/>
      <c r="L1497" s="49">
        <f t="shared" si="98"/>
        <v>0</v>
      </c>
      <c r="M1497" s="50">
        <f t="shared" si="99"/>
        <v>0</v>
      </c>
    </row>
    <row r="1498" spans="1:13" x14ac:dyDescent="0.2">
      <c r="A1498" s="18"/>
      <c r="B1498" s="77"/>
      <c r="C1498" s="77"/>
      <c r="D1498" s="78"/>
      <c r="E1498" s="77"/>
      <c r="F1498" s="77"/>
      <c r="G1498" s="77"/>
      <c r="H1498" s="77"/>
      <c r="I1498" s="77"/>
      <c r="J1498" s="77"/>
      <c r="K1498" s="79"/>
      <c r="L1498" s="49">
        <f t="shared" si="98"/>
        <v>0</v>
      </c>
      <c r="M1498" s="50">
        <f t="shared" si="99"/>
        <v>0</v>
      </c>
    </row>
    <row r="1499" spans="1:13" x14ac:dyDescent="0.2">
      <c r="A1499" s="18"/>
      <c r="B1499" s="77"/>
      <c r="C1499" s="77"/>
      <c r="D1499" s="78"/>
      <c r="E1499" s="77"/>
      <c r="F1499" s="77"/>
      <c r="G1499" s="77"/>
      <c r="H1499" s="77"/>
      <c r="I1499" s="77"/>
      <c r="J1499" s="77"/>
      <c r="K1499" s="79"/>
      <c r="L1499" s="49">
        <f t="shared" si="98"/>
        <v>0</v>
      </c>
      <c r="M1499" s="50">
        <f t="shared" si="99"/>
        <v>0</v>
      </c>
    </row>
    <row r="1500" spans="1:13" x14ac:dyDescent="0.2">
      <c r="A1500" s="18"/>
      <c r="B1500" s="77"/>
      <c r="C1500" s="77"/>
      <c r="D1500" s="78"/>
      <c r="E1500" s="77"/>
      <c r="F1500" s="77"/>
      <c r="G1500" s="77"/>
      <c r="H1500" s="77"/>
      <c r="I1500" s="77"/>
      <c r="J1500" s="77"/>
      <c r="K1500" s="79"/>
      <c r="L1500" s="49">
        <f t="shared" si="98"/>
        <v>0</v>
      </c>
      <c r="M1500" s="50">
        <f t="shared" si="99"/>
        <v>0</v>
      </c>
    </row>
    <row r="1501" spans="1:13" x14ac:dyDescent="0.2">
      <c r="A1501" s="18"/>
      <c r="B1501" s="77"/>
      <c r="C1501" s="77"/>
      <c r="D1501" s="78"/>
      <c r="E1501" s="77"/>
      <c r="F1501" s="77"/>
      <c r="G1501" s="77"/>
      <c r="H1501" s="77"/>
      <c r="I1501" s="77"/>
      <c r="J1501" s="77"/>
      <c r="K1501" s="79"/>
      <c r="L1501" s="49">
        <f t="shared" si="98"/>
        <v>0</v>
      </c>
      <c r="M1501" s="50">
        <f t="shared" si="99"/>
        <v>0</v>
      </c>
    </row>
    <row r="1502" spans="1:13" x14ac:dyDescent="0.2">
      <c r="A1502" s="18"/>
      <c r="B1502" s="77"/>
      <c r="C1502" s="77"/>
      <c r="D1502" s="78"/>
      <c r="E1502" s="77"/>
      <c r="F1502" s="77"/>
      <c r="G1502" s="77"/>
      <c r="H1502" s="77"/>
      <c r="I1502" s="77"/>
      <c r="J1502" s="77"/>
      <c r="K1502" s="79"/>
      <c r="L1502" s="49">
        <f t="shared" si="98"/>
        <v>0</v>
      </c>
      <c r="M1502" s="50">
        <f t="shared" si="99"/>
        <v>0</v>
      </c>
    </row>
    <row r="1503" spans="1:13" x14ac:dyDescent="0.2">
      <c r="A1503" s="18"/>
      <c r="B1503" s="77"/>
      <c r="C1503" s="77"/>
      <c r="D1503" s="78"/>
      <c r="E1503" s="77"/>
      <c r="F1503" s="77"/>
      <c r="G1503" s="77"/>
      <c r="H1503" s="77"/>
      <c r="I1503" s="77"/>
      <c r="J1503" s="77"/>
      <c r="K1503" s="79"/>
      <c r="L1503" s="49">
        <f t="shared" si="98"/>
        <v>0</v>
      </c>
      <c r="M1503" s="50">
        <f t="shared" si="99"/>
        <v>0</v>
      </c>
    </row>
    <row r="1504" spans="1:13" x14ac:dyDescent="0.2">
      <c r="A1504" s="18"/>
      <c r="B1504" s="77"/>
      <c r="C1504" s="77"/>
      <c r="D1504" s="78"/>
      <c r="E1504" s="77"/>
      <c r="F1504" s="77"/>
      <c r="G1504" s="77"/>
      <c r="H1504" s="77"/>
      <c r="I1504" s="77"/>
      <c r="J1504" s="77"/>
      <c r="K1504" s="79"/>
      <c r="L1504" s="49">
        <f t="shared" si="98"/>
        <v>0</v>
      </c>
      <c r="M1504" s="50">
        <f t="shared" si="99"/>
        <v>0</v>
      </c>
    </row>
    <row r="1505" spans="1:13" x14ac:dyDescent="0.2">
      <c r="A1505" s="18"/>
      <c r="B1505" s="77"/>
      <c r="C1505" s="77"/>
      <c r="D1505" s="78"/>
      <c r="E1505" s="77"/>
      <c r="F1505" s="77"/>
      <c r="G1505" s="77"/>
      <c r="H1505" s="77"/>
      <c r="I1505" s="77"/>
      <c r="J1505" s="77"/>
      <c r="K1505" s="79"/>
      <c r="L1505" s="49">
        <f t="shared" si="98"/>
        <v>0</v>
      </c>
      <c r="M1505" s="50">
        <f t="shared" si="99"/>
        <v>0</v>
      </c>
    </row>
    <row r="1506" spans="1:13" x14ac:dyDescent="0.2">
      <c r="A1506" s="18"/>
      <c r="B1506" s="77"/>
      <c r="C1506" s="77"/>
      <c r="D1506" s="78"/>
      <c r="E1506" s="77"/>
      <c r="F1506" s="77"/>
      <c r="G1506" s="77"/>
      <c r="H1506" s="77"/>
      <c r="I1506" s="77"/>
      <c r="J1506" s="77"/>
      <c r="K1506" s="79"/>
      <c r="L1506" s="49">
        <f t="shared" si="98"/>
        <v>0</v>
      </c>
      <c r="M1506" s="50">
        <f t="shared" si="99"/>
        <v>0</v>
      </c>
    </row>
    <row r="1507" spans="1:13" x14ac:dyDescent="0.2">
      <c r="A1507" s="18"/>
      <c r="B1507" s="77"/>
      <c r="C1507" s="77"/>
      <c r="D1507" s="78"/>
      <c r="E1507" s="77"/>
      <c r="F1507" s="77"/>
      <c r="G1507" s="77"/>
      <c r="H1507" s="77"/>
      <c r="I1507" s="77"/>
      <c r="J1507" s="77"/>
      <c r="K1507" s="79"/>
      <c r="L1507" s="49">
        <f t="shared" si="98"/>
        <v>0</v>
      </c>
      <c r="M1507" s="50">
        <f t="shared" si="99"/>
        <v>0</v>
      </c>
    </row>
    <row r="1508" spans="1:13" x14ac:dyDescent="0.2">
      <c r="A1508" s="18"/>
      <c r="B1508" s="77"/>
      <c r="C1508" s="77"/>
      <c r="D1508" s="78"/>
      <c r="E1508" s="77"/>
      <c r="F1508" s="77"/>
      <c r="G1508" s="77"/>
      <c r="H1508" s="77"/>
      <c r="I1508" s="77"/>
      <c r="J1508" s="77"/>
      <c r="K1508" s="79"/>
      <c r="L1508" s="49">
        <f t="shared" si="98"/>
        <v>0</v>
      </c>
      <c r="M1508" s="50">
        <f t="shared" si="99"/>
        <v>0</v>
      </c>
    </row>
    <row r="1509" spans="1:13" x14ac:dyDescent="0.2">
      <c r="A1509" s="18"/>
      <c r="B1509" s="77"/>
      <c r="C1509" s="77"/>
      <c r="D1509" s="78"/>
      <c r="E1509" s="77"/>
      <c r="F1509" s="77"/>
      <c r="G1509" s="77"/>
      <c r="H1509" s="77"/>
      <c r="I1509" s="77"/>
      <c r="J1509" s="77"/>
      <c r="K1509" s="79"/>
      <c r="L1509" s="49">
        <f t="shared" si="98"/>
        <v>0</v>
      </c>
      <c r="M1509" s="50">
        <f t="shared" si="99"/>
        <v>0</v>
      </c>
    </row>
    <row r="1510" spans="1:13" x14ac:dyDescent="0.2">
      <c r="A1510" s="18"/>
      <c r="B1510" s="77"/>
      <c r="C1510" s="77"/>
      <c r="D1510" s="78"/>
      <c r="E1510" s="77"/>
      <c r="F1510" s="77"/>
      <c r="G1510" s="77"/>
      <c r="H1510" s="77"/>
      <c r="I1510" s="77"/>
      <c r="J1510" s="77"/>
      <c r="K1510" s="79"/>
      <c r="L1510" s="49">
        <f t="shared" si="98"/>
        <v>0</v>
      </c>
      <c r="M1510" s="50">
        <f t="shared" si="99"/>
        <v>0</v>
      </c>
    </row>
    <row r="1511" spans="1:13" x14ac:dyDescent="0.2">
      <c r="A1511" s="18"/>
      <c r="B1511" s="77"/>
      <c r="C1511" s="77"/>
      <c r="D1511" s="78"/>
      <c r="E1511" s="77"/>
      <c r="F1511" s="77"/>
      <c r="G1511" s="77"/>
      <c r="H1511" s="77"/>
      <c r="I1511" s="77"/>
      <c r="J1511" s="77"/>
      <c r="K1511" s="79"/>
      <c r="L1511" s="49">
        <f t="shared" si="98"/>
        <v>0</v>
      </c>
      <c r="M1511" s="50">
        <f t="shared" si="99"/>
        <v>0</v>
      </c>
    </row>
    <row r="1512" spans="1:13" x14ac:dyDescent="0.2">
      <c r="A1512" s="18"/>
      <c r="B1512" s="77"/>
      <c r="C1512" s="77"/>
      <c r="D1512" s="78"/>
      <c r="E1512" s="77"/>
      <c r="F1512" s="77"/>
      <c r="G1512" s="77"/>
      <c r="H1512" s="77"/>
      <c r="I1512" s="77"/>
      <c r="J1512" s="77"/>
      <c r="K1512" s="79"/>
      <c r="L1512" s="49">
        <f t="shared" si="98"/>
        <v>0</v>
      </c>
      <c r="M1512" s="50">
        <f t="shared" si="99"/>
        <v>0</v>
      </c>
    </row>
    <row r="1513" spans="1:13" x14ac:dyDescent="0.2">
      <c r="A1513" s="18"/>
      <c r="B1513" s="77"/>
      <c r="C1513" s="77"/>
      <c r="D1513" s="78"/>
      <c r="E1513" s="77"/>
      <c r="F1513" s="77"/>
      <c r="G1513" s="77"/>
      <c r="H1513" s="77"/>
      <c r="I1513" s="77"/>
      <c r="J1513" s="77"/>
      <c r="K1513" s="79"/>
      <c r="L1513" s="49">
        <f t="shared" si="98"/>
        <v>0</v>
      </c>
      <c r="M1513" s="50">
        <f t="shared" si="99"/>
        <v>0</v>
      </c>
    </row>
    <row r="1514" spans="1:13" x14ac:dyDescent="0.2">
      <c r="A1514" s="18"/>
      <c r="B1514" s="77"/>
      <c r="C1514" s="77"/>
      <c r="D1514" s="78"/>
      <c r="E1514" s="77"/>
      <c r="F1514" s="77"/>
      <c r="G1514" s="77"/>
      <c r="H1514" s="77"/>
      <c r="I1514" s="77"/>
      <c r="J1514" s="77"/>
      <c r="K1514" s="79"/>
      <c r="L1514" s="49">
        <f t="shared" si="98"/>
        <v>0</v>
      </c>
      <c r="M1514" s="50">
        <f t="shared" si="99"/>
        <v>0</v>
      </c>
    </row>
    <row r="1515" spans="1:13" x14ac:dyDescent="0.2">
      <c r="A1515" s="18"/>
      <c r="B1515" s="77"/>
      <c r="C1515" s="77"/>
      <c r="D1515" s="78"/>
      <c r="E1515" s="77"/>
      <c r="F1515" s="77"/>
      <c r="G1515" s="77"/>
      <c r="H1515" s="77"/>
      <c r="I1515" s="77"/>
      <c r="J1515" s="77"/>
      <c r="K1515" s="79"/>
      <c r="L1515" s="49">
        <f t="shared" si="98"/>
        <v>0</v>
      </c>
      <c r="M1515" s="50">
        <f t="shared" si="99"/>
        <v>0</v>
      </c>
    </row>
    <row r="1516" spans="1:13" x14ac:dyDescent="0.2">
      <c r="A1516" s="18"/>
      <c r="B1516" s="77"/>
      <c r="C1516" s="77"/>
      <c r="D1516" s="78"/>
      <c r="E1516" s="77"/>
      <c r="F1516" s="77"/>
      <c r="G1516" s="77"/>
      <c r="H1516" s="77"/>
      <c r="I1516" s="77"/>
      <c r="J1516" s="77"/>
      <c r="K1516" s="79"/>
      <c r="L1516" s="49">
        <f t="shared" si="98"/>
        <v>0</v>
      </c>
      <c r="M1516" s="50">
        <f t="shared" si="99"/>
        <v>0</v>
      </c>
    </row>
    <row r="1517" spans="1:13" x14ac:dyDescent="0.2">
      <c r="A1517" s="18"/>
      <c r="B1517" s="77"/>
      <c r="C1517" s="77"/>
      <c r="D1517" s="78"/>
      <c r="E1517" s="77"/>
      <c r="F1517" s="77"/>
      <c r="G1517" s="77"/>
      <c r="H1517" s="77"/>
      <c r="I1517" s="77"/>
      <c r="J1517" s="77"/>
      <c r="K1517" s="79"/>
      <c r="L1517" s="49">
        <f t="shared" si="98"/>
        <v>0</v>
      </c>
      <c r="M1517" s="50">
        <f t="shared" si="99"/>
        <v>0</v>
      </c>
    </row>
    <row r="1518" spans="1:13" x14ac:dyDescent="0.2">
      <c r="A1518" s="18"/>
      <c r="B1518" s="77"/>
      <c r="C1518" s="77"/>
      <c r="D1518" s="78"/>
      <c r="E1518" s="77"/>
      <c r="F1518" s="77"/>
      <c r="G1518" s="77"/>
      <c r="H1518" s="77"/>
      <c r="I1518" s="77"/>
      <c r="J1518" s="77"/>
      <c r="K1518" s="79"/>
      <c r="L1518" s="49">
        <f t="shared" si="98"/>
        <v>0</v>
      </c>
      <c r="M1518" s="50">
        <f t="shared" si="99"/>
        <v>0</v>
      </c>
    </row>
    <row r="1519" spans="1:13" x14ac:dyDescent="0.2">
      <c r="A1519" s="18"/>
      <c r="B1519" s="77"/>
      <c r="C1519" s="77"/>
      <c r="D1519" s="78"/>
      <c r="E1519" s="77"/>
      <c r="F1519" s="77"/>
      <c r="G1519" s="77"/>
      <c r="H1519" s="77"/>
      <c r="I1519" s="77"/>
      <c r="J1519" s="77"/>
      <c r="K1519" s="79"/>
      <c r="L1519" s="49">
        <f t="shared" si="98"/>
        <v>0</v>
      </c>
      <c r="M1519" s="50">
        <f t="shared" si="99"/>
        <v>0</v>
      </c>
    </row>
    <row r="1520" spans="1:13" x14ac:dyDescent="0.2">
      <c r="A1520" s="18"/>
      <c r="B1520" s="77"/>
      <c r="C1520" s="77"/>
      <c r="D1520" s="78"/>
      <c r="E1520" s="77"/>
      <c r="F1520" s="77"/>
      <c r="G1520" s="77"/>
      <c r="H1520" s="77"/>
      <c r="I1520" s="77"/>
      <c r="J1520" s="77"/>
      <c r="K1520" s="79"/>
      <c r="L1520" s="49">
        <f t="shared" si="98"/>
        <v>0</v>
      </c>
      <c r="M1520" s="50">
        <f t="shared" si="99"/>
        <v>0</v>
      </c>
    </row>
    <row r="1521" spans="1:13" x14ac:dyDescent="0.2">
      <c r="A1521" s="18"/>
      <c r="B1521" s="77"/>
      <c r="C1521" s="77"/>
      <c r="D1521" s="78"/>
      <c r="E1521" s="77"/>
      <c r="F1521" s="77"/>
      <c r="G1521" s="77"/>
      <c r="H1521" s="77"/>
      <c r="I1521" s="77"/>
      <c r="J1521" s="77"/>
      <c r="K1521" s="79"/>
      <c r="L1521" s="49">
        <f t="shared" si="98"/>
        <v>0</v>
      </c>
      <c r="M1521" s="50">
        <f t="shared" si="99"/>
        <v>0</v>
      </c>
    </row>
    <row r="1522" spans="1:13" x14ac:dyDescent="0.2">
      <c r="A1522" s="18"/>
      <c r="B1522" s="77"/>
      <c r="C1522" s="77"/>
      <c r="D1522" s="78"/>
      <c r="E1522" s="77"/>
      <c r="F1522" s="77"/>
      <c r="G1522" s="77"/>
      <c r="H1522" s="77"/>
      <c r="I1522" s="77"/>
      <c r="J1522" s="77"/>
      <c r="K1522" s="79"/>
      <c r="L1522" s="49">
        <f t="shared" si="98"/>
        <v>0</v>
      </c>
      <c r="M1522" s="50">
        <f t="shared" si="99"/>
        <v>0</v>
      </c>
    </row>
    <row r="1523" spans="1:13" x14ac:dyDescent="0.2">
      <c r="A1523" s="18"/>
      <c r="B1523" s="77"/>
      <c r="C1523" s="77"/>
      <c r="D1523" s="78"/>
      <c r="E1523" s="77"/>
      <c r="F1523" s="77"/>
      <c r="G1523" s="77"/>
      <c r="H1523" s="77"/>
      <c r="I1523" s="77"/>
      <c r="J1523" s="77"/>
      <c r="K1523" s="79"/>
      <c r="L1523" s="49">
        <f t="shared" si="98"/>
        <v>0</v>
      </c>
      <c r="M1523" s="50">
        <f t="shared" si="99"/>
        <v>0</v>
      </c>
    </row>
    <row r="1524" spans="1:13" x14ac:dyDescent="0.2">
      <c r="A1524" s="18"/>
      <c r="B1524" s="77"/>
      <c r="C1524" s="77"/>
      <c r="D1524" s="78"/>
      <c r="E1524" s="77"/>
      <c r="F1524" s="77"/>
      <c r="G1524" s="77"/>
      <c r="H1524" s="77"/>
      <c r="I1524" s="77"/>
      <c r="J1524" s="77"/>
      <c r="K1524" s="79"/>
      <c r="L1524" s="49">
        <f t="shared" si="98"/>
        <v>0</v>
      </c>
      <c r="M1524" s="50">
        <f t="shared" si="99"/>
        <v>0</v>
      </c>
    </row>
    <row r="1525" spans="1:13" x14ac:dyDescent="0.2">
      <c r="A1525" s="18"/>
      <c r="B1525" s="77"/>
      <c r="C1525" s="77"/>
      <c r="D1525" s="78"/>
      <c r="E1525" s="77"/>
      <c r="F1525" s="77"/>
      <c r="G1525" s="77"/>
      <c r="H1525" s="77"/>
      <c r="I1525" s="77"/>
      <c r="J1525" s="77"/>
      <c r="K1525" s="79"/>
      <c r="L1525" s="49">
        <f t="shared" si="98"/>
        <v>0</v>
      </c>
      <c r="M1525" s="50">
        <f t="shared" si="99"/>
        <v>0</v>
      </c>
    </row>
    <row r="1526" spans="1:13" x14ac:dyDescent="0.2">
      <c r="A1526" s="18"/>
      <c r="B1526" s="77"/>
      <c r="C1526" s="77"/>
      <c r="D1526" s="78"/>
      <c r="E1526" s="77"/>
      <c r="F1526" s="77"/>
      <c r="G1526" s="77"/>
      <c r="H1526" s="77"/>
      <c r="I1526" s="77"/>
      <c r="J1526" s="77"/>
      <c r="K1526" s="79"/>
      <c r="L1526" s="49">
        <f t="shared" si="98"/>
        <v>0</v>
      </c>
      <c r="M1526" s="50">
        <f t="shared" si="99"/>
        <v>0</v>
      </c>
    </row>
    <row r="1527" spans="1:13" x14ac:dyDescent="0.2">
      <c r="A1527" s="18"/>
      <c r="B1527" s="77"/>
      <c r="C1527" s="77"/>
      <c r="D1527" s="78"/>
      <c r="E1527" s="77"/>
      <c r="F1527" s="77"/>
      <c r="G1527" s="77"/>
      <c r="H1527" s="77"/>
      <c r="I1527" s="77"/>
      <c r="J1527" s="77"/>
      <c r="K1527" s="79"/>
      <c r="L1527" s="49">
        <f t="shared" si="98"/>
        <v>0</v>
      </c>
      <c r="M1527" s="50">
        <f t="shared" si="99"/>
        <v>0</v>
      </c>
    </row>
    <row r="1528" spans="1:13" x14ac:dyDescent="0.2">
      <c r="A1528" s="18"/>
      <c r="B1528" s="77"/>
      <c r="C1528" s="77"/>
      <c r="D1528" s="78"/>
      <c r="E1528" s="77"/>
      <c r="F1528" s="77"/>
      <c r="G1528" s="77"/>
      <c r="H1528" s="77"/>
      <c r="I1528" s="77"/>
      <c r="J1528" s="77"/>
      <c r="K1528" s="79"/>
      <c r="L1528" s="49">
        <f t="shared" si="98"/>
        <v>0</v>
      </c>
      <c r="M1528" s="50">
        <f t="shared" si="99"/>
        <v>0</v>
      </c>
    </row>
    <row r="1529" spans="1:13" x14ac:dyDescent="0.2">
      <c r="A1529" s="18"/>
      <c r="B1529" s="77"/>
      <c r="C1529" s="77"/>
      <c r="D1529" s="78"/>
      <c r="E1529" s="77"/>
      <c r="F1529" s="77"/>
      <c r="G1529" s="77"/>
      <c r="H1529" s="77"/>
      <c r="I1529" s="77"/>
      <c r="J1529" s="77"/>
      <c r="K1529" s="79"/>
      <c r="L1529" s="49">
        <f t="shared" si="98"/>
        <v>0</v>
      </c>
      <c r="M1529" s="50">
        <f t="shared" si="99"/>
        <v>0</v>
      </c>
    </row>
    <row r="1530" spans="1:13" x14ac:dyDescent="0.2">
      <c r="A1530" s="18"/>
      <c r="B1530" s="77"/>
      <c r="C1530" s="77"/>
      <c r="D1530" s="78"/>
      <c r="E1530" s="77"/>
      <c r="F1530" s="77"/>
      <c r="G1530" s="77"/>
      <c r="H1530" s="77"/>
      <c r="I1530" s="77"/>
      <c r="J1530" s="77"/>
      <c r="K1530" s="79"/>
      <c r="L1530" s="49">
        <f t="shared" si="98"/>
        <v>0</v>
      </c>
      <c r="M1530" s="50">
        <f t="shared" si="99"/>
        <v>0</v>
      </c>
    </row>
    <row r="1531" spans="1:13" x14ac:dyDescent="0.2">
      <c r="A1531" s="18"/>
      <c r="B1531" s="77"/>
      <c r="C1531" s="77"/>
      <c r="D1531" s="78"/>
      <c r="E1531" s="77"/>
      <c r="F1531" s="77"/>
      <c r="G1531" s="77"/>
      <c r="H1531" s="77"/>
      <c r="I1531" s="77"/>
      <c r="J1531" s="77"/>
      <c r="K1531" s="79"/>
      <c r="L1531" s="49">
        <f t="shared" si="98"/>
        <v>0</v>
      </c>
      <c r="M1531" s="50">
        <f t="shared" si="99"/>
        <v>0</v>
      </c>
    </row>
    <row r="1532" spans="1:13" x14ac:dyDescent="0.2">
      <c r="A1532" s="18"/>
      <c r="B1532" s="77"/>
      <c r="C1532" s="77"/>
      <c r="D1532" s="78"/>
      <c r="E1532" s="77"/>
      <c r="F1532" s="77"/>
      <c r="G1532" s="77"/>
      <c r="H1532" s="77"/>
      <c r="I1532" s="77"/>
      <c r="J1532" s="77"/>
      <c r="K1532" s="79"/>
      <c r="L1532" s="49">
        <f t="shared" si="98"/>
        <v>0</v>
      </c>
      <c r="M1532" s="50">
        <f t="shared" si="99"/>
        <v>0</v>
      </c>
    </row>
    <row r="1533" spans="1:13" x14ac:dyDescent="0.2">
      <c r="A1533" s="18"/>
      <c r="B1533" s="77"/>
      <c r="C1533" s="77"/>
      <c r="D1533" s="78"/>
      <c r="E1533" s="77"/>
      <c r="F1533" s="77"/>
      <c r="G1533" s="77"/>
      <c r="H1533" s="77"/>
      <c r="I1533" s="77"/>
      <c r="J1533" s="77"/>
      <c r="K1533" s="79"/>
      <c r="L1533" s="49">
        <f t="shared" si="98"/>
        <v>0</v>
      </c>
      <c r="M1533" s="50">
        <f t="shared" si="99"/>
        <v>0</v>
      </c>
    </row>
    <row r="1534" spans="1:13" x14ac:dyDescent="0.2">
      <c r="A1534" s="18"/>
      <c r="B1534" s="77"/>
      <c r="C1534" s="77"/>
      <c r="D1534" s="78"/>
      <c r="E1534" s="77"/>
      <c r="F1534" s="77"/>
      <c r="G1534" s="77"/>
      <c r="H1534" s="77"/>
      <c r="I1534" s="77"/>
      <c r="J1534" s="77"/>
      <c r="K1534" s="79"/>
      <c r="L1534" s="49">
        <f t="shared" si="98"/>
        <v>0</v>
      </c>
      <c r="M1534" s="50">
        <f t="shared" si="99"/>
        <v>0</v>
      </c>
    </row>
    <row r="1535" spans="1:13" x14ac:dyDescent="0.2">
      <c r="A1535" s="18"/>
      <c r="B1535" s="77"/>
      <c r="C1535" s="77"/>
      <c r="D1535" s="78"/>
      <c r="E1535" s="77"/>
      <c r="F1535" s="77"/>
      <c r="G1535" s="77"/>
      <c r="H1535" s="77"/>
      <c r="I1535" s="77"/>
      <c r="J1535" s="77"/>
      <c r="K1535" s="79"/>
      <c r="L1535" s="49">
        <f t="shared" si="98"/>
        <v>0</v>
      </c>
      <c r="M1535" s="50">
        <f t="shared" si="99"/>
        <v>0</v>
      </c>
    </row>
    <row r="1536" spans="1:13" x14ac:dyDescent="0.2">
      <c r="A1536" s="18"/>
      <c r="B1536" s="77"/>
      <c r="C1536" s="77"/>
      <c r="D1536" s="78"/>
      <c r="E1536" s="77"/>
      <c r="F1536" s="77"/>
      <c r="G1536" s="77"/>
      <c r="H1536" s="77"/>
      <c r="I1536" s="77"/>
      <c r="J1536" s="77"/>
      <c r="K1536" s="79"/>
      <c r="L1536" s="49">
        <f t="shared" si="98"/>
        <v>0</v>
      </c>
      <c r="M1536" s="50">
        <f t="shared" si="99"/>
        <v>0</v>
      </c>
    </row>
    <row r="1537" spans="1:13" x14ac:dyDescent="0.2">
      <c r="A1537" s="18"/>
      <c r="B1537" s="77"/>
      <c r="C1537" s="77"/>
      <c r="D1537" s="78"/>
      <c r="E1537" s="77"/>
      <c r="F1537" s="77"/>
      <c r="G1537" s="77"/>
      <c r="H1537" s="77"/>
      <c r="I1537" s="77"/>
      <c r="J1537" s="77"/>
      <c r="K1537" s="79"/>
      <c r="L1537" s="49">
        <f t="shared" si="98"/>
        <v>0</v>
      </c>
      <c r="M1537" s="50">
        <f t="shared" si="99"/>
        <v>0</v>
      </c>
    </row>
    <row r="1538" spans="1:13" x14ac:dyDescent="0.2">
      <c r="A1538" s="18"/>
      <c r="B1538" s="77"/>
      <c r="C1538" s="77"/>
      <c r="D1538" s="78"/>
      <c r="E1538" s="77"/>
      <c r="F1538" s="77"/>
      <c r="G1538" s="77"/>
      <c r="H1538" s="77"/>
      <c r="I1538" s="77"/>
      <c r="J1538" s="77"/>
      <c r="K1538" s="79"/>
      <c r="L1538" s="49">
        <f t="shared" si="98"/>
        <v>0</v>
      </c>
      <c r="M1538" s="50">
        <f t="shared" si="99"/>
        <v>0</v>
      </c>
    </row>
    <row r="1539" spans="1:13" x14ac:dyDescent="0.2">
      <c r="A1539" s="18"/>
      <c r="B1539" s="77"/>
      <c r="C1539" s="77"/>
      <c r="D1539" s="78"/>
      <c r="E1539" s="77"/>
      <c r="F1539" s="77"/>
      <c r="G1539" s="77"/>
      <c r="H1539" s="77"/>
      <c r="I1539" s="77"/>
      <c r="J1539" s="77"/>
      <c r="K1539" s="79"/>
      <c r="L1539" s="49">
        <f t="shared" si="98"/>
        <v>0</v>
      </c>
      <c r="M1539" s="50">
        <f t="shared" si="99"/>
        <v>0</v>
      </c>
    </row>
    <row r="1540" spans="1:13" x14ac:dyDescent="0.2">
      <c r="A1540" s="18"/>
      <c r="B1540" s="77"/>
      <c r="C1540" s="77"/>
      <c r="D1540" s="78"/>
      <c r="E1540" s="77"/>
      <c r="F1540" s="77"/>
      <c r="G1540" s="77"/>
      <c r="H1540" s="77"/>
      <c r="I1540" s="77"/>
      <c r="J1540" s="77"/>
      <c r="K1540" s="79"/>
      <c r="L1540" s="49">
        <f t="shared" si="98"/>
        <v>0</v>
      </c>
      <c r="M1540" s="50">
        <f t="shared" si="99"/>
        <v>0</v>
      </c>
    </row>
    <row r="1541" spans="1:13" x14ac:dyDescent="0.2">
      <c r="A1541" s="18"/>
      <c r="B1541" s="77"/>
      <c r="C1541" s="77"/>
      <c r="D1541" s="78"/>
      <c r="E1541" s="77"/>
      <c r="F1541" s="77"/>
      <c r="G1541" s="77"/>
      <c r="H1541" s="77"/>
      <c r="I1541" s="77"/>
      <c r="J1541" s="77"/>
      <c r="K1541" s="79"/>
      <c r="L1541" s="49">
        <f t="shared" si="98"/>
        <v>0</v>
      </c>
      <c r="M1541" s="50">
        <f t="shared" si="99"/>
        <v>0</v>
      </c>
    </row>
    <row r="1542" spans="1:13" x14ac:dyDescent="0.2">
      <c r="A1542" s="18"/>
      <c r="B1542" s="77"/>
      <c r="C1542" s="77"/>
      <c r="D1542" s="78"/>
      <c r="E1542" s="77"/>
      <c r="F1542" s="77"/>
      <c r="G1542" s="77"/>
      <c r="H1542" s="77"/>
      <c r="I1542" s="77"/>
      <c r="J1542" s="77"/>
      <c r="K1542" s="79"/>
      <c r="L1542" s="49">
        <f t="shared" si="98"/>
        <v>0</v>
      </c>
      <c r="M1542" s="50">
        <f t="shared" si="99"/>
        <v>0</v>
      </c>
    </row>
    <row r="1543" spans="1:13" x14ac:dyDescent="0.2">
      <c r="A1543" s="18"/>
      <c r="B1543" s="77"/>
      <c r="C1543" s="77"/>
      <c r="D1543" s="78"/>
      <c r="E1543" s="77"/>
      <c r="F1543" s="77"/>
      <c r="G1543" s="77"/>
      <c r="H1543" s="77"/>
      <c r="I1543" s="77"/>
      <c r="J1543" s="77"/>
      <c r="K1543" s="79"/>
      <c r="L1543" s="49">
        <f t="shared" si="98"/>
        <v>0</v>
      </c>
      <c r="M1543" s="50">
        <f t="shared" si="99"/>
        <v>0</v>
      </c>
    </row>
    <row r="1544" spans="1:13" x14ac:dyDescent="0.2">
      <c r="A1544" s="18"/>
      <c r="B1544" s="77"/>
      <c r="C1544" s="77"/>
      <c r="D1544" s="78"/>
      <c r="E1544" s="77"/>
      <c r="F1544" s="77"/>
      <c r="G1544" s="77"/>
      <c r="H1544" s="77"/>
      <c r="I1544" s="77"/>
      <c r="J1544" s="77"/>
      <c r="K1544" s="79"/>
      <c r="L1544" s="49">
        <f t="shared" si="98"/>
        <v>0</v>
      </c>
      <c r="M1544" s="50">
        <f t="shared" si="99"/>
        <v>0</v>
      </c>
    </row>
    <row r="1545" spans="1:13" x14ac:dyDescent="0.2">
      <c r="A1545" s="18"/>
      <c r="B1545" s="77"/>
      <c r="C1545" s="77"/>
      <c r="D1545" s="78"/>
      <c r="E1545" s="77"/>
      <c r="F1545" s="77"/>
      <c r="G1545" s="77"/>
      <c r="H1545" s="77"/>
      <c r="I1545" s="77"/>
      <c r="J1545" s="77"/>
      <c r="K1545" s="79"/>
      <c r="L1545" s="49">
        <f t="shared" si="98"/>
        <v>0</v>
      </c>
      <c r="M1545" s="50">
        <f t="shared" si="99"/>
        <v>0</v>
      </c>
    </row>
    <row r="1546" spans="1:13" x14ac:dyDescent="0.2">
      <c r="A1546" s="18"/>
      <c r="B1546" s="77"/>
      <c r="C1546" s="77"/>
      <c r="D1546" s="78"/>
      <c r="E1546" s="77"/>
      <c r="F1546" s="77"/>
      <c r="G1546" s="77"/>
      <c r="H1546" s="77"/>
      <c r="I1546" s="77"/>
      <c r="J1546" s="77"/>
      <c r="K1546" s="79"/>
      <c r="L1546" s="49">
        <f t="shared" si="98"/>
        <v>0</v>
      </c>
      <c r="M1546" s="50">
        <f t="shared" si="99"/>
        <v>0</v>
      </c>
    </row>
    <row r="1547" spans="1:13" x14ac:dyDescent="0.2">
      <c r="A1547" s="18"/>
      <c r="B1547" s="77"/>
      <c r="C1547" s="77"/>
      <c r="D1547" s="78"/>
      <c r="E1547" s="77"/>
      <c r="F1547" s="77"/>
      <c r="G1547" s="77"/>
      <c r="H1547" s="77"/>
      <c r="I1547" s="77"/>
      <c r="J1547" s="77"/>
      <c r="K1547" s="79"/>
      <c r="L1547" s="49">
        <f t="shared" si="98"/>
        <v>0</v>
      </c>
      <c r="M1547" s="50">
        <f t="shared" si="99"/>
        <v>0</v>
      </c>
    </row>
    <row r="1548" spans="1:13" x14ac:dyDescent="0.2">
      <c r="A1548" s="18"/>
      <c r="B1548" s="77"/>
      <c r="C1548" s="77"/>
      <c r="D1548" s="78"/>
      <c r="E1548" s="77"/>
      <c r="F1548" s="77"/>
      <c r="G1548" s="77"/>
      <c r="H1548" s="77"/>
      <c r="I1548" s="77"/>
      <c r="J1548" s="77"/>
      <c r="K1548" s="79"/>
      <c r="L1548" s="49">
        <f t="shared" si="98"/>
        <v>0</v>
      </c>
      <c r="M1548" s="50">
        <f t="shared" si="99"/>
        <v>0</v>
      </c>
    </row>
    <row r="1549" spans="1:13" x14ac:dyDescent="0.2">
      <c r="A1549" s="18"/>
      <c r="B1549" s="77"/>
      <c r="C1549" s="77"/>
      <c r="D1549" s="78"/>
      <c r="E1549" s="77"/>
      <c r="F1549" s="77"/>
      <c r="G1549" s="77"/>
      <c r="H1549" s="77"/>
      <c r="I1549" s="77"/>
      <c r="J1549" s="77"/>
      <c r="K1549" s="79"/>
      <c r="L1549" s="49">
        <f t="shared" si="98"/>
        <v>0</v>
      </c>
      <c r="M1549" s="50">
        <f t="shared" si="99"/>
        <v>0</v>
      </c>
    </row>
    <row r="1550" spans="1:13" x14ac:dyDescent="0.2">
      <c r="A1550" s="18"/>
      <c r="B1550" s="77"/>
      <c r="C1550" s="77"/>
      <c r="D1550" s="78"/>
      <c r="E1550" s="77"/>
      <c r="F1550" s="77"/>
      <c r="G1550" s="77"/>
      <c r="H1550" s="77"/>
      <c r="I1550" s="77"/>
      <c r="J1550" s="77"/>
      <c r="K1550" s="79"/>
      <c r="L1550" s="49">
        <f t="shared" ref="L1550:L1613" si="100">+K1550*18%</f>
        <v>0</v>
      </c>
      <c r="M1550" s="50">
        <f t="shared" ref="M1550:M1613" si="101">+K1550+L1550</f>
        <v>0</v>
      </c>
    </row>
    <row r="1551" spans="1:13" x14ac:dyDescent="0.2">
      <c r="A1551" s="18"/>
      <c r="B1551" s="77"/>
      <c r="C1551" s="77"/>
      <c r="D1551" s="78"/>
      <c r="E1551" s="77"/>
      <c r="F1551" s="77"/>
      <c r="G1551" s="77"/>
      <c r="H1551" s="77"/>
      <c r="I1551" s="77"/>
      <c r="J1551" s="77"/>
      <c r="K1551" s="79"/>
      <c r="L1551" s="49">
        <f t="shared" si="100"/>
        <v>0</v>
      </c>
      <c r="M1551" s="50">
        <f t="shared" si="101"/>
        <v>0</v>
      </c>
    </row>
    <row r="1552" spans="1:13" x14ac:dyDescent="0.2">
      <c r="A1552" s="18"/>
      <c r="B1552" s="77"/>
      <c r="C1552" s="77"/>
      <c r="D1552" s="78"/>
      <c r="E1552" s="77"/>
      <c r="F1552" s="77"/>
      <c r="G1552" s="77"/>
      <c r="H1552" s="77"/>
      <c r="I1552" s="77"/>
      <c r="J1552" s="77"/>
      <c r="K1552" s="79"/>
      <c r="L1552" s="49">
        <f t="shared" si="100"/>
        <v>0</v>
      </c>
      <c r="M1552" s="50">
        <f t="shared" si="101"/>
        <v>0</v>
      </c>
    </row>
    <row r="1553" spans="1:13" x14ac:dyDescent="0.2">
      <c r="A1553" s="18"/>
      <c r="B1553" s="77"/>
      <c r="C1553" s="77"/>
      <c r="D1553" s="78"/>
      <c r="E1553" s="77"/>
      <c r="F1553" s="77"/>
      <c r="G1553" s="77"/>
      <c r="H1553" s="77"/>
      <c r="I1553" s="77"/>
      <c r="J1553" s="77"/>
      <c r="K1553" s="79"/>
      <c r="L1553" s="49">
        <f t="shared" si="100"/>
        <v>0</v>
      </c>
      <c r="M1553" s="50">
        <f t="shared" si="101"/>
        <v>0</v>
      </c>
    </row>
    <row r="1554" spans="1:13" x14ac:dyDescent="0.2">
      <c r="A1554" s="18"/>
      <c r="B1554" s="77"/>
      <c r="C1554" s="77"/>
      <c r="D1554" s="78"/>
      <c r="E1554" s="77"/>
      <c r="F1554" s="77"/>
      <c r="G1554" s="77"/>
      <c r="H1554" s="77"/>
      <c r="I1554" s="77"/>
      <c r="J1554" s="77"/>
      <c r="K1554" s="79"/>
      <c r="L1554" s="49">
        <f t="shared" si="100"/>
        <v>0</v>
      </c>
      <c r="M1554" s="50">
        <f t="shared" si="101"/>
        <v>0</v>
      </c>
    </row>
    <row r="1555" spans="1:13" x14ac:dyDescent="0.2">
      <c r="A1555" s="18"/>
      <c r="B1555" s="77"/>
      <c r="C1555" s="77"/>
      <c r="D1555" s="78"/>
      <c r="E1555" s="77"/>
      <c r="F1555" s="77"/>
      <c r="G1555" s="77"/>
      <c r="H1555" s="77"/>
      <c r="I1555" s="77"/>
      <c r="J1555" s="77"/>
      <c r="K1555" s="79"/>
      <c r="L1555" s="49">
        <f t="shared" si="100"/>
        <v>0</v>
      </c>
      <c r="M1555" s="50">
        <f t="shared" si="101"/>
        <v>0</v>
      </c>
    </row>
    <row r="1556" spans="1:13" x14ac:dyDescent="0.2">
      <c r="A1556" s="18"/>
      <c r="B1556" s="77"/>
      <c r="C1556" s="77"/>
      <c r="D1556" s="78"/>
      <c r="E1556" s="77"/>
      <c r="F1556" s="77"/>
      <c r="G1556" s="77"/>
      <c r="H1556" s="77"/>
      <c r="I1556" s="77"/>
      <c r="J1556" s="77"/>
      <c r="K1556" s="79"/>
      <c r="L1556" s="49">
        <f t="shared" si="100"/>
        <v>0</v>
      </c>
      <c r="M1556" s="50">
        <f t="shared" si="101"/>
        <v>0</v>
      </c>
    </row>
    <row r="1557" spans="1:13" x14ac:dyDescent="0.2">
      <c r="A1557" s="18"/>
      <c r="B1557" s="77"/>
      <c r="C1557" s="77"/>
      <c r="D1557" s="78"/>
      <c r="E1557" s="77"/>
      <c r="F1557" s="77"/>
      <c r="G1557" s="77"/>
      <c r="H1557" s="77"/>
      <c r="I1557" s="77"/>
      <c r="J1557" s="77"/>
      <c r="K1557" s="79"/>
      <c r="L1557" s="49">
        <f t="shared" si="100"/>
        <v>0</v>
      </c>
      <c r="M1557" s="50">
        <f t="shared" si="101"/>
        <v>0</v>
      </c>
    </row>
    <row r="1558" spans="1:13" x14ac:dyDescent="0.2">
      <c r="A1558" s="18"/>
      <c r="B1558" s="77"/>
      <c r="C1558" s="77"/>
      <c r="D1558" s="78"/>
      <c r="E1558" s="77"/>
      <c r="F1558" s="77"/>
      <c r="G1558" s="77"/>
      <c r="H1558" s="77"/>
      <c r="I1558" s="77"/>
      <c r="J1558" s="77"/>
      <c r="K1558" s="79"/>
      <c r="L1558" s="49">
        <f t="shared" si="100"/>
        <v>0</v>
      </c>
      <c r="M1558" s="50">
        <f t="shared" si="101"/>
        <v>0</v>
      </c>
    </row>
    <row r="1559" spans="1:13" x14ac:dyDescent="0.2">
      <c r="A1559" s="18"/>
      <c r="B1559" s="77"/>
      <c r="C1559" s="77"/>
      <c r="D1559" s="78"/>
      <c r="E1559" s="77"/>
      <c r="F1559" s="77"/>
      <c r="G1559" s="77"/>
      <c r="H1559" s="77"/>
      <c r="I1559" s="77"/>
      <c r="J1559" s="77"/>
      <c r="K1559" s="79"/>
      <c r="L1559" s="49">
        <f t="shared" si="100"/>
        <v>0</v>
      </c>
      <c r="M1559" s="50">
        <f t="shared" si="101"/>
        <v>0</v>
      </c>
    </row>
    <row r="1560" spans="1:13" x14ac:dyDescent="0.2">
      <c r="A1560" s="18"/>
      <c r="B1560" s="77"/>
      <c r="C1560" s="77"/>
      <c r="D1560" s="78"/>
      <c r="E1560" s="77"/>
      <c r="F1560" s="77"/>
      <c r="G1560" s="77"/>
      <c r="H1560" s="77"/>
      <c r="I1560" s="77"/>
      <c r="J1560" s="77"/>
      <c r="K1560" s="79"/>
      <c r="L1560" s="49">
        <f t="shared" si="100"/>
        <v>0</v>
      </c>
      <c r="M1560" s="50">
        <f t="shared" si="101"/>
        <v>0</v>
      </c>
    </row>
    <row r="1561" spans="1:13" x14ac:dyDescent="0.2">
      <c r="A1561" s="18"/>
      <c r="B1561" s="77"/>
      <c r="C1561" s="77"/>
      <c r="D1561" s="78"/>
      <c r="E1561" s="77"/>
      <c r="F1561" s="77"/>
      <c r="G1561" s="77"/>
      <c r="H1561" s="77"/>
      <c r="I1561" s="77"/>
      <c r="J1561" s="77"/>
      <c r="K1561" s="79"/>
      <c r="L1561" s="49">
        <f t="shared" si="100"/>
        <v>0</v>
      </c>
      <c r="M1561" s="50">
        <f t="shared" si="101"/>
        <v>0</v>
      </c>
    </row>
    <row r="1562" spans="1:13" x14ac:dyDescent="0.2">
      <c r="A1562" s="18"/>
      <c r="B1562" s="77"/>
      <c r="C1562" s="77"/>
      <c r="D1562" s="78"/>
      <c r="E1562" s="77"/>
      <c r="F1562" s="77"/>
      <c r="G1562" s="77"/>
      <c r="H1562" s="77"/>
      <c r="I1562" s="77"/>
      <c r="J1562" s="77"/>
      <c r="K1562" s="79"/>
      <c r="L1562" s="49">
        <f t="shared" si="100"/>
        <v>0</v>
      </c>
      <c r="M1562" s="50">
        <f t="shared" si="101"/>
        <v>0</v>
      </c>
    </row>
    <row r="1563" spans="1:13" x14ac:dyDescent="0.2">
      <c r="A1563" s="18"/>
      <c r="B1563" s="77"/>
      <c r="C1563" s="77"/>
      <c r="D1563" s="78"/>
      <c r="E1563" s="77"/>
      <c r="F1563" s="77"/>
      <c r="G1563" s="77"/>
      <c r="H1563" s="77"/>
      <c r="I1563" s="77"/>
      <c r="J1563" s="77"/>
      <c r="K1563" s="79"/>
      <c r="L1563" s="49">
        <f t="shared" si="100"/>
        <v>0</v>
      </c>
      <c r="M1563" s="50">
        <f t="shared" si="101"/>
        <v>0</v>
      </c>
    </row>
    <row r="1564" spans="1:13" x14ac:dyDescent="0.2">
      <c r="A1564" s="18"/>
      <c r="B1564" s="77"/>
      <c r="C1564" s="77"/>
      <c r="D1564" s="78"/>
      <c r="E1564" s="77"/>
      <c r="F1564" s="77"/>
      <c r="G1564" s="77"/>
      <c r="H1564" s="77"/>
      <c r="I1564" s="77"/>
      <c r="J1564" s="77"/>
      <c r="K1564" s="79"/>
      <c r="L1564" s="49">
        <f t="shared" si="100"/>
        <v>0</v>
      </c>
      <c r="M1564" s="50">
        <f t="shared" si="101"/>
        <v>0</v>
      </c>
    </row>
    <row r="1565" spans="1:13" x14ac:dyDescent="0.2">
      <c r="A1565" s="18"/>
      <c r="B1565" s="77"/>
      <c r="C1565" s="77"/>
      <c r="D1565" s="78"/>
      <c r="E1565" s="77"/>
      <c r="F1565" s="77"/>
      <c r="G1565" s="77"/>
      <c r="H1565" s="77"/>
      <c r="I1565" s="77"/>
      <c r="J1565" s="77"/>
      <c r="K1565" s="79"/>
      <c r="L1565" s="49">
        <f t="shared" si="100"/>
        <v>0</v>
      </c>
      <c r="M1565" s="50">
        <f t="shared" si="101"/>
        <v>0</v>
      </c>
    </row>
    <row r="1566" spans="1:13" x14ac:dyDescent="0.2">
      <c r="A1566" s="18"/>
      <c r="B1566" s="77"/>
      <c r="C1566" s="77"/>
      <c r="D1566" s="78"/>
      <c r="E1566" s="77"/>
      <c r="F1566" s="77"/>
      <c r="G1566" s="77"/>
      <c r="H1566" s="77"/>
      <c r="I1566" s="77"/>
      <c r="J1566" s="77"/>
      <c r="K1566" s="79"/>
      <c r="L1566" s="49">
        <f t="shared" si="100"/>
        <v>0</v>
      </c>
      <c r="M1566" s="50">
        <f t="shared" si="101"/>
        <v>0</v>
      </c>
    </row>
    <row r="1567" spans="1:13" x14ac:dyDescent="0.2">
      <c r="A1567" s="18"/>
      <c r="B1567" s="77"/>
      <c r="C1567" s="77"/>
      <c r="D1567" s="78"/>
      <c r="E1567" s="77"/>
      <c r="F1567" s="77"/>
      <c r="G1567" s="77"/>
      <c r="H1567" s="77"/>
      <c r="I1567" s="77"/>
      <c r="J1567" s="77"/>
      <c r="K1567" s="79"/>
      <c r="L1567" s="49">
        <f t="shared" si="100"/>
        <v>0</v>
      </c>
      <c r="M1567" s="50">
        <f t="shared" si="101"/>
        <v>0</v>
      </c>
    </row>
    <row r="1568" spans="1:13" x14ac:dyDescent="0.2">
      <c r="A1568" s="18"/>
      <c r="B1568" s="77"/>
      <c r="C1568" s="77"/>
      <c r="D1568" s="78"/>
      <c r="E1568" s="77"/>
      <c r="F1568" s="77"/>
      <c r="G1568" s="77"/>
      <c r="H1568" s="77"/>
      <c r="I1568" s="77"/>
      <c r="J1568" s="77"/>
      <c r="K1568" s="79"/>
      <c r="L1568" s="49">
        <f t="shared" si="100"/>
        <v>0</v>
      </c>
      <c r="M1568" s="50">
        <f t="shared" si="101"/>
        <v>0</v>
      </c>
    </row>
    <row r="1569" spans="1:13" x14ac:dyDescent="0.2">
      <c r="A1569" s="18"/>
      <c r="B1569" s="77"/>
      <c r="C1569" s="77"/>
      <c r="D1569" s="78"/>
      <c r="E1569" s="77"/>
      <c r="F1569" s="77"/>
      <c r="G1569" s="77"/>
      <c r="H1569" s="77"/>
      <c r="I1569" s="77"/>
      <c r="J1569" s="77"/>
      <c r="K1569" s="79"/>
      <c r="L1569" s="49">
        <f t="shared" si="100"/>
        <v>0</v>
      </c>
      <c r="M1569" s="50">
        <f t="shared" si="101"/>
        <v>0</v>
      </c>
    </row>
    <row r="1570" spans="1:13" x14ac:dyDescent="0.2">
      <c r="A1570" s="18"/>
      <c r="B1570" s="77"/>
      <c r="C1570" s="77"/>
      <c r="D1570" s="78"/>
      <c r="E1570" s="77"/>
      <c r="F1570" s="77"/>
      <c r="G1570" s="77"/>
      <c r="H1570" s="77"/>
      <c r="I1570" s="77"/>
      <c r="J1570" s="77"/>
      <c r="K1570" s="79"/>
      <c r="L1570" s="49">
        <f t="shared" si="100"/>
        <v>0</v>
      </c>
      <c r="M1570" s="50">
        <f t="shared" si="101"/>
        <v>0</v>
      </c>
    </row>
    <row r="1571" spans="1:13" x14ac:dyDescent="0.2">
      <c r="A1571" s="18"/>
      <c r="B1571" s="77"/>
      <c r="C1571" s="77"/>
      <c r="D1571" s="78"/>
      <c r="E1571" s="77"/>
      <c r="F1571" s="77"/>
      <c r="G1571" s="77"/>
      <c r="H1571" s="77"/>
      <c r="I1571" s="77"/>
      <c r="J1571" s="77"/>
      <c r="K1571" s="79"/>
      <c r="L1571" s="49">
        <f t="shared" si="100"/>
        <v>0</v>
      </c>
      <c r="M1571" s="50">
        <f t="shared" si="101"/>
        <v>0</v>
      </c>
    </row>
    <row r="1572" spans="1:13" x14ac:dyDescent="0.2">
      <c r="A1572" s="18"/>
      <c r="B1572" s="77"/>
      <c r="C1572" s="77"/>
      <c r="D1572" s="78"/>
      <c r="E1572" s="77"/>
      <c r="F1572" s="77"/>
      <c r="G1572" s="77"/>
      <c r="H1572" s="77"/>
      <c r="I1572" s="77"/>
      <c r="J1572" s="77"/>
      <c r="K1572" s="79"/>
      <c r="L1572" s="49">
        <f t="shared" si="100"/>
        <v>0</v>
      </c>
      <c r="M1572" s="50">
        <f t="shared" si="101"/>
        <v>0</v>
      </c>
    </row>
    <row r="1573" spans="1:13" x14ac:dyDescent="0.2">
      <c r="A1573" s="18"/>
      <c r="B1573" s="77"/>
      <c r="C1573" s="77"/>
      <c r="D1573" s="78"/>
      <c r="E1573" s="77"/>
      <c r="F1573" s="77"/>
      <c r="G1573" s="77"/>
      <c r="H1573" s="77"/>
      <c r="I1573" s="77"/>
      <c r="J1573" s="77"/>
      <c r="K1573" s="79"/>
      <c r="L1573" s="49">
        <f t="shared" si="100"/>
        <v>0</v>
      </c>
      <c r="M1573" s="50">
        <f t="shared" si="101"/>
        <v>0</v>
      </c>
    </row>
    <row r="1574" spans="1:13" x14ac:dyDescent="0.2">
      <c r="A1574" s="18"/>
      <c r="B1574" s="77"/>
      <c r="C1574" s="77"/>
      <c r="D1574" s="78"/>
      <c r="E1574" s="77"/>
      <c r="F1574" s="77"/>
      <c r="G1574" s="77"/>
      <c r="H1574" s="77"/>
      <c r="I1574" s="77"/>
      <c r="J1574" s="77"/>
      <c r="K1574" s="79"/>
      <c r="L1574" s="49">
        <f t="shared" si="100"/>
        <v>0</v>
      </c>
      <c r="M1574" s="50">
        <f t="shared" si="101"/>
        <v>0</v>
      </c>
    </row>
    <row r="1575" spans="1:13" x14ac:dyDescent="0.2">
      <c r="A1575" s="18"/>
      <c r="B1575" s="77"/>
      <c r="C1575" s="77"/>
      <c r="D1575" s="78"/>
      <c r="E1575" s="77"/>
      <c r="F1575" s="77"/>
      <c r="G1575" s="77"/>
      <c r="H1575" s="77"/>
      <c r="I1575" s="77"/>
      <c r="J1575" s="77"/>
      <c r="K1575" s="79"/>
      <c r="L1575" s="49">
        <f t="shared" si="100"/>
        <v>0</v>
      </c>
      <c r="M1575" s="50">
        <f t="shared" si="101"/>
        <v>0</v>
      </c>
    </row>
    <row r="1576" spans="1:13" x14ac:dyDescent="0.2">
      <c r="A1576" s="18"/>
      <c r="B1576" s="77"/>
      <c r="C1576" s="77"/>
      <c r="D1576" s="78"/>
      <c r="E1576" s="77"/>
      <c r="F1576" s="77"/>
      <c r="G1576" s="77"/>
      <c r="H1576" s="77"/>
      <c r="I1576" s="77"/>
      <c r="J1576" s="77"/>
      <c r="K1576" s="79"/>
      <c r="L1576" s="49">
        <f t="shared" si="100"/>
        <v>0</v>
      </c>
      <c r="M1576" s="50">
        <f t="shared" si="101"/>
        <v>0</v>
      </c>
    </row>
    <row r="1577" spans="1:13" x14ac:dyDescent="0.2">
      <c r="A1577" s="18"/>
      <c r="B1577" s="77"/>
      <c r="C1577" s="77"/>
      <c r="D1577" s="78"/>
      <c r="E1577" s="77"/>
      <c r="F1577" s="77"/>
      <c r="G1577" s="77"/>
      <c r="H1577" s="77"/>
      <c r="I1577" s="77"/>
      <c r="J1577" s="77"/>
      <c r="K1577" s="79"/>
      <c r="L1577" s="49">
        <f t="shared" si="100"/>
        <v>0</v>
      </c>
      <c r="M1577" s="50">
        <f t="shared" si="101"/>
        <v>0</v>
      </c>
    </row>
    <row r="1578" spans="1:13" x14ac:dyDescent="0.2">
      <c r="A1578" s="18"/>
      <c r="B1578" s="77"/>
      <c r="C1578" s="77"/>
      <c r="D1578" s="78"/>
      <c r="E1578" s="77"/>
      <c r="F1578" s="77"/>
      <c r="G1578" s="77"/>
      <c r="H1578" s="77"/>
      <c r="I1578" s="77"/>
      <c r="J1578" s="77"/>
      <c r="K1578" s="79"/>
      <c r="L1578" s="49">
        <f t="shared" si="100"/>
        <v>0</v>
      </c>
      <c r="M1578" s="50">
        <f t="shared" si="101"/>
        <v>0</v>
      </c>
    </row>
    <row r="1579" spans="1:13" x14ac:dyDescent="0.2">
      <c r="A1579" s="18"/>
      <c r="B1579" s="77"/>
      <c r="C1579" s="77"/>
      <c r="D1579" s="78"/>
      <c r="E1579" s="77"/>
      <c r="F1579" s="77"/>
      <c r="G1579" s="77"/>
      <c r="H1579" s="77"/>
      <c r="I1579" s="77"/>
      <c r="J1579" s="77"/>
      <c r="K1579" s="79"/>
      <c r="L1579" s="49">
        <f t="shared" si="100"/>
        <v>0</v>
      </c>
      <c r="M1579" s="50">
        <f t="shared" si="101"/>
        <v>0</v>
      </c>
    </row>
    <row r="1580" spans="1:13" x14ac:dyDescent="0.2">
      <c r="A1580" s="18"/>
      <c r="B1580" s="77"/>
      <c r="C1580" s="77"/>
      <c r="D1580" s="78"/>
      <c r="E1580" s="77"/>
      <c r="F1580" s="77"/>
      <c r="G1580" s="77"/>
      <c r="H1580" s="77"/>
      <c r="I1580" s="77"/>
      <c r="J1580" s="77"/>
      <c r="K1580" s="79"/>
      <c r="L1580" s="49">
        <f t="shared" si="100"/>
        <v>0</v>
      </c>
      <c r="M1580" s="50">
        <f t="shared" si="101"/>
        <v>0</v>
      </c>
    </row>
    <row r="1581" spans="1:13" x14ac:dyDescent="0.2">
      <c r="A1581" s="18"/>
      <c r="B1581" s="77"/>
      <c r="C1581" s="77"/>
      <c r="D1581" s="78"/>
      <c r="E1581" s="77"/>
      <c r="F1581" s="77"/>
      <c r="G1581" s="77"/>
      <c r="H1581" s="77"/>
      <c r="I1581" s="77"/>
      <c r="J1581" s="77"/>
      <c r="K1581" s="79"/>
      <c r="L1581" s="49">
        <f t="shared" si="100"/>
        <v>0</v>
      </c>
      <c r="M1581" s="50">
        <f t="shared" si="101"/>
        <v>0</v>
      </c>
    </row>
    <row r="1582" spans="1:13" x14ac:dyDescent="0.2">
      <c r="A1582" s="18"/>
      <c r="B1582" s="77"/>
      <c r="C1582" s="77"/>
      <c r="D1582" s="78"/>
      <c r="E1582" s="77"/>
      <c r="F1582" s="77"/>
      <c r="G1582" s="77"/>
      <c r="H1582" s="77"/>
      <c r="I1582" s="77"/>
      <c r="J1582" s="77"/>
      <c r="K1582" s="79"/>
      <c r="L1582" s="49">
        <f t="shared" si="100"/>
        <v>0</v>
      </c>
      <c r="M1582" s="50">
        <f t="shared" si="101"/>
        <v>0</v>
      </c>
    </row>
    <row r="1583" spans="1:13" x14ac:dyDescent="0.2">
      <c r="A1583" s="18"/>
      <c r="B1583" s="77"/>
      <c r="C1583" s="77"/>
      <c r="D1583" s="78"/>
      <c r="E1583" s="77"/>
      <c r="F1583" s="77"/>
      <c r="G1583" s="77"/>
      <c r="H1583" s="77"/>
      <c r="I1583" s="77"/>
      <c r="J1583" s="77"/>
      <c r="K1583" s="79"/>
      <c r="L1583" s="49">
        <f t="shared" si="100"/>
        <v>0</v>
      </c>
      <c r="M1583" s="50">
        <f t="shared" si="101"/>
        <v>0</v>
      </c>
    </row>
    <row r="1584" spans="1:13" x14ac:dyDescent="0.2">
      <c r="A1584" s="18"/>
      <c r="B1584" s="77"/>
      <c r="C1584" s="77"/>
      <c r="D1584" s="78"/>
      <c r="E1584" s="77"/>
      <c r="F1584" s="77"/>
      <c r="G1584" s="77"/>
      <c r="H1584" s="77"/>
      <c r="I1584" s="77"/>
      <c r="J1584" s="77"/>
      <c r="K1584" s="79"/>
      <c r="L1584" s="49">
        <f t="shared" si="100"/>
        <v>0</v>
      </c>
      <c r="M1584" s="50">
        <f t="shared" si="101"/>
        <v>0</v>
      </c>
    </row>
    <row r="1585" spans="1:13" x14ac:dyDescent="0.2">
      <c r="A1585" s="18"/>
      <c r="B1585" s="77"/>
      <c r="C1585" s="77"/>
      <c r="D1585" s="78"/>
      <c r="E1585" s="77"/>
      <c r="F1585" s="77"/>
      <c r="G1585" s="77"/>
      <c r="H1585" s="77"/>
      <c r="I1585" s="77"/>
      <c r="J1585" s="77"/>
      <c r="K1585" s="79"/>
      <c r="L1585" s="49">
        <f t="shared" si="100"/>
        <v>0</v>
      </c>
      <c r="M1585" s="50">
        <f t="shared" si="101"/>
        <v>0</v>
      </c>
    </row>
    <row r="1586" spans="1:13" x14ac:dyDescent="0.2">
      <c r="A1586" s="18"/>
      <c r="B1586" s="77"/>
      <c r="C1586" s="77"/>
      <c r="D1586" s="78"/>
      <c r="E1586" s="77"/>
      <c r="F1586" s="77"/>
      <c r="G1586" s="77"/>
      <c r="H1586" s="77"/>
      <c r="I1586" s="77"/>
      <c r="J1586" s="77"/>
      <c r="K1586" s="79"/>
      <c r="L1586" s="49">
        <f t="shared" si="100"/>
        <v>0</v>
      </c>
      <c r="M1586" s="50">
        <f t="shared" si="101"/>
        <v>0</v>
      </c>
    </row>
    <row r="1587" spans="1:13" x14ac:dyDescent="0.2">
      <c r="A1587" s="18"/>
      <c r="B1587" s="77"/>
      <c r="C1587" s="77"/>
      <c r="D1587" s="78"/>
      <c r="E1587" s="77"/>
      <c r="F1587" s="77"/>
      <c r="G1587" s="77"/>
      <c r="H1587" s="77"/>
      <c r="I1587" s="77"/>
      <c r="J1587" s="77"/>
      <c r="K1587" s="79"/>
      <c r="L1587" s="49">
        <f t="shared" si="100"/>
        <v>0</v>
      </c>
      <c r="M1587" s="50">
        <f t="shared" si="101"/>
        <v>0</v>
      </c>
    </row>
    <row r="1588" spans="1:13" x14ac:dyDescent="0.2">
      <c r="A1588" s="18"/>
      <c r="B1588" s="77"/>
      <c r="C1588" s="77"/>
      <c r="D1588" s="78"/>
      <c r="E1588" s="77"/>
      <c r="F1588" s="77"/>
      <c r="G1588" s="77"/>
      <c r="H1588" s="77"/>
      <c r="I1588" s="77"/>
      <c r="J1588" s="77"/>
      <c r="K1588" s="79"/>
      <c r="L1588" s="49">
        <f t="shared" si="100"/>
        <v>0</v>
      </c>
      <c r="M1588" s="50">
        <f t="shared" si="101"/>
        <v>0</v>
      </c>
    </row>
    <row r="1589" spans="1:13" x14ac:dyDescent="0.2">
      <c r="A1589" s="18"/>
      <c r="B1589" s="77"/>
      <c r="C1589" s="77"/>
      <c r="D1589" s="78"/>
      <c r="E1589" s="77"/>
      <c r="F1589" s="77"/>
      <c r="G1589" s="77"/>
      <c r="H1589" s="77"/>
      <c r="I1589" s="77"/>
      <c r="J1589" s="77"/>
      <c r="K1589" s="79"/>
      <c r="L1589" s="49">
        <f t="shared" si="100"/>
        <v>0</v>
      </c>
      <c r="M1589" s="50">
        <f t="shared" si="101"/>
        <v>0</v>
      </c>
    </row>
    <row r="1590" spans="1:13" x14ac:dyDescent="0.2">
      <c r="A1590" s="18"/>
      <c r="B1590" s="77"/>
      <c r="C1590" s="77"/>
      <c r="D1590" s="78"/>
      <c r="E1590" s="77"/>
      <c r="F1590" s="77"/>
      <c r="G1590" s="77"/>
      <c r="H1590" s="77"/>
      <c r="I1590" s="77"/>
      <c r="J1590" s="77"/>
      <c r="K1590" s="79"/>
      <c r="L1590" s="49">
        <f t="shared" si="100"/>
        <v>0</v>
      </c>
      <c r="M1590" s="50">
        <f t="shared" si="101"/>
        <v>0</v>
      </c>
    </row>
    <row r="1591" spans="1:13" x14ac:dyDescent="0.2">
      <c r="A1591" s="18"/>
      <c r="B1591" s="77"/>
      <c r="C1591" s="77"/>
      <c r="D1591" s="78"/>
      <c r="E1591" s="77"/>
      <c r="F1591" s="77"/>
      <c r="G1591" s="77"/>
      <c r="H1591" s="77"/>
      <c r="I1591" s="77"/>
      <c r="J1591" s="77"/>
      <c r="K1591" s="79"/>
      <c r="L1591" s="49">
        <f t="shared" si="100"/>
        <v>0</v>
      </c>
      <c r="M1591" s="50">
        <f t="shared" si="101"/>
        <v>0</v>
      </c>
    </row>
    <row r="1592" spans="1:13" x14ac:dyDescent="0.2">
      <c r="A1592" s="18"/>
      <c r="B1592" s="77"/>
      <c r="C1592" s="77"/>
      <c r="D1592" s="78"/>
      <c r="E1592" s="77"/>
      <c r="F1592" s="77"/>
      <c r="G1592" s="77"/>
      <c r="H1592" s="77"/>
      <c r="I1592" s="77"/>
      <c r="J1592" s="77"/>
      <c r="K1592" s="79"/>
      <c r="L1592" s="49">
        <f t="shared" si="100"/>
        <v>0</v>
      </c>
      <c r="M1592" s="50">
        <f t="shared" si="101"/>
        <v>0</v>
      </c>
    </row>
    <row r="1593" spans="1:13" x14ac:dyDescent="0.2">
      <c r="A1593" s="18"/>
      <c r="B1593" s="77"/>
      <c r="C1593" s="77"/>
      <c r="D1593" s="78"/>
      <c r="E1593" s="77"/>
      <c r="F1593" s="77"/>
      <c r="G1593" s="77"/>
      <c r="H1593" s="77"/>
      <c r="I1593" s="77"/>
      <c r="J1593" s="77"/>
      <c r="K1593" s="79"/>
      <c r="L1593" s="49">
        <f t="shared" si="100"/>
        <v>0</v>
      </c>
      <c r="M1593" s="50">
        <f t="shared" si="101"/>
        <v>0</v>
      </c>
    </row>
    <row r="1594" spans="1:13" x14ac:dyDescent="0.2">
      <c r="A1594" s="18"/>
      <c r="B1594" s="77"/>
      <c r="C1594" s="77"/>
      <c r="D1594" s="78"/>
      <c r="E1594" s="77"/>
      <c r="F1594" s="77"/>
      <c r="G1594" s="77"/>
      <c r="H1594" s="77"/>
      <c r="I1594" s="77"/>
      <c r="J1594" s="77"/>
      <c r="K1594" s="79"/>
      <c r="L1594" s="49">
        <f t="shared" si="100"/>
        <v>0</v>
      </c>
      <c r="M1594" s="50">
        <f t="shared" si="101"/>
        <v>0</v>
      </c>
    </row>
    <row r="1595" spans="1:13" x14ac:dyDescent="0.2">
      <c r="A1595" s="18"/>
      <c r="B1595" s="77"/>
      <c r="C1595" s="77"/>
      <c r="D1595" s="78"/>
      <c r="E1595" s="77"/>
      <c r="F1595" s="77"/>
      <c r="G1595" s="77"/>
      <c r="H1595" s="77"/>
      <c r="I1595" s="77"/>
      <c r="J1595" s="77"/>
      <c r="K1595" s="79"/>
      <c r="L1595" s="49">
        <f t="shared" si="100"/>
        <v>0</v>
      </c>
      <c r="M1595" s="50">
        <f t="shared" si="101"/>
        <v>0</v>
      </c>
    </row>
    <row r="1596" spans="1:13" x14ac:dyDescent="0.2">
      <c r="A1596" s="18"/>
      <c r="B1596" s="77"/>
      <c r="C1596" s="77"/>
      <c r="D1596" s="78"/>
      <c r="E1596" s="77"/>
      <c r="F1596" s="77"/>
      <c r="G1596" s="77"/>
      <c r="H1596" s="77"/>
      <c r="I1596" s="77"/>
      <c r="J1596" s="77"/>
      <c r="K1596" s="79"/>
      <c r="L1596" s="49">
        <f t="shared" si="100"/>
        <v>0</v>
      </c>
      <c r="M1596" s="50">
        <f t="shared" si="101"/>
        <v>0</v>
      </c>
    </row>
    <row r="1597" spans="1:13" x14ac:dyDescent="0.2">
      <c r="A1597" s="18"/>
      <c r="B1597" s="77"/>
      <c r="C1597" s="77"/>
      <c r="D1597" s="78"/>
      <c r="E1597" s="77"/>
      <c r="F1597" s="77"/>
      <c r="G1597" s="77"/>
      <c r="H1597" s="77"/>
      <c r="I1597" s="77"/>
      <c r="J1597" s="77"/>
      <c r="K1597" s="79"/>
      <c r="L1597" s="49">
        <f t="shared" si="100"/>
        <v>0</v>
      </c>
      <c r="M1597" s="50">
        <f t="shared" si="101"/>
        <v>0</v>
      </c>
    </row>
    <row r="1598" spans="1:13" x14ac:dyDescent="0.2">
      <c r="A1598" s="18"/>
      <c r="B1598" s="77"/>
      <c r="C1598" s="77"/>
      <c r="D1598" s="78"/>
      <c r="E1598" s="77"/>
      <c r="F1598" s="77"/>
      <c r="G1598" s="77"/>
      <c r="H1598" s="77"/>
      <c r="I1598" s="77"/>
      <c r="J1598" s="77"/>
      <c r="K1598" s="79"/>
      <c r="L1598" s="49">
        <f t="shared" si="100"/>
        <v>0</v>
      </c>
      <c r="M1598" s="50">
        <f t="shared" si="101"/>
        <v>0</v>
      </c>
    </row>
    <row r="1599" spans="1:13" x14ac:dyDescent="0.2">
      <c r="A1599" s="18"/>
      <c r="B1599" s="77"/>
      <c r="C1599" s="77"/>
      <c r="D1599" s="78"/>
      <c r="E1599" s="77"/>
      <c r="F1599" s="77"/>
      <c r="G1599" s="77"/>
      <c r="H1599" s="77"/>
      <c r="I1599" s="77"/>
      <c r="J1599" s="77"/>
      <c r="K1599" s="79"/>
      <c r="L1599" s="49">
        <f t="shared" si="100"/>
        <v>0</v>
      </c>
      <c r="M1599" s="50">
        <f t="shared" si="101"/>
        <v>0</v>
      </c>
    </row>
    <row r="1600" spans="1:13" x14ac:dyDescent="0.2">
      <c r="A1600" s="18"/>
      <c r="B1600" s="77"/>
      <c r="C1600" s="77"/>
      <c r="D1600" s="78"/>
      <c r="E1600" s="77"/>
      <c r="F1600" s="77"/>
      <c r="G1600" s="77"/>
      <c r="H1600" s="77"/>
      <c r="I1600" s="77"/>
      <c r="J1600" s="77"/>
      <c r="K1600" s="79"/>
      <c r="L1600" s="49">
        <f t="shared" si="100"/>
        <v>0</v>
      </c>
      <c r="M1600" s="50">
        <f t="shared" si="101"/>
        <v>0</v>
      </c>
    </row>
    <row r="1601" spans="1:13" x14ac:dyDescent="0.2">
      <c r="A1601" s="18"/>
      <c r="B1601" s="77"/>
      <c r="C1601" s="77"/>
      <c r="D1601" s="78"/>
      <c r="E1601" s="77"/>
      <c r="F1601" s="77"/>
      <c r="G1601" s="77"/>
      <c r="H1601" s="77"/>
      <c r="I1601" s="77"/>
      <c r="J1601" s="77"/>
      <c r="K1601" s="79"/>
      <c r="L1601" s="49">
        <f t="shared" si="100"/>
        <v>0</v>
      </c>
      <c r="M1601" s="50">
        <f t="shared" si="101"/>
        <v>0</v>
      </c>
    </row>
    <row r="1602" spans="1:13" x14ac:dyDescent="0.2">
      <c r="A1602" s="18"/>
      <c r="B1602" s="77"/>
      <c r="C1602" s="77"/>
      <c r="D1602" s="78"/>
      <c r="E1602" s="77"/>
      <c r="F1602" s="77"/>
      <c r="G1602" s="77"/>
      <c r="H1602" s="77"/>
      <c r="I1602" s="77"/>
      <c r="J1602" s="77"/>
      <c r="K1602" s="79"/>
      <c r="L1602" s="49">
        <f t="shared" si="100"/>
        <v>0</v>
      </c>
      <c r="M1602" s="50">
        <f t="shared" si="101"/>
        <v>0</v>
      </c>
    </row>
    <row r="1603" spans="1:13" x14ac:dyDescent="0.2">
      <c r="A1603" s="18"/>
      <c r="B1603" s="77"/>
      <c r="C1603" s="77"/>
      <c r="D1603" s="78"/>
      <c r="E1603" s="77"/>
      <c r="F1603" s="77"/>
      <c r="G1603" s="77"/>
      <c r="H1603" s="77"/>
      <c r="I1603" s="77"/>
      <c r="J1603" s="77"/>
      <c r="K1603" s="79"/>
      <c r="L1603" s="49">
        <f t="shared" si="100"/>
        <v>0</v>
      </c>
      <c r="M1603" s="50">
        <f t="shared" si="101"/>
        <v>0</v>
      </c>
    </row>
    <row r="1604" spans="1:13" x14ac:dyDescent="0.2">
      <c r="A1604" s="18"/>
      <c r="B1604" s="77"/>
      <c r="C1604" s="77"/>
      <c r="D1604" s="78"/>
      <c r="E1604" s="77"/>
      <c r="F1604" s="77"/>
      <c r="G1604" s="77"/>
      <c r="H1604" s="77"/>
      <c r="I1604" s="77"/>
      <c r="J1604" s="77"/>
      <c r="K1604" s="79"/>
      <c r="L1604" s="49">
        <f t="shared" si="100"/>
        <v>0</v>
      </c>
      <c r="M1604" s="50">
        <f t="shared" si="101"/>
        <v>0</v>
      </c>
    </row>
    <row r="1605" spans="1:13" x14ac:dyDescent="0.2">
      <c r="A1605" s="18"/>
      <c r="B1605" s="77"/>
      <c r="C1605" s="77"/>
      <c r="D1605" s="78"/>
      <c r="E1605" s="77"/>
      <c r="F1605" s="77"/>
      <c r="G1605" s="77"/>
      <c r="H1605" s="77"/>
      <c r="I1605" s="77"/>
      <c r="J1605" s="77"/>
      <c r="K1605" s="79"/>
      <c r="L1605" s="49">
        <f t="shared" si="100"/>
        <v>0</v>
      </c>
      <c r="M1605" s="50">
        <f t="shared" si="101"/>
        <v>0</v>
      </c>
    </row>
    <row r="1606" spans="1:13" x14ac:dyDescent="0.2">
      <c r="A1606" s="18"/>
      <c r="B1606" s="77"/>
      <c r="C1606" s="77"/>
      <c r="D1606" s="78"/>
      <c r="E1606" s="77"/>
      <c r="F1606" s="77"/>
      <c r="G1606" s="77"/>
      <c r="H1606" s="77"/>
      <c r="I1606" s="77"/>
      <c r="J1606" s="77"/>
      <c r="K1606" s="79"/>
      <c r="L1606" s="49">
        <f t="shared" si="100"/>
        <v>0</v>
      </c>
      <c r="M1606" s="50">
        <f t="shared" si="101"/>
        <v>0</v>
      </c>
    </row>
    <row r="1607" spans="1:13" x14ac:dyDescent="0.2">
      <c r="A1607" s="18"/>
      <c r="B1607" s="77"/>
      <c r="C1607" s="77"/>
      <c r="D1607" s="78"/>
      <c r="E1607" s="77"/>
      <c r="F1607" s="77"/>
      <c r="G1607" s="77"/>
      <c r="H1607" s="77"/>
      <c r="I1607" s="77"/>
      <c r="J1607" s="77"/>
      <c r="K1607" s="79"/>
      <c r="L1607" s="49">
        <f t="shared" si="100"/>
        <v>0</v>
      </c>
      <c r="M1607" s="50">
        <f t="shared" si="101"/>
        <v>0</v>
      </c>
    </row>
    <row r="1608" spans="1:13" x14ac:dyDescent="0.2">
      <c r="A1608" s="18"/>
      <c r="B1608" s="77"/>
      <c r="C1608" s="77"/>
      <c r="D1608" s="78"/>
      <c r="E1608" s="77"/>
      <c r="F1608" s="77"/>
      <c r="G1608" s="77"/>
      <c r="H1608" s="77"/>
      <c r="I1608" s="77"/>
      <c r="J1608" s="77"/>
      <c r="K1608" s="79"/>
      <c r="L1608" s="49">
        <f t="shared" si="100"/>
        <v>0</v>
      </c>
      <c r="M1608" s="50">
        <f t="shared" si="101"/>
        <v>0</v>
      </c>
    </row>
    <row r="1609" spans="1:13" x14ac:dyDescent="0.2">
      <c r="A1609" s="18"/>
      <c r="B1609" s="77"/>
      <c r="C1609" s="77"/>
      <c r="D1609" s="78"/>
      <c r="E1609" s="77"/>
      <c r="F1609" s="77"/>
      <c r="G1609" s="77"/>
      <c r="H1609" s="77"/>
      <c r="I1609" s="77"/>
      <c r="J1609" s="77"/>
      <c r="K1609" s="79"/>
      <c r="L1609" s="49">
        <f t="shared" si="100"/>
        <v>0</v>
      </c>
      <c r="M1609" s="50">
        <f t="shared" si="101"/>
        <v>0</v>
      </c>
    </row>
    <row r="1610" spans="1:13" x14ac:dyDescent="0.2">
      <c r="A1610" s="18"/>
      <c r="B1610" s="77"/>
      <c r="C1610" s="77"/>
      <c r="D1610" s="78"/>
      <c r="E1610" s="77"/>
      <c r="F1610" s="77"/>
      <c r="G1610" s="77"/>
      <c r="H1610" s="77"/>
      <c r="I1610" s="77"/>
      <c r="J1610" s="77"/>
      <c r="K1610" s="79"/>
      <c r="L1610" s="49">
        <f t="shared" si="100"/>
        <v>0</v>
      </c>
      <c r="M1610" s="50">
        <f t="shared" si="101"/>
        <v>0</v>
      </c>
    </row>
    <row r="1611" spans="1:13" x14ac:dyDescent="0.2">
      <c r="A1611" s="18"/>
      <c r="B1611" s="77"/>
      <c r="C1611" s="77"/>
      <c r="D1611" s="78"/>
      <c r="E1611" s="77"/>
      <c r="F1611" s="77"/>
      <c r="G1611" s="77"/>
      <c r="H1611" s="77"/>
      <c r="I1611" s="77"/>
      <c r="J1611" s="77"/>
      <c r="K1611" s="79"/>
      <c r="L1611" s="49">
        <f t="shared" si="100"/>
        <v>0</v>
      </c>
      <c r="M1611" s="50">
        <f t="shared" si="101"/>
        <v>0</v>
      </c>
    </row>
    <row r="1612" spans="1:13" x14ac:dyDescent="0.2">
      <c r="A1612" s="18"/>
      <c r="B1612" s="77"/>
      <c r="C1612" s="77"/>
      <c r="D1612" s="78"/>
      <c r="E1612" s="77"/>
      <c r="F1612" s="77"/>
      <c r="G1612" s="77"/>
      <c r="H1612" s="77"/>
      <c r="I1612" s="77"/>
      <c r="J1612" s="77"/>
      <c r="K1612" s="79"/>
      <c r="L1612" s="49">
        <f t="shared" si="100"/>
        <v>0</v>
      </c>
      <c r="M1612" s="50">
        <f t="shared" si="101"/>
        <v>0</v>
      </c>
    </row>
    <row r="1613" spans="1:13" x14ac:dyDescent="0.2">
      <c r="A1613" s="18"/>
      <c r="B1613" s="77"/>
      <c r="C1613" s="77"/>
      <c r="D1613" s="78"/>
      <c r="E1613" s="77"/>
      <c r="F1613" s="77"/>
      <c r="G1613" s="77"/>
      <c r="H1613" s="77"/>
      <c r="I1613" s="77"/>
      <c r="J1613" s="77"/>
      <c r="K1613" s="79"/>
      <c r="L1613" s="49">
        <f t="shared" si="100"/>
        <v>0</v>
      </c>
      <c r="M1613" s="50">
        <f t="shared" si="101"/>
        <v>0</v>
      </c>
    </row>
    <row r="1614" spans="1:13" x14ac:dyDescent="0.2">
      <c r="A1614" s="18"/>
      <c r="B1614" s="77"/>
      <c r="C1614" s="77"/>
      <c r="D1614" s="78"/>
      <c r="E1614" s="77"/>
      <c r="F1614" s="77"/>
      <c r="G1614" s="77"/>
      <c r="H1614" s="77"/>
      <c r="I1614" s="77"/>
      <c r="J1614" s="77"/>
      <c r="K1614" s="79"/>
      <c r="L1614" s="49">
        <f t="shared" ref="L1614:L1623" si="102">+K1614*18%</f>
        <v>0</v>
      </c>
      <c r="M1614" s="50">
        <f t="shared" ref="M1614:M1623" si="103">+K1614+L1614</f>
        <v>0</v>
      </c>
    </row>
    <row r="1615" spans="1:13" x14ac:dyDescent="0.2">
      <c r="A1615" s="18"/>
      <c r="B1615" s="77"/>
      <c r="C1615" s="77"/>
      <c r="D1615" s="78"/>
      <c r="E1615" s="77"/>
      <c r="F1615" s="77"/>
      <c r="G1615" s="77"/>
      <c r="H1615" s="77"/>
      <c r="I1615" s="77"/>
      <c r="J1615" s="77"/>
      <c r="K1615" s="79"/>
      <c r="L1615" s="49">
        <f t="shared" si="102"/>
        <v>0</v>
      </c>
      <c r="M1615" s="50">
        <f t="shared" si="103"/>
        <v>0</v>
      </c>
    </row>
    <row r="1616" spans="1:13" x14ac:dyDescent="0.2">
      <c r="A1616" s="18"/>
      <c r="B1616" s="77"/>
      <c r="C1616" s="77"/>
      <c r="D1616" s="78"/>
      <c r="E1616" s="77"/>
      <c r="F1616" s="77"/>
      <c r="G1616" s="77"/>
      <c r="H1616" s="77"/>
      <c r="I1616" s="77"/>
      <c r="J1616" s="77"/>
      <c r="K1616" s="79"/>
      <c r="L1616" s="49">
        <f t="shared" si="102"/>
        <v>0</v>
      </c>
      <c r="M1616" s="50">
        <f t="shared" si="103"/>
        <v>0</v>
      </c>
    </row>
    <row r="1617" spans="1:13" x14ac:dyDescent="0.2">
      <c r="A1617" s="18"/>
      <c r="B1617" s="77"/>
      <c r="C1617" s="77"/>
      <c r="D1617" s="78"/>
      <c r="E1617" s="77"/>
      <c r="F1617" s="77"/>
      <c r="G1617" s="77"/>
      <c r="H1617" s="77"/>
      <c r="I1617" s="77"/>
      <c r="J1617" s="77"/>
      <c r="K1617" s="79"/>
      <c r="L1617" s="49">
        <f t="shared" si="102"/>
        <v>0</v>
      </c>
      <c r="M1617" s="50">
        <f t="shared" si="103"/>
        <v>0</v>
      </c>
    </row>
    <row r="1618" spans="1:13" x14ac:dyDescent="0.2">
      <c r="A1618" s="18"/>
      <c r="B1618" s="77"/>
      <c r="C1618" s="77"/>
      <c r="D1618" s="78"/>
      <c r="E1618" s="77"/>
      <c r="F1618" s="77"/>
      <c r="G1618" s="77"/>
      <c r="H1618" s="77"/>
      <c r="I1618" s="77"/>
      <c r="J1618" s="77"/>
      <c r="K1618" s="79"/>
      <c r="L1618" s="49">
        <f t="shared" si="102"/>
        <v>0</v>
      </c>
      <c r="M1618" s="50">
        <f t="shared" si="103"/>
        <v>0</v>
      </c>
    </row>
    <row r="1619" spans="1:13" x14ac:dyDescent="0.2">
      <c r="A1619" s="18"/>
      <c r="B1619" s="77"/>
      <c r="C1619" s="77"/>
      <c r="D1619" s="78"/>
      <c r="E1619" s="77"/>
      <c r="F1619" s="77"/>
      <c r="G1619" s="77"/>
      <c r="H1619" s="77"/>
      <c r="I1619" s="77"/>
      <c r="J1619" s="77"/>
      <c r="K1619" s="79"/>
      <c r="L1619" s="49">
        <f t="shared" si="102"/>
        <v>0</v>
      </c>
      <c r="M1619" s="50">
        <f t="shared" si="103"/>
        <v>0</v>
      </c>
    </row>
    <row r="1620" spans="1:13" x14ac:dyDescent="0.2">
      <c r="A1620" s="18"/>
      <c r="B1620" s="77"/>
      <c r="C1620" s="77"/>
      <c r="D1620" s="78"/>
      <c r="E1620" s="77"/>
      <c r="F1620" s="77"/>
      <c r="G1620" s="77"/>
      <c r="H1620" s="77"/>
      <c r="I1620" s="77"/>
      <c r="J1620" s="77"/>
      <c r="K1620" s="79"/>
      <c r="L1620" s="49">
        <f t="shared" si="102"/>
        <v>0</v>
      </c>
      <c r="M1620" s="50">
        <f t="shared" si="103"/>
        <v>0</v>
      </c>
    </row>
    <row r="1621" spans="1:13" x14ac:dyDescent="0.2">
      <c r="A1621" s="18"/>
      <c r="B1621" s="77"/>
      <c r="C1621" s="77"/>
      <c r="D1621" s="78"/>
      <c r="E1621" s="77"/>
      <c r="F1621" s="77"/>
      <c r="G1621" s="77"/>
      <c r="H1621" s="77"/>
      <c r="I1621" s="77"/>
      <c r="J1621" s="77"/>
      <c r="K1621" s="79"/>
      <c r="L1621" s="49">
        <f t="shared" si="102"/>
        <v>0</v>
      </c>
      <c r="M1621" s="50">
        <f t="shared" si="103"/>
        <v>0</v>
      </c>
    </row>
    <row r="1622" spans="1:13" x14ac:dyDescent="0.2">
      <c r="A1622" s="18"/>
      <c r="B1622" s="77"/>
      <c r="C1622" s="77"/>
      <c r="D1622" s="78"/>
      <c r="E1622" s="77"/>
      <c r="F1622" s="77"/>
      <c r="G1622" s="77"/>
      <c r="H1622" s="77"/>
      <c r="I1622" s="77"/>
      <c r="J1622" s="77"/>
      <c r="K1622" s="79"/>
      <c r="L1622" s="49">
        <f t="shared" si="102"/>
        <v>0</v>
      </c>
      <c r="M1622" s="50">
        <f t="shared" si="103"/>
        <v>0</v>
      </c>
    </row>
    <row r="1623" spans="1:13" x14ac:dyDescent="0.2">
      <c r="A1623" s="18"/>
      <c r="B1623" s="77"/>
      <c r="C1623" s="77"/>
      <c r="D1623" s="78"/>
      <c r="E1623" s="77"/>
      <c r="F1623" s="77"/>
      <c r="G1623" s="77"/>
      <c r="H1623" s="77"/>
      <c r="I1623" s="77"/>
      <c r="J1623" s="77"/>
      <c r="K1623" s="79"/>
      <c r="L1623" s="49">
        <f t="shared" si="102"/>
        <v>0</v>
      </c>
      <c r="M1623" s="50">
        <f t="shared" si="103"/>
        <v>0</v>
      </c>
    </row>
    <row r="1624" spans="1:13" x14ac:dyDescent="0.2">
      <c r="A1624" s="18"/>
      <c r="B1624" s="77"/>
      <c r="C1624" s="77"/>
      <c r="D1624" s="78"/>
      <c r="E1624" s="77"/>
      <c r="F1624" s="77"/>
      <c r="G1624" s="77"/>
      <c r="H1624" s="77"/>
      <c r="I1624" s="77"/>
      <c r="J1624" s="77"/>
      <c r="K1624" s="20"/>
      <c r="L1624" s="49">
        <f t="shared" ref="L1624:L1687" si="104">+K1624*18%</f>
        <v>0</v>
      </c>
      <c r="M1624" s="50">
        <f t="shared" ref="M1624:M1687" si="105">+K1624+L1624</f>
        <v>0</v>
      </c>
    </row>
    <row r="1625" spans="1:13" x14ac:dyDescent="0.2">
      <c r="A1625" s="18"/>
      <c r="B1625" s="77"/>
      <c r="C1625" s="77"/>
      <c r="D1625" s="78"/>
      <c r="E1625" s="77"/>
      <c r="F1625" s="77"/>
      <c r="G1625" s="77"/>
      <c r="H1625" s="77"/>
      <c r="I1625" s="77"/>
      <c r="J1625" s="77"/>
      <c r="K1625" s="20"/>
      <c r="L1625" s="49">
        <f t="shared" si="104"/>
        <v>0</v>
      </c>
      <c r="M1625" s="50">
        <f t="shared" si="105"/>
        <v>0</v>
      </c>
    </row>
    <row r="1626" spans="1:13" x14ac:dyDescent="0.2">
      <c r="A1626" s="18"/>
      <c r="B1626" s="77"/>
      <c r="C1626" s="77"/>
      <c r="D1626" s="78"/>
      <c r="E1626" s="77"/>
      <c r="F1626" s="77"/>
      <c r="G1626" s="77"/>
      <c r="H1626" s="77"/>
      <c r="I1626" s="77"/>
      <c r="J1626" s="77"/>
      <c r="K1626" s="20"/>
      <c r="L1626" s="49">
        <f t="shared" si="104"/>
        <v>0</v>
      </c>
      <c r="M1626" s="50">
        <f t="shared" si="105"/>
        <v>0</v>
      </c>
    </row>
    <row r="1627" spans="1:13" x14ac:dyDescent="0.2">
      <c r="A1627" s="18"/>
      <c r="B1627" s="77"/>
      <c r="C1627" s="77"/>
      <c r="D1627" s="78"/>
      <c r="E1627" s="77"/>
      <c r="F1627" s="77"/>
      <c r="G1627" s="77"/>
      <c r="H1627" s="77"/>
      <c r="I1627" s="77"/>
      <c r="J1627" s="77"/>
      <c r="K1627" s="20"/>
      <c r="L1627" s="49">
        <f t="shared" si="104"/>
        <v>0</v>
      </c>
      <c r="M1627" s="50">
        <f t="shared" si="105"/>
        <v>0</v>
      </c>
    </row>
    <row r="1628" spans="1:13" x14ac:dyDescent="0.2">
      <c r="A1628" s="18"/>
      <c r="B1628" s="77"/>
      <c r="C1628" s="77"/>
      <c r="D1628" s="78"/>
      <c r="E1628" s="77"/>
      <c r="F1628" s="77"/>
      <c r="G1628" s="77"/>
      <c r="H1628" s="77"/>
      <c r="I1628" s="77"/>
      <c r="J1628" s="77"/>
      <c r="K1628" s="20"/>
      <c r="L1628" s="49">
        <f t="shared" si="104"/>
        <v>0</v>
      </c>
      <c r="M1628" s="50">
        <f t="shared" si="105"/>
        <v>0</v>
      </c>
    </row>
    <row r="1629" spans="1:13" x14ac:dyDescent="0.2">
      <c r="A1629" s="18"/>
      <c r="B1629" s="77"/>
      <c r="C1629" s="77"/>
      <c r="D1629" s="78"/>
      <c r="E1629" s="77"/>
      <c r="F1629" s="77"/>
      <c r="G1629" s="77"/>
      <c r="H1629" s="77"/>
      <c r="I1629" s="77"/>
      <c r="J1629" s="77"/>
      <c r="K1629" s="20"/>
      <c r="L1629" s="49">
        <f t="shared" si="104"/>
        <v>0</v>
      </c>
      <c r="M1629" s="50">
        <f t="shared" si="105"/>
        <v>0</v>
      </c>
    </row>
    <row r="1630" spans="1:13" x14ac:dyDescent="0.2">
      <c r="A1630" s="18"/>
      <c r="B1630" s="77"/>
      <c r="C1630" s="77"/>
      <c r="D1630" s="78"/>
      <c r="E1630" s="77"/>
      <c r="F1630" s="77"/>
      <c r="G1630" s="77"/>
      <c r="H1630" s="77"/>
      <c r="I1630" s="77"/>
      <c r="J1630" s="77"/>
      <c r="K1630" s="20"/>
      <c r="L1630" s="49">
        <f t="shared" si="104"/>
        <v>0</v>
      </c>
      <c r="M1630" s="50">
        <f t="shared" si="105"/>
        <v>0</v>
      </c>
    </row>
    <row r="1631" spans="1:13" x14ac:dyDescent="0.2">
      <c r="A1631" s="18"/>
      <c r="B1631" s="77"/>
      <c r="C1631" s="77"/>
      <c r="D1631" s="78"/>
      <c r="E1631" s="77"/>
      <c r="F1631" s="77"/>
      <c r="G1631" s="77"/>
      <c r="H1631" s="77"/>
      <c r="I1631" s="77"/>
      <c r="J1631" s="77"/>
      <c r="K1631" s="20"/>
      <c r="L1631" s="49">
        <f t="shared" si="104"/>
        <v>0</v>
      </c>
      <c r="M1631" s="50">
        <f t="shared" si="105"/>
        <v>0</v>
      </c>
    </row>
    <row r="1632" spans="1:13" x14ac:dyDescent="0.2">
      <c r="A1632" s="18"/>
      <c r="B1632" s="77"/>
      <c r="C1632" s="77"/>
      <c r="D1632" s="78"/>
      <c r="E1632" s="77"/>
      <c r="F1632" s="77"/>
      <c r="G1632" s="77"/>
      <c r="H1632" s="77"/>
      <c r="I1632" s="77"/>
      <c r="J1632" s="77"/>
      <c r="K1632" s="20"/>
      <c r="L1632" s="49">
        <f t="shared" si="104"/>
        <v>0</v>
      </c>
      <c r="M1632" s="50">
        <f t="shared" si="105"/>
        <v>0</v>
      </c>
    </row>
    <row r="1633" spans="1:13" x14ac:dyDescent="0.2">
      <c r="A1633" s="18"/>
      <c r="B1633" s="77"/>
      <c r="C1633" s="77"/>
      <c r="D1633" s="78"/>
      <c r="E1633" s="77"/>
      <c r="F1633" s="77"/>
      <c r="G1633" s="77"/>
      <c r="H1633" s="77"/>
      <c r="I1633" s="77"/>
      <c r="J1633" s="77"/>
      <c r="K1633" s="20"/>
      <c r="L1633" s="49">
        <f t="shared" si="104"/>
        <v>0</v>
      </c>
      <c r="M1633" s="50">
        <f t="shared" si="105"/>
        <v>0</v>
      </c>
    </row>
    <row r="1634" spans="1:13" x14ac:dyDescent="0.2">
      <c r="A1634" s="18"/>
      <c r="B1634" s="77"/>
      <c r="C1634" s="77"/>
      <c r="D1634" s="78"/>
      <c r="E1634" s="77"/>
      <c r="F1634" s="77"/>
      <c r="G1634" s="77"/>
      <c r="H1634" s="77"/>
      <c r="I1634" s="77"/>
      <c r="J1634" s="77"/>
      <c r="K1634" s="20"/>
      <c r="L1634" s="49">
        <f t="shared" si="104"/>
        <v>0</v>
      </c>
      <c r="M1634" s="50">
        <f t="shared" si="105"/>
        <v>0</v>
      </c>
    </row>
    <row r="1635" spans="1:13" x14ac:dyDescent="0.2">
      <c r="A1635" s="18"/>
      <c r="B1635" s="77"/>
      <c r="C1635" s="77"/>
      <c r="D1635" s="78"/>
      <c r="E1635" s="77"/>
      <c r="F1635" s="77"/>
      <c r="G1635" s="77"/>
      <c r="H1635" s="77"/>
      <c r="I1635" s="77"/>
      <c r="J1635" s="77"/>
      <c r="K1635" s="20"/>
      <c r="L1635" s="49">
        <f t="shared" si="104"/>
        <v>0</v>
      </c>
      <c r="M1635" s="50">
        <f t="shared" si="105"/>
        <v>0</v>
      </c>
    </row>
    <row r="1636" spans="1:13" x14ac:dyDescent="0.2">
      <c r="A1636" s="18"/>
      <c r="B1636" s="77"/>
      <c r="C1636" s="77"/>
      <c r="D1636" s="78"/>
      <c r="E1636" s="77"/>
      <c r="F1636" s="77"/>
      <c r="G1636" s="77"/>
      <c r="H1636" s="77"/>
      <c r="I1636" s="77"/>
      <c r="J1636" s="77"/>
      <c r="K1636" s="20"/>
      <c r="L1636" s="49">
        <f t="shared" si="104"/>
        <v>0</v>
      </c>
      <c r="M1636" s="50">
        <f t="shared" si="105"/>
        <v>0</v>
      </c>
    </row>
    <row r="1637" spans="1:13" x14ac:dyDescent="0.2">
      <c r="A1637" s="18"/>
      <c r="B1637" s="77"/>
      <c r="C1637" s="77"/>
      <c r="D1637" s="78"/>
      <c r="E1637" s="77"/>
      <c r="F1637" s="77"/>
      <c r="G1637" s="77"/>
      <c r="H1637" s="77"/>
      <c r="I1637" s="77"/>
      <c r="J1637" s="77"/>
      <c r="K1637" s="20"/>
      <c r="L1637" s="49">
        <f t="shared" si="104"/>
        <v>0</v>
      </c>
      <c r="M1637" s="50">
        <f t="shared" si="105"/>
        <v>0</v>
      </c>
    </row>
    <row r="1638" spans="1:13" x14ac:dyDescent="0.2">
      <c r="A1638" s="18"/>
      <c r="B1638" s="77"/>
      <c r="C1638" s="77"/>
      <c r="D1638" s="78"/>
      <c r="E1638" s="77"/>
      <c r="F1638" s="77"/>
      <c r="G1638" s="77"/>
      <c r="H1638" s="77"/>
      <c r="I1638" s="77"/>
      <c r="J1638" s="77"/>
      <c r="K1638" s="20"/>
      <c r="L1638" s="49">
        <f t="shared" si="104"/>
        <v>0</v>
      </c>
      <c r="M1638" s="50">
        <f t="shared" si="105"/>
        <v>0</v>
      </c>
    </row>
    <row r="1639" spans="1:13" x14ac:dyDescent="0.2">
      <c r="A1639" s="18"/>
      <c r="B1639" s="77"/>
      <c r="C1639" s="77"/>
      <c r="D1639" s="78"/>
      <c r="E1639" s="77"/>
      <c r="F1639" s="77"/>
      <c r="G1639" s="77"/>
      <c r="H1639" s="77"/>
      <c r="I1639" s="77"/>
      <c r="J1639" s="77"/>
      <c r="K1639" s="20"/>
      <c r="L1639" s="49">
        <f t="shared" si="104"/>
        <v>0</v>
      </c>
      <c r="M1639" s="50">
        <f t="shared" si="105"/>
        <v>0</v>
      </c>
    </row>
    <row r="1640" spans="1:13" x14ac:dyDescent="0.2">
      <c r="A1640" s="18"/>
      <c r="B1640" s="77"/>
      <c r="C1640" s="77"/>
      <c r="D1640" s="78"/>
      <c r="E1640" s="77"/>
      <c r="F1640" s="77"/>
      <c r="G1640" s="77"/>
      <c r="H1640" s="77"/>
      <c r="I1640" s="77"/>
      <c r="J1640" s="77"/>
      <c r="K1640" s="20"/>
      <c r="L1640" s="49">
        <f t="shared" si="104"/>
        <v>0</v>
      </c>
      <c r="M1640" s="50">
        <f t="shared" si="105"/>
        <v>0</v>
      </c>
    </row>
    <row r="1641" spans="1:13" x14ac:dyDescent="0.2">
      <c r="A1641" s="18"/>
      <c r="B1641" s="77"/>
      <c r="C1641" s="77"/>
      <c r="D1641" s="78"/>
      <c r="E1641" s="77"/>
      <c r="F1641" s="77"/>
      <c r="G1641" s="77"/>
      <c r="H1641" s="77"/>
      <c r="I1641" s="77"/>
      <c r="J1641" s="77"/>
      <c r="K1641" s="20"/>
      <c r="L1641" s="49">
        <f t="shared" si="104"/>
        <v>0</v>
      </c>
      <c r="M1641" s="50">
        <f t="shared" si="105"/>
        <v>0</v>
      </c>
    </row>
    <row r="1642" spans="1:13" x14ac:dyDescent="0.2">
      <c r="A1642" s="18"/>
      <c r="B1642" s="77"/>
      <c r="C1642" s="77"/>
      <c r="D1642" s="78"/>
      <c r="E1642" s="77"/>
      <c r="F1642" s="77"/>
      <c r="G1642" s="77"/>
      <c r="H1642" s="77"/>
      <c r="I1642" s="77"/>
      <c r="J1642" s="77"/>
      <c r="K1642" s="20"/>
      <c r="L1642" s="49">
        <f t="shared" si="104"/>
        <v>0</v>
      </c>
      <c r="M1642" s="50">
        <f t="shared" si="105"/>
        <v>0</v>
      </c>
    </row>
    <row r="1643" spans="1:13" x14ac:dyDescent="0.2">
      <c r="A1643" s="18"/>
      <c r="B1643" s="77"/>
      <c r="C1643" s="77"/>
      <c r="D1643" s="78"/>
      <c r="E1643" s="77"/>
      <c r="F1643" s="77"/>
      <c r="G1643" s="77"/>
      <c r="H1643" s="77"/>
      <c r="I1643" s="77"/>
      <c r="J1643" s="77"/>
      <c r="K1643" s="20"/>
      <c r="L1643" s="49">
        <f t="shared" si="104"/>
        <v>0</v>
      </c>
      <c r="M1643" s="50">
        <f t="shared" si="105"/>
        <v>0</v>
      </c>
    </row>
    <row r="1644" spans="1:13" x14ac:dyDescent="0.2">
      <c r="A1644" s="18"/>
      <c r="B1644" s="77"/>
      <c r="C1644" s="77"/>
      <c r="D1644" s="78"/>
      <c r="E1644" s="77"/>
      <c r="F1644" s="77"/>
      <c r="G1644" s="77"/>
      <c r="H1644" s="77"/>
      <c r="I1644" s="77"/>
      <c r="J1644" s="77"/>
      <c r="K1644" s="20"/>
      <c r="L1644" s="49">
        <f t="shared" si="104"/>
        <v>0</v>
      </c>
      <c r="M1644" s="50">
        <f t="shared" si="105"/>
        <v>0</v>
      </c>
    </row>
    <row r="1645" spans="1:13" x14ac:dyDescent="0.2">
      <c r="A1645" s="18"/>
      <c r="B1645" s="77"/>
      <c r="C1645" s="77"/>
      <c r="D1645" s="78"/>
      <c r="E1645" s="77"/>
      <c r="F1645" s="77"/>
      <c r="G1645" s="77"/>
      <c r="H1645" s="77"/>
      <c r="I1645" s="77"/>
      <c r="J1645" s="77"/>
      <c r="K1645" s="20"/>
      <c r="L1645" s="49">
        <f t="shared" si="104"/>
        <v>0</v>
      </c>
      <c r="M1645" s="50">
        <f t="shared" si="105"/>
        <v>0</v>
      </c>
    </row>
    <row r="1646" spans="1:13" x14ac:dyDescent="0.2">
      <c r="A1646" s="18"/>
      <c r="B1646" s="77"/>
      <c r="C1646" s="77"/>
      <c r="D1646" s="78"/>
      <c r="E1646" s="77"/>
      <c r="F1646" s="77"/>
      <c r="G1646" s="77"/>
      <c r="H1646" s="77"/>
      <c r="I1646" s="77"/>
      <c r="J1646" s="77"/>
      <c r="K1646" s="20"/>
      <c r="L1646" s="49">
        <f t="shared" si="104"/>
        <v>0</v>
      </c>
      <c r="M1646" s="50">
        <f t="shared" si="105"/>
        <v>0</v>
      </c>
    </row>
    <row r="1647" spans="1:13" x14ac:dyDescent="0.2">
      <c r="A1647" s="18"/>
      <c r="B1647" s="77"/>
      <c r="C1647" s="77"/>
      <c r="D1647" s="78"/>
      <c r="E1647" s="77"/>
      <c r="F1647" s="77"/>
      <c r="G1647" s="77"/>
      <c r="H1647" s="77"/>
      <c r="I1647" s="77"/>
      <c r="J1647" s="77"/>
      <c r="K1647" s="20"/>
      <c r="L1647" s="49">
        <f t="shared" si="104"/>
        <v>0</v>
      </c>
      <c r="M1647" s="50">
        <f t="shared" si="105"/>
        <v>0</v>
      </c>
    </row>
    <row r="1648" spans="1:13" x14ac:dyDescent="0.2">
      <c r="A1648" s="18"/>
      <c r="B1648" s="77"/>
      <c r="C1648" s="77"/>
      <c r="D1648" s="78"/>
      <c r="E1648" s="77"/>
      <c r="F1648" s="77"/>
      <c r="G1648" s="77"/>
      <c r="H1648" s="77"/>
      <c r="I1648" s="77"/>
      <c r="J1648" s="77"/>
      <c r="K1648" s="20"/>
      <c r="L1648" s="49">
        <f t="shared" si="104"/>
        <v>0</v>
      </c>
      <c r="M1648" s="50">
        <f t="shared" si="105"/>
        <v>0</v>
      </c>
    </row>
    <row r="1649" spans="1:13" x14ac:dyDescent="0.2">
      <c r="A1649" s="18"/>
      <c r="B1649" s="77"/>
      <c r="C1649" s="77"/>
      <c r="D1649" s="78"/>
      <c r="E1649" s="77"/>
      <c r="F1649" s="77"/>
      <c r="G1649" s="77"/>
      <c r="H1649" s="77"/>
      <c r="I1649" s="77"/>
      <c r="J1649" s="77"/>
      <c r="K1649" s="20"/>
      <c r="L1649" s="49">
        <f t="shared" si="104"/>
        <v>0</v>
      </c>
      <c r="M1649" s="50">
        <f t="shared" si="105"/>
        <v>0</v>
      </c>
    </row>
    <row r="1650" spans="1:13" x14ac:dyDescent="0.2">
      <c r="A1650" s="18"/>
      <c r="B1650" s="77"/>
      <c r="C1650" s="77"/>
      <c r="D1650" s="78"/>
      <c r="E1650" s="77"/>
      <c r="F1650" s="77"/>
      <c r="G1650" s="77"/>
      <c r="H1650" s="77"/>
      <c r="I1650" s="77"/>
      <c r="J1650" s="77"/>
      <c r="K1650" s="20"/>
      <c r="L1650" s="49">
        <f t="shared" si="104"/>
        <v>0</v>
      </c>
      <c r="M1650" s="50">
        <f t="shared" si="105"/>
        <v>0</v>
      </c>
    </row>
    <row r="1651" spans="1:13" x14ac:dyDescent="0.2">
      <c r="A1651" s="18"/>
      <c r="B1651" s="77"/>
      <c r="C1651" s="77"/>
      <c r="D1651" s="78"/>
      <c r="E1651" s="77"/>
      <c r="F1651" s="77"/>
      <c r="G1651" s="77"/>
      <c r="H1651" s="77"/>
      <c r="I1651" s="77"/>
      <c r="J1651" s="77"/>
      <c r="K1651" s="20"/>
      <c r="L1651" s="49">
        <f t="shared" si="104"/>
        <v>0</v>
      </c>
      <c r="M1651" s="50">
        <f t="shared" si="105"/>
        <v>0</v>
      </c>
    </row>
    <row r="1652" spans="1:13" x14ac:dyDescent="0.2">
      <c r="A1652" s="18"/>
      <c r="B1652" s="77"/>
      <c r="C1652" s="77"/>
      <c r="D1652" s="78"/>
      <c r="E1652" s="77"/>
      <c r="F1652" s="77"/>
      <c r="G1652" s="77"/>
      <c r="H1652" s="77"/>
      <c r="I1652" s="77"/>
      <c r="J1652" s="77"/>
      <c r="K1652" s="20"/>
      <c r="L1652" s="49">
        <f t="shared" si="104"/>
        <v>0</v>
      </c>
      <c r="M1652" s="50">
        <f t="shared" si="105"/>
        <v>0</v>
      </c>
    </row>
    <row r="1653" spans="1:13" x14ac:dyDescent="0.2">
      <c r="A1653" s="18"/>
      <c r="B1653" s="77"/>
      <c r="C1653" s="77"/>
      <c r="D1653" s="78"/>
      <c r="E1653" s="77"/>
      <c r="F1653" s="77"/>
      <c r="G1653" s="77"/>
      <c r="H1653" s="77"/>
      <c r="I1653" s="77"/>
      <c r="J1653" s="77"/>
      <c r="K1653" s="20"/>
      <c r="L1653" s="49">
        <f t="shared" si="104"/>
        <v>0</v>
      </c>
      <c r="M1653" s="50">
        <f t="shared" si="105"/>
        <v>0</v>
      </c>
    </row>
    <row r="1654" spans="1:13" x14ac:dyDescent="0.2">
      <c r="A1654" s="18"/>
      <c r="B1654" s="77"/>
      <c r="C1654" s="77"/>
      <c r="D1654" s="78"/>
      <c r="E1654" s="77"/>
      <c r="F1654" s="77"/>
      <c r="G1654" s="77"/>
      <c r="H1654" s="77"/>
      <c r="I1654" s="77"/>
      <c r="J1654" s="77"/>
      <c r="K1654" s="20"/>
      <c r="L1654" s="49">
        <f t="shared" si="104"/>
        <v>0</v>
      </c>
      <c r="M1654" s="50">
        <f t="shared" si="105"/>
        <v>0</v>
      </c>
    </row>
    <row r="1655" spans="1:13" x14ac:dyDescent="0.2">
      <c r="A1655" s="18"/>
      <c r="B1655" s="77"/>
      <c r="C1655" s="77"/>
      <c r="D1655" s="78"/>
      <c r="E1655" s="77"/>
      <c r="F1655" s="77"/>
      <c r="G1655" s="77"/>
      <c r="H1655" s="77"/>
      <c r="I1655" s="77"/>
      <c r="J1655" s="77"/>
      <c r="K1655" s="20"/>
      <c r="L1655" s="49">
        <f t="shared" si="104"/>
        <v>0</v>
      </c>
      <c r="M1655" s="50">
        <f t="shared" si="105"/>
        <v>0</v>
      </c>
    </row>
    <row r="1656" spans="1:13" x14ac:dyDescent="0.2">
      <c r="A1656" s="18"/>
      <c r="B1656" s="77"/>
      <c r="C1656" s="77"/>
      <c r="D1656" s="78"/>
      <c r="E1656" s="77"/>
      <c r="F1656" s="77"/>
      <c r="G1656" s="77"/>
      <c r="H1656" s="77"/>
      <c r="I1656" s="77"/>
      <c r="J1656" s="77"/>
      <c r="K1656" s="20"/>
      <c r="L1656" s="49">
        <f t="shared" si="104"/>
        <v>0</v>
      </c>
      <c r="M1656" s="50">
        <f t="shared" si="105"/>
        <v>0</v>
      </c>
    </row>
    <row r="1657" spans="1:13" x14ac:dyDescent="0.2">
      <c r="A1657" s="18"/>
      <c r="B1657" s="77"/>
      <c r="C1657" s="77"/>
      <c r="D1657" s="78"/>
      <c r="E1657" s="77"/>
      <c r="F1657" s="77"/>
      <c r="G1657" s="77"/>
      <c r="H1657" s="77"/>
      <c r="I1657" s="77"/>
      <c r="J1657" s="77"/>
      <c r="K1657" s="20"/>
      <c r="L1657" s="49">
        <f t="shared" si="104"/>
        <v>0</v>
      </c>
      <c r="M1657" s="50">
        <f t="shared" si="105"/>
        <v>0</v>
      </c>
    </row>
    <row r="1658" spans="1:13" x14ac:dyDescent="0.2">
      <c r="A1658" s="18"/>
      <c r="B1658" s="77"/>
      <c r="C1658" s="77"/>
      <c r="D1658" s="78"/>
      <c r="E1658" s="77"/>
      <c r="F1658" s="77"/>
      <c r="G1658" s="77"/>
      <c r="H1658" s="77"/>
      <c r="I1658" s="77"/>
      <c r="J1658" s="77"/>
      <c r="K1658" s="20"/>
      <c r="L1658" s="49">
        <f t="shared" si="104"/>
        <v>0</v>
      </c>
      <c r="M1658" s="50">
        <f t="shared" si="105"/>
        <v>0</v>
      </c>
    </row>
    <row r="1659" spans="1:13" x14ac:dyDescent="0.2">
      <c r="A1659" s="18"/>
      <c r="B1659" s="77"/>
      <c r="C1659" s="77"/>
      <c r="D1659" s="78"/>
      <c r="E1659" s="77"/>
      <c r="F1659" s="77"/>
      <c r="G1659" s="77"/>
      <c r="H1659" s="77"/>
      <c r="I1659" s="77"/>
      <c r="J1659" s="77"/>
      <c r="K1659" s="20"/>
      <c r="L1659" s="49">
        <f t="shared" si="104"/>
        <v>0</v>
      </c>
      <c r="M1659" s="50">
        <f t="shared" si="105"/>
        <v>0</v>
      </c>
    </row>
    <row r="1660" spans="1:13" x14ac:dyDescent="0.2">
      <c r="A1660" s="18"/>
      <c r="B1660" s="77"/>
      <c r="C1660" s="77"/>
      <c r="D1660" s="78"/>
      <c r="E1660" s="77"/>
      <c r="F1660" s="77"/>
      <c r="G1660" s="77"/>
      <c r="H1660" s="77"/>
      <c r="I1660" s="77"/>
      <c r="J1660" s="77"/>
      <c r="K1660" s="20"/>
      <c r="L1660" s="49">
        <f t="shared" si="104"/>
        <v>0</v>
      </c>
      <c r="M1660" s="50">
        <f t="shared" si="105"/>
        <v>0</v>
      </c>
    </row>
    <row r="1661" spans="1:13" x14ac:dyDescent="0.2">
      <c r="A1661" s="18"/>
      <c r="B1661" s="77"/>
      <c r="C1661" s="77"/>
      <c r="D1661" s="78"/>
      <c r="E1661" s="77"/>
      <c r="F1661" s="77"/>
      <c r="G1661" s="77"/>
      <c r="H1661" s="77"/>
      <c r="I1661" s="77"/>
      <c r="J1661" s="77"/>
      <c r="K1661" s="20"/>
      <c r="L1661" s="49">
        <f t="shared" si="104"/>
        <v>0</v>
      </c>
      <c r="M1661" s="50">
        <f t="shared" si="105"/>
        <v>0</v>
      </c>
    </row>
    <row r="1662" spans="1:13" x14ac:dyDescent="0.2">
      <c r="A1662" s="18"/>
      <c r="B1662" s="77"/>
      <c r="C1662" s="77"/>
      <c r="D1662" s="78"/>
      <c r="E1662" s="77"/>
      <c r="F1662" s="77"/>
      <c r="G1662" s="77"/>
      <c r="H1662" s="77"/>
      <c r="I1662" s="77"/>
      <c r="J1662" s="77"/>
      <c r="K1662" s="20"/>
      <c r="L1662" s="49">
        <f t="shared" si="104"/>
        <v>0</v>
      </c>
      <c r="M1662" s="50">
        <f t="shared" si="105"/>
        <v>0</v>
      </c>
    </row>
    <row r="1663" spans="1:13" x14ac:dyDescent="0.2">
      <c r="A1663" s="18"/>
      <c r="B1663" s="77"/>
      <c r="C1663" s="77"/>
      <c r="D1663" s="78"/>
      <c r="E1663" s="77"/>
      <c r="F1663" s="77"/>
      <c r="G1663" s="77"/>
      <c r="H1663" s="77"/>
      <c r="I1663" s="77"/>
      <c r="J1663" s="77"/>
      <c r="K1663" s="20"/>
      <c r="L1663" s="49">
        <f t="shared" si="104"/>
        <v>0</v>
      </c>
      <c r="M1663" s="50">
        <f t="shared" si="105"/>
        <v>0</v>
      </c>
    </row>
    <row r="1664" spans="1:13" x14ac:dyDescent="0.2">
      <c r="A1664" s="18"/>
      <c r="B1664" s="77"/>
      <c r="C1664" s="77"/>
      <c r="D1664" s="78"/>
      <c r="E1664" s="77"/>
      <c r="F1664" s="77"/>
      <c r="G1664" s="77"/>
      <c r="H1664" s="77"/>
      <c r="I1664" s="77"/>
      <c r="J1664" s="77"/>
      <c r="K1664" s="20"/>
      <c r="L1664" s="49">
        <f t="shared" si="104"/>
        <v>0</v>
      </c>
      <c r="M1664" s="50">
        <f t="shared" si="105"/>
        <v>0</v>
      </c>
    </row>
    <row r="1665" spans="1:13" x14ac:dyDescent="0.2">
      <c r="A1665" s="18"/>
      <c r="B1665" s="77"/>
      <c r="C1665" s="77"/>
      <c r="D1665" s="78"/>
      <c r="E1665" s="77"/>
      <c r="F1665" s="77"/>
      <c r="G1665" s="77"/>
      <c r="H1665" s="77"/>
      <c r="I1665" s="77"/>
      <c r="J1665" s="77"/>
      <c r="K1665" s="20"/>
      <c r="L1665" s="49">
        <f t="shared" si="104"/>
        <v>0</v>
      </c>
      <c r="M1665" s="50">
        <f t="shared" si="105"/>
        <v>0</v>
      </c>
    </row>
    <row r="1666" spans="1:13" x14ac:dyDescent="0.2">
      <c r="A1666" s="18"/>
      <c r="B1666" s="77"/>
      <c r="C1666" s="77"/>
      <c r="D1666" s="78"/>
      <c r="E1666" s="77"/>
      <c r="F1666" s="77"/>
      <c r="G1666" s="77"/>
      <c r="H1666" s="77"/>
      <c r="I1666" s="77"/>
      <c r="J1666" s="77"/>
      <c r="K1666" s="20"/>
      <c r="L1666" s="49">
        <f t="shared" si="104"/>
        <v>0</v>
      </c>
      <c r="M1666" s="50">
        <f t="shared" si="105"/>
        <v>0</v>
      </c>
    </row>
    <row r="1667" spans="1:13" x14ac:dyDescent="0.2">
      <c r="A1667" s="18"/>
      <c r="B1667" s="77"/>
      <c r="C1667" s="77"/>
      <c r="D1667" s="78"/>
      <c r="E1667" s="77"/>
      <c r="F1667" s="77"/>
      <c r="G1667" s="77"/>
      <c r="H1667" s="77"/>
      <c r="I1667" s="77"/>
      <c r="J1667" s="77"/>
      <c r="K1667" s="20"/>
      <c r="L1667" s="49">
        <f t="shared" si="104"/>
        <v>0</v>
      </c>
      <c r="M1667" s="50">
        <f t="shared" si="105"/>
        <v>0</v>
      </c>
    </row>
    <row r="1668" spans="1:13" x14ac:dyDescent="0.2">
      <c r="A1668" s="18"/>
      <c r="B1668" s="77"/>
      <c r="C1668" s="77"/>
      <c r="D1668" s="78"/>
      <c r="E1668" s="77"/>
      <c r="F1668" s="77"/>
      <c r="G1668" s="77"/>
      <c r="H1668" s="77"/>
      <c r="I1668" s="77"/>
      <c r="J1668" s="77"/>
      <c r="K1668" s="20"/>
      <c r="L1668" s="49">
        <f t="shared" si="104"/>
        <v>0</v>
      </c>
      <c r="M1668" s="50">
        <f t="shared" si="105"/>
        <v>0</v>
      </c>
    </row>
    <row r="1669" spans="1:13" x14ac:dyDescent="0.2">
      <c r="A1669" s="18"/>
      <c r="B1669" s="77"/>
      <c r="C1669" s="77"/>
      <c r="D1669" s="78"/>
      <c r="E1669" s="77"/>
      <c r="F1669" s="77"/>
      <c r="G1669" s="77"/>
      <c r="H1669" s="77"/>
      <c r="I1669" s="77"/>
      <c r="J1669" s="77"/>
      <c r="K1669" s="20"/>
      <c r="L1669" s="49">
        <f t="shared" si="104"/>
        <v>0</v>
      </c>
      <c r="M1669" s="50">
        <f t="shared" si="105"/>
        <v>0</v>
      </c>
    </row>
    <row r="1670" spans="1:13" x14ac:dyDescent="0.2">
      <c r="A1670" s="18"/>
      <c r="B1670" s="77"/>
      <c r="C1670" s="77"/>
      <c r="D1670" s="78"/>
      <c r="E1670" s="77"/>
      <c r="F1670" s="77"/>
      <c r="G1670" s="77"/>
      <c r="H1670" s="77"/>
      <c r="I1670" s="77"/>
      <c r="J1670" s="77"/>
      <c r="K1670" s="20"/>
      <c r="L1670" s="49">
        <f t="shared" si="104"/>
        <v>0</v>
      </c>
      <c r="M1670" s="50">
        <f t="shared" si="105"/>
        <v>0</v>
      </c>
    </row>
    <row r="1671" spans="1:13" x14ac:dyDescent="0.2">
      <c r="A1671" s="18"/>
      <c r="B1671" s="77"/>
      <c r="C1671" s="77"/>
      <c r="D1671" s="78"/>
      <c r="E1671" s="77"/>
      <c r="F1671" s="77"/>
      <c r="G1671" s="77"/>
      <c r="H1671" s="77"/>
      <c r="I1671" s="77"/>
      <c r="J1671" s="77"/>
      <c r="K1671" s="20"/>
      <c r="L1671" s="49">
        <f t="shared" si="104"/>
        <v>0</v>
      </c>
      <c r="M1671" s="50">
        <f t="shared" si="105"/>
        <v>0</v>
      </c>
    </row>
    <row r="1672" spans="1:13" x14ac:dyDescent="0.2">
      <c r="A1672" s="18"/>
      <c r="B1672" s="77"/>
      <c r="C1672" s="77"/>
      <c r="D1672" s="78"/>
      <c r="E1672" s="77"/>
      <c r="F1672" s="77"/>
      <c r="G1672" s="77"/>
      <c r="H1672" s="77"/>
      <c r="I1672" s="77"/>
      <c r="J1672" s="77"/>
      <c r="K1672" s="20"/>
      <c r="L1672" s="49">
        <f t="shared" si="104"/>
        <v>0</v>
      </c>
      <c r="M1672" s="50">
        <f t="shared" si="105"/>
        <v>0</v>
      </c>
    </row>
    <row r="1673" spans="1:13" x14ac:dyDescent="0.2">
      <c r="A1673" s="18"/>
      <c r="B1673" s="77"/>
      <c r="C1673" s="77"/>
      <c r="D1673" s="78"/>
      <c r="E1673" s="77"/>
      <c r="F1673" s="77"/>
      <c r="G1673" s="77"/>
      <c r="H1673" s="77"/>
      <c r="I1673" s="77"/>
      <c r="J1673" s="77"/>
      <c r="K1673" s="20"/>
      <c r="L1673" s="49">
        <f t="shared" si="104"/>
        <v>0</v>
      </c>
      <c r="M1673" s="50">
        <f t="shared" si="105"/>
        <v>0</v>
      </c>
    </row>
    <row r="1674" spans="1:13" x14ac:dyDescent="0.2">
      <c r="A1674" s="18"/>
      <c r="B1674" s="77"/>
      <c r="C1674" s="77"/>
      <c r="D1674" s="78"/>
      <c r="E1674" s="77"/>
      <c r="F1674" s="77"/>
      <c r="G1674" s="77"/>
      <c r="H1674" s="77"/>
      <c r="I1674" s="77"/>
      <c r="J1674" s="77"/>
      <c r="K1674" s="20"/>
      <c r="L1674" s="49">
        <f t="shared" si="104"/>
        <v>0</v>
      </c>
      <c r="M1674" s="50">
        <f t="shared" si="105"/>
        <v>0</v>
      </c>
    </row>
    <row r="1675" spans="1:13" x14ac:dyDescent="0.2">
      <c r="A1675" s="18"/>
      <c r="B1675" s="77"/>
      <c r="C1675" s="77"/>
      <c r="D1675" s="78"/>
      <c r="E1675" s="77"/>
      <c r="F1675" s="77"/>
      <c r="G1675" s="77"/>
      <c r="H1675" s="77"/>
      <c r="I1675" s="77"/>
      <c r="J1675" s="77"/>
      <c r="K1675" s="20"/>
      <c r="L1675" s="49">
        <f t="shared" si="104"/>
        <v>0</v>
      </c>
      <c r="M1675" s="50">
        <f t="shared" si="105"/>
        <v>0</v>
      </c>
    </row>
    <row r="1676" spans="1:13" x14ac:dyDescent="0.2">
      <c r="A1676" s="18"/>
      <c r="B1676" s="77"/>
      <c r="C1676" s="77"/>
      <c r="D1676" s="78"/>
      <c r="E1676" s="77"/>
      <c r="F1676" s="77"/>
      <c r="G1676" s="77"/>
      <c r="H1676" s="77"/>
      <c r="I1676" s="77"/>
      <c r="J1676" s="77"/>
      <c r="K1676" s="20"/>
      <c r="L1676" s="49">
        <f t="shared" si="104"/>
        <v>0</v>
      </c>
      <c r="M1676" s="50">
        <f t="shared" si="105"/>
        <v>0</v>
      </c>
    </row>
    <row r="1677" spans="1:13" x14ac:dyDescent="0.2">
      <c r="A1677" s="18"/>
      <c r="B1677" s="77"/>
      <c r="C1677" s="77"/>
      <c r="D1677" s="78"/>
      <c r="E1677" s="77"/>
      <c r="F1677" s="77"/>
      <c r="G1677" s="77"/>
      <c r="H1677" s="77"/>
      <c r="I1677" s="77"/>
      <c r="J1677" s="77"/>
      <c r="K1677" s="20"/>
      <c r="L1677" s="49">
        <f t="shared" si="104"/>
        <v>0</v>
      </c>
      <c r="M1677" s="50">
        <f t="shared" si="105"/>
        <v>0</v>
      </c>
    </row>
    <row r="1678" spans="1:13" x14ac:dyDescent="0.2">
      <c r="A1678" s="18"/>
      <c r="B1678" s="77"/>
      <c r="C1678" s="77"/>
      <c r="D1678" s="78"/>
      <c r="E1678" s="77"/>
      <c r="F1678" s="77"/>
      <c r="G1678" s="77"/>
      <c r="H1678" s="77"/>
      <c r="I1678" s="77"/>
      <c r="J1678" s="77"/>
      <c r="K1678" s="20"/>
      <c r="L1678" s="49">
        <f t="shared" si="104"/>
        <v>0</v>
      </c>
      <c r="M1678" s="50">
        <f t="shared" si="105"/>
        <v>0</v>
      </c>
    </row>
    <row r="1679" spans="1:13" x14ac:dyDescent="0.2">
      <c r="A1679" s="18"/>
      <c r="B1679" s="77"/>
      <c r="C1679" s="77"/>
      <c r="D1679" s="78"/>
      <c r="E1679" s="77"/>
      <c r="F1679" s="77"/>
      <c r="G1679" s="77"/>
      <c r="H1679" s="77"/>
      <c r="I1679" s="77"/>
      <c r="J1679" s="77"/>
      <c r="K1679" s="20"/>
      <c r="L1679" s="49">
        <f t="shared" si="104"/>
        <v>0</v>
      </c>
      <c r="M1679" s="50">
        <f t="shared" si="105"/>
        <v>0</v>
      </c>
    </row>
    <row r="1680" spans="1:13" x14ac:dyDescent="0.2">
      <c r="A1680" s="18"/>
      <c r="B1680" s="77"/>
      <c r="C1680" s="77"/>
      <c r="D1680" s="78"/>
      <c r="E1680" s="77"/>
      <c r="F1680" s="77"/>
      <c r="G1680" s="77"/>
      <c r="H1680" s="77"/>
      <c r="I1680" s="77"/>
      <c r="J1680" s="77"/>
      <c r="K1680" s="20"/>
      <c r="L1680" s="49">
        <f t="shared" si="104"/>
        <v>0</v>
      </c>
      <c r="M1680" s="50">
        <f t="shared" si="105"/>
        <v>0</v>
      </c>
    </row>
    <row r="1681" spans="1:13" x14ac:dyDescent="0.2">
      <c r="A1681" s="18"/>
      <c r="B1681" s="77"/>
      <c r="C1681" s="77"/>
      <c r="D1681" s="78"/>
      <c r="E1681" s="77"/>
      <c r="F1681" s="77"/>
      <c r="G1681" s="77"/>
      <c r="H1681" s="77"/>
      <c r="I1681" s="77"/>
      <c r="J1681" s="77"/>
      <c r="K1681" s="20"/>
      <c r="L1681" s="49">
        <f t="shared" si="104"/>
        <v>0</v>
      </c>
      <c r="M1681" s="50">
        <f t="shared" si="105"/>
        <v>0</v>
      </c>
    </row>
    <row r="1682" spans="1:13" x14ac:dyDescent="0.2">
      <c r="A1682" s="18"/>
      <c r="B1682" s="77"/>
      <c r="C1682" s="77"/>
      <c r="D1682" s="78"/>
      <c r="E1682" s="77"/>
      <c r="F1682" s="77"/>
      <c r="G1682" s="77"/>
      <c r="H1682" s="77"/>
      <c r="I1682" s="77"/>
      <c r="J1682" s="77"/>
      <c r="K1682" s="20"/>
      <c r="L1682" s="49">
        <f t="shared" si="104"/>
        <v>0</v>
      </c>
      <c r="M1682" s="50">
        <f t="shared" si="105"/>
        <v>0</v>
      </c>
    </row>
    <row r="1683" spans="1:13" x14ac:dyDescent="0.2">
      <c r="A1683" s="18"/>
      <c r="B1683" s="77"/>
      <c r="C1683" s="77"/>
      <c r="D1683" s="78"/>
      <c r="E1683" s="77"/>
      <c r="F1683" s="77"/>
      <c r="G1683" s="77"/>
      <c r="H1683" s="77"/>
      <c r="I1683" s="77"/>
      <c r="J1683" s="77"/>
      <c r="K1683" s="20"/>
      <c r="L1683" s="49">
        <f t="shared" si="104"/>
        <v>0</v>
      </c>
      <c r="M1683" s="50">
        <f t="shared" si="105"/>
        <v>0</v>
      </c>
    </row>
    <row r="1684" spans="1:13" x14ac:dyDescent="0.2">
      <c r="A1684" s="18"/>
      <c r="B1684" s="77"/>
      <c r="C1684" s="77"/>
      <c r="D1684" s="78"/>
      <c r="E1684" s="77"/>
      <c r="F1684" s="77"/>
      <c r="G1684" s="77"/>
      <c r="H1684" s="77"/>
      <c r="I1684" s="77"/>
      <c r="J1684" s="77"/>
      <c r="K1684" s="20"/>
      <c r="L1684" s="49">
        <f t="shared" si="104"/>
        <v>0</v>
      </c>
      <c r="M1684" s="50">
        <f t="shared" si="105"/>
        <v>0</v>
      </c>
    </row>
    <row r="1685" spans="1:13" x14ac:dyDescent="0.2">
      <c r="A1685" s="18"/>
      <c r="B1685" s="77"/>
      <c r="C1685" s="77"/>
      <c r="D1685" s="78"/>
      <c r="E1685" s="77"/>
      <c r="F1685" s="77"/>
      <c r="G1685" s="77"/>
      <c r="H1685" s="77"/>
      <c r="I1685" s="77"/>
      <c r="J1685" s="77"/>
      <c r="K1685" s="20"/>
      <c r="L1685" s="49">
        <f t="shared" si="104"/>
        <v>0</v>
      </c>
      <c r="M1685" s="50">
        <f t="shared" si="105"/>
        <v>0</v>
      </c>
    </row>
    <row r="1686" spans="1:13" x14ac:dyDescent="0.2">
      <c r="A1686" s="18"/>
      <c r="B1686" s="77"/>
      <c r="C1686" s="77"/>
      <c r="D1686" s="78"/>
      <c r="E1686" s="77"/>
      <c r="F1686" s="77"/>
      <c r="G1686" s="77"/>
      <c r="H1686" s="77"/>
      <c r="I1686" s="77"/>
      <c r="J1686" s="77"/>
      <c r="K1686" s="20"/>
      <c r="L1686" s="49">
        <f t="shared" si="104"/>
        <v>0</v>
      </c>
      <c r="M1686" s="50">
        <f t="shared" si="105"/>
        <v>0</v>
      </c>
    </row>
    <row r="1687" spans="1:13" x14ac:dyDescent="0.2">
      <c r="A1687" s="18"/>
      <c r="B1687" s="77"/>
      <c r="C1687" s="77"/>
      <c r="D1687" s="78"/>
      <c r="E1687" s="77"/>
      <c r="F1687" s="77"/>
      <c r="G1687" s="77"/>
      <c r="H1687" s="77"/>
      <c r="I1687" s="77"/>
      <c r="J1687" s="77"/>
      <c r="K1687" s="20"/>
      <c r="L1687" s="49">
        <f t="shared" si="104"/>
        <v>0</v>
      </c>
      <c r="M1687" s="50">
        <f t="shared" si="105"/>
        <v>0</v>
      </c>
    </row>
    <row r="1688" spans="1:13" x14ac:dyDescent="0.2">
      <c r="A1688" s="18"/>
      <c r="B1688" s="77"/>
      <c r="C1688" s="77"/>
      <c r="D1688" s="78"/>
      <c r="E1688" s="77"/>
      <c r="F1688" s="77"/>
      <c r="G1688" s="77"/>
      <c r="H1688" s="77"/>
      <c r="I1688" s="77"/>
      <c r="J1688" s="77"/>
      <c r="K1688" s="20"/>
      <c r="L1688" s="49">
        <f t="shared" ref="L1688:L1694" si="106">+K1688*18%</f>
        <v>0</v>
      </c>
      <c r="M1688" s="50">
        <f t="shared" ref="M1688:M1694" si="107">+K1688+L1688</f>
        <v>0</v>
      </c>
    </row>
    <row r="1689" spans="1:13" x14ac:dyDescent="0.2">
      <c r="A1689" s="18"/>
      <c r="B1689" s="77"/>
      <c r="C1689" s="77"/>
      <c r="D1689" s="78"/>
      <c r="E1689" s="77"/>
      <c r="F1689" s="77"/>
      <c r="G1689" s="77"/>
      <c r="H1689" s="77"/>
      <c r="I1689" s="77"/>
      <c r="J1689" s="77"/>
      <c r="K1689" s="20"/>
      <c r="L1689" s="49">
        <f t="shared" si="106"/>
        <v>0</v>
      </c>
      <c r="M1689" s="50">
        <f t="shared" si="107"/>
        <v>0</v>
      </c>
    </row>
    <row r="1690" spans="1:13" x14ac:dyDescent="0.2">
      <c r="A1690" s="18"/>
      <c r="B1690" s="77"/>
      <c r="C1690" s="77"/>
      <c r="D1690" s="78"/>
      <c r="E1690" s="77"/>
      <c r="F1690" s="77"/>
      <c r="G1690" s="77"/>
      <c r="H1690" s="77"/>
      <c r="I1690" s="77"/>
      <c r="J1690" s="77"/>
      <c r="K1690" s="20"/>
      <c r="L1690" s="49">
        <f t="shared" si="106"/>
        <v>0</v>
      </c>
      <c r="M1690" s="50">
        <f t="shared" si="107"/>
        <v>0</v>
      </c>
    </row>
    <row r="1691" spans="1:13" x14ac:dyDescent="0.2">
      <c r="A1691" s="18"/>
      <c r="B1691" s="77"/>
      <c r="C1691" s="77"/>
      <c r="D1691" s="78"/>
      <c r="E1691" s="77"/>
      <c r="F1691" s="77"/>
      <c r="G1691" s="77"/>
      <c r="H1691" s="77"/>
      <c r="I1691" s="77"/>
      <c r="J1691" s="77"/>
      <c r="K1691" s="20"/>
      <c r="L1691" s="49">
        <f t="shared" si="106"/>
        <v>0</v>
      </c>
      <c r="M1691" s="50">
        <f t="shared" si="107"/>
        <v>0</v>
      </c>
    </row>
    <row r="1692" spans="1:13" x14ac:dyDescent="0.2">
      <c r="A1692" s="18"/>
      <c r="B1692" s="77"/>
      <c r="C1692" s="77"/>
      <c r="D1692" s="78"/>
      <c r="E1692" s="77"/>
      <c r="F1692" s="77"/>
      <c r="G1692" s="77"/>
      <c r="H1692" s="77"/>
      <c r="I1692" s="77"/>
      <c r="J1692" s="77"/>
      <c r="K1692" s="20"/>
      <c r="L1692" s="49">
        <f t="shared" si="106"/>
        <v>0</v>
      </c>
      <c r="M1692" s="50">
        <f t="shared" si="107"/>
        <v>0</v>
      </c>
    </row>
    <row r="1693" spans="1:13" x14ac:dyDescent="0.2">
      <c r="A1693" s="18"/>
      <c r="B1693" s="77"/>
      <c r="C1693" s="77"/>
      <c r="D1693" s="78"/>
      <c r="E1693" s="77"/>
      <c r="F1693" s="77"/>
      <c r="G1693" s="77"/>
      <c r="H1693" s="77"/>
      <c r="I1693" s="77"/>
      <c r="J1693" s="77"/>
      <c r="K1693" s="20"/>
      <c r="L1693" s="49">
        <f t="shared" si="106"/>
        <v>0</v>
      </c>
      <c r="M1693" s="50">
        <f t="shared" si="107"/>
        <v>0</v>
      </c>
    </row>
    <row r="1694" spans="1:13" x14ac:dyDescent="0.2">
      <c r="A1694" s="18"/>
      <c r="B1694" s="77"/>
      <c r="C1694" s="77"/>
      <c r="D1694" s="78"/>
      <c r="E1694" s="77"/>
      <c r="F1694" s="77"/>
      <c r="G1694" s="77"/>
      <c r="H1694" s="77"/>
      <c r="I1694" s="77"/>
      <c r="J1694" s="77"/>
      <c r="K1694" s="79"/>
      <c r="L1694" s="49">
        <f t="shared" si="106"/>
        <v>0</v>
      </c>
      <c r="M1694" s="50">
        <f t="shared" si="107"/>
        <v>0</v>
      </c>
    </row>
    <row r="1695" spans="1:13" x14ac:dyDescent="0.2">
      <c r="A1695" s="18"/>
      <c r="B1695" s="77"/>
      <c r="C1695" s="77"/>
      <c r="D1695" s="78"/>
      <c r="E1695" s="77"/>
      <c r="F1695" s="77"/>
      <c r="G1695" s="77"/>
      <c r="H1695" s="77"/>
      <c r="I1695" s="77"/>
      <c r="J1695" s="77"/>
      <c r="K1695" s="20"/>
      <c r="L1695" s="49">
        <f t="shared" ref="L1695:L1758" si="108">+K1695*18%</f>
        <v>0</v>
      </c>
      <c r="M1695" s="50">
        <f t="shared" ref="M1695:M1758" si="109">+K1695+L1695</f>
        <v>0</v>
      </c>
    </row>
    <row r="1696" spans="1:13" x14ac:dyDescent="0.2">
      <c r="A1696" s="18"/>
      <c r="B1696" s="77"/>
      <c r="C1696" s="77"/>
      <c r="D1696" s="78"/>
      <c r="E1696" s="77"/>
      <c r="F1696" s="77"/>
      <c r="G1696" s="77"/>
      <c r="H1696" s="77"/>
      <c r="I1696" s="77"/>
      <c r="J1696" s="77"/>
      <c r="K1696" s="20"/>
      <c r="L1696" s="49">
        <f t="shared" si="108"/>
        <v>0</v>
      </c>
      <c r="M1696" s="50">
        <f t="shared" si="109"/>
        <v>0</v>
      </c>
    </row>
    <row r="1697" spans="1:13" x14ac:dyDescent="0.2">
      <c r="A1697" s="18"/>
      <c r="B1697" s="77"/>
      <c r="C1697" s="77"/>
      <c r="D1697" s="78"/>
      <c r="E1697" s="77"/>
      <c r="F1697" s="77"/>
      <c r="G1697" s="77"/>
      <c r="H1697" s="77"/>
      <c r="I1697" s="77"/>
      <c r="J1697" s="77"/>
      <c r="K1697" s="20"/>
      <c r="L1697" s="49">
        <f t="shared" si="108"/>
        <v>0</v>
      </c>
      <c r="M1697" s="50">
        <f t="shared" si="109"/>
        <v>0</v>
      </c>
    </row>
    <row r="1698" spans="1:13" x14ac:dyDescent="0.2">
      <c r="A1698" s="18"/>
      <c r="B1698" s="77"/>
      <c r="C1698" s="77"/>
      <c r="D1698" s="78"/>
      <c r="E1698" s="77"/>
      <c r="F1698" s="77"/>
      <c r="G1698" s="77"/>
      <c r="H1698" s="77"/>
      <c r="I1698" s="77"/>
      <c r="J1698" s="77"/>
      <c r="K1698" s="20"/>
      <c r="L1698" s="49">
        <f t="shared" si="108"/>
        <v>0</v>
      </c>
      <c r="M1698" s="50">
        <f t="shared" si="109"/>
        <v>0</v>
      </c>
    </row>
    <row r="1699" spans="1:13" x14ac:dyDescent="0.2">
      <c r="A1699" s="18"/>
      <c r="B1699" s="77"/>
      <c r="C1699" s="77"/>
      <c r="D1699" s="78"/>
      <c r="E1699" s="77"/>
      <c r="F1699" s="77"/>
      <c r="G1699" s="77"/>
      <c r="H1699" s="77"/>
      <c r="I1699" s="77"/>
      <c r="J1699" s="77"/>
      <c r="K1699" s="20"/>
      <c r="L1699" s="49">
        <f t="shared" si="108"/>
        <v>0</v>
      </c>
      <c r="M1699" s="50">
        <f t="shared" si="109"/>
        <v>0</v>
      </c>
    </row>
    <row r="1700" spans="1:13" x14ac:dyDescent="0.2">
      <c r="A1700" s="18"/>
      <c r="B1700" s="77"/>
      <c r="C1700" s="77"/>
      <c r="D1700" s="78"/>
      <c r="E1700" s="77"/>
      <c r="F1700" s="77"/>
      <c r="G1700" s="77"/>
      <c r="H1700" s="77"/>
      <c r="I1700" s="77"/>
      <c r="J1700" s="77"/>
      <c r="K1700" s="20"/>
      <c r="L1700" s="49">
        <f t="shared" si="108"/>
        <v>0</v>
      </c>
      <c r="M1700" s="50">
        <f t="shared" si="109"/>
        <v>0</v>
      </c>
    </row>
    <row r="1701" spans="1:13" x14ac:dyDescent="0.2">
      <c r="A1701" s="18"/>
      <c r="B1701" s="77"/>
      <c r="C1701" s="77"/>
      <c r="D1701" s="78"/>
      <c r="E1701" s="77"/>
      <c r="F1701" s="77"/>
      <c r="G1701" s="77"/>
      <c r="H1701" s="77"/>
      <c r="I1701" s="77"/>
      <c r="J1701" s="77"/>
      <c r="K1701" s="20"/>
      <c r="L1701" s="49">
        <f t="shared" si="108"/>
        <v>0</v>
      </c>
      <c r="M1701" s="50">
        <f t="shared" si="109"/>
        <v>0</v>
      </c>
    </row>
    <row r="1702" spans="1:13" x14ac:dyDescent="0.2">
      <c r="A1702" s="18"/>
      <c r="B1702" s="77"/>
      <c r="C1702" s="77"/>
      <c r="D1702" s="78"/>
      <c r="E1702" s="77"/>
      <c r="F1702" s="77"/>
      <c r="G1702" s="77"/>
      <c r="H1702" s="77"/>
      <c r="I1702" s="77"/>
      <c r="J1702" s="77"/>
      <c r="K1702" s="20"/>
      <c r="L1702" s="49">
        <f t="shared" si="108"/>
        <v>0</v>
      </c>
      <c r="M1702" s="50">
        <f t="shared" si="109"/>
        <v>0</v>
      </c>
    </row>
    <row r="1703" spans="1:13" x14ac:dyDescent="0.2">
      <c r="A1703" s="18"/>
      <c r="B1703" s="77"/>
      <c r="C1703" s="77"/>
      <c r="D1703" s="78"/>
      <c r="E1703" s="77"/>
      <c r="F1703" s="77"/>
      <c r="G1703" s="77"/>
      <c r="H1703" s="77"/>
      <c r="I1703" s="77"/>
      <c r="J1703" s="77"/>
      <c r="K1703" s="20"/>
      <c r="L1703" s="49">
        <f t="shared" si="108"/>
        <v>0</v>
      </c>
      <c r="M1703" s="50">
        <f t="shared" si="109"/>
        <v>0</v>
      </c>
    </row>
    <row r="1704" spans="1:13" x14ac:dyDescent="0.2">
      <c r="A1704" s="18"/>
      <c r="B1704" s="77"/>
      <c r="C1704" s="77"/>
      <c r="D1704" s="78"/>
      <c r="E1704" s="77"/>
      <c r="F1704" s="77"/>
      <c r="G1704" s="77"/>
      <c r="H1704" s="77"/>
      <c r="I1704" s="77"/>
      <c r="J1704" s="77"/>
      <c r="K1704" s="20"/>
      <c r="L1704" s="49">
        <f t="shared" si="108"/>
        <v>0</v>
      </c>
      <c r="M1704" s="50">
        <f t="shared" si="109"/>
        <v>0</v>
      </c>
    </row>
    <row r="1705" spans="1:13" x14ac:dyDescent="0.2">
      <c r="A1705" s="18"/>
      <c r="B1705" s="77"/>
      <c r="C1705" s="77"/>
      <c r="D1705" s="78"/>
      <c r="E1705" s="77"/>
      <c r="F1705" s="77"/>
      <c r="G1705" s="77"/>
      <c r="H1705" s="77"/>
      <c r="I1705" s="77"/>
      <c r="J1705" s="77"/>
      <c r="K1705" s="20"/>
      <c r="L1705" s="49">
        <f t="shared" si="108"/>
        <v>0</v>
      </c>
      <c r="M1705" s="50">
        <f t="shared" si="109"/>
        <v>0</v>
      </c>
    </row>
    <row r="1706" spans="1:13" x14ac:dyDescent="0.2">
      <c r="A1706" s="18"/>
      <c r="B1706" s="77"/>
      <c r="C1706" s="77"/>
      <c r="D1706" s="78"/>
      <c r="E1706" s="77"/>
      <c r="F1706" s="77"/>
      <c r="G1706" s="77"/>
      <c r="H1706" s="77"/>
      <c r="I1706" s="77"/>
      <c r="J1706" s="77"/>
      <c r="K1706" s="20"/>
      <c r="L1706" s="49">
        <f t="shared" si="108"/>
        <v>0</v>
      </c>
      <c r="M1706" s="50">
        <f t="shared" si="109"/>
        <v>0</v>
      </c>
    </row>
    <row r="1707" spans="1:13" x14ac:dyDescent="0.2">
      <c r="A1707" s="18"/>
      <c r="B1707" s="77"/>
      <c r="C1707" s="77"/>
      <c r="D1707" s="78"/>
      <c r="E1707" s="77"/>
      <c r="F1707" s="77"/>
      <c r="G1707" s="77"/>
      <c r="H1707" s="77"/>
      <c r="I1707" s="77"/>
      <c r="J1707" s="77"/>
      <c r="K1707" s="20"/>
      <c r="L1707" s="49">
        <f t="shared" si="108"/>
        <v>0</v>
      </c>
      <c r="M1707" s="50">
        <f t="shared" si="109"/>
        <v>0</v>
      </c>
    </row>
    <row r="1708" spans="1:13" x14ac:dyDescent="0.2">
      <c r="A1708" s="18"/>
      <c r="B1708" s="77"/>
      <c r="C1708" s="77"/>
      <c r="D1708" s="78"/>
      <c r="E1708" s="77"/>
      <c r="F1708" s="77"/>
      <c r="G1708" s="77"/>
      <c r="H1708" s="77"/>
      <c r="I1708" s="77"/>
      <c r="J1708" s="77"/>
      <c r="K1708" s="20"/>
      <c r="L1708" s="49">
        <f t="shared" si="108"/>
        <v>0</v>
      </c>
      <c r="M1708" s="50">
        <f t="shared" si="109"/>
        <v>0</v>
      </c>
    </row>
    <row r="1709" spans="1:13" x14ac:dyDescent="0.2">
      <c r="A1709" s="18"/>
      <c r="B1709" s="77"/>
      <c r="C1709" s="77"/>
      <c r="D1709" s="78"/>
      <c r="E1709" s="77"/>
      <c r="F1709" s="77"/>
      <c r="G1709" s="77"/>
      <c r="I1709" s="77"/>
      <c r="J1709" s="77"/>
      <c r="K1709" s="20"/>
      <c r="L1709" s="49">
        <f t="shared" si="108"/>
        <v>0</v>
      </c>
      <c r="M1709" s="50">
        <f t="shared" si="109"/>
        <v>0</v>
      </c>
    </row>
    <row r="1710" spans="1:13" x14ac:dyDescent="0.2">
      <c r="A1710" s="18"/>
      <c r="B1710" s="77"/>
      <c r="C1710" s="77"/>
      <c r="D1710" s="78"/>
      <c r="E1710" s="77"/>
      <c r="F1710" s="77"/>
      <c r="G1710" s="77"/>
      <c r="H1710" s="77"/>
      <c r="I1710" s="77"/>
      <c r="J1710" s="77"/>
      <c r="K1710" s="20"/>
      <c r="L1710" s="49">
        <f t="shared" si="108"/>
        <v>0</v>
      </c>
      <c r="M1710" s="50">
        <f t="shared" si="109"/>
        <v>0</v>
      </c>
    </row>
    <row r="1711" spans="1:13" x14ac:dyDescent="0.2">
      <c r="A1711" s="18"/>
      <c r="B1711" s="77"/>
      <c r="C1711" s="77"/>
      <c r="D1711" s="78"/>
      <c r="E1711" s="77"/>
      <c r="F1711" s="77"/>
      <c r="G1711" s="77"/>
      <c r="H1711" s="77"/>
      <c r="I1711" s="77"/>
      <c r="J1711" s="77"/>
      <c r="K1711" s="20"/>
      <c r="L1711" s="49">
        <f t="shared" si="108"/>
        <v>0</v>
      </c>
      <c r="M1711" s="50">
        <f t="shared" si="109"/>
        <v>0</v>
      </c>
    </row>
    <row r="1712" spans="1:13" x14ac:dyDescent="0.2">
      <c r="A1712" s="18"/>
      <c r="B1712" s="77"/>
      <c r="C1712" s="77"/>
      <c r="D1712" s="78"/>
      <c r="E1712" s="77"/>
      <c r="F1712" s="77"/>
      <c r="G1712" s="77"/>
      <c r="H1712" s="77"/>
      <c r="I1712" s="77"/>
      <c r="J1712" s="77"/>
      <c r="K1712" s="20"/>
      <c r="L1712" s="49">
        <f t="shared" si="108"/>
        <v>0</v>
      </c>
      <c r="M1712" s="50">
        <f t="shared" si="109"/>
        <v>0</v>
      </c>
    </row>
    <row r="1713" spans="1:13" x14ac:dyDescent="0.2">
      <c r="A1713" s="18"/>
      <c r="B1713" s="77"/>
      <c r="C1713" s="77"/>
      <c r="D1713" s="78"/>
      <c r="E1713" s="77"/>
      <c r="F1713" s="77"/>
      <c r="G1713" s="77"/>
      <c r="H1713" s="77"/>
      <c r="I1713" s="77"/>
      <c r="J1713" s="77"/>
      <c r="K1713" s="20"/>
      <c r="L1713" s="49">
        <f t="shared" si="108"/>
        <v>0</v>
      </c>
      <c r="M1713" s="50">
        <f t="shared" si="109"/>
        <v>0</v>
      </c>
    </row>
    <row r="1714" spans="1:13" x14ac:dyDescent="0.2">
      <c r="A1714" s="18"/>
      <c r="B1714" s="77"/>
      <c r="C1714" s="77"/>
      <c r="D1714" s="78"/>
      <c r="E1714" s="77"/>
      <c r="F1714" s="77"/>
      <c r="G1714" s="77"/>
      <c r="H1714" s="77"/>
      <c r="I1714" s="77"/>
      <c r="J1714" s="77"/>
      <c r="K1714" s="20"/>
      <c r="L1714" s="49">
        <f t="shared" si="108"/>
        <v>0</v>
      </c>
      <c r="M1714" s="50">
        <f t="shared" si="109"/>
        <v>0</v>
      </c>
    </row>
    <row r="1715" spans="1:13" x14ac:dyDescent="0.2">
      <c r="A1715" s="18"/>
      <c r="B1715" s="77"/>
      <c r="C1715" s="77"/>
      <c r="D1715" s="78"/>
      <c r="E1715" s="77"/>
      <c r="F1715" s="77"/>
      <c r="G1715" s="77"/>
      <c r="H1715" s="77"/>
      <c r="I1715" s="77"/>
      <c r="J1715" s="77"/>
      <c r="K1715" s="20"/>
      <c r="L1715" s="49">
        <f t="shared" si="108"/>
        <v>0</v>
      </c>
      <c r="M1715" s="50">
        <f t="shared" si="109"/>
        <v>0</v>
      </c>
    </row>
    <row r="1716" spans="1:13" x14ac:dyDescent="0.2">
      <c r="A1716" s="18"/>
      <c r="B1716" s="77"/>
      <c r="C1716" s="77"/>
      <c r="D1716" s="78"/>
      <c r="E1716" s="77"/>
      <c r="F1716" s="77"/>
      <c r="G1716" s="77"/>
      <c r="H1716" s="77"/>
      <c r="I1716" s="77"/>
      <c r="J1716" s="77"/>
      <c r="K1716" s="20"/>
      <c r="L1716" s="49">
        <f t="shared" si="108"/>
        <v>0</v>
      </c>
      <c r="M1716" s="50">
        <f t="shared" si="109"/>
        <v>0</v>
      </c>
    </row>
    <row r="1717" spans="1:13" x14ac:dyDescent="0.2">
      <c r="A1717" s="18"/>
      <c r="B1717" s="77"/>
      <c r="C1717" s="77"/>
      <c r="D1717" s="78"/>
      <c r="E1717" s="77"/>
      <c r="F1717" s="77"/>
      <c r="G1717" s="77"/>
      <c r="H1717" s="77"/>
      <c r="I1717" s="77"/>
      <c r="J1717" s="77"/>
      <c r="K1717" s="20"/>
      <c r="L1717" s="49">
        <f t="shared" si="108"/>
        <v>0</v>
      </c>
      <c r="M1717" s="50">
        <f t="shared" si="109"/>
        <v>0</v>
      </c>
    </row>
    <row r="1718" spans="1:13" x14ac:dyDescent="0.2">
      <c r="A1718" s="18"/>
      <c r="B1718" s="77"/>
      <c r="C1718" s="77"/>
      <c r="D1718" s="78"/>
      <c r="E1718" s="77"/>
      <c r="F1718" s="77"/>
      <c r="G1718" s="77"/>
      <c r="H1718" s="77"/>
      <c r="I1718" s="77"/>
      <c r="J1718" s="77"/>
      <c r="K1718" s="20"/>
      <c r="L1718" s="49">
        <f t="shared" si="108"/>
        <v>0</v>
      </c>
      <c r="M1718" s="50">
        <f t="shared" si="109"/>
        <v>0</v>
      </c>
    </row>
    <row r="1719" spans="1:13" x14ac:dyDescent="0.2">
      <c r="A1719" s="18"/>
      <c r="B1719" s="77"/>
      <c r="C1719" s="77"/>
      <c r="D1719" s="78"/>
      <c r="E1719" s="77"/>
      <c r="F1719" s="77"/>
      <c r="G1719" s="77"/>
      <c r="H1719" s="77"/>
      <c r="I1719" s="77"/>
      <c r="J1719" s="77"/>
      <c r="K1719" s="20"/>
      <c r="L1719" s="49">
        <f t="shared" si="108"/>
        <v>0</v>
      </c>
      <c r="M1719" s="50">
        <f t="shared" si="109"/>
        <v>0</v>
      </c>
    </row>
    <row r="1720" spans="1:13" x14ac:dyDescent="0.2">
      <c r="A1720" s="18"/>
      <c r="B1720" s="77"/>
      <c r="C1720" s="77"/>
      <c r="D1720" s="78"/>
      <c r="E1720" s="77"/>
      <c r="F1720" s="77"/>
      <c r="G1720" s="77"/>
      <c r="H1720" s="77"/>
      <c r="I1720" s="77"/>
      <c r="J1720" s="77"/>
      <c r="K1720" s="20"/>
      <c r="L1720" s="49">
        <f t="shared" si="108"/>
        <v>0</v>
      </c>
      <c r="M1720" s="50">
        <f t="shared" si="109"/>
        <v>0</v>
      </c>
    </row>
    <row r="1721" spans="1:13" x14ac:dyDescent="0.2">
      <c r="A1721" s="18"/>
      <c r="B1721" s="77"/>
      <c r="C1721" s="77"/>
      <c r="D1721" s="78"/>
      <c r="E1721" s="77"/>
      <c r="F1721" s="77"/>
      <c r="G1721" s="77"/>
      <c r="H1721" s="77"/>
      <c r="I1721" s="77"/>
      <c r="J1721" s="77"/>
      <c r="K1721" s="20"/>
      <c r="L1721" s="49">
        <f t="shared" si="108"/>
        <v>0</v>
      </c>
      <c r="M1721" s="50">
        <f t="shared" si="109"/>
        <v>0</v>
      </c>
    </row>
    <row r="1722" spans="1:13" x14ac:dyDescent="0.2">
      <c r="A1722" s="18"/>
      <c r="B1722" s="77"/>
      <c r="C1722" s="77"/>
      <c r="D1722" s="78"/>
      <c r="E1722" s="77"/>
      <c r="F1722" s="77"/>
      <c r="G1722" s="77"/>
      <c r="H1722" s="77"/>
      <c r="I1722" s="77"/>
      <c r="J1722" s="77"/>
      <c r="K1722" s="20"/>
      <c r="L1722" s="49">
        <f t="shared" si="108"/>
        <v>0</v>
      </c>
      <c r="M1722" s="50">
        <f t="shared" si="109"/>
        <v>0</v>
      </c>
    </row>
    <row r="1723" spans="1:13" x14ac:dyDescent="0.2">
      <c r="A1723" s="18"/>
      <c r="B1723" s="77"/>
      <c r="C1723" s="77"/>
      <c r="D1723" s="78"/>
      <c r="E1723" s="77"/>
      <c r="F1723" s="77"/>
      <c r="G1723" s="77"/>
      <c r="H1723" s="77"/>
      <c r="I1723" s="77"/>
      <c r="J1723" s="77"/>
      <c r="K1723" s="20"/>
      <c r="L1723" s="49">
        <f t="shared" si="108"/>
        <v>0</v>
      </c>
      <c r="M1723" s="50">
        <f t="shared" si="109"/>
        <v>0</v>
      </c>
    </row>
    <row r="1724" spans="1:13" x14ac:dyDescent="0.2">
      <c r="A1724" s="18"/>
      <c r="B1724" s="77"/>
      <c r="C1724" s="77"/>
      <c r="D1724" s="78"/>
      <c r="E1724" s="77"/>
      <c r="F1724" s="77"/>
      <c r="G1724" s="77"/>
      <c r="H1724" s="77"/>
      <c r="I1724" s="77"/>
      <c r="J1724" s="77"/>
      <c r="K1724" s="20"/>
      <c r="L1724" s="49">
        <f t="shared" si="108"/>
        <v>0</v>
      </c>
      <c r="M1724" s="50">
        <f t="shared" si="109"/>
        <v>0</v>
      </c>
    </row>
    <row r="1725" spans="1:13" x14ac:dyDescent="0.2">
      <c r="A1725" s="18"/>
      <c r="B1725" s="77"/>
      <c r="C1725" s="77"/>
      <c r="D1725" s="78"/>
      <c r="E1725" s="77"/>
      <c r="F1725" s="77"/>
      <c r="G1725" s="77"/>
      <c r="H1725" s="77"/>
      <c r="I1725" s="77"/>
      <c r="J1725" s="77"/>
      <c r="K1725" s="20"/>
      <c r="L1725" s="49">
        <f t="shared" si="108"/>
        <v>0</v>
      </c>
      <c r="M1725" s="50">
        <f t="shared" si="109"/>
        <v>0</v>
      </c>
    </row>
    <row r="1726" spans="1:13" x14ac:dyDescent="0.2">
      <c r="A1726" s="18"/>
      <c r="B1726" s="77"/>
      <c r="C1726" s="77"/>
      <c r="D1726" s="78"/>
      <c r="E1726" s="77"/>
      <c r="F1726" s="77"/>
      <c r="G1726" s="77"/>
      <c r="H1726" s="77"/>
      <c r="I1726" s="77"/>
      <c r="J1726" s="77"/>
      <c r="K1726" s="20"/>
      <c r="L1726" s="49">
        <f t="shared" si="108"/>
        <v>0</v>
      </c>
      <c r="M1726" s="50">
        <f t="shared" si="109"/>
        <v>0</v>
      </c>
    </row>
    <row r="1727" spans="1:13" x14ac:dyDescent="0.2">
      <c r="A1727" s="18"/>
      <c r="B1727" s="77"/>
      <c r="C1727" s="77"/>
      <c r="D1727" s="78"/>
      <c r="E1727" s="77"/>
      <c r="F1727" s="77"/>
      <c r="G1727" s="77"/>
      <c r="H1727" s="77"/>
      <c r="I1727" s="77"/>
      <c r="J1727" s="77"/>
      <c r="K1727" s="20"/>
      <c r="L1727" s="49">
        <f t="shared" si="108"/>
        <v>0</v>
      </c>
      <c r="M1727" s="50">
        <f t="shared" si="109"/>
        <v>0</v>
      </c>
    </row>
    <row r="1728" spans="1:13" x14ac:dyDescent="0.2">
      <c r="A1728" s="18"/>
      <c r="B1728" s="77"/>
      <c r="C1728" s="77"/>
      <c r="D1728" s="78"/>
      <c r="E1728" s="77"/>
      <c r="F1728" s="77"/>
      <c r="G1728" s="77"/>
      <c r="H1728" s="77"/>
      <c r="I1728" s="77"/>
      <c r="J1728" s="77"/>
      <c r="K1728" s="20"/>
      <c r="L1728" s="49">
        <f t="shared" si="108"/>
        <v>0</v>
      </c>
      <c r="M1728" s="50">
        <f t="shared" si="109"/>
        <v>0</v>
      </c>
    </row>
    <row r="1729" spans="1:13" x14ac:dyDescent="0.2">
      <c r="A1729" s="18"/>
      <c r="B1729" s="77"/>
      <c r="C1729" s="77"/>
      <c r="D1729" s="78"/>
      <c r="E1729" s="77"/>
      <c r="F1729" s="77"/>
      <c r="G1729" s="77"/>
      <c r="H1729" s="77"/>
      <c r="I1729" s="77"/>
      <c r="J1729" s="77"/>
      <c r="K1729" s="20"/>
      <c r="L1729" s="49">
        <f t="shared" si="108"/>
        <v>0</v>
      </c>
      <c r="M1729" s="50">
        <f t="shared" si="109"/>
        <v>0</v>
      </c>
    </row>
    <row r="1730" spans="1:13" x14ac:dyDescent="0.2">
      <c r="A1730" s="18"/>
      <c r="B1730" s="77"/>
      <c r="C1730" s="77"/>
      <c r="D1730" s="78"/>
      <c r="E1730" s="77"/>
      <c r="F1730" s="77"/>
      <c r="G1730" s="77"/>
      <c r="H1730" s="77"/>
      <c r="I1730" s="77"/>
      <c r="J1730" s="77"/>
      <c r="K1730" s="20"/>
      <c r="L1730" s="49">
        <f t="shared" si="108"/>
        <v>0</v>
      </c>
      <c r="M1730" s="50">
        <f t="shared" si="109"/>
        <v>0</v>
      </c>
    </row>
    <row r="1731" spans="1:13" x14ac:dyDescent="0.2">
      <c r="A1731" s="18"/>
      <c r="B1731" s="77"/>
      <c r="C1731" s="77"/>
      <c r="D1731" s="78"/>
      <c r="E1731" s="77"/>
      <c r="F1731" s="77"/>
      <c r="G1731" s="77"/>
      <c r="H1731" s="77"/>
      <c r="I1731" s="77"/>
      <c r="J1731" s="77"/>
      <c r="K1731" s="20"/>
      <c r="L1731" s="49">
        <f t="shared" si="108"/>
        <v>0</v>
      </c>
      <c r="M1731" s="50">
        <f t="shared" si="109"/>
        <v>0</v>
      </c>
    </row>
    <row r="1732" spans="1:13" x14ac:dyDescent="0.2">
      <c r="A1732" s="18"/>
      <c r="B1732" s="77"/>
      <c r="C1732" s="77"/>
      <c r="D1732" s="78"/>
      <c r="E1732" s="77"/>
      <c r="F1732" s="77"/>
      <c r="G1732" s="77"/>
      <c r="H1732" s="77"/>
      <c r="I1732" s="77"/>
      <c r="J1732" s="77"/>
      <c r="K1732" s="20"/>
      <c r="L1732" s="49">
        <f t="shared" si="108"/>
        <v>0</v>
      </c>
      <c r="M1732" s="50">
        <f t="shared" si="109"/>
        <v>0</v>
      </c>
    </row>
    <row r="1733" spans="1:13" x14ac:dyDescent="0.2">
      <c r="A1733" s="18"/>
      <c r="B1733" s="77"/>
      <c r="C1733" s="77"/>
      <c r="D1733" s="78"/>
      <c r="E1733" s="77"/>
      <c r="F1733" s="77"/>
      <c r="G1733" s="77"/>
      <c r="H1733" s="77"/>
      <c r="I1733" s="77"/>
      <c r="J1733" s="77"/>
      <c r="K1733" s="20"/>
      <c r="L1733" s="49">
        <f t="shared" si="108"/>
        <v>0</v>
      </c>
      <c r="M1733" s="50">
        <f t="shared" si="109"/>
        <v>0</v>
      </c>
    </row>
    <row r="1734" spans="1:13" x14ac:dyDescent="0.2">
      <c r="A1734" s="18"/>
      <c r="B1734" s="77"/>
      <c r="C1734" s="77"/>
      <c r="D1734" s="78"/>
      <c r="E1734" s="77"/>
      <c r="F1734" s="77"/>
      <c r="G1734" s="77"/>
      <c r="H1734" s="77"/>
      <c r="I1734" s="77"/>
      <c r="J1734" s="77"/>
      <c r="K1734" s="20"/>
      <c r="L1734" s="49">
        <f t="shared" si="108"/>
        <v>0</v>
      </c>
      <c r="M1734" s="50">
        <f t="shared" si="109"/>
        <v>0</v>
      </c>
    </row>
    <row r="1735" spans="1:13" x14ac:dyDescent="0.2">
      <c r="A1735" s="18"/>
      <c r="B1735" s="77"/>
      <c r="C1735" s="77"/>
      <c r="D1735" s="78"/>
      <c r="E1735" s="77"/>
      <c r="F1735" s="77"/>
      <c r="G1735" s="77"/>
      <c r="H1735" s="77"/>
      <c r="I1735" s="77"/>
      <c r="J1735" s="77"/>
      <c r="K1735" s="20"/>
      <c r="L1735" s="49">
        <f t="shared" si="108"/>
        <v>0</v>
      </c>
      <c r="M1735" s="50">
        <f t="shared" si="109"/>
        <v>0</v>
      </c>
    </row>
    <row r="1736" spans="1:13" x14ac:dyDescent="0.2">
      <c r="A1736" s="18"/>
      <c r="B1736" s="77"/>
      <c r="C1736" s="77"/>
      <c r="D1736" s="78"/>
      <c r="E1736" s="77"/>
      <c r="F1736" s="77"/>
      <c r="G1736" s="77"/>
      <c r="H1736" s="77"/>
      <c r="I1736" s="77"/>
      <c r="J1736" s="77"/>
      <c r="K1736" s="20"/>
      <c r="L1736" s="49">
        <f t="shared" si="108"/>
        <v>0</v>
      </c>
      <c r="M1736" s="50">
        <f t="shared" si="109"/>
        <v>0</v>
      </c>
    </row>
    <row r="1737" spans="1:13" x14ac:dyDescent="0.2">
      <c r="A1737" s="18"/>
      <c r="B1737" s="77"/>
      <c r="C1737" s="77"/>
      <c r="D1737" s="78"/>
      <c r="E1737" s="77"/>
      <c r="F1737" s="77"/>
      <c r="G1737" s="77"/>
      <c r="H1737" s="77"/>
      <c r="I1737" s="77"/>
      <c r="J1737" s="77"/>
      <c r="K1737" s="20"/>
      <c r="L1737" s="49">
        <f t="shared" si="108"/>
        <v>0</v>
      </c>
      <c r="M1737" s="50">
        <f t="shared" si="109"/>
        <v>0</v>
      </c>
    </row>
    <row r="1738" spans="1:13" x14ac:dyDescent="0.2">
      <c r="A1738" s="18"/>
      <c r="B1738" s="77"/>
      <c r="C1738" s="77"/>
      <c r="D1738" s="78"/>
      <c r="E1738" s="77"/>
      <c r="F1738" s="77"/>
      <c r="G1738" s="77"/>
      <c r="H1738" s="77"/>
      <c r="I1738" s="77"/>
      <c r="J1738" s="77"/>
      <c r="K1738" s="20"/>
      <c r="L1738" s="49">
        <f t="shared" si="108"/>
        <v>0</v>
      </c>
      <c r="M1738" s="50">
        <f t="shared" si="109"/>
        <v>0</v>
      </c>
    </row>
    <row r="1739" spans="1:13" x14ac:dyDescent="0.2">
      <c r="A1739" s="18"/>
      <c r="B1739" s="77"/>
      <c r="C1739" s="77"/>
      <c r="D1739" s="78"/>
      <c r="E1739" s="77"/>
      <c r="F1739" s="77"/>
      <c r="G1739" s="77"/>
      <c r="H1739" s="77"/>
      <c r="I1739" s="77"/>
      <c r="J1739" s="77"/>
      <c r="K1739" s="20"/>
      <c r="L1739" s="49">
        <f t="shared" si="108"/>
        <v>0</v>
      </c>
      <c r="M1739" s="50">
        <f t="shared" si="109"/>
        <v>0</v>
      </c>
    </row>
    <row r="1740" spans="1:13" x14ac:dyDescent="0.2">
      <c r="A1740" s="18"/>
      <c r="B1740" s="77"/>
      <c r="C1740" s="77"/>
      <c r="D1740" s="78"/>
      <c r="E1740" s="77"/>
      <c r="F1740" s="77"/>
      <c r="G1740" s="77"/>
      <c r="H1740" s="77"/>
      <c r="I1740" s="77"/>
      <c r="J1740" s="77"/>
      <c r="K1740" s="20"/>
      <c r="L1740" s="49">
        <f t="shared" si="108"/>
        <v>0</v>
      </c>
      <c r="M1740" s="50">
        <f t="shared" si="109"/>
        <v>0</v>
      </c>
    </row>
    <row r="1741" spans="1:13" x14ac:dyDescent="0.2">
      <c r="A1741" s="18"/>
      <c r="B1741" s="77"/>
      <c r="C1741" s="77"/>
      <c r="D1741" s="78"/>
      <c r="E1741" s="77"/>
      <c r="F1741" s="77"/>
      <c r="G1741" s="77"/>
      <c r="H1741" s="77"/>
      <c r="I1741" s="77"/>
      <c r="J1741" s="77"/>
      <c r="K1741" s="20"/>
      <c r="L1741" s="49">
        <f t="shared" si="108"/>
        <v>0</v>
      </c>
      <c r="M1741" s="50">
        <f t="shared" si="109"/>
        <v>0</v>
      </c>
    </row>
    <row r="1742" spans="1:13" x14ac:dyDescent="0.2">
      <c r="A1742" s="18"/>
      <c r="B1742" s="77"/>
      <c r="C1742" s="77"/>
      <c r="D1742" s="78"/>
      <c r="E1742" s="77"/>
      <c r="F1742" s="77"/>
      <c r="G1742" s="77"/>
      <c r="H1742" s="77"/>
      <c r="I1742" s="77"/>
      <c r="J1742" s="77"/>
      <c r="K1742" s="20"/>
      <c r="L1742" s="49">
        <f t="shared" si="108"/>
        <v>0</v>
      </c>
      <c r="M1742" s="50">
        <f t="shared" si="109"/>
        <v>0</v>
      </c>
    </row>
    <row r="1743" spans="1:13" x14ac:dyDescent="0.2">
      <c r="A1743" s="18"/>
      <c r="B1743" s="77"/>
      <c r="C1743" s="77"/>
      <c r="D1743" s="78"/>
      <c r="E1743" s="77"/>
      <c r="F1743" s="77"/>
      <c r="G1743" s="77"/>
      <c r="H1743" s="77"/>
      <c r="I1743" s="77"/>
      <c r="J1743" s="77"/>
      <c r="K1743" s="20"/>
      <c r="L1743" s="49">
        <f t="shared" si="108"/>
        <v>0</v>
      </c>
      <c r="M1743" s="50">
        <f t="shared" si="109"/>
        <v>0</v>
      </c>
    </row>
    <row r="1744" spans="1:13" x14ac:dyDescent="0.2">
      <c r="A1744" s="18"/>
      <c r="B1744" s="77"/>
      <c r="C1744" s="77"/>
      <c r="D1744" s="78"/>
      <c r="E1744" s="77"/>
      <c r="F1744" s="77"/>
      <c r="G1744" s="77"/>
      <c r="H1744" s="77"/>
      <c r="I1744" s="77"/>
      <c r="J1744" s="77"/>
      <c r="K1744" s="20"/>
      <c r="L1744" s="49">
        <f t="shared" si="108"/>
        <v>0</v>
      </c>
      <c r="M1744" s="50">
        <f t="shared" si="109"/>
        <v>0</v>
      </c>
    </row>
    <row r="1745" spans="1:13" x14ac:dyDescent="0.2">
      <c r="A1745" s="18"/>
      <c r="B1745" s="77"/>
      <c r="C1745" s="77"/>
      <c r="D1745" s="78"/>
      <c r="E1745" s="77"/>
      <c r="F1745" s="77"/>
      <c r="G1745" s="77"/>
      <c r="H1745" s="77"/>
      <c r="I1745" s="77"/>
      <c r="J1745" s="77"/>
      <c r="K1745" s="20"/>
      <c r="L1745" s="49">
        <f t="shared" si="108"/>
        <v>0</v>
      </c>
      <c r="M1745" s="50">
        <f t="shared" si="109"/>
        <v>0</v>
      </c>
    </row>
    <row r="1746" spans="1:13" x14ac:dyDescent="0.2">
      <c r="A1746" s="18"/>
      <c r="B1746" s="77"/>
      <c r="C1746" s="77"/>
      <c r="D1746" s="78"/>
      <c r="E1746" s="77"/>
      <c r="F1746" s="77"/>
      <c r="G1746" s="77"/>
      <c r="H1746" s="77"/>
      <c r="I1746" s="77"/>
      <c r="J1746" s="77"/>
      <c r="K1746" s="20"/>
      <c r="L1746" s="49">
        <f t="shared" si="108"/>
        <v>0</v>
      </c>
      <c r="M1746" s="50">
        <f t="shared" si="109"/>
        <v>0</v>
      </c>
    </row>
    <row r="1747" spans="1:13" x14ac:dyDescent="0.2">
      <c r="A1747" s="18"/>
      <c r="B1747" s="77"/>
      <c r="C1747" s="77"/>
      <c r="D1747" s="78"/>
      <c r="E1747" s="77"/>
      <c r="F1747" s="77"/>
      <c r="G1747" s="77"/>
      <c r="H1747" s="77"/>
      <c r="I1747" s="77"/>
      <c r="J1747" s="77"/>
      <c r="K1747" s="20"/>
      <c r="L1747" s="49">
        <f t="shared" si="108"/>
        <v>0</v>
      </c>
      <c r="M1747" s="50">
        <f t="shared" si="109"/>
        <v>0</v>
      </c>
    </row>
    <row r="1748" spans="1:13" x14ac:dyDescent="0.2">
      <c r="A1748" s="18"/>
      <c r="B1748" s="77"/>
      <c r="C1748" s="77"/>
      <c r="D1748" s="78"/>
      <c r="E1748" s="77"/>
      <c r="F1748" s="77"/>
      <c r="G1748" s="77"/>
      <c r="H1748" s="77"/>
      <c r="I1748" s="77"/>
      <c r="J1748" s="77"/>
      <c r="K1748" s="20"/>
      <c r="L1748" s="49">
        <f t="shared" si="108"/>
        <v>0</v>
      </c>
      <c r="M1748" s="50">
        <f t="shared" si="109"/>
        <v>0</v>
      </c>
    </row>
    <row r="1749" spans="1:13" x14ac:dyDescent="0.2">
      <c r="A1749" s="18"/>
      <c r="B1749" s="77"/>
      <c r="C1749" s="77"/>
      <c r="D1749" s="78"/>
      <c r="E1749" s="77"/>
      <c r="F1749" s="77"/>
      <c r="G1749" s="77"/>
      <c r="H1749" s="77"/>
      <c r="I1749" s="77"/>
      <c r="J1749" s="77"/>
      <c r="K1749" s="20"/>
      <c r="L1749" s="49">
        <f t="shared" si="108"/>
        <v>0</v>
      </c>
      <c r="M1749" s="50">
        <f t="shared" si="109"/>
        <v>0</v>
      </c>
    </row>
    <row r="1750" spans="1:13" x14ac:dyDescent="0.2">
      <c r="A1750" s="18"/>
      <c r="B1750" s="77"/>
      <c r="C1750" s="77"/>
      <c r="D1750" s="78"/>
      <c r="E1750" s="77"/>
      <c r="F1750" s="77"/>
      <c r="G1750" s="77"/>
      <c r="H1750" s="77"/>
      <c r="I1750" s="77"/>
      <c r="J1750" s="77"/>
      <c r="K1750" s="20"/>
      <c r="L1750" s="49">
        <f t="shared" si="108"/>
        <v>0</v>
      </c>
      <c r="M1750" s="50">
        <f t="shared" si="109"/>
        <v>0</v>
      </c>
    </row>
    <row r="1751" spans="1:13" x14ac:dyDescent="0.2">
      <c r="A1751" s="18"/>
      <c r="B1751" s="77"/>
      <c r="C1751" s="77"/>
      <c r="D1751" s="78"/>
      <c r="E1751" s="77"/>
      <c r="F1751" s="77"/>
      <c r="G1751" s="77"/>
      <c r="H1751" s="77"/>
      <c r="I1751" s="77"/>
      <c r="J1751" s="77"/>
      <c r="K1751" s="20"/>
      <c r="L1751" s="49">
        <f t="shared" si="108"/>
        <v>0</v>
      </c>
      <c r="M1751" s="50">
        <f t="shared" si="109"/>
        <v>0</v>
      </c>
    </row>
    <row r="1752" spans="1:13" x14ac:dyDescent="0.2">
      <c r="A1752" s="18"/>
      <c r="B1752" s="77"/>
      <c r="C1752" s="77"/>
      <c r="D1752" s="78"/>
      <c r="E1752" s="77"/>
      <c r="F1752" s="77"/>
      <c r="G1752" s="77"/>
      <c r="H1752" s="77"/>
      <c r="I1752" s="77"/>
      <c r="J1752" s="77"/>
      <c r="K1752" s="20"/>
      <c r="L1752" s="49">
        <f t="shared" si="108"/>
        <v>0</v>
      </c>
      <c r="M1752" s="50">
        <f t="shared" si="109"/>
        <v>0</v>
      </c>
    </row>
    <row r="1753" spans="1:13" x14ac:dyDescent="0.2">
      <c r="A1753" s="18"/>
      <c r="B1753" s="77"/>
      <c r="C1753" s="77"/>
      <c r="D1753" s="78"/>
      <c r="E1753" s="77"/>
      <c r="F1753" s="77"/>
      <c r="G1753" s="77"/>
      <c r="H1753" s="77"/>
      <c r="I1753" s="77"/>
      <c r="J1753" s="77"/>
      <c r="K1753" s="20"/>
      <c r="L1753" s="49">
        <f t="shared" si="108"/>
        <v>0</v>
      </c>
      <c r="M1753" s="50">
        <f t="shared" si="109"/>
        <v>0</v>
      </c>
    </row>
    <row r="1754" spans="1:13" x14ac:dyDescent="0.2">
      <c r="A1754" s="18"/>
      <c r="B1754" s="77"/>
      <c r="C1754" s="77"/>
      <c r="D1754" s="78"/>
      <c r="E1754" s="77"/>
      <c r="F1754" s="77"/>
      <c r="G1754" s="77"/>
      <c r="H1754" s="77"/>
      <c r="I1754" s="77"/>
      <c r="J1754" s="77"/>
      <c r="K1754" s="20"/>
      <c r="L1754" s="49">
        <f t="shared" si="108"/>
        <v>0</v>
      </c>
      <c r="M1754" s="50">
        <f t="shared" si="109"/>
        <v>0</v>
      </c>
    </row>
    <row r="1755" spans="1:13" x14ac:dyDescent="0.2">
      <c r="A1755" s="18"/>
      <c r="B1755" s="77"/>
      <c r="C1755" s="77"/>
      <c r="D1755" s="78"/>
      <c r="E1755" s="77"/>
      <c r="F1755" s="77"/>
      <c r="G1755" s="77"/>
      <c r="H1755" s="77"/>
      <c r="I1755" s="77"/>
      <c r="J1755" s="77"/>
      <c r="K1755" s="20"/>
      <c r="L1755" s="49">
        <f t="shared" si="108"/>
        <v>0</v>
      </c>
      <c r="M1755" s="50">
        <f t="shared" si="109"/>
        <v>0</v>
      </c>
    </row>
    <row r="1756" spans="1:13" x14ac:dyDescent="0.2">
      <c r="A1756" s="18"/>
      <c r="B1756" s="77"/>
      <c r="C1756" s="77"/>
      <c r="D1756" s="78"/>
      <c r="E1756" s="77"/>
      <c r="F1756" s="77"/>
      <c r="G1756" s="77"/>
      <c r="H1756" s="77"/>
      <c r="I1756" s="77"/>
      <c r="J1756" s="77"/>
      <c r="K1756" s="20"/>
      <c r="L1756" s="49">
        <f t="shared" si="108"/>
        <v>0</v>
      </c>
      <c r="M1756" s="50">
        <f t="shared" si="109"/>
        <v>0</v>
      </c>
    </row>
    <row r="1757" spans="1:13" x14ac:dyDescent="0.2">
      <c r="A1757" s="18"/>
      <c r="B1757" s="77"/>
      <c r="C1757" s="77"/>
      <c r="D1757" s="78"/>
      <c r="E1757" s="77"/>
      <c r="F1757" s="77"/>
      <c r="G1757" s="77"/>
      <c r="H1757" s="77"/>
      <c r="I1757" s="77"/>
      <c r="J1757" s="77"/>
      <c r="K1757" s="20"/>
      <c r="L1757" s="49">
        <f t="shared" si="108"/>
        <v>0</v>
      </c>
      <c r="M1757" s="50">
        <f t="shared" si="109"/>
        <v>0</v>
      </c>
    </row>
    <row r="1758" spans="1:13" x14ac:dyDescent="0.2">
      <c r="A1758" s="18"/>
      <c r="B1758" s="77"/>
      <c r="C1758" s="77"/>
      <c r="D1758" s="78"/>
      <c r="E1758" s="77"/>
      <c r="F1758" s="77"/>
      <c r="G1758" s="77"/>
      <c r="H1758" s="77"/>
      <c r="I1758" s="77"/>
      <c r="J1758" s="77"/>
      <c r="K1758" s="20"/>
      <c r="L1758" s="49">
        <f t="shared" si="108"/>
        <v>0</v>
      </c>
      <c r="M1758" s="50">
        <f t="shared" si="109"/>
        <v>0</v>
      </c>
    </row>
    <row r="1759" spans="1:13" x14ac:dyDescent="0.2">
      <c r="A1759" s="18"/>
      <c r="B1759" s="77"/>
      <c r="C1759" s="77"/>
      <c r="D1759" s="78"/>
      <c r="E1759" s="77"/>
      <c r="F1759" s="77"/>
      <c r="G1759" s="77"/>
      <c r="H1759" s="77"/>
      <c r="I1759" s="77"/>
      <c r="J1759" s="77"/>
      <c r="K1759" s="20"/>
      <c r="L1759" s="49">
        <f t="shared" ref="L1759:L1808" si="110">+K1759*18%</f>
        <v>0</v>
      </c>
      <c r="M1759" s="50">
        <f t="shared" ref="M1759:M1808" si="111">+K1759+L1759</f>
        <v>0</v>
      </c>
    </row>
    <row r="1760" spans="1:13" x14ac:dyDescent="0.2">
      <c r="A1760" s="18"/>
      <c r="B1760" s="77"/>
      <c r="C1760" s="77"/>
      <c r="D1760" s="78"/>
      <c r="E1760" s="77"/>
      <c r="F1760" s="77"/>
      <c r="G1760" s="77"/>
      <c r="H1760" s="77"/>
      <c r="I1760" s="77"/>
      <c r="J1760" s="77"/>
      <c r="K1760" s="20"/>
      <c r="L1760" s="49">
        <f t="shared" si="110"/>
        <v>0</v>
      </c>
      <c r="M1760" s="50">
        <f t="shared" si="111"/>
        <v>0</v>
      </c>
    </row>
    <row r="1761" spans="1:13" x14ac:dyDescent="0.2">
      <c r="A1761" s="18"/>
      <c r="B1761" s="77"/>
      <c r="C1761" s="77"/>
      <c r="D1761" s="78"/>
      <c r="E1761" s="77"/>
      <c r="F1761" s="77"/>
      <c r="G1761" s="77"/>
      <c r="H1761" s="77"/>
      <c r="I1761" s="77"/>
      <c r="J1761" s="77"/>
      <c r="K1761" s="20"/>
      <c r="L1761" s="49">
        <f t="shared" si="110"/>
        <v>0</v>
      </c>
      <c r="M1761" s="50">
        <f t="shared" si="111"/>
        <v>0</v>
      </c>
    </row>
    <row r="1762" spans="1:13" x14ac:dyDescent="0.2">
      <c r="A1762" s="18"/>
      <c r="B1762" s="77"/>
      <c r="C1762" s="77"/>
      <c r="D1762" s="78"/>
      <c r="E1762" s="77"/>
      <c r="F1762" s="77"/>
      <c r="G1762" s="77"/>
      <c r="H1762" s="77"/>
      <c r="I1762" s="77"/>
      <c r="J1762" s="77"/>
      <c r="K1762" s="20"/>
      <c r="L1762" s="49">
        <f t="shared" si="110"/>
        <v>0</v>
      </c>
      <c r="M1762" s="50">
        <f t="shared" si="111"/>
        <v>0</v>
      </c>
    </row>
    <row r="1763" spans="1:13" x14ac:dyDescent="0.2">
      <c r="A1763" s="18"/>
      <c r="B1763" s="77"/>
      <c r="C1763" s="77"/>
      <c r="D1763" s="78"/>
      <c r="E1763" s="77"/>
      <c r="F1763" s="77"/>
      <c r="G1763" s="77"/>
      <c r="H1763" s="77"/>
      <c r="I1763" s="77"/>
      <c r="J1763" s="77"/>
      <c r="K1763" s="20"/>
      <c r="L1763" s="49">
        <f t="shared" si="110"/>
        <v>0</v>
      </c>
      <c r="M1763" s="50">
        <f t="shared" si="111"/>
        <v>0</v>
      </c>
    </row>
    <row r="1764" spans="1:13" x14ac:dyDescent="0.2">
      <c r="A1764" s="18"/>
      <c r="B1764" s="77"/>
      <c r="C1764" s="77"/>
      <c r="D1764" s="78"/>
      <c r="E1764" s="77"/>
      <c r="F1764" s="77"/>
      <c r="G1764" s="77"/>
      <c r="H1764" s="77"/>
      <c r="I1764" s="77"/>
      <c r="J1764" s="77"/>
      <c r="K1764" s="20"/>
      <c r="L1764" s="49">
        <f t="shared" si="110"/>
        <v>0</v>
      </c>
      <c r="M1764" s="50">
        <f t="shared" si="111"/>
        <v>0</v>
      </c>
    </row>
    <row r="1765" spans="1:13" x14ac:dyDescent="0.2">
      <c r="A1765" s="18"/>
      <c r="B1765" s="77"/>
      <c r="C1765" s="77"/>
      <c r="D1765" s="78"/>
      <c r="E1765" s="77"/>
      <c r="F1765" s="77"/>
      <c r="G1765" s="77"/>
      <c r="H1765" s="77"/>
      <c r="I1765" s="77"/>
      <c r="J1765" s="77"/>
      <c r="K1765" s="20"/>
      <c r="L1765" s="49">
        <f t="shared" si="110"/>
        <v>0</v>
      </c>
      <c r="M1765" s="50">
        <f t="shared" si="111"/>
        <v>0</v>
      </c>
    </row>
    <row r="1766" spans="1:13" x14ac:dyDescent="0.2">
      <c r="A1766" s="18"/>
      <c r="B1766" s="77"/>
      <c r="C1766" s="77"/>
      <c r="D1766" s="78"/>
      <c r="E1766" s="77"/>
      <c r="F1766" s="77"/>
      <c r="G1766" s="77"/>
      <c r="H1766" s="77"/>
      <c r="I1766" s="77"/>
      <c r="J1766" s="77"/>
      <c r="K1766" s="20"/>
      <c r="L1766" s="49">
        <f t="shared" si="110"/>
        <v>0</v>
      </c>
      <c r="M1766" s="50">
        <f t="shared" si="111"/>
        <v>0</v>
      </c>
    </row>
    <row r="1767" spans="1:13" x14ac:dyDescent="0.2">
      <c r="A1767" s="18"/>
      <c r="B1767" s="77"/>
      <c r="C1767" s="77"/>
      <c r="D1767" s="78"/>
      <c r="E1767" s="77"/>
      <c r="F1767" s="77"/>
      <c r="G1767" s="77"/>
      <c r="H1767" s="77"/>
      <c r="I1767" s="77"/>
      <c r="J1767" s="77"/>
      <c r="K1767" s="20"/>
      <c r="L1767" s="49">
        <f t="shared" si="110"/>
        <v>0</v>
      </c>
      <c r="M1767" s="50">
        <f t="shared" si="111"/>
        <v>0</v>
      </c>
    </row>
    <row r="1768" spans="1:13" x14ac:dyDescent="0.2">
      <c r="A1768" s="18"/>
      <c r="B1768" s="77"/>
      <c r="C1768" s="77"/>
      <c r="D1768" s="78"/>
      <c r="E1768" s="77"/>
      <c r="F1768" s="77"/>
      <c r="G1768" s="77"/>
      <c r="H1768" s="77"/>
      <c r="I1768" s="77"/>
      <c r="J1768" s="77"/>
      <c r="K1768" s="20"/>
      <c r="L1768" s="49">
        <f t="shared" si="110"/>
        <v>0</v>
      </c>
      <c r="M1768" s="50">
        <f t="shared" si="111"/>
        <v>0</v>
      </c>
    </row>
    <row r="1769" spans="1:13" x14ac:dyDescent="0.2">
      <c r="A1769" s="18"/>
      <c r="B1769" s="77"/>
      <c r="C1769" s="77"/>
      <c r="D1769" s="78"/>
      <c r="E1769" s="77"/>
      <c r="F1769" s="77"/>
      <c r="G1769" s="77"/>
      <c r="H1769" s="77"/>
      <c r="I1769" s="77"/>
      <c r="J1769" s="77"/>
      <c r="K1769" s="20"/>
      <c r="L1769" s="49">
        <f t="shared" si="110"/>
        <v>0</v>
      </c>
      <c r="M1769" s="50">
        <f t="shared" si="111"/>
        <v>0</v>
      </c>
    </row>
    <row r="1770" spans="1:13" x14ac:dyDescent="0.2">
      <c r="A1770" s="18"/>
      <c r="B1770" s="77"/>
      <c r="C1770" s="77"/>
      <c r="D1770" s="78"/>
      <c r="E1770" s="77"/>
      <c r="F1770" s="77"/>
      <c r="G1770" s="77"/>
      <c r="H1770" s="77"/>
      <c r="I1770" s="77"/>
      <c r="J1770" s="77"/>
      <c r="K1770" s="20"/>
      <c r="L1770" s="49">
        <f t="shared" si="110"/>
        <v>0</v>
      </c>
      <c r="M1770" s="50">
        <f t="shared" si="111"/>
        <v>0</v>
      </c>
    </row>
    <row r="1771" spans="1:13" x14ac:dyDescent="0.2">
      <c r="A1771" s="18"/>
      <c r="B1771" s="77"/>
      <c r="C1771" s="77"/>
      <c r="D1771" s="78"/>
      <c r="E1771" s="77"/>
      <c r="F1771" s="77"/>
      <c r="G1771" s="77"/>
      <c r="H1771" s="77"/>
      <c r="I1771" s="77"/>
      <c r="J1771" s="77"/>
      <c r="K1771" s="20"/>
      <c r="L1771" s="49">
        <f t="shared" si="110"/>
        <v>0</v>
      </c>
      <c r="M1771" s="50">
        <f t="shared" si="111"/>
        <v>0</v>
      </c>
    </row>
    <row r="1772" spans="1:13" x14ac:dyDescent="0.2">
      <c r="A1772" s="18"/>
      <c r="B1772" s="77"/>
      <c r="C1772" s="77"/>
      <c r="D1772" s="78"/>
      <c r="E1772" s="77"/>
      <c r="F1772" s="77"/>
      <c r="G1772" s="77"/>
      <c r="H1772" s="77"/>
      <c r="I1772" s="77"/>
      <c r="J1772" s="77"/>
      <c r="K1772" s="20"/>
      <c r="L1772" s="49">
        <f t="shared" si="110"/>
        <v>0</v>
      </c>
      <c r="M1772" s="50">
        <f t="shared" si="111"/>
        <v>0</v>
      </c>
    </row>
    <row r="1773" spans="1:13" x14ac:dyDescent="0.2">
      <c r="A1773" s="18"/>
      <c r="B1773" s="77"/>
      <c r="C1773" s="77"/>
      <c r="D1773" s="78"/>
      <c r="E1773" s="77"/>
      <c r="F1773" s="77"/>
      <c r="G1773" s="77"/>
      <c r="H1773" s="77"/>
      <c r="I1773" s="77"/>
      <c r="J1773" s="77"/>
      <c r="K1773" s="20"/>
      <c r="L1773" s="49">
        <f t="shared" si="110"/>
        <v>0</v>
      </c>
      <c r="M1773" s="50">
        <f t="shared" si="111"/>
        <v>0</v>
      </c>
    </row>
    <row r="1774" spans="1:13" x14ac:dyDescent="0.2">
      <c r="A1774" s="18"/>
      <c r="B1774" s="77"/>
      <c r="C1774" s="77"/>
      <c r="D1774" s="78"/>
      <c r="E1774" s="77"/>
      <c r="F1774" s="77"/>
      <c r="G1774" s="77"/>
      <c r="H1774" s="77"/>
      <c r="I1774" s="77"/>
      <c r="J1774" s="77"/>
      <c r="K1774" s="20"/>
      <c r="L1774" s="49">
        <f t="shared" si="110"/>
        <v>0</v>
      </c>
      <c r="M1774" s="50">
        <f t="shared" si="111"/>
        <v>0</v>
      </c>
    </row>
    <row r="1775" spans="1:13" x14ac:dyDescent="0.2">
      <c r="A1775" s="18"/>
      <c r="B1775" s="77"/>
      <c r="C1775" s="77"/>
      <c r="D1775" s="78"/>
      <c r="E1775" s="77"/>
      <c r="F1775" s="77"/>
      <c r="G1775" s="77"/>
      <c r="H1775" s="77"/>
      <c r="I1775" s="77"/>
      <c r="J1775" s="77"/>
      <c r="K1775" s="20"/>
      <c r="L1775" s="49">
        <f t="shared" si="110"/>
        <v>0</v>
      </c>
      <c r="M1775" s="50">
        <f t="shared" si="111"/>
        <v>0</v>
      </c>
    </row>
    <row r="1776" spans="1:13" x14ac:dyDescent="0.2">
      <c r="A1776" s="18"/>
      <c r="B1776" s="77"/>
      <c r="C1776" s="77"/>
      <c r="D1776" s="78"/>
      <c r="E1776" s="77"/>
      <c r="F1776" s="77"/>
      <c r="G1776" s="77"/>
      <c r="H1776" s="77"/>
      <c r="I1776" s="77"/>
      <c r="J1776" s="77"/>
      <c r="K1776" s="20"/>
      <c r="L1776" s="49">
        <f t="shared" si="110"/>
        <v>0</v>
      </c>
      <c r="M1776" s="50">
        <f t="shared" si="111"/>
        <v>0</v>
      </c>
    </row>
    <row r="1777" spans="1:13" x14ac:dyDescent="0.2">
      <c r="A1777" s="18"/>
      <c r="B1777" s="77"/>
      <c r="C1777" s="77"/>
      <c r="D1777" s="78"/>
      <c r="E1777" s="77"/>
      <c r="F1777" s="77"/>
      <c r="G1777" s="77"/>
      <c r="H1777" s="77"/>
      <c r="I1777" s="77"/>
      <c r="J1777" s="77"/>
      <c r="K1777" s="20"/>
      <c r="L1777" s="49">
        <f t="shared" si="110"/>
        <v>0</v>
      </c>
      <c r="M1777" s="50">
        <f t="shared" si="111"/>
        <v>0</v>
      </c>
    </row>
    <row r="1778" spans="1:13" x14ac:dyDescent="0.2">
      <c r="A1778" s="18"/>
      <c r="B1778" s="77"/>
      <c r="C1778" s="77"/>
      <c r="D1778" s="78"/>
      <c r="E1778" s="77"/>
      <c r="F1778" s="77"/>
      <c r="G1778" s="77"/>
      <c r="H1778" s="77"/>
      <c r="I1778" s="77"/>
      <c r="J1778" s="77"/>
      <c r="K1778" s="20"/>
      <c r="L1778" s="49">
        <f t="shared" si="110"/>
        <v>0</v>
      </c>
      <c r="M1778" s="50">
        <f t="shared" si="111"/>
        <v>0</v>
      </c>
    </row>
    <row r="1779" spans="1:13" x14ac:dyDescent="0.2">
      <c r="A1779" s="18"/>
      <c r="B1779" s="77"/>
      <c r="C1779" s="77"/>
      <c r="D1779" s="78"/>
      <c r="E1779" s="77"/>
      <c r="F1779" s="77"/>
      <c r="G1779" s="77"/>
      <c r="H1779" s="77"/>
      <c r="I1779" s="77"/>
      <c r="J1779" s="77"/>
      <c r="K1779" s="20"/>
      <c r="L1779" s="49">
        <f t="shared" si="110"/>
        <v>0</v>
      </c>
      <c r="M1779" s="50">
        <f t="shared" si="111"/>
        <v>0</v>
      </c>
    </row>
    <row r="1780" spans="1:13" x14ac:dyDescent="0.2">
      <c r="A1780" s="18"/>
      <c r="B1780" s="77"/>
      <c r="C1780" s="77"/>
      <c r="D1780" s="78"/>
      <c r="E1780" s="77"/>
      <c r="F1780" s="77"/>
      <c r="G1780" s="77"/>
      <c r="H1780" s="77"/>
      <c r="I1780" s="77"/>
      <c r="J1780" s="77"/>
      <c r="K1780" s="20"/>
      <c r="L1780" s="49">
        <f t="shared" si="110"/>
        <v>0</v>
      </c>
      <c r="M1780" s="50">
        <f t="shared" si="111"/>
        <v>0</v>
      </c>
    </row>
    <row r="1781" spans="1:13" x14ac:dyDescent="0.2">
      <c r="A1781" s="18"/>
      <c r="B1781" s="77"/>
      <c r="C1781" s="77"/>
      <c r="D1781" s="78"/>
      <c r="E1781" s="77"/>
      <c r="F1781" s="77"/>
      <c r="G1781" s="77"/>
      <c r="H1781" s="77"/>
      <c r="I1781" s="77"/>
      <c r="J1781" s="77"/>
      <c r="K1781" s="20"/>
      <c r="L1781" s="49">
        <f t="shared" si="110"/>
        <v>0</v>
      </c>
      <c r="M1781" s="50">
        <f t="shared" si="111"/>
        <v>0</v>
      </c>
    </row>
    <row r="1782" spans="1:13" x14ac:dyDescent="0.2">
      <c r="A1782" s="18"/>
      <c r="B1782" s="77"/>
      <c r="C1782" s="77"/>
      <c r="D1782" s="78"/>
      <c r="E1782" s="77"/>
      <c r="F1782" s="77"/>
      <c r="G1782" s="77"/>
      <c r="H1782" s="77"/>
      <c r="I1782" s="77"/>
      <c r="J1782" s="77"/>
      <c r="K1782" s="20"/>
      <c r="L1782" s="49">
        <f t="shared" si="110"/>
        <v>0</v>
      </c>
      <c r="M1782" s="50">
        <f t="shared" si="111"/>
        <v>0</v>
      </c>
    </row>
    <row r="1783" spans="1:13" x14ac:dyDescent="0.2">
      <c r="A1783" s="18"/>
      <c r="B1783" s="77"/>
      <c r="C1783" s="77"/>
      <c r="D1783" s="78"/>
      <c r="E1783" s="77"/>
      <c r="F1783" s="77"/>
      <c r="G1783" s="77"/>
      <c r="H1783" s="77"/>
      <c r="I1783" s="77"/>
      <c r="J1783" s="77"/>
      <c r="K1783" s="20"/>
      <c r="L1783" s="49">
        <f t="shared" si="110"/>
        <v>0</v>
      </c>
      <c r="M1783" s="50">
        <f t="shared" si="111"/>
        <v>0</v>
      </c>
    </row>
    <row r="1784" spans="1:13" x14ac:dyDescent="0.2">
      <c r="A1784" s="18"/>
      <c r="B1784" s="77"/>
      <c r="C1784" s="77"/>
      <c r="D1784" s="78"/>
      <c r="E1784" s="77"/>
      <c r="F1784" s="77"/>
      <c r="G1784" s="77"/>
      <c r="H1784" s="77"/>
      <c r="I1784" s="77"/>
      <c r="J1784" s="77"/>
      <c r="K1784" s="20"/>
      <c r="L1784" s="49">
        <f t="shared" si="110"/>
        <v>0</v>
      </c>
      <c r="M1784" s="50">
        <f t="shared" si="111"/>
        <v>0</v>
      </c>
    </row>
    <row r="1785" spans="1:13" x14ac:dyDescent="0.2">
      <c r="A1785" s="18"/>
      <c r="B1785" s="77"/>
      <c r="C1785" s="77"/>
      <c r="D1785" s="78"/>
      <c r="E1785" s="77"/>
      <c r="F1785" s="77"/>
      <c r="G1785" s="77"/>
      <c r="H1785" s="77"/>
      <c r="I1785" s="77"/>
      <c r="J1785" s="77"/>
      <c r="K1785" s="20"/>
      <c r="L1785" s="49">
        <f t="shared" si="110"/>
        <v>0</v>
      </c>
      <c r="M1785" s="50">
        <f t="shared" si="111"/>
        <v>0</v>
      </c>
    </row>
    <row r="1786" spans="1:13" x14ac:dyDescent="0.2">
      <c r="A1786" s="18"/>
      <c r="B1786" s="77"/>
      <c r="C1786" s="77"/>
      <c r="D1786" s="78"/>
      <c r="E1786" s="77"/>
      <c r="F1786" s="77"/>
      <c r="G1786" s="77"/>
      <c r="H1786" s="77"/>
      <c r="I1786" s="77"/>
      <c r="J1786" s="77"/>
      <c r="K1786" s="20"/>
      <c r="L1786" s="49">
        <f t="shared" si="110"/>
        <v>0</v>
      </c>
      <c r="M1786" s="50">
        <f t="shared" si="111"/>
        <v>0</v>
      </c>
    </row>
    <row r="1787" spans="1:13" x14ac:dyDescent="0.2">
      <c r="A1787" s="18"/>
      <c r="B1787" s="77"/>
      <c r="C1787" s="77"/>
      <c r="D1787" s="78"/>
      <c r="E1787" s="77"/>
      <c r="F1787" s="77"/>
      <c r="G1787" s="77"/>
      <c r="H1787" s="77"/>
      <c r="I1787" s="77"/>
      <c r="J1787" s="77"/>
      <c r="K1787" s="20"/>
      <c r="L1787" s="49">
        <f t="shared" si="110"/>
        <v>0</v>
      </c>
      <c r="M1787" s="50">
        <f t="shared" si="111"/>
        <v>0</v>
      </c>
    </row>
    <row r="1788" spans="1:13" x14ac:dyDescent="0.2">
      <c r="A1788" s="18"/>
      <c r="B1788" s="77"/>
      <c r="C1788" s="77"/>
      <c r="D1788" s="78"/>
      <c r="E1788" s="77"/>
      <c r="F1788" s="77"/>
      <c r="G1788" s="77"/>
      <c r="H1788" s="77"/>
      <c r="I1788" s="77"/>
      <c r="J1788" s="77"/>
      <c r="K1788" s="20"/>
      <c r="L1788" s="49">
        <f t="shared" si="110"/>
        <v>0</v>
      </c>
      <c r="M1788" s="50">
        <f t="shared" si="111"/>
        <v>0</v>
      </c>
    </row>
    <row r="1789" spans="1:13" x14ac:dyDescent="0.2">
      <c r="A1789" s="18"/>
      <c r="B1789" s="77"/>
      <c r="C1789" s="77"/>
      <c r="D1789" s="78"/>
      <c r="E1789" s="77"/>
      <c r="F1789" s="77"/>
      <c r="G1789" s="77"/>
      <c r="H1789" s="77"/>
      <c r="I1789" s="77"/>
      <c r="J1789" s="77"/>
      <c r="K1789" s="20"/>
      <c r="L1789" s="49">
        <f t="shared" si="110"/>
        <v>0</v>
      </c>
      <c r="M1789" s="50">
        <f t="shared" si="111"/>
        <v>0</v>
      </c>
    </row>
    <row r="1790" spans="1:13" x14ac:dyDescent="0.2">
      <c r="A1790" s="18"/>
      <c r="B1790" s="77"/>
      <c r="C1790" s="77"/>
      <c r="D1790" s="78"/>
      <c r="E1790" s="77"/>
      <c r="F1790" s="77"/>
      <c r="G1790" s="77"/>
      <c r="H1790" s="77"/>
      <c r="I1790" s="77"/>
      <c r="J1790" s="77"/>
      <c r="K1790" s="20"/>
      <c r="L1790" s="49">
        <f t="shared" si="110"/>
        <v>0</v>
      </c>
      <c r="M1790" s="50">
        <f t="shared" si="111"/>
        <v>0</v>
      </c>
    </row>
    <row r="1791" spans="1:13" x14ac:dyDescent="0.2">
      <c r="A1791" s="18"/>
      <c r="B1791" s="77"/>
      <c r="C1791" s="77"/>
      <c r="D1791" s="78"/>
      <c r="E1791" s="77"/>
      <c r="F1791" s="77"/>
      <c r="G1791" s="77"/>
      <c r="H1791" s="77"/>
      <c r="I1791" s="77"/>
      <c r="J1791" s="77"/>
      <c r="K1791" s="20"/>
      <c r="L1791" s="49">
        <f t="shared" si="110"/>
        <v>0</v>
      </c>
      <c r="M1791" s="50">
        <f t="shared" si="111"/>
        <v>0</v>
      </c>
    </row>
    <row r="1792" spans="1:13" x14ac:dyDescent="0.2">
      <c r="A1792" s="18"/>
      <c r="B1792" s="77"/>
      <c r="C1792" s="77"/>
      <c r="D1792" s="78"/>
      <c r="E1792" s="77"/>
      <c r="F1792" s="77"/>
      <c r="G1792" s="77"/>
      <c r="H1792" s="77"/>
      <c r="I1792" s="77"/>
      <c r="J1792" s="77"/>
      <c r="K1792" s="20"/>
      <c r="L1792" s="49">
        <f t="shared" si="110"/>
        <v>0</v>
      </c>
      <c r="M1792" s="50">
        <f t="shared" si="111"/>
        <v>0</v>
      </c>
    </row>
    <row r="1793" spans="1:13" x14ac:dyDescent="0.2">
      <c r="A1793" s="18"/>
      <c r="B1793" s="77"/>
      <c r="C1793" s="77"/>
      <c r="D1793" s="78"/>
      <c r="E1793" s="77"/>
      <c r="F1793" s="77"/>
      <c r="G1793" s="77"/>
      <c r="H1793" s="77"/>
      <c r="I1793" s="77"/>
      <c r="J1793" s="77"/>
      <c r="K1793" s="20"/>
      <c r="L1793" s="49">
        <f t="shared" si="110"/>
        <v>0</v>
      </c>
      <c r="M1793" s="50">
        <f t="shared" si="111"/>
        <v>0</v>
      </c>
    </row>
    <row r="1794" spans="1:13" x14ac:dyDescent="0.2">
      <c r="A1794" s="18"/>
      <c r="B1794" s="77"/>
      <c r="C1794" s="77"/>
      <c r="D1794" s="78"/>
      <c r="E1794" s="77"/>
      <c r="F1794" s="77"/>
      <c r="G1794" s="77"/>
      <c r="H1794" s="77"/>
      <c r="I1794" s="77"/>
      <c r="J1794" s="77"/>
      <c r="K1794" s="20"/>
      <c r="L1794" s="49">
        <f t="shared" si="110"/>
        <v>0</v>
      </c>
      <c r="M1794" s="50">
        <f t="shared" si="111"/>
        <v>0</v>
      </c>
    </row>
    <row r="1795" spans="1:13" x14ac:dyDescent="0.2">
      <c r="A1795" s="18"/>
      <c r="B1795" s="77"/>
      <c r="C1795" s="77"/>
      <c r="D1795" s="78"/>
      <c r="E1795" s="77"/>
      <c r="F1795" s="77"/>
      <c r="G1795" s="77"/>
      <c r="H1795" s="77"/>
      <c r="I1795" s="77"/>
      <c r="J1795" s="77"/>
      <c r="K1795" s="20"/>
      <c r="L1795" s="49">
        <f t="shared" si="110"/>
        <v>0</v>
      </c>
      <c r="M1795" s="50">
        <f t="shared" si="111"/>
        <v>0</v>
      </c>
    </row>
    <row r="1796" spans="1:13" x14ac:dyDescent="0.2">
      <c r="A1796" s="18"/>
      <c r="B1796" s="77"/>
      <c r="C1796" s="77"/>
      <c r="D1796" s="78"/>
      <c r="E1796" s="77"/>
      <c r="F1796" s="77"/>
      <c r="G1796" s="77"/>
      <c r="H1796" s="77"/>
      <c r="I1796" s="77"/>
      <c r="J1796" s="77"/>
      <c r="K1796" s="20"/>
      <c r="L1796" s="49">
        <f t="shared" si="110"/>
        <v>0</v>
      </c>
      <c r="M1796" s="50">
        <f t="shared" si="111"/>
        <v>0</v>
      </c>
    </row>
    <row r="1797" spans="1:13" x14ac:dyDescent="0.2">
      <c r="A1797" s="18"/>
      <c r="B1797" s="77"/>
      <c r="C1797" s="77"/>
      <c r="D1797" s="78"/>
      <c r="E1797" s="77"/>
      <c r="F1797" s="77"/>
      <c r="G1797" s="77"/>
      <c r="H1797" s="77"/>
      <c r="I1797" s="77"/>
      <c r="J1797" s="77"/>
      <c r="K1797" s="20"/>
      <c r="L1797" s="49">
        <f t="shared" si="110"/>
        <v>0</v>
      </c>
      <c r="M1797" s="50">
        <f t="shared" si="111"/>
        <v>0</v>
      </c>
    </row>
    <row r="1798" spans="1:13" x14ac:dyDescent="0.2">
      <c r="A1798" s="18"/>
      <c r="B1798" s="77"/>
      <c r="C1798" s="77"/>
      <c r="D1798" s="78"/>
      <c r="E1798" s="77"/>
      <c r="F1798" s="77"/>
      <c r="G1798" s="77"/>
      <c r="H1798" s="77"/>
      <c r="I1798" s="77"/>
      <c r="J1798" s="77"/>
      <c r="K1798" s="20"/>
      <c r="L1798" s="49">
        <f t="shared" si="110"/>
        <v>0</v>
      </c>
      <c r="M1798" s="50">
        <f t="shared" si="111"/>
        <v>0</v>
      </c>
    </row>
    <row r="1799" spans="1:13" x14ac:dyDescent="0.2">
      <c r="A1799" s="18"/>
      <c r="B1799" s="77"/>
      <c r="C1799" s="77"/>
      <c r="D1799" s="78"/>
      <c r="E1799" s="77"/>
      <c r="F1799" s="77"/>
      <c r="G1799" s="77"/>
      <c r="H1799" s="77"/>
      <c r="I1799" s="77"/>
      <c r="J1799" s="77"/>
      <c r="K1799" s="20"/>
      <c r="L1799" s="49">
        <f t="shared" si="110"/>
        <v>0</v>
      </c>
      <c r="M1799" s="50">
        <f t="shared" si="111"/>
        <v>0</v>
      </c>
    </row>
    <row r="1800" spans="1:13" x14ac:dyDescent="0.2">
      <c r="A1800" s="18"/>
      <c r="B1800" s="77"/>
      <c r="C1800" s="77"/>
      <c r="D1800" s="78"/>
      <c r="E1800" s="77"/>
      <c r="F1800" s="77"/>
      <c r="G1800" s="77"/>
      <c r="H1800" s="77"/>
      <c r="I1800" s="77"/>
      <c r="J1800" s="77"/>
      <c r="K1800" s="20"/>
      <c r="L1800" s="49">
        <f t="shared" si="110"/>
        <v>0</v>
      </c>
      <c r="M1800" s="50">
        <f t="shared" si="111"/>
        <v>0</v>
      </c>
    </row>
    <row r="1801" spans="1:13" x14ac:dyDescent="0.2">
      <c r="A1801" s="18"/>
      <c r="B1801" s="77"/>
      <c r="C1801" s="77"/>
      <c r="D1801" s="78"/>
      <c r="E1801" s="77"/>
      <c r="F1801" s="77"/>
      <c r="G1801" s="77"/>
      <c r="H1801" s="77"/>
      <c r="I1801" s="77"/>
      <c r="J1801" s="77"/>
      <c r="K1801" s="20"/>
      <c r="L1801" s="49">
        <f t="shared" si="110"/>
        <v>0</v>
      </c>
      <c r="M1801" s="50">
        <f t="shared" si="111"/>
        <v>0</v>
      </c>
    </row>
    <row r="1802" spans="1:13" x14ac:dyDescent="0.2">
      <c r="A1802" s="18"/>
      <c r="B1802" s="77"/>
      <c r="C1802" s="77"/>
      <c r="D1802" s="78"/>
      <c r="E1802" s="77"/>
      <c r="F1802" s="77"/>
      <c r="G1802" s="77"/>
      <c r="H1802" s="77"/>
      <c r="I1802" s="77"/>
      <c r="J1802" s="77"/>
      <c r="K1802" s="20"/>
      <c r="L1802" s="49">
        <f t="shared" si="110"/>
        <v>0</v>
      </c>
      <c r="M1802" s="50">
        <f t="shared" si="111"/>
        <v>0</v>
      </c>
    </row>
    <row r="1803" spans="1:13" x14ac:dyDescent="0.2">
      <c r="A1803" s="18"/>
      <c r="B1803" s="77"/>
      <c r="C1803" s="77"/>
      <c r="D1803" s="78"/>
      <c r="E1803" s="77"/>
      <c r="F1803" s="77"/>
      <c r="G1803" s="77"/>
      <c r="H1803" s="77"/>
      <c r="I1803" s="77"/>
      <c r="J1803" s="77"/>
      <c r="K1803" s="20"/>
      <c r="L1803" s="49">
        <f t="shared" si="110"/>
        <v>0</v>
      </c>
      <c r="M1803" s="50">
        <f t="shared" si="111"/>
        <v>0</v>
      </c>
    </row>
    <row r="1804" spans="1:13" x14ac:dyDescent="0.2">
      <c r="A1804" s="18"/>
      <c r="B1804" s="77"/>
      <c r="C1804" s="77"/>
      <c r="D1804" s="78"/>
      <c r="E1804" s="77"/>
      <c r="F1804" s="77"/>
      <c r="G1804" s="77"/>
      <c r="H1804" s="77"/>
      <c r="I1804" s="77"/>
      <c r="J1804" s="77"/>
      <c r="K1804" s="20"/>
      <c r="L1804" s="49">
        <f t="shared" si="110"/>
        <v>0</v>
      </c>
      <c r="M1804" s="50">
        <f t="shared" si="111"/>
        <v>0</v>
      </c>
    </row>
    <row r="1805" spans="1:13" x14ac:dyDescent="0.2">
      <c r="A1805" s="18"/>
      <c r="B1805" s="77"/>
      <c r="C1805" s="77"/>
      <c r="D1805" s="78"/>
      <c r="E1805" s="77"/>
      <c r="F1805" s="77"/>
      <c r="G1805" s="77"/>
      <c r="H1805" s="77"/>
      <c r="I1805" s="77"/>
      <c r="J1805" s="77"/>
      <c r="K1805" s="20"/>
      <c r="L1805" s="49">
        <f t="shared" si="110"/>
        <v>0</v>
      </c>
      <c r="M1805" s="50">
        <f t="shared" si="111"/>
        <v>0</v>
      </c>
    </row>
    <row r="1806" spans="1:13" x14ac:dyDescent="0.2">
      <c r="A1806" s="18"/>
      <c r="B1806" s="77"/>
      <c r="C1806" s="77"/>
      <c r="D1806" s="78"/>
      <c r="E1806" s="77"/>
      <c r="F1806" s="77"/>
      <c r="G1806" s="77"/>
      <c r="H1806" s="77"/>
      <c r="I1806" s="77"/>
      <c r="J1806" s="77"/>
      <c r="K1806" s="20"/>
      <c r="L1806" s="49">
        <f t="shared" si="110"/>
        <v>0</v>
      </c>
      <c r="M1806" s="50">
        <f t="shared" si="111"/>
        <v>0</v>
      </c>
    </row>
    <row r="1807" spans="1:13" x14ac:dyDescent="0.2">
      <c r="A1807" s="18"/>
      <c r="B1807" s="77"/>
      <c r="C1807" s="77"/>
      <c r="D1807" s="78"/>
      <c r="E1807" s="77"/>
      <c r="F1807" s="77"/>
      <c r="G1807" s="77"/>
      <c r="H1807" s="77"/>
      <c r="I1807" s="77"/>
      <c r="J1807" s="77"/>
      <c r="K1807" s="20"/>
      <c r="L1807" s="49">
        <f t="shared" si="110"/>
        <v>0</v>
      </c>
      <c r="M1807" s="50">
        <f t="shared" si="111"/>
        <v>0</v>
      </c>
    </row>
    <row r="1808" spans="1:13" x14ac:dyDescent="0.2">
      <c r="A1808" s="18"/>
      <c r="B1808" s="77"/>
      <c r="C1808" s="77"/>
      <c r="D1808" s="78"/>
      <c r="E1808" s="77"/>
      <c r="F1808" s="77"/>
      <c r="G1808" s="77"/>
      <c r="H1808" s="77"/>
      <c r="I1808" s="77"/>
      <c r="J1808" s="77"/>
      <c r="K1808" s="20"/>
      <c r="L1808" s="49">
        <f t="shared" si="110"/>
        <v>0</v>
      </c>
      <c r="M1808" s="50">
        <f t="shared" si="111"/>
        <v>0</v>
      </c>
    </row>
    <row r="1809" spans="1:13" x14ac:dyDescent="0.2">
      <c r="A1809" s="18"/>
      <c r="B1809" s="77"/>
      <c r="C1809" s="77"/>
      <c r="D1809" s="78"/>
      <c r="E1809" s="77"/>
      <c r="F1809" s="77"/>
      <c r="G1809" s="77"/>
      <c r="H1809" s="77"/>
      <c r="I1809" s="77"/>
      <c r="J1809" s="77"/>
      <c r="K1809" s="20"/>
      <c r="L1809" s="49">
        <f t="shared" ref="L1809:L1830" si="112">+K1809*18%</f>
        <v>0</v>
      </c>
      <c r="M1809" s="50">
        <f t="shared" ref="M1809:M1830" si="113">+K1809+L1809</f>
        <v>0</v>
      </c>
    </row>
    <row r="1810" spans="1:13" x14ac:dyDescent="0.2">
      <c r="A1810" s="18"/>
      <c r="B1810" s="77"/>
      <c r="C1810" s="77"/>
      <c r="D1810" s="78"/>
      <c r="E1810" s="77"/>
      <c r="F1810" s="77"/>
      <c r="G1810" s="77"/>
      <c r="H1810" s="77"/>
      <c r="I1810" s="77"/>
      <c r="J1810" s="77"/>
      <c r="K1810" s="20"/>
      <c r="L1810" s="49">
        <f t="shared" si="112"/>
        <v>0</v>
      </c>
      <c r="M1810" s="50">
        <f t="shared" si="113"/>
        <v>0</v>
      </c>
    </row>
    <row r="1811" spans="1:13" x14ac:dyDescent="0.2">
      <c r="A1811" s="18"/>
      <c r="B1811" s="77"/>
      <c r="C1811" s="77"/>
      <c r="D1811" s="78"/>
      <c r="E1811" s="77"/>
      <c r="F1811" s="77"/>
      <c r="G1811" s="77"/>
      <c r="H1811" s="77"/>
      <c r="I1811" s="77"/>
      <c r="J1811" s="77"/>
      <c r="K1811" s="20"/>
      <c r="L1811" s="49">
        <f t="shared" si="112"/>
        <v>0</v>
      </c>
      <c r="M1811" s="50">
        <f t="shared" si="113"/>
        <v>0</v>
      </c>
    </row>
    <row r="1812" spans="1:13" x14ac:dyDescent="0.2">
      <c r="A1812" s="18"/>
      <c r="B1812" s="77"/>
      <c r="C1812" s="77"/>
      <c r="D1812" s="78"/>
      <c r="E1812" s="77"/>
      <c r="F1812" s="77"/>
      <c r="G1812" s="77"/>
      <c r="H1812" s="77"/>
      <c r="I1812" s="77"/>
      <c r="J1812" s="77"/>
      <c r="K1812" s="20"/>
      <c r="L1812" s="49">
        <f t="shared" si="112"/>
        <v>0</v>
      </c>
      <c r="M1812" s="50">
        <f t="shared" si="113"/>
        <v>0</v>
      </c>
    </row>
    <row r="1813" spans="1:13" x14ac:dyDescent="0.2">
      <c r="A1813" s="18"/>
      <c r="B1813" s="77"/>
      <c r="C1813" s="77"/>
      <c r="D1813" s="78"/>
      <c r="E1813" s="77"/>
      <c r="F1813" s="77"/>
      <c r="G1813" s="77"/>
      <c r="H1813" s="77"/>
      <c r="I1813" s="77"/>
      <c r="J1813" s="77"/>
      <c r="K1813" s="20"/>
      <c r="L1813" s="49">
        <f t="shared" si="112"/>
        <v>0</v>
      </c>
      <c r="M1813" s="50">
        <f t="shared" si="113"/>
        <v>0</v>
      </c>
    </row>
    <row r="1814" spans="1:13" x14ac:dyDescent="0.2">
      <c r="A1814" s="18"/>
      <c r="B1814" s="77"/>
      <c r="C1814" s="77"/>
      <c r="D1814" s="78"/>
      <c r="E1814" s="77"/>
      <c r="F1814" s="77"/>
      <c r="G1814" s="77"/>
      <c r="H1814" s="77"/>
      <c r="I1814" s="77"/>
      <c r="J1814" s="77"/>
      <c r="K1814" s="20"/>
      <c r="L1814" s="49">
        <f t="shared" si="112"/>
        <v>0</v>
      </c>
      <c r="M1814" s="50">
        <f t="shared" si="113"/>
        <v>0</v>
      </c>
    </row>
    <row r="1815" spans="1:13" x14ac:dyDescent="0.2">
      <c r="A1815" s="18"/>
      <c r="B1815" s="77"/>
      <c r="C1815" s="77"/>
      <c r="D1815" s="78"/>
      <c r="E1815" s="77"/>
      <c r="F1815" s="77"/>
      <c r="G1815" s="77"/>
      <c r="H1815" s="77"/>
      <c r="I1815" s="77"/>
      <c r="J1815" s="77"/>
      <c r="K1815" s="20"/>
      <c r="L1815" s="49">
        <f t="shared" si="112"/>
        <v>0</v>
      </c>
      <c r="M1815" s="50">
        <f t="shared" si="113"/>
        <v>0</v>
      </c>
    </row>
    <row r="1816" spans="1:13" x14ac:dyDescent="0.2">
      <c r="A1816" s="18"/>
      <c r="B1816" s="77"/>
      <c r="C1816" s="77"/>
      <c r="D1816" s="78"/>
      <c r="E1816" s="77"/>
      <c r="F1816" s="77"/>
      <c r="G1816" s="77"/>
      <c r="H1816" s="77"/>
      <c r="I1816" s="77"/>
      <c r="J1816" s="77"/>
      <c r="K1816" s="20"/>
      <c r="L1816" s="49">
        <f t="shared" si="112"/>
        <v>0</v>
      </c>
      <c r="M1816" s="50">
        <f t="shared" si="113"/>
        <v>0</v>
      </c>
    </row>
    <row r="1817" spans="1:13" x14ac:dyDescent="0.2">
      <c r="A1817" s="18"/>
      <c r="B1817" s="77"/>
      <c r="C1817" s="77"/>
      <c r="D1817" s="78"/>
      <c r="E1817" s="77"/>
      <c r="F1817" s="77"/>
      <c r="G1817" s="77"/>
      <c r="H1817" s="77"/>
      <c r="I1817" s="77"/>
      <c r="J1817" s="77"/>
      <c r="K1817" s="20"/>
      <c r="L1817" s="49">
        <f t="shared" si="112"/>
        <v>0</v>
      </c>
      <c r="M1817" s="50">
        <f t="shared" si="113"/>
        <v>0</v>
      </c>
    </row>
    <row r="1818" spans="1:13" x14ac:dyDescent="0.2">
      <c r="A1818" s="18"/>
      <c r="B1818" s="77"/>
      <c r="C1818" s="77"/>
      <c r="D1818" s="78"/>
      <c r="E1818" s="77"/>
      <c r="F1818" s="77"/>
      <c r="G1818" s="77"/>
      <c r="H1818" s="77"/>
      <c r="I1818" s="77"/>
      <c r="J1818" s="77"/>
      <c r="K1818" s="20"/>
      <c r="L1818" s="49">
        <f t="shared" si="112"/>
        <v>0</v>
      </c>
      <c r="M1818" s="50">
        <f t="shared" si="113"/>
        <v>0</v>
      </c>
    </row>
    <row r="1819" spans="1:13" x14ac:dyDescent="0.2">
      <c r="A1819" s="18"/>
      <c r="B1819" s="77"/>
      <c r="C1819" s="77"/>
      <c r="D1819" s="78"/>
      <c r="E1819" s="77"/>
      <c r="F1819" s="77"/>
      <c r="G1819" s="77"/>
      <c r="H1819" s="77"/>
      <c r="I1819" s="77"/>
      <c r="J1819" s="77"/>
      <c r="K1819" s="20"/>
      <c r="L1819" s="49">
        <f t="shared" si="112"/>
        <v>0</v>
      </c>
      <c r="M1819" s="50">
        <f t="shared" si="113"/>
        <v>0</v>
      </c>
    </row>
    <row r="1820" spans="1:13" x14ac:dyDescent="0.2">
      <c r="A1820" s="18"/>
      <c r="B1820" s="77"/>
      <c r="C1820" s="77"/>
      <c r="D1820" s="78"/>
      <c r="E1820" s="77"/>
      <c r="F1820" s="77"/>
      <c r="G1820" s="77"/>
      <c r="H1820" s="77"/>
      <c r="I1820" s="77"/>
      <c r="J1820" s="77"/>
      <c r="K1820" s="20"/>
      <c r="L1820" s="49">
        <f t="shared" si="112"/>
        <v>0</v>
      </c>
      <c r="M1820" s="50">
        <f t="shared" si="113"/>
        <v>0</v>
      </c>
    </row>
    <row r="1821" spans="1:13" x14ac:dyDescent="0.2">
      <c r="A1821" s="18"/>
      <c r="B1821" s="77"/>
      <c r="C1821" s="77"/>
      <c r="D1821" s="78"/>
      <c r="E1821" s="77"/>
      <c r="F1821" s="77"/>
      <c r="G1821" s="77"/>
      <c r="H1821" s="77"/>
      <c r="I1821" s="77"/>
      <c r="J1821" s="77"/>
      <c r="K1821" s="20"/>
      <c r="L1821" s="49">
        <f t="shared" si="112"/>
        <v>0</v>
      </c>
      <c r="M1821" s="50">
        <f t="shared" si="113"/>
        <v>0</v>
      </c>
    </row>
    <row r="1822" spans="1:13" x14ac:dyDescent="0.2">
      <c r="A1822" s="18"/>
      <c r="B1822" s="77"/>
      <c r="C1822" s="77"/>
      <c r="D1822" s="78"/>
      <c r="E1822" s="77"/>
      <c r="F1822" s="77"/>
      <c r="G1822" s="77"/>
      <c r="H1822" s="77"/>
      <c r="I1822" s="77"/>
      <c r="J1822" s="77"/>
      <c r="K1822" s="20"/>
      <c r="L1822" s="49">
        <f t="shared" si="112"/>
        <v>0</v>
      </c>
      <c r="M1822" s="50">
        <f t="shared" si="113"/>
        <v>0</v>
      </c>
    </row>
    <row r="1823" spans="1:13" x14ac:dyDescent="0.2">
      <c r="A1823" s="18"/>
      <c r="B1823" s="77"/>
      <c r="C1823" s="77"/>
      <c r="D1823" s="78"/>
      <c r="E1823" s="77"/>
      <c r="F1823" s="77"/>
      <c r="G1823" s="77"/>
      <c r="H1823" s="77"/>
      <c r="I1823" s="77"/>
      <c r="J1823" s="77"/>
      <c r="K1823" s="20"/>
      <c r="L1823" s="49">
        <f t="shared" si="112"/>
        <v>0</v>
      </c>
      <c r="M1823" s="50">
        <f t="shared" si="113"/>
        <v>0</v>
      </c>
    </row>
    <row r="1824" spans="1:13" x14ac:dyDescent="0.2">
      <c r="A1824" s="18"/>
      <c r="B1824" s="77"/>
      <c r="C1824" s="77"/>
      <c r="D1824" s="78"/>
      <c r="E1824" s="77"/>
      <c r="F1824" s="77"/>
      <c r="G1824" s="77"/>
      <c r="H1824" s="77"/>
      <c r="I1824" s="77"/>
      <c r="J1824" s="77"/>
      <c r="K1824" s="20"/>
      <c r="L1824" s="49">
        <f t="shared" si="112"/>
        <v>0</v>
      </c>
      <c r="M1824" s="50">
        <f t="shared" si="113"/>
        <v>0</v>
      </c>
    </row>
    <row r="1825" spans="1:13" x14ac:dyDescent="0.2">
      <c r="A1825" s="18"/>
      <c r="B1825" s="77"/>
      <c r="C1825" s="77"/>
      <c r="D1825" s="78"/>
      <c r="E1825" s="77"/>
      <c r="F1825" s="77"/>
      <c r="G1825" s="77"/>
      <c r="H1825" s="77"/>
      <c r="I1825" s="77"/>
      <c r="J1825" s="77"/>
      <c r="K1825" s="20"/>
      <c r="L1825" s="49">
        <f t="shared" si="112"/>
        <v>0</v>
      </c>
      <c r="M1825" s="50">
        <f t="shared" si="113"/>
        <v>0</v>
      </c>
    </row>
    <row r="1826" spans="1:13" x14ac:dyDescent="0.2">
      <c r="A1826" s="18"/>
      <c r="B1826" s="77"/>
      <c r="C1826" s="77"/>
      <c r="D1826" s="78"/>
      <c r="E1826" s="77"/>
      <c r="F1826" s="77"/>
      <c r="G1826" s="77"/>
      <c r="H1826" s="77"/>
      <c r="I1826" s="77"/>
      <c r="J1826" s="77"/>
      <c r="K1826" s="20"/>
      <c r="L1826" s="49">
        <f t="shared" si="112"/>
        <v>0</v>
      </c>
      <c r="M1826" s="50">
        <f t="shared" si="113"/>
        <v>0</v>
      </c>
    </row>
    <row r="1827" spans="1:13" x14ac:dyDescent="0.2">
      <c r="A1827" s="18"/>
      <c r="B1827" s="77"/>
      <c r="C1827" s="77"/>
      <c r="D1827" s="78"/>
      <c r="E1827" s="77"/>
      <c r="F1827" s="77"/>
      <c r="G1827" s="77"/>
      <c r="H1827" s="77"/>
      <c r="I1827" s="77"/>
      <c r="J1827" s="77"/>
      <c r="K1827" s="20"/>
      <c r="L1827" s="49">
        <f t="shared" si="112"/>
        <v>0</v>
      </c>
      <c r="M1827" s="50">
        <f t="shared" si="113"/>
        <v>0</v>
      </c>
    </row>
    <row r="1828" spans="1:13" x14ac:dyDescent="0.2">
      <c r="A1828" s="18"/>
      <c r="B1828" s="77"/>
      <c r="C1828" s="77"/>
      <c r="D1828" s="78"/>
      <c r="E1828" s="77"/>
      <c r="F1828" s="77"/>
      <c r="G1828" s="77"/>
      <c r="H1828" s="77"/>
      <c r="I1828" s="77"/>
      <c r="J1828" s="77"/>
      <c r="K1828" s="20"/>
      <c r="L1828" s="49">
        <f t="shared" si="112"/>
        <v>0</v>
      </c>
      <c r="M1828" s="50">
        <f t="shared" si="113"/>
        <v>0</v>
      </c>
    </row>
    <row r="1829" spans="1:13" x14ac:dyDescent="0.2">
      <c r="A1829" s="18"/>
      <c r="B1829" s="77"/>
      <c r="C1829" s="77"/>
      <c r="D1829" s="78"/>
      <c r="E1829" s="77"/>
      <c r="F1829" s="77"/>
      <c r="G1829" s="77"/>
      <c r="H1829" s="77"/>
      <c r="I1829" s="77"/>
      <c r="J1829" s="77"/>
      <c r="K1829" s="20"/>
      <c r="L1829" s="49">
        <f t="shared" si="112"/>
        <v>0</v>
      </c>
      <c r="M1829" s="50">
        <f t="shared" si="113"/>
        <v>0</v>
      </c>
    </row>
    <row r="1830" spans="1:13" x14ac:dyDescent="0.2">
      <c r="A1830" s="18"/>
      <c r="B1830" s="77"/>
      <c r="C1830" s="77"/>
      <c r="D1830" s="78"/>
      <c r="E1830" s="77"/>
      <c r="F1830" s="77"/>
      <c r="G1830" s="77"/>
      <c r="H1830" s="77"/>
      <c r="I1830" s="77"/>
      <c r="J1830" s="77"/>
      <c r="K1830" s="20"/>
      <c r="L1830" s="49">
        <f t="shared" si="112"/>
        <v>0</v>
      </c>
      <c r="M1830" s="50">
        <f t="shared" si="113"/>
        <v>0</v>
      </c>
    </row>
    <row r="1831" spans="1:13" x14ac:dyDescent="0.2">
      <c r="A1831" s="18"/>
      <c r="B1831" s="77"/>
      <c r="C1831" s="77"/>
      <c r="D1831" s="78"/>
      <c r="E1831" s="77"/>
      <c r="F1831" s="77"/>
      <c r="G1831" s="77"/>
      <c r="H1831" s="77"/>
      <c r="I1831" s="77"/>
      <c r="J1831" s="77"/>
      <c r="K1831" s="20"/>
      <c r="L1831" s="49">
        <f t="shared" ref="L1831" si="114">+K1831*18%</f>
        <v>0</v>
      </c>
      <c r="M1831" s="50">
        <f t="shared" ref="M1831" si="115">+K1831+L1831</f>
        <v>0</v>
      </c>
    </row>
    <row r="1832" spans="1:13" x14ac:dyDescent="0.2">
      <c r="A1832" s="18"/>
      <c r="B1832" s="77"/>
      <c r="C1832" s="77"/>
      <c r="D1832" s="78"/>
      <c r="E1832" s="77"/>
      <c r="F1832" s="77"/>
      <c r="G1832" s="77"/>
      <c r="H1832" s="77"/>
      <c r="I1832" s="77"/>
      <c r="J1832" s="77"/>
      <c r="K1832" s="79"/>
      <c r="L1832" s="49">
        <f t="shared" ref="L1832:L1895" si="116">+K1832*18%</f>
        <v>0</v>
      </c>
      <c r="M1832" s="50">
        <f t="shared" ref="M1832:M1895" si="117">+K1832+L1832</f>
        <v>0</v>
      </c>
    </row>
    <row r="1833" spans="1:13" x14ac:dyDescent="0.2">
      <c r="A1833" s="18"/>
      <c r="B1833" s="77"/>
      <c r="C1833" s="77"/>
      <c r="D1833" s="78"/>
      <c r="E1833" s="77"/>
      <c r="F1833" s="77"/>
      <c r="G1833" s="77"/>
      <c r="H1833" s="77"/>
      <c r="I1833" s="77"/>
      <c r="J1833" s="77"/>
      <c r="K1833" s="79"/>
      <c r="L1833" s="49">
        <f t="shared" si="116"/>
        <v>0</v>
      </c>
      <c r="M1833" s="50">
        <f t="shared" si="117"/>
        <v>0</v>
      </c>
    </row>
    <row r="1834" spans="1:13" x14ac:dyDescent="0.2">
      <c r="A1834" s="18"/>
      <c r="B1834" s="77"/>
      <c r="C1834" s="77"/>
      <c r="D1834" s="78"/>
      <c r="E1834" s="77"/>
      <c r="F1834" s="77"/>
      <c r="G1834" s="77"/>
      <c r="H1834" s="77"/>
      <c r="I1834" s="77"/>
      <c r="J1834" s="77"/>
      <c r="K1834" s="79"/>
      <c r="L1834" s="49">
        <f t="shared" si="116"/>
        <v>0</v>
      </c>
      <c r="M1834" s="50">
        <f t="shared" si="117"/>
        <v>0</v>
      </c>
    </row>
    <row r="1835" spans="1:13" x14ac:dyDescent="0.2">
      <c r="A1835" s="18"/>
      <c r="B1835" s="77"/>
      <c r="C1835" s="77"/>
      <c r="D1835" s="78"/>
      <c r="E1835" s="77"/>
      <c r="F1835" s="77"/>
      <c r="G1835" s="77"/>
      <c r="H1835" s="77"/>
      <c r="I1835" s="77"/>
      <c r="J1835" s="77"/>
      <c r="K1835" s="79"/>
      <c r="L1835" s="49">
        <f t="shared" si="116"/>
        <v>0</v>
      </c>
      <c r="M1835" s="50">
        <f t="shared" si="117"/>
        <v>0</v>
      </c>
    </row>
    <row r="1836" spans="1:13" x14ac:dyDescent="0.2">
      <c r="A1836" s="18"/>
      <c r="B1836" s="77"/>
      <c r="C1836" s="77"/>
      <c r="D1836" s="78"/>
      <c r="E1836" s="77"/>
      <c r="F1836" s="77"/>
      <c r="G1836" s="77"/>
      <c r="H1836" s="77"/>
      <c r="I1836" s="77"/>
      <c r="J1836" s="77"/>
      <c r="K1836" s="79"/>
      <c r="L1836" s="49">
        <f t="shared" si="116"/>
        <v>0</v>
      </c>
      <c r="M1836" s="50">
        <f t="shared" si="117"/>
        <v>0</v>
      </c>
    </row>
    <row r="1837" spans="1:13" x14ac:dyDescent="0.2">
      <c r="A1837" s="18"/>
      <c r="B1837" s="77"/>
      <c r="C1837" s="77"/>
      <c r="D1837" s="78"/>
      <c r="E1837" s="77"/>
      <c r="F1837" s="77"/>
      <c r="G1837" s="77"/>
      <c r="H1837" s="77"/>
      <c r="I1837" s="77"/>
      <c r="J1837" s="77"/>
      <c r="K1837" s="79"/>
      <c r="L1837" s="49">
        <f t="shared" si="116"/>
        <v>0</v>
      </c>
      <c r="M1837" s="50">
        <f t="shared" si="117"/>
        <v>0</v>
      </c>
    </row>
    <row r="1838" spans="1:13" x14ac:dyDescent="0.2">
      <c r="A1838" s="18"/>
      <c r="B1838" s="77"/>
      <c r="C1838" s="77"/>
      <c r="D1838" s="78"/>
      <c r="E1838" s="77"/>
      <c r="F1838" s="77"/>
      <c r="G1838" s="77"/>
      <c r="H1838" s="77"/>
      <c r="I1838" s="77"/>
      <c r="J1838" s="77"/>
      <c r="K1838" s="79"/>
      <c r="L1838" s="49">
        <f t="shared" si="116"/>
        <v>0</v>
      </c>
      <c r="M1838" s="50">
        <f t="shared" si="117"/>
        <v>0</v>
      </c>
    </row>
    <row r="1839" spans="1:13" x14ac:dyDescent="0.2">
      <c r="A1839" s="18"/>
      <c r="B1839" s="77"/>
      <c r="C1839" s="77"/>
      <c r="D1839" s="78"/>
      <c r="E1839" s="77"/>
      <c r="F1839" s="77"/>
      <c r="G1839" s="77"/>
      <c r="H1839" s="77"/>
      <c r="I1839" s="77"/>
      <c r="J1839" s="77"/>
      <c r="K1839" s="79"/>
      <c r="L1839" s="49">
        <f t="shared" si="116"/>
        <v>0</v>
      </c>
      <c r="M1839" s="50">
        <f t="shared" si="117"/>
        <v>0</v>
      </c>
    </row>
    <row r="1840" spans="1:13" x14ac:dyDescent="0.2">
      <c r="A1840" s="18"/>
      <c r="B1840" s="77"/>
      <c r="C1840" s="77"/>
      <c r="D1840" s="78"/>
      <c r="E1840" s="77"/>
      <c r="F1840" s="77"/>
      <c r="G1840" s="77"/>
      <c r="H1840" s="77"/>
      <c r="I1840" s="77"/>
      <c r="J1840" s="77"/>
      <c r="K1840" s="79"/>
      <c r="L1840" s="49">
        <f t="shared" si="116"/>
        <v>0</v>
      </c>
      <c r="M1840" s="50">
        <f t="shared" si="117"/>
        <v>0</v>
      </c>
    </row>
    <row r="1841" spans="1:13" x14ac:dyDescent="0.2">
      <c r="A1841" s="18"/>
      <c r="B1841" s="77"/>
      <c r="C1841" s="77"/>
      <c r="D1841" s="78"/>
      <c r="E1841" s="77"/>
      <c r="F1841" s="77"/>
      <c r="G1841" s="77"/>
      <c r="H1841" s="77"/>
      <c r="I1841" s="77"/>
      <c r="J1841" s="77"/>
      <c r="K1841" s="79"/>
      <c r="L1841" s="49">
        <f t="shared" si="116"/>
        <v>0</v>
      </c>
      <c r="M1841" s="50">
        <f t="shared" si="117"/>
        <v>0</v>
      </c>
    </row>
    <row r="1842" spans="1:13" x14ac:dyDescent="0.2">
      <c r="A1842" s="18"/>
      <c r="B1842" s="77"/>
      <c r="C1842" s="77"/>
      <c r="D1842" s="78"/>
      <c r="E1842" s="77"/>
      <c r="F1842" s="77"/>
      <c r="G1842" s="77"/>
      <c r="H1842" s="77"/>
      <c r="I1842" s="77"/>
      <c r="J1842" s="77"/>
      <c r="K1842" s="79"/>
      <c r="L1842" s="49">
        <f t="shared" si="116"/>
        <v>0</v>
      </c>
      <c r="M1842" s="50">
        <f t="shared" si="117"/>
        <v>0</v>
      </c>
    </row>
    <row r="1843" spans="1:13" x14ac:dyDescent="0.2">
      <c r="A1843" s="18"/>
      <c r="B1843" s="77"/>
      <c r="C1843" s="77"/>
      <c r="D1843" s="78"/>
      <c r="E1843" s="77"/>
      <c r="F1843" s="77"/>
      <c r="G1843" s="77"/>
      <c r="H1843" s="77"/>
      <c r="I1843" s="77"/>
      <c r="J1843" s="77"/>
      <c r="K1843" s="79"/>
      <c r="L1843" s="49">
        <f t="shared" si="116"/>
        <v>0</v>
      </c>
      <c r="M1843" s="50">
        <f t="shared" si="117"/>
        <v>0</v>
      </c>
    </row>
    <row r="1844" spans="1:13" x14ac:dyDescent="0.2">
      <c r="A1844" s="18"/>
      <c r="B1844" s="77"/>
      <c r="C1844" s="77"/>
      <c r="D1844" s="78"/>
      <c r="E1844" s="77"/>
      <c r="F1844" s="77"/>
      <c r="G1844" s="77"/>
      <c r="H1844" s="77"/>
      <c r="I1844" s="77"/>
      <c r="J1844" s="77"/>
      <c r="K1844" s="79"/>
      <c r="L1844" s="49">
        <f t="shared" si="116"/>
        <v>0</v>
      </c>
      <c r="M1844" s="50">
        <f t="shared" si="117"/>
        <v>0</v>
      </c>
    </row>
    <row r="1845" spans="1:13" x14ac:dyDescent="0.2">
      <c r="A1845" s="18"/>
      <c r="B1845" s="77"/>
      <c r="C1845" s="77"/>
      <c r="D1845" s="78"/>
      <c r="E1845" s="77"/>
      <c r="F1845" s="77"/>
      <c r="G1845" s="77"/>
      <c r="H1845" s="77"/>
      <c r="I1845" s="77"/>
      <c r="J1845" s="77"/>
      <c r="K1845" s="79"/>
      <c r="L1845" s="49">
        <f t="shared" si="116"/>
        <v>0</v>
      </c>
      <c r="M1845" s="50">
        <f t="shared" si="117"/>
        <v>0</v>
      </c>
    </row>
    <row r="1846" spans="1:13" x14ac:dyDescent="0.2">
      <c r="A1846" s="18"/>
      <c r="B1846" s="77"/>
      <c r="C1846" s="77"/>
      <c r="D1846" s="78"/>
      <c r="E1846" s="77"/>
      <c r="F1846" s="77"/>
      <c r="G1846" s="77"/>
      <c r="H1846" s="77"/>
      <c r="I1846" s="77"/>
      <c r="J1846" s="77"/>
      <c r="K1846" s="79"/>
      <c r="L1846" s="49">
        <f t="shared" si="116"/>
        <v>0</v>
      </c>
      <c r="M1846" s="50">
        <f t="shared" si="117"/>
        <v>0</v>
      </c>
    </row>
    <row r="1847" spans="1:13" x14ac:dyDescent="0.2">
      <c r="A1847" s="18"/>
      <c r="B1847" s="77"/>
      <c r="C1847" s="77"/>
      <c r="D1847" s="78"/>
      <c r="E1847" s="77"/>
      <c r="F1847" s="77"/>
      <c r="G1847" s="77"/>
      <c r="H1847" s="77"/>
      <c r="I1847" s="77"/>
      <c r="J1847" s="77"/>
      <c r="K1847" s="79"/>
      <c r="L1847" s="49">
        <f t="shared" si="116"/>
        <v>0</v>
      </c>
      <c r="M1847" s="50">
        <f t="shared" si="117"/>
        <v>0</v>
      </c>
    </row>
    <row r="1848" spans="1:13" x14ac:dyDescent="0.2">
      <c r="A1848" s="18"/>
      <c r="B1848" s="77"/>
      <c r="C1848" s="77"/>
      <c r="D1848" s="78"/>
      <c r="E1848" s="77"/>
      <c r="F1848" s="77"/>
      <c r="G1848" s="77"/>
      <c r="H1848" s="77"/>
      <c r="I1848" s="77"/>
      <c r="J1848" s="77"/>
      <c r="K1848" s="79"/>
      <c r="L1848" s="49">
        <f t="shared" si="116"/>
        <v>0</v>
      </c>
      <c r="M1848" s="50">
        <f t="shared" si="117"/>
        <v>0</v>
      </c>
    </row>
    <row r="1849" spans="1:13" x14ac:dyDescent="0.2">
      <c r="A1849" s="18"/>
      <c r="B1849" s="77"/>
      <c r="C1849" s="77"/>
      <c r="D1849" s="78"/>
      <c r="E1849" s="77"/>
      <c r="F1849" s="77"/>
      <c r="G1849" s="77"/>
      <c r="H1849" s="77"/>
      <c r="I1849" s="77"/>
      <c r="J1849" s="77"/>
      <c r="K1849" s="79"/>
      <c r="L1849" s="49">
        <f t="shared" si="116"/>
        <v>0</v>
      </c>
      <c r="M1849" s="50">
        <f t="shared" si="117"/>
        <v>0</v>
      </c>
    </row>
    <row r="1850" spans="1:13" x14ac:dyDescent="0.2">
      <c r="A1850" s="18"/>
      <c r="B1850" s="77"/>
      <c r="C1850" s="77"/>
      <c r="D1850" s="78"/>
      <c r="E1850" s="77"/>
      <c r="F1850" s="77"/>
      <c r="G1850" s="77"/>
      <c r="H1850" s="77"/>
      <c r="I1850" s="77"/>
      <c r="J1850" s="77"/>
      <c r="K1850" s="79"/>
      <c r="L1850" s="49">
        <f t="shared" si="116"/>
        <v>0</v>
      </c>
      <c r="M1850" s="50">
        <f t="shared" si="117"/>
        <v>0</v>
      </c>
    </row>
    <row r="1851" spans="1:13" x14ac:dyDescent="0.2">
      <c r="A1851" s="18"/>
      <c r="B1851" s="77"/>
      <c r="C1851" s="77"/>
      <c r="D1851" s="78"/>
      <c r="E1851" s="77"/>
      <c r="F1851" s="77"/>
      <c r="G1851" s="77"/>
      <c r="H1851" s="77"/>
      <c r="I1851" s="77"/>
      <c r="J1851" s="77"/>
      <c r="K1851" s="79"/>
      <c r="L1851" s="49">
        <f t="shared" si="116"/>
        <v>0</v>
      </c>
      <c r="M1851" s="50">
        <f t="shared" si="117"/>
        <v>0</v>
      </c>
    </row>
    <row r="1852" spans="1:13" x14ac:dyDescent="0.2">
      <c r="A1852" s="18"/>
      <c r="B1852" s="77"/>
      <c r="C1852" s="77"/>
      <c r="D1852" s="78"/>
      <c r="E1852" s="77"/>
      <c r="F1852" s="77"/>
      <c r="G1852" s="77"/>
      <c r="H1852" s="77"/>
      <c r="I1852" s="77"/>
      <c r="J1852" s="77"/>
      <c r="K1852" s="79"/>
      <c r="L1852" s="49">
        <f t="shared" si="116"/>
        <v>0</v>
      </c>
      <c r="M1852" s="50">
        <f t="shared" si="117"/>
        <v>0</v>
      </c>
    </row>
    <row r="1853" spans="1:13" x14ac:dyDescent="0.2">
      <c r="A1853" s="18"/>
      <c r="B1853" s="77"/>
      <c r="C1853" s="77"/>
      <c r="D1853" s="78"/>
      <c r="E1853" s="77"/>
      <c r="F1853" s="77"/>
      <c r="G1853" s="77"/>
      <c r="H1853" s="77"/>
      <c r="I1853" s="77"/>
      <c r="J1853" s="77"/>
      <c r="K1853" s="79"/>
      <c r="L1853" s="49">
        <f t="shared" si="116"/>
        <v>0</v>
      </c>
      <c r="M1853" s="50">
        <f t="shared" si="117"/>
        <v>0</v>
      </c>
    </row>
    <row r="1854" spans="1:13" x14ac:dyDescent="0.2">
      <c r="A1854" s="18"/>
      <c r="B1854" s="77"/>
      <c r="C1854" s="77"/>
      <c r="D1854" s="78"/>
      <c r="E1854" s="77"/>
      <c r="F1854" s="77"/>
      <c r="G1854" s="77"/>
      <c r="H1854" s="77"/>
      <c r="I1854" s="77"/>
      <c r="J1854" s="77"/>
      <c r="K1854" s="79"/>
      <c r="L1854" s="49">
        <f t="shared" si="116"/>
        <v>0</v>
      </c>
      <c r="M1854" s="50">
        <f t="shared" si="117"/>
        <v>0</v>
      </c>
    </row>
    <row r="1855" spans="1:13" x14ac:dyDescent="0.2">
      <c r="A1855" s="18"/>
      <c r="B1855" s="77"/>
      <c r="C1855" s="77"/>
      <c r="D1855" s="78"/>
      <c r="E1855" s="77"/>
      <c r="F1855" s="77"/>
      <c r="G1855" s="77"/>
      <c r="H1855" s="77"/>
      <c r="I1855" s="77"/>
      <c r="J1855" s="77"/>
      <c r="K1855" s="79"/>
      <c r="L1855" s="49">
        <f t="shared" si="116"/>
        <v>0</v>
      </c>
      <c r="M1855" s="50">
        <f t="shared" si="117"/>
        <v>0</v>
      </c>
    </row>
    <row r="1856" spans="1:13" x14ac:dyDescent="0.2">
      <c r="A1856" s="18"/>
      <c r="B1856" s="77"/>
      <c r="C1856" s="77"/>
      <c r="D1856" s="78"/>
      <c r="E1856" s="77"/>
      <c r="F1856" s="77"/>
      <c r="G1856" s="77"/>
      <c r="H1856" s="77"/>
      <c r="I1856" s="77"/>
      <c r="J1856" s="77"/>
      <c r="K1856" s="79"/>
      <c r="L1856" s="49">
        <f t="shared" si="116"/>
        <v>0</v>
      </c>
      <c r="M1856" s="50">
        <f t="shared" si="117"/>
        <v>0</v>
      </c>
    </row>
    <row r="1857" spans="1:13" x14ac:dyDescent="0.2">
      <c r="A1857" s="18"/>
      <c r="B1857" s="77"/>
      <c r="C1857" s="77"/>
      <c r="D1857" s="78"/>
      <c r="E1857" s="77"/>
      <c r="F1857" s="77"/>
      <c r="G1857" s="77"/>
      <c r="H1857" s="77"/>
      <c r="I1857" s="77"/>
      <c r="J1857" s="77"/>
      <c r="K1857" s="79"/>
      <c r="L1857" s="49">
        <f t="shared" si="116"/>
        <v>0</v>
      </c>
      <c r="M1857" s="50">
        <f t="shared" si="117"/>
        <v>0</v>
      </c>
    </row>
    <row r="1858" spans="1:13" x14ac:dyDescent="0.2">
      <c r="A1858" s="18"/>
      <c r="B1858" s="77"/>
      <c r="C1858" s="77"/>
      <c r="D1858" s="78"/>
      <c r="E1858" s="77"/>
      <c r="F1858" s="77"/>
      <c r="G1858" s="77"/>
      <c r="H1858" s="77"/>
      <c r="I1858" s="77"/>
      <c r="J1858" s="77"/>
      <c r="K1858" s="79"/>
      <c r="L1858" s="49">
        <f t="shared" si="116"/>
        <v>0</v>
      </c>
      <c r="M1858" s="50">
        <f t="shared" si="117"/>
        <v>0</v>
      </c>
    </row>
    <row r="1859" spans="1:13" x14ac:dyDescent="0.2">
      <c r="A1859" s="18"/>
      <c r="B1859" s="77"/>
      <c r="C1859" s="77"/>
      <c r="D1859" s="78"/>
      <c r="E1859" s="77"/>
      <c r="F1859" s="77"/>
      <c r="G1859" s="77"/>
      <c r="H1859" s="77"/>
      <c r="I1859" s="77"/>
      <c r="J1859" s="77"/>
      <c r="K1859" s="79"/>
      <c r="L1859" s="49">
        <f t="shared" si="116"/>
        <v>0</v>
      </c>
      <c r="M1859" s="50">
        <f t="shared" si="117"/>
        <v>0</v>
      </c>
    </row>
    <row r="1860" spans="1:13" x14ac:dyDescent="0.2">
      <c r="A1860" s="18"/>
      <c r="B1860" s="77"/>
      <c r="C1860" s="77"/>
      <c r="D1860" s="78"/>
      <c r="E1860" s="77"/>
      <c r="F1860" s="77"/>
      <c r="G1860" s="77"/>
      <c r="H1860" s="77"/>
      <c r="I1860" s="77"/>
      <c r="J1860" s="77"/>
      <c r="K1860" s="79"/>
      <c r="L1860" s="49">
        <f t="shared" si="116"/>
        <v>0</v>
      </c>
      <c r="M1860" s="50">
        <f t="shared" si="117"/>
        <v>0</v>
      </c>
    </row>
    <row r="1861" spans="1:13" x14ac:dyDescent="0.2">
      <c r="A1861" s="18"/>
      <c r="B1861" s="77"/>
      <c r="C1861" s="77"/>
      <c r="D1861" s="78"/>
      <c r="E1861" s="77"/>
      <c r="F1861" s="77"/>
      <c r="G1861" s="77"/>
      <c r="H1861" s="77"/>
      <c r="I1861" s="77"/>
      <c r="J1861" s="77"/>
      <c r="K1861" s="79"/>
      <c r="L1861" s="49">
        <f t="shared" si="116"/>
        <v>0</v>
      </c>
      <c r="M1861" s="50">
        <f t="shared" si="117"/>
        <v>0</v>
      </c>
    </row>
    <row r="1862" spans="1:13" x14ac:dyDescent="0.2">
      <c r="A1862" s="18"/>
      <c r="B1862" s="77"/>
      <c r="C1862" s="77"/>
      <c r="D1862" s="78"/>
      <c r="E1862" s="77"/>
      <c r="F1862" s="77"/>
      <c r="G1862" s="77"/>
      <c r="H1862" s="77"/>
      <c r="I1862" s="77"/>
      <c r="J1862" s="77"/>
      <c r="K1862" s="79"/>
      <c r="L1862" s="49">
        <f t="shared" si="116"/>
        <v>0</v>
      </c>
      <c r="M1862" s="50">
        <f t="shared" si="117"/>
        <v>0</v>
      </c>
    </row>
    <row r="1863" spans="1:13" x14ac:dyDescent="0.2">
      <c r="A1863" s="18"/>
      <c r="B1863" s="77"/>
      <c r="C1863" s="77"/>
      <c r="D1863" s="78"/>
      <c r="E1863" s="77"/>
      <c r="F1863" s="77"/>
      <c r="G1863" s="77"/>
      <c r="H1863" s="77"/>
      <c r="I1863" s="77"/>
      <c r="J1863" s="77"/>
      <c r="K1863" s="79"/>
      <c r="L1863" s="49">
        <f t="shared" si="116"/>
        <v>0</v>
      </c>
      <c r="M1863" s="50">
        <f t="shared" si="117"/>
        <v>0</v>
      </c>
    </row>
    <row r="1864" spans="1:13" x14ac:dyDescent="0.2">
      <c r="A1864" s="18"/>
      <c r="B1864" s="77"/>
      <c r="C1864" s="77"/>
      <c r="D1864" s="78"/>
      <c r="E1864" s="77"/>
      <c r="F1864" s="77"/>
      <c r="G1864" s="77"/>
      <c r="H1864" s="77"/>
      <c r="I1864" s="77"/>
      <c r="J1864" s="77"/>
      <c r="K1864" s="79"/>
      <c r="L1864" s="49">
        <f t="shared" si="116"/>
        <v>0</v>
      </c>
      <c r="M1864" s="50">
        <f t="shared" si="117"/>
        <v>0</v>
      </c>
    </row>
    <row r="1865" spans="1:13" x14ac:dyDescent="0.2">
      <c r="A1865" s="18"/>
      <c r="B1865" s="77"/>
      <c r="C1865" s="77"/>
      <c r="D1865" s="78"/>
      <c r="E1865" s="77"/>
      <c r="F1865" s="77"/>
      <c r="G1865" s="77"/>
      <c r="H1865" s="77"/>
      <c r="I1865" s="77"/>
      <c r="J1865" s="77"/>
      <c r="K1865" s="79"/>
      <c r="L1865" s="49">
        <f t="shared" si="116"/>
        <v>0</v>
      </c>
      <c r="M1865" s="50">
        <f t="shared" si="117"/>
        <v>0</v>
      </c>
    </row>
    <row r="1866" spans="1:13" x14ac:dyDescent="0.2">
      <c r="A1866" s="18"/>
      <c r="B1866" s="77"/>
      <c r="C1866" s="77"/>
      <c r="D1866" s="78"/>
      <c r="E1866" s="77"/>
      <c r="F1866" s="77"/>
      <c r="G1866" s="77"/>
      <c r="H1866" s="77"/>
      <c r="I1866" s="77"/>
      <c r="J1866" s="77"/>
      <c r="K1866" s="79"/>
      <c r="L1866" s="49">
        <f t="shared" si="116"/>
        <v>0</v>
      </c>
      <c r="M1866" s="50">
        <f t="shared" si="117"/>
        <v>0</v>
      </c>
    </row>
    <row r="1867" spans="1:13" x14ac:dyDescent="0.2">
      <c r="A1867" s="18"/>
      <c r="B1867" s="77"/>
      <c r="C1867" s="77"/>
      <c r="D1867" s="78"/>
      <c r="E1867" s="77"/>
      <c r="F1867" s="77"/>
      <c r="G1867" s="77"/>
      <c r="H1867" s="77"/>
      <c r="I1867" s="77"/>
      <c r="J1867" s="77"/>
      <c r="K1867" s="79"/>
      <c r="L1867" s="49">
        <f t="shared" si="116"/>
        <v>0</v>
      </c>
      <c r="M1867" s="50">
        <f t="shared" si="117"/>
        <v>0</v>
      </c>
    </row>
    <row r="1868" spans="1:13" x14ac:dyDescent="0.2">
      <c r="A1868" s="18"/>
      <c r="B1868" s="77"/>
      <c r="C1868" s="77"/>
      <c r="D1868" s="78"/>
      <c r="E1868" s="77"/>
      <c r="F1868" s="77"/>
      <c r="G1868" s="77"/>
      <c r="H1868" s="77"/>
      <c r="I1868" s="77"/>
      <c r="J1868" s="77"/>
      <c r="K1868" s="79"/>
      <c r="L1868" s="49">
        <f t="shared" si="116"/>
        <v>0</v>
      </c>
      <c r="M1868" s="50">
        <f t="shared" si="117"/>
        <v>0</v>
      </c>
    </row>
    <row r="1869" spans="1:13" x14ac:dyDescent="0.2">
      <c r="A1869" s="18"/>
      <c r="B1869" s="77"/>
      <c r="C1869" s="77"/>
      <c r="D1869" s="78"/>
      <c r="E1869" s="77"/>
      <c r="F1869" s="77"/>
      <c r="G1869" s="77"/>
      <c r="H1869" s="77"/>
      <c r="I1869" s="77"/>
      <c r="J1869" s="77"/>
      <c r="K1869" s="79"/>
      <c r="L1869" s="49">
        <f t="shared" si="116"/>
        <v>0</v>
      </c>
      <c r="M1869" s="50">
        <f t="shared" si="117"/>
        <v>0</v>
      </c>
    </row>
    <row r="1870" spans="1:13" x14ac:dyDescent="0.2">
      <c r="A1870" s="18"/>
      <c r="B1870" s="77"/>
      <c r="C1870" s="77"/>
      <c r="D1870" s="78"/>
      <c r="E1870" s="77"/>
      <c r="F1870" s="77"/>
      <c r="G1870" s="77"/>
      <c r="H1870" s="77"/>
      <c r="I1870" s="77"/>
      <c r="J1870" s="77"/>
      <c r="K1870" s="79"/>
      <c r="L1870" s="49">
        <f t="shared" si="116"/>
        <v>0</v>
      </c>
      <c r="M1870" s="50">
        <f t="shared" si="117"/>
        <v>0</v>
      </c>
    </row>
    <row r="1871" spans="1:13" x14ac:dyDescent="0.2">
      <c r="A1871" s="18"/>
      <c r="B1871" s="77"/>
      <c r="C1871" s="77"/>
      <c r="D1871" s="78"/>
      <c r="E1871" s="77"/>
      <c r="F1871" s="77"/>
      <c r="G1871" s="77"/>
      <c r="H1871" s="77"/>
      <c r="I1871" s="77"/>
      <c r="J1871" s="77"/>
      <c r="K1871" s="79"/>
      <c r="L1871" s="49">
        <f t="shared" si="116"/>
        <v>0</v>
      </c>
      <c r="M1871" s="50">
        <f t="shared" si="117"/>
        <v>0</v>
      </c>
    </row>
    <row r="1872" spans="1:13" x14ac:dyDescent="0.2">
      <c r="A1872" s="18"/>
      <c r="B1872" s="77"/>
      <c r="C1872" s="77"/>
      <c r="D1872" s="78"/>
      <c r="E1872" s="77"/>
      <c r="F1872" s="77"/>
      <c r="G1872" s="77"/>
      <c r="H1872" s="77"/>
      <c r="I1872" s="77"/>
      <c r="J1872" s="77"/>
      <c r="K1872" s="79"/>
      <c r="L1872" s="49">
        <f t="shared" si="116"/>
        <v>0</v>
      </c>
      <c r="M1872" s="50">
        <f t="shared" si="117"/>
        <v>0</v>
      </c>
    </row>
    <row r="1873" spans="1:13" x14ac:dyDescent="0.2">
      <c r="A1873" s="18"/>
      <c r="B1873" s="77"/>
      <c r="C1873" s="77"/>
      <c r="D1873" s="78"/>
      <c r="E1873" s="77"/>
      <c r="F1873" s="77"/>
      <c r="G1873" s="77"/>
      <c r="H1873" s="77"/>
      <c r="I1873" s="77"/>
      <c r="J1873" s="77"/>
      <c r="K1873" s="79"/>
      <c r="L1873" s="49">
        <f t="shared" si="116"/>
        <v>0</v>
      </c>
      <c r="M1873" s="50">
        <f t="shared" si="117"/>
        <v>0</v>
      </c>
    </row>
    <row r="1874" spans="1:13" x14ac:dyDescent="0.2">
      <c r="A1874" s="18"/>
      <c r="B1874" s="77"/>
      <c r="C1874" s="77"/>
      <c r="D1874" s="78"/>
      <c r="E1874" s="77"/>
      <c r="F1874" s="77"/>
      <c r="G1874" s="77"/>
      <c r="H1874" s="77"/>
      <c r="I1874" s="77"/>
      <c r="J1874" s="77"/>
      <c r="K1874" s="79"/>
      <c r="L1874" s="49">
        <f t="shared" si="116"/>
        <v>0</v>
      </c>
      <c r="M1874" s="50">
        <f t="shared" si="117"/>
        <v>0</v>
      </c>
    </row>
    <row r="1875" spans="1:13" x14ac:dyDescent="0.2">
      <c r="A1875" s="18"/>
      <c r="B1875" s="77"/>
      <c r="C1875" s="77"/>
      <c r="D1875" s="78"/>
      <c r="E1875" s="77"/>
      <c r="F1875" s="77"/>
      <c r="G1875" s="77"/>
      <c r="H1875" s="77"/>
      <c r="I1875" s="77"/>
      <c r="J1875" s="77"/>
      <c r="K1875" s="79"/>
      <c r="L1875" s="49">
        <f t="shared" si="116"/>
        <v>0</v>
      </c>
      <c r="M1875" s="50">
        <f t="shared" si="117"/>
        <v>0</v>
      </c>
    </row>
    <row r="1876" spans="1:13" x14ac:dyDescent="0.2">
      <c r="A1876" s="18"/>
      <c r="B1876" s="77"/>
      <c r="C1876" s="77"/>
      <c r="D1876" s="78"/>
      <c r="E1876" s="77"/>
      <c r="F1876" s="77"/>
      <c r="G1876" s="77"/>
      <c r="H1876" s="77"/>
      <c r="I1876" s="77"/>
      <c r="J1876" s="77"/>
      <c r="K1876" s="79"/>
      <c r="L1876" s="49">
        <f t="shared" si="116"/>
        <v>0</v>
      </c>
      <c r="M1876" s="50">
        <f t="shared" si="117"/>
        <v>0</v>
      </c>
    </row>
    <row r="1877" spans="1:13" x14ac:dyDescent="0.2">
      <c r="A1877" s="18"/>
      <c r="B1877" s="77"/>
      <c r="C1877" s="77"/>
      <c r="D1877" s="78"/>
      <c r="E1877" s="77"/>
      <c r="F1877" s="77"/>
      <c r="G1877" s="77"/>
      <c r="H1877" s="77"/>
      <c r="I1877" s="77"/>
      <c r="J1877" s="77"/>
      <c r="K1877" s="79"/>
      <c r="L1877" s="49">
        <f t="shared" si="116"/>
        <v>0</v>
      </c>
      <c r="M1877" s="50">
        <f t="shared" si="117"/>
        <v>0</v>
      </c>
    </row>
    <row r="1878" spans="1:13" x14ac:dyDescent="0.2">
      <c r="A1878" s="18"/>
      <c r="B1878" s="77"/>
      <c r="C1878" s="77"/>
      <c r="D1878" s="78"/>
      <c r="E1878" s="77"/>
      <c r="F1878" s="77"/>
      <c r="G1878" s="77"/>
      <c r="H1878" s="77"/>
      <c r="I1878" s="77"/>
      <c r="J1878" s="77"/>
      <c r="K1878" s="79"/>
      <c r="L1878" s="49">
        <f t="shared" si="116"/>
        <v>0</v>
      </c>
      <c r="M1878" s="50">
        <f t="shared" si="117"/>
        <v>0</v>
      </c>
    </row>
    <row r="1879" spans="1:13" x14ac:dyDescent="0.2">
      <c r="A1879" s="18"/>
      <c r="B1879" s="77"/>
      <c r="C1879" s="77"/>
      <c r="D1879" s="78"/>
      <c r="E1879" s="77"/>
      <c r="F1879" s="77"/>
      <c r="G1879" s="77"/>
      <c r="H1879" s="77"/>
      <c r="I1879" s="77"/>
      <c r="J1879" s="77"/>
      <c r="K1879" s="79"/>
      <c r="L1879" s="49">
        <f t="shared" si="116"/>
        <v>0</v>
      </c>
      <c r="M1879" s="50">
        <f t="shared" si="117"/>
        <v>0</v>
      </c>
    </row>
    <row r="1880" spans="1:13" x14ac:dyDescent="0.2">
      <c r="A1880" s="18"/>
      <c r="B1880" s="77"/>
      <c r="C1880" s="77"/>
      <c r="D1880" s="78"/>
      <c r="E1880" s="77"/>
      <c r="F1880" s="77"/>
      <c r="G1880" s="77"/>
      <c r="H1880" s="77"/>
      <c r="I1880" s="77"/>
      <c r="J1880" s="77"/>
      <c r="K1880" s="79"/>
      <c r="L1880" s="49">
        <f t="shared" si="116"/>
        <v>0</v>
      </c>
      <c r="M1880" s="50">
        <f t="shared" si="117"/>
        <v>0</v>
      </c>
    </row>
    <row r="1881" spans="1:13" x14ac:dyDescent="0.2">
      <c r="A1881" s="18"/>
      <c r="B1881" s="77"/>
      <c r="C1881" s="77"/>
      <c r="D1881" s="78"/>
      <c r="E1881" s="77"/>
      <c r="F1881" s="77"/>
      <c r="G1881" s="77"/>
      <c r="H1881" s="77"/>
      <c r="I1881" s="77"/>
      <c r="J1881" s="77"/>
      <c r="K1881" s="79"/>
      <c r="L1881" s="49">
        <f t="shared" si="116"/>
        <v>0</v>
      </c>
      <c r="M1881" s="50">
        <f t="shared" si="117"/>
        <v>0</v>
      </c>
    </row>
    <row r="1882" spans="1:13" x14ac:dyDescent="0.2">
      <c r="A1882" s="18"/>
      <c r="B1882" s="77"/>
      <c r="C1882" s="77"/>
      <c r="D1882" s="78"/>
      <c r="E1882" s="77"/>
      <c r="F1882" s="77"/>
      <c r="G1882" s="77"/>
      <c r="H1882" s="77"/>
      <c r="I1882" s="77"/>
      <c r="J1882" s="77"/>
      <c r="K1882" s="79"/>
      <c r="L1882" s="49">
        <f t="shared" si="116"/>
        <v>0</v>
      </c>
      <c r="M1882" s="50">
        <f t="shared" si="117"/>
        <v>0</v>
      </c>
    </row>
    <row r="1883" spans="1:13" x14ac:dyDescent="0.2">
      <c r="A1883" s="18"/>
      <c r="B1883" s="77"/>
      <c r="C1883" s="77"/>
      <c r="D1883" s="78"/>
      <c r="E1883" s="77"/>
      <c r="F1883" s="77"/>
      <c r="G1883" s="77"/>
      <c r="H1883" s="77"/>
      <c r="I1883" s="77"/>
      <c r="J1883" s="77"/>
      <c r="K1883" s="79"/>
      <c r="L1883" s="49">
        <f t="shared" si="116"/>
        <v>0</v>
      </c>
      <c r="M1883" s="50">
        <f t="shared" si="117"/>
        <v>0</v>
      </c>
    </row>
    <row r="1884" spans="1:13" x14ac:dyDescent="0.2">
      <c r="A1884" s="18"/>
      <c r="B1884" s="77"/>
      <c r="C1884" s="77"/>
      <c r="D1884" s="78"/>
      <c r="E1884" s="77"/>
      <c r="F1884" s="77"/>
      <c r="G1884" s="77"/>
      <c r="H1884" s="77"/>
      <c r="I1884" s="77"/>
      <c r="J1884" s="77"/>
      <c r="K1884" s="79"/>
      <c r="L1884" s="49">
        <f t="shared" si="116"/>
        <v>0</v>
      </c>
      <c r="M1884" s="50">
        <f t="shared" si="117"/>
        <v>0</v>
      </c>
    </row>
    <row r="1885" spans="1:13" x14ac:dyDescent="0.2">
      <c r="A1885" s="18"/>
      <c r="B1885" s="77"/>
      <c r="C1885" s="77"/>
      <c r="D1885" s="78"/>
      <c r="E1885" s="77"/>
      <c r="F1885" s="77"/>
      <c r="G1885" s="77"/>
      <c r="H1885" s="77"/>
      <c r="I1885" s="77"/>
      <c r="J1885" s="77"/>
      <c r="K1885" s="79"/>
      <c r="L1885" s="49">
        <f t="shared" si="116"/>
        <v>0</v>
      </c>
      <c r="M1885" s="50">
        <f t="shared" si="117"/>
        <v>0</v>
      </c>
    </row>
    <row r="1886" spans="1:13" x14ac:dyDescent="0.2">
      <c r="A1886" s="18"/>
      <c r="B1886" s="77"/>
      <c r="C1886" s="77"/>
      <c r="D1886" s="78"/>
      <c r="E1886" s="77"/>
      <c r="F1886" s="77"/>
      <c r="G1886" s="77"/>
      <c r="H1886" s="77"/>
      <c r="I1886" s="77"/>
      <c r="J1886" s="77"/>
      <c r="K1886" s="79"/>
      <c r="L1886" s="49">
        <f t="shared" si="116"/>
        <v>0</v>
      </c>
      <c r="M1886" s="50">
        <f t="shared" si="117"/>
        <v>0</v>
      </c>
    </row>
    <row r="1887" spans="1:13" x14ac:dyDescent="0.2">
      <c r="A1887" s="18"/>
      <c r="B1887" s="77"/>
      <c r="C1887" s="77"/>
      <c r="D1887" s="78"/>
      <c r="E1887" s="77"/>
      <c r="F1887" s="77"/>
      <c r="G1887" s="77"/>
      <c r="H1887" s="77"/>
      <c r="I1887" s="77"/>
      <c r="J1887" s="77"/>
      <c r="K1887" s="79"/>
      <c r="L1887" s="49">
        <f t="shared" si="116"/>
        <v>0</v>
      </c>
      <c r="M1887" s="50">
        <f t="shared" si="117"/>
        <v>0</v>
      </c>
    </row>
    <row r="1888" spans="1:13" x14ac:dyDescent="0.2">
      <c r="A1888" s="18"/>
      <c r="B1888" s="77"/>
      <c r="C1888" s="77"/>
      <c r="D1888" s="78"/>
      <c r="E1888" s="77"/>
      <c r="F1888" s="77"/>
      <c r="G1888" s="77"/>
      <c r="H1888" s="77"/>
      <c r="I1888" s="77"/>
      <c r="J1888" s="77"/>
      <c r="K1888" s="79"/>
      <c r="L1888" s="49">
        <f t="shared" si="116"/>
        <v>0</v>
      </c>
      <c r="M1888" s="50">
        <f t="shared" si="117"/>
        <v>0</v>
      </c>
    </row>
    <row r="1889" spans="1:13" x14ac:dyDescent="0.2">
      <c r="A1889" s="18"/>
      <c r="B1889" s="77"/>
      <c r="C1889" s="77"/>
      <c r="D1889" s="78"/>
      <c r="E1889" s="77"/>
      <c r="F1889" s="77"/>
      <c r="G1889" s="77"/>
      <c r="H1889" s="77"/>
      <c r="I1889" s="77"/>
      <c r="J1889" s="77"/>
      <c r="K1889" s="79"/>
      <c r="L1889" s="49">
        <f t="shared" si="116"/>
        <v>0</v>
      </c>
      <c r="M1889" s="50">
        <f t="shared" si="117"/>
        <v>0</v>
      </c>
    </row>
    <row r="1890" spans="1:13" x14ac:dyDescent="0.2">
      <c r="A1890" s="18"/>
      <c r="B1890" s="77"/>
      <c r="C1890" s="77"/>
      <c r="D1890" s="78"/>
      <c r="E1890" s="77"/>
      <c r="F1890" s="77"/>
      <c r="G1890" s="77"/>
      <c r="H1890" s="77"/>
      <c r="I1890" s="77"/>
      <c r="J1890" s="77"/>
      <c r="K1890" s="79"/>
      <c r="L1890" s="49">
        <f t="shared" si="116"/>
        <v>0</v>
      </c>
      <c r="M1890" s="50">
        <f t="shared" si="117"/>
        <v>0</v>
      </c>
    </row>
    <row r="1891" spans="1:13" x14ac:dyDescent="0.2">
      <c r="A1891" s="18"/>
      <c r="B1891" s="77"/>
      <c r="C1891" s="77"/>
      <c r="D1891" s="78"/>
      <c r="E1891" s="77"/>
      <c r="F1891" s="77"/>
      <c r="G1891" s="77"/>
      <c r="H1891" s="77"/>
      <c r="I1891" s="77"/>
      <c r="J1891" s="77"/>
      <c r="K1891" s="79"/>
      <c r="L1891" s="49">
        <f t="shared" si="116"/>
        <v>0</v>
      </c>
      <c r="M1891" s="50">
        <f t="shared" si="117"/>
        <v>0</v>
      </c>
    </row>
    <row r="1892" spans="1:13" x14ac:dyDescent="0.2">
      <c r="A1892" s="18"/>
      <c r="B1892" s="77"/>
      <c r="C1892" s="77"/>
      <c r="D1892" s="78"/>
      <c r="E1892" s="77"/>
      <c r="F1892" s="77"/>
      <c r="G1892" s="77"/>
      <c r="H1892" s="77"/>
      <c r="I1892" s="77"/>
      <c r="J1892" s="77"/>
      <c r="K1892" s="79"/>
      <c r="L1892" s="49">
        <f t="shared" si="116"/>
        <v>0</v>
      </c>
      <c r="M1892" s="50">
        <f t="shared" si="117"/>
        <v>0</v>
      </c>
    </row>
    <row r="1893" spans="1:13" x14ac:dyDescent="0.2">
      <c r="A1893" s="18"/>
      <c r="B1893" s="77"/>
      <c r="C1893" s="77"/>
      <c r="D1893" s="78"/>
      <c r="E1893" s="77"/>
      <c r="F1893" s="77"/>
      <c r="G1893" s="77"/>
      <c r="H1893" s="77"/>
      <c r="I1893" s="77"/>
      <c r="J1893" s="77"/>
      <c r="K1893" s="79"/>
      <c r="L1893" s="49">
        <f t="shared" si="116"/>
        <v>0</v>
      </c>
      <c r="M1893" s="50">
        <f t="shared" si="117"/>
        <v>0</v>
      </c>
    </row>
    <row r="1894" spans="1:13" x14ac:dyDescent="0.2">
      <c r="A1894" s="18"/>
      <c r="B1894" s="77"/>
      <c r="C1894" s="77"/>
      <c r="D1894" s="78"/>
      <c r="E1894" s="77"/>
      <c r="F1894" s="77"/>
      <c r="G1894" s="77"/>
      <c r="H1894" s="77"/>
      <c r="I1894" s="77"/>
      <c r="J1894" s="77"/>
      <c r="K1894" s="79"/>
      <c r="L1894" s="49">
        <f t="shared" si="116"/>
        <v>0</v>
      </c>
      <c r="M1894" s="50">
        <f t="shared" si="117"/>
        <v>0</v>
      </c>
    </row>
    <row r="1895" spans="1:13" x14ac:dyDescent="0.2">
      <c r="A1895" s="18"/>
      <c r="B1895" s="77"/>
      <c r="C1895" s="77"/>
      <c r="D1895" s="78"/>
      <c r="E1895" s="77"/>
      <c r="F1895" s="77"/>
      <c r="G1895" s="77"/>
      <c r="H1895" s="77"/>
      <c r="I1895" s="77"/>
      <c r="J1895" s="77"/>
      <c r="K1895" s="79"/>
      <c r="L1895" s="49">
        <f t="shared" si="116"/>
        <v>0</v>
      </c>
      <c r="M1895" s="50">
        <f t="shared" si="117"/>
        <v>0</v>
      </c>
    </row>
    <row r="1896" spans="1:13" x14ac:dyDescent="0.2">
      <c r="A1896" s="18"/>
      <c r="B1896" s="77"/>
      <c r="C1896" s="77"/>
      <c r="D1896" s="78"/>
      <c r="E1896" s="77"/>
      <c r="F1896" s="77"/>
      <c r="G1896" s="77"/>
      <c r="H1896" s="77"/>
      <c r="I1896" s="77"/>
      <c r="J1896" s="77"/>
      <c r="K1896" s="79"/>
      <c r="L1896" s="49">
        <f t="shared" ref="L1896:L1959" si="118">+K1896*18%</f>
        <v>0</v>
      </c>
      <c r="M1896" s="50">
        <f t="shared" ref="M1896:M1959" si="119">+K1896+L1896</f>
        <v>0</v>
      </c>
    </row>
    <row r="1897" spans="1:13" x14ac:dyDescent="0.2">
      <c r="A1897" s="18"/>
      <c r="B1897" s="77"/>
      <c r="C1897" s="77"/>
      <c r="D1897" s="78"/>
      <c r="E1897" s="77"/>
      <c r="F1897" s="77"/>
      <c r="G1897" s="77"/>
      <c r="H1897" s="77"/>
      <c r="I1897" s="77"/>
      <c r="J1897" s="77"/>
      <c r="K1897" s="79"/>
      <c r="L1897" s="49">
        <f t="shared" si="118"/>
        <v>0</v>
      </c>
      <c r="M1897" s="50">
        <f t="shared" si="119"/>
        <v>0</v>
      </c>
    </row>
    <row r="1898" spans="1:13" x14ac:dyDescent="0.2">
      <c r="A1898" s="18"/>
      <c r="B1898" s="77"/>
      <c r="C1898" s="77"/>
      <c r="D1898" s="78"/>
      <c r="E1898" s="77"/>
      <c r="F1898" s="77"/>
      <c r="G1898" s="77"/>
      <c r="H1898" s="77"/>
      <c r="I1898" s="77"/>
      <c r="J1898" s="77"/>
      <c r="K1898" s="79"/>
      <c r="L1898" s="49">
        <f t="shared" si="118"/>
        <v>0</v>
      </c>
      <c r="M1898" s="50">
        <f t="shared" si="119"/>
        <v>0</v>
      </c>
    </row>
    <row r="1899" spans="1:13" x14ac:dyDescent="0.2">
      <c r="A1899" s="18"/>
      <c r="B1899" s="77"/>
      <c r="C1899" s="77"/>
      <c r="D1899" s="78"/>
      <c r="E1899" s="77"/>
      <c r="F1899" s="77"/>
      <c r="G1899" s="77"/>
      <c r="H1899" s="77"/>
      <c r="I1899" s="77"/>
      <c r="J1899" s="77"/>
      <c r="K1899" s="79"/>
      <c r="L1899" s="49">
        <f t="shared" si="118"/>
        <v>0</v>
      </c>
      <c r="M1899" s="50">
        <f t="shared" si="119"/>
        <v>0</v>
      </c>
    </row>
    <row r="1900" spans="1:13" x14ac:dyDescent="0.2">
      <c r="A1900" s="18"/>
      <c r="B1900" s="77"/>
      <c r="C1900" s="77"/>
      <c r="D1900" s="78"/>
      <c r="E1900" s="77"/>
      <c r="F1900" s="77"/>
      <c r="G1900" s="77"/>
      <c r="H1900" s="77"/>
      <c r="I1900" s="77"/>
      <c r="J1900" s="77"/>
      <c r="K1900" s="79"/>
      <c r="L1900" s="49">
        <f t="shared" si="118"/>
        <v>0</v>
      </c>
      <c r="M1900" s="50">
        <f t="shared" si="119"/>
        <v>0</v>
      </c>
    </row>
    <row r="1901" spans="1:13" x14ac:dyDescent="0.2">
      <c r="A1901" s="18"/>
      <c r="B1901" s="77"/>
      <c r="C1901" s="77"/>
      <c r="D1901" s="78"/>
      <c r="E1901" s="77"/>
      <c r="F1901" s="77"/>
      <c r="G1901" s="77"/>
      <c r="H1901" s="77"/>
      <c r="I1901" s="77"/>
      <c r="J1901" s="77"/>
      <c r="K1901" s="79"/>
      <c r="L1901" s="49">
        <f t="shared" si="118"/>
        <v>0</v>
      </c>
      <c r="M1901" s="50">
        <f t="shared" si="119"/>
        <v>0</v>
      </c>
    </row>
    <row r="1902" spans="1:13" x14ac:dyDescent="0.2">
      <c r="A1902" s="18"/>
      <c r="B1902" s="77"/>
      <c r="C1902" s="77"/>
      <c r="D1902" s="78"/>
      <c r="E1902" s="77"/>
      <c r="F1902" s="77"/>
      <c r="G1902" s="77"/>
      <c r="H1902" s="77"/>
      <c r="I1902" s="77"/>
      <c r="J1902" s="77"/>
      <c r="K1902" s="79"/>
      <c r="L1902" s="49">
        <f t="shared" si="118"/>
        <v>0</v>
      </c>
      <c r="M1902" s="50">
        <f t="shared" si="119"/>
        <v>0</v>
      </c>
    </row>
    <row r="1903" spans="1:13" x14ac:dyDescent="0.2">
      <c r="A1903" s="18"/>
      <c r="B1903" s="77"/>
      <c r="C1903" s="77"/>
      <c r="D1903" s="78"/>
      <c r="E1903" s="77"/>
      <c r="F1903" s="77"/>
      <c r="G1903" s="77"/>
      <c r="H1903" s="77"/>
      <c r="I1903" s="77"/>
      <c r="J1903" s="77"/>
      <c r="K1903" s="79"/>
      <c r="L1903" s="49">
        <f t="shared" si="118"/>
        <v>0</v>
      </c>
      <c r="M1903" s="50">
        <f t="shared" si="119"/>
        <v>0</v>
      </c>
    </row>
    <row r="1904" spans="1:13" x14ac:dyDescent="0.2">
      <c r="A1904" s="18"/>
      <c r="B1904" s="77"/>
      <c r="C1904" s="77"/>
      <c r="D1904" s="78"/>
      <c r="E1904" s="77"/>
      <c r="F1904" s="77"/>
      <c r="G1904" s="77"/>
      <c r="H1904" s="77"/>
      <c r="I1904" s="77"/>
      <c r="J1904" s="77"/>
      <c r="K1904" s="79"/>
      <c r="L1904" s="49">
        <f t="shared" si="118"/>
        <v>0</v>
      </c>
      <c r="M1904" s="50">
        <f t="shared" si="119"/>
        <v>0</v>
      </c>
    </row>
    <row r="1905" spans="1:13" x14ac:dyDescent="0.2">
      <c r="A1905" s="18"/>
      <c r="B1905" s="77"/>
      <c r="C1905" s="77"/>
      <c r="D1905" s="78"/>
      <c r="E1905" s="77"/>
      <c r="F1905" s="77"/>
      <c r="G1905" s="77"/>
      <c r="H1905" s="77"/>
      <c r="I1905" s="77"/>
      <c r="J1905" s="77"/>
      <c r="K1905" s="79"/>
      <c r="L1905" s="49">
        <f t="shared" si="118"/>
        <v>0</v>
      </c>
      <c r="M1905" s="50">
        <f t="shared" si="119"/>
        <v>0</v>
      </c>
    </row>
    <row r="1906" spans="1:13" x14ac:dyDescent="0.2">
      <c r="A1906" s="18"/>
      <c r="B1906" s="77"/>
      <c r="C1906" s="77"/>
      <c r="D1906" s="78"/>
      <c r="E1906" s="77"/>
      <c r="F1906" s="77"/>
      <c r="G1906" s="77"/>
      <c r="H1906" s="77"/>
      <c r="I1906" s="77"/>
      <c r="J1906" s="77"/>
      <c r="K1906" s="79"/>
      <c r="L1906" s="49">
        <f t="shared" si="118"/>
        <v>0</v>
      </c>
      <c r="M1906" s="50">
        <f t="shared" si="119"/>
        <v>0</v>
      </c>
    </row>
    <row r="1907" spans="1:13" x14ac:dyDescent="0.2">
      <c r="A1907" s="18"/>
      <c r="B1907" s="77"/>
      <c r="C1907" s="77"/>
      <c r="D1907" s="78"/>
      <c r="E1907" s="77"/>
      <c r="F1907" s="77"/>
      <c r="G1907" s="77"/>
      <c r="H1907" s="77"/>
      <c r="I1907" s="77"/>
      <c r="J1907" s="77"/>
      <c r="K1907" s="79"/>
      <c r="L1907" s="49">
        <f t="shared" si="118"/>
        <v>0</v>
      </c>
      <c r="M1907" s="50">
        <f t="shared" si="119"/>
        <v>0</v>
      </c>
    </row>
    <row r="1908" spans="1:13" x14ac:dyDescent="0.2">
      <c r="A1908" s="18"/>
      <c r="B1908" s="77"/>
      <c r="C1908" s="77"/>
      <c r="D1908" s="78"/>
      <c r="E1908" s="77"/>
      <c r="F1908" s="77"/>
      <c r="G1908" s="77"/>
      <c r="H1908" s="77"/>
      <c r="I1908" s="77"/>
      <c r="J1908" s="77"/>
      <c r="K1908" s="79"/>
      <c r="L1908" s="49">
        <f t="shared" si="118"/>
        <v>0</v>
      </c>
      <c r="M1908" s="50">
        <f t="shared" si="119"/>
        <v>0</v>
      </c>
    </row>
    <row r="1909" spans="1:13" x14ac:dyDescent="0.2">
      <c r="A1909" s="18"/>
      <c r="B1909" s="77"/>
      <c r="C1909" s="77"/>
      <c r="D1909" s="78"/>
      <c r="E1909" s="77"/>
      <c r="F1909" s="77"/>
      <c r="G1909" s="77"/>
      <c r="H1909" s="77"/>
      <c r="I1909" s="77"/>
      <c r="J1909" s="77"/>
      <c r="K1909" s="79"/>
      <c r="L1909" s="49">
        <f t="shared" si="118"/>
        <v>0</v>
      </c>
      <c r="M1909" s="50">
        <f t="shared" si="119"/>
        <v>0</v>
      </c>
    </row>
    <row r="1910" spans="1:13" x14ac:dyDescent="0.2">
      <c r="A1910" s="18"/>
      <c r="B1910" s="77"/>
      <c r="C1910" s="77"/>
      <c r="D1910" s="78"/>
      <c r="E1910" s="77"/>
      <c r="F1910" s="77"/>
      <c r="G1910" s="77"/>
      <c r="H1910" s="77"/>
      <c r="I1910" s="77"/>
      <c r="J1910" s="77"/>
      <c r="K1910" s="79"/>
      <c r="L1910" s="49">
        <f t="shared" si="118"/>
        <v>0</v>
      </c>
      <c r="M1910" s="50">
        <f t="shared" si="119"/>
        <v>0</v>
      </c>
    </row>
    <row r="1911" spans="1:13" x14ac:dyDescent="0.2">
      <c r="A1911" s="18"/>
      <c r="B1911" s="77"/>
      <c r="C1911" s="77"/>
      <c r="D1911" s="78"/>
      <c r="E1911" s="77"/>
      <c r="F1911" s="77"/>
      <c r="G1911" s="77"/>
      <c r="H1911" s="77"/>
      <c r="I1911" s="77"/>
      <c r="J1911" s="77"/>
      <c r="K1911" s="79"/>
      <c r="L1911" s="49">
        <f t="shared" si="118"/>
        <v>0</v>
      </c>
      <c r="M1911" s="50">
        <f t="shared" si="119"/>
        <v>0</v>
      </c>
    </row>
    <row r="1912" spans="1:13" x14ac:dyDescent="0.2">
      <c r="A1912" s="18"/>
      <c r="B1912" s="77"/>
      <c r="C1912" s="77"/>
      <c r="D1912" s="78"/>
      <c r="E1912" s="77"/>
      <c r="F1912" s="77"/>
      <c r="G1912" s="77"/>
      <c r="H1912" s="77"/>
      <c r="I1912" s="77"/>
      <c r="J1912" s="77"/>
      <c r="K1912" s="79"/>
      <c r="L1912" s="49">
        <f t="shared" si="118"/>
        <v>0</v>
      </c>
      <c r="M1912" s="50">
        <f t="shared" si="119"/>
        <v>0</v>
      </c>
    </row>
    <row r="1913" spans="1:13" x14ac:dyDescent="0.2">
      <c r="A1913" s="18"/>
      <c r="B1913" s="77"/>
      <c r="C1913" s="77"/>
      <c r="D1913" s="78"/>
      <c r="E1913" s="77"/>
      <c r="F1913" s="77"/>
      <c r="G1913" s="77"/>
      <c r="H1913" s="77"/>
      <c r="I1913" s="77"/>
      <c r="J1913" s="77"/>
      <c r="K1913" s="79"/>
      <c r="L1913" s="49">
        <f t="shared" si="118"/>
        <v>0</v>
      </c>
      <c r="M1913" s="50">
        <f t="shared" si="119"/>
        <v>0</v>
      </c>
    </row>
    <row r="1914" spans="1:13" x14ac:dyDescent="0.2">
      <c r="A1914" s="18"/>
      <c r="B1914" s="77"/>
      <c r="C1914" s="77"/>
      <c r="D1914" s="78"/>
      <c r="E1914" s="77"/>
      <c r="F1914" s="77"/>
      <c r="G1914" s="77"/>
      <c r="H1914" s="77"/>
      <c r="I1914" s="77"/>
      <c r="J1914" s="77"/>
      <c r="K1914" s="79"/>
      <c r="L1914" s="49">
        <f t="shared" si="118"/>
        <v>0</v>
      </c>
      <c r="M1914" s="50">
        <f t="shared" si="119"/>
        <v>0</v>
      </c>
    </row>
    <row r="1915" spans="1:13" x14ac:dyDescent="0.2">
      <c r="A1915" s="18"/>
      <c r="B1915" s="77"/>
      <c r="C1915" s="77"/>
      <c r="D1915" s="78"/>
      <c r="E1915" s="77"/>
      <c r="F1915" s="77"/>
      <c r="G1915" s="77"/>
      <c r="H1915" s="77"/>
      <c r="I1915" s="77"/>
      <c r="J1915" s="77"/>
      <c r="K1915" s="79"/>
      <c r="L1915" s="49">
        <f t="shared" si="118"/>
        <v>0</v>
      </c>
      <c r="M1915" s="50">
        <f t="shared" si="119"/>
        <v>0</v>
      </c>
    </row>
    <row r="1916" spans="1:13" x14ac:dyDescent="0.2">
      <c r="A1916" s="18"/>
      <c r="B1916" s="77"/>
      <c r="C1916" s="77"/>
      <c r="D1916" s="78"/>
      <c r="E1916" s="77"/>
      <c r="F1916" s="77"/>
      <c r="G1916" s="77"/>
      <c r="H1916" s="77"/>
      <c r="I1916" s="77"/>
      <c r="J1916" s="77"/>
      <c r="K1916" s="79"/>
      <c r="L1916" s="49">
        <f t="shared" si="118"/>
        <v>0</v>
      </c>
      <c r="M1916" s="50">
        <f t="shared" si="119"/>
        <v>0</v>
      </c>
    </row>
    <row r="1917" spans="1:13" x14ac:dyDescent="0.2">
      <c r="A1917" s="18"/>
      <c r="B1917" s="77"/>
      <c r="C1917" s="77"/>
      <c r="D1917" s="78"/>
      <c r="E1917" s="77"/>
      <c r="F1917" s="77"/>
      <c r="G1917" s="77"/>
      <c r="H1917" s="77"/>
      <c r="I1917" s="77"/>
      <c r="J1917" s="77"/>
      <c r="K1917" s="79"/>
      <c r="L1917" s="49">
        <f t="shared" si="118"/>
        <v>0</v>
      </c>
      <c r="M1917" s="50">
        <f t="shared" si="119"/>
        <v>0</v>
      </c>
    </row>
    <row r="1918" spans="1:13" x14ac:dyDescent="0.2">
      <c r="A1918" s="18"/>
      <c r="B1918" s="77"/>
      <c r="C1918" s="77"/>
      <c r="D1918" s="78"/>
      <c r="E1918" s="77"/>
      <c r="F1918" s="77"/>
      <c r="G1918" s="77"/>
      <c r="H1918" s="77"/>
      <c r="I1918" s="77"/>
      <c r="J1918" s="77"/>
      <c r="K1918" s="79"/>
      <c r="L1918" s="49">
        <f t="shared" si="118"/>
        <v>0</v>
      </c>
      <c r="M1918" s="50">
        <f t="shared" si="119"/>
        <v>0</v>
      </c>
    </row>
    <row r="1919" spans="1:13" x14ac:dyDescent="0.2">
      <c r="A1919" s="18"/>
      <c r="B1919" s="77"/>
      <c r="C1919" s="77"/>
      <c r="D1919" s="78"/>
      <c r="E1919" s="77"/>
      <c r="F1919" s="77"/>
      <c r="G1919" s="77"/>
      <c r="H1919" s="77"/>
      <c r="I1919" s="77"/>
      <c r="J1919" s="77"/>
      <c r="K1919" s="79"/>
      <c r="L1919" s="49">
        <f t="shared" si="118"/>
        <v>0</v>
      </c>
      <c r="M1919" s="50">
        <f t="shared" si="119"/>
        <v>0</v>
      </c>
    </row>
    <row r="1920" spans="1:13" x14ac:dyDescent="0.2">
      <c r="A1920" s="18"/>
      <c r="B1920" s="77"/>
      <c r="C1920" s="77"/>
      <c r="D1920" s="78"/>
      <c r="E1920" s="77"/>
      <c r="F1920" s="77"/>
      <c r="G1920" s="77"/>
      <c r="H1920" s="77"/>
      <c r="I1920" s="77"/>
      <c r="J1920" s="77"/>
      <c r="K1920" s="79"/>
      <c r="L1920" s="49">
        <f t="shared" si="118"/>
        <v>0</v>
      </c>
      <c r="M1920" s="50">
        <f t="shared" si="119"/>
        <v>0</v>
      </c>
    </row>
    <row r="1921" spans="1:13" x14ac:dyDescent="0.2">
      <c r="A1921" s="18"/>
      <c r="B1921" s="77"/>
      <c r="C1921" s="77"/>
      <c r="D1921" s="78"/>
      <c r="E1921" s="77"/>
      <c r="F1921" s="77"/>
      <c r="G1921" s="77"/>
      <c r="H1921" s="77"/>
      <c r="I1921" s="77"/>
      <c r="J1921" s="77"/>
      <c r="K1921" s="79"/>
      <c r="L1921" s="49">
        <f t="shared" si="118"/>
        <v>0</v>
      </c>
      <c r="M1921" s="50">
        <f t="shared" si="119"/>
        <v>0</v>
      </c>
    </row>
    <row r="1922" spans="1:13" x14ac:dyDescent="0.2">
      <c r="A1922" s="18"/>
      <c r="B1922" s="77"/>
      <c r="C1922" s="77"/>
      <c r="D1922" s="78"/>
      <c r="E1922" s="77"/>
      <c r="F1922" s="77"/>
      <c r="G1922" s="77"/>
      <c r="H1922" s="77"/>
      <c r="I1922" s="77"/>
      <c r="J1922" s="77"/>
      <c r="K1922" s="79"/>
      <c r="L1922" s="49">
        <f t="shared" si="118"/>
        <v>0</v>
      </c>
      <c r="M1922" s="50">
        <f t="shared" si="119"/>
        <v>0</v>
      </c>
    </row>
    <row r="1923" spans="1:13" x14ac:dyDescent="0.2">
      <c r="A1923" s="18"/>
      <c r="B1923" s="77"/>
      <c r="C1923" s="77"/>
      <c r="D1923" s="78"/>
      <c r="E1923" s="77"/>
      <c r="F1923" s="77"/>
      <c r="G1923" s="77"/>
      <c r="H1923" s="77"/>
      <c r="I1923" s="77"/>
      <c r="J1923" s="77"/>
      <c r="K1923" s="79"/>
      <c r="L1923" s="49">
        <f t="shared" si="118"/>
        <v>0</v>
      </c>
      <c r="M1923" s="50">
        <f t="shared" si="119"/>
        <v>0</v>
      </c>
    </row>
    <row r="1924" spans="1:13" x14ac:dyDescent="0.2">
      <c r="A1924" s="18"/>
      <c r="B1924" s="77"/>
      <c r="C1924" s="77"/>
      <c r="D1924" s="78"/>
      <c r="E1924" s="77"/>
      <c r="F1924" s="77"/>
      <c r="G1924" s="77"/>
      <c r="H1924" s="77"/>
      <c r="I1924" s="77"/>
      <c r="J1924" s="77"/>
      <c r="K1924" s="79"/>
      <c r="L1924" s="49">
        <f t="shared" si="118"/>
        <v>0</v>
      </c>
      <c r="M1924" s="50">
        <f t="shared" si="119"/>
        <v>0</v>
      </c>
    </row>
    <row r="1925" spans="1:13" x14ac:dyDescent="0.2">
      <c r="A1925" s="18"/>
      <c r="B1925" s="77"/>
      <c r="C1925" s="77"/>
      <c r="D1925" s="78"/>
      <c r="E1925" s="77"/>
      <c r="F1925" s="77"/>
      <c r="G1925" s="77"/>
      <c r="H1925" s="77"/>
      <c r="I1925" s="77"/>
      <c r="J1925" s="77"/>
      <c r="K1925" s="79"/>
      <c r="L1925" s="49">
        <f t="shared" si="118"/>
        <v>0</v>
      </c>
      <c r="M1925" s="50">
        <f t="shared" si="119"/>
        <v>0</v>
      </c>
    </row>
    <row r="1926" spans="1:13" x14ac:dyDescent="0.2">
      <c r="A1926" s="18"/>
      <c r="B1926" s="77"/>
      <c r="C1926" s="77"/>
      <c r="D1926" s="78"/>
      <c r="E1926" s="77"/>
      <c r="F1926" s="77"/>
      <c r="G1926" s="77"/>
      <c r="H1926" s="77"/>
      <c r="I1926" s="77"/>
      <c r="J1926" s="77"/>
      <c r="K1926" s="79"/>
      <c r="L1926" s="49">
        <f t="shared" si="118"/>
        <v>0</v>
      </c>
      <c r="M1926" s="50">
        <f t="shared" si="119"/>
        <v>0</v>
      </c>
    </row>
    <row r="1927" spans="1:13" x14ac:dyDescent="0.2">
      <c r="A1927" s="18"/>
      <c r="B1927" s="77"/>
      <c r="C1927" s="77"/>
      <c r="D1927" s="78"/>
      <c r="E1927" s="77"/>
      <c r="F1927" s="77"/>
      <c r="G1927" s="77"/>
      <c r="H1927" s="77"/>
      <c r="I1927" s="77"/>
      <c r="J1927" s="77"/>
      <c r="K1927" s="79"/>
      <c r="L1927" s="49">
        <f t="shared" si="118"/>
        <v>0</v>
      </c>
      <c r="M1927" s="50">
        <f t="shared" si="119"/>
        <v>0</v>
      </c>
    </row>
    <row r="1928" spans="1:13" x14ac:dyDescent="0.2">
      <c r="A1928" s="18"/>
      <c r="B1928" s="77"/>
      <c r="C1928" s="77"/>
      <c r="D1928" s="78"/>
      <c r="E1928" s="77"/>
      <c r="F1928" s="77"/>
      <c r="G1928" s="77"/>
      <c r="H1928" s="77"/>
      <c r="I1928" s="77"/>
      <c r="J1928" s="77"/>
      <c r="K1928" s="79"/>
      <c r="L1928" s="49">
        <f t="shared" si="118"/>
        <v>0</v>
      </c>
      <c r="M1928" s="50">
        <f t="shared" si="119"/>
        <v>0</v>
      </c>
    </row>
    <row r="1929" spans="1:13" x14ac:dyDescent="0.2">
      <c r="A1929" s="18"/>
      <c r="B1929" s="77"/>
      <c r="C1929" s="77"/>
      <c r="D1929" s="78"/>
      <c r="E1929" s="77"/>
      <c r="F1929" s="77"/>
      <c r="G1929" s="77"/>
      <c r="H1929" s="77"/>
      <c r="I1929" s="77"/>
      <c r="J1929" s="77"/>
      <c r="K1929" s="79"/>
      <c r="L1929" s="49">
        <f t="shared" si="118"/>
        <v>0</v>
      </c>
      <c r="M1929" s="50">
        <f t="shared" si="119"/>
        <v>0</v>
      </c>
    </row>
    <row r="1930" spans="1:13" x14ac:dyDescent="0.2">
      <c r="A1930" s="18"/>
      <c r="B1930" s="77"/>
      <c r="C1930" s="77"/>
      <c r="D1930" s="78"/>
      <c r="E1930" s="77"/>
      <c r="F1930" s="77"/>
      <c r="G1930" s="77"/>
      <c r="H1930" s="77"/>
      <c r="I1930" s="77"/>
      <c r="J1930" s="77"/>
      <c r="K1930" s="79"/>
      <c r="L1930" s="49">
        <f t="shared" si="118"/>
        <v>0</v>
      </c>
      <c r="M1930" s="50">
        <f t="shared" si="119"/>
        <v>0</v>
      </c>
    </row>
    <row r="1931" spans="1:13" x14ac:dyDescent="0.2">
      <c r="A1931" s="18"/>
      <c r="B1931" s="77"/>
      <c r="C1931" s="77"/>
      <c r="D1931" s="78"/>
      <c r="E1931" s="77"/>
      <c r="F1931" s="77"/>
      <c r="G1931" s="77"/>
      <c r="H1931" s="77"/>
      <c r="I1931" s="77"/>
      <c r="J1931" s="77"/>
      <c r="K1931" s="79"/>
      <c r="L1931" s="49">
        <f t="shared" si="118"/>
        <v>0</v>
      </c>
      <c r="M1931" s="50">
        <f t="shared" si="119"/>
        <v>0</v>
      </c>
    </row>
    <row r="1932" spans="1:13" x14ac:dyDescent="0.2">
      <c r="A1932" s="18"/>
      <c r="B1932" s="77"/>
      <c r="C1932" s="77"/>
      <c r="D1932" s="78"/>
      <c r="E1932" s="77"/>
      <c r="F1932" s="77"/>
      <c r="G1932" s="77"/>
      <c r="H1932" s="77"/>
      <c r="I1932" s="77"/>
      <c r="J1932" s="77"/>
      <c r="K1932" s="79"/>
      <c r="L1932" s="49">
        <f t="shared" si="118"/>
        <v>0</v>
      </c>
      <c r="M1932" s="50">
        <f t="shared" si="119"/>
        <v>0</v>
      </c>
    </row>
    <row r="1933" spans="1:13" x14ac:dyDescent="0.2">
      <c r="A1933" s="18"/>
      <c r="B1933" s="77"/>
      <c r="C1933" s="77"/>
      <c r="D1933" s="78"/>
      <c r="E1933" s="77"/>
      <c r="F1933" s="77"/>
      <c r="G1933" s="77"/>
      <c r="H1933" s="77"/>
      <c r="I1933" s="77"/>
      <c r="J1933" s="77"/>
      <c r="K1933" s="79"/>
      <c r="L1933" s="49">
        <f t="shared" si="118"/>
        <v>0</v>
      </c>
      <c r="M1933" s="50">
        <f t="shared" si="119"/>
        <v>0</v>
      </c>
    </row>
    <row r="1934" spans="1:13" x14ac:dyDescent="0.2">
      <c r="A1934" s="18"/>
      <c r="B1934" s="77"/>
      <c r="C1934" s="77"/>
      <c r="D1934" s="78"/>
      <c r="E1934" s="77"/>
      <c r="F1934" s="77"/>
      <c r="G1934" s="77"/>
      <c r="H1934" s="77"/>
      <c r="I1934" s="77"/>
      <c r="J1934" s="77"/>
      <c r="K1934" s="79"/>
      <c r="L1934" s="49">
        <f t="shared" si="118"/>
        <v>0</v>
      </c>
      <c r="M1934" s="50">
        <f t="shared" si="119"/>
        <v>0</v>
      </c>
    </row>
    <row r="1935" spans="1:13" x14ac:dyDescent="0.2">
      <c r="A1935" s="18"/>
      <c r="B1935" s="77"/>
      <c r="C1935" s="77"/>
      <c r="D1935" s="78"/>
      <c r="E1935" s="77"/>
      <c r="F1935" s="77"/>
      <c r="G1935" s="77"/>
      <c r="H1935" s="77"/>
      <c r="I1935" s="77"/>
      <c r="J1935" s="77"/>
      <c r="K1935" s="79"/>
      <c r="L1935" s="49">
        <f t="shared" si="118"/>
        <v>0</v>
      </c>
      <c r="M1935" s="50">
        <f t="shared" si="119"/>
        <v>0</v>
      </c>
    </row>
    <row r="1936" spans="1:13" x14ac:dyDescent="0.2">
      <c r="A1936" s="18"/>
      <c r="B1936" s="77"/>
      <c r="C1936" s="77"/>
      <c r="D1936" s="78"/>
      <c r="E1936" s="77"/>
      <c r="F1936" s="77"/>
      <c r="G1936" s="77"/>
      <c r="H1936" s="77"/>
      <c r="I1936" s="77"/>
      <c r="J1936" s="77"/>
      <c r="K1936" s="79"/>
      <c r="L1936" s="49">
        <f t="shared" si="118"/>
        <v>0</v>
      </c>
      <c r="M1936" s="50">
        <f t="shared" si="119"/>
        <v>0</v>
      </c>
    </row>
    <row r="1937" spans="1:13" x14ac:dyDescent="0.2">
      <c r="A1937" s="18"/>
      <c r="B1937" s="77"/>
      <c r="C1937" s="77"/>
      <c r="D1937" s="78"/>
      <c r="E1937" s="77"/>
      <c r="F1937" s="77"/>
      <c r="G1937" s="77"/>
      <c r="H1937" s="77"/>
      <c r="I1937" s="77"/>
      <c r="J1937" s="77"/>
      <c r="K1937" s="79"/>
      <c r="L1937" s="49">
        <f t="shared" si="118"/>
        <v>0</v>
      </c>
      <c r="M1937" s="50">
        <f t="shared" si="119"/>
        <v>0</v>
      </c>
    </row>
    <row r="1938" spans="1:13" x14ac:dyDescent="0.2">
      <c r="A1938" s="18"/>
      <c r="B1938" s="77"/>
      <c r="C1938" s="77"/>
      <c r="D1938" s="78"/>
      <c r="E1938" s="77"/>
      <c r="F1938" s="77"/>
      <c r="G1938" s="77"/>
      <c r="H1938" s="77"/>
      <c r="I1938" s="77"/>
      <c r="J1938" s="77"/>
      <c r="K1938" s="79"/>
      <c r="L1938" s="49">
        <f t="shared" si="118"/>
        <v>0</v>
      </c>
      <c r="M1938" s="50">
        <f t="shared" si="119"/>
        <v>0</v>
      </c>
    </row>
    <row r="1939" spans="1:13" x14ac:dyDescent="0.2">
      <c r="A1939" s="18"/>
      <c r="B1939" s="77"/>
      <c r="C1939" s="77"/>
      <c r="D1939" s="78"/>
      <c r="E1939" s="77"/>
      <c r="F1939" s="77"/>
      <c r="G1939" s="77"/>
      <c r="H1939" s="77"/>
      <c r="I1939" s="77"/>
      <c r="J1939" s="77"/>
      <c r="K1939" s="79"/>
      <c r="L1939" s="49">
        <f t="shared" si="118"/>
        <v>0</v>
      </c>
      <c r="M1939" s="50">
        <f t="shared" si="119"/>
        <v>0</v>
      </c>
    </row>
    <row r="1940" spans="1:13" x14ac:dyDescent="0.2">
      <c r="A1940" s="18"/>
      <c r="B1940" s="77"/>
      <c r="C1940" s="77"/>
      <c r="D1940" s="78"/>
      <c r="E1940" s="77"/>
      <c r="F1940" s="77"/>
      <c r="G1940" s="77"/>
      <c r="H1940" s="77"/>
      <c r="I1940" s="77"/>
      <c r="J1940" s="77"/>
      <c r="K1940" s="79"/>
      <c r="L1940" s="49">
        <f t="shared" si="118"/>
        <v>0</v>
      </c>
      <c r="M1940" s="50">
        <f t="shared" si="119"/>
        <v>0</v>
      </c>
    </row>
    <row r="1941" spans="1:13" x14ac:dyDescent="0.2">
      <c r="A1941" s="18"/>
      <c r="B1941" s="77"/>
      <c r="C1941" s="77"/>
      <c r="D1941" s="78"/>
      <c r="E1941" s="77"/>
      <c r="F1941" s="77"/>
      <c r="G1941" s="77"/>
      <c r="H1941" s="77"/>
      <c r="I1941" s="77"/>
      <c r="J1941" s="77"/>
      <c r="K1941" s="79"/>
      <c r="L1941" s="49">
        <f t="shared" si="118"/>
        <v>0</v>
      </c>
      <c r="M1941" s="50">
        <f t="shared" si="119"/>
        <v>0</v>
      </c>
    </row>
    <row r="1942" spans="1:13" x14ac:dyDescent="0.2">
      <c r="A1942" s="18"/>
      <c r="B1942" s="77"/>
      <c r="C1942" s="77"/>
      <c r="D1942" s="78"/>
      <c r="E1942" s="77"/>
      <c r="F1942" s="77"/>
      <c r="G1942" s="77"/>
      <c r="H1942" s="77"/>
      <c r="I1942" s="77"/>
      <c r="J1942" s="77"/>
      <c r="K1942" s="79"/>
      <c r="L1942" s="49">
        <f t="shared" si="118"/>
        <v>0</v>
      </c>
      <c r="M1942" s="50">
        <f t="shared" si="119"/>
        <v>0</v>
      </c>
    </row>
    <row r="1943" spans="1:13" x14ac:dyDescent="0.2">
      <c r="A1943" s="18"/>
      <c r="B1943" s="77"/>
      <c r="C1943" s="77"/>
      <c r="D1943" s="78"/>
      <c r="E1943" s="77"/>
      <c r="F1943" s="77"/>
      <c r="G1943" s="77"/>
      <c r="H1943" s="77"/>
      <c r="I1943" s="77"/>
      <c r="J1943" s="77"/>
      <c r="K1943" s="79"/>
      <c r="L1943" s="49">
        <f t="shared" si="118"/>
        <v>0</v>
      </c>
      <c r="M1943" s="50">
        <f t="shared" si="119"/>
        <v>0</v>
      </c>
    </row>
    <row r="1944" spans="1:13" x14ac:dyDescent="0.2">
      <c r="A1944" s="18"/>
      <c r="B1944" s="77"/>
      <c r="C1944" s="77"/>
      <c r="D1944" s="78"/>
      <c r="E1944" s="77"/>
      <c r="F1944" s="77"/>
      <c r="G1944" s="77"/>
      <c r="H1944" s="77"/>
      <c r="I1944" s="77"/>
      <c r="J1944" s="77"/>
      <c r="K1944" s="79"/>
      <c r="L1944" s="49">
        <f t="shared" si="118"/>
        <v>0</v>
      </c>
      <c r="M1944" s="50">
        <f t="shared" si="119"/>
        <v>0</v>
      </c>
    </row>
    <row r="1945" spans="1:13" x14ac:dyDescent="0.2">
      <c r="A1945" s="18"/>
      <c r="B1945" s="77"/>
      <c r="C1945" s="77"/>
      <c r="D1945" s="78"/>
      <c r="E1945" s="77"/>
      <c r="F1945" s="77"/>
      <c r="G1945" s="77"/>
      <c r="H1945" s="77"/>
      <c r="I1945" s="77"/>
      <c r="J1945" s="77"/>
      <c r="K1945" s="79"/>
      <c r="L1945" s="49">
        <f t="shared" si="118"/>
        <v>0</v>
      </c>
      <c r="M1945" s="50">
        <f t="shared" si="119"/>
        <v>0</v>
      </c>
    </row>
    <row r="1946" spans="1:13" x14ac:dyDescent="0.2">
      <c r="A1946" s="18"/>
      <c r="B1946" s="77"/>
      <c r="C1946" s="77"/>
      <c r="D1946" s="78"/>
      <c r="E1946" s="77"/>
      <c r="F1946" s="77"/>
      <c r="G1946" s="77"/>
      <c r="H1946" s="77"/>
      <c r="I1946" s="77"/>
      <c r="J1946" s="77"/>
      <c r="K1946" s="79"/>
      <c r="L1946" s="49">
        <f t="shared" si="118"/>
        <v>0</v>
      </c>
      <c r="M1946" s="50">
        <f t="shared" si="119"/>
        <v>0</v>
      </c>
    </row>
    <row r="1947" spans="1:13" x14ac:dyDescent="0.2">
      <c r="A1947" s="18"/>
      <c r="B1947" s="77"/>
      <c r="C1947" s="77"/>
      <c r="D1947" s="78"/>
      <c r="E1947" s="77"/>
      <c r="F1947" s="77"/>
      <c r="G1947" s="77"/>
      <c r="H1947" s="77"/>
      <c r="I1947" s="77"/>
      <c r="J1947" s="77"/>
      <c r="K1947" s="79"/>
      <c r="L1947" s="49">
        <f t="shared" si="118"/>
        <v>0</v>
      </c>
      <c r="M1947" s="50">
        <f t="shared" si="119"/>
        <v>0</v>
      </c>
    </row>
    <row r="1948" spans="1:13" x14ac:dyDescent="0.2">
      <c r="A1948" s="18"/>
      <c r="B1948" s="77"/>
      <c r="C1948" s="77"/>
      <c r="D1948" s="78"/>
      <c r="E1948" s="77"/>
      <c r="F1948" s="77"/>
      <c r="G1948" s="77"/>
      <c r="H1948" s="77"/>
      <c r="I1948" s="77"/>
      <c r="J1948" s="77"/>
      <c r="K1948" s="79"/>
      <c r="L1948" s="49">
        <f t="shared" si="118"/>
        <v>0</v>
      </c>
      <c r="M1948" s="50">
        <f t="shared" si="119"/>
        <v>0</v>
      </c>
    </row>
    <row r="1949" spans="1:13" x14ac:dyDescent="0.2">
      <c r="A1949" s="18"/>
      <c r="B1949" s="77"/>
      <c r="C1949" s="77"/>
      <c r="D1949" s="78"/>
      <c r="E1949" s="77"/>
      <c r="F1949" s="77"/>
      <c r="G1949" s="77"/>
      <c r="H1949" s="77"/>
      <c r="I1949" s="77"/>
      <c r="J1949" s="77"/>
      <c r="K1949" s="79"/>
      <c r="L1949" s="49">
        <f t="shared" si="118"/>
        <v>0</v>
      </c>
      <c r="M1949" s="50">
        <f t="shared" si="119"/>
        <v>0</v>
      </c>
    </row>
    <row r="1950" spans="1:13" x14ac:dyDescent="0.2">
      <c r="A1950" s="18"/>
      <c r="B1950" s="77"/>
      <c r="C1950" s="77"/>
      <c r="D1950" s="78"/>
      <c r="E1950" s="77"/>
      <c r="F1950" s="77"/>
      <c r="G1950" s="77"/>
      <c r="H1950" s="77"/>
      <c r="I1950" s="77"/>
      <c r="J1950" s="77"/>
      <c r="K1950" s="79"/>
      <c r="L1950" s="49">
        <f t="shared" si="118"/>
        <v>0</v>
      </c>
      <c r="M1950" s="50">
        <f t="shared" si="119"/>
        <v>0</v>
      </c>
    </row>
    <row r="1951" spans="1:13" x14ac:dyDescent="0.2">
      <c r="A1951" s="18"/>
      <c r="B1951" s="77"/>
      <c r="C1951" s="77"/>
      <c r="D1951" s="78"/>
      <c r="E1951" s="77"/>
      <c r="F1951" s="77"/>
      <c r="G1951" s="77"/>
      <c r="H1951" s="77"/>
      <c r="I1951" s="77"/>
      <c r="J1951" s="77"/>
      <c r="K1951" s="79"/>
      <c r="L1951" s="49">
        <f t="shared" si="118"/>
        <v>0</v>
      </c>
      <c r="M1951" s="50">
        <f t="shared" si="119"/>
        <v>0</v>
      </c>
    </row>
    <row r="1952" spans="1:13" x14ac:dyDescent="0.2">
      <c r="A1952" s="18"/>
      <c r="B1952" s="77"/>
      <c r="C1952" s="77"/>
      <c r="D1952" s="78"/>
      <c r="E1952" s="77"/>
      <c r="F1952" s="77"/>
      <c r="G1952" s="77"/>
      <c r="H1952" s="77"/>
      <c r="I1952" s="77"/>
      <c r="J1952" s="77"/>
      <c r="K1952" s="79"/>
      <c r="L1952" s="49">
        <f t="shared" si="118"/>
        <v>0</v>
      </c>
      <c r="M1952" s="50">
        <f t="shared" si="119"/>
        <v>0</v>
      </c>
    </row>
    <row r="1953" spans="1:13" x14ac:dyDescent="0.2">
      <c r="A1953" s="18"/>
      <c r="B1953" s="77"/>
      <c r="C1953" s="77"/>
      <c r="D1953" s="78"/>
      <c r="E1953" s="77"/>
      <c r="F1953" s="77"/>
      <c r="G1953" s="77"/>
      <c r="H1953" s="77"/>
      <c r="I1953" s="77"/>
      <c r="J1953" s="77"/>
      <c r="K1953" s="79"/>
      <c r="L1953" s="49">
        <f t="shared" si="118"/>
        <v>0</v>
      </c>
      <c r="M1953" s="50">
        <f t="shared" si="119"/>
        <v>0</v>
      </c>
    </row>
    <row r="1954" spans="1:13" x14ac:dyDescent="0.2">
      <c r="A1954" s="18"/>
      <c r="B1954" s="77"/>
      <c r="C1954" s="77"/>
      <c r="D1954" s="78"/>
      <c r="E1954" s="77"/>
      <c r="F1954" s="77"/>
      <c r="G1954" s="77"/>
      <c r="H1954" s="77"/>
      <c r="I1954" s="77"/>
      <c r="J1954" s="77"/>
      <c r="K1954" s="79"/>
      <c r="L1954" s="49">
        <f t="shared" si="118"/>
        <v>0</v>
      </c>
      <c r="M1954" s="50">
        <f t="shared" si="119"/>
        <v>0</v>
      </c>
    </row>
    <row r="1955" spans="1:13" x14ac:dyDescent="0.2">
      <c r="A1955" s="18"/>
      <c r="B1955" s="77"/>
      <c r="C1955" s="77"/>
      <c r="D1955" s="78"/>
      <c r="E1955" s="77"/>
      <c r="F1955" s="77"/>
      <c r="G1955" s="77"/>
      <c r="H1955" s="77"/>
      <c r="I1955" s="77"/>
      <c r="J1955" s="77"/>
      <c r="K1955" s="79"/>
      <c r="L1955" s="49">
        <f t="shared" si="118"/>
        <v>0</v>
      </c>
      <c r="M1955" s="50">
        <f t="shared" si="119"/>
        <v>0</v>
      </c>
    </row>
    <row r="1956" spans="1:13" x14ac:dyDescent="0.2">
      <c r="A1956" s="18"/>
      <c r="B1956" s="77"/>
      <c r="C1956" s="77"/>
      <c r="D1956" s="78"/>
      <c r="E1956" s="77"/>
      <c r="F1956" s="77"/>
      <c r="G1956" s="77"/>
      <c r="H1956" s="77"/>
      <c r="I1956" s="77"/>
      <c r="J1956" s="77"/>
      <c r="K1956" s="79"/>
      <c r="L1956" s="49">
        <f t="shared" si="118"/>
        <v>0</v>
      </c>
      <c r="M1956" s="50">
        <f t="shared" si="119"/>
        <v>0</v>
      </c>
    </row>
    <row r="1957" spans="1:13" x14ac:dyDescent="0.2">
      <c r="A1957" s="18"/>
      <c r="B1957" s="77"/>
      <c r="C1957" s="77"/>
      <c r="D1957" s="78"/>
      <c r="E1957" s="77"/>
      <c r="F1957" s="77"/>
      <c r="G1957" s="77"/>
      <c r="H1957" s="77"/>
      <c r="I1957" s="77"/>
      <c r="J1957" s="77"/>
      <c r="K1957" s="79"/>
      <c r="L1957" s="49">
        <f t="shared" si="118"/>
        <v>0</v>
      </c>
      <c r="M1957" s="50">
        <f t="shared" si="119"/>
        <v>0</v>
      </c>
    </row>
    <row r="1958" spans="1:13" x14ac:dyDescent="0.2">
      <c r="A1958" s="18"/>
      <c r="B1958" s="77"/>
      <c r="C1958" s="77"/>
      <c r="D1958" s="78"/>
      <c r="E1958" s="77"/>
      <c r="F1958" s="77"/>
      <c r="G1958" s="77"/>
      <c r="H1958" s="77"/>
      <c r="I1958" s="77"/>
      <c r="J1958" s="77"/>
      <c r="K1958" s="79"/>
      <c r="L1958" s="49">
        <f t="shared" si="118"/>
        <v>0</v>
      </c>
      <c r="M1958" s="50">
        <f t="shared" si="119"/>
        <v>0</v>
      </c>
    </row>
    <row r="1959" spans="1:13" x14ac:dyDescent="0.2">
      <c r="A1959" s="18"/>
      <c r="B1959" s="77"/>
      <c r="C1959" s="77"/>
      <c r="D1959" s="78"/>
      <c r="E1959" s="77"/>
      <c r="F1959" s="77"/>
      <c r="G1959" s="77"/>
      <c r="H1959" s="77"/>
      <c r="I1959" s="77"/>
      <c r="J1959" s="77"/>
      <c r="K1959" s="79"/>
      <c r="L1959" s="49">
        <f t="shared" si="118"/>
        <v>0</v>
      </c>
      <c r="M1959" s="50">
        <f t="shared" si="119"/>
        <v>0</v>
      </c>
    </row>
    <row r="1960" spans="1:13" x14ac:dyDescent="0.2">
      <c r="A1960" s="18"/>
      <c r="B1960" s="77"/>
      <c r="C1960" s="77"/>
      <c r="D1960" s="78"/>
      <c r="E1960" s="77"/>
      <c r="F1960" s="77"/>
      <c r="G1960" s="77"/>
      <c r="H1960" s="77"/>
      <c r="I1960" s="77"/>
      <c r="J1960" s="77"/>
      <c r="K1960" s="79"/>
      <c r="L1960" s="49">
        <f t="shared" ref="L1960:L1996" si="120">+K1960*18%</f>
        <v>0</v>
      </c>
      <c r="M1960" s="50">
        <f t="shared" ref="M1960:M1996" si="121">+K1960+L1960</f>
        <v>0</v>
      </c>
    </row>
    <row r="1961" spans="1:13" x14ac:dyDescent="0.2">
      <c r="A1961" s="18"/>
      <c r="B1961" s="77"/>
      <c r="C1961" s="77"/>
      <c r="D1961" s="78"/>
      <c r="E1961" s="77"/>
      <c r="F1961" s="77"/>
      <c r="G1961" s="77"/>
      <c r="H1961" s="77"/>
      <c r="I1961" s="77"/>
      <c r="J1961" s="77"/>
      <c r="K1961" s="79"/>
      <c r="L1961" s="49">
        <f t="shared" si="120"/>
        <v>0</v>
      </c>
      <c r="M1961" s="50">
        <f t="shared" si="121"/>
        <v>0</v>
      </c>
    </row>
    <row r="1962" spans="1:13" x14ac:dyDescent="0.2">
      <c r="A1962" s="18"/>
      <c r="B1962" s="77"/>
      <c r="C1962" s="77"/>
      <c r="D1962" s="78"/>
      <c r="E1962" s="77"/>
      <c r="F1962" s="77"/>
      <c r="G1962" s="77"/>
      <c r="H1962" s="77"/>
      <c r="I1962" s="77"/>
      <c r="J1962" s="77"/>
      <c r="K1962" s="79"/>
      <c r="L1962" s="49">
        <f t="shared" si="120"/>
        <v>0</v>
      </c>
      <c r="M1962" s="50">
        <f t="shared" si="121"/>
        <v>0</v>
      </c>
    </row>
    <row r="1963" spans="1:13" x14ac:dyDescent="0.2">
      <c r="A1963" s="18"/>
      <c r="B1963" s="77"/>
      <c r="C1963" s="77"/>
      <c r="D1963" s="78"/>
      <c r="E1963" s="77"/>
      <c r="F1963" s="77"/>
      <c r="G1963" s="77"/>
      <c r="H1963" s="77"/>
      <c r="I1963" s="77"/>
      <c r="J1963" s="77"/>
      <c r="K1963" s="79"/>
      <c r="L1963" s="49">
        <f t="shared" si="120"/>
        <v>0</v>
      </c>
      <c r="M1963" s="50">
        <f t="shared" si="121"/>
        <v>0</v>
      </c>
    </row>
    <row r="1964" spans="1:13" x14ac:dyDescent="0.2">
      <c r="A1964" s="18"/>
      <c r="B1964" s="77"/>
      <c r="C1964" s="77"/>
      <c r="D1964" s="78"/>
      <c r="E1964" s="77"/>
      <c r="F1964" s="77"/>
      <c r="G1964" s="77"/>
      <c r="H1964" s="77"/>
      <c r="I1964" s="77"/>
      <c r="J1964" s="77"/>
      <c r="K1964" s="79"/>
      <c r="L1964" s="49">
        <f t="shared" si="120"/>
        <v>0</v>
      </c>
      <c r="M1964" s="50">
        <f t="shared" si="121"/>
        <v>0</v>
      </c>
    </row>
    <row r="1965" spans="1:13" x14ac:dyDescent="0.2">
      <c r="A1965" s="18"/>
      <c r="B1965" s="77"/>
      <c r="C1965" s="77"/>
      <c r="D1965" s="78"/>
      <c r="E1965" s="77"/>
      <c r="F1965" s="77"/>
      <c r="G1965" s="77"/>
      <c r="H1965" s="77"/>
      <c r="I1965" s="77"/>
      <c r="J1965" s="77"/>
      <c r="K1965" s="79"/>
      <c r="L1965" s="49">
        <f t="shared" si="120"/>
        <v>0</v>
      </c>
      <c r="M1965" s="50">
        <f t="shared" si="121"/>
        <v>0</v>
      </c>
    </row>
    <row r="1966" spans="1:13" x14ac:dyDescent="0.2">
      <c r="A1966" s="18"/>
      <c r="B1966" s="77"/>
      <c r="C1966" s="77"/>
      <c r="D1966" s="78"/>
      <c r="E1966" s="77"/>
      <c r="F1966" s="77"/>
      <c r="G1966" s="77"/>
      <c r="H1966" s="77"/>
      <c r="I1966" s="77"/>
      <c r="J1966" s="77"/>
      <c r="K1966" s="79"/>
      <c r="L1966" s="49">
        <f t="shared" si="120"/>
        <v>0</v>
      </c>
      <c r="M1966" s="50">
        <f t="shared" si="121"/>
        <v>0</v>
      </c>
    </row>
    <row r="1967" spans="1:13" x14ac:dyDescent="0.2">
      <c r="A1967" s="18"/>
      <c r="B1967" s="77"/>
      <c r="C1967" s="77"/>
      <c r="D1967" s="78"/>
      <c r="E1967" s="77"/>
      <c r="F1967" s="77"/>
      <c r="G1967" s="77"/>
      <c r="H1967" s="77"/>
      <c r="I1967" s="77"/>
      <c r="J1967" s="77"/>
      <c r="K1967" s="79"/>
      <c r="L1967" s="49">
        <f t="shared" si="120"/>
        <v>0</v>
      </c>
      <c r="M1967" s="50">
        <f t="shared" si="121"/>
        <v>0</v>
      </c>
    </row>
    <row r="1968" spans="1:13" x14ac:dyDescent="0.2">
      <c r="A1968" s="18"/>
      <c r="B1968" s="77"/>
      <c r="C1968" s="77"/>
      <c r="D1968" s="78"/>
      <c r="E1968" s="77"/>
      <c r="F1968" s="77"/>
      <c r="G1968" s="77"/>
      <c r="H1968" s="77"/>
      <c r="I1968" s="77"/>
      <c r="J1968" s="77"/>
      <c r="K1968" s="79"/>
      <c r="L1968" s="49">
        <f t="shared" si="120"/>
        <v>0</v>
      </c>
      <c r="M1968" s="50">
        <f t="shared" si="121"/>
        <v>0</v>
      </c>
    </row>
    <row r="1969" spans="1:13" x14ac:dyDescent="0.2">
      <c r="A1969" s="18"/>
      <c r="B1969" s="77"/>
      <c r="C1969" s="77"/>
      <c r="D1969" s="78"/>
      <c r="E1969" s="77"/>
      <c r="F1969" s="77"/>
      <c r="G1969" s="77"/>
      <c r="H1969" s="77"/>
      <c r="I1969" s="77"/>
      <c r="J1969" s="77"/>
      <c r="K1969" s="79"/>
      <c r="L1969" s="49">
        <f t="shared" si="120"/>
        <v>0</v>
      </c>
      <c r="M1969" s="50">
        <f t="shared" si="121"/>
        <v>0</v>
      </c>
    </row>
    <row r="1970" spans="1:13" x14ac:dyDescent="0.2">
      <c r="A1970" s="18"/>
      <c r="B1970" s="77"/>
      <c r="C1970" s="77"/>
      <c r="D1970" s="78"/>
      <c r="E1970" s="77"/>
      <c r="F1970" s="77"/>
      <c r="G1970" s="77"/>
      <c r="H1970" s="77"/>
      <c r="I1970" s="77"/>
      <c r="J1970" s="77"/>
      <c r="K1970" s="79"/>
      <c r="L1970" s="49">
        <f t="shared" si="120"/>
        <v>0</v>
      </c>
      <c r="M1970" s="50">
        <f t="shared" si="121"/>
        <v>0</v>
      </c>
    </row>
    <row r="1971" spans="1:13" x14ac:dyDescent="0.2">
      <c r="A1971" s="18"/>
      <c r="B1971" s="77"/>
      <c r="C1971" s="77"/>
      <c r="D1971" s="78"/>
      <c r="E1971" s="77"/>
      <c r="F1971" s="77"/>
      <c r="G1971" s="77"/>
      <c r="H1971" s="77"/>
      <c r="I1971" s="77"/>
      <c r="J1971" s="77"/>
      <c r="K1971" s="79"/>
      <c r="L1971" s="49">
        <f t="shared" si="120"/>
        <v>0</v>
      </c>
      <c r="M1971" s="50">
        <f t="shared" si="121"/>
        <v>0</v>
      </c>
    </row>
    <row r="1972" spans="1:13" x14ac:dyDescent="0.2">
      <c r="A1972" s="18"/>
      <c r="B1972" s="77"/>
      <c r="C1972" s="77"/>
      <c r="D1972" s="78"/>
      <c r="E1972" s="77"/>
      <c r="F1972" s="77"/>
      <c r="G1972" s="77"/>
      <c r="H1972" s="77"/>
      <c r="I1972" s="77"/>
      <c r="J1972" s="77"/>
      <c r="K1972" s="79"/>
      <c r="L1972" s="49">
        <f t="shared" si="120"/>
        <v>0</v>
      </c>
      <c r="M1972" s="50">
        <f t="shared" si="121"/>
        <v>0</v>
      </c>
    </row>
    <row r="1973" spans="1:13" x14ac:dyDescent="0.2">
      <c r="A1973" s="18"/>
      <c r="B1973" s="77"/>
      <c r="C1973" s="77"/>
      <c r="D1973" s="78"/>
      <c r="E1973" s="77"/>
      <c r="F1973" s="77"/>
      <c r="G1973" s="77"/>
      <c r="H1973" s="77"/>
      <c r="I1973" s="77"/>
      <c r="J1973" s="77"/>
      <c r="K1973" s="79"/>
      <c r="L1973" s="49">
        <f t="shared" si="120"/>
        <v>0</v>
      </c>
      <c r="M1973" s="50">
        <f t="shared" si="121"/>
        <v>0</v>
      </c>
    </row>
    <row r="1974" spans="1:13" x14ac:dyDescent="0.2">
      <c r="A1974" s="18"/>
      <c r="B1974" s="77"/>
      <c r="C1974" s="77"/>
      <c r="D1974" s="78"/>
      <c r="E1974" s="77"/>
      <c r="F1974" s="77"/>
      <c r="G1974" s="77"/>
      <c r="H1974" s="77"/>
      <c r="I1974" s="77"/>
      <c r="J1974" s="77"/>
      <c r="K1974" s="79"/>
      <c r="L1974" s="49">
        <f t="shared" si="120"/>
        <v>0</v>
      </c>
      <c r="M1974" s="50">
        <f t="shared" si="121"/>
        <v>0</v>
      </c>
    </row>
    <row r="1975" spans="1:13" x14ac:dyDescent="0.2">
      <c r="A1975" s="18"/>
      <c r="B1975" s="77"/>
      <c r="C1975" s="77"/>
      <c r="D1975" s="78"/>
      <c r="E1975" s="77"/>
      <c r="F1975" s="77"/>
      <c r="G1975" s="77"/>
      <c r="H1975" s="77"/>
      <c r="I1975" s="77"/>
      <c r="J1975" s="77"/>
      <c r="K1975" s="79"/>
      <c r="L1975" s="49">
        <f t="shared" si="120"/>
        <v>0</v>
      </c>
      <c r="M1975" s="50">
        <f t="shared" si="121"/>
        <v>0</v>
      </c>
    </row>
    <row r="1976" spans="1:13" x14ac:dyDescent="0.2">
      <c r="A1976" s="18"/>
      <c r="B1976" s="77"/>
      <c r="C1976" s="77"/>
      <c r="D1976" s="78"/>
      <c r="E1976" s="77"/>
      <c r="F1976" s="77"/>
      <c r="G1976" s="77"/>
      <c r="H1976" s="77"/>
      <c r="I1976" s="77"/>
      <c r="J1976" s="77"/>
      <c r="K1976" s="79"/>
      <c r="L1976" s="49">
        <f t="shared" si="120"/>
        <v>0</v>
      </c>
      <c r="M1976" s="50">
        <f t="shared" si="121"/>
        <v>0</v>
      </c>
    </row>
    <row r="1977" spans="1:13" x14ac:dyDescent="0.2">
      <c r="A1977" s="18"/>
      <c r="B1977" s="77"/>
      <c r="C1977" s="77"/>
      <c r="D1977" s="78"/>
      <c r="E1977" s="77"/>
      <c r="F1977" s="77"/>
      <c r="G1977" s="77"/>
      <c r="H1977" s="77"/>
      <c r="I1977" s="77"/>
      <c r="J1977" s="77"/>
      <c r="K1977" s="79"/>
      <c r="L1977" s="49">
        <f t="shared" si="120"/>
        <v>0</v>
      </c>
      <c r="M1977" s="50">
        <f t="shared" si="121"/>
        <v>0</v>
      </c>
    </row>
    <row r="1978" spans="1:13" x14ac:dyDescent="0.2">
      <c r="A1978" s="18"/>
      <c r="B1978" s="77"/>
      <c r="C1978" s="77"/>
      <c r="D1978" s="78"/>
      <c r="E1978" s="77"/>
      <c r="F1978" s="77"/>
      <c r="G1978" s="77"/>
      <c r="H1978" s="77"/>
      <c r="I1978" s="77"/>
      <c r="J1978" s="77"/>
      <c r="K1978" s="79"/>
      <c r="L1978" s="49">
        <f t="shared" si="120"/>
        <v>0</v>
      </c>
      <c r="M1978" s="50">
        <f t="shared" si="121"/>
        <v>0</v>
      </c>
    </row>
    <row r="1979" spans="1:13" x14ac:dyDescent="0.2">
      <c r="A1979" s="18"/>
      <c r="B1979" s="77"/>
      <c r="C1979" s="77"/>
      <c r="D1979" s="78"/>
      <c r="E1979" s="77"/>
      <c r="F1979" s="77"/>
      <c r="G1979" s="77"/>
      <c r="H1979" s="77"/>
      <c r="I1979" s="77"/>
      <c r="J1979" s="77"/>
      <c r="K1979" s="79"/>
      <c r="L1979" s="49">
        <f t="shared" si="120"/>
        <v>0</v>
      </c>
      <c r="M1979" s="50">
        <f t="shared" si="121"/>
        <v>0</v>
      </c>
    </row>
    <row r="1980" spans="1:13" x14ac:dyDescent="0.2">
      <c r="A1980" s="18"/>
      <c r="B1980" s="77"/>
      <c r="C1980" s="77"/>
      <c r="D1980" s="78"/>
      <c r="E1980" s="77"/>
      <c r="F1980" s="77"/>
      <c r="G1980" s="77"/>
      <c r="H1980" s="77"/>
      <c r="I1980" s="77"/>
      <c r="J1980" s="77"/>
      <c r="K1980" s="79"/>
      <c r="L1980" s="49">
        <f t="shared" si="120"/>
        <v>0</v>
      </c>
      <c r="M1980" s="50">
        <f t="shared" si="121"/>
        <v>0</v>
      </c>
    </row>
    <row r="1981" spans="1:13" x14ac:dyDescent="0.2">
      <c r="A1981" s="18"/>
      <c r="B1981" s="77"/>
      <c r="C1981" s="77"/>
      <c r="D1981" s="78"/>
      <c r="E1981" s="77"/>
      <c r="F1981" s="77"/>
      <c r="G1981" s="77"/>
      <c r="H1981" s="77"/>
      <c r="I1981" s="77"/>
      <c r="J1981" s="77"/>
      <c r="K1981" s="79"/>
      <c r="L1981" s="49">
        <f t="shared" si="120"/>
        <v>0</v>
      </c>
      <c r="M1981" s="50">
        <f t="shared" si="121"/>
        <v>0</v>
      </c>
    </row>
    <row r="1982" spans="1:13" x14ac:dyDescent="0.2">
      <c r="A1982" s="18"/>
      <c r="B1982" s="77"/>
      <c r="C1982" s="77"/>
      <c r="D1982" s="78"/>
      <c r="E1982" s="77"/>
      <c r="F1982" s="77"/>
      <c r="G1982" s="77"/>
      <c r="H1982" s="77"/>
      <c r="I1982" s="77"/>
      <c r="J1982" s="77"/>
      <c r="K1982" s="79"/>
      <c r="L1982" s="49">
        <f t="shared" si="120"/>
        <v>0</v>
      </c>
      <c r="M1982" s="50">
        <f t="shared" si="121"/>
        <v>0</v>
      </c>
    </row>
    <row r="1983" spans="1:13" x14ac:dyDescent="0.2">
      <c r="A1983" s="18"/>
      <c r="B1983" s="77"/>
      <c r="C1983" s="77"/>
      <c r="D1983" s="78"/>
      <c r="E1983" s="77"/>
      <c r="F1983" s="77"/>
      <c r="G1983" s="77"/>
      <c r="H1983" s="77"/>
      <c r="I1983" s="77"/>
      <c r="J1983" s="77"/>
      <c r="K1983" s="79"/>
      <c r="L1983" s="49">
        <f t="shared" si="120"/>
        <v>0</v>
      </c>
      <c r="M1983" s="50">
        <f t="shared" si="121"/>
        <v>0</v>
      </c>
    </row>
    <row r="1984" spans="1:13" x14ac:dyDescent="0.2">
      <c r="A1984" s="18"/>
      <c r="B1984" s="77"/>
      <c r="C1984" s="77"/>
      <c r="D1984" s="78"/>
      <c r="E1984" s="77"/>
      <c r="F1984" s="77"/>
      <c r="G1984" s="77"/>
      <c r="H1984" s="77"/>
      <c r="I1984" s="77"/>
      <c r="J1984" s="77"/>
      <c r="K1984" s="79"/>
      <c r="L1984" s="49">
        <f t="shared" si="120"/>
        <v>0</v>
      </c>
      <c r="M1984" s="50">
        <f t="shared" si="121"/>
        <v>0</v>
      </c>
    </row>
    <row r="1985" spans="1:13" x14ac:dyDescent="0.2">
      <c r="A1985" s="18"/>
      <c r="B1985" s="77"/>
      <c r="C1985" s="77"/>
      <c r="D1985" s="78"/>
      <c r="E1985" s="77"/>
      <c r="F1985" s="77"/>
      <c r="G1985" s="77"/>
      <c r="H1985" s="77"/>
      <c r="I1985" s="77"/>
      <c r="J1985" s="77"/>
      <c r="K1985" s="79"/>
      <c r="L1985" s="49">
        <f t="shared" si="120"/>
        <v>0</v>
      </c>
      <c r="M1985" s="50">
        <f t="shared" si="121"/>
        <v>0</v>
      </c>
    </row>
    <row r="1986" spans="1:13" x14ac:dyDescent="0.2">
      <c r="A1986" s="18"/>
      <c r="B1986" s="77"/>
      <c r="C1986" s="77"/>
      <c r="D1986" s="78"/>
      <c r="E1986" s="77"/>
      <c r="F1986" s="77"/>
      <c r="G1986" s="77"/>
      <c r="H1986" s="77"/>
      <c r="I1986" s="77"/>
      <c r="J1986" s="77"/>
      <c r="K1986" s="79"/>
      <c r="L1986" s="49">
        <f t="shared" si="120"/>
        <v>0</v>
      </c>
      <c r="M1986" s="50">
        <f t="shared" si="121"/>
        <v>0</v>
      </c>
    </row>
    <row r="1987" spans="1:13" x14ac:dyDescent="0.2">
      <c r="A1987" s="18"/>
      <c r="B1987" s="77"/>
      <c r="C1987" s="77"/>
      <c r="D1987" s="78"/>
      <c r="E1987" s="77"/>
      <c r="F1987" s="77"/>
      <c r="G1987" s="77"/>
      <c r="H1987" s="77"/>
      <c r="I1987" s="77"/>
      <c r="J1987" s="77"/>
      <c r="K1987" s="79"/>
      <c r="L1987" s="49">
        <f t="shared" si="120"/>
        <v>0</v>
      </c>
      <c r="M1987" s="50">
        <f t="shared" si="121"/>
        <v>0</v>
      </c>
    </row>
    <row r="1988" spans="1:13" x14ac:dyDescent="0.2">
      <c r="A1988" s="18"/>
      <c r="B1988" s="77"/>
      <c r="C1988" s="77"/>
      <c r="D1988" s="78"/>
      <c r="E1988" s="77"/>
      <c r="F1988" s="77"/>
      <c r="G1988" s="77"/>
      <c r="H1988" s="77"/>
      <c r="I1988" s="77"/>
      <c r="J1988" s="77"/>
      <c r="K1988" s="79"/>
      <c r="L1988" s="49">
        <f t="shared" si="120"/>
        <v>0</v>
      </c>
      <c r="M1988" s="50">
        <f t="shared" si="121"/>
        <v>0</v>
      </c>
    </row>
    <row r="1989" spans="1:13" x14ac:dyDescent="0.2">
      <c r="A1989" s="18"/>
      <c r="B1989" s="77"/>
      <c r="C1989" s="77"/>
      <c r="D1989" s="78"/>
      <c r="E1989" s="77"/>
      <c r="F1989" s="77"/>
      <c r="G1989" s="77"/>
      <c r="H1989" s="77"/>
      <c r="I1989" s="77"/>
      <c r="J1989" s="77"/>
      <c r="K1989" s="79"/>
      <c r="L1989" s="49">
        <f t="shared" si="120"/>
        <v>0</v>
      </c>
      <c r="M1989" s="50">
        <f t="shared" si="121"/>
        <v>0</v>
      </c>
    </row>
    <row r="1990" spans="1:13" x14ac:dyDescent="0.2">
      <c r="A1990" s="18"/>
      <c r="B1990" s="77"/>
      <c r="C1990" s="77"/>
      <c r="D1990" s="78"/>
      <c r="E1990" s="77"/>
      <c r="F1990" s="77"/>
      <c r="G1990" s="77"/>
      <c r="H1990" s="77"/>
      <c r="I1990" s="77"/>
      <c r="J1990" s="77"/>
      <c r="K1990" s="79"/>
      <c r="L1990" s="49">
        <f t="shared" si="120"/>
        <v>0</v>
      </c>
      <c r="M1990" s="50">
        <f t="shared" si="121"/>
        <v>0</v>
      </c>
    </row>
    <row r="1991" spans="1:13" x14ac:dyDescent="0.2">
      <c r="A1991" s="18"/>
      <c r="B1991" s="77"/>
      <c r="C1991" s="77"/>
      <c r="D1991" s="78"/>
      <c r="E1991" s="77"/>
      <c r="F1991" s="77"/>
      <c r="G1991" s="77"/>
      <c r="H1991" s="77"/>
      <c r="I1991" s="77"/>
      <c r="J1991" s="77"/>
      <c r="K1991" s="79"/>
      <c r="L1991" s="49">
        <f t="shared" si="120"/>
        <v>0</v>
      </c>
      <c r="M1991" s="50">
        <f t="shared" si="121"/>
        <v>0</v>
      </c>
    </row>
    <row r="1992" spans="1:13" x14ac:dyDescent="0.2">
      <c r="A1992" s="18"/>
      <c r="B1992" s="77"/>
      <c r="C1992" s="77"/>
      <c r="D1992" s="78"/>
      <c r="E1992" s="77"/>
      <c r="F1992" s="77"/>
      <c r="G1992" s="77"/>
      <c r="H1992" s="77"/>
      <c r="I1992" s="77"/>
      <c r="J1992" s="77"/>
      <c r="K1992" s="79"/>
      <c r="L1992" s="49">
        <f t="shared" si="120"/>
        <v>0</v>
      </c>
      <c r="M1992" s="50">
        <f t="shared" si="121"/>
        <v>0</v>
      </c>
    </row>
    <row r="1993" spans="1:13" x14ac:dyDescent="0.2">
      <c r="A1993" s="18"/>
      <c r="B1993" s="77"/>
      <c r="C1993" s="77"/>
      <c r="D1993" s="78"/>
      <c r="E1993" s="77"/>
      <c r="F1993" s="77"/>
      <c r="G1993" s="77"/>
      <c r="H1993" s="77"/>
      <c r="I1993" s="77"/>
      <c r="J1993" s="77"/>
      <c r="K1993" s="79"/>
      <c r="L1993" s="49">
        <f t="shared" si="120"/>
        <v>0</v>
      </c>
      <c r="M1993" s="50">
        <f t="shared" si="121"/>
        <v>0</v>
      </c>
    </row>
    <row r="1994" spans="1:13" x14ac:dyDescent="0.2">
      <c r="A1994" s="18"/>
      <c r="B1994" s="77"/>
      <c r="C1994" s="77"/>
      <c r="D1994" s="78"/>
      <c r="E1994" s="77"/>
      <c r="F1994" s="77"/>
      <c r="G1994" s="77"/>
      <c r="H1994" s="77"/>
      <c r="I1994" s="77"/>
      <c r="J1994" s="77"/>
      <c r="K1994" s="79"/>
      <c r="L1994" s="49">
        <f t="shared" si="120"/>
        <v>0</v>
      </c>
      <c r="M1994" s="50">
        <f t="shared" si="121"/>
        <v>0</v>
      </c>
    </row>
    <row r="1995" spans="1:13" x14ac:dyDescent="0.2">
      <c r="A1995" s="18"/>
      <c r="B1995" s="77"/>
      <c r="C1995" s="77"/>
      <c r="D1995" s="78"/>
      <c r="E1995" s="77"/>
      <c r="F1995" s="77"/>
      <c r="G1995" s="77"/>
      <c r="H1995" s="77"/>
      <c r="I1995" s="77"/>
      <c r="J1995" s="77"/>
      <c r="K1995" s="79"/>
      <c r="L1995" s="49">
        <f t="shared" si="120"/>
        <v>0</v>
      </c>
      <c r="M1995" s="50">
        <f t="shared" si="121"/>
        <v>0</v>
      </c>
    </row>
    <row r="1996" spans="1:13" x14ac:dyDescent="0.2">
      <c r="A1996" s="18"/>
      <c r="B1996" s="77"/>
      <c r="C1996" s="77"/>
      <c r="D1996" s="78"/>
      <c r="E1996" s="77"/>
      <c r="F1996" s="77"/>
      <c r="G1996" s="77"/>
      <c r="H1996" s="77"/>
      <c r="I1996" s="77"/>
      <c r="J1996" s="77"/>
      <c r="K1996" s="79"/>
      <c r="L1996" s="49">
        <f t="shared" si="120"/>
        <v>0</v>
      </c>
      <c r="M1996" s="50">
        <f t="shared" si="121"/>
        <v>0</v>
      </c>
    </row>
    <row r="1997" spans="1:13" x14ac:dyDescent="0.2">
      <c r="A1997" s="18"/>
      <c r="B1997" s="77"/>
      <c r="C1997" s="77"/>
      <c r="D1997" s="78"/>
      <c r="E1997" s="77"/>
      <c r="F1997" s="77"/>
      <c r="G1997" s="77"/>
      <c r="H1997" s="77"/>
      <c r="I1997" s="77"/>
      <c r="J1997" s="77"/>
      <c r="K1997" s="79"/>
      <c r="L1997" s="49">
        <f t="shared" ref="L1997" si="122">+K1997*18%</f>
        <v>0</v>
      </c>
      <c r="M1997" s="50">
        <f t="shared" ref="M1997" si="123">+K1997+L1997</f>
        <v>0</v>
      </c>
    </row>
    <row r="1998" spans="1:13" x14ac:dyDescent="0.2">
      <c r="A1998" s="18"/>
      <c r="B1998" s="77"/>
      <c r="C1998" s="77"/>
      <c r="D1998" s="78"/>
      <c r="E1998" s="77"/>
      <c r="F1998" s="77"/>
      <c r="G1998" s="77"/>
      <c r="H1998" s="77"/>
      <c r="I1998" s="77"/>
      <c r="J1998" s="77"/>
      <c r="K1998" s="79"/>
      <c r="L1998" s="49">
        <f t="shared" ref="L1998:L2005" si="124">+K1998*18%</f>
        <v>0</v>
      </c>
      <c r="M1998" s="50">
        <f t="shared" ref="M1998:M2005" si="125">+K1998+L1998</f>
        <v>0</v>
      </c>
    </row>
    <row r="1999" spans="1:13" x14ac:dyDescent="0.2">
      <c r="A1999" s="18"/>
      <c r="B1999" s="77"/>
      <c r="C1999" s="77"/>
      <c r="D1999" s="78"/>
      <c r="E1999" s="77"/>
      <c r="F1999" s="77"/>
      <c r="G1999" s="77"/>
      <c r="H1999" s="77"/>
      <c r="I1999" s="77"/>
      <c r="J1999" s="77"/>
      <c r="K1999" s="79"/>
      <c r="L1999" s="49">
        <f t="shared" si="124"/>
        <v>0</v>
      </c>
      <c r="M1999" s="50">
        <f t="shared" si="125"/>
        <v>0</v>
      </c>
    </row>
    <row r="2000" spans="1:13" x14ac:dyDescent="0.2">
      <c r="A2000" s="18"/>
      <c r="B2000" s="77"/>
      <c r="C2000" s="77"/>
      <c r="D2000" s="78"/>
      <c r="E2000" s="77"/>
      <c r="F2000" s="77"/>
      <c r="G2000" s="77"/>
      <c r="H2000" s="77"/>
      <c r="I2000" s="77"/>
      <c r="J2000" s="77"/>
      <c r="K2000" s="79"/>
      <c r="L2000" s="49">
        <f t="shared" si="124"/>
        <v>0</v>
      </c>
      <c r="M2000" s="50">
        <f t="shared" si="125"/>
        <v>0</v>
      </c>
    </row>
    <row r="2001" spans="1:13" x14ac:dyDescent="0.2">
      <c r="A2001" s="18"/>
      <c r="B2001" s="77"/>
      <c r="C2001" s="77"/>
      <c r="D2001" s="78"/>
      <c r="E2001" s="77"/>
      <c r="F2001" s="77"/>
      <c r="G2001" s="77"/>
      <c r="H2001" s="77"/>
      <c r="I2001" s="77"/>
      <c r="J2001" s="77"/>
      <c r="K2001" s="79"/>
      <c r="L2001" s="49">
        <f t="shared" si="124"/>
        <v>0</v>
      </c>
      <c r="M2001" s="50">
        <f t="shared" si="125"/>
        <v>0</v>
      </c>
    </row>
    <row r="2002" spans="1:13" x14ac:dyDescent="0.2">
      <c r="A2002" s="18"/>
      <c r="B2002" s="77"/>
      <c r="C2002" s="77"/>
      <c r="D2002" s="78"/>
      <c r="E2002" s="77"/>
      <c r="F2002" s="77"/>
      <c r="G2002" s="77"/>
      <c r="H2002" s="77"/>
      <c r="I2002" s="77"/>
      <c r="J2002" s="77"/>
      <c r="K2002" s="79"/>
      <c r="L2002" s="49">
        <f t="shared" si="124"/>
        <v>0</v>
      </c>
      <c r="M2002" s="50">
        <f t="shared" si="125"/>
        <v>0</v>
      </c>
    </row>
    <row r="2003" spans="1:13" x14ac:dyDescent="0.2">
      <c r="A2003" s="18"/>
      <c r="B2003" s="77"/>
      <c r="C2003" s="77"/>
      <c r="D2003" s="78"/>
      <c r="E2003" s="77"/>
      <c r="F2003" s="77"/>
      <c r="G2003" s="77"/>
      <c r="H2003" s="77"/>
      <c r="I2003" s="77"/>
      <c r="J2003" s="77"/>
      <c r="K2003" s="79"/>
      <c r="L2003" s="49">
        <f t="shared" si="124"/>
        <v>0</v>
      </c>
      <c r="M2003" s="50">
        <f t="shared" si="125"/>
        <v>0</v>
      </c>
    </row>
    <row r="2004" spans="1:13" x14ac:dyDescent="0.2">
      <c r="A2004" s="18"/>
      <c r="B2004" s="77"/>
      <c r="C2004" s="77"/>
      <c r="D2004" s="78"/>
      <c r="E2004" s="77"/>
      <c r="F2004" s="77"/>
      <c r="G2004" s="77"/>
      <c r="H2004" s="77"/>
      <c r="I2004" s="77"/>
      <c r="J2004" s="77"/>
      <c r="K2004" s="79"/>
      <c r="L2004" s="49">
        <f t="shared" si="124"/>
        <v>0</v>
      </c>
      <c r="M2004" s="50">
        <f t="shared" si="125"/>
        <v>0</v>
      </c>
    </row>
    <row r="2005" spans="1:13" x14ac:dyDescent="0.2">
      <c r="A2005" s="18"/>
      <c r="B2005" s="77"/>
      <c r="C2005" s="77"/>
      <c r="D2005" s="78"/>
      <c r="E2005" s="77"/>
      <c r="F2005" s="77"/>
      <c r="G2005" s="77"/>
      <c r="H2005" s="77"/>
      <c r="I2005" s="77"/>
      <c r="J2005" s="77"/>
      <c r="K2005" s="79"/>
      <c r="L2005" s="49">
        <f t="shared" si="124"/>
        <v>0</v>
      </c>
      <c r="M2005" s="50">
        <f t="shared" si="125"/>
        <v>0</v>
      </c>
    </row>
    <row r="2006" spans="1:13" x14ac:dyDescent="0.2">
      <c r="A2006" s="18"/>
      <c r="B2006" s="77"/>
      <c r="C2006" s="77"/>
      <c r="D2006" s="78"/>
      <c r="E2006" s="77"/>
      <c r="F2006" s="77"/>
      <c r="G2006" s="77"/>
      <c r="H2006" s="77"/>
      <c r="I2006" s="77"/>
      <c r="J2006" s="77"/>
      <c r="K2006" s="79"/>
      <c r="L2006" s="49">
        <f t="shared" ref="L2006:L2069" si="126">+K2006*18%</f>
        <v>0</v>
      </c>
      <c r="M2006" s="50">
        <f t="shared" ref="M2006:M2069" si="127">+K2006+L2006</f>
        <v>0</v>
      </c>
    </row>
    <row r="2007" spans="1:13" x14ac:dyDescent="0.2">
      <c r="A2007" s="18"/>
      <c r="B2007" s="77"/>
      <c r="C2007" s="77"/>
      <c r="D2007" s="78"/>
      <c r="E2007" s="77"/>
      <c r="F2007" s="77"/>
      <c r="G2007" s="77"/>
      <c r="H2007" s="77"/>
      <c r="I2007" s="77"/>
      <c r="J2007" s="77"/>
      <c r="K2007" s="79"/>
      <c r="L2007" s="49">
        <f t="shared" si="126"/>
        <v>0</v>
      </c>
      <c r="M2007" s="50">
        <f t="shared" si="127"/>
        <v>0</v>
      </c>
    </row>
    <row r="2008" spans="1:13" x14ac:dyDescent="0.2">
      <c r="A2008" s="18"/>
      <c r="B2008" s="77"/>
      <c r="C2008" s="77"/>
      <c r="D2008" s="78"/>
      <c r="E2008" s="77"/>
      <c r="F2008" s="77"/>
      <c r="G2008" s="77"/>
      <c r="H2008" s="77"/>
      <c r="I2008" s="77"/>
      <c r="J2008" s="77"/>
      <c r="K2008" s="79"/>
      <c r="L2008" s="49">
        <f t="shared" si="126"/>
        <v>0</v>
      </c>
      <c r="M2008" s="50">
        <f t="shared" si="127"/>
        <v>0</v>
      </c>
    </row>
    <row r="2009" spans="1:13" x14ac:dyDescent="0.2">
      <c r="A2009" s="18"/>
      <c r="B2009" s="77"/>
      <c r="C2009" s="77"/>
      <c r="D2009" s="78"/>
      <c r="E2009" s="77"/>
      <c r="F2009" s="77"/>
      <c r="G2009" s="77"/>
      <c r="H2009" s="77"/>
      <c r="I2009" s="77"/>
      <c r="J2009" s="77"/>
      <c r="K2009" s="79"/>
      <c r="L2009" s="49">
        <f t="shared" si="126"/>
        <v>0</v>
      </c>
      <c r="M2009" s="50">
        <f t="shared" si="127"/>
        <v>0</v>
      </c>
    </row>
    <row r="2010" spans="1:13" x14ac:dyDescent="0.2">
      <c r="A2010" s="18"/>
      <c r="B2010" s="77"/>
      <c r="C2010" s="77"/>
      <c r="D2010" s="78"/>
      <c r="E2010" s="77"/>
      <c r="F2010" s="77"/>
      <c r="G2010" s="77"/>
      <c r="H2010" s="77"/>
      <c r="I2010" s="77"/>
      <c r="J2010" s="77"/>
      <c r="K2010" s="79"/>
      <c r="L2010" s="49">
        <f t="shared" si="126"/>
        <v>0</v>
      </c>
      <c r="M2010" s="50">
        <f t="shared" si="127"/>
        <v>0</v>
      </c>
    </row>
    <row r="2011" spans="1:13" x14ac:dyDescent="0.2">
      <c r="A2011" s="18"/>
      <c r="B2011" s="77"/>
      <c r="C2011" s="77"/>
      <c r="D2011" s="78"/>
      <c r="E2011" s="77"/>
      <c r="F2011" s="77"/>
      <c r="G2011" s="77"/>
      <c r="H2011" s="77"/>
      <c r="I2011" s="77"/>
      <c r="J2011" s="77"/>
      <c r="K2011" s="79"/>
      <c r="L2011" s="49">
        <f t="shared" si="126"/>
        <v>0</v>
      </c>
      <c r="M2011" s="50">
        <f t="shared" si="127"/>
        <v>0</v>
      </c>
    </row>
    <row r="2012" spans="1:13" x14ac:dyDescent="0.2">
      <c r="A2012" s="18"/>
      <c r="B2012" s="77"/>
      <c r="C2012" s="77"/>
      <c r="D2012" s="78"/>
      <c r="E2012" s="77"/>
      <c r="F2012" s="77"/>
      <c r="G2012" s="77"/>
      <c r="H2012" s="77"/>
      <c r="I2012" s="77"/>
      <c r="J2012" s="77"/>
      <c r="K2012" s="79"/>
      <c r="L2012" s="49">
        <f t="shared" si="126"/>
        <v>0</v>
      </c>
      <c r="M2012" s="50">
        <f t="shared" si="127"/>
        <v>0</v>
      </c>
    </row>
    <row r="2013" spans="1:13" x14ac:dyDescent="0.2">
      <c r="A2013" s="18"/>
      <c r="B2013" s="77"/>
      <c r="C2013" s="77"/>
      <c r="D2013" s="78"/>
      <c r="E2013" s="77"/>
      <c r="F2013" s="77"/>
      <c r="G2013" s="77"/>
      <c r="H2013" s="77"/>
      <c r="I2013" s="77"/>
      <c r="J2013" s="77"/>
      <c r="K2013" s="79"/>
      <c r="L2013" s="49">
        <f t="shared" si="126"/>
        <v>0</v>
      </c>
      <c r="M2013" s="50">
        <f t="shared" si="127"/>
        <v>0</v>
      </c>
    </row>
    <row r="2014" spans="1:13" x14ac:dyDescent="0.2">
      <c r="A2014" s="18"/>
      <c r="B2014" s="77"/>
      <c r="C2014" s="77"/>
      <c r="D2014" s="78"/>
      <c r="E2014" s="77"/>
      <c r="F2014" s="77"/>
      <c r="G2014" s="77"/>
      <c r="H2014" s="77"/>
      <c r="I2014" s="77"/>
      <c r="J2014" s="77"/>
      <c r="K2014" s="79"/>
      <c r="L2014" s="49">
        <f t="shared" si="126"/>
        <v>0</v>
      </c>
      <c r="M2014" s="50">
        <f t="shared" si="127"/>
        <v>0</v>
      </c>
    </row>
    <row r="2015" spans="1:13" x14ac:dyDescent="0.2">
      <c r="A2015" s="18"/>
      <c r="B2015" s="77"/>
      <c r="C2015" s="77"/>
      <c r="D2015" s="78"/>
      <c r="E2015" s="77"/>
      <c r="F2015" s="77"/>
      <c r="G2015" s="77"/>
      <c r="H2015" s="77"/>
      <c r="I2015" s="77"/>
      <c r="J2015" s="77"/>
      <c r="K2015" s="79"/>
      <c r="L2015" s="49">
        <f t="shared" si="126"/>
        <v>0</v>
      </c>
      <c r="M2015" s="50">
        <f t="shared" si="127"/>
        <v>0</v>
      </c>
    </row>
    <row r="2016" spans="1:13" x14ac:dyDescent="0.2">
      <c r="A2016" s="18"/>
      <c r="B2016" s="77"/>
      <c r="C2016" s="77"/>
      <c r="D2016" s="78"/>
      <c r="E2016" s="77"/>
      <c r="F2016" s="77"/>
      <c r="G2016" s="77"/>
      <c r="H2016" s="77"/>
      <c r="I2016" s="77"/>
      <c r="J2016" s="77"/>
      <c r="K2016" s="79"/>
      <c r="L2016" s="49">
        <f t="shared" si="126"/>
        <v>0</v>
      </c>
      <c r="M2016" s="50">
        <f t="shared" si="127"/>
        <v>0</v>
      </c>
    </row>
    <row r="2017" spans="1:13" x14ac:dyDescent="0.2">
      <c r="A2017" s="18"/>
      <c r="B2017" s="77"/>
      <c r="C2017" s="77"/>
      <c r="D2017" s="78"/>
      <c r="E2017" s="77"/>
      <c r="F2017" s="77"/>
      <c r="G2017" s="77"/>
      <c r="H2017" s="77"/>
      <c r="I2017" s="77"/>
      <c r="J2017" s="77"/>
      <c r="K2017" s="79"/>
      <c r="L2017" s="49">
        <f t="shared" si="126"/>
        <v>0</v>
      </c>
      <c r="M2017" s="50">
        <f t="shared" si="127"/>
        <v>0</v>
      </c>
    </row>
    <row r="2018" spans="1:13" x14ac:dyDescent="0.2">
      <c r="A2018" s="18"/>
      <c r="B2018" s="77"/>
      <c r="C2018" s="77"/>
      <c r="D2018" s="78"/>
      <c r="E2018" s="77"/>
      <c r="F2018" s="77"/>
      <c r="G2018" s="77"/>
      <c r="H2018" s="77"/>
      <c r="I2018" s="77"/>
      <c r="J2018" s="77"/>
      <c r="K2018" s="79"/>
      <c r="L2018" s="49">
        <f t="shared" si="126"/>
        <v>0</v>
      </c>
      <c r="M2018" s="50">
        <f t="shared" si="127"/>
        <v>0</v>
      </c>
    </row>
    <row r="2019" spans="1:13" x14ac:dyDescent="0.2">
      <c r="A2019" s="18"/>
      <c r="B2019" s="77"/>
      <c r="C2019" s="77"/>
      <c r="D2019" s="78"/>
      <c r="E2019" s="77"/>
      <c r="F2019" s="77"/>
      <c r="G2019" s="77"/>
      <c r="H2019" s="77"/>
      <c r="I2019" s="77"/>
      <c r="J2019" s="77"/>
      <c r="K2019" s="79"/>
      <c r="L2019" s="49">
        <f t="shared" si="126"/>
        <v>0</v>
      </c>
      <c r="M2019" s="50">
        <f t="shared" si="127"/>
        <v>0</v>
      </c>
    </row>
    <row r="2020" spans="1:13" x14ac:dyDescent="0.2">
      <c r="A2020" s="18"/>
      <c r="B2020" s="77"/>
      <c r="C2020" s="77"/>
      <c r="D2020" s="78"/>
      <c r="E2020" s="77"/>
      <c r="F2020" s="77"/>
      <c r="G2020" s="77"/>
      <c r="H2020" s="77"/>
      <c r="I2020" s="77"/>
      <c r="J2020" s="77"/>
      <c r="K2020" s="79"/>
      <c r="L2020" s="49">
        <f t="shared" si="126"/>
        <v>0</v>
      </c>
      <c r="M2020" s="50">
        <f t="shared" si="127"/>
        <v>0</v>
      </c>
    </row>
    <row r="2021" spans="1:13" x14ac:dyDescent="0.2">
      <c r="A2021" s="18"/>
      <c r="B2021" s="77"/>
      <c r="C2021" s="77"/>
      <c r="D2021" s="78"/>
      <c r="E2021" s="77"/>
      <c r="F2021" s="77"/>
      <c r="G2021" s="77"/>
      <c r="H2021" s="77"/>
      <c r="I2021" s="77"/>
      <c r="J2021" s="77"/>
      <c r="K2021" s="79"/>
      <c r="L2021" s="49">
        <f t="shared" si="126"/>
        <v>0</v>
      </c>
      <c r="M2021" s="50">
        <f t="shared" si="127"/>
        <v>0</v>
      </c>
    </row>
    <row r="2022" spans="1:13" x14ac:dyDescent="0.2">
      <c r="A2022" s="18"/>
      <c r="B2022" s="77"/>
      <c r="C2022" s="77"/>
      <c r="D2022" s="78"/>
      <c r="E2022" s="77"/>
      <c r="F2022" s="77"/>
      <c r="G2022" s="77"/>
      <c r="H2022" s="77"/>
      <c r="I2022" s="77"/>
      <c r="J2022" s="77"/>
      <c r="K2022" s="79"/>
      <c r="L2022" s="49">
        <f t="shared" si="126"/>
        <v>0</v>
      </c>
      <c r="M2022" s="50">
        <f t="shared" si="127"/>
        <v>0</v>
      </c>
    </row>
    <row r="2023" spans="1:13" x14ac:dyDescent="0.2">
      <c r="A2023" s="18"/>
      <c r="B2023" s="77"/>
      <c r="C2023" s="77"/>
      <c r="D2023" s="78"/>
      <c r="E2023" s="77"/>
      <c r="F2023" s="77"/>
      <c r="G2023" s="77"/>
      <c r="H2023" s="77"/>
      <c r="I2023" s="77"/>
      <c r="J2023" s="77"/>
      <c r="K2023" s="79"/>
      <c r="L2023" s="49">
        <f t="shared" si="126"/>
        <v>0</v>
      </c>
      <c r="M2023" s="50">
        <f t="shared" si="127"/>
        <v>0</v>
      </c>
    </row>
    <row r="2024" spans="1:13" x14ac:dyDescent="0.2">
      <c r="A2024" s="18"/>
      <c r="B2024" s="77"/>
      <c r="C2024" s="77"/>
      <c r="D2024" s="78"/>
      <c r="E2024" s="77"/>
      <c r="F2024" s="77"/>
      <c r="G2024" s="77"/>
      <c r="H2024" s="77"/>
      <c r="I2024" s="77"/>
      <c r="J2024" s="77"/>
      <c r="K2024" s="79"/>
      <c r="L2024" s="49">
        <f t="shared" si="126"/>
        <v>0</v>
      </c>
      <c r="M2024" s="50">
        <f t="shared" si="127"/>
        <v>0</v>
      </c>
    </row>
    <row r="2025" spans="1:13" x14ac:dyDescent="0.2">
      <c r="A2025" s="18"/>
      <c r="B2025" s="77"/>
      <c r="C2025" s="77"/>
      <c r="D2025" s="78"/>
      <c r="E2025" s="77"/>
      <c r="F2025" s="77"/>
      <c r="G2025" s="77"/>
      <c r="H2025" s="77"/>
      <c r="I2025" s="77"/>
      <c r="J2025" s="77"/>
      <c r="K2025" s="79"/>
      <c r="L2025" s="49">
        <f t="shared" si="126"/>
        <v>0</v>
      </c>
      <c r="M2025" s="50">
        <f t="shared" si="127"/>
        <v>0</v>
      </c>
    </row>
    <row r="2026" spans="1:13" x14ac:dyDescent="0.2">
      <c r="A2026" s="18"/>
      <c r="B2026" s="77"/>
      <c r="C2026" s="77"/>
      <c r="D2026" s="78"/>
      <c r="E2026" s="77"/>
      <c r="F2026" s="77"/>
      <c r="G2026" s="77"/>
      <c r="H2026" s="77"/>
      <c r="I2026" s="77"/>
      <c r="J2026" s="77"/>
      <c r="K2026" s="79"/>
      <c r="L2026" s="49">
        <f t="shared" si="126"/>
        <v>0</v>
      </c>
      <c r="M2026" s="50">
        <f t="shared" si="127"/>
        <v>0</v>
      </c>
    </row>
    <row r="2027" spans="1:13" x14ac:dyDescent="0.2">
      <c r="A2027" s="18"/>
      <c r="B2027" s="77"/>
      <c r="C2027" s="77"/>
      <c r="D2027" s="78"/>
      <c r="E2027" s="77"/>
      <c r="F2027" s="77"/>
      <c r="G2027" s="77"/>
      <c r="H2027" s="77"/>
      <c r="I2027" s="77"/>
      <c r="J2027" s="77"/>
      <c r="K2027" s="79"/>
      <c r="L2027" s="49">
        <f t="shared" si="126"/>
        <v>0</v>
      </c>
      <c r="M2027" s="50">
        <f t="shared" si="127"/>
        <v>0</v>
      </c>
    </row>
    <row r="2028" spans="1:13" x14ac:dyDescent="0.2">
      <c r="A2028" s="18"/>
      <c r="B2028" s="77"/>
      <c r="C2028" s="77"/>
      <c r="D2028" s="78"/>
      <c r="E2028" s="77"/>
      <c r="F2028" s="77"/>
      <c r="G2028" s="77"/>
      <c r="H2028" s="77"/>
      <c r="I2028" s="77"/>
      <c r="J2028" s="77"/>
      <c r="K2028" s="79"/>
      <c r="L2028" s="49">
        <f t="shared" si="126"/>
        <v>0</v>
      </c>
      <c r="M2028" s="50">
        <f t="shared" si="127"/>
        <v>0</v>
      </c>
    </row>
    <row r="2029" spans="1:13" x14ac:dyDescent="0.2">
      <c r="A2029" s="18"/>
      <c r="B2029" s="77"/>
      <c r="C2029" s="77"/>
      <c r="D2029" s="78"/>
      <c r="E2029" s="77"/>
      <c r="F2029" s="77"/>
      <c r="G2029" s="77"/>
      <c r="H2029" s="77"/>
      <c r="I2029" s="77"/>
      <c r="J2029" s="77"/>
      <c r="K2029" s="79"/>
      <c r="L2029" s="49">
        <f t="shared" si="126"/>
        <v>0</v>
      </c>
      <c r="M2029" s="50">
        <f t="shared" si="127"/>
        <v>0</v>
      </c>
    </row>
    <row r="2030" spans="1:13" x14ac:dyDescent="0.2">
      <c r="A2030" s="18"/>
      <c r="B2030" s="77"/>
      <c r="C2030" s="77"/>
      <c r="D2030" s="78"/>
      <c r="E2030" s="77"/>
      <c r="F2030" s="77"/>
      <c r="G2030" s="77"/>
      <c r="H2030" s="77"/>
      <c r="I2030" s="77"/>
      <c r="J2030" s="77"/>
      <c r="K2030" s="79"/>
      <c r="L2030" s="49">
        <f t="shared" si="126"/>
        <v>0</v>
      </c>
      <c r="M2030" s="50">
        <f t="shared" si="127"/>
        <v>0</v>
      </c>
    </row>
    <row r="2031" spans="1:13" x14ac:dyDescent="0.2">
      <c r="A2031" s="18"/>
      <c r="B2031" s="77"/>
      <c r="C2031" s="77"/>
      <c r="D2031" s="78"/>
      <c r="E2031" s="77"/>
      <c r="F2031" s="77"/>
      <c r="G2031" s="77"/>
      <c r="H2031" s="77"/>
      <c r="I2031" s="77"/>
      <c r="J2031" s="77"/>
      <c r="K2031" s="79"/>
      <c r="L2031" s="49">
        <f t="shared" si="126"/>
        <v>0</v>
      </c>
      <c r="M2031" s="50">
        <f t="shared" si="127"/>
        <v>0</v>
      </c>
    </row>
    <row r="2032" spans="1:13" x14ac:dyDescent="0.2">
      <c r="A2032" s="18"/>
      <c r="B2032" s="77"/>
      <c r="C2032" s="77"/>
      <c r="D2032" s="78"/>
      <c r="E2032" s="77"/>
      <c r="F2032" s="77"/>
      <c r="G2032" s="77"/>
      <c r="H2032" s="77"/>
      <c r="I2032" s="77"/>
      <c r="J2032" s="77"/>
      <c r="K2032" s="79"/>
      <c r="L2032" s="49">
        <f t="shared" si="126"/>
        <v>0</v>
      </c>
      <c r="M2032" s="50">
        <f t="shared" si="127"/>
        <v>0</v>
      </c>
    </row>
    <row r="2033" spans="1:13" x14ac:dyDescent="0.2">
      <c r="A2033" s="18"/>
      <c r="B2033" s="77"/>
      <c r="C2033" s="77"/>
      <c r="D2033" s="78"/>
      <c r="E2033" s="77"/>
      <c r="F2033" s="77"/>
      <c r="G2033" s="77"/>
      <c r="H2033" s="77"/>
      <c r="I2033" s="77"/>
      <c r="J2033" s="77"/>
      <c r="K2033" s="79"/>
      <c r="L2033" s="49">
        <f t="shared" si="126"/>
        <v>0</v>
      </c>
      <c r="M2033" s="50">
        <f t="shared" si="127"/>
        <v>0</v>
      </c>
    </row>
    <row r="2034" spans="1:13" x14ac:dyDescent="0.2">
      <c r="A2034" s="18"/>
      <c r="B2034" s="77"/>
      <c r="C2034" s="77"/>
      <c r="D2034" s="78"/>
      <c r="E2034" s="77"/>
      <c r="F2034" s="77"/>
      <c r="G2034" s="77"/>
      <c r="H2034" s="77"/>
      <c r="I2034" s="77"/>
      <c r="J2034" s="77"/>
      <c r="K2034" s="79"/>
      <c r="L2034" s="49">
        <f t="shared" si="126"/>
        <v>0</v>
      </c>
      <c r="M2034" s="50">
        <f t="shared" si="127"/>
        <v>0</v>
      </c>
    </row>
    <row r="2035" spans="1:13" x14ac:dyDescent="0.2">
      <c r="A2035" s="18"/>
      <c r="B2035" s="77"/>
      <c r="C2035" s="77"/>
      <c r="D2035" s="78"/>
      <c r="E2035" s="77"/>
      <c r="F2035" s="77"/>
      <c r="G2035" s="77"/>
      <c r="H2035" s="77"/>
      <c r="I2035" s="77"/>
      <c r="J2035" s="77"/>
      <c r="K2035" s="79"/>
      <c r="L2035" s="49">
        <f t="shared" si="126"/>
        <v>0</v>
      </c>
      <c r="M2035" s="50">
        <f t="shared" si="127"/>
        <v>0</v>
      </c>
    </row>
    <row r="2036" spans="1:13" x14ac:dyDescent="0.2">
      <c r="A2036" s="18"/>
      <c r="B2036" s="77"/>
      <c r="C2036" s="77"/>
      <c r="D2036" s="78"/>
      <c r="E2036" s="77"/>
      <c r="F2036" s="77"/>
      <c r="G2036" s="77"/>
      <c r="H2036" s="77"/>
      <c r="I2036" s="77"/>
      <c r="J2036" s="77"/>
      <c r="K2036" s="79"/>
      <c r="L2036" s="49">
        <f t="shared" si="126"/>
        <v>0</v>
      </c>
      <c r="M2036" s="50">
        <f t="shared" si="127"/>
        <v>0</v>
      </c>
    </row>
    <row r="2037" spans="1:13" x14ac:dyDescent="0.2">
      <c r="A2037" s="18"/>
      <c r="B2037" s="77"/>
      <c r="C2037" s="77"/>
      <c r="D2037" s="78"/>
      <c r="E2037" s="77"/>
      <c r="F2037" s="77"/>
      <c r="G2037" s="77"/>
      <c r="H2037" s="77"/>
      <c r="I2037" s="77"/>
      <c r="J2037" s="77"/>
      <c r="K2037" s="79"/>
      <c r="L2037" s="49">
        <f t="shared" si="126"/>
        <v>0</v>
      </c>
      <c r="M2037" s="50">
        <f t="shared" si="127"/>
        <v>0</v>
      </c>
    </row>
    <row r="2038" spans="1:13" x14ac:dyDescent="0.2">
      <c r="A2038" s="18"/>
      <c r="B2038" s="77"/>
      <c r="C2038" s="77"/>
      <c r="D2038" s="78"/>
      <c r="E2038" s="77"/>
      <c r="F2038" s="77"/>
      <c r="G2038" s="77"/>
      <c r="H2038" s="77"/>
      <c r="I2038" s="77"/>
      <c r="J2038" s="77"/>
      <c r="K2038" s="79"/>
      <c r="L2038" s="49">
        <f t="shared" si="126"/>
        <v>0</v>
      </c>
      <c r="M2038" s="50">
        <f t="shared" si="127"/>
        <v>0</v>
      </c>
    </row>
    <row r="2039" spans="1:13" x14ac:dyDescent="0.2">
      <c r="A2039" s="18"/>
      <c r="B2039" s="77"/>
      <c r="C2039" s="77"/>
      <c r="D2039" s="78"/>
      <c r="E2039" s="77"/>
      <c r="F2039" s="77"/>
      <c r="G2039" s="77"/>
      <c r="H2039" s="77"/>
      <c r="I2039" s="77"/>
      <c r="J2039" s="77"/>
      <c r="K2039" s="79"/>
      <c r="L2039" s="49">
        <f t="shared" si="126"/>
        <v>0</v>
      </c>
      <c r="M2039" s="50">
        <f t="shared" si="127"/>
        <v>0</v>
      </c>
    </row>
    <row r="2040" spans="1:13" x14ac:dyDescent="0.2">
      <c r="A2040" s="18"/>
      <c r="B2040" s="77"/>
      <c r="C2040" s="77"/>
      <c r="D2040" s="78"/>
      <c r="E2040" s="77"/>
      <c r="F2040" s="77"/>
      <c r="G2040" s="77"/>
      <c r="H2040" s="77"/>
      <c r="I2040" s="77"/>
      <c r="J2040" s="77"/>
      <c r="K2040" s="79"/>
      <c r="L2040" s="49">
        <f t="shared" si="126"/>
        <v>0</v>
      </c>
      <c r="M2040" s="50">
        <f t="shared" si="127"/>
        <v>0</v>
      </c>
    </row>
    <row r="2041" spans="1:13" x14ac:dyDescent="0.2">
      <c r="A2041" s="18"/>
      <c r="B2041" s="77"/>
      <c r="C2041" s="77"/>
      <c r="D2041" s="78"/>
      <c r="E2041" s="77"/>
      <c r="F2041" s="77"/>
      <c r="G2041" s="77"/>
      <c r="H2041" s="77"/>
      <c r="I2041" s="77"/>
      <c r="J2041" s="77"/>
      <c r="K2041" s="79"/>
      <c r="L2041" s="49">
        <f t="shared" si="126"/>
        <v>0</v>
      </c>
      <c r="M2041" s="50">
        <f t="shared" si="127"/>
        <v>0</v>
      </c>
    </row>
    <row r="2042" spans="1:13" x14ac:dyDescent="0.2">
      <c r="A2042" s="18"/>
      <c r="B2042" s="77"/>
      <c r="C2042" s="77"/>
      <c r="D2042" s="78"/>
      <c r="E2042" s="77"/>
      <c r="F2042" s="77"/>
      <c r="G2042" s="77"/>
      <c r="H2042" s="77"/>
      <c r="I2042" s="77"/>
      <c r="J2042" s="77"/>
      <c r="K2042" s="79"/>
      <c r="L2042" s="49">
        <f t="shared" si="126"/>
        <v>0</v>
      </c>
      <c r="M2042" s="50">
        <f t="shared" si="127"/>
        <v>0</v>
      </c>
    </row>
    <row r="2043" spans="1:13" x14ac:dyDescent="0.2">
      <c r="A2043" s="18"/>
      <c r="B2043" s="77"/>
      <c r="C2043" s="77"/>
      <c r="D2043" s="78"/>
      <c r="E2043" s="77"/>
      <c r="F2043" s="77"/>
      <c r="G2043" s="77"/>
      <c r="H2043" s="77"/>
      <c r="I2043" s="77"/>
      <c r="J2043" s="77"/>
      <c r="K2043" s="79"/>
      <c r="L2043" s="49">
        <f t="shared" si="126"/>
        <v>0</v>
      </c>
      <c r="M2043" s="50">
        <f t="shared" si="127"/>
        <v>0</v>
      </c>
    </row>
    <row r="2044" spans="1:13" x14ac:dyDescent="0.2">
      <c r="A2044" s="18"/>
      <c r="B2044" s="77"/>
      <c r="C2044" s="77"/>
      <c r="D2044" s="78"/>
      <c r="E2044" s="77"/>
      <c r="F2044" s="77"/>
      <c r="G2044" s="77"/>
      <c r="H2044" s="77"/>
      <c r="I2044" s="77"/>
      <c r="J2044" s="77"/>
      <c r="K2044" s="79"/>
      <c r="L2044" s="49">
        <f t="shared" si="126"/>
        <v>0</v>
      </c>
      <c r="M2044" s="50">
        <f t="shared" si="127"/>
        <v>0</v>
      </c>
    </row>
    <row r="2045" spans="1:13" x14ac:dyDescent="0.2">
      <c r="A2045" s="18"/>
      <c r="B2045" s="77"/>
      <c r="C2045" s="77"/>
      <c r="D2045" s="78"/>
      <c r="E2045" s="77"/>
      <c r="F2045" s="77"/>
      <c r="G2045" s="77"/>
      <c r="H2045" s="77"/>
      <c r="I2045" s="77"/>
      <c r="J2045" s="77"/>
      <c r="K2045" s="79"/>
      <c r="L2045" s="49">
        <f t="shared" si="126"/>
        <v>0</v>
      </c>
      <c r="M2045" s="50">
        <f t="shared" si="127"/>
        <v>0</v>
      </c>
    </row>
    <row r="2046" spans="1:13" x14ac:dyDescent="0.2">
      <c r="A2046" s="18"/>
      <c r="B2046" s="77"/>
      <c r="C2046" s="77"/>
      <c r="D2046" s="78"/>
      <c r="E2046" s="77"/>
      <c r="F2046" s="77"/>
      <c r="G2046" s="77"/>
      <c r="H2046" s="77"/>
      <c r="I2046" s="77"/>
      <c r="J2046" s="77"/>
      <c r="K2046" s="79"/>
      <c r="L2046" s="49">
        <f t="shared" si="126"/>
        <v>0</v>
      </c>
      <c r="M2046" s="50">
        <f t="shared" si="127"/>
        <v>0</v>
      </c>
    </row>
    <row r="2047" spans="1:13" x14ac:dyDescent="0.2">
      <c r="A2047" s="18"/>
      <c r="B2047" s="77"/>
      <c r="C2047" s="77"/>
      <c r="D2047" s="78"/>
      <c r="E2047" s="77"/>
      <c r="F2047" s="77"/>
      <c r="G2047" s="77"/>
      <c r="H2047" s="77"/>
      <c r="I2047" s="77"/>
      <c r="J2047" s="77"/>
      <c r="K2047" s="79"/>
      <c r="L2047" s="49">
        <f t="shared" si="126"/>
        <v>0</v>
      </c>
      <c r="M2047" s="50">
        <f t="shared" si="127"/>
        <v>0</v>
      </c>
    </row>
    <row r="2048" spans="1:13" x14ac:dyDescent="0.2">
      <c r="A2048" s="18"/>
      <c r="B2048" s="77"/>
      <c r="C2048" s="77"/>
      <c r="D2048" s="78"/>
      <c r="E2048" s="77"/>
      <c r="F2048" s="77"/>
      <c r="G2048" s="77"/>
      <c r="H2048" s="77"/>
      <c r="I2048" s="77"/>
      <c r="J2048" s="77"/>
      <c r="K2048" s="79"/>
      <c r="L2048" s="49">
        <f t="shared" si="126"/>
        <v>0</v>
      </c>
      <c r="M2048" s="50">
        <f t="shared" si="127"/>
        <v>0</v>
      </c>
    </row>
    <row r="2049" spans="1:13" x14ac:dyDescent="0.2">
      <c r="A2049" s="18"/>
      <c r="B2049" s="77"/>
      <c r="C2049" s="77"/>
      <c r="D2049" s="78"/>
      <c r="E2049" s="77"/>
      <c r="F2049" s="77"/>
      <c r="G2049" s="77"/>
      <c r="H2049" s="77"/>
      <c r="I2049" s="77"/>
      <c r="J2049" s="77"/>
      <c r="K2049" s="79"/>
      <c r="L2049" s="49">
        <f t="shared" si="126"/>
        <v>0</v>
      </c>
      <c r="M2049" s="50">
        <f t="shared" si="127"/>
        <v>0</v>
      </c>
    </row>
    <row r="2050" spans="1:13" x14ac:dyDescent="0.2">
      <c r="A2050" s="18"/>
      <c r="B2050" s="77"/>
      <c r="C2050" s="77"/>
      <c r="D2050" s="78"/>
      <c r="E2050" s="77"/>
      <c r="F2050" s="77"/>
      <c r="G2050" s="77"/>
      <c r="H2050" s="77"/>
      <c r="I2050" s="77"/>
      <c r="J2050" s="77"/>
      <c r="K2050" s="79"/>
      <c r="L2050" s="49">
        <f t="shared" si="126"/>
        <v>0</v>
      </c>
      <c r="M2050" s="50">
        <f t="shared" si="127"/>
        <v>0</v>
      </c>
    </row>
    <row r="2051" spans="1:13" x14ac:dyDescent="0.2">
      <c r="A2051" s="18"/>
      <c r="B2051" s="77"/>
      <c r="C2051" s="77"/>
      <c r="D2051" s="78"/>
      <c r="E2051" s="77"/>
      <c r="F2051" s="77"/>
      <c r="G2051" s="77"/>
      <c r="H2051" s="77"/>
      <c r="I2051" s="77"/>
      <c r="J2051" s="77"/>
      <c r="K2051" s="79"/>
      <c r="L2051" s="49">
        <f t="shared" si="126"/>
        <v>0</v>
      </c>
      <c r="M2051" s="50">
        <f t="shared" si="127"/>
        <v>0</v>
      </c>
    </row>
    <row r="2052" spans="1:13" x14ac:dyDescent="0.2">
      <c r="A2052" s="18"/>
      <c r="B2052" s="77"/>
      <c r="C2052" s="77"/>
      <c r="D2052" s="78"/>
      <c r="E2052" s="77"/>
      <c r="F2052" s="77"/>
      <c r="G2052" s="77"/>
      <c r="H2052" s="77"/>
      <c r="I2052" s="77"/>
      <c r="J2052" s="77"/>
      <c r="K2052" s="79"/>
      <c r="L2052" s="49">
        <f t="shared" si="126"/>
        <v>0</v>
      </c>
      <c r="M2052" s="50">
        <f t="shared" si="127"/>
        <v>0</v>
      </c>
    </row>
    <row r="2053" spans="1:13" x14ac:dyDescent="0.2">
      <c r="A2053" s="18"/>
      <c r="B2053" s="77"/>
      <c r="C2053" s="77"/>
      <c r="D2053" s="78"/>
      <c r="E2053" s="77"/>
      <c r="F2053" s="77"/>
      <c r="G2053" s="77"/>
      <c r="H2053" s="77"/>
      <c r="I2053" s="77"/>
      <c r="J2053" s="77"/>
      <c r="K2053" s="79"/>
      <c r="L2053" s="49">
        <f t="shared" si="126"/>
        <v>0</v>
      </c>
      <c r="M2053" s="50">
        <f t="shared" si="127"/>
        <v>0</v>
      </c>
    </row>
    <row r="2054" spans="1:13" x14ac:dyDescent="0.2">
      <c r="A2054" s="18"/>
      <c r="B2054" s="77"/>
      <c r="C2054" s="77"/>
      <c r="D2054" s="78"/>
      <c r="E2054" s="77"/>
      <c r="F2054" s="77"/>
      <c r="G2054" s="77"/>
      <c r="H2054" s="77"/>
      <c r="I2054" s="77"/>
      <c r="J2054" s="77"/>
      <c r="K2054" s="79"/>
      <c r="L2054" s="49">
        <f t="shared" si="126"/>
        <v>0</v>
      </c>
      <c r="M2054" s="50">
        <f t="shared" si="127"/>
        <v>0</v>
      </c>
    </row>
    <row r="2055" spans="1:13" x14ac:dyDescent="0.2">
      <c r="A2055" s="18"/>
      <c r="B2055" s="77"/>
      <c r="C2055" s="77"/>
      <c r="D2055" s="78"/>
      <c r="E2055" s="77"/>
      <c r="F2055" s="77"/>
      <c r="G2055" s="77"/>
      <c r="H2055" s="77"/>
      <c r="I2055" s="77"/>
      <c r="J2055" s="77"/>
      <c r="K2055" s="79"/>
      <c r="L2055" s="49">
        <f t="shared" si="126"/>
        <v>0</v>
      </c>
      <c r="M2055" s="50">
        <f t="shared" si="127"/>
        <v>0</v>
      </c>
    </row>
    <row r="2056" spans="1:13" x14ac:dyDescent="0.2">
      <c r="A2056" s="18"/>
      <c r="B2056" s="77"/>
      <c r="C2056" s="77"/>
      <c r="D2056" s="78"/>
      <c r="E2056" s="77"/>
      <c r="F2056" s="77"/>
      <c r="G2056" s="77"/>
      <c r="H2056" s="77"/>
      <c r="I2056" s="77"/>
      <c r="J2056" s="77"/>
      <c r="K2056" s="79"/>
      <c r="L2056" s="49">
        <f t="shared" si="126"/>
        <v>0</v>
      </c>
      <c r="M2056" s="50">
        <f t="shared" si="127"/>
        <v>0</v>
      </c>
    </row>
    <row r="2057" spans="1:13" x14ac:dyDescent="0.2">
      <c r="A2057" s="18"/>
      <c r="B2057" s="77"/>
      <c r="C2057" s="77"/>
      <c r="D2057" s="78"/>
      <c r="E2057" s="77"/>
      <c r="F2057" s="77"/>
      <c r="G2057" s="77"/>
      <c r="H2057" s="77"/>
      <c r="I2057" s="77"/>
      <c r="J2057" s="77"/>
      <c r="K2057" s="79"/>
      <c r="L2057" s="49">
        <f t="shared" si="126"/>
        <v>0</v>
      </c>
      <c r="M2057" s="50">
        <f t="shared" si="127"/>
        <v>0</v>
      </c>
    </row>
    <row r="2058" spans="1:13" x14ac:dyDescent="0.2">
      <c r="A2058" s="18"/>
      <c r="B2058" s="77"/>
      <c r="C2058" s="77"/>
      <c r="D2058" s="78"/>
      <c r="E2058" s="77"/>
      <c r="F2058" s="77"/>
      <c r="G2058" s="77"/>
      <c r="H2058" s="77"/>
      <c r="I2058" s="77"/>
      <c r="J2058" s="77"/>
      <c r="K2058" s="79"/>
      <c r="L2058" s="49">
        <f t="shared" si="126"/>
        <v>0</v>
      </c>
      <c r="M2058" s="50">
        <f t="shared" si="127"/>
        <v>0</v>
      </c>
    </row>
    <row r="2059" spans="1:13" x14ac:dyDescent="0.2">
      <c r="A2059" s="18"/>
      <c r="B2059" s="77"/>
      <c r="C2059" s="77"/>
      <c r="D2059" s="78"/>
      <c r="E2059" s="77"/>
      <c r="F2059" s="77"/>
      <c r="G2059" s="77"/>
      <c r="H2059" s="77"/>
      <c r="I2059" s="77"/>
      <c r="J2059" s="77"/>
      <c r="K2059" s="79"/>
      <c r="L2059" s="49">
        <f t="shared" si="126"/>
        <v>0</v>
      </c>
      <c r="M2059" s="50">
        <f t="shared" si="127"/>
        <v>0</v>
      </c>
    </row>
    <row r="2060" spans="1:13" x14ac:dyDescent="0.2">
      <c r="A2060" s="18"/>
      <c r="B2060" s="77"/>
      <c r="C2060" s="77"/>
      <c r="D2060" s="78"/>
      <c r="E2060" s="77"/>
      <c r="F2060" s="77"/>
      <c r="G2060" s="77"/>
      <c r="H2060" s="77"/>
      <c r="I2060" s="77"/>
      <c r="J2060" s="77"/>
      <c r="K2060" s="79"/>
      <c r="L2060" s="49">
        <f t="shared" si="126"/>
        <v>0</v>
      </c>
      <c r="M2060" s="50">
        <f t="shared" si="127"/>
        <v>0</v>
      </c>
    </row>
    <row r="2061" spans="1:13" x14ac:dyDescent="0.2">
      <c r="A2061" s="18"/>
      <c r="B2061" s="77"/>
      <c r="C2061" s="77"/>
      <c r="D2061" s="78"/>
      <c r="E2061" s="77"/>
      <c r="F2061" s="77"/>
      <c r="G2061" s="77"/>
      <c r="H2061" s="77"/>
      <c r="I2061" s="77"/>
      <c r="J2061" s="77"/>
      <c r="K2061" s="79"/>
      <c r="L2061" s="49">
        <f t="shared" si="126"/>
        <v>0</v>
      </c>
      <c r="M2061" s="50">
        <f t="shared" si="127"/>
        <v>0</v>
      </c>
    </row>
    <row r="2062" spans="1:13" x14ac:dyDescent="0.2">
      <c r="A2062" s="18"/>
      <c r="B2062" s="77"/>
      <c r="C2062" s="77"/>
      <c r="D2062" s="78"/>
      <c r="E2062" s="77"/>
      <c r="F2062" s="77"/>
      <c r="G2062" s="77"/>
      <c r="H2062" s="77"/>
      <c r="I2062" s="77"/>
      <c r="J2062" s="77"/>
      <c r="K2062" s="79"/>
      <c r="L2062" s="49">
        <f t="shared" si="126"/>
        <v>0</v>
      </c>
      <c r="M2062" s="50">
        <f t="shared" si="127"/>
        <v>0</v>
      </c>
    </row>
    <row r="2063" spans="1:13" x14ac:dyDescent="0.2">
      <c r="A2063" s="18"/>
      <c r="B2063" s="77"/>
      <c r="C2063" s="77"/>
      <c r="D2063" s="78"/>
      <c r="E2063" s="77"/>
      <c r="F2063" s="77"/>
      <c r="G2063" s="77"/>
      <c r="H2063" s="77"/>
      <c r="I2063" s="77"/>
      <c r="J2063" s="77"/>
      <c r="K2063" s="79"/>
      <c r="L2063" s="49">
        <f t="shared" si="126"/>
        <v>0</v>
      </c>
      <c r="M2063" s="50">
        <f t="shared" si="127"/>
        <v>0</v>
      </c>
    </row>
    <row r="2064" spans="1:13" x14ac:dyDescent="0.2">
      <c r="A2064" s="18"/>
      <c r="B2064" s="77"/>
      <c r="C2064" s="77"/>
      <c r="D2064" s="78"/>
      <c r="E2064" s="77"/>
      <c r="F2064" s="77"/>
      <c r="G2064" s="77"/>
      <c r="H2064" s="77"/>
      <c r="I2064" s="77"/>
      <c r="J2064" s="77"/>
      <c r="K2064" s="79"/>
      <c r="L2064" s="49">
        <f t="shared" si="126"/>
        <v>0</v>
      </c>
      <c r="M2064" s="50">
        <f t="shared" si="127"/>
        <v>0</v>
      </c>
    </row>
    <row r="2065" spans="1:13" x14ac:dyDescent="0.2">
      <c r="A2065" s="18"/>
      <c r="B2065" s="77"/>
      <c r="C2065" s="77"/>
      <c r="D2065" s="78"/>
      <c r="E2065" s="77"/>
      <c r="F2065" s="77"/>
      <c r="G2065" s="77"/>
      <c r="H2065" s="77"/>
      <c r="I2065" s="77"/>
      <c r="J2065" s="77"/>
      <c r="K2065" s="79"/>
      <c r="L2065" s="49">
        <f t="shared" si="126"/>
        <v>0</v>
      </c>
      <c r="M2065" s="50">
        <f t="shared" si="127"/>
        <v>0</v>
      </c>
    </row>
    <row r="2066" spans="1:13" x14ac:dyDescent="0.2">
      <c r="A2066" s="18"/>
      <c r="B2066" s="77"/>
      <c r="C2066" s="77"/>
      <c r="D2066" s="78"/>
      <c r="E2066" s="77"/>
      <c r="F2066" s="77"/>
      <c r="G2066" s="77"/>
      <c r="H2066" s="77"/>
      <c r="I2066" s="77"/>
      <c r="J2066" s="77"/>
      <c r="K2066" s="79"/>
      <c r="L2066" s="49">
        <f t="shared" si="126"/>
        <v>0</v>
      </c>
      <c r="M2066" s="50">
        <f t="shared" si="127"/>
        <v>0</v>
      </c>
    </row>
    <row r="2067" spans="1:13" x14ac:dyDescent="0.2">
      <c r="A2067" s="18"/>
      <c r="B2067" s="77"/>
      <c r="C2067" s="77"/>
      <c r="D2067" s="78"/>
      <c r="E2067" s="77"/>
      <c r="F2067" s="77"/>
      <c r="G2067" s="77"/>
      <c r="H2067" s="77"/>
      <c r="I2067" s="77"/>
      <c r="J2067" s="77"/>
      <c r="K2067" s="79"/>
      <c r="L2067" s="49">
        <f t="shared" si="126"/>
        <v>0</v>
      </c>
      <c r="M2067" s="50">
        <f t="shared" si="127"/>
        <v>0</v>
      </c>
    </row>
    <row r="2068" spans="1:13" x14ac:dyDescent="0.2">
      <c r="A2068" s="18"/>
      <c r="B2068" s="77"/>
      <c r="C2068" s="77"/>
      <c r="D2068" s="78"/>
      <c r="E2068" s="77"/>
      <c r="F2068" s="77"/>
      <c r="G2068" s="77"/>
      <c r="H2068" s="77"/>
      <c r="I2068" s="77"/>
      <c r="J2068" s="77"/>
      <c r="K2068" s="79"/>
      <c r="L2068" s="49">
        <f t="shared" si="126"/>
        <v>0</v>
      </c>
      <c r="M2068" s="50">
        <f t="shared" si="127"/>
        <v>0</v>
      </c>
    </row>
    <row r="2069" spans="1:13" x14ac:dyDescent="0.2">
      <c r="A2069" s="18"/>
      <c r="B2069" s="77"/>
      <c r="C2069" s="77"/>
      <c r="D2069" s="78"/>
      <c r="E2069" s="77"/>
      <c r="F2069" s="77"/>
      <c r="G2069" s="77"/>
      <c r="H2069" s="77"/>
      <c r="I2069" s="77"/>
      <c r="J2069" s="77"/>
      <c r="K2069" s="79"/>
      <c r="L2069" s="49">
        <f t="shared" si="126"/>
        <v>0</v>
      </c>
      <c r="M2069" s="50">
        <f t="shared" si="127"/>
        <v>0</v>
      </c>
    </row>
    <row r="2070" spans="1:13" x14ac:dyDescent="0.2">
      <c r="A2070" s="18"/>
      <c r="B2070" s="77"/>
      <c r="C2070" s="77"/>
      <c r="D2070" s="78"/>
      <c r="E2070" s="77"/>
      <c r="F2070" s="77"/>
      <c r="G2070" s="77"/>
      <c r="H2070" s="77"/>
      <c r="I2070" s="77"/>
      <c r="J2070" s="77"/>
      <c r="K2070" s="79"/>
      <c r="L2070" s="49">
        <f t="shared" ref="L2070:L2132" si="128">+K2070*18%</f>
        <v>0</v>
      </c>
      <c r="M2070" s="50">
        <f t="shared" ref="M2070:M2132" si="129">+K2070+L2070</f>
        <v>0</v>
      </c>
    </row>
    <row r="2071" spans="1:13" x14ac:dyDescent="0.2">
      <c r="A2071" s="18"/>
      <c r="B2071" s="77"/>
      <c r="C2071" s="77"/>
      <c r="D2071" s="78"/>
      <c r="E2071" s="77"/>
      <c r="F2071" s="77"/>
      <c r="G2071" s="77"/>
      <c r="H2071" s="77"/>
      <c r="I2071" s="77"/>
      <c r="J2071" s="77"/>
      <c r="K2071" s="79"/>
      <c r="L2071" s="49">
        <f t="shared" si="128"/>
        <v>0</v>
      </c>
      <c r="M2071" s="50">
        <f t="shared" si="129"/>
        <v>0</v>
      </c>
    </row>
    <row r="2072" spans="1:13" x14ac:dyDescent="0.2">
      <c r="A2072" s="18"/>
      <c r="B2072" s="77"/>
      <c r="C2072" s="77"/>
      <c r="D2072" s="78"/>
      <c r="E2072" s="77"/>
      <c r="F2072" s="77"/>
      <c r="G2072" s="77"/>
      <c r="H2072" s="77"/>
      <c r="I2072" s="77"/>
      <c r="J2072" s="77"/>
      <c r="K2072" s="79"/>
      <c r="L2072" s="49">
        <f t="shared" si="128"/>
        <v>0</v>
      </c>
      <c r="M2072" s="50">
        <f t="shared" si="129"/>
        <v>0</v>
      </c>
    </row>
    <row r="2073" spans="1:13" x14ac:dyDescent="0.2">
      <c r="A2073" s="18"/>
      <c r="B2073" s="77"/>
      <c r="C2073" s="77"/>
      <c r="D2073" s="78"/>
      <c r="E2073" s="77"/>
      <c r="F2073" s="77"/>
      <c r="G2073" s="77"/>
      <c r="H2073" s="77"/>
      <c r="I2073" s="77"/>
      <c r="J2073" s="77"/>
      <c r="K2073" s="79"/>
      <c r="L2073" s="49">
        <f t="shared" si="128"/>
        <v>0</v>
      </c>
      <c r="M2073" s="50">
        <f t="shared" si="129"/>
        <v>0</v>
      </c>
    </row>
    <row r="2074" spans="1:13" x14ac:dyDescent="0.2">
      <c r="A2074" s="18"/>
      <c r="B2074" s="77"/>
      <c r="C2074" s="77"/>
      <c r="D2074" s="78"/>
      <c r="E2074" s="77"/>
      <c r="F2074" s="77"/>
      <c r="G2074" s="77"/>
      <c r="H2074" s="77"/>
      <c r="I2074" s="77"/>
      <c r="J2074" s="77"/>
      <c r="K2074" s="79"/>
      <c r="L2074" s="49">
        <f t="shared" si="128"/>
        <v>0</v>
      </c>
      <c r="M2074" s="50">
        <f t="shared" si="129"/>
        <v>0</v>
      </c>
    </row>
    <row r="2075" spans="1:13" x14ac:dyDescent="0.2">
      <c r="A2075" s="18"/>
      <c r="B2075" s="77"/>
      <c r="C2075" s="77"/>
      <c r="D2075" s="78"/>
      <c r="E2075" s="77"/>
      <c r="F2075" s="77"/>
      <c r="G2075" s="77"/>
      <c r="H2075" s="77"/>
      <c r="I2075" s="77"/>
      <c r="J2075" s="77"/>
      <c r="K2075" s="79"/>
      <c r="L2075" s="49">
        <f t="shared" si="128"/>
        <v>0</v>
      </c>
      <c r="M2075" s="50">
        <f t="shared" si="129"/>
        <v>0</v>
      </c>
    </row>
    <row r="2076" spans="1:13" x14ac:dyDescent="0.2">
      <c r="A2076" s="18"/>
      <c r="B2076" s="77"/>
      <c r="C2076" s="77"/>
      <c r="D2076" s="78"/>
      <c r="E2076" s="77"/>
      <c r="F2076" s="77"/>
      <c r="G2076" s="77"/>
      <c r="H2076" s="77"/>
      <c r="I2076" s="77"/>
      <c r="J2076" s="77"/>
      <c r="K2076" s="79"/>
      <c r="L2076" s="49">
        <f t="shared" si="128"/>
        <v>0</v>
      </c>
      <c r="M2076" s="50">
        <f t="shared" si="129"/>
        <v>0</v>
      </c>
    </row>
    <row r="2077" spans="1:13" x14ac:dyDescent="0.2">
      <c r="A2077" s="18"/>
      <c r="B2077" s="77"/>
      <c r="C2077" s="77"/>
      <c r="D2077" s="78"/>
      <c r="E2077" s="77"/>
      <c r="F2077" s="77"/>
      <c r="G2077" s="77"/>
      <c r="H2077" s="77"/>
      <c r="I2077" s="77"/>
      <c r="J2077" s="77"/>
      <c r="K2077" s="79"/>
      <c r="L2077" s="49">
        <f t="shared" si="128"/>
        <v>0</v>
      </c>
      <c r="M2077" s="50">
        <f t="shared" si="129"/>
        <v>0</v>
      </c>
    </row>
    <row r="2078" spans="1:13" x14ac:dyDescent="0.2">
      <c r="A2078" s="18"/>
      <c r="B2078" s="77"/>
      <c r="C2078" s="77"/>
      <c r="D2078" s="78"/>
      <c r="E2078" s="77"/>
      <c r="F2078" s="77"/>
      <c r="G2078" s="77"/>
      <c r="H2078" s="77"/>
      <c r="I2078" s="77"/>
      <c r="J2078" s="77"/>
      <c r="K2078" s="79"/>
      <c r="L2078" s="49">
        <f t="shared" si="128"/>
        <v>0</v>
      </c>
      <c r="M2078" s="50">
        <f t="shared" si="129"/>
        <v>0</v>
      </c>
    </row>
    <row r="2079" spans="1:13" x14ac:dyDescent="0.2">
      <c r="A2079" s="18"/>
      <c r="B2079" s="77"/>
      <c r="C2079" s="77"/>
      <c r="D2079" s="78"/>
      <c r="E2079" s="77"/>
      <c r="F2079" s="77"/>
      <c r="G2079" s="77"/>
      <c r="H2079" s="77"/>
      <c r="I2079" s="77"/>
      <c r="J2079" s="77"/>
      <c r="K2079" s="79"/>
      <c r="L2079" s="49">
        <f t="shared" si="128"/>
        <v>0</v>
      </c>
      <c r="M2079" s="50">
        <f t="shared" si="129"/>
        <v>0</v>
      </c>
    </row>
    <row r="2080" spans="1:13" x14ac:dyDescent="0.2">
      <c r="A2080" s="18"/>
      <c r="B2080" s="77"/>
      <c r="C2080" s="77"/>
      <c r="D2080" s="78"/>
      <c r="E2080" s="77"/>
      <c r="F2080" s="77"/>
      <c r="G2080" s="77"/>
      <c r="H2080" s="77"/>
      <c r="I2080" s="77"/>
      <c r="J2080" s="77"/>
      <c r="K2080" s="79"/>
      <c r="L2080" s="49">
        <f t="shared" si="128"/>
        <v>0</v>
      </c>
      <c r="M2080" s="50">
        <f t="shared" si="129"/>
        <v>0</v>
      </c>
    </row>
    <row r="2081" spans="1:13" x14ac:dyDescent="0.2">
      <c r="A2081" s="18"/>
      <c r="B2081" s="77"/>
      <c r="C2081" s="77"/>
      <c r="D2081" s="78"/>
      <c r="E2081" s="77"/>
      <c r="F2081" s="77"/>
      <c r="G2081" s="77"/>
      <c r="H2081" s="77"/>
      <c r="I2081" s="77"/>
      <c r="J2081" s="77"/>
      <c r="K2081" s="79"/>
      <c r="L2081" s="49">
        <f t="shared" si="128"/>
        <v>0</v>
      </c>
      <c r="M2081" s="50">
        <f t="shared" si="129"/>
        <v>0</v>
      </c>
    </row>
    <row r="2082" spans="1:13" x14ac:dyDescent="0.2">
      <c r="A2082" s="18"/>
      <c r="B2082" s="77"/>
      <c r="C2082" s="77"/>
      <c r="D2082" s="78"/>
      <c r="E2082" s="77"/>
      <c r="F2082" s="77"/>
      <c r="G2082" s="77"/>
      <c r="H2082" s="77"/>
      <c r="I2082" s="77"/>
      <c r="J2082" s="77"/>
      <c r="K2082" s="79"/>
      <c r="L2082" s="49">
        <f t="shared" si="128"/>
        <v>0</v>
      </c>
      <c r="M2082" s="50">
        <f t="shared" si="129"/>
        <v>0</v>
      </c>
    </row>
    <row r="2083" spans="1:13" x14ac:dyDescent="0.2">
      <c r="A2083" s="18"/>
      <c r="B2083" s="77"/>
      <c r="C2083" s="77"/>
      <c r="D2083" s="78"/>
      <c r="E2083" s="77"/>
      <c r="F2083" s="77"/>
      <c r="G2083" s="77"/>
      <c r="H2083" s="77"/>
      <c r="I2083" s="77"/>
      <c r="J2083" s="77"/>
      <c r="K2083" s="79"/>
      <c r="L2083" s="49">
        <f t="shared" si="128"/>
        <v>0</v>
      </c>
      <c r="M2083" s="50">
        <f t="shared" si="129"/>
        <v>0</v>
      </c>
    </row>
    <row r="2084" spans="1:13" x14ac:dyDescent="0.2">
      <c r="A2084" s="18"/>
      <c r="B2084" s="77"/>
      <c r="C2084" s="77"/>
      <c r="D2084" s="78"/>
      <c r="E2084" s="77"/>
      <c r="F2084" s="77"/>
      <c r="G2084" s="77"/>
      <c r="H2084" s="77"/>
      <c r="I2084" s="77"/>
      <c r="J2084" s="77"/>
      <c r="K2084" s="79"/>
      <c r="L2084" s="49">
        <f t="shared" si="128"/>
        <v>0</v>
      </c>
      <c r="M2084" s="50">
        <f t="shared" si="129"/>
        <v>0</v>
      </c>
    </row>
    <row r="2085" spans="1:13" x14ac:dyDescent="0.2">
      <c r="A2085" s="18"/>
      <c r="B2085" s="77"/>
      <c r="C2085" s="77"/>
      <c r="D2085" s="78"/>
      <c r="E2085" s="77"/>
      <c r="F2085" s="77"/>
      <c r="G2085" s="77"/>
      <c r="H2085" s="77"/>
      <c r="I2085" s="77"/>
      <c r="J2085" s="77"/>
      <c r="K2085" s="79"/>
      <c r="L2085" s="49">
        <f t="shared" si="128"/>
        <v>0</v>
      </c>
      <c r="M2085" s="50">
        <f t="shared" si="129"/>
        <v>0</v>
      </c>
    </row>
    <row r="2086" spans="1:13" x14ac:dyDescent="0.2">
      <c r="A2086" s="18"/>
      <c r="B2086" s="77"/>
      <c r="C2086" s="77"/>
      <c r="D2086" s="78"/>
      <c r="E2086" s="77"/>
      <c r="F2086" s="77"/>
      <c r="G2086" s="77"/>
      <c r="H2086" s="77"/>
      <c r="I2086" s="77"/>
      <c r="J2086" s="77"/>
      <c r="K2086" s="79"/>
      <c r="L2086" s="49">
        <f t="shared" si="128"/>
        <v>0</v>
      </c>
      <c r="M2086" s="50">
        <f t="shared" si="129"/>
        <v>0</v>
      </c>
    </row>
    <row r="2087" spans="1:13" x14ac:dyDescent="0.2">
      <c r="A2087" s="18"/>
      <c r="B2087" s="77"/>
      <c r="C2087" s="77"/>
      <c r="D2087" s="78"/>
      <c r="E2087" s="77"/>
      <c r="F2087" s="77"/>
      <c r="G2087" s="77"/>
      <c r="H2087" s="77"/>
      <c r="I2087" s="77"/>
      <c r="J2087" s="77"/>
      <c r="K2087" s="79"/>
      <c r="L2087" s="49">
        <f t="shared" si="128"/>
        <v>0</v>
      </c>
      <c r="M2087" s="50">
        <f t="shared" si="129"/>
        <v>0</v>
      </c>
    </row>
    <row r="2088" spans="1:13" x14ac:dyDescent="0.2">
      <c r="A2088" s="18"/>
      <c r="B2088" s="77"/>
      <c r="C2088" s="77"/>
      <c r="D2088" s="78"/>
      <c r="E2088" s="77"/>
      <c r="F2088" s="77"/>
      <c r="G2088" s="77"/>
      <c r="H2088" s="77"/>
      <c r="I2088" s="77"/>
      <c r="J2088" s="77"/>
      <c r="K2088" s="79"/>
      <c r="L2088" s="49">
        <f t="shared" si="128"/>
        <v>0</v>
      </c>
      <c r="M2088" s="50">
        <f t="shared" si="129"/>
        <v>0</v>
      </c>
    </row>
    <row r="2089" spans="1:13" x14ac:dyDescent="0.2">
      <c r="A2089" s="18"/>
      <c r="B2089" s="77"/>
      <c r="C2089" s="77"/>
      <c r="D2089" s="78"/>
      <c r="E2089" s="77"/>
      <c r="F2089" s="77"/>
      <c r="G2089" s="77"/>
      <c r="H2089" s="77"/>
      <c r="I2089" s="77"/>
      <c r="J2089" s="77"/>
      <c r="K2089" s="79"/>
      <c r="L2089" s="49">
        <f t="shared" si="128"/>
        <v>0</v>
      </c>
      <c r="M2089" s="50">
        <f t="shared" si="129"/>
        <v>0</v>
      </c>
    </row>
    <row r="2090" spans="1:13" x14ac:dyDescent="0.2">
      <c r="A2090" s="18"/>
      <c r="B2090" s="77"/>
      <c r="C2090" s="77"/>
      <c r="D2090" s="78"/>
      <c r="E2090" s="77"/>
      <c r="F2090" s="77"/>
      <c r="G2090" s="77"/>
      <c r="H2090" s="77"/>
      <c r="I2090" s="77"/>
      <c r="J2090" s="77"/>
      <c r="K2090" s="79"/>
      <c r="L2090" s="49">
        <f t="shared" si="128"/>
        <v>0</v>
      </c>
      <c r="M2090" s="50">
        <f t="shared" si="129"/>
        <v>0</v>
      </c>
    </row>
    <row r="2091" spans="1:13" x14ac:dyDescent="0.2">
      <c r="A2091" s="18"/>
      <c r="B2091" s="77"/>
      <c r="C2091" s="77"/>
      <c r="D2091" s="78"/>
      <c r="E2091" s="77"/>
      <c r="F2091" s="77"/>
      <c r="G2091" s="77"/>
      <c r="H2091" s="77"/>
      <c r="I2091" s="77"/>
      <c r="J2091" s="77"/>
      <c r="K2091" s="79"/>
      <c r="L2091" s="49">
        <f t="shared" si="128"/>
        <v>0</v>
      </c>
      <c r="M2091" s="50">
        <f t="shared" si="129"/>
        <v>0</v>
      </c>
    </row>
    <row r="2092" spans="1:13" x14ac:dyDescent="0.2">
      <c r="A2092" s="18"/>
      <c r="B2092" s="77"/>
      <c r="C2092" s="77"/>
      <c r="D2092" s="78"/>
      <c r="E2092" s="77"/>
      <c r="F2092" s="77"/>
      <c r="G2092" s="77"/>
      <c r="H2092" s="77"/>
      <c r="I2092" s="77"/>
      <c r="J2092" s="77"/>
      <c r="K2092" s="79"/>
      <c r="L2092" s="49">
        <f t="shared" si="128"/>
        <v>0</v>
      </c>
      <c r="M2092" s="50">
        <f t="shared" si="129"/>
        <v>0</v>
      </c>
    </row>
    <row r="2093" spans="1:13" x14ac:dyDescent="0.2">
      <c r="A2093" s="18"/>
      <c r="B2093" s="77"/>
      <c r="C2093" s="77"/>
      <c r="D2093" s="78"/>
      <c r="E2093" s="77"/>
      <c r="F2093" s="77"/>
      <c r="G2093" s="77"/>
      <c r="H2093" s="77"/>
      <c r="I2093" s="77"/>
      <c r="J2093" s="77"/>
      <c r="K2093" s="79"/>
      <c r="L2093" s="49">
        <f t="shared" si="128"/>
        <v>0</v>
      </c>
      <c r="M2093" s="50">
        <f t="shared" si="129"/>
        <v>0</v>
      </c>
    </row>
    <row r="2094" spans="1:13" x14ac:dyDescent="0.2">
      <c r="A2094" s="18"/>
      <c r="B2094" s="77"/>
      <c r="C2094" s="77"/>
      <c r="D2094" s="78"/>
      <c r="E2094" s="77"/>
      <c r="F2094" s="77"/>
      <c r="G2094" s="77"/>
      <c r="H2094" s="77"/>
      <c r="I2094" s="77"/>
      <c r="J2094" s="77"/>
      <c r="K2094" s="79"/>
      <c r="L2094" s="49">
        <f t="shared" si="128"/>
        <v>0</v>
      </c>
      <c r="M2094" s="50">
        <f t="shared" si="129"/>
        <v>0</v>
      </c>
    </row>
    <row r="2095" spans="1:13" x14ac:dyDescent="0.2">
      <c r="A2095" s="18"/>
      <c r="B2095" s="77"/>
      <c r="C2095" s="77"/>
      <c r="D2095" s="78"/>
      <c r="E2095" s="77"/>
      <c r="F2095" s="77"/>
      <c r="G2095" s="77"/>
      <c r="H2095" s="77"/>
      <c r="I2095" s="77"/>
      <c r="J2095" s="77"/>
      <c r="K2095" s="79"/>
      <c r="L2095" s="49">
        <f t="shared" si="128"/>
        <v>0</v>
      </c>
      <c r="M2095" s="50">
        <f t="shared" si="129"/>
        <v>0</v>
      </c>
    </row>
    <row r="2096" spans="1:13" x14ac:dyDescent="0.2">
      <c r="A2096" s="18"/>
      <c r="B2096" s="77"/>
      <c r="C2096" s="77"/>
      <c r="D2096" s="78"/>
      <c r="E2096" s="77"/>
      <c r="F2096" s="77"/>
      <c r="G2096" s="77"/>
      <c r="H2096" s="77"/>
      <c r="I2096" s="77"/>
      <c r="J2096" s="77"/>
      <c r="K2096" s="79"/>
      <c r="L2096" s="49">
        <f t="shared" si="128"/>
        <v>0</v>
      </c>
      <c r="M2096" s="50">
        <f t="shared" si="129"/>
        <v>0</v>
      </c>
    </row>
    <row r="2097" spans="1:13" x14ac:dyDescent="0.2">
      <c r="A2097" s="18"/>
      <c r="B2097" s="77"/>
      <c r="C2097" s="77"/>
      <c r="D2097" s="78"/>
      <c r="E2097" s="77"/>
      <c r="F2097" s="77"/>
      <c r="G2097" s="77"/>
      <c r="H2097" s="77"/>
      <c r="I2097" s="77"/>
      <c r="J2097" s="77"/>
      <c r="K2097" s="79"/>
      <c r="L2097" s="49">
        <f t="shared" si="128"/>
        <v>0</v>
      </c>
      <c r="M2097" s="50">
        <f t="shared" si="129"/>
        <v>0</v>
      </c>
    </row>
    <row r="2098" spans="1:13" x14ac:dyDescent="0.2">
      <c r="A2098" s="18"/>
      <c r="B2098" s="77"/>
      <c r="C2098" s="77"/>
      <c r="D2098" s="78"/>
      <c r="E2098" s="77"/>
      <c r="F2098" s="77"/>
      <c r="G2098" s="77"/>
      <c r="H2098" s="77"/>
      <c r="I2098" s="77"/>
      <c r="J2098" s="77"/>
      <c r="K2098" s="79"/>
      <c r="L2098" s="49">
        <f t="shared" si="128"/>
        <v>0</v>
      </c>
      <c r="M2098" s="50">
        <f t="shared" si="129"/>
        <v>0</v>
      </c>
    </row>
    <row r="2099" spans="1:13" x14ac:dyDescent="0.2">
      <c r="A2099" s="18"/>
      <c r="B2099" s="77"/>
      <c r="C2099" s="77"/>
      <c r="D2099" s="78"/>
      <c r="E2099" s="77"/>
      <c r="F2099" s="77"/>
      <c r="G2099" s="77"/>
      <c r="H2099" s="77"/>
      <c r="I2099" s="77"/>
      <c r="J2099" s="77"/>
      <c r="K2099" s="79"/>
      <c r="L2099" s="49">
        <f t="shared" si="128"/>
        <v>0</v>
      </c>
      <c r="M2099" s="50">
        <f t="shared" si="129"/>
        <v>0</v>
      </c>
    </row>
    <row r="2100" spans="1:13" x14ac:dyDescent="0.2">
      <c r="A2100" s="18"/>
      <c r="B2100" s="77"/>
      <c r="C2100" s="77"/>
      <c r="D2100" s="78"/>
      <c r="E2100" s="77"/>
      <c r="F2100" s="77"/>
      <c r="G2100" s="77"/>
      <c r="H2100" s="77"/>
      <c r="I2100" s="77"/>
      <c r="J2100" s="77"/>
      <c r="K2100" s="79"/>
      <c r="L2100" s="49">
        <f t="shared" si="128"/>
        <v>0</v>
      </c>
      <c r="M2100" s="50">
        <f t="shared" si="129"/>
        <v>0</v>
      </c>
    </row>
    <row r="2101" spans="1:13" x14ac:dyDescent="0.2">
      <c r="A2101" s="18"/>
      <c r="B2101" s="77"/>
      <c r="C2101" s="77"/>
      <c r="D2101" s="78"/>
      <c r="E2101" s="77"/>
      <c r="F2101" s="77"/>
      <c r="G2101" s="77"/>
      <c r="H2101" s="77"/>
      <c r="I2101" s="77"/>
      <c r="J2101" s="77"/>
      <c r="K2101" s="79"/>
      <c r="L2101" s="49">
        <f t="shared" si="128"/>
        <v>0</v>
      </c>
      <c r="M2101" s="50">
        <f t="shared" si="129"/>
        <v>0</v>
      </c>
    </row>
    <row r="2102" spans="1:13" x14ac:dyDescent="0.2">
      <c r="A2102" s="18"/>
      <c r="B2102" s="77"/>
      <c r="C2102" s="77"/>
      <c r="D2102" s="78"/>
      <c r="E2102" s="77"/>
      <c r="F2102" s="77"/>
      <c r="G2102" s="77"/>
      <c r="H2102" s="77"/>
      <c r="I2102" s="77"/>
      <c r="J2102" s="77"/>
      <c r="K2102" s="79"/>
      <c r="L2102" s="49">
        <f t="shared" si="128"/>
        <v>0</v>
      </c>
      <c r="M2102" s="50">
        <f t="shared" si="129"/>
        <v>0</v>
      </c>
    </row>
    <row r="2103" spans="1:13" x14ac:dyDescent="0.2">
      <c r="A2103" s="18"/>
      <c r="B2103" s="77"/>
      <c r="C2103" s="77"/>
      <c r="D2103" s="78"/>
      <c r="E2103" s="77"/>
      <c r="F2103" s="77"/>
      <c r="G2103" s="77"/>
      <c r="H2103" s="77"/>
      <c r="I2103" s="77"/>
      <c r="J2103" s="77"/>
      <c r="K2103" s="79"/>
      <c r="L2103" s="49">
        <f t="shared" si="128"/>
        <v>0</v>
      </c>
      <c r="M2103" s="50">
        <f t="shared" si="129"/>
        <v>0</v>
      </c>
    </row>
    <row r="2104" spans="1:13" x14ac:dyDescent="0.2">
      <c r="A2104" s="18"/>
      <c r="B2104" s="77"/>
      <c r="C2104" s="77"/>
      <c r="D2104" s="78"/>
      <c r="E2104" s="77"/>
      <c r="F2104" s="77"/>
      <c r="G2104" s="77"/>
      <c r="H2104" s="77"/>
      <c r="I2104" s="77"/>
      <c r="J2104" s="77"/>
      <c r="K2104" s="79"/>
      <c r="L2104" s="49">
        <f t="shared" si="128"/>
        <v>0</v>
      </c>
      <c r="M2104" s="50">
        <f t="shared" si="129"/>
        <v>0</v>
      </c>
    </row>
    <row r="2105" spans="1:13" x14ac:dyDescent="0.2">
      <c r="A2105" s="18"/>
      <c r="B2105" s="77"/>
      <c r="C2105" s="77"/>
      <c r="D2105" s="78"/>
      <c r="E2105" s="77"/>
      <c r="F2105" s="77"/>
      <c r="G2105" s="77"/>
      <c r="H2105" s="77"/>
      <c r="I2105" s="77"/>
      <c r="J2105" s="77"/>
      <c r="K2105" s="79"/>
      <c r="L2105" s="49">
        <f t="shared" si="128"/>
        <v>0</v>
      </c>
      <c r="M2105" s="50">
        <f t="shared" si="129"/>
        <v>0</v>
      </c>
    </row>
    <row r="2106" spans="1:13" x14ac:dyDescent="0.2">
      <c r="A2106" s="18"/>
      <c r="B2106" s="77"/>
      <c r="C2106" s="77"/>
      <c r="D2106" s="78"/>
      <c r="E2106" s="77"/>
      <c r="F2106" s="77"/>
      <c r="G2106" s="77"/>
      <c r="H2106" s="77"/>
      <c r="I2106" s="77"/>
      <c r="J2106" s="77"/>
      <c r="K2106" s="79"/>
      <c r="L2106" s="49">
        <f t="shared" si="128"/>
        <v>0</v>
      </c>
      <c r="M2106" s="50">
        <f t="shared" si="129"/>
        <v>0</v>
      </c>
    </row>
    <row r="2107" spans="1:13" x14ac:dyDescent="0.2">
      <c r="A2107" s="18"/>
      <c r="B2107" s="77"/>
      <c r="C2107" s="77"/>
      <c r="D2107" s="78"/>
      <c r="E2107" s="77"/>
      <c r="F2107" s="77"/>
      <c r="G2107" s="77"/>
      <c r="H2107" s="77"/>
      <c r="I2107" s="77"/>
      <c r="J2107" s="77"/>
      <c r="K2107" s="79"/>
      <c r="L2107" s="49">
        <f t="shared" si="128"/>
        <v>0</v>
      </c>
      <c r="M2107" s="50">
        <f t="shared" si="129"/>
        <v>0</v>
      </c>
    </row>
    <row r="2108" spans="1:13" x14ac:dyDescent="0.2">
      <c r="A2108" s="18"/>
      <c r="B2108" s="77"/>
      <c r="C2108" s="77"/>
      <c r="D2108" s="78"/>
      <c r="E2108" s="77"/>
      <c r="F2108" s="77"/>
      <c r="G2108" s="77"/>
      <c r="H2108" s="77"/>
      <c r="I2108" s="77"/>
      <c r="J2108" s="77"/>
      <c r="K2108" s="79"/>
      <c r="L2108" s="49">
        <f t="shared" si="128"/>
        <v>0</v>
      </c>
      <c r="M2108" s="50">
        <f t="shared" si="129"/>
        <v>0</v>
      </c>
    </row>
    <row r="2109" spans="1:13" x14ac:dyDescent="0.2">
      <c r="A2109" s="18"/>
      <c r="B2109" s="77"/>
      <c r="C2109" s="77"/>
      <c r="D2109" s="78"/>
      <c r="E2109" s="77"/>
      <c r="F2109" s="77"/>
      <c r="G2109" s="77"/>
      <c r="H2109" s="77"/>
      <c r="I2109" s="77"/>
      <c r="J2109" s="77"/>
      <c r="K2109" s="79"/>
      <c r="L2109" s="49">
        <f t="shared" si="128"/>
        <v>0</v>
      </c>
      <c r="M2109" s="50">
        <f t="shared" si="129"/>
        <v>0</v>
      </c>
    </row>
    <row r="2110" spans="1:13" x14ac:dyDescent="0.2">
      <c r="A2110" s="18"/>
      <c r="B2110" s="77"/>
      <c r="C2110" s="77"/>
      <c r="D2110" s="78"/>
      <c r="E2110" s="77"/>
      <c r="F2110" s="77"/>
      <c r="G2110" s="77"/>
      <c r="H2110" s="77"/>
      <c r="I2110" s="77"/>
      <c r="J2110" s="77"/>
      <c r="K2110" s="79"/>
      <c r="L2110" s="49">
        <f t="shared" si="128"/>
        <v>0</v>
      </c>
      <c r="M2110" s="50">
        <f t="shared" si="129"/>
        <v>0</v>
      </c>
    </row>
    <row r="2111" spans="1:13" x14ac:dyDescent="0.2">
      <c r="A2111" s="18"/>
      <c r="B2111" s="77"/>
      <c r="C2111" s="77"/>
      <c r="D2111" s="78"/>
      <c r="E2111" s="77"/>
      <c r="F2111" s="77"/>
      <c r="G2111" s="77"/>
      <c r="H2111" s="77"/>
      <c r="I2111" s="77"/>
      <c r="J2111" s="77"/>
      <c r="K2111" s="79"/>
      <c r="L2111" s="49">
        <f t="shared" si="128"/>
        <v>0</v>
      </c>
      <c r="M2111" s="50">
        <f t="shared" si="129"/>
        <v>0</v>
      </c>
    </row>
    <row r="2112" spans="1:13" x14ac:dyDescent="0.2">
      <c r="A2112" s="18"/>
      <c r="B2112" s="77"/>
      <c r="C2112" s="77"/>
      <c r="D2112" s="78"/>
      <c r="E2112" s="77"/>
      <c r="F2112" s="77"/>
      <c r="G2112" s="77"/>
      <c r="H2112" s="77"/>
      <c r="I2112" s="77"/>
      <c r="J2112" s="77"/>
      <c r="K2112" s="79"/>
      <c r="L2112" s="49">
        <f t="shared" si="128"/>
        <v>0</v>
      </c>
      <c r="M2112" s="50">
        <f t="shared" si="129"/>
        <v>0</v>
      </c>
    </row>
    <row r="2113" spans="1:13" x14ac:dyDescent="0.2">
      <c r="A2113" s="18"/>
      <c r="B2113" s="77"/>
      <c r="C2113" s="77"/>
      <c r="D2113" s="78"/>
      <c r="E2113" s="77"/>
      <c r="F2113" s="77"/>
      <c r="G2113" s="77"/>
      <c r="H2113" s="77"/>
      <c r="I2113" s="77"/>
      <c r="J2113" s="77"/>
      <c r="K2113" s="79"/>
      <c r="L2113" s="49">
        <f t="shared" si="128"/>
        <v>0</v>
      </c>
      <c r="M2113" s="50">
        <f t="shared" si="129"/>
        <v>0</v>
      </c>
    </row>
    <row r="2114" spans="1:13" x14ac:dyDescent="0.2">
      <c r="A2114" s="18"/>
      <c r="B2114" s="77"/>
      <c r="C2114" s="77"/>
      <c r="D2114" s="78"/>
      <c r="E2114" s="77"/>
      <c r="F2114" s="77"/>
      <c r="G2114" s="77"/>
      <c r="H2114" s="77"/>
      <c r="I2114" s="77"/>
      <c r="J2114" s="77"/>
      <c r="K2114" s="79"/>
      <c r="L2114" s="49">
        <f t="shared" si="128"/>
        <v>0</v>
      </c>
      <c r="M2114" s="50">
        <f t="shared" si="129"/>
        <v>0</v>
      </c>
    </row>
    <row r="2115" spans="1:13" x14ac:dyDescent="0.2">
      <c r="A2115" s="18"/>
      <c r="B2115" s="77"/>
      <c r="C2115" s="77"/>
      <c r="D2115" s="78"/>
      <c r="E2115" s="77"/>
      <c r="F2115" s="77"/>
      <c r="G2115" s="77"/>
      <c r="H2115" s="77"/>
      <c r="I2115" s="77"/>
      <c r="J2115" s="77"/>
      <c r="K2115" s="79"/>
      <c r="L2115" s="49">
        <f t="shared" si="128"/>
        <v>0</v>
      </c>
      <c r="M2115" s="50">
        <f t="shared" si="129"/>
        <v>0</v>
      </c>
    </row>
    <row r="2116" spans="1:13" x14ac:dyDescent="0.2">
      <c r="A2116" s="18"/>
      <c r="B2116" s="77"/>
      <c r="C2116" s="77"/>
      <c r="D2116" s="78"/>
      <c r="E2116" s="77"/>
      <c r="F2116" s="77"/>
      <c r="G2116" s="77"/>
      <c r="H2116" s="77"/>
      <c r="I2116" s="77"/>
      <c r="J2116" s="77"/>
      <c r="K2116" s="79"/>
      <c r="L2116" s="49">
        <f t="shared" si="128"/>
        <v>0</v>
      </c>
      <c r="M2116" s="50">
        <f t="shared" si="129"/>
        <v>0</v>
      </c>
    </row>
    <row r="2117" spans="1:13" x14ac:dyDescent="0.2">
      <c r="A2117" s="18"/>
      <c r="B2117" s="77"/>
      <c r="C2117" s="77"/>
      <c r="D2117" s="78"/>
      <c r="E2117" s="77"/>
      <c r="F2117" s="77"/>
      <c r="G2117" s="77"/>
      <c r="H2117" s="77"/>
      <c r="I2117" s="77"/>
      <c r="J2117" s="77"/>
      <c r="K2117" s="79"/>
      <c r="L2117" s="49">
        <f t="shared" si="128"/>
        <v>0</v>
      </c>
      <c r="M2117" s="50">
        <f t="shared" si="129"/>
        <v>0</v>
      </c>
    </row>
    <row r="2118" spans="1:13" x14ac:dyDescent="0.2">
      <c r="A2118" s="18"/>
      <c r="B2118" s="77"/>
      <c r="C2118" s="77"/>
      <c r="D2118" s="78"/>
      <c r="E2118" s="77"/>
      <c r="F2118" s="77"/>
      <c r="G2118" s="77"/>
      <c r="H2118" s="77"/>
      <c r="I2118" s="77"/>
      <c r="J2118" s="77"/>
      <c r="K2118" s="79"/>
      <c r="L2118" s="49">
        <f t="shared" si="128"/>
        <v>0</v>
      </c>
      <c r="M2118" s="50">
        <f t="shared" si="129"/>
        <v>0</v>
      </c>
    </row>
    <row r="2119" spans="1:13" x14ac:dyDescent="0.2">
      <c r="A2119" s="18"/>
      <c r="B2119" s="77"/>
      <c r="C2119" s="77"/>
      <c r="D2119" s="78"/>
      <c r="E2119" s="77"/>
      <c r="F2119" s="77"/>
      <c r="G2119" s="77"/>
      <c r="H2119" s="77"/>
      <c r="I2119" s="77"/>
      <c r="J2119" s="77"/>
      <c r="K2119" s="79"/>
      <c r="L2119" s="49">
        <f t="shared" si="128"/>
        <v>0</v>
      </c>
      <c r="M2119" s="50">
        <f t="shared" si="129"/>
        <v>0</v>
      </c>
    </row>
    <row r="2120" spans="1:13" x14ac:dyDescent="0.2">
      <c r="A2120" s="18"/>
      <c r="B2120" s="77"/>
      <c r="C2120" s="77"/>
      <c r="D2120" s="78"/>
      <c r="E2120" s="77"/>
      <c r="F2120" s="77"/>
      <c r="G2120" s="77"/>
      <c r="H2120" s="77"/>
      <c r="I2120" s="77"/>
      <c r="J2120" s="77"/>
      <c r="K2120" s="79"/>
      <c r="L2120" s="49">
        <f t="shared" si="128"/>
        <v>0</v>
      </c>
      <c r="M2120" s="50">
        <f t="shared" si="129"/>
        <v>0</v>
      </c>
    </row>
    <row r="2121" spans="1:13" x14ac:dyDescent="0.2">
      <c r="A2121" s="18"/>
      <c r="B2121" s="77"/>
      <c r="C2121" s="77"/>
      <c r="D2121" s="78"/>
      <c r="E2121" s="77"/>
      <c r="F2121" s="77"/>
      <c r="G2121" s="77"/>
      <c r="H2121" s="77"/>
      <c r="I2121" s="77"/>
      <c r="J2121" s="77"/>
      <c r="K2121" s="79"/>
      <c r="L2121" s="49">
        <f t="shared" si="128"/>
        <v>0</v>
      </c>
      <c r="M2121" s="50">
        <f t="shared" si="129"/>
        <v>0</v>
      </c>
    </row>
    <row r="2122" spans="1:13" x14ac:dyDescent="0.2">
      <c r="A2122" s="18"/>
      <c r="B2122" s="77"/>
      <c r="C2122" s="77"/>
      <c r="D2122" s="78"/>
      <c r="E2122" s="77"/>
      <c r="F2122" s="77"/>
      <c r="G2122" s="77"/>
      <c r="H2122" s="77"/>
      <c r="I2122" s="77"/>
      <c r="J2122" s="77"/>
      <c r="K2122" s="79"/>
      <c r="L2122" s="49">
        <f t="shared" si="128"/>
        <v>0</v>
      </c>
      <c r="M2122" s="50">
        <f t="shared" si="129"/>
        <v>0</v>
      </c>
    </row>
    <row r="2123" spans="1:13" x14ac:dyDescent="0.2">
      <c r="A2123" s="18"/>
      <c r="B2123" s="77"/>
      <c r="C2123" s="77"/>
      <c r="D2123" s="78"/>
      <c r="E2123" s="77"/>
      <c r="F2123" s="77"/>
      <c r="G2123" s="77"/>
      <c r="H2123" s="77"/>
      <c r="I2123" s="77"/>
      <c r="J2123" s="77"/>
      <c r="K2123" s="79"/>
      <c r="L2123" s="49">
        <f t="shared" si="128"/>
        <v>0</v>
      </c>
      <c r="M2123" s="50">
        <f t="shared" si="129"/>
        <v>0</v>
      </c>
    </row>
    <row r="2124" spans="1:13" x14ac:dyDescent="0.2">
      <c r="A2124" s="18"/>
      <c r="B2124" s="77"/>
      <c r="C2124" s="77"/>
      <c r="D2124" s="78"/>
      <c r="E2124" s="77"/>
      <c r="F2124" s="77"/>
      <c r="G2124" s="77"/>
      <c r="H2124" s="77"/>
      <c r="I2124" s="77"/>
      <c r="J2124" s="77"/>
      <c r="K2124" s="79"/>
      <c r="L2124" s="49">
        <f t="shared" si="128"/>
        <v>0</v>
      </c>
      <c r="M2124" s="50">
        <f t="shared" si="129"/>
        <v>0</v>
      </c>
    </row>
    <row r="2125" spans="1:13" x14ac:dyDescent="0.2">
      <c r="A2125" s="18"/>
      <c r="B2125" s="77"/>
      <c r="C2125" s="77"/>
      <c r="D2125" s="78"/>
      <c r="E2125" s="77"/>
      <c r="F2125" s="77"/>
      <c r="G2125" s="77"/>
      <c r="H2125" s="77"/>
      <c r="I2125" s="77"/>
      <c r="J2125" s="77"/>
      <c r="K2125" s="79"/>
      <c r="L2125" s="49">
        <f t="shared" si="128"/>
        <v>0</v>
      </c>
      <c r="M2125" s="50">
        <f t="shared" si="129"/>
        <v>0</v>
      </c>
    </row>
    <row r="2126" spans="1:13" x14ac:dyDescent="0.2">
      <c r="A2126" s="18"/>
      <c r="B2126" s="77"/>
      <c r="C2126" s="77"/>
      <c r="D2126" s="78"/>
      <c r="E2126" s="77"/>
      <c r="F2126" s="77"/>
      <c r="G2126" s="77"/>
      <c r="H2126" s="77"/>
      <c r="I2126" s="77"/>
      <c r="J2126" s="77"/>
      <c r="K2126" s="79"/>
      <c r="L2126" s="49">
        <f t="shared" si="128"/>
        <v>0</v>
      </c>
      <c r="M2126" s="50">
        <f t="shared" si="129"/>
        <v>0</v>
      </c>
    </row>
    <row r="2127" spans="1:13" x14ac:dyDescent="0.2">
      <c r="A2127" s="18"/>
      <c r="B2127" s="77"/>
      <c r="C2127" s="77"/>
      <c r="D2127" s="78"/>
      <c r="E2127" s="77"/>
      <c r="F2127" s="77"/>
      <c r="G2127" s="77"/>
      <c r="H2127" s="77"/>
      <c r="I2127" s="77"/>
      <c r="J2127" s="77"/>
      <c r="K2127" s="79"/>
      <c r="L2127" s="49">
        <f t="shared" si="128"/>
        <v>0</v>
      </c>
      <c r="M2127" s="50">
        <f t="shared" si="129"/>
        <v>0</v>
      </c>
    </row>
    <row r="2128" spans="1:13" x14ac:dyDescent="0.2">
      <c r="A2128" s="18"/>
      <c r="B2128" s="77"/>
      <c r="C2128" s="77"/>
      <c r="D2128" s="78"/>
      <c r="E2128" s="77"/>
      <c r="F2128" s="77"/>
      <c r="G2128" s="77"/>
      <c r="H2128" s="77"/>
      <c r="I2128" s="77"/>
      <c r="J2128" s="77"/>
      <c r="K2128" s="79"/>
      <c r="L2128" s="49">
        <f t="shared" si="128"/>
        <v>0</v>
      </c>
      <c r="M2128" s="50">
        <f t="shared" si="129"/>
        <v>0</v>
      </c>
    </row>
    <row r="2129" spans="1:13" x14ac:dyDescent="0.2">
      <c r="A2129" s="18"/>
      <c r="B2129" s="77"/>
      <c r="C2129" s="77"/>
      <c r="D2129" s="78"/>
      <c r="E2129" s="77"/>
      <c r="F2129" s="77"/>
      <c r="G2129" s="77"/>
      <c r="H2129" s="77"/>
      <c r="I2129" s="77"/>
      <c r="J2129" s="77"/>
      <c r="K2129" s="79"/>
      <c r="L2129" s="49">
        <f t="shared" si="128"/>
        <v>0</v>
      </c>
      <c r="M2129" s="50">
        <f t="shared" si="129"/>
        <v>0</v>
      </c>
    </row>
    <row r="2130" spans="1:13" x14ac:dyDescent="0.2">
      <c r="A2130" s="18"/>
      <c r="B2130" s="77"/>
      <c r="C2130" s="77"/>
      <c r="D2130" s="78"/>
      <c r="E2130" s="77"/>
      <c r="F2130" s="77"/>
      <c r="G2130" s="77"/>
      <c r="H2130" s="77"/>
      <c r="I2130" s="77"/>
      <c r="J2130" s="77"/>
      <c r="K2130" s="79"/>
      <c r="L2130" s="49">
        <f t="shared" si="128"/>
        <v>0</v>
      </c>
      <c r="M2130" s="50">
        <f t="shared" si="129"/>
        <v>0</v>
      </c>
    </row>
    <row r="2131" spans="1:13" x14ac:dyDescent="0.2">
      <c r="A2131" s="18"/>
      <c r="B2131" s="77"/>
      <c r="C2131" s="77"/>
      <c r="D2131" s="78"/>
      <c r="E2131" s="77"/>
      <c r="F2131" s="77"/>
      <c r="G2131" s="77"/>
      <c r="H2131" s="77"/>
      <c r="I2131" s="77"/>
      <c r="J2131" s="77"/>
      <c r="K2131" s="79"/>
      <c r="L2131" s="49">
        <f t="shared" si="128"/>
        <v>0</v>
      </c>
      <c r="M2131" s="50">
        <f t="shared" si="129"/>
        <v>0</v>
      </c>
    </row>
    <row r="2132" spans="1:13" x14ac:dyDescent="0.2">
      <c r="A2132" s="18"/>
      <c r="B2132" s="77"/>
      <c r="C2132" s="77"/>
      <c r="D2132" s="78"/>
      <c r="E2132" s="77"/>
      <c r="F2132" s="77"/>
      <c r="G2132" s="77"/>
      <c r="H2132" s="77"/>
      <c r="I2132" s="77"/>
      <c r="J2132" s="77"/>
      <c r="K2132" s="79"/>
      <c r="L2132" s="49">
        <f t="shared" si="128"/>
        <v>0</v>
      </c>
      <c r="M2132" s="50">
        <f t="shared" si="129"/>
        <v>0</v>
      </c>
    </row>
    <row r="2133" spans="1:13" x14ac:dyDescent="0.2">
      <c r="A2133" s="18"/>
      <c r="B2133" s="77"/>
      <c r="C2133" s="77"/>
      <c r="D2133" s="78"/>
      <c r="E2133" s="77"/>
      <c r="F2133" s="77"/>
      <c r="G2133" s="77"/>
      <c r="H2133" s="77"/>
      <c r="I2133" s="77"/>
      <c r="J2133" s="77"/>
      <c r="K2133" s="79"/>
      <c r="L2133" s="49">
        <f t="shared" ref="L2133:L2191" si="130">+K2133*18%</f>
        <v>0</v>
      </c>
      <c r="M2133" s="50">
        <f t="shared" ref="M2133:M2191" si="131">+K2133+L2133</f>
        <v>0</v>
      </c>
    </row>
    <row r="2134" spans="1:13" x14ac:dyDescent="0.2">
      <c r="A2134" s="18"/>
      <c r="B2134" s="77"/>
      <c r="C2134" s="77"/>
      <c r="D2134" s="78"/>
      <c r="E2134" s="77"/>
      <c r="F2134" s="77"/>
      <c r="G2134" s="77"/>
      <c r="H2134" s="77"/>
      <c r="I2134" s="77"/>
      <c r="J2134" s="77"/>
      <c r="K2134" s="79"/>
      <c r="L2134" s="49">
        <f t="shared" si="130"/>
        <v>0</v>
      </c>
      <c r="M2134" s="50">
        <f t="shared" si="131"/>
        <v>0</v>
      </c>
    </row>
    <row r="2135" spans="1:13" x14ac:dyDescent="0.2">
      <c r="A2135" s="18"/>
      <c r="B2135" s="77"/>
      <c r="C2135" s="77"/>
      <c r="D2135" s="78"/>
      <c r="E2135" s="77"/>
      <c r="F2135" s="77"/>
      <c r="G2135" s="77"/>
      <c r="H2135" s="77"/>
      <c r="I2135" s="77"/>
      <c r="J2135" s="77"/>
      <c r="K2135" s="79"/>
      <c r="L2135" s="49">
        <f t="shared" si="130"/>
        <v>0</v>
      </c>
      <c r="M2135" s="50">
        <f t="shared" si="131"/>
        <v>0</v>
      </c>
    </row>
    <row r="2136" spans="1:13" x14ac:dyDescent="0.2">
      <c r="A2136" s="18"/>
      <c r="B2136" s="77"/>
      <c r="C2136" s="77"/>
      <c r="D2136" s="78"/>
      <c r="E2136" s="77"/>
      <c r="F2136" s="77"/>
      <c r="G2136" s="77"/>
      <c r="H2136" s="77"/>
      <c r="I2136" s="77"/>
      <c r="J2136" s="77"/>
      <c r="K2136" s="79"/>
      <c r="L2136" s="49">
        <f t="shared" si="130"/>
        <v>0</v>
      </c>
      <c r="M2136" s="50">
        <f t="shared" si="131"/>
        <v>0</v>
      </c>
    </row>
    <row r="2137" spans="1:13" x14ac:dyDescent="0.2">
      <c r="A2137" s="18"/>
      <c r="B2137" s="77"/>
      <c r="C2137" s="77"/>
      <c r="D2137" s="78"/>
      <c r="E2137" s="77"/>
      <c r="F2137" s="77"/>
      <c r="G2137" s="77"/>
      <c r="H2137" s="77"/>
      <c r="I2137" s="77"/>
      <c r="J2137" s="77"/>
      <c r="K2137" s="79"/>
      <c r="L2137" s="49">
        <f t="shared" si="130"/>
        <v>0</v>
      </c>
      <c r="M2137" s="50">
        <f t="shared" si="131"/>
        <v>0</v>
      </c>
    </row>
    <row r="2138" spans="1:13" x14ac:dyDescent="0.2">
      <c r="A2138" s="18"/>
      <c r="B2138" s="77"/>
      <c r="C2138" s="77"/>
      <c r="D2138" s="78"/>
      <c r="E2138" s="77"/>
      <c r="F2138" s="77"/>
      <c r="G2138" s="77"/>
      <c r="H2138" s="77"/>
      <c r="I2138" s="77"/>
      <c r="J2138" s="77"/>
      <c r="K2138" s="79"/>
      <c r="L2138" s="49">
        <f t="shared" si="130"/>
        <v>0</v>
      </c>
      <c r="M2138" s="50">
        <f t="shared" si="131"/>
        <v>0</v>
      </c>
    </row>
    <row r="2139" spans="1:13" x14ac:dyDescent="0.2">
      <c r="A2139" s="18"/>
      <c r="B2139" s="77"/>
      <c r="C2139" s="77"/>
      <c r="D2139" s="78"/>
      <c r="E2139" s="77"/>
      <c r="F2139" s="77"/>
      <c r="G2139" s="77"/>
      <c r="H2139" s="77"/>
      <c r="I2139" s="77"/>
      <c r="J2139" s="77"/>
      <c r="K2139" s="79"/>
      <c r="L2139" s="49">
        <f t="shared" si="130"/>
        <v>0</v>
      </c>
      <c r="M2139" s="50">
        <f t="shared" si="131"/>
        <v>0</v>
      </c>
    </row>
    <row r="2140" spans="1:13" x14ac:dyDescent="0.2">
      <c r="A2140" s="18"/>
      <c r="B2140" s="77"/>
      <c r="C2140" s="77"/>
      <c r="D2140" s="78"/>
      <c r="E2140" s="77"/>
      <c r="F2140" s="77"/>
      <c r="G2140" s="77"/>
      <c r="H2140" s="77"/>
      <c r="I2140" s="77"/>
      <c r="J2140" s="77"/>
      <c r="K2140" s="79"/>
      <c r="L2140" s="49">
        <f t="shared" si="130"/>
        <v>0</v>
      </c>
      <c r="M2140" s="50">
        <f t="shared" si="131"/>
        <v>0</v>
      </c>
    </row>
    <row r="2141" spans="1:13" x14ac:dyDescent="0.2">
      <c r="A2141" s="18"/>
      <c r="B2141" s="77"/>
      <c r="C2141" s="77"/>
      <c r="D2141" s="78"/>
      <c r="E2141" s="77"/>
      <c r="F2141" s="77"/>
      <c r="G2141" s="77"/>
      <c r="H2141" s="77"/>
      <c r="I2141" s="77"/>
      <c r="J2141" s="77"/>
      <c r="K2141" s="79"/>
      <c r="L2141" s="49">
        <f t="shared" si="130"/>
        <v>0</v>
      </c>
      <c r="M2141" s="50">
        <f t="shared" si="131"/>
        <v>0</v>
      </c>
    </row>
    <row r="2142" spans="1:13" x14ac:dyDescent="0.2">
      <c r="A2142" s="18"/>
      <c r="B2142" s="77"/>
      <c r="C2142" s="77"/>
      <c r="D2142" s="78"/>
      <c r="E2142" s="77"/>
      <c r="F2142" s="77"/>
      <c r="G2142" s="77"/>
      <c r="H2142" s="77"/>
      <c r="I2142" s="77"/>
      <c r="J2142" s="77"/>
      <c r="K2142" s="79"/>
      <c r="L2142" s="49">
        <f t="shared" si="130"/>
        <v>0</v>
      </c>
      <c r="M2142" s="50">
        <f t="shared" si="131"/>
        <v>0</v>
      </c>
    </row>
    <row r="2143" spans="1:13" x14ac:dyDescent="0.2">
      <c r="A2143" s="18"/>
      <c r="B2143" s="77"/>
      <c r="C2143" s="77"/>
      <c r="D2143" s="78"/>
      <c r="E2143" s="77"/>
      <c r="F2143" s="77"/>
      <c r="G2143" s="77"/>
      <c r="H2143" s="77"/>
      <c r="I2143" s="77"/>
      <c r="J2143" s="77"/>
      <c r="K2143" s="79"/>
      <c r="L2143" s="49">
        <f t="shared" si="130"/>
        <v>0</v>
      </c>
      <c r="M2143" s="50">
        <f t="shared" si="131"/>
        <v>0</v>
      </c>
    </row>
    <row r="2144" spans="1:13" x14ac:dyDescent="0.2">
      <c r="A2144" s="18"/>
      <c r="B2144" s="77"/>
      <c r="C2144" s="77"/>
      <c r="D2144" s="78"/>
      <c r="E2144" s="77"/>
      <c r="F2144" s="77"/>
      <c r="G2144" s="77"/>
      <c r="H2144" s="77"/>
      <c r="I2144" s="77"/>
      <c r="J2144" s="77"/>
      <c r="K2144" s="79"/>
      <c r="L2144" s="49">
        <f t="shared" si="130"/>
        <v>0</v>
      </c>
      <c r="M2144" s="50">
        <f t="shared" si="131"/>
        <v>0</v>
      </c>
    </row>
    <row r="2145" spans="1:13" x14ac:dyDescent="0.2">
      <c r="A2145" s="18"/>
      <c r="B2145" s="77"/>
      <c r="C2145" s="77"/>
      <c r="D2145" s="78"/>
      <c r="E2145" s="77"/>
      <c r="F2145" s="77"/>
      <c r="G2145" s="77"/>
      <c r="H2145" s="77"/>
      <c r="I2145" s="77"/>
      <c r="J2145" s="77"/>
      <c r="K2145" s="79"/>
      <c r="L2145" s="49">
        <f t="shared" si="130"/>
        <v>0</v>
      </c>
      <c r="M2145" s="50">
        <f t="shared" si="131"/>
        <v>0</v>
      </c>
    </row>
    <row r="2146" spans="1:13" x14ac:dyDescent="0.2">
      <c r="A2146" s="18"/>
      <c r="B2146" s="77"/>
      <c r="C2146" s="77"/>
      <c r="D2146" s="78"/>
      <c r="E2146" s="77"/>
      <c r="F2146" s="77"/>
      <c r="G2146" s="77"/>
      <c r="H2146" s="77"/>
      <c r="I2146" s="77"/>
      <c r="J2146" s="77"/>
      <c r="K2146" s="79"/>
      <c r="L2146" s="49">
        <f t="shared" si="130"/>
        <v>0</v>
      </c>
      <c r="M2146" s="50">
        <f t="shared" si="131"/>
        <v>0</v>
      </c>
    </row>
    <row r="2147" spans="1:13" x14ac:dyDescent="0.2">
      <c r="A2147" s="18"/>
      <c r="B2147" s="77"/>
      <c r="C2147" s="77"/>
      <c r="D2147" s="78"/>
      <c r="E2147" s="77"/>
      <c r="F2147" s="77"/>
      <c r="G2147" s="77"/>
      <c r="H2147" s="77"/>
      <c r="I2147" s="77"/>
      <c r="J2147" s="77"/>
      <c r="K2147" s="79"/>
      <c r="L2147" s="49">
        <f t="shared" si="130"/>
        <v>0</v>
      </c>
      <c r="M2147" s="50">
        <f t="shared" si="131"/>
        <v>0</v>
      </c>
    </row>
    <row r="2148" spans="1:13" x14ac:dyDescent="0.2">
      <c r="A2148" s="18"/>
      <c r="B2148" s="77"/>
      <c r="C2148" s="77"/>
      <c r="D2148" s="78"/>
      <c r="E2148" s="77"/>
      <c r="F2148" s="77"/>
      <c r="G2148" s="77"/>
      <c r="H2148" s="77"/>
      <c r="I2148" s="77"/>
      <c r="J2148" s="77"/>
      <c r="K2148" s="79"/>
      <c r="L2148" s="49">
        <f t="shared" si="130"/>
        <v>0</v>
      </c>
      <c r="M2148" s="50">
        <f t="shared" si="131"/>
        <v>0</v>
      </c>
    </row>
    <row r="2149" spans="1:13" x14ac:dyDescent="0.2">
      <c r="A2149" s="18"/>
      <c r="B2149" s="77"/>
      <c r="C2149" s="77"/>
      <c r="D2149" s="78"/>
      <c r="E2149" s="77"/>
      <c r="F2149" s="77"/>
      <c r="G2149" s="77"/>
      <c r="H2149" s="77"/>
      <c r="I2149" s="77"/>
      <c r="J2149" s="77"/>
      <c r="K2149" s="79"/>
      <c r="L2149" s="49">
        <f t="shared" si="130"/>
        <v>0</v>
      </c>
      <c r="M2149" s="50">
        <f t="shared" si="131"/>
        <v>0</v>
      </c>
    </row>
    <row r="2150" spans="1:13" x14ac:dyDescent="0.2">
      <c r="A2150" s="18"/>
      <c r="B2150" s="77"/>
      <c r="C2150" s="77"/>
      <c r="D2150" s="78"/>
      <c r="E2150" s="77"/>
      <c r="F2150" s="77"/>
      <c r="G2150" s="77"/>
      <c r="H2150" s="77"/>
      <c r="I2150" s="77"/>
      <c r="J2150" s="77"/>
      <c r="K2150" s="79"/>
      <c r="L2150" s="49">
        <f t="shared" si="130"/>
        <v>0</v>
      </c>
      <c r="M2150" s="50">
        <f t="shared" si="131"/>
        <v>0</v>
      </c>
    </row>
    <row r="2151" spans="1:13" x14ac:dyDescent="0.2">
      <c r="A2151" s="18"/>
      <c r="B2151" s="77"/>
      <c r="C2151" s="77"/>
      <c r="D2151" s="78"/>
      <c r="E2151" s="77"/>
      <c r="F2151" s="77"/>
      <c r="G2151" s="77"/>
      <c r="H2151" s="77"/>
      <c r="I2151" s="77"/>
      <c r="J2151" s="77"/>
      <c r="K2151" s="79"/>
      <c r="L2151" s="49">
        <f t="shared" si="130"/>
        <v>0</v>
      </c>
      <c r="M2151" s="50">
        <f t="shared" si="131"/>
        <v>0</v>
      </c>
    </row>
    <row r="2152" spans="1:13" x14ac:dyDescent="0.2">
      <c r="A2152" s="18"/>
      <c r="B2152" s="77"/>
      <c r="C2152" s="77"/>
      <c r="D2152" s="78"/>
      <c r="E2152" s="77"/>
      <c r="F2152" s="77"/>
      <c r="G2152" s="77"/>
      <c r="H2152" s="77"/>
      <c r="I2152" s="77"/>
      <c r="J2152" s="77"/>
      <c r="K2152" s="79"/>
      <c r="L2152" s="49">
        <f t="shared" si="130"/>
        <v>0</v>
      </c>
      <c r="M2152" s="50">
        <f t="shared" si="131"/>
        <v>0</v>
      </c>
    </row>
    <row r="2153" spans="1:13" x14ac:dyDescent="0.2">
      <c r="A2153" s="18"/>
      <c r="B2153" s="77"/>
      <c r="C2153" s="77"/>
      <c r="D2153" s="78"/>
      <c r="E2153" s="77"/>
      <c r="F2153" s="77"/>
      <c r="G2153" s="77"/>
      <c r="H2153" s="77"/>
      <c r="I2153" s="77"/>
      <c r="J2153" s="77"/>
      <c r="K2153" s="79"/>
      <c r="L2153" s="49">
        <f t="shared" si="130"/>
        <v>0</v>
      </c>
      <c r="M2153" s="50">
        <f t="shared" si="131"/>
        <v>0</v>
      </c>
    </row>
    <row r="2154" spans="1:13" x14ac:dyDescent="0.2">
      <c r="A2154" s="18"/>
      <c r="B2154" s="77"/>
      <c r="C2154" s="77"/>
      <c r="D2154" s="78"/>
      <c r="E2154" s="77"/>
      <c r="F2154" s="77"/>
      <c r="G2154" s="77"/>
      <c r="H2154" s="77"/>
      <c r="I2154" s="77"/>
      <c r="J2154" s="77"/>
      <c r="K2154" s="79"/>
      <c r="L2154" s="49">
        <f t="shared" si="130"/>
        <v>0</v>
      </c>
      <c r="M2154" s="50">
        <f t="shared" si="131"/>
        <v>0</v>
      </c>
    </row>
    <row r="2155" spans="1:13" x14ac:dyDescent="0.2">
      <c r="A2155" s="18"/>
      <c r="B2155" s="77"/>
      <c r="C2155" s="77"/>
      <c r="D2155" s="78"/>
      <c r="E2155" s="77"/>
      <c r="F2155" s="77"/>
      <c r="G2155" s="77"/>
      <c r="H2155" s="77"/>
      <c r="I2155" s="77"/>
      <c r="J2155" s="77"/>
      <c r="K2155" s="79"/>
      <c r="L2155" s="49">
        <f t="shared" si="130"/>
        <v>0</v>
      </c>
      <c r="M2155" s="50">
        <f t="shared" si="131"/>
        <v>0</v>
      </c>
    </row>
    <row r="2156" spans="1:13" x14ac:dyDescent="0.2">
      <c r="A2156" s="18"/>
      <c r="B2156" s="77"/>
      <c r="C2156" s="77"/>
      <c r="D2156" s="78"/>
      <c r="E2156" s="77"/>
      <c r="F2156" s="77"/>
      <c r="G2156" s="77"/>
      <c r="H2156" s="77"/>
      <c r="I2156" s="77"/>
      <c r="J2156" s="77"/>
      <c r="K2156" s="79"/>
      <c r="L2156" s="49">
        <f t="shared" si="130"/>
        <v>0</v>
      </c>
      <c r="M2156" s="50">
        <f t="shared" si="131"/>
        <v>0</v>
      </c>
    </row>
    <row r="2157" spans="1:13" x14ac:dyDescent="0.2">
      <c r="A2157" s="18"/>
      <c r="B2157" s="77"/>
      <c r="C2157" s="77"/>
      <c r="D2157" s="78"/>
      <c r="E2157" s="77"/>
      <c r="F2157" s="77"/>
      <c r="G2157" s="77"/>
      <c r="H2157" s="77"/>
      <c r="I2157" s="77"/>
      <c r="J2157" s="77"/>
      <c r="K2157" s="79"/>
      <c r="L2157" s="49">
        <f t="shared" si="130"/>
        <v>0</v>
      </c>
      <c r="M2157" s="50">
        <f t="shared" si="131"/>
        <v>0</v>
      </c>
    </row>
    <row r="2158" spans="1:13" x14ac:dyDescent="0.2">
      <c r="A2158" s="18"/>
      <c r="B2158" s="77"/>
      <c r="C2158" s="77"/>
      <c r="D2158" s="78"/>
      <c r="E2158" s="77"/>
      <c r="F2158" s="77"/>
      <c r="G2158" s="77"/>
      <c r="H2158" s="77"/>
      <c r="I2158" s="77"/>
      <c r="J2158" s="77"/>
      <c r="K2158" s="79"/>
      <c r="L2158" s="49">
        <f t="shared" si="130"/>
        <v>0</v>
      </c>
      <c r="M2158" s="50">
        <f t="shared" si="131"/>
        <v>0</v>
      </c>
    </row>
    <row r="2159" spans="1:13" x14ac:dyDescent="0.2">
      <c r="A2159" s="18"/>
      <c r="B2159" s="77"/>
      <c r="C2159" s="77"/>
      <c r="D2159" s="78"/>
      <c r="E2159" s="77"/>
      <c r="F2159" s="77"/>
      <c r="G2159" s="77"/>
      <c r="H2159" s="77"/>
      <c r="I2159" s="77"/>
      <c r="J2159" s="77"/>
      <c r="K2159" s="79"/>
      <c r="L2159" s="49">
        <f t="shared" si="130"/>
        <v>0</v>
      </c>
      <c r="M2159" s="50">
        <f t="shared" si="131"/>
        <v>0</v>
      </c>
    </row>
    <row r="2160" spans="1:13" x14ac:dyDescent="0.2">
      <c r="A2160" s="18"/>
      <c r="B2160" s="77"/>
      <c r="C2160" s="77"/>
      <c r="D2160" s="78"/>
      <c r="E2160" s="77"/>
      <c r="F2160" s="77"/>
      <c r="G2160" s="77"/>
      <c r="H2160" s="77"/>
      <c r="I2160" s="77"/>
      <c r="J2160" s="77"/>
      <c r="K2160" s="79"/>
      <c r="L2160" s="49">
        <f t="shared" si="130"/>
        <v>0</v>
      </c>
      <c r="M2160" s="50">
        <f t="shared" si="131"/>
        <v>0</v>
      </c>
    </row>
    <row r="2161" spans="1:13" x14ac:dyDescent="0.2">
      <c r="A2161" s="18"/>
      <c r="B2161" s="77"/>
      <c r="C2161" s="77"/>
      <c r="D2161" s="78"/>
      <c r="E2161" s="77"/>
      <c r="F2161" s="77"/>
      <c r="G2161" s="77"/>
      <c r="H2161" s="77"/>
      <c r="I2161" s="77"/>
      <c r="J2161" s="77"/>
      <c r="K2161" s="79"/>
      <c r="L2161" s="49">
        <f t="shared" si="130"/>
        <v>0</v>
      </c>
      <c r="M2161" s="50">
        <f t="shared" si="131"/>
        <v>0</v>
      </c>
    </row>
    <row r="2162" spans="1:13" x14ac:dyDescent="0.2">
      <c r="A2162" s="18"/>
      <c r="B2162" s="77"/>
      <c r="C2162" s="77"/>
      <c r="D2162" s="78"/>
      <c r="E2162" s="77"/>
      <c r="F2162" s="77"/>
      <c r="G2162" s="77"/>
      <c r="H2162" s="77"/>
      <c r="I2162" s="77"/>
      <c r="J2162" s="77"/>
      <c r="K2162" s="79"/>
      <c r="L2162" s="49">
        <f t="shared" si="130"/>
        <v>0</v>
      </c>
      <c r="M2162" s="50">
        <f t="shared" si="131"/>
        <v>0</v>
      </c>
    </row>
    <row r="2163" spans="1:13" x14ac:dyDescent="0.2">
      <c r="A2163" s="18"/>
      <c r="B2163" s="77"/>
      <c r="C2163" s="77"/>
      <c r="D2163" s="78"/>
      <c r="E2163" s="77"/>
      <c r="F2163" s="77"/>
      <c r="G2163" s="77"/>
      <c r="H2163" s="77"/>
      <c r="I2163" s="77"/>
      <c r="J2163" s="77"/>
      <c r="K2163" s="79"/>
      <c r="L2163" s="49">
        <f t="shared" si="130"/>
        <v>0</v>
      </c>
      <c r="M2163" s="50">
        <f t="shared" si="131"/>
        <v>0</v>
      </c>
    </row>
    <row r="2164" spans="1:13" x14ac:dyDescent="0.2">
      <c r="A2164" s="18"/>
      <c r="B2164" s="77"/>
      <c r="C2164" s="77"/>
      <c r="D2164" s="78"/>
      <c r="E2164" s="77"/>
      <c r="F2164" s="77"/>
      <c r="G2164" s="77"/>
      <c r="H2164" s="77"/>
      <c r="I2164" s="77"/>
      <c r="J2164" s="77"/>
      <c r="K2164" s="79"/>
      <c r="L2164" s="49">
        <f t="shared" si="130"/>
        <v>0</v>
      </c>
      <c r="M2164" s="50">
        <f t="shared" si="131"/>
        <v>0</v>
      </c>
    </row>
    <row r="2165" spans="1:13" x14ac:dyDescent="0.2">
      <c r="A2165" s="18"/>
      <c r="B2165" s="77"/>
      <c r="C2165" s="77"/>
      <c r="D2165" s="78"/>
      <c r="E2165" s="77"/>
      <c r="F2165" s="77"/>
      <c r="G2165" s="77"/>
      <c r="H2165" s="77"/>
      <c r="I2165" s="77"/>
      <c r="J2165" s="77"/>
      <c r="K2165" s="79"/>
      <c r="L2165" s="49">
        <f t="shared" si="130"/>
        <v>0</v>
      </c>
      <c r="M2165" s="50">
        <f t="shared" si="131"/>
        <v>0</v>
      </c>
    </row>
    <row r="2166" spans="1:13" x14ac:dyDescent="0.2">
      <c r="A2166" s="18"/>
      <c r="B2166" s="77"/>
      <c r="C2166" s="77"/>
      <c r="D2166" s="78"/>
      <c r="E2166" s="77"/>
      <c r="F2166" s="77"/>
      <c r="G2166" s="77"/>
      <c r="H2166" s="77"/>
      <c r="I2166" s="77"/>
      <c r="J2166" s="77"/>
      <c r="K2166" s="79"/>
      <c r="L2166" s="49">
        <f t="shared" si="130"/>
        <v>0</v>
      </c>
      <c r="M2166" s="50">
        <f t="shared" si="131"/>
        <v>0</v>
      </c>
    </row>
    <row r="2167" spans="1:13" x14ac:dyDescent="0.2">
      <c r="A2167" s="18"/>
      <c r="B2167" s="77"/>
      <c r="C2167" s="77"/>
      <c r="D2167" s="78"/>
      <c r="E2167" s="77"/>
      <c r="F2167" s="77"/>
      <c r="G2167" s="77"/>
      <c r="H2167" s="77"/>
      <c r="I2167" s="77"/>
      <c r="J2167" s="77"/>
      <c r="K2167" s="79"/>
      <c r="L2167" s="49">
        <f t="shared" si="130"/>
        <v>0</v>
      </c>
      <c r="M2167" s="50">
        <f t="shared" si="131"/>
        <v>0</v>
      </c>
    </row>
    <row r="2168" spans="1:13" x14ac:dyDescent="0.2">
      <c r="A2168" s="18"/>
      <c r="B2168" s="77"/>
      <c r="C2168" s="77"/>
      <c r="D2168" s="78"/>
      <c r="E2168" s="77"/>
      <c r="F2168" s="77"/>
      <c r="G2168" s="77"/>
      <c r="H2168" s="77"/>
      <c r="I2168" s="77"/>
      <c r="J2168" s="77"/>
      <c r="K2168" s="79"/>
      <c r="L2168" s="49">
        <f t="shared" si="130"/>
        <v>0</v>
      </c>
      <c r="M2168" s="50">
        <f t="shared" si="131"/>
        <v>0</v>
      </c>
    </row>
    <row r="2169" spans="1:13" x14ac:dyDescent="0.2">
      <c r="A2169" s="18"/>
      <c r="B2169" s="77"/>
      <c r="C2169" s="77"/>
      <c r="D2169" s="78"/>
      <c r="E2169" s="77"/>
      <c r="F2169" s="77"/>
      <c r="G2169" s="77"/>
      <c r="H2169" s="77"/>
      <c r="I2169" s="77"/>
      <c r="J2169" s="77"/>
      <c r="K2169" s="79"/>
      <c r="L2169" s="49">
        <f t="shared" si="130"/>
        <v>0</v>
      </c>
      <c r="M2169" s="50">
        <f t="shared" si="131"/>
        <v>0</v>
      </c>
    </row>
    <row r="2170" spans="1:13" x14ac:dyDescent="0.2">
      <c r="A2170" s="18"/>
      <c r="B2170" s="77"/>
      <c r="C2170" s="77"/>
      <c r="D2170" s="78"/>
      <c r="E2170" s="77"/>
      <c r="F2170" s="77"/>
      <c r="G2170" s="77"/>
      <c r="H2170" s="77"/>
      <c r="I2170" s="77"/>
      <c r="J2170" s="77"/>
      <c r="K2170" s="79"/>
      <c r="L2170" s="49">
        <f t="shared" si="130"/>
        <v>0</v>
      </c>
      <c r="M2170" s="50">
        <f t="shared" si="131"/>
        <v>0</v>
      </c>
    </row>
    <row r="2171" spans="1:13" x14ac:dyDescent="0.2">
      <c r="A2171" s="18"/>
      <c r="B2171" s="77"/>
      <c r="C2171" s="77"/>
      <c r="D2171" s="78"/>
      <c r="E2171" s="77"/>
      <c r="F2171" s="77"/>
      <c r="G2171" s="77"/>
      <c r="H2171" s="77"/>
      <c r="I2171" s="77"/>
      <c r="J2171" s="77"/>
      <c r="K2171" s="79"/>
      <c r="L2171" s="49">
        <f t="shared" si="130"/>
        <v>0</v>
      </c>
      <c r="M2171" s="50">
        <f t="shared" si="131"/>
        <v>0</v>
      </c>
    </row>
    <row r="2172" spans="1:13" x14ac:dyDescent="0.2">
      <c r="A2172" s="18"/>
      <c r="B2172" s="77"/>
      <c r="C2172" s="77"/>
      <c r="D2172" s="78"/>
      <c r="E2172" s="77"/>
      <c r="F2172" s="77"/>
      <c r="G2172" s="77"/>
      <c r="H2172" s="77"/>
      <c r="I2172" s="77"/>
      <c r="J2172" s="77"/>
      <c r="K2172" s="79"/>
      <c r="L2172" s="49">
        <f t="shared" si="130"/>
        <v>0</v>
      </c>
      <c r="M2172" s="50">
        <f t="shared" si="131"/>
        <v>0</v>
      </c>
    </row>
    <row r="2173" spans="1:13" x14ac:dyDescent="0.2">
      <c r="A2173" s="18"/>
      <c r="B2173" s="77"/>
      <c r="C2173" s="77"/>
      <c r="D2173" s="78"/>
      <c r="E2173" s="77"/>
      <c r="F2173" s="77"/>
      <c r="G2173" s="77"/>
      <c r="H2173" s="77"/>
      <c r="I2173" s="77"/>
      <c r="J2173" s="77"/>
      <c r="K2173" s="79"/>
      <c r="L2173" s="49">
        <f t="shared" si="130"/>
        <v>0</v>
      </c>
      <c r="M2173" s="50">
        <f t="shared" si="131"/>
        <v>0</v>
      </c>
    </row>
    <row r="2174" spans="1:13" x14ac:dyDescent="0.2">
      <c r="A2174" s="18"/>
      <c r="B2174" s="77"/>
      <c r="C2174" s="77"/>
      <c r="D2174" s="78"/>
      <c r="E2174" s="77"/>
      <c r="F2174" s="77"/>
      <c r="G2174" s="77"/>
      <c r="H2174" s="77"/>
      <c r="I2174" s="77"/>
      <c r="J2174" s="77"/>
      <c r="K2174" s="79"/>
      <c r="L2174" s="49">
        <f t="shared" si="130"/>
        <v>0</v>
      </c>
      <c r="M2174" s="50">
        <f t="shared" si="131"/>
        <v>0</v>
      </c>
    </row>
    <row r="2175" spans="1:13" x14ac:dyDescent="0.2">
      <c r="A2175" s="18"/>
      <c r="B2175" s="77"/>
      <c r="C2175" s="77"/>
      <c r="D2175" s="78"/>
      <c r="E2175" s="77"/>
      <c r="F2175" s="77"/>
      <c r="G2175" s="77"/>
      <c r="H2175" s="77"/>
      <c r="I2175" s="77"/>
      <c r="J2175" s="77"/>
      <c r="K2175" s="79"/>
      <c r="L2175" s="49">
        <f t="shared" si="130"/>
        <v>0</v>
      </c>
      <c r="M2175" s="50">
        <f t="shared" si="131"/>
        <v>0</v>
      </c>
    </row>
    <row r="2176" spans="1:13" x14ac:dyDescent="0.2">
      <c r="A2176" s="18"/>
      <c r="B2176" s="77"/>
      <c r="C2176" s="77"/>
      <c r="D2176" s="78"/>
      <c r="E2176" s="77"/>
      <c r="F2176" s="77"/>
      <c r="G2176" s="77"/>
      <c r="H2176" s="77"/>
      <c r="I2176" s="77"/>
      <c r="J2176" s="77"/>
      <c r="K2176" s="79"/>
      <c r="L2176" s="49">
        <f t="shared" si="130"/>
        <v>0</v>
      </c>
      <c r="M2176" s="50">
        <f t="shared" si="131"/>
        <v>0</v>
      </c>
    </row>
    <row r="2177" spans="1:13" x14ac:dyDescent="0.2">
      <c r="A2177" s="18"/>
      <c r="B2177" s="77"/>
      <c r="C2177" s="77"/>
      <c r="D2177" s="78"/>
      <c r="E2177" s="77"/>
      <c r="F2177" s="77"/>
      <c r="G2177" s="77"/>
      <c r="H2177" s="77"/>
      <c r="I2177" s="77"/>
      <c r="J2177" s="77"/>
      <c r="K2177" s="79"/>
      <c r="L2177" s="49">
        <f t="shared" si="130"/>
        <v>0</v>
      </c>
      <c r="M2177" s="50">
        <f t="shared" si="131"/>
        <v>0</v>
      </c>
    </row>
    <row r="2178" spans="1:13" x14ac:dyDescent="0.2">
      <c r="A2178" s="18"/>
      <c r="B2178" s="77"/>
      <c r="C2178" s="77"/>
      <c r="D2178" s="78"/>
      <c r="E2178" s="77"/>
      <c r="F2178" s="77"/>
      <c r="G2178" s="77"/>
      <c r="H2178" s="77"/>
      <c r="I2178" s="77"/>
      <c r="J2178" s="77"/>
      <c r="K2178" s="79"/>
      <c r="L2178" s="49">
        <f t="shared" si="130"/>
        <v>0</v>
      </c>
      <c r="M2178" s="50">
        <f t="shared" si="131"/>
        <v>0</v>
      </c>
    </row>
    <row r="2179" spans="1:13" x14ac:dyDescent="0.2">
      <c r="A2179" s="18"/>
      <c r="B2179" s="77"/>
      <c r="C2179" s="77"/>
      <c r="D2179" s="78"/>
      <c r="E2179" s="77"/>
      <c r="F2179" s="77"/>
      <c r="G2179" s="77"/>
      <c r="H2179" s="77"/>
      <c r="I2179" s="77"/>
      <c r="J2179" s="77"/>
      <c r="K2179" s="79"/>
      <c r="L2179" s="49">
        <f t="shared" si="130"/>
        <v>0</v>
      </c>
      <c r="M2179" s="50">
        <f t="shared" si="131"/>
        <v>0</v>
      </c>
    </row>
    <row r="2180" spans="1:13" x14ac:dyDescent="0.2">
      <c r="A2180" s="18"/>
      <c r="B2180" s="77"/>
      <c r="C2180" s="77"/>
      <c r="D2180" s="78"/>
      <c r="E2180" s="77"/>
      <c r="F2180" s="77"/>
      <c r="G2180" s="77"/>
      <c r="H2180" s="77"/>
      <c r="I2180" s="77"/>
      <c r="J2180" s="77"/>
      <c r="K2180" s="79"/>
      <c r="L2180" s="49">
        <f t="shared" si="130"/>
        <v>0</v>
      </c>
      <c r="M2180" s="50">
        <f t="shared" si="131"/>
        <v>0</v>
      </c>
    </row>
    <row r="2181" spans="1:13" x14ac:dyDescent="0.2">
      <c r="A2181" s="18"/>
      <c r="B2181" s="77"/>
      <c r="C2181" s="77"/>
      <c r="D2181" s="78"/>
      <c r="E2181" s="77"/>
      <c r="F2181" s="77"/>
      <c r="G2181" s="77"/>
      <c r="H2181" s="77"/>
      <c r="I2181" s="77"/>
      <c r="J2181" s="77"/>
      <c r="K2181" s="79"/>
      <c r="L2181" s="49">
        <f t="shared" si="130"/>
        <v>0</v>
      </c>
      <c r="M2181" s="50">
        <f t="shared" si="131"/>
        <v>0</v>
      </c>
    </row>
    <row r="2182" spans="1:13" x14ac:dyDescent="0.2">
      <c r="A2182" s="18"/>
      <c r="B2182" s="77"/>
      <c r="C2182" s="77"/>
      <c r="D2182" s="78"/>
      <c r="E2182" s="77"/>
      <c r="F2182" s="77"/>
      <c r="G2182" s="77"/>
      <c r="H2182" s="77"/>
      <c r="I2182" s="77"/>
      <c r="J2182" s="77"/>
      <c r="K2182" s="79"/>
      <c r="L2182" s="49">
        <f t="shared" si="130"/>
        <v>0</v>
      </c>
      <c r="M2182" s="50">
        <f t="shared" si="131"/>
        <v>0</v>
      </c>
    </row>
    <row r="2183" spans="1:13" x14ac:dyDescent="0.2">
      <c r="A2183" s="18"/>
      <c r="B2183" s="77"/>
      <c r="C2183" s="77"/>
      <c r="D2183" s="78"/>
      <c r="E2183" s="77"/>
      <c r="F2183" s="77"/>
      <c r="G2183" s="77"/>
      <c r="H2183" s="77"/>
      <c r="I2183" s="77"/>
      <c r="J2183" s="77"/>
      <c r="K2183" s="79"/>
      <c r="L2183" s="49">
        <f t="shared" si="130"/>
        <v>0</v>
      </c>
      <c r="M2183" s="50">
        <f t="shared" si="131"/>
        <v>0</v>
      </c>
    </row>
    <row r="2184" spans="1:13" x14ac:dyDescent="0.2">
      <c r="A2184" s="18"/>
      <c r="B2184" s="77"/>
      <c r="C2184" s="77"/>
      <c r="D2184" s="78"/>
      <c r="E2184" s="77"/>
      <c r="F2184" s="77"/>
      <c r="G2184" s="77"/>
      <c r="H2184" s="77"/>
      <c r="I2184" s="77"/>
      <c r="J2184" s="77"/>
      <c r="K2184" s="79"/>
      <c r="L2184" s="49">
        <f t="shared" si="130"/>
        <v>0</v>
      </c>
      <c r="M2184" s="50">
        <f t="shared" si="131"/>
        <v>0</v>
      </c>
    </row>
    <row r="2185" spans="1:13" x14ac:dyDescent="0.2">
      <c r="A2185" s="18"/>
      <c r="B2185" s="77"/>
      <c r="C2185" s="77"/>
      <c r="D2185" s="78"/>
      <c r="E2185" s="77"/>
      <c r="F2185" s="77"/>
      <c r="G2185" s="77"/>
      <c r="H2185" s="77"/>
      <c r="I2185" s="77"/>
      <c r="J2185" s="77"/>
      <c r="K2185" s="79"/>
      <c r="L2185" s="49">
        <f t="shared" si="130"/>
        <v>0</v>
      </c>
      <c r="M2185" s="50">
        <f t="shared" si="131"/>
        <v>0</v>
      </c>
    </row>
    <row r="2186" spans="1:13" x14ac:dyDescent="0.2">
      <c r="A2186" s="18"/>
      <c r="B2186" s="77"/>
      <c r="C2186" s="77"/>
      <c r="D2186" s="78"/>
      <c r="E2186" s="77"/>
      <c r="F2186" s="77"/>
      <c r="G2186" s="77"/>
      <c r="H2186" s="77"/>
      <c r="I2186" s="77"/>
      <c r="J2186" s="77"/>
      <c r="K2186" s="79"/>
      <c r="L2186" s="49">
        <f t="shared" si="130"/>
        <v>0</v>
      </c>
      <c r="M2186" s="50">
        <f t="shared" si="131"/>
        <v>0</v>
      </c>
    </row>
    <row r="2187" spans="1:13" x14ac:dyDescent="0.2">
      <c r="A2187" s="18"/>
      <c r="B2187" s="77"/>
      <c r="C2187" s="77"/>
      <c r="D2187" s="78"/>
      <c r="E2187" s="77"/>
      <c r="F2187" s="77"/>
      <c r="G2187" s="77"/>
      <c r="H2187" s="77"/>
      <c r="I2187" s="77"/>
      <c r="J2187" s="77"/>
      <c r="K2187" s="79"/>
      <c r="L2187" s="49">
        <f t="shared" si="130"/>
        <v>0</v>
      </c>
      <c r="M2187" s="50">
        <f t="shared" si="131"/>
        <v>0</v>
      </c>
    </row>
    <row r="2188" spans="1:13" x14ac:dyDescent="0.2">
      <c r="A2188" s="18"/>
      <c r="B2188" s="77"/>
      <c r="C2188" s="77"/>
      <c r="D2188" s="78"/>
      <c r="E2188" s="77"/>
      <c r="F2188" s="77"/>
      <c r="G2188" s="77"/>
      <c r="H2188" s="77"/>
      <c r="I2188" s="77"/>
      <c r="J2188" s="77"/>
      <c r="K2188" s="79"/>
      <c r="L2188" s="49">
        <f t="shared" si="130"/>
        <v>0</v>
      </c>
      <c r="M2188" s="50">
        <f t="shared" si="131"/>
        <v>0</v>
      </c>
    </row>
    <row r="2189" spans="1:13" x14ac:dyDescent="0.2">
      <c r="A2189" s="18"/>
      <c r="B2189" s="77"/>
      <c r="C2189" s="77"/>
      <c r="D2189" s="78"/>
      <c r="E2189" s="77"/>
      <c r="F2189" s="77"/>
      <c r="G2189" s="77"/>
      <c r="H2189" s="77"/>
      <c r="I2189" s="77"/>
      <c r="J2189" s="77"/>
      <c r="K2189" s="79"/>
      <c r="L2189" s="49">
        <f t="shared" si="130"/>
        <v>0</v>
      </c>
      <c r="M2189" s="50">
        <f t="shared" si="131"/>
        <v>0</v>
      </c>
    </row>
    <row r="2190" spans="1:13" x14ac:dyDescent="0.2">
      <c r="A2190" s="18"/>
      <c r="B2190" s="77"/>
      <c r="C2190" s="77"/>
      <c r="D2190" s="78"/>
      <c r="E2190" s="77"/>
      <c r="F2190" s="77"/>
      <c r="G2190" s="77"/>
      <c r="H2190" s="77"/>
      <c r="I2190" s="77"/>
      <c r="J2190" s="77"/>
      <c r="K2190" s="79"/>
      <c r="L2190" s="49">
        <f t="shared" si="130"/>
        <v>0</v>
      </c>
      <c r="M2190" s="50">
        <f t="shared" si="131"/>
        <v>0</v>
      </c>
    </row>
    <row r="2191" spans="1:13" x14ac:dyDescent="0.2">
      <c r="A2191" s="18"/>
      <c r="B2191" s="77"/>
      <c r="C2191" s="77"/>
      <c r="D2191" s="78"/>
      <c r="E2191" s="77"/>
      <c r="F2191" s="77"/>
      <c r="G2191" s="77"/>
      <c r="H2191" s="77"/>
      <c r="I2191" s="77"/>
      <c r="J2191" s="77"/>
      <c r="K2191" s="79"/>
      <c r="L2191" s="49">
        <f t="shared" si="130"/>
        <v>0</v>
      </c>
      <c r="M2191" s="50">
        <f t="shared" si="131"/>
        <v>0</v>
      </c>
    </row>
    <row r="2192" spans="1:13" x14ac:dyDescent="0.2">
      <c r="A2192" s="18"/>
      <c r="B2192" s="77"/>
      <c r="C2192" s="77"/>
      <c r="D2192" s="78"/>
      <c r="E2192" s="77"/>
      <c r="F2192" s="77"/>
      <c r="G2192" s="77"/>
      <c r="H2192" s="77"/>
      <c r="I2192" s="77"/>
      <c r="J2192" s="77"/>
      <c r="K2192" s="79"/>
      <c r="L2192" s="49">
        <f t="shared" ref="L2192:L2195" si="132">+K2192*18%</f>
        <v>0</v>
      </c>
      <c r="M2192" s="50">
        <f t="shared" ref="M2192:M2195" si="133">+K2192+L2192</f>
        <v>0</v>
      </c>
    </row>
    <row r="2193" spans="1:13" x14ac:dyDescent="0.2">
      <c r="A2193" s="18"/>
      <c r="B2193" s="77"/>
      <c r="C2193" s="77"/>
      <c r="D2193" s="78"/>
      <c r="E2193" s="77"/>
      <c r="F2193" s="77"/>
      <c r="G2193" s="77"/>
      <c r="H2193" s="77"/>
      <c r="I2193" s="77"/>
      <c r="J2193" s="77"/>
      <c r="K2193" s="79"/>
      <c r="L2193" s="49">
        <f t="shared" si="132"/>
        <v>0</v>
      </c>
      <c r="M2193" s="50">
        <f t="shared" si="133"/>
        <v>0</v>
      </c>
    </row>
    <row r="2194" spans="1:13" x14ac:dyDescent="0.2">
      <c r="A2194" s="18"/>
      <c r="B2194" s="77"/>
      <c r="C2194" s="77"/>
      <c r="D2194" s="78"/>
      <c r="E2194" s="77"/>
      <c r="F2194" s="77"/>
      <c r="G2194" s="77"/>
      <c r="H2194" s="77"/>
      <c r="I2194" s="77"/>
      <c r="J2194" s="77"/>
      <c r="K2194" s="79"/>
      <c r="L2194" s="49">
        <f t="shared" si="132"/>
        <v>0</v>
      </c>
      <c r="M2194" s="50">
        <f t="shared" si="133"/>
        <v>0</v>
      </c>
    </row>
    <row r="2195" spans="1:13" x14ac:dyDescent="0.2">
      <c r="A2195" s="18"/>
      <c r="B2195" s="77"/>
      <c r="C2195" s="77"/>
      <c r="D2195" s="78"/>
      <c r="E2195" s="77"/>
      <c r="F2195" s="77"/>
      <c r="G2195" s="77"/>
      <c r="H2195" s="77"/>
      <c r="I2195" s="77"/>
      <c r="J2195" s="77"/>
      <c r="K2195" s="79"/>
      <c r="L2195" s="49">
        <f t="shared" si="132"/>
        <v>0</v>
      </c>
      <c r="M2195" s="50">
        <f t="shared" si="133"/>
        <v>0</v>
      </c>
    </row>
    <row r="2196" spans="1:13" x14ac:dyDescent="0.2">
      <c r="A2196" s="18"/>
      <c r="B2196" s="77"/>
      <c r="C2196" s="77"/>
      <c r="D2196" s="78"/>
      <c r="E2196" s="77"/>
      <c r="F2196" s="77"/>
      <c r="G2196" s="77"/>
      <c r="H2196" s="77"/>
      <c r="I2196" s="77"/>
      <c r="J2196" s="77"/>
      <c r="K2196" s="79"/>
      <c r="L2196" s="49">
        <f t="shared" ref="L2196:L2259" si="134">+K2196*18%</f>
        <v>0</v>
      </c>
      <c r="M2196" s="50">
        <f t="shared" ref="M2196:M2259" si="135">+K2196+L2196</f>
        <v>0</v>
      </c>
    </row>
    <row r="2197" spans="1:13" x14ac:dyDescent="0.2">
      <c r="A2197" s="18"/>
      <c r="B2197" s="77"/>
      <c r="C2197" s="77"/>
      <c r="D2197" s="78"/>
      <c r="E2197" s="77"/>
      <c r="F2197" s="77"/>
      <c r="G2197" s="77"/>
      <c r="H2197" s="77"/>
      <c r="I2197" s="77"/>
      <c r="J2197" s="77"/>
      <c r="K2197" s="79"/>
      <c r="L2197" s="49">
        <f t="shared" si="134"/>
        <v>0</v>
      </c>
      <c r="M2197" s="50">
        <f t="shared" si="135"/>
        <v>0</v>
      </c>
    </row>
    <row r="2198" spans="1:13" x14ac:dyDescent="0.2">
      <c r="A2198" s="18"/>
      <c r="B2198" s="77"/>
      <c r="C2198" s="77"/>
      <c r="D2198" s="78"/>
      <c r="E2198" s="77"/>
      <c r="F2198" s="77"/>
      <c r="G2198" s="77"/>
      <c r="H2198" s="77"/>
      <c r="I2198" s="77"/>
      <c r="J2198" s="77"/>
      <c r="K2198" s="79"/>
      <c r="L2198" s="49">
        <f t="shared" si="134"/>
        <v>0</v>
      </c>
      <c r="M2198" s="50">
        <f t="shared" si="135"/>
        <v>0</v>
      </c>
    </row>
    <row r="2199" spans="1:13" x14ac:dyDescent="0.2">
      <c r="A2199" s="18"/>
      <c r="B2199" s="77"/>
      <c r="C2199" s="77"/>
      <c r="D2199" s="78"/>
      <c r="E2199" s="77"/>
      <c r="F2199" s="77"/>
      <c r="G2199" s="77"/>
      <c r="H2199" s="77"/>
      <c r="I2199" s="77"/>
      <c r="J2199" s="77"/>
      <c r="K2199" s="79"/>
      <c r="L2199" s="49">
        <f t="shared" si="134"/>
        <v>0</v>
      </c>
      <c r="M2199" s="50">
        <f t="shared" si="135"/>
        <v>0</v>
      </c>
    </row>
    <row r="2200" spans="1:13" x14ac:dyDescent="0.2">
      <c r="A2200" s="18"/>
      <c r="B2200" s="77"/>
      <c r="C2200" s="77"/>
      <c r="D2200" s="78"/>
      <c r="E2200" s="77"/>
      <c r="F2200" s="77"/>
      <c r="G2200" s="77"/>
      <c r="H2200" s="77"/>
      <c r="I2200" s="77"/>
      <c r="J2200" s="77"/>
      <c r="K2200" s="79"/>
      <c r="L2200" s="49">
        <f t="shared" si="134"/>
        <v>0</v>
      </c>
      <c r="M2200" s="50">
        <f t="shared" si="135"/>
        <v>0</v>
      </c>
    </row>
    <row r="2201" spans="1:13" x14ac:dyDescent="0.2">
      <c r="A2201" s="18"/>
      <c r="B2201" s="77"/>
      <c r="C2201" s="77"/>
      <c r="D2201" s="78"/>
      <c r="E2201" s="77"/>
      <c r="F2201" s="77"/>
      <c r="G2201" s="77"/>
      <c r="H2201" s="77"/>
      <c r="I2201" s="77"/>
      <c r="J2201" s="77"/>
      <c r="K2201" s="79"/>
      <c r="L2201" s="49">
        <f t="shared" si="134"/>
        <v>0</v>
      </c>
      <c r="M2201" s="50">
        <f t="shared" si="135"/>
        <v>0</v>
      </c>
    </row>
    <row r="2202" spans="1:13" x14ac:dyDescent="0.2">
      <c r="A2202" s="18"/>
      <c r="B2202" s="77"/>
      <c r="C2202" s="77"/>
      <c r="D2202" s="78"/>
      <c r="E2202" s="77"/>
      <c r="F2202" s="77"/>
      <c r="G2202" s="77"/>
      <c r="H2202" s="77"/>
      <c r="I2202" s="77"/>
      <c r="J2202" s="77"/>
      <c r="K2202" s="79"/>
      <c r="L2202" s="49">
        <f t="shared" si="134"/>
        <v>0</v>
      </c>
      <c r="M2202" s="50">
        <f t="shared" si="135"/>
        <v>0</v>
      </c>
    </row>
    <row r="2203" spans="1:13" x14ac:dyDescent="0.2">
      <c r="A2203" s="18"/>
      <c r="B2203" s="77"/>
      <c r="C2203" s="77"/>
      <c r="D2203" s="78"/>
      <c r="E2203" s="77"/>
      <c r="F2203" s="77"/>
      <c r="G2203" s="77"/>
      <c r="H2203" s="77"/>
      <c r="I2203" s="77"/>
      <c r="J2203" s="77"/>
      <c r="K2203" s="79"/>
      <c r="L2203" s="49">
        <f t="shared" si="134"/>
        <v>0</v>
      </c>
      <c r="M2203" s="50">
        <f t="shared" si="135"/>
        <v>0</v>
      </c>
    </row>
    <row r="2204" spans="1:13" x14ac:dyDescent="0.2">
      <c r="A2204" s="18"/>
      <c r="B2204" s="77"/>
      <c r="C2204" s="77"/>
      <c r="D2204" s="78"/>
      <c r="E2204" s="77"/>
      <c r="F2204" s="77"/>
      <c r="G2204" s="77"/>
      <c r="H2204" s="77"/>
      <c r="I2204" s="77"/>
      <c r="J2204" s="77"/>
      <c r="K2204" s="79"/>
      <c r="L2204" s="49">
        <f t="shared" si="134"/>
        <v>0</v>
      </c>
      <c r="M2204" s="50">
        <f t="shared" si="135"/>
        <v>0</v>
      </c>
    </row>
    <row r="2205" spans="1:13" x14ac:dyDescent="0.2">
      <c r="A2205" s="18"/>
      <c r="B2205" s="77"/>
      <c r="C2205" s="77"/>
      <c r="D2205" s="78"/>
      <c r="E2205" s="77"/>
      <c r="F2205" s="77"/>
      <c r="G2205" s="77"/>
      <c r="H2205" s="77"/>
      <c r="I2205" s="77"/>
      <c r="J2205" s="77"/>
      <c r="K2205" s="79"/>
      <c r="L2205" s="49">
        <f t="shared" si="134"/>
        <v>0</v>
      </c>
      <c r="M2205" s="50">
        <f t="shared" si="135"/>
        <v>0</v>
      </c>
    </row>
    <row r="2206" spans="1:13" x14ac:dyDescent="0.2">
      <c r="A2206" s="18"/>
      <c r="B2206" s="77"/>
      <c r="C2206" s="77"/>
      <c r="D2206" s="78"/>
      <c r="E2206" s="77"/>
      <c r="F2206" s="77"/>
      <c r="G2206" s="77"/>
      <c r="H2206" s="77"/>
      <c r="I2206" s="77"/>
      <c r="J2206" s="77"/>
      <c r="K2206" s="79"/>
      <c r="L2206" s="49">
        <f t="shared" si="134"/>
        <v>0</v>
      </c>
      <c r="M2206" s="50">
        <f t="shared" si="135"/>
        <v>0</v>
      </c>
    </row>
    <row r="2207" spans="1:13" x14ac:dyDescent="0.2">
      <c r="A2207" s="18"/>
      <c r="B2207" s="77"/>
      <c r="C2207" s="77"/>
      <c r="D2207" s="78"/>
      <c r="E2207" s="77"/>
      <c r="F2207" s="77"/>
      <c r="G2207" s="77"/>
      <c r="H2207" s="77"/>
      <c r="I2207" s="77"/>
      <c r="J2207" s="77"/>
      <c r="K2207" s="79"/>
      <c r="L2207" s="49">
        <f t="shared" si="134"/>
        <v>0</v>
      </c>
      <c r="M2207" s="50">
        <f t="shared" si="135"/>
        <v>0</v>
      </c>
    </row>
    <row r="2208" spans="1:13" x14ac:dyDescent="0.2">
      <c r="A2208" s="18"/>
      <c r="B2208" s="77"/>
      <c r="C2208" s="77"/>
      <c r="D2208" s="78"/>
      <c r="E2208" s="77"/>
      <c r="F2208" s="77"/>
      <c r="G2208" s="77"/>
      <c r="H2208" s="77"/>
      <c r="I2208" s="77"/>
      <c r="J2208" s="77"/>
      <c r="K2208" s="79"/>
      <c r="L2208" s="49">
        <f t="shared" si="134"/>
        <v>0</v>
      </c>
      <c r="M2208" s="50">
        <f t="shared" si="135"/>
        <v>0</v>
      </c>
    </row>
    <row r="2209" spans="1:13" x14ac:dyDescent="0.2">
      <c r="A2209" s="18"/>
      <c r="B2209" s="77"/>
      <c r="C2209" s="77"/>
      <c r="D2209" s="78"/>
      <c r="E2209" s="77"/>
      <c r="F2209" s="77"/>
      <c r="G2209" s="77"/>
      <c r="H2209" s="77"/>
      <c r="I2209" s="77"/>
      <c r="J2209" s="77"/>
      <c r="K2209" s="79"/>
      <c r="L2209" s="49">
        <f t="shared" si="134"/>
        <v>0</v>
      </c>
      <c r="M2209" s="50">
        <f t="shared" si="135"/>
        <v>0</v>
      </c>
    </row>
    <row r="2210" spans="1:13" x14ac:dyDescent="0.2">
      <c r="A2210" s="18"/>
      <c r="B2210" s="77"/>
      <c r="C2210" s="77"/>
      <c r="D2210" s="78"/>
      <c r="E2210" s="77"/>
      <c r="F2210" s="77"/>
      <c r="G2210" s="77"/>
      <c r="H2210" s="77"/>
      <c r="I2210" s="77"/>
      <c r="J2210" s="77"/>
      <c r="K2210" s="79"/>
      <c r="L2210" s="49">
        <f t="shared" si="134"/>
        <v>0</v>
      </c>
      <c r="M2210" s="50">
        <f t="shared" si="135"/>
        <v>0</v>
      </c>
    </row>
    <row r="2211" spans="1:13" x14ac:dyDescent="0.2">
      <c r="A2211" s="18"/>
      <c r="B2211" s="77"/>
      <c r="C2211" s="77"/>
      <c r="D2211" s="78"/>
      <c r="E2211" s="77"/>
      <c r="F2211" s="77"/>
      <c r="G2211" s="77"/>
      <c r="H2211" s="77"/>
      <c r="I2211" s="77"/>
      <c r="J2211" s="77"/>
      <c r="K2211" s="79"/>
      <c r="L2211" s="49">
        <f t="shared" si="134"/>
        <v>0</v>
      </c>
      <c r="M2211" s="50">
        <f t="shared" si="135"/>
        <v>0</v>
      </c>
    </row>
    <row r="2212" spans="1:13" x14ac:dyDescent="0.2">
      <c r="A2212" s="18"/>
      <c r="B2212" s="77"/>
      <c r="C2212" s="77"/>
      <c r="D2212" s="78"/>
      <c r="E2212" s="77"/>
      <c r="F2212" s="77"/>
      <c r="G2212" s="77"/>
      <c r="H2212" s="77"/>
      <c r="I2212" s="77"/>
      <c r="J2212" s="77"/>
      <c r="K2212" s="79"/>
      <c r="L2212" s="49">
        <f t="shared" si="134"/>
        <v>0</v>
      </c>
      <c r="M2212" s="50">
        <f t="shared" si="135"/>
        <v>0</v>
      </c>
    </row>
    <row r="2213" spans="1:13" x14ac:dyDescent="0.2">
      <c r="A2213" s="18"/>
      <c r="B2213" s="77"/>
      <c r="C2213" s="77"/>
      <c r="D2213" s="78"/>
      <c r="E2213" s="77"/>
      <c r="F2213" s="77"/>
      <c r="G2213" s="77"/>
      <c r="H2213" s="77"/>
      <c r="I2213" s="77"/>
      <c r="J2213" s="77"/>
      <c r="K2213" s="79"/>
      <c r="L2213" s="49">
        <f t="shared" si="134"/>
        <v>0</v>
      </c>
      <c r="M2213" s="50">
        <f t="shared" si="135"/>
        <v>0</v>
      </c>
    </row>
    <row r="2214" spans="1:13" x14ac:dyDescent="0.2">
      <c r="A2214" s="18"/>
      <c r="B2214" s="77"/>
      <c r="C2214" s="77"/>
      <c r="D2214" s="78"/>
      <c r="E2214" s="77"/>
      <c r="F2214" s="77"/>
      <c r="G2214" s="77"/>
      <c r="H2214" s="77"/>
      <c r="I2214" s="77"/>
      <c r="J2214" s="77"/>
      <c r="K2214" s="79"/>
      <c r="L2214" s="49">
        <f t="shared" si="134"/>
        <v>0</v>
      </c>
      <c r="M2214" s="50">
        <f t="shared" si="135"/>
        <v>0</v>
      </c>
    </row>
    <row r="2215" spans="1:13" x14ac:dyDescent="0.2">
      <c r="A2215" s="18"/>
      <c r="B2215" s="77"/>
      <c r="C2215" s="77"/>
      <c r="D2215" s="78"/>
      <c r="E2215" s="77"/>
      <c r="F2215" s="77"/>
      <c r="G2215" s="77"/>
      <c r="H2215" s="77"/>
      <c r="I2215" s="77"/>
      <c r="J2215" s="77"/>
      <c r="K2215" s="79"/>
      <c r="L2215" s="49">
        <f t="shared" si="134"/>
        <v>0</v>
      </c>
      <c r="M2215" s="50">
        <f t="shared" si="135"/>
        <v>0</v>
      </c>
    </row>
    <row r="2216" spans="1:13" x14ac:dyDescent="0.2">
      <c r="A2216" s="18"/>
      <c r="B2216" s="77"/>
      <c r="C2216" s="77"/>
      <c r="D2216" s="78"/>
      <c r="E2216" s="77"/>
      <c r="F2216" s="77"/>
      <c r="G2216" s="77"/>
      <c r="H2216" s="77"/>
      <c r="I2216" s="77"/>
      <c r="J2216" s="77"/>
      <c r="K2216" s="79"/>
      <c r="L2216" s="49">
        <f t="shared" si="134"/>
        <v>0</v>
      </c>
      <c r="M2216" s="50">
        <f t="shared" si="135"/>
        <v>0</v>
      </c>
    </row>
    <row r="2217" spans="1:13" x14ac:dyDescent="0.2">
      <c r="A2217" s="18"/>
      <c r="B2217" s="77"/>
      <c r="C2217" s="77"/>
      <c r="D2217" s="78"/>
      <c r="E2217" s="77"/>
      <c r="F2217" s="77"/>
      <c r="G2217" s="77"/>
      <c r="H2217" s="77"/>
      <c r="I2217" s="77"/>
      <c r="J2217" s="77"/>
      <c r="K2217" s="79"/>
      <c r="L2217" s="49">
        <f t="shared" si="134"/>
        <v>0</v>
      </c>
      <c r="M2217" s="50">
        <f t="shared" si="135"/>
        <v>0</v>
      </c>
    </row>
    <row r="2218" spans="1:13" x14ac:dyDescent="0.2">
      <c r="A2218" s="18"/>
      <c r="B2218" s="77"/>
      <c r="C2218" s="77"/>
      <c r="D2218" s="78"/>
      <c r="E2218" s="77"/>
      <c r="F2218" s="77"/>
      <c r="G2218" s="77"/>
      <c r="H2218" s="77"/>
      <c r="I2218" s="77"/>
      <c r="J2218" s="77"/>
      <c r="K2218" s="79"/>
      <c r="L2218" s="49">
        <f t="shared" si="134"/>
        <v>0</v>
      </c>
      <c r="M2218" s="50">
        <f t="shared" si="135"/>
        <v>0</v>
      </c>
    </row>
    <row r="2219" spans="1:13" x14ac:dyDescent="0.2">
      <c r="A2219" s="18"/>
      <c r="B2219" s="77"/>
      <c r="C2219" s="77"/>
      <c r="D2219" s="78"/>
      <c r="E2219" s="77"/>
      <c r="F2219" s="77"/>
      <c r="G2219" s="77"/>
      <c r="H2219" s="77"/>
      <c r="I2219" s="77"/>
      <c r="J2219" s="77"/>
      <c r="K2219" s="79"/>
      <c r="L2219" s="49">
        <f t="shared" si="134"/>
        <v>0</v>
      </c>
      <c r="M2219" s="50">
        <f t="shared" si="135"/>
        <v>0</v>
      </c>
    </row>
    <row r="2220" spans="1:13" x14ac:dyDescent="0.2">
      <c r="A2220" s="18"/>
      <c r="B2220" s="77"/>
      <c r="C2220" s="77"/>
      <c r="D2220" s="78"/>
      <c r="E2220" s="77"/>
      <c r="F2220" s="77"/>
      <c r="G2220" s="77"/>
      <c r="H2220" s="77"/>
      <c r="I2220" s="77"/>
      <c r="J2220" s="77"/>
      <c r="K2220" s="79"/>
      <c r="L2220" s="49">
        <f t="shared" si="134"/>
        <v>0</v>
      </c>
      <c r="M2220" s="50">
        <f t="shared" si="135"/>
        <v>0</v>
      </c>
    </row>
    <row r="2221" spans="1:13" x14ac:dyDescent="0.2">
      <c r="A2221" s="18"/>
      <c r="B2221" s="77"/>
      <c r="C2221" s="77"/>
      <c r="D2221" s="78"/>
      <c r="E2221" s="77"/>
      <c r="F2221" s="77"/>
      <c r="G2221" s="77"/>
      <c r="H2221" s="77"/>
      <c r="I2221" s="77"/>
      <c r="J2221" s="77"/>
      <c r="K2221" s="79"/>
      <c r="L2221" s="49">
        <f t="shared" si="134"/>
        <v>0</v>
      </c>
      <c r="M2221" s="50">
        <f t="shared" si="135"/>
        <v>0</v>
      </c>
    </row>
    <row r="2222" spans="1:13" x14ac:dyDescent="0.2">
      <c r="A2222" s="18"/>
      <c r="B2222" s="77"/>
      <c r="C2222" s="77"/>
      <c r="D2222" s="78"/>
      <c r="E2222" s="77"/>
      <c r="F2222" s="77"/>
      <c r="G2222" s="77"/>
      <c r="H2222" s="77"/>
      <c r="I2222" s="77"/>
      <c r="J2222" s="77"/>
      <c r="K2222" s="79"/>
      <c r="L2222" s="49">
        <f t="shared" si="134"/>
        <v>0</v>
      </c>
      <c r="M2222" s="50">
        <f t="shared" si="135"/>
        <v>0</v>
      </c>
    </row>
    <row r="2223" spans="1:13" x14ac:dyDescent="0.2">
      <c r="A2223" s="18"/>
      <c r="B2223" s="77"/>
      <c r="C2223" s="77"/>
      <c r="D2223" s="78"/>
      <c r="E2223" s="77"/>
      <c r="F2223" s="77"/>
      <c r="G2223" s="77"/>
      <c r="H2223" s="77"/>
      <c r="I2223" s="77"/>
      <c r="J2223" s="77"/>
      <c r="K2223" s="79"/>
      <c r="L2223" s="49">
        <f t="shared" si="134"/>
        <v>0</v>
      </c>
      <c r="M2223" s="50">
        <f t="shared" si="135"/>
        <v>0</v>
      </c>
    </row>
    <row r="2224" spans="1:13" x14ac:dyDescent="0.2">
      <c r="A2224" s="18"/>
      <c r="B2224" s="77"/>
      <c r="C2224" s="77"/>
      <c r="D2224" s="78"/>
      <c r="E2224" s="77"/>
      <c r="F2224" s="77"/>
      <c r="G2224" s="77"/>
      <c r="H2224" s="77"/>
      <c r="I2224" s="77"/>
      <c r="J2224" s="77"/>
      <c r="K2224" s="79"/>
      <c r="L2224" s="49">
        <f t="shared" si="134"/>
        <v>0</v>
      </c>
      <c r="M2224" s="50">
        <f t="shared" si="135"/>
        <v>0</v>
      </c>
    </row>
    <row r="2225" spans="1:13" x14ac:dyDescent="0.2">
      <c r="A2225" s="18"/>
      <c r="B2225" s="77"/>
      <c r="C2225" s="77"/>
      <c r="D2225" s="78"/>
      <c r="E2225" s="77"/>
      <c r="F2225" s="77"/>
      <c r="G2225" s="77"/>
      <c r="H2225" s="77"/>
      <c r="I2225" s="77"/>
      <c r="J2225" s="77"/>
      <c r="K2225" s="79"/>
      <c r="L2225" s="49">
        <f t="shared" si="134"/>
        <v>0</v>
      </c>
      <c r="M2225" s="50">
        <f t="shared" si="135"/>
        <v>0</v>
      </c>
    </row>
    <row r="2226" spans="1:13" x14ac:dyDescent="0.2">
      <c r="A2226" s="18"/>
      <c r="B2226" s="77"/>
      <c r="C2226" s="77"/>
      <c r="D2226" s="78"/>
      <c r="E2226" s="77"/>
      <c r="F2226" s="77"/>
      <c r="G2226" s="77"/>
      <c r="H2226" s="77"/>
      <c r="I2226" s="77"/>
      <c r="J2226" s="77"/>
      <c r="K2226" s="79"/>
      <c r="L2226" s="49">
        <f t="shared" si="134"/>
        <v>0</v>
      </c>
      <c r="M2226" s="50">
        <f t="shared" si="135"/>
        <v>0</v>
      </c>
    </row>
    <row r="2227" spans="1:13" x14ac:dyDescent="0.2">
      <c r="A2227" s="18"/>
      <c r="B2227" s="77"/>
      <c r="C2227" s="77"/>
      <c r="D2227" s="78"/>
      <c r="E2227" s="77"/>
      <c r="F2227" s="77"/>
      <c r="G2227" s="77"/>
      <c r="H2227" s="77"/>
      <c r="I2227" s="77"/>
      <c r="J2227" s="77"/>
      <c r="K2227" s="79"/>
      <c r="L2227" s="49">
        <f t="shared" si="134"/>
        <v>0</v>
      </c>
      <c r="M2227" s="50">
        <f t="shared" si="135"/>
        <v>0</v>
      </c>
    </row>
    <row r="2228" spans="1:13" x14ac:dyDescent="0.2">
      <c r="A2228" s="18"/>
      <c r="B2228" s="77"/>
      <c r="C2228" s="77"/>
      <c r="D2228" s="78"/>
      <c r="E2228" s="77"/>
      <c r="F2228" s="77"/>
      <c r="G2228" s="77"/>
      <c r="H2228" s="77"/>
      <c r="I2228" s="77"/>
      <c r="J2228" s="77"/>
      <c r="K2228" s="79"/>
      <c r="L2228" s="49">
        <f t="shared" si="134"/>
        <v>0</v>
      </c>
      <c r="M2228" s="50">
        <f t="shared" si="135"/>
        <v>0</v>
      </c>
    </row>
    <row r="2229" spans="1:13" x14ac:dyDescent="0.2">
      <c r="A2229" s="18"/>
      <c r="B2229" s="77"/>
      <c r="C2229" s="77"/>
      <c r="D2229" s="78"/>
      <c r="E2229" s="77"/>
      <c r="F2229" s="77"/>
      <c r="G2229" s="77"/>
      <c r="H2229" s="77"/>
      <c r="I2229" s="77"/>
      <c r="J2229" s="77"/>
      <c r="K2229" s="79"/>
      <c r="L2229" s="49">
        <f t="shared" si="134"/>
        <v>0</v>
      </c>
      <c r="M2229" s="50">
        <f t="shared" si="135"/>
        <v>0</v>
      </c>
    </row>
    <row r="2230" spans="1:13" x14ac:dyDescent="0.2">
      <c r="A2230" s="18"/>
      <c r="B2230" s="77"/>
      <c r="C2230" s="77"/>
      <c r="D2230" s="78"/>
      <c r="E2230" s="77"/>
      <c r="F2230" s="77"/>
      <c r="G2230" s="77"/>
      <c r="H2230" s="77"/>
      <c r="I2230" s="77"/>
      <c r="J2230" s="77"/>
      <c r="K2230" s="79"/>
      <c r="L2230" s="49">
        <f t="shared" si="134"/>
        <v>0</v>
      </c>
      <c r="M2230" s="50">
        <f t="shared" si="135"/>
        <v>0</v>
      </c>
    </row>
    <row r="2231" spans="1:13" x14ac:dyDescent="0.2">
      <c r="A2231" s="18"/>
      <c r="B2231" s="77"/>
      <c r="C2231" s="77"/>
      <c r="D2231" s="78"/>
      <c r="E2231" s="77"/>
      <c r="F2231" s="77"/>
      <c r="G2231" s="77"/>
      <c r="H2231" s="77"/>
      <c r="I2231" s="77"/>
      <c r="J2231" s="77"/>
      <c r="K2231" s="79"/>
      <c r="L2231" s="49">
        <f t="shared" si="134"/>
        <v>0</v>
      </c>
      <c r="M2231" s="50">
        <f t="shared" si="135"/>
        <v>0</v>
      </c>
    </row>
    <row r="2232" spans="1:13" x14ac:dyDescent="0.2">
      <c r="A2232" s="18"/>
      <c r="B2232" s="77"/>
      <c r="C2232" s="77"/>
      <c r="D2232" s="78"/>
      <c r="E2232" s="77"/>
      <c r="F2232" s="77"/>
      <c r="G2232" s="77"/>
      <c r="H2232" s="77"/>
      <c r="I2232" s="77"/>
      <c r="J2232" s="77"/>
      <c r="K2232" s="79"/>
      <c r="L2232" s="49">
        <f t="shared" si="134"/>
        <v>0</v>
      </c>
      <c r="M2232" s="50">
        <f t="shared" si="135"/>
        <v>0</v>
      </c>
    </row>
    <row r="2233" spans="1:13" x14ac:dyDescent="0.2">
      <c r="A2233" s="18"/>
      <c r="B2233" s="77"/>
      <c r="C2233" s="77"/>
      <c r="D2233" s="78"/>
      <c r="E2233" s="77"/>
      <c r="F2233" s="77"/>
      <c r="G2233" s="77"/>
      <c r="H2233" s="77"/>
      <c r="I2233" s="77"/>
      <c r="J2233" s="77"/>
      <c r="K2233" s="79"/>
      <c r="L2233" s="49">
        <f t="shared" si="134"/>
        <v>0</v>
      </c>
      <c r="M2233" s="50">
        <f t="shared" si="135"/>
        <v>0</v>
      </c>
    </row>
    <row r="2234" spans="1:13" x14ac:dyDescent="0.2">
      <c r="A2234" s="18"/>
      <c r="B2234" s="77"/>
      <c r="C2234" s="77"/>
      <c r="D2234" s="78"/>
      <c r="E2234" s="77"/>
      <c r="F2234" s="77"/>
      <c r="G2234" s="77"/>
      <c r="H2234" s="77"/>
      <c r="I2234" s="77"/>
      <c r="J2234" s="77"/>
      <c r="K2234" s="79"/>
      <c r="L2234" s="49">
        <f t="shared" si="134"/>
        <v>0</v>
      </c>
      <c r="M2234" s="50">
        <f t="shared" si="135"/>
        <v>0</v>
      </c>
    </row>
    <row r="2235" spans="1:13" x14ac:dyDescent="0.2">
      <c r="A2235" s="18"/>
      <c r="B2235" s="77"/>
      <c r="C2235" s="77"/>
      <c r="D2235" s="78"/>
      <c r="E2235" s="77"/>
      <c r="F2235" s="77"/>
      <c r="G2235" s="77"/>
      <c r="H2235" s="77"/>
      <c r="I2235" s="77"/>
      <c r="J2235" s="77"/>
      <c r="K2235" s="79"/>
      <c r="L2235" s="49">
        <f t="shared" si="134"/>
        <v>0</v>
      </c>
      <c r="M2235" s="50">
        <f t="shared" si="135"/>
        <v>0</v>
      </c>
    </row>
    <row r="2236" spans="1:13" x14ac:dyDescent="0.2">
      <c r="A2236" s="18"/>
      <c r="B2236" s="77"/>
      <c r="C2236" s="77"/>
      <c r="D2236" s="78"/>
      <c r="E2236" s="77"/>
      <c r="F2236" s="77"/>
      <c r="G2236" s="77"/>
      <c r="H2236" s="77"/>
      <c r="I2236" s="77"/>
      <c r="J2236" s="77"/>
      <c r="K2236" s="79"/>
      <c r="L2236" s="49">
        <f t="shared" si="134"/>
        <v>0</v>
      </c>
      <c r="M2236" s="50">
        <f t="shared" si="135"/>
        <v>0</v>
      </c>
    </row>
    <row r="2237" spans="1:13" x14ac:dyDescent="0.2">
      <c r="A2237" s="18"/>
      <c r="B2237" s="77"/>
      <c r="C2237" s="77"/>
      <c r="D2237" s="78"/>
      <c r="E2237" s="77"/>
      <c r="F2237" s="77"/>
      <c r="G2237" s="77"/>
      <c r="H2237" s="77"/>
      <c r="I2237" s="77"/>
      <c r="J2237" s="77"/>
      <c r="K2237" s="79"/>
      <c r="L2237" s="49">
        <f t="shared" si="134"/>
        <v>0</v>
      </c>
      <c r="M2237" s="50">
        <f t="shared" si="135"/>
        <v>0</v>
      </c>
    </row>
    <row r="2238" spans="1:13" x14ac:dyDescent="0.2">
      <c r="A2238" s="18"/>
      <c r="B2238" s="77"/>
      <c r="C2238" s="77"/>
      <c r="D2238" s="78"/>
      <c r="E2238" s="77"/>
      <c r="F2238" s="77"/>
      <c r="G2238" s="77"/>
      <c r="H2238" s="77"/>
      <c r="I2238" s="77"/>
      <c r="J2238" s="77"/>
      <c r="K2238" s="79"/>
      <c r="L2238" s="49">
        <f t="shared" si="134"/>
        <v>0</v>
      </c>
      <c r="M2238" s="50">
        <f t="shared" si="135"/>
        <v>0</v>
      </c>
    </row>
    <row r="2239" spans="1:13" x14ac:dyDescent="0.2">
      <c r="A2239" s="18"/>
      <c r="B2239" s="77"/>
      <c r="C2239" s="77"/>
      <c r="D2239" s="78"/>
      <c r="E2239" s="77"/>
      <c r="F2239" s="77"/>
      <c r="G2239" s="77"/>
      <c r="H2239" s="77"/>
      <c r="I2239" s="77"/>
      <c r="J2239" s="77"/>
      <c r="K2239" s="79"/>
      <c r="L2239" s="49">
        <f t="shared" si="134"/>
        <v>0</v>
      </c>
      <c r="M2239" s="50">
        <f t="shared" si="135"/>
        <v>0</v>
      </c>
    </row>
    <row r="2240" spans="1:13" x14ac:dyDescent="0.2">
      <c r="A2240" s="18"/>
      <c r="B2240" s="77"/>
      <c r="C2240" s="77"/>
      <c r="D2240" s="78"/>
      <c r="E2240" s="77"/>
      <c r="F2240" s="77"/>
      <c r="G2240" s="77"/>
      <c r="H2240" s="77"/>
      <c r="I2240" s="77"/>
      <c r="J2240" s="77"/>
      <c r="K2240" s="79"/>
      <c r="L2240" s="49">
        <f t="shared" si="134"/>
        <v>0</v>
      </c>
      <c r="M2240" s="50">
        <f t="shared" si="135"/>
        <v>0</v>
      </c>
    </row>
    <row r="2241" spans="1:13" x14ac:dyDescent="0.2">
      <c r="A2241" s="18"/>
      <c r="B2241" s="77"/>
      <c r="C2241" s="77"/>
      <c r="D2241" s="78"/>
      <c r="E2241" s="77"/>
      <c r="F2241" s="77"/>
      <c r="G2241" s="77"/>
      <c r="H2241" s="77"/>
      <c r="I2241" s="77"/>
      <c r="J2241" s="77"/>
      <c r="K2241" s="79"/>
      <c r="L2241" s="49">
        <f t="shared" si="134"/>
        <v>0</v>
      </c>
      <c r="M2241" s="50">
        <f t="shared" si="135"/>
        <v>0</v>
      </c>
    </row>
    <row r="2242" spans="1:13" x14ac:dyDescent="0.2">
      <c r="A2242" s="18"/>
      <c r="B2242" s="77"/>
      <c r="C2242" s="77"/>
      <c r="D2242" s="78"/>
      <c r="E2242" s="77"/>
      <c r="F2242" s="77"/>
      <c r="G2242" s="77"/>
      <c r="H2242" s="77"/>
      <c r="I2242" s="77"/>
      <c r="J2242" s="77"/>
      <c r="K2242" s="79"/>
      <c r="L2242" s="49">
        <f t="shared" si="134"/>
        <v>0</v>
      </c>
      <c r="M2242" s="50">
        <f t="shared" si="135"/>
        <v>0</v>
      </c>
    </row>
    <row r="2243" spans="1:13" x14ac:dyDescent="0.2">
      <c r="A2243" s="18"/>
      <c r="B2243" s="77"/>
      <c r="C2243" s="77"/>
      <c r="D2243" s="78"/>
      <c r="E2243" s="77"/>
      <c r="F2243" s="77"/>
      <c r="G2243" s="77"/>
      <c r="H2243" s="77"/>
      <c r="I2243" s="77"/>
      <c r="J2243" s="77"/>
      <c r="K2243" s="79"/>
      <c r="L2243" s="49">
        <f t="shared" si="134"/>
        <v>0</v>
      </c>
      <c r="M2243" s="50">
        <f t="shared" si="135"/>
        <v>0</v>
      </c>
    </row>
    <row r="2244" spans="1:13" x14ac:dyDescent="0.2">
      <c r="A2244" s="18"/>
      <c r="B2244" s="77"/>
      <c r="C2244" s="77"/>
      <c r="D2244" s="78"/>
      <c r="E2244" s="77"/>
      <c r="F2244" s="77"/>
      <c r="G2244" s="77"/>
      <c r="H2244" s="77"/>
      <c r="I2244" s="77"/>
      <c r="J2244" s="77"/>
      <c r="K2244" s="79"/>
      <c r="L2244" s="49">
        <f t="shared" si="134"/>
        <v>0</v>
      </c>
      <c r="M2244" s="50">
        <f t="shared" si="135"/>
        <v>0</v>
      </c>
    </row>
    <row r="2245" spans="1:13" x14ac:dyDescent="0.2">
      <c r="A2245" s="18"/>
      <c r="B2245" s="77"/>
      <c r="C2245" s="77"/>
      <c r="D2245" s="78"/>
      <c r="E2245" s="77"/>
      <c r="F2245" s="77"/>
      <c r="G2245" s="77"/>
      <c r="H2245" s="77"/>
      <c r="I2245" s="77"/>
      <c r="J2245" s="77"/>
      <c r="K2245" s="79"/>
      <c r="L2245" s="49">
        <f t="shared" si="134"/>
        <v>0</v>
      </c>
      <c r="M2245" s="50">
        <f t="shared" si="135"/>
        <v>0</v>
      </c>
    </row>
    <row r="2246" spans="1:13" x14ac:dyDescent="0.2">
      <c r="A2246" s="18"/>
      <c r="B2246" s="77"/>
      <c r="C2246" s="77"/>
      <c r="D2246" s="78"/>
      <c r="E2246" s="77"/>
      <c r="F2246" s="77"/>
      <c r="G2246" s="77"/>
      <c r="H2246" s="77"/>
      <c r="I2246" s="77"/>
      <c r="J2246" s="77"/>
      <c r="K2246" s="79"/>
      <c r="L2246" s="49">
        <f t="shared" si="134"/>
        <v>0</v>
      </c>
      <c r="M2246" s="50">
        <f t="shared" si="135"/>
        <v>0</v>
      </c>
    </row>
    <row r="2247" spans="1:13" x14ac:dyDescent="0.2">
      <c r="A2247" s="18"/>
      <c r="B2247" s="77"/>
      <c r="C2247" s="77"/>
      <c r="D2247" s="78"/>
      <c r="E2247" s="77"/>
      <c r="F2247" s="77"/>
      <c r="G2247" s="77"/>
      <c r="H2247" s="77"/>
      <c r="I2247" s="77"/>
      <c r="J2247" s="77"/>
      <c r="K2247" s="79"/>
      <c r="L2247" s="49">
        <f t="shared" si="134"/>
        <v>0</v>
      </c>
      <c r="M2247" s="50">
        <f t="shared" si="135"/>
        <v>0</v>
      </c>
    </row>
    <row r="2248" spans="1:13" x14ac:dyDescent="0.2">
      <c r="A2248" s="18"/>
      <c r="B2248" s="77"/>
      <c r="C2248" s="77"/>
      <c r="D2248" s="78"/>
      <c r="E2248" s="77"/>
      <c r="F2248" s="77"/>
      <c r="G2248" s="77"/>
      <c r="H2248" s="77"/>
      <c r="I2248" s="77"/>
      <c r="J2248" s="77"/>
      <c r="K2248" s="79"/>
      <c r="L2248" s="49">
        <f t="shared" si="134"/>
        <v>0</v>
      </c>
      <c r="M2248" s="50">
        <f t="shared" si="135"/>
        <v>0</v>
      </c>
    </row>
    <row r="2249" spans="1:13" x14ac:dyDescent="0.2">
      <c r="A2249" s="18"/>
      <c r="B2249" s="77"/>
      <c r="C2249" s="77"/>
      <c r="D2249" s="78"/>
      <c r="E2249" s="77"/>
      <c r="F2249" s="77"/>
      <c r="G2249" s="77"/>
      <c r="H2249" s="77"/>
      <c r="I2249" s="77"/>
      <c r="J2249" s="77"/>
      <c r="K2249" s="79"/>
      <c r="L2249" s="49">
        <f t="shared" si="134"/>
        <v>0</v>
      </c>
      <c r="M2249" s="50">
        <f t="shared" si="135"/>
        <v>0</v>
      </c>
    </row>
    <row r="2250" spans="1:13" x14ac:dyDescent="0.2">
      <c r="A2250" s="18"/>
      <c r="B2250" s="77"/>
      <c r="C2250" s="77"/>
      <c r="D2250" s="78"/>
      <c r="E2250" s="77"/>
      <c r="F2250" s="77"/>
      <c r="G2250" s="77"/>
      <c r="H2250" s="77"/>
      <c r="I2250" s="77"/>
      <c r="J2250" s="77"/>
      <c r="K2250" s="79"/>
      <c r="L2250" s="49">
        <f t="shared" si="134"/>
        <v>0</v>
      </c>
      <c r="M2250" s="50">
        <f t="shared" si="135"/>
        <v>0</v>
      </c>
    </row>
    <row r="2251" spans="1:13" x14ac:dyDescent="0.2">
      <c r="A2251" s="18"/>
      <c r="B2251" s="77"/>
      <c r="C2251" s="77"/>
      <c r="D2251" s="78"/>
      <c r="E2251" s="77"/>
      <c r="F2251" s="77"/>
      <c r="G2251" s="77"/>
      <c r="H2251" s="77"/>
      <c r="I2251" s="77"/>
      <c r="J2251" s="77"/>
      <c r="K2251" s="79"/>
      <c r="L2251" s="49">
        <f t="shared" si="134"/>
        <v>0</v>
      </c>
      <c r="M2251" s="50">
        <f t="shared" si="135"/>
        <v>0</v>
      </c>
    </row>
    <row r="2252" spans="1:13" x14ac:dyDescent="0.2">
      <c r="A2252" s="18"/>
      <c r="B2252" s="77"/>
      <c r="C2252" s="77"/>
      <c r="D2252" s="78"/>
      <c r="E2252" s="77"/>
      <c r="F2252" s="77"/>
      <c r="G2252" s="77"/>
      <c r="H2252" s="77"/>
      <c r="I2252" s="77"/>
      <c r="J2252" s="77"/>
      <c r="K2252" s="79"/>
      <c r="L2252" s="49">
        <f t="shared" si="134"/>
        <v>0</v>
      </c>
      <c r="M2252" s="50">
        <f t="shared" si="135"/>
        <v>0</v>
      </c>
    </row>
    <row r="2253" spans="1:13" x14ac:dyDescent="0.2">
      <c r="A2253" s="18"/>
      <c r="B2253" s="77"/>
      <c r="C2253" s="77"/>
      <c r="D2253" s="78"/>
      <c r="E2253" s="77"/>
      <c r="F2253" s="77"/>
      <c r="G2253" s="77"/>
      <c r="H2253" s="77"/>
      <c r="I2253" s="77"/>
      <c r="J2253" s="77"/>
      <c r="K2253" s="79"/>
      <c r="L2253" s="49">
        <f t="shared" si="134"/>
        <v>0</v>
      </c>
      <c r="M2253" s="50">
        <f t="shared" si="135"/>
        <v>0</v>
      </c>
    </row>
    <row r="2254" spans="1:13" x14ac:dyDescent="0.2">
      <c r="A2254" s="18"/>
      <c r="B2254" s="77"/>
      <c r="C2254" s="77"/>
      <c r="D2254" s="78"/>
      <c r="E2254" s="77"/>
      <c r="F2254" s="77"/>
      <c r="G2254" s="77"/>
      <c r="H2254" s="77"/>
      <c r="I2254" s="77"/>
      <c r="J2254" s="77"/>
      <c r="K2254" s="79"/>
      <c r="L2254" s="49">
        <f t="shared" si="134"/>
        <v>0</v>
      </c>
      <c r="M2254" s="50">
        <f t="shared" si="135"/>
        <v>0</v>
      </c>
    </row>
    <row r="2255" spans="1:13" x14ac:dyDescent="0.2">
      <c r="A2255" s="18"/>
      <c r="B2255" s="77"/>
      <c r="C2255" s="77"/>
      <c r="D2255" s="78"/>
      <c r="E2255" s="77"/>
      <c r="F2255" s="77"/>
      <c r="G2255" s="77"/>
      <c r="H2255" s="77"/>
      <c r="I2255" s="77"/>
      <c r="J2255" s="77"/>
      <c r="K2255" s="79"/>
      <c r="L2255" s="49">
        <f t="shared" si="134"/>
        <v>0</v>
      </c>
      <c r="M2255" s="50">
        <f t="shared" si="135"/>
        <v>0</v>
      </c>
    </row>
    <row r="2256" spans="1:13" x14ac:dyDescent="0.2">
      <c r="A2256" s="18"/>
      <c r="B2256" s="77"/>
      <c r="C2256" s="77"/>
      <c r="D2256" s="78"/>
      <c r="E2256" s="77"/>
      <c r="F2256" s="77"/>
      <c r="G2256" s="77"/>
      <c r="H2256" s="77"/>
      <c r="I2256" s="77"/>
      <c r="J2256" s="77"/>
      <c r="K2256" s="79"/>
      <c r="L2256" s="49">
        <f t="shared" si="134"/>
        <v>0</v>
      </c>
      <c r="M2256" s="50">
        <f t="shared" si="135"/>
        <v>0</v>
      </c>
    </row>
    <row r="2257" spans="1:13" x14ac:dyDescent="0.2">
      <c r="A2257" s="18"/>
      <c r="B2257" s="77"/>
      <c r="C2257" s="77"/>
      <c r="D2257" s="78"/>
      <c r="E2257" s="77"/>
      <c r="F2257" s="77"/>
      <c r="G2257" s="77"/>
      <c r="H2257" s="77"/>
      <c r="I2257" s="77"/>
      <c r="J2257" s="77"/>
      <c r="K2257" s="79"/>
      <c r="L2257" s="49">
        <f t="shared" si="134"/>
        <v>0</v>
      </c>
      <c r="M2257" s="50">
        <f t="shared" si="135"/>
        <v>0</v>
      </c>
    </row>
    <row r="2258" spans="1:13" x14ac:dyDescent="0.2">
      <c r="A2258" s="18"/>
      <c r="B2258" s="77"/>
      <c r="C2258" s="77"/>
      <c r="D2258" s="78"/>
      <c r="E2258" s="77"/>
      <c r="F2258" s="77"/>
      <c r="G2258" s="77"/>
      <c r="H2258" s="77"/>
      <c r="I2258" s="77"/>
      <c r="J2258" s="77"/>
      <c r="K2258" s="79"/>
      <c r="L2258" s="49">
        <f t="shared" si="134"/>
        <v>0</v>
      </c>
      <c r="M2258" s="50">
        <f t="shared" si="135"/>
        <v>0</v>
      </c>
    </row>
    <row r="2259" spans="1:13" x14ac:dyDescent="0.2">
      <c r="A2259" s="18"/>
      <c r="B2259" s="77"/>
      <c r="C2259" s="77"/>
      <c r="D2259" s="78"/>
      <c r="E2259" s="77"/>
      <c r="F2259" s="77"/>
      <c r="G2259" s="77"/>
      <c r="H2259" s="77"/>
      <c r="I2259" s="77"/>
      <c r="J2259" s="77"/>
      <c r="K2259" s="79"/>
      <c r="L2259" s="49">
        <f t="shared" si="134"/>
        <v>0</v>
      </c>
      <c r="M2259" s="50">
        <f t="shared" si="135"/>
        <v>0</v>
      </c>
    </row>
    <row r="2260" spans="1:13" x14ac:dyDescent="0.2">
      <c r="A2260" s="18"/>
      <c r="B2260" s="77"/>
      <c r="C2260" s="77"/>
      <c r="D2260" s="78"/>
      <c r="E2260" s="77"/>
      <c r="F2260" s="77"/>
      <c r="G2260" s="77"/>
      <c r="H2260" s="77"/>
      <c r="I2260" s="77"/>
      <c r="J2260" s="77"/>
      <c r="K2260" s="79"/>
      <c r="L2260" s="49">
        <f t="shared" ref="L2260:L2311" si="136">+K2260*18%</f>
        <v>0</v>
      </c>
      <c r="M2260" s="50">
        <f t="shared" ref="M2260:M2311" si="137">+K2260+L2260</f>
        <v>0</v>
      </c>
    </row>
    <row r="2261" spans="1:13" x14ac:dyDescent="0.2">
      <c r="A2261" s="18"/>
      <c r="B2261" s="77"/>
      <c r="C2261" s="77"/>
      <c r="D2261" s="78"/>
      <c r="E2261" s="77"/>
      <c r="F2261" s="77"/>
      <c r="G2261" s="77"/>
      <c r="H2261" s="77"/>
      <c r="I2261" s="77"/>
      <c r="J2261" s="77"/>
      <c r="K2261" s="79"/>
      <c r="L2261" s="49">
        <f t="shared" si="136"/>
        <v>0</v>
      </c>
      <c r="M2261" s="50">
        <f t="shared" si="137"/>
        <v>0</v>
      </c>
    </row>
    <row r="2262" spans="1:13" x14ac:dyDescent="0.2">
      <c r="A2262" s="18"/>
      <c r="B2262" s="77"/>
      <c r="C2262" s="77"/>
      <c r="D2262" s="78"/>
      <c r="E2262" s="77"/>
      <c r="F2262" s="77"/>
      <c r="G2262" s="77"/>
      <c r="H2262" s="77"/>
      <c r="I2262" s="77"/>
      <c r="J2262" s="77"/>
      <c r="K2262" s="79"/>
      <c r="L2262" s="49">
        <f t="shared" si="136"/>
        <v>0</v>
      </c>
      <c r="M2262" s="50">
        <f t="shared" si="137"/>
        <v>0</v>
      </c>
    </row>
    <row r="2263" spans="1:13" x14ac:dyDescent="0.2">
      <c r="A2263" s="18"/>
      <c r="B2263" s="77"/>
      <c r="C2263" s="77"/>
      <c r="D2263" s="78"/>
      <c r="E2263" s="77"/>
      <c r="F2263" s="77"/>
      <c r="G2263" s="77"/>
      <c r="H2263" s="77"/>
      <c r="I2263" s="77"/>
      <c r="J2263" s="77"/>
      <c r="K2263" s="79"/>
      <c r="L2263" s="49">
        <f t="shared" si="136"/>
        <v>0</v>
      </c>
      <c r="M2263" s="50">
        <f t="shared" si="137"/>
        <v>0</v>
      </c>
    </row>
    <row r="2264" spans="1:13" x14ac:dyDescent="0.2">
      <c r="A2264" s="18"/>
      <c r="B2264" s="77"/>
      <c r="C2264" s="77"/>
      <c r="D2264" s="78"/>
      <c r="E2264" s="77"/>
      <c r="F2264" s="77"/>
      <c r="G2264" s="77"/>
      <c r="H2264" s="77"/>
      <c r="I2264" s="77"/>
      <c r="J2264" s="77"/>
      <c r="K2264" s="79"/>
      <c r="L2264" s="49">
        <f t="shared" si="136"/>
        <v>0</v>
      </c>
      <c r="M2264" s="50">
        <f t="shared" si="137"/>
        <v>0</v>
      </c>
    </row>
    <row r="2265" spans="1:13" x14ac:dyDescent="0.2">
      <c r="A2265" s="18"/>
      <c r="B2265" s="77"/>
      <c r="C2265" s="77"/>
      <c r="D2265" s="78"/>
      <c r="E2265" s="77"/>
      <c r="F2265" s="77"/>
      <c r="G2265" s="77"/>
      <c r="H2265" s="77"/>
      <c r="I2265" s="77"/>
      <c r="J2265" s="77"/>
      <c r="K2265" s="79"/>
      <c r="L2265" s="49">
        <f t="shared" si="136"/>
        <v>0</v>
      </c>
      <c r="M2265" s="50">
        <f t="shared" si="137"/>
        <v>0</v>
      </c>
    </row>
    <row r="2266" spans="1:13" x14ac:dyDescent="0.2">
      <c r="A2266" s="18"/>
      <c r="B2266" s="77"/>
      <c r="C2266" s="77"/>
      <c r="D2266" s="78"/>
      <c r="E2266" s="77"/>
      <c r="F2266" s="77"/>
      <c r="G2266" s="77"/>
      <c r="H2266" s="77"/>
      <c r="I2266" s="77"/>
      <c r="J2266" s="77"/>
      <c r="K2266" s="79"/>
      <c r="L2266" s="49">
        <f t="shared" si="136"/>
        <v>0</v>
      </c>
      <c r="M2266" s="50">
        <f t="shared" si="137"/>
        <v>0</v>
      </c>
    </row>
    <row r="2267" spans="1:13" x14ac:dyDescent="0.2">
      <c r="A2267" s="18"/>
      <c r="B2267" s="77"/>
      <c r="C2267" s="77"/>
      <c r="D2267" s="78"/>
      <c r="E2267" s="77"/>
      <c r="F2267" s="77"/>
      <c r="G2267" s="77"/>
      <c r="H2267" s="77"/>
      <c r="I2267" s="77"/>
      <c r="J2267" s="77"/>
      <c r="K2267" s="79"/>
      <c r="L2267" s="49">
        <f t="shared" si="136"/>
        <v>0</v>
      </c>
      <c r="M2267" s="50">
        <f t="shared" si="137"/>
        <v>0</v>
      </c>
    </row>
    <row r="2268" spans="1:13" x14ac:dyDescent="0.2">
      <c r="A2268" s="18"/>
      <c r="B2268" s="77"/>
      <c r="C2268" s="77"/>
      <c r="D2268" s="78"/>
      <c r="E2268" s="77"/>
      <c r="F2268" s="77"/>
      <c r="G2268" s="77"/>
      <c r="H2268" s="77"/>
      <c r="I2268" s="77"/>
      <c r="J2268" s="77"/>
      <c r="K2268" s="79"/>
      <c r="L2268" s="49">
        <f t="shared" si="136"/>
        <v>0</v>
      </c>
      <c r="M2268" s="50">
        <f t="shared" si="137"/>
        <v>0</v>
      </c>
    </row>
    <row r="2269" spans="1:13" x14ac:dyDescent="0.2">
      <c r="A2269" s="18"/>
      <c r="B2269" s="77"/>
      <c r="C2269" s="77"/>
      <c r="D2269" s="78"/>
      <c r="E2269" s="77"/>
      <c r="F2269" s="77"/>
      <c r="G2269" s="77"/>
      <c r="H2269" s="77"/>
      <c r="I2269" s="77"/>
      <c r="J2269" s="77"/>
      <c r="K2269" s="79"/>
      <c r="L2269" s="49">
        <f t="shared" si="136"/>
        <v>0</v>
      </c>
      <c r="M2269" s="50">
        <f t="shared" si="137"/>
        <v>0</v>
      </c>
    </row>
    <row r="2270" spans="1:13" x14ac:dyDescent="0.2">
      <c r="A2270" s="18"/>
      <c r="B2270" s="77"/>
      <c r="C2270" s="77"/>
      <c r="D2270" s="78"/>
      <c r="E2270" s="77"/>
      <c r="F2270" s="77"/>
      <c r="G2270" s="77"/>
      <c r="H2270" s="77"/>
      <c r="I2270" s="77"/>
      <c r="J2270" s="77"/>
      <c r="K2270" s="79"/>
      <c r="L2270" s="49">
        <f t="shared" si="136"/>
        <v>0</v>
      </c>
      <c r="M2270" s="50">
        <f t="shared" si="137"/>
        <v>0</v>
      </c>
    </row>
    <row r="2271" spans="1:13" x14ac:dyDescent="0.2">
      <c r="A2271" s="18"/>
      <c r="B2271" s="77"/>
      <c r="C2271" s="77"/>
      <c r="D2271" s="78"/>
      <c r="E2271" s="77"/>
      <c r="F2271" s="77"/>
      <c r="G2271" s="77"/>
      <c r="H2271" s="77"/>
      <c r="I2271" s="77"/>
      <c r="J2271" s="77"/>
      <c r="K2271" s="79"/>
      <c r="L2271" s="49">
        <f t="shared" si="136"/>
        <v>0</v>
      </c>
      <c r="M2271" s="50">
        <f t="shared" si="137"/>
        <v>0</v>
      </c>
    </row>
    <row r="2272" spans="1:13" x14ac:dyDescent="0.2">
      <c r="A2272" s="18"/>
      <c r="B2272" s="77"/>
      <c r="C2272" s="77"/>
      <c r="D2272" s="78"/>
      <c r="E2272" s="77"/>
      <c r="F2272" s="77"/>
      <c r="G2272" s="77"/>
      <c r="H2272" s="77"/>
      <c r="I2272" s="77"/>
      <c r="J2272" s="77"/>
      <c r="K2272" s="79"/>
      <c r="L2272" s="49">
        <f t="shared" si="136"/>
        <v>0</v>
      </c>
      <c r="M2272" s="50">
        <f t="shared" si="137"/>
        <v>0</v>
      </c>
    </row>
    <row r="2273" spans="1:13" x14ac:dyDescent="0.2">
      <c r="A2273" s="18"/>
      <c r="B2273" s="77"/>
      <c r="C2273" s="77"/>
      <c r="D2273" s="78"/>
      <c r="E2273" s="77"/>
      <c r="F2273" s="77"/>
      <c r="G2273" s="77"/>
      <c r="H2273" s="77"/>
      <c r="I2273" s="77"/>
      <c r="J2273" s="77"/>
      <c r="K2273" s="79"/>
      <c r="L2273" s="49">
        <f t="shared" si="136"/>
        <v>0</v>
      </c>
      <c r="M2273" s="50">
        <f t="shared" si="137"/>
        <v>0</v>
      </c>
    </row>
    <row r="2274" spans="1:13" x14ac:dyDescent="0.2">
      <c r="A2274" s="18"/>
      <c r="B2274" s="77"/>
      <c r="C2274" s="77"/>
      <c r="D2274" s="78"/>
      <c r="E2274" s="77"/>
      <c r="F2274" s="77"/>
      <c r="G2274" s="77"/>
      <c r="H2274" s="77"/>
      <c r="I2274" s="77"/>
      <c r="J2274" s="77"/>
      <c r="K2274" s="79"/>
      <c r="L2274" s="49">
        <f t="shared" si="136"/>
        <v>0</v>
      </c>
      <c r="M2274" s="50">
        <f t="shared" si="137"/>
        <v>0</v>
      </c>
    </row>
    <row r="2275" spans="1:13" x14ac:dyDescent="0.2">
      <c r="A2275" s="18"/>
      <c r="B2275" s="77"/>
      <c r="C2275" s="77"/>
      <c r="D2275" s="78"/>
      <c r="E2275" s="77"/>
      <c r="F2275" s="77"/>
      <c r="G2275" s="77"/>
      <c r="H2275" s="77"/>
      <c r="I2275" s="77"/>
      <c r="J2275" s="77"/>
      <c r="K2275" s="79"/>
      <c r="L2275" s="49">
        <f t="shared" si="136"/>
        <v>0</v>
      </c>
      <c r="M2275" s="50">
        <f t="shared" si="137"/>
        <v>0</v>
      </c>
    </row>
    <row r="2276" spans="1:13" x14ac:dyDescent="0.2">
      <c r="A2276" s="18"/>
      <c r="B2276" s="77"/>
      <c r="C2276" s="77"/>
      <c r="D2276" s="78"/>
      <c r="E2276" s="77"/>
      <c r="F2276" s="77"/>
      <c r="G2276" s="77"/>
      <c r="H2276" s="77"/>
      <c r="I2276" s="77"/>
      <c r="J2276" s="77"/>
      <c r="K2276" s="79"/>
      <c r="L2276" s="49">
        <f t="shared" si="136"/>
        <v>0</v>
      </c>
      <c r="M2276" s="50">
        <f t="shared" si="137"/>
        <v>0</v>
      </c>
    </row>
    <row r="2277" spans="1:13" x14ac:dyDescent="0.2">
      <c r="A2277" s="18"/>
      <c r="B2277" s="77"/>
      <c r="C2277" s="77"/>
      <c r="D2277" s="78"/>
      <c r="E2277" s="77"/>
      <c r="F2277" s="77"/>
      <c r="G2277" s="77"/>
      <c r="H2277" s="77"/>
      <c r="I2277" s="77"/>
      <c r="J2277" s="77"/>
      <c r="K2277" s="79"/>
      <c r="L2277" s="49">
        <f t="shared" si="136"/>
        <v>0</v>
      </c>
      <c r="M2277" s="50">
        <f t="shared" si="137"/>
        <v>0</v>
      </c>
    </row>
    <row r="2278" spans="1:13" x14ac:dyDescent="0.2">
      <c r="A2278" s="18"/>
      <c r="B2278" s="77"/>
      <c r="C2278" s="77"/>
      <c r="D2278" s="78"/>
      <c r="E2278" s="77"/>
      <c r="F2278" s="77"/>
      <c r="G2278" s="77"/>
      <c r="H2278" s="77"/>
      <c r="I2278" s="77"/>
      <c r="J2278" s="77"/>
      <c r="K2278" s="79"/>
      <c r="L2278" s="49">
        <f t="shared" si="136"/>
        <v>0</v>
      </c>
      <c r="M2278" s="50">
        <f t="shared" si="137"/>
        <v>0</v>
      </c>
    </row>
    <row r="2279" spans="1:13" x14ac:dyDescent="0.2">
      <c r="A2279" s="18"/>
      <c r="B2279" s="77"/>
      <c r="C2279" s="77"/>
      <c r="D2279" s="78"/>
      <c r="E2279" s="77"/>
      <c r="F2279" s="77"/>
      <c r="G2279" s="77"/>
      <c r="H2279" s="77"/>
      <c r="I2279" s="77"/>
      <c r="J2279" s="77"/>
      <c r="K2279" s="79"/>
      <c r="L2279" s="49">
        <f t="shared" si="136"/>
        <v>0</v>
      </c>
      <c r="M2279" s="50">
        <f t="shared" si="137"/>
        <v>0</v>
      </c>
    </row>
    <row r="2280" spans="1:13" x14ac:dyDescent="0.2">
      <c r="A2280" s="18"/>
      <c r="B2280" s="77"/>
      <c r="C2280" s="77"/>
      <c r="D2280" s="78"/>
      <c r="E2280" s="77"/>
      <c r="F2280" s="77"/>
      <c r="G2280" s="77"/>
      <c r="H2280" s="77"/>
      <c r="I2280" s="77"/>
      <c r="J2280" s="77"/>
      <c r="K2280" s="79"/>
      <c r="L2280" s="49">
        <f t="shared" si="136"/>
        <v>0</v>
      </c>
      <c r="M2280" s="50">
        <f t="shared" si="137"/>
        <v>0</v>
      </c>
    </row>
    <row r="2281" spans="1:13" x14ac:dyDescent="0.2">
      <c r="A2281" s="18"/>
      <c r="B2281" s="77"/>
      <c r="C2281" s="77"/>
      <c r="D2281" s="78"/>
      <c r="E2281" s="77"/>
      <c r="F2281" s="77"/>
      <c r="G2281" s="77"/>
      <c r="H2281" s="77"/>
      <c r="I2281" s="77"/>
      <c r="J2281" s="77"/>
      <c r="K2281" s="79"/>
      <c r="L2281" s="49">
        <f t="shared" si="136"/>
        <v>0</v>
      </c>
      <c r="M2281" s="50">
        <f t="shared" si="137"/>
        <v>0</v>
      </c>
    </row>
    <row r="2282" spans="1:13" x14ac:dyDescent="0.2">
      <c r="A2282" s="18"/>
      <c r="B2282" s="77"/>
      <c r="C2282" s="77"/>
      <c r="D2282" s="78"/>
      <c r="E2282" s="77"/>
      <c r="F2282" s="77"/>
      <c r="G2282" s="77"/>
      <c r="H2282" s="77"/>
      <c r="I2282" s="77"/>
      <c r="J2282" s="77"/>
      <c r="K2282" s="79"/>
      <c r="L2282" s="49">
        <f t="shared" si="136"/>
        <v>0</v>
      </c>
      <c r="M2282" s="50">
        <f t="shared" si="137"/>
        <v>0</v>
      </c>
    </row>
    <row r="2283" spans="1:13" x14ac:dyDescent="0.2">
      <c r="A2283" s="18"/>
      <c r="B2283" s="77"/>
      <c r="C2283" s="77"/>
      <c r="D2283" s="78"/>
      <c r="E2283" s="77"/>
      <c r="F2283" s="77"/>
      <c r="G2283" s="77"/>
      <c r="H2283" s="77"/>
      <c r="I2283" s="77"/>
      <c r="J2283" s="77"/>
      <c r="K2283" s="79"/>
      <c r="L2283" s="49">
        <f t="shared" si="136"/>
        <v>0</v>
      </c>
      <c r="M2283" s="50">
        <f t="shared" si="137"/>
        <v>0</v>
      </c>
    </row>
    <row r="2284" spans="1:13" x14ac:dyDescent="0.2">
      <c r="A2284" s="18"/>
      <c r="B2284" s="77"/>
      <c r="C2284" s="77"/>
      <c r="D2284" s="78"/>
      <c r="E2284" s="77"/>
      <c r="F2284" s="77"/>
      <c r="G2284" s="77"/>
      <c r="H2284" s="77"/>
      <c r="I2284" s="77"/>
      <c r="J2284" s="77"/>
      <c r="K2284" s="79"/>
      <c r="L2284" s="49">
        <f t="shared" si="136"/>
        <v>0</v>
      </c>
      <c r="M2284" s="50">
        <f t="shared" si="137"/>
        <v>0</v>
      </c>
    </row>
    <row r="2285" spans="1:13" x14ac:dyDescent="0.2">
      <c r="A2285" s="18"/>
      <c r="B2285" s="77"/>
      <c r="C2285" s="77"/>
      <c r="D2285" s="78"/>
      <c r="E2285" s="77"/>
      <c r="F2285" s="77"/>
      <c r="G2285" s="77"/>
      <c r="H2285" s="77"/>
      <c r="I2285" s="77"/>
      <c r="J2285" s="77"/>
      <c r="K2285" s="79"/>
      <c r="L2285" s="49">
        <f t="shared" si="136"/>
        <v>0</v>
      </c>
      <c r="M2285" s="50">
        <f t="shared" si="137"/>
        <v>0</v>
      </c>
    </row>
    <row r="2286" spans="1:13" x14ac:dyDescent="0.2">
      <c r="A2286" s="18"/>
      <c r="B2286" s="77"/>
      <c r="C2286" s="77"/>
      <c r="D2286" s="78"/>
      <c r="E2286" s="77"/>
      <c r="F2286" s="77"/>
      <c r="G2286" s="77"/>
      <c r="H2286" s="77"/>
      <c r="I2286" s="77"/>
      <c r="J2286" s="77"/>
      <c r="K2286" s="79"/>
      <c r="L2286" s="49">
        <f t="shared" si="136"/>
        <v>0</v>
      </c>
      <c r="M2286" s="50">
        <f t="shared" si="137"/>
        <v>0</v>
      </c>
    </row>
    <row r="2287" spans="1:13" x14ac:dyDescent="0.2">
      <c r="A2287" s="18"/>
      <c r="B2287" s="77"/>
      <c r="C2287" s="77"/>
      <c r="D2287" s="78"/>
      <c r="E2287" s="77"/>
      <c r="F2287" s="77"/>
      <c r="G2287" s="77"/>
      <c r="H2287" s="77"/>
      <c r="I2287" s="77"/>
      <c r="J2287" s="77"/>
      <c r="K2287" s="79"/>
      <c r="L2287" s="49">
        <f t="shared" si="136"/>
        <v>0</v>
      </c>
      <c r="M2287" s="50">
        <f t="shared" si="137"/>
        <v>0</v>
      </c>
    </row>
    <row r="2288" spans="1:13" x14ac:dyDescent="0.2">
      <c r="A2288" s="18"/>
      <c r="B2288" s="77"/>
      <c r="C2288" s="77"/>
      <c r="D2288" s="78"/>
      <c r="E2288" s="77"/>
      <c r="F2288" s="77"/>
      <c r="G2288" s="77"/>
      <c r="H2288" s="77"/>
      <c r="I2288" s="77"/>
      <c r="J2288" s="77"/>
      <c r="K2288" s="79"/>
      <c r="L2288" s="49">
        <f t="shared" si="136"/>
        <v>0</v>
      </c>
      <c r="M2288" s="50">
        <f t="shared" si="137"/>
        <v>0</v>
      </c>
    </row>
    <row r="2289" spans="1:13" x14ac:dyDescent="0.2">
      <c r="A2289" s="18"/>
      <c r="B2289" s="77"/>
      <c r="C2289" s="77"/>
      <c r="D2289" s="78"/>
      <c r="E2289" s="77"/>
      <c r="F2289" s="77"/>
      <c r="G2289" s="77"/>
      <c r="H2289" s="77"/>
      <c r="I2289" s="77"/>
      <c r="J2289" s="77"/>
      <c r="K2289" s="79"/>
      <c r="L2289" s="49">
        <f t="shared" si="136"/>
        <v>0</v>
      </c>
      <c r="M2289" s="50">
        <f t="shared" si="137"/>
        <v>0</v>
      </c>
    </row>
    <row r="2290" spans="1:13" x14ac:dyDescent="0.2">
      <c r="A2290" s="18"/>
      <c r="B2290" s="77"/>
      <c r="C2290" s="77"/>
      <c r="D2290" s="78"/>
      <c r="E2290" s="77"/>
      <c r="F2290" s="77"/>
      <c r="G2290" s="77"/>
      <c r="H2290" s="77"/>
      <c r="I2290" s="77"/>
      <c r="J2290" s="77"/>
      <c r="K2290" s="79"/>
      <c r="L2290" s="49">
        <f t="shared" si="136"/>
        <v>0</v>
      </c>
      <c r="M2290" s="50">
        <f t="shared" si="137"/>
        <v>0</v>
      </c>
    </row>
    <row r="2291" spans="1:13" x14ac:dyDescent="0.2">
      <c r="A2291" s="18"/>
      <c r="B2291" s="77"/>
      <c r="C2291" s="77"/>
      <c r="D2291" s="78"/>
      <c r="E2291" s="77"/>
      <c r="F2291" s="77"/>
      <c r="G2291" s="77"/>
      <c r="H2291" s="77"/>
      <c r="I2291" s="77"/>
      <c r="J2291" s="77"/>
      <c r="K2291" s="79"/>
      <c r="L2291" s="49">
        <f t="shared" si="136"/>
        <v>0</v>
      </c>
      <c r="M2291" s="50">
        <f t="shared" si="137"/>
        <v>0</v>
      </c>
    </row>
    <row r="2292" spans="1:13" x14ac:dyDescent="0.2">
      <c r="A2292" s="18"/>
      <c r="B2292" s="77"/>
      <c r="C2292" s="77"/>
      <c r="D2292" s="78"/>
      <c r="E2292" s="77"/>
      <c r="F2292" s="77"/>
      <c r="G2292" s="77"/>
      <c r="H2292" s="77"/>
      <c r="I2292" s="77"/>
      <c r="J2292" s="77"/>
      <c r="K2292" s="79"/>
      <c r="L2292" s="49">
        <f t="shared" si="136"/>
        <v>0</v>
      </c>
      <c r="M2292" s="50">
        <f t="shared" si="137"/>
        <v>0</v>
      </c>
    </row>
    <row r="2293" spans="1:13" x14ac:dyDescent="0.2">
      <c r="A2293" s="18"/>
      <c r="B2293" s="77"/>
      <c r="C2293" s="77"/>
      <c r="D2293" s="78"/>
      <c r="E2293" s="77"/>
      <c r="F2293" s="77"/>
      <c r="G2293" s="77"/>
      <c r="H2293" s="77"/>
      <c r="I2293" s="77"/>
      <c r="J2293" s="77"/>
      <c r="K2293" s="79"/>
      <c r="L2293" s="49">
        <f t="shared" si="136"/>
        <v>0</v>
      </c>
      <c r="M2293" s="50">
        <f t="shared" si="137"/>
        <v>0</v>
      </c>
    </row>
    <row r="2294" spans="1:13" x14ac:dyDescent="0.2">
      <c r="A2294" s="18"/>
      <c r="B2294" s="77"/>
      <c r="C2294" s="77"/>
      <c r="D2294" s="78"/>
      <c r="E2294" s="77"/>
      <c r="F2294" s="77"/>
      <c r="G2294" s="77"/>
      <c r="H2294" s="77"/>
      <c r="I2294" s="77"/>
      <c r="J2294" s="77"/>
      <c r="K2294" s="79"/>
      <c r="L2294" s="49">
        <f t="shared" si="136"/>
        <v>0</v>
      </c>
      <c r="M2294" s="50">
        <f t="shared" si="137"/>
        <v>0</v>
      </c>
    </row>
    <row r="2295" spans="1:13" x14ac:dyDescent="0.2">
      <c r="A2295" s="18"/>
      <c r="B2295" s="77"/>
      <c r="C2295" s="77"/>
      <c r="D2295" s="78"/>
      <c r="E2295" s="77"/>
      <c r="F2295" s="77"/>
      <c r="G2295" s="77"/>
      <c r="H2295" s="77"/>
      <c r="I2295" s="77"/>
      <c r="J2295" s="77"/>
      <c r="K2295" s="79"/>
      <c r="L2295" s="49">
        <f t="shared" si="136"/>
        <v>0</v>
      </c>
      <c r="M2295" s="50">
        <f t="shared" si="137"/>
        <v>0</v>
      </c>
    </row>
    <row r="2296" spans="1:13" x14ac:dyDescent="0.2">
      <c r="A2296" s="18"/>
      <c r="B2296" s="77"/>
      <c r="C2296" s="77"/>
      <c r="D2296" s="78"/>
      <c r="E2296" s="77"/>
      <c r="F2296" s="77"/>
      <c r="G2296" s="77"/>
      <c r="H2296" s="77"/>
      <c r="I2296" s="77"/>
      <c r="J2296" s="77"/>
      <c r="K2296" s="79"/>
      <c r="L2296" s="49">
        <f t="shared" si="136"/>
        <v>0</v>
      </c>
      <c r="M2296" s="50">
        <f t="shared" si="137"/>
        <v>0</v>
      </c>
    </row>
    <row r="2297" spans="1:13" x14ac:dyDescent="0.2">
      <c r="A2297" s="18"/>
      <c r="B2297" s="77"/>
      <c r="C2297" s="77"/>
      <c r="D2297" s="78"/>
      <c r="E2297" s="77"/>
      <c r="F2297" s="77"/>
      <c r="G2297" s="77"/>
      <c r="H2297" s="77"/>
      <c r="I2297" s="77"/>
      <c r="J2297" s="77"/>
      <c r="K2297" s="79"/>
      <c r="L2297" s="49">
        <f t="shared" si="136"/>
        <v>0</v>
      </c>
      <c r="M2297" s="50">
        <f t="shared" si="137"/>
        <v>0</v>
      </c>
    </row>
    <row r="2298" spans="1:13" x14ac:dyDescent="0.2">
      <c r="A2298" s="18"/>
      <c r="B2298" s="77"/>
      <c r="C2298" s="77"/>
      <c r="D2298" s="78"/>
      <c r="E2298" s="77"/>
      <c r="F2298" s="77"/>
      <c r="G2298" s="77"/>
      <c r="H2298" s="77"/>
      <c r="I2298" s="77"/>
      <c r="J2298" s="77"/>
      <c r="K2298" s="79"/>
      <c r="L2298" s="49">
        <f t="shared" si="136"/>
        <v>0</v>
      </c>
      <c r="M2298" s="50">
        <f t="shared" si="137"/>
        <v>0</v>
      </c>
    </row>
    <row r="2299" spans="1:13" x14ac:dyDescent="0.2">
      <c r="A2299" s="18"/>
      <c r="B2299" s="77"/>
      <c r="C2299" s="77"/>
      <c r="D2299" s="78"/>
      <c r="E2299" s="77"/>
      <c r="F2299" s="77"/>
      <c r="G2299" s="77"/>
      <c r="H2299" s="77"/>
      <c r="I2299" s="77"/>
      <c r="J2299" s="77"/>
      <c r="K2299" s="79"/>
      <c r="L2299" s="49">
        <f t="shared" si="136"/>
        <v>0</v>
      </c>
      <c r="M2299" s="50">
        <f t="shared" si="137"/>
        <v>0</v>
      </c>
    </row>
    <row r="2300" spans="1:13" x14ac:dyDescent="0.2">
      <c r="A2300" s="18"/>
      <c r="B2300" s="77"/>
      <c r="C2300" s="77"/>
      <c r="D2300" s="78"/>
      <c r="E2300" s="77"/>
      <c r="F2300" s="77"/>
      <c r="G2300" s="77"/>
      <c r="H2300" s="77"/>
      <c r="I2300" s="77"/>
      <c r="J2300" s="77"/>
      <c r="K2300" s="79"/>
      <c r="L2300" s="49">
        <f t="shared" si="136"/>
        <v>0</v>
      </c>
      <c r="M2300" s="50">
        <f t="shared" si="137"/>
        <v>0</v>
      </c>
    </row>
    <row r="2301" spans="1:13" x14ac:dyDescent="0.2">
      <c r="A2301" s="18"/>
      <c r="B2301" s="77"/>
      <c r="C2301" s="77"/>
      <c r="D2301" s="78"/>
      <c r="E2301" s="77"/>
      <c r="F2301" s="77"/>
      <c r="G2301" s="77"/>
      <c r="H2301" s="77"/>
      <c r="I2301" s="77"/>
      <c r="J2301" s="77"/>
      <c r="K2301" s="79"/>
      <c r="L2301" s="49">
        <f t="shared" si="136"/>
        <v>0</v>
      </c>
      <c r="M2301" s="50">
        <f t="shared" si="137"/>
        <v>0</v>
      </c>
    </row>
    <row r="2302" spans="1:13" x14ac:dyDescent="0.2">
      <c r="A2302" s="18"/>
      <c r="B2302" s="77"/>
      <c r="C2302" s="77"/>
      <c r="D2302" s="78"/>
      <c r="E2302" s="77"/>
      <c r="F2302" s="77"/>
      <c r="G2302" s="77"/>
      <c r="H2302" s="77"/>
      <c r="I2302" s="77"/>
      <c r="J2302" s="77"/>
      <c r="K2302" s="79"/>
      <c r="L2302" s="49">
        <f t="shared" si="136"/>
        <v>0</v>
      </c>
      <c r="M2302" s="50">
        <f t="shared" si="137"/>
        <v>0</v>
      </c>
    </row>
    <row r="2303" spans="1:13" x14ac:dyDescent="0.2">
      <c r="A2303" s="18"/>
      <c r="B2303" s="77"/>
      <c r="C2303" s="77"/>
      <c r="D2303" s="78"/>
      <c r="E2303" s="77"/>
      <c r="F2303" s="77"/>
      <c r="G2303" s="77"/>
      <c r="H2303" s="77"/>
      <c r="I2303" s="77"/>
      <c r="J2303" s="77"/>
      <c r="K2303" s="79"/>
      <c r="L2303" s="49">
        <f t="shared" si="136"/>
        <v>0</v>
      </c>
      <c r="M2303" s="50">
        <f t="shared" si="137"/>
        <v>0</v>
      </c>
    </row>
    <row r="2304" spans="1:13" x14ac:dyDescent="0.2">
      <c r="A2304" s="18"/>
      <c r="B2304" s="77"/>
      <c r="C2304" s="77"/>
      <c r="D2304" s="78"/>
      <c r="E2304" s="77"/>
      <c r="F2304" s="77"/>
      <c r="G2304" s="77"/>
      <c r="H2304" s="77"/>
      <c r="I2304" s="77"/>
      <c r="J2304" s="77"/>
      <c r="K2304" s="79"/>
      <c r="L2304" s="49">
        <f t="shared" si="136"/>
        <v>0</v>
      </c>
      <c r="M2304" s="50">
        <f t="shared" si="137"/>
        <v>0</v>
      </c>
    </row>
    <row r="2305" spans="1:13" x14ac:dyDescent="0.2">
      <c r="A2305" s="18"/>
      <c r="B2305" s="77"/>
      <c r="C2305" s="77"/>
      <c r="D2305" s="78"/>
      <c r="E2305" s="77"/>
      <c r="F2305" s="77"/>
      <c r="G2305" s="77"/>
      <c r="H2305" s="77"/>
      <c r="I2305" s="77"/>
      <c r="J2305" s="77"/>
      <c r="K2305" s="79"/>
      <c r="L2305" s="49">
        <f t="shared" si="136"/>
        <v>0</v>
      </c>
      <c r="M2305" s="50">
        <f t="shared" si="137"/>
        <v>0</v>
      </c>
    </row>
    <row r="2306" spans="1:13" x14ac:dyDescent="0.2">
      <c r="A2306" s="18"/>
      <c r="B2306" s="77"/>
      <c r="C2306" s="77"/>
      <c r="D2306" s="78"/>
      <c r="E2306" s="77"/>
      <c r="F2306" s="77"/>
      <c r="G2306" s="77"/>
      <c r="H2306" s="77"/>
      <c r="I2306" s="77"/>
      <c r="J2306" s="77"/>
      <c r="K2306" s="79"/>
      <c r="L2306" s="49">
        <f t="shared" si="136"/>
        <v>0</v>
      </c>
      <c r="M2306" s="50">
        <f t="shared" si="137"/>
        <v>0</v>
      </c>
    </row>
    <row r="2307" spans="1:13" x14ac:dyDescent="0.2">
      <c r="A2307" s="18"/>
      <c r="B2307" s="77"/>
      <c r="C2307" s="77"/>
      <c r="D2307" s="78"/>
      <c r="E2307" s="77"/>
      <c r="F2307" s="77"/>
      <c r="G2307" s="77"/>
      <c r="H2307" s="77"/>
      <c r="I2307" s="77"/>
      <c r="J2307" s="77"/>
      <c r="K2307" s="79"/>
      <c r="L2307" s="49">
        <f t="shared" si="136"/>
        <v>0</v>
      </c>
      <c r="M2307" s="50">
        <f t="shared" si="137"/>
        <v>0</v>
      </c>
    </row>
    <row r="2308" spans="1:13" x14ac:dyDescent="0.2">
      <c r="A2308" s="18"/>
      <c r="B2308" s="77"/>
      <c r="C2308" s="77"/>
      <c r="D2308" s="78"/>
      <c r="E2308" s="77"/>
      <c r="F2308" s="77"/>
      <c r="G2308" s="77"/>
      <c r="H2308" s="77"/>
      <c r="I2308" s="77"/>
      <c r="J2308" s="77"/>
      <c r="K2308" s="79"/>
      <c r="L2308" s="49">
        <f t="shared" si="136"/>
        <v>0</v>
      </c>
      <c r="M2308" s="50">
        <f t="shared" si="137"/>
        <v>0</v>
      </c>
    </row>
    <row r="2309" spans="1:13" x14ac:dyDescent="0.2">
      <c r="A2309" s="18"/>
      <c r="B2309" s="77"/>
      <c r="C2309" s="77"/>
      <c r="D2309" s="78"/>
      <c r="E2309" s="77"/>
      <c r="F2309" s="77"/>
      <c r="G2309" s="77"/>
      <c r="H2309" s="77"/>
      <c r="I2309" s="77"/>
      <c r="J2309" s="77"/>
      <c r="K2309" s="79"/>
      <c r="L2309" s="49">
        <f t="shared" si="136"/>
        <v>0</v>
      </c>
      <c r="M2309" s="50">
        <f t="shared" si="137"/>
        <v>0</v>
      </c>
    </row>
    <row r="2310" spans="1:13" x14ac:dyDescent="0.2">
      <c r="A2310" s="18"/>
      <c r="B2310" s="77"/>
      <c r="C2310" s="77"/>
      <c r="D2310" s="78"/>
      <c r="E2310" s="77"/>
      <c r="F2310" s="77"/>
      <c r="G2310" s="77"/>
      <c r="H2310" s="77"/>
      <c r="I2310" s="77"/>
      <c r="J2310" s="77"/>
      <c r="K2310" s="79"/>
      <c r="L2310" s="49">
        <f t="shared" si="136"/>
        <v>0</v>
      </c>
      <c r="M2310" s="50">
        <f t="shared" si="137"/>
        <v>0</v>
      </c>
    </row>
    <row r="2311" spans="1:13" x14ac:dyDescent="0.2">
      <c r="A2311" s="18"/>
      <c r="B2311" s="77"/>
      <c r="C2311" s="77"/>
      <c r="D2311" s="78"/>
      <c r="E2311" s="77"/>
      <c r="F2311" s="77"/>
      <c r="G2311" s="77"/>
      <c r="H2311" s="77"/>
      <c r="I2311" s="77"/>
      <c r="J2311" s="77"/>
      <c r="K2311" s="79"/>
      <c r="L2311" s="49">
        <f t="shared" si="136"/>
        <v>0</v>
      </c>
      <c r="M2311" s="50">
        <f t="shared" si="137"/>
        <v>0</v>
      </c>
    </row>
    <row r="2312" spans="1:13" x14ac:dyDescent="0.2">
      <c r="A2312" s="18"/>
      <c r="B2312" s="77"/>
      <c r="C2312" s="77"/>
      <c r="D2312" s="78"/>
      <c r="E2312" s="77"/>
      <c r="F2312" s="77"/>
      <c r="G2312" s="77"/>
      <c r="H2312" s="77"/>
      <c r="I2312" s="77"/>
      <c r="J2312" s="77"/>
      <c r="K2312" s="79"/>
      <c r="L2312" s="49">
        <f t="shared" ref="L2312:L2375" si="138">+K2312*18%</f>
        <v>0</v>
      </c>
      <c r="M2312" s="50">
        <f t="shared" ref="M2312:M2375" si="139">+K2312+L2312</f>
        <v>0</v>
      </c>
    </row>
    <row r="2313" spans="1:13" x14ac:dyDescent="0.2">
      <c r="A2313" s="18"/>
      <c r="B2313" s="77"/>
      <c r="C2313" s="77"/>
      <c r="D2313" s="78"/>
      <c r="E2313" s="77"/>
      <c r="F2313" s="77"/>
      <c r="G2313" s="77"/>
      <c r="H2313" s="77"/>
      <c r="I2313" s="77"/>
      <c r="J2313" s="77"/>
      <c r="K2313" s="79"/>
      <c r="L2313" s="49">
        <f t="shared" si="138"/>
        <v>0</v>
      </c>
      <c r="M2313" s="50">
        <f t="shared" si="139"/>
        <v>0</v>
      </c>
    </row>
    <row r="2314" spans="1:13" x14ac:dyDescent="0.2">
      <c r="A2314" s="18"/>
      <c r="B2314" s="77"/>
      <c r="C2314" s="77"/>
      <c r="D2314" s="78"/>
      <c r="E2314" s="77"/>
      <c r="F2314" s="77"/>
      <c r="G2314" s="77"/>
      <c r="H2314" s="77"/>
      <c r="I2314" s="77"/>
      <c r="J2314" s="77"/>
      <c r="K2314" s="79"/>
      <c r="L2314" s="49">
        <f t="shared" si="138"/>
        <v>0</v>
      </c>
      <c r="M2314" s="50">
        <f t="shared" si="139"/>
        <v>0</v>
      </c>
    </row>
    <row r="2315" spans="1:13" x14ac:dyDescent="0.2">
      <c r="A2315" s="18"/>
      <c r="B2315" s="77"/>
      <c r="C2315" s="77"/>
      <c r="D2315" s="78"/>
      <c r="E2315" s="77"/>
      <c r="F2315" s="77"/>
      <c r="G2315" s="77"/>
      <c r="H2315" s="77"/>
      <c r="I2315" s="77"/>
      <c r="J2315" s="77"/>
      <c r="K2315" s="79"/>
      <c r="L2315" s="49">
        <f t="shared" si="138"/>
        <v>0</v>
      </c>
      <c r="M2315" s="50">
        <f t="shared" si="139"/>
        <v>0</v>
      </c>
    </row>
    <row r="2316" spans="1:13" x14ac:dyDescent="0.2">
      <c r="A2316" s="18"/>
      <c r="B2316" s="77"/>
      <c r="C2316" s="77"/>
      <c r="D2316" s="78"/>
      <c r="E2316" s="77"/>
      <c r="F2316" s="77"/>
      <c r="G2316" s="77"/>
      <c r="H2316" s="77"/>
      <c r="I2316" s="77"/>
      <c r="J2316" s="77"/>
      <c r="K2316" s="79"/>
      <c r="L2316" s="49">
        <f t="shared" si="138"/>
        <v>0</v>
      </c>
      <c r="M2316" s="50">
        <f t="shared" si="139"/>
        <v>0</v>
      </c>
    </row>
    <row r="2317" spans="1:13" x14ac:dyDescent="0.2">
      <c r="A2317" s="18"/>
      <c r="B2317" s="77"/>
      <c r="C2317" s="77"/>
      <c r="D2317" s="78"/>
      <c r="E2317" s="77"/>
      <c r="F2317" s="77"/>
      <c r="G2317" s="77"/>
      <c r="H2317" s="77"/>
      <c r="I2317" s="77"/>
      <c r="J2317" s="77"/>
      <c r="K2317" s="79"/>
      <c r="L2317" s="49">
        <f t="shared" si="138"/>
        <v>0</v>
      </c>
      <c r="M2317" s="50">
        <f t="shared" si="139"/>
        <v>0</v>
      </c>
    </row>
    <row r="2318" spans="1:13" x14ac:dyDescent="0.2">
      <c r="A2318" s="18"/>
      <c r="B2318" s="77"/>
      <c r="C2318" s="77"/>
      <c r="D2318" s="78"/>
      <c r="E2318" s="77"/>
      <c r="F2318" s="77"/>
      <c r="G2318" s="77"/>
      <c r="H2318" s="77"/>
      <c r="I2318" s="77"/>
      <c r="J2318" s="77"/>
      <c r="K2318" s="79"/>
      <c r="L2318" s="49">
        <f t="shared" si="138"/>
        <v>0</v>
      </c>
      <c r="M2318" s="50">
        <f t="shared" si="139"/>
        <v>0</v>
      </c>
    </row>
    <row r="2319" spans="1:13" x14ac:dyDescent="0.2">
      <c r="A2319" s="18"/>
      <c r="B2319" s="77"/>
      <c r="C2319" s="77"/>
      <c r="D2319" s="78"/>
      <c r="E2319" s="77"/>
      <c r="F2319" s="77"/>
      <c r="G2319" s="77"/>
      <c r="H2319" s="77"/>
      <c r="I2319" s="77"/>
      <c r="J2319" s="77"/>
      <c r="K2319" s="79"/>
      <c r="L2319" s="49">
        <f t="shared" si="138"/>
        <v>0</v>
      </c>
      <c r="M2319" s="50">
        <f t="shared" si="139"/>
        <v>0</v>
      </c>
    </row>
    <row r="2320" spans="1:13" x14ac:dyDescent="0.2">
      <c r="A2320" s="18"/>
      <c r="B2320" s="77"/>
      <c r="C2320" s="77"/>
      <c r="D2320" s="78"/>
      <c r="E2320" s="77"/>
      <c r="F2320" s="77"/>
      <c r="G2320" s="77"/>
      <c r="H2320" s="77"/>
      <c r="I2320" s="77"/>
      <c r="J2320" s="77"/>
      <c r="K2320" s="79"/>
      <c r="L2320" s="49">
        <f t="shared" si="138"/>
        <v>0</v>
      </c>
      <c r="M2320" s="50">
        <f t="shared" si="139"/>
        <v>0</v>
      </c>
    </row>
    <row r="2321" spans="1:13" x14ac:dyDescent="0.2">
      <c r="A2321" s="18"/>
      <c r="B2321" s="77"/>
      <c r="C2321" s="77"/>
      <c r="D2321" s="78"/>
      <c r="E2321" s="77"/>
      <c r="F2321" s="77"/>
      <c r="G2321" s="77"/>
      <c r="H2321" s="77"/>
      <c r="I2321" s="77"/>
      <c r="J2321" s="77"/>
      <c r="K2321" s="79"/>
      <c r="L2321" s="49">
        <f t="shared" si="138"/>
        <v>0</v>
      </c>
      <c r="M2321" s="50">
        <f t="shared" si="139"/>
        <v>0</v>
      </c>
    </row>
    <row r="2322" spans="1:13" x14ac:dyDescent="0.2">
      <c r="A2322" s="18"/>
      <c r="B2322" s="77"/>
      <c r="C2322" s="77"/>
      <c r="D2322" s="78"/>
      <c r="E2322" s="77"/>
      <c r="F2322" s="77"/>
      <c r="G2322" s="77"/>
      <c r="H2322" s="77"/>
      <c r="I2322" s="77"/>
      <c r="J2322" s="77"/>
      <c r="K2322" s="79"/>
      <c r="L2322" s="49">
        <f t="shared" si="138"/>
        <v>0</v>
      </c>
      <c r="M2322" s="50">
        <f t="shared" si="139"/>
        <v>0</v>
      </c>
    </row>
    <row r="2323" spans="1:13" x14ac:dyDescent="0.2">
      <c r="A2323" s="18"/>
      <c r="B2323" s="77"/>
      <c r="C2323" s="77"/>
      <c r="D2323" s="78"/>
      <c r="E2323" s="77"/>
      <c r="F2323" s="77"/>
      <c r="G2323" s="77"/>
      <c r="H2323" s="77"/>
      <c r="I2323" s="77"/>
      <c r="J2323" s="77"/>
      <c r="K2323" s="79"/>
      <c r="L2323" s="49">
        <f t="shared" si="138"/>
        <v>0</v>
      </c>
      <c r="M2323" s="50">
        <f t="shared" si="139"/>
        <v>0</v>
      </c>
    </row>
    <row r="2324" spans="1:13" x14ac:dyDescent="0.2">
      <c r="A2324" s="18"/>
      <c r="B2324" s="77"/>
      <c r="C2324" s="77"/>
      <c r="D2324" s="78"/>
      <c r="E2324" s="77"/>
      <c r="F2324" s="77"/>
      <c r="G2324" s="77"/>
      <c r="H2324" s="77"/>
      <c r="I2324" s="77"/>
      <c r="J2324" s="77"/>
      <c r="K2324" s="79"/>
      <c r="L2324" s="49">
        <f t="shared" si="138"/>
        <v>0</v>
      </c>
      <c r="M2324" s="50">
        <f t="shared" si="139"/>
        <v>0</v>
      </c>
    </row>
    <row r="2325" spans="1:13" x14ac:dyDescent="0.2">
      <c r="A2325" s="18"/>
      <c r="B2325" s="77"/>
      <c r="C2325" s="77"/>
      <c r="D2325" s="78"/>
      <c r="E2325" s="77"/>
      <c r="F2325" s="77"/>
      <c r="G2325" s="77"/>
      <c r="H2325" s="77"/>
      <c r="I2325" s="77"/>
      <c r="J2325" s="77"/>
      <c r="K2325" s="79"/>
      <c r="L2325" s="49">
        <f t="shared" si="138"/>
        <v>0</v>
      </c>
      <c r="M2325" s="50">
        <f t="shared" si="139"/>
        <v>0</v>
      </c>
    </row>
    <row r="2326" spans="1:13" x14ac:dyDescent="0.2">
      <c r="A2326" s="18"/>
      <c r="B2326" s="77"/>
      <c r="C2326" s="77"/>
      <c r="D2326" s="78"/>
      <c r="E2326" s="77"/>
      <c r="F2326" s="77"/>
      <c r="G2326" s="77"/>
      <c r="H2326" s="77"/>
      <c r="I2326" s="77"/>
      <c r="J2326" s="77"/>
      <c r="K2326" s="79"/>
      <c r="L2326" s="49">
        <f t="shared" si="138"/>
        <v>0</v>
      </c>
      <c r="M2326" s="50">
        <f t="shared" si="139"/>
        <v>0</v>
      </c>
    </row>
    <row r="2327" spans="1:13" x14ac:dyDescent="0.2">
      <c r="A2327" s="18"/>
      <c r="B2327" s="77"/>
      <c r="C2327" s="77"/>
      <c r="D2327" s="78"/>
      <c r="E2327" s="77"/>
      <c r="F2327" s="77"/>
      <c r="G2327" s="77"/>
      <c r="H2327" s="77"/>
      <c r="I2327" s="77"/>
      <c r="J2327" s="77"/>
      <c r="K2327" s="79"/>
      <c r="L2327" s="49">
        <f t="shared" si="138"/>
        <v>0</v>
      </c>
      <c r="M2327" s="50">
        <f t="shared" si="139"/>
        <v>0</v>
      </c>
    </row>
    <row r="2328" spans="1:13" x14ac:dyDescent="0.2">
      <c r="A2328" s="18"/>
      <c r="B2328" s="77"/>
      <c r="C2328" s="77"/>
      <c r="D2328" s="78"/>
      <c r="E2328" s="77"/>
      <c r="F2328" s="77"/>
      <c r="G2328" s="77"/>
      <c r="H2328" s="77"/>
      <c r="I2328" s="77"/>
      <c r="J2328" s="77"/>
      <c r="K2328" s="79"/>
      <c r="L2328" s="49">
        <f t="shared" si="138"/>
        <v>0</v>
      </c>
      <c r="M2328" s="50">
        <f t="shared" si="139"/>
        <v>0</v>
      </c>
    </row>
    <row r="2329" spans="1:13" x14ac:dyDescent="0.2">
      <c r="A2329" s="18"/>
      <c r="B2329" s="77"/>
      <c r="C2329" s="77"/>
      <c r="D2329" s="78"/>
      <c r="E2329" s="77"/>
      <c r="F2329" s="77"/>
      <c r="G2329" s="77"/>
      <c r="H2329" s="77"/>
      <c r="I2329" s="77"/>
      <c r="J2329" s="77"/>
      <c r="K2329" s="79"/>
      <c r="L2329" s="49">
        <f t="shared" si="138"/>
        <v>0</v>
      </c>
      <c r="M2329" s="50">
        <f t="shared" si="139"/>
        <v>0</v>
      </c>
    </row>
    <row r="2330" spans="1:13" x14ac:dyDescent="0.2">
      <c r="A2330" s="18"/>
      <c r="B2330" s="77"/>
      <c r="C2330" s="77"/>
      <c r="D2330" s="78"/>
      <c r="E2330" s="77"/>
      <c r="F2330" s="77"/>
      <c r="G2330" s="77"/>
      <c r="H2330" s="77"/>
      <c r="I2330" s="77"/>
      <c r="J2330" s="77"/>
      <c r="K2330" s="79"/>
      <c r="L2330" s="49">
        <f t="shared" si="138"/>
        <v>0</v>
      </c>
      <c r="M2330" s="50">
        <f t="shared" si="139"/>
        <v>0</v>
      </c>
    </row>
    <row r="2331" spans="1:13" x14ac:dyDescent="0.2">
      <c r="A2331" s="18"/>
      <c r="B2331" s="77"/>
      <c r="C2331" s="77"/>
      <c r="D2331" s="78"/>
      <c r="E2331" s="77"/>
      <c r="F2331" s="77"/>
      <c r="G2331" s="77"/>
      <c r="H2331" s="77"/>
      <c r="I2331" s="77"/>
      <c r="J2331" s="77"/>
      <c r="K2331" s="79"/>
      <c r="L2331" s="49">
        <f t="shared" si="138"/>
        <v>0</v>
      </c>
      <c r="M2331" s="50">
        <f t="shared" si="139"/>
        <v>0</v>
      </c>
    </row>
    <row r="2332" spans="1:13" x14ac:dyDescent="0.2">
      <c r="A2332" s="18"/>
      <c r="B2332" s="77"/>
      <c r="C2332" s="77"/>
      <c r="D2332" s="78"/>
      <c r="E2332" s="77"/>
      <c r="F2332" s="77"/>
      <c r="G2332" s="77"/>
      <c r="H2332" s="77"/>
      <c r="I2332" s="77"/>
      <c r="J2332" s="77"/>
      <c r="K2332" s="79"/>
      <c r="L2332" s="49">
        <f t="shared" si="138"/>
        <v>0</v>
      </c>
      <c r="M2332" s="50">
        <f t="shared" si="139"/>
        <v>0</v>
      </c>
    </row>
    <row r="2333" spans="1:13" x14ac:dyDescent="0.2">
      <c r="A2333" s="18"/>
      <c r="B2333" s="77"/>
      <c r="C2333" s="77"/>
      <c r="D2333" s="78"/>
      <c r="E2333" s="77"/>
      <c r="F2333" s="77"/>
      <c r="G2333" s="77"/>
      <c r="H2333" s="77"/>
      <c r="I2333" s="77"/>
      <c r="J2333" s="77"/>
      <c r="K2333" s="79"/>
      <c r="L2333" s="49">
        <f t="shared" si="138"/>
        <v>0</v>
      </c>
      <c r="M2333" s="50">
        <f t="shared" si="139"/>
        <v>0</v>
      </c>
    </row>
    <row r="2334" spans="1:13" x14ac:dyDescent="0.2">
      <c r="A2334" s="18"/>
      <c r="B2334" s="77"/>
      <c r="C2334" s="77"/>
      <c r="D2334" s="78"/>
      <c r="E2334" s="77"/>
      <c r="F2334" s="77"/>
      <c r="G2334" s="77"/>
      <c r="H2334" s="77"/>
      <c r="I2334" s="77"/>
      <c r="J2334" s="77"/>
      <c r="K2334" s="79"/>
      <c r="L2334" s="49">
        <f t="shared" si="138"/>
        <v>0</v>
      </c>
      <c r="M2334" s="50">
        <f t="shared" si="139"/>
        <v>0</v>
      </c>
    </row>
    <row r="2335" spans="1:13" x14ac:dyDescent="0.2">
      <c r="A2335" s="18"/>
      <c r="B2335" s="77"/>
      <c r="C2335" s="77"/>
      <c r="D2335" s="78"/>
      <c r="E2335" s="77"/>
      <c r="F2335" s="77"/>
      <c r="G2335" s="77"/>
      <c r="H2335" s="77"/>
      <c r="I2335" s="77"/>
      <c r="J2335" s="77"/>
      <c r="K2335" s="79"/>
      <c r="L2335" s="49">
        <f t="shared" si="138"/>
        <v>0</v>
      </c>
      <c r="M2335" s="50">
        <f t="shared" si="139"/>
        <v>0</v>
      </c>
    </row>
    <row r="2336" spans="1:13" x14ac:dyDescent="0.2">
      <c r="A2336" s="18"/>
      <c r="B2336" s="77"/>
      <c r="C2336" s="77"/>
      <c r="D2336" s="78"/>
      <c r="E2336" s="77"/>
      <c r="F2336" s="77"/>
      <c r="G2336" s="77"/>
      <c r="H2336" s="77"/>
      <c r="I2336" s="77"/>
      <c r="J2336" s="77"/>
      <c r="K2336" s="79"/>
      <c r="L2336" s="49">
        <f t="shared" si="138"/>
        <v>0</v>
      </c>
      <c r="M2336" s="50">
        <f t="shared" si="139"/>
        <v>0</v>
      </c>
    </row>
    <row r="2337" spans="1:13" x14ac:dyDescent="0.2">
      <c r="A2337" s="18"/>
      <c r="B2337" s="77"/>
      <c r="C2337" s="77"/>
      <c r="D2337" s="78"/>
      <c r="E2337" s="77"/>
      <c r="F2337" s="77"/>
      <c r="G2337" s="77"/>
      <c r="H2337" s="77"/>
      <c r="I2337" s="77"/>
      <c r="J2337" s="77"/>
      <c r="K2337" s="79"/>
      <c r="L2337" s="49">
        <f t="shared" si="138"/>
        <v>0</v>
      </c>
      <c r="M2337" s="50">
        <f t="shared" si="139"/>
        <v>0</v>
      </c>
    </row>
    <row r="2338" spans="1:13" x14ac:dyDescent="0.2">
      <c r="A2338" s="18"/>
      <c r="B2338" s="77"/>
      <c r="C2338" s="77"/>
      <c r="D2338" s="78"/>
      <c r="E2338" s="77"/>
      <c r="F2338" s="77"/>
      <c r="G2338" s="77"/>
      <c r="H2338" s="77"/>
      <c r="I2338" s="77"/>
      <c r="J2338" s="77"/>
      <c r="K2338" s="79"/>
      <c r="L2338" s="49">
        <f t="shared" si="138"/>
        <v>0</v>
      </c>
      <c r="M2338" s="50">
        <f t="shared" si="139"/>
        <v>0</v>
      </c>
    </row>
    <row r="2339" spans="1:13" x14ac:dyDescent="0.2">
      <c r="A2339" s="18"/>
      <c r="B2339" s="77"/>
      <c r="C2339" s="77"/>
      <c r="D2339" s="78"/>
      <c r="E2339" s="77"/>
      <c r="F2339" s="77"/>
      <c r="G2339" s="77"/>
      <c r="H2339" s="77"/>
      <c r="I2339" s="77"/>
      <c r="J2339" s="77"/>
      <c r="K2339" s="79"/>
      <c r="L2339" s="49">
        <f t="shared" si="138"/>
        <v>0</v>
      </c>
      <c r="M2339" s="50">
        <f t="shared" si="139"/>
        <v>0</v>
      </c>
    </row>
    <row r="2340" spans="1:13" x14ac:dyDescent="0.2">
      <c r="A2340" s="18"/>
      <c r="B2340" s="77"/>
      <c r="C2340" s="77"/>
      <c r="D2340" s="78"/>
      <c r="E2340" s="77"/>
      <c r="F2340" s="77"/>
      <c r="G2340" s="77"/>
      <c r="H2340" s="77"/>
      <c r="I2340" s="77"/>
      <c r="J2340" s="77"/>
      <c r="K2340" s="79"/>
      <c r="L2340" s="49">
        <f t="shared" si="138"/>
        <v>0</v>
      </c>
      <c r="M2340" s="50">
        <f t="shared" si="139"/>
        <v>0</v>
      </c>
    </row>
    <row r="2341" spans="1:13" x14ac:dyDescent="0.2">
      <c r="A2341" s="18"/>
      <c r="B2341" s="77"/>
      <c r="C2341" s="77"/>
      <c r="D2341" s="78"/>
      <c r="E2341" s="77"/>
      <c r="F2341" s="77"/>
      <c r="G2341" s="77"/>
      <c r="H2341" s="77"/>
      <c r="I2341" s="77"/>
      <c r="J2341" s="77"/>
      <c r="K2341" s="79"/>
      <c r="L2341" s="49">
        <f t="shared" si="138"/>
        <v>0</v>
      </c>
      <c r="M2341" s="50">
        <f t="shared" si="139"/>
        <v>0</v>
      </c>
    </row>
    <row r="2342" spans="1:13" x14ac:dyDescent="0.2">
      <c r="A2342" s="18"/>
      <c r="B2342" s="77"/>
      <c r="C2342" s="77"/>
      <c r="D2342" s="78"/>
      <c r="E2342" s="77"/>
      <c r="F2342" s="77"/>
      <c r="G2342" s="77"/>
      <c r="H2342" s="77"/>
      <c r="I2342" s="77"/>
      <c r="J2342" s="77"/>
      <c r="K2342" s="79"/>
      <c r="L2342" s="49">
        <f t="shared" si="138"/>
        <v>0</v>
      </c>
      <c r="M2342" s="50">
        <f t="shared" si="139"/>
        <v>0</v>
      </c>
    </row>
    <row r="2343" spans="1:13" x14ac:dyDescent="0.2">
      <c r="A2343" s="18"/>
      <c r="B2343" s="77"/>
      <c r="C2343" s="77"/>
      <c r="D2343" s="78"/>
      <c r="E2343" s="77"/>
      <c r="F2343" s="77"/>
      <c r="G2343" s="77"/>
      <c r="H2343" s="77"/>
      <c r="I2343" s="77"/>
      <c r="J2343" s="77"/>
      <c r="K2343" s="79"/>
      <c r="L2343" s="49">
        <f t="shared" si="138"/>
        <v>0</v>
      </c>
      <c r="M2343" s="50">
        <f t="shared" si="139"/>
        <v>0</v>
      </c>
    </row>
    <row r="2344" spans="1:13" x14ac:dyDescent="0.2">
      <c r="A2344" s="18"/>
      <c r="B2344" s="77"/>
      <c r="C2344" s="77"/>
      <c r="D2344" s="78"/>
      <c r="E2344" s="77"/>
      <c r="F2344" s="77"/>
      <c r="G2344" s="77"/>
      <c r="H2344" s="77"/>
      <c r="I2344" s="77"/>
      <c r="J2344" s="77"/>
      <c r="K2344" s="79"/>
      <c r="L2344" s="49">
        <f t="shared" si="138"/>
        <v>0</v>
      </c>
      <c r="M2344" s="50">
        <f t="shared" si="139"/>
        <v>0</v>
      </c>
    </row>
    <row r="2345" spans="1:13" x14ac:dyDescent="0.2">
      <c r="A2345" s="18"/>
      <c r="B2345" s="77"/>
      <c r="C2345" s="77"/>
      <c r="D2345" s="78"/>
      <c r="E2345" s="77"/>
      <c r="F2345" s="77"/>
      <c r="G2345" s="77"/>
      <c r="H2345" s="77"/>
      <c r="I2345" s="77"/>
      <c r="J2345" s="77"/>
      <c r="K2345" s="79"/>
      <c r="L2345" s="49">
        <f t="shared" si="138"/>
        <v>0</v>
      </c>
      <c r="M2345" s="50">
        <f t="shared" si="139"/>
        <v>0</v>
      </c>
    </row>
    <row r="2346" spans="1:13" x14ac:dyDescent="0.2">
      <c r="A2346" s="18"/>
      <c r="B2346" s="77"/>
      <c r="C2346" s="77"/>
      <c r="D2346" s="78"/>
      <c r="E2346" s="77"/>
      <c r="F2346" s="77"/>
      <c r="G2346" s="77"/>
      <c r="H2346" s="77"/>
      <c r="I2346" s="77"/>
      <c r="J2346" s="77"/>
      <c r="K2346" s="79"/>
      <c r="L2346" s="49">
        <f t="shared" si="138"/>
        <v>0</v>
      </c>
      <c r="M2346" s="50">
        <f t="shared" si="139"/>
        <v>0</v>
      </c>
    </row>
    <row r="2347" spans="1:13" x14ac:dyDescent="0.2">
      <c r="A2347" s="18"/>
      <c r="B2347" s="77"/>
      <c r="C2347" s="77"/>
      <c r="D2347" s="78"/>
      <c r="E2347" s="77"/>
      <c r="F2347" s="77"/>
      <c r="G2347" s="77"/>
      <c r="H2347" s="77"/>
      <c r="I2347" s="77"/>
      <c r="J2347" s="77"/>
      <c r="K2347" s="79"/>
      <c r="L2347" s="49">
        <f t="shared" si="138"/>
        <v>0</v>
      </c>
      <c r="M2347" s="50">
        <f t="shared" si="139"/>
        <v>0</v>
      </c>
    </row>
    <row r="2348" spans="1:13" x14ac:dyDescent="0.2">
      <c r="A2348" s="18"/>
      <c r="B2348" s="77"/>
      <c r="C2348" s="77"/>
      <c r="D2348" s="78"/>
      <c r="E2348" s="77"/>
      <c r="F2348" s="77"/>
      <c r="G2348" s="77"/>
      <c r="H2348" s="77"/>
      <c r="I2348" s="77"/>
      <c r="J2348" s="77"/>
      <c r="K2348" s="79"/>
      <c r="L2348" s="49">
        <f t="shared" si="138"/>
        <v>0</v>
      </c>
      <c r="M2348" s="50">
        <f t="shared" si="139"/>
        <v>0</v>
      </c>
    </row>
    <row r="2349" spans="1:13" x14ac:dyDescent="0.2">
      <c r="A2349" s="18"/>
      <c r="B2349" s="77"/>
      <c r="C2349" s="77"/>
      <c r="D2349" s="78"/>
      <c r="E2349" s="77"/>
      <c r="F2349" s="77"/>
      <c r="G2349" s="77"/>
      <c r="H2349" s="77"/>
      <c r="I2349" s="77"/>
      <c r="J2349" s="77"/>
      <c r="K2349" s="79"/>
      <c r="L2349" s="49">
        <f t="shared" si="138"/>
        <v>0</v>
      </c>
      <c r="M2349" s="50">
        <f t="shared" si="139"/>
        <v>0</v>
      </c>
    </row>
    <row r="2350" spans="1:13" x14ac:dyDescent="0.2">
      <c r="A2350" s="18"/>
      <c r="B2350" s="77"/>
      <c r="C2350" s="77"/>
      <c r="D2350" s="78"/>
      <c r="E2350" s="77"/>
      <c r="F2350" s="77"/>
      <c r="G2350" s="77"/>
      <c r="H2350" s="77"/>
      <c r="I2350" s="77"/>
      <c r="J2350" s="77"/>
      <c r="K2350" s="79"/>
      <c r="L2350" s="49">
        <f t="shared" si="138"/>
        <v>0</v>
      </c>
      <c r="M2350" s="50">
        <f t="shared" si="139"/>
        <v>0</v>
      </c>
    </row>
    <row r="2351" spans="1:13" x14ac:dyDescent="0.2">
      <c r="A2351" s="18"/>
      <c r="B2351" s="77"/>
      <c r="C2351" s="77"/>
      <c r="D2351" s="78"/>
      <c r="E2351" s="77"/>
      <c r="F2351" s="77"/>
      <c r="G2351" s="77"/>
      <c r="H2351" s="77"/>
      <c r="I2351" s="77"/>
      <c r="J2351" s="77"/>
      <c r="K2351" s="79"/>
      <c r="L2351" s="49">
        <f t="shared" si="138"/>
        <v>0</v>
      </c>
      <c r="M2351" s="50">
        <f t="shared" si="139"/>
        <v>0</v>
      </c>
    </row>
    <row r="2352" spans="1:13" x14ac:dyDescent="0.2">
      <c r="A2352" s="18"/>
      <c r="B2352" s="77"/>
      <c r="C2352" s="77"/>
      <c r="D2352" s="78"/>
      <c r="E2352" s="77"/>
      <c r="F2352" s="77"/>
      <c r="G2352" s="77"/>
      <c r="H2352" s="77"/>
      <c r="I2352" s="77"/>
      <c r="J2352" s="77"/>
      <c r="K2352" s="79"/>
      <c r="L2352" s="49">
        <f t="shared" si="138"/>
        <v>0</v>
      </c>
      <c r="M2352" s="50">
        <f t="shared" si="139"/>
        <v>0</v>
      </c>
    </row>
    <row r="2353" spans="1:13" x14ac:dyDescent="0.2">
      <c r="A2353" s="18"/>
      <c r="B2353" s="77"/>
      <c r="C2353" s="77"/>
      <c r="D2353" s="78"/>
      <c r="E2353" s="77"/>
      <c r="F2353" s="77"/>
      <c r="G2353" s="77"/>
      <c r="H2353" s="77"/>
      <c r="I2353" s="77"/>
      <c r="J2353" s="77"/>
      <c r="K2353" s="79"/>
      <c r="L2353" s="49">
        <f t="shared" si="138"/>
        <v>0</v>
      </c>
      <c r="M2353" s="50">
        <f t="shared" si="139"/>
        <v>0</v>
      </c>
    </row>
    <row r="2354" spans="1:13" x14ac:dyDescent="0.2">
      <c r="A2354" s="18"/>
      <c r="B2354" s="77"/>
      <c r="C2354" s="77"/>
      <c r="D2354" s="78"/>
      <c r="E2354" s="77"/>
      <c r="F2354" s="77"/>
      <c r="G2354" s="77"/>
      <c r="H2354" s="77"/>
      <c r="I2354" s="77"/>
      <c r="J2354" s="77"/>
      <c r="K2354" s="79"/>
      <c r="L2354" s="49">
        <f t="shared" si="138"/>
        <v>0</v>
      </c>
      <c r="M2354" s="50">
        <f t="shared" si="139"/>
        <v>0</v>
      </c>
    </row>
    <row r="2355" spans="1:13" x14ac:dyDescent="0.2">
      <c r="A2355" s="18"/>
      <c r="B2355" s="77"/>
      <c r="C2355" s="77"/>
      <c r="D2355" s="78"/>
      <c r="E2355" s="77"/>
      <c r="F2355" s="77"/>
      <c r="G2355" s="77"/>
      <c r="H2355" s="77"/>
      <c r="I2355" s="77"/>
      <c r="J2355" s="77"/>
      <c r="K2355" s="79"/>
      <c r="L2355" s="49">
        <f t="shared" si="138"/>
        <v>0</v>
      </c>
      <c r="M2355" s="50">
        <f t="shared" si="139"/>
        <v>0</v>
      </c>
    </row>
    <row r="2356" spans="1:13" x14ac:dyDescent="0.2">
      <c r="A2356" s="18"/>
      <c r="B2356" s="77"/>
      <c r="C2356" s="77"/>
      <c r="D2356" s="78"/>
      <c r="E2356" s="77"/>
      <c r="F2356" s="77"/>
      <c r="G2356" s="77"/>
      <c r="H2356" s="77"/>
      <c r="I2356" s="77"/>
      <c r="J2356" s="77"/>
      <c r="K2356" s="79"/>
      <c r="L2356" s="49">
        <f t="shared" si="138"/>
        <v>0</v>
      </c>
      <c r="M2356" s="50">
        <f t="shared" si="139"/>
        <v>0</v>
      </c>
    </row>
    <row r="2357" spans="1:13" x14ac:dyDescent="0.2">
      <c r="A2357" s="18"/>
      <c r="B2357" s="77"/>
      <c r="C2357" s="77"/>
      <c r="D2357" s="78"/>
      <c r="E2357" s="77"/>
      <c r="F2357" s="77"/>
      <c r="G2357" s="77"/>
      <c r="H2357" s="77"/>
      <c r="I2357" s="77"/>
      <c r="J2357" s="77"/>
      <c r="K2357" s="79"/>
      <c r="L2357" s="49">
        <f t="shared" si="138"/>
        <v>0</v>
      </c>
      <c r="M2357" s="50">
        <f t="shared" si="139"/>
        <v>0</v>
      </c>
    </row>
    <row r="2358" spans="1:13" x14ac:dyDescent="0.2">
      <c r="A2358" s="18"/>
      <c r="B2358" s="77"/>
      <c r="C2358" s="77"/>
      <c r="D2358" s="78"/>
      <c r="E2358" s="77"/>
      <c r="F2358" s="77"/>
      <c r="G2358" s="77"/>
      <c r="H2358" s="77"/>
      <c r="I2358" s="77"/>
      <c r="J2358" s="77"/>
      <c r="K2358" s="79"/>
      <c r="L2358" s="49">
        <f t="shared" si="138"/>
        <v>0</v>
      </c>
      <c r="M2358" s="50">
        <f t="shared" si="139"/>
        <v>0</v>
      </c>
    </row>
    <row r="2359" spans="1:13" x14ac:dyDescent="0.2">
      <c r="A2359" s="18"/>
      <c r="B2359" s="77"/>
      <c r="C2359" s="77"/>
      <c r="D2359" s="78"/>
      <c r="E2359" s="77"/>
      <c r="F2359" s="77"/>
      <c r="G2359" s="77"/>
      <c r="H2359" s="77"/>
      <c r="I2359" s="77"/>
      <c r="J2359" s="77"/>
      <c r="K2359" s="79"/>
      <c r="L2359" s="49">
        <f t="shared" si="138"/>
        <v>0</v>
      </c>
      <c r="M2359" s="50">
        <f t="shared" si="139"/>
        <v>0</v>
      </c>
    </row>
    <row r="2360" spans="1:13" x14ac:dyDescent="0.2">
      <c r="A2360" s="18"/>
      <c r="B2360" s="77"/>
      <c r="C2360" s="77"/>
      <c r="D2360" s="78"/>
      <c r="E2360" s="77"/>
      <c r="F2360" s="77"/>
      <c r="G2360" s="77"/>
      <c r="H2360" s="77"/>
      <c r="I2360" s="77"/>
      <c r="J2360" s="77"/>
      <c r="K2360" s="79"/>
      <c r="L2360" s="49">
        <f t="shared" si="138"/>
        <v>0</v>
      </c>
      <c r="M2360" s="50">
        <f t="shared" si="139"/>
        <v>0</v>
      </c>
    </row>
    <row r="2361" spans="1:13" x14ac:dyDescent="0.2">
      <c r="A2361" s="18"/>
      <c r="B2361" s="77"/>
      <c r="C2361" s="77"/>
      <c r="D2361" s="78"/>
      <c r="E2361" s="77"/>
      <c r="F2361" s="77"/>
      <c r="G2361" s="77"/>
      <c r="H2361" s="77"/>
      <c r="I2361" s="77"/>
      <c r="J2361" s="77"/>
      <c r="K2361" s="79"/>
      <c r="L2361" s="49">
        <f t="shared" si="138"/>
        <v>0</v>
      </c>
      <c r="M2361" s="50">
        <f t="shared" si="139"/>
        <v>0</v>
      </c>
    </row>
    <row r="2362" spans="1:13" x14ac:dyDescent="0.2">
      <c r="A2362" s="18"/>
      <c r="B2362" s="77"/>
      <c r="C2362" s="77"/>
      <c r="D2362" s="78"/>
      <c r="E2362" s="77"/>
      <c r="F2362" s="77"/>
      <c r="G2362" s="77"/>
      <c r="H2362" s="77"/>
      <c r="I2362" s="77"/>
      <c r="J2362" s="77"/>
      <c r="K2362" s="79"/>
      <c r="L2362" s="49">
        <f t="shared" si="138"/>
        <v>0</v>
      </c>
      <c r="M2362" s="50">
        <f t="shared" si="139"/>
        <v>0</v>
      </c>
    </row>
    <row r="2363" spans="1:13" x14ac:dyDescent="0.2">
      <c r="A2363" s="18"/>
      <c r="B2363" s="77"/>
      <c r="C2363" s="77"/>
      <c r="D2363" s="78"/>
      <c r="E2363" s="77"/>
      <c r="F2363" s="77"/>
      <c r="G2363" s="77"/>
      <c r="H2363" s="77"/>
      <c r="I2363" s="77"/>
      <c r="J2363" s="77"/>
      <c r="K2363" s="79"/>
      <c r="L2363" s="49">
        <f t="shared" si="138"/>
        <v>0</v>
      </c>
      <c r="M2363" s="50">
        <f t="shared" si="139"/>
        <v>0</v>
      </c>
    </row>
    <row r="2364" spans="1:13" x14ac:dyDescent="0.2">
      <c r="A2364" s="18"/>
      <c r="B2364" s="77"/>
      <c r="C2364" s="77"/>
      <c r="D2364" s="78"/>
      <c r="E2364" s="77"/>
      <c r="F2364" s="77"/>
      <c r="G2364" s="77"/>
      <c r="H2364" s="77"/>
      <c r="I2364" s="77"/>
      <c r="J2364" s="77"/>
      <c r="K2364" s="79"/>
      <c r="L2364" s="49">
        <f t="shared" si="138"/>
        <v>0</v>
      </c>
      <c r="M2364" s="50">
        <f t="shared" si="139"/>
        <v>0</v>
      </c>
    </row>
    <row r="2365" spans="1:13" x14ac:dyDescent="0.2">
      <c r="A2365" s="18"/>
      <c r="B2365" s="77"/>
      <c r="C2365" s="77"/>
      <c r="D2365" s="78"/>
      <c r="E2365" s="77"/>
      <c r="F2365" s="77"/>
      <c r="G2365" s="77"/>
      <c r="H2365" s="77"/>
      <c r="I2365" s="77"/>
      <c r="J2365" s="77"/>
      <c r="K2365" s="79"/>
      <c r="L2365" s="49">
        <f t="shared" si="138"/>
        <v>0</v>
      </c>
      <c r="M2365" s="50">
        <f t="shared" si="139"/>
        <v>0</v>
      </c>
    </row>
    <row r="2366" spans="1:13" x14ac:dyDescent="0.2">
      <c r="A2366" s="18"/>
      <c r="B2366" s="77"/>
      <c r="C2366" s="77"/>
      <c r="D2366" s="78"/>
      <c r="E2366" s="77"/>
      <c r="F2366" s="77"/>
      <c r="G2366" s="77"/>
      <c r="H2366" s="77"/>
      <c r="I2366" s="77"/>
      <c r="J2366" s="77"/>
      <c r="K2366" s="79"/>
      <c r="L2366" s="49">
        <f t="shared" si="138"/>
        <v>0</v>
      </c>
      <c r="M2366" s="50">
        <f t="shared" si="139"/>
        <v>0</v>
      </c>
    </row>
    <row r="2367" spans="1:13" x14ac:dyDescent="0.2">
      <c r="A2367" s="18"/>
      <c r="B2367" s="77"/>
      <c r="C2367" s="77"/>
      <c r="D2367" s="78"/>
      <c r="E2367" s="77"/>
      <c r="F2367" s="77"/>
      <c r="G2367" s="77"/>
      <c r="H2367" s="77"/>
      <c r="I2367" s="77"/>
      <c r="J2367" s="77"/>
      <c r="K2367" s="79"/>
      <c r="L2367" s="49">
        <f t="shared" si="138"/>
        <v>0</v>
      </c>
      <c r="M2367" s="50">
        <f t="shared" si="139"/>
        <v>0</v>
      </c>
    </row>
    <row r="2368" spans="1:13" x14ac:dyDescent="0.2">
      <c r="A2368" s="18"/>
      <c r="B2368" s="77"/>
      <c r="C2368" s="77"/>
      <c r="D2368" s="78"/>
      <c r="E2368" s="77"/>
      <c r="F2368" s="77"/>
      <c r="G2368" s="77"/>
      <c r="H2368" s="77"/>
      <c r="I2368" s="77"/>
      <c r="J2368" s="77"/>
      <c r="K2368" s="79"/>
      <c r="L2368" s="49">
        <f t="shared" si="138"/>
        <v>0</v>
      </c>
      <c r="M2368" s="50">
        <f t="shared" si="139"/>
        <v>0</v>
      </c>
    </row>
    <row r="2369" spans="1:13" x14ac:dyDescent="0.2">
      <c r="A2369" s="18"/>
      <c r="B2369" s="77"/>
      <c r="C2369" s="77"/>
      <c r="D2369" s="78"/>
      <c r="E2369" s="77"/>
      <c r="F2369" s="77"/>
      <c r="G2369" s="77"/>
      <c r="H2369" s="77"/>
      <c r="I2369" s="77"/>
      <c r="J2369" s="77"/>
      <c r="K2369" s="79"/>
      <c r="L2369" s="49">
        <f t="shared" si="138"/>
        <v>0</v>
      </c>
      <c r="M2369" s="50">
        <f t="shared" si="139"/>
        <v>0</v>
      </c>
    </row>
    <row r="2370" spans="1:13" x14ac:dyDescent="0.2">
      <c r="A2370" s="18"/>
      <c r="B2370" s="77"/>
      <c r="C2370" s="77"/>
      <c r="D2370" s="78"/>
      <c r="E2370" s="77"/>
      <c r="F2370" s="77"/>
      <c r="G2370" s="77"/>
      <c r="H2370" s="77"/>
      <c r="I2370" s="77"/>
      <c r="J2370" s="77"/>
      <c r="K2370" s="79"/>
      <c r="L2370" s="49">
        <f t="shared" si="138"/>
        <v>0</v>
      </c>
      <c r="M2370" s="50">
        <f t="shared" si="139"/>
        <v>0</v>
      </c>
    </row>
    <row r="2371" spans="1:13" x14ac:dyDescent="0.2">
      <c r="A2371" s="18"/>
      <c r="B2371" s="77"/>
      <c r="C2371" s="77"/>
      <c r="D2371" s="78"/>
      <c r="E2371" s="77"/>
      <c r="F2371" s="77"/>
      <c r="G2371" s="77"/>
      <c r="H2371" s="77"/>
      <c r="I2371" s="77"/>
      <c r="J2371" s="77"/>
      <c r="K2371" s="79"/>
      <c r="L2371" s="49">
        <f t="shared" si="138"/>
        <v>0</v>
      </c>
      <c r="M2371" s="50">
        <f t="shared" si="139"/>
        <v>0</v>
      </c>
    </row>
    <row r="2372" spans="1:13" x14ac:dyDescent="0.2">
      <c r="A2372" s="18"/>
      <c r="B2372" s="77"/>
      <c r="C2372" s="77"/>
      <c r="D2372" s="78"/>
      <c r="E2372" s="77"/>
      <c r="F2372" s="77"/>
      <c r="G2372" s="77"/>
      <c r="H2372" s="77"/>
      <c r="I2372" s="77"/>
      <c r="J2372" s="77"/>
      <c r="K2372" s="79"/>
      <c r="L2372" s="49">
        <f t="shared" si="138"/>
        <v>0</v>
      </c>
      <c r="M2372" s="50">
        <f t="shared" si="139"/>
        <v>0</v>
      </c>
    </row>
    <row r="2373" spans="1:13" x14ac:dyDescent="0.2">
      <c r="A2373" s="18"/>
      <c r="B2373" s="77"/>
      <c r="C2373" s="77"/>
      <c r="D2373" s="78"/>
      <c r="E2373" s="77"/>
      <c r="F2373" s="77"/>
      <c r="G2373" s="77"/>
      <c r="H2373" s="77"/>
      <c r="I2373" s="77"/>
      <c r="J2373" s="77"/>
      <c r="K2373" s="79"/>
      <c r="L2373" s="49">
        <f t="shared" si="138"/>
        <v>0</v>
      </c>
      <c r="M2373" s="50">
        <f t="shared" si="139"/>
        <v>0</v>
      </c>
    </row>
    <row r="2374" spans="1:13" x14ac:dyDescent="0.2">
      <c r="A2374" s="18"/>
      <c r="B2374" s="77"/>
      <c r="C2374" s="77"/>
      <c r="D2374" s="78"/>
      <c r="E2374" s="77"/>
      <c r="F2374" s="77"/>
      <c r="G2374" s="77"/>
      <c r="H2374" s="77"/>
      <c r="I2374" s="77"/>
      <c r="J2374" s="77"/>
      <c r="K2374" s="79"/>
      <c r="L2374" s="49">
        <f t="shared" si="138"/>
        <v>0</v>
      </c>
      <c r="M2374" s="50">
        <f t="shared" si="139"/>
        <v>0</v>
      </c>
    </row>
    <row r="2375" spans="1:13" x14ac:dyDescent="0.2">
      <c r="A2375" s="18"/>
      <c r="B2375" s="77"/>
      <c r="C2375" s="77"/>
      <c r="D2375" s="78"/>
      <c r="E2375" s="77"/>
      <c r="F2375" s="77"/>
      <c r="G2375" s="77"/>
      <c r="H2375" s="77"/>
      <c r="I2375" s="77"/>
      <c r="J2375" s="77"/>
      <c r="K2375" s="79"/>
      <c r="L2375" s="49">
        <f t="shared" si="138"/>
        <v>0</v>
      </c>
      <c r="M2375" s="50">
        <f t="shared" si="139"/>
        <v>0</v>
      </c>
    </row>
    <row r="2376" spans="1:13" x14ac:dyDescent="0.2">
      <c r="A2376" s="18"/>
      <c r="B2376" s="77"/>
      <c r="C2376" s="77"/>
      <c r="D2376" s="78"/>
      <c r="E2376" s="77"/>
      <c r="F2376" s="77"/>
      <c r="G2376" s="77"/>
      <c r="H2376" s="77"/>
      <c r="I2376" s="77"/>
      <c r="J2376" s="77"/>
      <c r="K2376" s="79"/>
      <c r="L2376" s="49">
        <f t="shared" ref="L2376:L2381" si="140">+K2376*18%</f>
        <v>0</v>
      </c>
      <c r="M2376" s="50">
        <f t="shared" ref="M2376:M2381" si="141">+K2376+L2376</f>
        <v>0</v>
      </c>
    </row>
    <row r="2377" spans="1:13" x14ac:dyDescent="0.2">
      <c r="A2377" s="18"/>
      <c r="B2377" s="77"/>
      <c r="C2377" s="77"/>
      <c r="D2377" s="78"/>
      <c r="E2377" s="77"/>
      <c r="F2377" s="77"/>
      <c r="G2377" s="77"/>
      <c r="H2377" s="77"/>
      <c r="I2377" s="77"/>
      <c r="J2377" s="77"/>
      <c r="K2377" s="79"/>
      <c r="L2377" s="49">
        <f t="shared" si="140"/>
        <v>0</v>
      </c>
      <c r="M2377" s="50">
        <f t="shared" si="141"/>
        <v>0</v>
      </c>
    </row>
    <row r="2378" spans="1:13" x14ac:dyDescent="0.2">
      <c r="A2378" s="18"/>
      <c r="B2378" s="77"/>
      <c r="C2378" s="77"/>
      <c r="D2378" s="78"/>
      <c r="E2378" s="77"/>
      <c r="F2378" s="77"/>
      <c r="G2378" s="77"/>
      <c r="H2378" s="77"/>
      <c r="I2378" s="77"/>
      <c r="J2378" s="77"/>
      <c r="K2378" s="79"/>
      <c r="L2378" s="49">
        <f t="shared" si="140"/>
        <v>0</v>
      </c>
      <c r="M2378" s="50">
        <f t="shared" si="141"/>
        <v>0</v>
      </c>
    </row>
    <row r="2379" spans="1:13" x14ac:dyDescent="0.2">
      <c r="A2379" s="18"/>
      <c r="B2379" s="77"/>
      <c r="C2379" s="77"/>
      <c r="D2379" s="78"/>
      <c r="E2379" s="77"/>
      <c r="F2379" s="77"/>
      <c r="G2379" s="77"/>
      <c r="H2379" s="77"/>
      <c r="I2379" s="77"/>
      <c r="J2379" s="77"/>
      <c r="K2379" s="79"/>
      <c r="L2379" s="49">
        <f t="shared" si="140"/>
        <v>0</v>
      </c>
      <c r="M2379" s="50">
        <f t="shared" si="141"/>
        <v>0</v>
      </c>
    </row>
    <row r="2380" spans="1:13" x14ac:dyDescent="0.2">
      <c r="A2380" s="18"/>
      <c r="B2380" s="77"/>
      <c r="C2380" s="77"/>
      <c r="D2380" s="78"/>
      <c r="E2380" s="77"/>
      <c r="F2380" s="77"/>
      <c r="G2380" s="77"/>
      <c r="H2380" s="77"/>
      <c r="I2380" s="77"/>
      <c r="J2380" s="77"/>
      <c r="K2380" s="79"/>
      <c r="L2380" s="49">
        <f t="shared" si="140"/>
        <v>0</v>
      </c>
      <c r="M2380" s="50">
        <f t="shared" si="141"/>
        <v>0</v>
      </c>
    </row>
    <row r="2381" spans="1:13" x14ac:dyDescent="0.2">
      <c r="A2381" s="18"/>
      <c r="B2381" s="77"/>
      <c r="C2381" s="77"/>
      <c r="D2381" s="78"/>
      <c r="E2381" s="77"/>
      <c r="F2381" s="77"/>
      <c r="G2381" s="77"/>
      <c r="H2381" s="77"/>
      <c r="I2381" s="77"/>
      <c r="J2381" s="77"/>
      <c r="K2381" s="79"/>
      <c r="L2381" s="49">
        <f t="shared" si="140"/>
        <v>0</v>
      </c>
      <c r="M2381" s="50">
        <f t="shared" si="141"/>
        <v>0</v>
      </c>
    </row>
    <row r="2382" spans="1:13" x14ac:dyDescent="0.2">
      <c r="A2382" s="18"/>
      <c r="B2382" s="77"/>
      <c r="C2382" s="77"/>
      <c r="D2382" s="78"/>
      <c r="E2382" s="77"/>
      <c r="F2382" s="77"/>
      <c r="G2382" s="77"/>
      <c r="H2382" s="77"/>
      <c r="I2382" s="77"/>
      <c r="J2382" s="77"/>
      <c r="K2382" s="79"/>
      <c r="L2382" s="49">
        <f t="shared" ref="L2382:L2445" si="142">+K2382*18%</f>
        <v>0</v>
      </c>
      <c r="M2382" s="50">
        <f t="shared" ref="M2382:M2445" si="143">+K2382+L2382</f>
        <v>0</v>
      </c>
    </row>
    <row r="2383" spans="1:13" x14ac:dyDescent="0.2">
      <c r="A2383" s="18"/>
      <c r="B2383" s="77"/>
      <c r="C2383" s="77"/>
      <c r="D2383" s="78"/>
      <c r="E2383" s="77"/>
      <c r="F2383" s="77"/>
      <c r="G2383" s="77"/>
      <c r="H2383" s="77"/>
      <c r="I2383" s="77"/>
      <c r="J2383" s="77"/>
      <c r="K2383" s="79"/>
      <c r="L2383" s="49">
        <f t="shared" si="142"/>
        <v>0</v>
      </c>
      <c r="M2383" s="50">
        <f t="shared" si="143"/>
        <v>0</v>
      </c>
    </row>
    <row r="2384" spans="1:13" x14ac:dyDescent="0.2">
      <c r="A2384" s="18"/>
      <c r="B2384" s="77"/>
      <c r="C2384" s="77"/>
      <c r="D2384" s="78"/>
      <c r="E2384" s="77"/>
      <c r="F2384" s="77"/>
      <c r="G2384" s="77"/>
      <c r="H2384" s="77"/>
      <c r="I2384" s="77"/>
      <c r="J2384" s="77"/>
      <c r="K2384" s="79"/>
      <c r="L2384" s="49">
        <f t="shared" si="142"/>
        <v>0</v>
      </c>
      <c r="M2384" s="50">
        <f t="shared" si="143"/>
        <v>0</v>
      </c>
    </row>
    <row r="2385" spans="1:13" x14ac:dyDescent="0.2">
      <c r="A2385" s="18"/>
      <c r="B2385" s="77"/>
      <c r="C2385" s="77"/>
      <c r="D2385" s="78"/>
      <c r="E2385" s="77"/>
      <c r="F2385" s="77"/>
      <c r="G2385" s="77"/>
      <c r="H2385" s="77"/>
      <c r="I2385" s="77"/>
      <c r="J2385" s="77"/>
      <c r="K2385" s="79"/>
      <c r="L2385" s="49">
        <f t="shared" si="142"/>
        <v>0</v>
      </c>
      <c r="M2385" s="50">
        <f t="shared" si="143"/>
        <v>0</v>
      </c>
    </row>
    <row r="2386" spans="1:13" x14ac:dyDescent="0.2">
      <c r="A2386" s="18"/>
      <c r="B2386" s="77"/>
      <c r="C2386" s="77"/>
      <c r="D2386" s="78"/>
      <c r="E2386" s="77"/>
      <c r="F2386" s="77"/>
      <c r="G2386" s="77"/>
      <c r="H2386" s="77"/>
      <c r="I2386" s="77"/>
      <c r="J2386" s="77"/>
      <c r="K2386" s="79"/>
      <c r="L2386" s="49">
        <f t="shared" si="142"/>
        <v>0</v>
      </c>
      <c r="M2386" s="50">
        <f t="shared" si="143"/>
        <v>0</v>
      </c>
    </row>
    <row r="2387" spans="1:13" x14ac:dyDescent="0.2">
      <c r="A2387" s="18"/>
      <c r="B2387" s="77"/>
      <c r="C2387" s="77"/>
      <c r="D2387" s="78"/>
      <c r="E2387" s="77"/>
      <c r="F2387" s="77"/>
      <c r="G2387" s="77"/>
      <c r="H2387" s="77"/>
      <c r="I2387" s="77"/>
      <c r="J2387" s="77"/>
      <c r="K2387" s="79"/>
      <c r="L2387" s="49">
        <f t="shared" si="142"/>
        <v>0</v>
      </c>
      <c r="M2387" s="50">
        <f t="shared" si="143"/>
        <v>0</v>
      </c>
    </row>
    <row r="2388" spans="1:13" x14ac:dyDescent="0.2">
      <c r="A2388" s="18"/>
      <c r="B2388" s="77"/>
      <c r="C2388" s="77"/>
      <c r="D2388" s="78"/>
      <c r="E2388" s="77"/>
      <c r="F2388" s="77"/>
      <c r="G2388" s="77"/>
      <c r="H2388" s="77"/>
      <c r="I2388" s="77"/>
      <c r="J2388" s="77"/>
      <c r="K2388" s="79"/>
      <c r="L2388" s="49">
        <f t="shared" si="142"/>
        <v>0</v>
      </c>
      <c r="M2388" s="50">
        <f t="shared" si="143"/>
        <v>0</v>
      </c>
    </row>
    <row r="2389" spans="1:13" x14ac:dyDescent="0.2">
      <c r="A2389" s="18"/>
      <c r="B2389" s="77"/>
      <c r="C2389" s="77"/>
      <c r="D2389" s="78"/>
      <c r="E2389" s="77"/>
      <c r="F2389" s="77"/>
      <c r="G2389" s="77"/>
      <c r="H2389" s="77"/>
      <c r="I2389" s="77"/>
      <c r="J2389" s="77"/>
      <c r="K2389" s="79"/>
      <c r="L2389" s="49">
        <f t="shared" si="142"/>
        <v>0</v>
      </c>
      <c r="M2389" s="50">
        <f t="shared" si="143"/>
        <v>0</v>
      </c>
    </row>
    <row r="2390" spans="1:13" x14ac:dyDescent="0.2">
      <c r="A2390" s="18"/>
      <c r="B2390" s="77"/>
      <c r="C2390" s="77"/>
      <c r="D2390" s="78"/>
      <c r="E2390" s="77"/>
      <c r="F2390" s="77"/>
      <c r="G2390" s="77"/>
      <c r="H2390" s="77"/>
      <c r="I2390" s="77"/>
      <c r="J2390" s="77"/>
      <c r="K2390" s="79"/>
      <c r="L2390" s="49">
        <f t="shared" si="142"/>
        <v>0</v>
      </c>
      <c r="M2390" s="50">
        <f t="shared" si="143"/>
        <v>0</v>
      </c>
    </row>
    <row r="2391" spans="1:13" x14ac:dyDescent="0.2">
      <c r="A2391" s="18"/>
      <c r="B2391" s="77"/>
      <c r="C2391" s="77"/>
      <c r="D2391" s="78"/>
      <c r="E2391" s="77"/>
      <c r="F2391" s="77"/>
      <c r="G2391" s="77"/>
      <c r="H2391" s="77"/>
      <c r="I2391" s="77"/>
      <c r="J2391" s="77"/>
      <c r="K2391" s="79"/>
      <c r="L2391" s="49">
        <f t="shared" si="142"/>
        <v>0</v>
      </c>
      <c r="M2391" s="50">
        <f t="shared" si="143"/>
        <v>0</v>
      </c>
    </row>
    <row r="2392" spans="1:13" x14ac:dyDescent="0.2">
      <c r="A2392" s="18"/>
      <c r="B2392" s="77"/>
      <c r="C2392" s="77"/>
      <c r="D2392" s="78"/>
      <c r="E2392" s="77"/>
      <c r="F2392" s="77"/>
      <c r="G2392" s="77"/>
      <c r="H2392" s="77"/>
      <c r="I2392" s="77"/>
      <c r="J2392" s="77"/>
      <c r="K2392" s="79"/>
      <c r="L2392" s="49">
        <f t="shared" si="142"/>
        <v>0</v>
      </c>
      <c r="M2392" s="50">
        <f t="shared" si="143"/>
        <v>0</v>
      </c>
    </row>
    <row r="2393" spans="1:13" x14ac:dyDescent="0.2">
      <c r="A2393" s="18"/>
      <c r="B2393" s="77"/>
      <c r="C2393" s="77"/>
      <c r="D2393" s="78"/>
      <c r="E2393" s="77"/>
      <c r="F2393" s="77"/>
      <c r="G2393" s="77"/>
      <c r="H2393" s="77"/>
      <c r="I2393" s="77"/>
      <c r="J2393" s="77"/>
      <c r="K2393" s="79"/>
      <c r="L2393" s="49">
        <f t="shared" si="142"/>
        <v>0</v>
      </c>
      <c r="M2393" s="50">
        <f t="shared" si="143"/>
        <v>0</v>
      </c>
    </row>
    <row r="2394" spans="1:13" x14ac:dyDescent="0.2">
      <c r="A2394" s="18"/>
      <c r="B2394" s="77"/>
      <c r="C2394" s="77"/>
      <c r="D2394" s="78"/>
      <c r="E2394" s="77"/>
      <c r="F2394" s="77"/>
      <c r="G2394" s="77"/>
      <c r="H2394" s="77"/>
      <c r="I2394" s="77"/>
      <c r="J2394" s="77"/>
      <c r="K2394" s="79"/>
      <c r="L2394" s="49">
        <f t="shared" si="142"/>
        <v>0</v>
      </c>
      <c r="M2394" s="50">
        <f t="shared" si="143"/>
        <v>0</v>
      </c>
    </row>
    <row r="2395" spans="1:13" x14ac:dyDescent="0.2">
      <c r="A2395" s="18"/>
      <c r="B2395" s="77"/>
      <c r="C2395" s="77"/>
      <c r="D2395" s="78"/>
      <c r="E2395" s="77"/>
      <c r="F2395" s="77"/>
      <c r="G2395" s="77"/>
      <c r="H2395" s="77"/>
      <c r="I2395" s="77"/>
      <c r="J2395" s="77"/>
      <c r="K2395" s="79"/>
      <c r="L2395" s="49">
        <f t="shared" si="142"/>
        <v>0</v>
      </c>
      <c r="M2395" s="50">
        <f t="shared" si="143"/>
        <v>0</v>
      </c>
    </row>
    <row r="2396" spans="1:13" x14ac:dyDescent="0.2">
      <c r="A2396" s="18"/>
      <c r="B2396" s="77"/>
      <c r="C2396" s="77"/>
      <c r="D2396" s="78"/>
      <c r="E2396" s="77"/>
      <c r="F2396" s="77"/>
      <c r="G2396" s="77"/>
      <c r="H2396" s="77"/>
      <c r="I2396" s="77"/>
      <c r="J2396" s="77"/>
      <c r="K2396" s="79"/>
      <c r="L2396" s="49">
        <f t="shared" si="142"/>
        <v>0</v>
      </c>
      <c r="M2396" s="50">
        <f t="shared" si="143"/>
        <v>0</v>
      </c>
    </row>
    <row r="2397" spans="1:13" x14ac:dyDescent="0.2">
      <c r="A2397" s="18"/>
      <c r="B2397" s="77"/>
      <c r="C2397" s="77"/>
      <c r="D2397" s="78"/>
      <c r="E2397" s="77"/>
      <c r="F2397" s="77"/>
      <c r="G2397" s="77"/>
      <c r="H2397" s="77"/>
      <c r="I2397" s="77"/>
      <c r="J2397" s="77"/>
      <c r="K2397" s="79"/>
      <c r="L2397" s="49">
        <f t="shared" si="142"/>
        <v>0</v>
      </c>
      <c r="M2397" s="50">
        <f t="shared" si="143"/>
        <v>0</v>
      </c>
    </row>
    <row r="2398" spans="1:13" x14ac:dyDescent="0.2">
      <c r="A2398" s="18"/>
      <c r="B2398" s="77"/>
      <c r="C2398" s="77"/>
      <c r="D2398" s="78"/>
      <c r="E2398" s="77"/>
      <c r="F2398" s="77"/>
      <c r="G2398" s="77"/>
      <c r="H2398" s="77"/>
      <c r="I2398" s="77"/>
      <c r="J2398" s="77"/>
      <c r="K2398" s="79"/>
      <c r="L2398" s="49">
        <f t="shared" si="142"/>
        <v>0</v>
      </c>
      <c r="M2398" s="50">
        <f t="shared" si="143"/>
        <v>0</v>
      </c>
    </row>
    <row r="2399" spans="1:13" x14ac:dyDescent="0.2">
      <c r="A2399" s="18"/>
      <c r="B2399" s="77"/>
      <c r="C2399" s="77"/>
      <c r="D2399" s="78"/>
      <c r="E2399" s="77"/>
      <c r="F2399" s="77"/>
      <c r="G2399" s="77"/>
      <c r="H2399" s="77"/>
      <c r="I2399" s="77"/>
      <c r="J2399" s="77"/>
      <c r="K2399" s="79"/>
      <c r="L2399" s="49">
        <f t="shared" si="142"/>
        <v>0</v>
      </c>
      <c r="M2399" s="50">
        <f t="shared" si="143"/>
        <v>0</v>
      </c>
    </row>
    <row r="2400" spans="1:13" x14ac:dyDescent="0.2">
      <c r="A2400" s="18"/>
      <c r="B2400" s="77"/>
      <c r="C2400" s="77"/>
      <c r="D2400" s="78"/>
      <c r="E2400" s="77"/>
      <c r="F2400" s="77"/>
      <c r="G2400" s="77"/>
      <c r="H2400" s="77"/>
      <c r="I2400" s="77"/>
      <c r="J2400" s="77"/>
      <c r="K2400" s="79"/>
      <c r="L2400" s="49">
        <f t="shared" si="142"/>
        <v>0</v>
      </c>
      <c r="M2400" s="50">
        <f t="shared" si="143"/>
        <v>0</v>
      </c>
    </row>
    <row r="2401" spans="1:13" x14ac:dyDescent="0.2">
      <c r="A2401" s="18"/>
      <c r="B2401" s="77"/>
      <c r="C2401" s="77"/>
      <c r="D2401" s="78"/>
      <c r="E2401" s="77"/>
      <c r="F2401" s="77"/>
      <c r="G2401" s="77"/>
      <c r="H2401" s="77"/>
      <c r="I2401" s="77"/>
      <c r="J2401" s="77"/>
      <c r="K2401" s="79"/>
      <c r="L2401" s="49">
        <f t="shared" si="142"/>
        <v>0</v>
      </c>
      <c r="M2401" s="50">
        <f t="shared" si="143"/>
        <v>0</v>
      </c>
    </row>
    <row r="2402" spans="1:13" x14ac:dyDescent="0.2">
      <c r="A2402" s="18"/>
      <c r="B2402" s="77"/>
      <c r="C2402" s="77"/>
      <c r="D2402" s="78"/>
      <c r="E2402" s="77"/>
      <c r="F2402" s="77"/>
      <c r="G2402" s="77"/>
      <c r="H2402" s="77"/>
      <c r="I2402" s="77"/>
      <c r="J2402" s="77"/>
      <c r="K2402" s="79"/>
      <c r="L2402" s="49">
        <f t="shared" si="142"/>
        <v>0</v>
      </c>
      <c r="M2402" s="50">
        <f t="shared" si="143"/>
        <v>0</v>
      </c>
    </row>
    <row r="2403" spans="1:13" x14ac:dyDescent="0.2">
      <c r="A2403" s="18"/>
      <c r="B2403" s="77"/>
      <c r="C2403" s="77"/>
      <c r="D2403" s="78"/>
      <c r="E2403" s="77"/>
      <c r="F2403" s="77"/>
      <c r="G2403" s="77"/>
      <c r="H2403" s="77"/>
      <c r="I2403" s="77"/>
      <c r="J2403" s="77"/>
      <c r="K2403" s="79"/>
      <c r="L2403" s="49">
        <f t="shared" si="142"/>
        <v>0</v>
      </c>
      <c r="M2403" s="50">
        <f t="shared" si="143"/>
        <v>0</v>
      </c>
    </row>
    <row r="2404" spans="1:13" x14ac:dyDescent="0.2">
      <c r="A2404" s="18"/>
      <c r="B2404" s="77"/>
      <c r="C2404" s="77"/>
      <c r="D2404" s="78"/>
      <c r="E2404" s="77"/>
      <c r="F2404" s="77"/>
      <c r="G2404" s="77"/>
      <c r="H2404" s="77"/>
      <c r="I2404" s="77"/>
      <c r="J2404" s="77"/>
      <c r="K2404" s="79"/>
      <c r="L2404" s="49">
        <f t="shared" si="142"/>
        <v>0</v>
      </c>
      <c r="M2404" s="50">
        <f t="shared" si="143"/>
        <v>0</v>
      </c>
    </row>
    <row r="2405" spans="1:13" x14ac:dyDescent="0.2">
      <c r="A2405" s="18"/>
      <c r="B2405" s="77"/>
      <c r="C2405" s="77"/>
      <c r="D2405" s="78"/>
      <c r="E2405" s="77"/>
      <c r="F2405" s="77"/>
      <c r="G2405" s="77"/>
      <c r="H2405" s="77"/>
      <c r="I2405" s="77"/>
      <c r="J2405" s="77"/>
      <c r="K2405" s="79"/>
      <c r="L2405" s="49">
        <f t="shared" si="142"/>
        <v>0</v>
      </c>
      <c r="M2405" s="50">
        <f t="shared" si="143"/>
        <v>0</v>
      </c>
    </row>
    <row r="2406" spans="1:13" x14ac:dyDescent="0.2">
      <c r="A2406" s="18"/>
      <c r="B2406" s="77"/>
      <c r="C2406" s="77"/>
      <c r="D2406" s="78"/>
      <c r="E2406" s="77"/>
      <c r="F2406" s="77"/>
      <c r="G2406" s="77"/>
      <c r="H2406" s="77"/>
      <c r="I2406" s="77"/>
      <c r="J2406" s="77"/>
      <c r="K2406" s="79"/>
      <c r="L2406" s="49">
        <f t="shared" si="142"/>
        <v>0</v>
      </c>
      <c r="M2406" s="50">
        <f t="shared" si="143"/>
        <v>0</v>
      </c>
    </row>
    <row r="2407" spans="1:13" x14ac:dyDescent="0.2">
      <c r="A2407" s="18"/>
      <c r="B2407" s="77"/>
      <c r="C2407" s="77"/>
      <c r="D2407" s="78"/>
      <c r="E2407" s="77"/>
      <c r="F2407" s="77"/>
      <c r="G2407" s="77"/>
      <c r="H2407" s="77"/>
      <c r="I2407" s="77"/>
      <c r="J2407" s="77"/>
      <c r="K2407" s="79"/>
      <c r="L2407" s="49">
        <f t="shared" si="142"/>
        <v>0</v>
      </c>
      <c r="M2407" s="50">
        <f t="shared" si="143"/>
        <v>0</v>
      </c>
    </row>
    <row r="2408" spans="1:13" x14ac:dyDescent="0.2">
      <c r="A2408" s="18"/>
      <c r="B2408" s="77"/>
      <c r="C2408" s="77"/>
      <c r="D2408" s="78"/>
      <c r="E2408" s="77"/>
      <c r="F2408" s="77"/>
      <c r="G2408" s="77"/>
      <c r="H2408" s="77"/>
      <c r="I2408" s="77"/>
      <c r="J2408" s="77"/>
      <c r="K2408" s="79"/>
      <c r="L2408" s="49">
        <f t="shared" si="142"/>
        <v>0</v>
      </c>
      <c r="M2408" s="50">
        <f t="shared" si="143"/>
        <v>0</v>
      </c>
    </row>
    <row r="2409" spans="1:13" x14ac:dyDescent="0.2">
      <c r="A2409" s="18"/>
      <c r="B2409" s="77"/>
      <c r="C2409" s="77"/>
      <c r="D2409" s="78"/>
      <c r="E2409" s="77"/>
      <c r="F2409" s="77"/>
      <c r="G2409" s="77"/>
      <c r="H2409" s="77"/>
      <c r="I2409" s="77"/>
      <c r="J2409" s="77"/>
      <c r="K2409" s="79"/>
      <c r="L2409" s="49">
        <f t="shared" si="142"/>
        <v>0</v>
      </c>
      <c r="M2409" s="50">
        <f t="shared" si="143"/>
        <v>0</v>
      </c>
    </row>
    <row r="2410" spans="1:13" x14ac:dyDescent="0.2">
      <c r="A2410" s="18"/>
      <c r="B2410" s="77"/>
      <c r="C2410" s="77"/>
      <c r="D2410" s="78"/>
      <c r="E2410" s="77"/>
      <c r="F2410" s="77"/>
      <c r="G2410" s="77"/>
      <c r="H2410" s="77"/>
      <c r="I2410" s="77"/>
      <c r="J2410" s="77"/>
      <c r="K2410" s="79"/>
      <c r="L2410" s="49">
        <f t="shared" si="142"/>
        <v>0</v>
      </c>
      <c r="M2410" s="50">
        <f t="shared" si="143"/>
        <v>0</v>
      </c>
    </row>
    <row r="2411" spans="1:13" x14ac:dyDescent="0.2">
      <c r="A2411" s="18"/>
      <c r="B2411" s="77"/>
      <c r="C2411" s="77"/>
      <c r="D2411" s="78"/>
      <c r="E2411" s="77"/>
      <c r="F2411" s="77"/>
      <c r="G2411" s="77"/>
      <c r="H2411" s="77"/>
      <c r="I2411" s="77"/>
      <c r="J2411" s="77"/>
      <c r="K2411" s="79"/>
      <c r="L2411" s="49">
        <f t="shared" si="142"/>
        <v>0</v>
      </c>
      <c r="M2411" s="50">
        <f t="shared" si="143"/>
        <v>0</v>
      </c>
    </row>
    <row r="2412" spans="1:13" x14ac:dyDescent="0.2">
      <c r="A2412" s="18"/>
      <c r="B2412" s="77"/>
      <c r="C2412" s="77"/>
      <c r="D2412" s="78"/>
      <c r="E2412" s="77"/>
      <c r="F2412" s="77"/>
      <c r="G2412" s="77"/>
      <c r="H2412" s="77"/>
      <c r="I2412" s="77"/>
      <c r="J2412" s="77"/>
      <c r="K2412" s="79"/>
      <c r="L2412" s="49">
        <f t="shared" si="142"/>
        <v>0</v>
      </c>
      <c r="M2412" s="50">
        <f t="shared" si="143"/>
        <v>0</v>
      </c>
    </row>
    <row r="2413" spans="1:13" x14ac:dyDescent="0.2">
      <c r="A2413" s="18"/>
      <c r="B2413" s="77"/>
      <c r="C2413" s="77"/>
      <c r="D2413" s="78"/>
      <c r="E2413" s="77"/>
      <c r="F2413" s="77"/>
      <c r="G2413" s="77"/>
      <c r="H2413" s="77"/>
      <c r="I2413" s="77"/>
      <c r="J2413" s="77"/>
      <c r="K2413" s="79"/>
      <c r="L2413" s="49">
        <f t="shared" si="142"/>
        <v>0</v>
      </c>
      <c r="M2413" s="50">
        <f t="shared" si="143"/>
        <v>0</v>
      </c>
    </row>
    <row r="2414" spans="1:13" x14ac:dyDescent="0.2">
      <c r="A2414" s="18"/>
      <c r="B2414" s="77"/>
      <c r="C2414" s="77"/>
      <c r="D2414" s="78"/>
      <c r="E2414" s="77"/>
      <c r="F2414" s="77"/>
      <c r="G2414" s="77"/>
      <c r="H2414" s="77"/>
      <c r="I2414" s="77"/>
      <c r="J2414" s="77"/>
      <c r="K2414" s="79"/>
      <c r="L2414" s="49">
        <f t="shared" si="142"/>
        <v>0</v>
      </c>
      <c r="M2414" s="50">
        <f t="shared" si="143"/>
        <v>0</v>
      </c>
    </row>
    <row r="2415" spans="1:13" x14ac:dyDescent="0.2">
      <c r="A2415" s="18"/>
      <c r="B2415" s="77"/>
      <c r="C2415" s="77"/>
      <c r="D2415" s="78"/>
      <c r="E2415" s="77"/>
      <c r="F2415" s="77"/>
      <c r="G2415" s="77"/>
      <c r="H2415" s="77"/>
      <c r="I2415" s="77"/>
      <c r="J2415" s="77"/>
      <c r="K2415" s="79"/>
      <c r="L2415" s="49">
        <f t="shared" si="142"/>
        <v>0</v>
      </c>
      <c r="M2415" s="50">
        <f t="shared" si="143"/>
        <v>0</v>
      </c>
    </row>
    <row r="2416" spans="1:13" x14ac:dyDescent="0.2">
      <c r="A2416" s="18"/>
      <c r="B2416" s="77"/>
      <c r="C2416" s="77"/>
      <c r="D2416" s="78"/>
      <c r="E2416" s="77"/>
      <c r="F2416" s="77"/>
      <c r="G2416" s="77"/>
      <c r="H2416" s="77"/>
      <c r="I2416" s="77"/>
      <c r="J2416" s="77"/>
      <c r="K2416" s="79"/>
      <c r="L2416" s="49">
        <f t="shared" si="142"/>
        <v>0</v>
      </c>
      <c r="M2416" s="50">
        <f t="shared" si="143"/>
        <v>0</v>
      </c>
    </row>
    <row r="2417" spans="1:13" x14ac:dyDescent="0.2">
      <c r="A2417" s="18"/>
      <c r="B2417" s="77"/>
      <c r="C2417" s="77"/>
      <c r="D2417" s="78"/>
      <c r="E2417" s="77"/>
      <c r="F2417" s="77"/>
      <c r="G2417" s="77"/>
      <c r="H2417" s="77"/>
      <c r="I2417" s="77"/>
      <c r="J2417" s="77"/>
      <c r="K2417" s="79"/>
      <c r="L2417" s="49">
        <f t="shared" si="142"/>
        <v>0</v>
      </c>
      <c r="M2417" s="50">
        <f t="shared" si="143"/>
        <v>0</v>
      </c>
    </row>
    <row r="2418" spans="1:13" x14ac:dyDescent="0.2">
      <c r="A2418" s="18"/>
      <c r="B2418" s="77"/>
      <c r="C2418" s="77"/>
      <c r="D2418" s="78"/>
      <c r="E2418" s="77"/>
      <c r="F2418" s="77"/>
      <c r="G2418" s="77"/>
      <c r="H2418" s="77"/>
      <c r="I2418" s="77"/>
      <c r="J2418" s="77"/>
      <c r="K2418" s="79"/>
      <c r="L2418" s="49">
        <f t="shared" si="142"/>
        <v>0</v>
      </c>
      <c r="M2418" s="50">
        <f t="shared" si="143"/>
        <v>0</v>
      </c>
    </row>
    <row r="2419" spans="1:13" x14ac:dyDescent="0.2">
      <c r="A2419" s="18"/>
      <c r="B2419" s="77"/>
      <c r="C2419" s="77"/>
      <c r="D2419" s="78"/>
      <c r="E2419" s="77"/>
      <c r="F2419" s="77"/>
      <c r="G2419" s="77"/>
      <c r="H2419" s="77"/>
      <c r="I2419" s="77"/>
      <c r="J2419" s="77"/>
      <c r="K2419" s="79"/>
      <c r="L2419" s="49">
        <f t="shared" si="142"/>
        <v>0</v>
      </c>
      <c r="M2419" s="50">
        <f t="shared" si="143"/>
        <v>0</v>
      </c>
    </row>
    <row r="2420" spans="1:13" x14ac:dyDescent="0.2">
      <c r="A2420" s="18"/>
      <c r="B2420" s="77"/>
      <c r="C2420" s="77"/>
      <c r="D2420" s="78"/>
      <c r="E2420" s="77"/>
      <c r="F2420" s="77"/>
      <c r="G2420" s="77"/>
      <c r="H2420" s="77"/>
      <c r="I2420" s="77"/>
      <c r="J2420" s="77"/>
      <c r="K2420" s="79"/>
      <c r="L2420" s="49">
        <f t="shared" si="142"/>
        <v>0</v>
      </c>
      <c r="M2420" s="50">
        <f t="shared" si="143"/>
        <v>0</v>
      </c>
    </row>
    <row r="2421" spans="1:13" x14ac:dyDescent="0.2">
      <c r="A2421" s="18"/>
      <c r="B2421" s="77"/>
      <c r="C2421" s="77"/>
      <c r="D2421" s="78"/>
      <c r="E2421" s="77"/>
      <c r="F2421" s="77"/>
      <c r="G2421" s="77"/>
      <c r="H2421" s="77"/>
      <c r="I2421" s="77"/>
      <c r="J2421" s="77"/>
      <c r="K2421" s="79"/>
      <c r="L2421" s="49">
        <f t="shared" si="142"/>
        <v>0</v>
      </c>
      <c r="M2421" s="50">
        <f t="shared" si="143"/>
        <v>0</v>
      </c>
    </row>
    <row r="2422" spans="1:13" x14ac:dyDescent="0.2">
      <c r="A2422" s="18"/>
      <c r="B2422" s="77"/>
      <c r="C2422" s="77"/>
      <c r="D2422" s="78"/>
      <c r="E2422" s="77"/>
      <c r="F2422" s="77"/>
      <c r="G2422" s="77"/>
      <c r="H2422" s="77"/>
      <c r="I2422" s="77"/>
      <c r="J2422" s="77"/>
      <c r="K2422" s="79"/>
      <c r="L2422" s="49">
        <f t="shared" si="142"/>
        <v>0</v>
      </c>
      <c r="M2422" s="50">
        <f t="shared" si="143"/>
        <v>0</v>
      </c>
    </row>
    <row r="2423" spans="1:13" x14ac:dyDescent="0.2">
      <c r="A2423" s="18"/>
      <c r="B2423" s="77"/>
      <c r="C2423" s="77"/>
      <c r="D2423" s="78"/>
      <c r="E2423" s="77"/>
      <c r="F2423" s="77"/>
      <c r="G2423" s="77"/>
      <c r="H2423" s="77"/>
      <c r="I2423" s="77"/>
      <c r="J2423" s="77"/>
      <c r="K2423" s="79"/>
      <c r="L2423" s="49">
        <f t="shared" si="142"/>
        <v>0</v>
      </c>
      <c r="M2423" s="50">
        <f t="shared" si="143"/>
        <v>0</v>
      </c>
    </row>
    <row r="2424" spans="1:13" x14ac:dyDescent="0.2">
      <c r="A2424" s="18"/>
      <c r="B2424" s="77"/>
      <c r="C2424" s="77"/>
      <c r="D2424" s="78"/>
      <c r="E2424" s="77"/>
      <c r="F2424" s="77"/>
      <c r="G2424" s="77"/>
      <c r="H2424" s="77"/>
      <c r="I2424" s="77"/>
      <c r="J2424" s="77"/>
      <c r="K2424" s="79"/>
      <c r="L2424" s="49">
        <f t="shared" si="142"/>
        <v>0</v>
      </c>
      <c r="M2424" s="50">
        <f t="shared" si="143"/>
        <v>0</v>
      </c>
    </row>
    <row r="2425" spans="1:13" x14ac:dyDescent="0.2">
      <c r="A2425" s="18"/>
      <c r="B2425" s="77"/>
      <c r="C2425" s="77"/>
      <c r="D2425" s="78"/>
      <c r="E2425" s="77"/>
      <c r="F2425" s="77"/>
      <c r="G2425" s="77"/>
      <c r="H2425" s="77"/>
      <c r="I2425" s="77"/>
      <c r="J2425" s="77"/>
      <c r="K2425" s="79"/>
      <c r="L2425" s="49">
        <f t="shared" si="142"/>
        <v>0</v>
      </c>
      <c r="M2425" s="50">
        <f t="shared" si="143"/>
        <v>0</v>
      </c>
    </row>
    <row r="2426" spans="1:13" x14ac:dyDescent="0.2">
      <c r="A2426" s="18"/>
      <c r="B2426" s="77"/>
      <c r="C2426" s="77"/>
      <c r="D2426" s="78"/>
      <c r="E2426" s="77"/>
      <c r="F2426" s="77"/>
      <c r="G2426" s="77"/>
      <c r="H2426" s="77"/>
      <c r="I2426" s="77"/>
      <c r="J2426" s="77"/>
      <c r="K2426" s="79"/>
      <c r="L2426" s="49">
        <f t="shared" si="142"/>
        <v>0</v>
      </c>
      <c r="M2426" s="50">
        <f t="shared" si="143"/>
        <v>0</v>
      </c>
    </row>
    <row r="2427" spans="1:13" x14ac:dyDescent="0.2">
      <c r="A2427" s="18"/>
      <c r="B2427" s="77"/>
      <c r="C2427" s="77"/>
      <c r="D2427" s="78"/>
      <c r="E2427" s="77"/>
      <c r="F2427" s="77"/>
      <c r="G2427" s="77"/>
      <c r="H2427" s="77"/>
      <c r="I2427" s="77"/>
      <c r="J2427" s="77"/>
      <c r="K2427" s="79"/>
      <c r="L2427" s="49">
        <f t="shared" si="142"/>
        <v>0</v>
      </c>
      <c r="M2427" s="50">
        <f t="shared" si="143"/>
        <v>0</v>
      </c>
    </row>
    <row r="2428" spans="1:13" x14ac:dyDescent="0.2">
      <c r="A2428" s="18"/>
      <c r="B2428" s="77"/>
      <c r="C2428" s="77"/>
      <c r="D2428" s="78"/>
      <c r="E2428" s="77"/>
      <c r="F2428" s="77"/>
      <c r="G2428" s="77"/>
      <c r="H2428" s="77"/>
      <c r="I2428" s="77"/>
      <c r="J2428" s="77"/>
      <c r="K2428" s="79"/>
      <c r="L2428" s="49">
        <f t="shared" si="142"/>
        <v>0</v>
      </c>
      <c r="M2428" s="50">
        <f t="shared" si="143"/>
        <v>0</v>
      </c>
    </row>
    <row r="2429" spans="1:13" x14ac:dyDescent="0.2">
      <c r="A2429" s="18"/>
      <c r="B2429" s="77"/>
      <c r="C2429" s="77"/>
      <c r="D2429" s="78"/>
      <c r="E2429" s="77"/>
      <c r="F2429" s="77"/>
      <c r="G2429" s="77"/>
      <c r="H2429" s="77"/>
      <c r="I2429" s="77"/>
      <c r="J2429" s="77"/>
      <c r="K2429" s="79"/>
      <c r="L2429" s="49">
        <f t="shared" si="142"/>
        <v>0</v>
      </c>
      <c r="M2429" s="50">
        <f t="shared" si="143"/>
        <v>0</v>
      </c>
    </row>
    <row r="2430" spans="1:13" x14ac:dyDescent="0.2">
      <c r="A2430" s="18"/>
      <c r="B2430" s="77"/>
      <c r="C2430" s="77"/>
      <c r="D2430" s="78"/>
      <c r="E2430" s="77"/>
      <c r="F2430" s="77"/>
      <c r="G2430" s="77"/>
      <c r="H2430" s="77"/>
      <c r="I2430" s="77"/>
      <c r="J2430" s="77"/>
      <c r="K2430" s="79"/>
      <c r="L2430" s="49">
        <f t="shared" si="142"/>
        <v>0</v>
      </c>
      <c r="M2430" s="50">
        <f t="shared" si="143"/>
        <v>0</v>
      </c>
    </row>
    <row r="2431" spans="1:13" x14ac:dyDescent="0.2">
      <c r="A2431" s="18"/>
      <c r="B2431" s="77"/>
      <c r="C2431" s="77"/>
      <c r="D2431" s="78"/>
      <c r="E2431" s="77"/>
      <c r="F2431" s="77"/>
      <c r="G2431" s="77"/>
      <c r="H2431" s="77"/>
      <c r="I2431" s="77"/>
      <c r="J2431" s="77"/>
      <c r="K2431" s="79"/>
      <c r="L2431" s="49">
        <f t="shared" si="142"/>
        <v>0</v>
      </c>
      <c r="M2431" s="50">
        <f t="shared" si="143"/>
        <v>0</v>
      </c>
    </row>
    <row r="2432" spans="1:13" x14ac:dyDescent="0.2">
      <c r="A2432" s="18"/>
      <c r="B2432" s="77"/>
      <c r="C2432" s="77"/>
      <c r="D2432" s="78"/>
      <c r="E2432" s="77"/>
      <c r="F2432" s="77"/>
      <c r="G2432" s="77"/>
      <c r="H2432" s="77"/>
      <c r="I2432" s="77"/>
      <c r="J2432" s="77"/>
      <c r="K2432" s="79"/>
      <c r="L2432" s="49">
        <f t="shared" si="142"/>
        <v>0</v>
      </c>
      <c r="M2432" s="50">
        <f t="shared" si="143"/>
        <v>0</v>
      </c>
    </row>
    <row r="2433" spans="1:13" x14ac:dyDescent="0.2">
      <c r="A2433" s="18"/>
      <c r="B2433" s="77"/>
      <c r="C2433" s="77"/>
      <c r="D2433" s="78"/>
      <c r="E2433" s="77"/>
      <c r="F2433" s="77"/>
      <c r="G2433" s="77"/>
      <c r="H2433" s="77"/>
      <c r="I2433" s="77"/>
      <c r="J2433" s="77"/>
      <c r="K2433" s="79"/>
      <c r="L2433" s="49">
        <f t="shared" si="142"/>
        <v>0</v>
      </c>
      <c r="M2433" s="50">
        <f t="shared" si="143"/>
        <v>0</v>
      </c>
    </row>
    <row r="2434" spans="1:13" x14ac:dyDescent="0.2">
      <c r="A2434" s="18"/>
      <c r="B2434" s="77"/>
      <c r="C2434" s="77"/>
      <c r="D2434" s="78"/>
      <c r="E2434" s="77"/>
      <c r="F2434" s="77"/>
      <c r="G2434" s="77"/>
      <c r="H2434" s="77"/>
      <c r="I2434" s="77"/>
      <c r="J2434" s="77"/>
      <c r="K2434" s="79"/>
      <c r="L2434" s="49">
        <f t="shared" si="142"/>
        <v>0</v>
      </c>
      <c r="M2434" s="50">
        <f t="shared" si="143"/>
        <v>0</v>
      </c>
    </row>
    <row r="2435" spans="1:13" x14ac:dyDescent="0.2">
      <c r="A2435" s="18"/>
      <c r="B2435" s="77"/>
      <c r="C2435" s="77"/>
      <c r="D2435" s="78"/>
      <c r="E2435" s="77"/>
      <c r="F2435" s="77"/>
      <c r="G2435" s="77"/>
      <c r="H2435" s="77"/>
      <c r="I2435" s="77"/>
      <c r="J2435" s="77"/>
      <c r="K2435" s="79"/>
      <c r="L2435" s="49">
        <f t="shared" si="142"/>
        <v>0</v>
      </c>
      <c r="M2435" s="50">
        <f t="shared" si="143"/>
        <v>0</v>
      </c>
    </row>
    <row r="2436" spans="1:13" x14ac:dyDescent="0.2">
      <c r="A2436" s="18"/>
      <c r="B2436" s="77"/>
      <c r="C2436" s="77"/>
      <c r="D2436" s="78"/>
      <c r="E2436" s="77"/>
      <c r="F2436" s="77"/>
      <c r="G2436" s="77"/>
      <c r="H2436" s="77"/>
      <c r="I2436" s="77"/>
      <c r="J2436" s="77"/>
      <c r="K2436" s="79"/>
      <c r="L2436" s="49">
        <f t="shared" si="142"/>
        <v>0</v>
      </c>
      <c r="M2436" s="50">
        <f t="shared" si="143"/>
        <v>0</v>
      </c>
    </row>
    <row r="2437" spans="1:13" x14ac:dyDescent="0.2">
      <c r="A2437" s="18"/>
      <c r="B2437" s="77"/>
      <c r="C2437" s="77"/>
      <c r="D2437" s="78"/>
      <c r="E2437" s="77"/>
      <c r="F2437" s="77"/>
      <c r="G2437" s="77"/>
      <c r="H2437" s="77"/>
      <c r="I2437" s="77"/>
      <c r="J2437" s="77"/>
      <c r="K2437" s="79"/>
      <c r="L2437" s="49">
        <f t="shared" si="142"/>
        <v>0</v>
      </c>
      <c r="M2437" s="50">
        <f t="shared" si="143"/>
        <v>0</v>
      </c>
    </row>
    <row r="2438" spans="1:13" x14ac:dyDescent="0.2">
      <c r="A2438" s="18"/>
      <c r="B2438" s="77"/>
      <c r="C2438" s="77"/>
      <c r="D2438" s="78"/>
      <c r="E2438" s="77"/>
      <c r="F2438" s="77"/>
      <c r="G2438" s="77"/>
      <c r="H2438" s="77"/>
      <c r="I2438" s="77"/>
      <c r="J2438" s="77"/>
      <c r="K2438" s="79"/>
      <c r="L2438" s="49">
        <f t="shared" si="142"/>
        <v>0</v>
      </c>
      <c r="M2438" s="50">
        <f t="shared" si="143"/>
        <v>0</v>
      </c>
    </row>
    <row r="2439" spans="1:13" x14ac:dyDescent="0.2">
      <c r="A2439" s="18"/>
      <c r="B2439" s="77"/>
      <c r="C2439" s="77"/>
      <c r="D2439" s="78"/>
      <c r="E2439" s="77"/>
      <c r="F2439" s="77"/>
      <c r="G2439" s="77"/>
      <c r="H2439" s="77"/>
      <c r="I2439" s="77"/>
      <c r="J2439" s="77"/>
      <c r="K2439" s="79"/>
      <c r="L2439" s="49">
        <f t="shared" si="142"/>
        <v>0</v>
      </c>
      <c r="M2439" s="50">
        <f t="shared" si="143"/>
        <v>0</v>
      </c>
    </row>
    <row r="2440" spans="1:13" x14ac:dyDescent="0.2">
      <c r="A2440" s="18"/>
      <c r="B2440" s="77"/>
      <c r="C2440" s="77"/>
      <c r="D2440" s="78"/>
      <c r="E2440" s="77"/>
      <c r="F2440" s="77"/>
      <c r="G2440" s="77"/>
      <c r="H2440" s="77"/>
      <c r="I2440" s="77"/>
      <c r="J2440" s="77"/>
      <c r="K2440" s="79"/>
      <c r="L2440" s="49">
        <f t="shared" si="142"/>
        <v>0</v>
      </c>
      <c r="M2440" s="50">
        <f t="shared" si="143"/>
        <v>0</v>
      </c>
    </row>
    <row r="2441" spans="1:13" x14ac:dyDescent="0.2">
      <c r="A2441" s="18"/>
      <c r="B2441" s="77"/>
      <c r="C2441" s="77"/>
      <c r="D2441" s="78"/>
      <c r="E2441" s="77"/>
      <c r="F2441" s="77"/>
      <c r="G2441" s="77"/>
      <c r="H2441" s="77"/>
      <c r="I2441" s="77"/>
      <c r="J2441" s="77"/>
      <c r="K2441" s="79"/>
      <c r="L2441" s="49">
        <f t="shared" si="142"/>
        <v>0</v>
      </c>
      <c r="M2441" s="50">
        <f t="shared" si="143"/>
        <v>0</v>
      </c>
    </row>
    <row r="2442" spans="1:13" x14ac:dyDescent="0.2">
      <c r="A2442" s="18"/>
      <c r="B2442" s="77"/>
      <c r="C2442" s="77"/>
      <c r="D2442" s="78"/>
      <c r="E2442" s="77"/>
      <c r="F2442" s="77"/>
      <c r="G2442" s="77"/>
      <c r="H2442" s="77"/>
      <c r="I2442" s="77"/>
      <c r="J2442" s="77"/>
      <c r="K2442" s="79"/>
      <c r="L2442" s="49">
        <f t="shared" si="142"/>
        <v>0</v>
      </c>
      <c r="M2442" s="50">
        <f t="shared" si="143"/>
        <v>0</v>
      </c>
    </row>
    <row r="2443" spans="1:13" x14ac:dyDescent="0.2">
      <c r="A2443" s="18"/>
      <c r="B2443" s="77"/>
      <c r="C2443" s="77"/>
      <c r="D2443" s="78"/>
      <c r="E2443" s="77"/>
      <c r="F2443" s="77"/>
      <c r="G2443" s="77"/>
      <c r="H2443" s="77"/>
      <c r="I2443" s="77"/>
      <c r="J2443" s="77"/>
      <c r="K2443" s="79"/>
      <c r="L2443" s="49">
        <f t="shared" si="142"/>
        <v>0</v>
      </c>
      <c r="M2443" s="50">
        <f t="shared" si="143"/>
        <v>0</v>
      </c>
    </row>
    <row r="2444" spans="1:13" x14ac:dyDescent="0.2">
      <c r="A2444" s="18"/>
      <c r="B2444" s="77"/>
      <c r="C2444" s="77"/>
      <c r="D2444" s="78"/>
      <c r="E2444" s="77"/>
      <c r="F2444" s="77"/>
      <c r="G2444" s="77"/>
      <c r="H2444" s="77"/>
      <c r="I2444" s="77"/>
      <c r="J2444" s="77"/>
      <c r="K2444" s="79"/>
      <c r="L2444" s="49">
        <f t="shared" si="142"/>
        <v>0</v>
      </c>
      <c r="M2444" s="50">
        <f t="shared" si="143"/>
        <v>0</v>
      </c>
    </row>
    <row r="2445" spans="1:13" x14ac:dyDescent="0.2">
      <c r="A2445" s="18"/>
      <c r="B2445" s="77"/>
      <c r="C2445" s="77"/>
      <c r="D2445" s="78"/>
      <c r="E2445" s="77"/>
      <c r="F2445" s="77"/>
      <c r="G2445" s="77"/>
      <c r="H2445" s="77"/>
      <c r="I2445" s="77"/>
      <c r="J2445" s="77"/>
      <c r="K2445" s="79"/>
      <c r="L2445" s="49">
        <f t="shared" si="142"/>
        <v>0</v>
      </c>
      <c r="M2445" s="50">
        <f t="shared" si="143"/>
        <v>0</v>
      </c>
    </row>
    <row r="2446" spans="1:13" x14ac:dyDescent="0.2">
      <c r="A2446" s="18"/>
      <c r="B2446" s="77"/>
      <c r="C2446" s="77"/>
      <c r="D2446" s="78"/>
      <c r="E2446" s="77"/>
      <c r="F2446" s="77"/>
      <c r="G2446" s="77"/>
      <c r="H2446" s="77"/>
      <c r="I2446" s="77"/>
      <c r="J2446" s="77"/>
      <c r="K2446" s="79"/>
      <c r="L2446" s="49">
        <f t="shared" ref="L2446:L2509" si="144">+K2446*18%</f>
        <v>0</v>
      </c>
      <c r="M2446" s="50">
        <f t="shared" ref="M2446:M2509" si="145">+K2446+L2446</f>
        <v>0</v>
      </c>
    </row>
    <row r="2447" spans="1:13" x14ac:dyDescent="0.2">
      <c r="A2447" s="18"/>
      <c r="B2447" s="77"/>
      <c r="C2447" s="77"/>
      <c r="D2447" s="78"/>
      <c r="E2447" s="77"/>
      <c r="F2447" s="77"/>
      <c r="G2447" s="77"/>
      <c r="H2447" s="77"/>
      <c r="I2447" s="77"/>
      <c r="J2447" s="77"/>
      <c r="K2447" s="79"/>
      <c r="L2447" s="49">
        <f t="shared" si="144"/>
        <v>0</v>
      </c>
      <c r="M2447" s="50">
        <f t="shared" si="145"/>
        <v>0</v>
      </c>
    </row>
    <row r="2448" spans="1:13" x14ac:dyDescent="0.2">
      <c r="A2448" s="18"/>
      <c r="B2448" s="77"/>
      <c r="C2448" s="77"/>
      <c r="D2448" s="78"/>
      <c r="E2448" s="77"/>
      <c r="F2448" s="77"/>
      <c r="G2448" s="77"/>
      <c r="H2448" s="77"/>
      <c r="I2448" s="77"/>
      <c r="J2448" s="77"/>
      <c r="K2448" s="79"/>
      <c r="L2448" s="49">
        <f t="shared" si="144"/>
        <v>0</v>
      </c>
      <c r="M2448" s="50">
        <f t="shared" si="145"/>
        <v>0</v>
      </c>
    </row>
    <row r="2449" spans="1:13" x14ac:dyDescent="0.2">
      <c r="A2449" s="18"/>
      <c r="B2449" s="77"/>
      <c r="C2449" s="77"/>
      <c r="D2449" s="78"/>
      <c r="E2449" s="77"/>
      <c r="F2449" s="77"/>
      <c r="G2449" s="77"/>
      <c r="H2449" s="77"/>
      <c r="I2449" s="77"/>
      <c r="J2449" s="77"/>
      <c r="K2449" s="79"/>
      <c r="L2449" s="49">
        <f t="shared" si="144"/>
        <v>0</v>
      </c>
      <c r="M2449" s="50">
        <f t="shared" si="145"/>
        <v>0</v>
      </c>
    </row>
    <row r="2450" spans="1:13" x14ac:dyDescent="0.2">
      <c r="A2450" s="18"/>
      <c r="B2450" s="77"/>
      <c r="C2450" s="77"/>
      <c r="D2450" s="78"/>
      <c r="E2450" s="77"/>
      <c r="F2450" s="77"/>
      <c r="G2450" s="77"/>
      <c r="H2450" s="77"/>
      <c r="I2450" s="77"/>
      <c r="J2450" s="77"/>
      <c r="K2450" s="79"/>
      <c r="L2450" s="49">
        <f t="shared" si="144"/>
        <v>0</v>
      </c>
      <c r="M2450" s="50">
        <f t="shared" si="145"/>
        <v>0</v>
      </c>
    </row>
    <row r="2451" spans="1:13" x14ac:dyDescent="0.2">
      <c r="A2451" s="18"/>
      <c r="B2451" s="77"/>
      <c r="C2451" s="77"/>
      <c r="D2451" s="78"/>
      <c r="E2451" s="77"/>
      <c r="F2451" s="77"/>
      <c r="G2451" s="77"/>
      <c r="H2451" s="77"/>
      <c r="I2451" s="77"/>
      <c r="J2451" s="77"/>
      <c r="K2451" s="79"/>
      <c r="L2451" s="49">
        <f t="shared" si="144"/>
        <v>0</v>
      </c>
      <c r="M2451" s="50">
        <f t="shared" si="145"/>
        <v>0</v>
      </c>
    </row>
    <row r="2452" spans="1:13" x14ac:dyDescent="0.2">
      <c r="A2452" s="18"/>
      <c r="B2452" s="77"/>
      <c r="C2452" s="77"/>
      <c r="D2452" s="78"/>
      <c r="E2452" s="77"/>
      <c r="F2452" s="77"/>
      <c r="G2452" s="77"/>
      <c r="H2452" s="77"/>
      <c r="I2452" s="77"/>
      <c r="J2452" s="77"/>
      <c r="K2452" s="79"/>
      <c r="L2452" s="49">
        <f t="shared" si="144"/>
        <v>0</v>
      </c>
      <c r="M2452" s="50">
        <f t="shared" si="145"/>
        <v>0</v>
      </c>
    </row>
    <row r="2453" spans="1:13" x14ac:dyDescent="0.2">
      <c r="A2453" s="18"/>
      <c r="B2453" s="77"/>
      <c r="C2453" s="77"/>
      <c r="D2453" s="78"/>
      <c r="E2453" s="77"/>
      <c r="F2453" s="77"/>
      <c r="G2453" s="77"/>
      <c r="H2453" s="77"/>
      <c r="I2453" s="77"/>
      <c r="J2453" s="77"/>
      <c r="K2453" s="79"/>
      <c r="L2453" s="49">
        <f t="shared" si="144"/>
        <v>0</v>
      </c>
      <c r="M2453" s="50">
        <f t="shared" si="145"/>
        <v>0</v>
      </c>
    </row>
    <row r="2454" spans="1:13" x14ac:dyDescent="0.2">
      <c r="A2454" s="18"/>
      <c r="B2454" s="77"/>
      <c r="C2454" s="77"/>
      <c r="D2454" s="78"/>
      <c r="E2454" s="77"/>
      <c r="F2454" s="77"/>
      <c r="G2454" s="77"/>
      <c r="H2454" s="77"/>
      <c r="I2454" s="77"/>
      <c r="J2454" s="77"/>
      <c r="K2454" s="79"/>
      <c r="L2454" s="49">
        <f t="shared" si="144"/>
        <v>0</v>
      </c>
      <c r="M2454" s="50">
        <f t="shared" si="145"/>
        <v>0</v>
      </c>
    </row>
    <row r="2455" spans="1:13" x14ac:dyDescent="0.2">
      <c r="A2455" s="18"/>
      <c r="B2455" s="77"/>
      <c r="C2455" s="77"/>
      <c r="D2455" s="78"/>
      <c r="E2455" s="77"/>
      <c r="F2455" s="77"/>
      <c r="G2455" s="77"/>
      <c r="H2455" s="77"/>
      <c r="I2455" s="77"/>
      <c r="J2455" s="77"/>
      <c r="K2455" s="79"/>
      <c r="L2455" s="49">
        <f t="shared" si="144"/>
        <v>0</v>
      </c>
      <c r="M2455" s="50">
        <f t="shared" si="145"/>
        <v>0</v>
      </c>
    </row>
    <row r="2456" spans="1:13" x14ac:dyDescent="0.2">
      <c r="A2456" s="18"/>
      <c r="B2456" s="77"/>
      <c r="C2456" s="77"/>
      <c r="D2456" s="78"/>
      <c r="E2456" s="77"/>
      <c r="F2456" s="77"/>
      <c r="G2456" s="77"/>
      <c r="H2456" s="77"/>
      <c r="I2456" s="77"/>
      <c r="J2456" s="77"/>
      <c r="K2456" s="79"/>
      <c r="L2456" s="49">
        <f t="shared" si="144"/>
        <v>0</v>
      </c>
      <c r="M2456" s="50">
        <f t="shared" si="145"/>
        <v>0</v>
      </c>
    </row>
    <row r="2457" spans="1:13" x14ac:dyDescent="0.2">
      <c r="A2457" s="18"/>
      <c r="B2457" s="77"/>
      <c r="C2457" s="77"/>
      <c r="D2457" s="78"/>
      <c r="E2457" s="77"/>
      <c r="F2457" s="77"/>
      <c r="G2457" s="77"/>
      <c r="H2457" s="77"/>
      <c r="I2457" s="77"/>
      <c r="J2457" s="77"/>
      <c r="K2457" s="79"/>
      <c r="L2457" s="49">
        <f t="shared" si="144"/>
        <v>0</v>
      </c>
      <c r="M2457" s="50">
        <f t="shared" si="145"/>
        <v>0</v>
      </c>
    </row>
    <row r="2458" spans="1:13" x14ac:dyDescent="0.2">
      <c r="A2458" s="18"/>
      <c r="B2458" s="77"/>
      <c r="C2458" s="77"/>
      <c r="D2458" s="78"/>
      <c r="E2458" s="77"/>
      <c r="F2458" s="77"/>
      <c r="G2458" s="77"/>
      <c r="H2458" s="77"/>
      <c r="I2458" s="77"/>
      <c r="J2458" s="77"/>
      <c r="K2458" s="79"/>
      <c r="L2458" s="49">
        <f t="shared" si="144"/>
        <v>0</v>
      </c>
      <c r="M2458" s="50">
        <f t="shared" si="145"/>
        <v>0</v>
      </c>
    </row>
    <row r="2459" spans="1:13" x14ac:dyDescent="0.2">
      <c r="A2459" s="18"/>
      <c r="B2459" s="77"/>
      <c r="C2459" s="77"/>
      <c r="D2459" s="78"/>
      <c r="E2459" s="77"/>
      <c r="F2459" s="77"/>
      <c r="G2459" s="77"/>
      <c r="H2459" s="77"/>
      <c r="I2459" s="77"/>
      <c r="J2459" s="77"/>
      <c r="K2459" s="79"/>
      <c r="L2459" s="49">
        <f t="shared" si="144"/>
        <v>0</v>
      </c>
      <c r="M2459" s="50">
        <f t="shared" si="145"/>
        <v>0</v>
      </c>
    </row>
    <row r="2460" spans="1:13" x14ac:dyDescent="0.2">
      <c r="A2460" s="18"/>
      <c r="B2460" s="77"/>
      <c r="C2460" s="77"/>
      <c r="D2460" s="78"/>
      <c r="E2460" s="77"/>
      <c r="F2460" s="77"/>
      <c r="G2460" s="77"/>
      <c r="H2460" s="77"/>
      <c r="I2460" s="77"/>
      <c r="J2460" s="77"/>
      <c r="K2460" s="79"/>
      <c r="L2460" s="49">
        <f t="shared" si="144"/>
        <v>0</v>
      </c>
      <c r="M2460" s="50">
        <f t="shared" si="145"/>
        <v>0</v>
      </c>
    </row>
    <row r="2461" spans="1:13" x14ac:dyDescent="0.2">
      <c r="A2461" s="18"/>
      <c r="B2461" s="77"/>
      <c r="C2461" s="77"/>
      <c r="D2461" s="78"/>
      <c r="E2461" s="77"/>
      <c r="F2461" s="77"/>
      <c r="G2461" s="77"/>
      <c r="H2461" s="77"/>
      <c r="I2461" s="77"/>
      <c r="J2461" s="77"/>
      <c r="K2461" s="79"/>
      <c r="L2461" s="49">
        <f t="shared" si="144"/>
        <v>0</v>
      </c>
      <c r="M2461" s="50">
        <f t="shared" si="145"/>
        <v>0</v>
      </c>
    </row>
    <row r="2462" spans="1:13" x14ac:dyDescent="0.2">
      <c r="A2462" s="18"/>
      <c r="B2462" s="77"/>
      <c r="C2462" s="77"/>
      <c r="D2462" s="78"/>
      <c r="E2462" s="77"/>
      <c r="F2462" s="77"/>
      <c r="G2462" s="77"/>
      <c r="H2462" s="77"/>
      <c r="I2462" s="77"/>
      <c r="J2462" s="77"/>
      <c r="K2462" s="79"/>
      <c r="L2462" s="49">
        <f t="shared" si="144"/>
        <v>0</v>
      </c>
      <c r="M2462" s="50">
        <f t="shared" si="145"/>
        <v>0</v>
      </c>
    </row>
    <row r="2463" spans="1:13" x14ac:dyDescent="0.2">
      <c r="A2463" s="18"/>
      <c r="B2463" s="77"/>
      <c r="C2463" s="77"/>
      <c r="D2463" s="78"/>
      <c r="E2463" s="77"/>
      <c r="F2463" s="77"/>
      <c r="G2463" s="77"/>
      <c r="H2463" s="77"/>
      <c r="I2463" s="77"/>
      <c r="J2463" s="77"/>
      <c r="K2463" s="79"/>
      <c r="L2463" s="49">
        <f t="shared" si="144"/>
        <v>0</v>
      </c>
      <c r="M2463" s="50">
        <f t="shared" si="145"/>
        <v>0</v>
      </c>
    </row>
    <row r="2464" spans="1:13" x14ac:dyDescent="0.2">
      <c r="A2464" s="18"/>
      <c r="B2464" s="77"/>
      <c r="C2464" s="77"/>
      <c r="D2464" s="78"/>
      <c r="E2464" s="77"/>
      <c r="F2464" s="77"/>
      <c r="G2464" s="77"/>
      <c r="H2464" s="77"/>
      <c r="I2464" s="77"/>
      <c r="J2464" s="77"/>
      <c r="K2464" s="79"/>
      <c r="L2464" s="49">
        <f t="shared" si="144"/>
        <v>0</v>
      </c>
      <c r="M2464" s="50">
        <f t="shared" si="145"/>
        <v>0</v>
      </c>
    </row>
    <row r="2465" spans="1:13" x14ac:dyDescent="0.2">
      <c r="A2465" s="18"/>
      <c r="B2465" s="77"/>
      <c r="C2465" s="77"/>
      <c r="D2465" s="78"/>
      <c r="E2465" s="77"/>
      <c r="F2465" s="77"/>
      <c r="G2465" s="77"/>
      <c r="H2465" s="77"/>
      <c r="I2465" s="77"/>
      <c r="J2465" s="77"/>
      <c r="K2465" s="79"/>
      <c r="L2465" s="49">
        <f t="shared" si="144"/>
        <v>0</v>
      </c>
      <c r="M2465" s="50">
        <f t="shared" si="145"/>
        <v>0</v>
      </c>
    </row>
    <row r="2466" spans="1:13" x14ac:dyDescent="0.2">
      <c r="A2466" s="18"/>
      <c r="B2466" s="77"/>
      <c r="C2466" s="77"/>
      <c r="D2466" s="78"/>
      <c r="E2466" s="77"/>
      <c r="F2466" s="77"/>
      <c r="G2466" s="77"/>
      <c r="H2466" s="77"/>
      <c r="I2466" s="77"/>
      <c r="J2466" s="77"/>
      <c r="K2466" s="79"/>
      <c r="L2466" s="49">
        <f t="shared" si="144"/>
        <v>0</v>
      </c>
      <c r="M2466" s="50">
        <f t="shared" si="145"/>
        <v>0</v>
      </c>
    </row>
    <row r="2467" spans="1:13" x14ac:dyDescent="0.2">
      <c r="A2467" s="18"/>
      <c r="B2467" s="77"/>
      <c r="C2467" s="77"/>
      <c r="D2467" s="78"/>
      <c r="E2467" s="77"/>
      <c r="F2467" s="77"/>
      <c r="G2467" s="77"/>
      <c r="H2467" s="77"/>
      <c r="I2467" s="77"/>
      <c r="J2467" s="77"/>
      <c r="K2467" s="79"/>
      <c r="L2467" s="49">
        <f t="shared" si="144"/>
        <v>0</v>
      </c>
      <c r="M2467" s="50">
        <f t="shared" si="145"/>
        <v>0</v>
      </c>
    </row>
    <row r="2468" spans="1:13" x14ac:dyDescent="0.2">
      <c r="A2468" s="18"/>
      <c r="B2468" s="77"/>
      <c r="C2468" s="77"/>
      <c r="D2468" s="78"/>
      <c r="E2468" s="77"/>
      <c r="F2468" s="77"/>
      <c r="G2468" s="77"/>
      <c r="H2468" s="77"/>
      <c r="I2468" s="77"/>
      <c r="J2468" s="77"/>
      <c r="K2468" s="79"/>
      <c r="L2468" s="49">
        <f t="shared" si="144"/>
        <v>0</v>
      </c>
      <c r="M2468" s="50">
        <f t="shared" si="145"/>
        <v>0</v>
      </c>
    </row>
    <row r="2469" spans="1:13" x14ac:dyDescent="0.2">
      <c r="A2469" s="18"/>
      <c r="B2469" s="77"/>
      <c r="C2469" s="77"/>
      <c r="D2469" s="78"/>
      <c r="E2469" s="77"/>
      <c r="F2469" s="77"/>
      <c r="G2469" s="77"/>
      <c r="H2469" s="77"/>
      <c r="I2469" s="77"/>
      <c r="J2469" s="77"/>
      <c r="K2469" s="79"/>
      <c r="L2469" s="49">
        <f t="shared" si="144"/>
        <v>0</v>
      </c>
      <c r="M2469" s="50">
        <f t="shared" si="145"/>
        <v>0</v>
      </c>
    </row>
    <row r="2470" spans="1:13" x14ac:dyDescent="0.2">
      <c r="A2470" s="18"/>
      <c r="B2470" s="77"/>
      <c r="C2470" s="77"/>
      <c r="D2470" s="78"/>
      <c r="E2470" s="77"/>
      <c r="F2470" s="77"/>
      <c r="G2470" s="77"/>
      <c r="H2470" s="77"/>
      <c r="I2470" s="77"/>
      <c r="J2470" s="77"/>
      <c r="K2470" s="79"/>
      <c r="L2470" s="49">
        <f t="shared" si="144"/>
        <v>0</v>
      </c>
      <c r="M2470" s="50">
        <f t="shared" si="145"/>
        <v>0</v>
      </c>
    </row>
    <row r="2471" spans="1:13" x14ac:dyDescent="0.2">
      <c r="A2471" s="18"/>
      <c r="B2471" s="77"/>
      <c r="C2471" s="77"/>
      <c r="D2471" s="78"/>
      <c r="E2471" s="77"/>
      <c r="F2471" s="77"/>
      <c r="G2471" s="77"/>
      <c r="H2471" s="77"/>
      <c r="I2471" s="77"/>
      <c r="J2471" s="77"/>
      <c r="K2471" s="79"/>
      <c r="L2471" s="49">
        <f t="shared" si="144"/>
        <v>0</v>
      </c>
      <c r="M2471" s="50">
        <f t="shared" si="145"/>
        <v>0</v>
      </c>
    </row>
    <row r="2472" spans="1:13" x14ac:dyDescent="0.2">
      <c r="A2472" s="18"/>
      <c r="B2472" s="77"/>
      <c r="C2472" s="77"/>
      <c r="D2472" s="78"/>
      <c r="E2472" s="77"/>
      <c r="F2472" s="77"/>
      <c r="G2472" s="77"/>
      <c r="H2472" s="77"/>
      <c r="I2472" s="77"/>
      <c r="J2472" s="77"/>
      <c r="K2472" s="79"/>
      <c r="L2472" s="49">
        <f t="shared" si="144"/>
        <v>0</v>
      </c>
      <c r="M2472" s="50">
        <f t="shared" si="145"/>
        <v>0</v>
      </c>
    </row>
    <row r="2473" spans="1:13" x14ac:dyDescent="0.2">
      <c r="A2473" s="18"/>
      <c r="B2473" s="77"/>
      <c r="C2473" s="77"/>
      <c r="D2473" s="78"/>
      <c r="E2473" s="77"/>
      <c r="F2473" s="77"/>
      <c r="G2473" s="77"/>
      <c r="H2473" s="77"/>
      <c r="I2473" s="77"/>
      <c r="J2473" s="77"/>
      <c r="K2473" s="79"/>
      <c r="L2473" s="49">
        <f t="shared" si="144"/>
        <v>0</v>
      </c>
      <c r="M2473" s="50">
        <f t="shared" si="145"/>
        <v>0</v>
      </c>
    </row>
    <row r="2474" spans="1:13" x14ac:dyDescent="0.2">
      <c r="A2474" s="18"/>
      <c r="B2474" s="77"/>
      <c r="C2474" s="77"/>
      <c r="D2474" s="78"/>
      <c r="E2474" s="77"/>
      <c r="F2474" s="77"/>
      <c r="G2474" s="77"/>
      <c r="H2474" s="77"/>
      <c r="I2474" s="77"/>
      <c r="J2474" s="77"/>
      <c r="K2474" s="79"/>
      <c r="L2474" s="49">
        <f t="shared" si="144"/>
        <v>0</v>
      </c>
      <c r="M2474" s="50">
        <f t="shared" si="145"/>
        <v>0</v>
      </c>
    </row>
    <row r="2475" spans="1:13" x14ac:dyDescent="0.2">
      <c r="A2475" s="18"/>
      <c r="B2475" s="77"/>
      <c r="C2475" s="77"/>
      <c r="D2475" s="78"/>
      <c r="E2475" s="77"/>
      <c r="F2475" s="77"/>
      <c r="G2475" s="77"/>
      <c r="H2475" s="77"/>
      <c r="I2475" s="77"/>
      <c r="J2475" s="77"/>
      <c r="K2475" s="79"/>
      <c r="L2475" s="49">
        <f t="shared" si="144"/>
        <v>0</v>
      </c>
      <c r="M2475" s="50">
        <f t="shared" si="145"/>
        <v>0</v>
      </c>
    </row>
    <row r="2476" spans="1:13" x14ac:dyDescent="0.2">
      <c r="A2476" s="18"/>
      <c r="B2476" s="77"/>
      <c r="C2476" s="77"/>
      <c r="D2476" s="78"/>
      <c r="E2476" s="77"/>
      <c r="F2476" s="77"/>
      <c r="G2476" s="77"/>
      <c r="H2476" s="77"/>
      <c r="I2476" s="77"/>
      <c r="J2476" s="77"/>
      <c r="K2476" s="79"/>
      <c r="L2476" s="49">
        <f t="shared" si="144"/>
        <v>0</v>
      </c>
      <c r="M2476" s="50">
        <f t="shared" si="145"/>
        <v>0</v>
      </c>
    </row>
    <row r="2477" spans="1:13" x14ac:dyDescent="0.2">
      <c r="A2477" s="18"/>
      <c r="B2477" s="77"/>
      <c r="C2477" s="77"/>
      <c r="D2477" s="78"/>
      <c r="E2477" s="77"/>
      <c r="F2477" s="77"/>
      <c r="G2477" s="77"/>
      <c r="H2477" s="77"/>
      <c r="I2477" s="77"/>
      <c r="J2477" s="77"/>
      <c r="K2477" s="79"/>
      <c r="L2477" s="49">
        <f t="shared" si="144"/>
        <v>0</v>
      </c>
      <c r="M2477" s="50">
        <f t="shared" si="145"/>
        <v>0</v>
      </c>
    </row>
    <row r="2478" spans="1:13" x14ac:dyDescent="0.2">
      <c r="A2478" s="18"/>
      <c r="B2478" s="77"/>
      <c r="C2478" s="77"/>
      <c r="D2478" s="78"/>
      <c r="E2478" s="77"/>
      <c r="F2478" s="77"/>
      <c r="G2478" s="77"/>
      <c r="H2478" s="77"/>
      <c r="I2478" s="77"/>
      <c r="J2478" s="77"/>
      <c r="K2478" s="79"/>
      <c r="L2478" s="49">
        <f t="shared" si="144"/>
        <v>0</v>
      </c>
      <c r="M2478" s="50">
        <f t="shared" si="145"/>
        <v>0</v>
      </c>
    </row>
    <row r="2479" spans="1:13" x14ac:dyDescent="0.2">
      <c r="A2479" s="18"/>
      <c r="B2479" s="77"/>
      <c r="C2479" s="77"/>
      <c r="D2479" s="78"/>
      <c r="E2479" s="77"/>
      <c r="F2479" s="77"/>
      <c r="G2479" s="77"/>
      <c r="H2479" s="77"/>
      <c r="I2479" s="77"/>
      <c r="J2479" s="77"/>
      <c r="K2479" s="79"/>
      <c r="L2479" s="49">
        <f t="shared" si="144"/>
        <v>0</v>
      </c>
      <c r="M2479" s="50">
        <f t="shared" si="145"/>
        <v>0</v>
      </c>
    </row>
    <row r="2480" spans="1:13" x14ac:dyDescent="0.2">
      <c r="A2480" s="18"/>
      <c r="B2480" s="77"/>
      <c r="C2480" s="77"/>
      <c r="D2480" s="78"/>
      <c r="E2480" s="77"/>
      <c r="F2480" s="77"/>
      <c r="G2480" s="77"/>
      <c r="H2480" s="77"/>
      <c r="I2480" s="77"/>
      <c r="J2480" s="77"/>
      <c r="K2480" s="79"/>
      <c r="L2480" s="49">
        <f t="shared" si="144"/>
        <v>0</v>
      </c>
      <c r="M2480" s="50">
        <f t="shared" si="145"/>
        <v>0</v>
      </c>
    </row>
    <row r="2481" spans="1:13" x14ac:dyDescent="0.2">
      <c r="A2481" s="18"/>
      <c r="B2481" s="77"/>
      <c r="C2481" s="77"/>
      <c r="D2481" s="78"/>
      <c r="E2481" s="77"/>
      <c r="F2481" s="77"/>
      <c r="G2481" s="77"/>
      <c r="H2481" s="77"/>
      <c r="I2481" s="77"/>
      <c r="J2481" s="77"/>
      <c r="K2481" s="79"/>
      <c r="L2481" s="49">
        <f t="shared" si="144"/>
        <v>0</v>
      </c>
      <c r="M2481" s="50">
        <f t="shared" si="145"/>
        <v>0</v>
      </c>
    </row>
    <row r="2482" spans="1:13" x14ac:dyDescent="0.2">
      <c r="A2482" s="18"/>
      <c r="B2482" s="77"/>
      <c r="C2482" s="77"/>
      <c r="D2482" s="78"/>
      <c r="E2482" s="77"/>
      <c r="F2482" s="77"/>
      <c r="G2482" s="77"/>
      <c r="H2482" s="77"/>
      <c r="I2482" s="77"/>
      <c r="J2482" s="77"/>
      <c r="K2482" s="79"/>
      <c r="L2482" s="49">
        <f t="shared" si="144"/>
        <v>0</v>
      </c>
      <c r="M2482" s="50">
        <f t="shared" si="145"/>
        <v>0</v>
      </c>
    </row>
    <row r="2483" spans="1:13" x14ac:dyDescent="0.2">
      <c r="A2483" s="18"/>
      <c r="B2483" s="77"/>
      <c r="C2483" s="77"/>
      <c r="D2483" s="78"/>
      <c r="E2483" s="77"/>
      <c r="F2483" s="77"/>
      <c r="G2483" s="77"/>
      <c r="H2483" s="77"/>
      <c r="I2483" s="77"/>
      <c r="J2483" s="77"/>
      <c r="K2483" s="79"/>
      <c r="L2483" s="49">
        <f t="shared" si="144"/>
        <v>0</v>
      </c>
      <c r="M2483" s="50">
        <f t="shared" si="145"/>
        <v>0</v>
      </c>
    </row>
    <row r="2484" spans="1:13" x14ac:dyDescent="0.2">
      <c r="A2484" s="18"/>
      <c r="B2484" s="77"/>
      <c r="C2484" s="77"/>
      <c r="D2484" s="78"/>
      <c r="E2484" s="77"/>
      <c r="F2484" s="77"/>
      <c r="G2484" s="77"/>
      <c r="H2484" s="77"/>
      <c r="I2484" s="77"/>
      <c r="J2484" s="77"/>
      <c r="K2484" s="79"/>
      <c r="L2484" s="49">
        <f t="shared" si="144"/>
        <v>0</v>
      </c>
      <c r="M2484" s="50">
        <f t="shared" si="145"/>
        <v>0</v>
      </c>
    </row>
    <row r="2485" spans="1:13" x14ac:dyDescent="0.2">
      <c r="A2485" s="18"/>
      <c r="B2485" s="77"/>
      <c r="C2485" s="77"/>
      <c r="D2485" s="78"/>
      <c r="E2485" s="77"/>
      <c r="F2485" s="77"/>
      <c r="G2485" s="77"/>
      <c r="H2485" s="77"/>
      <c r="I2485" s="77"/>
      <c r="J2485" s="77"/>
      <c r="K2485" s="79"/>
      <c r="L2485" s="49">
        <f t="shared" si="144"/>
        <v>0</v>
      </c>
      <c r="M2485" s="50">
        <f t="shared" si="145"/>
        <v>0</v>
      </c>
    </row>
    <row r="2486" spans="1:13" x14ac:dyDescent="0.2">
      <c r="A2486" s="18"/>
      <c r="B2486" s="77"/>
      <c r="C2486" s="77"/>
      <c r="D2486" s="78"/>
      <c r="E2486" s="77"/>
      <c r="F2486" s="77"/>
      <c r="G2486" s="77"/>
      <c r="H2486" s="77"/>
      <c r="I2486" s="77"/>
      <c r="J2486" s="77"/>
      <c r="K2486" s="79"/>
      <c r="L2486" s="49">
        <f t="shared" si="144"/>
        <v>0</v>
      </c>
      <c r="M2486" s="50">
        <f t="shared" si="145"/>
        <v>0</v>
      </c>
    </row>
    <row r="2487" spans="1:13" x14ac:dyDescent="0.2">
      <c r="A2487" s="18"/>
      <c r="B2487" s="77"/>
      <c r="C2487" s="77"/>
      <c r="D2487" s="78"/>
      <c r="E2487" s="77"/>
      <c r="F2487" s="77"/>
      <c r="G2487" s="77"/>
      <c r="H2487" s="77"/>
      <c r="I2487" s="77"/>
      <c r="J2487" s="77"/>
      <c r="K2487" s="79"/>
      <c r="L2487" s="49">
        <f t="shared" si="144"/>
        <v>0</v>
      </c>
      <c r="M2487" s="50">
        <f t="shared" si="145"/>
        <v>0</v>
      </c>
    </row>
    <row r="2488" spans="1:13" x14ac:dyDescent="0.2">
      <c r="A2488" s="18"/>
      <c r="B2488" s="77"/>
      <c r="C2488" s="77"/>
      <c r="D2488" s="78"/>
      <c r="E2488" s="77"/>
      <c r="F2488" s="77"/>
      <c r="G2488" s="77"/>
      <c r="H2488" s="77"/>
      <c r="I2488" s="77"/>
      <c r="J2488" s="77"/>
      <c r="K2488" s="79"/>
      <c r="L2488" s="49">
        <f t="shared" si="144"/>
        <v>0</v>
      </c>
      <c r="M2488" s="50">
        <f t="shared" si="145"/>
        <v>0</v>
      </c>
    </row>
    <row r="2489" spans="1:13" x14ac:dyDescent="0.2">
      <c r="A2489" s="18"/>
      <c r="B2489" s="77"/>
      <c r="C2489" s="77"/>
      <c r="D2489" s="78"/>
      <c r="E2489" s="77"/>
      <c r="F2489" s="77"/>
      <c r="G2489" s="77"/>
      <c r="H2489" s="77"/>
      <c r="I2489" s="77"/>
      <c r="J2489" s="77"/>
      <c r="K2489" s="79"/>
      <c r="L2489" s="49">
        <f t="shared" si="144"/>
        <v>0</v>
      </c>
      <c r="M2489" s="50">
        <f t="shared" si="145"/>
        <v>0</v>
      </c>
    </row>
    <row r="2490" spans="1:13" x14ac:dyDescent="0.2">
      <c r="A2490" s="18"/>
      <c r="B2490" s="77"/>
      <c r="C2490" s="77"/>
      <c r="D2490" s="78"/>
      <c r="E2490" s="77"/>
      <c r="F2490" s="77"/>
      <c r="G2490" s="77"/>
      <c r="H2490" s="77"/>
      <c r="I2490" s="77"/>
      <c r="J2490" s="77"/>
      <c r="K2490" s="79"/>
      <c r="L2490" s="49">
        <f t="shared" si="144"/>
        <v>0</v>
      </c>
      <c r="M2490" s="50">
        <f t="shared" si="145"/>
        <v>0</v>
      </c>
    </row>
    <row r="2491" spans="1:13" x14ac:dyDescent="0.2">
      <c r="A2491" s="18"/>
      <c r="B2491" s="77"/>
      <c r="C2491" s="77"/>
      <c r="D2491" s="78"/>
      <c r="E2491" s="77"/>
      <c r="F2491" s="77"/>
      <c r="G2491" s="77"/>
      <c r="H2491" s="77"/>
      <c r="I2491" s="77"/>
      <c r="J2491" s="77"/>
      <c r="K2491" s="79"/>
      <c r="L2491" s="49">
        <f t="shared" si="144"/>
        <v>0</v>
      </c>
      <c r="M2491" s="50">
        <f t="shared" si="145"/>
        <v>0</v>
      </c>
    </row>
    <row r="2492" spans="1:13" x14ac:dyDescent="0.2">
      <c r="A2492" s="18"/>
      <c r="B2492" s="77"/>
      <c r="C2492" s="77"/>
      <c r="D2492" s="78"/>
      <c r="E2492" s="77"/>
      <c r="F2492" s="77"/>
      <c r="G2492" s="77"/>
      <c r="H2492" s="77"/>
      <c r="I2492" s="77"/>
      <c r="J2492" s="77"/>
      <c r="K2492" s="79"/>
      <c r="L2492" s="49">
        <f t="shared" si="144"/>
        <v>0</v>
      </c>
      <c r="M2492" s="50">
        <f t="shared" si="145"/>
        <v>0</v>
      </c>
    </row>
    <row r="2493" spans="1:13" x14ac:dyDescent="0.2">
      <c r="A2493" s="18"/>
      <c r="B2493" s="77"/>
      <c r="C2493" s="77"/>
      <c r="D2493" s="78"/>
      <c r="E2493" s="77"/>
      <c r="F2493" s="77"/>
      <c r="G2493" s="77"/>
      <c r="H2493" s="77"/>
      <c r="I2493" s="77"/>
      <c r="J2493" s="77"/>
      <c r="K2493" s="79"/>
      <c r="L2493" s="49">
        <f t="shared" si="144"/>
        <v>0</v>
      </c>
      <c r="M2493" s="50">
        <f t="shared" si="145"/>
        <v>0</v>
      </c>
    </row>
    <row r="2494" spans="1:13" x14ac:dyDescent="0.2">
      <c r="A2494" s="18"/>
      <c r="B2494" s="77"/>
      <c r="C2494" s="77"/>
      <c r="D2494" s="78"/>
      <c r="E2494" s="77"/>
      <c r="F2494" s="77"/>
      <c r="G2494" s="77"/>
      <c r="H2494" s="77"/>
      <c r="I2494" s="77"/>
      <c r="J2494" s="77"/>
      <c r="K2494" s="79"/>
      <c r="L2494" s="49">
        <f t="shared" si="144"/>
        <v>0</v>
      </c>
      <c r="M2494" s="50">
        <f t="shared" si="145"/>
        <v>0</v>
      </c>
    </row>
    <row r="2495" spans="1:13" x14ac:dyDescent="0.2">
      <c r="A2495" s="18"/>
      <c r="B2495" s="77"/>
      <c r="C2495" s="77"/>
      <c r="D2495" s="78"/>
      <c r="E2495" s="77"/>
      <c r="F2495" s="77"/>
      <c r="G2495" s="77"/>
      <c r="H2495" s="77"/>
      <c r="I2495" s="77"/>
      <c r="J2495" s="77"/>
      <c r="K2495" s="79"/>
      <c r="L2495" s="49">
        <f t="shared" si="144"/>
        <v>0</v>
      </c>
      <c r="M2495" s="50">
        <f t="shared" si="145"/>
        <v>0</v>
      </c>
    </row>
    <row r="2496" spans="1:13" x14ac:dyDescent="0.2">
      <c r="A2496" s="18"/>
      <c r="B2496" s="77"/>
      <c r="C2496" s="77"/>
      <c r="D2496" s="78"/>
      <c r="E2496" s="77"/>
      <c r="F2496" s="77"/>
      <c r="G2496" s="77"/>
      <c r="H2496" s="77"/>
      <c r="I2496" s="77"/>
      <c r="J2496" s="77"/>
      <c r="K2496" s="79"/>
      <c r="L2496" s="49">
        <f t="shared" si="144"/>
        <v>0</v>
      </c>
      <c r="M2496" s="50">
        <f t="shared" si="145"/>
        <v>0</v>
      </c>
    </row>
    <row r="2497" spans="1:13" x14ac:dyDescent="0.2">
      <c r="A2497" s="18"/>
      <c r="B2497" s="77"/>
      <c r="C2497" s="77"/>
      <c r="D2497" s="78"/>
      <c r="E2497" s="77"/>
      <c r="F2497" s="77"/>
      <c r="G2497" s="77"/>
      <c r="H2497" s="77"/>
      <c r="I2497" s="77"/>
      <c r="J2497" s="77"/>
      <c r="K2497" s="79"/>
      <c r="L2497" s="49">
        <f t="shared" si="144"/>
        <v>0</v>
      </c>
      <c r="M2497" s="50">
        <f t="shared" si="145"/>
        <v>0</v>
      </c>
    </row>
    <row r="2498" spans="1:13" x14ac:dyDescent="0.2">
      <c r="A2498" s="18"/>
      <c r="B2498" s="77"/>
      <c r="C2498" s="77"/>
      <c r="D2498" s="78"/>
      <c r="E2498" s="77"/>
      <c r="F2498" s="77"/>
      <c r="G2498" s="77"/>
      <c r="H2498" s="77"/>
      <c r="I2498" s="77"/>
      <c r="J2498" s="77"/>
      <c r="K2498" s="79"/>
      <c r="L2498" s="49">
        <f t="shared" si="144"/>
        <v>0</v>
      </c>
      <c r="M2498" s="50">
        <f t="shared" si="145"/>
        <v>0</v>
      </c>
    </row>
    <row r="2499" spans="1:13" x14ac:dyDescent="0.2">
      <c r="A2499" s="18"/>
      <c r="B2499" s="77"/>
      <c r="C2499" s="77"/>
      <c r="D2499" s="78"/>
      <c r="E2499" s="77"/>
      <c r="F2499" s="77"/>
      <c r="G2499" s="77"/>
      <c r="H2499" s="77"/>
      <c r="I2499" s="77"/>
      <c r="J2499" s="77"/>
      <c r="K2499" s="79"/>
      <c r="L2499" s="49">
        <f t="shared" si="144"/>
        <v>0</v>
      </c>
      <c r="M2499" s="50">
        <f t="shared" si="145"/>
        <v>0</v>
      </c>
    </row>
    <row r="2500" spans="1:13" x14ac:dyDescent="0.2">
      <c r="A2500" s="18"/>
      <c r="B2500" s="77"/>
      <c r="C2500" s="77"/>
      <c r="D2500" s="78"/>
      <c r="E2500" s="77"/>
      <c r="F2500" s="77"/>
      <c r="G2500" s="77"/>
      <c r="H2500" s="77"/>
      <c r="I2500" s="77"/>
      <c r="J2500" s="77"/>
      <c r="K2500" s="79"/>
      <c r="L2500" s="49">
        <f t="shared" si="144"/>
        <v>0</v>
      </c>
      <c r="M2500" s="50">
        <f t="shared" si="145"/>
        <v>0</v>
      </c>
    </row>
    <row r="2501" spans="1:13" x14ac:dyDescent="0.2">
      <c r="A2501" s="18"/>
      <c r="B2501" s="77"/>
      <c r="C2501" s="77"/>
      <c r="D2501" s="78"/>
      <c r="E2501" s="77"/>
      <c r="F2501" s="77"/>
      <c r="G2501" s="77"/>
      <c r="H2501" s="77"/>
      <c r="I2501" s="77"/>
      <c r="J2501" s="77"/>
      <c r="K2501" s="79"/>
      <c r="L2501" s="49">
        <f t="shared" si="144"/>
        <v>0</v>
      </c>
      <c r="M2501" s="50">
        <f t="shared" si="145"/>
        <v>0</v>
      </c>
    </row>
    <row r="2502" spans="1:13" x14ac:dyDescent="0.2">
      <c r="A2502" s="18"/>
      <c r="B2502" s="77"/>
      <c r="C2502" s="77"/>
      <c r="D2502" s="78"/>
      <c r="E2502" s="77"/>
      <c r="F2502" s="77"/>
      <c r="G2502" s="77"/>
      <c r="H2502" s="77"/>
      <c r="I2502" s="77"/>
      <c r="J2502" s="77"/>
      <c r="K2502" s="79"/>
      <c r="L2502" s="49">
        <f t="shared" si="144"/>
        <v>0</v>
      </c>
      <c r="M2502" s="50">
        <f t="shared" si="145"/>
        <v>0</v>
      </c>
    </row>
    <row r="2503" spans="1:13" x14ac:dyDescent="0.2">
      <c r="A2503" s="18"/>
      <c r="B2503" s="77"/>
      <c r="C2503" s="77"/>
      <c r="D2503" s="78"/>
      <c r="E2503" s="77"/>
      <c r="F2503" s="77"/>
      <c r="G2503" s="77"/>
      <c r="H2503" s="77"/>
      <c r="I2503" s="77"/>
      <c r="J2503" s="77"/>
      <c r="K2503" s="79"/>
      <c r="L2503" s="49">
        <f t="shared" si="144"/>
        <v>0</v>
      </c>
      <c r="M2503" s="50">
        <f t="shared" si="145"/>
        <v>0</v>
      </c>
    </row>
    <row r="2504" spans="1:13" x14ac:dyDescent="0.2">
      <c r="A2504" s="18"/>
      <c r="B2504" s="77"/>
      <c r="C2504" s="77"/>
      <c r="D2504" s="78"/>
      <c r="E2504" s="77"/>
      <c r="F2504" s="77"/>
      <c r="G2504" s="77"/>
      <c r="H2504" s="77"/>
      <c r="I2504" s="77"/>
      <c r="J2504" s="77"/>
      <c r="K2504" s="79"/>
      <c r="L2504" s="49">
        <f t="shared" si="144"/>
        <v>0</v>
      </c>
      <c r="M2504" s="50">
        <f t="shared" si="145"/>
        <v>0</v>
      </c>
    </row>
    <row r="2505" spans="1:13" x14ac:dyDescent="0.2">
      <c r="A2505" s="18"/>
      <c r="B2505" s="77"/>
      <c r="C2505" s="77"/>
      <c r="D2505" s="78"/>
      <c r="E2505" s="77"/>
      <c r="F2505" s="77"/>
      <c r="G2505" s="77"/>
      <c r="H2505" s="77"/>
      <c r="I2505" s="77"/>
      <c r="J2505" s="77"/>
      <c r="K2505" s="79"/>
      <c r="L2505" s="49">
        <f t="shared" si="144"/>
        <v>0</v>
      </c>
      <c r="M2505" s="50">
        <f t="shared" si="145"/>
        <v>0</v>
      </c>
    </row>
    <row r="2506" spans="1:13" x14ac:dyDescent="0.2">
      <c r="A2506" s="18"/>
      <c r="B2506" s="77"/>
      <c r="C2506" s="77"/>
      <c r="D2506" s="78"/>
      <c r="E2506" s="77"/>
      <c r="F2506" s="77"/>
      <c r="G2506" s="77"/>
      <c r="H2506" s="77"/>
      <c r="I2506" s="77"/>
      <c r="J2506" s="77"/>
      <c r="K2506" s="79"/>
      <c r="L2506" s="49">
        <f t="shared" si="144"/>
        <v>0</v>
      </c>
      <c r="M2506" s="50">
        <f t="shared" si="145"/>
        <v>0</v>
      </c>
    </row>
    <row r="2507" spans="1:13" x14ac:dyDescent="0.2">
      <c r="A2507" s="18"/>
      <c r="B2507" s="77"/>
      <c r="C2507" s="77"/>
      <c r="D2507" s="78"/>
      <c r="E2507" s="77"/>
      <c r="F2507" s="77"/>
      <c r="G2507" s="77"/>
      <c r="H2507" s="77"/>
      <c r="I2507" s="77"/>
      <c r="J2507" s="77"/>
      <c r="K2507" s="79"/>
      <c r="L2507" s="49">
        <f t="shared" si="144"/>
        <v>0</v>
      </c>
      <c r="M2507" s="50">
        <f t="shared" si="145"/>
        <v>0</v>
      </c>
    </row>
    <row r="2508" spans="1:13" x14ac:dyDescent="0.2">
      <c r="A2508" s="18"/>
      <c r="B2508" s="77"/>
      <c r="C2508" s="77"/>
      <c r="D2508" s="78"/>
      <c r="E2508" s="77"/>
      <c r="F2508" s="77"/>
      <c r="G2508" s="77"/>
      <c r="H2508" s="77"/>
      <c r="I2508" s="77"/>
      <c r="J2508" s="77"/>
      <c r="K2508" s="79"/>
      <c r="L2508" s="49">
        <f t="shared" si="144"/>
        <v>0</v>
      </c>
      <c r="M2508" s="50">
        <f t="shared" si="145"/>
        <v>0</v>
      </c>
    </row>
    <row r="2509" spans="1:13" x14ac:dyDescent="0.2">
      <c r="A2509" s="18"/>
      <c r="B2509" s="77"/>
      <c r="C2509" s="77"/>
      <c r="D2509" s="78"/>
      <c r="E2509" s="77"/>
      <c r="F2509" s="77"/>
      <c r="G2509" s="77"/>
      <c r="H2509" s="77"/>
      <c r="I2509" s="77"/>
      <c r="J2509" s="77"/>
      <c r="K2509" s="79"/>
      <c r="L2509" s="49">
        <f t="shared" si="144"/>
        <v>0</v>
      </c>
      <c r="M2509" s="50">
        <f t="shared" si="145"/>
        <v>0</v>
      </c>
    </row>
    <row r="2510" spans="1:13" x14ac:dyDescent="0.2">
      <c r="A2510" s="18"/>
      <c r="B2510" s="77"/>
      <c r="C2510" s="77"/>
      <c r="D2510" s="78"/>
      <c r="E2510" s="77"/>
      <c r="F2510" s="77"/>
      <c r="G2510" s="77"/>
      <c r="H2510" s="77"/>
      <c r="I2510" s="77"/>
      <c r="J2510" s="77"/>
      <c r="K2510" s="79"/>
      <c r="L2510" s="49">
        <f t="shared" ref="L2510:L2573" si="146">+K2510*18%</f>
        <v>0</v>
      </c>
      <c r="M2510" s="50">
        <f t="shared" ref="M2510:M2573" si="147">+K2510+L2510</f>
        <v>0</v>
      </c>
    </row>
    <row r="2511" spans="1:13" x14ac:dyDescent="0.2">
      <c r="A2511" s="18"/>
      <c r="B2511" s="77"/>
      <c r="C2511" s="77"/>
      <c r="D2511" s="78"/>
      <c r="E2511" s="77"/>
      <c r="F2511" s="77"/>
      <c r="G2511" s="77"/>
      <c r="H2511" s="77"/>
      <c r="I2511" s="77"/>
      <c r="J2511" s="77"/>
      <c r="K2511" s="79"/>
      <c r="L2511" s="49">
        <f t="shared" si="146"/>
        <v>0</v>
      </c>
      <c r="M2511" s="50">
        <f t="shared" si="147"/>
        <v>0</v>
      </c>
    </row>
    <row r="2512" spans="1:13" x14ac:dyDescent="0.2">
      <c r="A2512" s="18"/>
      <c r="B2512" s="77"/>
      <c r="C2512" s="77"/>
      <c r="D2512" s="78"/>
      <c r="E2512" s="77"/>
      <c r="F2512" s="77"/>
      <c r="G2512" s="77"/>
      <c r="H2512" s="77"/>
      <c r="I2512" s="77"/>
      <c r="J2512" s="77"/>
      <c r="K2512" s="79"/>
      <c r="L2512" s="49">
        <f t="shared" si="146"/>
        <v>0</v>
      </c>
      <c r="M2512" s="50">
        <f t="shared" si="147"/>
        <v>0</v>
      </c>
    </row>
    <row r="2513" spans="1:13" x14ac:dyDescent="0.2">
      <c r="A2513" s="18"/>
      <c r="B2513" s="77"/>
      <c r="C2513" s="77"/>
      <c r="D2513" s="78"/>
      <c r="E2513" s="77"/>
      <c r="F2513" s="77"/>
      <c r="G2513" s="77"/>
      <c r="H2513" s="77"/>
      <c r="I2513" s="77"/>
      <c r="J2513" s="77"/>
      <c r="K2513" s="79"/>
      <c r="L2513" s="49">
        <f t="shared" si="146"/>
        <v>0</v>
      </c>
      <c r="M2513" s="50">
        <f t="shared" si="147"/>
        <v>0</v>
      </c>
    </row>
    <row r="2514" spans="1:13" x14ac:dyDescent="0.2">
      <c r="A2514" s="18"/>
      <c r="B2514" s="77"/>
      <c r="C2514" s="77"/>
      <c r="D2514" s="78"/>
      <c r="E2514" s="77"/>
      <c r="F2514" s="77"/>
      <c r="G2514" s="77"/>
      <c r="H2514" s="77"/>
      <c r="I2514" s="77"/>
      <c r="J2514" s="77"/>
      <c r="K2514" s="79"/>
      <c r="L2514" s="49">
        <f t="shared" si="146"/>
        <v>0</v>
      </c>
      <c r="M2514" s="50">
        <f t="shared" si="147"/>
        <v>0</v>
      </c>
    </row>
    <row r="2515" spans="1:13" x14ac:dyDescent="0.2">
      <c r="A2515" s="18"/>
      <c r="B2515" s="77"/>
      <c r="C2515" s="77"/>
      <c r="D2515" s="78"/>
      <c r="E2515" s="77"/>
      <c r="F2515" s="77"/>
      <c r="G2515" s="77"/>
      <c r="H2515" s="77"/>
      <c r="I2515" s="77"/>
      <c r="J2515" s="77"/>
      <c r="K2515" s="79"/>
      <c r="L2515" s="49">
        <f t="shared" si="146"/>
        <v>0</v>
      </c>
      <c r="M2515" s="50">
        <f t="shared" si="147"/>
        <v>0</v>
      </c>
    </row>
    <row r="2516" spans="1:13" x14ac:dyDescent="0.2">
      <c r="A2516" s="18"/>
      <c r="B2516" s="77"/>
      <c r="C2516" s="77"/>
      <c r="D2516" s="78"/>
      <c r="E2516" s="77"/>
      <c r="F2516" s="77"/>
      <c r="G2516" s="77"/>
      <c r="H2516" s="77"/>
      <c r="I2516" s="77"/>
      <c r="J2516" s="77"/>
      <c r="K2516" s="79"/>
      <c r="L2516" s="49">
        <f t="shared" si="146"/>
        <v>0</v>
      </c>
      <c r="M2516" s="50">
        <f t="shared" si="147"/>
        <v>0</v>
      </c>
    </row>
    <row r="2517" spans="1:13" x14ac:dyDescent="0.2">
      <c r="A2517" s="18"/>
      <c r="B2517" s="77"/>
      <c r="C2517" s="77"/>
      <c r="D2517" s="78"/>
      <c r="E2517" s="77"/>
      <c r="F2517" s="77"/>
      <c r="G2517" s="77"/>
      <c r="H2517" s="77"/>
      <c r="I2517" s="77"/>
      <c r="J2517" s="77"/>
      <c r="K2517" s="79"/>
      <c r="L2517" s="49">
        <f t="shared" si="146"/>
        <v>0</v>
      </c>
      <c r="M2517" s="50">
        <f t="shared" si="147"/>
        <v>0</v>
      </c>
    </row>
    <row r="2518" spans="1:13" x14ac:dyDescent="0.2">
      <c r="A2518" s="18"/>
      <c r="B2518" s="77"/>
      <c r="C2518" s="77"/>
      <c r="D2518" s="78"/>
      <c r="E2518" s="77"/>
      <c r="F2518" s="77"/>
      <c r="G2518" s="77"/>
      <c r="H2518" s="77"/>
      <c r="I2518" s="77"/>
      <c r="J2518" s="77"/>
      <c r="K2518" s="79"/>
      <c r="L2518" s="49">
        <f t="shared" si="146"/>
        <v>0</v>
      </c>
      <c r="M2518" s="50">
        <f t="shared" si="147"/>
        <v>0</v>
      </c>
    </row>
    <row r="2519" spans="1:13" x14ac:dyDescent="0.2">
      <c r="A2519" s="18"/>
      <c r="B2519" s="77"/>
      <c r="C2519" s="77"/>
      <c r="D2519" s="78"/>
      <c r="E2519" s="77"/>
      <c r="F2519" s="77"/>
      <c r="G2519" s="77"/>
      <c r="H2519" s="77"/>
      <c r="I2519" s="77"/>
      <c r="J2519" s="77"/>
      <c r="K2519" s="79"/>
      <c r="L2519" s="49">
        <f t="shared" si="146"/>
        <v>0</v>
      </c>
      <c r="M2519" s="50">
        <f t="shared" si="147"/>
        <v>0</v>
      </c>
    </row>
    <row r="2520" spans="1:13" x14ac:dyDescent="0.2">
      <c r="A2520" s="18"/>
      <c r="B2520" s="77"/>
      <c r="C2520" s="77"/>
      <c r="D2520" s="78"/>
      <c r="E2520" s="77"/>
      <c r="F2520" s="77"/>
      <c r="G2520" s="77"/>
      <c r="H2520" s="77"/>
      <c r="I2520" s="77"/>
      <c r="J2520" s="77"/>
      <c r="K2520" s="79"/>
      <c r="L2520" s="49">
        <f t="shared" si="146"/>
        <v>0</v>
      </c>
      <c r="M2520" s="50">
        <f t="shared" si="147"/>
        <v>0</v>
      </c>
    </row>
    <row r="2521" spans="1:13" x14ac:dyDescent="0.2">
      <c r="A2521" s="18"/>
      <c r="B2521" s="77"/>
      <c r="C2521" s="77"/>
      <c r="D2521" s="78"/>
      <c r="E2521" s="77"/>
      <c r="F2521" s="77"/>
      <c r="G2521" s="77"/>
      <c r="H2521" s="77"/>
      <c r="I2521" s="77"/>
      <c r="J2521" s="77"/>
      <c r="K2521" s="79"/>
      <c r="L2521" s="49">
        <f t="shared" si="146"/>
        <v>0</v>
      </c>
      <c r="M2521" s="50">
        <f t="shared" si="147"/>
        <v>0</v>
      </c>
    </row>
    <row r="2522" spans="1:13" x14ac:dyDescent="0.2">
      <c r="A2522" s="18"/>
      <c r="B2522" s="77"/>
      <c r="C2522" s="77"/>
      <c r="D2522" s="78"/>
      <c r="E2522" s="77"/>
      <c r="F2522" s="77"/>
      <c r="G2522" s="77"/>
      <c r="H2522" s="77"/>
      <c r="I2522" s="77"/>
      <c r="J2522" s="77"/>
      <c r="K2522" s="79"/>
      <c r="L2522" s="49">
        <f t="shared" si="146"/>
        <v>0</v>
      </c>
      <c r="M2522" s="50">
        <f t="shared" si="147"/>
        <v>0</v>
      </c>
    </row>
    <row r="2523" spans="1:13" x14ac:dyDescent="0.2">
      <c r="A2523" s="18"/>
      <c r="B2523" s="77"/>
      <c r="C2523" s="77"/>
      <c r="D2523" s="78"/>
      <c r="E2523" s="77"/>
      <c r="F2523" s="77"/>
      <c r="G2523" s="77"/>
      <c r="H2523" s="77"/>
      <c r="I2523" s="77"/>
      <c r="J2523" s="77"/>
      <c r="K2523" s="79"/>
      <c r="L2523" s="49">
        <f t="shared" si="146"/>
        <v>0</v>
      </c>
      <c r="M2523" s="50">
        <f t="shared" si="147"/>
        <v>0</v>
      </c>
    </row>
    <row r="2524" spans="1:13" x14ac:dyDescent="0.2">
      <c r="A2524" s="18"/>
      <c r="B2524" s="77"/>
      <c r="C2524" s="77"/>
      <c r="D2524" s="78"/>
      <c r="E2524" s="77"/>
      <c r="F2524" s="77"/>
      <c r="G2524" s="77"/>
      <c r="H2524" s="77"/>
      <c r="I2524" s="77"/>
      <c r="J2524" s="77"/>
      <c r="K2524" s="79"/>
      <c r="L2524" s="49">
        <f t="shared" si="146"/>
        <v>0</v>
      </c>
      <c r="M2524" s="50">
        <f t="shared" si="147"/>
        <v>0</v>
      </c>
    </row>
    <row r="2525" spans="1:13" x14ac:dyDescent="0.2">
      <c r="A2525" s="18"/>
      <c r="B2525" s="77"/>
      <c r="C2525" s="77"/>
      <c r="D2525" s="78"/>
      <c r="E2525" s="77"/>
      <c r="F2525" s="77"/>
      <c r="G2525" s="77"/>
      <c r="H2525" s="77"/>
      <c r="I2525" s="77"/>
      <c r="J2525" s="77"/>
      <c r="K2525" s="79"/>
      <c r="L2525" s="49">
        <f t="shared" si="146"/>
        <v>0</v>
      </c>
      <c r="M2525" s="50">
        <f t="shared" si="147"/>
        <v>0</v>
      </c>
    </row>
    <row r="2526" spans="1:13" x14ac:dyDescent="0.2">
      <c r="A2526" s="18"/>
      <c r="B2526" s="77"/>
      <c r="C2526" s="77"/>
      <c r="D2526" s="78"/>
      <c r="E2526" s="77"/>
      <c r="F2526" s="77"/>
      <c r="G2526" s="77"/>
      <c r="H2526" s="77"/>
      <c r="I2526" s="77"/>
      <c r="J2526" s="77"/>
      <c r="K2526" s="79"/>
      <c r="L2526" s="49">
        <f t="shared" si="146"/>
        <v>0</v>
      </c>
      <c r="M2526" s="50">
        <f t="shared" si="147"/>
        <v>0</v>
      </c>
    </row>
    <row r="2527" spans="1:13" x14ac:dyDescent="0.2">
      <c r="A2527" s="18"/>
      <c r="B2527" s="77"/>
      <c r="C2527" s="77"/>
      <c r="D2527" s="78"/>
      <c r="E2527" s="77"/>
      <c r="F2527" s="77"/>
      <c r="G2527" s="77"/>
      <c r="H2527" s="77"/>
      <c r="I2527" s="77"/>
      <c r="J2527" s="77"/>
      <c r="K2527" s="79"/>
      <c r="L2527" s="49">
        <f t="shared" si="146"/>
        <v>0</v>
      </c>
      <c r="M2527" s="50">
        <f t="shared" si="147"/>
        <v>0</v>
      </c>
    </row>
    <row r="2528" spans="1:13" x14ac:dyDescent="0.2">
      <c r="A2528" s="18"/>
      <c r="B2528" s="77"/>
      <c r="C2528" s="77"/>
      <c r="D2528" s="78"/>
      <c r="E2528" s="77"/>
      <c r="F2528" s="77"/>
      <c r="G2528" s="77"/>
      <c r="H2528" s="77"/>
      <c r="I2528" s="77"/>
      <c r="J2528" s="77"/>
      <c r="K2528" s="79"/>
      <c r="L2528" s="49">
        <f t="shared" si="146"/>
        <v>0</v>
      </c>
      <c r="M2528" s="50">
        <f t="shared" si="147"/>
        <v>0</v>
      </c>
    </row>
    <row r="2529" spans="1:13" x14ac:dyDescent="0.2">
      <c r="A2529" s="18"/>
      <c r="B2529" s="77"/>
      <c r="C2529" s="77"/>
      <c r="D2529" s="78"/>
      <c r="E2529" s="77"/>
      <c r="F2529" s="77"/>
      <c r="G2529" s="77"/>
      <c r="H2529" s="77"/>
      <c r="I2529" s="77"/>
      <c r="J2529" s="77"/>
      <c r="K2529" s="79"/>
      <c r="L2529" s="49">
        <f t="shared" si="146"/>
        <v>0</v>
      </c>
      <c r="M2529" s="50">
        <f t="shared" si="147"/>
        <v>0</v>
      </c>
    </row>
    <row r="2530" spans="1:13" x14ac:dyDescent="0.2">
      <c r="A2530" s="18"/>
      <c r="B2530" s="77"/>
      <c r="C2530" s="77"/>
      <c r="D2530" s="78"/>
      <c r="E2530" s="77"/>
      <c r="F2530" s="77"/>
      <c r="G2530" s="77"/>
      <c r="H2530" s="77"/>
      <c r="I2530" s="77"/>
      <c r="J2530" s="77"/>
      <c r="K2530" s="79"/>
      <c r="L2530" s="49">
        <f t="shared" si="146"/>
        <v>0</v>
      </c>
      <c r="M2530" s="50">
        <f t="shared" si="147"/>
        <v>0</v>
      </c>
    </row>
    <row r="2531" spans="1:13" x14ac:dyDescent="0.2">
      <c r="A2531" s="18"/>
      <c r="B2531" s="77"/>
      <c r="C2531" s="77"/>
      <c r="D2531" s="78"/>
      <c r="E2531" s="77"/>
      <c r="F2531" s="77"/>
      <c r="G2531" s="77"/>
      <c r="H2531" s="77"/>
      <c r="I2531" s="77"/>
      <c r="J2531" s="77"/>
      <c r="K2531" s="79"/>
      <c r="L2531" s="49">
        <f t="shared" si="146"/>
        <v>0</v>
      </c>
      <c r="M2531" s="50">
        <f t="shared" si="147"/>
        <v>0</v>
      </c>
    </row>
    <row r="2532" spans="1:13" x14ac:dyDescent="0.2">
      <c r="A2532" s="18"/>
      <c r="B2532" s="77"/>
      <c r="C2532" s="77"/>
      <c r="D2532" s="78"/>
      <c r="E2532" s="77"/>
      <c r="F2532" s="77"/>
      <c r="G2532" s="77"/>
      <c r="H2532" s="77"/>
      <c r="I2532" s="77"/>
      <c r="J2532" s="77"/>
      <c r="K2532" s="79"/>
      <c r="L2532" s="49">
        <f t="shared" si="146"/>
        <v>0</v>
      </c>
      <c r="M2532" s="50">
        <f t="shared" si="147"/>
        <v>0</v>
      </c>
    </row>
    <row r="2533" spans="1:13" x14ac:dyDescent="0.2">
      <c r="A2533" s="18"/>
      <c r="B2533" s="77"/>
      <c r="C2533" s="77"/>
      <c r="D2533" s="78"/>
      <c r="E2533" s="77"/>
      <c r="F2533" s="77"/>
      <c r="G2533" s="77"/>
      <c r="H2533" s="77"/>
      <c r="I2533" s="77"/>
      <c r="J2533" s="77"/>
      <c r="K2533" s="79"/>
      <c r="L2533" s="49">
        <f t="shared" si="146"/>
        <v>0</v>
      </c>
      <c r="M2533" s="50">
        <f t="shared" si="147"/>
        <v>0</v>
      </c>
    </row>
    <row r="2534" spans="1:13" x14ac:dyDescent="0.2">
      <c r="A2534" s="18"/>
      <c r="B2534" s="77"/>
      <c r="C2534" s="77"/>
      <c r="D2534" s="78"/>
      <c r="E2534" s="77"/>
      <c r="F2534" s="77"/>
      <c r="G2534" s="77"/>
      <c r="H2534" s="77"/>
      <c r="I2534" s="77"/>
      <c r="J2534" s="77"/>
      <c r="K2534" s="79"/>
      <c r="L2534" s="49">
        <f t="shared" si="146"/>
        <v>0</v>
      </c>
      <c r="M2534" s="50">
        <f t="shared" si="147"/>
        <v>0</v>
      </c>
    </row>
    <row r="2535" spans="1:13" x14ac:dyDescent="0.2">
      <c r="A2535" s="18"/>
      <c r="B2535" s="77"/>
      <c r="C2535" s="77"/>
      <c r="D2535" s="78"/>
      <c r="E2535" s="77"/>
      <c r="F2535" s="77"/>
      <c r="G2535" s="77"/>
      <c r="H2535" s="77"/>
      <c r="I2535" s="77"/>
      <c r="J2535" s="77"/>
      <c r="K2535" s="79"/>
      <c r="L2535" s="49">
        <f t="shared" si="146"/>
        <v>0</v>
      </c>
      <c r="M2535" s="50">
        <f t="shared" si="147"/>
        <v>0</v>
      </c>
    </row>
    <row r="2536" spans="1:13" x14ac:dyDescent="0.2">
      <c r="A2536" s="18"/>
      <c r="B2536" s="77"/>
      <c r="C2536" s="77"/>
      <c r="D2536" s="78"/>
      <c r="E2536" s="77"/>
      <c r="F2536" s="77"/>
      <c r="G2536" s="77"/>
      <c r="H2536" s="77"/>
      <c r="I2536" s="77"/>
      <c r="J2536" s="77"/>
      <c r="K2536" s="79"/>
      <c r="L2536" s="49">
        <f t="shared" si="146"/>
        <v>0</v>
      </c>
      <c r="M2536" s="50">
        <f t="shared" si="147"/>
        <v>0</v>
      </c>
    </row>
    <row r="2537" spans="1:13" x14ac:dyDescent="0.2">
      <c r="A2537" s="18"/>
      <c r="B2537" s="77"/>
      <c r="C2537" s="77"/>
      <c r="D2537" s="78"/>
      <c r="E2537" s="77"/>
      <c r="F2537" s="77"/>
      <c r="G2537" s="77"/>
      <c r="H2537" s="77"/>
      <c r="I2537" s="77"/>
      <c r="J2537" s="77"/>
      <c r="K2537" s="79"/>
      <c r="L2537" s="49">
        <f t="shared" si="146"/>
        <v>0</v>
      </c>
      <c r="M2537" s="50">
        <f t="shared" si="147"/>
        <v>0</v>
      </c>
    </row>
    <row r="2538" spans="1:13" x14ac:dyDescent="0.2">
      <c r="A2538" s="18"/>
      <c r="B2538" s="77"/>
      <c r="C2538" s="77"/>
      <c r="D2538" s="78"/>
      <c r="E2538" s="77"/>
      <c r="F2538" s="77"/>
      <c r="G2538" s="77"/>
      <c r="H2538" s="77"/>
      <c r="I2538" s="77"/>
      <c r="J2538" s="77"/>
      <c r="K2538" s="79"/>
      <c r="L2538" s="49">
        <f t="shared" si="146"/>
        <v>0</v>
      </c>
      <c r="M2538" s="50">
        <f t="shared" si="147"/>
        <v>0</v>
      </c>
    </row>
    <row r="2539" spans="1:13" x14ac:dyDescent="0.2">
      <c r="A2539" s="18"/>
      <c r="B2539" s="77"/>
      <c r="C2539" s="77"/>
      <c r="D2539" s="78"/>
      <c r="E2539" s="77"/>
      <c r="F2539" s="77"/>
      <c r="G2539" s="77"/>
      <c r="H2539" s="77"/>
      <c r="I2539" s="77"/>
      <c r="J2539" s="77"/>
      <c r="K2539" s="79"/>
      <c r="L2539" s="49">
        <f t="shared" si="146"/>
        <v>0</v>
      </c>
      <c r="M2539" s="50">
        <f t="shared" si="147"/>
        <v>0</v>
      </c>
    </row>
    <row r="2540" spans="1:13" x14ac:dyDescent="0.2">
      <c r="A2540" s="18"/>
      <c r="B2540" s="77"/>
      <c r="C2540" s="77"/>
      <c r="D2540" s="78"/>
      <c r="E2540" s="77"/>
      <c r="F2540" s="77"/>
      <c r="G2540" s="77"/>
      <c r="H2540" s="77"/>
      <c r="I2540" s="77"/>
      <c r="J2540" s="77"/>
      <c r="K2540" s="79"/>
      <c r="L2540" s="49">
        <f t="shared" si="146"/>
        <v>0</v>
      </c>
      <c r="M2540" s="50">
        <f t="shared" si="147"/>
        <v>0</v>
      </c>
    </row>
    <row r="2541" spans="1:13" x14ac:dyDescent="0.2">
      <c r="A2541" s="18"/>
      <c r="B2541" s="77"/>
      <c r="C2541" s="77"/>
      <c r="D2541" s="78"/>
      <c r="E2541" s="77"/>
      <c r="F2541" s="77"/>
      <c r="G2541" s="77"/>
      <c r="H2541" s="77"/>
      <c r="I2541" s="77"/>
      <c r="J2541" s="77"/>
      <c r="K2541" s="79"/>
      <c r="L2541" s="49">
        <f t="shared" si="146"/>
        <v>0</v>
      </c>
      <c r="M2541" s="50">
        <f t="shared" si="147"/>
        <v>0</v>
      </c>
    </row>
    <row r="2542" spans="1:13" x14ac:dyDescent="0.2">
      <c r="A2542" s="18"/>
      <c r="B2542" s="77"/>
      <c r="C2542" s="77"/>
      <c r="D2542" s="78"/>
      <c r="E2542" s="77"/>
      <c r="F2542" s="77"/>
      <c r="G2542" s="77"/>
      <c r="H2542" s="77"/>
      <c r="I2542" s="77"/>
      <c r="J2542" s="77"/>
      <c r="K2542" s="79"/>
      <c r="L2542" s="49">
        <f t="shared" si="146"/>
        <v>0</v>
      </c>
      <c r="M2542" s="50">
        <f t="shared" si="147"/>
        <v>0</v>
      </c>
    </row>
    <row r="2543" spans="1:13" x14ac:dyDescent="0.2">
      <c r="A2543" s="18"/>
      <c r="B2543" s="77"/>
      <c r="C2543" s="77"/>
      <c r="D2543" s="78"/>
      <c r="E2543" s="77"/>
      <c r="F2543" s="77"/>
      <c r="G2543" s="77"/>
      <c r="H2543" s="77"/>
      <c r="I2543" s="77"/>
      <c r="J2543" s="77"/>
      <c r="K2543" s="79"/>
      <c r="L2543" s="49">
        <f t="shared" si="146"/>
        <v>0</v>
      </c>
      <c r="M2543" s="50">
        <f t="shared" si="147"/>
        <v>0</v>
      </c>
    </row>
    <row r="2544" spans="1:13" x14ac:dyDescent="0.2">
      <c r="A2544" s="18"/>
      <c r="B2544" s="77"/>
      <c r="C2544" s="77"/>
      <c r="D2544" s="78"/>
      <c r="E2544" s="77"/>
      <c r="F2544" s="77"/>
      <c r="G2544" s="77"/>
      <c r="H2544" s="77"/>
      <c r="I2544" s="77"/>
      <c r="J2544" s="77"/>
      <c r="K2544" s="79"/>
      <c r="L2544" s="49">
        <f t="shared" si="146"/>
        <v>0</v>
      </c>
      <c r="M2544" s="50">
        <f t="shared" si="147"/>
        <v>0</v>
      </c>
    </row>
    <row r="2545" spans="1:13" x14ac:dyDescent="0.2">
      <c r="A2545" s="18"/>
      <c r="B2545" s="77"/>
      <c r="C2545" s="77"/>
      <c r="D2545" s="78"/>
      <c r="E2545" s="77"/>
      <c r="F2545" s="77"/>
      <c r="G2545" s="77"/>
      <c r="H2545" s="77"/>
      <c r="I2545" s="77"/>
      <c r="J2545" s="77"/>
      <c r="K2545" s="79"/>
      <c r="L2545" s="49">
        <f t="shared" si="146"/>
        <v>0</v>
      </c>
      <c r="M2545" s="50">
        <f t="shared" si="147"/>
        <v>0</v>
      </c>
    </row>
    <row r="2546" spans="1:13" x14ac:dyDescent="0.2">
      <c r="A2546" s="18"/>
      <c r="B2546" s="77"/>
      <c r="C2546" s="77"/>
      <c r="D2546" s="78"/>
      <c r="E2546" s="77"/>
      <c r="F2546" s="77"/>
      <c r="G2546" s="77"/>
      <c r="H2546" s="77"/>
      <c r="I2546" s="77"/>
      <c r="J2546" s="77"/>
      <c r="K2546" s="79"/>
      <c r="L2546" s="49">
        <f t="shared" si="146"/>
        <v>0</v>
      </c>
      <c r="M2546" s="50">
        <f t="shared" si="147"/>
        <v>0</v>
      </c>
    </row>
    <row r="2547" spans="1:13" x14ac:dyDescent="0.2">
      <c r="A2547" s="18"/>
      <c r="B2547" s="77"/>
      <c r="C2547" s="77"/>
      <c r="D2547" s="78"/>
      <c r="E2547" s="77"/>
      <c r="F2547" s="77"/>
      <c r="G2547" s="77"/>
      <c r="H2547" s="77"/>
      <c r="I2547" s="77"/>
      <c r="J2547" s="77"/>
      <c r="K2547" s="79"/>
      <c r="L2547" s="49">
        <f t="shared" si="146"/>
        <v>0</v>
      </c>
      <c r="M2547" s="50">
        <f t="shared" si="147"/>
        <v>0</v>
      </c>
    </row>
    <row r="2548" spans="1:13" x14ac:dyDescent="0.2">
      <c r="A2548" s="18"/>
      <c r="B2548" s="77"/>
      <c r="C2548" s="77"/>
      <c r="D2548" s="78"/>
      <c r="E2548" s="77"/>
      <c r="F2548" s="77"/>
      <c r="G2548" s="77"/>
      <c r="H2548" s="77"/>
      <c r="I2548" s="77"/>
      <c r="J2548" s="77"/>
      <c r="K2548" s="79"/>
      <c r="L2548" s="49">
        <f t="shared" si="146"/>
        <v>0</v>
      </c>
      <c r="M2548" s="50">
        <f t="shared" si="147"/>
        <v>0</v>
      </c>
    </row>
    <row r="2549" spans="1:13" x14ac:dyDescent="0.2">
      <c r="A2549" s="18"/>
      <c r="B2549" s="77"/>
      <c r="C2549" s="77"/>
      <c r="D2549" s="78"/>
      <c r="E2549" s="77"/>
      <c r="F2549" s="77"/>
      <c r="G2549" s="77"/>
      <c r="H2549" s="77"/>
      <c r="I2549" s="77"/>
      <c r="J2549" s="77"/>
      <c r="K2549" s="79"/>
      <c r="L2549" s="49">
        <f t="shared" si="146"/>
        <v>0</v>
      </c>
      <c r="M2549" s="50">
        <f t="shared" si="147"/>
        <v>0</v>
      </c>
    </row>
    <row r="2550" spans="1:13" x14ac:dyDescent="0.2">
      <c r="A2550" s="18"/>
      <c r="B2550" s="77"/>
      <c r="C2550" s="77"/>
      <c r="D2550" s="78"/>
      <c r="E2550" s="77"/>
      <c r="F2550" s="77"/>
      <c r="G2550" s="77"/>
      <c r="H2550" s="77"/>
      <c r="I2550" s="77"/>
      <c r="J2550" s="77"/>
      <c r="K2550" s="79"/>
      <c r="L2550" s="49">
        <f t="shared" si="146"/>
        <v>0</v>
      </c>
      <c r="M2550" s="50">
        <f t="shared" si="147"/>
        <v>0</v>
      </c>
    </row>
    <row r="2551" spans="1:13" x14ac:dyDescent="0.2">
      <c r="A2551" s="18"/>
      <c r="B2551" s="77"/>
      <c r="C2551" s="77"/>
      <c r="D2551" s="78"/>
      <c r="E2551" s="77"/>
      <c r="F2551" s="77"/>
      <c r="G2551" s="77"/>
      <c r="H2551" s="77"/>
      <c r="I2551" s="77"/>
      <c r="J2551" s="77"/>
      <c r="K2551" s="79"/>
      <c r="L2551" s="49">
        <f t="shared" si="146"/>
        <v>0</v>
      </c>
      <c r="M2551" s="50">
        <f t="shared" si="147"/>
        <v>0</v>
      </c>
    </row>
    <row r="2552" spans="1:13" x14ac:dyDescent="0.2">
      <c r="A2552" s="18"/>
      <c r="B2552" s="77"/>
      <c r="C2552" s="77"/>
      <c r="D2552" s="78"/>
      <c r="E2552" s="77"/>
      <c r="F2552" s="77"/>
      <c r="G2552" s="77"/>
      <c r="H2552" s="77"/>
      <c r="I2552" s="77"/>
      <c r="J2552" s="77"/>
      <c r="K2552" s="79"/>
      <c r="L2552" s="49">
        <f t="shared" si="146"/>
        <v>0</v>
      </c>
      <c r="M2552" s="50">
        <f t="shared" si="147"/>
        <v>0</v>
      </c>
    </row>
    <row r="2553" spans="1:13" x14ac:dyDescent="0.2">
      <c r="A2553" s="18"/>
      <c r="B2553" s="77"/>
      <c r="C2553" s="77"/>
      <c r="D2553" s="78"/>
      <c r="E2553" s="77"/>
      <c r="F2553" s="77"/>
      <c r="G2553" s="77"/>
      <c r="H2553" s="77"/>
      <c r="I2553" s="77"/>
      <c r="J2553" s="77"/>
      <c r="K2553" s="79"/>
      <c r="L2553" s="49">
        <f t="shared" si="146"/>
        <v>0</v>
      </c>
      <c r="M2553" s="50">
        <f t="shared" si="147"/>
        <v>0</v>
      </c>
    </row>
    <row r="2554" spans="1:13" x14ac:dyDescent="0.2">
      <c r="A2554" s="18"/>
      <c r="B2554" s="77"/>
      <c r="C2554" s="77"/>
      <c r="D2554" s="78"/>
      <c r="E2554" s="77"/>
      <c r="F2554" s="77"/>
      <c r="G2554" s="77"/>
      <c r="H2554" s="77"/>
      <c r="I2554" s="77"/>
      <c r="J2554" s="77"/>
      <c r="K2554" s="79"/>
      <c r="L2554" s="49">
        <f t="shared" si="146"/>
        <v>0</v>
      </c>
      <c r="M2554" s="50">
        <f t="shared" si="147"/>
        <v>0</v>
      </c>
    </row>
    <row r="2555" spans="1:13" x14ac:dyDescent="0.2">
      <c r="A2555" s="18"/>
      <c r="B2555" s="77"/>
      <c r="C2555" s="77"/>
      <c r="D2555" s="78"/>
      <c r="E2555" s="77"/>
      <c r="F2555" s="77"/>
      <c r="G2555" s="77"/>
      <c r="H2555" s="77"/>
      <c r="I2555" s="77"/>
      <c r="J2555" s="77"/>
      <c r="K2555" s="79"/>
      <c r="L2555" s="49">
        <f t="shared" si="146"/>
        <v>0</v>
      </c>
      <c r="M2555" s="50">
        <f t="shared" si="147"/>
        <v>0</v>
      </c>
    </row>
    <row r="2556" spans="1:13" x14ac:dyDescent="0.2">
      <c r="A2556" s="18"/>
      <c r="B2556" s="77"/>
      <c r="C2556" s="77"/>
      <c r="D2556" s="78"/>
      <c r="E2556" s="77"/>
      <c r="F2556" s="77"/>
      <c r="G2556" s="77"/>
      <c r="H2556" s="77"/>
      <c r="I2556" s="77"/>
      <c r="J2556" s="77"/>
      <c r="K2556" s="79"/>
      <c r="L2556" s="49">
        <f t="shared" si="146"/>
        <v>0</v>
      </c>
      <c r="M2556" s="50">
        <f t="shared" si="147"/>
        <v>0</v>
      </c>
    </row>
    <row r="2557" spans="1:13" x14ac:dyDescent="0.2">
      <c r="A2557" s="18"/>
      <c r="B2557" s="77"/>
      <c r="C2557" s="77"/>
      <c r="D2557" s="78"/>
      <c r="E2557" s="77"/>
      <c r="F2557" s="77"/>
      <c r="G2557" s="77"/>
      <c r="H2557" s="77"/>
      <c r="I2557" s="77"/>
      <c r="J2557" s="77"/>
      <c r="K2557" s="79"/>
      <c r="L2557" s="49">
        <f t="shared" si="146"/>
        <v>0</v>
      </c>
      <c r="M2557" s="50">
        <f t="shared" si="147"/>
        <v>0</v>
      </c>
    </row>
    <row r="2558" spans="1:13" x14ac:dyDescent="0.2">
      <c r="A2558" s="18"/>
      <c r="B2558" s="77"/>
      <c r="C2558" s="77"/>
      <c r="D2558" s="78"/>
      <c r="E2558" s="77"/>
      <c r="F2558" s="77"/>
      <c r="G2558" s="77"/>
      <c r="H2558" s="77"/>
      <c r="I2558" s="77"/>
      <c r="J2558" s="77"/>
      <c r="K2558" s="79"/>
      <c r="L2558" s="49">
        <f t="shared" si="146"/>
        <v>0</v>
      </c>
      <c r="M2558" s="50">
        <f t="shared" si="147"/>
        <v>0</v>
      </c>
    </row>
    <row r="2559" spans="1:13" x14ac:dyDescent="0.2">
      <c r="A2559" s="18"/>
      <c r="B2559" s="77"/>
      <c r="C2559" s="77"/>
      <c r="D2559" s="78"/>
      <c r="E2559" s="77"/>
      <c r="F2559" s="77"/>
      <c r="G2559" s="77"/>
      <c r="H2559" s="77"/>
      <c r="I2559" s="77"/>
      <c r="J2559" s="77"/>
      <c r="K2559" s="79"/>
      <c r="L2559" s="49">
        <f t="shared" si="146"/>
        <v>0</v>
      </c>
      <c r="M2559" s="50">
        <f t="shared" si="147"/>
        <v>0</v>
      </c>
    </row>
    <row r="2560" spans="1:13" x14ac:dyDescent="0.2">
      <c r="A2560" s="18"/>
      <c r="B2560" s="77"/>
      <c r="C2560" s="77"/>
      <c r="D2560" s="78"/>
      <c r="E2560" s="77"/>
      <c r="F2560" s="77"/>
      <c r="G2560" s="77"/>
      <c r="H2560" s="77"/>
      <c r="I2560" s="77"/>
      <c r="J2560" s="77"/>
      <c r="K2560" s="79"/>
      <c r="L2560" s="49">
        <f t="shared" si="146"/>
        <v>0</v>
      </c>
      <c r="M2560" s="50">
        <f t="shared" si="147"/>
        <v>0</v>
      </c>
    </row>
    <row r="2561" spans="1:13" x14ac:dyDescent="0.2">
      <c r="A2561" s="18"/>
      <c r="B2561" s="77"/>
      <c r="C2561" s="77"/>
      <c r="D2561" s="78"/>
      <c r="E2561" s="77"/>
      <c r="F2561" s="77"/>
      <c r="G2561" s="77"/>
      <c r="H2561" s="77"/>
      <c r="I2561" s="77"/>
      <c r="J2561" s="77"/>
      <c r="K2561" s="79"/>
      <c r="L2561" s="49">
        <f t="shared" si="146"/>
        <v>0</v>
      </c>
      <c r="M2561" s="50">
        <f t="shared" si="147"/>
        <v>0</v>
      </c>
    </row>
    <row r="2562" spans="1:13" x14ac:dyDescent="0.2">
      <c r="A2562" s="18"/>
      <c r="B2562" s="77"/>
      <c r="C2562" s="77"/>
      <c r="D2562" s="78"/>
      <c r="E2562" s="77"/>
      <c r="F2562" s="77"/>
      <c r="G2562" s="77"/>
      <c r="H2562" s="77"/>
      <c r="I2562" s="77"/>
      <c r="J2562" s="77"/>
      <c r="K2562" s="79"/>
      <c r="L2562" s="49">
        <f t="shared" si="146"/>
        <v>0</v>
      </c>
      <c r="M2562" s="50">
        <f t="shared" si="147"/>
        <v>0</v>
      </c>
    </row>
    <row r="2563" spans="1:13" x14ac:dyDescent="0.2">
      <c r="A2563" s="18"/>
      <c r="B2563" s="77"/>
      <c r="C2563" s="77"/>
      <c r="D2563" s="78"/>
      <c r="E2563" s="77"/>
      <c r="F2563" s="77"/>
      <c r="G2563" s="77"/>
      <c r="H2563" s="77"/>
      <c r="I2563" s="77"/>
      <c r="J2563" s="77"/>
      <c r="K2563" s="79"/>
      <c r="L2563" s="49">
        <f t="shared" si="146"/>
        <v>0</v>
      </c>
      <c r="M2563" s="50">
        <f t="shared" si="147"/>
        <v>0</v>
      </c>
    </row>
    <row r="2564" spans="1:13" x14ac:dyDescent="0.2">
      <c r="A2564" s="18"/>
      <c r="B2564" s="77"/>
      <c r="C2564" s="77"/>
      <c r="D2564" s="78"/>
      <c r="E2564" s="77"/>
      <c r="F2564" s="77"/>
      <c r="G2564" s="77"/>
      <c r="H2564" s="77"/>
      <c r="I2564" s="77"/>
      <c r="J2564" s="77"/>
      <c r="K2564" s="79"/>
      <c r="L2564" s="49">
        <f t="shared" si="146"/>
        <v>0</v>
      </c>
      <c r="M2564" s="50">
        <f t="shared" si="147"/>
        <v>0</v>
      </c>
    </row>
    <row r="2565" spans="1:13" x14ac:dyDescent="0.2">
      <c r="A2565" s="18"/>
      <c r="B2565" s="77"/>
      <c r="C2565" s="77"/>
      <c r="D2565" s="78"/>
      <c r="E2565" s="77"/>
      <c r="F2565" s="77"/>
      <c r="G2565" s="77"/>
      <c r="H2565" s="77"/>
      <c r="I2565" s="77"/>
      <c r="J2565" s="77"/>
      <c r="K2565" s="79"/>
      <c r="L2565" s="49">
        <f t="shared" si="146"/>
        <v>0</v>
      </c>
      <c r="M2565" s="50">
        <f t="shared" si="147"/>
        <v>0</v>
      </c>
    </row>
    <row r="2566" spans="1:13" x14ac:dyDescent="0.2">
      <c r="A2566" s="18"/>
      <c r="B2566" s="77"/>
      <c r="C2566" s="77"/>
      <c r="D2566" s="78"/>
      <c r="E2566" s="77"/>
      <c r="F2566" s="77"/>
      <c r="G2566" s="77"/>
      <c r="H2566" s="77"/>
      <c r="I2566" s="77"/>
      <c r="J2566" s="77"/>
      <c r="K2566" s="79"/>
      <c r="L2566" s="49">
        <f t="shared" si="146"/>
        <v>0</v>
      </c>
      <c r="M2566" s="50">
        <f t="shared" si="147"/>
        <v>0</v>
      </c>
    </row>
    <row r="2567" spans="1:13" x14ac:dyDescent="0.2">
      <c r="A2567" s="18"/>
      <c r="B2567" s="77"/>
      <c r="C2567" s="77"/>
      <c r="D2567" s="78"/>
      <c r="E2567" s="77"/>
      <c r="F2567" s="77"/>
      <c r="G2567" s="77"/>
      <c r="H2567" s="77"/>
      <c r="I2567" s="77"/>
      <c r="J2567" s="77"/>
      <c r="K2567" s="79"/>
      <c r="L2567" s="49">
        <f t="shared" si="146"/>
        <v>0</v>
      </c>
      <c r="M2567" s="50">
        <f t="shared" si="147"/>
        <v>0</v>
      </c>
    </row>
    <row r="2568" spans="1:13" x14ac:dyDescent="0.2">
      <c r="A2568" s="18"/>
      <c r="B2568" s="77"/>
      <c r="C2568" s="77"/>
      <c r="D2568" s="78"/>
      <c r="E2568" s="77"/>
      <c r="F2568" s="77"/>
      <c r="G2568" s="77"/>
      <c r="H2568" s="77"/>
      <c r="I2568" s="77"/>
      <c r="J2568" s="77"/>
      <c r="K2568" s="79"/>
      <c r="L2568" s="49">
        <f t="shared" si="146"/>
        <v>0</v>
      </c>
      <c r="M2568" s="50">
        <f t="shared" si="147"/>
        <v>0</v>
      </c>
    </row>
    <row r="2569" spans="1:13" x14ac:dyDescent="0.2">
      <c r="A2569" s="18"/>
      <c r="B2569" s="77"/>
      <c r="C2569" s="77"/>
      <c r="D2569" s="78"/>
      <c r="E2569" s="77"/>
      <c r="F2569" s="77"/>
      <c r="G2569" s="77"/>
      <c r="H2569" s="77"/>
      <c r="I2569" s="77"/>
      <c r="J2569" s="77"/>
      <c r="K2569" s="79"/>
      <c r="L2569" s="49">
        <f t="shared" si="146"/>
        <v>0</v>
      </c>
      <c r="M2569" s="50">
        <f t="shared" si="147"/>
        <v>0</v>
      </c>
    </row>
    <row r="2570" spans="1:13" x14ac:dyDescent="0.2">
      <c r="A2570" s="18"/>
      <c r="B2570" s="77"/>
      <c r="C2570" s="77"/>
      <c r="D2570" s="78"/>
      <c r="E2570" s="77"/>
      <c r="F2570" s="77"/>
      <c r="G2570" s="77"/>
      <c r="H2570" s="77"/>
      <c r="I2570" s="77"/>
      <c r="J2570" s="77"/>
      <c r="K2570" s="79"/>
      <c r="L2570" s="49">
        <f t="shared" si="146"/>
        <v>0</v>
      </c>
      <c r="M2570" s="50">
        <f t="shared" si="147"/>
        <v>0</v>
      </c>
    </row>
    <row r="2571" spans="1:13" x14ac:dyDescent="0.2">
      <c r="A2571" s="18"/>
      <c r="B2571" s="77"/>
      <c r="C2571" s="77"/>
      <c r="D2571" s="78"/>
      <c r="E2571" s="77"/>
      <c r="F2571" s="77"/>
      <c r="G2571" s="77"/>
      <c r="H2571" s="77"/>
      <c r="I2571" s="77"/>
      <c r="J2571" s="77"/>
      <c r="K2571" s="79"/>
      <c r="L2571" s="49">
        <f t="shared" si="146"/>
        <v>0</v>
      </c>
      <c r="M2571" s="50">
        <f t="shared" si="147"/>
        <v>0</v>
      </c>
    </row>
    <row r="2572" spans="1:13" x14ac:dyDescent="0.2">
      <c r="A2572" s="18"/>
      <c r="B2572" s="77"/>
      <c r="C2572" s="77"/>
      <c r="D2572" s="78"/>
      <c r="E2572" s="77"/>
      <c r="F2572" s="77"/>
      <c r="G2572" s="77"/>
      <c r="H2572" s="77"/>
      <c r="I2572" s="77"/>
      <c r="J2572" s="77"/>
      <c r="K2572" s="79"/>
      <c r="L2572" s="49">
        <f t="shared" si="146"/>
        <v>0</v>
      </c>
      <c r="M2572" s="50">
        <f t="shared" si="147"/>
        <v>0</v>
      </c>
    </row>
    <row r="2573" spans="1:13" x14ac:dyDescent="0.2">
      <c r="A2573" s="18"/>
      <c r="B2573" s="77"/>
      <c r="C2573" s="77"/>
      <c r="D2573" s="78"/>
      <c r="E2573" s="77"/>
      <c r="F2573" s="77"/>
      <c r="G2573" s="77"/>
      <c r="H2573" s="77"/>
      <c r="I2573" s="77"/>
      <c r="J2573" s="77"/>
      <c r="K2573" s="79"/>
      <c r="L2573" s="49">
        <f t="shared" si="146"/>
        <v>0</v>
      </c>
      <c r="M2573" s="50">
        <f t="shared" si="147"/>
        <v>0</v>
      </c>
    </row>
    <row r="2574" spans="1:13" x14ac:dyDescent="0.2">
      <c r="A2574" s="18"/>
      <c r="B2574" s="77"/>
      <c r="C2574" s="77"/>
      <c r="D2574" s="78"/>
      <c r="E2574" s="77"/>
      <c r="F2574" s="77"/>
      <c r="G2574" s="77"/>
      <c r="H2574" s="77"/>
      <c r="I2574" s="77"/>
      <c r="J2574" s="77"/>
      <c r="K2574" s="79"/>
      <c r="L2574" s="49">
        <f t="shared" ref="L2574:L2633" si="148">+K2574*18%</f>
        <v>0</v>
      </c>
      <c r="M2574" s="50">
        <f t="shared" ref="M2574:M2633" si="149">+K2574+L2574</f>
        <v>0</v>
      </c>
    </row>
    <row r="2575" spans="1:13" x14ac:dyDescent="0.2">
      <c r="A2575" s="18"/>
      <c r="B2575" s="77"/>
      <c r="C2575" s="77"/>
      <c r="D2575" s="78"/>
      <c r="E2575" s="77"/>
      <c r="F2575" s="77"/>
      <c r="G2575" s="77"/>
      <c r="H2575" s="77"/>
      <c r="I2575" s="77"/>
      <c r="J2575" s="77"/>
      <c r="K2575" s="79"/>
      <c r="L2575" s="49">
        <f t="shared" si="148"/>
        <v>0</v>
      </c>
      <c r="M2575" s="50">
        <f t="shared" si="149"/>
        <v>0</v>
      </c>
    </row>
    <row r="2576" spans="1:13" x14ac:dyDescent="0.2">
      <c r="A2576" s="18"/>
      <c r="B2576" s="77"/>
      <c r="C2576" s="77"/>
      <c r="D2576" s="78"/>
      <c r="E2576" s="77"/>
      <c r="F2576" s="77"/>
      <c r="G2576" s="77"/>
      <c r="H2576" s="77"/>
      <c r="I2576" s="77"/>
      <c r="J2576" s="77"/>
      <c r="K2576" s="79"/>
      <c r="L2576" s="49">
        <f t="shared" si="148"/>
        <v>0</v>
      </c>
      <c r="M2576" s="50">
        <f t="shared" si="149"/>
        <v>0</v>
      </c>
    </row>
    <row r="2577" spans="1:13" x14ac:dyDescent="0.2">
      <c r="A2577" s="18"/>
      <c r="B2577" s="77"/>
      <c r="C2577" s="77"/>
      <c r="D2577" s="78"/>
      <c r="E2577" s="77"/>
      <c r="F2577" s="77"/>
      <c r="G2577" s="77"/>
      <c r="H2577" s="77"/>
      <c r="I2577" s="77"/>
      <c r="J2577" s="77"/>
      <c r="K2577" s="79"/>
      <c r="L2577" s="49">
        <f t="shared" si="148"/>
        <v>0</v>
      </c>
      <c r="M2577" s="50">
        <f t="shared" si="149"/>
        <v>0</v>
      </c>
    </row>
    <row r="2578" spans="1:13" x14ac:dyDescent="0.2">
      <c r="A2578" s="18"/>
      <c r="B2578" s="77"/>
      <c r="C2578" s="77"/>
      <c r="D2578" s="78"/>
      <c r="E2578" s="77"/>
      <c r="F2578" s="77"/>
      <c r="G2578" s="77"/>
      <c r="H2578" s="77"/>
      <c r="I2578" s="77"/>
      <c r="J2578" s="77"/>
      <c r="K2578" s="79"/>
      <c r="L2578" s="49">
        <f t="shared" si="148"/>
        <v>0</v>
      </c>
      <c r="M2578" s="50">
        <f t="shared" si="149"/>
        <v>0</v>
      </c>
    </row>
    <row r="2579" spans="1:13" x14ac:dyDescent="0.2">
      <c r="A2579" s="18"/>
      <c r="B2579" s="77"/>
      <c r="C2579" s="77"/>
      <c r="D2579" s="78"/>
      <c r="E2579" s="77"/>
      <c r="F2579" s="77"/>
      <c r="G2579" s="77"/>
      <c r="H2579" s="77"/>
      <c r="I2579" s="77"/>
      <c r="J2579" s="77"/>
      <c r="K2579" s="79"/>
      <c r="L2579" s="49">
        <f t="shared" si="148"/>
        <v>0</v>
      </c>
      <c r="M2579" s="50">
        <f t="shared" si="149"/>
        <v>0</v>
      </c>
    </row>
    <row r="2580" spans="1:13" x14ac:dyDescent="0.2">
      <c r="A2580" s="18"/>
      <c r="B2580" s="77"/>
      <c r="C2580" s="77"/>
      <c r="D2580" s="78"/>
      <c r="E2580" s="77"/>
      <c r="F2580" s="77"/>
      <c r="G2580" s="77"/>
      <c r="H2580" s="77"/>
      <c r="I2580" s="77"/>
      <c r="J2580" s="77"/>
      <c r="K2580" s="79"/>
      <c r="L2580" s="49">
        <f t="shared" si="148"/>
        <v>0</v>
      </c>
      <c r="M2580" s="50">
        <f t="shared" si="149"/>
        <v>0</v>
      </c>
    </row>
    <row r="2581" spans="1:13" x14ac:dyDescent="0.2">
      <c r="A2581" s="18"/>
      <c r="B2581" s="77"/>
      <c r="C2581" s="77"/>
      <c r="D2581" s="78"/>
      <c r="E2581" s="77"/>
      <c r="F2581" s="77"/>
      <c r="G2581" s="77"/>
      <c r="H2581" s="77"/>
      <c r="I2581" s="77"/>
      <c r="J2581" s="77"/>
      <c r="K2581" s="79"/>
      <c r="L2581" s="49">
        <f t="shared" si="148"/>
        <v>0</v>
      </c>
      <c r="M2581" s="50">
        <f t="shared" si="149"/>
        <v>0</v>
      </c>
    </row>
    <row r="2582" spans="1:13" x14ac:dyDescent="0.2">
      <c r="A2582" s="18"/>
      <c r="B2582" s="77"/>
      <c r="C2582" s="77"/>
      <c r="D2582" s="78"/>
      <c r="E2582" s="77"/>
      <c r="F2582" s="77"/>
      <c r="G2582" s="77"/>
      <c r="H2582" s="77"/>
      <c r="I2582" s="77"/>
      <c r="J2582" s="77"/>
      <c r="K2582" s="79"/>
      <c r="L2582" s="49">
        <f t="shared" si="148"/>
        <v>0</v>
      </c>
      <c r="M2582" s="50">
        <f t="shared" si="149"/>
        <v>0</v>
      </c>
    </row>
    <row r="2583" spans="1:13" x14ac:dyDescent="0.2">
      <c r="A2583" s="18"/>
      <c r="B2583" s="77"/>
      <c r="C2583" s="77"/>
      <c r="D2583" s="78"/>
      <c r="E2583" s="77"/>
      <c r="F2583" s="77"/>
      <c r="G2583" s="77"/>
      <c r="H2583" s="77"/>
      <c r="I2583" s="77"/>
      <c r="J2583" s="77"/>
      <c r="K2583" s="79"/>
      <c r="L2583" s="49">
        <f t="shared" si="148"/>
        <v>0</v>
      </c>
      <c r="M2583" s="50">
        <f t="shared" si="149"/>
        <v>0</v>
      </c>
    </row>
    <row r="2584" spans="1:13" x14ac:dyDescent="0.2">
      <c r="A2584" s="18"/>
      <c r="B2584" s="77"/>
      <c r="C2584" s="77"/>
      <c r="D2584" s="78"/>
      <c r="E2584" s="77"/>
      <c r="F2584" s="77"/>
      <c r="G2584" s="77"/>
      <c r="H2584" s="77"/>
      <c r="I2584" s="77"/>
      <c r="J2584" s="77"/>
      <c r="K2584" s="79"/>
      <c r="L2584" s="49">
        <f t="shared" si="148"/>
        <v>0</v>
      </c>
      <c r="M2584" s="50">
        <f t="shared" si="149"/>
        <v>0</v>
      </c>
    </row>
    <row r="2585" spans="1:13" x14ac:dyDescent="0.2">
      <c r="A2585" s="18"/>
      <c r="B2585" s="77"/>
      <c r="C2585" s="77"/>
      <c r="D2585" s="78"/>
      <c r="E2585" s="77"/>
      <c r="F2585" s="77"/>
      <c r="G2585" s="77"/>
      <c r="H2585" s="77"/>
      <c r="I2585" s="77"/>
      <c r="J2585" s="77"/>
      <c r="K2585" s="79"/>
      <c r="L2585" s="49">
        <f t="shared" si="148"/>
        <v>0</v>
      </c>
      <c r="M2585" s="50">
        <f t="shared" si="149"/>
        <v>0</v>
      </c>
    </row>
    <row r="2586" spans="1:13" x14ac:dyDescent="0.2">
      <c r="A2586" s="18"/>
      <c r="B2586" s="77"/>
      <c r="C2586" s="77"/>
      <c r="D2586" s="78"/>
      <c r="E2586" s="77"/>
      <c r="F2586" s="77"/>
      <c r="G2586" s="77"/>
      <c r="H2586" s="77"/>
      <c r="I2586" s="77"/>
      <c r="J2586" s="77"/>
      <c r="K2586" s="79"/>
      <c r="L2586" s="49">
        <f t="shared" si="148"/>
        <v>0</v>
      </c>
      <c r="M2586" s="50">
        <f t="shared" si="149"/>
        <v>0</v>
      </c>
    </row>
    <row r="2587" spans="1:13" x14ac:dyDescent="0.2">
      <c r="A2587" s="18"/>
      <c r="B2587" s="77"/>
      <c r="C2587" s="77"/>
      <c r="D2587" s="78"/>
      <c r="E2587" s="77"/>
      <c r="F2587" s="77"/>
      <c r="G2587" s="77"/>
      <c r="H2587" s="77"/>
      <c r="I2587" s="77"/>
      <c r="J2587" s="77"/>
      <c r="K2587" s="79"/>
      <c r="L2587" s="49">
        <f t="shared" si="148"/>
        <v>0</v>
      </c>
      <c r="M2587" s="50">
        <f t="shared" si="149"/>
        <v>0</v>
      </c>
    </row>
    <row r="2588" spans="1:13" x14ac:dyDescent="0.2">
      <c r="A2588" s="18"/>
      <c r="B2588" s="77"/>
      <c r="C2588" s="77"/>
      <c r="D2588" s="78"/>
      <c r="E2588" s="77"/>
      <c r="F2588" s="77"/>
      <c r="G2588" s="77"/>
      <c r="H2588" s="77"/>
      <c r="I2588" s="77"/>
      <c r="J2588" s="77"/>
      <c r="K2588" s="79"/>
      <c r="L2588" s="49">
        <f t="shared" si="148"/>
        <v>0</v>
      </c>
      <c r="M2588" s="50">
        <f t="shared" si="149"/>
        <v>0</v>
      </c>
    </row>
    <row r="2589" spans="1:13" x14ac:dyDescent="0.2">
      <c r="A2589" s="18"/>
      <c r="B2589" s="77"/>
      <c r="C2589" s="77"/>
      <c r="D2589" s="78"/>
      <c r="E2589" s="77"/>
      <c r="F2589" s="77"/>
      <c r="G2589" s="77"/>
      <c r="H2589" s="77"/>
      <c r="I2589" s="77"/>
      <c r="J2589" s="77"/>
      <c r="K2589" s="79"/>
      <c r="L2589" s="49">
        <f t="shared" si="148"/>
        <v>0</v>
      </c>
      <c r="M2589" s="50">
        <f t="shared" si="149"/>
        <v>0</v>
      </c>
    </row>
    <row r="2590" spans="1:13" x14ac:dyDescent="0.2">
      <c r="A2590" s="18"/>
      <c r="B2590" s="77"/>
      <c r="C2590" s="77"/>
      <c r="D2590" s="78"/>
      <c r="E2590" s="77"/>
      <c r="F2590" s="77"/>
      <c r="G2590" s="77"/>
      <c r="H2590" s="77"/>
      <c r="I2590" s="77"/>
      <c r="J2590" s="77"/>
      <c r="K2590" s="79"/>
      <c r="L2590" s="49">
        <f t="shared" si="148"/>
        <v>0</v>
      </c>
      <c r="M2590" s="50">
        <f t="shared" si="149"/>
        <v>0</v>
      </c>
    </row>
    <row r="2591" spans="1:13" x14ac:dyDescent="0.2">
      <c r="A2591" s="18"/>
      <c r="B2591" s="77"/>
      <c r="C2591" s="77"/>
      <c r="D2591" s="78"/>
      <c r="E2591" s="77"/>
      <c r="F2591" s="77"/>
      <c r="G2591" s="77"/>
      <c r="H2591" s="77"/>
      <c r="I2591" s="77"/>
      <c r="J2591" s="77"/>
      <c r="K2591" s="79"/>
      <c r="L2591" s="49">
        <f t="shared" si="148"/>
        <v>0</v>
      </c>
      <c r="M2591" s="50">
        <f t="shared" si="149"/>
        <v>0</v>
      </c>
    </row>
    <row r="2592" spans="1:13" x14ac:dyDescent="0.2">
      <c r="A2592" s="18"/>
      <c r="B2592" s="77"/>
      <c r="C2592" s="77"/>
      <c r="D2592" s="78"/>
      <c r="E2592" s="77"/>
      <c r="F2592" s="77"/>
      <c r="G2592" s="77"/>
      <c r="H2592" s="77"/>
      <c r="I2592" s="77"/>
      <c r="J2592" s="77"/>
      <c r="K2592" s="79"/>
      <c r="L2592" s="49">
        <f t="shared" si="148"/>
        <v>0</v>
      </c>
      <c r="M2592" s="50">
        <f t="shared" si="149"/>
        <v>0</v>
      </c>
    </row>
    <row r="2593" spans="1:13" x14ac:dyDescent="0.2">
      <c r="A2593" s="18"/>
      <c r="B2593" s="77"/>
      <c r="C2593" s="77"/>
      <c r="D2593" s="78"/>
      <c r="E2593" s="77"/>
      <c r="F2593" s="77"/>
      <c r="G2593" s="77"/>
      <c r="H2593" s="77"/>
      <c r="I2593" s="77"/>
      <c r="J2593" s="77"/>
      <c r="K2593" s="79"/>
      <c r="L2593" s="49">
        <f t="shared" si="148"/>
        <v>0</v>
      </c>
      <c r="M2593" s="50">
        <f t="shared" si="149"/>
        <v>0</v>
      </c>
    </row>
    <row r="2594" spans="1:13" x14ac:dyDescent="0.2">
      <c r="A2594" s="18"/>
      <c r="B2594" s="77"/>
      <c r="C2594" s="77"/>
      <c r="D2594" s="78"/>
      <c r="E2594" s="77"/>
      <c r="F2594" s="77"/>
      <c r="G2594" s="77"/>
      <c r="H2594" s="77"/>
      <c r="I2594" s="77"/>
      <c r="J2594" s="77"/>
      <c r="K2594" s="79"/>
      <c r="L2594" s="49">
        <f t="shared" si="148"/>
        <v>0</v>
      </c>
      <c r="M2594" s="50">
        <f t="shared" si="149"/>
        <v>0</v>
      </c>
    </row>
    <row r="2595" spans="1:13" x14ac:dyDescent="0.2">
      <c r="A2595" s="18"/>
      <c r="B2595" s="77"/>
      <c r="C2595" s="77"/>
      <c r="D2595" s="78"/>
      <c r="E2595" s="77"/>
      <c r="F2595" s="77"/>
      <c r="G2595" s="77"/>
      <c r="H2595" s="77"/>
      <c r="I2595" s="77"/>
      <c r="J2595" s="77"/>
      <c r="K2595" s="79"/>
      <c r="L2595" s="49">
        <f t="shared" si="148"/>
        <v>0</v>
      </c>
      <c r="M2595" s="50">
        <f t="shared" si="149"/>
        <v>0</v>
      </c>
    </row>
    <row r="2596" spans="1:13" x14ac:dyDescent="0.2">
      <c r="A2596" s="18"/>
      <c r="B2596" s="77"/>
      <c r="C2596" s="77"/>
      <c r="D2596" s="78"/>
      <c r="E2596" s="77"/>
      <c r="F2596" s="77"/>
      <c r="G2596" s="77"/>
      <c r="H2596" s="77"/>
      <c r="I2596" s="77"/>
      <c r="J2596" s="77"/>
      <c r="K2596" s="79"/>
      <c r="L2596" s="49">
        <f t="shared" si="148"/>
        <v>0</v>
      </c>
      <c r="M2596" s="50">
        <f t="shared" si="149"/>
        <v>0</v>
      </c>
    </row>
    <row r="2597" spans="1:13" x14ac:dyDescent="0.2">
      <c r="A2597" s="18"/>
      <c r="B2597" s="77"/>
      <c r="C2597" s="77"/>
      <c r="D2597" s="78"/>
      <c r="E2597" s="77"/>
      <c r="F2597" s="77"/>
      <c r="G2597" s="77"/>
      <c r="H2597" s="77"/>
      <c r="I2597" s="77"/>
      <c r="J2597" s="77"/>
      <c r="K2597" s="79"/>
      <c r="L2597" s="49">
        <f t="shared" si="148"/>
        <v>0</v>
      </c>
      <c r="M2597" s="50">
        <f t="shared" si="149"/>
        <v>0</v>
      </c>
    </row>
    <row r="2598" spans="1:13" x14ac:dyDescent="0.2">
      <c r="A2598" s="18"/>
      <c r="B2598" s="77"/>
      <c r="C2598" s="77"/>
      <c r="D2598" s="78"/>
      <c r="E2598" s="77"/>
      <c r="F2598" s="77"/>
      <c r="G2598" s="77"/>
      <c r="H2598" s="77"/>
      <c r="I2598" s="77"/>
      <c r="J2598" s="77"/>
      <c r="K2598" s="79"/>
      <c r="L2598" s="49">
        <f t="shared" si="148"/>
        <v>0</v>
      </c>
      <c r="M2598" s="50">
        <f t="shared" si="149"/>
        <v>0</v>
      </c>
    </row>
    <row r="2599" spans="1:13" x14ac:dyDescent="0.2">
      <c r="A2599" s="18"/>
      <c r="B2599" s="77"/>
      <c r="C2599" s="77"/>
      <c r="D2599" s="78"/>
      <c r="E2599" s="77"/>
      <c r="F2599" s="77"/>
      <c r="G2599" s="77"/>
      <c r="H2599" s="77"/>
      <c r="I2599" s="77"/>
      <c r="J2599" s="77"/>
      <c r="K2599" s="79"/>
      <c r="L2599" s="49">
        <f t="shared" si="148"/>
        <v>0</v>
      </c>
      <c r="M2599" s="50">
        <f t="shared" si="149"/>
        <v>0</v>
      </c>
    </row>
    <row r="2600" spans="1:13" x14ac:dyDescent="0.2">
      <c r="A2600" s="18"/>
      <c r="B2600" s="77"/>
      <c r="C2600" s="77"/>
      <c r="D2600" s="78"/>
      <c r="E2600" s="77"/>
      <c r="F2600" s="77"/>
      <c r="G2600" s="77"/>
      <c r="H2600" s="77"/>
      <c r="I2600" s="77"/>
      <c r="J2600" s="77"/>
      <c r="K2600" s="79"/>
      <c r="L2600" s="49">
        <f t="shared" si="148"/>
        <v>0</v>
      </c>
      <c r="M2600" s="50">
        <f t="shared" si="149"/>
        <v>0</v>
      </c>
    </row>
    <row r="2601" spans="1:13" x14ac:dyDescent="0.2">
      <c r="A2601" s="18"/>
      <c r="B2601" s="77"/>
      <c r="C2601" s="77"/>
      <c r="D2601" s="78"/>
      <c r="E2601" s="77"/>
      <c r="F2601" s="77"/>
      <c r="G2601" s="77"/>
      <c r="H2601" s="77"/>
      <c r="I2601" s="77"/>
      <c r="J2601" s="77"/>
      <c r="K2601" s="79"/>
      <c r="L2601" s="49">
        <f t="shared" si="148"/>
        <v>0</v>
      </c>
      <c r="M2601" s="50">
        <f t="shared" si="149"/>
        <v>0</v>
      </c>
    </row>
    <row r="2602" spans="1:13" x14ac:dyDescent="0.2">
      <c r="A2602" s="18"/>
      <c r="B2602" s="77"/>
      <c r="C2602" s="77"/>
      <c r="D2602" s="78"/>
      <c r="E2602" s="77"/>
      <c r="F2602" s="77"/>
      <c r="G2602" s="77"/>
      <c r="H2602" s="77"/>
      <c r="I2602" s="77"/>
      <c r="J2602" s="77"/>
      <c r="K2602" s="79"/>
      <c r="L2602" s="49">
        <f t="shared" si="148"/>
        <v>0</v>
      </c>
      <c r="M2602" s="50">
        <f t="shared" si="149"/>
        <v>0</v>
      </c>
    </row>
    <row r="2603" spans="1:13" x14ac:dyDescent="0.2">
      <c r="A2603" s="18"/>
      <c r="B2603" s="77"/>
      <c r="C2603" s="77"/>
      <c r="D2603" s="78"/>
      <c r="E2603" s="77"/>
      <c r="F2603" s="77"/>
      <c r="G2603" s="77"/>
      <c r="H2603" s="77"/>
      <c r="I2603" s="77"/>
      <c r="J2603" s="77"/>
      <c r="K2603" s="79"/>
      <c r="L2603" s="49">
        <f t="shared" si="148"/>
        <v>0</v>
      </c>
      <c r="M2603" s="50">
        <f t="shared" si="149"/>
        <v>0</v>
      </c>
    </row>
    <row r="2604" spans="1:13" x14ac:dyDescent="0.2">
      <c r="A2604" s="18"/>
      <c r="B2604" s="77"/>
      <c r="C2604" s="77"/>
      <c r="D2604" s="78"/>
      <c r="E2604" s="77"/>
      <c r="F2604" s="77"/>
      <c r="G2604" s="77"/>
      <c r="H2604" s="77"/>
      <c r="I2604" s="77"/>
      <c r="J2604" s="77"/>
      <c r="K2604" s="79"/>
      <c r="L2604" s="49">
        <f t="shared" si="148"/>
        <v>0</v>
      </c>
      <c r="M2604" s="50">
        <f t="shared" si="149"/>
        <v>0</v>
      </c>
    </row>
    <row r="2605" spans="1:13" x14ac:dyDescent="0.2">
      <c r="A2605" s="18"/>
      <c r="B2605" s="77"/>
      <c r="C2605" s="77"/>
      <c r="D2605" s="78"/>
      <c r="E2605" s="77"/>
      <c r="F2605" s="77"/>
      <c r="G2605" s="77"/>
      <c r="H2605" s="77"/>
      <c r="I2605" s="77"/>
      <c r="J2605" s="77"/>
      <c r="K2605" s="79"/>
      <c r="L2605" s="49">
        <f t="shared" si="148"/>
        <v>0</v>
      </c>
      <c r="M2605" s="50">
        <f t="shared" si="149"/>
        <v>0</v>
      </c>
    </row>
    <row r="2606" spans="1:13" x14ac:dyDescent="0.2">
      <c r="A2606" s="18"/>
      <c r="B2606" s="77"/>
      <c r="C2606" s="77"/>
      <c r="D2606" s="78"/>
      <c r="E2606" s="77"/>
      <c r="F2606" s="77"/>
      <c r="G2606" s="77"/>
      <c r="H2606" s="77"/>
      <c r="I2606" s="77"/>
      <c r="J2606" s="77"/>
      <c r="K2606" s="79"/>
      <c r="L2606" s="49">
        <f t="shared" si="148"/>
        <v>0</v>
      </c>
      <c r="M2606" s="50">
        <f t="shared" si="149"/>
        <v>0</v>
      </c>
    </row>
    <row r="2607" spans="1:13" x14ac:dyDescent="0.2">
      <c r="A2607" s="18"/>
      <c r="B2607" s="77"/>
      <c r="C2607" s="77"/>
      <c r="D2607" s="78"/>
      <c r="E2607" s="77"/>
      <c r="F2607" s="77"/>
      <c r="G2607" s="77"/>
      <c r="H2607" s="77"/>
      <c r="I2607" s="77"/>
      <c r="J2607" s="77"/>
      <c r="K2607" s="79"/>
      <c r="L2607" s="49">
        <f t="shared" si="148"/>
        <v>0</v>
      </c>
      <c r="M2607" s="50">
        <f t="shared" si="149"/>
        <v>0</v>
      </c>
    </row>
    <row r="2608" spans="1:13" x14ac:dyDescent="0.2">
      <c r="A2608" s="18"/>
      <c r="B2608" s="77"/>
      <c r="C2608" s="77"/>
      <c r="D2608" s="78"/>
      <c r="E2608" s="77"/>
      <c r="F2608" s="77"/>
      <c r="G2608" s="77"/>
      <c r="H2608" s="77"/>
      <c r="I2608" s="77"/>
      <c r="J2608" s="77"/>
      <c r="K2608" s="79"/>
      <c r="L2608" s="49">
        <f t="shared" si="148"/>
        <v>0</v>
      </c>
      <c r="M2608" s="50">
        <f t="shared" si="149"/>
        <v>0</v>
      </c>
    </row>
    <row r="2609" spans="1:13" x14ac:dyDescent="0.2">
      <c r="A2609" s="18"/>
      <c r="B2609" s="77"/>
      <c r="C2609" s="77"/>
      <c r="D2609" s="78"/>
      <c r="E2609" s="77"/>
      <c r="F2609" s="77"/>
      <c r="G2609" s="77"/>
      <c r="H2609" s="77"/>
      <c r="I2609" s="77"/>
      <c r="J2609" s="77"/>
      <c r="K2609" s="79"/>
      <c r="L2609" s="49">
        <f t="shared" si="148"/>
        <v>0</v>
      </c>
      <c r="M2609" s="50">
        <f t="shared" si="149"/>
        <v>0</v>
      </c>
    </row>
    <row r="2610" spans="1:13" x14ac:dyDescent="0.2">
      <c r="A2610" s="18"/>
      <c r="B2610" s="77"/>
      <c r="C2610" s="77"/>
      <c r="D2610" s="78"/>
      <c r="E2610" s="77"/>
      <c r="F2610" s="77"/>
      <c r="G2610" s="77"/>
      <c r="H2610" s="77"/>
      <c r="I2610" s="77"/>
      <c r="J2610" s="77"/>
      <c r="K2610" s="79"/>
      <c r="L2610" s="49">
        <f t="shared" si="148"/>
        <v>0</v>
      </c>
      <c r="M2610" s="50">
        <f t="shared" si="149"/>
        <v>0</v>
      </c>
    </row>
    <row r="2611" spans="1:13" x14ac:dyDescent="0.2">
      <c r="A2611" s="18"/>
      <c r="B2611" s="77"/>
      <c r="C2611" s="77"/>
      <c r="D2611" s="78"/>
      <c r="E2611" s="77"/>
      <c r="F2611" s="77"/>
      <c r="G2611" s="77"/>
      <c r="H2611" s="77"/>
      <c r="I2611" s="77"/>
      <c r="J2611" s="77"/>
      <c r="K2611" s="79"/>
      <c r="L2611" s="49">
        <f t="shared" si="148"/>
        <v>0</v>
      </c>
      <c r="M2611" s="50">
        <f t="shared" si="149"/>
        <v>0</v>
      </c>
    </row>
    <row r="2612" spans="1:13" x14ac:dyDescent="0.2">
      <c r="A2612" s="18"/>
      <c r="B2612" s="77"/>
      <c r="C2612" s="77"/>
      <c r="D2612" s="78"/>
      <c r="E2612" s="77"/>
      <c r="F2612" s="77"/>
      <c r="G2612" s="77"/>
      <c r="H2612" s="77"/>
      <c r="I2612" s="77"/>
      <c r="J2612" s="77"/>
      <c r="K2612" s="79"/>
      <c r="L2612" s="49">
        <f t="shared" si="148"/>
        <v>0</v>
      </c>
      <c r="M2612" s="50">
        <f t="shared" si="149"/>
        <v>0</v>
      </c>
    </row>
    <row r="2613" spans="1:13" x14ac:dyDescent="0.2">
      <c r="A2613" s="18"/>
      <c r="B2613" s="77"/>
      <c r="C2613" s="77"/>
      <c r="D2613" s="78"/>
      <c r="E2613" s="77"/>
      <c r="F2613" s="77"/>
      <c r="G2613" s="77"/>
      <c r="H2613" s="77"/>
      <c r="I2613" s="77"/>
      <c r="J2613" s="77"/>
      <c r="K2613" s="79"/>
      <c r="L2613" s="49">
        <f t="shared" si="148"/>
        <v>0</v>
      </c>
      <c r="M2613" s="50">
        <f t="shared" si="149"/>
        <v>0</v>
      </c>
    </row>
    <row r="2614" spans="1:13" x14ac:dyDescent="0.2">
      <c r="A2614" s="18"/>
      <c r="B2614" s="77"/>
      <c r="C2614" s="77"/>
      <c r="D2614" s="78"/>
      <c r="E2614" s="77"/>
      <c r="F2614" s="77"/>
      <c r="G2614" s="77"/>
      <c r="H2614" s="77"/>
      <c r="I2614" s="77"/>
      <c r="J2614" s="77"/>
      <c r="K2614" s="79"/>
      <c r="L2614" s="49">
        <f t="shared" si="148"/>
        <v>0</v>
      </c>
      <c r="M2614" s="50">
        <f t="shared" si="149"/>
        <v>0</v>
      </c>
    </row>
    <row r="2615" spans="1:13" x14ac:dyDescent="0.2">
      <c r="A2615" s="18"/>
      <c r="B2615" s="77"/>
      <c r="C2615" s="77"/>
      <c r="D2615" s="78"/>
      <c r="E2615" s="77"/>
      <c r="F2615" s="77"/>
      <c r="G2615" s="77"/>
      <c r="H2615" s="77"/>
      <c r="I2615" s="77"/>
      <c r="J2615" s="77"/>
      <c r="K2615" s="79"/>
      <c r="L2615" s="49">
        <f t="shared" si="148"/>
        <v>0</v>
      </c>
      <c r="M2615" s="50">
        <f t="shared" si="149"/>
        <v>0</v>
      </c>
    </row>
    <row r="2616" spans="1:13" x14ac:dyDescent="0.2">
      <c r="A2616" s="18"/>
      <c r="B2616" s="77"/>
      <c r="C2616" s="77"/>
      <c r="D2616" s="78"/>
      <c r="E2616" s="77"/>
      <c r="F2616" s="77"/>
      <c r="G2616" s="77"/>
      <c r="H2616" s="77"/>
      <c r="I2616" s="77"/>
      <c r="J2616" s="77"/>
      <c r="K2616" s="79"/>
      <c r="L2616" s="49">
        <f t="shared" si="148"/>
        <v>0</v>
      </c>
      <c r="M2616" s="50">
        <f t="shared" si="149"/>
        <v>0</v>
      </c>
    </row>
    <row r="2617" spans="1:13" x14ac:dyDescent="0.2">
      <c r="A2617" s="18"/>
      <c r="B2617" s="77"/>
      <c r="C2617" s="77"/>
      <c r="D2617" s="78"/>
      <c r="E2617" s="77"/>
      <c r="F2617" s="77"/>
      <c r="G2617" s="77"/>
      <c r="H2617" s="77"/>
      <c r="I2617" s="77"/>
      <c r="J2617" s="77"/>
      <c r="K2617" s="79"/>
      <c r="L2617" s="49">
        <f t="shared" si="148"/>
        <v>0</v>
      </c>
      <c r="M2617" s="50">
        <f t="shared" si="149"/>
        <v>0</v>
      </c>
    </row>
    <row r="2618" spans="1:13" x14ac:dyDescent="0.2">
      <c r="A2618" s="18"/>
      <c r="B2618" s="77"/>
      <c r="C2618" s="77"/>
      <c r="D2618" s="78"/>
      <c r="E2618" s="77"/>
      <c r="F2618" s="77"/>
      <c r="G2618" s="77"/>
      <c r="H2618" s="77"/>
      <c r="I2618" s="77"/>
      <c r="J2618" s="77"/>
      <c r="K2618" s="79"/>
      <c r="L2618" s="49">
        <f t="shared" si="148"/>
        <v>0</v>
      </c>
      <c r="M2618" s="50">
        <f t="shared" si="149"/>
        <v>0</v>
      </c>
    </row>
    <row r="2619" spans="1:13" x14ac:dyDescent="0.2">
      <c r="A2619" s="18"/>
      <c r="B2619" s="77"/>
      <c r="C2619" s="77"/>
      <c r="D2619" s="78"/>
      <c r="E2619" s="77"/>
      <c r="F2619" s="77"/>
      <c r="G2619" s="77"/>
      <c r="H2619" s="77"/>
      <c r="I2619" s="77"/>
      <c r="J2619" s="77"/>
      <c r="K2619" s="79"/>
      <c r="L2619" s="49">
        <f t="shared" si="148"/>
        <v>0</v>
      </c>
      <c r="M2619" s="50">
        <f t="shared" si="149"/>
        <v>0</v>
      </c>
    </row>
    <row r="2620" spans="1:13" x14ac:dyDescent="0.2">
      <c r="A2620" s="18"/>
      <c r="B2620" s="77"/>
      <c r="C2620" s="77"/>
      <c r="D2620" s="78"/>
      <c r="E2620" s="77"/>
      <c r="F2620" s="77"/>
      <c r="G2620" s="77"/>
      <c r="H2620" s="77"/>
      <c r="I2620" s="77"/>
      <c r="J2620" s="77"/>
      <c r="K2620" s="79"/>
      <c r="L2620" s="49">
        <f t="shared" si="148"/>
        <v>0</v>
      </c>
      <c r="M2620" s="50">
        <f t="shared" si="149"/>
        <v>0</v>
      </c>
    </row>
    <row r="2621" spans="1:13" x14ac:dyDescent="0.2">
      <c r="A2621" s="18"/>
      <c r="B2621" s="77"/>
      <c r="C2621" s="77"/>
      <c r="D2621" s="78"/>
      <c r="E2621" s="77"/>
      <c r="F2621" s="77"/>
      <c r="G2621" s="77"/>
      <c r="H2621" s="77"/>
      <c r="I2621" s="77"/>
      <c r="J2621" s="77"/>
      <c r="K2621" s="79"/>
      <c r="L2621" s="49">
        <f t="shared" si="148"/>
        <v>0</v>
      </c>
      <c r="M2621" s="50">
        <f t="shared" si="149"/>
        <v>0</v>
      </c>
    </row>
    <row r="2622" spans="1:13" x14ac:dyDescent="0.2">
      <c r="A2622" s="18"/>
      <c r="B2622" s="77"/>
      <c r="C2622" s="77"/>
      <c r="D2622" s="78"/>
      <c r="E2622" s="77"/>
      <c r="F2622" s="77"/>
      <c r="G2622" s="77"/>
      <c r="H2622" s="77"/>
      <c r="I2622" s="77"/>
      <c r="J2622" s="77"/>
      <c r="K2622" s="79"/>
      <c r="L2622" s="49">
        <f t="shared" si="148"/>
        <v>0</v>
      </c>
      <c r="M2622" s="50">
        <f t="shared" si="149"/>
        <v>0</v>
      </c>
    </row>
    <row r="2623" spans="1:13" x14ac:dyDescent="0.2">
      <c r="A2623" s="18"/>
      <c r="B2623" s="77"/>
      <c r="C2623" s="77"/>
      <c r="D2623" s="78"/>
      <c r="E2623" s="77"/>
      <c r="F2623" s="77"/>
      <c r="G2623" s="77"/>
      <c r="H2623" s="77"/>
      <c r="I2623" s="77"/>
      <c r="J2623" s="77"/>
      <c r="K2623" s="79"/>
      <c r="L2623" s="49">
        <f t="shared" si="148"/>
        <v>0</v>
      </c>
      <c r="M2623" s="50">
        <f t="shared" si="149"/>
        <v>0</v>
      </c>
    </row>
    <row r="2624" spans="1:13" x14ac:dyDescent="0.2">
      <c r="A2624" s="18"/>
      <c r="B2624" s="77"/>
      <c r="C2624" s="77"/>
      <c r="D2624" s="78"/>
      <c r="E2624" s="77"/>
      <c r="F2624" s="77"/>
      <c r="G2624" s="77"/>
      <c r="H2624" s="77"/>
      <c r="I2624" s="77"/>
      <c r="J2624" s="77"/>
      <c r="K2624" s="79"/>
      <c r="L2624" s="49">
        <f t="shared" si="148"/>
        <v>0</v>
      </c>
      <c r="M2624" s="50">
        <f t="shared" si="149"/>
        <v>0</v>
      </c>
    </row>
    <row r="2625" spans="1:13" x14ac:dyDescent="0.2">
      <c r="A2625" s="18"/>
      <c r="B2625" s="77"/>
      <c r="C2625" s="77"/>
      <c r="D2625" s="78"/>
      <c r="E2625" s="77"/>
      <c r="F2625" s="77"/>
      <c r="G2625" s="77"/>
      <c r="H2625" s="77"/>
      <c r="I2625" s="77"/>
      <c r="J2625" s="77"/>
      <c r="K2625" s="79"/>
      <c r="L2625" s="49">
        <f t="shared" si="148"/>
        <v>0</v>
      </c>
      <c r="M2625" s="50">
        <f t="shared" si="149"/>
        <v>0</v>
      </c>
    </row>
    <row r="2626" spans="1:13" x14ac:dyDescent="0.2">
      <c r="A2626" s="18"/>
      <c r="B2626" s="77"/>
      <c r="C2626" s="77"/>
      <c r="D2626" s="78"/>
      <c r="E2626" s="77"/>
      <c r="F2626" s="77"/>
      <c r="G2626" s="77"/>
      <c r="H2626" s="77"/>
      <c r="I2626" s="77"/>
      <c r="J2626" s="77"/>
      <c r="K2626" s="79"/>
      <c r="L2626" s="49">
        <f t="shared" si="148"/>
        <v>0</v>
      </c>
      <c r="M2626" s="50">
        <f t="shared" si="149"/>
        <v>0</v>
      </c>
    </row>
    <row r="2627" spans="1:13" x14ac:dyDescent="0.2">
      <c r="A2627" s="18"/>
      <c r="B2627" s="77"/>
      <c r="C2627" s="77"/>
      <c r="D2627" s="78"/>
      <c r="E2627" s="77"/>
      <c r="F2627" s="77"/>
      <c r="G2627" s="77"/>
      <c r="H2627" s="77"/>
      <c r="I2627" s="77"/>
      <c r="J2627" s="77"/>
      <c r="K2627" s="79"/>
      <c r="L2627" s="49">
        <f t="shared" si="148"/>
        <v>0</v>
      </c>
      <c r="M2627" s="50">
        <f t="shared" si="149"/>
        <v>0</v>
      </c>
    </row>
    <row r="2628" spans="1:13" x14ac:dyDescent="0.2">
      <c r="A2628" s="18"/>
      <c r="B2628" s="77"/>
      <c r="C2628" s="77"/>
      <c r="D2628" s="78"/>
      <c r="E2628" s="77"/>
      <c r="F2628" s="77"/>
      <c r="G2628" s="77"/>
      <c r="H2628" s="77"/>
      <c r="I2628" s="77"/>
      <c r="J2628" s="77"/>
      <c r="K2628" s="79"/>
      <c r="L2628" s="49">
        <f t="shared" si="148"/>
        <v>0</v>
      </c>
      <c r="M2628" s="50">
        <f t="shared" si="149"/>
        <v>0</v>
      </c>
    </row>
    <row r="2629" spans="1:13" x14ac:dyDescent="0.2">
      <c r="A2629" s="18"/>
      <c r="B2629" s="77"/>
      <c r="C2629" s="77"/>
      <c r="D2629" s="78"/>
      <c r="E2629" s="77"/>
      <c r="F2629" s="77"/>
      <c r="G2629" s="77"/>
      <c r="H2629" s="77"/>
      <c r="I2629" s="77"/>
      <c r="J2629" s="77"/>
      <c r="K2629" s="79"/>
      <c r="L2629" s="49">
        <f t="shared" si="148"/>
        <v>0</v>
      </c>
      <c r="M2629" s="50">
        <f t="shared" si="149"/>
        <v>0</v>
      </c>
    </row>
    <row r="2630" spans="1:13" x14ac:dyDescent="0.2">
      <c r="A2630" s="18"/>
      <c r="B2630" s="77"/>
      <c r="C2630" s="77"/>
      <c r="D2630" s="78"/>
      <c r="E2630" s="77"/>
      <c r="F2630" s="77"/>
      <c r="G2630" s="77"/>
      <c r="H2630" s="77"/>
      <c r="I2630" s="77"/>
      <c r="J2630" s="77"/>
      <c r="K2630" s="79"/>
      <c r="L2630" s="49">
        <f t="shared" si="148"/>
        <v>0</v>
      </c>
      <c r="M2630" s="50">
        <f t="shared" si="149"/>
        <v>0</v>
      </c>
    </row>
    <row r="2631" spans="1:13" x14ac:dyDescent="0.2">
      <c r="A2631" s="18"/>
      <c r="B2631" s="77"/>
      <c r="C2631" s="77"/>
      <c r="D2631" s="78"/>
      <c r="E2631" s="77"/>
      <c r="F2631" s="77"/>
      <c r="G2631" s="77"/>
      <c r="H2631" s="77"/>
      <c r="I2631" s="77"/>
      <c r="J2631" s="77"/>
      <c r="K2631" s="79"/>
      <c r="L2631" s="49">
        <f t="shared" si="148"/>
        <v>0</v>
      </c>
      <c r="M2631" s="50">
        <f t="shared" si="149"/>
        <v>0</v>
      </c>
    </row>
    <row r="2632" spans="1:13" x14ac:dyDescent="0.2">
      <c r="A2632" s="18"/>
      <c r="B2632" s="77"/>
      <c r="C2632" s="77"/>
      <c r="D2632" s="78"/>
      <c r="E2632" s="77"/>
      <c r="F2632" s="77"/>
      <c r="G2632" s="77"/>
      <c r="H2632" s="77"/>
      <c r="I2632" s="77"/>
      <c r="J2632" s="77"/>
      <c r="K2632" s="79"/>
      <c r="L2632" s="49">
        <f t="shared" si="148"/>
        <v>0</v>
      </c>
      <c r="M2632" s="50">
        <f t="shared" si="149"/>
        <v>0</v>
      </c>
    </row>
    <row r="2633" spans="1:13" x14ac:dyDescent="0.2">
      <c r="A2633" s="18"/>
      <c r="B2633" s="77"/>
      <c r="C2633" s="77"/>
      <c r="D2633" s="78"/>
      <c r="E2633" s="77"/>
      <c r="F2633" s="77"/>
      <c r="G2633" s="77"/>
      <c r="H2633" s="77"/>
      <c r="I2633" s="77"/>
      <c r="J2633" s="77"/>
      <c r="K2633" s="79"/>
      <c r="L2633" s="49">
        <f t="shared" si="148"/>
        <v>0</v>
      </c>
      <c r="M2633" s="50">
        <f t="shared" si="149"/>
        <v>0</v>
      </c>
    </row>
    <row r="2634" spans="1:13" x14ac:dyDescent="0.2">
      <c r="A2634" s="18"/>
      <c r="B2634" s="77"/>
      <c r="C2634" s="77"/>
      <c r="D2634" s="78"/>
      <c r="E2634" s="77"/>
      <c r="F2634" s="77"/>
      <c r="G2634" s="77"/>
      <c r="H2634" s="77"/>
      <c r="I2634" s="77"/>
      <c r="J2634" s="77"/>
      <c r="K2634" s="79"/>
      <c r="L2634" s="49">
        <f t="shared" ref="L2634:L2697" si="150">+K2634*18%</f>
        <v>0</v>
      </c>
      <c r="M2634" s="50">
        <f t="shared" ref="M2634:M2697" si="151">+K2634+L2634</f>
        <v>0</v>
      </c>
    </row>
    <row r="2635" spans="1:13" x14ac:dyDescent="0.2">
      <c r="A2635" s="18"/>
      <c r="B2635" s="77"/>
      <c r="C2635" s="77"/>
      <c r="D2635" s="78"/>
      <c r="E2635" s="77"/>
      <c r="F2635" s="77"/>
      <c r="G2635" s="77"/>
      <c r="H2635" s="77"/>
      <c r="I2635" s="77"/>
      <c r="J2635" s="77"/>
      <c r="K2635" s="79"/>
      <c r="L2635" s="49">
        <f t="shared" si="150"/>
        <v>0</v>
      </c>
      <c r="M2635" s="50">
        <f t="shared" si="151"/>
        <v>0</v>
      </c>
    </row>
    <row r="2636" spans="1:13" x14ac:dyDescent="0.2">
      <c r="A2636" s="18"/>
      <c r="B2636" s="77"/>
      <c r="C2636" s="77"/>
      <c r="D2636" s="78"/>
      <c r="E2636" s="77"/>
      <c r="F2636" s="77"/>
      <c r="G2636" s="77"/>
      <c r="H2636" s="77"/>
      <c r="I2636" s="77"/>
      <c r="J2636" s="77"/>
      <c r="K2636" s="79"/>
      <c r="L2636" s="49">
        <f t="shared" si="150"/>
        <v>0</v>
      </c>
      <c r="M2636" s="50">
        <f t="shared" si="151"/>
        <v>0</v>
      </c>
    </row>
    <row r="2637" spans="1:13" x14ac:dyDescent="0.2">
      <c r="A2637" s="18"/>
      <c r="B2637" s="77"/>
      <c r="C2637" s="77"/>
      <c r="D2637" s="78"/>
      <c r="E2637" s="77"/>
      <c r="F2637" s="77"/>
      <c r="G2637" s="77"/>
      <c r="H2637" s="77"/>
      <c r="I2637" s="77"/>
      <c r="J2637" s="77"/>
      <c r="K2637" s="79"/>
      <c r="L2637" s="49">
        <f t="shared" si="150"/>
        <v>0</v>
      </c>
      <c r="M2637" s="50">
        <f t="shared" si="151"/>
        <v>0</v>
      </c>
    </row>
    <row r="2638" spans="1:13" x14ac:dyDescent="0.2">
      <c r="A2638" s="18"/>
      <c r="B2638" s="77"/>
      <c r="C2638" s="77"/>
      <c r="D2638" s="78"/>
      <c r="E2638" s="77"/>
      <c r="F2638" s="77"/>
      <c r="G2638" s="77"/>
      <c r="H2638" s="77"/>
      <c r="I2638" s="77"/>
      <c r="J2638" s="77"/>
      <c r="K2638" s="79"/>
      <c r="L2638" s="49">
        <f t="shared" si="150"/>
        <v>0</v>
      </c>
      <c r="M2638" s="50">
        <f t="shared" si="151"/>
        <v>0</v>
      </c>
    </row>
    <row r="2639" spans="1:13" x14ac:dyDescent="0.2">
      <c r="A2639" s="18"/>
      <c r="B2639" s="77"/>
      <c r="C2639" s="77"/>
      <c r="D2639" s="78"/>
      <c r="E2639" s="77"/>
      <c r="F2639" s="77"/>
      <c r="G2639" s="77"/>
      <c r="H2639" s="77"/>
      <c r="I2639" s="77"/>
      <c r="J2639" s="77"/>
      <c r="K2639" s="79"/>
      <c r="L2639" s="49">
        <f t="shared" si="150"/>
        <v>0</v>
      </c>
      <c r="M2639" s="50">
        <f t="shared" si="151"/>
        <v>0</v>
      </c>
    </row>
    <row r="2640" spans="1:13" x14ac:dyDescent="0.2">
      <c r="A2640" s="18"/>
      <c r="B2640" s="77"/>
      <c r="C2640" s="77"/>
      <c r="D2640" s="78"/>
      <c r="E2640" s="77"/>
      <c r="F2640" s="77"/>
      <c r="G2640" s="77"/>
      <c r="H2640" s="77"/>
      <c r="I2640" s="77"/>
      <c r="J2640" s="77"/>
      <c r="K2640" s="79"/>
      <c r="L2640" s="49">
        <f t="shared" si="150"/>
        <v>0</v>
      </c>
      <c r="M2640" s="50">
        <f t="shared" si="151"/>
        <v>0</v>
      </c>
    </row>
    <row r="2641" spans="1:13" x14ac:dyDescent="0.2">
      <c r="A2641" s="18"/>
      <c r="B2641" s="77"/>
      <c r="C2641" s="77"/>
      <c r="D2641" s="78"/>
      <c r="E2641" s="77"/>
      <c r="F2641" s="77"/>
      <c r="G2641" s="77"/>
      <c r="H2641" s="77"/>
      <c r="I2641" s="77"/>
      <c r="J2641" s="77"/>
      <c r="K2641" s="79"/>
      <c r="L2641" s="49">
        <f t="shared" si="150"/>
        <v>0</v>
      </c>
      <c r="M2641" s="50">
        <f t="shared" si="151"/>
        <v>0</v>
      </c>
    </row>
    <row r="2642" spans="1:13" x14ac:dyDescent="0.2">
      <c r="A2642" s="18"/>
      <c r="B2642" s="77"/>
      <c r="C2642" s="77"/>
      <c r="D2642" s="78"/>
      <c r="E2642" s="77"/>
      <c r="F2642" s="77"/>
      <c r="G2642" s="77"/>
      <c r="H2642" s="77"/>
      <c r="I2642" s="77"/>
      <c r="J2642" s="77"/>
      <c r="K2642" s="79"/>
      <c r="L2642" s="49">
        <f t="shared" si="150"/>
        <v>0</v>
      </c>
      <c r="M2642" s="50">
        <f t="shared" si="151"/>
        <v>0</v>
      </c>
    </row>
    <row r="2643" spans="1:13" x14ac:dyDescent="0.2">
      <c r="A2643" s="18"/>
      <c r="B2643" s="77"/>
      <c r="C2643" s="77"/>
      <c r="D2643" s="78"/>
      <c r="E2643" s="77"/>
      <c r="F2643" s="77"/>
      <c r="G2643" s="77"/>
      <c r="H2643" s="77"/>
      <c r="I2643" s="77"/>
      <c r="J2643" s="77"/>
      <c r="K2643" s="79"/>
      <c r="L2643" s="49">
        <f t="shared" si="150"/>
        <v>0</v>
      </c>
      <c r="M2643" s="50">
        <f t="shared" si="151"/>
        <v>0</v>
      </c>
    </row>
    <row r="2644" spans="1:13" x14ac:dyDescent="0.2">
      <c r="A2644" s="18"/>
      <c r="B2644" s="77"/>
      <c r="C2644" s="77"/>
      <c r="D2644" s="78"/>
      <c r="E2644" s="77"/>
      <c r="F2644" s="77"/>
      <c r="G2644" s="77"/>
      <c r="H2644" s="77"/>
      <c r="I2644" s="77"/>
      <c r="J2644" s="77"/>
      <c r="K2644" s="79"/>
      <c r="L2644" s="49">
        <f t="shared" si="150"/>
        <v>0</v>
      </c>
      <c r="M2644" s="50">
        <f t="shared" si="151"/>
        <v>0</v>
      </c>
    </row>
    <row r="2645" spans="1:13" x14ac:dyDescent="0.2">
      <c r="A2645" s="18"/>
      <c r="B2645" s="77"/>
      <c r="C2645" s="77"/>
      <c r="D2645" s="78"/>
      <c r="E2645" s="77"/>
      <c r="F2645" s="77"/>
      <c r="G2645" s="77"/>
      <c r="H2645" s="77"/>
      <c r="I2645" s="77"/>
      <c r="J2645" s="77"/>
      <c r="K2645" s="79"/>
      <c r="L2645" s="49">
        <f t="shared" si="150"/>
        <v>0</v>
      </c>
      <c r="M2645" s="50">
        <f t="shared" si="151"/>
        <v>0</v>
      </c>
    </row>
    <row r="2646" spans="1:13" x14ac:dyDescent="0.2">
      <c r="A2646" s="18"/>
      <c r="B2646" s="77"/>
      <c r="C2646" s="77"/>
      <c r="D2646" s="78"/>
      <c r="E2646" s="77"/>
      <c r="F2646" s="77"/>
      <c r="G2646" s="77"/>
      <c r="H2646" s="77"/>
      <c r="I2646" s="77"/>
      <c r="J2646" s="77"/>
      <c r="K2646" s="79"/>
      <c r="L2646" s="49">
        <f t="shared" si="150"/>
        <v>0</v>
      </c>
      <c r="M2646" s="50">
        <f t="shared" si="151"/>
        <v>0</v>
      </c>
    </row>
    <row r="2647" spans="1:13" x14ac:dyDescent="0.2">
      <c r="A2647" s="18"/>
      <c r="B2647" s="77"/>
      <c r="C2647" s="77"/>
      <c r="D2647" s="78"/>
      <c r="E2647" s="77"/>
      <c r="F2647" s="77"/>
      <c r="G2647" s="77"/>
      <c r="H2647" s="77"/>
      <c r="I2647" s="77"/>
      <c r="J2647" s="77"/>
      <c r="K2647" s="79"/>
      <c r="L2647" s="49">
        <f t="shared" si="150"/>
        <v>0</v>
      </c>
      <c r="M2647" s="50">
        <f t="shared" si="151"/>
        <v>0</v>
      </c>
    </row>
    <row r="2648" spans="1:13" x14ac:dyDescent="0.2">
      <c r="A2648" s="18"/>
      <c r="B2648" s="77"/>
      <c r="C2648" s="77"/>
      <c r="D2648" s="78"/>
      <c r="E2648" s="77"/>
      <c r="F2648" s="77"/>
      <c r="G2648" s="77"/>
      <c r="H2648" s="77"/>
      <c r="I2648" s="77"/>
      <c r="J2648" s="77"/>
      <c r="K2648" s="79"/>
      <c r="L2648" s="49">
        <f t="shared" si="150"/>
        <v>0</v>
      </c>
      <c r="M2648" s="50">
        <f t="shared" si="151"/>
        <v>0</v>
      </c>
    </row>
    <row r="2649" spans="1:13" x14ac:dyDescent="0.2">
      <c r="A2649" s="18"/>
      <c r="B2649" s="77"/>
      <c r="C2649" s="77"/>
      <c r="D2649" s="78"/>
      <c r="E2649" s="77"/>
      <c r="F2649" s="77"/>
      <c r="G2649" s="77"/>
      <c r="H2649" s="77"/>
      <c r="I2649" s="77"/>
      <c r="J2649" s="77"/>
      <c r="K2649" s="79"/>
      <c r="L2649" s="49">
        <f t="shared" si="150"/>
        <v>0</v>
      </c>
      <c r="M2649" s="50">
        <f t="shared" si="151"/>
        <v>0</v>
      </c>
    </row>
    <row r="2650" spans="1:13" x14ac:dyDescent="0.2">
      <c r="A2650" s="18"/>
      <c r="B2650" s="77"/>
      <c r="C2650" s="77"/>
      <c r="D2650" s="78"/>
      <c r="E2650" s="77"/>
      <c r="F2650" s="77"/>
      <c r="G2650" s="77"/>
      <c r="H2650" s="77"/>
      <c r="I2650" s="77"/>
      <c r="J2650" s="77"/>
      <c r="K2650" s="79"/>
      <c r="L2650" s="49">
        <f t="shared" si="150"/>
        <v>0</v>
      </c>
      <c r="M2650" s="50">
        <f t="shared" si="151"/>
        <v>0</v>
      </c>
    </row>
    <row r="2651" spans="1:13" x14ac:dyDescent="0.2">
      <c r="A2651" s="18"/>
      <c r="B2651" s="77"/>
      <c r="C2651" s="77"/>
      <c r="D2651" s="78"/>
      <c r="E2651" s="77"/>
      <c r="F2651" s="77"/>
      <c r="G2651" s="77"/>
      <c r="H2651" s="77"/>
      <c r="I2651" s="77"/>
      <c r="J2651" s="77"/>
      <c r="K2651" s="79"/>
      <c r="L2651" s="49">
        <f t="shared" si="150"/>
        <v>0</v>
      </c>
      <c r="M2651" s="50">
        <f t="shared" si="151"/>
        <v>0</v>
      </c>
    </row>
    <row r="2652" spans="1:13" x14ac:dyDescent="0.2">
      <c r="A2652" s="18"/>
      <c r="B2652" s="77"/>
      <c r="C2652" s="77"/>
      <c r="D2652" s="78"/>
      <c r="E2652" s="77"/>
      <c r="F2652" s="77"/>
      <c r="G2652" s="77"/>
      <c r="H2652" s="77"/>
      <c r="I2652" s="77"/>
      <c r="J2652" s="77"/>
      <c r="K2652" s="79"/>
      <c r="L2652" s="49">
        <f t="shared" si="150"/>
        <v>0</v>
      </c>
      <c r="M2652" s="50">
        <f t="shared" si="151"/>
        <v>0</v>
      </c>
    </row>
    <row r="2653" spans="1:13" x14ac:dyDescent="0.2">
      <c r="A2653" s="18"/>
      <c r="B2653" s="77"/>
      <c r="C2653" s="77"/>
      <c r="D2653" s="78"/>
      <c r="E2653" s="77"/>
      <c r="F2653" s="77"/>
      <c r="G2653" s="77"/>
      <c r="H2653" s="77"/>
      <c r="I2653" s="77"/>
      <c r="J2653" s="77"/>
      <c r="K2653" s="79"/>
      <c r="L2653" s="49">
        <f t="shared" si="150"/>
        <v>0</v>
      </c>
      <c r="M2653" s="50">
        <f t="shared" si="151"/>
        <v>0</v>
      </c>
    </row>
    <row r="2654" spans="1:13" x14ac:dyDescent="0.2">
      <c r="A2654" s="18"/>
      <c r="B2654" s="77"/>
      <c r="C2654" s="77"/>
      <c r="D2654" s="78"/>
      <c r="E2654" s="77"/>
      <c r="F2654" s="77"/>
      <c r="G2654" s="77"/>
      <c r="H2654" s="77"/>
      <c r="I2654" s="77"/>
      <c r="J2654" s="77"/>
      <c r="K2654" s="79"/>
      <c r="L2654" s="49">
        <f t="shared" si="150"/>
        <v>0</v>
      </c>
      <c r="M2654" s="50">
        <f t="shared" si="151"/>
        <v>0</v>
      </c>
    </row>
    <row r="2655" spans="1:13" x14ac:dyDescent="0.2">
      <c r="A2655" s="18"/>
      <c r="B2655" s="77"/>
      <c r="C2655" s="77"/>
      <c r="D2655" s="78"/>
      <c r="E2655" s="77"/>
      <c r="F2655" s="77"/>
      <c r="G2655" s="77"/>
      <c r="H2655" s="77"/>
      <c r="I2655" s="77"/>
      <c r="J2655" s="77"/>
      <c r="K2655" s="79"/>
      <c r="L2655" s="49">
        <f t="shared" si="150"/>
        <v>0</v>
      </c>
      <c r="M2655" s="50">
        <f t="shared" si="151"/>
        <v>0</v>
      </c>
    </row>
    <row r="2656" spans="1:13" x14ac:dyDescent="0.2">
      <c r="A2656" s="18"/>
      <c r="B2656" s="77"/>
      <c r="C2656" s="77"/>
      <c r="D2656" s="78"/>
      <c r="E2656" s="77"/>
      <c r="F2656" s="77"/>
      <c r="G2656" s="77"/>
      <c r="H2656" s="77"/>
      <c r="I2656" s="77"/>
      <c r="J2656" s="77"/>
      <c r="K2656" s="79"/>
      <c r="L2656" s="49">
        <f t="shared" si="150"/>
        <v>0</v>
      </c>
      <c r="M2656" s="50">
        <f t="shared" si="151"/>
        <v>0</v>
      </c>
    </row>
    <row r="2657" spans="1:13" x14ac:dyDescent="0.2">
      <c r="A2657" s="18"/>
      <c r="B2657" s="77"/>
      <c r="C2657" s="77"/>
      <c r="D2657" s="78"/>
      <c r="E2657" s="77"/>
      <c r="F2657" s="77"/>
      <c r="G2657" s="77"/>
      <c r="H2657" s="77"/>
      <c r="I2657" s="77"/>
      <c r="J2657" s="77"/>
      <c r="K2657" s="79"/>
      <c r="L2657" s="49">
        <f t="shared" si="150"/>
        <v>0</v>
      </c>
      <c r="M2657" s="50">
        <f t="shared" si="151"/>
        <v>0</v>
      </c>
    </row>
    <row r="2658" spans="1:13" x14ac:dyDescent="0.2">
      <c r="A2658" s="18"/>
      <c r="B2658" s="77"/>
      <c r="C2658" s="77"/>
      <c r="D2658" s="78"/>
      <c r="E2658" s="77"/>
      <c r="F2658" s="77"/>
      <c r="G2658" s="77"/>
      <c r="H2658" s="77"/>
      <c r="I2658" s="77"/>
      <c r="J2658" s="77"/>
      <c r="K2658" s="79"/>
      <c r="L2658" s="49">
        <f t="shared" si="150"/>
        <v>0</v>
      </c>
      <c r="M2658" s="50">
        <f t="shared" si="151"/>
        <v>0</v>
      </c>
    </row>
    <row r="2659" spans="1:13" x14ac:dyDescent="0.2">
      <c r="A2659" s="18"/>
      <c r="B2659" s="77"/>
      <c r="C2659" s="77"/>
      <c r="D2659" s="78"/>
      <c r="E2659" s="77"/>
      <c r="F2659" s="77"/>
      <c r="G2659" s="77"/>
      <c r="H2659" s="77"/>
      <c r="I2659" s="77"/>
      <c r="J2659" s="77"/>
      <c r="K2659" s="79"/>
      <c r="L2659" s="49">
        <f t="shared" si="150"/>
        <v>0</v>
      </c>
      <c r="M2659" s="50">
        <f t="shared" si="151"/>
        <v>0</v>
      </c>
    </row>
    <row r="2660" spans="1:13" x14ac:dyDescent="0.2">
      <c r="A2660" s="18"/>
      <c r="B2660" s="77"/>
      <c r="C2660" s="77"/>
      <c r="D2660" s="78"/>
      <c r="E2660" s="77"/>
      <c r="F2660" s="77"/>
      <c r="G2660" s="77"/>
      <c r="H2660" s="77"/>
      <c r="I2660" s="77"/>
      <c r="J2660" s="77"/>
      <c r="K2660" s="79"/>
      <c r="L2660" s="49">
        <f t="shared" si="150"/>
        <v>0</v>
      </c>
      <c r="M2660" s="50">
        <f t="shared" si="151"/>
        <v>0</v>
      </c>
    </row>
    <row r="2661" spans="1:13" x14ac:dyDescent="0.2">
      <c r="A2661" s="18"/>
      <c r="B2661" s="77"/>
      <c r="C2661" s="77"/>
      <c r="D2661" s="78"/>
      <c r="E2661" s="77"/>
      <c r="F2661" s="77"/>
      <c r="G2661" s="77"/>
      <c r="H2661" s="77"/>
      <c r="I2661" s="77"/>
      <c r="J2661" s="77"/>
      <c r="K2661" s="79"/>
      <c r="L2661" s="49">
        <f t="shared" si="150"/>
        <v>0</v>
      </c>
      <c r="M2661" s="50">
        <f t="shared" si="151"/>
        <v>0</v>
      </c>
    </row>
    <row r="2662" spans="1:13" x14ac:dyDescent="0.2">
      <c r="A2662" s="18"/>
      <c r="B2662" s="77"/>
      <c r="C2662" s="77"/>
      <c r="D2662" s="78"/>
      <c r="E2662" s="77"/>
      <c r="F2662" s="77"/>
      <c r="G2662" s="77"/>
      <c r="H2662" s="77"/>
      <c r="I2662" s="77"/>
      <c r="J2662" s="77"/>
      <c r="K2662" s="79"/>
      <c r="L2662" s="49">
        <f t="shared" si="150"/>
        <v>0</v>
      </c>
      <c r="M2662" s="50">
        <f t="shared" si="151"/>
        <v>0</v>
      </c>
    </row>
    <row r="2663" spans="1:13" x14ac:dyDescent="0.2">
      <c r="A2663" s="18"/>
      <c r="B2663" s="77"/>
      <c r="C2663" s="77"/>
      <c r="D2663" s="78"/>
      <c r="E2663" s="77"/>
      <c r="F2663" s="77"/>
      <c r="G2663" s="77"/>
      <c r="H2663" s="77"/>
      <c r="I2663" s="77"/>
      <c r="J2663" s="77"/>
      <c r="K2663" s="79"/>
      <c r="L2663" s="49">
        <f t="shared" si="150"/>
        <v>0</v>
      </c>
      <c r="M2663" s="50">
        <f t="shared" si="151"/>
        <v>0</v>
      </c>
    </row>
    <row r="2664" spans="1:13" x14ac:dyDescent="0.2">
      <c r="A2664" s="18"/>
      <c r="B2664" s="77"/>
      <c r="C2664" s="77"/>
      <c r="D2664" s="78"/>
      <c r="E2664" s="77"/>
      <c r="F2664" s="77"/>
      <c r="G2664" s="77"/>
      <c r="H2664" s="77"/>
      <c r="I2664" s="77"/>
      <c r="J2664" s="77"/>
      <c r="K2664" s="79"/>
      <c r="L2664" s="49">
        <f t="shared" si="150"/>
        <v>0</v>
      </c>
      <c r="M2664" s="50">
        <f t="shared" si="151"/>
        <v>0</v>
      </c>
    </row>
    <row r="2665" spans="1:13" x14ac:dyDescent="0.2">
      <c r="A2665" s="18"/>
      <c r="B2665" s="77"/>
      <c r="C2665" s="77"/>
      <c r="D2665" s="78"/>
      <c r="E2665" s="77"/>
      <c r="F2665" s="77"/>
      <c r="G2665" s="77"/>
      <c r="H2665" s="77"/>
      <c r="I2665" s="77"/>
      <c r="J2665" s="77"/>
      <c r="K2665" s="79"/>
      <c r="L2665" s="49">
        <f t="shared" si="150"/>
        <v>0</v>
      </c>
      <c r="M2665" s="50">
        <f t="shared" si="151"/>
        <v>0</v>
      </c>
    </row>
    <row r="2666" spans="1:13" x14ac:dyDescent="0.2">
      <c r="A2666" s="18"/>
      <c r="B2666" s="77"/>
      <c r="C2666" s="77"/>
      <c r="D2666" s="78"/>
      <c r="E2666" s="77"/>
      <c r="F2666" s="77"/>
      <c r="G2666" s="77"/>
      <c r="H2666" s="77"/>
      <c r="I2666" s="77"/>
      <c r="J2666" s="77"/>
      <c r="K2666" s="79"/>
      <c r="L2666" s="49">
        <f t="shared" si="150"/>
        <v>0</v>
      </c>
      <c r="M2666" s="50">
        <f t="shared" si="151"/>
        <v>0</v>
      </c>
    </row>
    <row r="2667" spans="1:13" x14ac:dyDescent="0.2">
      <c r="A2667" s="18"/>
      <c r="B2667" s="77"/>
      <c r="C2667" s="77"/>
      <c r="D2667" s="78"/>
      <c r="E2667" s="77"/>
      <c r="F2667" s="77"/>
      <c r="G2667" s="77"/>
      <c r="H2667" s="77"/>
      <c r="I2667" s="77"/>
      <c r="J2667" s="77"/>
      <c r="K2667" s="79"/>
      <c r="L2667" s="49">
        <f t="shared" si="150"/>
        <v>0</v>
      </c>
      <c r="M2667" s="50">
        <f t="shared" si="151"/>
        <v>0</v>
      </c>
    </row>
    <row r="2668" spans="1:13" x14ac:dyDescent="0.2">
      <c r="A2668" s="18"/>
      <c r="B2668" s="77"/>
      <c r="C2668" s="77"/>
      <c r="D2668" s="78"/>
      <c r="E2668" s="77"/>
      <c r="F2668" s="77"/>
      <c r="G2668" s="77"/>
      <c r="H2668" s="77"/>
      <c r="I2668" s="77"/>
      <c r="J2668" s="77"/>
      <c r="K2668" s="79"/>
      <c r="L2668" s="49">
        <f t="shared" si="150"/>
        <v>0</v>
      </c>
      <c r="M2668" s="50">
        <f t="shared" si="151"/>
        <v>0</v>
      </c>
    </row>
    <row r="2669" spans="1:13" x14ac:dyDescent="0.2">
      <c r="A2669" s="18"/>
      <c r="B2669" s="77"/>
      <c r="C2669" s="77"/>
      <c r="D2669" s="78"/>
      <c r="E2669" s="77"/>
      <c r="F2669" s="77"/>
      <c r="G2669" s="77"/>
      <c r="H2669" s="77"/>
      <c r="I2669" s="77"/>
      <c r="J2669" s="77"/>
      <c r="K2669" s="79"/>
      <c r="L2669" s="49">
        <f t="shared" si="150"/>
        <v>0</v>
      </c>
      <c r="M2669" s="50">
        <f t="shared" si="151"/>
        <v>0</v>
      </c>
    </row>
    <row r="2670" spans="1:13" x14ac:dyDescent="0.2">
      <c r="A2670" s="18"/>
      <c r="B2670" s="77"/>
      <c r="C2670" s="77"/>
      <c r="D2670" s="78"/>
      <c r="E2670" s="77"/>
      <c r="F2670" s="77"/>
      <c r="G2670" s="77"/>
      <c r="H2670" s="77"/>
      <c r="I2670" s="77"/>
      <c r="J2670" s="77"/>
      <c r="K2670" s="79"/>
      <c r="L2670" s="49">
        <f t="shared" si="150"/>
        <v>0</v>
      </c>
      <c r="M2670" s="50">
        <f t="shared" si="151"/>
        <v>0</v>
      </c>
    </row>
    <row r="2671" spans="1:13" x14ac:dyDescent="0.2">
      <c r="A2671" s="18"/>
      <c r="B2671" s="77"/>
      <c r="C2671" s="77"/>
      <c r="D2671" s="78"/>
      <c r="E2671" s="77"/>
      <c r="F2671" s="77"/>
      <c r="G2671" s="77"/>
      <c r="H2671" s="77"/>
      <c r="I2671" s="77"/>
      <c r="J2671" s="77"/>
      <c r="K2671" s="79"/>
      <c r="L2671" s="49">
        <f t="shared" si="150"/>
        <v>0</v>
      </c>
      <c r="M2671" s="50">
        <f t="shared" si="151"/>
        <v>0</v>
      </c>
    </row>
    <row r="2672" spans="1:13" x14ac:dyDescent="0.2">
      <c r="A2672" s="18"/>
      <c r="B2672" s="77"/>
      <c r="C2672" s="77"/>
      <c r="D2672" s="78"/>
      <c r="E2672" s="77"/>
      <c r="F2672" s="77"/>
      <c r="G2672" s="77"/>
      <c r="H2672" s="77"/>
      <c r="I2672" s="77"/>
      <c r="J2672" s="77"/>
      <c r="K2672" s="79"/>
      <c r="L2672" s="49">
        <f t="shared" si="150"/>
        <v>0</v>
      </c>
      <c r="M2672" s="50">
        <f t="shared" si="151"/>
        <v>0</v>
      </c>
    </row>
    <row r="2673" spans="1:13" x14ac:dyDescent="0.2">
      <c r="A2673" s="18"/>
      <c r="B2673" s="77"/>
      <c r="C2673" s="77"/>
      <c r="D2673" s="78"/>
      <c r="E2673" s="77"/>
      <c r="F2673" s="77"/>
      <c r="G2673" s="77"/>
      <c r="H2673" s="77"/>
      <c r="I2673" s="77"/>
      <c r="J2673" s="77"/>
      <c r="K2673" s="79"/>
      <c r="L2673" s="49">
        <f t="shared" si="150"/>
        <v>0</v>
      </c>
      <c r="M2673" s="50">
        <f t="shared" si="151"/>
        <v>0</v>
      </c>
    </row>
    <row r="2674" spans="1:13" x14ac:dyDescent="0.2">
      <c r="A2674" s="18"/>
      <c r="B2674" s="77"/>
      <c r="C2674" s="77"/>
      <c r="D2674" s="78"/>
      <c r="E2674" s="77"/>
      <c r="F2674" s="77"/>
      <c r="G2674" s="77"/>
      <c r="H2674" s="77"/>
      <c r="I2674" s="77"/>
      <c r="J2674" s="77"/>
      <c r="K2674" s="79"/>
      <c r="L2674" s="49">
        <f t="shared" si="150"/>
        <v>0</v>
      </c>
      <c r="M2674" s="50">
        <f t="shared" si="151"/>
        <v>0</v>
      </c>
    </row>
    <row r="2675" spans="1:13" x14ac:dyDescent="0.2">
      <c r="A2675" s="18"/>
      <c r="B2675" s="77"/>
      <c r="C2675" s="77"/>
      <c r="D2675" s="78"/>
      <c r="E2675" s="77"/>
      <c r="F2675" s="77"/>
      <c r="G2675" s="77"/>
      <c r="H2675" s="77"/>
      <c r="I2675" s="77"/>
      <c r="J2675" s="77"/>
      <c r="K2675" s="79"/>
      <c r="L2675" s="49">
        <f t="shared" si="150"/>
        <v>0</v>
      </c>
      <c r="M2675" s="50">
        <f t="shared" si="151"/>
        <v>0</v>
      </c>
    </row>
    <row r="2676" spans="1:13" x14ac:dyDescent="0.2">
      <c r="A2676" s="18"/>
      <c r="B2676" s="77"/>
      <c r="C2676" s="77"/>
      <c r="D2676" s="78"/>
      <c r="E2676" s="77"/>
      <c r="F2676" s="77"/>
      <c r="G2676" s="77"/>
      <c r="H2676" s="77"/>
      <c r="I2676" s="77"/>
      <c r="J2676" s="77"/>
      <c r="K2676" s="79"/>
      <c r="L2676" s="49">
        <f t="shared" si="150"/>
        <v>0</v>
      </c>
      <c r="M2676" s="50">
        <f t="shared" si="151"/>
        <v>0</v>
      </c>
    </row>
    <row r="2677" spans="1:13" x14ac:dyDescent="0.2">
      <c r="A2677" s="18"/>
      <c r="B2677" s="77"/>
      <c r="C2677" s="77"/>
      <c r="D2677" s="78"/>
      <c r="E2677" s="77"/>
      <c r="F2677" s="77"/>
      <c r="G2677" s="77"/>
      <c r="H2677" s="77"/>
      <c r="I2677" s="77"/>
      <c r="J2677" s="77"/>
      <c r="K2677" s="79"/>
      <c r="L2677" s="49">
        <f t="shared" si="150"/>
        <v>0</v>
      </c>
      <c r="M2677" s="50">
        <f t="shared" si="151"/>
        <v>0</v>
      </c>
    </row>
    <row r="2678" spans="1:13" x14ac:dyDescent="0.2">
      <c r="A2678" s="18"/>
      <c r="B2678" s="77"/>
      <c r="C2678" s="77"/>
      <c r="D2678" s="78"/>
      <c r="E2678" s="77"/>
      <c r="F2678" s="77"/>
      <c r="G2678" s="77"/>
      <c r="H2678" s="77"/>
      <c r="I2678" s="77"/>
      <c r="J2678" s="77"/>
      <c r="K2678" s="79"/>
      <c r="L2678" s="49">
        <f t="shared" si="150"/>
        <v>0</v>
      </c>
      <c r="M2678" s="50">
        <f t="shared" si="151"/>
        <v>0</v>
      </c>
    </row>
    <row r="2679" spans="1:13" x14ac:dyDescent="0.2">
      <c r="A2679" s="18"/>
      <c r="B2679" s="77"/>
      <c r="C2679" s="77"/>
      <c r="D2679" s="78"/>
      <c r="E2679" s="77"/>
      <c r="F2679" s="77"/>
      <c r="G2679" s="77"/>
      <c r="H2679" s="77"/>
      <c r="I2679" s="77"/>
      <c r="J2679" s="77"/>
      <c r="K2679" s="79"/>
      <c r="L2679" s="49">
        <f t="shared" si="150"/>
        <v>0</v>
      </c>
      <c r="M2679" s="50">
        <f t="shared" si="151"/>
        <v>0</v>
      </c>
    </row>
    <row r="2680" spans="1:13" x14ac:dyDescent="0.2">
      <c r="A2680" s="18"/>
      <c r="B2680" s="77"/>
      <c r="C2680" s="77"/>
      <c r="D2680" s="78"/>
      <c r="E2680" s="77"/>
      <c r="F2680" s="77"/>
      <c r="G2680" s="77"/>
      <c r="H2680" s="77"/>
      <c r="I2680" s="77"/>
      <c r="J2680" s="77"/>
      <c r="K2680" s="79"/>
      <c r="L2680" s="49">
        <f t="shared" si="150"/>
        <v>0</v>
      </c>
      <c r="M2680" s="50">
        <f t="shared" si="151"/>
        <v>0</v>
      </c>
    </row>
    <row r="2681" spans="1:13" x14ac:dyDescent="0.2">
      <c r="A2681" s="18"/>
      <c r="B2681" s="77"/>
      <c r="C2681" s="77"/>
      <c r="D2681" s="78"/>
      <c r="E2681" s="77"/>
      <c r="F2681" s="77"/>
      <c r="G2681" s="77"/>
      <c r="H2681" s="77"/>
      <c r="I2681" s="77"/>
      <c r="J2681" s="77"/>
      <c r="K2681" s="79"/>
      <c r="L2681" s="49">
        <f t="shared" si="150"/>
        <v>0</v>
      </c>
      <c r="M2681" s="50">
        <f t="shared" si="151"/>
        <v>0</v>
      </c>
    </row>
    <row r="2682" spans="1:13" x14ac:dyDescent="0.2">
      <c r="A2682" s="18"/>
      <c r="B2682" s="77"/>
      <c r="C2682" s="77"/>
      <c r="D2682" s="78"/>
      <c r="E2682" s="77"/>
      <c r="F2682" s="77"/>
      <c r="G2682" s="77"/>
      <c r="H2682" s="77"/>
      <c r="I2682" s="77"/>
      <c r="J2682" s="77"/>
      <c r="K2682" s="79"/>
      <c r="L2682" s="49">
        <f t="shared" si="150"/>
        <v>0</v>
      </c>
      <c r="M2682" s="50">
        <f t="shared" si="151"/>
        <v>0</v>
      </c>
    </row>
    <row r="2683" spans="1:13" x14ac:dyDescent="0.2">
      <c r="A2683" s="18"/>
      <c r="B2683" s="77"/>
      <c r="C2683" s="77"/>
      <c r="D2683" s="78"/>
      <c r="E2683" s="77"/>
      <c r="F2683" s="77"/>
      <c r="G2683" s="77"/>
      <c r="H2683" s="77"/>
      <c r="I2683" s="77"/>
      <c r="J2683" s="77"/>
      <c r="K2683" s="79"/>
      <c r="L2683" s="49">
        <f t="shared" si="150"/>
        <v>0</v>
      </c>
      <c r="M2683" s="50">
        <f t="shared" si="151"/>
        <v>0</v>
      </c>
    </row>
    <row r="2684" spans="1:13" x14ac:dyDescent="0.2">
      <c r="A2684" s="18"/>
      <c r="B2684" s="77"/>
      <c r="C2684" s="77"/>
      <c r="D2684" s="78"/>
      <c r="E2684" s="77"/>
      <c r="F2684" s="77"/>
      <c r="G2684" s="77"/>
      <c r="H2684" s="77"/>
      <c r="I2684" s="77"/>
      <c r="J2684" s="77"/>
      <c r="K2684" s="79"/>
      <c r="L2684" s="49">
        <f t="shared" si="150"/>
        <v>0</v>
      </c>
      <c r="M2684" s="50">
        <f t="shared" si="151"/>
        <v>0</v>
      </c>
    </row>
    <row r="2685" spans="1:13" x14ac:dyDescent="0.2">
      <c r="A2685" s="18"/>
      <c r="B2685" s="77"/>
      <c r="C2685" s="77"/>
      <c r="D2685" s="78"/>
      <c r="E2685" s="77"/>
      <c r="F2685" s="77"/>
      <c r="G2685" s="77"/>
      <c r="H2685" s="77"/>
      <c r="I2685" s="77"/>
      <c r="J2685" s="77"/>
      <c r="K2685" s="79"/>
      <c r="L2685" s="49">
        <f t="shared" si="150"/>
        <v>0</v>
      </c>
      <c r="M2685" s="50">
        <f t="shared" si="151"/>
        <v>0</v>
      </c>
    </row>
    <row r="2686" spans="1:13" x14ac:dyDescent="0.2">
      <c r="A2686" s="18"/>
      <c r="B2686" s="77"/>
      <c r="C2686" s="77"/>
      <c r="D2686" s="78"/>
      <c r="E2686" s="77"/>
      <c r="F2686" s="77"/>
      <c r="G2686" s="77"/>
      <c r="H2686" s="77"/>
      <c r="I2686" s="77"/>
      <c r="J2686" s="77"/>
      <c r="K2686" s="79"/>
      <c r="L2686" s="49">
        <f t="shared" si="150"/>
        <v>0</v>
      </c>
      <c r="M2686" s="50">
        <f t="shared" si="151"/>
        <v>0</v>
      </c>
    </row>
    <row r="2687" spans="1:13" x14ac:dyDescent="0.2">
      <c r="A2687" s="18"/>
      <c r="B2687" s="77"/>
      <c r="C2687" s="77"/>
      <c r="D2687" s="78"/>
      <c r="E2687" s="77"/>
      <c r="F2687" s="77"/>
      <c r="G2687" s="77"/>
      <c r="H2687" s="77"/>
      <c r="I2687" s="77"/>
      <c r="J2687" s="77"/>
      <c r="K2687" s="79"/>
      <c r="L2687" s="49">
        <f t="shared" si="150"/>
        <v>0</v>
      </c>
      <c r="M2687" s="50">
        <f t="shared" si="151"/>
        <v>0</v>
      </c>
    </row>
    <row r="2688" spans="1:13" x14ac:dyDescent="0.2">
      <c r="A2688" s="18"/>
      <c r="B2688" s="77"/>
      <c r="C2688" s="77"/>
      <c r="D2688" s="78"/>
      <c r="E2688" s="77"/>
      <c r="F2688" s="77"/>
      <c r="G2688" s="77"/>
      <c r="H2688" s="77"/>
      <c r="I2688" s="77"/>
      <c r="J2688" s="77"/>
      <c r="K2688" s="79"/>
      <c r="L2688" s="49">
        <f t="shared" si="150"/>
        <v>0</v>
      </c>
      <c r="M2688" s="50">
        <f t="shared" si="151"/>
        <v>0</v>
      </c>
    </row>
    <row r="2689" spans="1:13" x14ac:dyDescent="0.2">
      <c r="A2689" s="18"/>
      <c r="B2689" s="77"/>
      <c r="C2689" s="77"/>
      <c r="D2689" s="78"/>
      <c r="E2689" s="77"/>
      <c r="F2689" s="77"/>
      <c r="G2689" s="77"/>
      <c r="H2689" s="77"/>
      <c r="I2689" s="77"/>
      <c r="J2689" s="77"/>
      <c r="K2689" s="79"/>
      <c r="L2689" s="49">
        <f t="shared" si="150"/>
        <v>0</v>
      </c>
      <c r="M2689" s="50">
        <f t="shared" si="151"/>
        <v>0</v>
      </c>
    </row>
    <row r="2690" spans="1:13" x14ac:dyDescent="0.2">
      <c r="A2690" s="18"/>
      <c r="B2690" s="77"/>
      <c r="C2690" s="77"/>
      <c r="D2690" s="78"/>
      <c r="E2690" s="77"/>
      <c r="F2690" s="77"/>
      <c r="G2690" s="77"/>
      <c r="H2690" s="77"/>
      <c r="I2690" s="77"/>
      <c r="J2690" s="77"/>
      <c r="K2690" s="79"/>
      <c r="L2690" s="49">
        <f t="shared" si="150"/>
        <v>0</v>
      </c>
      <c r="M2690" s="50">
        <f t="shared" si="151"/>
        <v>0</v>
      </c>
    </row>
    <row r="2691" spans="1:13" x14ac:dyDescent="0.2">
      <c r="A2691" s="18"/>
      <c r="B2691" s="77"/>
      <c r="C2691" s="77"/>
      <c r="D2691" s="78"/>
      <c r="E2691" s="77"/>
      <c r="F2691" s="77"/>
      <c r="G2691" s="77"/>
      <c r="H2691" s="77"/>
      <c r="I2691" s="77"/>
      <c r="J2691" s="77"/>
      <c r="K2691" s="79"/>
      <c r="L2691" s="49">
        <f t="shared" si="150"/>
        <v>0</v>
      </c>
      <c r="M2691" s="50">
        <f t="shared" si="151"/>
        <v>0</v>
      </c>
    </row>
    <row r="2692" spans="1:13" x14ac:dyDescent="0.2">
      <c r="A2692" s="18"/>
      <c r="B2692" s="77"/>
      <c r="C2692" s="77"/>
      <c r="D2692" s="78"/>
      <c r="E2692" s="77"/>
      <c r="F2692" s="77"/>
      <c r="G2692" s="77"/>
      <c r="H2692" s="77"/>
      <c r="I2692" s="77"/>
      <c r="J2692" s="77"/>
      <c r="K2692" s="79"/>
      <c r="L2692" s="49">
        <f t="shared" si="150"/>
        <v>0</v>
      </c>
      <c r="M2692" s="50">
        <f t="shared" si="151"/>
        <v>0</v>
      </c>
    </row>
    <row r="2693" spans="1:13" x14ac:dyDescent="0.2">
      <c r="A2693" s="18"/>
      <c r="B2693" s="77"/>
      <c r="C2693" s="77"/>
      <c r="D2693" s="78"/>
      <c r="E2693" s="77"/>
      <c r="F2693" s="77"/>
      <c r="G2693" s="77"/>
      <c r="H2693" s="77"/>
      <c r="I2693" s="77"/>
      <c r="J2693" s="77"/>
      <c r="K2693" s="79"/>
      <c r="L2693" s="49">
        <f t="shared" si="150"/>
        <v>0</v>
      </c>
      <c r="M2693" s="50">
        <f t="shared" si="151"/>
        <v>0</v>
      </c>
    </row>
    <row r="2694" spans="1:13" x14ac:dyDescent="0.2">
      <c r="A2694" s="18"/>
      <c r="B2694" s="77"/>
      <c r="C2694" s="77"/>
      <c r="D2694" s="78"/>
      <c r="E2694" s="77"/>
      <c r="F2694" s="77"/>
      <c r="G2694" s="77"/>
      <c r="H2694" s="77"/>
      <c r="I2694" s="77"/>
      <c r="J2694" s="77"/>
      <c r="K2694" s="79"/>
      <c r="L2694" s="49">
        <f t="shared" si="150"/>
        <v>0</v>
      </c>
      <c r="M2694" s="50">
        <f t="shared" si="151"/>
        <v>0</v>
      </c>
    </row>
    <row r="2695" spans="1:13" x14ac:dyDescent="0.2">
      <c r="A2695" s="18"/>
      <c r="B2695" s="77"/>
      <c r="C2695" s="77"/>
      <c r="D2695" s="78"/>
      <c r="E2695" s="77"/>
      <c r="F2695" s="77"/>
      <c r="G2695" s="77"/>
      <c r="H2695" s="77"/>
      <c r="I2695" s="77"/>
      <c r="J2695" s="77"/>
      <c r="K2695" s="79"/>
      <c r="L2695" s="49">
        <f t="shared" si="150"/>
        <v>0</v>
      </c>
      <c r="M2695" s="50">
        <f t="shared" si="151"/>
        <v>0</v>
      </c>
    </row>
    <row r="2696" spans="1:13" x14ac:dyDescent="0.2">
      <c r="A2696" s="18"/>
      <c r="B2696" s="77"/>
      <c r="C2696" s="77"/>
      <c r="D2696" s="78"/>
      <c r="E2696" s="77"/>
      <c r="F2696" s="77"/>
      <c r="G2696" s="77"/>
      <c r="H2696" s="77"/>
      <c r="I2696" s="77"/>
      <c r="J2696" s="77"/>
      <c r="K2696" s="79"/>
      <c r="L2696" s="49">
        <f t="shared" si="150"/>
        <v>0</v>
      </c>
      <c r="M2696" s="50">
        <f t="shared" si="151"/>
        <v>0</v>
      </c>
    </row>
    <row r="2697" spans="1:13" x14ac:dyDescent="0.2">
      <c r="A2697" s="18"/>
      <c r="B2697" s="77"/>
      <c r="C2697" s="77"/>
      <c r="D2697" s="78"/>
      <c r="E2697" s="77"/>
      <c r="F2697" s="77"/>
      <c r="G2697" s="77"/>
      <c r="H2697" s="77"/>
      <c r="I2697" s="77"/>
      <c r="J2697" s="77"/>
      <c r="K2697" s="79"/>
      <c r="L2697" s="49">
        <f t="shared" si="150"/>
        <v>0</v>
      </c>
      <c r="M2697" s="50">
        <f t="shared" si="151"/>
        <v>0</v>
      </c>
    </row>
    <row r="2698" spans="1:13" x14ac:dyDescent="0.2">
      <c r="A2698" s="18"/>
      <c r="B2698" s="77"/>
      <c r="C2698" s="77"/>
      <c r="D2698" s="78"/>
      <c r="E2698" s="77"/>
      <c r="F2698" s="77"/>
      <c r="G2698" s="77"/>
      <c r="H2698" s="77"/>
      <c r="I2698" s="77"/>
      <c r="J2698" s="77"/>
      <c r="K2698" s="79"/>
      <c r="L2698" s="49">
        <f t="shared" ref="L2698:L2761" si="152">+K2698*18%</f>
        <v>0</v>
      </c>
      <c r="M2698" s="50">
        <f t="shared" ref="M2698:M2761" si="153">+K2698+L2698</f>
        <v>0</v>
      </c>
    </row>
    <row r="2699" spans="1:13" x14ac:dyDescent="0.2">
      <c r="A2699" s="18"/>
      <c r="B2699" s="77"/>
      <c r="C2699" s="77"/>
      <c r="D2699" s="78"/>
      <c r="E2699" s="77"/>
      <c r="F2699" s="77"/>
      <c r="G2699" s="77"/>
      <c r="H2699" s="77"/>
      <c r="I2699" s="77"/>
      <c r="J2699" s="77"/>
      <c r="K2699" s="79"/>
      <c r="L2699" s="49">
        <f t="shared" si="152"/>
        <v>0</v>
      </c>
      <c r="M2699" s="50">
        <f t="shared" si="153"/>
        <v>0</v>
      </c>
    </row>
    <row r="2700" spans="1:13" x14ac:dyDescent="0.2">
      <c r="A2700" s="18"/>
      <c r="B2700" s="77"/>
      <c r="C2700" s="77"/>
      <c r="D2700" s="78"/>
      <c r="E2700" s="77"/>
      <c r="F2700" s="77"/>
      <c r="G2700" s="77"/>
      <c r="H2700" s="77"/>
      <c r="I2700" s="77"/>
      <c r="J2700" s="77"/>
      <c r="K2700" s="79"/>
      <c r="L2700" s="49">
        <f t="shared" si="152"/>
        <v>0</v>
      </c>
      <c r="M2700" s="50">
        <f t="shared" si="153"/>
        <v>0</v>
      </c>
    </row>
    <row r="2701" spans="1:13" x14ac:dyDescent="0.2">
      <c r="A2701" s="18"/>
      <c r="B2701" s="77"/>
      <c r="C2701" s="77"/>
      <c r="D2701" s="78"/>
      <c r="E2701" s="77"/>
      <c r="F2701" s="77"/>
      <c r="G2701" s="77"/>
      <c r="H2701" s="77"/>
      <c r="I2701" s="77"/>
      <c r="J2701" s="77"/>
      <c r="K2701" s="79"/>
      <c r="L2701" s="49">
        <f t="shared" si="152"/>
        <v>0</v>
      </c>
      <c r="M2701" s="50">
        <f t="shared" si="153"/>
        <v>0</v>
      </c>
    </row>
    <row r="2702" spans="1:13" x14ac:dyDescent="0.2">
      <c r="A2702" s="18"/>
      <c r="B2702" s="77"/>
      <c r="C2702" s="77"/>
      <c r="D2702" s="78"/>
      <c r="E2702" s="77"/>
      <c r="F2702" s="77"/>
      <c r="G2702" s="77"/>
      <c r="H2702" s="77"/>
      <c r="I2702" s="77"/>
      <c r="J2702" s="77"/>
      <c r="K2702" s="79"/>
      <c r="L2702" s="49">
        <f t="shared" si="152"/>
        <v>0</v>
      </c>
      <c r="M2702" s="50">
        <f t="shared" si="153"/>
        <v>0</v>
      </c>
    </row>
    <row r="2703" spans="1:13" x14ac:dyDescent="0.2">
      <c r="A2703" s="18"/>
      <c r="B2703" s="77"/>
      <c r="C2703" s="77"/>
      <c r="D2703" s="78"/>
      <c r="E2703" s="77"/>
      <c r="F2703" s="77"/>
      <c r="G2703" s="77"/>
      <c r="H2703" s="77"/>
      <c r="I2703" s="77"/>
      <c r="J2703" s="77"/>
      <c r="K2703" s="79"/>
      <c r="L2703" s="49">
        <f t="shared" si="152"/>
        <v>0</v>
      </c>
      <c r="M2703" s="50">
        <f t="shared" si="153"/>
        <v>0</v>
      </c>
    </row>
    <row r="2704" spans="1:13" x14ac:dyDescent="0.2">
      <c r="A2704" s="18"/>
      <c r="B2704" s="77"/>
      <c r="C2704" s="77"/>
      <c r="D2704" s="78"/>
      <c r="E2704" s="77"/>
      <c r="F2704" s="77"/>
      <c r="G2704" s="77"/>
      <c r="H2704" s="77"/>
      <c r="I2704" s="77"/>
      <c r="J2704" s="77"/>
      <c r="K2704" s="79"/>
      <c r="L2704" s="49">
        <f t="shared" si="152"/>
        <v>0</v>
      </c>
      <c r="M2704" s="50">
        <f t="shared" si="153"/>
        <v>0</v>
      </c>
    </row>
    <row r="2705" spans="1:13" x14ac:dyDescent="0.2">
      <c r="A2705" s="18"/>
      <c r="B2705" s="77"/>
      <c r="C2705" s="77"/>
      <c r="D2705" s="78"/>
      <c r="E2705" s="77"/>
      <c r="F2705" s="77"/>
      <c r="G2705" s="77"/>
      <c r="H2705" s="77"/>
      <c r="I2705" s="77"/>
      <c r="J2705" s="77"/>
      <c r="K2705" s="79"/>
      <c r="L2705" s="49">
        <f t="shared" si="152"/>
        <v>0</v>
      </c>
      <c r="M2705" s="50">
        <f t="shared" si="153"/>
        <v>0</v>
      </c>
    </row>
    <row r="2706" spans="1:13" x14ac:dyDescent="0.2">
      <c r="A2706" s="18"/>
      <c r="B2706" s="77"/>
      <c r="C2706" s="77"/>
      <c r="D2706" s="78"/>
      <c r="E2706" s="77"/>
      <c r="F2706" s="77"/>
      <c r="G2706" s="77"/>
      <c r="H2706" s="77"/>
      <c r="I2706" s="77"/>
      <c r="J2706" s="77"/>
      <c r="K2706" s="79"/>
      <c r="L2706" s="49">
        <f t="shared" si="152"/>
        <v>0</v>
      </c>
      <c r="M2706" s="50">
        <f t="shared" si="153"/>
        <v>0</v>
      </c>
    </row>
    <row r="2707" spans="1:13" x14ac:dyDescent="0.2">
      <c r="A2707" s="18"/>
      <c r="B2707" s="77"/>
      <c r="C2707" s="77"/>
      <c r="D2707" s="78"/>
      <c r="E2707" s="77"/>
      <c r="F2707" s="77"/>
      <c r="G2707" s="77"/>
      <c r="H2707" s="77"/>
      <c r="I2707" s="77"/>
      <c r="J2707" s="77"/>
      <c r="K2707" s="79"/>
      <c r="L2707" s="49">
        <f t="shared" si="152"/>
        <v>0</v>
      </c>
      <c r="M2707" s="50">
        <f t="shared" si="153"/>
        <v>0</v>
      </c>
    </row>
    <row r="2708" spans="1:13" x14ac:dyDescent="0.2">
      <c r="A2708" s="18"/>
      <c r="B2708" s="77"/>
      <c r="C2708" s="77"/>
      <c r="D2708" s="78"/>
      <c r="E2708" s="77"/>
      <c r="F2708" s="77"/>
      <c r="G2708" s="77"/>
      <c r="H2708" s="77"/>
      <c r="I2708" s="77"/>
      <c r="J2708" s="77"/>
      <c r="K2708" s="79"/>
      <c r="L2708" s="49">
        <f t="shared" si="152"/>
        <v>0</v>
      </c>
      <c r="M2708" s="50">
        <f t="shared" si="153"/>
        <v>0</v>
      </c>
    </row>
    <row r="2709" spans="1:13" x14ac:dyDescent="0.2">
      <c r="A2709" s="18"/>
      <c r="B2709" s="77"/>
      <c r="C2709" s="77"/>
      <c r="D2709" s="78"/>
      <c r="E2709" s="77"/>
      <c r="F2709" s="77"/>
      <c r="G2709" s="77"/>
      <c r="H2709" s="77"/>
      <c r="I2709" s="77"/>
      <c r="J2709" s="77"/>
      <c r="K2709" s="79"/>
      <c r="L2709" s="49">
        <f t="shared" si="152"/>
        <v>0</v>
      </c>
      <c r="M2709" s="50">
        <f t="shared" si="153"/>
        <v>0</v>
      </c>
    </row>
    <row r="2710" spans="1:13" x14ac:dyDescent="0.2">
      <c r="A2710" s="18"/>
      <c r="B2710" s="77"/>
      <c r="C2710" s="77"/>
      <c r="D2710" s="78"/>
      <c r="E2710" s="77"/>
      <c r="F2710" s="77"/>
      <c r="G2710" s="77"/>
      <c r="H2710" s="77"/>
      <c r="I2710" s="77"/>
      <c r="J2710" s="77"/>
      <c r="K2710" s="79"/>
      <c r="L2710" s="49">
        <f t="shared" si="152"/>
        <v>0</v>
      </c>
      <c r="M2710" s="50">
        <f t="shared" si="153"/>
        <v>0</v>
      </c>
    </row>
    <row r="2711" spans="1:13" x14ac:dyDescent="0.2">
      <c r="A2711" s="18"/>
      <c r="B2711" s="77"/>
      <c r="C2711" s="77"/>
      <c r="D2711" s="78"/>
      <c r="E2711" s="77"/>
      <c r="F2711" s="77"/>
      <c r="G2711" s="77"/>
      <c r="H2711" s="77"/>
      <c r="I2711" s="77"/>
      <c r="J2711" s="77"/>
      <c r="K2711" s="79"/>
      <c r="L2711" s="49">
        <f t="shared" si="152"/>
        <v>0</v>
      </c>
      <c r="M2711" s="50">
        <f t="shared" si="153"/>
        <v>0</v>
      </c>
    </row>
    <row r="2712" spans="1:13" x14ac:dyDescent="0.2">
      <c r="A2712" s="18"/>
      <c r="B2712" s="77"/>
      <c r="C2712" s="77"/>
      <c r="D2712" s="78"/>
      <c r="E2712" s="77"/>
      <c r="F2712" s="77"/>
      <c r="G2712" s="77"/>
      <c r="H2712" s="77"/>
      <c r="I2712" s="77"/>
      <c r="J2712" s="77"/>
      <c r="K2712" s="79"/>
      <c r="L2712" s="49">
        <f t="shared" si="152"/>
        <v>0</v>
      </c>
      <c r="M2712" s="50">
        <f t="shared" si="153"/>
        <v>0</v>
      </c>
    </row>
    <row r="2713" spans="1:13" x14ac:dyDescent="0.2">
      <c r="A2713" s="18"/>
      <c r="B2713" s="77"/>
      <c r="C2713" s="77"/>
      <c r="D2713" s="78"/>
      <c r="E2713" s="77"/>
      <c r="F2713" s="77"/>
      <c r="G2713" s="77"/>
      <c r="H2713" s="77"/>
      <c r="I2713" s="77"/>
      <c r="J2713" s="77"/>
      <c r="K2713" s="79"/>
      <c r="L2713" s="49">
        <f t="shared" si="152"/>
        <v>0</v>
      </c>
      <c r="M2713" s="50">
        <f t="shared" si="153"/>
        <v>0</v>
      </c>
    </row>
    <row r="2714" spans="1:13" x14ac:dyDescent="0.2">
      <c r="A2714" s="18"/>
      <c r="B2714" s="77"/>
      <c r="C2714" s="77"/>
      <c r="D2714" s="78"/>
      <c r="E2714" s="77"/>
      <c r="F2714" s="77"/>
      <c r="G2714" s="77"/>
      <c r="H2714" s="77"/>
      <c r="I2714" s="77"/>
      <c r="J2714" s="77"/>
      <c r="K2714" s="79"/>
      <c r="L2714" s="49">
        <f t="shared" si="152"/>
        <v>0</v>
      </c>
      <c r="M2714" s="50">
        <f t="shared" si="153"/>
        <v>0</v>
      </c>
    </row>
    <row r="2715" spans="1:13" x14ac:dyDescent="0.2">
      <c r="A2715" s="18"/>
      <c r="B2715" s="77"/>
      <c r="C2715" s="77"/>
      <c r="D2715" s="78"/>
      <c r="E2715" s="77"/>
      <c r="F2715" s="77"/>
      <c r="G2715" s="77"/>
      <c r="H2715" s="77"/>
      <c r="I2715" s="77"/>
      <c r="J2715" s="77"/>
      <c r="K2715" s="79"/>
      <c r="L2715" s="49">
        <f t="shared" si="152"/>
        <v>0</v>
      </c>
      <c r="M2715" s="50">
        <f t="shared" si="153"/>
        <v>0</v>
      </c>
    </row>
    <row r="2716" spans="1:13" x14ac:dyDescent="0.2">
      <c r="A2716" s="18"/>
      <c r="B2716" s="77"/>
      <c r="C2716" s="77"/>
      <c r="D2716" s="78"/>
      <c r="E2716" s="77"/>
      <c r="F2716" s="77"/>
      <c r="G2716" s="77"/>
      <c r="H2716" s="77"/>
      <c r="I2716" s="77"/>
      <c r="J2716" s="77"/>
      <c r="K2716" s="79"/>
      <c r="L2716" s="49">
        <f t="shared" si="152"/>
        <v>0</v>
      </c>
      <c r="M2716" s="50">
        <f t="shared" si="153"/>
        <v>0</v>
      </c>
    </row>
    <row r="2717" spans="1:13" x14ac:dyDescent="0.2">
      <c r="A2717" s="18"/>
      <c r="B2717" s="77"/>
      <c r="C2717" s="77"/>
      <c r="D2717" s="78"/>
      <c r="E2717" s="77"/>
      <c r="F2717" s="77"/>
      <c r="G2717" s="77"/>
      <c r="H2717" s="77"/>
      <c r="I2717" s="77"/>
      <c r="J2717" s="77"/>
      <c r="K2717" s="79"/>
      <c r="L2717" s="49">
        <f t="shared" si="152"/>
        <v>0</v>
      </c>
      <c r="M2717" s="50">
        <f t="shared" si="153"/>
        <v>0</v>
      </c>
    </row>
    <row r="2718" spans="1:13" x14ac:dyDescent="0.2">
      <c r="A2718" s="18"/>
      <c r="B2718" s="77"/>
      <c r="C2718" s="77"/>
      <c r="D2718" s="78"/>
      <c r="E2718" s="77"/>
      <c r="F2718" s="77"/>
      <c r="G2718" s="77"/>
      <c r="H2718" s="77"/>
      <c r="I2718" s="77"/>
      <c r="J2718" s="77"/>
      <c r="K2718" s="79"/>
      <c r="L2718" s="49">
        <f t="shared" si="152"/>
        <v>0</v>
      </c>
      <c r="M2718" s="50">
        <f t="shared" si="153"/>
        <v>0</v>
      </c>
    </row>
    <row r="2719" spans="1:13" x14ac:dyDescent="0.2">
      <c r="A2719" s="18"/>
      <c r="B2719" s="77"/>
      <c r="C2719" s="77"/>
      <c r="D2719" s="78"/>
      <c r="E2719" s="77"/>
      <c r="F2719" s="77"/>
      <c r="G2719" s="77"/>
      <c r="H2719" s="77"/>
      <c r="I2719" s="77"/>
      <c r="J2719" s="77"/>
      <c r="K2719" s="79"/>
      <c r="L2719" s="49">
        <f t="shared" si="152"/>
        <v>0</v>
      </c>
      <c r="M2719" s="50">
        <f t="shared" si="153"/>
        <v>0</v>
      </c>
    </row>
    <row r="2720" spans="1:13" x14ac:dyDescent="0.2">
      <c r="A2720" s="18"/>
      <c r="B2720" s="77"/>
      <c r="C2720" s="77"/>
      <c r="D2720" s="78"/>
      <c r="E2720" s="77"/>
      <c r="F2720" s="77"/>
      <c r="G2720" s="77"/>
      <c r="H2720" s="77"/>
      <c r="I2720" s="77"/>
      <c r="J2720" s="77"/>
      <c r="K2720" s="79"/>
      <c r="L2720" s="49">
        <f t="shared" si="152"/>
        <v>0</v>
      </c>
      <c r="M2720" s="50">
        <f t="shared" si="153"/>
        <v>0</v>
      </c>
    </row>
    <row r="2721" spans="1:13" x14ac:dyDescent="0.2">
      <c r="A2721" s="18"/>
      <c r="B2721" s="77"/>
      <c r="C2721" s="77"/>
      <c r="D2721" s="78"/>
      <c r="E2721" s="77"/>
      <c r="F2721" s="77"/>
      <c r="G2721" s="77"/>
      <c r="H2721" s="77"/>
      <c r="I2721" s="77"/>
      <c r="J2721" s="77"/>
      <c r="K2721" s="79"/>
      <c r="L2721" s="49">
        <f t="shared" si="152"/>
        <v>0</v>
      </c>
      <c r="M2721" s="50">
        <f t="shared" si="153"/>
        <v>0</v>
      </c>
    </row>
    <row r="2722" spans="1:13" x14ac:dyDescent="0.2">
      <c r="A2722" s="18"/>
      <c r="B2722" s="77"/>
      <c r="C2722" s="77"/>
      <c r="D2722" s="78"/>
      <c r="E2722" s="77"/>
      <c r="F2722" s="77"/>
      <c r="G2722" s="77"/>
      <c r="H2722" s="77"/>
      <c r="I2722" s="77"/>
      <c r="J2722" s="77"/>
      <c r="K2722" s="79"/>
      <c r="L2722" s="49">
        <f t="shared" si="152"/>
        <v>0</v>
      </c>
      <c r="M2722" s="50">
        <f t="shared" si="153"/>
        <v>0</v>
      </c>
    </row>
    <row r="2723" spans="1:13" x14ac:dyDescent="0.2">
      <c r="A2723" s="18"/>
      <c r="B2723" s="77"/>
      <c r="C2723" s="77"/>
      <c r="D2723" s="78"/>
      <c r="E2723" s="77"/>
      <c r="F2723" s="77"/>
      <c r="G2723" s="77"/>
      <c r="H2723" s="77"/>
      <c r="I2723" s="77"/>
      <c r="J2723" s="77"/>
      <c r="K2723" s="79"/>
      <c r="L2723" s="49">
        <f t="shared" si="152"/>
        <v>0</v>
      </c>
      <c r="M2723" s="50">
        <f t="shared" si="153"/>
        <v>0</v>
      </c>
    </row>
    <row r="2724" spans="1:13" x14ac:dyDescent="0.2">
      <c r="A2724" s="18"/>
      <c r="B2724" s="77"/>
      <c r="C2724" s="77"/>
      <c r="D2724" s="78"/>
      <c r="E2724" s="77"/>
      <c r="F2724" s="77"/>
      <c r="G2724" s="77"/>
      <c r="H2724" s="77"/>
      <c r="I2724" s="77"/>
      <c r="J2724" s="77"/>
      <c r="K2724" s="79"/>
      <c r="L2724" s="49">
        <f t="shared" si="152"/>
        <v>0</v>
      </c>
      <c r="M2724" s="50">
        <f t="shared" si="153"/>
        <v>0</v>
      </c>
    </row>
    <row r="2725" spans="1:13" x14ac:dyDescent="0.2">
      <c r="A2725" s="18"/>
      <c r="B2725" s="77"/>
      <c r="C2725" s="77"/>
      <c r="D2725" s="78"/>
      <c r="E2725" s="77"/>
      <c r="F2725" s="77"/>
      <c r="G2725" s="77"/>
      <c r="H2725" s="77"/>
      <c r="I2725" s="77"/>
      <c r="J2725" s="77"/>
      <c r="K2725" s="79"/>
      <c r="L2725" s="49">
        <f t="shared" si="152"/>
        <v>0</v>
      </c>
      <c r="M2725" s="50">
        <f t="shared" si="153"/>
        <v>0</v>
      </c>
    </row>
    <row r="2726" spans="1:13" x14ac:dyDescent="0.2">
      <c r="A2726" s="18"/>
      <c r="B2726" s="77"/>
      <c r="C2726" s="77"/>
      <c r="D2726" s="78"/>
      <c r="E2726" s="77"/>
      <c r="F2726" s="77"/>
      <c r="G2726" s="77"/>
      <c r="H2726" s="77"/>
      <c r="I2726" s="77"/>
      <c r="J2726" s="77"/>
      <c r="K2726" s="79"/>
      <c r="L2726" s="49">
        <f t="shared" si="152"/>
        <v>0</v>
      </c>
      <c r="M2726" s="50">
        <f t="shared" si="153"/>
        <v>0</v>
      </c>
    </row>
    <row r="2727" spans="1:13" x14ac:dyDescent="0.2">
      <c r="A2727" s="18"/>
      <c r="B2727" s="77"/>
      <c r="C2727" s="77"/>
      <c r="D2727" s="78"/>
      <c r="E2727" s="77"/>
      <c r="F2727" s="77"/>
      <c r="G2727" s="77"/>
      <c r="H2727" s="77"/>
      <c r="I2727" s="77"/>
      <c r="J2727" s="77"/>
      <c r="K2727" s="79"/>
      <c r="L2727" s="49">
        <f t="shared" si="152"/>
        <v>0</v>
      </c>
      <c r="M2727" s="50">
        <f t="shared" si="153"/>
        <v>0</v>
      </c>
    </row>
    <row r="2728" spans="1:13" x14ac:dyDescent="0.2">
      <c r="A2728" s="18"/>
      <c r="B2728" s="77"/>
      <c r="C2728" s="77"/>
      <c r="D2728" s="78"/>
      <c r="E2728" s="77"/>
      <c r="F2728" s="77"/>
      <c r="G2728" s="77"/>
      <c r="H2728" s="77"/>
      <c r="I2728" s="77"/>
      <c r="J2728" s="77"/>
      <c r="K2728" s="79"/>
      <c r="L2728" s="49">
        <f t="shared" si="152"/>
        <v>0</v>
      </c>
      <c r="M2728" s="50">
        <f t="shared" si="153"/>
        <v>0</v>
      </c>
    </row>
    <row r="2729" spans="1:13" x14ac:dyDescent="0.2">
      <c r="A2729" s="18"/>
      <c r="B2729" s="77"/>
      <c r="C2729" s="77"/>
      <c r="D2729" s="78"/>
      <c r="E2729" s="77"/>
      <c r="F2729" s="77"/>
      <c r="G2729" s="77"/>
      <c r="H2729" s="77"/>
      <c r="I2729" s="77"/>
      <c r="J2729" s="77"/>
      <c r="K2729" s="79"/>
      <c r="L2729" s="49">
        <f t="shared" si="152"/>
        <v>0</v>
      </c>
      <c r="M2729" s="50">
        <f t="shared" si="153"/>
        <v>0</v>
      </c>
    </row>
    <row r="2730" spans="1:13" x14ac:dyDescent="0.2">
      <c r="A2730" s="18"/>
      <c r="B2730" s="77"/>
      <c r="C2730" s="77"/>
      <c r="D2730" s="78"/>
      <c r="E2730" s="77"/>
      <c r="F2730" s="77"/>
      <c r="G2730" s="77"/>
      <c r="H2730" s="77"/>
      <c r="I2730" s="77"/>
      <c r="J2730" s="77"/>
      <c r="K2730" s="79"/>
      <c r="L2730" s="49">
        <f t="shared" si="152"/>
        <v>0</v>
      </c>
      <c r="M2730" s="50">
        <f t="shared" si="153"/>
        <v>0</v>
      </c>
    </row>
    <row r="2731" spans="1:13" x14ac:dyDescent="0.2">
      <c r="A2731" s="18"/>
      <c r="B2731" s="77"/>
      <c r="C2731" s="77"/>
      <c r="D2731" s="78"/>
      <c r="E2731" s="77"/>
      <c r="F2731" s="77"/>
      <c r="G2731" s="77"/>
      <c r="H2731" s="77"/>
      <c r="I2731" s="77"/>
      <c r="J2731" s="77"/>
      <c r="K2731" s="79"/>
      <c r="L2731" s="49">
        <f t="shared" si="152"/>
        <v>0</v>
      </c>
      <c r="M2731" s="50">
        <f t="shared" si="153"/>
        <v>0</v>
      </c>
    </row>
    <row r="2732" spans="1:13" x14ac:dyDescent="0.2">
      <c r="A2732" s="18"/>
      <c r="B2732" s="77"/>
      <c r="C2732" s="77"/>
      <c r="D2732" s="78"/>
      <c r="E2732" s="77"/>
      <c r="F2732" s="77"/>
      <c r="G2732" s="77"/>
      <c r="H2732" s="77"/>
      <c r="I2732" s="77"/>
      <c r="J2732" s="77"/>
      <c r="K2732" s="79"/>
      <c r="L2732" s="49">
        <f t="shared" si="152"/>
        <v>0</v>
      </c>
      <c r="M2732" s="50">
        <f t="shared" si="153"/>
        <v>0</v>
      </c>
    </row>
    <row r="2733" spans="1:13" x14ac:dyDescent="0.2">
      <c r="A2733" s="18"/>
      <c r="B2733" s="77"/>
      <c r="C2733" s="77"/>
      <c r="D2733" s="78"/>
      <c r="E2733" s="77"/>
      <c r="F2733" s="77"/>
      <c r="G2733" s="77"/>
      <c r="H2733" s="77"/>
      <c r="I2733" s="77"/>
      <c r="J2733" s="77"/>
      <c r="K2733" s="79"/>
      <c r="L2733" s="49">
        <f t="shared" si="152"/>
        <v>0</v>
      </c>
      <c r="M2733" s="50">
        <f t="shared" si="153"/>
        <v>0</v>
      </c>
    </row>
    <row r="2734" spans="1:13" x14ac:dyDescent="0.2">
      <c r="A2734" s="18"/>
      <c r="B2734" s="77"/>
      <c r="C2734" s="77"/>
      <c r="D2734" s="78"/>
      <c r="E2734" s="77"/>
      <c r="F2734" s="77"/>
      <c r="G2734" s="77"/>
      <c r="H2734" s="77"/>
      <c r="I2734" s="77"/>
      <c r="J2734" s="77"/>
      <c r="K2734" s="79"/>
      <c r="L2734" s="49">
        <f t="shared" si="152"/>
        <v>0</v>
      </c>
      <c r="M2734" s="50">
        <f t="shared" si="153"/>
        <v>0</v>
      </c>
    </row>
    <row r="2735" spans="1:13" x14ac:dyDescent="0.2">
      <c r="A2735" s="18"/>
      <c r="B2735" s="77"/>
      <c r="C2735" s="77"/>
      <c r="D2735" s="78"/>
      <c r="E2735" s="77"/>
      <c r="F2735" s="77"/>
      <c r="G2735" s="77"/>
      <c r="H2735" s="77"/>
      <c r="I2735" s="77"/>
      <c r="J2735" s="77"/>
      <c r="K2735" s="79"/>
      <c r="L2735" s="49">
        <f t="shared" si="152"/>
        <v>0</v>
      </c>
      <c r="M2735" s="50">
        <f t="shared" si="153"/>
        <v>0</v>
      </c>
    </row>
    <row r="2736" spans="1:13" x14ac:dyDescent="0.2">
      <c r="A2736" s="18"/>
      <c r="B2736" s="77"/>
      <c r="C2736" s="77"/>
      <c r="D2736" s="78"/>
      <c r="E2736" s="77"/>
      <c r="F2736" s="77"/>
      <c r="G2736" s="77"/>
      <c r="H2736" s="77"/>
      <c r="I2736" s="77"/>
      <c r="J2736" s="77"/>
      <c r="K2736" s="79"/>
      <c r="L2736" s="49">
        <f t="shared" si="152"/>
        <v>0</v>
      </c>
      <c r="M2736" s="50">
        <f t="shared" si="153"/>
        <v>0</v>
      </c>
    </row>
    <row r="2737" spans="1:13" x14ac:dyDescent="0.2">
      <c r="A2737" s="18"/>
      <c r="B2737" s="77"/>
      <c r="C2737" s="77"/>
      <c r="D2737" s="78"/>
      <c r="E2737" s="77"/>
      <c r="F2737" s="77"/>
      <c r="G2737" s="77"/>
      <c r="H2737" s="77"/>
      <c r="I2737" s="77"/>
      <c r="J2737" s="77"/>
      <c r="K2737" s="79"/>
      <c r="L2737" s="49">
        <f t="shared" si="152"/>
        <v>0</v>
      </c>
      <c r="M2737" s="50">
        <f t="shared" si="153"/>
        <v>0</v>
      </c>
    </row>
    <row r="2738" spans="1:13" x14ac:dyDescent="0.2">
      <c r="A2738" s="18"/>
      <c r="B2738" s="77"/>
      <c r="C2738" s="77"/>
      <c r="D2738" s="78"/>
      <c r="E2738" s="77"/>
      <c r="F2738" s="77"/>
      <c r="G2738" s="77"/>
      <c r="H2738" s="77"/>
      <c r="I2738" s="77"/>
      <c r="J2738" s="77"/>
      <c r="K2738" s="79"/>
      <c r="L2738" s="49">
        <f t="shared" si="152"/>
        <v>0</v>
      </c>
      <c r="M2738" s="50">
        <f t="shared" si="153"/>
        <v>0</v>
      </c>
    </row>
    <row r="2739" spans="1:13" x14ac:dyDescent="0.2">
      <c r="A2739" s="18"/>
      <c r="B2739" s="77"/>
      <c r="C2739" s="77"/>
      <c r="D2739" s="78"/>
      <c r="E2739" s="77"/>
      <c r="F2739" s="77"/>
      <c r="G2739" s="77"/>
      <c r="H2739" s="77"/>
      <c r="I2739" s="77"/>
      <c r="J2739" s="77"/>
      <c r="K2739" s="79"/>
      <c r="L2739" s="49">
        <f t="shared" si="152"/>
        <v>0</v>
      </c>
      <c r="M2739" s="50">
        <f t="shared" si="153"/>
        <v>0</v>
      </c>
    </row>
    <row r="2740" spans="1:13" x14ac:dyDescent="0.2">
      <c r="A2740" s="18"/>
      <c r="B2740" s="77"/>
      <c r="C2740" s="77"/>
      <c r="D2740" s="78"/>
      <c r="E2740" s="77"/>
      <c r="F2740" s="77"/>
      <c r="G2740" s="77"/>
      <c r="H2740" s="77"/>
      <c r="I2740" s="77"/>
      <c r="J2740" s="77"/>
      <c r="K2740" s="79"/>
      <c r="L2740" s="49">
        <f t="shared" si="152"/>
        <v>0</v>
      </c>
      <c r="M2740" s="50">
        <f t="shared" si="153"/>
        <v>0</v>
      </c>
    </row>
    <row r="2741" spans="1:13" x14ac:dyDescent="0.2">
      <c r="A2741" s="18"/>
      <c r="B2741" s="77"/>
      <c r="C2741" s="77"/>
      <c r="D2741" s="78"/>
      <c r="E2741" s="77"/>
      <c r="F2741" s="77"/>
      <c r="G2741" s="77"/>
      <c r="H2741" s="77"/>
      <c r="I2741" s="77"/>
      <c r="J2741" s="77"/>
      <c r="K2741" s="79"/>
      <c r="L2741" s="49">
        <f t="shared" si="152"/>
        <v>0</v>
      </c>
      <c r="M2741" s="50">
        <f t="shared" si="153"/>
        <v>0</v>
      </c>
    </row>
    <row r="2742" spans="1:13" x14ac:dyDescent="0.2">
      <c r="A2742" s="18"/>
      <c r="B2742" s="77"/>
      <c r="C2742" s="77"/>
      <c r="D2742" s="78"/>
      <c r="E2742" s="77"/>
      <c r="F2742" s="77"/>
      <c r="G2742" s="77"/>
      <c r="H2742" s="77"/>
      <c r="I2742" s="77"/>
      <c r="J2742" s="77"/>
      <c r="K2742" s="79"/>
      <c r="L2742" s="49">
        <f t="shared" si="152"/>
        <v>0</v>
      </c>
      <c r="M2742" s="50">
        <f t="shared" si="153"/>
        <v>0</v>
      </c>
    </row>
    <row r="2743" spans="1:13" x14ac:dyDescent="0.2">
      <c r="A2743" s="18"/>
      <c r="B2743" s="77"/>
      <c r="C2743" s="77"/>
      <c r="D2743" s="78"/>
      <c r="E2743" s="77"/>
      <c r="F2743" s="77"/>
      <c r="G2743" s="77"/>
      <c r="H2743" s="77"/>
      <c r="I2743" s="77"/>
      <c r="J2743" s="77"/>
      <c r="K2743" s="79"/>
      <c r="L2743" s="49">
        <f t="shared" si="152"/>
        <v>0</v>
      </c>
      <c r="M2743" s="50">
        <f t="shared" si="153"/>
        <v>0</v>
      </c>
    </row>
    <row r="2744" spans="1:13" x14ac:dyDescent="0.2">
      <c r="A2744" s="18"/>
      <c r="B2744" s="77"/>
      <c r="C2744" s="77"/>
      <c r="D2744" s="78"/>
      <c r="E2744" s="77"/>
      <c r="F2744" s="77"/>
      <c r="G2744" s="77"/>
      <c r="H2744" s="77"/>
      <c r="I2744" s="77"/>
      <c r="J2744" s="77"/>
      <c r="K2744" s="79"/>
      <c r="L2744" s="49">
        <f t="shared" si="152"/>
        <v>0</v>
      </c>
      <c r="M2744" s="50">
        <f t="shared" si="153"/>
        <v>0</v>
      </c>
    </row>
    <row r="2745" spans="1:13" x14ac:dyDescent="0.2">
      <c r="A2745" s="18"/>
      <c r="B2745" s="77"/>
      <c r="C2745" s="77"/>
      <c r="D2745" s="78"/>
      <c r="E2745" s="77"/>
      <c r="F2745" s="77"/>
      <c r="G2745" s="77"/>
      <c r="H2745" s="77"/>
      <c r="I2745" s="77"/>
      <c r="J2745" s="77"/>
      <c r="K2745" s="79"/>
      <c r="L2745" s="49">
        <f t="shared" si="152"/>
        <v>0</v>
      </c>
      <c r="M2745" s="50">
        <f t="shared" si="153"/>
        <v>0</v>
      </c>
    </row>
    <row r="2746" spans="1:13" x14ac:dyDescent="0.2">
      <c r="A2746" s="18"/>
      <c r="B2746" s="77"/>
      <c r="C2746" s="77"/>
      <c r="D2746" s="78"/>
      <c r="E2746" s="77"/>
      <c r="F2746" s="77"/>
      <c r="G2746" s="77"/>
      <c r="H2746" s="77"/>
      <c r="I2746" s="77"/>
      <c r="J2746" s="77"/>
      <c r="K2746" s="79"/>
      <c r="L2746" s="49">
        <f t="shared" si="152"/>
        <v>0</v>
      </c>
      <c r="M2746" s="50">
        <f t="shared" si="153"/>
        <v>0</v>
      </c>
    </row>
    <row r="2747" spans="1:13" x14ac:dyDescent="0.2">
      <c r="A2747" s="18"/>
      <c r="B2747" s="77"/>
      <c r="C2747" s="77"/>
      <c r="D2747" s="78"/>
      <c r="E2747" s="77"/>
      <c r="F2747" s="77"/>
      <c r="G2747" s="77"/>
      <c r="H2747" s="77"/>
      <c r="I2747" s="77"/>
      <c r="J2747" s="77"/>
      <c r="K2747" s="79"/>
      <c r="L2747" s="49">
        <f t="shared" si="152"/>
        <v>0</v>
      </c>
      <c r="M2747" s="50">
        <f t="shared" si="153"/>
        <v>0</v>
      </c>
    </row>
    <row r="2748" spans="1:13" x14ac:dyDescent="0.2">
      <c r="A2748" s="18"/>
      <c r="B2748" s="77"/>
      <c r="C2748" s="77"/>
      <c r="D2748" s="78"/>
      <c r="E2748" s="77"/>
      <c r="F2748" s="77"/>
      <c r="G2748" s="77"/>
      <c r="H2748" s="77"/>
      <c r="I2748" s="77"/>
      <c r="J2748" s="77"/>
      <c r="K2748" s="79"/>
      <c r="L2748" s="49">
        <f t="shared" si="152"/>
        <v>0</v>
      </c>
      <c r="M2748" s="50">
        <f t="shared" si="153"/>
        <v>0</v>
      </c>
    </row>
    <row r="2749" spans="1:13" x14ac:dyDescent="0.2">
      <c r="A2749" s="18"/>
      <c r="B2749" s="77"/>
      <c r="C2749" s="77"/>
      <c r="D2749" s="78"/>
      <c r="E2749" s="77"/>
      <c r="F2749" s="77"/>
      <c r="G2749" s="77"/>
      <c r="H2749" s="77"/>
      <c r="I2749" s="77"/>
      <c r="J2749" s="77"/>
      <c r="K2749" s="79"/>
      <c r="L2749" s="49">
        <f t="shared" si="152"/>
        <v>0</v>
      </c>
      <c r="M2749" s="50">
        <f t="shared" si="153"/>
        <v>0</v>
      </c>
    </row>
    <row r="2750" spans="1:13" x14ac:dyDescent="0.2">
      <c r="A2750" s="18"/>
      <c r="B2750" s="77"/>
      <c r="C2750" s="77"/>
      <c r="D2750" s="78"/>
      <c r="E2750" s="77"/>
      <c r="F2750" s="77"/>
      <c r="G2750" s="77"/>
      <c r="H2750" s="77"/>
      <c r="I2750" s="77"/>
      <c r="J2750" s="77"/>
      <c r="K2750" s="79"/>
      <c r="L2750" s="49">
        <f t="shared" si="152"/>
        <v>0</v>
      </c>
      <c r="M2750" s="50">
        <f t="shared" si="153"/>
        <v>0</v>
      </c>
    </row>
    <row r="2751" spans="1:13" x14ac:dyDescent="0.2">
      <c r="A2751" s="18"/>
      <c r="B2751" s="77"/>
      <c r="C2751" s="77"/>
      <c r="D2751" s="78"/>
      <c r="E2751" s="77"/>
      <c r="F2751" s="77"/>
      <c r="G2751" s="77"/>
      <c r="H2751" s="77"/>
      <c r="I2751" s="77"/>
      <c r="J2751" s="77"/>
      <c r="K2751" s="79"/>
      <c r="L2751" s="49">
        <f t="shared" si="152"/>
        <v>0</v>
      </c>
      <c r="M2751" s="50">
        <f t="shared" si="153"/>
        <v>0</v>
      </c>
    </row>
    <row r="2752" spans="1:13" x14ac:dyDescent="0.2">
      <c r="A2752" s="18"/>
      <c r="B2752" s="77"/>
      <c r="C2752" s="77"/>
      <c r="D2752" s="78"/>
      <c r="E2752" s="77"/>
      <c r="F2752" s="77"/>
      <c r="G2752" s="77"/>
      <c r="H2752" s="77"/>
      <c r="I2752" s="77"/>
      <c r="J2752" s="77"/>
      <c r="K2752" s="79"/>
      <c r="L2752" s="49">
        <f t="shared" si="152"/>
        <v>0</v>
      </c>
      <c r="M2752" s="50">
        <f t="shared" si="153"/>
        <v>0</v>
      </c>
    </row>
    <row r="2753" spans="1:13" x14ac:dyDescent="0.2">
      <c r="A2753" s="18"/>
      <c r="B2753" s="77"/>
      <c r="C2753" s="77"/>
      <c r="D2753" s="78"/>
      <c r="E2753" s="77"/>
      <c r="F2753" s="77"/>
      <c r="G2753" s="77"/>
      <c r="H2753" s="77"/>
      <c r="I2753" s="77"/>
      <c r="J2753" s="77"/>
      <c r="K2753" s="79"/>
      <c r="L2753" s="49">
        <f t="shared" si="152"/>
        <v>0</v>
      </c>
      <c r="M2753" s="50">
        <f t="shared" si="153"/>
        <v>0</v>
      </c>
    </row>
    <row r="2754" spans="1:13" x14ac:dyDescent="0.2">
      <c r="A2754" s="18"/>
      <c r="B2754" s="77"/>
      <c r="C2754" s="77"/>
      <c r="D2754" s="78"/>
      <c r="E2754" s="77"/>
      <c r="F2754" s="77"/>
      <c r="G2754" s="77"/>
      <c r="H2754" s="77"/>
      <c r="I2754" s="77"/>
      <c r="J2754" s="77"/>
      <c r="K2754" s="79"/>
      <c r="L2754" s="49">
        <f t="shared" si="152"/>
        <v>0</v>
      </c>
      <c r="M2754" s="50">
        <f t="shared" si="153"/>
        <v>0</v>
      </c>
    </row>
    <row r="2755" spans="1:13" x14ac:dyDescent="0.2">
      <c r="A2755" s="18"/>
      <c r="B2755" s="77"/>
      <c r="C2755" s="77"/>
      <c r="D2755" s="78"/>
      <c r="E2755" s="77"/>
      <c r="F2755" s="77"/>
      <c r="G2755" s="77"/>
      <c r="H2755" s="77"/>
      <c r="I2755" s="77"/>
      <c r="J2755" s="77"/>
      <c r="K2755" s="79"/>
      <c r="L2755" s="49">
        <f t="shared" si="152"/>
        <v>0</v>
      </c>
      <c r="M2755" s="50">
        <f t="shared" si="153"/>
        <v>0</v>
      </c>
    </row>
    <row r="2756" spans="1:13" x14ac:dyDescent="0.2">
      <c r="A2756" s="18"/>
      <c r="B2756" s="77"/>
      <c r="C2756" s="77"/>
      <c r="D2756" s="78"/>
      <c r="E2756" s="77"/>
      <c r="F2756" s="77"/>
      <c r="G2756" s="77"/>
      <c r="H2756" s="77"/>
      <c r="I2756" s="77"/>
      <c r="J2756" s="77"/>
      <c r="K2756" s="79"/>
      <c r="L2756" s="49">
        <f t="shared" si="152"/>
        <v>0</v>
      </c>
      <c r="M2756" s="50">
        <f t="shared" si="153"/>
        <v>0</v>
      </c>
    </row>
    <row r="2757" spans="1:13" x14ac:dyDescent="0.2">
      <c r="A2757" s="18"/>
      <c r="B2757" s="77"/>
      <c r="C2757" s="77"/>
      <c r="D2757" s="78"/>
      <c r="E2757" s="77"/>
      <c r="F2757" s="77"/>
      <c r="G2757" s="77"/>
      <c r="H2757" s="77"/>
      <c r="I2757" s="77"/>
      <c r="J2757" s="77"/>
      <c r="K2757" s="79"/>
      <c r="L2757" s="49">
        <f t="shared" si="152"/>
        <v>0</v>
      </c>
      <c r="M2757" s="50">
        <f t="shared" si="153"/>
        <v>0</v>
      </c>
    </row>
    <row r="2758" spans="1:13" x14ac:dyDescent="0.2">
      <c r="A2758" s="18"/>
      <c r="B2758" s="77"/>
      <c r="C2758" s="77"/>
      <c r="D2758" s="78"/>
      <c r="E2758" s="77"/>
      <c r="F2758" s="77"/>
      <c r="G2758" s="77"/>
      <c r="H2758" s="77"/>
      <c r="I2758" s="77"/>
      <c r="J2758" s="77"/>
      <c r="K2758" s="79"/>
      <c r="L2758" s="49">
        <f t="shared" si="152"/>
        <v>0</v>
      </c>
      <c r="M2758" s="50">
        <f t="shared" si="153"/>
        <v>0</v>
      </c>
    </row>
    <row r="2759" spans="1:13" x14ac:dyDescent="0.2">
      <c r="A2759" s="18"/>
      <c r="B2759" s="77"/>
      <c r="C2759" s="77"/>
      <c r="D2759" s="78"/>
      <c r="E2759" s="77"/>
      <c r="F2759" s="77"/>
      <c r="G2759" s="77"/>
      <c r="H2759" s="77"/>
      <c r="I2759" s="77"/>
      <c r="J2759" s="77"/>
      <c r="K2759" s="79"/>
      <c r="L2759" s="49">
        <f t="shared" si="152"/>
        <v>0</v>
      </c>
      <c r="M2759" s="50">
        <f t="shared" si="153"/>
        <v>0</v>
      </c>
    </row>
    <row r="2760" spans="1:13" x14ac:dyDescent="0.2">
      <c r="A2760" s="18"/>
      <c r="B2760" s="77"/>
      <c r="C2760" s="77"/>
      <c r="D2760" s="78"/>
      <c r="E2760" s="77"/>
      <c r="F2760" s="77"/>
      <c r="G2760" s="77"/>
      <c r="H2760" s="77"/>
      <c r="I2760" s="77"/>
      <c r="J2760" s="77"/>
      <c r="K2760" s="79"/>
      <c r="L2760" s="49">
        <f t="shared" si="152"/>
        <v>0</v>
      </c>
      <c r="M2760" s="50">
        <f t="shared" si="153"/>
        <v>0</v>
      </c>
    </row>
    <row r="2761" spans="1:13" x14ac:dyDescent="0.2">
      <c r="A2761" s="18"/>
      <c r="B2761" s="77"/>
      <c r="C2761" s="77"/>
      <c r="D2761" s="78"/>
      <c r="E2761" s="77"/>
      <c r="F2761" s="77"/>
      <c r="G2761" s="77"/>
      <c r="H2761" s="77"/>
      <c r="I2761" s="77"/>
      <c r="J2761" s="77"/>
      <c r="K2761" s="79"/>
      <c r="L2761" s="49">
        <f t="shared" si="152"/>
        <v>0</v>
      </c>
      <c r="M2761" s="50">
        <f t="shared" si="153"/>
        <v>0</v>
      </c>
    </row>
    <row r="2762" spans="1:13" x14ac:dyDescent="0.2">
      <c r="A2762" s="18"/>
      <c r="B2762" s="77"/>
      <c r="C2762" s="77"/>
      <c r="D2762" s="78"/>
      <c r="E2762" s="77"/>
      <c r="F2762" s="77"/>
      <c r="G2762" s="77"/>
      <c r="H2762" s="77"/>
      <c r="I2762" s="77"/>
      <c r="J2762" s="77"/>
      <c r="K2762" s="79"/>
      <c r="L2762" s="49">
        <f t="shared" ref="L2762:L2825" si="154">+K2762*18%</f>
        <v>0</v>
      </c>
      <c r="M2762" s="50">
        <f t="shared" ref="M2762:M2825" si="155">+K2762+L2762</f>
        <v>0</v>
      </c>
    </row>
    <row r="2763" spans="1:13" x14ac:dyDescent="0.2">
      <c r="A2763" s="18"/>
      <c r="B2763" s="77"/>
      <c r="C2763" s="77"/>
      <c r="D2763" s="78"/>
      <c r="E2763" s="77"/>
      <c r="F2763" s="77"/>
      <c r="G2763" s="77"/>
      <c r="H2763" s="77"/>
      <c r="I2763" s="77"/>
      <c r="J2763" s="77"/>
      <c r="K2763" s="79"/>
      <c r="L2763" s="49">
        <f t="shared" si="154"/>
        <v>0</v>
      </c>
      <c r="M2763" s="50">
        <f t="shared" si="155"/>
        <v>0</v>
      </c>
    </row>
    <row r="2764" spans="1:13" x14ac:dyDescent="0.2">
      <c r="A2764" s="18"/>
      <c r="B2764" s="77"/>
      <c r="C2764" s="77"/>
      <c r="D2764" s="78"/>
      <c r="E2764" s="77"/>
      <c r="F2764" s="77"/>
      <c r="G2764" s="77"/>
      <c r="H2764" s="77"/>
      <c r="I2764" s="77"/>
      <c r="J2764" s="77"/>
      <c r="K2764" s="79"/>
      <c r="L2764" s="49">
        <f t="shared" si="154"/>
        <v>0</v>
      </c>
      <c r="M2764" s="50">
        <f t="shared" si="155"/>
        <v>0</v>
      </c>
    </row>
    <row r="2765" spans="1:13" x14ac:dyDescent="0.2">
      <c r="A2765" s="18"/>
      <c r="B2765" s="77"/>
      <c r="C2765" s="77"/>
      <c r="D2765" s="78"/>
      <c r="E2765" s="77"/>
      <c r="F2765" s="77"/>
      <c r="G2765" s="77"/>
      <c r="H2765" s="77"/>
      <c r="I2765" s="77"/>
      <c r="J2765" s="77"/>
      <c r="K2765" s="79"/>
      <c r="L2765" s="49">
        <f t="shared" si="154"/>
        <v>0</v>
      </c>
      <c r="M2765" s="50">
        <f t="shared" si="155"/>
        <v>0</v>
      </c>
    </row>
    <row r="2766" spans="1:13" x14ac:dyDescent="0.2">
      <c r="A2766" s="18"/>
      <c r="B2766" s="77"/>
      <c r="C2766" s="77"/>
      <c r="D2766" s="78"/>
      <c r="E2766" s="77"/>
      <c r="F2766" s="77"/>
      <c r="G2766" s="77"/>
      <c r="H2766" s="77"/>
      <c r="I2766" s="77"/>
      <c r="J2766" s="77"/>
      <c r="K2766" s="79"/>
      <c r="L2766" s="49">
        <f t="shared" si="154"/>
        <v>0</v>
      </c>
      <c r="M2766" s="50">
        <f t="shared" si="155"/>
        <v>0</v>
      </c>
    </row>
    <row r="2767" spans="1:13" x14ac:dyDescent="0.2">
      <c r="A2767" s="18"/>
      <c r="B2767" s="77"/>
      <c r="C2767" s="77"/>
      <c r="D2767" s="78"/>
      <c r="E2767" s="77"/>
      <c r="F2767" s="77"/>
      <c r="G2767" s="77"/>
      <c r="H2767" s="77"/>
      <c r="I2767" s="77"/>
      <c r="J2767" s="77"/>
      <c r="K2767" s="79"/>
      <c r="L2767" s="49">
        <f t="shared" si="154"/>
        <v>0</v>
      </c>
      <c r="M2767" s="50">
        <f t="shared" si="155"/>
        <v>0</v>
      </c>
    </row>
    <row r="2768" spans="1:13" x14ac:dyDescent="0.2">
      <c r="A2768" s="18"/>
      <c r="B2768" s="77"/>
      <c r="C2768" s="77"/>
      <c r="D2768" s="78"/>
      <c r="E2768" s="77"/>
      <c r="F2768" s="77"/>
      <c r="G2768" s="77"/>
      <c r="H2768" s="77"/>
      <c r="I2768" s="77"/>
      <c r="J2768" s="77"/>
      <c r="K2768" s="79"/>
      <c r="L2768" s="49">
        <f t="shared" si="154"/>
        <v>0</v>
      </c>
      <c r="M2768" s="50">
        <f t="shared" si="155"/>
        <v>0</v>
      </c>
    </row>
    <row r="2769" spans="1:13" x14ac:dyDescent="0.2">
      <c r="A2769" s="18"/>
      <c r="B2769" s="77"/>
      <c r="C2769" s="77"/>
      <c r="D2769" s="78"/>
      <c r="E2769" s="77"/>
      <c r="F2769" s="77"/>
      <c r="G2769" s="77"/>
      <c r="H2769" s="77"/>
      <c r="I2769" s="77"/>
      <c r="J2769" s="77"/>
      <c r="K2769" s="79"/>
      <c r="L2769" s="49">
        <f t="shared" si="154"/>
        <v>0</v>
      </c>
      <c r="M2769" s="50">
        <f t="shared" si="155"/>
        <v>0</v>
      </c>
    </row>
    <row r="2770" spans="1:13" x14ac:dyDescent="0.2">
      <c r="A2770" s="18"/>
      <c r="B2770" s="77"/>
      <c r="C2770" s="77"/>
      <c r="D2770" s="78"/>
      <c r="E2770" s="77"/>
      <c r="F2770" s="77"/>
      <c r="G2770" s="77"/>
      <c r="H2770" s="77"/>
      <c r="I2770" s="77"/>
      <c r="J2770" s="77"/>
      <c r="K2770" s="79"/>
      <c r="L2770" s="49">
        <f t="shared" si="154"/>
        <v>0</v>
      </c>
      <c r="M2770" s="50">
        <f t="shared" si="155"/>
        <v>0</v>
      </c>
    </row>
    <row r="2771" spans="1:13" x14ac:dyDescent="0.2">
      <c r="A2771" s="18"/>
      <c r="B2771" s="77"/>
      <c r="C2771" s="77"/>
      <c r="D2771" s="78"/>
      <c r="E2771" s="77"/>
      <c r="F2771" s="77"/>
      <c r="G2771" s="77"/>
      <c r="H2771" s="77"/>
      <c r="I2771" s="77"/>
      <c r="J2771" s="77"/>
      <c r="K2771" s="79"/>
      <c r="L2771" s="49">
        <f t="shared" si="154"/>
        <v>0</v>
      </c>
      <c r="M2771" s="50">
        <f t="shared" si="155"/>
        <v>0</v>
      </c>
    </row>
    <row r="2772" spans="1:13" x14ac:dyDescent="0.2">
      <c r="A2772" s="18"/>
      <c r="B2772" s="77"/>
      <c r="C2772" s="77"/>
      <c r="D2772" s="78"/>
      <c r="E2772" s="77"/>
      <c r="F2772" s="77"/>
      <c r="G2772" s="77"/>
      <c r="H2772" s="77"/>
      <c r="I2772" s="77"/>
      <c r="J2772" s="77"/>
      <c r="K2772" s="79"/>
      <c r="L2772" s="49">
        <f t="shared" si="154"/>
        <v>0</v>
      </c>
      <c r="M2772" s="50">
        <f t="shared" si="155"/>
        <v>0</v>
      </c>
    </row>
    <row r="2773" spans="1:13" x14ac:dyDescent="0.2">
      <c r="A2773" s="18"/>
      <c r="B2773" s="77"/>
      <c r="C2773" s="77"/>
      <c r="D2773" s="78"/>
      <c r="E2773" s="77"/>
      <c r="F2773" s="77"/>
      <c r="G2773" s="77"/>
      <c r="H2773" s="77"/>
      <c r="I2773" s="77"/>
      <c r="J2773" s="77"/>
      <c r="K2773" s="79"/>
      <c r="L2773" s="49">
        <f t="shared" si="154"/>
        <v>0</v>
      </c>
      <c r="M2773" s="50">
        <f t="shared" si="155"/>
        <v>0</v>
      </c>
    </row>
    <row r="2774" spans="1:13" x14ac:dyDescent="0.2">
      <c r="A2774" s="18"/>
      <c r="B2774" s="77"/>
      <c r="C2774" s="77"/>
      <c r="D2774" s="78"/>
      <c r="E2774" s="77"/>
      <c r="F2774" s="77"/>
      <c r="G2774" s="77"/>
      <c r="H2774" s="77"/>
      <c r="I2774" s="77"/>
      <c r="J2774" s="77"/>
      <c r="K2774" s="79"/>
      <c r="L2774" s="49">
        <f t="shared" si="154"/>
        <v>0</v>
      </c>
      <c r="M2774" s="50">
        <f t="shared" si="155"/>
        <v>0</v>
      </c>
    </row>
    <row r="2775" spans="1:13" x14ac:dyDescent="0.2">
      <c r="A2775" s="18"/>
      <c r="B2775" s="77"/>
      <c r="C2775" s="77"/>
      <c r="D2775" s="78"/>
      <c r="E2775" s="77"/>
      <c r="F2775" s="77"/>
      <c r="G2775" s="77"/>
      <c r="H2775" s="77"/>
      <c r="I2775" s="77"/>
      <c r="J2775" s="77"/>
      <c r="K2775" s="79"/>
      <c r="L2775" s="49">
        <f t="shared" si="154"/>
        <v>0</v>
      </c>
      <c r="M2775" s="50">
        <f t="shared" si="155"/>
        <v>0</v>
      </c>
    </row>
    <row r="2776" spans="1:13" x14ac:dyDescent="0.2">
      <c r="A2776" s="18"/>
      <c r="B2776" s="77"/>
      <c r="C2776" s="77"/>
      <c r="D2776" s="78"/>
      <c r="E2776" s="77"/>
      <c r="F2776" s="77"/>
      <c r="G2776" s="77"/>
      <c r="H2776" s="77"/>
      <c r="I2776" s="77"/>
      <c r="J2776" s="77"/>
      <c r="K2776" s="79"/>
      <c r="L2776" s="49">
        <f t="shared" si="154"/>
        <v>0</v>
      </c>
      <c r="M2776" s="50">
        <f t="shared" si="155"/>
        <v>0</v>
      </c>
    </row>
    <row r="2777" spans="1:13" x14ac:dyDescent="0.2">
      <c r="A2777" s="18"/>
      <c r="B2777" s="77"/>
      <c r="C2777" s="77"/>
      <c r="D2777" s="78"/>
      <c r="E2777" s="77"/>
      <c r="F2777" s="77"/>
      <c r="G2777" s="77"/>
      <c r="H2777" s="77"/>
      <c r="I2777" s="77"/>
      <c r="J2777" s="77"/>
      <c r="K2777" s="79"/>
      <c r="L2777" s="49">
        <f t="shared" si="154"/>
        <v>0</v>
      </c>
      <c r="M2777" s="50">
        <f t="shared" si="155"/>
        <v>0</v>
      </c>
    </row>
    <row r="2778" spans="1:13" x14ac:dyDescent="0.2">
      <c r="A2778" s="18"/>
      <c r="B2778" s="77"/>
      <c r="C2778" s="77"/>
      <c r="D2778" s="78"/>
      <c r="E2778" s="77"/>
      <c r="F2778" s="77"/>
      <c r="G2778" s="77"/>
      <c r="H2778" s="77"/>
      <c r="I2778" s="77"/>
      <c r="J2778" s="77"/>
      <c r="K2778" s="79"/>
      <c r="L2778" s="49">
        <f t="shared" si="154"/>
        <v>0</v>
      </c>
      <c r="M2778" s="50">
        <f t="shared" si="155"/>
        <v>0</v>
      </c>
    </row>
    <row r="2779" spans="1:13" x14ac:dyDescent="0.2">
      <c r="A2779" s="18"/>
      <c r="B2779" s="77"/>
      <c r="C2779" s="77"/>
      <c r="D2779" s="78"/>
      <c r="E2779" s="77"/>
      <c r="F2779" s="77"/>
      <c r="G2779" s="77"/>
      <c r="H2779" s="77"/>
      <c r="I2779" s="77"/>
      <c r="J2779" s="77"/>
      <c r="K2779" s="79"/>
      <c r="L2779" s="49">
        <f t="shared" si="154"/>
        <v>0</v>
      </c>
      <c r="M2779" s="50">
        <f t="shared" si="155"/>
        <v>0</v>
      </c>
    </row>
    <row r="2780" spans="1:13" x14ac:dyDescent="0.2">
      <c r="A2780" s="18"/>
      <c r="B2780" s="77"/>
      <c r="C2780" s="77"/>
      <c r="D2780" s="78"/>
      <c r="E2780" s="77"/>
      <c r="F2780" s="77"/>
      <c r="G2780" s="77"/>
      <c r="H2780" s="77"/>
      <c r="I2780" s="77"/>
      <c r="J2780" s="77"/>
      <c r="K2780" s="79"/>
      <c r="L2780" s="49">
        <f t="shared" si="154"/>
        <v>0</v>
      </c>
      <c r="M2780" s="50">
        <f t="shared" si="155"/>
        <v>0</v>
      </c>
    </row>
    <row r="2781" spans="1:13" x14ac:dyDescent="0.2">
      <c r="A2781" s="18"/>
      <c r="B2781" s="77"/>
      <c r="C2781" s="77"/>
      <c r="D2781" s="78"/>
      <c r="E2781" s="77"/>
      <c r="F2781" s="77"/>
      <c r="G2781" s="77"/>
      <c r="H2781" s="77"/>
      <c r="I2781" s="77"/>
      <c r="J2781" s="77"/>
      <c r="K2781" s="79"/>
      <c r="L2781" s="49">
        <f t="shared" si="154"/>
        <v>0</v>
      </c>
      <c r="M2781" s="50">
        <f t="shared" si="155"/>
        <v>0</v>
      </c>
    </row>
    <row r="2782" spans="1:13" x14ac:dyDescent="0.2">
      <c r="A2782" s="18"/>
      <c r="B2782" s="77"/>
      <c r="C2782" s="77"/>
      <c r="D2782" s="78"/>
      <c r="E2782" s="77"/>
      <c r="F2782" s="77"/>
      <c r="G2782" s="77"/>
      <c r="H2782" s="77"/>
      <c r="I2782" s="77"/>
      <c r="J2782" s="77"/>
      <c r="K2782" s="79"/>
      <c r="L2782" s="49">
        <f t="shared" si="154"/>
        <v>0</v>
      </c>
      <c r="M2782" s="50">
        <f t="shared" si="155"/>
        <v>0</v>
      </c>
    </row>
    <row r="2783" spans="1:13" x14ac:dyDescent="0.2">
      <c r="A2783" s="18"/>
      <c r="B2783" s="77"/>
      <c r="C2783" s="77"/>
      <c r="D2783" s="78"/>
      <c r="E2783" s="77"/>
      <c r="F2783" s="77"/>
      <c r="G2783" s="77"/>
      <c r="H2783" s="77"/>
      <c r="I2783" s="77"/>
      <c r="J2783" s="77"/>
      <c r="K2783" s="79"/>
      <c r="L2783" s="49">
        <f t="shared" si="154"/>
        <v>0</v>
      </c>
      <c r="M2783" s="50">
        <f t="shared" si="155"/>
        <v>0</v>
      </c>
    </row>
    <row r="2784" spans="1:13" x14ac:dyDescent="0.2">
      <c r="A2784" s="18"/>
      <c r="B2784" s="77"/>
      <c r="C2784" s="77"/>
      <c r="D2784" s="78"/>
      <c r="E2784" s="77"/>
      <c r="F2784" s="77"/>
      <c r="G2784" s="77"/>
      <c r="H2784" s="77"/>
      <c r="I2784" s="77"/>
      <c r="J2784" s="77"/>
      <c r="K2784" s="79"/>
      <c r="L2784" s="49">
        <f t="shared" si="154"/>
        <v>0</v>
      </c>
      <c r="M2784" s="50">
        <f t="shared" si="155"/>
        <v>0</v>
      </c>
    </row>
    <row r="2785" spans="1:13" x14ac:dyDescent="0.2">
      <c r="A2785" s="18"/>
      <c r="B2785" s="77"/>
      <c r="C2785" s="77"/>
      <c r="D2785" s="78"/>
      <c r="E2785" s="77"/>
      <c r="F2785" s="77"/>
      <c r="G2785" s="77"/>
      <c r="H2785" s="77"/>
      <c r="I2785" s="77"/>
      <c r="J2785" s="77"/>
      <c r="K2785" s="79"/>
      <c r="L2785" s="49">
        <f t="shared" si="154"/>
        <v>0</v>
      </c>
      <c r="M2785" s="50">
        <f t="shared" si="155"/>
        <v>0</v>
      </c>
    </row>
    <row r="2786" spans="1:13" x14ac:dyDescent="0.2">
      <c r="A2786" s="18"/>
      <c r="B2786" s="77"/>
      <c r="C2786" s="77"/>
      <c r="D2786" s="78"/>
      <c r="E2786" s="77"/>
      <c r="F2786" s="77"/>
      <c r="G2786" s="77"/>
      <c r="H2786" s="77"/>
      <c r="I2786" s="77"/>
      <c r="J2786" s="77"/>
      <c r="K2786" s="79"/>
      <c r="L2786" s="49">
        <f t="shared" si="154"/>
        <v>0</v>
      </c>
      <c r="M2786" s="50">
        <f t="shared" si="155"/>
        <v>0</v>
      </c>
    </row>
    <row r="2787" spans="1:13" x14ac:dyDescent="0.2">
      <c r="A2787" s="18"/>
      <c r="B2787" s="77"/>
      <c r="C2787" s="77"/>
      <c r="D2787" s="78"/>
      <c r="E2787" s="77"/>
      <c r="F2787" s="77"/>
      <c r="G2787" s="77"/>
      <c r="H2787" s="77"/>
      <c r="I2787" s="77"/>
      <c r="J2787" s="77"/>
      <c r="K2787" s="79"/>
      <c r="L2787" s="49">
        <f t="shared" si="154"/>
        <v>0</v>
      </c>
      <c r="M2787" s="50">
        <f t="shared" si="155"/>
        <v>0</v>
      </c>
    </row>
    <row r="2788" spans="1:13" x14ac:dyDescent="0.2">
      <c r="A2788" s="18"/>
      <c r="B2788" s="77"/>
      <c r="C2788" s="77"/>
      <c r="D2788" s="78"/>
      <c r="E2788" s="77"/>
      <c r="F2788" s="77"/>
      <c r="G2788" s="77"/>
      <c r="H2788" s="77"/>
      <c r="I2788" s="77"/>
      <c r="J2788" s="77"/>
      <c r="K2788" s="79"/>
      <c r="L2788" s="49">
        <f t="shared" si="154"/>
        <v>0</v>
      </c>
      <c r="M2788" s="50">
        <f t="shared" si="155"/>
        <v>0</v>
      </c>
    </row>
    <row r="2789" spans="1:13" x14ac:dyDescent="0.2">
      <c r="A2789" s="18"/>
      <c r="B2789" s="77"/>
      <c r="C2789" s="77"/>
      <c r="D2789" s="78"/>
      <c r="E2789" s="77"/>
      <c r="F2789" s="77"/>
      <c r="G2789" s="77"/>
      <c r="H2789" s="77"/>
      <c r="I2789" s="77"/>
      <c r="J2789" s="77"/>
      <c r="K2789" s="79"/>
      <c r="L2789" s="49">
        <f t="shared" si="154"/>
        <v>0</v>
      </c>
      <c r="M2789" s="50">
        <f t="shared" si="155"/>
        <v>0</v>
      </c>
    </row>
    <row r="2790" spans="1:13" x14ac:dyDescent="0.2">
      <c r="A2790" s="18"/>
      <c r="B2790" s="77"/>
      <c r="C2790" s="77"/>
      <c r="D2790" s="78"/>
      <c r="E2790" s="77"/>
      <c r="F2790" s="77"/>
      <c r="G2790" s="77"/>
      <c r="H2790" s="77"/>
      <c r="I2790" s="77"/>
      <c r="J2790" s="77"/>
      <c r="K2790" s="79"/>
      <c r="L2790" s="49">
        <f t="shared" si="154"/>
        <v>0</v>
      </c>
      <c r="M2790" s="50">
        <f t="shared" si="155"/>
        <v>0</v>
      </c>
    </row>
    <row r="2791" spans="1:13" x14ac:dyDescent="0.2">
      <c r="A2791" s="18"/>
      <c r="B2791" s="77"/>
      <c r="C2791" s="77"/>
      <c r="D2791" s="78"/>
      <c r="E2791" s="77"/>
      <c r="F2791" s="77"/>
      <c r="G2791" s="77"/>
      <c r="H2791" s="77"/>
      <c r="I2791" s="77"/>
      <c r="J2791" s="77"/>
      <c r="K2791" s="79"/>
      <c r="L2791" s="49">
        <f t="shared" si="154"/>
        <v>0</v>
      </c>
      <c r="M2791" s="50">
        <f t="shared" si="155"/>
        <v>0</v>
      </c>
    </row>
    <row r="2792" spans="1:13" x14ac:dyDescent="0.2">
      <c r="A2792" s="18"/>
      <c r="B2792" s="77"/>
      <c r="C2792" s="77"/>
      <c r="D2792" s="78"/>
      <c r="E2792" s="77"/>
      <c r="F2792" s="77"/>
      <c r="G2792" s="77"/>
      <c r="H2792" s="77"/>
      <c r="I2792" s="77"/>
      <c r="J2792" s="77"/>
      <c r="K2792" s="79"/>
      <c r="L2792" s="49">
        <f t="shared" si="154"/>
        <v>0</v>
      </c>
      <c r="M2792" s="50">
        <f t="shared" si="155"/>
        <v>0</v>
      </c>
    </row>
    <row r="2793" spans="1:13" x14ac:dyDescent="0.2">
      <c r="A2793" s="18"/>
      <c r="B2793" s="77"/>
      <c r="C2793" s="77"/>
      <c r="D2793" s="78"/>
      <c r="E2793" s="77"/>
      <c r="F2793" s="77"/>
      <c r="G2793" s="77"/>
      <c r="H2793" s="77"/>
      <c r="I2793" s="77"/>
      <c r="J2793" s="77"/>
      <c r="K2793" s="79"/>
      <c r="L2793" s="49">
        <f t="shared" si="154"/>
        <v>0</v>
      </c>
      <c r="M2793" s="50">
        <f t="shared" si="155"/>
        <v>0</v>
      </c>
    </row>
    <row r="2794" spans="1:13" x14ac:dyDescent="0.2">
      <c r="A2794" s="18"/>
      <c r="B2794" s="77"/>
      <c r="C2794" s="77"/>
      <c r="D2794" s="78"/>
      <c r="E2794" s="77"/>
      <c r="F2794" s="77"/>
      <c r="G2794" s="77"/>
      <c r="H2794" s="77"/>
      <c r="I2794" s="77"/>
      <c r="J2794" s="77"/>
      <c r="K2794" s="79"/>
      <c r="L2794" s="49">
        <f t="shared" si="154"/>
        <v>0</v>
      </c>
      <c r="M2794" s="50">
        <f t="shared" si="155"/>
        <v>0</v>
      </c>
    </row>
    <row r="2795" spans="1:13" x14ac:dyDescent="0.2">
      <c r="A2795" s="18"/>
      <c r="B2795" s="77"/>
      <c r="C2795" s="77"/>
      <c r="D2795" s="78"/>
      <c r="E2795" s="77"/>
      <c r="F2795" s="77"/>
      <c r="G2795" s="77"/>
      <c r="H2795" s="77"/>
      <c r="I2795" s="77"/>
      <c r="J2795" s="77"/>
      <c r="K2795" s="79"/>
      <c r="L2795" s="49">
        <f t="shared" si="154"/>
        <v>0</v>
      </c>
      <c r="M2795" s="50">
        <f t="shared" si="155"/>
        <v>0</v>
      </c>
    </row>
    <row r="2796" spans="1:13" x14ac:dyDescent="0.2">
      <c r="A2796" s="18"/>
      <c r="B2796" s="77"/>
      <c r="C2796" s="77"/>
      <c r="D2796" s="78"/>
      <c r="E2796" s="77"/>
      <c r="F2796" s="77"/>
      <c r="G2796" s="77"/>
      <c r="H2796" s="77"/>
      <c r="I2796" s="77"/>
      <c r="J2796" s="77"/>
      <c r="K2796" s="79"/>
      <c r="L2796" s="49">
        <f t="shared" si="154"/>
        <v>0</v>
      </c>
      <c r="M2796" s="50">
        <f t="shared" si="155"/>
        <v>0</v>
      </c>
    </row>
    <row r="2797" spans="1:13" x14ac:dyDescent="0.2">
      <c r="A2797" s="18"/>
      <c r="B2797" s="77"/>
      <c r="C2797" s="77"/>
      <c r="D2797" s="78"/>
      <c r="E2797" s="77"/>
      <c r="F2797" s="77"/>
      <c r="G2797" s="77"/>
      <c r="H2797" s="77"/>
      <c r="I2797" s="77"/>
      <c r="J2797" s="77"/>
      <c r="K2797" s="79"/>
      <c r="L2797" s="49">
        <f t="shared" si="154"/>
        <v>0</v>
      </c>
      <c r="M2797" s="50">
        <f t="shared" si="155"/>
        <v>0</v>
      </c>
    </row>
    <row r="2798" spans="1:13" x14ac:dyDescent="0.2">
      <c r="A2798" s="18"/>
      <c r="B2798" s="77"/>
      <c r="C2798" s="77"/>
      <c r="D2798" s="78"/>
      <c r="E2798" s="77"/>
      <c r="F2798" s="77"/>
      <c r="G2798" s="77"/>
      <c r="H2798" s="77"/>
      <c r="I2798" s="77"/>
      <c r="J2798" s="77"/>
      <c r="K2798" s="79"/>
      <c r="L2798" s="49">
        <f t="shared" si="154"/>
        <v>0</v>
      </c>
      <c r="M2798" s="50">
        <f t="shared" si="155"/>
        <v>0</v>
      </c>
    </row>
    <row r="2799" spans="1:13" x14ac:dyDescent="0.2">
      <c r="A2799" s="18"/>
      <c r="B2799" s="77"/>
      <c r="C2799" s="77"/>
      <c r="D2799" s="78"/>
      <c r="E2799" s="77"/>
      <c r="F2799" s="77"/>
      <c r="G2799" s="77"/>
      <c r="H2799" s="77"/>
      <c r="I2799" s="77"/>
      <c r="J2799" s="77"/>
      <c r="K2799" s="79"/>
      <c r="L2799" s="49">
        <f t="shared" si="154"/>
        <v>0</v>
      </c>
      <c r="M2799" s="50">
        <f t="shared" si="155"/>
        <v>0</v>
      </c>
    </row>
    <row r="2800" spans="1:13" x14ac:dyDescent="0.2">
      <c r="A2800" s="18"/>
      <c r="B2800" s="77"/>
      <c r="C2800" s="77"/>
      <c r="D2800" s="78"/>
      <c r="E2800" s="77"/>
      <c r="F2800" s="77"/>
      <c r="G2800" s="77"/>
      <c r="H2800" s="77"/>
      <c r="I2800" s="77"/>
      <c r="J2800" s="77"/>
      <c r="K2800" s="79"/>
      <c r="L2800" s="49">
        <f t="shared" si="154"/>
        <v>0</v>
      </c>
      <c r="M2800" s="50">
        <f t="shared" si="155"/>
        <v>0</v>
      </c>
    </row>
    <row r="2801" spans="1:13" x14ac:dyDescent="0.2">
      <c r="A2801" s="18"/>
      <c r="B2801" s="77"/>
      <c r="C2801" s="77"/>
      <c r="D2801" s="78"/>
      <c r="E2801" s="77"/>
      <c r="F2801" s="77"/>
      <c r="G2801" s="77"/>
      <c r="H2801" s="77"/>
      <c r="I2801" s="77"/>
      <c r="J2801" s="77"/>
      <c r="K2801" s="79"/>
      <c r="L2801" s="49">
        <f t="shared" si="154"/>
        <v>0</v>
      </c>
      <c r="M2801" s="50">
        <f t="shared" si="155"/>
        <v>0</v>
      </c>
    </row>
    <row r="2802" spans="1:13" x14ac:dyDescent="0.2">
      <c r="A2802" s="18"/>
      <c r="B2802" s="77"/>
      <c r="C2802" s="77"/>
      <c r="D2802" s="78"/>
      <c r="E2802" s="77"/>
      <c r="F2802" s="77"/>
      <c r="G2802" s="77"/>
      <c r="H2802" s="77"/>
      <c r="I2802" s="77"/>
      <c r="J2802" s="77"/>
      <c r="K2802" s="79"/>
      <c r="L2802" s="49">
        <f t="shared" si="154"/>
        <v>0</v>
      </c>
      <c r="M2802" s="50">
        <f t="shared" si="155"/>
        <v>0</v>
      </c>
    </row>
    <row r="2803" spans="1:13" x14ac:dyDescent="0.2">
      <c r="A2803" s="18"/>
      <c r="B2803" s="77"/>
      <c r="C2803" s="77"/>
      <c r="D2803" s="78"/>
      <c r="E2803" s="77"/>
      <c r="F2803" s="77"/>
      <c r="G2803" s="77"/>
      <c r="H2803" s="77"/>
      <c r="I2803" s="77"/>
      <c r="J2803" s="77"/>
      <c r="K2803" s="79"/>
      <c r="L2803" s="49">
        <f t="shared" si="154"/>
        <v>0</v>
      </c>
      <c r="M2803" s="50">
        <f t="shared" si="155"/>
        <v>0</v>
      </c>
    </row>
    <row r="2804" spans="1:13" x14ac:dyDescent="0.2">
      <c r="A2804" s="18"/>
      <c r="B2804" s="77"/>
      <c r="C2804" s="77"/>
      <c r="D2804" s="78"/>
      <c r="E2804" s="77"/>
      <c r="F2804" s="77"/>
      <c r="G2804" s="77"/>
      <c r="H2804" s="77"/>
      <c r="I2804" s="77"/>
      <c r="J2804" s="77"/>
      <c r="K2804" s="79"/>
      <c r="L2804" s="49">
        <f t="shared" si="154"/>
        <v>0</v>
      </c>
      <c r="M2804" s="50">
        <f t="shared" si="155"/>
        <v>0</v>
      </c>
    </row>
    <row r="2805" spans="1:13" x14ac:dyDescent="0.2">
      <c r="A2805" s="18"/>
      <c r="B2805" s="77"/>
      <c r="C2805" s="77"/>
      <c r="D2805" s="78"/>
      <c r="E2805" s="77"/>
      <c r="F2805" s="77"/>
      <c r="G2805" s="77"/>
      <c r="H2805" s="77"/>
      <c r="I2805" s="77"/>
      <c r="J2805" s="77"/>
      <c r="K2805" s="79"/>
      <c r="L2805" s="49">
        <f t="shared" si="154"/>
        <v>0</v>
      </c>
      <c r="M2805" s="50">
        <f t="shared" si="155"/>
        <v>0</v>
      </c>
    </row>
    <row r="2806" spans="1:13" x14ac:dyDescent="0.2">
      <c r="A2806" s="18"/>
      <c r="B2806" s="77"/>
      <c r="C2806" s="77"/>
      <c r="D2806" s="78"/>
      <c r="E2806" s="77"/>
      <c r="F2806" s="77"/>
      <c r="G2806" s="77"/>
      <c r="H2806" s="77"/>
      <c r="I2806" s="77"/>
      <c r="J2806" s="77"/>
      <c r="K2806" s="79"/>
      <c r="L2806" s="49">
        <f t="shared" si="154"/>
        <v>0</v>
      </c>
      <c r="M2806" s="50">
        <f t="shared" si="155"/>
        <v>0</v>
      </c>
    </row>
    <row r="2807" spans="1:13" x14ac:dyDescent="0.2">
      <c r="A2807" s="18"/>
      <c r="B2807" s="77"/>
      <c r="C2807" s="77"/>
      <c r="D2807" s="78"/>
      <c r="E2807" s="77"/>
      <c r="F2807" s="77"/>
      <c r="G2807" s="77"/>
      <c r="H2807" s="77"/>
      <c r="I2807" s="77"/>
      <c r="J2807" s="77"/>
      <c r="K2807" s="79"/>
      <c r="L2807" s="49">
        <f t="shared" si="154"/>
        <v>0</v>
      </c>
      <c r="M2807" s="50">
        <f t="shared" si="155"/>
        <v>0</v>
      </c>
    </row>
    <row r="2808" spans="1:13" x14ac:dyDescent="0.2">
      <c r="A2808" s="18"/>
      <c r="B2808" s="77"/>
      <c r="C2808" s="77"/>
      <c r="D2808" s="78"/>
      <c r="E2808" s="77"/>
      <c r="F2808" s="77"/>
      <c r="G2808" s="77"/>
      <c r="H2808" s="77"/>
      <c r="I2808" s="77"/>
      <c r="J2808" s="77"/>
      <c r="K2808" s="79"/>
      <c r="L2808" s="49">
        <f t="shared" si="154"/>
        <v>0</v>
      </c>
      <c r="M2808" s="50">
        <f t="shared" si="155"/>
        <v>0</v>
      </c>
    </row>
    <row r="2809" spans="1:13" x14ac:dyDescent="0.2">
      <c r="A2809" s="18"/>
      <c r="B2809" s="77"/>
      <c r="C2809" s="77"/>
      <c r="D2809" s="78"/>
      <c r="E2809" s="77"/>
      <c r="F2809" s="77"/>
      <c r="G2809" s="77"/>
      <c r="H2809" s="77"/>
      <c r="I2809" s="77"/>
      <c r="J2809" s="77"/>
      <c r="K2809" s="79"/>
      <c r="L2809" s="49">
        <f t="shared" si="154"/>
        <v>0</v>
      </c>
      <c r="M2809" s="50">
        <f t="shared" si="155"/>
        <v>0</v>
      </c>
    </row>
    <row r="2810" spans="1:13" x14ac:dyDescent="0.2">
      <c r="A2810" s="18"/>
      <c r="B2810" s="77"/>
      <c r="C2810" s="77"/>
      <c r="D2810" s="78"/>
      <c r="E2810" s="77"/>
      <c r="F2810" s="77"/>
      <c r="G2810" s="77"/>
      <c r="H2810" s="77"/>
      <c r="I2810" s="77"/>
      <c r="J2810" s="77"/>
      <c r="K2810" s="79"/>
      <c r="L2810" s="49">
        <f t="shared" si="154"/>
        <v>0</v>
      </c>
      <c r="M2810" s="50">
        <f t="shared" si="155"/>
        <v>0</v>
      </c>
    </row>
    <row r="2811" spans="1:13" x14ac:dyDescent="0.2">
      <c r="A2811" s="18"/>
      <c r="B2811" s="77"/>
      <c r="C2811" s="77"/>
      <c r="D2811" s="78"/>
      <c r="E2811" s="77"/>
      <c r="F2811" s="77"/>
      <c r="G2811" s="77"/>
      <c r="H2811" s="77"/>
      <c r="I2811" s="77"/>
      <c r="J2811" s="77"/>
      <c r="K2811" s="79"/>
      <c r="L2811" s="49">
        <f t="shared" si="154"/>
        <v>0</v>
      </c>
      <c r="M2811" s="50">
        <f t="shared" si="155"/>
        <v>0</v>
      </c>
    </row>
    <row r="2812" spans="1:13" x14ac:dyDescent="0.2">
      <c r="A2812" s="18"/>
      <c r="B2812" s="77"/>
      <c r="C2812" s="77"/>
      <c r="D2812" s="78"/>
      <c r="E2812" s="77"/>
      <c r="F2812" s="77"/>
      <c r="G2812" s="77"/>
      <c r="H2812" s="77"/>
      <c r="I2812" s="77"/>
      <c r="J2812" s="77"/>
      <c r="K2812" s="79"/>
      <c r="L2812" s="49">
        <f t="shared" si="154"/>
        <v>0</v>
      </c>
      <c r="M2812" s="50">
        <f t="shared" si="155"/>
        <v>0</v>
      </c>
    </row>
    <row r="2813" spans="1:13" x14ac:dyDescent="0.2">
      <c r="A2813" s="18"/>
      <c r="B2813" s="77"/>
      <c r="C2813" s="77"/>
      <c r="D2813" s="78"/>
      <c r="E2813" s="77"/>
      <c r="F2813" s="77"/>
      <c r="G2813" s="77"/>
      <c r="H2813" s="77"/>
      <c r="I2813" s="77"/>
      <c r="J2813" s="77"/>
      <c r="K2813" s="79"/>
      <c r="L2813" s="49">
        <f t="shared" si="154"/>
        <v>0</v>
      </c>
      <c r="M2813" s="50">
        <f t="shared" si="155"/>
        <v>0</v>
      </c>
    </row>
    <row r="2814" spans="1:13" x14ac:dyDescent="0.2">
      <c r="A2814" s="18"/>
      <c r="B2814" s="77"/>
      <c r="C2814" s="77"/>
      <c r="D2814" s="78"/>
      <c r="E2814" s="77"/>
      <c r="F2814" s="77"/>
      <c r="G2814" s="77"/>
      <c r="H2814" s="77"/>
      <c r="I2814" s="77"/>
      <c r="J2814" s="77"/>
      <c r="K2814" s="79"/>
      <c r="L2814" s="49">
        <f t="shared" si="154"/>
        <v>0</v>
      </c>
      <c r="M2814" s="50">
        <f t="shared" si="155"/>
        <v>0</v>
      </c>
    </row>
    <row r="2815" spans="1:13" x14ac:dyDescent="0.2">
      <c r="A2815" s="18"/>
      <c r="B2815" s="77"/>
      <c r="C2815" s="77"/>
      <c r="D2815" s="78"/>
      <c r="E2815" s="77"/>
      <c r="F2815" s="77"/>
      <c r="G2815" s="77"/>
      <c r="H2815" s="77"/>
      <c r="I2815" s="77"/>
      <c r="J2815" s="77"/>
      <c r="K2815" s="79"/>
      <c r="L2815" s="49">
        <f t="shared" si="154"/>
        <v>0</v>
      </c>
      <c r="M2815" s="50">
        <f t="shared" si="155"/>
        <v>0</v>
      </c>
    </row>
    <row r="2816" spans="1:13" x14ac:dyDescent="0.2">
      <c r="A2816" s="18"/>
      <c r="B2816" s="77"/>
      <c r="C2816" s="77"/>
      <c r="D2816" s="78"/>
      <c r="E2816" s="77"/>
      <c r="F2816" s="77"/>
      <c r="G2816" s="77"/>
      <c r="H2816" s="77"/>
      <c r="I2816" s="77"/>
      <c r="J2816" s="77"/>
      <c r="K2816" s="79"/>
      <c r="L2816" s="49">
        <f t="shared" si="154"/>
        <v>0</v>
      </c>
      <c r="M2816" s="50">
        <f t="shared" si="155"/>
        <v>0</v>
      </c>
    </row>
    <row r="2817" spans="1:13" x14ac:dyDescent="0.2">
      <c r="A2817" s="18"/>
      <c r="B2817" s="77"/>
      <c r="C2817" s="77"/>
      <c r="D2817" s="78"/>
      <c r="E2817" s="77"/>
      <c r="F2817" s="77"/>
      <c r="G2817" s="77"/>
      <c r="H2817" s="77"/>
      <c r="I2817" s="77"/>
      <c r="J2817" s="77"/>
      <c r="K2817" s="79"/>
      <c r="L2817" s="49">
        <f t="shared" si="154"/>
        <v>0</v>
      </c>
      <c r="M2817" s="50">
        <f t="shared" si="155"/>
        <v>0</v>
      </c>
    </row>
    <row r="2818" spans="1:13" x14ac:dyDescent="0.2">
      <c r="A2818" s="18"/>
      <c r="B2818" s="77"/>
      <c r="C2818" s="77"/>
      <c r="D2818" s="78"/>
      <c r="E2818" s="77"/>
      <c r="F2818" s="77"/>
      <c r="G2818" s="77"/>
      <c r="H2818" s="77"/>
      <c r="I2818" s="77"/>
      <c r="J2818" s="77"/>
      <c r="K2818" s="79"/>
      <c r="L2818" s="49">
        <f t="shared" si="154"/>
        <v>0</v>
      </c>
      <c r="M2818" s="50">
        <f t="shared" si="155"/>
        <v>0</v>
      </c>
    </row>
    <row r="2819" spans="1:13" x14ac:dyDescent="0.2">
      <c r="A2819" s="18"/>
      <c r="B2819" s="77"/>
      <c r="C2819" s="77"/>
      <c r="D2819" s="78"/>
      <c r="E2819" s="77"/>
      <c r="F2819" s="77"/>
      <c r="G2819" s="77"/>
      <c r="H2819" s="77"/>
      <c r="I2819" s="77"/>
      <c r="J2819" s="77"/>
      <c r="K2819" s="79"/>
      <c r="L2819" s="49">
        <f t="shared" si="154"/>
        <v>0</v>
      </c>
      <c r="M2819" s="50">
        <f t="shared" si="155"/>
        <v>0</v>
      </c>
    </row>
    <row r="2820" spans="1:13" x14ac:dyDescent="0.2">
      <c r="A2820" s="18"/>
      <c r="B2820" s="77"/>
      <c r="C2820" s="77"/>
      <c r="D2820" s="78"/>
      <c r="E2820" s="77"/>
      <c r="F2820" s="77"/>
      <c r="G2820" s="77"/>
      <c r="H2820" s="77"/>
      <c r="I2820" s="77"/>
      <c r="J2820" s="77"/>
      <c r="K2820" s="79"/>
      <c r="L2820" s="49">
        <f t="shared" si="154"/>
        <v>0</v>
      </c>
      <c r="M2820" s="50">
        <f t="shared" si="155"/>
        <v>0</v>
      </c>
    </row>
    <row r="2821" spans="1:13" x14ac:dyDescent="0.2">
      <c r="A2821" s="18"/>
      <c r="B2821" s="77"/>
      <c r="C2821" s="77"/>
      <c r="D2821" s="78"/>
      <c r="E2821" s="77"/>
      <c r="F2821" s="77"/>
      <c r="G2821" s="77"/>
      <c r="H2821" s="77"/>
      <c r="I2821" s="77"/>
      <c r="J2821" s="77"/>
      <c r="K2821" s="79"/>
      <c r="L2821" s="49">
        <f t="shared" si="154"/>
        <v>0</v>
      </c>
      <c r="M2821" s="50">
        <f t="shared" si="155"/>
        <v>0</v>
      </c>
    </row>
    <row r="2822" spans="1:13" x14ac:dyDescent="0.2">
      <c r="A2822" s="18"/>
      <c r="B2822" s="77"/>
      <c r="C2822" s="77"/>
      <c r="D2822" s="78"/>
      <c r="E2822" s="77"/>
      <c r="F2822" s="77"/>
      <c r="G2822" s="77"/>
      <c r="H2822" s="77"/>
      <c r="I2822" s="77"/>
      <c r="J2822" s="77"/>
      <c r="K2822" s="79"/>
      <c r="L2822" s="49">
        <f t="shared" si="154"/>
        <v>0</v>
      </c>
      <c r="M2822" s="50">
        <f t="shared" si="155"/>
        <v>0</v>
      </c>
    </row>
    <row r="2823" spans="1:13" x14ac:dyDescent="0.2">
      <c r="A2823" s="18"/>
      <c r="B2823" s="77"/>
      <c r="C2823" s="77"/>
      <c r="D2823" s="78"/>
      <c r="E2823" s="77"/>
      <c r="F2823" s="77"/>
      <c r="G2823" s="77"/>
      <c r="H2823" s="77"/>
      <c r="I2823" s="77"/>
      <c r="J2823" s="77"/>
      <c r="K2823" s="79"/>
      <c r="L2823" s="49">
        <f t="shared" si="154"/>
        <v>0</v>
      </c>
      <c r="M2823" s="50">
        <f t="shared" si="155"/>
        <v>0</v>
      </c>
    </row>
    <row r="2824" spans="1:13" x14ac:dyDescent="0.2">
      <c r="A2824" s="18"/>
      <c r="B2824" s="77"/>
      <c r="C2824" s="77"/>
      <c r="D2824" s="78"/>
      <c r="E2824" s="77"/>
      <c r="F2824" s="77"/>
      <c r="G2824" s="77"/>
      <c r="H2824" s="77"/>
      <c r="I2824" s="77"/>
      <c r="J2824" s="77"/>
      <c r="K2824" s="79"/>
      <c r="L2824" s="49">
        <f t="shared" si="154"/>
        <v>0</v>
      </c>
      <c r="M2824" s="50">
        <f t="shared" si="155"/>
        <v>0</v>
      </c>
    </row>
    <row r="2825" spans="1:13" x14ac:dyDescent="0.2">
      <c r="A2825" s="18"/>
      <c r="B2825" s="77"/>
      <c r="C2825" s="77"/>
      <c r="D2825" s="78"/>
      <c r="E2825" s="77"/>
      <c r="F2825" s="77"/>
      <c r="G2825" s="77"/>
      <c r="H2825" s="77"/>
      <c r="I2825" s="77"/>
      <c r="J2825" s="77"/>
      <c r="K2825" s="79"/>
      <c r="L2825" s="49">
        <f t="shared" si="154"/>
        <v>0</v>
      </c>
      <c r="M2825" s="50">
        <f t="shared" si="155"/>
        <v>0</v>
      </c>
    </row>
    <row r="2826" spans="1:13" x14ac:dyDescent="0.2">
      <c r="A2826" s="18"/>
      <c r="B2826" s="77"/>
      <c r="C2826" s="77"/>
      <c r="D2826" s="78"/>
      <c r="E2826" s="77"/>
      <c r="F2826" s="77"/>
      <c r="G2826" s="77"/>
      <c r="H2826" s="77"/>
      <c r="I2826" s="77"/>
      <c r="J2826" s="77"/>
      <c r="K2826" s="79"/>
      <c r="L2826" s="49">
        <f t="shared" ref="L2826:L2831" si="156">+K2826*18%</f>
        <v>0</v>
      </c>
      <c r="M2826" s="50">
        <f t="shared" ref="M2826:M2831" si="157">+K2826+L2826</f>
        <v>0</v>
      </c>
    </row>
    <row r="2827" spans="1:13" x14ac:dyDescent="0.2">
      <c r="A2827" s="18"/>
      <c r="B2827" s="77"/>
      <c r="C2827" s="77"/>
      <c r="D2827" s="78"/>
      <c r="E2827" s="77"/>
      <c r="F2827" s="77"/>
      <c r="G2827" s="77"/>
      <c r="H2827" s="77"/>
      <c r="I2827" s="77"/>
      <c r="J2827" s="77"/>
      <c r="K2827" s="79"/>
      <c r="L2827" s="49">
        <f t="shared" si="156"/>
        <v>0</v>
      </c>
      <c r="M2827" s="50">
        <f t="shared" si="157"/>
        <v>0</v>
      </c>
    </row>
    <row r="2828" spans="1:13" x14ac:dyDescent="0.2">
      <c r="A2828" s="18"/>
      <c r="B2828" s="77"/>
      <c r="C2828" s="77"/>
      <c r="D2828" s="78"/>
      <c r="E2828" s="77"/>
      <c r="F2828" s="77"/>
      <c r="G2828" s="77"/>
      <c r="H2828" s="77"/>
      <c r="I2828" s="77"/>
      <c r="J2828" s="77"/>
      <c r="K2828" s="79"/>
      <c r="L2828" s="49">
        <f t="shared" si="156"/>
        <v>0</v>
      </c>
      <c r="M2828" s="50">
        <f t="shared" si="157"/>
        <v>0</v>
      </c>
    </row>
    <row r="2829" spans="1:13" x14ac:dyDescent="0.2">
      <c r="A2829" s="18"/>
      <c r="B2829" s="77"/>
      <c r="C2829" s="77"/>
      <c r="D2829" s="78"/>
      <c r="E2829" s="77"/>
      <c r="F2829" s="77"/>
      <c r="G2829" s="77"/>
      <c r="H2829" s="77"/>
      <c r="I2829" s="77"/>
      <c r="J2829" s="77"/>
      <c r="K2829" s="79"/>
      <c r="L2829" s="49">
        <f t="shared" si="156"/>
        <v>0</v>
      </c>
      <c r="M2829" s="50">
        <f t="shared" si="157"/>
        <v>0</v>
      </c>
    </row>
    <row r="2830" spans="1:13" x14ac:dyDescent="0.2">
      <c r="A2830" s="18"/>
      <c r="B2830" s="77"/>
      <c r="C2830" s="77"/>
      <c r="D2830" s="78"/>
      <c r="E2830" s="77"/>
      <c r="F2830" s="77"/>
      <c r="G2830" s="77"/>
      <c r="H2830" s="77"/>
      <c r="I2830" s="77"/>
      <c r="J2830" s="77"/>
      <c r="K2830" s="79"/>
      <c r="L2830" s="49">
        <f t="shared" si="156"/>
        <v>0</v>
      </c>
      <c r="M2830" s="50">
        <f t="shared" si="157"/>
        <v>0</v>
      </c>
    </row>
    <row r="2831" spans="1:13" x14ac:dyDescent="0.2">
      <c r="A2831" s="18"/>
      <c r="B2831" s="77"/>
      <c r="C2831" s="77"/>
      <c r="D2831" s="78"/>
      <c r="E2831" s="77"/>
      <c r="F2831" s="77"/>
      <c r="G2831" s="77"/>
      <c r="H2831" s="77"/>
      <c r="I2831" s="77"/>
      <c r="J2831" s="77"/>
      <c r="K2831" s="79"/>
      <c r="L2831" s="49">
        <f t="shared" si="156"/>
        <v>0</v>
      </c>
      <c r="M2831" s="50">
        <f t="shared" si="157"/>
        <v>0</v>
      </c>
    </row>
    <row r="2832" spans="1:13" x14ac:dyDescent="0.2">
      <c r="A2832" s="18"/>
      <c r="B2832" s="77"/>
      <c r="C2832" s="77"/>
      <c r="D2832" s="78"/>
      <c r="E2832" s="77"/>
      <c r="F2832" s="77"/>
      <c r="G2832" s="77"/>
      <c r="H2832" s="77"/>
      <c r="I2832" s="77"/>
      <c r="J2832" s="77"/>
      <c r="K2832" s="79"/>
      <c r="L2832" s="49">
        <f t="shared" ref="L2832:L2836" si="158">+K2832*18%</f>
        <v>0</v>
      </c>
      <c r="M2832" s="50">
        <f t="shared" ref="M2832:M2836" si="159">+K2832+L2832</f>
        <v>0</v>
      </c>
    </row>
    <row r="2833" spans="1:13" x14ac:dyDescent="0.2">
      <c r="A2833" s="18"/>
      <c r="B2833" s="77"/>
      <c r="C2833" s="77"/>
      <c r="D2833" s="78"/>
      <c r="E2833" s="77"/>
      <c r="F2833" s="77"/>
      <c r="G2833" s="77"/>
      <c r="H2833" s="77"/>
      <c r="I2833" s="77"/>
      <c r="J2833" s="77"/>
      <c r="K2833" s="79"/>
      <c r="L2833" s="49">
        <f t="shared" si="158"/>
        <v>0</v>
      </c>
      <c r="M2833" s="50">
        <f t="shared" si="159"/>
        <v>0</v>
      </c>
    </row>
    <row r="2834" spans="1:13" x14ac:dyDescent="0.2">
      <c r="A2834" s="18"/>
      <c r="B2834" s="77"/>
      <c r="C2834" s="77"/>
      <c r="D2834" s="78"/>
      <c r="E2834" s="77"/>
      <c r="F2834" s="77"/>
      <c r="G2834" s="77"/>
      <c r="H2834" s="77"/>
      <c r="I2834" s="77"/>
      <c r="J2834" s="77"/>
      <c r="K2834" s="79"/>
      <c r="L2834" s="49">
        <f t="shared" si="158"/>
        <v>0</v>
      </c>
      <c r="M2834" s="50">
        <f t="shared" si="159"/>
        <v>0</v>
      </c>
    </row>
    <row r="2835" spans="1:13" x14ac:dyDescent="0.2">
      <c r="A2835" s="18"/>
      <c r="B2835" s="77"/>
      <c r="C2835" s="77"/>
      <c r="D2835" s="78"/>
      <c r="E2835" s="77"/>
      <c r="F2835" s="77"/>
      <c r="G2835" s="77"/>
      <c r="H2835" s="77"/>
      <c r="I2835" s="77"/>
      <c r="J2835" s="77"/>
      <c r="K2835" s="79"/>
      <c r="L2835" s="49">
        <f t="shared" si="158"/>
        <v>0</v>
      </c>
      <c r="M2835" s="50">
        <f t="shared" si="159"/>
        <v>0</v>
      </c>
    </row>
    <row r="2836" spans="1:13" x14ac:dyDescent="0.2">
      <c r="A2836" s="18"/>
      <c r="B2836" s="77"/>
      <c r="C2836" s="77"/>
      <c r="D2836" s="78"/>
      <c r="E2836" s="77"/>
      <c r="F2836" s="77"/>
      <c r="G2836" s="77"/>
      <c r="H2836" s="77"/>
      <c r="I2836" s="77"/>
      <c r="J2836" s="77"/>
      <c r="K2836" s="79"/>
      <c r="L2836" s="49">
        <f t="shared" si="158"/>
        <v>0</v>
      </c>
      <c r="M2836" s="50">
        <f t="shared" si="159"/>
        <v>0</v>
      </c>
    </row>
    <row r="2837" spans="1:13" x14ac:dyDescent="0.2">
      <c r="A2837" s="18"/>
      <c r="B2837" s="77"/>
      <c r="C2837" s="77"/>
      <c r="D2837" s="78"/>
      <c r="E2837" s="77"/>
      <c r="F2837" s="77"/>
      <c r="G2837" s="77"/>
      <c r="H2837" s="77"/>
      <c r="I2837" s="77"/>
      <c r="J2837" s="77"/>
      <c r="K2837" s="79"/>
      <c r="L2837" s="49">
        <f t="shared" ref="L2837:L2900" si="160">+K2837*18%</f>
        <v>0</v>
      </c>
      <c r="M2837" s="50">
        <f t="shared" ref="M2837:M2900" si="161">+K2837+L2837</f>
        <v>0</v>
      </c>
    </row>
    <row r="2838" spans="1:13" x14ac:dyDescent="0.2">
      <c r="A2838" s="18"/>
      <c r="B2838" s="77"/>
      <c r="C2838" s="77"/>
      <c r="D2838" s="78"/>
      <c r="E2838" s="77"/>
      <c r="F2838" s="77"/>
      <c r="G2838" s="77"/>
      <c r="H2838" s="77"/>
      <c r="I2838" s="77"/>
      <c r="J2838" s="77"/>
      <c r="K2838" s="79"/>
      <c r="L2838" s="49">
        <f t="shared" si="160"/>
        <v>0</v>
      </c>
      <c r="M2838" s="50">
        <f t="shared" si="161"/>
        <v>0</v>
      </c>
    </row>
    <row r="2839" spans="1:13" x14ac:dyDescent="0.2">
      <c r="A2839" s="18"/>
      <c r="B2839" s="77"/>
      <c r="C2839" s="77"/>
      <c r="D2839" s="78"/>
      <c r="E2839" s="77"/>
      <c r="F2839" s="77"/>
      <c r="G2839" s="77"/>
      <c r="H2839" s="77"/>
      <c r="I2839" s="77"/>
      <c r="J2839" s="77"/>
      <c r="K2839" s="79"/>
      <c r="L2839" s="49">
        <f t="shared" si="160"/>
        <v>0</v>
      </c>
      <c r="M2839" s="50">
        <f t="shared" si="161"/>
        <v>0</v>
      </c>
    </row>
    <row r="2840" spans="1:13" x14ac:dyDescent="0.2">
      <c r="A2840" s="18"/>
      <c r="B2840" s="77"/>
      <c r="C2840" s="77"/>
      <c r="D2840" s="78"/>
      <c r="E2840" s="77"/>
      <c r="F2840" s="77"/>
      <c r="G2840" s="77"/>
      <c r="H2840" s="77"/>
      <c r="I2840" s="77"/>
      <c r="J2840" s="77"/>
      <c r="K2840" s="79"/>
      <c r="L2840" s="49">
        <f t="shared" si="160"/>
        <v>0</v>
      </c>
      <c r="M2840" s="50">
        <f t="shared" si="161"/>
        <v>0</v>
      </c>
    </row>
    <row r="2841" spans="1:13" x14ac:dyDescent="0.2">
      <c r="A2841" s="18"/>
      <c r="B2841" s="77"/>
      <c r="C2841" s="77"/>
      <c r="D2841" s="78"/>
      <c r="E2841" s="77"/>
      <c r="F2841" s="77"/>
      <c r="G2841" s="77"/>
      <c r="H2841" s="77"/>
      <c r="I2841" s="77"/>
      <c r="J2841" s="77"/>
      <c r="K2841" s="79"/>
      <c r="L2841" s="49">
        <f t="shared" si="160"/>
        <v>0</v>
      </c>
      <c r="M2841" s="50">
        <f t="shared" si="161"/>
        <v>0</v>
      </c>
    </row>
    <row r="2842" spans="1:13" x14ac:dyDescent="0.2">
      <c r="A2842" s="18"/>
      <c r="B2842" s="77"/>
      <c r="C2842" s="77"/>
      <c r="D2842" s="78"/>
      <c r="E2842" s="77"/>
      <c r="F2842" s="77"/>
      <c r="G2842" s="77"/>
      <c r="H2842" s="77"/>
      <c r="I2842" s="77"/>
      <c r="J2842" s="77"/>
      <c r="K2842" s="79"/>
      <c r="L2842" s="49">
        <f t="shared" si="160"/>
        <v>0</v>
      </c>
      <c r="M2842" s="50">
        <f t="shared" si="161"/>
        <v>0</v>
      </c>
    </row>
    <row r="2843" spans="1:13" x14ac:dyDescent="0.2">
      <c r="A2843" s="18"/>
      <c r="B2843" s="77"/>
      <c r="C2843" s="77"/>
      <c r="D2843" s="78"/>
      <c r="E2843" s="77"/>
      <c r="F2843" s="77"/>
      <c r="G2843" s="77"/>
      <c r="H2843" s="77"/>
      <c r="I2843" s="77"/>
      <c r="J2843" s="77"/>
      <c r="K2843" s="79"/>
      <c r="L2843" s="49">
        <f t="shared" si="160"/>
        <v>0</v>
      </c>
      <c r="M2843" s="50">
        <f t="shared" si="161"/>
        <v>0</v>
      </c>
    </row>
    <row r="2844" spans="1:13" x14ac:dyDescent="0.2">
      <c r="A2844" s="18"/>
      <c r="B2844" s="77"/>
      <c r="C2844" s="77"/>
      <c r="D2844" s="78"/>
      <c r="E2844" s="77"/>
      <c r="F2844" s="77"/>
      <c r="G2844" s="77"/>
      <c r="H2844" s="77"/>
      <c r="I2844" s="77"/>
      <c r="J2844" s="77"/>
      <c r="K2844" s="79"/>
      <c r="L2844" s="49">
        <f t="shared" si="160"/>
        <v>0</v>
      </c>
      <c r="M2844" s="50">
        <f t="shared" si="161"/>
        <v>0</v>
      </c>
    </row>
    <row r="2845" spans="1:13" x14ac:dyDescent="0.2">
      <c r="A2845" s="18"/>
      <c r="B2845" s="77"/>
      <c r="C2845" s="77"/>
      <c r="D2845" s="78"/>
      <c r="E2845" s="77"/>
      <c r="F2845" s="77"/>
      <c r="G2845" s="77"/>
      <c r="H2845" s="77"/>
      <c r="I2845" s="77"/>
      <c r="J2845" s="77"/>
      <c r="K2845" s="79"/>
      <c r="L2845" s="49">
        <f t="shared" si="160"/>
        <v>0</v>
      </c>
      <c r="M2845" s="50">
        <f t="shared" si="161"/>
        <v>0</v>
      </c>
    </row>
    <row r="2846" spans="1:13" x14ac:dyDescent="0.2">
      <c r="A2846" s="18"/>
      <c r="B2846" s="77"/>
      <c r="C2846" s="77"/>
      <c r="D2846" s="78"/>
      <c r="E2846" s="77"/>
      <c r="F2846" s="77"/>
      <c r="G2846" s="77"/>
      <c r="H2846" s="77"/>
      <c r="I2846" s="77"/>
      <c r="J2846" s="77"/>
      <c r="K2846" s="79"/>
      <c r="L2846" s="49">
        <f t="shared" si="160"/>
        <v>0</v>
      </c>
      <c r="M2846" s="50">
        <f t="shared" si="161"/>
        <v>0</v>
      </c>
    </row>
    <row r="2847" spans="1:13" x14ac:dyDescent="0.2">
      <c r="A2847" s="18"/>
      <c r="B2847" s="77"/>
      <c r="C2847" s="77"/>
      <c r="D2847" s="78"/>
      <c r="E2847" s="77"/>
      <c r="F2847" s="77"/>
      <c r="G2847" s="77"/>
      <c r="H2847" s="77"/>
      <c r="I2847" s="77"/>
      <c r="J2847" s="77"/>
      <c r="K2847" s="79"/>
      <c r="L2847" s="49">
        <f t="shared" si="160"/>
        <v>0</v>
      </c>
      <c r="M2847" s="50">
        <f t="shared" si="161"/>
        <v>0</v>
      </c>
    </row>
    <row r="2848" spans="1:13" x14ac:dyDescent="0.2">
      <c r="A2848" s="18"/>
      <c r="B2848" s="77"/>
      <c r="C2848" s="77"/>
      <c r="D2848" s="78"/>
      <c r="E2848" s="77"/>
      <c r="F2848" s="77"/>
      <c r="G2848" s="77"/>
      <c r="H2848" s="77"/>
      <c r="I2848" s="77"/>
      <c r="J2848" s="77"/>
      <c r="K2848" s="79"/>
      <c r="L2848" s="49">
        <f t="shared" si="160"/>
        <v>0</v>
      </c>
      <c r="M2848" s="50">
        <f t="shared" si="161"/>
        <v>0</v>
      </c>
    </row>
    <row r="2849" spans="1:13" x14ac:dyDescent="0.2">
      <c r="A2849" s="18"/>
      <c r="B2849" s="77"/>
      <c r="C2849" s="77"/>
      <c r="D2849" s="78"/>
      <c r="E2849" s="77"/>
      <c r="F2849" s="77"/>
      <c r="G2849" s="77"/>
      <c r="H2849" s="77"/>
      <c r="I2849" s="77"/>
      <c r="J2849" s="77"/>
      <c r="K2849" s="79"/>
      <c r="L2849" s="49">
        <f t="shared" si="160"/>
        <v>0</v>
      </c>
      <c r="M2849" s="50">
        <f t="shared" si="161"/>
        <v>0</v>
      </c>
    </row>
    <row r="2850" spans="1:13" x14ac:dyDescent="0.2">
      <c r="A2850" s="18"/>
      <c r="B2850" s="77"/>
      <c r="C2850" s="77"/>
      <c r="D2850" s="78"/>
      <c r="E2850" s="77"/>
      <c r="F2850" s="77"/>
      <c r="G2850" s="77"/>
      <c r="H2850" s="77"/>
      <c r="I2850" s="77"/>
      <c r="J2850" s="77"/>
      <c r="K2850" s="79"/>
      <c r="L2850" s="49">
        <f t="shared" si="160"/>
        <v>0</v>
      </c>
      <c r="M2850" s="50">
        <f t="shared" si="161"/>
        <v>0</v>
      </c>
    </row>
    <row r="2851" spans="1:13" x14ac:dyDescent="0.2">
      <c r="A2851" s="18"/>
      <c r="B2851" s="77"/>
      <c r="C2851" s="77"/>
      <c r="D2851" s="78"/>
      <c r="E2851" s="77"/>
      <c r="F2851" s="77"/>
      <c r="G2851" s="77"/>
      <c r="H2851" s="77"/>
      <c r="I2851" s="77"/>
      <c r="J2851" s="77"/>
      <c r="K2851" s="79"/>
      <c r="L2851" s="49">
        <f t="shared" si="160"/>
        <v>0</v>
      </c>
      <c r="M2851" s="50">
        <f t="shared" si="161"/>
        <v>0</v>
      </c>
    </row>
    <row r="2852" spans="1:13" x14ac:dyDescent="0.2">
      <c r="A2852" s="18"/>
      <c r="B2852" s="77"/>
      <c r="C2852" s="77"/>
      <c r="D2852" s="78"/>
      <c r="E2852" s="77"/>
      <c r="F2852" s="77"/>
      <c r="G2852" s="77"/>
      <c r="H2852" s="77"/>
      <c r="I2852" s="77"/>
      <c r="J2852" s="77"/>
      <c r="K2852" s="79"/>
      <c r="L2852" s="49">
        <f t="shared" si="160"/>
        <v>0</v>
      </c>
      <c r="M2852" s="50">
        <f t="shared" si="161"/>
        <v>0</v>
      </c>
    </row>
    <row r="2853" spans="1:13" x14ac:dyDescent="0.2">
      <c r="A2853" s="18"/>
      <c r="B2853" s="77"/>
      <c r="C2853" s="77"/>
      <c r="D2853" s="78"/>
      <c r="E2853" s="77"/>
      <c r="F2853" s="77"/>
      <c r="G2853" s="77"/>
      <c r="H2853" s="77"/>
      <c r="I2853" s="77"/>
      <c r="J2853" s="77"/>
      <c r="K2853" s="79"/>
      <c r="L2853" s="49">
        <f t="shared" si="160"/>
        <v>0</v>
      </c>
      <c r="M2853" s="50">
        <f t="shared" si="161"/>
        <v>0</v>
      </c>
    </row>
    <row r="2854" spans="1:13" x14ac:dyDescent="0.2">
      <c r="A2854" s="18"/>
      <c r="B2854" s="77"/>
      <c r="C2854" s="77"/>
      <c r="D2854" s="78"/>
      <c r="E2854" s="77"/>
      <c r="F2854" s="77"/>
      <c r="G2854" s="77"/>
      <c r="H2854" s="77"/>
      <c r="I2854" s="77"/>
      <c r="J2854" s="77"/>
      <c r="K2854" s="79"/>
      <c r="L2854" s="49">
        <f t="shared" si="160"/>
        <v>0</v>
      </c>
      <c r="M2854" s="50">
        <f t="shared" si="161"/>
        <v>0</v>
      </c>
    </row>
    <row r="2855" spans="1:13" x14ac:dyDescent="0.2">
      <c r="A2855" s="18"/>
      <c r="B2855" s="77"/>
      <c r="C2855" s="77"/>
      <c r="D2855" s="78"/>
      <c r="E2855" s="77"/>
      <c r="F2855" s="77"/>
      <c r="G2855" s="77"/>
      <c r="H2855" s="77"/>
      <c r="I2855" s="77"/>
      <c r="J2855" s="77"/>
      <c r="K2855" s="79"/>
      <c r="L2855" s="49">
        <f t="shared" si="160"/>
        <v>0</v>
      </c>
      <c r="M2855" s="50">
        <f t="shared" si="161"/>
        <v>0</v>
      </c>
    </row>
    <row r="2856" spans="1:13" x14ac:dyDescent="0.2">
      <c r="A2856" s="18"/>
      <c r="B2856" s="77"/>
      <c r="C2856" s="77"/>
      <c r="D2856" s="78"/>
      <c r="E2856" s="77"/>
      <c r="F2856" s="77"/>
      <c r="G2856" s="77"/>
      <c r="H2856" s="77"/>
      <c r="I2856" s="77"/>
      <c r="J2856" s="77"/>
      <c r="K2856" s="79"/>
      <c r="L2856" s="49">
        <f t="shared" si="160"/>
        <v>0</v>
      </c>
      <c r="M2856" s="50">
        <f t="shared" si="161"/>
        <v>0</v>
      </c>
    </row>
    <row r="2857" spans="1:13" x14ac:dyDescent="0.2">
      <c r="A2857" s="18"/>
      <c r="B2857" s="77"/>
      <c r="C2857" s="77"/>
      <c r="D2857" s="78"/>
      <c r="E2857" s="77"/>
      <c r="F2857" s="77"/>
      <c r="G2857" s="77"/>
      <c r="H2857" s="77"/>
      <c r="I2857" s="77"/>
      <c r="J2857" s="77"/>
      <c r="K2857" s="79"/>
      <c r="L2857" s="49">
        <f t="shared" si="160"/>
        <v>0</v>
      </c>
      <c r="M2857" s="50">
        <f t="shared" si="161"/>
        <v>0</v>
      </c>
    </row>
    <row r="2858" spans="1:13" x14ac:dyDescent="0.2">
      <c r="A2858" s="18"/>
      <c r="B2858" s="77"/>
      <c r="C2858" s="77"/>
      <c r="D2858" s="78"/>
      <c r="E2858" s="77"/>
      <c r="F2858" s="77"/>
      <c r="G2858" s="77"/>
      <c r="H2858" s="77"/>
      <c r="I2858" s="77"/>
      <c r="J2858" s="77"/>
      <c r="K2858" s="79"/>
      <c r="L2858" s="49">
        <f t="shared" si="160"/>
        <v>0</v>
      </c>
      <c r="M2858" s="50">
        <f t="shared" si="161"/>
        <v>0</v>
      </c>
    </row>
    <row r="2859" spans="1:13" x14ac:dyDescent="0.2">
      <c r="A2859" s="18"/>
      <c r="B2859" s="77"/>
      <c r="C2859" s="77"/>
      <c r="D2859" s="78"/>
      <c r="E2859" s="77"/>
      <c r="F2859" s="77"/>
      <c r="G2859" s="77"/>
      <c r="H2859" s="77"/>
      <c r="I2859" s="77"/>
      <c r="J2859" s="77"/>
      <c r="K2859" s="79"/>
      <c r="L2859" s="49">
        <f t="shared" si="160"/>
        <v>0</v>
      </c>
      <c r="M2859" s="50">
        <f t="shared" si="161"/>
        <v>0</v>
      </c>
    </row>
    <row r="2860" spans="1:13" x14ac:dyDescent="0.2">
      <c r="A2860" s="18"/>
      <c r="B2860" s="77"/>
      <c r="C2860" s="77"/>
      <c r="D2860" s="78"/>
      <c r="E2860" s="77"/>
      <c r="F2860" s="77"/>
      <c r="G2860" s="77"/>
      <c r="H2860" s="77"/>
      <c r="I2860" s="77"/>
      <c r="J2860" s="77"/>
      <c r="K2860" s="79"/>
      <c r="L2860" s="49">
        <f t="shared" si="160"/>
        <v>0</v>
      </c>
      <c r="M2860" s="50">
        <f t="shared" si="161"/>
        <v>0</v>
      </c>
    </row>
    <row r="2861" spans="1:13" x14ac:dyDescent="0.2">
      <c r="A2861" s="18"/>
      <c r="B2861" s="77"/>
      <c r="C2861" s="77"/>
      <c r="D2861" s="78"/>
      <c r="E2861" s="77"/>
      <c r="F2861" s="77"/>
      <c r="G2861" s="77"/>
      <c r="H2861" s="77"/>
      <c r="I2861" s="77"/>
      <c r="J2861" s="77"/>
      <c r="K2861" s="79"/>
      <c r="L2861" s="49">
        <f t="shared" si="160"/>
        <v>0</v>
      </c>
      <c r="M2861" s="50">
        <f t="shared" si="161"/>
        <v>0</v>
      </c>
    </row>
    <row r="2862" spans="1:13" x14ac:dyDescent="0.2">
      <c r="A2862" s="18"/>
      <c r="B2862" s="77"/>
      <c r="C2862" s="77"/>
      <c r="D2862" s="78"/>
      <c r="E2862" s="77"/>
      <c r="F2862" s="77"/>
      <c r="G2862" s="77"/>
      <c r="H2862" s="77"/>
      <c r="I2862" s="77"/>
      <c r="J2862" s="77"/>
      <c r="K2862" s="79"/>
      <c r="L2862" s="49">
        <f t="shared" si="160"/>
        <v>0</v>
      </c>
      <c r="M2862" s="50">
        <f t="shared" si="161"/>
        <v>0</v>
      </c>
    </row>
    <row r="2863" spans="1:13" x14ac:dyDescent="0.2">
      <c r="A2863" s="18"/>
      <c r="B2863" s="77"/>
      <c r="C2863" s="77"/>
      <c r="D2863" s="78"/>
      <c r="E2863" s="77"/>
      <c r="F2863" s="77"/>
      <c r="G2863" s="77"/>
      <c r="H2863" s="77"/>
      <c r="I2863" s="77"/>
      <c r="J2863" s="77"/>
      <c r="K2863" s="79"/>
      <c r="L2863" s="49">
        <f t="shared" si="160"/>
        <v>0</v>
      </c>
      <c r="M2863" s="50">
        <f t="shared" si="161"/>
        <v>0</v>
      </c>
    </row>
    <row r="2864" spans="1:13" x14ac:dyDescent="0.2">
      <c r="A2864" s="18"/>
      <c r="B2864" s="77"/>
      <c r="C2864" s="77"/>
      <c r="D2864" s="78"/>
      <c r="E2864" s="77"/>
      <c r="F2864" s="77"/>
      <c r="G2864" s="77"/>
      <c r="H2864" s="77"/>
      <c r="I2864" s="77"/>
      <c r="J2864" s="77"/>
      <c r="K2864" s="79"/>
      <c r="L2864" s="49">
        <f t="shared" si="160"/>
        <v>0</v>
      </c>
      <c r="M2864" s="50">
        <f t="shared" si="161"/>
        <v>0</v>
      </c>
    </row>
    <row r="2865" spans="1:13" x14ac:dyDescent="0.2">
      <c r="A2865" s="18"/>
      <c r="B2865" s="77"/>
      <c r="C2865" s="77"/>
      <c r="D2865" s="78"/>
      <c r="E2865" s="77"/>
      <c r="F2865" s="77"/>
      <c r="G2865" s="77"/>
      <c r="H2865" s="77"/>
      <c r="I2865" s="77"/>
      <c r="J2865" s="77"/>
      <c r="K2865" s="79"/>
      <c r="L2865" s="49">
        <f t="shared" si="160"/>
        <v>0</v>
      </c>
      <c r="M2865" s="50">
        <f t="shared" si="161"/>
        <v>0</v>
      </c>
    </row>
    <row r="2866" spans="1:13" x14ac:dyDescent="0.2">
      <c r="A2866" s="18"/>
      <c r="B2866" s="77"/>
      <c r="C2866" s="77"/>
      <c r="D2866" s="78"/>
      <c r="E2866" s="77"/>
      <c r="F2866" s="77"/>
      <c r="G2866" s="77"/>
      <c r="H2866" s="77"/>
      <c r="I2866" s="77"/>
      <c r="J2866" s="77"/>
      <c r="K2866" s="79"/>
      <c r="L2866" s="49">
        <f t="shared" si="160"/>
        <v>0</v>
      </c>
      <c r="M2866" s="50">
        <f t="shared" si="161"/>
        <v>0</v>
      </c>
    </row>
    <row r="2867" spans="1:13" x14ac:dyDescent="0.2">
      <c r="A2867" s="18"/>
      <c r="B2867" s="77"/>
      <c r="C2867" s="77"/>
      <c r="D2867" s="78"/>
      <c r="E2867" s="77"/>
      <c r="F2867" s="77"/>
      <c r="G2867" s="77"/>
      <c r="H2867" s="77"/>
      <c r="I2867" s="77"/>
      <c r="J2867" s="77"/>
      <c r="K2867" s="79"/>
      <c r="L2867" s="49">
        <f t="shared" si="160"/>
        <v>0</v>
      </c>
      <c r="M2867" s="50">
        <f t="shared" si="161"/>
        <v>0</v>
      </c>
    </row>
    <row r="2868" spans="1:13" x14ac:dyDescent="0.2">
      <c r="A2868" s="18"/>
      <c r="B2868" s="77"/>
      <c r="C2868" s="77"/>
      <c r="D2868" s="78"/>
      <c r="E2868" s="77"/>
      <c r="F2868" s="77"/>
      <c r="G2868" s="77"/>
      <c r="H2868" s="77"/>
      <c r="I2868" s="77"/>
      <c r="J2868" s="77"/>
      <c r="K2868" s="79"/>
      <c r="L2868" s="49">
        <f t="shared" si="160"/>
        <v>0</v>
      </c>
      <c r="M2868" s="50">
        <f t="shared" si="161"/>
        <v>0</v>
      </c>
    </row>
    <row r="2869" spans="1:13" x14ac:dyDescent="0.2">
      <c r="A2869" s="18"/>
      <c r="B2869" s="77"/>
      <c r="C2869" s="77"/>
      <c r="D2869" s="78"/>
      <c r="E2869" s="77"/>
      <c r="F2869" s="77"/>
      <c r="G2869" s="77"/>
      <c r="H2869" s="77"/>
      <c r="I2869" s="77"/>
      <c r="J2869" s="77"/>
      <c r="K2869" s="79"/>
      <c r="L2869" s="49">
        <f t="shared" si="160"/>
        <v>0</v>
      </c>
      <c r="M2869" s="50">
        <f t="shared" si="161"/>
        <v>0</v>
      </c>
    </row>
    <row r="2870" spans="1:13" x14ac:dyDescent="0.2">
      <c r="A2870" s="18"/>
      <c r="B2870" s="77"/>
      <c r="C2870" s="77"/>
      <c r="D2870" s="78"/>
      <c r="E2870" s="77"/>
      <c r="F2870" s="77"/>
      <c r="G2870" s="77"/>
      <c r="H2870" s="77"/>
      <c r="I2870" s="77"/>
      <c r="J2870" s="77"/>
      <c r="K2870" s="79"/>
      <c r="L2870" s="49">
        <f t="shared" si="160"/>
        <v>0</v>
      </c>
      <c r="M2870" s="50">
        <f t="shared" si="161"/>
        <v>0</v>
      </c>
    </row>
    <row r="2871" spans="1:13" x14ac:dyDescent="0.2">
      <c r="A2871" s="18"/>
      <c r="B2871" s="77"/>
      <c r="C2871" s="77"/>
      <c r="D2871" s="78"/>
      <c r="E2871" s="77"/>
      <c r="F2871" s="77"/>
      <c r="G2871" s="77"/>
      <c r="H2871" s="77"/>
      <c r="I2871" s="77"/>
      <c r="J2871" s="77"/>
      <c r="K2871" s="79"/>
      <c r="L2871" s="49">
        <f t="shared" si="160"/>
        <v>0</v>
      </c>
      <c r="M2871" s="50">
        <f t="shared" si="161"/>
        <v>0</v>
      </c>
    </row>
    <row r="2872" spans="1:13" x14ac:dyDescent="0.2">
      <c r="A2872" s="18"/>
      <c r="B2872" s="77"/>
      <c r="C2872" s="77"/>
      <c r="D2872" s="78"/>
      <c r="E2872" s="77"/>
      <c r="F2872" s="77"/>
      <c r="G2872" s="77"/>
      <c r="H2872" s="77"/>
      <c r="I2872" s="77"/>
      <c r="J2872" s="77"/>
      <c r="K2872" s="79"/>
      <c r="L2872" s="49">
        <f t="shared" si="160"/>
        <v>0</v>
      </c>
      <c r="M2872" s="50">
        <f t="shared" si="161"/>
        <v>0</v>
      </c>
    </row>
    <row r="2873" spans="1:13" x14ac:dyDescent="0.2">
      <c r="A2873" s="18"/>
      <c r="B2873" s="77"/>
      <c r="C2873" s="77"/>
      <c r="D2873" s="78"/>
      <c r="E2873" s="77"/>
      <c r="F2873" s="77"/>
      <c r="G2873" s="77"/>
      <c r="H2873" s="77"/>
      <c r="I2873" s="77"/>
      <c r="J2873" s="77"/>
      <c r="K2873" s="79"/>
      <c r="L2873" s="49">
        <f t="shared" si="160"/>
        <v>0</v>
      </c>
      <c r="M2873" s="50">
        <f t="shared" si="161"/>
        <v>0</v>
      </c>
    </row>
    <row r="2874" spans="1:13" x14ac:dyDescent="0.2">
      <c r="A2874" s="18"/>
      <c r="B2874" s="77"/>
      <c r="C2874" s="77"/>
      <c r="D2874" s="78"/>
      <c r="E2874" s="77"/>
      <c r="F2874" s="77"/>
      <c r="G2874" s="77"/>
      <c r="H2874" s="77"/>
      <c r="I2874" s="77"/>
      <c r="J2874" s="77"/>
      <c r="K2874" s="79"/>
      <c r="L2874" s="49">
        <f t="shared" si="160"/>
        <v>0</v>
      </c>
      <c r="M2874" s="50">
        <f t="shared" si="161"/>
        <v>0</v>
      </c>
    </row>
    <row r="2875" spans="1:13" x14ac:dyDescent="0.2">
      <c r="A2875" s="18"/>
      <c r="B2875" s="77"/>
      <c r="C2875" s="77"/>
      <c r="D2875" s="78"/>
      <c r="E2875" s="77"/>
      <c r="F2875" s="77"/>
      <c r="G2875" s="77"/>
      <c r="H2875" s="77"/>
      <c r="I2875" s="77"/>
      <c r="J2875" s="77"/>
      <c r="K2875" s="79"/>
      <c r="L2875" s="49">
        <f t="shared" si="160"/>
        <v>0</v>
      </c>
      <c r="M2875" s="50">
        <f t="shared" si="161"/>
        <v>0</v>
      </c>
    </row>
    <row r="2876" spans="1:13" x14ac:dyDescent="0.2">
      <c r="A2876" s="18"/>
      <c r="B2876" s="77"/>
      <c r="C2876" s="77"/>
      <c r="D2876" s="78"/>
      <c r="E2876" s="77"/>
      <c r="F2876" s="77"/>
      <c r="G2876" s="77"/>
      <c r="H2876" s="77"/>
      <c r="I2876" s="77"/>
      <c r="J2876" s="77"/>
      <c r="K2876" s="79"/>
      <c r="L2876" s="49">
        <f t="shared" si="160"/>
        <v>0</v>
      </c>
      <c r="M2876" s="50">
        <f t="shared" si="161"/>
        <v>0</v>
      </c>
    </row>
    <row r="2877" spans="1:13" x14ac:dyDescent="0.2">
      <c r="A2877" s="18"/>
      <c r="B2877" s="77"/>
      <c r="C2877" s="77"/>
      <c r="D2877" s="78"/>
      <c r="E2877" s="77"/>
      <c r="F2877" s="77"/>
      <c r="G2877" s="77"/>
      <c r="H2877" s="77"/>
      <c r="I2877" s="77"/>
      <c r="J2877" s="77"/>
      <c r="K2877" s="79"/>
      <c r="L2877" s="49">
        <f t="shared" si="160"/>
        <v>0</v>
      </c>
      <c r="M2877" s="50">
        <f t="shared" si="161"/>
        <v>0</v>
      </c>
    </row>
    <row r="2878" spans="1:13" x14ac:dyDescent="0.2">
      <c r="A2878" s="18"/>
      <c r="B2878" s="77"/>
      <c r="C2878" s="77"/>
      <c r="D2878" s="78"/>
      <c r="E2878" s="77"/>
      <c r="F2878" s="77"/>
      <c r="G2878" s="77"/>
      <c r="H2878" s="77"/>
      <c r="I2878" s="77"/>
      <c r="J2878" s="77"/>
      <c r="K2878" s="79"/>
      <c r="L2878" s="49">
        <f t="shared" si="160"/>
        <v>0</v>
      </c>
      <c r="M2878" s="50">
        <f t="shared" si="161"/>
        <v>0</v>
      </c>
    </row>
    <row r="2879" spans="1:13" x14ac:dyDescent="0.2">
      <c r="A2879" s="18"/>
      <c r="B2879" s="77"/>
      <c r="C2879" s="77"/>
      <c r="D2879" s="78"/>
      <c r="E2879" s="77"/>
      <c r="F2879" s="77"/>
      <c r="G2879" s="77"/>
      <c r="H2879" s="77"/>
      <c r="I2879" s="77"/>
      <c r="J2879" s="77"/>
      <c r="K2879" s="79"/>
      <c r="L2879" s="49">
        <f t="shared" si="160"/>
        <v>0</v>
      </c>
      <c r="M2879" s="50">
        <f t="shared" si="161"/>
        <v>0</v>
      </c>
    </row>
    <row r="2880" spans="1:13" x14ac:dyDescent="0.2">
      <c r="A2880" s="18"/>
      <c r="B2880" s="77"/>
      <c r="C2880" s="77"/>
      <c r="D2880" s="78"/>
      <c r="E2880" s="77"/>
      <c r="F2880" s="77"/>
      <c r="G2880" s="77"/>
      <c r="H2880" s="77"/>
      <c r="I2880" s="77"/>
      <c r="J2880" s="77"/>
      <c r="K2880" s="79"/>
      <c r="L2880" s="49">
        <f t="shared" si="160"/>
        <v>0</v>
      </c>
      <c r="M2880" s="50">
        <f t="shared" si="161"/>
        <v>0</v>
      </c>
    </row>
    <row r="2881" spans="1:13" x14ac:dyDescent="0.2">
      <c r="A2881" s="18"/>
      <c r="B2881" s="77"/>
      <c r="C2881" s="77"/>
      <c r="D2881" s="78"/>
      <c r="E2881" s="77"/>
      <c r="F2881" s="77"/>
      <c r="G2881" s="77"/>
      <c r="H2881" s="77"/>
      <c r="I2881" s="77"/>
      <c r="J2881" s="77"/>
      <c r="K2881" s="79"/>
      <c r="L2881" s="49">
        <f t="shared" si="160"/>
        <v>0</v>
      </c>
      <c r="M2881" s="50">
        <f t="shared" si="161"/>
        <v>0</v>
      </c>
    </row>
    <row r="2882" spans="1:13" x14ac:dyDescent="0.2">
      <c r="A2882" s="18"/>
      <c r="B2882" s="77"/>
      <c r="C2882" s="77"/>
      <c r="D2882" s="78"/>
      <c r="E2882" s="77"/>
      <c r="F2882" s="77"/>
      <c r="G2882" s="77"/>
      <c r="H2882" s="77"/>
      <c r="I2882" s="77"/>
      <c r="J2882" s="77"/>
      <c r="K2882" s="79"/>
      <c r="L2882" s="49">
        <f t="shared" si="160"/>
        <v>0</v>
      </c>
      <c r="M2882" s="50">
        <f t="shared" si="161"/>
        <v>0</v>
      </c>
    </row>
    <row r="2883" spans="1:13" x14ac:dyDescent="0.2">
      <c r="A2883" s="18"/>
      <c r="B2883" s="77"/>
      <c r="C2883" s="77"/>
      <c r="D2883" s="78"/>
      <c r="E2883" s="77"/>
      <c r="F2883" s="77"/>
      <c r="G2883" s="77"/>
      <c r="H2883" s="77"/>
      <c r="I2883" s="77"/>
      <c r="J2883" s="77"/>
      <c r="K2883" s="79"/>
      <c r="L2883" s="49">
        <f t="shared" si="160"/>
        <v>0</v>
      </c>
      <c r="M2883" s="50">
        <f t="shared" si="161"/>
        <v>0</v>
      </c>
    </row>
    <row r="2884" spans="1:13" x14ac:dyDescent="0.2">
      <c r="A2884" s="18"/>
      <c r="B2884" s="77"/>
      <c r="C2884" s="77"/>
      <c r="D2884" s="78"/>
      <c r="E2884" s="77"/>
      <c r="F2884" s="77"/>
      <c r="G2884" s="77"/>
      <c r="H2884" s="77"/>
      <c r="I2884" s="77"/>
      <c r="J2884" s="77"/>
      <c r="K2884" s="79"/>
      <c r="L2884" s="49">
        <f t="shared" si="160"/>
        <v>0</v>
      </c>
      <c r="M2884" s="50">
        <f t="shared" si="161"/>
        <v>0</v>
      </c>
    </row>
    <row r="2885" spans="1:13" x14ac:dyDescent="0.2">
      <c r="A2885" s="18"/>
      <c r="B2885" s="77"/>
      <c r="C2885" s="77"/>
      <c r="D2885" s="78"/>
      <c r="E2885" s="77"/>
      <c r="F2885" s="77"/>
      <c r="G2885" s="77"/>
      <c r="H2885" s="77"/>
      <c r="I2885" s="77"/>
      <c r="J2885" s="77"/>
      <c r="K2885" s="79"/>
      <c r="L2885" s="49">
        <f t="shared" si="160"/>
        <v>0</v>
      </c>
      <c r="M2885" s="50">
        <f t="shared" si="161"/>
        <v>0</v>
      </c>
    </row>
    <row r="2886" spans="1:13" x14ac:dyDescent="0.2">
      <c r="A2886" s="18"/>
      <c r="B2886" s="77"/>
      <c r="C2886" s="77"/>
      <c r="D2886" s="78"/>
      <c r="E2886" s="77"/>
      <c r="F2886" s="77"/>
      <c r="G2886" s="77"/>
      <c r="H2886" s="77"/>
      <c r="I2886" s="77"/>
      <c r="J2886" s="77"/>
      <c r="K2886" s="79"/>
      <c r="L2886" s="49">
        <f t="shared" si="160"/>
        <v>0</v>
      </c>
      <c r="M2886" s="50">
        <f t="shared" si="161"/>
        <v>0</v>
      </c>
    </row>
    <row r="2887" spans="1:13" x14ac:dyDescent="0.2">
      <c r="A2887" s="18"/>
      <c r="B2887" s="77"/>
      <c r="C2887" s="77"/>
      <c r="D2887" s="78"/>
      <c r="E2887" s="77"/>
      <c r="F2887" s="77"/>
      <c r="G2887" s="77"/>
      <c r="H2887" s="77"/>
      <c r="I2887" s="77"/>
      <c r="J2887" s="77"/>
      <c r="K2887" s="79"/>
      <c r="L2887" s="49">
        <f t="shared" si="160"/>
        <v>0</v>
      </c>
      <c r="M2887" s="50">
        <f t="shared" si="161"/>
        <v>0</v>
      </c>
    </row>
    <row r="2888" spans="1:13" x14ac:dyDescent="0.2">
      <c r="A2888" s="18"/>
      <c r="B2888" s="77"/>
      <c r="C2888" s="77"/>
      <c r="D2888" s="78"/>
      <c r="E2888" s="77"/>
      <c r="F2888" s="77"/>
      <c r="G2888" s="77"/>
      <c r="H2888" s="77"/>
      <c r="I2888" s="77"/>
      <c r="J2888" s="77"/>
      <c r="K2888" s="79"/>
      <c r="L2888" s="49">
        <f t="shared" si="160"/>
        <v>0</v>
      </c>
      <c r="M2888" s="50">
        <f t="shared" si="161"/>
        <v>0</v>
      </c>
    </row>
    <row r="2889" spans="1:13" x14ac:dyDescent="0.2">
      <c r="A2889" s="18"/>
      <c r="B2889" s="77"/>
      <c r="C2889" s="77"/>
      <c r="D2889" s="78"/>
      <c r="E2889" s="77"/>
      <c r="F2889" s="77"/>
      <c r="G2889" s="77"/>
      <c r="H2889" s="77"/>
      <c r="I2889" s="77"/>
      <c r="J2889" s="77"/>
      <c r="K2889" s="79"/>
      <c r="L2889" s="49">
        <f t="shared" si="160"/>
        <v>0</v>
      </c>
      <c r="M2889" s="50">
        <f t="shared" si="161"/>
        <v>0</v>
      </c>
    </row>
    <row r="2890" spans="1:13" x14ac:dyDescent="0.2">
      <c r="A2890" s="18"/>
      <c r="B2890" s="77"/>
      <c r="C2890" s="77"/>
      <c r="D2890" s="78"/>
      <c r="E2890" s="77"/>
      <c r="F2890" s="77"/>
      <c r="G2890" s="77"/>
      <c r="H2890" s="77"/>
      <c r="I2890" s="77"/>
      <c r="J2890" s="77"/>
      <c r="K2890" s="79"/>
      <c r="L2890" s="49">
        <f t="shared" si="160"/>
        <v>0</v>
      </c>
      <c r="M2890" s="50">
        <f t="shared" si="161"/>
        <v>0</v>
      </c>
    </row>
    <row r="2891" spans="1:13" x14ac:dyDescent="0.2">
      <c r="A2891" s="18"/>
      <c r="B2891" s="77"/>
      <c r="C2891" s="77"/>
      <c r="D2891" s="78"/>
      <c r="E2891" s="77"/>
      <c r="F2891" s="77"/>
      <c r="G2891" s="77"/>
      <c r="H2891" s="77"/>
      <c r="I2891" s="77"/>
      <c r="J2891" s="77"/>
      <c r="K2891" s="79"/>
      <c r="L2891" s="49">
        <f t="shared" si="160"/>
        <v>0</v>
      </c>
      <c r="M2891" s="50">
        <f t="shared" si="161"/>
        <v>0</v>
      </c>
    </row>
    <row r="2892" spans="1:13" x14ac:dyDescent="0.2">
      <c r="A2892" s="18"/>
      <c r="B2892" s="77"/>
      <c r="C2892" s="77"/>
      <c r="D2892" s="78"/>
      <c r="E2892" s="77"/>
      <c r="F2892" s="77"/>
      <c r="G2892" s="77"/>
      <c r="H2892" s="77"/>
      <c r="I2892" s="77"/>
      <c r="J2892" s="77"/>
      <c r="K2892" s="79"/>
      <c r="L2892" s="49">
        <f t="shared" si="160"/>
        <v>0</v>
      </c>
      <c r="M2892" s="50">
        <f t="shared" si="161"/>
        <v>0</v>
      </c>
    </row>
    <row r="2893" spans="1:13" x14ac:dyDescent="0.2">
      <c r="A2893" s="18"/>
      <c r="B2893" s="77"/>
      <c r="C2893" s="77"/>
      <c r="D2893" s="78"/>
      <c r="E2893" s="77"/>
      <c r="F2893" s="77"/>
      <c r="G2893" s="77"/>
      <c r="H2893" s="77"/>
      <c r="I2893" s="77"/>
      <c r="J2893" s="77"/>
      <c r="K2893" s="79"/>
      <c r="L2893" s="49">
        <f t="shared" si="160"/>
        <v>0</v>
      </c>
      <c r="M2893" s="50">
        <f t="shared" si="161"/>
        <v>0</v>
      </c>
    </row>
    <row r="2894" spans="1:13" x14ac:dyDescent="0.2">
      <c r="A2894" s="18"/>
      <c r="B2894" s="77"/>
      <c r="C2894" s="77"/>
      <c r="D2894" s="78"/>
      <c r="E2894" s="77"/>
      <c r="F2894" s="77"/>
      <c r="G2894" s="77"/>
      <c r="H2894" s="77"/>
      <c r="I2894" s="77"/>
      <c r="J2894" s="77"/>
      <c r="K2894" s="79"/>
      <c r="L2894" s="49">
        <f t="shared" si="160"/>
        <v>0</v>
      </c>
      <c r="M2894" s="50">
        <f t="shared" si="161"/>
        <v>0</v>
      </c>
    </row>
    <row r="2895" spans="1:13" x14ac:dyDescent="0.2">
      <c r="A2895" s="18"/>
      <c r="B2895" s="77"/>
      <c r="C2895" s="77"/>
      <c r="D2895" s="78"/>
      <c r="E2895" s="77"/>
      <c r="F2895" s="77"/>
      <c r="G2895" s="77"/>
      <c r="H2895" s="77"/>
      <c r="I2895" s="77"/>
      <c r="J2895" s="77"/>
      <c r="K2895" s="79"/>
      <c r="L2895" s="49">
        <f t="shared" si="160"/>
        <v>0</v>
      </c>
      <c r="M2895" s="50">
        <f t="shared" si="161"/>
        <v>0</v>
      </c>
    </row>
    <row r="2896" spans="1:13" x14ac:dyDescent="0.2">
      <c r="A2896" s="18"/>
      <c r="B2896" s="77"/>
      <c r="C2896" s="77"/>
      <c r="D2896" s="78"/>
      <c r="E2896" s="77"/>
      <c r="F2896" s="77"/>
      <c r="G2896" s="77"/>
      <c r="H2896" s="77"/>
      <c r="I2896" s="77"/>
      <c r="J2896" s="77"/>
      <c r="K2896" s="79"/>
      <c r="L2896" s="49">
        <f t="shared" si="160"/>
        <v>0</v>
      </c>
      <c r="M2896" s="50">
        <f t="shared" si="161"/>
        <v>0</v>
      </c>
    </row>
    <row r="2897" spans="1:13" x14ac:dyDescent="0.2">
      <c r="A2897" s="18"/>
      <c r="B2897" s="77"/>
      <c r="C2897" s="77"/>
      <c r="D2897" s="78"/>
      <c r="E2897" s="77"/>
      <c r="F2897" s="77"/>
      <c r="G2897" s="77"/>
      <c r="H2897" s="77"/>
      <c r="I2897" s="77"/>
      <c r="J2897" s="77"/>
      <c r="K2897" s="79"/>
      <c r="L2897" s="49">
        <f t="shared" si="160"/>
        <v>0</v>
      </c>
      <c r="M2897" s="50">
        <f t="shared" si="161"/>
        <v>0</v>
      </c>
    </row>
    <row r="2898" spans="1:13" x14ac:dyDescent="0.2">
      <c r="A2898" s="18"/>
      <c r="B2898" s="77"/>
      <c r="C2898" s="77"/>
      <c r="D2898" s="78"/>
      <c r="E2898" s="77"/>
      <c r="F2898" s="77"/>
      <c r="G2898" s="77"/>
      <c r="H2898" s="77"/>
      <c r="I2898" s="77"/>
      <c r="J2898" s="77"/>
      <c r="K2898" s="79"/>
      <c r="L2898" s="49">
        <f t="shared" si="160"/>
        <v>0</v>
      </c>
      <c r="M2898" s="50">
        <f t="shared" si="161"/>
        <v>0</v>
      </c>
    </row>
    <row r="2899" spans="1:13" x14ac:dyDescent="0.2">
      <c r="A2899" s="18"/>
      <c r="B2899" s="77"/>
      <c r="C2899" s="77"/>
      <c r="D2899" s="78"/>
      <c r="E2899" s="77"/>
      <c r="F2899" s="77"/>
      <c r="G2899" s="77"/>
      <c r="H2899" s="77"/>
      <c r="I2899" s="77"/>
      <c r="J2899" s="77"/>
      <c r="K2899" s="79"/>
      <c r="L2899" s="49">
        <f t="shared" si="160"/>
        <v>0</v>
      </c>
      <c r="M2899" s="50">
        <f t="shared" si="161"/>
        <v>0</v>
      </c>
    </row>
    <row r="2900" spans="1:13" x14ac:dyDescent="0.2">
      <c r="A2900" s="18"/>
      <c r="B2900" s="77"/>
      <c r="C2900" s="77"/>
      <c r="D2900" s="78"/>
      <c r="E2900" s="77"/>
      <c r="F2900" s="77"/>
      <c r="G2900" s="77"/>
      <c r="H2900" s="77"/>
      <c r="I2900" s="77"/>
      <c r="J2900" s="77"/>
      <c r="K2900" s="79"/>
      <c r="L2900" s="49">
        <f t="shared" si="160"/>
        <v>0</v>
      </c>
      <c r="M2900" s="50">
        <f t="shared" si="161"/>
        <v>0</v>
      </c>
    </row>
    <row r="2901" spans="1:13" x14ac:dyDescent="0.2">
      <c r="A2901" s="18"/>
      <c r="B2901" s="77"/>
      <c r="C2901" s="77"/>
      <c r="D2901" s="78"/>
      <c r="E2901" s="77"/>
      <c r="F2901" s="77"/>
      <c r="G2901" s="77"/>
      <c r="H2901" s="77"/>
      <c r="I2901" s="77"/>
      <c r="J2901" s="77"/>
      <c r="K2901" s="79"/>
      <c r="L2901" s="49">
        <f t="shared" ref="L2901:L2964" si="162">+K2901*18%</f>
        <v>0</v>
      </c>
      <c r="M2901" s="50">
        <f t="shared" ref="M2901:M2964" si="163">+K2901+L2901</f>
        <v>0</v>
      </c>
    </row>
    <row r="2902" spans="1:13" x14ac:dyDescent="0.2">
      <c r="A2902" s="18"/>
      <c r="B2902" s="77"/>
      <c r="C2902" s="77"/>
      <c r="D2902" s="78"/>
      <c r="E2902" s="77"/>
      <c r="F2902" s="77"/>
      <c r="G2902" s="77"/>
      <c r="H2902" s="77"/>
      <c r="I2902" s="77"/>
      <c r="J2902" s="77"/>
      <c r="K2902" s="79"/>
      <c r="L2902" s="49">
        <f t="shared" si="162"/>
        <v>0</v>
      </c>
      <c r="M2902" s="50">
        <f t="shared" si="163"/>
        <v>0</v>
      </c>
    </row>
    <row r="2903" spans="1:13" x14ac:dyDescent="0.2">
      <c r="A2903" s="18"/>
      <c r="B2903" s="77"/>
      <c r="C2903" s="77"/>
      <c r="D2903" s="78"/>
      <c r="E2903" s="77"/>
      <c r="F2903" s="77"/>
      <c r="G2903" s="77"/>
      <c r="H2903" s="77"/>
      <c r="I2903" s="77"/>
      <c r="J2903" s="77"/>
      <c r="K2903" s="79"/>
      <c r="L2903" s="49">
        <f t="shared" si="162"/>
        <v>0</v>
      </c>
      <c r="M2903" s="50">
        <f t="shared" si="163"/>
        <v>0</v>
      </c>
    </row>
    <row r="2904" spans="1:13" x14ac:dyDescent="0.2">
      <c r="A2904" s="18"/>
      <c r="B2904" s="77"/>
      <c r="C2904" s="77"/>
      <c r="D2904" s="78"/>
      <c r="E2904" s="77"/>
      <c r="F2904" s="77"/>
      <c r="G2904" s="77"/>
      <c r="H2904" s="77"/>
      <c r="I2904" s="77"/>
      <c r="J2904" s="77"/>
      <c r="K2904" s="79"/>
      <c r="L2904" s="49">
        <f t="shared" si="162"/>
        <v>0</v>
      </c>
      <c r="M2904" s="50">
        <f t="shared" si="163"/>
        <v>0</v>
      </c>
    </row>
    <row r="2905" spans="1:13" x14ac:dyDescent="0.2">
      <c r="A2905" s="18"/>
      <c r="B2905" s="77"/>
      <c r="C2905" s="77"/>
      <c r="D2905" s="78"/>
      <c r="E2905" s="77"/>
      <c r="F2905" s="77"/>
      <c r="G2905" s="77"/>
      <c r="H2905" s="77"/>
      <c r="I2905" s="77"/>
      <c r="J2905" s="77"/>
      <c r="K2905" s="79"/>
      <c r="L2905" s="49">
        <f t="shared" si="162"/>
        <v>0</v>
      </c>
      <c r="M2905" s="50">
        <f t="shared" si="163"/>
        <v>0</v>
      </c>
    </row>
    <row r="2906" spans="1:13" x14ac:dyDescent="0.2">
      <c r="A2906" s="18"/>
      <c r="B2906" s="77"/>
      <c r="C2906" s="77"/>
      <c r="D2906" s="78"/>
      <c r="E2906" s="77"/>
      <c r="F2906" s="77"/>
      <c r="G2906" s="77"/>
      <c r="H2906" s="77"/>
      <c r="I2906" s="77"/>
      <c r="J2906" s="77"/>
      <c r="K2906" s="79"/>
      <c r="L2906" s="49">
        <f t="shared" si="162"/>
        <v>0</v>
      </c>
      <c r="M2906" s="50">
        <f t="shared" si="163"/>
        <v>0</v>
      </c>
    </row>
    <row r="2907" spans="1:13" x14ac:dyDescent="0.2">
      <c r="A2907" s="18"/>
      <c r="B2907" s="77"/>
      <c r="C2907" s="77"/>
      <c r="D2907" s="78"/>
      <c r="E2907" s="77"/>
      <c r="F2907" s="77"/>
      <c r="G2907" s="77"/>
      <c r="H2907" s="77"/>
      <c r="I2907" s="77"/>
      <c r="J2907" s="77"/>
      <c r="K2907" s="79"/>
      <c r="L2907" s="49">
        <f t="shared" si="162"/>
        <v>0</v>
      </c>
      <c r="M2907" s="50">
        <f t="shared" si="163"/>
        <v>0</v>
      </c>
    </row>
    <row r="2908" spans="1:13" x14ac:dyDescent="0.2">
      <c r="A2908" s="18"/>
      <c r="B2908" s="77"/>
      <c r="C2908" s="77"/>
      <c r="D2908" s="78"/>
      <c r="E2908" s="77"/>
      <c r="F2908" s="77"/>
      <c r="G2908" s="77"/>
      <c r="H2908" s="77"/>
      <c r="I2908" s="77"/>
      <c r="J2908" s="77"/>
      <c r="K2908" s="79"/>
      <c r="L2908" s="49">
        <f t="shared" si="162"/>
        <v>0</v>
      </c>
      <c r="M2908" s="50">
        <f t="shared" si="163"/>
        <v>0</v>
      </c>
    </row>
    <row r="2909" spans="1:13" x14ac:dyDescent="0.2">
      <c r="A2909" s="18"/>
      <c r="B2909" s="77"/>
      <c r="C2909" s="77"/>
      <c r="D2909" s="78"/>
      <c r="E2909" s="77"/>
      <c r="F2909" s="77"/>
      <c r="G2909" s="77"/>
      <c r="H2909" s="77"/>
      <c r="I2909" s="77"/>
      <c r="J2909" s="77"/>
      <c r="K2909" s="79"/>
      <c r="L2909" s="49">
        <f t="shared" si="162"/>
        <v>0</v>
      </c>
      <c r="M2909" s="50">
        <f t="shared" si="163"/>
        <v>0</v>
      </c>
    </row>
    <row r="2910" spans="1:13" x14ac:dyDescent="0.2">
      <c r="A2910" s="18"/>
      <c r="B2910" s="77"/>
      <c r="C2910" s="77"/>
      <c r="D2910" s="78"/>
      <c r="E2910" s="77"/>
      <c r="F2910" s="77"/>
      <c r="G2910" s="77"/>
      <c r="H2910" s="77"/>
      <c r="I2910" s="77"/>
      <c r="J2910" s="77"/>
      <c r="K2910" s="79"/>
      <c r="L2910" s="49">
        <f t="shared" si="162"/>
        <v>0</v>
      </c>
      <c r="M2910" s="50">
        <f t="shared" si="163"/>
        <v>0</v>
      </c>
    </row>
    <row r="2911" spans="1:13" x14ac:dyDescent="0.2">
      <c r="A2911" s="18"/>
      <c r="B2911" s="77"/>
      <c r="C2911" s="77"/>
      <c r="D2911" s="78"/>
      <c r="E2911" s="77"/>
      <c r="F2911" s="77"/>
      <c r="G2911" s="77"/>
      <c r="H2911" s="77"/>
      <c r="I2911" s="77"/>
      <c r="J2911" s="77"/>
      <c r="K2911" s="79"/>
      <c r="L2911" s="49">
        <f t="shared" si="162"/>
        <v>0</v>
      </c>
      <c r="M2911" s="50">
        <f t="shared" si="163"/>
        <v>0</v>
      </c>
    </row>
    <row r="2912" spans="1:13" x14ac:dyDescent="0.2">
      <c r="A2912" s="18"/>
      <c r="B2912" s="77"/>
      <c r="C2912" s="77"/>
      <c r="D2912" s="78"/>
      <c r="E2912" s="77"/>
      <c r="F2912" s="77"/>
      <c r="G2912" s="77"/>
      <c r="H2912" s="77"/>
      <c r="I2912" s="77"/>
      <c r="J2912" s="77"/>
      <c r="K2912" s="79"/>
      <c r="L2912" s="49">
        <f t="shared" si="162"/>
        <v>0</v>
      </c>
      <c r="M2912" s="50">
        <f t="shared" si="163"/>
        <v>0</v>
      </c>
    </row>
    <row r="2913" spans="1:13" x14ac:dyDescent="0.2">
      <c r="A2913" s="18"/>
      <c r="B2913" s="77"/>
      <c r="C2913" s="77"/>
      <c r="D2913" s="78"/>
      <c r="E2913" s="77"/>
      <c r="F2913" s="77"/>
      <c r="G2913" s="77"/>
      <c r="H2913" s="77"/>
      <c r="I2913" s="77"/>
      <c r="J2913" s="77"/>
      <c r="K2913" s="79"/>
      <c r="L2913" s="49">
        <f t="shared" si="162"/>
        <v>0</v>
      </c>
      <c r="M2913" s="50">
        <f t="shared" si="163"/>
        <v>0</v>
      </c>
    </row>
    <row r="2914" spans="1:13" x14ac:dyDescent="0.2">
      <c r="A2914" s="18"/>
      <c r="B2914" s="77"/>
      <c r="C2914" s="77"/>
      <c r="D2914" s="78"/>
      <c r="E2914" s="77"/>
      <c r="F2914" s="77"/>
      <c r="G2914" s="77"/>
      <c r="H2914" s="77"/>
      <c r="I2914" s="77"/>
      <c r="J2914" s="77"/>
      <c r="K2914" s="79"/>
      <c r="L2914" s="49">
        <f t="shared" si="162"/>
        <v>0</v>
      </c>
      <c r="M2914" s="50">
        <f t="shared" si="163"/>
        <v>0</v>
      </c>
    </row>
    <row r="2915" spans="1:13" x14ac:dyDescent="0.2">
      <c r="A2915" s="18"/>
      <c r="B2915" s="77"/>
      <c r="C2915" s="77"/>
      <c r="D2915" s="78"/>
      <c r="E2915" s="77"/>
      <c r="F2915" s="77"/>
      <c r="G2915" s="77"/>
      <c r="H2915" s="77"/>
      <c r="I2915" s="77"/>
      <c r="J2915" s="77"/>
      <c r="K2915" s="79"/>
      <c r="L2915" s="49">
        <f t="shared" si="162"/>
        <v>0</v>
      </c>
      <c r="M2915" s="50">
        <f t="shared" si="163"/>
        <v>0</v>
      </c>
    </row>
    <row r="2916" spans="1:13" x14ac:dyDescent="0.2">
      <c r="A2916" s="18"/>
      <c r="B2916" s="77"/>
      <c r="C2916" s="77"/>
      <c r="D2916" s="78"/>
      <c r="E2916" s="77"/>
      <c r="F2916" s="77"/>
      <c r="G2916" s="77"/>
      <c r="H2916" s="77"/>
      <c r="I2916" s="77"/>
      <c r="J2916" s="77"/>
      <c r="K2916" s="79"/>
      <c r="L2916" s="49">
        <f t="shared" si="162"/>
        <v>0</v>
      </c>
      <c r="M2916" s="50">
        <f t="shared" si="163"/>
        <v>0</v>
      </c>
    </row>
    <row r="2917" spans="1:13" x14ac:dyDescent="0.2">
      <c r="A2917" s="18"/>
      <c r="B2917" s="77"/>
      <c r="C2917" s="77"/>
      <c r="D2917" s="78"/>
      <c r="E2917" s="77"/>
      <c r="F2917" s="77"/>
      <c r="G2917" s="77"/>
      <c r="H2917" s="77"/>
      <c r="I2917" s="77"/>
      <c r="J2917" s="77"/>
      <c r="K2917" s="79"/>
      <c r="L2917" s="49">
        <f t="shared" si="162"/>
        <v>0</v>
      </c>
      <c r="M2917" s="50">
        <f t="shared" si="163"/>
        <v>0</v>
      </c>
    </row>
    <row r="2918" spans="1:13" x14ac:dyDescent="0.2">
      <c r="A2918" s="18"/>
      <c r="B2918" s="77"/>
      <c r="C2918" s="77"/>
      <c r="D2918" s="78"/>
      <c r="E2918" s="77"/>
      <c r="F2918" s="77"/>
      <c r="G2918" s="77"/>
      <c r="H2918" s="77"/>
      <c r="I2918" s="77"/>
      <c r="J2918" s="77"/>
      <c r="K2918" s="79"/>
      <c r="L2918" s="49">
        <f t="shared" si="162"/>
        <v>0</v>
      </c>
      <c r="M2918" s="50">
        <f t="shared" si="163"/>
        <v>0</v>
      </c>
    </row>
    <row r="2919" spans="1:13" x14ac:dyDescent="0.2">
      <c r="A2919" s="18"/>
      <c r="B2919" s="77"/>
      <c r="C2919" s="77"/>
      <c r="D2919" s="78"/>
      <c r="E2919" s="77"/>
      <c r="F2919" s="77"/>
      <c r="G2919" s="77"/>
      <c r="H2919" s="77"/>
      <c r="I2919" s="77"/>
      <c r="J2919" s="77"/>
      <c r="K2919" s="79"/>
      <c r="L2919" s="49">
        <f t="shared" si="162"/>
        <v>0</v>
      </c>
      <c r="M2919" s="50">
        <f t="shared" si="163"/>
        <v>0</v>
      </c>
    </row>
    <row r="2920" spans="1:13" x14ac:dyDescent="0.2">
      <c r="A2920" s="18"/>
      <c r="B2920" s="77"/>
      <c r="C2920" s="77"/>
      <c r="D2920" s="78"/>
      <c r="E2920" s="77"/>
      <c r="F2920" s="77"/>
      <c r="G2920" s="77"/>
      <c r="H2920" s="77"/>
      <c r="I2920" s="77"/>
      <c r="J2920" s="77"/>
      <c r="K2920" s="79"/>
      <c r="L2920" s="49">
        <f t="shared" si="162"/>
        <v>0</v>
      </c>
      <c r="M2920" s="50">
        <f t="shared" si="163"/>
        <v>0</v>
      </c>
    </row>
    <row r="2921" spans="1:13" x14ac:dyDescent="0.2">
      <c r="A2921" s="18"/>
      <c r="B2921" s="77"/>
      <c r="C2921" s="77"/>
      <c r="D2921" s="78"/>
      <c r="E2921" s="77"/>
      <c r="F2921" s="77"/>
      <c r="G2921" s="77"/>
      <c r="H2921" s="77"/>
      <c r="I2921" s="77"/>
      <c r="J2921" s="77"/>
      <c r="K2921" s="79"/>
      <c r="L2921" s="49">
        <f t="shared" si="162"/>
        <v>0</v>
      </c>
      <c r="M2921" s="50">
        <f t="shared" si="163"/>
        <v>0</v>
      </c>
    </row>
    <row r="2922" spans="1:13" x14ac:dyDescent="0.2">
      <c r="A2922" s="18"/>
      <c r="B2922" s="77"/>
      <c r="C2922" s="77"/>
      <c r="D2922" s="78"/>
      <c r="E2922" s="77"/>
      <c r="F2922" s="77"/>
      <c r="G2922" s="77"/>
      <c r="H2922" s="77"/>
      <c r="I2922" s="77"/>
      <c r="J2922" s="77"/>
      <c r="K2922" s="79"/>
      <c r="L2922" s="49">
        <f t="shared" si="162"/>
        <v>0</v>
      </c>
      <c r="M2922" s="50">
        <f t="shared" si="163"/>
        <v>0</v>
      </c>
    </row>
    <row r="2923" spans="1:13" x14ac:dyDescent="0.2">
      <c r="A2923" s="18"/>
      <c r="B2923" s="77"/>
      <c r="C2923" s="77"/>
      <c r="D2923" s="78"/>
      <c r="E2923" s="77"/>
      <c r="F2923" s="77"/>
      <c r="G2923" s="77"/>
      <c r="H2923" s="77"/>
      <c r="I2923" s="77"/>
      <c r="J2923" s="77"/>
      <c r="K2923" s="79"/>
      <c r="L2923" s="49">
        <f t="shared" si="162"/>
        <v>0</v>
      </c>
      <c r="M2923" s="50">
        <f t="shared" si="163"/>
        <v>0</v>
      </c>
    </row>
    <row r="2924" spans="1:13" x14ac:dyDescent="0.2">
      <c r="A2924" s="18"/>
      <c r="B2924" s="77"/>
      <c r="C2924" s="77"/>
      <c r="D2924" s="78"/>
      <c r="E2924" s="77"/>
      <c r="F2924" s="77"/>
      <c r="G2924" s="77"/>
      <c r="H2924" s="77"/>
      <c r="I2924" s="77"/>
      <c r="J2924" s="77"/>
      <c r="K2924" s="79"/>
      <c r="L2924" s="49">
        <f t="shared" si="162"/>
        <v>0</v>
      </c>
      <c r="M2924" s="50">
        <f t="shared" si="163"/>
        <v>0</v>
      </c>
    </row>
    <row r="2925" spans="1:13" x14ac:dyDescent="0.2">
      <c r="A2925" s="18"/>
      <c r="B2925" s="77"/>
      <c r="C2925" s="77"/>
      <c r="D2925" s="78"/>
      <c r="E2925" s="77"/>
      <c r="F2925" s="77"/>
      <c r="G2925" s="77"/>
      <c r="H2925" s="77"/>
      <c r="I2925" s="77"/>
      <c r="J2925" s="77"/>
      <c r="K2925" s="79"/>
      <c r="L2925" s="49">
        <f t="shared" si="162"/>
        <v>0</v>
      </c>
      <c r="M2925" s="50">
        <f t="shared" si="163"/>
        <v>0</v>
      </c>
    </row>
    <row r="2926" spans="1:13" x14ac:dyDescent="0.2">
      <c r="A2926" s="18"/>
      <c r="B2926" s="77"/>
      <c r="C2926" s="77"/>
      <c r="D2926" s="78"/>
      <c r="E2926" s="77"/>
      <c r="F2926" s="77"/>
      <c r="G2926" s="77"/>
      <c r="H2926" s="77"/>
      <c r="I2926" s="77"/>
      <c r="J2926" s="77"/>
      <c r="K2926" s="79"/>
      <c r="L2926" s="49">
        <f t="shared" si="162"/>
        <v>0</v>
      </c>
      <c r="M2926" s="50">
        <f t="shared" si="163"/>
        <v>0</v>
      </c>
    </row>
    <row r="2927" spans="1:13" x14ac:dyDescent="0.2">
      <c r="A2927" s="18"/>
      <c r="B2927" s="77"/>
      <c r="C2927" s="77"/>
      <c r="D2927" s="78"/>
      <c r="E2927" s="77"/>
      <c r="F2927" s="77"/>
      <c r="G2927" s="77"/>
      <c r="H2927" s="77"/>
      <c r="I2927" s="77"/>
      <c r="J2927" s="77"/>
      <c r="K2927" s="79"/>
      <c r="L2927" s="49">
        <f t="shared" si="162"/>
        <v>0</v>
      </c>
      <c r="M2927" s="50">
        <f t="shared" si="163"/>
        <v>0</v>
      </c>
    </row>
    <row r="2928" spans="1:13" x14ac:dyDescent="0.2">
      <c r="A2928" s="18"/>
      <c r="B2928" s="77"/>
      <c r="C2928" s="77"/>
      <c r="D2928" s="78"/>
      <c r="E2928" s="77"/>
      <c r="F2928" s="77"/>
      <c r="G2928" s="77"/>
      <c r="H2928" s="77"/>
      <c r="I2928" s="77"/>
      <c r="J2928" s="77"/>
      <c r="K2928" s="79"/>
      <c r="L2928" s="49">
        <f t="shared" si="162"/>
        <v>0</v>
      </c>
      <c r="M2928" s="50">
        <f t="shared" si="163"/>
        <v>0</v>
      </c>
    </row>
    <row r="2929" spans="1:13" x14ac:dyDescent="0.2">
      <c r="A2929" s="18"/>
      <c r="B2929" s="77"/>
      <c r="C2929" s="77"/>
      <c r="D2929" s="78"/>
      <c r="E2929" s="77"/>
      <c r="F2929" s="77"/>
      <c r="G2929" s="77"/>
      <c r="H2929" s="77"/>
      <c r="I2929" s="77"/>
      <c r="J2929" s="77"/>
      <c r="K2929" s="79"/>
      <c r="L2929" s="49">
        <f t="shared" si="162"/>
        <v>0</v>
      </c>
      <c r="M2929" s="50">
        <f t="shared" si="163"/>
        <v>0</v>
      </c>
    </row>
    <row r="2930" spans="1:13" x14ac:dyDescent="0.2">
      <c r="A2930" s="18"/>
      <c r="B2930" s="77"/>
      <c r="C2930" s="77"/>
      <c r="D2930" s="78"/>
      <c r="E2930" s="77"/>
      <c r="F2930" s="77"/>
      <c r="G2930" s="77"/>
      <c r="H2930" s="77"/>
      <c r="I2930" s="77"/>
      <c r="J2930" s="77"/>
      <c r="K2930" s="79"/>
      <c r="L2930" s="49">
        <f t="shared" si="162"/>
        <v>0</v>
      </c>
      <c r="M2930" s="50">
        <f t="shared" si="163"/>
        <v>0</v>
      </c>
    </row>
    <row r="2931" spans="1:13" x14ac:dyDescent="0.2">
      <c r="A2931" s="18"/>
      <c r="B2931" s="77"/>
      <c r="C2931" s="77"/>
      <c r="D2931" s="78"/>
      <c r="E2931" s="77"/>
      <c r="F2931" s="77"/>
      <c r="G2931" s="77"/>
      <c r="H2931" s="77"/>
      <c r="I2931" s="77"/>
      <c r="J2931" s="77"/>
      <c r="K2931" s="79"/>
      <c r="L2931" s="49">
        <f t="shared" si="162"/>
        <v>0</v>
      </c>
      <c r="M2931" s="50">
        <f t="shared" si="163"/>
        <v>0</v>
      </c>
    </row>
    <row r="2932" spans="1:13" x14ac:dyDescent="0.2">
      <c r="A2932" s="18"/>
      <c r="B2932" s="77"/>
      <c r="C2932" s="77"/>
      <c r="D2932" s="78"/>
      <c r="E2932" s="77"/>
      <c r="F2932" s="77"/>
      <c r="G2932" s="77"/>
      <c r="H2932" s="77"/>
      <c r="I2932" s="77"/>
      <c r="J2932" s="77"/>
      <c r="K2932" s="79"/>
      <c r="L2932" s="49">
        <f t="shared" si="162"/>
        <v>0</v>
      </c>
      <c r="M2932" s="50">
        <f t="shared" si="163"/>
        <v>0</v>
      </c>
    </row>
    <row r="2933" spans="1:13" x14ac:dyDescent="0.2">
      <c r="A2933" s="18"/>
      <c r="B2933" s="77"/>
      <c r="C2933" s="77"/>
      <c r="D2933" s="78"/>
      <c r="E2933" s="77"/>
      <c r="F2933" s="77"/>
      <c r="G2933" s="77"/>
      <c r="H2933" s="77"/>
      <c r="I2933" s="77"/>
      <c r="J2933" s="77"/>
      <c r="K2933" s="79"/>
      <c r="L2933" s="49">
        <f t="shared" si="162"/>
        <v>0</v>
      </c>
      <c r="M2933" s="50">
        <f t="shared" si="163"/>
        <v>0</v>
      </c>
    </row>
    <row r="2934" spans="1:13" x14ac:dyDescent="0.2">
      <c r="A2934" s="18"/>
      <c r="B2934" s="77"/>
      <c r="C2934" s="77"/>
      <c r="D2934" s="78"/>
      <c r="E2934" s="77"/>
      <c r="F2934" s="77"/>
      <c r="G2934" s="77"/>
      <c r="H2934" s="77"/>
      <c r="I2934" s="77"/>
      <c r="J2934" s="77"/>
      <c r="K2934" s="79"/>
      <c r="L2934" s="49">
        <f t="shared" si="162"/>
        <v>0</v>
      </c>
      <c r="M2934" s="50">
        <f t="shared" si="163"/>
        <v>0</v>
      </c>
    </row>
    <row r="2935" spans="1:13" x14ac:dyDescent="0.2">
      <c r="A2935" s="18"/>
      <c r="B2935" s="77"/>
      <c r="C2935" s="77"/>
      <c r="D2935" s="78"/>
      <c r="E2935" s="77"/>
      <c r="F2935" s="77"/>
      <c r="G2935" s="77"/>
      <c r="H2935" s="77"/>
      <c r="I2935" s="77"/>
      <c r="J2935" s="77"/>
      <c r="K2935" s="79"/>
      <c r="L2935" s="49">
        <f t="shared" si="162"/>
        <v>0</v>
      </c>
      <c r="M2935" s="50">
        <f t="shared" si="163"/>
        <v>0</v>
      </c>
    </row>
    <row r="2936" spans="1:13" x14ac:dyDescent="0.2">
      <c r="A2936" s="18"/>
      <c r="B2936" s="77"/>
      <c r="C2936" s="77"/>
      <c r="D2936" s="78"/>
      <c r="E2936" s="77"/>
      <c r="F2936" s="77"/>
      <c r="G2936" s="77"/>
      <c r="H2936" s="77"/>
      <c r="I2936" s="77"/>
      <c r="J2936" s="77"/>
      <c r="K2936" s="79"/>
      <c r="L2936" s="49">
        <f t="shared" si="162"/>
        <v>0</v>
      </c>
      <c r="M2936" s="50">
        <f t="shared" si="163"/>
        <v>0</v>
      </c>
    </row>
    <row r="2937" spans="1:13" x14ac:dyDescent="0.2">
      <c r="A2937" s="18"/>
      <c r="B2937" s="77"/>
      <c r="C2937" s="77"/>
      <c r="D2937" s="78"/>
      <c r="E2937" s="77"/>
      <c r="F2937" s="77"/>
      <c r="G2937" s="77"/>
      <c r="H2937" s="77"/>
      <c r="I2937" s="77"/>
      <c r="J2937" s="77"/>
      <c r="K2937" s="79"/>
      <c r="L2937" s="49">
        <f t="shared" si="162"/>
        <v>0</v>
      </c>
      <c r="M2937" s="50">
        <f t="shared" si="163"/>
        <v>0</v>
      </c>
    </row>
    <row r="2938" spans="1:13" x14ac:dyDescent="0.2">
      <c r="A2938" s="18"/>
      <c r="B2938" s="77"/>
      <c r="C2938" s="77"/>
      <c r="D2938" s="78"/>
      <c r="E2938" s="77"/>
      <c r="F2938" s="77"/>
      <c r="G2938" s="77"/>
      <c r="H2938" s="77"/>
      <c r="I2938" s="77"/>
      <c r="J2938" s="77"/>
      <c r="K2938" s="79"/>
      <c r="L2938" s="49">
        <f t="shared" si="162"/>
        <v>0</v>
      </c>
      <c r="M2938" s="50">
        <f t="shared" si="163"/>
        <v>0</v>
      </c>
    </row>
    <row r="2939" spans="1:13" x14ac:dyDescent="0.2">
      <c r="A2939" s="18"/>
      <c r="B2939" s="77"/>
      <c r="C2939" s="77"/>
      <c r="D2939" s="78"/>
      <c r="E2939" s="77"/>
      <c r="F2939" s="77"/>
      <c r="G2939" s="77"/>
      <c r="H2939" s="77"/>
      <c r="I2939" s="77"/>
      <c r="J2939" s="77"/>
      <c r="K2939" s="79"/>
      <c r="L2939" s="49">
        <f t="shared" si="162"/>
        <v>0</v>
      </c>
      <c r="M2939" s="50">
        <f t="shared" si="163"/>
        <v>0</v>
      </c>
    </row>
    <row r="2940" spans="1:13" x14ac:dyDescent="0.2">
      <c r="A2940" s="18"/>
      <c r="B2940" s="77"/>
      <c r="C2940" s="77"/>
      <c r="D2940" s="78"/>
      <c r="E2940" s="77"/>
      <c r="F2940" s="77"/>
      <c r="G2940" s="77"/>
      <c r="H2940" s="77"/>
      <c r="I2940" s="77"/>
      <c r="J2940" s="77"/>
      <c r="K2940" s="79"/>
      <c r="L2940" s="49">
        <f t="shared" si="162"/>
        <v>0</v>
      </c>
      <c r="M2940" s="50">
        <f t="shared" si="163"/>
        <v>0</v>
      </c>
    </row>
    <row r="2941" spans="1:13" x14ac:dyDescent="0.2">
      <c r="A2941" s="18"/>
      <c r="B2941" s="77"/>
      <c r="C2941" s="77"/>
      <c r="D2941" s="78"/>
      <c r="E2941" s="77"/>
      <c r="F2941" s="77"/>
      <c r="G2941" s="77"/>
      <c r="H2941" s="77"/>
      <c r="I2941" s="77"/>
      <c r="J2941" s="77"/>
      <c r="K2941" s="79"/>
      <c r="L2941" s="49">
        <f t="shared" si="162"/>
        <v>0</v>
      </c>
      <c r="M2941" s="50">
        <f t="shared" si="163"/>
        <v>0</v>
      </c>
    </row>
    <row r="2942" spans="1:13" x14ac:dyDescent="0.2">
      <c r="A2942" s="18"/>
      <c r="B2942" s="77"/>
      <c r="C2942" s="77"/>
      <c r="D2942" s="78"/>
      <c r="E2942" s="77"/>
      <c r="F2942" s="77"/>
      <c r="G2942" s="77"/>
      <c r="H2942" s="77"/>
      <c r="I2942" s="77"/>
      <c r="J2942" s="77"/>
      <c r="K2942" s="79"/>
      <c r="L2942" s="49">
        <f t="shared" si="162"/>
        <v>0</v>
      </c>
      <c r="M2942" s="50">
        <f t="shared" si="163"/>
        <v>0</v>
      </c>
    </row>
    <row r="2943" spans="1:13" x14ac:dyDescent="0.2">
      <c r="A2943" s="18"/>
      <c r="B2943" s="77"/>
      <c r="C2943" s="77"/>
      <c r="D2943" s="78"/>
      <c r="E2943" s="77"/>
      <c r="F2943" s="77"/>
      <c r="G2943" s="77"/>
      <c r="H2943" s="77"/>
      <c r="I2943" s="77"/>
      <c r="J2943" s="77"/>
      <c r="K2943" s="79"/>
      <c r="L2943" s="49">
        <f t="shared" si="162"/>
        <v>0</v>
      </c>
      <c r="M2943" s="50">
        <f t="shared" si="163"/>
        <v>0</v>
      </c>
    </row>
    <row r="2944" spans="1:13" x14ac:dyDescent="0.2">
      <c r="A2944" s="18"/>
      <c r="B2944" s="77"/>
      <c r="C2944" s="77"/>
      <c r="D2944" s="78"/>
      <c r="E2944" s="77"/>
      <c r="F2944" s="77"/>
      <c r="G2944" s="77"/>
      <c r="H2944" s="77"/>
      <c r="I2944" s="77"/>
      <c r="J2944" s="77"/>
      <c r="K2944" s="79"/>
      <c r="L2944" s="49">
        <f t="shared" si="162"/>
        <v>0</v>
      </c>
      <c r="M2944" s="50">
        <f t="shared" si="163"/>
        <v>0</v>
      </c>
    </row>
    <row r="2945" spans="1:13" x14ac:dyDescent="0.2">
      <c r="A2945" s="18"/>
      <c r="B2945" s="77"/>
      <c r="C2945" s="77"/>
      <c r="D2945" s="78"/>
      <c r="E2945" s="77"/>
      <c r="F2945" s="77"/>
      <c r="G2945" s="77"/>
      <c r="H2945" s="77"/>
      <c r="I2945" s="77"/>
      <c r="J2945" s="77"/>
      <c r="K2945" s="79"/>
      <c r="L2945" s="49">
        <f t="shared" si="162"/>
        <v>0</v>
      </c>
      <c r="M2945" s="50">
        <f t="shared" si="163"/>
        <v>0</v>
      </c>
    </row>
    <row r="2946" spans="1:13" x14ac:dyDescent="0.2">
      <c r="A2946" s="18"/>
      <c r="B2946" s="77"/>
      <c r="C2946" s="77"/>
      <c r="D2946" s="78"/>
      <c r="E2946" s="77"/>
      <c r="F2946" s="77"/>
      <c r="G2946" s="77"/>
      <c r="H2946" s="77"/>
      <c r="I2946" s="77"/>
      <c r="J2946" s="77"/>
      <c r="K2946" s="79"/>
      <c r="L2946" s="49">
        <f t="shared" si="162"/>
        <v>0</v>
      </c>
      <c r="M2946" s="50">
        <f t="shared" si="163"/>
        <v>0</v>
      </c>
    </row>
    <row r="2947" spans="1:13" x14ac:dyDescent="0.2">
      <c r="A2947" s="18"/>
      <c r="B2947" s="77"/>
      <c r="C2947" s="77"/>
      <c r="D2947" s="78"/>
      <c r="E2947" s="77"/>
      <c r="F2947" s="77"/>
      <c r="G2947" s="77"/>
      <c r="H2947" s="77"/>
      <c r="I2947" s="77"/>
      <c r="J2947" s="77"/>
      <c r="K2947" s="79"/>
      <c r="L2947" s="49">
        <f t="shared" si="162"/>
        <v>0</v>
      </c>
      <c r="M2947" s="50">
        <f t="shared" si="163"/>
        <v>0</v>
      </c>
    </row>
    <row r="2948" spans="1:13" x14ac:dyDescent="0.2">
      <c r="A2948" s="18"/>
      <c r="B2948" s="77"/>
      <c r="C2948" s="77"/>
      <c r="D2948" s="78"/>
      <c r="E2948" s="77"/>
      <c r="F2948" s="77"/>
      <c r="G2948" s="77"/>
      <c r="H2948" s="77"/>
      <c r="I2948" s="77"/>
      <c r="J2948" s="77"/>
      <c r="K2948" s="79"/>
      <c r="L2948" s="49">
        <f t="shared" si="162"/>
        <v>0</v>
      </c>
      <c r="M2948" s="50">
        <f t="shared" si="163"/>
        <v>0</v>
      </c>
    </row>
    <row r="2949" spans="1:13" x14ac:dyDescent="0.2">
      <c r="A2949" s="18"/>
      <c r="B2949" s="77"/>
      <c r="C2949" s="77"/>
      <c r="D2949" s="78"/>
      <c r="E2949" s="77"/>
      <c r="F2949" s="77"/>
      <c r="G2949" s="77"/>
      <c r="H2949" s="77"/>
      <c r="I2949" s="77"/>
      <c r="J2949" s="77"/>
      <c r="K2949" s="79"/>
      <c r="L2949" s="49">
        <f t="shared" si="162"/>
        <v>0</v>
      </c>
      <c r="M2949" s="50">
        <f t="shared" si="163"/>
        <v>0</v>
      </c>
    </row>
    <row r="2950" spans="1:13" x14ac:dyDescent="0.2">
      <c r="A2950" s="18"/>
      <c r="B2950" s="77"/>
      <c r="C2950" s="77"/>
      <c r="D2950" s="78"/>
      <c r="E2950" s="77"/>
      <c r="F2950" s="77"/>
      <c r="G2950" s="77"/>
      <c r="H2950" s="77"/>
      <c r="I2950" s="77"/>
      <c r="J2950" s="77"/>
      <c r="K2950" s="79"/>
      <c r="L2950" s="49">
        <f t="shared" si="162"/>
        <v>0</v>
      </c>
      <c r="M2950" s="50">
        <f t="shared" si="163"/>
        <v>0</v>
      </c>
    </row>
    <row r="2951" spans="1:13" x14ac:dyDescent="0.2">
      <c r="A2951" s="18"/>
      <c r="B2951" s="77"/>
      <c r="C2951" s="77"/>
      <c r="D2951" s="78"/>
      <c r="E2951" s="77"/>
      <c r="F2951" s="77"/>
      <c r="G2951" s="77"/>
      <c r="H2951" s="77"/>
      <c r="I2951" s="77"/>
      <c r="J2951" s="77"/>
      <c r="K2951" s="79"/>
      <c r="L2951" s="49">
        <f t="shared" si="162"/>
        <v>0</v>
      </c>
      <c r="M2951" s="50">
        <f t="shared" si="163"/>
        <v>0</v>
      </c>
    </row>
    <row r="2952" spans="1:13" x14ac:dyDescent="0.2">
      <c r="A2952" s="18"/>
      <c r="B2952" s="77"/>
      <c r="C2952" s="77"/>
      <c r="D2952" s="78"/>
      <c r="E2952" s="77"/>
      <c r="F2952" s="77"/>
      <c r="G2952" s="77"/>
      <c r="H2952" s="77"/>
      <c r="I2952" s="77"/>
      <c r="J2952" s="77"/>
      <c r="K2952" s="79"/>
      <c r="L2952" s="49">
        <f t="shared" si="162"/>
        <v>0</v>
      </c>
      <c r="M2952" s="50">
        <f t="shared" si="163"/>
        <v>0</v>
      </c>
    </row>
    <row r="2953" spans="1:13" x14ac:dyDescent="0.2">
      <c r="A2953" s="18"/>
      <c r="B2953" s="77"/>
      <c r="C2953" s="77"/>
      <c r="D2953" s="78"/>
      <c r="E2953" s="77"/>
      <c r="F2953" s="77"/>
      <c r="G2953" s="77"/>
      <c r="H2953" s="77"/>
      <c r="I2953" s="77"/>
      <c r="J2953" s="77"/>
      <c r="K2953" s="79"/>
      <c r="L2953" s="49">
        <f t="shared" si="162"/>
        <v>0</v>
      </c>
      <c r="M2953" s="50">
        <f t="shared" si="163"/>
        <v>0</v>
      </c>
    </row>
    <row r="2954" spans="1:13" x14ac:dyDescent="0.2">
      <c r="A2954" s="18"/>
      <c r="B2954" s="77"/>
      <c r="C2954" s="77"/>
      <c r="D2954" s="78"/>
      <c r="E2954" s="77"/>
      <c r="F2954" s="77"/>
      <c r="G2954" s="77"/>
      <c r="H2954" s="77"/>
      <c r="I2954" s="77"/>
      <c r="J2954" s="77"/>
      <c r="K2954" s="79"/>
      <c r="L2954" s="49">
        <f t="shared" si="162"/>
        <v>0</v>
      </c>
      <c r="M2954" s="50">
        <f t="shared" si="163"/>
        <v>0</v>
      </c>
    </row>
    <row r="2955" spans="1:13" x14ac:dyDescent="0.2">
      <c r="A2955" s="18"/>
      <c r="B2955" s="77"/>
      <c r="C2955" s="77"/>
      <c r="D2955" s="78"/>
      <c r="E2955" s="77"/>
      <c r="F2955" s="77"/>
      <c r="G2955" s="77"/>
      <c r="H2955" s="77"/>
      <c r="I2955" s="77"/>
      <c r="J2955" s="77"/>
      <c r="K2955" s="79"/>
      <c r="L2955" s="49">
        <f t="shared" si="162"/>
        <v>0</v>
      </c>
      <c r="M2955" s="50">
        <f t="shared" si="163"/>
        <v>0</v>
      </c>
    </row>
    <row r="2956" spans="1:13" x14ac:dyDescent="0.2">
      <c r="A2956" s="18"/>
      <c r="B2956" s="77"/>
      <c r="C2956" s="77"/>
      <c r="D2956" s="78"/>
      <c r="E2956" s="77"/>
      <c r="F2956" s="77"/>
      <c r="G2956" s="77"/>
      <c r="H2956" s="77"/>
      <c r="I2956" s="77"/>
      <c r="J2956" s="77"/>
      <c r="K2956" s="79"/>
      <c r="L2956" s="49">
        <f t="shared" si="162"/>
        <v>0</v>
      </c>
      <c r="M2956" s="50">
        <f t="shared" si="163"/>
        <v>0</v>
      </c>
    </row>
    <row r="2957" spans="1:13" x14ac:dyDescent="0.2">
      <c r="A2957" s="18"/>
      <c r="B2957" s="77"/>
      <c r="C2957" s="77"/>
      <c r="D2957" s="78"/>
      <c r="E2957" s="77"/>
      <c r="F2957" s="77"/>
      <c r="G2957" s="77"/>
      <c r="H2957" s="77"/>
      <c r="I2957" s="77"/>
      <c r="J2957" s="77"/>
      <c r="K2957" s="79"/>
      <c r="L2957" s="49">
        <f t="shared" si="162"/>
        <v>0</v>
      </c>
      <c r="M2957" s="50">
        <f t="shared" si="163"/>
        <v>0</v>
      </c>
    </row>
    <row r="2958" spans="1:13" x14ac:dyDescent="0.2">
      <c r="A2958" s="18"/>
      <c r="B2958" s="77"/>
      <c r="C2958" s="77"/>
      <c r="D2958" s="78"/>
      <c r="E2958" s="77"/>
      <c r="F2958" s="77"/>
      <c r="G2958" s="77"/>
      <c r="H2958" s="77"/>
      <c r="I2958" s="77"/>
      <c r="J2958" s="77"/>
      <c r="K2958" s="79"/>
      <c r="L2958" s="49">
        <f t="shared" si="162"/>
        <v>0</v>
      </c>
      <c r="M2958" s="50">
        <f t="shared" si="163"/>
        <v>0</v>
      </c>
    </row>
    <row r="2959" spans="1:13" x14ac:dyDescent="0.2">
      <c r="A2959" s="18"/>
      <c r="B2959" s="77"/>
      <c r="C2959" s="77"/>
      <c r="D2959" s="78"/>
      <c r="E2959" s="77"/>
      <c r="F2959" s="77"/>
      <c r="G2959" s="77"/>
      <c r="H2959" s="77"/>
      <c r="I2959" s="77"/>
      <c r="J2959" s="77"/>
      <c r="K2959" s="79"/>
      <c r="L2959" s="49">
        <f t="shared" si="162"/>
        <v>0</v>
      </c>
      <c r="M2959" s="50">
        <f t="shared" si="163"/>
        <v>0</v>
      </c>
    </row>
    <row r="2960" spans="1:13" x14ac:dyDescent="0.2">
      <c r="A2960" s="18"/>
      <c r="B2960" s="77"/>
      <c r="C2960" s="77"/>
      <c r="D2960" s="78"/>
      <c r="E2960" s="77"/>
      <c r="F2960" s="77"/>
      <c r="G2960" s="77"/>
      <c r="H2960" s="77"/>
      <c r="I2960" s="77"/>
      <c r="J2960" s="77"/>
      <c r="K2960" s="79"/>
      <c r="L2960" s="49">
        <f t="shared" si="162"/>
        <v>0</v>
      </c>
      <c r="M2960" s="50">
        <f t="shared" si="163"/>
        <v>0</v>
      </c>
    </row>
    <row r="2961" spans="1:13" x14ac:dyDescent="0.2">
      <c r="A2961" s="18"/>
      <c r="B2961" s="77"/>
      <c r="C2961" s="77"/>
      <c r="D2961" s="78"/>
      <c r="E2961" s="77"/>
      <c r="F2961" s="77"/>
      <c r="G2961" s="77"/>
      <c r="H2961" s="77"/>
      <c r="I2961" s="77"/>
      <c r="J2961" s="77"/>
      <c r="K2961" s="79"/>
      <c r="L2961" s="49">
        <f t="shared" si="162"/>
        <v>0</v>
      </c>
      <c r="M2961" s="50">
        <f t="shared" si="163"/>
        <v>0</v>
      </c>
    </row>
    <row r="2962" spans="1:13" x14ac:dyDescent="0.2">
      <c r="A2962" s="18"/>
      <c r="B2962" s="77"/>
      <c r="C2962" s="77"/>
      <c r="D2962" s="78"/>
      <c r="E2962" s="77"/>
      <c r="F2962" s="77"/>
      <c r="G2962" s="77"/>
      <c r="H2962" s="77"/>
      <c r="I2962" s="77"/>
      <c r="J2962" s="77"/>
      <c r="K2962" s="79"/>
      <c r="L2962" s="49">
        <f t="shared" si="162"/>
        <v>0</v>
      </c>
      <c r="M2962" s="50">
        <f t="shared" si="163"/>
        <v>0</v>
      </c>
    </row>
    <row r="2963" spans="1:13" x14ac:dyDescent="0.2">
      <c r="A2963" s="18"/>
      <c r="B2963" s="77"/>
      <c r="C2963" s="77"/>
      <c r="D2963" s="78"/>
      <c r="E2963" s="77"/>
      <c r="F2963" s="77"/>
      <c r="G2963" s="77"/>
      <c r="H2963" s="77"/>
      <c r="I2963" s="77"/>
      <c r="J2963" s="77"/>
      <c r="K2963" s="79"/>
      <c r="L2963" s="49">
        <f t="shared" si="162"/>
        <v>0</v>
      </c>
      <c r="M2963" s="50">
        <f t="shared" si="163"/>
        <v>0</v>
      </c>
    </row>
    <row r="2964" spans="1:13" x14ac:dyDescent="0.2">
      <c r="A2964" s="18"/>
      <c r="B2964" s="77"/>
      <c r="C2964" s="77"/>
      <c r="D2964" s="78"/>
      <c r="E2964" s="77"/>
      <c r="F2964" s="77"/>
      <c r="G2964" s="77"/>
      <c r="H2964" s="77"/>
      <c r="I2964" s="77"/>
      <c r="J2964" s="77"/>
      <c r="K2964" s="79"/>
      <c r="L2964" s="49">
        <f t="shared" si="162"/>
        <v>0</v>
      </c>
      <c r="M2964" s="50">
        <f t="shared" si="163"/>
        <v>0</v>
      </c>
    </row>
    <row r="2965" spans="1:13" x14ac:dyDescent="0.2">
      <c r="A2965" s="18"/>
      <c r="B2965" s="77"/>
      <c r="C2965" s="77"/>
      <c r="D2965" s="78"/>
      <c r="E2965" s="77"/>
      <c r="F2965" s="77"/>
      <c r="G2965" s="77"/>
      <c r="H2965" s="77"/>
      <c r="I2965" s="77"/>
      <c r="J2965" s="77"/>
      <c r="K2965" s="79"/>
      <c r="L2965" s="49">
        <f t="shared" ref="L2965:L2974" si="164">+K2965*18%</f>
        <v>0</v>
      </c>
      <c r="M2965" s="50">
        <f t="shared" ref="M2965:M2974" si="165">+K2965+L2965</f>
        <v>0</v>
      </c>
    </row>
    <row r="2966" spans="1:13" x14ac:dyDescent="0.2">
      <c r="A2966" s="18"/>
      <c r="B2966" s="77"/>
      <c r="C2966" s="77"/>
      <c r="D2966" s="78"/>
      <c r="E2966" s="77"/>
      <c r="F2966" s="77"/>
      <c r="G2966" s="77"/>
      <c r="H2966" s="77"/>
      <c r="I2966" s="77"/>
      <c r="J2966" s="77"/>
      <c r="K2966" s="79"/>
      <c r="L2966" s="49">
        <f t="shared" si="164"/>
        <v>0</v>
      </c>
      <c r="M2966" s="50">
        <f t="shared" si="165"/>
        <v>0</v>
      </c>
    </row>
    <row r="2967" spans="1:13" x14ac:dyDescent="0.2">
      <c r="A2967" s="18"/>
      <c r="B2967" s="77"/>
      <c r="C2967" s="77"/>
      <c r="D2967" s="78"/>
      <c r="E2967" s="77"/>
      <c r="F2967" s="77"/>
      <c r="G2967" s="77"/>
      <c r="H2967" s="77"/>
      <c r="I2967" s="77"/>
      <c r="J2967" s="77"/>
      <c r="K2967" s="79"/>
      <c r="L2967" s="49">
        <f t="shared" si="164"/>
        <v>0</v>
      </c>
      <c r="M2967" s="50">
        <f t="shared" si="165"/>
        <v>0</v>
      </c>
    </row>
    <row r="2968" spans="1:13" x14ac:dyDescent="0.2">
      <c r="A2968" s="18"/>
      <c r="B2968" s="77"/>
      <c r="C2968" s="77"/>
      <c r="D2968" s="78"/>
      <c r="E2968" s="77"/>
      <c r="F2968" s="77"/>
      <c r="G2968" s="77"/>
      <c r="H2968" s="77"/>
      <c r="I2968" s="77"/>
      <c r="J2968" s="77"/>
      <c r="K2968" s="79"/>
      <c r="L2968" s="49">
        <f t="shared" si="164"/>
        <v>0</v>
      </c>
      <c r="M2968" s="50">
        <f t="shared" si="165"/>
        <v>0</v>
      </c>
    </row>
    <row r="2969" spans="1:13" x14ac:dyDescent="0.2">
      <c r="A2969" s="18"/>
      <c r="B2969" s="77"/>
      <c r="C2969" s="77"/>
      <c r="D2969" s="78"/>
      <c r="E2969" s="77"/>
      <c r="F2969" s="77"/>
      <c r="G2969" s="77"/>
      <c r="H2969" s="77"/>
      <c r="I2969" s="77"/>
      <c r="J2969" s="77"/>
      <c r="K2969" s="79"/>
      <c r="L2969" s="49">
        <f t="shared" si="164"/>
        <v>0</v>
      </c>
      <c r="M2969" s="50">
        <f t="shared" si="165"/>
        <v>0</v>
      </c>
    </row>
    <row r="2970" spans="1:13" x14ac:dyDescent="0.2">
      <c r="A2970" s="18"/>
      <c r="B2970" s="77"/>
      <c r="C2970" s="77"/>
      <c r="D2970" s="78"/>
      <c r="E2970" s="77"/>
      <c r="F2970" s="77"/>
      <c r="G2970" s="77"/>
      <c r="H2970" s="77"/>
      <c r="I2970" s="77"/>
      <c r="J2970" s="77"/>
      <c r="K2970" s="79"/>
      <c r="L2970" s="49">
        <f t="shared" si="164"/>
        <v>0</v>
      </c>
      <c r="M2970" s="50">
        <f t="shared" si="165"/>
        <v>0</v>
      </c>
    </row>
    <row r="2971" spans="1:13" x14ac:dyDescent="0.2">
      <c r="A2971" s="18"/>
      <c r="B2971" s="77"/>
      <c r="C2971" s="77"/>
      <c r="D2971" s="78"/>
      <c r="E2971" s="77"/>
      <c r="F2971" s="77"/>
      <c r="G2971" s="77"/>
      <c r="H2971" s="77"/>
      <c r="I2971" s="77"/>
      <c r="J2971" s="77"/>
      <c r="K2971" s="79"/>
      <c r="L2971" s="49">
        <f t="shared" si="164"/>
        <v>0</v>
      </c>
      <c r="M2971" s="50">
        <f t="shared" si="165"/>
        <v>0</v>
      </c>
    </row>
    <row r="2972" spans="1:13" x14ac:dyDescent="0.2">
      <c r="A2972" s="18"/>
      <c r="B2972" s="77"/>
      <c r="C2972" s="77"/>
      <c r="D2972" s="78"/>
      <c r="E2972" s="77"/>
      <c r="F2972" s="77"/>
      <c r="G2972" s="77"/>
      <c r="H2972" s="77"/>
      <c r="I2972" s="77"/>
      <c r="J2972" s="77"/>
      <c r="K2972" s="79"/>
      <c r="L2972" s="49">
        <f t="shared" si="164"/>
        <v>0</v>
      </c>
      <c r="M2972" s="50">
        <f t="shared" si="165"/>
        <v>0</v>
      </c>
    </row>
    <row r="2973" spans="1:13" x14ac:dyDescent="0.2">
      <c r="A2973" s="18"/>
      <c r="B2973" s="77"/>
      <c r="C2973" s="77"/>
      <c r="D2973" s="78"/>
      <c r="E2973" s="77"/>
      <c r="F2973" s="77"/>
      <c r="G2973" s="77"/>
      <c r="H2973" s="77"/>
      <c r="I2973" s="77"/>
      <c r="J2973" s="77"/>
      <c r="K2973" s="79"/>
      <c r="L2973" s="49">
        <f t="shared" si="164"/>
        <v>0</v>
      </c>
      <c r="M2973" s="50">
        <f t="shared" si="165"/>
        <v>0</v>
      </c>
    </row>
    <row r="2974" spans="1:13" x14ac:dyDescent="0.2">
      <c r="A2974" s="18"/>
      <c r="B2974" s="77"/>
      <c r="C2974" s="77"/>
      <c r="D2974" s="78"/>
      <c r="E2974" s="77"/>
      <c r="F2974" s="77"/>
      <c r="G2974" s="77"/>
      <c r="H2974" s="77"/>
      <c r="I2974" s="77"/>
      <c r="J2974" s="77"/>
      <c r="K2974" s="79"/>
      <c r="L2974" s="49">
        <f t="shared" si="164"/>
        <v>0</v>
      </c>
      <c r="M2974" s="50">
        <f t="shared" si="165"/>
        <v>0</v>
      </c>
    </row>
    <row r="2975" spans="1:13" x14ac:dyDescent="0.2">
      <c r="A2975" s="18"/>
      <c r="B2975" s="77"/>
      <c r="C2975" s="77"/>
      <c r="D2975" s="78"/>
      <c r="E2975" s="77"/>
      <c r="F2975" s="77"/>
      <c r="G2975" s="77"/>
      <c r="H2975" s="77"/>
      <c r="I2975" s="77"/>
      <c r="J2975" s="77"/>
      <c r="K2975" s="79"/>
      <c r="L2975" s="49">
        <f t="shared" ref="L2975:L3038" si="166">+K2975*18%</f>
        <v>0</v>
      </c>
      <c r="M2975" s="50">
        <f t="shared" ref="M2975:M3038" si="167">+K2975+L2975</f>
        <v>0</v>
      </c>
    </row>
    <row r="2976" spans="1:13" x14ac:dyDescent="0.2">
      <c r="A2976" s="18"/>
      <c r="B2976" s="77"/>
      <c r="C2976" s="77"/>
      <c r="D2976" s="78"/>
      <c r="E2976" s="77"/>
      <c r="F2976" s="77"/>
      <c r="G2976" s="77"/>
      <c r="H2976" s="77"/>
      <c r="I2976" s="77"/>
      <c r="J2976" s="77"/>
      <c r="K2976" s="79"/>
      <c r="L2976" s="49">
        <f t="shared" si="166"/>
        <v>0</v>
      </c>
      <c r="M2976" s="50">
        <f t="shared" si="167"/>
        <v>0</v>
      </c>
    </row>
    <row r="2977" spans="1:13" x14ac:dyDescent="0.2">
      <c r="A2977" s="18"/>
      <c r="B2977" s="77"/>
      <c r="C2977" s="77"/>
      <c r="D2977" s="78"/>
      <c r="E2977" s="77"/>
      <c r="F2977" s="77"/>
      <c r="G2977" s="77"/>
      <c r="H2977" s="77"/>
      <c r="I2977" s="77"/>
      <c r="J2977" s="77"/>
      <c r="K2977" s="79"/>
      <c r="L2977" s="49">
        <f t="shared" si="166"/>
        <v>0</v>
      </c>
      <c r="M2977" s="50">
        <f t="shared" si="167"/>
        <v>0</v>
      </c>
    </row>
    <row r="2978" spans="1:13" x14ac:dyDescent="0.2">
      <c r="A2978" s="18"/>
      <c r="B2978" s="77"/>
      <c r="C2978" s="77"/>
      <c r="D2978" s="78"/>
      <c r="E2978" s="77"/>
      <c r="F2978" s="77"/>
      <c r="G2978" s="77"/>
      <c r="H2978" s="77"/>
      <c r="I2978" s="77"/>
      <c r="J2978" s="77"/>
      <c r="K2978" s="79"/>
      <c r="L2978" s="49">
        <f t="shared" si="166"/>
        <v>0</v>
      </c>
      <c r="M2978" s="50">
        <f t="shared" si="167"/>
        <v>0</v>
      </c>
    </row>
    <row r="2979" spans="1:13" x14ac:dyDescent="0.2">
      <c r="A2979" s="18"/>
      <c r="B2979" s="77"/>
      <c r="C2979" s="77"/>
      <c r="D2979" s="78"/>
      <c r="E2979" s="77"/>
      <c r="F2979" s="77"/>
      <c r="G2979" s="77"/>
      <c r="H2979" s="77"/>
      <c r="I2979" s="77"/>
      <c r="J2979" s="77"/>
      <c r="K2979" s="79"/>
      <c r="L2979" s="49">
        <f t="shared" si="166"/>
        <v>0</v>
      </c>
      <c r="M2979" s="50">
        <f t="shared" si="167"/>
        <v>0</v>
      </c>
    </row>
    <row r="2980" spans="1:13" x14ac:dyDescent="0.2">
      <c r="A2980" s="18"/>
      <c r="B2980" s="77"/>
      <c r="C2980" s="77"/>
      <c r="D2980" s="78"/>
      <c r="E2980" s="77"/>
      <c r="F2980" s="77"/>
      <c r="G2980" s="77"/>
      <c r="H2980" s="77"/>
      <c r="I2980" s="77"/>
      <c r="J2980" s="77"/>
      <c r="K2980" s="79"/>
      <c r="L2980" s="49">
        <f t="shared" si="166"/>
        <v>0</v>
      </c>
      <c r="M2980" s="50">
        <f t="shared" si="167"/>
        <v>0</v>
      </c>
    </row>
    <row r="2981" spans="1:13" x14ac:dyDescent="0.2">
      <c r="A2981" s="18"/>
      <c r="B2981" s="77"/>
      <c r="C2981" s="77"/>
      <c r="D2981" s="78"/>
      <c r="E2981" s="77"/>
      <c r="F2981" s="77"/>
      <c r="G2981" s="77"/>
      <c r="H2981" s="77"/>
      <c r="I2981" s="77"/>
      <c r="J2981" s="77"/>
      <c r="K2981" s="79"/>
      <c r="L2981" s="49">
        <f t="shared" si="166"/>
        <v>0</v>
      </c>
      <c r="M2981" s="50">
        <f t="shared" si="167"/>
        <v>0</v>
      </c>
    </row>
    <row r="2982" spans="1:13" x14ac:dyDescent="0.2">
      <c r="A2982" s="18"/>
      <c r="B2982" s="77"/>
      <c r="C2982" s="77"/>
      <c r="D2982" s="78"/>
      <c r="E2982" s="77"/>
      <c r="F2982" s="77"/>
      <c r="G2982" s="77"/>
      <c r="H2982" s="77"/>
      <c r="I2982" s="77"/>
      <c r="J2982" s="77"/>
      <c r="K2982" s="79"/>
      <c r="L2982" s="49">
        <f t="shared" si="166"/>
        <v>0</v>
      </c>
      <c r="M2982" s="50">
        <f t="shared" si="167"/>
        <v>0</v>
      </c>
    </row>
    <row r="2983" spans="1:13" x14ac:dyDescent="0.2">
      <c r="A2983" s="18"/>
      <c r="B2983" s="77"/>
      <c r="C2983" s="77"/>
      <c r="D2983" s="78"/>
      <c r="E2983" s="77"/>
      <c r="F2983" s="77"/>
      <c r="G2983" s="77"/>
      <c r="H2983" s="77"/>
      <c r="I2983" s="77"/>
      <c r="J2983" s="77"/>
      <c r="K2983" s="79"/>
      <c r="L2983" s="49">
        <f t="shared" si="166"/>
        <v>0</v>
      </c>
      <c r="M2983" s="50">
        <f t="shared" si="167"/>
        <v>0</v>
      </c>
    </row>
    <row r="2984" spans="1:13" x14ac:dyDescent="0.2">
      <c r="A2984" s="18"/>
      <c r="B2984" s="77"/>
      <c r="C2984" s="77"/>
      <c r="D2984" s="78"/>
      <c r="E2984" s="77"/>
      <c r="F2984" s="77"/>
      <c r="G2984" s="77"/>
      <c r="H2984" s="77"/>
      <c r="I2984" s="77"/>
      <c r="J2984" s="77"/>
      <c r="K2984" s="79"/>
      <c r="L2984" s="49">
        <f t="shared" si="166"/>
        <v>0</v>
      </c>
      <c r="M2984" s="50">
        <f t="shared" si="167"/>
        <v>0</v>
      </c>
    </row>
    <row r="2985" spans="1:13" x14ac:dyDescent="0.2">
      <c r="A2985" s="18"/>
      <c r="B2985" s="77"/>
      <c r="C2985" s="77"/>
      <c r="D2985" s="78"/>
      <c r="E2985" s="77"/>
      <c r="F2985" s="77"/>
      <c r="G2985" s="77"/>
      <c r="H2985" s="77"/>
      <c r="I2985" s="77"/>
      <c r="J2985" s="77"/>
      <c r="K2985" s="79"/>
      <c r="L2985" s="49">
        <f t="shared" si="166"/>
        <v>0</v>
      </c>
      <c r="M2985" s="50">
        <f t="shared" si="167"/>
        <v>0</v>
      </c>
    </row>
    <row r="2986" spans="1:13" x14ac:dyDescent="0.2">
      <c r="A2986" s="18"/>
      <c r="B2986" s="77"/>
      <c r="C2986" s="77"/>
      <c r="D2986" s="78"/>
      <c r="E2986" s="77"/>
      <c r="F2986" s="77"/>
      <c r="G2986" s="77"/>
      <c r="H2986" s="77"/>
      <c r="I2986" s="77"/>
      <c r="J2986" s="77"/>
      <c r="K2986" s="79"/>
      <c r="L2986" s="49">
        <f t="shared" si="166"/>
        <v>0</v>
      </c>
      <c r="M2986" s="50">
        <f t="shared" si="167"/>
        <v>0</v>
      </c>
    </row>
    <row r="2987" spans="1:13" x14ac:dyDescent="0.2">
      <c r="A2987" s="18"/>
      <c r="B2987" s="77"/>
      <c r="C2987" s="77"/>
      <c r="D2987" s="78"/>
      <c r="E2987" s="77"/>
      <c r="F2987" s="77"/>
      <c r="G2987" s="77"/>
      <c r="H2987" s="77"/>
      <c r="I2987" s="77"/>
      <c r="J2987" s="77"/>
      <c r="K2987" s="79"/>
      <c r="L2987" s="49">
        <f t="shared" si="166"/>
        <v>0</v>
      </c>
      <c r="M2987" s="50">
        <f t="shared" si="167"/>
        <v>0</v>
      </c>
    </row>
    <row r="2988" spans="1:13" x14ac:dyDescent="0.2">
      <c r="A2988" s="18"/>
      <c r="B2988" s="77"/>
      <c r="C2988" s="77"/>
      <c r="D2988" s="78"/>
      <c r="E2988" s="77"/>
      <c r="F2988" s="77"/>
      <c r="G2988" s="77"/>
      <c r="H2988" s="77"/>
      <c r="I2988" s="77"/>
      <c r="J2988" s="77"/>
      <c r="K2988" s="79"/>
      <c r="L2988" s="49">
        <f t="shared" si="166"/>
        <v>0</v>
      </c>
      <c r="M2988" s="50">
        <f t="shared" si="167"/>
        <v>0</v>
      </c>
    </row>
    <row r="2989" spans="1:13" x14ac:dyDescent="0.2">
      <c r="A2989" s="18"/>
      <c r="B2989" s="77"/>
      <c r="C2989" s="77"/>
      <c r="D2989" s="78"/>
      <c r="E2989" s="77"/>
      <c r="F2989" s="77"/>
      <c r="G2989" s="77"/>
      <c r="H2989" s="77"/>
      <c r="I2989" s="77"/>
      <c r="J2989" s="77"/>
      <c r="K2989" s="79"/>
      <c r="L2989" s="49">
        <f t="shared" si="166"/>
        <v>0</v>
      </c>
      <c r="M2989" s="50">
        <f t="shared" si="167"/>
        <v>0</v>
      </c>
    </row>
    <row r="2990" spans="1:13" x14ac:dyDescent="0.2">
      <c r="A2990" s="18"/>
      <c r="B2990" s="77"/>
      <c r="C2990" s="77"/>
      <c r="D2990" s="78"/>
      <c r="E2990" s="77"/>
      <c r="F2990" s="77"/>
      <c r="G2990" s="77"/>
      <c r="H2990" s="77"/>
      <c r="I2990" s="77"/>
      <c r="J2990" s="77"/>
      <c r="K2990" s="79"/>
      <c r="L2990" s="49">
        <f t="shared" si="166"/>
        <v>0</v>
      </c>
      <c r="M2990" s="50">
        <f t="shared" si="167"/>
        <v>0</v>
      </c>
    </row>
    <row r="2991" spans="1:13" x14ac:dyDescent="0.2">
      <c r="A2991" s="18"/>
      <c r="B2991" s="77"/>
      <c r="C2991" s="77"/>
      <c r="D2991" s="78"/>
      <c r="E2991" s="77"/>
      <c r="F2991" s="77"/>
      <c r="G2991" s="77"/>
      <c r="H2991" s="77"/>
      <c r="I2991" s="77"/>
      <c r="J2991" s="77"/>
      <c r="K2991" s="79"/>
      <c r="L2991" s="49">
        <f t="shared" si="166"/>
        <v>0</v>
      </c>
      <c r="M2991" s="50">
        <f t="shared" si="167"/>
        <v>0</v>
      </c>
    </row>
    <row r="2992" spans="1:13" x14ac:dyDescent="0.2">
      <c r="A2992" s="18"/>
      <c r="B2992" s="77"/>
      <c r="C2992" s="77"/>
      <c r="D2992" s="78"/>
      <c r="E2992" s="77"/>
      <c r="F2992" s="77"/>
      <c r="G2992" s="77"/>
      <c r="H2992" s="77"/>
      <c r="I2992" s="77"/>
      <c r="J2992" s="77"/>
      <c r="K2992" s="79"/>
      <c r="L2992" s="49">
        <f t="shared" si="166"/>
        <v>0</v>
      </c>
      <c r="M2992" s="50">
        <f t="shared" si="167"/>
        <v>0</v>
      </c>
    </row>
    <row r="2993" spans="1:13" x14ac:dyDescent="0.2">
      <c r="A2993" s="18"/>
      <c r="B2993" s="77"/>
      <c r="C2993" s="77"/>
      <c r="D2993" s="78"/>
      <c r="E2993" s="77"/>
      <c r="F2993" s="77"/>
      <c r="G2993" s="77"/>
      <c r="H2993" s="77"/>
      <c r="I2993" s="77"/>
      <c r="J2993" s="77"/>
      <c r="K2993" s="79"/>
      <c r="L2993" s="49">
        <f t="shared" si="166"/>
        <v>0</v>
      </c>
      <c r="M2993" s="50">
        <f t="shared" si="167"/>
        <v>0</v>
      </c>
    </row>
    <row r="2994" spans="1:13" x14ac:dyDescent="0.2">
      <c r="A2994" s="18"/>
      <c r="B2994" s="77"/>
      <c r="C2994" s="77"/>
      <c r="D2994" s="78"/>
      <c r="E2994" s="77"/>
      <c r="F2994" s="77"/>
      <c r="G2994" s="77"/>
      <c r="H2994" s="77"/>
      <c r="I2994" s="77"/>
      <c r="J2994" s="77"/>
      <c r="K2994" s="79"/>
      <c r="L2994" s="49">
        <f t="shared" si="166"/>
        <v>0</v>
      </c>
      <c r="M2994" s="50">
        <f t="shared" si="167"/>
        <v>0</v>
      </c>
    </row>
    <row r="2995" spans="1:13" x14ac:dyDescent="0.2">
      <c r="A2995" s="18"/>
      <c r="B2995" s="77"/>
      <c r="C2995" s="77"/>
      <c r="D2995" s="78"/>
      <c r="E2995" s="77"/>
      <c r="F2995" s="77"/>
      <c r="G2995" s="77"/>
      <c r="H2995" s="77"/>
      <c r="I2995" s="77"/>
      <c r="J2995" s="77"/>
      <c r="K2995" s="79"/>
      <c r="L2995" s="49">
        <f t="shared" si="166"/>
        <v>0</v>
      </c>
      <c r="M2995" s="50">
        <f t="shared" si="167"/>
        <v>0</v>
      </c>
    </row>
    <row r="2996" spans="1:13" x14ac:dyDescent="0.2">
      <c r="A2996" s="18"/>
      <c r="B2996" s="77"/>
      <c r="C2996" s="77"/>
      <c r="D2996" s="78"/>
      <c r="E2996" s="77"/>
      <c r="F2996" s="77"/>
      <c r="G2996" s="77"/>
      <c r="H2996" s="77"/>
      <c r="I2996" s="77"/>
      <c r="J2996" s="77"/>
      <c r="K2996" s="79"/>
      <c r="L2996" s="49">
        <f t="shared" si="166"/>
        <v>0</v>
      </c>
      <c r="M2996" s="50">
        <f t="shared" si="167"/>
        <v>0</v>
      </c>
    </row>
    <row r="2997" spans="1:13" x14ac:dyDescent="0.2">
      <c r="A2997" s="18"/>
      <c r="B2997" s="77"/>
      <c r="C2997" s="77"/>
      <c r="D2997" s="78"/>
      <c r="E2997" s="77"/>
      <c r="F2997" s="77"/>
      <c r="G2997" s="77"/>
      <c r="H2997" s="77"/>
      <c r="I2997" s="77"/>
      <c r="J2997" s="77"/>
      <c r="K2997" s="79"/>
      <c r="L2997" s="49">
        <f t="shared" si="166"/>
        <v>0</v>
      </c>
      <c r="M2997" s="50">
        <f t="shared" si="167"/>
        <v>0</v>
      </c>
    </row>
    <row r="2998" spans="1:13" x14ac:dyDescent="0.2">
      <c r="A2998" s="18"/>
      <c r="B2998" s="77"/>
      <c r="C2998" s="77"/>
      <c r="D2998" s="78"/>
      <c r="E2998" s="77"/>
      <c r="F2998" s="77"/>
      <c r="G2998" s="77"/>
      <c r="H2998" s="77"/>
      <c r="I2998" s="77"/>
      <c r="J2998" s="77"/>
      <c r="K2998" s="79"/>
      <c r="L2998" s="49">
        <f t="shared" si="166"/>
        <v>0</v>
      </c>
      <c r="M2998" s="50">
        <f t="shared" si="167"/>
        <v>0</v>
      </c>
    </row>
    <row r="2999" spans="1:13" x14ac:dyDescent="0.2">
      <c r="A2999" s="18"/>
      <c r="B2999" s="77"/>
      <c r="C2999" s="77"/>
      <c r="D2999" s="78"/>
      <c r="E2999" s="77"/>
      <c r="F2999" s="77"/>
      <c r="G2999" s="77"/>
      <c r="H2999" s="77"/>
      <c r="I2999" s="77"/>
      <c r="J2999" s="77"/>
      <c r="K2999" s="79"/>
      <c r="L2999" s="49">
        <f t="shared" si="166"/>
        <v>0</v>
      </c>
      <c r="M2999" s="50">
        <f t="shared" si="167"/>
        <v>0</v>
      </c>
    </row>
    <row r="3000" spans="1:13" x14ac:dyDescent="0.2">
      <c r="A3000" s="18"/>
      <c r="B3000" s="77"/>
      <c r="C3000" s="77"/>
      <c r="D3000" s="78"/>
      <c r="E3000" s="77"/>
      <c r="F3000" s="77"/>
      <c r="G3000" s="77"/>
      <c r="H3000" s="77"/>
      <c r="I3000" s="77"/>
      <c r="J3000" s="77"/>
      <c r="K3000" s="79"/>
      <c r="L3000" s="49">
        <f t="shared" si="166"/>
        <v>0</v>
      </c>
      <c r="M3000" s="50">
        <f t="shared" si="167"/>
        <v>0</v>
      </c>
    </row>
    <row r="3001" spans="1:13" x14ac:dyDescent="0.2">
      <c r="A3001" s="18"/>
      <c r="B3001" s="77"/>
      <c r="C3001" s="77"/>
      <c r="D3001" s="78"/>
      <c r="E3001" s="77"/>
      <c r="F3001" s="77"/>
      <c r="G3001" s="77"/>
      <c r="H3001" s="77"/>
      <c r="I3001" s="77"/>
      <c r="J3001" s="77"/>
      <c r="K3001" s="79"/>
      <c r="L3001" s="49">
        <f t="shared" si="166"/>
        <v>0</v>
      </c>
      <c r="M3001" s="50">
        <f t="shared" si="167"/>
        <v>0</v>
      </c>
    </row>
    <row r="3002" spans="1:13" x14ac:dyDescent="0.2">
      <c r="A3002" s="18"/>
      <c r="B3002" s="77"/>
      <c r="C3002" s="77"/>
      <c r="D3002" s="78"/>
      <c r="E3002" s="77"/>
      <c r="F3002" s="77"/>
      <c r="G3002" s="77"/>
      <c r="H3002" s="77"/>
      <c r="I3002" s="77"/>
      <c r="J3002" s="77"/>
      <c r="K3002" s="79"/>
      <c r="L3002" s="49">
        <f t="shared" si="166"/>
        <v>0</v>
      </c>
      <c r="M3002" s="50">
        <f t="shared" si="167"/>
        <v>0</v>
      </c>
    </row>
    <row r="3003" spans="1:13" x14ac:dyDescent="0.2">
      <c r="A3003" s="18"/>
      <c r="B3003" s="77"/>
      <c r="C3003" s="77"/>
      <c r="D3003" s="78"/>
      <c r="E3003" s="77"/>
      <c r="F3003" s="77"/>
      <c r="G3003" s="77"/>
      <c r="H3003" s="77"/>
      <c r="I3003" s="77"/>
      <c r="J3003" s="77"/>
      <c r="K3003" s="79"/>
      <c r="L3003" s="49">
        <f t="shared" si="166"/>
        <v>0</v>
      </c>
      <c r="M3003" s="50">
        <f t="shared" si="167"/>
        <v>0</v>
      </c>
    </row>
    <row r="3004" spans="1:13" x14ac:dyDescent="0.2">
      <c r="A3004" s="18"/>
      <c r="B3004" s="77"/>
      <c r="C3004" s="77"/>
      <c r="D3004" s="78"/>
      <c r="E3004" s="77"/>
      <c r="F3004" s="77"/>
      <c r="G3004" s="77"/>
      <c r="H3004" s="77"/>
      <c r="I3004" s="77"/>
      <c r="J3004" s="77"/>
      <c r="K3004" s="79"/>
      <c r="L3004" s="49">
        <f t="shared" si="166"/>
        <v>0</v>
      </c>
      <c r="M3004" s="50">
        <f t="shared" si="167"/>
        <v>0</v>
      </c>
    </row>
    <row r="3005" spans="1:13" x14ac:dyDescent="0.2">
      <c r="A3005" s="18"/>
      <c r="B3005" s="77"/>
      <c r="C3005" s="77"/>
      <c r="D3005" s="78"/>
      <c r="E3005" s="77"/>
      <c r="F3005" s="77"/>
      <c r="G3005" s="77"/>
      <c r="H3005" s="77"/>
      <c r="I3005" s="77"/>
      <c r="J3005" s="77"/>
      <c r="K3005" s="79"/>
      <c r="L3005" s="49">
        <f t="shared" si="166"/>
        <v>0</v>
      </c>
      <c r="M3005" s="50">
        <f t="shared" si="167"/>
        <v>0</v>
      </c>
    </row>
    <row r="3006" spans="1:13" x14ac:dyDescent="0.2">
      <c r="A3006" s="18"/>
      <c r="B3006" s="77"/>
      <c r="C3006" s="77"/>
      <c r="D3006" s="78"/>
      <c r="E3006" s="77"/>
      <c r="F3006" s="77"/>
      <c r="G3006" s="77"/>
      <c r="H3006" s="77"/>
      <c r="I3006" s="77"/>
      <c r="J3006" s="77"/>
      <c r="K3006" s="79"/>
      <c r="L3006" s="49">
        <f t="shared" si="166"/>
        <v>0</v>
      </c>
      <c r="M3006" s="50">
        <f t="shared" si="167"/>
        <v>0</v>
      </c>
    </row>
    <row r="3007" spans="1:13" x14ac:dyDescent="0.2">
      <c r="A3007" s="18"/>
      <c r="B3007" s="77"/>
      <c r="C3007" s="77"/>
      <c r="D3007" s="78"/>
      <c r="E3007" s="77"/>
      <c r="F3007" s="77"/>
      <c r="G3007" s="77"/>
      <c r="H3007" s="77"/>
      <c r="I3007" s="77"/>
      <c r="J3007" s="77"/>
      <c r="K3007" s="79"/>
      <c r="L3007" s="49">
        <f t="shared" si="166"/>
        <v>0</v>
      </c>
      <c r="M3007" s="50">
        <f t="shared" si="167"/>
        <v>0</v>
      </c>
    </row>
    <row r="3008" spans="1:13" x14ac:dyDescent="0.2">
      <c r="A3008" s="18"/>
      <c r="B3008" s="77"/>
      <c r="C3008" s="77"/>
      <c r="D3008" s="78"/>
      <c r="E3008" s="77"/>
      <c r="F3008" s="77"/>
      <c r="G3008" s="77"/>
      <c r="H3008" s="77"/>
      <c r="I3008" s="77"/>
      <c r="J3008" s="77"/>
      <c r="K3008" s="79"/>
      <c r="L3008" s="49">
        <f t="shared" si="166"/>
        <v>0</v>
      </c>
      <c r="M3008" s="50">
        <f t="shared" si="167"/>
        <v>0</v>
      </c>
    </row>
    <row r="3009" spans="1:13" x14ac:dyDescent="0.2">
      <c r="A3009" s="18"/>
      <c r="B3009" s="77"/>
      <c r="C3009" s="77"/>
      <c r="D3009" s="78"/>
      <c r="E3009" s="77"/>
      <c r="F3009" s="77"/>
      <c r="G3009" s="77"/>
      <c r="H3009" s="77"/>
      <c r="I3009" s="77"/>
      <c r="J3009" s="77"/>
      <c r="K3009" s="79"/>
      <c r="L3009" s="49">
        <f t="shared" si="166"/>
        <v>0</v>
      </c>
      <c r="M3009" s="50">
        <f t="shared" si="167"/>
        <v>0</v>
      </c>
    </row>
    <row r="3010" spans="1:13" x14ac:dyDescent="0.2">
      <c r="A3010" s="18"/>
      <c r="B3010" s="77"/>
      <c r="C3010" s="77"/>
      <c r="D3010" s="78"/>
      <c r="E3010" s="77"/>
      <c r="F3010" s="77"/>
      <c r="G3010" s="77"/>
      <c r="H3010" s="77"/>
      <c r="I3010" s="77"/>
      <c r="J3010" s="77"/>
      <c r="K3010" s="79"/>
      <c r="L3010" s="49">
        <f t="shared" si="166"/>
        <v>0</v>
      </c>
      <c r="M3010" s="50">
        <f t="shared" si="167"/>
        <v>0</v>
      </c>
    </row>
    <row r="3011" spans="1:13" x14ac:dyDescent="0.2">
      <c r="A3011" s="18"/>
      <c r="B3011" s="77"/>
      <c r="C3011" s="77"/>
      <c r="D3011" s="78"/>
      <c r="E3011" s="77"/>
      <c r="F3011" s="77"/>
      <c r="G3011" s="77"/>
      <c r="H3011" s="77"/>
      <c r="I3011" s="77"/>
      <c r="J3011" s="77"/>
      <c r="K3011" s="79"/>
      <c r="L3011" s="49">
        <f t="shared" si="166"/>
        <v>0</v>
      </c>
      <c r="M3011" s="50">
        <f t="shared" si="167"/>
        <v>0</v>
      </c>
    </row>
    <row r="3012" spans="1:13" x14ac:dyDescent="0.2">
      <c r="A3012" s="18"/>
      <c r="B3012" s="77"/>
      <c r="C3012" s="77"/>
      <c r="D3012" s="78"/>
      <c r="E3012" s="77"/>
      <c r="F3012" s="77"/>
      <c r="G3012" s="77"/>
      <c r="H3012" s="77"/>
      <c r="I3012" s="77"/>
      <c r="J3012" s="77"/>
      <c r="K3012" s="79"/>
      <c r="L3012" s="49">
        <f t="shared" si="166"/>
        <v>0</v>
      </c>
      <c r="M3012" s="50">
        <f t="shared" si="167"/>
        <v>0</v>
      </c>
    </row>
    <row r="3013" spans="1:13" x14ac:dyDescent="0.2">
      <c r="A3013" s="18"/>
      <c r="B3013" s="77"/>
      <c r="C3013" s="77"/>
      <c r="D3013" s="78"/>
      <c r="E3013" s="77"/>
      <c r="F3013" s="77"/>
      <c r="G3013" s="77"/>
      <c r="H3013" s="77"/>
      <c r="I3013" s="77"/>
      <c r="J3013" s="77"/>
      <c r="K3013" s="79"/>
      <c r="L3013" s="49">
        <f t="shared" si="166"/>
        <v>0</v>
      </c>
      <c r="M3013" s="50">
        <f t="shared" si="167"/>
        <v>0</v>
      </c>
    </row>
    <row r="3014" spans="1:13" x14ac:dyDescent="0.2">
      <c r="A3014" s="18"/>
      <c r="B3014" s="77"/>
      <c r="C3014" s="77"/>
      <c r="D3014" s="78"/>
      <c r="E3014" s="77"/>
      <c r="F3014" s="77"/>
      <c r="G3014" s="77"/>
      <c r="H3014" s="77"/>
      <c r="I3014" s="77"/>
      <c r="J3014" s="77"/>
      <c r="K3014" s="79"/>
      <c r="L3014" s="49">
        <f t="shared" si="166"/>
        <v>0</v>
      </c>
      <c r="M3014" s="50">
        <f t="shared" si="167"/>
        <v>0</v>
      </c>
    </row>
    <row r="3015" spans="1:13" x14ac:dyDescent="0.2">
      <c r="A3015" s="18"/>
      <c r="B3015" s="77"/>
      <c r="C3015" s="77"/>
      <c r="D3015" s="78"/>
      <c r="E3015" s="77"/>
      <c r="F3015" s="77"/>
      <c r="G3015" s="77"/>
      <c r="H3015" s="77"/>
      <c r="I3015" s="77"/>
      <c r="J3015" s="77"/>
      <c r="K3015" s="79"/>
      <c r="L3015" s="49">
        <f t="shared" si="166"/>
        <v>0</v>
      </c>
      <c r="M3015" s="50">
        <f t="shared" si="167"/>
        <v>0</v>
      </c>
    </row>
    <row r="3016" spans="1:13" x14ac:dyDescent="0.2">
      <c r="A3016" s="18"/>
      <c r="B3016" s="77"/>
      <c r="C3016" s="77"/>
      <c r="D3016" s="78"/>
      <c r="E3016" s="77"/>
      <c r="F3016" s="77"/>
      <c r="G3016" s="77"/>
      <c r="H3016" s="77"/>
      <c r="I3016" s="77"/>
      <c r="J3016" s="77"/>
      <c r="K3016" s="79"/>
      <c r="L3016" s="49">
        <f t="shared" si="166"/>
        <v>0</v>
      </c>
      <c r="M3016" s="50">
        <f t="shared" si="167"/>
        <v>0</v>
      </c>
    </row>
    <row r="3017" spans="1:13" x14ac:dyDescent="0.2">
      <c r="A3017" s="18"/>
      <c r="B3017" s="77"/>
      <c r="C3017" s="77"/>
      <c r="D3017" s="78"/>
      <c r="E3017" s="77"/>
      <c r="F3017" s="77"/>
      <c r="G3017" s="77"/>
      <c r="H3017" s="77"/>
      <c r="I3017" s="77"/>
      <c r="J3017" s="77"/>
      <c r="K3017" s="79"/>
      <c r="L3017" s="49">
        <f t="shared" si="166"/>
        <v>0</v>
      </c>
      <c r="M3017" s="50">
        <f t="shared" si="167"/>
        <v>0</v>
      </c>
    </row>
    <row r="3018" spans="1:13" x14ac:dyDescent="0.2">
      <c r="A3018" s="18"/>
      <c r="B3018" s="77"/>
      <c r="C3018" s="77"/>
      <c r="D3018" s="78"/>
      <c r="E3018" s="77"/>
      <c r="F3018" s="77"/>
      <c r="G3018" s="77"/>
      <c r="H3018" s="77"/>
      <c r="I3018" s="77"/>
      <c r="J3018" s="77"/>
      <c r="K3018" s="79"/>
      <c r="L3018" s="49">
        <f t="shared" si="166"/>
        <v>0</v>
      </c>
      <c r="M3018" s="50">
        <f t="shared" si="167"/>
        <v>0</v>
      </c>
    </row>
    <row r="3019" spans="1:13" x14ac:dyDescent="0.2">
      <c r="A3019" s="18"/>
      <c r="B3019" s="77"/>
      <c r="C3019" s="77"/>
      <c r="D3019" s="78"/>
      <c r="E3019" s="77"/>
      <c r="F3019" s="77"/>
      <c r="G3019" s="77"/>
      <c r="H3019" s="77"/>
      <c r="I3019" s="77"/>
      <c r="J3019" s="77"/>
      <c r="K3019" s="79"/>
      <c r="L3019" s="49">
        <f t="shared" si="166"/>
        <v>0</v>
      </c>
      <c r="M3019" s="50">
        <f t="shared" si="167"/>
        <v>0</v>
      </c>
    </row>
    <row r="3020" spans="1:13" x14ac:dyDescent="0.2">
      <c r="A3020" s="18"/>
      <c r="B3020" s="77"/>
      <c r="C3020" s="77"/>
      <c r="D3020" s="78"/>
      <c r="E3020" s="77"/>
      <c r="F3020" s="77"/>
      <c r="G3020" s="77"/>
      <c r="H3020" s="77"/>
      <c r="I3020" s="77"/>
      <c r="J3020" s="77"/>
      <c r="K3020" s="79"/>
      <c r="L3020" s="49">
        <f t="shared" si="166"/>
        <v>0</v>
      </c>
      <c r="M3020" s="50">
        <f t="shared" si="167"/>
        <v>0</v>
      </c>
    </row>
    <row r="3021" spans="1:13" x14ac:dyDescent="0.2">
      <c r="A3021" s="18"/>
      <c r="B3021" s="77"/>
      <c r="C3021" s="77"/>
      <c r="D3021" s="78"/>
      <c r="E3021" s="77"/>
      <c r="F3021" s="77"/>
      <c r="G3021" s="77"/>
      <c r="H3021" s="77"/>
      <c r="I3021" s="77"/>
      <c r="J3021" s="77"/>
      <c r="K3021" s="79"/>
      <c r="L3021" s="49">
        <f t="shared" si="166"/>
        <v>0</v>
      </c>
      <c r="M3021" s="50">
        <f t="shared" si="167"/>
        <v>0</v>
      </c>
    </row>
    <row r="3022" spans="1:13" x14ac:dyDescent="0.2">
      <c r="A3022" s="18"/>
      <c r="B3022" s="77"/>
      <c r="C3022" s="77"/>
      <c r="D3022" s="78"/>
      <c r="E3022" s="77"/>
      <c r="F3022" s="77"/>
      <c r="G3022" s="77"/>
      <c r="H3022" s="77"/>
      <c r="I3022" s="77"/>
      <c r="J3022" s="77"/>
      <c r="K3022" s="79"/>
      <c r="L3022" s="49">
        <f t="shared" si="166"/>
        <v>0</v>
      </c>
      <c r="M3022" s="50">
        <f t="shared" si="167"/>
        <v>0</v>
      </c>
    </row>
    <row r="3023" spans="1:13" x14ac:dyDescent="0.2">
      <c r="A3023" s="18"/>
      <c r="B3023" s="77"/>
      <c r="C3023" s="77"/>
      <c r="D3023" s="78"/>
      <c r="E3023" s="77"/>
      <c r="F3023" s="77"/>
      <c r="G3023" s="77"/>
      <c r="H3023" s="77"/>
      <c r="I3023" s="77"/>
      <c r="J3023" s="77"/>
      <c r="K3023" s="79"/>
      <c r="L3023" s="49">
        <f t="shared" si="166"/>
        <v>0</v>
      </c>
      <c r="M3023" s="50">
        <f t="shared" si="167"/>
        <v>0</v>
      </c>
    </row>
    <row r="3024" spans="1:13" x14ac:dyDescent="0.2">
      <c r="A3024" s="18"/>
      <c r="B3024" s="77"/>
      <c r="C3024" s="77"/>
      <c r="D3024" s="78"/>
      <c r="E3024" s="77"/>
      <c r="F3024" s="77"/>
      <c r="G3024" s="77"/>
      <c r="H3024" s="77"/>
      <c r="I3024" s="77"/>
      <c r="J3024" s="77"/>
      <c r="K3024" s="79"/>
      <c r="L3024" s="49">
        <f t="shared" si="166"/>
        <v>0</v>
      </c>
      <c r="M3024" s="50">
        <f t="shared" si="167"/>
        <v>0</v>
      </c>
    </row>
    <row r="3025" spans="1:13" x14ac:dyDescent="0.2">
      <c r="A3025" s="18"/>
      <c r="B3025" s="77"/>
      <c r="C3025" s="77"/>
      <c r="D3025" s="78"/>
      <c r="E3025" s="77"/>
      <c r="F3025" s="77"/>
      <c r="G3025" s="77"/>
      <c r="H3025" s="77"/>
      <c r="I3025" s="77"/>
      <c r="J3025" s="77"/>
      <c r="K3025" s="79"/>
      <c r="L3025" s="49">
        <f t="shared" si="166"/>
        <v>0</v>
      </c>
      <c r="M3025" s="50">
        <f t="shared" si="167"/>
        <v>0</v>
      </c>
    </row>
    <row r="3026" spans="1:13" x14ac:dyDescent="0.2">
      <c r="A3026" s="18"/>
      <c r="B3026" s="77"/>
      <c r="C3026" s="77"/>
      <c r="D3026" s="78"/>
      <c r="E3026" s="77"/>
      <c r="F3026" s="77"/>
      <c r="G3026" s="77"/>
      <c r="H3026" s="77"/>
      <c r="I3026" s="77"/>
      <c r="J3026" s="77"/>
      <c r="K3026" s="79"/>
      <c r="L3026" s="49">
        <f t="shared" si="166"/>
        <v>0</v>
      </c>
      <c r="M3026" s="50">
        <f t="shared" si="167"/>
        <v>0</v>
      </c>
    </row>
    <row r="3027" spans="1:13" x14ac:dyDescent="0.2">
      <c r="A3027" s="18"/>
      <c r="B3027" s="77"/>
      <c r="C3027" s="77"/>
      <c r="D3027" s="78"/>
      <c r="E3027" s="77"/>
      <c r="F3027" s="77"/>
      <c r="G3027" s="77"/>
      <c r="H3027" s="77"/>
      <c r="I3027" s="77"/>
      <c r="J3027" s="77"/>
      <c r="K3027" s="79"/>
      <c r="L3027" s="49">
        <f t="shared" si="166"/>
        <v>0</v>
      </c>
      <c r="M3027" s="50">
        <f t="shared" si="167"/>
        <v>0</v>
      </c>
    </row>
    <row r="3028" spans="1:13" x14ac:dyDescent="0.2">
      <c r="A3028" s="18"/>
      <c r="B3028" s="77"/>
      <c r="C3028" s="77"/>
      <c r="D3028" s="78"/>
      <c r="E3028" s="77"/>
      <c r="F3028" s="77"/>
      <c r="G3028" s="77"/>
      <c r="H3028" s="77"/>
      <c r="I3028" s="77"/>
      <c r="J3028" s="77"/>
      <c r="K3028" s="79"/>
      <c r="L3028" s="49">
        <f t="shared" si="166"/>
        <v>0</v>
      </c>
      <c r="M3028" s="50">
        <f t="shared" si="167"/>
        <v>0</v>
      </c>
    </row>
    <row r="3029" spans="1:13" x14ac:dyDescent="0.2">
      <c r="A3029" s="18"/>
      <c r="B3029" s="77"/>
      <c r="C3029" s="77"/>
      <c r="D3029" s="78"/>
      <c r="E3029" s="77"/>
      <c r="F3029" s="77"/>
      <c r="G3029" s="77"/>
      <c r="H3029" s="77"/>
      <c r="I3029" s="77"/>
      <c r="J3029" s="77"/>
      <c r="K3029" s="79"/>
      <c r="L3029" s="49">
        <f t="shared" si="166"/>
        <v>0</v>
      </c>
      <c r="M3029" s="50">
        <f t="shared" si="167"/>
        <v>0</v>
      </c>
    </row>
    <row r="3030" spans="1:13" x14ac:dyDescent="0.2">
      <c r="A3030" s="18"/>
      <c r="B3030" s="77"/>
      <c r="C3030" s="77"/>
      <c r="D3030" s="78"/>
      <c r="E3030" s="77"/>
      <c r="F3030" s="77"/>
      <c r="G3030" s="77"/>
      <c r="H3030" s="77"/>
      <c r="I3030" s="77"/>
      <c r="J3030" s="77"/>
      <c r="K3030" s="79"/>
      <c r="L3030" s="49">
        <f t="shared" si="166"/>
        <v>0</v>
      </c>
      <c r="M3030" s="50">
        <f t="shared" si="167"/>
        <v>0</v>
      </c>
    </row>
    <row r="3031" spans="1:13" x14ac:dyDescent="0.2">
      <c r="A3031" s="18"/>
      <c r="B3031" s="77"/>
      <c r="C3031" s="77"/>
      <c r="D3031" s="78"/>
      <c r="E3031" s="77"/>
      <c r="F3031" s="77"/>
      <c r="G3031" s="77"/>
      <c r="H3031" s="77"/>
      <c r="I3031" s="77"/>
      <c r="J3031" s="77"/>
      <c r="K3031" s="79"/>
      <c r="L3031" s="49">
        <f t="shared" si="166"/>
        <v>0</v>
      </c>
      <c r="M3031" s="50">
        <f t="shared" si="167"/>
        <v>0</v>
      </c>
    </row>
    <row r="3032" spans="1:13" x14ac:dyDescent="0.2">
      <c r="A3032" s="18"/>
      <c r="B3032" s="77"/>
      <c r="C3032" s="77"/>
      <c r="D3032" s="78"/>
      <c r="E3032" s="77"/>
      <c r="F3032" s="77"/>
      <c r="G3032" s="77"/>
      <c r="H3032" s="77"/>
      <c r="I3032" s="77"/>
      <c r="J3032" s="77"/>
      <c r="K3032" s="79"/>
      <c r="L3032" s="49">
        <f t="shared" si="166"/>
        <v>0</v>
      </c>
      <c r="M3032" s="50">
        <f t="shared" si="167"/>
        <v>0</v>
      </c>
    </row>
    <row r="3033" spans="1:13" x14ac:dyDescent="0.2">
      <c r="A3033" s="18"/>
      <c r="B3033" s="77"/>
      <c r="C3033" s="77"/>
      <c r="D3033" s="78"/>
      <c r="E3033" s="77"/>
      <c r="F3033" s="77"/>
      <c r="G3033" s="77"/>
      <c r="H3033" s="77"/>
      <c r="I3033" s="77"/>
      <c r="J3033" s="77"/>
      <c r="K3033" s="79"/>
      <c r="L3033" s="49">
        <f t="shared" si="166"/>
        <v>0</v>
      </c>
      <c r="M3033" s="50">
        <f t="shared" si="167"/>
        <v>0</v>
      </c>
    </row>
    <row r="3034" spans="1:13" x14ac:dyDescent="0.2">
      <c r="A3034" s="18"/>
      <c r="B3034" s="77"/>
      <c r="C3034" s="77"/>
      <c r="D3034" s="78"/>
      <c r="E3034" s="77"/>
      <c r="F3034" s="77"/>
      <c r="G3034" s="77"/>
      <c r="H3034" s="77"/>
      <c r="I3034" s="77"/>
      <c r="J3034" s="77"/>
      <c r="K3034" s="79"/>
      <c r="L3034" s="49">
        <f t="shared" si="166"/>
        <v>0</v>
      </c>
      <c r="M3034" s="50">
        <f t="shared" si="167"/>
        <v>0</v>
      </c>
    </row>
    <row r="3035" spans="1:13" x14ac:dyDescent="0.2">
      <c r="A3035" s="18"/>
      <c r="B3035" s="77"/>
      <c r="C3035" s="77"/>
      <c r="D3035" s="78"/>
      <c r="E3035" s="77"/>
      <c r="F3035" s="77"/>
      <c r="G3035" s="77"/>
      <c r="H3035" s="77"/>
      <c r="I3035" s="77"/>
      <c r="J3035" s="77"/>
      <c r="K3035" s="79"/>
      <c r="L3035" s="49">
        <f t="shared" si="166"/>
        <v>0</v>
      </c>
      <c r="M3035" s="50">
        <f t="shared" si="167"/>
        <v>0</v>
      </c>
    </row>
    <row r="3036" spans="1:13" x14ac:dyDescent="0.2">
      <c r="A3036" s="18"/>
      <c r="B3036" s="77"/>
      <c r="C3036" s="77"/>
      <c r="D3036" s="78"/>
      <c r="E3036" s="77"/>
      <c r="F3036" s="77"/>
      <c r="G3036" s="77"/>
      <c r="H3036" s="77"/>
      <c r="I3036" s="77"/>
      <c r="J3036" s="77"/>
      <c r="K3036" s="79"/>
      <c r="L3036" s="49">
        <f t="shared" si="166"/>
        <v>0</v>
      </c>
      <c r="M3036" s="50">
        <f t="shared" si="167"/>
        <v>0</v>
      </c>
    </row>
    <row r="3037" spans="1:13" x14ac:dyDescent="0.2">
      <c r="A3037" s="18"/>
      <c r="B3037" s="77"/>
      <c r="C3037" s="77"/>
      <c r="D3037" s="78"/>
      <c r="E3037" s="77"/>
      <c r="F3037" s="77"/>
      <c r="G3037" s="77"/>
      <c r="H3037" s="77"/>
      <c r="I3037" s="77"/>
      <c r="J3037" s="77"/>
      <c r="K3037" s="79"/>
      <c r="L3037" s="49">
        <f t="shared" si="166"/>
        <v>0</v>
      </c>
      <c r="M3037" s="50">
        <f t="shared" si="167"/>
        <v>0</v>
      </c>
    </row>
    <row r="3038" spans="1:13" x14ac:dyDescent="0.2">
      <c r="A3038" s="18"/>
      <c r="B3038" s="77"/>
      <c r="C3038" s="77"/>
      <c r="D3038" s="78"/>
      <c r="E3038" s="77"/>
      <c r="F3038" s="77"/>
      <c r="G3038" s="77"/>
      <c r="H3038" s="77"/>
      <c r="I3038" s="77"/>
      <c r="J3038" s="77"/>
      <c r="K3038" s="79"/>
      <c r="L3038" s="49">
        <f t="shared" si="166"/>
        <v>0</v>
      </c>
      <c r="M3038" s="50">
        <f t="shared" si="167"/>
        <v>0</v>
      </c>
    </row>
    <row r="3039" spans="1:13" x14ac:dyDescent="0.2">
      <c r="A3039" s="18"/>
      <c r="B3039" s="77"/>
      <c r="C3039" s="77"/>
      <c r="D3039" s="78"/>
      <c r="E3039" s="77"/>
      <c r="F3039" s="77"/>
      <c r="G3039" s="77"/>
      <c r="H3039" s="77"/>
      <c r="I3039" s="77"/>
      <c r="J3039" s="77"/>
      <c r="K3039" s="79"/>
      <c r="L3039" s="49">
        <f t="shared" ref="L3039:L3102" si="168">+K3039*18%</f>
        <v>0</v>
      </c>
      <c r="M3039" s="50">
        <f t="shared" ref="M3039:M3102" si="169">+K3039+L3039</f>
        <v>0</v>
      </c>
    </row>
    <row r="3040" spans="1:13" x14ac:dyDescent="0.2">
      <c r="A3040" s="18"/>
      <c r="B3040" s="77"/>
      <c r="C3040" s="77"/>
      <c r="D3040" s="78"/>
      <c r="E3040" s="77"/>
      <c r="F3040" s="77"/>
      <c r="G3040" s="77"/>
      <c r="H3040" s="77"/>
      <c r="I3040" s="77"/>
      <c r="J3040" s="77"/>
      <c r="K3040" s="79"/>
      <c r="L3040" s="49">
        <f t="shared" si="168"/>
        <v>0</v>
      </c>
      <c r="M3040" s="50">
        <f t="shared" si="169"/>
        <v>0</v>
      </c>
    </row>
    <row r="3041" spans="1:13" x14ac:dyDescent="0.2">
      <c r="A3041" s="18"/>
      <c r="B3041" s="77"/>
      <c r="C3041" s="77"/>
      <c r="D3041" s="78"/>
      <c r="E3041" s="77"/>
      <c r="F3041" s="77"/>
      <c r="G3041" s="77"/>
      <c r="H3041" s="77"/>
      <c r="I3041" s="77"/>
      <c r="J3041" s="77"/>
      <c r="K3041" s="79"/>
      <c r="L3041" s="49">
        <f t="shared" si="168"/>
        <v>0</v>
      </c>
      <c r="M3041" s="50">
        <f t="shared" si="169"/>
        <v>0</v>
      </c>
    </row>
    <row r="3042" spans="1:13" x14ac:dyDescent="0.2">
      <c r="A3042" s="18"/>
      <c r="B3042" s="77"/>
      <c r="C3042" s="77"/>
      <c r="D3042" s="78"/>
      <c r="E3042" s="77"/>
      <c r="F3042" s="77"/>
      <c r="G3042" s="77"/>
      <c r="H3042" s="77"/>
      <c r="I3042" s="77"/>
      <c r="J3042" s="77"/>
      <c r="K3042" s="79"/>
      <c r="L3042" s="49">
        <f t="shared" si="168"/>
        <v>0</v>
      </c>
      <c r="M3042" s="50">
        <f t="shared" si="169"/>
        <v>0</v>
      </c>
    </row>
    <row r="3043" spans="1:13" x14ac:dyDescent="0.2">
      <c r="A3043" s="18"/>
      <c r="B3043" s="77"/>
      <c r="C3043" s="77"/>
      <c r="D3043" s="78"/>
      <c r="E3043" s="77"/>
      <c r="F3043" s="77"/>
      <c r="G3043" s="77"/>
      <c r="H3043" s="77"/>
      <c r="I3043" s="77"/>
      <c r="J3043" s="77"/>
      <c r="K3043" s="79"/>
      <c r="L3043" s="49">
        <f t="shared" si="168"/>
        <v>0</v>
      </c>
      <c r="M3043" s="50">
        <f t="shared" si="169"/>
        <v>0</v>
      </c>
    </row>
    <row r="3044" spans="1:13" x14ac:dyDescent="0.2">
      <c r="A3044" s="18"/>
      <c r="B3044" s="77"/>
      <c r="C3044" s="77"/>
      <c r="D3044" s="78"/>
      <c r="E3044" s="77"/>
      <c r="F3044" s="77"/>
      <c r="G3044" s="77"/>
      <c r="H3044" s="77"/>
      <c r="I3044" s="77"/>
      <c r="J3044" s="77"/>
      <c r="K3044" s="79"/>
      <c r="L3044" s="49">
        <f t="shared" si="168"/>
        <v>0</v>
      </c>
      <c r="M3044" s="50">
        <f t="shared" si="169"/>
        <v>0</v>
      </c>
    </row>
    <row r="3045" spans="1:13" x14ac:dyDescent="0.2">
      <c r="A3045" s="18"/>
      <c r="B3045" s="77"/>
      <c r="C3045" s="77"/>
      <c r="D3045" s="78"/>
      <c r="E3045" s="77"/>
      <c r="F3045" s="77"/>
      <c r="G3045" s="77"/>
      <c r="H3045" s="77"/>
      <c r="I3045" s="77"/>
      <c r="J3045" s="77"/>
      <c r="K3045" s="79"/>
      <c r="L3045" s="49">
        <f t="shared" si="168"/>
        <v>0</v>
      </c>
      <c r="M3045" s="50">
        <f t="shared" si="169"/>
        <v>0</v>
      </c>
    </row>
    <row r="3046" spans="1:13" x14ac:dyDescent="0.2">
      <c r="A3046" s="18"/>
      <c r="B3046" s="77"/>
      <c r="C3046" s="77"/>
      <c r="D3046" s="78"/>
      <c r="E3046" s="77"/>
      <c r="F3046" s="77"/>
      <c r="G3046" s="77"/>
      <c r="H3046" s="77"/>
      <c r="I3046" s="77"/>
      <c r="J3046" s="77"/>
      <c r="K3046" s="79"/>
      <c r="L3046" s="49">
        <f t="shared" si="168"/>
        <v>0</v>
      </c>
      <c r="M3046" s="50">
        <f t="shared" si="169"/>
        <v>0</v>
      </c>
    </row>
    <row r="3047" spans="1:13" x14ac:dyDescent="0.2">
      <c r="A3047" s="18"/>
      <c r="B3047" s="77"/>
      <c r="C3047" s="77"/>
      <c r="D3047" s="78"/>
      <c r="E3047" s="77"/>
      <c r="F3047" s="77"/>
      <c r="G3047" s="77"/>
      <c r="H3047" s="77"/>
      <c r="I3047" s="77"/>
      <c r="J3047" s="77"/>
      <c r="K3047" s="79"/>
      <c r="L3047" s="49">
        <f t="shared" si="168"/>
        <v>0</v>
      </c>
      <c r="M3047" s="50">
        <f t="shared" si="169"/>
        <v>0</v>
      </c>
    </row>
    <row r="3048" spans="1:13" x14ac:dyDescent="0.2">
      <c r="A3048" s="18"/>
      <c r="B3048" s="77"/>
      <c r="C3048" s="77"/>
      <c r="D3048" s="78"/>
      <c r="E3048" s="77"/>
      <c r="F3048" s="77"/>
      <c r="G3048" s="77"/>
      <c r="H3048" s="77"/>
      <c r="I3048" s="77"/>
      <c r="J3048" s="77"/>
      <c r="K3048" s="79"/>
      <c r="L3048" s="49">
        <f t="shared" si="168"/>
        <v>0</v>
      </c>
      <c r="M3048" s="50">
        <f t="shared" si="169"/>
        <v>0</v>
      </c>
    </row>
    <row r="3049" spans="1:13" x14ac:dyDescent="0.2">
      <c r="A3049" s="18"/>
      <c r="B3049" s="77"/>
      <c r="C3049" s="77"/>
      <c r="D3049" s="78"/>
      <c r="E3049" s="77"/>
      <c r="F3049" s="77"/>
      <c r="G3049" s="77"/>
      <c r="H3049" s="77"/>
      <c r="I3049" s="77"/>
      <c r="J3049" s="77"/>
      <c r="K3049" s="79"/>
      <c r="L3049" s="49">
        <f t="shared" si="168"/>
        <v>0</v>
      </c>
      <c r="M3049" s="50">
        <f t="shared" si="169"/>
        <v>0</v>
      </c>
    </row>
    <row r="3050" spans="1:13" x14ac:dyDescent="0.2">
      <c r="A3050" s="18"/>
      <c r="B3050" s="77"/>
      <c r="C3050" s="77"/>
      <c r="D3050" s="78"/>
      <c r="E3050" s="77"/>
      <c r="F3050" s="77"/>
      <c r="G3050" s="77"/>
      <c r="H3050" s="77"/>
      <c r="I3050" s="77"/>
      <c r="J3050" s="77"/>
      <c r="K3050" s="79"/>
      <c r="L3050" s="49">
        <f t="shared" si="168"/>
        <v>0</v>
      </c>
      <c r="M3050" s="50">
        <f t="shared" si="169"/>
        <v>0</v>
      </c>
    </row>
    <row r="3051" spans="1:13" x14ac:dyDescent="0.2">
      <c r="A3051" s="18"/>
      <c r="B3051" s="77"/>
      <c r="C3051" s="77"/>
      <c r="D3051" s="78"/>
      <c r="E3051" s="77"/>
      <c r="F3051" s="77"/>
      <c r="G3051" s="77"/>
      <c r="H3051" s="77"/>
      <c r="I3051" s="77"/>
      <c r="J3051" s="77"/>
      <c r="K3051" s="79"/>
      <c r="L3051" s="49">
        <f t="shared" si="168"/>
        <v>0</v>
      </c>
      <c r="M3051" s="50">
        <f t="shared" si="169"/>
        <v>0</v>
      </c>
    </row>
    <row r="3052" spans="1:13" x14ac:dyDescent="0.2">
      <c r="A3052" s="18"/>
      <c r="B3052" s="77"/>
      <c r="C3052" s="77"/>
      <c r="D3052" s="78"/>
      <c r="E3052" s="77"/>
      <c r="F3052" s="77"/>
      <c r="G3052" s="77"/>
      <c r="H3052" s="77"/>
      <c r="I3052" s="77"/>
      <c r="J3052" s="77"/>
      <c r="K3052" s="79"/>
      <c r="L3052" s="49">
        <f t="shared" si="168"/>
        <v>0</v>
      </c>
      <c r="M3052" s="50">
        <f t="shared" si="169"/>
        <v>0</v>
      </c>
    </row>
    <row r="3053" spans="1:13" x14ac:dyDescent="0.2">
      <c r="A3053" s="18"/>
      <c r="B3053" s="77"/>
      <c r="C3053" s="77"/>
      <c r="D3053" s="78"/>
      <c r="E3053" s="77"/>
      <c r="F3053" s="77"/>
      <c r="G3053" s="77"/>
      <c r="H3053" s="77"/>
      <c r="I3053" s="77"/>
      <c r="J3053" s="77"/>
      <c r="K3053" s="79"/>
      <c r="L3053" s="49">
        <f t="shared" si="168"/>
        <v>0</v>
      </c>
      <c r="M3053" s="50">
        <f t="shared" si="169"/>
        <v>0</v>
      </c>
    </row>
    <row r="3054" spans="1:13" x14ac:dyDescent="0.2">
      <c r="A3054" s="18"/>
      <c r="B3054" s="77"/>
      <c r="C3054" s="77"/>
      <c r="D3054" s="78"/>
      <c r="E3054" s="77"/>
      <c r="F3054" s="77"/>
      <c r="G3054" s="77"/>
      <c r="H3054" s="77"/>
      <c r="I3054" s="77"/>
      <c r="J3054" s="77"/>
      <c r="K3054" s="79"/>
      <c r="L3054" s="49">
        <f t="shared" si="168"/>
        <v>0</v>
      </c>
      <c r="M3054" s="50">
        <f t="shared" si="169"/>
        <v>0</v>
      </c>
    </row>
    <row r="3055" spans="1:13" x14ac:dyDescent="0.2">
      <c r="A3055" s="18"/>
      <c r="B3055" s="77"/>
      <c r="C3055" s="77"/>
      <c r="D3055" s="78"/>
      <c r="E3055" s="77"/>
      <c r="F3055" s="77"/>
      <c r="G3055" s="77"/>
      <c r="H3055" s="77"/>
      <c r="I3055" s="77"/>
      <c r="J3055" s="77"/>
      <c r="K3055" s="79"/>
      <c r="L3055" s="49">
        <f t="shared" si="168"/>
        <v>0</v>
      </c>
      <c r="M3055" s="50">
        <f t="shared" si="169"/>
        <v>0</v>
      </c>
    </row>
    <row r="3056" spans="1:13" x14ac:dyDescent="0.2">
      <c r="A3056" s="18"/>
      <c r="B3056" s="77"/>
      <c r="C3056" s="77"/>
      <c r="D3056" s="78"/>
      <c r="E3056" s="77"/>
      <c r="F3056" s="77"/>
      <c r="G3056" s="77"/>
      <c r="H3056" s="77"/>
      <c r="I3056" s="77"/>
      <c r="J3056" s="77"/>
      <c r="K3056" s="79"/>
      <c r="L3056" s="49">
        <f t="shared" si="168"/>
        <v>0</v>
      </c>
      <c r="M3056" s="50">
        <f t="shared" si="169"/>
        <v>0</v>
      </c>
    </row>
    <row r="3057" spans="1:13" x14ac:dyDescent="0.2">
      <c r="A3057" s="18"/>
      <c r="B3057" s="77"/>
      <c r="C3057" s="77"/>
      <c r="D3057" s="78"/>
      <c r="E3057" s="77"/>
      <c r="F3057" s="77"/>
      <c r="G3057" s="77"/>
      <c r="H3057" s="77"/>
      <c r="I3057" s="77"/>
      <c r="J3057" s="77"/>
      <c r="K3057" s="79"/>
      <c r="L3057" s="49">
        <f t="shared" si="168"/>
        <v>0</v>
      </c>
      <c r="M3057" s="50">
        <f t="shared" si="169"/>
        <v>0</v>
      </c>
    </row>
    <row r="3058" spans="1:13" x14ac:dyDescent="0.2">
      <c r="A3058" s="18"/>
      <c r="B3058" s="77"/>
      <c r="C3058" s="77"/>
      <c r="D3058" s="78"/>
      <c r="E3058" s="77"/>
      <c r="F3058" s="77"/>
      <c r="G3058" s="77"/>
      <c r="H3058" s="77"/>
      <c r="I3058" s="77"/>
      <c r="J3058" s="77"/>
      <c r="K3058" s="79"/>
      <c r="L3058" s="49">
        <f t="shared" si="168"/>
        <v>0</v>
      </c>
      <c r="M3058" s="50">
        <f t="shared" si="169"/>
        <v>0</v>
      </c>
    </row>
    <row r="3059" spans="1:13" x14ac:dyDescent="0.2">
      <c r="A3059" s="18"/>
      <c r="B3059" s="77"/>
      <c r="C3059" s="77"/>
      <c r="D3059" s="78"/>
      <c r="E3059" s="77"/>
      <c r="F3059" s="77"/>
      <c r="G3059" s="77"/>
      <c r="H3059" s="77"/>
      <c r="I3059" s="77"/>
      <c r="J3059" s="77"/>
      <c r="K3059" s="79"/>
      <c r="L3059" s="49">
        <f t="shared" si="168"/>
        <v>0</v>
      </c>
      <c r="M3059" s="50">
        <f t="shared" si="169"/>
        <v>0</v>
      </c>
    </row>
    <row r="3060" spans="1:13" x14ac:dyDescent="0.2">
      <c r="A3060" s="18"/>
      <c r="B3060" s="77"/>
      <c r="C3060" s="77"/>
      <c r="D3060" s="78"/>
      <c r="E3060" s="77"/>
      <c r="F3060" s="77"/>
      <c r="G3060" s="77"/>
      <c r="H3060" s="77"/>
      <c r="I3060" s="77"/>
      <c r="J3060" s="77"/>
      <c r="K3060" s="79"/>
      <c r="L3060" s="49">
        <f t="shared" si="168"/>
        <v>0</v>
      </c>
      <c r="M3060" s="50">
        <f t="shared" si="169"/>
        <v>0</v>
      </c>
    </row>
    <row r="3061" spans="1:13" x14ac:dyDescent="0.2">
      <c r="A3061" s="18"/>
      <c r="B3061" s="77"/>
      <c r="C3061" s="77"/>
      <c r="D3061" s="78"/>
      <c r="E3061" s="77"/>
      <c r="F3061" s="77"/>
      <c r="G3061" s="77"/>
      <c r="H3061" s="77"/>
      <c r="I3061" s="77"/>
      <c r="J3061" s="77"/>
      <c r="K3061" s="79"/>
      <c r="L3061" s="49">
        <f t="shared" si="168"/>
        <v>0</v>
      </c>
      <c r="M3061" s="50">
        <f t="shared" si="169"/>
        <v>0</v>
      </c>
    </row>
    <row r="3062" spans="1:13" x14ac:dyDescent="0.2">
      <c r="A3062" s="18"/>
      <c r="B3062" s="77"/>
      <c r="C3062" s="77"/>
      <c r="D3062" s="78"/>
      <c r="E3062" s="77"/>
      <c r="F3062" s="77"/>
      <c r="G3062" s="77"/>
      <c r="H3062" s="77"/>
      <c r="I3062" s="77"/>
      <c r="J3062" s="77"/>
      <c r="K3062" s="79"/>
      <c r="L3062" s="49">
        <f t="shared" si="168"/>
        <v>0</v>
      </c>
      <c r="M3062" s="50">
        <f t="shared" si="169"/>
        <v>0</v>
      </c>
    </row>
    <row r="3063" spans="1:13" x14ac:dyDescent="0.2">
      <c r="A3063" s="18"/>
      <c r="B3063" s="77"/>
      <c r="C3063" s="77"/>
      <c r="D3063" s="78"/>
      <c r="E3063" s="77"/>
      <c r="F3063" s="77"/>
      <c r="G3063" s="77"/>
      <c r="H3063" s="77"/>
      <c r="I3063" s="77"/>
      <c r="J3063" s="77"/>
      <c r="K3063" s="79"/>
      <c r="L3063" s="49">
        <f t="shared" si="168"/>
        <v>0</v>
      </c>
      <c r="M3063" s="50">
        <f t="shared" si="169"/>
        <v>0</v>
      </c>
    </row>
    <row r="3064" spans="1:13" x14ac:dyDescent="0.2">
      <c r="A3064" s="18"/>
      <c r="B3064" s="77"/>
      <c r="C3064" s="77"/>
      <c r="D3064" s="78"/>
      <c r="E3064" s="77"/>
      <c r="F3064" s="77"/>
      <c r="G3064" s="77"/>
      <c r="H3064" s="77"/>
      <c r="I3064" s="77"/>
      <c r="J3064" s="77"/>
      <c r="K3064" s="79"/>
      <c r="L3064" s="49">
        <f t="shared" si="168"/>
        <v>0</v>
      </c>
      <c r="M3064" s="50">
        <f t="shared" si="169"/>
        <v>0</v>
      </c>
    </row>
    <row r="3065" spans="1:13" x14ac:dyDescent="0.2">
      <c r="A3065" s="18"/>
      <c r="B3065" s="77"/>
      <c r="C3065" s="77"/>
      <c r="D3065" s="78"/>
      <c r="E3065" s="77"/>
      <c r="F3065" s="77"/>
      <c r="G3065" s="77"/>
      <c r="H3065" s="77"/>
      <c r="I3065" s="77"/>
      <c r="J3065" s="77"/>
      <c r="K3065" s="79"/>
      <c r="L3065" s="49">
        <f t="shared" si="168"/>
        <v>0</v>
      </c>
      <c r="M3065" s="50">
        <f t="shared" si="169"/>
        <v>0</v>
      </c>
    </row>
    <row r="3066" spans="1:13" x14ac:dyDescent="0.2">
      <c r="A3066" s="18"/>
      <c r="B3066" s="77"/>
      <c r="C3066" s="77"/>
      <c r="D3066" s="78"/>
      <c r="E3066" s="77"/>
      <c r="F3066" s="77"/>
      <c r="G3066" s="77"/>
      <c r="H3066" s="77"/>
      <c r="I3066" s="77"/>
      <c r="J3066" s="77"/>
      <c r="K3066" s="79"/>
      <c r="L3066" s="49">
        <f t="shared" si="168"/>
        <v>0</v>
      </c>
      <c r="M3066" s="50">
        <f t="shared" si="169"/>
        <v>0</v>
      </c>
    </row>
    <row r="3067" spans="1:13" x14ac:dyDescent="0.2">
      <c r="A3067" s="18"/>
      <c r="B3067" s="77"/>
      <c r="C3067" s="77"/>
      <c r="D3067" s="78"/>
      <c r="E3067" s="77"/>
      <c r="F3067" s="77"/>
      <c r="G3067" s="77"/>
      <c r="H3067" s="77"/>
      <c r="I3067" s="77"/>
      <c r="J3067" s="77"/>
      <c r="K3067" s="79"/>
      <c r="L3067" s="49">
        <f t="shared" si="168"/>
        <v>0</v>
      </c>
      <c r="M3067" s="50">
        <f t="shared" si="169"/>
        <v>0</v>
      </c>
    </row>
    <row r="3068" spans="1:13" x14ac:dyDescent="0.2">
      <c r="A3068" s="18"/>
      <c r="B3068" s="77"/>
      <c r="C3068" s="77"/>
      <c r="D3068" s="78"/>
      <c r="E3068" s="77"/>
      <c r="F3068" s="77"/>
      <c r="G3068" s="77"/>
      <c r="H3068" s="77"/>
      <c r="I3068" s="77"/>
      <c r="J3068" s="77"/>
      <c r="K3068" s="79"/>
      <c r="L3068" s="49">
        <f t="shared" si="168"/>
        <v>0</v>
      </c>
      <c r="M3068" s="50">
        <f t="shared" si="169"/>
        <v>0</v>
      </c>
    </row>
    <row r="3069" spans="1:13" x14ac:dyDescent="0.2">
      <c r="A3069" s="18"/>
      <c r="B3069" s="77"/>
      <c r="C3069" s="77"/>
      <c r="D3069" s="78"/>
      <c r="E3069" s="77"/>
      <c r="F3069" s="77"/>
      <c r="G3069" s="77"/>
      <c r="H3069" s="77"/>
      <c r="I3069" s="77"/>
      <c r="J3069" s="77"/>
      <c r="K3069" s="79"/>
      <c r="L3069" s="49">
        <f t="shared" si="168"/>
        <v>0</v>
      </c>
      <c r="M3069" s="50">
        <f t="shared" si="169"/>
        <v>0</v>
      </c>
    </row>
    <row r="3070" spans="1:13" x14ac:dyDescent="0.2">
      <c r="A3070" s="18"/>
      <c r="B3070" s="77"/>
      <c r="C3070" s="77"/>
      <c r="D3070" s="78"/>
      <c r="E3070" s="77"/>
      <c r="F3070" s="77"/>
      <c r="G3070" s="77"/>
      <c r="H3070" s="77"/>
      <c r="I3070" s="77"/>
      <c r="J3070" s="77"/>
      <c r="K3070" s="79"/>
      <c r="L3070" s="49">
        <f t="shared" si="168"/>
        <v>0</v>
      </c>
      <c r="M3070" s="50">
        <f t="shared" si="169"/>
        <v>0</v>
      </c>
    </row>
    <row r="3071" spans="1:13" x14ac:dyDescent="0.2">
      <c r="A3071" s="18"/>
      <c r="B3071" s="77"/>
      <c r="C3071" s="77"/>
      <c r="D3071" s="78"/>
      <c r="E3071" s="77"/>
      <c r="F3071" s="77"/>
      <c r="G3071" s="77"/>
      <c r="H3071" s="77"/>
      <c r="I3071" s="77"/>
      <c r="J3071" s="77"/>
      <c r="K3071" s="79"/>
      <c r="L3071" s="49">
        <f t="shared" si="168"/>
        <v>0</v>
      </c>
      <c r="M3071" s="50">
        <f t="shared" si="169"/>
        <v>0</v>
      </c>
    </row>
    <row r="3072" spans="1:13" x14ac:dyDescent="0.2">
      <c r="A3072" s="18"/>
      <c r="B3072" s="77"/>
      <c r="C3072" s="77"/>
      <c r="D3072" s="78"/>
      <c r="E3072" s="77"/>
      <c r="F3072" s="77"/>
      <c r="G3072" s="77"/>
      <c r="H3072" s="77"/>
      <c r="I3072" s="77"/>
      <c r="J3072" s="77"/>
      <c r="K3072" s="79"/>
      <c r="L3072" s="49">
        <f t="shared" si="168"/>
        <v>0</v>
      </c>
      <c r="M3072" s="50">
        <f t="shared" si="169"/>
        <v>0</v>
      </c>
    </row>
    <row r="3073" spans="1:13" x14ac:dyDescent="0.2">
      <c r="A3073" s="18"/>
      <c r="B3073" s="77"/>
      <c r="C3073" s="77"/>
      <c r="D3073" s="78"/>
      <c r="E3073" s="77"/>
      <c r="F3073" s="77"/>
      <c r="G3073" s="77"/>
      <c r="H3073" s="77"/>
      <c r="I3073" s="77"/>
      <c r="J3073" s="77"/>
      <c r="K3073" s="79"/>
      <c r="L3073" s="49">
        <f t="shared" si="168"/>
        <v>0</v>
      </c>
      <c r="M3073" s="50">
        <f t="shared" si="169"/>
        <v>0</v>
      </c>
    </row>
    <row r="3074" spans="1:13" x14ac:dyDescent="0.2">
      <c r="A3074" s="18"/>
      <c r="B3074" s="77"/>
      <c r="C3074" s="77"/>
      <c r="D3074" s="78"/>
      <c r="E3074" s="77"/>
      <c r="F3074" s="77"/>
      <c r="G3074" s="77"/>
      <c r="H3074" s="77"/>
      <c r="I3074" s="77"/>
      <c r="J3074" s="77"/>
      <c r="K3074" s="79"/>
      <c r="L3074" s="49">
        <f t="shared" si="168"/>
        <v>0</v>
      </c>
      <c r="M3074" s="50">
        <f t="shared" si="169"/>
        <v>0</v>
      </c>
    </row>
    <row r="3075" spans="1:13" x14ac:dyDescent="0.2">
      <c r="A3075" s="18"/>
      <c r="B3075" s="77"/>
      <c r="C3075" s="77"/>
      <c r="D3075" s="78"/>
      <c r="E3075" s="77"/>
      <c r="F3075" s="77"/>
      <c r="G3075" s="77"/>
      <c r="H3075" s="77"/>
      <c r="I3075" s="77"/>
      <c r="J3075" s="77"/>
      <c r="K3075" s="79"/>
      <c r="L3075" s="49">
        <f t="shared" si="168"/>
        <v>0</v>
      </c>
      <c r="M3075" s="50">
        <f t="shared" si="169"/>
        <v>0</v>
      </c>
    </row>
    <row r="3076" spans="1:13" x14ac:dyDescent="0.2">
      <c r="A3076" s="18"/>
      <c r="B3076" s="77"/>
      <c r="C3076" s="77"/>
      <c r="D3076" s="78"/>
      <c r="E3076" s="77"/>
      <c r="F3076" s="77"/>
      <c r="G3076" s="77"/>
      <c r="H3076" s="77"/>
      <c r="I3076" s="77"/>
      <c r="J3076" s="77"/>
      <c r="K3076" s="79"/>
      <c r="L3076" s="49">
        <f t="shared" si="168"/>
        <v>0</v>
      </c>
      <c r="M3076" s="50">
        <f t="shared" si="169"/>
        <v>0</v>
      </c>
    </row>
    <row r="3077" spans="1:13" x14ac:dyDescent="0.2">
      <c r="A3077" s="18"/>
      <c r="B3077" s="77"/>
      <c r="C3077" s="77"/>
      <c r="D3077" s="78"/>
      <c r="E3077" s="77"/>
      <c r="F3077" s="77"/>
      <c r="G3077" s="77"/>
      <c r="H3077" s="77"/>
      <c r="I3077" s="77"/>
      <c r="J3077" s="77"/>
      <c r="K3077" s="79"/>
      <c r="L3077" s="49">
        <f t="shared" si="168"/>
        <v>0</v>
      </c>
      <c r="M3077" s="50">
        <f t="shared" si="169"/>
        <v>0</v>
      </c>
    </row>
    <row r="3078" spans="1:13" x14ac:dyDescent="0.2">
      <c r="A3078" s="18"/>
      <c r="B3078" s="77"/>
      <c r="C3078" s="77"/>
      <c r="D3078" s="78"/>
      <c r="E3078" s="77"/>
      <c r="F3078" s="77"/>
      <c r="G3078" s="77"/>
      <c r="H3078" s="77"/>
      <c r="I3078" s="77"/>
      <c r="J3078" s="77"/>
      <c r="K3078" s="79"/>
      <c r="L3078" s="49">
        <f t="shared" si="168"/>
        <v>0</v>
      </c>
      <c r="M3078" s="50">
        <f t="shared" si="169"/>
        <v>0</v>
      </c>
    </row>
    <row r="3079" spans="1:13" x14ac:dyDescent="0.2">
      <c r="A3079" s="18"/>
      <c r="B3079" s="77"/>
      <c r="C3079" s="77"/>
      <c r="D3079" s="78"/>
      <c r="E3079" s="77"/>
      <c r="F3079" s="77"/>
      <c r="G3079" s="77"/>
      <c r="H3079" s="77"/>
      <c r="I3079" s="77"/>
      <c r="J3079" s="77"/>
      <c r="K3079" s="79"/>
      <c r="L3079" s="49">
        <f t="shared" si="168"/>
        <v>0</v>
      </c>
      <c r="M3079" s="50">
        <f t="shared" si="169"/>
        <v>0</v>
      </c>
    </row>
    <row r="3080" spans="1:13" x14ac:dyDescent="0.2">
      <c r="A3080" s="18"/>
      <c r="B3080" s="77"/>
      <c r="C3080" s="77"/>
      <c r="D3080" s="78"/>
      <c r="E3080" s="77"/>
      <c r="F3080" s="77"/>
      <c r="G3080" s="77"/>
      <c r="H3080" s="77"/>
      <c r="I3080" s="77"/>
      <c r="J3080" s="77"/>
      <c r="K3080" s="79"/>
      <c r="L3080" s="49">
        <f t="shared" si="168"/>
        <v>0</v>
      </c>
      <c r="M3080" s="50">
        <f t="shared" si="169"/>
        <v>0</v>
      </c>
    </row>
    <row r="3081" spans="1:13" x14ac:dyDescent="0.2">
      <c r="A3081" s="18"/>
      <c r="B3081" s="77"/>
      <c r="C3081" s="77"/>
      <c r="D3081" s="78"/>
      <c r="E3081" s="77"/>
      <c r="F3081" s="77"/>
      <c r="G3081" s="77"/>
      <c r="H3081" s="77"/>
      <c r="I3081" s="77"/>
      <c r="J3081" s="77"/>
      <c r="K3081" s="79"/>
      <c r="L3081" s="49">
        <f t="shared" si="168"/>
        <v>0</v>
      </c>
      <c r="M3081" s="50">
        <f t="shared" si="169"/>
        <v>0</v>
      </c>
    </row>
    <row r="3082" spans="1:13" x14ac:dyDescent="0.2">
      <c r="A3082" s="18"/>
      <c r="B3082" s="77"/>
      <c r="C3082" s="77"/>
      <c r="D3082" s="78"/>
      <c r="E3082" s="77"/>
      <c r="F3082" s="77"/>
      <c r="G3082" s="77"/>
      <c r="H3082" s="77"/>
      <c r="I3082" s="77"/>
      <c r="J3082" s="77"/>
      <c r="K3082" s="79"/>
      <c r="L3082" s="49">
        <f t="shared" si="168"/>
        <v>0</v>
      </c>
      <c r="M3082" s="50">
        <f t="shared" si="169"/>
        <v>0</v>
      </c>
    </row>
    <row r="3083" spans="1:13" x14ac:dyDescent="0.2">
      <c r="A3083" s="18"/>
      <c r="B3083" s="77"/>
      <c r="C3083" s="77"/>
      <c r="D3083" s="78"/>
      <c r="E3083" s="77"/>
      <c r="F3083" s="77"/>
      <c r="G3083" s="77"/>
      <c r="H3083" s="77"/>
      <c r="I3083" s="77"/>
      <c r="J3083" s="77"/>
      <c r="K3083" s="79"/>
      <c r="L3083" s="49">
        <f t="shared" si="168"/>
        <v>0</v>
      </c>
      <c r="M3083" s="50">
        <f t="shared" si="169"/>
        <v>0</v>
      </c>
    </row>
    <row r="3084" spans="1:13" x14ac:dyDescent="0.2">
      <c r="A3084" s="18"/>
      <c r="B3084" s="77"/>
      <c r="C3084" s="77"/>
      <c r="D3084" s="78"/>
      <c r="E3084" s="77"/>
      <c r="F3084" s="77"/>
      <c r="G3084" s="77"/>
      <c r="H3084" s="77"/>
      <c r="I3084" s="77"/>
      <c r="J3084" s="77"/>
      <c r="K3084" s="79"/>
      <c r="L3084" s="49">
        <f t="shared" si="168"/>
        <v>0</v>
      </c>
      <c r="M3084" s="50">
        <f t="shared" si="169"/>
        <v>0</v>
      </c>
    </row>
    <row r="3085" spans="1:13" x14ac:dyDescent="0.2">
      <c r="A3085" s="18"/>
      <c r="B3085" s="77"/>
      <c r="C3085" s="77"/>
      <c r="D3085" s="78"/>
      <c r="E3085" s="77"/>
      <c r="F3085" s="77"/>
      <c r="G3085" s="77"/>
      <c r="H3085" s="77"/>
      <c r="I3085" s="77"/>
      <c r="J3085" s="77"/>
      <c r="K3085" s="79"/>
      <c r="L3085" s="49">
        <f t="shared" si="168"/>
        <v>0</v>
      </c>
      <c r="M3085" s="50">
        <f t="shared" si="169"/>
        <v>0</v>
      </c>
    </row>
    <row r="3086" spans="1:13" x14ac:dyDescent="0.2">
      <c r="A3086" s="18"/>
      <c r="B3086" s="77"/>
      <c r="C3086" s="77"/>
      <c r="D3086" s="78"/>
      <c r="E3086" s="77"/>
      <c r="F3086" s="77"/>
      <c r="G3086" s="77"/>
      <c r="H3086" s="77"/>
      <c r="I3086" s="77"/>
      <c r="J3086" s="77"/>
      <c r="K3086" s="79"/>
      <c r="L3086" s="49">
        <f t="shared" si="168"/>
        <v>0</v>
      </c>
      <c r="M3086" s="50">
        <f t="shared" si="169"/>
        <v>0</v>
      </c>
    </row>
    <row r="3087" spans="1:13" x14ac:dyDescent="0.2">
      <c r="A3087" s="18"/>
      <c r="B3087" s="77"/>
      <c r="C3087" s="77"/>
      <c r="D3087" s="78"/>
      <c r="E3087" s="77"/>
      <c r="F3087" s="77"/>
      <c r="G3087" s="77"/>
      <c r="H3087" s="77"/>
      <c r="I3087" s="77"/>
      <c r="J3087" s="77"/>
      <c r="K3087" s="79"/>
      <c r="L3087" s="49">
        <f t="shared" si="168"/>
        <v>0</v>
      </c>
      <c r="M3087" s="50">
        <f t="shared" si="169"/>
        <v>0</v>
      </c>
    </row>
    <row r="3088" spans="1:13" x14ac:dyDescent="0.2">
      <c r="A3088" s="18"/>
      <c r="B3088" s="77"/>
      <c r="C3088" s="77"/>
      <c r="D3088" s="78"/>
      <c r="E3088" s="77"/>
      <c r="F3088" s="77"/>
      <c r="G3088" s="77"/>
      <c r="H3088" s="77"/>
      <c r="I3088" s="77"/>
      <c r="J3088" s="77"/>
      <c r="K3088" s="79"/>
      <c r="L3088" s="49">
        <f t="shared" si="168"/>
        <v>0</v>
      </c>
      <c r="M3088" s="50">
        <f t="shared" si="169"/>
        <v>0</v>
      </c>
    </row>
    <row r="3089" spans="1:13" x14ac:dyDescent="0.2">
      <c r="A3089" s="18"/>
      <c r="B3089" s="77"/>
      <c r="C3089" s="77"/>
      <c r="D3089" s="78"/>
      <c r="E3089" s="77"/>
      <c r="F3089" s="77"/>
      <c r="G3089" s="77"/>
      <c r="H3089" s="77"/>
      <c r="I3089" s="77"/>
      <c r="J3089" s="77"/>
      <c r="K3089" s="79"/>
      <c r="L3089" s="49">
        <f t="shared" si="168"/>
        <v>0</v>
      </c>
      <c r="M3089" s="50">
        <f t="shared" si="169"/>
        <v>0</v>
      </c>
    </row>
    <row r="3090" spans="1:13" x14ac:dyDescent="0.2">
      <c r="A3090" s="18"/>
      <c r="B3090" s="77"/>
      <c r="C3090" s="77"/>
      <c r="D3090" s="78"/>
      <c r="E3090" s="77"/>
      <c r="F3090" s="77"/>
      <c r="G3090" s="77"/>
      <c r="H3090" s="77"/>
      <c r="I3090" s="77"/>
      <c r="J3090" s="77"/>
      <c r="K3090" s="79"/>
      <c r="L3090" s="49">
        <f t="shared" si="168"/>
        <v>0</v>
      </c>
      <c r="M3090" s="50">
        <f t="shared" si="169"/>
        <v>0</v>
      </c>
    </row>
    <row r="3091" spans="1:13" x14ac:dyDescent="0.2">
      <c r="A3091" s="18"/>
      <c r="B3091" s="77"/>
      <c r="C3091" s="77"/>
      <c r="D3091" s="78"/>
      <c r="E3091" s="77"/>
      <c r="F3091" s="77"/>
      <c r="G3091" s="77"/>
      <c r="H3091" s="77"/>
      <c r="I3091" s="77"/>
      <c r="J3091" s="77"/>
      <c r="K3091" s="79"/>
      <c r="L3091" s="49">
        <f t="shared" si="168"/>
        <v>0</v>
      </c>
      <c r="M3091" s="50">
        <f t="shared" si="169"/>
        <v>0</v>
      </c>
    </row>
    <row r="3092" spans="1:13" x14ac:dyDescent="0.2">
      <c r="A3092" s="18"/>
      <c r="B3092" s="77"/>
      <c r="C3092" s="77"/>
      <c r="D3092" s="78"/>
      <c r="E3092" s="77"/>
      <c r="F3092" s="77"/>
      <c r="G3092" s="77"/>
      <c r="H3092" s="77"/>
      <c r="I3092" s="77"/>
      <c r="J3092" s="77"/>
      <c r="K3092" s="79"/>
      <c r="L3092" s="49">
        <f t="shared" si="168"/>
        <v>0</v>
      </c>
      <c r="M3092" s="50">
        <f t="shared" si="169"/>
        <v>0</v>
      </c>
    </row>
    <row r="3093" spans="1:13" x14ac:dyDescent="0.2">
      <c r="A3093" s="18"/>
      <c r="B3093" s="77"/>
      <c r="C3093" s="77"/>
      <c r="D3093" s="78"/>
      <c r="E3093" s="77"/>
      <c r="F3093" s="77"/>
      <c r="G3093" s="77"/>
      <c r="H3093" s="77"/>
      <c r="I3093" s="77"/>
      <c r="J3093" s="77"/>
      <c r="K3093" s="79"/>
      <c r="L3093" s="49">
        <f t="shared" si="168"/>
        <v>0</v>
      </c>
      <c r="M3093" s="50">
        <f t="shared" si="169"/>
        <v>0</v>
      </c>
    </row>
    <row r="3094" spans="1:13" x14ac:dyDescent="0.2">
      <c r="A3094" s="18"/>
      <c r="B3094" s="77"/>
      <c r="C3094" s="77"/>
      <c r="D3094" s="78"/>
      <c r="E3094" s="77"/>
      <c r="F3094" s="77"/>
      <c r="G3094" s="77"/>
      <c r="H3094" s="77"/>
      <c r="I3094" s="77"/>
      <c r="J3094" s="77"/>
      <c r="K3094" s="79"/>
      <c r="L3094" s="49">
        <f t="shared" si="168"/>
        <v>0</v>
      </c>
      <c r="M3094" s="50">
        <f t="shared" si="169"/>
        <v>0</v>
      </c>
    </row>
    <row r="3095" spans="1:13" x14ac:dyDescent="0.2">
      <c r="A3095" s="18"/>
      <c r="B3095" s="77"/>
      <c r="C3095" s="77"/>
      <c r="D3095" s="78"/>
      <c r="E3095" s="77"/>
      <c r="F3095" s="77"/>
      <c r="G3095" s="77"/>
      <c r="H3095" s="77"/>
      <c r="I3095" s="77"/>
      <c r="J3095" s="77"/>
      <c r="K3095" s="79"/>
      <c r="L3095" s="49">
        <f t="shared" si="168"/>
        <v>0</v>
      </c>
      <c r="M3095" s="50">
        <f t="shared" si="169"/>
        <v>0</v>
      </c>
    </row>
    <row r="3096" spans="1:13" x14ac:dyDescent="0.2">
      <c r="A3096" s="18"/>
      <c r="B3096" s="77"/>
      <c r="C3096" s="77"/>
      <c r="D3096" s="78"/>
      <c r="E3096" s="77"/>
      <c r="F3096" s="77"/>
      <c r="G3096" s="77"/>
      <c r="H3096" s="77"/>
      <c r="I3096" s="77"/>
      <c r="J3096" s="77"/>
      <c r="K3096" s="79"/>
      <c r="L3096" s="49">
        <f t="shared" si="168"/>
        <v>0</v>
      </c>
      <c r="M3096" s="50">
        <f t="shared" si="169"/>
        <v>0</v>
      </c>
    </row>
    <row r="3097" spans="1:13" x14ac:dyDescent="0.2">
      <c r="A3097" s="18"/>
      <c r="B3097" s="77"/>
      <c r="C3097" s="77"/>
      <c r="D3097" s="78"/>
      <c r="E3097" s="77"/>
      <c r="F3097" s="77"/>
      <c r="G3097" s="77"/>
      <c r="H3097" s="77"/>
      <c r="I3097" s="77"/>
      <c r="J3097" s="77"/>
      <c r="K3097" s="79"/>
      <c r="L3097" s="49">
        <f t="shared" si="168"/>
        <v>0</v>
      </c>
      <c r="M3097" s="50">
        <f t="shared" si="169"/>
        <v>0</v>
      </c>
    </row>
    <row r="3098" spans="1:13" x14ac:dyDescent="0.2">
      <c r="A3098" s="18"/>
      <c r="B3098" s="77"/>
      <c r="C3098" s="77"/>
      <c r="D3098" s="78"/>
      <c r="E3098" s="77"/>
      <c r="F3098" s="77"/>
      <c r="G3098" s="77"/>
      <c r="H3098" s="77"/>
      <c r="I3098" s="77"/>
      <c r="J3098" s="77"/>
      <c r="K3098" s="79"/>
      <c r="L3098" s="49">
        <f t="shared" si="168"/>
        <v>0</v>
      </c>
      <c r="M3098" s="50">
        <f t="shared" si="169"/>
        <v>0</v>
      </c>
    </row>
    <row r="3099" spans="1:13" x14ac:dyDescent="0.2">
      <c r="A3099" s="18"/>
      <c r="B3099" s="77"/>
      <c r="C3099" s="77"/>
      <c r="D3099" s="78"/>
      <c r="E3099" s="77"/>
      <c r="F3099" s="77"/>
      <c r="G3099" s="77"/>
      <c r="H3099" s="77"/>
      <c r="I3099" s="77"/>
      <c r="J3099" s="77"/>
      <c r="K3099" s="79"/>
      <c r="L3099" s="49">
        <f t="shared" si="168"/>
        <v>0</v>
      </c>
      <c r="M3099" s="50">
        <f t="shared" si="169"/>
        <v>0</v>
      </c>
    </row>
    <row r="3100" spans="1:13" x14ac:dyDescent="0.2">
      <c r="A3100" s="18"/>
      <c r="B3100" s="77"/>
      <c r="C3100" s="77"/>
      <c r="D3100" s="78"/>
      <c r="E3100" s="77"/>
      <c r="F3100" s="77"/>
      <c r="G3100" s="77"/>
      <c r="H3100" s="77"/>
      <c r="I3100" s="77"/>
      <c r="J3100" s="77"/>
      <c r="K3100" s="79"/>
      <c r="L3100" s="49">
        <f t="shared" si="168"/>
        <v>0</v>
      </c>
      <c r="M3100" s="50">
        <f t="shared" si="169"/>
        <v>0</v>
      </c>
    </row>
    <row r="3101" spans="1:13" x14ac:dyDescent="0.2">
      <c r="A3101" s="18"/>
      <c r="B3101" s="77"/>
      <c r="C3101" s="77"/>
      <c r="D3101" s="78"/>
      <c r="E3101" s="77"/>
      <c r="F3101" s="77"/>
      <c r="G3101" s="77"/>
      <c r="H3101" s="77"/>
      <c r="I3101" s="77"/>
      <c r="J3101" s="77"/>
      <c r="K3101" s="79"/>
      <c r="L3101" s="49">
        <f t="shared" si="168"/>
        <v>0</v>
      </c>
      <c r="M3101" s="50">
        <f t="shared" si="169"/>
        <v>0</v>
      </c>
    </row>
    <row r="3102" spans="1:13" x14ac:dyDescent="0.2">
      <c r="A3102" s="18"/>
      <c r="B3102" s="77"/>
      <c r="C3102" s="77"/>
      <c r="D3102" s="78"/>
      <c r="E3102" s="77"/>
      <c r="F3102" s="77"/>
      <c r="G3102" s="77"/>
      <c r="H3102" s="77"/>
      <c r="I3102" s="77"/>
      <c r="J3102" s="77"/>
      <c r="K3102" s="79"/>
      <c r="L3102" s="49">
        <f t="shared" si="168"/>
        <v>0</v>
      </c>
      <c r="M3102" s="50">
        <f t="shared" si="169"/>
        <v>0</v>
      </c>
    </row>
    <row r="3103" spans="1:13" x14ac:dyDescent="0.2">
      <c r="A3103" s="18"/>
      <c r="B3103" s="77"/>
      <c r="C3103" s="77"/>
      <c r="D3103" s="78"/>
      <c r="E3103" s="77"/>
      <c r="F3103" s="77"/>
      <c r="G3103" s="77"/>
      <c r="H3103" s="77"/>
      <c r="I3103" s="77"/>
      <c r="J3103" s="77"/>
      <c r="K3103" s="79"/>
      <c r="L3103" s="49">
        <f t="shared" ref="L3103:L3108" si="170">+K3103*18%</f>
        <v>0</v>
      </c>
      <c r="M3103" s="50">
        <f t="shared" ref="M3103:M3108" si="171">+K3103+L3103</f>
        <v>0</v>
      </c>
    </row>
    <row r="3104" spans="1:13" x14ac:dyDescent="0.2">
      <c r="A3104" s="18"/>
      <c r="B3104" s="77"/>
      <c r="C3104" s="77"/>
      <c r="D3104" s="78"/>
      <c r="E3104" s="77"/>
      <c r="F3104" s="77"/>
      <c r="G3104" s="77"/>
      <c r="H3104" s="77"/>
      <c r="I3104" s="77"/>
      <c r="J3104" s="77"/>
      <c r="K3104" s="79"/>
      <c r="L3104" s="49">
        <f t="shared" si="170"/>
        <v>0</v>
      </c>
      <c r="M3104" s="50">
        <f t="shared" si="171"/>
        <v>0</v>
      </c>
    </row>
    <row r="3105" spans="1:13" x14ac:dyDescent="0.2">
      <c r="A3105" s="18"/>
      <c r="B3105" s="77"/>
      <c r="C3105" s="77"/>
      <c r="D3105" s="78"/>
      <c r="E3105" s="77"/>
      <c r="F3105" s="77"/>
      <c r="G3105" s="77"/>
      <c r="H3105" s="77"/>
      <c r="I3105" s="77"/>
      <c r="J3105" s="77"/>
      <c r="K3105" s="79"/>
      <c r="L3105" s="49">
        <f t="shared" si="170"/>
        <v>0</v>
      </c>
      <c r="M3105" s="50">
        <f t="shared" si="171"/>
        <v>0</v>
      </c>
    </row>
    <row r="3106" spans="1:13" x14ac:dyDescent="0.2">
      <c r="A3106" s="18"/>
      <c r="B3106" s="77"/>
      <c r="C3106" s="77"/>
      <c r="D3106" s="78"/>
      <c r="E3106" s="77"/>
      <c r="F3106" s="77"/>
      <c r="G3106" s="77"/>
      <c r="H3106" s="77"/>
      <c r="I3106" s="77"/>
      <c r="J3106" s="77"/>
      <c r="K3106" s="79"/>
      <c r="L3106" s="49">
        <f t="shared" si="170"/>
        <v>0</v>
      </c>
      <c r="M3106" s="50">
        <f t="shared" si="171"/>
        <v>0</v>
      </c>
    </row>
    <row r="3107" spans="1:13" x14ac:dyDescent="0.2">
      <c r="A3107" s="18"/>
      <c r="B3107" s="77"/>
      <c r="C3107" s="77"/>
      <c r="D3107" s="78"/>
      <c r="E3107" s="77"/>
      <c r="F3107" s="77"/>
      <c r="G3107" s="77"/>
      <c r="H3107" s="77"/>
      <c r="I3107" s="77"/>
      <c r="J3107" s="77"/>
      <c r="K3107" s="79"/>
      <c r="L3107" s="49">
        <f t="shared" si="170"/>
        <v>0</v>
      </c>
      <c r="M3107" s="50">
        <f t="shared" si="171"/>
        <v>0</v>
      </c>
    </row>
    <row r="3108" spans="1:13" x14ac:dyDescent="0.2">
      <c r="A3108" s="18"/>
      <c r="B3108" s="77"/>
      <c r="C3108" s="77"/>
      <c r="D3108" s="78"/>
      <c r="E3108" s="77"/>
      <c r="F3108" s="77"/>
      <c r="G3108" s="77"/>
      <c r="H3108" s="77"/>
      <c r="I3108" s="77"/>
      <c r="J3108" s="77"/>
      <c r="K3108" s="79"/>
      <c r="L3108" s="49">
        <f t="shared" si="170"/>
        <v>0</v>
      </c>
      <c r="M3108" s="50">
        <f t="shared" si="171"/>
        <v>0</v>
      </c>
    </row>
    <row r="3109" spans="1:13" x14ac:dyDescent="0.2">
      <c r="A3109" s="18"/>
      <c r="B3109" s="77"/>
      <c r="C3109" s="77"/>
      <c r="D3109" s="78"/>
      <c r="E3109" s="77"/>
      <c r="F3109" s="77"/>
      <c r="G3109" s="77"/>
      <c r="H3109" s="77"/>
      <c r="I3109" s="77"/>
      <c r="J3109" s="77"/>
      <c r="K3109" s="79"/>
      <c r="L3109" s="49">
        <f t="shared" ref="L3109:L3123" si="172">+K3109*18%</f>
        <v>0</v>
      </c>
      <c r="M3109" s="50">
        <f t="shared" ref="M3109:M3123" si="173">+K3109+L3109</f>
        <v>0</v>
      </c>
    </row>
    <row r="3110" spans="1:13" x14ac:dyDescent="0.2">
      <c r="A3110" s="18"/>
      <c r="B3110" s="77"/>
      <c r="C3110" s="77"/>
      <c r="D3110" s="78"/>
      <c r="E3110" s="77"/>
      <c r="F3110" s="77"/>
      <c r="G3110" s="77"/>
      <c r="H3110" s="77"/>
      <c r="I3110" s="77"/>
      <c r="J3110" s="77"/>
      <c r="K3110" s="79"/>
      <c r="L3110" s="49">
        <f t="shared" si="172"/>
        <v>0</v>
      </c>
      <c r="M3110" s="50">
        <f t="shared" si="173"/>
        <v>0</v>
      </c>
    </row>
    <row r="3111" spans="1:13" x14ac:dyDescent="0.2">
      <c r="A3111" s="18"/>
      <c r="B3111" s="77"/>
      <c r="C3111" s="77"/>
      <c r="D3111" s="78"/>
      <c r="E3111" s="77"/>
      <c r="F3111" s="77"/>
      <c r="G3111" s="77"/>
      <c r="H3111" s="77"/>
      <c r="I3111" s="77"/>
      <c r="J3111" s="77"/>
      <c r="K3111" s="79"/>
      <c r="L3111" s="49">
        <f t="shared" si="172"/>
        <v>0</v>
      </c>
      <c r="M3111" s="50">
        <f t="shared" si="173"/>
        <v>0</v>
      </c>
    </row>
    <row r="3112" spans="1:13" x14ac:dyDescent="0.2">
      <c r="A3112" s="18"/>
      <c r="B3112" s="77"/>
      <c r="C3112" s="77"/>
      <c r="D3112" s="78"/>
      <c r="E3112" s="77"/>
      <c r="F3112" s="77"/>
      <c r="G3112" s="77"/>
      <c r="H3112" s="77"/>
      <c r="I3112" s="77"/>
      <c r="J3112" s="77"/>
      <c r="K3112" s="79"/>
      <c r="L3112" s="49">
        <f t="shared" si="172"/>
        <v>0</v>
      </c>
      <c r="M3112" s="50">
        <f t="shared" si="173"/>
        <v>0</v>
      </c>
    </row>
    <row r="3113" spans="1:13" x14ac:dyDescent="0.2">
      <c r="A3113" s="18"/>
      <c r="B3113" s="77"/>
      <c r="C3113" s="77"/>
      <c r="D3113" s="78"/>
      <c r="E3113" s="77"/>
      <c r="F3113" s="77"/>
      <c r="G3113" s="77"/>
      <c r="H3113" s="77"/>
      <c r="I3113" s="77"/>
      <c r="J3113" s="77"/>
      <c r="K3113" s="79"/>
      <c r="L3113" s="49">
        <f t="shared" si="172"/>
        <v>0</v>
      </c>
      <c r="M3113" s="50">
        <f t="shared" si="173"/>
        <v>0</v>
      </c>
    </row>
    <row r="3114" spans="1:13" x14ac:dyDescent="0.2">
      <c r="A3114" s="18"/>
      <c r="B3114" s="77"/>
      <c r="C3114" s="77"/>
      <c r="D3114" s="78"/>
      <c r="E3114" s="77"/>
      <c r="F3114" s="77"/>
      <c r="G3114" s="77"/>
      <c r="H3114" s="77"/>
      <c r="I3114" s="77"/>
      <c r="J3114" s="77"/>
      <c r="K3114" s="79"/>
      <c r="L3114" s="49">
        <f t="shared" si="172"/>
        <v>0</v>
      </c>
      <c r="M3114" s="50">
        <f t="shared" si="173"/>
        <v>0</v>
      </c>
    </row>
    <row r="3115" spans="1:13" x14ac:dyDescent="0.2">
      <c r="A3115" s="18"/>
      <c r="B3115" s="77"/>
      <c r="C3115" s="77"/>
      <c r="D3115" s="78"/>
      <c r="E3115" s="77"/>
      <c r="F3115" s="77"/>
      <c r="G3115" s="77"/>
      <c r="H3115" s="77"/>
      <c r="I3115" s="77"/>
      <c r="J3115" s="77"/>
      <c r="K3115" s="79"/>
      <c r="L3115" s="49">
        <f t="shared" si="172"/>
        <v>0</v>
      </c>
      <c r="M3115" s="50">
        <f t="shared" si="173"/>
        <v>0</v>
      </c>
    </row>
    <row r="3116" spans="1:13" x14ac:dyDescent="0.2">
      <c r="A3116" s="18"/>
      <c r="B3116" s="77"/>
      <c r="C3116" s="77"/>
      <c r="D3116" s="78"/>
      <c r="E3116" s="77"/>
      <c r="F3116" s="77"/>
      <c r="G3116" s="77"/>
      <c r="H3116" s="77"/>
      <c r="I3116" s="77"/>
      <c r="J3116" s="77"/>
      <c r="K3116" s="79"/>
      <c r="L3116" s="49">
        <f t="shared" si="172"/>
        <v>0</v>
      </c>
      <c r="M3116" s="50">
        <f t="shared" si="173"/>
        <v>0</v>
      </c>
    </row>
    <row r="3117" spans="1:13" x14ac:dyDescent="0.2">
      <c r="A3117" s="18"/>
      <c r="B3117" s="77"/>
      <c r="C3117" s="77"/>
      <c r="D3117" s="78"/>
      <c r="E3117" s="77"/>
      <c r="F3117" s="77"/>
      <c r="G3117" s="77"/>
      <c r="H3117" s="77"/>
      <c r="I3117" s="77"/>
      <c r="J3117" s="77"/>
      <c r="K3117" s="79"/>
      <c r="L3117" s="49">
        <f t="shared" si="172"/>
        <v>0</v>
      </c>
      <c r="M3117" s="50">
        <f t="shared" si="173"/>
        <v>0</v>
      </c>
    </row>
    <row r="3118" spans="1:13" x14ac:dyDescent="0.2">
      <c r="A3118" s="18"/>
      <c r="B3118" s="77"/>
      <c r="C3118" s="77"/>
      <c r="D3118" s="78"/>
      <c r="E3118" s="77"/>
      <c r="F3118" s="77"/>
      <c r="G3118" s="77"/>
      <c r="H3118" s="77"/>
      <c r="I3118" s="77"/>
      <c r="J3118" s="77"/>
      <c r="K3118" s="79"/>
      <c r="L3118" s="49">
        <f t="shared" si="172"/>
        <v>0</v>
      </c>
      <c r="M3118" s="50">
        <f t="shared" si="173"/>
        <v>0</v>
      </c>
    </row>
    <row r="3119" spans="1:13" x14ac:dyDescent="0.2">
      <c r="A3119" s="18"/>
      <c r="B3119" s="77"/>
      <c r="C3119" s="77"/>
      <c r="D3119" s="78"/>
      <c r="E3119" s="77"/>
      <c r="F3119" s="77"/>
      <c r="G3119" s="77"/>
      <c r="H3119" s="77"/>
      <c r="I3119" s="77"/>
      <c r="J3119" s="77"/>
      <c r="K3119" s="79"/>
      <c r="L3119" s="49">
        <f t="shared" si="172"/>
        <v>0</v>
      </c>
      <c r="M3119" s="50">
        <f t="shared" si="173"/>
        <v>0</v>
      </c>
    </row>
    <row r="3120" spans="1:13" x14ac:dyDescent="0.2">
      <c r="A3120" s="18"/>
      <c r="B3120" s="77"/>
      <c r="C3120" s="77"/>
      <c r="D3120" s="78"/>
      <c r="E3120" s="77"/>
      <c r="F3120" s="77"/>
      <c r="G3120" s="77"/>
      <c r="H3120" s="77"/>
      <c r="I3120" s="77"/>
      <c r="J3120" s="77"/>
      <c r="K3120" s="79"/>
      <c r="L3120" s="49">
        <f t="shared" si="172"/>
        <v>0</v>
      </c>
      <c r="M3120" s="50">
        <f t="shared" si="173"/>
        <v>0</v>
      </c>
    </row>
    <row r="3121" spans="1:13" x14ac:dyDescent="0.2">
      <c r="A3121" s="18"/>
      <c r="B3121" s="77"/>
      <c r="C3121" s="77"/>
      <c r="D3121" s="78"/>
      <c r="E3121" s="77"/>
      <c r="F3121" s="77"/>
      <c r="G3121" s="77"/>
      <c r="H3121" s="77"/>
      <c r="I3121" s="77"/>
      <c r="J3121" s="77"/>
      <c r="K3121" s="79"/>
      <c r="L3121" s="49">
        <f t="shared" si="172"/>
        <v>0</v>
      </c>
      <c r="M3121" s="50">
        <f t="shared" si="173"/>
        <v>0</v>
      </c>
    </row>
    <row r="3122" spans="1:13" x14ac:dyDescent="0.2">
      <c r="A3122" s="18"/>
      <c r="B3122" s="77"/>
      <c r="C3122" s="77"/>
      <c r="D3122" s="78"/>
      <c r="E3122" s="77"/>
      <c r="F3122" s="77"/>
      <c r="G3122" s="77"/>
      <c r="H3122" s="77"/>
      <c r="I3122" s="77"/>
      <c r="J3122" s="77"/>
      <c r="K3122" s="79"/>
      <c r="L3122" s="49">
        <f t="shared" si="172"/>
        <v>0</v>
      </c>
      <c r="M3122" s="50">
        <f t="shared" si="173"/>
        <v>0</v>
      </c>
    </row>
    <row r="3123" spans="1:13" x14ac:dyDescent="0.2">
      <c r="A3123" s="18"/>
      <c r="B3123" s="77"/>
      <c r="C3123" s="77"/>
      <c r="D3123" s="78"/>
      <c r="E3123" s="77"/>
      <c r="F3123" s="77"/>
      <c r="G3123" s="77"/>
      <c r="H3123" s="77"/>
      <c r="I3123" s="77"/>
      <c r="J3123" s="77"/>
      <c r="K3123" s="79"/>
      <c r="L3123" s="49">
        <f t="shared" si="172"/>
        <v>0</v>
      </c>
      <c r="M3123" s="50">
        <f t="shared" si="173"/>
        <v>0</v>
      </c>
    </row>
    <row r="3124" spans="1:13" x14ac:dyDescent="0.2">
      <c r="A3124" s="18"/>
      <c r="B3124" s="77"/>
      <c r="C3124" s="77"/>
      <c r="D3124" s="78"/>
      <c r="E3124" s="77"/>
      <c r="F3124" s="77"/>
      <c r="G3124" s="77"/>
      <c r="H3124" s="77"/>
      <c r="I3124" s="77"/>
      <c r="J3124" s="77"/>
      <c r="K3124" s="79"/>
      <c r="L3124" s="49">
        <f t="shared" ref="L3124:L3187" si="174">+K3124*18%</f>
        <v>0</v>
      </c>
      <c r="M3124" s="50">
        <f t="shared" ref="M3124:M3187" si="175">+K3124+L3124</f>
        <v>0</v>
      </c>
    </row>
    <row r="3125" spans="1:13" x14ac:dyDescent="0.2">
      <c r="A3125" s="18"/>
      <c r="B3125" s="77"/>
      <c r="C3125" s="77"/>
      <c r="D3125" s="78"/>
      <c r="E3125" s="77"/>
      <c r="F3125" s="77"/>
      <c r="G3125" s="77"/>
      <c r="H3125" s="77"/>
      <c r="I3125" s="77"/>
      <c r="J3125" s="77"/>
      <c r="K3125" s="79"/>
      <c r="L3125" s="49">
        <f t="shared" si="174"/>
        <v>0</v>
      </c>
      <c r="M3125" s="50">
        <f t="shared" si="175"/>
        <v>0</v>
      </c>
    </row>
    <row r="3126" spans="1:13" x14ac:dyDescent="0.2">
      <c r="A3126" s="18"/>
      <c r="B3126" s="77"/>
      <c r="C3126" s="77"/>
      <c r="D3126" s="78"/>
      <c r="E3126" s="77"/>
      <c r="F3126" s="77"/>
      <c r="G3126" s="77"/>
      <c r="H3126" s="77"/>
      <c r="I3126" s="77"/>
      <c r="J3126" s="77"/>
      <c r="K3126" s="79"/>
      <c r="L3126" s="49">
        <f t="shared" si="174"/>
        <v>0</v>
      </c>
      <c r="M3126" s="50">
        <f t="shared" si="175"/>
        <v>0</v>
      </c>
    </row>
    <row r="3127" spans="1:13" x14ac:dyDescent="0.2">
      <c r="A3127" s="18"/>
      <c r="B3127" s="77"/>
      <c r="C3127" s="77"/>
      <c r="D3127" s="78"/>
      <c r="E3127" s="77"/>
      <c r="F3127" s="77"/>
      <c r="G3127" s="77"/>
      <c r="H3127" s="77"/>
      <c r="I3127" s="77"/>
      <c r="J3127" s="77"/>
      <c r="K3127" s="79"/>
      <c r="L3127" s="49">
        <f t="shared" si="174"/>
        <v>0</v>
      </c>
      <c r="M3127" s="50">
        <f t="shared" si="175"/>
        <v>0</v>
      </c>
    </row>
    <row r="3128" spans="1:13" x14ac:dyDescent="0.2">
      <c r="A3128" s="18"/>
      <c r="B3128" s="77"/>
      <c r="C3128" s="77"/>
      <c r="D3128" s="78"/>
      <c r="E3128" s="77"/>
      <c r="F3128" s="77"/>
      <c r="G3128" s="77"/>
      <c r="H3128" s="77"/>
      <c r="I3128" s="77"/>
      <c r="J3128" s="77"/>
      <c r="K3128" s="79"/>
      <c r="L3128" s="49">
        <f t="shared" si="174"/>
        <v>0</v>
      </c>
      <c r="M3128" s="50">
        <f t="shared" si="175"/>
        <v>0</v>
      </c>
    </row>
    <row r="3129" spans="1:13" x14ac:dyDescent="0.2">
      <c r="A3129" s="18"/>
      <c r="B3129" s="77"/>
      <c r="C3129" s="77"/>
      <c r="D3129" s="78"/>
      <c r="E3129" s="77"/>
      <c r="F3129" s="77"/>
      <c r="G3129" s="77"/>
      <c r="H3129" s="77"/>
      <c r="I3129" s="77"/>
      <c r="J3129" s="77"/>
      <c r="K3129" s="79"/>
      <c r="L3129" s="49">
        <f t="shared" si="174"/>
        <v>0</v>
      </c>
      <c r="M3129" s="50">
        <f t="shared" si="175"/>
        <v>0</v>
      </c>
    </row>
    <row r="3130" spans="1:13" x14ac:dyDescent="0.2">
      <c r="A3130" s="18"/>
      <c r="B3130" s="77"/>
      <c r="C3130" s="77"/>
      <c r="D3130" s="78"/>
      <c r="E3130" s="77"/>
      <c r="F3130" s="77"/>
      <c r="G3130" s="77"/>
      <c r="H3130" s="77"/>
      <c r="I3130" s="77"/>
      <c r="J3130" s="77"/>
      <c r="K3130" s="79"/>
      <c r="L3130" s="49">
        <f t="shared" si="174"/>
        <v>0</v>
      </c>
      <c r="M3130" s="50">
        <f t="shared" si="175"/>
        <v>0</v>
      </c>
    </row>
    <row r="3131" spans="1:13" x14ac:dyDescent="0.2">
      <c r="A3131" s="18"/>
      <c r="B3131" s="77"/>
      <c r="C3131" s="77"/>
      <c r="D3131" s="78"/>
      <c r="E3131" s="77"/>
      <c r="F3131" s="77"/>
      <c r="G3131" s="77"/>
      <c r="H3131" s="77"/>
      <c r="I3131" s="77"/>
      <c r="J3131" s="77"/>
      <c r="K3131" s="79"/>
      <c r="L3131" s="49">
        <f t="shared" si="174"/>
        <v>0</v>
      </c>
      <c r="M3131" s="50">
        <f t="shared" si="175"/>
        <v>0</v>
      </c>
    </row>
    <row r="3132" spans="1:13" x14ac:dyDescent="0.2">
      <c r="A3132" s="18"/>
      <c r="B3132" s="77"/>
      <c r="C3132" s="77"/>
      <c r="D3132" s="78"/>
      <c r="E3132" s="77"/>
      <c r="F3132" s="77"/>
      <c r="G3132" s="77"/>
      <c r="H3132" s="77"/>
      <c r="I3132" s="77"/>
      <c r="J3132" s="77"/>
      <c r="K3132" s="79"/>
      <c r="L3132" s="49">
        <f t="shared" si="174"/>
        <v>0</v>
      </c>
      <c r="M3132" s="50">
        <f t="shared" si="175"/>
        <v>0</v>
      </c>
    </row>
    <row r="3133" spans="1:13" x14ac:dyDescent="0.2">
      <c r="A3133" s="18"/>
      <c r="B3133" s="77"/>
      <c r="C3133" s="77"/>
      <c r="D3133" s="78"/>
      <c r="E3133" s="77"/>
      <c r="F3133" s="77"/>
      <c r="G3133" s="77"/>
      <c r="H3133" s="77"/>
      <c r="I3133" s="77"/>
      <c r="J3133" s="77"/>
      <c r="K3133" s="79"/>
      <c r="L3133" s="49">
        <f t="shared" si="174"/>
        <v>0</v>
      </c>
      <c r="M3133" s="50">
        <f t="shared" si="175"/>
        <v>0</v>
      </c>
    </row>
    <row r="3134" spans="1:13" x14ac:dyDescent="0.2">
      <c r="A3134" s="18"/>
      <c r="B3134" s="77"/>
      <c r="C3134" s="77"/>
      <c r="D3134" s="78"/>
      <c r="E3134" s="77"/>
      <c r="F3134" s="77"/>
      <c r="G3134" s="77"/>
      <c r="H3134" s="77"/>
      <c r="I3134" s="77"/>
      <c r="J3134" s="77"/>
      <c r="K3134" s="79"/>
      <c r="L3134" s="49">
        <f t="shared" si="174"/>
        <v>0</v>
      </c>
      <c r="M3134" s="50">
        <f t="shared" si="175"/>
        <v>0</v>
      </c>
    </row>
    <row r="3135" spans="1:13" x14ac:dyDescent="0.2">
      <c r="A3135" s="18"/>
      <c r="B3135" s="77"/>
      <c r="C3135" s="77"/>
      <c r="D3135" s="78"/>
      <c r="E3135" s="77"/>
      <c r="F3135" s="77"/>
      <c r="G3135" s="77"/>
      <c r="H3135" s="77"/>
      <c r="I3135" s="77"/>
      <c r="J3135" s="77"/>
      <c r="K3135" s="79"/>
      <c r="L3135" s="49">
        <f t="shared" si="174"/>
        <v>0</v>
      </c>
      <c r="M3135" s="50">
        <f t="shared" si="175"/>
        <v>0</v>
      </c>
    </row>
    <row r="3136" spans="1:13" x14ac:dyDescent="0.2">
      <c r="A3136" s="18"/>
      <c r="B3136" s="77"/>
      <c r="C3136" s="77"/>
      <c r="D3136" s="78"/>
      <c r="E3136" s="77"/>
      <c r="F3136" s="77"/>
      <c r="G3136" s="77"/>
      <c r="H3136" s="77"/>
      <c r="I3136" s="77"/>
      <c r="J3136" s="77"/>
      <c r="K3136" s="79"/>
      <c r="L3136" s="49">
        <f t="shared" si="174"/>
        <v>0</v>
      </c>
      <c r="M3136" s="50">
        <f t="shared" si="175"/>
        <v>0</v>
      </c>
    </row>
    <row r="3137" spans="1:13" x14ac:dyDescent="0.2">
      <c r="A3137" s="18"/>
      <c r="B3137" s="77"/>
      <c r="C3137" s="77"/>
      <c r="D3137" s="78"/>
      <c r="E3137" s="77"/>
      <c r="F3137" s="77"/>
      <c r="G3137" s="77"/>
      <c r="H3137" s="77"/>
      <c r="I3137" s="77"/>
      <c r="J3137" s="77"/>
      <c r="K3137" s="79"/>
      <c r="L3137" s="49">
        <f t="shared" si="174"/>
        <v>0</v>
      </c>
      <c r="M3137" s="50">
        <f t="shared" si="175"/>
        <v>0</v>
      </c>
    </row>
    <row r="3138" spans="1:13" x14ac:dyDescent="0.2">
      <c r="A3138" s="18"/>
      <c r="B3138" s="77"/>
      <c r="C3138" s="77"/>
      <c r="D3138" s="78"/>
      <c r="E3138" s="77"/>
      <c r="F3138" s="77"/>
      <c r="G3138" s="77"/>
      <c r="H3138" s="77"/>
      <c r="I3138" s="77"/>
      <c r="J3138" s="77"/>
      <c r="K3138" s="79"/>
      <c r="L3138" s="49">
        <f t="shared" si="174"/>
        <v>0</v>
      </c>
      <c r="M3138" s="50">
        <f t="shared" si="175"/>
        <v>0</v>
      </c>
    </row>
    <row r="3139" spans="1:13" x14ac:dyDescent="0.2">
      <c r="A3139" s="18"/>
      <c r="B3139" s="77"/>
      <c r="C3139" s="77"/>
      <c r="D3139" s="78"/>
      <c r="E3139" s="77"/>
      <c r="F3139" s="77"/>
      <c r="G3139" s="77"/>
      <c r="H3139" s="77"/>
      <c r="I3139" s="77"/>
      <c r="J3139" s="77"/>
      <c r="K3139" s="79"/>
      <c r="L3139" s="49">
        <f t="shared" si="174"/>
        <v>0</v>
      </c>
      <c r="M3139" s="50">
        <f t="shared" si="175"/>
        <v>0</v>
      </c>
    </row>
    <row r="3140" spans="1:13" x14ac:dyDescent="0.2">
      <c r="A3140" s="18"/>
      <c r="B3140" s="77"/>
      <c r="C3140" s="77"/>
      <c r="D3140" s="78"/>
      <c r="E3140" s="77"/>
      <c r="F3140" s="77"/>
      <c r="G3140" s="77"/>
      <c r="H3140" s="77"/>
      <c r="I3140" s="77"/>
      <c r="J3140" s="77"/>
      <c r="K3140" s="79"/>
      <c r="L3140" s="49">
        <f t="shared" si="174"/>
        <v>0</v>
      </c>
      <c r="M3140" s="50">
        <f t="shared" si="175"/>
        <v>0</v>
      </c>
    </row>
    <row r="3141" spans="1:13" x14ac:dyDescent="0.2">
      <c r="A3141" s="18"/>
      <c r="B3141" s="77"/>
      <c r="C3141" s="77"/>
      <c r="D3141" s="78"/>
      <c r="E3141" s="77"/>
      <c r="F3141" s="77"/>
      <c r="G3141" s="77"/>
      <c r="H3141" s="77"/>
      <c r="I3141" s="77"/>
      <c r="J3141" s="77"/>
      <c r="K3141" s="79"/>
      <c r="L3141" s="49">
        <f t="shared" si="174"/>
        <v>0</v>
      </c>
      <c r="M3141" s="50">
        <f t="shared" si="175"/>
        <v>0</v>
      </c>
    </row>
    <row r="3142" spans="1:13" x14ac:dyDescent="0.2">
      <c r="A3142" s="18"/>
      <c r="B3142" s="77"/>
      <c r="C3142" s="77"/>
      <c r="D3142" s="78"/>
      <c r="E3142" s="77"/>
      <c r="F3142" s="77"/>
      <c r="G3142" s="77"/>
      <c r="H3142" s="77"/>
      <c r="I3142" s="77"/>
      <c r="J3142" s="77"/>
      <c r="K3142" s="79"/>
      <c r="L3142" s="49">
        <f t="shared" si="174"/>
        <v>0</v>
      </c>
      <c r="M3142" s="50">
        <f t="shared" si="175"/>
        <v>0</v>
      </c>
    </row>
    <row r="3143" spans="1:13" x14ac:dyDescent="0.2">
      <c r="A3143" s="18"/>
      <c r="B3143" s="77"/>
      <c r="C3143" s="77"/>
      <c r="D3143" s="78"/>
      <c r="E3143" s="77"/>
      <c r="F3143" s="77"/>
      <c r="G3143" s="77"/>
      <c r="H3143" s="77"/>
      <c r="I3143" s="77"/>
      <c r="J3143" s="77"/>
      <c r="K3143" s="79"/>
      <c r="L3143" s="49">
        <f t="shared" si="174"/>
        <v>0</v>
      </c>
      <c r="M3143" s="50">
        <f t="shared" si="175"/>
        <v>0</v>
      </c>
    </row>
    <row r="3144" spans="1:13" x14ac:dyDescent="0.2">
      <c r="A3144" s="18"/>
      <c r="B3144" s="77"/>
      <c r="C3144" s="77"/>
      <c r="D3144" s="78"/>
      <c r="E3144" s="77"/>
      <c r="F3144" s="77"/>
      <c r="G3144" s="77"/>
      <c r="H3144" s="77"/>
      <c r="I3144" s="77"/>
      <c r="J3144" s="77"/>
      <c r="K3144" s="79"/>
      <c r="L3144" s="49">
        <f t="shared" si="174"/>
        <v>0</v>
      </c>
      <c r="M3144" s="50">
        <f t="shared" si="175"/>
        <v>0</v>
      </c>
    </row>
    <row r="3145" spans="1:13" x14ac:dyDescent="0.2">
      <c r="A3145" s="18"/>
      <c r="B3145" s="77"/>
      <c r="C3145" s="77"/>
      <c r="D3145" s="78"/>
      <c r="E3145" s="77"/>
      <c r="F3145" s="77"/>
      <c r="G3145" s="77"/>
      <c r="H3145" s="77"/>
      <c r="I3145" s="77"/>
      <c r="J3145" s="77"/>
      <c r="K3145" s="79"/>
      <c r="L3145" s="49">
        <f t="shared" si="174"/>
        <v>0</v>
      </c>
      <c r="M3145" s="50">
        <f t="shared" si="175"/>
        <v>0</v>
      </c>
    </row>
    <row r="3146" spans="1:13" x14ac:dyDescent="0.2">
      <c r="A3146" s="18"/>
      <c r="B3146" s="77"/>
      <c r="C3146" s="77"/>
      <c r="D3146" s="78"/>
      <c r="E3146" s="77"/>
      <c r="F3146" s="77"/>
      <c r="G3146" s="77"/>
      <c r="H3146" s="77"/>
      <c r="I3146" s="77"/>
      <c r="J3146" s="77"/>
      <c r="K3146" s="79"/>
      <c r="L3146" s="49">
        <f t="shared" si="174"/>
        <v>0</v>
      </c>
      <c r="M3146" s="50">
        <f t="shared" si="175"/>
        <v>0</v>
      </c>
    </row>
    <row r="3147" spans="1:13" x14ac:dyDescent="0.2">
      <c r="A3147" s="18"/>
      <c r="B3147" s="77"/>
      <c r="C3147" s="77"/>
      <c r="D3147" s="78"/>
      <c r="E3147" s="77"/>
      <c r="F3147" s="77"/>
      <c r="G3147" s="77"/>
      <c r="H3147" s="77"/>
      <c r="I3147" s="77"/>
      <c r="J3147" s="77"/>
      <c r="K3147" s="79"/>
      <c r="L3147" s="49">
        <f t="shared" si="174"/>
        <v>0</v>
      </c>
      <c r="M3147" s="50">
        <f t="shared" si="175"/>
        <v>0</v>
      </c>
    </row>
    <row r="3148" spans="1:13" x14ac:dyDescent="0.2">
      <c r="A3148" s="18"/>
      <c r="B3148" s="77"/>
      <c r="C3148" s="77"/>
      <c r="D3148" s="78"/>
      <c r="E3148" s="77"/>
      <c r="F3148" s="77"/>
      <c r="G3148" s="77"/>
      <c r="H3148" s="77"/>
      <c r="I3148" s="77"/>
      <c r="J3148" s="77"/>
      <c r="K3148" s="79"/>
      <c r="L3148" s="49">
        <f t="shared" si="174"/>
        <v>0</v>
      </c>
      <c r="M3148" s="50">
        <f t="shared" si="175"/>
        <v>0</v>
      </c>
    </row>
    <row r="3149" spans="1:13" x14ac:dyDescent="0.2">
      <c r="A3149" s="18"/>
      <c r="B3149" s="77"/>
      <c r="C3149" s="77"/>
      <c r="D3149" s="78"/>
      <c r="E3149" s="77"/>
      <c r="F3149" s="77"/>
      <c r="G3149" s="77"/>
      <c r="H3149" s="77"/>
      <c r="I3149" s="77"/>
      <c r="J3149" s="77"/>
      <c r="K3149" s="79"/>
      <c r="L3149" s="49">
        <f t="shared" si="174"/>
        <v>0</v>
      </c>
      <c r="M3149" s="50">
        <f t="shared" si="175"/>
        <v>0</v>
      </c>
    </row>
    <row r="3150" spans="1:13" x14ac:dyDescent="0.2">
      <c r="A3150" s="18"/>
      <c r="B3150" s="77"/>
      <c r="C3150" s="77"/>
      <c r="D3150" s="78"/>
      <c r="E3150" s="77"/>
      <c r="F3150" s="77"/>
      <c r="G3150" s="77"/>
      <c r="H3150" s="77"/>
      <c r="I3150" s="77"/>
      <c r="J3150" s="77"/>
      <c r="K3150" s="79"/>
      <c r="L3150" s="49">
        <f t="shared" si="174"/>
        <v>0</v>
      </c>
      <c r="M3150" s="50">
        <f t="shared" si="175"/>
        <v>0</v>
      </c>
    </row>
    <row r="3151" spans="1:13" x14ac:dyDescent="0.2">
      <c r="A3151" s="18"/>
      <c r="B3151" s="77"/>
      <c r="C3151" s="77"/>
      <c r="D3151" s="78"/>
      <c r="E3151" s="77"/>
      <c r="F3151" s="77"/>
      <c r="G3151" s="77"/>
      <c r="H3151" s="77"/>
      <c r="I3151" s="77"/>
      <c r="J3151" s="77"/>
      <c r="K3151" s="79"/>
      <c r="L3151" s="49">
        <f t="shared" si="174"/>
        <v>0</v>
      </c>
      <c r="M3151" s="50">
        <f t="shared" si="175"/>
        <v>0</v>
      </c>
    </row>
    <row r="3152" spans="1:13" x14ac:dyDescent="0.2">
      <c r="A3152" s="18"/>
      <c r="B3152" s="77"/>
      <c r="C3152" s="77"/>
      <c r="D3152" s="78"/>
      <c r="E3152" s="77"/>
      <c r="F3152" s="77"/>
      <c r="G3152" s="77"/>
      <c r="H3152" s="77"/>
      <c r="I3152" s="77"/>
      <c r="J3152" s="77"/>
      <c r="K3152" s="79"/>
      <c r="L3152" s="49">
        <f t="shared" si="174"/>
        <v>0</v>
      </c>
      <c r="M3152" s="50">
        <f t="shared" si="175"/>
        <v>0</v>
      </c>
    </row>
    <row r="3153" spans="1:13" x14ac:dyDescent="0.2">
      <c r="A3153" s="18"/>
      <c r="B3153" s="77"/>
      <c r="C3153" s="77"/>
      <c r="D3153" s="78"/>
      <c r="E3153" s="77"/>
      <c r="F3153" s="77"/>
      <c r="G3153" s="77"/>
      <c r="H3153" s="77"/>
      <c r="I3153" s="77"/>
      <c r="J3153" s="77"/>
      <c r="K3153" s="79"/>
      <c r="L3153" s="49">
        <f t="shared" si="174"/>
        <v>0</v>
      </c>
      <c r="M3153" s="50">
        <f t="shared" si="175"/>
        <v>0</v>
      </c>
    </row>
    <row r="3154" spans="1:13" x14ac:dyDescent="0.2">
      <c r="A3154" s="18"/>
      <c r="B3154" s="77"/>
      <c r="C3154" s="77"/>
      <c r="D3154" s="78"/>
      <c r="E3154" s="77"/>
      <c r="F3154" s="77"/>
      <c r="G3154" s="77"/>
      <c r="H3154" s="77"/>
      <c r="I3154" s="77"/>
      <c r="J3154" s="77"/>
      <c r="K3154" s="79"/>
      <c r="L3154" s="49">
        <f t="shared" si="174"/>
        <v>0</v>
      </c>
      <c r="M3154" s="50">
        <f t="shared" si="175"/>
        <v>0</v>
      </c>
    </row>
    <row r="3155" spans="1:13" x14ac:dyDescent="0.2">
      <c r="A3155" s="18"/>
      <c r="B3155" s="77"/>
      <c r="C3155" s="77"/>
      <c r="D3155" s="78"/>
      <c r="E3155" s="77"/>
      <c r="F3155" s="77"/>
      <c r="G3155" s="77"/>
      <c r="H3155" s="77"/>
      <c r="I3155" s="77"/>
      <c r="J3155" s="77"/>
      <c r="K3155" s="79"/>
      <c r="L3155" s="49">
        <f t="shared" si="174"/>
        <v>0</v>
      </c>
      <c r="M3155" s="50">
        <f t="shared" si="175"/>
        <v>0</v>
      </c>
    </row>
    <row r="3156" spans="1:13" x14ac:dyDescent="0.2">
      <c r="A3156" s="18"/>
      <c r="B3156" s="77"/>
      <c r="C3156" s="77"/>
      <c r="D3156" s="78"/>
      <c r="E3156" s="77"/>
      <c r="F3156" s="77"/>
      <c r="G3156" s="77"/>
      <c r="H3156" s="77"/>
      <c r="I3156" s="77"/>
      <c r="J3156" s="77"/>
      <c r="K3156" s="79"/>
      <c r="L3156" s="49">
        <f t="shared" si="174"/>
        <v>0</v>
      </c>
      <c r="M3156" s="50">
        <f t="shared" si="175"/>
        <v>0</v>
      </c>
    </row>
    <row r="3157" spans="1:13" x14ac:dyDescent="0.2">
      <c r="A3157" s="18"/>
      <c r="B3157" s="77"/>
      <c r="C3157" s="77"/>
      <c r="D3157" s="78"/>
      <c r="E3157" s="77"/>
      <c r="F3157" s="77"/>
      <c r="G3157" s="77"/>
      <c r="H3157" s="77"/>
      <c r="I3157" s="77"/>
      <c r="J3157" s="77"/>
      <c r="K3157" s="79"/>
      <c r="L3157" s="49">
        <f t="shared" si="174"/>
        <v>0</v>
      </c>
      <c r="M3157" s="50">
        <f t="shared" si="175"/>
        <v>0</v>
      </c>
    </row>
    <row r="3158" spans="1:13" x14ac:dyDescent="0.2">
      <c r="A3158" s="18"/>
      <c r="B3158" s="77"/>
      <c r="C3158" s="77"/>
      <c r="D3158" s="78"/>
      <c r="E3158" s="77"/>
      <c r="F3158" s="77"/>
      <c r="G3158" s="77"/>
      <c r="H3158" s="77"/>
      <c r="I3158" s="77"/>
      <c r="J3158" s="77"/>
      <c r="K3158" s="79"/>
      <c r="L3158" s="49">
        <f t="shared" si="174"/>
        <v>0</v>
      </c>
      <c r="M3158" s="50">
        <f t="shared" si="175"/>
        <v>0</v>
      </c>
    </row>
    <row r="3159" spans="1:13" x14ac:dyDescent="0.2">
      <c r="A3159" s="18"/>
      <c r="B3159" s="77"/>
      <c r="C3159" s="77"/>
      <c r="D3159" s="78"/>
      <c r="E3159" s="77"/>
      <c r="F3159" s="77"/>
      <c r="G3159" s="77"/>
      <c r="H3159" s="77"/>
      <c r="I3159" s="77"/>
      <c r="J3159" s="77"/>
      <c r="K3159" s="79"/>
      <c r="L3159" s="49">
        <f t="shared" si="174"/>
        <v>0</v>
      </c>
      <c r="M3159" s="50">
        <f t="shared" si="175"/>
        <v>0</v>
      </c>
    </row>
    <row r="3160" spans="1:13" x14ac:dyDescent="0.2">
      <c r="A3160" s="18"/>
      <c r="B3160" s="77"/>
      <c r="C3160" s="77"/>
      <c r="D3160" s="78"/>
      <c r="E3160" s="77"/>
      <c r="F3160" s="77"/>
      <c r="G3160" s="77"/>
      <c r="H3160" s="77"/>
      <c r="I3160" s="77"/>
      <c r="J3160" s="77"/>
      <c r="K3160" s="79"/>
      <c r="L3160" s="49">
        <f t="shared" si="174"/>
        <v>0</v>
      </c>
      <c r="M3160" s="50">
        <f t="shared" si="175"/>
        <v>0</v>
      </c>
    </row>
    <row r="3161" spans="1:13" x14ac:dyDescent="0.2">
      <c r="A3161" s="18"/>
      <c r="B3161" s="77"/>
      <c r="C3161" s="77"/>
      <c r="D3161" s="78"/>
      <c r="E3161" s="77"/>
      <c r="F3161" s="77"/>
      <c r="G3161" s="77"/>
      <c r="H3161" s="77"/>
      <c r="I3161" s="77"/>
      <c r="J3161" s="77"/>
      <c r="K3161" s="79"/>
      <c r="L3161" s="49">
        <f t="shared" si="174"/>
        <v>0</v>
      </c>
      <c r="M3161" s="50">
        <f t="shared" si="175"/>
        <v>0</v>
      </c>
    </row>
    <row r="3162" spans="1:13" x14ac:dyDescent="0.2">
      <c r="A3162" s="18"/>
      <c r="B3162" s="77"/>
      <c r="C3162" s="77"/>
      <c r="D3162" s="78"/>
      <c r="E3162" s="77"/>
      <c r="F3162" s="77"/>
      <c r="G3162" s="77"/>
      <c r="H3162" s="77"/>
      <c r="I3162" s="77"/>
      <c r="J3162" s="77"/>
      <c r="K3162" s="79"/>
      <c r="L3162" s="49">
        <f t="shared" si="174"/>
        <v>0</v>
      </c>
      <c r="M3162" s="50">
        <f t="shared" si="175"/>
        <v>0</v>
      </c>
    </row>
    <row r="3163" spans="1:13" x14ac:dyDescent="0.2">
      <c r="A3163" s="18"/>
      <c r="B3163" s="77"/>
      <c r="C3163" s="77"/>
      <c r="D3163" s="78"/>
      <c r="E3163" s="77"/>
      <c r="F3163" s="77"/>
      <c r="G3163" s="77"/>
      <c r="H3163" s="77"/>
      <c r="I3163" s="77"/>
      <c r="J3163" s="77"/>
      <c r="K3163" s="79"/>
      <c r="L3163" s="49">
        <f t="shared" si="174"/>
        <v>0</v>
      </c>
      <c r="M3163" s="50">
        <f t="shared" si="175"/>
        <v>0</v>
      </c>
    </row>
    <row r="3164" spans="1:13" x14ac:dyDescent="0.2">
      <c r="A3164" s="18"/>
      <c r="B3164" s="77"/>
      <c r="C3164" s="77"/>
      <c r="D3164" s="78"/>
      <c r="E3164" s="77"/>
      <c r="F3164" s="77"/>
      <c r="G3164" s="77"/>
      <c r="H3164" s="77"/>
      <c r="I3164" s="77"/>
      <c r="J3164" s="77"/>
      <c r="K3164" s="79"/>
      <c r="L3164" s="49">
        <f t="shared" si="174"/>
        <v>0</v>
      </c>
      <c r="M3164" s="50">
        <f t="shared" si="175"/>
        <v>0</v>
      </c>
    </row>
    <row r="3165" spans="1:13" x14ac:dyDescent="0.2">
      <c r="A3165" s="18"/>
      <c r="B3165" s="77"/>
      <c r="C3165" s="77"/>
      <c r="D3165" s="78"/>
      <c r="E3165" s="77"/>
      <c r="F3165" s="77"/>
      <c r="G3165" s="77"/>
      <c r="H3165" s="77"/>
      <c r="I3165" s="77"/>
      <c r="J3165" s="77"/>
      <c r="K3165" s="79"/>
      <c r="L3165" s="49">
        <f t="shared" si="174"/>
        <v>0</v>
      </c>
      <c r="M3165" s="50">
        <f t="shared" si="175"/>
        <v>0</v>
      </c>
    </row>
    <row r="3166" spans="1:13" x14ac:dyDescent="0.2">
      <c r="A3166" s="18"/>
      <c r="B3166" s="77"/>
      <c r="C3166" s="77"/>
      <c r="D3166" s="78"/>
      <c r="E3166" s="77"/>
      <c r="F3166" s="77"/>
      <c r="G3166" s="77"/>
      <c r="H3166" s="77"/>
      <c r="I3166" s="77"/>
      <c r="J3166" s="77"/>
      <c r="K3166" s="79"/>
      <c r="L3166" s="49">
        <f t="shared" si="174"/>
        <v>0</v>
      </c>
      <c r="M3166" s="50">
        <f t="shared" si="175"/>
        <v>0</v>
      </c>
    </row>
    <row r="3167" spans="1:13" x14ac:dyDescent="0.2">
      <c r="A3167" s="18"/>
      <c r="B3167" s="77"/>
      <c r="C3167" s="77"/>
      <c r="D3167" s="78"/>
      <c r="E3167" s="77"/>
      <c r="F3167" s="77"/>
      <c r="G3167" s="77"/>
      <c r="H3167" s="77"/>
      <c r="I3167" s="77"/>
      <c r="J3167" s="77"/>
      <c r="K3167" s="79"/>
      <c r="L3167" s="49">
        <f t="shared" si="174"/>
        <v>0</v>
      </c>
      <c r="M3167" s="50">
        <f t="shared" si="175"/>
        <v>0</v>
      </c>
    </row>
    <row r="3168" spans="1:13" x14ac:dyDescent="0.2">
      <c r="A3168" s="18"/>
      <c r="B3168" s="77"/>
      <c r="C3168" s="77"/>
      <c r="D3168" s="78"/>
      <c r="E3168" s="77"/>
      <c r="F3168" s="77"/>
      <c r="G3168" s="77"/>
      <c r="H3168" s="77"/>
      <c r="I3168" s="77"/>
      <c r="J3168" s="77"/>
      <c r="K3168" s="79"/>
      <c r="L3168" s="49">
        <f t="shared" si="174"/>
        <v>0</v>
      </c>
      <c r="M3168" s="50">
        <f t="shared" si="175"/>
        <v>0</v>
      </c>
    </row>
    <row r="3169" spans="1:13" x14ac:dyDescent="0.2">
      <c r="A3169" s="18"/>
      <c r="B3169" s="77"/>
      <c r="C3169" s="77"/>
      <c r="D3169" s="78"/>
      <c r="E3169" s="77"/>
      <c r="F3169" s="77"/>
      <c r="G3169" s="77"/>
      <c r="H3169" s="77"/>
      <c r="I3169" s="77"/>
      <c r="J3169" s="77"/>
      <c r="K3169" s="79"/>
      <c r="L3169" s="49">
        <f t="shared" si="174"/>
        <v>0</v>
      </c>
      <c r="M3169" s="50">
        <f t="shared" si="175"/>
        <v>0</v>
      </c>
    </row>
    <row r="3170" spans="1:13" x14ac:dyDescent="0.2">
      <c r="A3170" s="18"/>
      <c r="B3170" s="77"/>
      <c r="C3170" s="77"/>
      <c r="D3170" s="78"/>
      <c r="E3170" s="77"/>
      <c r="F3170" s="77"/>
      <c r="G3170" s="77"/>
      <c r="H3170" s="77"/>
      <c r="I3170" s="77"/>
      <c r="J3170" s="77"/>
      <c r="K3170" s="79"/>
      <c r="L3170" s="49">
        <f t="shared" si="174"/>
        <v>0</v>
      </c>
      <c r="M3170" s="50">
        <f t="shared" si="175"/>
        <v>0</v>
      </c>
    </row>
    <row r="3171" spans="1:13" x14ac:dyDescent="0.2">
      <c r="A3171" s="18"/>
      <c r="B3171" s="77"/>
      <c r="C3171" s="77"/>
      <c r="D3171" s="78"/>
      <c r="E3171" s="77"/>
      <c r="F3171" s="77"/>
      <c r="G3171" s="77"/>
      <c r="H3171" s="77"/>
      <c r="I3171" s="77"/>
      <c r="J3171" s="77"/>
      <c r="K3171" s="79"/>
      <c r="L3171" s="49">
        <f t="shared" si="174"/>
        <v>0</v>
      </c>
      <c r="M3171" s="50">
        <f t="shared" si="175"/>
        <v>0</v>
      </c>
    </row>
    <row r="3172" spans="1:13" x14ac:dyDescent="0.2">
      <c r="A3172" s="18"/>
      <c r="B3172" s="77"/>
      <c r="C3172" s="77"/>
      <c r="D3172" s="78"/>
      <c r="E3172" s="77"/>
      <c r="F3172" s="77"/>
      <c r="G3172" s="77"/>
      <c r="H3172" s="77"/>
      <c r="I3172" s="77"/>
      <c r="J3172" s="77"/>
      <c r="K3172" s="79"/>
      <c r="L3172" s="49">
        <f t="shared" si="174"/>
        <v>0</v>
      </c>
      <c r="M3172" s="50">
        <f t="shared" si="175"/>
        <v>0</v>
      </c>
    </row>
    <row r="3173" spans="1:13" x14ac:dyDescent="0.2">
      <c r="A3173" s="18"/>
      <c r="B3173" s="77"/>
      <c r="C3173" s="77"/>
      <c r="D3173" s="78"/>
      <c r="E3173" s="77"/>
      <c r="F3173" s="77"/>
      <c r="G3173" s="77"/>
      <c r="H3173" s="77"/>
      <c r="I3173" s="77"/>
      <c r="J3173" s="77"/>
      <c r="K3173" s="79"/>
      <c r="L3173" s="49">
        <f t="shared" si="174"/>
        <v>0</v>
      </c>
      <c r="M3173" s="50">
        <f t="shared" si="175"/>
        <v>0</v>
      </c>
    </row>
    <row r="3174" spans="1:13" x14ac:dyDescent="0.2">
      <c r="A3174" s="18"/>
      <c r="B3174" s="77"/>
      <c r="C3174" s="77"/>
      <c r="D3174" s="78"/>
      <c r="E3174" s="77"/>
      <c r="F3174" s="77"/>
      <c r="G3174" s="77"/>
      <c r="H3174" s="77"/>
      <c r="I3174" s="77"/>
      <c r="J3174" s="77"/>
      <c r="K3174" s="79"/>
      <c r="L3174" s="49">
        <f t="shared" si="174"/>
        <v>0</v>
      </c>
      <c r="M3174" s="50">
        <f t="shared" si="175"/>
        <v>0</v>
      </c>
    </row>
    <row r="3175" spans="1:13" x14ac:dyDescent="0.2">
      <c r="A3175" s="18"/>
      <c r="B3175" s="77"/>
      <c r="C3175" s="77"/>
      <c r="D3175" s="78"/>
      <c r="E3175" s="77"/>
      <c r="F3175" s="77"/>
      <c r="G3175" s="77"/>
      <c r="H3175" s="77"/>
      <c r="I3175" s="77"/>
      <c r="J3175" s="77"/>
      <c r="K3175" s="79"/>
      <c r="L3175" s="49">
        <f t="shared" si="174"/>
        <v>0</v>
      </c>
      <c r="M3175" s="50">
        <f t="shared" si="175"/>
        <v>0</v>
      </c>
    </row>
    <row r="3176" spans="1:13" x14ac:dyDescent="0.2">
      <c r="A3176" s="18"/>
      <c r="B3176" s="77"/>
      <c r="C3176" s="77"/>
      <c r="D3176" s="78"/>
      <c r="E3176" s="77"/>
      <c r="F3176" s="77"/>
      <c r="G3176" s="77"/>
      <c r="H3176" s="77"/>
      <c r="I3176" s="77"/>
      <c r="J3176" s="77"/>
      <c r="K3176" s="79"/>
      <c r="L3176" s="49">
        <f t="shared" si="174"/>
        <v>0</v>
      </c>
      <c r="M3176" s="50">
        <f t="shared" si="175"/>
        <v>0</v>
      </c>
    </row>
    <row r="3177" spans="1:13" x14ac:dyDescent="0.2">
      <c r="A3177" s="18"/>
      <c r="B3177" s="77"/>
      <c r="C3177" s="77"/>
      <c r="D3177" s="78"/>
      <c r="E3177" s="77"/>
      <c r="F3177" s="77"/>
      <c r="G3177" s="77"/>
      <c r="H3177" s="77"/>
      <c r="I3177" s="77"/>
      <c r="J3177" s="77"/>
      <c r="K3177" s="79"/>
      <c r="L3177" s="49">
        <f t="shared" si="174"/>
        <v>0</v>
      </c>
      <c r="M3177" s="50">
        <f t="shared" si="175"/>
        <v>0</v>
      </c>
    </row>
    <row r="3178" spans="1:13" x14ac:dyDescent="0.2">
      <c r="A3178" s="18"/>
      <c r="B3178" s="77"/>
      <c r="C3178" s="77"/>
      <c r="D3178" s="78"/>
      <c r="E3178" s="77"/>
      <c r="F3178" s="77"/>
      <c r="G3178" s="77"/>
      <c r="H3178" s="77"/>
      <c r="I3178" s="77"/>
      <c r="J3178" s="77"/>
      <c r="K3178" s="79"/>
      <c r="L3178" s="49">
        <f t="shared" si="174"/>
        <v>0</v>
      </c>
      <c r="M3178" s="50">
        <f t="shared" si="175"/>
        <v>0</v>
      </c>
    </row>
    <row r="3179" spans="1:13" x14ac:dyDescent="0.2">
      <c r="A3179" s="18"/>
      <c r="B3179" s="77"/>
      <c r="C3179" s="77"/>
      <c r="D3179" s="78"/>
      <c r="E3179" s="77"/>
      <c r="F3179" s="77"/>
      <c r="G3179" s="77"/>
      <c r="H3179" s="77"/>
      <c r="I3179" s="77"/>
      <c r="J3179" s="77"/>
      <c r="K3179" s="79"/>
      <c r="L3179" s="49">
        <f t="shared" si="174"/>
        <v>0</v>
      </c>
      <c r="M3179" s="50">
        <f t="shared" si="175"/>
        <v>0</v>
      </c>
    </row>
    <row r="3180" spans="1:13" x14ac:dyDescent="0.2">
      <c r="A3180" s="18"/>
      <c r="B3180" s="77"/>
      <c r="C3180" s="77"/>
      <c r="D3180" s="78"/>
      <c r="E3180" s="77"/>
      <c r="F3180" s="77"/>
      <c r="G3180" s="77"/>
      <c r="H3180" s="77"/>
      <c r="I3180" s="77"/>
      <c r="J3180" s="77"/>
      <c r="K3180" s="79"/>
      <c r="L3180" s="49">
        <f t="shared" si="174"/>
        <v>0</v>
      </c>
      <c r="M3180" s="50">
        <f t="shared" si="175"/>
        <v>0</v>
      </c>
    </row>
    <row r="3181" spans="1:13" x14ac:dyDescent="0.2">
      <c r="A3181" s="18"/>
      <c r="B3181" s="77"/>
      <c r="C3181" s="77"/>
      <c r="D3181" s="78"/>
      <c r="E3181" s="77"/>
      <c r="F3181" s="77"/>
      <c r="G3181" s="77"/>
      <c r="H3181" s="77"/>
      <c r="I3181" s="77"/>
      <c r="J3181" s="77"/>
      <c r="K3181" s="79"/>
      <c r="L3181" s="49">
        <f t="shared" si="174"/>
        <v>0</v>
      </c>
      <c r="M3181" s="50">
        <f t="shared" si="175"/>
        <v>0</v>
      </c>
    </row>
    <row r="3182" spans="1:13" x14ac:dyDescent="0.2">
      <c r="A3182" s="18"/>
      <c r="B3182" s="77"/>
      <c r="C3182" s="77"/>
      <c r="D3182" s="78"/>
      <c r="E3182" s="77"/>
      <c r="F3182" s="77"/>
      <c r="G3182" s="77"/>
      <c r="H3182" s="77"/>
      <c r="I3182" s="77"/>
      <c r="J3182" s="77"/>
      <c r="K3182" s="79"/>
      <c r="L3182" s="49">
        <f t="shared" si="174"/>
        <v>0</v>
      </c>
      <c r="M3182" s="50">
        <f t="shared" si="175"/>
        <v>0</v>
      </c>
    </row>
    <row r="3183" spans="1:13" x14ac:dyDescent="0.2">
      <c r="A3183" s="18"/>
      <c r="B3183" s="77"/>
      <c r="C3183" s="77"/>
      <c r="D3183" s="78"/>
      <c r="E3183" s="77"/>
      <c r="F3183" s="77"/>
      <c r="G3183" s="77"/>
      <c r="H3183" s="77"/>
      <c r="I3183" s="77"/>
      <c r="J3183" s="77"/>
      <c r="K3183" s="79"/>
      <c r="L3183" s="49">
        <f t="shared" si="174"/>
        <v>0</v>
      </c>
      <c r="M3183" s="50">
        <f t="shared" si="175"/>
        <v>0</v>
      </c>
    </row>
    <row r="3184" spans="1:13" x14ac:dyDescent="0.2">
      <c r="A3184" s="18"/>
      <c r="B3184" s="77"/>
      <c r="C3184" s="77"/>
      <c r="D3184" s="78"/>
      <c r="E3184" s="77"/>
      <c r="F3184" s="77"/>
      <c r="G3184" s="77"/>
      <c r="H3184" s="77"/>
      <c r="I3184" s="77"/>
      <c r="J3184" s="77"/>
      <c r="K3184" s="79"/>
      <c r="L3184" s="49">
        <f t="shared" si="174"/>
        <v>0</v>
      </c>
      <c r="M3184" s="50">
        <f t="shared" si="175"/>
        <v>0</v>
      </c>
    </row>
    <row r="3185" spans="1:13" x14ac:dyDescent="0.2">
      <c r="A3185" s="18"/>
      <c r="B3185" s="77"/>
      <c r="C3185" s="77"/>
      <c r="D3185" s="78"/>
      <c r="E3185" s="77"/>
      <c r="F3185" s="77"/>
      <c r="G3185" s="77"/>
      <c r="H3185" s="77"/>
      <c r="I3185" s="77"/>
      <c r="J3185" s="77"/>
      <c r="K3185" s="79"/>
      <c r="L3185" s="49">
        <f t="shared" si="174"/>
        <v>0</v>
      </c>
      <c r="M3185" s="50">
        <f t="shared" si="175"/>
        <v>0</v>
      </c>
    </row>
    <row r="3186" spans="1:13" x14ac:dyDescent="0.2">
      <c r="A3186" s="18"/>
      <c r="B3186" s="77"/>
      <c r="C3186" s="77"/>
      <c r="D3186" s="78"/>
      <c r="E3186" s="77"/>
      <c r="F3186" s="77"/>
      <c r="G3186" s="77"/>
      <c r="H3186" s="77"/>
      <c r="I3186" s="77"/>
      <c r="J3186" s="77"/>
      <c r="K3186" s="79"/>
      <c r="L3186" s="49">
        <f t="shared" si="174"/>
        <v>0</v>
      </c>
      <c r="M3186" s="50">
        <f t="shared" si="175"/>
        <v>0</v>
      </c>
    </row>
    <row r="3187" spans="1:13" x14ac:dyDescent="0.2">
      <c r="A3187" s="18"/>
      <c r="B3187" s="77"/>
      <c r="C3187" s="77"/>
      <c r="D3187" s="78"/>
      <c r="E3187" s="77"/>
      <c r="F3187" s="77"/>
      <c r="G3187" s="77"/>
      <c r="H3187" s="77"/>
      <c r="I3187" s="77"/>
      <c r="J3187" s="77"/>
      <c r="K3187" s="79"/>
      <c r="L3187" s="49">
        <f t="shared" si="174"/>
        <v>0</v>
      </c>
      <c r="M3187" s="50">
        <f t="shared" si="175"/>
        <v>0</v>
      </c>
    </row>
    <row r="3188" spans="1:13" x14ac:dyDescent="0.2">
      <c r="A3188" s="18"/>
      <c r="B3188" s="77"/>
      <c r="C3188" s="77"/>
      <c r="D3188" s="78"/>
      <c r="E3188" s="77"/>
      <c r="F3188" s="77"/>
      <c r="G3188" s="77"/>
      <c r="H3188" s="77"/>
      <c r="I3188" s="77"/>
      <c r="J3188" s="77"/>
      <c r="K3188" s="79"/>
      <c r="L3188" s="49">
        <f t="shared" ref="L3188:L3251" si="176">+K3188*18%</f>
        <v>0</v>
      </c>
      <c r="M3188" s="50">
        <f t="shared" ref="M3188:M3251" si="177">+K3188+L3188</f>
        <v>0</v>
      </c>
    </row>
    <row r="3189" spans="1:13" x14ac:dyDescent="0.2">
      <c r="A3189" s="18"/>
      <c r="B3189" s="77"/>
      <c r="C3189" s="77"/>
      <c r="D3189" s="78"/>
      <c r="E3189" s="77"/>
      <c r="F3189" s="77"/>
      <c r="G3189" s="77"/>
      <c r="H3189" s="77"/>
      <c r="I3189" s="77"/>
      <c r="J3189" s="77"/>
      <c r="K3189" s="79"/>
      <c r="L3189" s="49">
        <f t="shared" si="176"/>
        <v>0</v>
      </c>
      <c r="M3189" s="50">
        <f t="shared" si="177"/>
        <v>0</v>
      </c>
    </row>
    <row r="3190" spans="1:13" x14ac:dyDescent="0.2">
      <c r="A3190" s="18"/>
      <c r="B3190" s="77"/>
      <c r="C3190" s="77"/>
      <c r="D3190" s="78"/>
      <c r="E3190" s="77"/>
      <c r="F3190" s="77"/>
      <c r="G3190" s="77"/>
      <c r="H3190" s="77"/>
      <c r="I3190" s="77"/>
      <c r="J3190" s="77"/>
      <c r="K3190" s="79"/>
      <c r="L3190" s="49">
        <f t="shared" si="176"/>
        <v>0</v>
      </c>
      <c r="M3190" s="50">
        <f t="shared" si="177"/>
        <v>0</v>
      </c>
    </row>
    <row r="3191" spans="1:13" x14ac:dyDescent="0.2">
      <c r="A3191" s="18"/>
      <c r="B3191" s="77"/>
      <c r="C3191" s="77"/>
      <c r="D3191" s="78"/>
      <c r="E3191" s="77"/>
      <c r="F3191" s="77"/>
      <c r="G3191" s="77"/>
      <c r="H3191" s="77"/>
      <c r="I3191" s="77"/>
      <c r="J3191" s="77"/>
      <c r="K3191" s="79"/>
      <c r="L3191" s="49">
        <f t="shared" si="176"/>
        <v>0</v>
      </c>
      <c r="M3191" s="50">
        <f t="shared" si="177"/>
        <v>0</v>
      </c>
    </row>
    <row r="3192" spans="1:13" x14ac:dyDescent="0.2">
      <c r="A3192" s="18"/>
      <c r="B3192" s="77"/>
      <c r="C3192" s="77"/>
      <c r="D3192" s="78"/>
      <c r="E3192" s="77"/>
      <c r="F3192" s="77"/>
      <c r="G3192" s="77"/>
      <c r="H3192" s="77"/>
      <c r="I3192" s="77"/>
      <c r="J3192" s="77"/>
      <c r="K3192" s="79"/>
      <c r="L3192" s="49">
        <f t="shared" si="176"/>
        <v>0</v>
      </c>
      <c r="M3192" s="50">
        <f t="shared" si="177"/>
        <v>0</v>
      </c>
    </row>
    <row r="3193" spans="1:13" x14ac:dyDescent="0.2">
      <c r="A3193" s="18"/>
      <c r="B3193" s="77"/>
      <c r="C3193" s="77"/>
      <c r="D3193" s="78"/>
      <c r="E3193" s="77"/>
      <c r="F3193" s="77"/>
      <c r="G3193" s="77"/>
      <c r="H3193" s="77"/>
      <c r="I3193" s="77"/>
      <c r="J3193" s="77"/>
      <c r="K3193" s="79"/>
      <c r="L3193" s="49">
        <f t="shared" si="176"/>
        <v>0</v>
      </c>
      <c r="M3193" s="50">
        <f t="shared" si="177"/>
        <v>0</v>
      </c>
    </row>
    <row r="3194" spans="1:13" x14ac:dyDescent="0.2">
      <c r="A3194" s="18"/>
      <c r="B3194" s="77"/>
      <c r="C3194" s="77"/>
      <c r="D3194" s="78"/>
      <c r="E3194" s="77"/>
      <c r="F3194" s="77"/>
      <c r="G3194" s="77"/>
      <c r="H3194" s="77"/>
      <c r="I3194" s="77"/>
      <c r="J3194" s="77"/>
      <c r="K3194" s="79"/>
      <c r="L3194" s="49">
        <f t="shared" si="176"/>
        <v>0</v>
      </c>
      <c r="M3194" s="50">
        <f t="shared" si="177"/>
        <v>0</v>
      </c>
    </row>
    <row r="3195" spans="1:13" x14ac:dyDescent="0.2">
      <c r="A3195" s="18"/>
      <c r="B3195" s="77"/>
      <c r="C3195" s="77"/>
      <c r="D3195" s="78"/>
      <c r="E3195" s="77"/>
      <c r="F3195" s="77"/>
      <c r="G3195" s="77"/>
      <c r="H3195" s="77"/>
      <c r="I3195" s="77"/>
      <c r="J3195" s="77"/>
      <c r="K3195" s="79"/>
      <c r="L3195" s="49">
        <f t="shared" si="176"/>
        <v>0</v>
      </c>
      <c r="M3195" s="50">
        <f t="shared" si="177"/>
        <v>0</v>
      </c>
    </row>
    <row r="3196" spans="1:13" x14ac:dyDescent="0.2">
      <c r="A3196" s="18"/>
      <c r="B3196" s="77"/>
      <c r="C3196" s="77"/>
      <c r="D3196" s="78"/>
      <c r="E3196" s="77"/>
      <c r="F3196" s="77"/>
      <c r="G3196" s="77"/>
      <c r="H3196" s="77"/>
      <c r="I3196" s="77"/>
      <c r="J3196" s="77"/>
      <c r="K3196" s="79"/>
      <c r="L3196" s="49">
        <f t="shared" si="176"/>
        <v>0</v>
      </c>
      <c r="M3196" s="50">
        <f t="shared" si="177"/>
        <v>0</v>
      </c>
    </row>
    <row r="3197" spans="1:13" x14ac:dyDescent="0.2">
      <c r="A3197" s="18"/>
      <c r="B3197" s="77"/>
      <c r="C3197" s="77"/>
      <c r="D3197" s="78"/>
      <c r="E3197" s="77"/>
      <c r="F3197" s="77"/>
      <c r="G3197" s="77"/>
      <c r="H3197" s="77"/>
      <c r="I3197" s="77"/>
      <c r="J3197" s="77"/>
      <c r="K3197" s="79"/>
      <c r="L3197" s="49">
        <f t="shared" si="176"/>
        <v>0</v>
      </c>
      <c r="M3197" s="50">
        <f t="shared" si="177"/>
        <v>0</v>
      </c>
    </row>
    <row r="3198" spans="1:13" x14ac:dyDescent="0.2">
      <c r="A3198" s="18"/>
      <c r="B3198" s="77"/>
      <c r="C3198" s="77"/>
      <c r="D3198" s="78"/>
      <c r="E3198" s="77"/>
      <c r="F3198" s="77"/>
      <c r="G3198" s="77"/>
      <c r="H3198" s="77"/>
      <c r="I3198" s="77"/>
      <c r="J3198" s="77"/>
      <c r="K3198" s="79"/>
      <c r="L3198" s="49">
        <f t="shared" si="176"/>
        <v>0</v>
      </c>
      <c r="M3198" s="50">
        <f t="shared" si="177"/>
        <v>0</v>
      </c>
    </row>
    <row r="3199" spans="1:13" x14ac:dyDescent="0.2">
      <c r="A3199" s="18"/>
      <c r="B3199" s="77"/>
      <c r="C3199" s="77"/>
      <c r="D3199" s="78"/>
      <c r="E3199" s="77"/>
      <c r="F3199" s="77"/>
      <c r="G3199" s="77"/>
      <c r="H3199" s="77"/>
      <c r="I3199" s="77"/>
      <c r="J3199" s="77"/>
      <c r="K3199" s="79"/>
      <c r="L3199" s="49">
        <f t="shared" si="176"/>
        <v>0</v>
      </c>
      <c r="M3199" s="50">
        <f t="shared" si="177"/>
        <v>0</v>
      </c>
    </row>
    <row r="3200" spans="1:13" x14ac:dyDescent="0.2">
      <c r="A3200" s="18"/>
      <c r="B3200" s="77"/>
      <c r="C3200" s="77"/>
      <c r="D3200" s="78"/>
      <c r="E3200" s="77"/>
      <c r="F3200" s="77"/>
      <c r="G3200" s="77"/>
      <c r="H3200" s="77"/>
      <c r="I3200" s="77"/>
      <c r="J3200" s="77"/>
      <c r="K3200" s="79"/>
      <c r="L3200" s="49">
        <f t="shared" si="176"/>
        <v>0</v>
      </c>
      <c r="M3200" s="50">
        <f t="shared" si="177"/>
        <v>0</v>
      </c>
    </row>
    <row r="3201" spans="1:13" x14ac:dyDescent="0.2">
      <c r="A3201" s="18"/>
      <c r="B3201" s="77"/>
      <c r="C3201" s="77"/>
      <c r="D3201" s="78"/>
      <c r="E3201" s="77"/>
      <c r="F3201" s="77"/>
      <c r="G3201" s="77"/>
      <c r="H3201" s="77"/>
      <c r="I3201" s="77"/>
      <c r="J3201" s="77"/>
      <c r="K3201" s="79"/>
      <c r="L3201" s="49">
        <f t="shared" si="176"/>
        <v>0</v>
      </c>
      <c r="M3201" s="50">
        <f t="shared" si="177"/>
        <v>0</v>
      </c>
    </row>
    <row r="3202" spans="1:13" x14ac:dyDescent="0.2">
      <c r="A3202" s="18"/>
      <c r="B3202" s="77"/>
      <c r="C3202" s="77"/>
      <c r="D3202" s="78"/>
      <c r="E3202" s="77"/>
      <c r="F3202" s="77"/>
      <c r="G3202" s="77"/>
      <c r="H3202" s="77"/>
      <c r="I3202" s="77"/>
      <c r="J3202" s="77"/>
      <c r="K3202" s="79"/>
      <c r="L3202" s="49">
        <f t="shared" si="176"/>
        <v>0</v>
      </c>
      <c r="M3202" s="50">
        <f t="shared" si="177"/>
        <v>0</v>
      </c>
    </row>
    <row r="3203" spans="1:13" x14ac:dyDescent="0.2">
      <c r="A3203" s="18"/>
      <c r="B3203" s="77"/>
      <c r="C3203" s="77"/>
      <c r="D3203" s="78"/>
      <c r="E3203" s="77"/>
      <c r="F3203" s="77"/>
      <c r="G3203" s="77"/>
      <c r="H3203" s="77"/>
      <c r="I3203" s="77"/>
      <c r="J3203" s="77"/>
      <c r="K3203" s="79"/>
      <c r="L3203" s="49">
        <f t="shared" si="176"/>
        <v>0</v>
      </c>
      <c r="M3203" s="50">
        <f t="shared" si="177"/>
        <v>0</v>
      </c>
    </row>
    <row r="3204" spans="1:13" x14ac:dyDescent="0.2">
      <c r="A3204" s="18"/>
      <c r="B3204" s="77"/>
      <c r="C3204" s="77"/>
      <c r="D3204" s="78"/>
      <c r="E3204" s="77"/>
      <c r="F3204" s="77"/>
      <c r="G3204" s="77"/>
      <c r="H3204" s="77"/>
      <c r="I3204" s="77"/>
      <c r="J3204" s="77"/>
      <c r="K3204" s="79"/>
      <c r="L3204" s="49">
        <f t="shared" si="176"/>
        <v>0</v>
      </c>
      <c r="M3204" s="50">
        <f t="shared" si="177"/>
        <v>0</v>
      </c>
    </row>
    <row r="3205" spans="1:13" x14ac:dyDescent="0.2">
      <c r="A3205" s="18"/>
      <c r="B3205" s="77"/>
      <c r="C3205" s="77"/>
      <c r="D3205" s="78"/>
      <c r="E3205" s="77"/>
      <c r="F3205" s="77"/>
      <c r="G3205" s="77"/>
      <c r="H3205" s="77"/>
      <c r="I3205" s="77"/>
      <c r="J3205" s="77"/>
      <c r="K3205" s="79"/>
      <c r="L3205" s="49">
        <f t="shared" si="176"/>
        <v>0</v>
      </c>
      <c r="M3205" s="50">
        <f t="shared" si="177"/>
        <v>0</v>
      </c>
    </row>
    <row r="3206" spans="1:13" x14ac:dyDescent="0.2">
      <c r="A3206" s="18"/>
      <c r="B3206" s="77"/>
      <c r="C3206" s="77"/>
      <c r="D3206" s="78"/>
      <c r="E3206" s="77"/>
      <c r="F3206" s="77"/>
      <c r="G3206" s="77"/>
      <c r="H3206" s="77"/>
      <c r="I3206" s="77"/>
      <c r="J3206" s="77"/>
      <c r="K3206" s="79"/>
      <c r="L3206" s="49">
        <f t="shared" si="176"/>
        <v>0</v>
      </c>
      <c r="M3206" s="50">
        <f t="shared" si="177"/>
        <v>0</v>
      </c>
    </row>
    <row r="3207" spans="1:13" x14ac:dyDescent="0.2">
      <c r="A3207" s="18"/>
      <c r="B3207" s="77"/>
      <c r="C3207" s="77"/>
      <c r="D3207" s="78"/>
      <c r="E3207" s="77"/>
      <c r="F3207" s="77"/>
      <c r="G3207" s="77"/>
      <c r="H3207" s="77"/>
      <c r="I3207" s="77"/>
      <c r="J3207" s="77"/>
      <c r="K3207" s="79"/>
      <c r="L3207" s="49">
        <f t="shared" si="176"/>
        <v>0</v>
      </c>
      <c r="M3207" s="50">
        <f t="shared" si="177"/>
        <v>0</v>
      </c>
    </row>
    <row r="3208" spans="1:13" x14ac:dyDescent="0.2">
      <c r="A3208" s="18"/>
      <c r="B3208" s="77"/>
      <c r="C3208" s="77"/>
      <c r="D3208" s="78"/>
      <c r="E3208" s="77"/>
      <c r="F3208" s="77"/>
      <c r="G3208" s="77"/>
      <c r="H3208" s="77"/>
      <c r="I3208" s="77"/>
      <c r="J3208" s="77"/>
      <c r="K3208" s="79"/>
      <c r="L3208" s="49">
        <f t="shared" si="176"/>
        <v>0</v>
      </c>
      <c r="M3208" s="50">
        <f t="shared" si="177"/>
        <v>0</v>
      </c>
    </row>
    <row r="3209" spans="1:13" x14ac:dyDescent="0.2">
      <c r="A3209" s="18"/>
      <c r="B3209" s="77"/>
      <c r="C3209" s="77"/>
      <c r="D3209" s="78"/>
      <c r="E3209" s="77"/>
      <c r="F3209" s="77"/>
      <c r="G3209" s="77"/>
      <c r="H3209" s="77"/>
      <c r="I3209" s="77"/>
      <c r="J3209" s="77"/>
      <c r="K3209" s="79"/>
      <c r="L3209" s="49">
        <f t="shared" si="176"/>
        <v>0</v>
      </c>
      <c r="M3209" s="50">
        <f t="shared" si="177"/>
        <v>0</v>
      </c>
    </row>
    <row r="3210" spans="1:13" x14ac:dyDescent="0.2">
      <c r="A3210" s="18"/>
      <c r="B3210" s="77"/>
      <c r="C3210" s="77"/>
      <c r="D3210" s="78"/>
      <c r="E3210" s="77"/>
      <c r="F3210" s="77"/>
      <c r="G3210" s="77"/>
      <c r="H3210" s="77"/>
      <c r="I3210" s="77"/>
      <c r="J3210" s="77"/>
      <c r="K3210" s="79"/>
      <c r="L3210" s="49">
        <f t="shared" si="176"/>
        <v>0</v>
      </c>
      <c r="M3210" s="50">
        <f t="shared" si="177"/>
        <v>0</v>
      </c>
    </row>
    <row r="3211" spans="1:13" x14ac:dyDescent="0.2">
      <c r="A3211" s="18"/>
      <c r="B3211" s="77"/>
      <c r="C3211" s="77"/>
      <c r="D3211" s="78"/>
      <c r="E3211" s="77"/>
      <c r="F3211" s="77"/>
      <c r="G3211" s="77"/>
      <c r="H3211" s="77"/>
      <c r="I3211" s="77"/>
      <c r="J3211" s="77"/>
      <c r="K3211" s="79"/>
      <c r="L3211" s="49">
        <f t="shared" si="176"/>
        <v>0</v>
      </c>
      <c r="M3211" s="50">
        <f t="shared" si="177"/>
        <v>0</v>
      </c>
    </row>
    <row r="3212" spans="1:13" x14ac:dyDescent="0.2">
      <c r="A3212" s="18"/>
      <c r="B3212" s="77"/>
      <c r="C3212" s="77"/>
      <c r="D3212" s="78"/>
      <c r="E3212" s="77"/>
      <c r="F3212" s="77"/>
      <c r="G3212" s="77"/>
      <c r="H3212" s="77"/>
      <c r="I3212" s="77"/>
      <c r="J3212" s="77"/>
      <c r="K3212" s="79"/>
      <c r="L3212" s="49">
        <f t="shared" si="176"/>
        <v>0</v>
      </c>
      <c r="M3212" s="50">
        <f t="shared" si="177"/>
        <v>0</v>
      </c>
    </row>
    <row r="3213" spans="1:13" x14ac:dyDescent="0.2">
      <c r="A3213" s="18"/>
      <c r="B3213" s="77"/>
      <c r="C3213" s="77"/>
      <c r="D3213" s="78"/>
      <c r="E3213" s="77"/>
      <c r="F3213" s="77"/>
      <c r="G3213" s="77"/>
      <c r="H3213" s="77"/>
      <c r="I3213" s="77"/>
      <c r="J3213" s="77"/>
      <c r="K3213" s="79"/>
      <c r="L3213" s="49">
        <f t="shared" si="176"/>
        <v>0</v>
      </c>
      <c r="M3213" s="50">
        <f t="shared" si="177"/>
        <v>0</v>
      </c>
    </row>
    <row r="3214" spans="1:13" x14ac:dyDescent="0.2">
      <c r="A3214" s="18"/>
      <c r="B3214" s="77"/>
      <c r="C3214" s="77"/>
      <c r="D3214" s="78"/>
      <c r="E3214" s="77"/>
      <c r="F3214" s="77"/>
      <c r="G3214" s="77"/>
      <c r="H3214" s="77"/>
      <c r="I3214" s="77"/>
      <c r="J3214" s="77"/>
      <c r="K3214" s="79"/>
      <c r="L3214" s="49">
        <f t="shared" si="176"/>
        <v>0</v>
      </c>
      <c r="M3214" s="50">
        <f t="shared" si="177"/>
        <v>0</v>
      </c>
    </row>
    <row r="3215" spans="1:13" x14ac:dyDescent="0.2">
      <c r="A3215" s="18"/>
      <c r="B3215" s="77"/>
      <c r="C3215" s="77"/>
      <c r="D3215" s="78"/>
      <c r="E3215" s="77"/>
      <c r="F3215" s="77"/>
      <c r="G3215" s="77"/>
      <c r="H3215" s="77"/>
      <c r="I3215" s="77"/>
      <c r="J3215" s="77"/>
      <c r="K3215" s="79"/>
      <c r="L3215" s="49">
        <f t="shared" si="176"/>
        <v>0</v>
      </c>
      <c r="M3215" s="50">
        <f t="shared" si="177"/>
        <v>0</v>
      </c>
    </row>
    <row r="3216" spans="1:13" x14ac:dyDescent="0.2">
      <c r="A3216" s="18"/>
      <c r="B3216" s="77"/>
      <c r="C3216" s="77"/>
      <c r="D3216" s="78"/>
      <c r="E3216" s="77"/>
      <c r="F3216" s="77"/>
      <c r="G3216" s="77"/>
      <c r="H3216" s="77"/>
      <c r="I3216" s="77"/>
      <c r="J3216" s="77"/>
      <c r="K3216" s="79"/>
      <c r="L3216" s="49">
        <f t="shared" si="176"/>
        <v>0</v>
      </c>
      <c r="M3216" s="50">
        <f t="shared" si="177"/>
        <v>0</v>
      </c>
    </row>
    <row r="3217" spans="1:13" x14ac:dyDescent="0.2">
      <c r="A3217" s="18"/>
      <c r="B3217" s="77"/>
      <c r="C3217" s="77"/>
      <c r="D3217" s="78"/>
      <c r="E3217" s="77"/>
      <c r="F3217" s="77"/>
      <c r="G3217" s="77"/>
      <c r="H3217" s="77"/>
      <c r="I3217" s="77"/>
      <c r="J3217" s="77"/>
      <c r="K3217" s="79"/>
      <c r="L3217" s="49">
        <f t="shared" si="176"/>
        <v>0</v>
      </c>
      <c r="M3217" s="50">
        <f t="shared" si="177"/>
        <v>0</v>
      </c>
    </row>
    <row r="3218" spans="1:13" x14ac:dyDescent="0.2">
      <c r="A3218" s="18"/>
      <c r="B3218" s="77"/>
      <c r="C3218" s="77"/>
      <c r="D3218" s="78"/>
      <c r="E3218" s="77"/>
      <c r="F3218" s="77"/>
      <c r="G3218" s="77"/>
      <c r="H3218" s="77"/>
      <c r="I3218" s="77"/>
      <c r="J3218" s="77"/>
      <c r="K3218" s="79"/>
      <c r="L3218" s="49">
        <f t="shared" si="176"/>
        <v>0</v>
      </c>
      <c r="M3218" s="50">
        <f t="shared" si="177"/>
        <v>0</v>
      </c>
    </row>
    <row r="3219" spans="1:13" x14ac:dyDescent="0.2">
      <c r="A3219" s="18"/>
      <c r="B3219" s="77"/>
      <c r="C3219" s="77"/>
      <c r="D3219" s="78"/>
      <c r="E3219" s="77"/>
      <c r="F3219" s="77"/>
      <c r="G3219" s="77"/>
      <c r="H3219" s="77"/>
      <c r="I3219" s="77"/>
      <c r="J3219" s="77"/>
      <c r="K3219" s="79"/>
      <c r="L3219" s="49">
        <f t="shared" si="176"/>
        <v>0</v>
      </c>
      <c r="M3219" s="50">
        <f t="shared" si="177"/>
        <v>0</v>
      </c>
    </row>
    <row r="3220" spans="1:13" x14ac:dyDescent="0.2">
      <c r="A3220" s="18"/>
      <c r="B3220" s="77"/>
      <c r="C3220" s="77"/>
      <c r="D3220" s="78"/>
      <c r="E3220" s="77"/>
      <c r="F3220" s="77"/>
      <c r="G3220" s="77"/>
      <c r="H3220" s="77"/>
      <c r="I3220" s="77"/>
      <c r="J3220" s="77"/>
      <c r="K3220" s="79"/>
      <c r="L3220" s="49">
        <f t="shared" si="176"/>
        <v>0</v>
      </c>
      <c r="M3220" s="50">
        <f t="shared" si="177"/>
        <v>0</v>
      </c>
    </row>
    <row r="3221" spans="1:13" x14ac:dyDescent="0.2">
      <c r="A3221" s="18"/>
      <c r="B3221" s="77"/>
      <c r="C3221" s="77"/>
      <c r="D3221" s="78"/>
      <c r="E3221" s="77"/>
      <c r="F3221" s="77"/>
      <c r="G3221" s="77"/>
      <c r="H3221" s="77"/>
      <c r="I3221" s="77"/>
      <c r="J3221" s="77"/>
      <c r="K3221" s="79"/>
      <c r="L3221" s="49">
        <f t="shared" si="176"/>
        <v>0</v>
      </c>
      <c r="M3221" s="50">
        <f t="shared" si="177"/>
        <v>0</v>
      </c>
    </row>
    <row r="3222" spans="1:13" x14ac:dyDescent="0.2">
      <c r="A3222" s="18"/>
      <c r="B3222" s="77"/>
      <c r="C3222" s="77"/>
      <c r="D3222" s="78"/>
      <c r="E3222" s="77"/>
      <c r="F3222" s="77"/>
      <c r="G3222" s="77"/>
      <c r="H3222" s="77"/>
      <c r="I3222" s="77"/>
      <c r="J3222" s="77"/>
      <c r="K3222" s="79"/>
      <c r="L3222" s="49">
        <f t="shared" si="176"/>
        <v>0</v>
      </c>
      <c r="M3222" s="50">
        <f t="shared" si="177"/>
        <v>0</v>
      </c>
    </row>
    <row r="3223" spans="1:13" x14ac:dyDescent="0.2">
      <c r="A3223" s="18"/>
      <c r="B3223" s="77"/>
      <c r="C3223" s="77"/>
      <c r="D3223" s="78"/>
      <c r="E3223" s="77"/>
      <c r="F3223" s="77"/>
      <c r="G3223" s="77"/>
      <c r="H3223" s="77"/>
      <c r="I3223" s="77"/>
      <c r="J3223" s="77"/>
      <c r="K3223" s="79"/>
      <c r="L3223" s="49">
        <f t="shared" si="176"/>
        <v>0</v>
      </c>
      <c r="M3223" s="50">
        <f t="shared" si="177"/>
        <v>0</v>
      </c>
    </row>
    <row r="3224" spans="1:13" x14ac:dyDescent="0.2">
      <c r="A3224" s="18"/>
      <c r="B3224" s="77"/>
      <c r="C3224" s="77"/>
      <c r="D3224" s="78"/>
      <c r="E3224" s="77"/>
      <c r="F3224" s="77"/>
      <c r="G3224" s="77"/>
      <c r="H3224" s="77"/>
      <c r="I3224" s="77"/>
      <c r="J3224" s="77"/>
      <c r="K3224" s="79"/>
      <c r="L3224" s="49">
        <f t="shared" si="176"/>
        <v>0</v>
      </c>
      <c r="M3224" s="50">
        <f t="shared" si="177"/>
        <v>0</v>
      </c>
    </row>
    <row r="3225" spans="1:13" x14ac:dyDescent="0.2">
      <c r="A3225" s="18"/>
      <c r="B3225" s="77"/>
      <c r="C3225" s="77"/>
      <c r="D3225" s="78"/>
      <c r="E3225" s="77"/>
      <c r="F3225" s="77"/>
      <c r="G3225" s="77"/>
      <c r="H3225" s="77"/>
      <c r="I3225" s="77"/>
      <c r="J3225" s="77"/>
      <c r="K3225" s="79"/>
      <c r="L3225" s="49">
        <f t="shared" si="176"/>
        <v>0</v>
      </c>
      <c r="M3225" s="50">
        <f t="shared" si="177"/>
        <v>0</v>
      </c>
    </row>
    <row r="3226" spans="1:13" x14ac:dyDescent="0.2">
      <c r="A3226" s="18"/>
      <c r="B3226" s="77"/>
      <c r="C3226" s="77"/>
      <c r="D3226" s="78"/>
      <c r="E3226" s="77"/>
      <c r="F3226" s="77"/>
      <c r="G3226" s="77"/>
      <c r="H3226" s="77"/>
      <c r="I3226" s="77"/>
      <c r="J3226" s="77"/>
      <c r="K3226" s="79"/>
      <c r="L3226" s="49">
        <f t="shared" si="176"/>
        <v>0</v>
      </c>
      <c r="M3226" s="50">
        <f t="shared" si="177"/>
        <v>0</v>
      </c>
    </row>
    <row r="3227" spans="1:13" x14ac:dyDescent="0.2">
      <c r="A3227" s="18"/>
      <c r="B3227" s="77"/>
      <c r="C3227" s="77"/>
      <c r="D3227" s="78"/>
      <c r="E3227" s="77"/>
      <c r="F3227" s="77"/>
      <c r="G3227" s="77"/>
      <c r="H3227" s="77"/>
      <c r="I3227" s="77"/>
      <c r="J3227" s="77"/>
      <c r="K3227" s="79"/>
      <c r="L3227" s="49">
        <f t="shared" si="176"/>
        <v>0</v>
      </c>
      <c r="M3227" s="50">
        <f t="shared" si="177"/>
        <v>0</v>
      </c>
    </row>
    <row r="3228" spans="1:13" x14ac:dyDescent="0.2">
      <c r="A3228" s="18"/>
      <c r="B3228" s="77"/>
      <c r="C3228" s="77"/>
      <c r="D3228" s="78"/>
      <c r="E3228" s="77"/>
      <c r="F3228" s="77"/>
      <c r="G3228" s="77"/>
      <c r="H3228" s="77"/>
      <c r="I3228" s="77"/>
      <c r="J3228" s="77"/>
      <c r="K3228" s="79"/>
      <c r="L3228" s="49">
        <f t="shared" si="176"/>
        <v>0</v>
      </c>
      <c r="M3228" s="50">
        <f t="shared" si="177"/>
        <v>0</v>
      </c>
    </row>
    <row r="3229" spans="1:13" x14ac:dyDescent="0.2">
      <c r="A3229" s="18"/>
      <c r="B3229" s="77"/>
      <c r="C3229" s="77"/>
      <c r="D3229" s="78"/>
      <c r="E3229" s="77"/>
      <c r="F3229" s="77"/>
      <c r="G3229" s="77"/>
      <c r="H3229" s="77"/>
      <c r="I3229" s="77"/>
      <c r="J3229" s="77"/>
      <c r="K3229" s="79"/>
      <c r="L3229" s="49">
        <f t="shared" si="176"/>
        <v>0</v>
      </c>
      <c r="M3229" s="50">
        <f t="shared" si="177"/>
        <v>0</v>
      </c>
    </row>
    <row r="3230" spans="1:13" x14ac:dyDescent="0.2">
      <c r="A3230" s="18"/>
      <c r="B3230" s="77"/>
      <c r="C3230" s="77"/>
      <c r="D3230" s="78"/>
      <c r="E3230" s="77"/>
      <c r="F3230" s="77"/>
      <c r="G3230" s="77"/>
      <c r="H3230" s="77"/>
      <c r="I3230" s="77"/>
      <c r="J3230" s="77"/>
      <c r="K3230" s="79"/>
      <c r="L3230" s="49">
        <f t="shared" si="176"/>
        <v>0</v>
      </c>
      <c r="M3230" s="50">
        <f t="shared" si="177"/>
        <v>0</v>
      </c>
    </row>
    <row r="3231" spans="1:13" x14ac:dyDescent="0.2">
      <c r="A3231" s="18"/>
      <c r="B3231" s="77"/>
      <c r="C3231" s="77"/>
      <c r="D3231" s="78"/>
      <c r="E3231" s="77"/>
      <c r="F3231" s="77"/>
      <c r="G3231" s="77"/>
      <c r="H3231" s="77"/>
      <c r="I3231" s="77"/>
      <c r="J3231" s="77"/>
      <c r="K3231" s="79"/>
      <c r="L3231" s="49">
        <f t="shared" si="176"/>
        <v>0</v>
      </c>
      <c r="M3231" s="50">
        <f t="shared" si="177"/>
        <v>0</v>
      </c>
    </row>
    <row r="3232" spans="1:13" x14ac:dyDescent="0.2">
      <c r="A3232" s="18"/>
      <c r="B3232" s="77"/>
      <c r="C3232" s="77"/>
      <c r="D3232" s="78"/>
      <c r="E3232" s="77"/>
      <c r="F3232" s="77"/>
      <c r="G3232" s="77"/>
      <c r="H3232" s="77"/>
      <c r="I3232" s="77"/>
      <c r="J3232" s="77"/>
      <c r="K3232" s="79"/>
      <c r="L3232" s="49">
        <f t="shared" si="176"/>
        <v>0</v>
      </c>
      <c r="M3232" s="50">
        <f t="shared" si="177"/>
        <v>0</v>
      </c>
    </row>
    <row r="3233" spans="1:13" x14ac:dyDescent="0.2">
      <c r="A3233" s="18"/>
      <c r="B3233" s="77"/>
      <c r="C3233" s="77"/>
      <c r="D3233" s="78"/>
      <c r="E3233" s="77"/>
      <c r="F3233" s="77"/>
      <c r="G3233" s="77"/>
      <c r="H3233" s="77"/>
      <c r="I3233" s="77"/>
      <c r="J3233" s="77"/>
      <c r="K3233" s="79"/>
      <c r="L3233" s="49">
        <f t="shared" si="176"/>
        <v>0</v>
      </c>
      <c r="M3233" s="50">
        <f t="shared" si="177"/>
        <v>0</v>
      </c>
    </row>
    <row r="3234" spans="1:13" x14ac:dyDescent="0.2">
      <c r="A3234" s="18"/>
      <c r="B3234" s="77"/>
      <c r="C3234" s="77"/>
      <c r="D3234" s="78"/>
      <c r="E3234" s="77"/>
      <c r="F3234" s="77"/>
      <c r="G3234" s="77"/>
      <c r="H3234" s="77"/>
      <c r="I3234" s="77"/>
      <c r="J3234" s="77"/>
      <c r="K3234" s="79"/>
      <c r="L3234" s="49">
        <f t="shared" si="176"/>
        <v>0</v>
      </c>
      <c r="M3234" s="50">
        <f t="shared" si="177"/>
        <v>0</v>
      </c>
    </row>
    <row r="3235" spans="1:13" x14ac:dyDescent="0.2">
      <c r="A3235" s="18"/>
      <c r="B3235" s="77"/>
      <c r="C3235" s="77"/>
      <c r="D3235" s="78"/>
      <c r="E3235" s="77"/>
      <c r="F3235" s="77"/>
      <c r="G3235" s="77"/>
      <c r="H3235" s="77"/>
      <c r="I3235" s="77"/>
      <c r="J3235" s="77"/>
      <c r="K3235" s="79"/>
      <c r="L3235" s="49">
        <f t="shared" si="176"/>
        <v>0</v>
      </c>
      <c r="M3235" s="50">
        <f t="shared" si="177"/>
        <v>0</v>
      </c>
    </row>
    <row r="3236" spans="1:13" x14ac:dyDescent="0.2">
      <c r="A3236" s="18"/>
      <c r="B3236" s="77"/>
      <c r="C3236" s="77"/>
      <c r="D3236" s="78"/>
      <c r="E3236" s="77"/>
      <c r="F3236" s="77"/>
      <c r="G3236" s="77"/>
      <c r="H3236" s="77"/>
      <c r="I3236" s="77"/>
      <c r="J3236" s="77"/>
      <c r="K3236" s="79"/>
      <c r="L3236" s="49">
        <f t="shared" si="176"/>
        <v>0</v>
      </c>
      <c r="M3236" s="50">
        <f t="shared" si="177"/>
        <v>0</v>
      </c>
    </row>
    <row r="3237" spans="1:13" x14ac:dyDescent="0.2">
      <c r="A3237" s="18"/>
      <c r="B3237" s="77"/>
      <c r="C3237" s="77"/>
      <c r="D3237" s="78"/>
      <c r="E3237" s="77"/>
      <c r="F3237" s="77"/>
      <c r="G3237" s="77"/>
      <c r="H3237" s="77"/>
      <c r="I3237" s="77"/>
      <c r="J3237" s="77"/>
      <c r="K3237" s="79"/>
      <c r="L3237" s="49">
        <f t="shared" si="176"/>
        <v>0</v>
      </c>
      <c r="M3237" s="50">
        <f t="shared" si="177"/>
        <v>0</v>
      </c>
    </row>
    <row r="3238" spans="1:13" x14ac:dyDescent="0.2">
      <c r="A3238" s="18"/>
      <c r="B3238" s="77"/>
      <c r="C3238" s="77"/>
      <c r="D3238" s="78"/>
      <c r="E3238" s="77"/>
      <c r="F3238" s="77"/>
      <c r="G3238" s="77"/>
      <c r="H3238" s="77"/>
      <c r="I3238" s="77"/>
      <c r="J3238" s="77"/>
      <c r="K3238" s="79"/>
      <c r="L3238" s="49">
        <f t="shared" si="176"/>
        <v>0</v>
      </c>
      <c r="M3238" s="50">
        <f t="shared" si="177"/>
        <v>0</v>
      </c>
    </row>
    <row r="3239" spans="1:13" x14ac:dyDescent="0.2">
      <c r="A3239" s="18"/>
      <c r="B3239" s="77"/>
      <c r="C3239" s="77"/>
      <c r="D3239" s="78"/>
      <c r="E3239" s="77"/>
      <c r="F3239" s="77"/>
      <c r="G3239" s="77"/>
      <c r="H3239" s="77"/>
      <c r="I3239" s="77"/>
      <c r="J3239" s="77"/>
      <c r="K3239" s="79"/>
      <c r="L3239" s="49">
        <f t="shared" si="176"/>
        <v>0</v>
      </c>
      <c r="M3239" s="50">
        <f t="shared" si="177"/>
        <v>0</v>
      </c>
    </row>
    <row r="3240" spans="1:13" x14ac:dyDescent="0.2">
      <c r="A3240" s="18"/>
      <c r="B3240" s="77"/>
      <c r="C3240" s="77"/>
      <c r="D3240" s="78"/>
      <c r="E3240" s="77"/>
      <c r="F3240" s="77"/>
      <c r="G3240" s="77"/>
      <c r="H3240" s="77"/>
      <c r="I3240" s="77"/>
      <c r="J3240" s="77"/>
      <c r="K3240" s="79"/>
      <c r="L3240" s="49">
        <f t="shared" si="176"/>
        <v>0</v>
      </c>
      <c r="M3240" s="50">
        <f t="shared" si="177"/>
        <v>0</v>
      </c>
    </row>
    <row r="3241" spans="1:13" x14ac:dyDescent="0.2">
      <c r="A3241" s="18"/>
      <c r="B3241" s="77"/>
      <c r="C3241" s="77"/>
      <c r="D3241" s="78"/>
      <c r="E3241" s="77"/>
      <c r="F3241" s="77"/>
      <c r="G3241" s="77"/>
      <c r="H3241" s="77"/>
      <c r="I3241" s="77"/>
      <c r="J3241" s="77"/>
      <c r="K3241" s="79"/>
      <c r="L3241" s="49">
        <f t="shared" si="176"/>
        <v>0</v>
      </c>
      <c r="M3241" s="50">
        <f t="shared" si="177"/>
        <v>0</v>
      </c>
    </row>
    <row r="3242" spans="1:13" x14ac:dyDescent="0.2">
      <c r="A3242" s="18"/>
      <c r="B3242" s="77"/>
      <c r="C3242" s="77"/>
      <c r="D3242" s="78"/>
      <c r="E3242" s="77"/>
      <c r="F3242" s="77"/>
      <c r="G3242" s="77"/>
      <c r="H3242" s="77"/>
      <c r="I3242" s="77"/>
      <c r="J3242" s="77"/>
      <c r="K3242" s="79"/>
      <c r="L3242" s="49">
        <f t="shared" si="176"/>
        <v>0</v>
      </c>
      <c r="M3242" s="50">
        <f t="shared" si="177"/>
        <v>0</v>
      </c>
    </row>
    <row r="3243" spans="1:13" x14ac:dyDescent="0.2">
      <c r="A3243" s="18"/>
      <c r="B3243" s="77"/>
      <c r="C3243" s="77"/>
      <c r="D3243" s="78"/>
      <c r="E3243" s="77"/>
      <c r="F3243" s="77"/>
      <c r="G3243" s="77"/>
      <c r="H3243" s="77"/>
      <c r="I3243" s="77"/>
      <c r="J3243" s="77"/>
      <c r="K3243" s="79"/>
      <c r="L3243" s="49">
        <f t="shared" si="176"/>
        <v>0</v>
      </c>
      <c r="M3243" s="50">
        <f t="shared" si="177"/>
        <v>0</v>
      </c>
    </row>
    <row r="3244" spans="1:13" x14ac:dyDescent="0.2">
      <c r="A3244" s="18"/>
      <c r="B3244" s="77"/>
      <c r="C3244" s="77"/>
      <c r="D3244" s="78"/>
      <c r="E3244" s="77"/>
      <c r="F3244" s="77"/>
      <c r="G3244" s="77"/>
      <c r="H3244" s="77"/>
      <c r="I3244" s="77"/>
      <c r="J3244" s="77"/>
      <c r="K3244" s="79"/>
      <c r="L3244" s="49">
        <f t="shared" si="176"/>
        <v>0</v>
      </c>
      <c r="M3244" s="50">
        <f t="shared" si="177"/>
        <v>0</v>
      </c>
    </row>
    <row r="3245" spans="1:13" x14ac:dyDescent="0.2">
      <c r="A3245" s="18"/>
      <c r="B3245" s="77"/>
      <c r="C3245" s="77"/>
      <c r="D3245" s="78"/>
      <c r="E3245" s="77"/>
      <c r="F3245" s="77"/>
      <c r="G3245" s="77"/>
      <c r="H3245" s="77"/>
      <c r="I3245" s="77"/>
      <c r="J3245" s="77"/>
      <c r="K3245" s="79"/>
      <c r="L3245" s="49">
        <f t="shared" si="176"/>
        <v>0</v>
      </c>
      <c r="M3245" s="50">
        <f t="shared" si="177"/>
        <v>0</v>
      </c>
    </row>
    <row r="3246" spans="1:13" x14ac:dyDescent="0.2">
      <c r="A3246" s="18"/>
      <c r="B3246" s="77"/>
      <c r="C3246" s="77"/>
      <c r="D3246" s="78"/>
      <c r="E3246" s="77"/>
      <c r="F3246" s="77"/>
      <c r="G3246" s="77"/>
      <c r="H3246" s="77"/>
      <c r="I3246" s="77"/>
      <c r="J3246" s="77"/>
      <c r="K3246" s="79"/>
      <c r="L3246" s="49">
        <f t="shared" si="176"/>
        <v>0</v>
      </c>
      <c r="M3246" s="50">
        <f t="shared" si="177"/>
        <v>0</v>
      </c>
    </row>
    <row r="3247" spans="1:13" x14ac:dyDescent="0.2">
      <c r="A3247" s="18"/>
      <c r="B3247" s="77"/>
      <c r="C3247" s="77"/>
      <c r="D3247" s="78"/>
      <c r="E3247" s="77"/>
      <c r="F3247" s="77"/>
      <c r="G3247" s="77"/>
      <c r="H3247" s="77"/>
      <c r="I3247" s="77"/>
      <c r="J3247" s="77"/>
      <c r="K3247" s="79"/>
      <c r="L3247" s="49">
        <f t="shared" si="176"/>
        <v>0</v>
      </c>
      <c r="M3247" s="50">
        <f t="shared" si="177"/>
        <v>0</v>
      </c>
    </row>
    <row r="3248" spans="1:13" x14ac:dyDescent="0.2">
      <c r="A3248" s="18"/>
      <c r="B3248" s="77"/>
      <c r="C3248" s="77"/>
      <c r="D3248" s="78"/>
      <c r="E3248" s="77"/>
      <c r="F3248" s="77"/>
      <c r="G3248" s="77"/>
      <c r="H3248" s="77"/>
      <c r="I3248" s="77"/>
      <c r="J3248" s="77"/>
      <c r="K3248" s="79"/>
      <c r="L3248" s="49">
        <f t="shared" si="176"/>
        <v>0</v>
      </c>
      <c r="M3248" s="50">
        <f t="shared" si="177"/>
        <v>0</v>
      </c>
    </row>
    <row r="3249" spans="1:13" x14ac:dyDescent="0.2">
      <c r="A3249" s="18"/>
      <c r="B3249" s="77"/>
      <c r="C3249" s="77"/>
      <c r="D3249" s="78"/>
      <c r="E3249" s="77"/>
      <c r="F3249" s="77"/>
      <c r="G3249" s="77"/>
      <c r="H3249" s="77"/>
      <c r="I3249" s="77"/>
      <c r="J3249" s="77"/>
      <c r="K3249" s="79"/>
      <c r="L3249" s="49">
        <f t="shared" si="176"/>
        <v>0</v>
      </c>
      <c r="M3249" s="50">
        <f t="shared" si="177"/>
        <v>0</v>
      </c>
    </row>
    <row r="3250" spans="1:13" x14ac:dyDescent="0.2">
      <c r="A3250" s="18"/>
      <c r="B3250" s="77"/>
      <c r="C3250" s="77"/>
      <c r="D3250" s="78"/>
      <c r="E3250" s="77"/>
      <c r="F3250" s="77"/>
      <c r="G3250" s="77"/>
      <c r="H3250" s="77"/>
      <c r="I3250" s="77"/>
      <c r="J3250" s="77"/>
      <c r="K3250" s="79"/>
      <c r="L3250" s="49">
        <f t="shared" si="176"/>
        <v>0</v>
      </c>
      <c r="M3250" s="50">
        <f t="shared" si="177"/>
        <v>0</v>
      </c>
    </row>
    <row r="3251" spans="1:13" x14ac:dyDescent="0.2">
      <c r="A3251" s="18"/>
      <c r="B3251" s="77"/>
      <c r="C3251" s="77"/>
      <c r="D3251" s="78"/>
      <c r="E3251" s="77"/>
      <c r="F3251" s="77"/>
      <c r="G3251" s="77"/>
      <c r="H3251" s="77"/>
      <c r="I3251" s="77"/>
      <c r="J3251" s="77"/>
      <c r="K3251" s="79"/>
      <c r="L3251" s="49">
        <f t="shared" si="176"/>
        <v>0</v>
      </c>
      <c r="M3251" s="50">
        <f t="shared" si="177"/>
        <v>0</v>
      </c>
    </row>
    <row r="3252" spans="1:13" x14ac:dyDescent="0.2">
      <c r="A3252" s="18"/>
      <c r="B3252" s="77"/>
      <c r="C3252" s="77"/>
      <c r="D3252" s="78"/>
      <c r="E3252" s="77"/>
      <c r="F3252" s="77"/>
      <c r="G3252" s="77"/>
      <c r="H3252" s="77"/>
      <c r="I3252" s="77"/>
      <c r="J3252" s="77"/>
      <c r="K3252" s="79"/>
      <c r="L3252" s="49">
        <f t="shared" ref="L3252:L3274" si="178">+K3252*18%</f>
        <v>0</v>
      </c>
      <c r="M3252" s="50">
        <f t="shared" ref="M3252:M3274" si="179">+K3252+L3252</f>
        <v>0</v>
      </c>
    </row>
    <row r="3253" spans="1:13" x14ac:dyDescent="0.2">
      <c r="A3253" s="18"/>
      <c r="B3253" s="77"/>
      <c r="C3253" s="77"/>
      <c r="D3253" s="78"/>
      <c r="E3253" s="77"/>
      <c r="F3253" s="77"/>
      <c r="G3253" s="77"/>
      <c r="H3253" s="77"/>
      <c r="I3253" s="77"/>
      <c r="J3253" s="77"/>
      <c r="K3253" s="79"/>
      <c r="L3253" s="49">
        <f t="shared" si="178"/>
        <v>0</v>
      </c>
      <c r="M3253" s="50">
        <f t="shared" si="179"/>
        <v>0</v>
      </c>
    </row>
    <row r="3254" spans="1:13" x14ac:dyDescent="0.2">
      <c r="A3254" s="18"/>
      <c r="B3254" s="77"/>
      <c r="C3254" s="77"/>
      <c r="D3254" s="78"/>
      <c r="E3254" s="77"/>
      <c r="F3254" s="77"/>
      <c r="G3254" s="77"/>
      <c r="H3254" s="77"/>
      <c r="I3254" s="77"/>
      <c r="J3254" s="77"/>
      <c r="K3254" s="79"/>
      <c r="L3254" s="49">
        <f t="shared" si="178"/>
        <v>0</v>
      </c>
      <c r="M3254" s="50">
        <f t="shared" si="179"/>
        <v>0</v>
      </c>
    </row>
    <row r="3255" spans="1:13" x14ac:dyDescent="0.2">
      <c r="A3255" s="18"/>
      <c r="B3255" s="77"/>
      <c r="C3255" s="77"/>
      <c r="D3255" s="78"/>
      <c r="E3255" s="77"/>
      <c r="F3255" s="77"/>
      <c r="G3255" s="77"/>
      <c r="H3255" s="77"/>
      <c r="I3255" s="77"/>
      <c r="J3255" s="77"/>
      <c r="K3255" s="79"/>
      <c r="L3255" s="49">
        <f t="shared" si="178"/>
        <v>0</v>
      </c>
      <c r="M3255" s="50">
        <f t="shared" si="179"/>
        <v>0</v>
      </c>
    </row>
    <row r="3256" spans="1:13" x14ac:dyDescent="0.2">
      <c r="A3256" s="18"/>
      <c r="B3256" s="77"/>
      <c r="C3256" s="77"/>
      <c r="D3256" s="78"/>
      <c r="E3256" s="77"/>
      <c r="F3256" s="77"/>
      <c r="G3256" s="77"/>
      <c r="H3256" s="77"/>
      <c r="I3256" s="77"/>
      <c r="J3256" s="77"/>
      <c r="K3256" s="79"/>
      <c r="L3256" s="49">
        <f t="shared" si="178"/>
        <v>0</v>
      </c>
      <c r="M3256" s="50">
        <f t="shared" si="179"/>
        <v>0</v>
      </c>
    </row>
    <row r="3257" spans="1:13" x14ac:dyDescent="0.2">
      <c r="A3257" s="18"/>
      <c r="B3257" s="77"/>
      <c r="C3257" s="77"/>
      <c r="D3257" s="78"/>
      <c r="E3257" s="77"/>
      <c r="F3257" s="77"/>
      <c r="G3257" s="77"/>
      <c r="H3257" s="77"/>
      <c r="I3257" s="77"/>
      <c r="J3257" s="77"/>
      <c r="K3257" s="79"/>
      <c r="L3257" s="49">
        <f t="shared" si="178"/>
        <v>0</v>
      </c>
      <c r="M3257" s="50">
        <f t="shared" si="179"/>
        <v>0</v>
      </c>
    </row>
    <row r="3258" spans="1:13" x14ac:dyDescent="0.2">
      <c r="A3258" s="18"/>
      <c r="B3258" s="77"/>
      <c r="C3258" s="77"/>
      <c r="D3258" s="78"/>
      <c r="E3258" s="77"/>
      <c r="F3258" s="77"/>
      <c r="G3258" s="77"/>
      <c r="H3258" s="77"/>
      <c r="I3258" s="77"/>
      <c r="J3258" s="77"/>
      <c r="K3258" s="79"/>
      <c r="L3258" s="49">
        <f t="shared" si="178"/>
        <v>0</v>
      </c>
      <c r="M3258" s="50">
        <f t="shared" si="179"/>
        <v>0</v>
      </c>
    </row>
    <row r="3259" spans="1:13" x14ac:dyDescent="0.2">
      <c r="A3259" s="18"/>
      <c r="B3259" s="77"/>
      <c r="C3259" s="77"/>
      <c r="D3259" s="78"/>
      <c r="E3259" s="77"/>
      <c r="F3259" s="77"/>
      <c r="G3259" s="77"/>
      <c r="H3259" s="77"/>
      <c r="I3259" s="77"/>
      <c r="J3259" s="77"/>
      <c r="K3259" s="79"/>
      <c r="L3259" s="49">
        <f t="shared" si="178"/>
        <v>0</v>
      </c>
      <c r="M3259" s="50">
        <f t="shared" si="179"/>
        <v>0</v>
      </c>
    </row>
    <row r="3260" spans="1:13" x14ac:dyDescent="0.2">
      <c r="A3260" s="18"/>
      <c r="B3260" s="77"/>
      <c r="C3260" s="77"/>
      <c r="D3260" s="78"/>
      <c r="E3260" s="77"/>
      <c r="F3260" s="77"/>
      <c r="G3260" s="77"/>
      <c r="H3260" s="77"/>
      <c r="I3260" s="77"/>
      <c r="J3260" s="77"/>
      <c r="K3260" s="79"/>
      <c r="L3260" s="49">
        <f t="shared" si="178"/>
        <v>0</v>
      </c>
      <c r="M3260" s="50">
        <f t="shared" si="179"/>
        <v>0</v>
      </c>
    </row>
    <row r="3261" spans="1:13" x14ac:dyDescent="0.2">
      <c r="A3261" s="18"/>
      <c r="B3261" s="77"/>
      <c r="C3261" s="77"/>
      <c r="D3261" s="78"/>
      <c r="E3261" s="77"/>
      <c r="F3261" s="77"/>
      <c r="G3261" s="77"/>
      <c r="H3261" s="77"/>
      <c r="I3261" s="77"/>
      <c r="J3261" s="77"/>
      <c r="K3261" s="79"/>
      <c r="L3261" s="49">
        <f t="shared" si="178"/>
        <v>0</v>
      </c>
      <c r="M3261" s="50">
        <f t="shared" si="179"/>
        <v>0</v>
      </c>
    </row>
    <row r="3262" spans="1:13" x14ac:dyDescent="0.2">
      <c r="A3262" s="18"/>
      <c r="B3262" s="77"/>
      <c r="C3262" s="77"/>
      <c r="D3262" s="78"/>
      <c r="E3262" s="77"/>
      <c r="F3262" s="77"/>
      <c r="G3262" s="77"/>
      <c r="H3262" s="77"/>
      <c r="I3262" s="77"/>
      <c r="J3262" s="77"/>
      <c r="K3262" s="79"/>
      <c r="L3262" s="49">
        <f t="shared" si="178"/>
        <v>0</v>
      </c>
      <c r="M3262" s="50">
        <f t="shared" si="179"/>
        <v>0</v>
      </c>
    </row>
    <row r="3263" spans="1:13" x14ac:dyDescent="0.2">
      <c r="A3263" s="18"/>
      <c r="B3263" s="77"/>
      <c r="C3263" s="77"/>
      <c r="D3263" s="78"/>
      <c r="E3263" s="77"/>
      <c r="F3263" s="77"/>
      <c r="G3263" s="77"/>
      <c r="H3263" s="77"/>
      <c r="I3263" s="77"/>
      <c r="J3263" s="77"/>
      <c r="K3263" s="79"/>
      <c r="L3263" s="49">
        <f t="shared" si="178"/>
        <v>0</v>
      </c>
      <c r="M3263" s="50">
        <f t="shared" si="179"/>
        <v>0</v>
      </c>
    </row>
    <row r="3264" spans="1:13" x14ac:dyDescent="0.2">
      <c r="A3264" s="18"/>
      <c r="B3264" s="77"/>
      <c r="C3264" s="77"/>
      <c r="D3264" s="78"/>
      <c r="E3264" s="77"/>
      <c r="F3264" s="77"/>
      <c r="G3264" s="77"/>
      <c r="H3264" s="77"/>
      <c r="I3264" s="77"/>
      <c r="J3264" s="77"/>
      <c r="K3264" s="79"/>
      <c r="L3264" s="49">
        <f t="shared" si="178"/>
        <v>0</v>
      </c>
      <c r="M3264" s="50">
        <f t="shared" si="179"/>
        <v>0</v>
      </c>
    </row>
    <row r="3265" spans="1:13" x14ac:dyDescent="0.2">
      <c r="A3265" s="18"/>
      <c r="B3265" s="77"/>
      <c r="C3265" s="77"/>
      <c r="D3265" s="78"/>
      <c r="E3265" s="77"/>
      <c r="F3265" s="77"/>
      <c r="G3265" s="77"/>
      <c r="H3265" s="77"/>
      <c r="I3265" s="77"/>
      <c r="J3265" s="77"/>
      <c r="K3265" s="79"/>
      <c r="L3265" s="49">
        <f t="shared" si="178"/>
        <v>0</v>
      </c>
      <c r="M3265" s="50">
        <f t="shared" si="179"/>
        <v>0</v>
      </c>
    </row>
    <row r="3266" spans="1:13" x14ac:dyDescent="0.2">
      <c r="A3266" s="18"/>
      <c r="B3266" s="77"/>
      <c r="C3266" s="77"/>
      <c r="D3266" s="78"/>
      <c r="E3266" s="77"/>
      <c r="F3266" s="77"/>
      <c r="G3266" s="77"/>
      <c r="H3266" s="77"/>
      <c r="I3266" s="77"/>
      <c r="J3266" s="77"/>
      <c r="K3266" s="79"/>
      <c r="L3266" s="49">
        <f t="shared" si="178"/>
        <v>0</v>
      </c>
      <c r="M3266" s="50">
        <f t="shared" si="179"/>
        <v>0</v>
      </c>
    </row>
    <row r="3267" spans="1:13" x14ac:dyDescent="0.2">
      <c r="A3267" s="18"/>
      <c r="B3267" s="77"/>
      <c r="C3267" s="77"/>
      <c r="D3267" s="78"/>
      <c r="E3267" s="77"/>
      <c r="F3267" s="77"/>
      <c r="G3267" s="77"/>
      <c r="H3267" s="77"/>
      <c r="I3267" s="77"/>
      <c r="J3267" s="77"/>
      <c r="K3267" s="79"/>
      <c r="L3267" s="49">
        <f t="shared" si="178"/>
        <v>0</v>
      </c>
      <c r="M3267" s="50">
        <f t="shared" si="179"/>
        <v>0</v>
      </c>
    </row>
    <row r="3268" spans="1:13" x14ac:dyDescent="0.2">
      <c r="A3268" s="18"/>
      <c r="B3268" s="77"/>
      <c r="C3268" s="77"/>
      <c r="D3268" s="78"/>
      <c r="E3268" s="77"/>
      <c r="F3268" s="77"/>
      <c r="G3268" s="77"/>
      <c r="H3268" s="77"/>
      <c r="I3268" s="77"/>
      <c r="J3268" s="77"/>
      <c r="K3268" s="79"/>
      <c r="L3268" s="49">
        <f t="shared" si="178"/>
        <v>0</v>
      </c>
      <c r="M3268" s="50">
        <f t="shared" si="179"/>
        <v>0</v>
      </c>
    </row>
    <row r="3269" spans="1:13" x14ac:dyDescent="0.2">
      <c r="A3269" s="18"/>
      <c r="B3269" s="77"/>
      <c r="C3269" s="77"/>
      <c r="D3269" s="78"/>
      <c r="E3269" s="77"/>
      <c r="F3269" s="77"/>
      <c r="G3269" s="77"/>
      <c r="H3269" s="77"/>
      <c r="I3269" s="77"/>
      <c r="J3269" s="77"/>
      <c r="K3269" s="79"/>
      <c r="L3269" s="49">
        <f t="shared" si="178"/>
        <v>0</v>
      </c>
      <c r="M3269" s="50">
        <f t="shared" si="179"/>
        <v>0</v>
      </c>
    </row>
    <row r="3270" spans="1:13" x14ac:dyDescent="0.2">
      <c r="A3270" s="18"/>
      <c r="B3270" s="77"/>
      <c r="C3270" s="77"/>
      <c r="D3270" s="78"/>
      <c r="E3270" s="77"/>
      <c r="F3270" s="77"/>
      <c r="G3270" s="77"/>
      <c r="H3270" s="77"/>
      <c r="I3270" s="77"/>
      <c r="J3270" s="77"/>
      <c r="K3270" s="79"/>
      <c r="L3270" s="49">
        <f t="shared" si="178"/>
        <v>0</v>
      </c>
      <c r="M3270" s="50">
        <f t="shared" si="179"/>
        <v>0</v>
      </c>
    </row>
    <row r="3271" spans="1:13" x14ac:dyDescent="0.2">
      <c r="A3271" s="18"/>
      <c r="B3271" s="77"/>
      <c r="C3271" s="77"/>
      <c r="D3271" s="78"/>
      <c r="E3271" s="77"/>
      <c r="F3271" s="77"/>
      <c r="G3271" s="77"/>
      <c r="H3271" s="77"/>
      <c r="I3271" s="77"/>
      <c r="J3271" s="77"/>
      <c r="K3271" s="79"/>
      <c r="L3271" s="49">
        <f t="shared" si="178"/>
        <v>0</v>
      </c>
      <c r="M3271" s="50">
        <f t="shared" si="179"/>
        <v>0</v>
      </c>
    </row>
    <row r="3272" spans="1:13" x14ac:dyDescent="0.2">
      <c r="A3272" s="18"/>
      <c r="B3272" s="77"/>
      <c r="C3272" s="77"/>
      <c r="D3272" s="78"/>
      <c r="E3272" s="77"/>
      <c r="F3272" s="77"/>
      <c r="G3272" s="77"/>
      <c r="H3272" s="77"/>
      <c r="I3272" s="77"/>
      <c r="J3272" s="77"/>
      <c r="K3272" s="79"/>
      <c r="L3272" s="49">
        <f t="shared" si="178"/>
        <v>0</v>
      </c>
      <c r="M3272" s="50">
        <f t="shared" si="179"/>
        <v>0</v>
      </c>
    </row>
    <row r="3273" spans="1:13" x14ac:dyDescent="0.2">
      <c r="A3273" s="18"/>
      <c r="B3273" s="77"/>
      <c r="C3273" s="77"/>
      <c r="D3273" s="78"/>
      <c r="E3273" s="77"/>
      <c r="F3273" s="77"/>
      <c r="G3273" s="77"/>
      <c r="H3273" s="77"/>
      <c r="I3273" s="77"/>
      <c r="J3273" s="77"/>
      <c r="K3273" s="79"/>
      <c r="L3273" s="49">
        <f t="shared" si="178"/>
        <v>0</v>
      </c>
      <c r="M3273" s="50">
        <f t="shared" si="179"/>
        <v>0</v>
      </c>
    </row>
    <row r="3274" spans="1:13" x14ac:dyDescent="0.2">
      <c r="A3274" s="18"/>
      <c r="B3274" s="77"/>
      <c r="C3274" s="77"/>
      <c r="D3274" s="78"/>
      <c r="E3274" s="77"/>
      <c r="F3274" s="77"/>
      <c r="G3274" s="77"/>
      <c r="H3274" s="77"/>
      <c r="I3274" s="77"/>
      <c r="J3274" s="77"/>
      <c r="K3274" s="79"/>
      <c r="L3274" s="49">
        <f t="shared" si="178"/>
        <v>0</v>
      </c>
      <c r="M3274" s="50">
        <f t="shared" si="179"/>
        <v>0</v>
      </c>
    </row>
    <row r="3275" spans="1:13" x14ac:dyDescent="0.2">
      <c r="A3275" s="18"/>
      <c r="B3275" s="77"/>
      <c r="C3275" s="77"/>
      <c r="D3275" s="78"/>
      <c r="E3275" s="77"/>
      <c r="F3275" s="77"/>
      <c r="G3275" s="77"/>
      <c r="H3275" s="77"/>
      <c r="I3275" s="77"/>
      <c r="J3275" s="77"/>
      <c r="K3275" s="79"/>
      <c r="L3275" s="49">
        <f t="shared" ref="L3275:L3338" si="180">+K3275*18%</f>
        <v>0</v>
      </c>
      <c r="M3275" s="50">
        <f t="shared" ref="M3275:M3338" si="181">+K3275+L3275</f>
        <v>0</v>
      </c>
    </row>
    <row r="3276" spans="1:13" x14ac:dyDescent="0.2">
      <c r="A3276" s="18"/>
      <c r="B3276" s="77"/>
      <c r="C3276" s="77"/>
      <c r="D3276" s="78"/>
      <c r="E3276" s="77"/>
      <c r="F3276" s="77"/>
      <c r="G3276" s="77"/>
      <c r="H3276" s="77"/>
      <c r="I3276" s="77"/>
      <c r="J3276" s="77"/>
      <c r="K3276" s="79"/>
      <c r="L3276" s="49">
        <f t="shared" si="180"/>
        <v>0</v>
      </c>
      <c r="M3276" s="50">
        <f t="shared" si="181"/>
        <v>0</v>
      </c>
    </row>
    <row r="3277" spans="1:13" x14ac:dyDescent="0.2">
      <c r="A3277" s="18"/>
      <c r="B3277" s="77"/>
      <c r="C3277" s="77"/>
      <c r="D3277" s="78"/>
      <c r="E3277" s="77"/>
      <c r="F3277" s="77"/>
      <c r="G3277" s="77"/>
      <c r="H3277" s="77"/>
      <c r="I3277" s="77"/>
      <c r="J3277" s="77"/>
      <c r="K3277" s="79"/>
      <c r="L3277" s="49">
        <f t="shared" si="180"/>
        <v>0</v>
      </c>
      <c r="M3277" s="50">
        <f t="shared" si="181"/>
        <v>0</v>
      </c>
    </row>
    <row r="3278" spans="1:13" x14ac:dyDescent="0.2">
      <c r="A3278" s="18"/>
      <c r="B3278" s="77"/>
      <c r="C3278" s="77"/>
      <c r="D3278" s="78"/>
      <c r="E3278" s="77"/>
      <c r="F3278" s="77"/>
      <c r="G3278" s="77"/>
      <c r="H3278" s="77"/>
      <c r="I3278" s="77"/>
      <c r="J3278" s="77"/>
      <c r="K3278" s="79"/>
      <c r="L3278" s="49">
        <f t="shared" si="180"/>
        <v>0</v>
      </c>
      <c r="M3278" s="50">
        <f t="shared" si="181"/>
        <v>0</v>
      </c>
    </row>
    <row r="3279" spans="1:13" x14ac:dyDescent="0.2">
      <c r="A3279" s="18"/>
      <c r="B3279" s="77"/>
      <c r="C3279" s="77"/>
      <c r="D3279" s="78"/>
      <c r="E3279" s="77"/>
      <c r="F3279" s="77"/>
      <c r="G3279" s="77"/>
      <c r="H3279" s="77"/>
      <c r="I3279" s="77"/>
      <c r="J3279" s="77"/>
      <c r="K3279" s="79"/>
      <c r="L3279" s="49">
        <f t="shared" si="180"/>
        <v>0</v>
      </c>
      <c r="M3279" s="50">
        <f t="shared" si="181"/>
        <v>0</v>
      </c>
    </row>
    <row r="3280" spans="1:13" x14ac:dyDescent="0.2">
      <c r="A3280" s="18"/>
      <c r="B3280" s="77"/>
      <c r="C3280" s="77"/>
      <c r="D3280" s="78"/>
      <c r="E3280" s="77"/>
      <c r="F3280" s="77"/>
      <c r="G3280" s="77"/>
      <c r="H3280" s="77"/>
      <c r="I3280" s="77"/>
      <c r="J3280" s="77"/>
      <c r="K3280" s="79"/>
      <c r="L3280" s="49">
        <f t="shared" si="180"/>
        <v>0</v>
      </c>
      <c r="M3280" s="50">
        <f t="shared" si="181"/>
        <v>0</v>
      </c>
    </row>
    <row r="3281" spans="1:13" x14ac:dyDescent="0.2">
      <c r="A3281" s="18"/>
      <c r="B3281" s="77"/>
      <c r="C3281" s="77"/>
      <c r="D3281" s="78"/>
      <c r="E3281" s="77"/>
      <c r="F3281" s="77"/>
      <c r="G3281" s="77"/>
      <c r="H3281" s="77"/>
      <c r="I3281" s="77"/>
      <c r="J3281" s="77"/>
      <c r="K3281" s="79"/>
      <c r="L3281" s="49">
        <f t="shared" si="180"/>
        <v>0</v>
      </c>
      <c r="M3281" s="50">
        <f t="shared" si="181"/>
        <v>0</v>
      </c>
    </row>
    <row r="3282" spans="1:13" x14ac:dyDescent="0.2">
      <c r="A3282" s="18"/>
      <c r="B3282" s="77"/>
      <c r="C3282" s="77"/>
      <c r="D3282" s="78"/>
      <c r="E3282" s="77"/>
      <c r="F3282" s="77"/>
      <c r="G3282" s="77"/>
      <c r="H3282" s="77"/>
      <c r="I3282" s="77"/>
      <c r="J3282" s="77"/>
      <c r="K3282" s="79"/>
      <c r="L3282" s="49">
        <f t="shared" si="180"/>
        <v>0</v>
      </c>
      <c r="M3282" s="50">
        <f t="shared" si="181"/>
        <v>0</v>
      </c>
    </row>
    <row r="3283" spans="1:13" x14ac:dyDescent="0.2">
      <c r="A3283" s="18"/>
      <c r="B3283" s="77"/>
      <c r="C3283" s="77"/>
      <c r="D3283" s="78"/>
      <c r="E3283" s="77"/>
      <c r="F3283" s="77"/>
      <c r="G3283" s="77"/>
      <c r="H3283" s="77"/>
      <c r="I3283" s="77"/>
      <c r="J3283" s="77"/>
      <c r="K3283" s="79"/>
      <c r="L3283" s="49">
        <f t="shared" si="180"/>
        <v>0</v>
      </c>
      <c r="M3283" s="50">
        <f t="shared" si="181"/>
        <v>0</v>
      </c>
    </row>
    <row r="3284" spans="1:13" x14ac:dyDescent="0.2">
      <c r="A3284" s="18"/>
      <c r="B3284" s="77"/>
      <c r="C3284" s="77"/>
      <c r="D3284" s="78"/>
      <c r="E3284" s="77"/>
      <c r="F3284" s="77"/>
      <c r="G3284" s="77"/>
      <c r="H3284" s="77"/>
      <c r="I3284" s="77"/>
      <c r="J3284" s="77"/>
      <c r="K3284" s="79"/>
      <c r="L3284" s="49">
        <f t="shared" si="180"/>
        <v>0</v>
      </c>
      <c r="M3284" s="50">
        <f t="shared" si="181"/>
        <v>0</v>
      </c>
    </row>
    <row r="3285" spans="1:13" x14ac:dyDescent="0.2">
      <c r="A3285" s="18"/>
      <c r="B3285" s="77"/>
      <c r="C3285" s="77"/>
      <c r="D3285" s="78"/>
      <c r="E3285" s="77"/>
      <c r="F3285" s="77"/>
      <c r="G3285" s="77"/>
      <c r="H3285" s="77"/>
      <c r="I3285" s="77"/>
      <c r="J3285" s="77"/>
      <c r="K3285" s="79"/>
      <c r="L3285" s="49">
        <f t="shared" si="180"/>
        <v>0</v>
      </c>
      <c r="M3285" s="50">
        <f t="shared" si="181"/>
        <v>0</v>
      </c>
    </row>
    <row r="3286" spans="1:13" x14ac:dyDescent="0.2">
      <c r="A3286" s="18"/>
      <c r="B3286" s="77"/>
      <c r="C3286" s="77"/>
      <c r="D3286" s="78"/>
      <c r="E3286" s="77"/>
      <c r="F3286" s="77"/>
      <c r="G3286" s="77"/>
      <c r="H3286" s="77"/>
      <c r="I3286" s="77"/>
      <c r="J3286" s="77"/>
      <c r="K3286" s="79"/>
      <c r="L3286" s="49">
        <f t="shared" si="180"/>
        <v>0</v>
      </c>
      <c r="M3286" s="50">
        <f t="shared" si="181"/>
        <v>0</v>
      </c>
    </row>
    <row r="3287" spans="1:13" x14ac:dyDescent="0.2">
      <c r="A3287" s="18"/>
      <c r="B3287" s="77"/>
      <c r="C3287" s="77"/>
      <c r="D3287" s="78"/>
      <c r="E3287" s="77"/>
      <c r="F3287" s="77"/>
      <c r="G3287" s="77"/>
      <c r="H3287" s="77"/>
      <c r="I3287" s="77"/>
      <c r="J3287" s="77"/>
      <c r="K3287" s="79"/>
      <c r="L3287" s="49">
        <f t="shared" si="180"/>
        <v>0</v>
      </c>
      <c r="M3287" s="50">
        <f t="shared" si="181"/>
        <v>0</v>
      </c>
    </row>
    <row r="3288" spans="1:13" x14ac:dyDescent="0.2">
      <c r="A3288" s="18"/>
      <c r="B3288" s="77"/>
      <c r="C3288" s="77"/>
      <c r="D3288" s="78"/>
      <c r="E3288" s="77"/>
      <c r="F3288" s="77"/>
      <c r="G3288" s="77"/>
      <c r="H3288" s="77"/>
      <c r="I3288" s="77"/>
      <c r="J3288" s="77"/>
      <c r="K3288" s="79"/>
      <c r="L3288" s="49">
        <f t="shared" si="180"/>
        <v>0</v>
      </c>
      <c r="M3288" s="50">
        <f t="shared" si="181"/>
        <v>0</v>
      </c>
    </row>
    <row r="3289" spans="1:13" x14ac:dyDescent="0.2">
      <c r="A3289" s="18"/>
      <c r="B3289" s="77"/>
      <c r="C3289" s="77"/>
      <c r="D3289" s="78"/>
      <c r="E3289" s="77"/>
      <c r="F3289" s="77"/>
      <c r="G3289" s="77"/>
      <c r="H3289" s="77"/>
      <c r="I3289" s="77"/>
      <c r="J3289" s="77"/>
      <c r="K3289" s="79"/>
      <c r="L3289" s="49">
        <f t="shared" si="180"/>
        <v>0</v>
      </c>
      <c r="M3289" s="50">
        <f t="shared" si="181"/>
        <v>0</v>
      </c>
    </row>
    <row r="3290" spans="1:13" x14ac:dyDescent="0.2">
      <c r="A3290" s="18"/>
      <c r="B3290" s="77"/>
      <c r="C3290" s="77"/>
      <c r="D3290" s="78"/>
      <c r="E3290" s="77"/>
      <c r="F3290" s="77"/>
      <c r="G3290" s="77"/>
      <c r="H3290" s="77"/>
      <c r="I3290" s="77"/>
      <c r="J3290" s="77"/>
      <c r="K3290" s="79"/>
      <c r="L3290" s="49">
        <f t="shared" si="180"/>
        <v>0</v>
      </c>
      <c r="M3290" s="50">
        <f t="shared" si="181"/>
        <v>0</v>
      </c>
    </row>
    <row r="3291" spans="1:13" x14ac:dyDescent="0.2">
      <c r="A3291" s="18"/>
      <c r="B3291" s="77"/>
      <c r="C3291" s="77"/>
      <c r="D3291" s="78"/>
      <c r="E3291" s="77"/>
      <c r="F3291" s="77"/>
      <c r="G3291" s="77"/>
      <c r="H3291" s="77"/>
      <c r="I3291" s="77"/>
      <c r="J3291" s="77"/>
      <c r="K3291" s="79"/>
      <c r="L3291" s="49">
        <f t="shared" si="180"/>
        <v>0</v>
      </c>
      <c r="M3291" s="50">
        <f t="shared" si="181"/>
        <v>0</v>
      </c>
    </row>
    <row r="3292" spans="1:13" x14ac:dyDescent="0.2">
      <c r="A3292" s="18"/>
      <c r="B3292" s="77"/>
      <c r="C3292" s="77"/>
      <c r="D3292" s="78"/>
      <c r="E3292" s="77"/>
      <c r="F3292" s="77"/>
      <c r="G3292" s="77"/>
      <c r="H3292" s="77"/>
      <c r="I3292" s="77"/>
      <c r="J3292" s="77"/>
      <c r="K3292" s="79"/>
      <c r="L3292" s="49">
        <f t="shared" si="180"/>
        <v>0</v>
      </c>
      <c r="M3292" s="50">
        <f t="shared" si="181"/>
        <v>0</v>
      </c>
    </row>
    <row r="3293" spans="1:13" x14ac:dyDescent="0.2">
      <c r="A3293" s="18"/>
      <c r="B3293" s="77"/>
      <c r="C3293" s="77"/>
      <c r="D3293" s="78"/>
      <c r="E3293" s="77"/>
      <c r="F3293" s="77"/>
      <c r="G3293" s="77"/>
      <c r="H3293" s="77"/>
      <c r="I3293" s="77"/>
      <c r="J3293" s="77"/>
      <c r="K3293" s="79"/>
      <c r="L3293" s="49">
        <f t="shared" si="180"/>
        <v>0</v>
      </c>
      <c r="M3293" s="50">
        <f t="shared" si="181"/>
        <v>0</v>
      </c>
    </row>
    <row r="3294" spans="1:13" x14ac:dyDescent="0.2">
      <c r="A3294" s="18"/>
      <c r="B3294" s="77"/>
      <c r="C3294" s="77"/>
      <c r="D3294" s="78"/>
      <c r="E3294" s="77"/>
      <c r="F3294" s="77"/>
      <c r="G3294" s="77"/>
      <c r="H3294" s="77"/>
      <c r="I3294" s="77"/>
      <c r="J3294" s="77"/>
      <c r="K3294" s="79"/>
      <c r="L3294" s="49">
        <f t="shared" si="180"/>
        <v>0</v>
      </c>
      <c r="M3294" s="50">
        <f t="shared" si="181"/>
        <v>0</v>
      </c>
    </row>
    <row r="3295" spans="1:13" x14ac:dyDescent="0.2">
      <c r="A3295" s="18"/>
      <c r="B3295" s="77"/>
      <c r="C3295" s="77"/>
      <c r="D3295" s="78"/>
      <c r="E3295" s="77"/>
      <c r="F3295" s="77"/>
      <c r="G3295" s="77"/>
      <c r="H3295" s="77"/>
      <c r="I3295" s="77"/>
      <c r="J3295" s="77"/>
      <c r="K3295" s="79"/>
      <c r="L3295" s="49">
        <f t="shared" si="180"/>
        <v>0</v>
      </c>
      <c r="M3295" s="50">
        <f t="shared" si="181"/>
        <v>0</v>
      </c>
    </row>
    <row r="3296" spans="1:13" x14ac:dyDescent="0.2">
      <c r="A3296" s="18"/>
      <c r="B3296" s="77"/>
      <c r="C3296" s="77"/>
      <c r="D3296" s="78"/>
      <c r="E3296" s="77"/>
      <c r="F3296" s="77"/>
      <c r="G3296" s="77"/>
      <c r="H3296" s="77"/>
      <c r="I3296" s="77"/>
      <c r="J3296" s="77"/>
      <c r="K3296" s="79"/>
      <c r="L3296" s="49">
        <f t="shared" si="180"/>
        <v>0</v>
      </c>
      <c r="M3296" s="50">
        <f t="shared" si="181"/>
        <v>0</v>
      </c>
    </row>
    <row r="3297" spans="1:13" x14ac:dyDescent="0.2">
      <c r="A3297" s="18"/>
      <c r="B3297" s="77"/>
      <c r="C3297" s="77"/>
      <c r="D3297" s="78"/>
      <c r="E3297" s="77"/>
      <c r="F3297" s="77"/>
      <c r="G3297" s="77"/>
      <c r="H3297" s="77"/>
      <c r="I3297" s="77"/>
      <c r="J3297" s="77"/>
      <c r="K3297" s="79"/>
      <c r="L3297" s="49">
        <f t="shared" si="180"/>
        <v>0</v>
      </c>
      <c r="M3297" s="50">
        <f t="shared" si="181"/>
        <v>0</v>
      </c>
    </row>
    <row r="3298" spans="1:13" x14ac:dyDescent="0.2">
      <c r="A3298" s="18"/>
      <c r="B3298" s="77"/>
      <c r="C3298" s="77"/>
      <c r="D3298" s="78"/>
      <c r="E3298" s="77"/>
      <c r="F3298" s="77"/>
      <c r="G3298" s="77"/>
      <c r="H3298" s="77"/>
      <c r="I3298" s="77"/>
      <c r="J3298" s="77"/>
      <c r="K3298" s="79"/>
      <c r="L3298" s="49">
        <f t="shared" si="180"/>
        <v>0</v>
      </c>
      <c r="M3298" s="50">
        <f t="shared" si="181"/>
        <v>0</v>
      </c>
    </row>
    <row r="3299" spans="1:13" x14ac:dyDescent="0.2">
      <c r="A3299" s="18"/>
      <c r="B3299" s="77"/>
      <c r="C3299" s="77"/>
      <c r="D3299" s="78"/>
      <c r="E3299" s="77"/>
      <c r="F3299" s="77"/>
      <c r="G3299" s="77"/>
      <c r="H3299" s="77"/>
      <c r="I3299" s="77"/>
      <c r="J3299" s="77"/>
      <c r="K3299" s="79"/>
      <c r="L3299" s="49">
        <f t="shared" si="180"/>
        <v>0</v>
      </c>
      <c r="M3299" s="50">
        <f t="shared" si="181"/>
        <v>0</v>
      </c>
    </row>
    <row r="3300" spans="1:13" x14ac:dyDescent="0.2">
      <c r="A3300" s="18"/>
      <c r="B3300" s="77"/>
      <c r="C3300" s="77"/>
      <c r="D3300" s="78"/>
      <c r="E3300" s="77"/>
      <c r="F3300" s="77"/>
      <c r="G3300" s="77"/>
      <c r="H3300" s="77"/>
      <c r="I3300" s="77"/>
      <c r="J3300" s="77"/>
      <c r="K3300" s="79"/>
      <c r="L3300" s="49">
        <f t="shared" si="180"/>
        <v>0</v>
      </c>
      <c r="M3300" s="50">
        <f t="shared" si="181"/>
        <v>0</v>
      </c>
    </row>
    <row r="3301" spans="1:13" x14ac:dyDescent="0.2">
      <c r="A3301" s="18"/>
      <c r="B3301" s="77"/>
      <c r="C3301" s="77"/>
      <c r="D3301" s="78"/>
      <c r="E3301" s="77"/>
      <c r="F3301" s="77"/>
      <c r="G3301" s="77"/>
      <c r="H3301" s="77"/>
      <c r="I3301" s="77"/>
      <c r="J3301" s="77"/>
      <c r="K3301" s="79"/>
      <c r="L3301" s="49">
        <f t="shared" si="180"/>
        <v>0</v>
      </c>
      <c r="M3301" s="50">
        <f t="shared" si="181"/>
        <v>0</v>
      </c>
    </row>
    <row r="3302" spans="1:13" x14ac:dyDescent="0.2">
      <c r="A3302" s="18"/>
      <c r="B3302" s="77"/>
      <c r="C3302" s="77"/>
      <c r="D3302" s="78"/>
      <c r="E3302" s="77"/>
      <c r="F3302" s="77"/>
      <c r="G3302" s="77"/>
      <c r="H3302" s="77"/>
      <c r="I3302" s="77"/>
      <c r="J3302" s="77"/>
      <c r="K3302" s="79"/>
      <c r="L3302" s="49">
        <f t="shared" si="180"/>
        <v>0</v>
      </c>
      <c r="M3302" s="50">
        <f t="shared" si="181"/>
        <v>0</v>
      </c>
    </row>
    <row r="3303" spans="1:13" x14ac:dyDescent="0.2">
      <c r="A3303" s="18"/>
      <c r="B3303" s="77"/>
      <c r="C3303" s="77"/>
      <c r="D3303" s="78"/>
      <c r="E3303" s="77"/>
      <c r="F3303" s="77"/>
      <c r="G3303" s="77"/>
      <c r="H3303" s="77"/>
      <c r="I3303" s="77"/>
      <c r="J3303" s="77"/>
      <c r="K3303" s="79"/>
      <c r="L3303" s="49">
        <f t="shared" si="180"/>
        <v>0</v>
      </c>
      <c r="M3303" s="50">
        <f t="shared" si="181"/>
        <v>0</v>
      </c>
    </row>
    <row r="3304" spans="1:13" x14ac:dyDescent="0.2">
      <c r="A3304" s="18"/>
      <c r="B3304" s="77"/>
      <c r="C3304" s="77"/>
      <c r="D3304" s="78"/>
      <c r="E3304" s="77"/>
      <c r="F3304" s="77"/>
      <c r="G3304" s="77"/>
      <c r="H3304" s="77"/>
      <c r="I3304" s="77"/>
      <c r="J3304" s="77"/>
      <c r="K3304" s="79"/>
      <c r="L3304" s="49">
        <f t="shared" si="180"/>
        <v>0</v>
      </c>
      <c r="M3304" s="50">
        <f t="shared" si="181"/>
        <v>0</v>
      </c>
    </row>
    <row r="3305" spans="1:13" x14ac:dyDescent="0.2">
      <c r="A3305" s="18"/>
      <c r="B3305" s="77"/>
      <c r="C3305" s="77"/>
      <c r="D3305" s="78"/>
      <c r="E3305" s="77"/>
      <c r="F3305" s="77"/>
      <c r="G3305" s="77"/>
      <c r="H3305" s="77"/>
      <c r="I3305" s="77"/>
      <c r="J3305" s="77"/>
      <c r="K3305" s="79"/>
      <c r="L3305" s="49">
        <f t="shared" si="180"/>
        <v>0</v>
      </c>
      <c r="M3305" s="50">
        <f t="shared" si="181"/>
        <v>0</v>
      </c>
    </row>
    <row r="3306" spans="1:13" x14ac:dyDescent="0.2">
      <c r="A3306" s="18"/>
      <c r="B3306" s="77"/>
      <c r="C3306" s="77"/>
      <c r="D3306" s="78"/>
      <c r="E3306" s="77"/>
      <c r="F3306" s="77"/>
      <c r="G3306" s="77"/>
      <c r="H3306" s="77"/>
      <c r="I3306" s="77"/>
      <c r="J3306" s="77"/>
      <c r="K3306" s="79"/>
      <c r="L3306" s="49">
        <f t="shared" si="180"/>
        <v>0</v>
      </c>
      <c r="M3306" s="50">
        <f t="shared" si="181"/>
        <v>0</v>
      </c>
    </row>
    <row r="3307" spans="1:13" x14ac:dyDescent="0.2">
      <c r="A3307" s="18"/>
      <c r="B3307" s="77"/>
      <c r="C3307" s="77"/>
      <c r="D3307" s="78"/>
      <c r="E3307" s="77"/>
      <c r="F3307" s="77"/>
      <c r="G3307" s="77"/>
      <c r="H3307" s="77"/>
      <c r="I3307" s="77"/>
      <c r="J3307" s="77"/>
      <c r="K3307" s="79"/>
      <c r="L3307" s="49">
        <f t="shared" si="180"/>
        <v>0</v>
      </c>
      <c r="M3307" s="50">
        <f t="shared" si="181"/>
        <v>0</v>
      </c>
    </row>
    <row r="3308" spans="1:13" x14ac:dyDescent="0.2">
      <c r="A3308" s="18"/>
      <c r="B3308" s="77"/>
      <c r="C3308" s="77"/>
      <c r="D3308" s="78"/>
      <c r="E3308" s="77"/>
      <c r="F3308" s="77"/>
      <c r="G3308" s="77"/>
      <c r="H3308" s="77"/>
      <c r="I3308" s="77"/>
      <c r="J3308" s="77"/>
      <c r="K3308" s="79"/>
      <c r="L3308" s="49">
        <f t="shared" si="180"/>
        <v>0</v>
      </c>
      <c r="M3308" s="50">
        <f t="shared" si="181"/>
        <v>0</v>
      </c>
    </row>
    <row r="3309" spans="1:13" x14ac:dyDescent="0.2">
      <c r="A3309" s="18"/>
      <c r="B3309" s="77"/>
      <c r="C3309" s="77"/>
      <c r="D3309" s="78"/>
      <c r="E3309" s="77"/>
      <c r="F3309" s="77"/>
      <c r="G3309" s="77"/>
      <c r="H3309" s="77"/>
      <c r="I3309" s="77"/>
      <c r="J3309" s="77"/>
      <c r="K3309" s="79"/>
      <c r="L3309" s="49">
        <f t="shared" si="180"/>
        <v>0</v>
      </c>
      <c r="M3309" s="50">
        <f t="shared" si="181"/>
        <v>0</v>
      </c>
    </row>
    <row r="3310" spans="1:13" x14ac:dyDescent="0.2">
      <c r="A3310" s="18"/>
      <c r="B3310" s="77"/>
      <c r="C3310" s="77"/>
      <c r="D3310" s="78"/>
      <c r="E3310" s="77"/>
      <c r="F3310" s="77"/>
      <c r="G3310" s="77"/>
      <c r="H3310" s="77"/>
      <c r="I3310" s="77"/>
      <c r="J3310" s="77"/>
      <c r="K3310" s="79"/>
      <c r="L3310" s="49">
        <f t="shared" si="180"/>
        <v>0</v>
      </c>
      <c r="M3310" s="50">
        <f t="shared" si="181"/>
        <v>0</v>
      </c>
    </row>
    <row r="3311" spans="1:13" x14ac:dyDescent="0.2">
      <c r="A3311" s="18"/>
      <c r="B3311" s="77"/>
      <c r="C3311" s="77"/>
      <c r="D3311" s="78"/>
      <c r="E3311" s="77"/>
      <c r="F3311" s="77"/>
      <c r="G3311" s="77"/>
      <c r="H3311" s="77"/>
      <c r="I3311" s="77"/>
      <c r="J3311" s="77"/>
      <c r="K3311" s="79"/>
      <c r="L3311" s="49">
        <f t="shared" si="180"/>
        <v>0</v>
      </c>
      <c r="M3311" s="50">
        <f t="shared" si="181"/>
        <v>0</v>
      </c>
    </row>
    <row r="3312" spans="1:13" x14ac:dyDescent="0.2">
      <c r="A3312" s="18"/>
      <c r="B3312" s="77"/>
      <c r="C3312" s="77"/>
      <c r="D3312" s="78"/>
      <c r="E3312" s="77"/>
      <c r="F3312" s="77"/>
      <c r="G3312" s="77"/>
      <c r="H3312" s="77"/>
      <c r="I3312" s="77"/>
      <c r="J3312" s="77"/>
      <c r="K3312" s="79"/>
      <c r="L3312" s="49">
        <f t="shared" si="180"/>
        <v>0</v>
      </c>
      <c r="M3312" s="50">
        <f t="shared" si="181"/>
        <v>0</v>
      </c>
    </row>
    <row r="3313" spans="1:13" x14ac:dyDescent="0.2">
      <c r="A3313" s="18"/>
      <c r="B3313" s="77"/>
      <c r="C3313" s="77"/>
      <c r="D3313" s="78"/>
      <c r="E3313" s="77"/>
      <c r="F3313" s="77"/>
      <c r="G3313" s="77"/>
      <c r="H3313" s="77"/>
      <c r="I3313" s="77"/>
      <c r="J3313" s="77"/>
      <c r="K3313" s="79"/>
      <c r="L3313" s="49">
        <f t="shared" si="180"/>
        <v>0</v>
      </c>
      <c r="M3313" s="50">
        <f t="shared" si="181"/>
        <v>0</v>
      </c>
    </row>
    <row r="3314" spans="1:13" x14ac:dyDescent="0.2">
      <c r="A3314" s="18"/>
      <c r="B3314" s="77"/>
      <c r="C3314" s="77"/>
      <c r="D3314" s="78"/>
      <c r="E3314" s="77"/>
      <c r="F3314" s="77"/>
      <c r="G3314" s="77"/>
      <c r="H3314" s="77"/>
      <c r="I3314" s="77"/>
      <c r="J3314" s="77"/>
      <c r="K3314" s="79"/>
      <c r="L3314" s="49">
        <f t="shared" si="180"/>
        <v>0</v>
      </c>
      <c r="M3314" s="50">
        <f t="shared" si="181"/>
        <v>0</v>
      </c>
    </row>
    <row r="3315" spans="1:13" x14ac:dyDescent="0.2">
      <c r="A3315" s="18"/>
      <c r="B3315" s="77"/>
      <c r="C3315" s="77"/>
      <c r="D3315" s="78"/>
      <c r="E3315" s="77"/>
      <c r="F3315" s="77"/>
      <c r="G3315" s="77"/>
      <c r="H3315" s="77"/>
      <c r="I3315" s="77"/>
      <c r="J3315" s="77"/>
      <c r="K3315" s="79"/>
      <c r="L3315" s="49">
        <f t="shared" si="180"/>
        <v>0</v>
      </c>
      <c r="M3315" s="50">
        <f t="shared" si="181"/>
        <v>0</v>
      </c>
    </row>
    <row r="3316" spans="1:13" x14ac:dyDescent="0.2">
      <c r="A3316" s="18"/>
      <c r="B3316" s="77"/>
      <c r="C3316" s="77"/>
      <c r="D3316" s="78"/>
      <c r="E3316" s="77"/>
      <c r="F3316" s="77"/>
      <c r="G3316" s="77"/>
      <c r="H3316" s="77"/>
      <c r="I3316" s="77"/>
      <c r="J3316" s="77"/>
      <c r="K3316" s="79"/>
      <c r="L3316" s="49">
        <f t="shared" si="180"/>
        <v>0</v>
      </c>
      <c r="M3316" s="50">
        <f t="shared" si="181"/>
        <v>0</v>
      </c>
    </row>
    <row r="3317" spans="1:13" x14ac:dyDescent="0.2">
      <c r="A3317" s="18"/>
      <c r="B3317" s="77"/>
      <c r="C3317" s="77"/>
      <c r="D3317" s="78"/>
      <c r="E3317" s="77"/>
      <c r="F3317" s="77"/>
      <c r="G3317" s="77"/>
      <c r="H3317" s="77"/>
      <c r="I3317" s="77"/>
      <c r="J3317" s="77"/>
      <c r="K3317" s="79"/>
      <c r="L3317" s="49">
        <f t="shared" si="180"/>
        <v>0</v>
      </c>
      <c r="M3317" s="50">
        <f t="shared" si="181"/>
        <v>0</v>
      </c>
    </row>
    <row r="3318" spans="1:13" x14ac:dyDescent="0.2">
      <c r="A3318" s="18"/>
      <c r="B3318" s="77"/>
      <c r="C3318" s="77"/>
      <c r="D3318" s="78"/>
      <c r="E3318" s="77"/>
      <c r="F3318" s="77"/>
      <c r="G3318" s="77"/>
      <c r="H3318" s="77"/>
      <c r="I3318" s="77"/>
      <c r="J3318" s="77"/>
      <c r="K3318" s="79"/>
      <c r="L3318" s="49">
        <f t="shared" si="180"/>
        <v>0</v>
      </c>
      <c r="M3318" s="50">
        <f t="shared" si="181"/>
        <v>0</v>
      </c>
    </row>
    <row r="3319" spans="1:13" x14ac:dyDescent="0.2">
      <c r="A3319" s="18"/>
      <c r="B3319" s="77"/>
      <c r="C3319" s="77"/>
      <c r="D3319" s="78"/>
      <c r="E3319" s="77"/>
      <c r="F3319" s="77"/>
      <c r="G3319" s="77"/>
      <c r="H3319" s="77"/>
      <c r="I3319" s="77"/>
      <c r="J3319" s="77"/>
      <c r="K3319" s="79"/>
      <c r="L3319" s="49">
        <f t="shared" si="180"/>
        <v>0</v>
      </c>
      <c r="M3319" s="50">
        <f t="shared" si="181"/>
        <v>0</v>
      </c>
    </row>
    <row r="3320" spans="1:13" x14ac:dyDescent="0.2">
      <c r="A3320" s="18"/>
      <c r="B3320" s="77"/>
      <c r="C3320" s="77"/>
      <c r="D3320" s="78"/>
      <c r="E3320" s="77"/>
      <c r="F3320" s="77"/>
      <c r="G3320" s="77"/>
      <c r="H3320" s="77"/>
      <c r="I3320" s="77"/>
      <c r="J3320" s="77"/>
      <c r="K3320" s="79"/>
      <c r="L3320" s="49">
        <f t="shared" si="180"/>
        <v>0</v>
      </c>
      <c r="M3320" s="50">
        <f t="shared" si="181"/>
        <v>0</v>
      </c>
    </row>
    <row r="3321" spans="1:13" x14ac:dyDescent="0.2">
      <c r="A3321" s="18"/>
      <c r="B3321" s="77"/>
      <c r="C3321" s="77"/>
      <c r="D3321" s="78"/>
      <c r="E3321" s="77"/>
      <c r="F3321" s="77"/>
      <c r="G3321" s="77"/>
      <c r="H3321" s="77"/>
      <c r="I3321" s="77"/>
      <c r="J3321" s="77"/>
      <c r="K3321" s="79"/>
      <c r="L3321" s="49">
        <f t="shared" si="180"/>
        <v>0</v>
      </c>
      <c r="M3321" s="50">
        <f t="shared" si="181"/>
        <v>0</v>
      </c>
    </row>
    <row r="3322" spans="1:13" x14ac:dyDescent="0.2">
      <c r="A3322" s="18"/>
      <c r="B3322" s="77"/>
      <c r="C3322" s="77"/>
      <c r="D3322" s="78"/>
      <c r="E3322" s="77"/>
      <c r="F3322" s="77"/>
      <c r="G3322" s="77"/>
      <c r="H3322" s="77"/>
      <c r="I3322" s="77"/>
      <c r="J3322" s="77"/>
      <c r="K3322" s="79"/>
      <c r="L3322" s="49">
        <f t="shared" si="180"/>
        <v>0</v>
      </c>
      <c r="M3322" s="50">
        <f t="shared" si="181"/>
        <v>0</v>
      </c>
    </row>
    <row r="3323" spans="1:13" x14ac:dyDescent="0.2">
      <c r="A3323" s="18"/>
      <c r="B3323" s="77"/>
      <c r="C3323" s="77"/>
      <c r="D3323" s="78"/>
      <c r="E3323" s="77"/>
      <c r="F3323" s="77"/>
      <c r="G3323" s="77"/>
      <c r="H3323" s="77"/>
      <c r="I3323" s="77"/>
      <c r="J3323" s="77"/>
      <c r="K3323" s="79"/>
      <c r="L3323" s="49">
        <f t="shared" si="180"/>
        <v>0</v>
      </c>
      <c r="M3323" s="50">
        <f t="shared" si="181"/>
        <v>0</v>
      </c>
    </row>
    <row r="3324" spans="1:13" x14ac:dyDescent="0.2">
      <c r="A3324" s="18"/>
      <c r="B3324" s="77"/>
      <c r="C3324" s="77"/>
      <c r="D3324" s="78"/>
      <c r="E3324" s="77"/>
      <c r="F3324" s="77"/>
      <c r="G3324" s="77"/>
      <c r="H3324" s="77"/>
      <c r="I3324" s="77"/>
      <c r="J3324" s="77"/>
      <c r="K3324" s="79"/>
      <c r="L3324" s="49">
        <f t="shared" si="180"/>
        <v>0</v>
      </c>
      <c r="M3324" s="50">
        <f t="shared" si="181"/>
        <v>0</v>
      </c>
    </row>
    <row r="3325" spans="1:13" x14ac:dyDescent="0.2">
      <c r="A3325" s="18"/>
      <c r="B3325" s="77"/>
      <c r="C3325" s="77"/>
      <c r="D3325" s="78"/>
      <c r="E3325" s="77"/>
      <c r="F3325" s="77"/>
      <c r="G3325" s="77"/>
      <c r="H3325" s="77"/>
      <c r="I3325" s="77"/>
      <c r="J3325" s="77"/>
      <c r="K3325" s="79"/>
      <c r="L3325" s="49">
        <f t="shared" si="180"/>
        <v>0</v>
      </c>
      <c r="M3325" s="50">
        <f t="shared" si="181"/>
        <v>0</v>
      </c>
    </row>
    <row r="3326" spans="1:13" x14ac:dyDescent="0.2">
      <c r="A3326" s="18"/>
      <c r="B3326" s="77"/>
      <c r="C3326" s="77"/>
      <c r="D3326" s="78"/>
      <c r="E3326" s="77"/>
      <c r="F3326" s="77"/>
      <c r="G3326" s="77"/>
      <c r="H3326" s="77"/>
      <c r="I3326" s="77"/>
      <c r="J3326" s="77"/>
      <c r="K3326" s="79"/>
      <c r="L3326" s="49">
        <f t="shared" si="180"/>
        <v>0</v>
      </c>
      <c r="M3326" s="50">
        <f t="shared" si="181"/>
        <v>0</v>
      </c>
    </row>
    <row r="3327" spans="1:13" x14ac:dyDescent="0.2">
      <c r="A3327" s="18"/>
      <c r="B3327" s="77"/>
      <c r="C3327" s="77"/>
      <c r="D3327" s="78"/>
      <c r="E3327" s="77"/>
      <c r="F3327" s="77"/>
      <c r="G3327" s="77"/>
      <c r="H3327" s="77"/>
      <c r="I3327" s="77"/>
      <c r="J3327" s="77"/>
      <c r="K3327" s="79"/>
      <c r="L3327" s="49">
        <f t="shared" si="180"/>
        <v>0</v>
      </c>
      <c r="M3327" s="50">
        <f t="shared" si="181"/>
        <v>0</v>
      </c>
    </row>
    <row r="3328" spans="1:13" x14ac:dyDescent="0.2">
      <c r="A3328" s="18"/>
      <c r="B3328" s="77"/>
      <c r="C3328" s="77"/>
      <c r="D3328" s="78"/>
      <c r="E3328" s="77"/>
      <c r="F3328" s="77"/>
      <c r="G3328" s="77"/>
      <c r="H3328" s="77"/>
      <c r="I3328" s="77"/>
      <c r="J3328" s="77"/>
      <c r="K3328" s="79"/>
      <c r="L3328" s="49">
        <f t="shared" si="180"/>
        <v>0</v>
      </c>
      <c r="M3328" s="50">
        <f t="shared" si="181"/>
        <v>0</v>
      </c>
    </row>
    <row r="3329" spans="1:13" x14ac:dyDescent="0.2">
      <c r="A3329" s="18"/>
      <c r="B3329" s="77"/>
      <c r="C3329" s="77"/>
      <c r="D3329" s="78"/>
      <c r="E3329" s="77"/>
      <c r="F3329" s="77"/>
      <c r="G3329" s="77"/>
      <c r="H3329" s="77"/>
      <c r="I3329" s="77"/>
      <c r="J3329" s="77"/>
      <c r="K3329" s="79"/>
      <c r="L3329" s="49">
        <f t="shared" si="180"/>
        <v>0</v>
      </c>
      <c r="M3329" s="50">
        <f t="shared" si="181"/>
        <v>0</v>
      </c>
    </row>
    <row r="3330" spans="1:13" x14ac:dyDescent="0.2">
      <c r="A3330" s="18"/>
      <c r="B3330" s="77"/>
      <c r="C3330" s="77"/>
      <c r="D3330" s="78"/>
      <c r="E3330" s="77"/>
      <c r="F3330" s="77"/>
      <c r="G3330" s="77"/>
      <c r="H3330" s="77"/>
      <c r="I3330" s="77"/>
      <c r="J3330" s="77"/>
      <c r="K3330" s="79"/>
      <c r="L3330" s="49">
        <f t="shared" si="180"/>
        <v>0</v>
      </c>
      <c r="M3330" s="50">
        <f t="shared" si="181"/>
        <v>0</v>
      </c>
    </row>
    <row r="3331" spans="1:13" x14ac:dyDescent="0.2">
      <c r="A3331" s="18"/>
      <c r="B3331" s="77"/>
      <c r="C3331" s="77"/>
      <c r="D3331" s="78"/>
      <c r="E3331" s="77"/>
      <c r="F3331" s="77"/>
      <c r="G3331" s="77"/>
      <c r="H3331" s="77"/>
      <c r="I3331" s="77"/>
      <c r="J3331" s="77"/>
      <c r="K3331" s="79"/>
      <c r="L3331" s="49">
        <f t="shared" si="180"/>
        <v>0</v>
      </c>
      <c r="M3331" s="50">
        <f t="shared" si="181"/>
        <v>0</v>
      </c>
    </row>
    <row r="3332" spans="1:13" x14ac:dyDescent="0.2">
      <c r="A3332" s="18"/>
      <c r="B3332" s="77"/>
      <c r="C3332" s="77"/>
      <c r="D3332" s="78"/>
      <c r="E3332" s="77"/>
      <c r="F3332" s="77"/>
      <c r="G3332" s="77"/>
      <c r="H3332" s="77"/>
      <c r="I3332" s="77"/>
      <c r="J3332" s="77"/>
      <c r="K3332" s="79"/>
      <c r="L3332" s="49">
        <f t="shared" si="180"/>
        <v>0</v>
      </c>
      <c r="M3332" s="50">
        <f t="shared" si="181"/>
        <v>0</v>
      </c>
    </row>
    <row r="3333" spans="1:13" x14ac:dyDescent="0.2">
      <c r="A3333" s="18"/>
      <c r="B3333" s="77"/>
      <c r="C3333" s="77"/>
      <c r="D3333" s="78"/>
      <c r="E3333" s="77"/>
      <c r="F3333" s="77"/>
      <c r="G3333" s="77"/>
      <c r="H3333" s="77"/>
      <c r="I3333" s="77"/>
      <c r="J3333" s="77"/>
      <c r="K3333" s="79"/>
      <c r="L3333" s="49">
        <f t="shared" si="180"/>
        <v>0</v>
      </c>
      <c r="M3333" s="50">
        <f t="shared" si="181"/>
        <v>0</v>
      </c>
    </row>
    <row r="3334" spans="1:13" x14ac:dyDescent="0.2">
      <c r="A3334" s="18"/>
      <c r="B3334" s="77"/>
      <c r="C3334" s="77"/>
      <c r="D3334" s="78"/>
      <c r="E3334" s="77"/>
      <c r="F3334" s="77"/>
      <c r="G3334" s="77"/>
      <c r="H3334" s="77"/>
      <c r="I3334" s="77"/>
      <c r="J3334" s="77"/>
      <c r="K3334" s="79"/>
      <c r="L3334" s="49">
        <f t="shared" si="180"/>
        <v>0</v>
      </c>
      <c r="M3334" s="50">
        <f t="shared" si="181"/>
        <v>0</v>
      </c>
    </row>
    <row r="3335" spans="1:13" x14ac:dyDescent="0.2">
      <c r="A3335" s="18"/>
      <c r="B3335" s="77"/>
      <c r="C3335" s="77"/>
      <c r="D3335" s="78"/>
      <c r="E3335" s="77"/>
      <c r="F3335" s="77"/>
      <c r="G3335" s="77"/>
      <c r="H3335" s="77"/>
      <c r="I3335" s="77"/>
      <c r="J3335" s="77"/>
      <c r="K3335" s="79"/>
      <c r="L3335" s="49">
        <f t="shared" si="180"/>
        <v>0</v>
      </c>
      <c r="M3335" s="50">
        <f t="shared" si="181"/>
        <v>0</v>
      </c>
    </row>
    <row r="3336" spans="1:13" x14ac:dyDescent="0.2">
      <c r="A3336" s="18"/>
      <c r="B3336" s="77"/>
      <c r="C3336" s="77"/>
      <c r="D3336" s="78"/>
      <c r="E3336" s="77"/>
      <c r="F3336" s="77"/>
      <c r="G3336" s="77"/>
      <c r="H3336" s="77"/>
      <c r="I3336" s="77"/>
      <c r="J3336" s="77"/>
      <c r="K3336" s="79"/>
      <c r="L3336" s="49">
        <f t="shared" si="180"/>
        <v>0</v>
      </c>
      <c r="M3336" s="50">
        <f t="shared" si="181"/>
        <v>0</v>
      </c>
    </row>
    <row r="3337" spans="1:13" x14ac:dyDescent="0.2">
      <c r="A3337" s="18"/>
      <c r="B3337" s="77"/>
      <c r="C3337" s="77"/>
      <c r="D3337" s="78"/>
      <c r="E3337" s="77"/>
      <c r="F3337" s="77"/>
      <c r="G3337" s="77"/>
      <c r="H3337" s="77"/>
      <c r="I3337" s="77"/>
      <c r="J3337" s="77"/>
      <c r="K3337" s="79"/>
      <c r="L3337" s="49">
        <f t="shared" si="180"/>
        <v>0</v>
      </c>
      <c r="M3337" s="50">
        <f t="shared" si="181"/>
        <v>0</v>
      </c>
    </row>
    <row r="3338" spans="1:13" x14ac:dyDescent="0.2">
      <c r="A3338" s="18"/>
      <c r="B3338" s="77"/>
      <c r="C3338" s="77"/>
      <c r="D3338" s="78"/>
      <c r="E3338" s="77"/>
      <c r="F3338" s="77"/>
      <c r="G3338" s="77"/>
      <c r="H3338" s="77"/>
      <c r="I3338" s="77"/>
      <c r="J3338" s="77"/>
      <c r="K3338" s="79"/>
      <c r="L3338" s="49">
        <f t="shared" si="180"/>
        <v>0</v>
      </c>
      <c r="M3338" s="50">
        <f t="shared" si="181"/>
        <v>0</v>
      </c>
    </row>
    <row r="3339" spans="1:13" x14ac:dyDescent="0.2">
      <c r="A3339" s="18"/>
      <c r="B3339" s="77"/>
      <c r="C3339" s="77"/>
      <c r="D3339" s="78"/>
      <c r="E3339" s="77"/>
      <c r="F3339" s="77"/>
      <c r="G3339" s="77"/>
      <c r="H3339" s="77"/>
      <c r="I3339" s="77"/>
      <c r="J3339" s="77"/>
      <c r="K3339" s="79"/>
      <c r="L3339" s="49">
        <f t="shared" ref="L3339:L3402" si="182">+K3339*18%</f>
        <v>0</v>
      </c>
      <c r="M3339" s="50">
        <f t="shared" ref="M3339:M3402" si="183">+K3339+L3339</f>
        <v>0</v>
      </c>
    </row>
    <row r="3340" spans="1:13" x14ac:dyDescent="0.2">
      <c r="A3340" s="18"/>
      <c r="B3340" s="77"/>
      <c r="C3340" s="77"/>
      <c r="D3340" s="78"/>
      <c r="E3340" s="77"/>
      <c r="F3340" s="77"/>
      <c r="G3340" s="77"/>
      <c r="H3340" s="77"/>
      <c r="I3340" s="77"/>
      <c r="J3340" s="77"/>
      <c r="K3340" s="79"/>
      <c r="L3340" s="49">
        <f t="shared" si="182"/>
        <v>0</v>
      </c>
      <c r="M3340" s="50">
        <f t="shared" si="183"/>
        <v>0</v>
      </c>
    </row>
    <row r="3341" spans="1:13" x14ac:dyDescent="0.2">
      <c r="A3341" s="18"/>
      <c r="B3341" s="77"/>
      <c r="C3341" s="77"/>
      <c r="D3341" s="78"/>
      <c r="E3341" s="77"/>
      <c r="F3341" s="77"/>
      <c r="G3341" s="77"/>
      <c r="H3341" s="77"/>
      <c r="I3341" s="77"/>
      <c r="J3341" s="77"/>
      <c r="K3341" s="79"/>
      <c r="L3341" s="49">
        <f t="shared" si="182"/>
        <v>0</v>
      </c>
      <c r="M3341" s="50">
        <f t="shared" si="183"/>
        <v>0</v>
      </c>
    </row>
    <row r="3342" spans="1:13" x14ac:dyDescent="0.2">
      <c r="A3342" s="18"/>
      <c r="B3342" s="77"/>
      <c r="C3342" s="77"/>
      <c r="D3342" s="78"/>
      <c r="E3342" s="77"/>
      <c r="F3342" s="77"/>
      <c r="G3342" s="77"/>
      <c r="H3342" s="77"/>
      <c r="I3342" s="77"/>
      <c r="J3342" s="77"/>
      <c r="K3342" s="79"/>
      <c r="L3342" s="49">
        <f t="shared" si="182"/>
        <v>0</v>
      </c>
      <c r="M3342" s="50">
        <f t="shared" si="183"/>
        <v>0</v>
      </c>
    </row>
    <row r="3343" spans="1:13" x14ac:dyDescent="0.2">
      <c r="A3343" s="18"/>
      <c r="B3343" s="77"/>
      <c r="C3343" s="77"/>
      <c r="D3343" s="78"/>
      <c r="E3343" s="77"/>
      <c r="F3343" s="77"/>
      <c r="G3343" s="77"/>
      <c r="H3343" s="77"/>
      <c r="I3343" s="77"/>
      <c r="J3343" s="77"/>
      <c r="K3343" s="79"/>
      <c r="L3343" s="49">
        <f t="shared" si="182"/>
        <v>0</v>
      </c>
      <c r="M3343" s="50">
        <f t="shared" si="183"/>
        <v>0</v>
      </c>
    </row>
    <row r="3344" spans="1:13" x14ac:dyDescent="0.2">
      <c r="A3344" s="18"/>
      <c r="B3344" s="77"/>
      <c r="C3344" s="77"/>
      <c r="D3344" s="78"/>
      <c r="E3344" s="77"/>
      <c r="F3344" s="77"/>
      <c r="G3344" s="77"/>
      <c r="H3344" s="77"/>
      <c r="I3344" s="77"/>
      <c r="J3344" s="77"/>
      <c r="K3344" s="79"/>
      <c r="L3344" s="49">
        <f t="shared" si="182"/>
        <v>0</v>
      </c>
      <c r="M3344" s="50">
        <f t="shared" si="183"/>
        <v>0</v>
      </c>
    </row>
    <row r="3345" spans="1:13" x14ac:dyDescent="0.2">
      <c r="A3345" s="18"/>
      <c r="B3345" s="77"/>
      <c r="C3345" s="77"/>
      <c r="D3345" s="78"/>
      <c r="E3345" s="77"/>
      <c r="F3345" s="77"/>
      <c r="G3345" s="77"/>
      <c r="H3345" s="77"/>
      <c r="I3345" s="77"/>
      <c r="J3345" s="77"/>
      <c r="K3345" s="79"/>
      <c r="L3345" s="49">
        <f t="shared" si="182"/>
        <v>0</v>
      </c>
      <c r="M3345" s="50">
        <f t="shared" si="183"/>
        <v>0</v>
      </c>
    </row>
    <row r="3346" spans="1:13" x14ac:dyDescent="0.2">
      <c r="A3346" s="18"/>
      <c r="B3346" s="77"/>
      <c r="C3346" s="77"/>
      <c r="D3346" s="78"/>
      <c r="E3346" s="77"/>
      <c r="F3346" s="77"/>
      <c r="G3346" s="77"/>
      <c r="H3346" s="77"/>
      <c r="I3346" s="77"/>
      <c r="J3346" s="77"/>
      <c r="K3346" s="79"/>
      <c r="L3346" s="49">
        <f t="shared" si="182"/>
        <v>0</v>
      </c>
      <c r="M3346" s="50">
        <f t="shared" si="183"/>
        <v>0</v>
      </c>
    </row>
    <row r="3347" spans="1:13" x14ac:dyDescent="0.2">
      <c r="A3347" s="18"/>
      <c r="B3347" s="77"/>
      <c r="C3347" s="77"/>
      <c r="D3347" s="78"/>
      <c r="E3347" s="77"/>
      <c r="F3347" s="77"/>
      <c r="G3347" s="77"/>
      <c r="H3347" s="77"/>
      <c r="I3347" s="77"/>
      <c r="J3347" s="77"/>
      <c r="K3347" s="79"/>
      <c r="L3347" s="49">
        <f t="shared" si="182"/>
        <v>0</v>
      </c>
      <c r="M3347" s="50">
        <f t="shared" si="183"/>
        <v>0</v>
      </c>
    </row>
    <row r="3348" spans="1:13" x14ac:dyDescent="0.2">
      <c r="A3348" s="18"/>
      <c r="B3348" s="77"/>
      <c r="C3348" s="77"/>
      <c r="D3348" s="78"/>
      <c r="E3348" s="77"/>
      <c r="F3348" s="77"/>
      <c r="G3348" s="77"/>
      <c r="H3348" s="77"/>
      <c r="I3348" s="77"/>
      <c r="J3348" s="77"/>
      <c r="K3348" s="79"/>
      <c r="L3348" s="49">
        <f t="shared" si="182"/>
        <v>0</v>
      </c>
      <c r="M3348" s="50">
        <f t="shared" si="183"/>
        <v>0</v>
      </c>
    </row>
    <row r="3349" spans="1:13" x14ac:dyDescent="0.2">
      <c r="A3349" s="18"/>
      <c r="B3349" s="77"/>
      <c r="C3349" s="77"/>
      <c r="D3349" s="78"/>
      <c r="E3349" s="77"/>
      <c r="F3349" s="77"/>
      <c r="G3349" s="77"/>
      <c r="H3349" s="77"/>
      <c r="I3349" s="77"/>
      <c r="J3349" s="77"/>
      <c r="K3349" s="79"/>
      <c r="L3349" s="49">
        <f t="shared" si="182"/>
        <v>0</v>
      </c>
      <c r="M3349" s="50">
        <f t="shared" si="183"/>
        <v>0</v>
      </c>
    </row>
    <row r="3350" spans="1:13" x14ac:dyDescent="0.2">
      <c r="A3350" s="18"/>
      <c r="B3350" s="77"/>
      <c r="C3350" s="77"/>
      <c r="D3350" s="78"/>
      <c r="E3350" s="77"/>
      <c r="F3350" s="77"/>
      <c r="G3350" s="77"/>
      <c r="H3350" s="77"/>
      <c r="I3350" s="77"/>
      <c r="J3350" s="77"/>
      <c r="K3350" s="79"/>
      <c r="L3350" s="49">
        <f t="shared" si="182"/>
        <v>0</v>
      </c>
      <c r="M3350" s="50">
        <f t="shared" si="183"/>
        <v>0</v>
      </c>
    </row>
    <row r="3351" spans="1:13" x14ac:dyDescent="0.2">
      <c r="A3351" s="18"/>
      <c r="B3351" s="77"/>
      <c r="C3351" s="77"/>
      <c r="D3351" s="78"/>
      <c r="E3351" s="77"/>
      <c r="F3351" s="77"/>
      <c r="G3351" s="77"/>
      <c r="H3351" s="77"/>
      <c r="I3351" s="77"/>
      <c r="J3351" s="77"/>
      <c r="K3351" s="79"/>
      <c r="L3351" s="49">
        <f t="shared" si="182"/>
        <v>0</v>
      </c>
      <c r="M3351" s="50">
        <f t="shared" si="183"/>
        <v>0</v>
      </c>
    </row>
    <row r="3352" spans="1:13" x14ac:dyDescent="0.2">
      <c r="A3352" s="18"/>
      <c r="B3352" s="77"/>
      <c r="C3352" s="77"/>
      <c r="D3352" s="78"/>
      <c r="E3352" s="77"/>
      <c r="F3352" s="77"/>
      <c r="G3352" s="77"/>
      <c r="H3352" s="77"/>
      <c r="I3352" s="77"/>
      <c r="J3352" s="77"/>
      <c r="K3352" s="79"/>
      <c r="L3352" s="49">
        <f t="shared" si="182"/>
        <v>0</v>
      </c>
      <c r="M3352" s="50">
        <f t="shared" si="183"/>
        <v>0</v>
      </c>
    </row>
    <row r="3353" spans="1:13" x14ac:dyDescent="0.2">
      <c r="A3353" s="18"/>
      <c r="B3353" s="77"/>
      <c r="C3353" s="77"/>
      <c r="D3353" s="78"/>
      <c r="E3353" s="77"/>
      <c r="F3353" s="77"/>
      <c r="G3353" s="77"/>
      <c r="H3353" s="77"/>
      <c r="I3353" s="77"/>
      <c r="J3353" s="77"/>
      <c r="K3353" s="79"/>
      <c r="L3353" s="49">
        <f t="shared" si="182"/>
        <v>0</v>
      </c>
      <c r="M3353" s="50">
        <f t="shared" si="183"/>
        <v>0</v>
      </c>
    </row>
    <row r="3354" spans="1:13" x14ac:dyDescent="0.2">
      <c r="A3354" s="18"/>
      <c r="B3354" s="77"/>
      <c r="C3354" s="77"/>
      <c r="D3354" s="78"/>
      <c r="E3354" s="77"/>
      <c r="F3354" s="77"/>
      <c r="G3354" s="77"/>
      <c r="H3354" s="77"/>
      <c r="I3354" s="77"/>
      <c r="J3354" s="77"/>
      <c r="K3354" s="79"/>
      <c r="L3354" s="49">
        <f t="shared" si="182"/>
        <v>0</v>
      </c>
      <c r="M3354" s="50">
        <f t="shared" si="183"/>
        <v>0</v>
      </c>
    </row>
    <row r="3355" spans="1:13" x14ac:dyDescent="0.2">
      <c r="A3355" s="18"/>
      <c r="B3355" s="77"/>
      <c r="C3355" s="77"/>
      <c r="D3355" s="78"/>
      <c r="E3355" s="77"/>
      <c r="F3355" s="77"/>
      <c r="G3355" s="77"/>
      <c r="H3355" s="77"/>
      <c r="I3355" s="77"/>
      <c r="J3355" s="77"/>
      <c r="K3355" s="79"/>
      <c r="L3355" s="49">
        <f t="shared" si="182"/>
        <v>0</v>
      </c>
      <c r="M3355" s="50">
        <f t="shared" si="183"/>
        <v>0</v>
      </c>
    </row>
    <row r="3356" spans="1:13" x14ac:dyDescent="0.2">
      <c r="A3356" s="18"/>
      <c r="B3356" s="77"/>
      <c r="C3356" s="77"/>
      <c r="D3356" s="78"/>
      <c r="E3356" s="77"/>
      <c r="F3356" s="77"/>
      <c r="G3356" s="77"/>
      <c r="H3356" s="77"/>
      <c r="I3356" s="77"/>
      <c r="J3356" s="77"/>
      <c r="K3356" s="79"/>
      <c r="L3356" s="49">
        <f t="shared" si="182"/>
        <v>0</v>
      </c>
      <c r="M3356" s="50">
        <f t="shared" si="183"/>
        <v>0</v>
      </c>
    </row>
    <row r="3357" spans="1:13" x14ac:dyDescent="0.2">
      <c r="A3357" s="18"/>
      <c r="B3357" s="77"/>
      <c r="C3357" s="77"/>
      <c r="D3357" s="78"/>
      <c r="E3357" s="77"/>
      <c r="F3357" s="77"/>
      <c r="G3357" s="77"/>
      <c r="H3357" s="77"/>
      <c r="I3357" s="77"/>
      <c r="J3357" s="77"/>
      <c r="K3357" s="79"/>
      <c r="L3357" s="49">
        <f t="shared" si="182"/>
        <v>0</v>
      </c>
      <c r="M3357" s="50">
        <f t="shared" si="183"/>
        <v>0</v>
      </c>
    </row>
    <row r="3358" spans="1:13" x14ac:dyDescent="0.2">
      <c r="A3358" s="18"/>
      <c r="B3358" s="77"/>
      <c r="C3358" s="77"/>
      <c r="D3358" s="78"/>
      <c r="E3358" s="77"/>
      <c r="F3358" s="77"/>
      <c r="G3358" s="77"/>
      <c r="H3358" s="77"/>
      <c r="I3358" s="77"/>
      <c r="J3358" s="77"/>
      <c r="K3358" s="79"/>
      <c r="L3358" s="49">
        <f t="shared" si="182"/>
        <v>0</v>
      </c>
      <c r="M3358" s="50">
        <f t="shared" si="183"/>
        <v>0</v>
      </c>
    </row>
    <row r="3359" spans="1:13" x14ac:dyDescent="0.2">
      <c r="A3359" s="18"/>
      <c r="B3359" s="77"/>
      <c r="C3359" s="77"/>
      <c r="D3359" s="78"/>
      <c r="E3359" s="77"/>
      <c r="F3359" s="77"/>
      <c r="G3359" s="77"/>
      <c r="H3359" s="77"/>
      <c r="I3359" s="77"/>
      <c r="J3359" s="77"/>
      <c r="K3359" s="79"/>
      <c r="L3359" s="49">
        <f t="shared" si="182"/>
        <v>0</v>
      </c>
      <c r="M3359" s="50">
        <f t="shared" si="183"/>
        <v>0</v>
      </c>
    </row>
    <row r="3360" spans="1:13" x14ac:dyDescent="0.2">
      <c r="A3360" s="18"/>
      <c r="B3360" s="77"/>
      <c r="C3360" s="77"/>
      <c r="D3360" s="78"/>
      <c r="E3360" s="77"/>
      <c r="F3360" s="77"/>
      <c r="G3360" s="77"/>
      <c r="H3360" s="77"/>
      <c r="I3360" s="77"/>
      <c r="J3360" s="77"/>
      <c r="K3360" s="79"/>
      <c r="L3360" s="49">
        <f t="shared" si="182"/>
        <v>0</v>
      </c>
      <c r="M3360" s="50">
        <f t="shared" si="183"/>
        <v>0</v>
      </c>
    </row>
    <row r="3361" spans="1:13" x14ac:dyDescent="0.2">
      <c r="A3361" s="18"/>
      <c r="B3361" s="77"/>
      <c r="C3361" s="77"/>
      <c r="D3361" s="78"/>
      <c r="E3361" s="77"/>
      <c r="F3361" s="77"/>
      <c r="G3361" s="77"/>
      <c r="H3361" s="77"/>
      <c r="I3361" s="77"/>
      <c r="J3361" s="77"/>
      <c r="K3361" s="79"/>
      <c r="L3361" s="49">
        <f t="shared" si="182"/>
        <v>0</v>
      </c>
      <c r="M3361" s="50">
        <f t="shared" si="183"/>
        <v>0</v>
      </c>
    </row>
    <row r="3362" spans="1:13" x14ac:dyDescent="0.2">
      <c r="A3362" s="18"/>
      <c r="B3362" s="77"/>
      <c r="C3362" s="77"/>
      <c r="D3362" s="78"/>
      <c r="E3362" s="77"/>
      <c r="F3362" s="77"/>
      <c r="G3362" s="77"/>
      <c r="H3362" s="77"/>
      <c r="I3362" s="77"/>
      <c r="J3362" s="77"/>
      <c r="K3362" s="79"/>
      <c r="L3362" s="49">
        <f t="shared" si="182"/>
        <v>0</v>
      </c>
      <c r="M3362" s="50">
        <f t="shared" si="183"/>
        <v>0</v>
      </c>
    </row>
    <row r="3363" spans="1:13" x14ac:dyDescent="0.2">
      <c r="A3363" s="18"/>
      <c r="B3363" s="77"/>
      <c r="C3363" s="77"/>
      <c r="D3363" s="78"/>
      <c r="E3363" s="77"/>
      <c r="F3363" s="77"/>
      <c r="G3363" s="77"/>
      <c r="H3363" s="77"/>
      <c r="I3363" s="77"/>
      <c r="J3363" s="77"/>
      <c r="K3363" s="79"/>
      <c r="L3363" s="49">
        <f t="shared" si="182"/>
        <v>0</v>
      </c>
      <c r="M3363" s="50">
        <f t="shared" si="183"/>
        <v>0</v>
      </c>
    </row>
    <row r="3364" spans="1:13" x14ac:dyDescent="0.2">
      <c r="A3364" s="18"/>
      <c r="B3364" s="77"/>
      <c r="C3364" s="77"/>
      <c r="D3364" s="78"/>
      <c r="E3364" s="77"/>
      <c r="F3364" s="77"/>
      <c r="G3364" s="77"/>
      <c r="H3364" s="77"/>
      <c r="I3364" s="77"/>
      <c r="J3364" s="77"/>
      <c r="K3364" s="79"/>
      <c r="L3364" s="49">
        <f t="shared" si="182"/>
        <v>0</v>
      </c>
      <c r="M3364" s="50">
        <f t="shared" si="183"/>
        <v>0</v>
      </c>
    </row>
    <row r="3365" spans="1:13" x14ac:dyDescent="0.2">
      <c r="A3365" s="18"/>
      <c r="B3365" s="77"/>
      <c r="C3365" s="77"/>
      <c r="D3365" s="78"/>
      <c r="E3365" s="77"/>
      <c r="F3365" s="77"/>
      <c r="G3365" s="77"/>
      <c r="H3365" s="77"/>
      <c r="I3365" s="77"/>
      <c r="J3365" s="77"/>
      <c r="K3365" s="79"/>
      <c r="L3365" s="49">
        <f t="shared" si="182"/>
        <v>0</v>
      </c>
      <c r="M3365" s="50">
        <f t="shared" si="183"/>
        <v>0</v>
      </c>
    </row>
    <row r="3366" spans="1:13" x14ac:dyDescent="0.2">
      <c r="A3366" s="18"/>
      <c r="B3366" s="77"/>
      <c r="C3366" s="77"/>
      <c r="D3366" s="78"/>
      <c r="E3366" s="77"/>
      <c r="F3366" s="77"/>
      <c r="G3366" s="77"/>
      <c r="H3366" s="77"/>
      <c r="I3366" s="77"/>
      <c r="J3366" s="77"/>
      <c r="K3366" s="79"/>
      <c r="L3366" s="49">
        <f t="shared" si="182"/>
        <v>0</v>
      </c>
      <c r="M3366" s="50">
        <f t="shared" si="183"/>
        <v>0</v>
      </c>
    </row>
    <row r="3367" spans="1:13" x14ac:dyDescent="0.2">
      <c r="A3367" s="18"/>
      <c r="B3367" s="77"/>
      <c r="C3367" s="77"/>
      <c r="D3367" s="78"/>
      <c r="E3367" s="77"/>
      <c r="F3367" s="77"/>
      <c r="G3367" s="77"/>
      <c r="H3367" s="77"/>
      <c r="I3367" s="77"/>
      <c r="J3367" s="77"/>
      <c r="K3367" s="79"/>
      <c r="L3367" s="49">
        <f t="shared" si="182"/>
        <v>0</v>
      </c>
      <c r="M3367" s="50">
        <f t="shared" si="183"/>
        <v>0</v>
      </c>
    </row>
    <row r="3368" spans="1:13" x14ac:dyDescent="0.2">
      <c r="A3368" s="18"/>
      <c r="B3368" s="77"/>
      <c r="C3368" s="77"/>
      <c r="D3368" s="78"/>
      <c r="E3368" s="77"/>
      <c r="F3368" s="77"/>
      <c r="G3368" s="77"/>
      <c r="H3368" s="77"/>
      <c r="I3368" s="77"/>
      <c r="J3368" s="77"/>
      <c r="K3368" s="79"/>
      <c r="L3368" s="49">
        <f t="shared" si="182"/>
        <v>0</v>
      </c>
      <c r="M3368" s="50">
        <f t="shared" si="183"/>
        <v>0</v>
      </c>
    </row>
    <row r="3369" spans="1:13" x14ac:dyDescent="0.2">
      <c r="A3369" s="18"/>
      <c r="B3369" s="77"/>
      <c r="C3369" s="77"/>
      <c r="D3369" s="78"/>
      <c r="E3369" s="77"/>
      <c r="F3369" s="77"/>
      <c r="G3369" s="77"/>
      <c r="H3369" s="77"/>
      <c r="I3369" s="77"/>
      <c r="J3369" s="77"/>
      <c r="K3369" s="79"/>
      <c r="L3369" s="49">
        <f t="shared" si="182"/>
        <v>0</v>
      </c>
      <c r="M3369" s="50">
        <f t="shared" si="183"/>
        <v>0</v>
      </c>
    </row>
    <row r="3370" spans="1:13" x14ac:dyDescent="0.2">
      <c r="A3370" s="18"/>
      <c r="B3370" s="77"/>
      <c r="C3370" s="77"/>
      <c r="D3370" s="78"/>
      <c r="E3370" s="77"/>
      <c r="F3370" s="77"/>
      <c r="G3370" s="77"/>
      <c r="H3370" s="77"/>
      <c r="I3370" s="77"/>
      <c r="J3370" s="77"/>
      <c r="K3370" s="79"/>
      <c r="L3370" s="49">
        <f t="shared" si="182"/>
        <v>0</v>
      </c>
      <c r="M3370" s="50">
        <f t="shared" si="183"/>
        <v>0</v>
      </c>
    </row>
    <row r="3371" spans="1:13" x14ac:dyDescent="0.2">
      <c r="A3371" s="18"/>
      <c r="B3371" s="77"/>
      <c r="C3371" s="77"/>
      <c r="D3371" s="78"/>
      <c r="E3371" s="77"/>
      <c r="F3371" s="77"/>
      <c r="G3371" s="77"/>
      <c r="H3371" s="77"/>
      <c r="I3371" s="77"/>
      <c r="J3371" s="77"/>
      <c r="K3371" s="79"/>
      <c r="L3371" s="49">
        <f t="shared" si="182"/>
        <v>0</v>
      </c>
      <c r="M3371" s="50">
        <f t="shared" si="183"/>
        <v>0</v>
      </c>
    </row>
    <row r="3372" spans="1:13" x14ac:dyDescent="0.2">
      <c r="A3372" s="18"/>
      <c r="B3372" s="77"/>
      <c r="C3372" s="77"/>
      <c r="D3372" s="78"/>
      <c r="E3372" s="77"/>
      <c r="F3372" s="77"/>
      <c r="G3372" s="77"/>
      <c r="H3372" s="77"/>
      <c r="I3372" s="77"/>
      <c r="J3372" s="77"/>
      <c r="K3372" s="79"/>
      <c r="L3372" s="49">
        <f t="shared" si="182"/>
        <v>0</v>
      </c>
      <c r="M3372" s="50">
        <f t="shared" si="183"/>
        <v>0</v>
      </c>
    </row>
    <row r="3373" spans="1:13" x14ac:dyDescent="0.2">
      <c r="A3373" s="18"/>
      <c r="B3373" s="77"/>
      <c r="C3373" s="77"/>
      <c r="D3373" s="78"/>
      <c r="E3373" s="77"/>
      <c r="F3373" s="77"/>
      <c r="G3373" s="77"/>
      <c r="H3373" s="77"/>
      <c r="I3373" s="77"/>
      <c r="J3373" s="77"/>
      <c r="K3373" s="79"/>
      <c r="L3373" s="49">
        <f t="shared" si="182"/>
        <v>0</v>
      </c>
      <c r="M3373" s="50">
        <f t="shared" si="183"/>
        <v>0</v>
      </c>
    </row>
    <row r="3374" spans="1:13" x14ac:dyDescent="0.2">
      <c r="A3374" s="18"/>
      <c r="B3374" s="77"/>
      <c r="C3374" s="77"/>
      <c r="D3374" s="78"/>
      <c r="E3374" s="77"/>
      <c r="F3374" s="77"/>
      <c r="G3374" s="77"/>
      <c r="H3374" s="77"/>
      <c r="I3374" s="77"/>
      <c r="J3374" s="77"/>
      <c r="K3374" s="79"/>
      <c r="L3374" s="49">
        <f t="shared" si="182"/>
        <v>0</v>
      </c>
      <c r="M3374" s="50">
        <f t="shared" si="183"/>
        <v>0</v>
      </c>
    </row>
    <row r="3375" spans="1:13" x14ac:dyDescent="0.2">
      <c r="A3375" s="18"/>
      <c r="B3375" s="77"/>
      <c r="C3375" s="77"/>
      <c r="D3375" s="78"/>
      <c r="E3375" s="77"/>
      <c r="F3375" s="77"/>
      <c r="G3375" s="77"/>
      <c r="H3375" s="77"/>
      <c r="I3375" s="77"/>
      <c r="J3375" s="77"/>
      <c r="K3375" s="79"/>
      <c r="L3375" s="49">
        <f t="shared" si="182"/>
        <v>0</v>
      </c>
      <c r="M3375" s="50">
        <f t="shared" si="183"/>
        <v>0</v>
      </c>
    </row>
    <row r="3376" spans="1:13" x14ac:dyDescent="0.2">
      <c r="A3376" s="18"/>
      <c r="B3376" s="77"/>
      <c r="C3376" s="77"/>
      <c r="D3376" s="78"/>
      <c r="E3376" s="77"/>
      <c r="F3376" s="77"/>
      <c r="G3376" s="77"/>
      <c r="H3376" s="77"/>
      <c r="I3376" s="77"/>
      <c r="J3376" s="77"/>
      <c r="K3376" s="79"/>
      <c r="L3376" s="49">
        <f t="shared" si="182"/>
        <v>0</v>
      </c>
      <c r="M3376" s="50">
        <f t="shared" si="183"/>
        <v>0</v>
      </c>
    </row>
    <row r="3377" spans="1:13" x14ac:dyDescent="0.2">
      <c r="A3377" s="18"/>
      <c r="B3377" s="77"/>
      <c r="C3377" s="77"/>
      <c r="D3377" s="78"/>
      <c r="E3377" s="77"/>
      <c r="F3377" s="77"/>
      <c r="G3377" s="77"/>
      <c r="H3377" s="77"/>
      <c r="I3377" s="77"/>
      <c r="J3377" s="77"/>
      <c r="K3377" s="79"/>
      <c r="L3377" s="49">
        <f t="shared" si="182"/>
        <v>0</v>
      </c>
      <c r="M3377" s="50">
        <f t="shared" si="183"/>
        <v>0</v>
      </c>
    </row>
    <row r="3378" spans="1:13" x14ac:dyDescent="0.2">
      <c r="A3378" s="18"/>
      <c r="B3378" s="77"/>
      <c r="C3378" s="77"/>
      <c r="D3378" s="78"/>
      <c r="E3378" s="77"/>
      <c r="F3378" s="77"/>
      <c r="G3378" s="77"/>
      <c r="H3378" s="77"/>
      <c r="I3378" s="77"/>
      <c r="J3378" s="77"/>
      <c r="K3378" s="79"/>
      <c r="L3378" s="49">
        <f t="shared" si="182"/>
        <v>0</v>
      </c>
      <c r="M3378" s="50">
        <f t="shared" si="183"/>
        <v>0</v>
      </c>
    </row>
    <row r="3379" spans="1:13" x14ac:dyDescent="0.2">
      <c r="A3379" s="18"/>
      <c r="B3379" s="77"/>
      <c r="C3379" s="77"/>
      <c r="D3379" s="78"/>
      <c r="E3379" s="77"/>
      <c r="F3379" s="77"/>
      <c r="G3379" s="77"/>
      <c r="H3379" s="77"/>
      <c r="I3379" s="77"/>
      <c r="J3379" s="77"/>
      <c r="K3379" s="79"/>
      <c r="L3379" s="49">
        <f t="shared" si="182"/>
        <v>0</v>
      </c>
      <c r="M3379" s="50">
        <f t="shared" si="183"/>
        <v>0</v>
      </c>
    </row>
    <row r="3380" spans="1:13" x14ac:dyDescent="0.2">
      <c r="A3380" s="18"/>
      <c r="B3380" s="77"/>
      <c r="C3380" s="77"/>
      <c r="D3380" s="78"/>
      <c r="E3380" s="77"/>
      <c r="F3380" s="77"/>
      <c r="G3380" s="77"/>
      <c r="H3380" s="77"/>
      <c r="I3380" s="77"/>
      <c r="J3380" s="77"/>
      <c r="K3380" s="79"/>
      <c r="L3380" s="49">
        <f t="shared" si="182"/>
        <v>0</v>
      </c>
      <c r="M3380" s="50">
        <f t="shared" si="183"/>
        <v>0</v>
      </c>
    </row>
    <row r="3381" spans="1:13" x14ac:dyDescent="0.2">
      <c r="A3381" s="18"/>
      <c r="B3381" s="77"/>
      <c r="C3381" s="77"/>
      <c r="D3381" s="78"/>
      <c r="E3381" s="77"/>
      <c r="F3381" s="77"/>
      <c r="G3381" s="77"/>
      <c r="H3381" s="77"/>
      <c r="I3381" s="77"/>
      <c r="J3381" s="77"/>
      <c r="K3381" s="79"/>
      <c r="L3381" s="49">
        <f t="shared" si="182"/>
        <v>0</v>
      </c>
      <c r="M3381" s="50">
        <f t="shared" si="183"/>
        <v>0</v>
      </c>
    </row>
    <row r="3382" spans="1:13" x14ac:dyDescent="0.2">
      <c r="A3382" s="18"/>
      <c r="B3382" s="77"/>
      <c r="C3382" s="77"/>
      <c r="D3382" s="78"/>
      <c r="E3382" s="77"/>
      <c r="F3382" s="77"/>
      <c r="G3382" s="77"/>
      <c r="H3382" s="77"/>
      <c r="I3382" s="77"/>
      <c r="J3382" s="77"/>
      <c r="K3382" s="79"/>
      <c r="L3382" s="49">
        <f t="shared" si="182"/>
        <v>0</v>
      </c>
      <c r="M3382" s="50">
        <f t="shared" si="183"/>
        <v>0</v>
      </c>
    </row>
    <row r="3383" spans="1:13" x14ac:dyDescent="0.2">
      <c r="A3383" s="18"/>
      <c r="B3383" s="77"/>
      <c r="C3383" s="77"/>
      <c r="D3383" s="78"/>
      <c r="E3383" s="77"/>
      <c r="F3383" s="77"/>
      <c r="G3383" s="77"/>
      <c r="H3383" s="77"/>
      <c r="I3383" s="77"/>
      <c r="J3383" s="77"/>
      <c r="K3383" s="79"/>
      <c r="L3383" s="49">
        <f t="shared" si="182"/>
        <v>0</v>
      </c>
      <c r="M3383" s="50">
        <f t="shared" si="183"/>
        <v>0</v>
      </c>
    </row>
    <row r="3384" spans="1:13" x14ac:dyDescent="0.2">
      <c r="A3384" s="18"/>
      <c r="B3384" s="77"/>
      <c r="C3384" s="77"/>
      <c r="D3384" s="78"/>
      <c r="E3384" s="77"/>
      <c r="F3384" s="77"/>
      <c r="G3384" s="77"/>
      <c r="H3384" s="77"/>
      <c r="I3384" s="77"/>
      <c r="J3384" s="77"/>
      <c r="K3384" s="79"/>
      <c r="L3384" s="49">
        <f t="shared" si="182"/>
        <v>0</v>
      </c>
      <c r="M3384" s="50">
        <f t="shared" si="183"/>
        <v>0</v>
      </c>
    </row>
    <row r="3385" spans="1:13" x14ac:dyDescent="0.2">
      <c r="A3385" s="18"/>
      <c r="B3385" s="77"/>
      <c r="C3385" s="77"/>
      <c r="D3385" s="78"/>
      <c r="E3385" s="77"/>
      <c r="F3385" s="77"/>
      <c r="G3385" s="77"/>
      <c r="H3385" s="77"/>
      <c r="I3385" s="77"/>
      <c r="J3385" s="77"/>
      <c r="K3385" s="79"/>
      <c r="L3385" s="49">
        <f t="shared" si="182"/>
        <v>0</v>
      </c>
      <c r="M3385" s="50">
        <f t="shared" si="183"/>
        <v>0</v>
      </c>
    </row>
    <row r="3386" spans="1:13" x14ac:dyDescent="0.2">
      <c r="A3386" s="18"/>
      <c r="B3386" s="77"/>
      <c r="C3386" s="77"/>
      <c r="D3386" s="78"/>
      <c r="E3386" s="77"/>
      <c r="F3386" s="77"/>
      <c r="G3386" s="77"/>
      <c r="H3386" s="77"/>
      <c r="I3386" s="77"/>
      <c r="J3386" s="77"/>
      <c r="K3386" s="79"/>
      <c r="L3386" s="49">
        <f t="shared" si="182"/>
        <v>0</v>
      </c>
      <c r="M3386" s="50">
        <f t="shared" si="183"/>
        <v>0</v>
      </c>
    </row>
    <row r="3387" spans="1:13" x14ac:dyDescent="0.2">
      <c r="A3387" s="18"/>
      <c r="B3387" s="77"/>
      <c r="C3387" s="77"/>
      <c r="D3387" s="78"/>
      <c r="E3387" s="77"/>
      <c r="F3387" s="77"/>
      <c r="G3387" s="77"/>
      <c r="H3387" s="77"/>
      <c r="I3387" s="77"/>
      <c r="J3387" s="77"/>
      <c r="K3387" s="79"/>
      <c r="L3387" s="49">
        <f t="shared" si="182"/>
        <v>0</v>
      </c>
      <c r="M3387" s="50">
        <f t="shared" si="183"/>
        <v>0</v>
      </c>
    </row>
    <row r="3388" spans="1:13" x14ac:dyDescent="0.2">
      <c r="A3388" s="18"/>
      <c r="B3388" s="77"/>
      <c r="C3388" s="77"/>
      <c r="D3388" s="78"/>
      <c r="E3388" s="77"/>
      <c r="F3388" s="77"/>
      <c r="G3388" s="77"/>
      <c r="H3388" s="77"/>
      <c r="I3388" s="77"/>
      <c r="J3388" s="77"/>
      <c r="K3388" s="79"/>
      <c r="L3388" s="49">
        <f t="shared" si="182"/>
        <v>0</v>
      </c>
      <c r="M3388" s="50">
        <f t="shared" si="183"/>
        <v>0</v>
      </c>
    </row>
    <row r="3389" spans="1:13" x14ac:dyDescent="0.2">
      <c r="A3389" s="18"/>
      <c r="B3389" s="77"/>
      <c r="C3389" s="77"/>
      <c r="D3389" s="78"/>
      <c r="E3389" s="77"/>
      <c r="F3389" s="77"/>
      <c r="G3389" s="77"/>
      <c r="H3389" s="77"/>
      <c r="I3389" s="77"/>
      <c r="J3389" s="77"/>
      <c r="K3389" s="79"/>
      <c r="L3389" s="49">
        <f t="shared" si="182"/>
        <v>0</v>
      </c>
      <c r="M3389" s="50">
        <f t="shared" si="183"/>
        <v>0</v>
      </c>
    </row>
    <row r="3390" spans="1:13" x14ac:dyDescent="0.2">
      <c r="A3390" s="18"/>
      <c r="B3390" s="77"/>
      <c r="C3390" s="77"/>
      <c r="D3390" s="78"/>
      <c r="E3390" s="77"/>
      <c r="F3390" s="77"/>
      <c r="G3390" s="77"/>
      <c r="H3390" s="77"/>
      <c r="I3390" s="77"/>
      <c r="J3390" s="77"/>
      <c r="K3390" s="79"/>
      <c r="L3390" s="49">
        <f t="shared" si="182"/>
        <v>0</v>
      </c>
      <c r="M3390" s="50">
        <f t="shared" si="183"/>
        <v>0</v>
      </c>
    </row>
    <row r="3391" spans="1:13" x14ac:dyDescent="0.2">
      <c r="A3391" s="18"/>
      <c r="B3391" s="77"/>
      <c r="C3391" s="77"/>
      <c r="D3391" s="78"/>
      <c r="E3391" s="77"/>
      <c r="F3391" s="77"/>
      <c r="G3391" s="77"/>
      <c r="H3391" s="77"/>
      <c r="I3391" s="77"/>
      <c r="J3391" s="77"/>
      <c r="K3391" s="79"/>
      <c r="L3391" s="49">
        <f t="shared" si="182"/>
        <v>0</v>
      </c>
      <c r="M3391" s="50">
        <f t="shared" si="183"/>
        <v>0</v>
      </c>
    </row>
    <row r="3392" spans="1:13" x14ac:dyDescent="0.2">
      <c r="A3392" s="18"/>
      <c r="B3392" s="77"/>
      <c r="C3392" s="77"/>
      <c r="D3392" s="78"/>
      <c r="E3392" s="77"/>
      <c r="F3392" s="77"/>
      <c r="G3392" s="77"/>
      <c r="H3392" s="77"/>
      <c r="I3392" s="77"/>
      <c r="J3392" s="77"/>
      <c r="K3392" s="79"/>
      <c r="L3392" s="49">
        <f t="shared" si="182"/>
        <v>0</v>
      </c>
      <c r="M3392" s="50">
        <f t="shared" si="183"/>
        <v>0</v>
      </c>
    </row>
    <row r="3393" spans="1:13" x14ac:dyDescent="0.2">
      <c r="A3393" s="18"/>
      <c r="B3393" s="77"/>
      <c r="C3393" s="77"/>
      <c r="D3393" s="78"/>
      <c r="E3393" s="77"/>
      <c r="F3393" s="77"/>
      <c r="G3393" s="77"/>
      <c r="H3393" s="77"/>
      <c r="I3393" s="77"/>
      <c r="J3393" s="77"/>
      <c r="K3393" s="79"/>
      <c r="L3393" s="49">
        <f t="shared" si="182"/>
        <v>0</v>
      </c>
      <c r="M3393" s="50">
        <f t="shared" si="183"/>
        <v>0</v>
      </c>
    </row>
    <row r="3394" spans="1:13" x14ac:dyDescent="0.2">
      <c r="A3394" s="18"/>
      <c r="B3394" s="77"/>
      <c r="C3394" s="77"/>
      <c r="D3394" s="78"/>
      <c r="E3394" s="77"/>
      <c r="F3394" s="77"/>
      <c r="G3394" s="77"/>
      <c r="H3394" s="77"/>
      <c r="I3394" s="77"/>
      <c r="J3394" s="77"/>
      <c r="K3394" s="79"/>
      <c r="L3394" s="49">
        <f t="shared" si="182"/>
        <v>0</v>
      </c>
      <c r="M3394" s="50">
        <f t="shared" si="183"/>
        <v>0</v>
      </c>
    </row>
    <row r="3395" spans="1:13" x14ac:dyDescent="0.2">
      <c r="A3395" s="18"/>
      <c r="B3395" s="77"/>
      <c r="C3395" s="77"/>
      <c r="D3395" s="78"/>
      <c r="E3395" s="77"/>
      <c r="F3395" s="77"/>
      <c r="G3395" s="77"/>
      <c r="H3395" s="77"/>
      <c r="I3395" s="77"/>
      <c r="J3395" s="77"/>
      <c r="K3395" s="79"/>
      <c r="L3395" s="49">
        <f t="shared" si="182"/>
        <v>0</v>
      </c>
      <c r="M3395" s="50">
        <f t="shared" si="183"/>
        <v>0</v>
      </c>
    </row>
    <row r="3396" spans="1:13" x14ac:dyDescent="0.2">
      <c r="A3396" s="18"/>
      <c r="B3396" s="77"/>
      <c r="C3396" s="77"/>
      <c r="D3396" s="78"/>
      <c r="E3396" s="77"/>
      <c r="F3396" s="77"/>
      <c r="G3396" s="77"/>
      <c r="H3396" s="77"/>
      <c r="I3396" s="77"/>
      <c r="J3396" s="77"/>
      <c r="K3396" s="79"/>
      <c r="L3396" s="49">
        <f t="shared" si="182"/>
        <v>0</v>
      </c>
      <c r="M3396" s="50">
        <f t="shared" si="183"/>
        <v>0</v>
      </c>
    </row>
    <row r="3397" spans="1:13" x14ac:dyDescent="0.2">
      <c r="A3397" s="18"/>
      <c r="B3397" s="77"/>
      <c r="C3397" s="77"/>
      <c r="D3397" s="78"/>
      <c r="E3397" s="77"/>
      <c r="F3397" s="77"/>
      <c r="G3397" s="77"/>
      <c r="H3397" s="77"/>
      <c r="I3397" s="77"/>
      <c r="J3397" s="77"/>
      <c r="K3397" s="79"/>
      <c r="L3397" s="49">
        <f t="shared" si="182"/>
        <v>0</v>
      </c>
      <c r="M3397" s="50">
        <f t="shared" si="183"/>
        <v>0</v>
      </c>
    </row>
    <row r="3398" spans="1:13" x14ac:dyDescent="0.2">
      <c r="A3398" s="18"/>
      <c r="B3398" s="77"/>
      <c r="C3398" s="77"/>
      <c r="D3398" s="78"/>
      <c r="E3398" s="77"/>
      <c r="F3398" s="77"/>
      <c r="G3398" s="77"/>
      <c r="H3398" s="77"/>
      <c r="I3398" s="77"/>
      <c r="J3398" s="77"/>
      <c r="K3398" s="79"/>
      <c r="L3398" s="49">
        <f t="shared" si="182"/>
        <v>0</v>
      </c>
      <c r="M3398" s="50">
        <f t="shared" si="183"/>
        <v>0</v>
      </c>
    </row>
    <row r="3399" spans="1:13" x14ac:dyDescent="0.2">
      <c r="A3399" s="18"/>
      <c r="B3399" s="77"/>
      <c r="C3399" s="77"/>
      <c r="D3399" s="78"/>
      <c r="E3399" s="77"/>
      <c r="F3399" s="77"/>
      <c r="G3399" s="77"/>
      <c r="H3399" s="77"/>
      <c r="I3399" s="77"/>
      <c r="J3399" s="77"/>
      <c r="K3399" s="79"/>
      <c r="L3399" s="49">
        <f t="shared" si="182"/>
        <v>0</v>
      </c>
      <c r="M3399" s="50">
        <f t="shared" si="183"/>
        <v>0</v>
      </c>
    </row>
    <row r="3400" spans="1:13" x14ac:dyDescent="0.2">
      <c r="A3400" s="18"/>
      <c r="B3400" s="77"/>
      <c r="C3400" s="77"/>
      <c r="D3400" s="78"/>
      <c r="E3400" s="77"/>
      <c r="F3400" s="77"/>
      <c r="G3400" s="77"/>
      <c r="H3400" s="77"/>
      <c r="I3400" s="77"/>
      <c r="J3400" s="77"/>
      <c r="K3400" s="79"/>
      <c r="L3400" s="49">
        <f t="shared" si="182"/>
        <v>0</v>
      </c>
      <c r="M3400" s="50">
        <f t="shared" si="183"/>
        <v>0</v>
      </c>
    </row>
    <row r="3401" spans="1:13" x14ac:dyDescent="0.2">
      <c r="A3401" s="18"/>
      <c r="B3401" s="77"/>
      <c r="C3401" s="77"/>
      <c r="D3401" s="78"/>
      <c r="E3401" s="77"/>
      <c r="F3401" s="77"/>
      <c r="G3401" s="77"/>
      <c r="H3401" s="77"/>
      <c r="I3401" s="77"/>
      <c r="J3401" s="77"/>
      <c r="K3401" s="79"/>
      <c r="L3401" s="49">
        <f t="shared" si="182"/>
        <v>0</v>
      </c>
      <c r="M3401" s="50">
        <f t="shared" si="183"/>
        <v>0</v>
      </c>
    </row>
    <row r="3402" spans="1:13" x14ac:dyDescent="0.2">
      <c r="A3402" s="18"/>
      <c r="B3402" s="77"/>
      <c r="C3402" s="77"/>
      <c r="D3402" s="78"/>
      <c r="E3402" s="77"/>
      <c r="F3402" s="77"/>
      <c r="G3402" s="77"/>
      <c r="H3402" s="77"/>
      <c r="I3402" s="77"/>
      <c r="J3402" s="77"/>
      <c r="K3402" s="79"/>
      <c r="L3402" s="49">
        <f t="shared" si="182"/>
        <v>0</v>
      </c>
      <c r="M3402" s="50">
        <f t="shared" si="183"/>
        <v>0</v>
      </c>
    </row>
    <row r="3403" spans="1:13" x14ac:dyDescent="0.2">
      <c r="A3403" s="18"/>
      <c r="B3403" s="77"/>
      <c r="C3403" s="77"/>
      <c r="D3403" s="78"/>
      <c r="E3403" s="77"/>
      <c r="F3403" s="77"/>
      <c r="G3403" s="77"/>
      <c r="H3403" s="77"/>
      <c r="I3403" s="77"/>
      <c r="J3403" s="77"/>
      <c r="K3403" s="79"/>
      <c r="L3403" s="49">
        <f t="shared" ref="L3403:L3412" si="184">+K3403*18%</f>
        <v>0</v>
      </c>
      <c r="M3403" s="50">
        <f t="shared" ref="M3403:M3412" si="185">+K3403+L3403</f>
        <v>0</v>
      </c>
    </row>
    <row r="3404" spans="1:13" x14ac:dyDescent="0.2">
      <c r="A3404" s="18"/>
      <c r="B3404" s="77"/>
      <c r="C3404" s="77"/>
      <c r="D3404" s="78"/>
      <c r="E3404" s="77"/>
      <c r="F3404" s="77"/>
      <c r="G3404" s="77"/>
      <c r="H3404" s="77"/>
      <c r="I3404" s="77"/>
      <c r="J3404" s="77"/>
      <c r="K3404" s="79"/>
      <c r="L3404" s="49">
        <f t="shared" si="184"/>
        <v>0</v>
      </c>
      <c r="M3404" s="50">
        <f t="shared" si="185"/>
        <v>0</v>
      </c>
    </row>
    <row r="3405" spans="1:13" x14ac:dyDescent="0.2">
      <c r="A3405" s="18"/>
      <c r="B3405" s="77"/>
      <c r="C3405" s="77"/>
      <c r="D3405" s="78"/>
      <c r="E3405" s="77"/>
      <c r="F3405" s="77"/>
      <c r="G3405" s="77"/>
      <c r="H3405" s="77"/>
      <c r="I3405" s="77"/>
      <c r="J3405" s="77"/>
      <c r="K3405" s="79"/>
      <c r="L3405" s="49">
        <f t="shared" si="184"/>
        <v>0</v>
      </c>
      <c r="M3405" s="50">
        <f t="shared" si="185"/>
        <v>0</v>
      </c>
    </row>
    <row r="3406" spans="1:13" x14ac:dyDescent="0.2">
      <c r="A3406" s="18"/>
      <c r="B3406" s="77"/>
      <c r="C3406" s="77"/>
      <c r="D3406" s="78"/>
      <c r="E3406" s="77"/>
      <c r="F3406" s="77"/>
      <c r="G3406" s="77"/>
      <c r="H3406" s="77"/>
      <c r="I3406" s="77"/>
      <c r="J3406" s="77"/>
      <c r="K3406" s="79"/>
      <c r="L3406" s="49">
        <f t="shared" si="184"/>
        <v>0</v>
      </c>
      <c r="M3406" s="50">
        <f t="shared" si="185"/>
        <v>0</v>
      </c>
    </row>
    <row r="3407" spans="1:13" x14ac:dyDescent="0.2">
      <c r="A3407" s="18"/>
      <c r="B3407" s="77"/>
      <c r="C3407" s="77"/>
      <c r="D3407" s="78"/>
      <c r="E3407" s="77"/>
      <c r="F3407" s="77"/>
      <c r="G3407" s="77"/>
      <c r="H3407" s="77"/>
      <c r="I3407" s="77"/>
      <c r="J3407" s="77"/>
      <c r="K3407" s="79"/>
      <c r="L3407" s="49">
        <f t="shared" si="184"/>
        <v>0</v>
      </c>
      <c r="M3407" s="50">
        <f t="shared" si="185"/>
        <v>0</v>
      </c>
    </row>
    <row r="3408" spans="1:13" x14ac:dyDescent="0.2">
      <c r="A3408" s="18"/>
      <c r="B3408" s="77"/>
      <c r="C3408" s="77"/>
      <c r="D3408" s="78"/>
      <c r="E3408" s="77"/>
      <c r="F3408" s="77"/>
      <c r="G3408" s="77"/>
      <c r="H3408" s="77"/>
      <c r="I3408" s="77"/>
      <c r="J3408" s="77"/>
      <c r="K3408" s="79"/>
      <c r="L3408" s="49">
        <f t="shared" si="184"/>
        <v>0</v>
      </c>
      <c r="M3408" s="50">
        <f t="shared" si="185"/>
        <v>0</v>
      </c>
    </row>
    <row r="3409" spans="1:13" x14ac:dyDescent="0.2">
      <c r="A3409" s="18"/>
      <c r="B3409" s="77"/>
      <c r="C3409" s="77"/>
      <c r="D3409" s="78"/>
      <c r="E3409" s="77"/>
      <c r="F3409" s="77"/>
      <c r="G3409" s="77"/>
      <c r="H3409" s="77"/>
      <c r="I3409" s="77"/>
      <c r="J3409" s="77"/>
      <c r="K3409" s="79"/>
      <c r="L3409" s="49">
        <f t="shared" si="184"/>
        <v>0</v>
      </c>
      <c r="M3409" s="50">
        <f t="shared" si="185"/>
        <v>0</v>
      </c>
    </row>
    <row r="3410" spans="1:13" x14ac:dyDescent="0.2">
      <c r="A3410" s="18"/>
      <c r="B3410" s="77"/>
      <c r="C3410" s="77"/>
      <c r="D3410" s="78"/>
      <c r="E3410" s="77"/>
      <c r="F3410" s="77"/>
      <c r="G3410" s="77"/>
      <c r="H3410" s="77"/>
      <c r="I3410" s="77"/>
      <c r="J3410" s="77"/>
      <c r="K3410" s="79"/>
      <c r="L3410" s="49">
        <f t="shared" si="184"/>
        <v>0</v>
      </c>
      <c r="M3410" s="50">
        <f t="shared" si="185"/>
        <v>0</v>
      </c>
    </row>
    <row r="3411" spans="1:13" x14ac:dyDescent="0.2">
      <c r="A3411" s="18"/>
      <c r="B3411" s="77"/>
      <c r="C3411" s="77"/>
      <c r="D3411" s="78"/>
      <c r="E3411" s="77"/>
      <c r="F3411" s="77"/>
      <c r="G3411" s="77"/>
      <c r="H3411" s="77"/>
      <c r="I3411" s="77"/>
      <c r="J3411" s="77"/>
      <c r="K3411" s="79"/>
      <c r="L3411" s="49">
        <f t="shared" si="184"/>
        <v>0</v>
      </c>
      <c r="M3411" s="50">
        <f t="shared" si="185"/>
        <v>0</v>
      </c>
    </row>
    <row r="3412" spans="1:13" x14ac:dyDescent="0.2">
      <c r="A3412" s="18"/>
      <c r="B3412" s="77"/>
      <c r="C3412" s="77"/>
      <c r="D3412" s="78"/>
      <c r="E3412" s="77"/>
      <c r="F3412" s="77"/>
      <c r="G3412" s="77"/>
      <c r="H3412" s="77"/>
      <c r="I3412" s="77"/>
      <c r="J3412" s="77"/>
      <c r="K3412" s="79"/>
      <c r="L3412" s="49">
        <f t="shared" si="184"/>
        <v>0</v>
      </c>
      <c r="M3412" s="50">
        <f t="shared" si="185"/>
        <v>0</v>
      </c>
    </row>
    <row r="3413" spans="1:13" x14ac:dyDescent="0.2">
      <c r="A3413" s="18"/>
      <c r="B3413" s="77"/>
      <c r="C3413" s="77"/>
      <c r="D3413" s="78"/>
      <c r="E3413" s="77"/>
      <c r="F3413" s="77"/>
      <c r="G3413" s="77"/>
      <c r="H3413" s="77"/>
      <c r="I3413" s="77"/>
      <c r="J3413" s="77"/>
      <c r="K3413" s="79"/>
      <c r="L3413" s="49">
        <f t="shared" ref="L3413:L3451" si="186">+K3413*18%</f>
        <v>0</v>
      </c>
      <c r="M3413" s="50">
        <f t="shared" ref="M3413:M3451" si="187">+K3413+L3413</f>
        <v>0</v>
      </c>
    </row>
    <row r="3414" spans="1:13" x14ac:dyDescent="0.2">
      <c r="A3414" s="18"/>
      <c r="B3414" s="77"/>
      <c r="C3414" s="77"/>
      <c r="D3414" s="78"/>
      <c r="E3414" s="77"/>
      <c r="F3414" s="77"/>
      <c r="G3414" s="77"/>
      <c r="H3414" s="77"/>
      <c r="I3414" s="77"/>
      <c r="J3414" s="77"/>
      <c r="K3414" s="79"/>
      <c r="L3414" s="49">
        <f t="shared" si="186"/>
        <v>0</v>
      </c>
      <c r="M3414" s="50">
        <f t="shared" si="187"/>
        <v>0</v>
      </c>
    </row>
    <row r="3415" spans="1:13" x14ac:dyDescent="0.2">
      <c r="A3415" s="18"/>
      <c r="B3415" s="77"/>
      <c r="C3415" s="77"/>
      <c r="D3415" s="78"/>
      <c r="E3415" s="77"/>
      <c r="F3415" s="77"/>
      <c r="G3415" s="77"/>
      <c r="H3415" s="77"/>
      <c r="I3415" s="77"/>
      <c r="J3415" s="77"/>
      <c r="K3415" s="79"/>
      <c r="L3415" s="49">
        <f t="shared" si="186"/>
        <v>0</v>
      </c>
      <c r="M3415" s="50">
        <f t="shared" si="187"/>
        <v>0</v>
      </c>
    </row>
    <row r="3416" spans="1:13" x14ac:dyDescent="0.2">
      <c r="A3416" s="18"/>
      <c r="B3416" s="77"/>
      <c r="C3416" s="77"/>
      <c r="D3416" s="78"/>
      <c r="E3416" s="77"/>
      <c r="F3416" s="77"/>
      <c r="G3416" s="77"/>
      <c r="H3416" s="77"/>
      <c r="I3416" s="77"/>
      <c r="J3416" s="77"/>
      <c r="K3416" s="79"/>
      <c r="L3416" s="49">
        <f t="shared" si="186"/>
        <v>0</v>
      </c>
      <c r="M3416" s="50">
        <f t="shared" si="187"/>
        <v>0</v>
      </c>
    </row>
    <row r="3417" spans="1:13" x14ac:dyDescent="0.2">
      <c r="A3417" s="18"/>
      <c r="B3417" s="77"/>
      <c r="C3417" s="77"/>
      <c r="D3417" s="78"/>
      <c r="E3417" s="77"/>
      <c r="F3417" s="77"/>
      <c r="G3417" s="77"/>
      <c r="H3417" s="77"/>
      <c r="I3417" s="77"/>
      <c r="J3417" s="77"/>
      <c r="K3417" s="79"/>
      <c r="L3417" s="49">
        <f t="shared" si="186"/>
        <v>0</v>
      </c>
      <c r="M3417" s="50">
        <f t="shared" si="187"/>
        <v>0</v>
      </c>
    </row>
    <row r="3418" spans="1:13" x14ac:dyDescent="0.2">
      <c r="A3418" s="18"/>
      <c r="B3418" s="77"/>
      <c r="C3418" s="77"/>
      <c r="D3418" s="78"/>
      <c r="E3418" s="77"/>
      <c r="F3418" s="77"/>
      <c r="G3418" s="77"/>
      <c r="H3418" s="77"/>
      <c r="I3418" s="77"/>
      <c r="J3418" s="77"/>
      <c r="K3418" s="79"/>
      <c r="L3418" s="49">
        <f t="shared" si="186"/>
        <v>0</v>
      </c>
      <c r="M3418" s="50">
        <f t="shared" si="187"/>
        <v>0</v>
      </c>
    </row>
    <row r="3419" spans="1:13" x14ac:dyDescent="0.2">
      <c r="A3419" s="18"/>
      <c r="B3419" s="77"/>
      <c r="C3419" s="77"/>
      <c r="D3419" s="78"/>
      <c r="E3419" s="77"/>
      <c r="F3419" s="77"/>
      <c r="G3419" s="77"/>
      <c r="H3419" s="77"/>
      <c r="I3419" s="77"/>
      <c r="J3419" s="77"/>
      <c r="K3419" s="79"/>
      <c r="L3419" s="49">
        <f t="shared" si="186"/>
        <v>0</v>
      </c>
      <c r="M3419" s="50">
        <f t="shared" si="187"/>
        <v>0</v>
      </c>
    </row>
    <row r="3420" spans="1:13" x14ac:dyDescent="0.2">
      <c r="A3420" s="18"/>
      <c r="B3420" s="77"/>
      <c r="C3420" s="77"/>
      <c r="D3420" s="78"/>
      <c r="E3420" s="77"/>
      <c r="F3420" s="77"/>
      <c r="G3420" s="77"/>
      <c r="H3420" s="77"/>
      <c r="I3420" s="77"/>
      <c r="J3420" s="77"/>
      <c r="K3420" s="79"/>
      <c r="L3420" s="49">
        <f t="shared" si="186"/>
        <v>0</v>
      </c>
      <c r="M3420" s="50">
        <f t="shared" si="187"/>
        <v>0</v>
      </c>
    </row>
    <row r="3421" spans="1:13" x14ac:dyDescent="0.2">
      <c r="A3421" s="18"/>
      <c r="B3421" s="77"/>
      <c r="C3421" s="77"/>
      <c r="D3421" s="78"/>
      <c r="E3421" s="77"/>
      <c r="F3421" s="77"/>
      <c r="G3421" s="77"/>
      <c r="H3421" s="77"/>
      <c r="I3421" s="77"/>
      <c r="J3421" s="77"/>
      <c r="K3421" s="79"/>
      <c r="L3421" s="49">
        <f t="shared" si="186"/>
        <v>0</v>
      </c>
      <c r="M3421" s="50">
        <f t="shared" si="187"/>
        <v>0</v>
      </c>
    </row>
    <row r="3422" spans="1:13" x14ac:dyDescent="0.2">
      <c r="A3422" s="18"/>
      <c r="B3422" s="77"/>
      <c r="C3422" s="77"/>
      <c r="D3422" s="78"/>
      <c r="E3422" s="77"/>
      <c r="F3422" s="77"/>
      <c r="G3422" s="77"/>
      <c r="H3422" s="77"/>
      <c r="I3422" s="77"/>
      <c r="J3422" s="77"/>
      <c r="K3422" s="79"/>
      <c r="L3422" s="49">
        <f t="shared" si="186"/>
        <v>0</v>
      </c>
      <c r="M3422" s="50">
        <f t="shared" si="187"/>
        <v>0</v>
      </c>
    </row>
    <row r="3423" spans="1:13" x14ac:dyDescent="0.2">
      <c r="A3423" s="18"/>
      <c r="B3423" s="77"/>
      <c r="C3423" s="77"/>
      <c r="D3423" s="78"/>
      <c r="E3423" s="77"/>
      <c r="F3423" s="77"/>
      <c r="G3423" s="77"/>
      <c r="H3423" s="77"/>
      <c r="I3423" s="77"/>
      <c r="J3423" s="77"/>
      <c r="K3423" s="79"/>
      <c r="L3423" s="49">
        <f t="shared" si="186"/>
        <v>0</v>
      </c>
      <c r="M3423" s="50">
        <f t="shared" si="187"/>
        <v>0</v>
      </c>
    </row>
    <row r="3424" spans="1:13" x14ac:dyDescent="0.2">
      <c r="A3424" s="18"/>
      <c r="B3424" s="77"/>
      <c r="C3424" s="77"/>
      <c r="D3424" s="78"/>
      <c r="E3424" s="77"/>
      <c r="F3424" s="77"/>
      <c r="G3424" s="77"/>
      <c r="H3424" s="77"/>
      <c r="I3424" s="77"/>
      <c r="J3424" s="77"/>
      <c r="K3424" s="79"/>
      <c r="L3424" s="49">
        <f t="shared" si="186"/>
        <v>0</v>
      </c>
      <c r="M3424" s="50">
        <f t="shared" si="187"/>
        <v>0</v>
      </c>
    </row>
    <row r="3425" spans="1:13" x14ac:dyDescent="0.2">
      <c r="A3425" s="18"/>
      <c r="B3425" s="77"/>
      <c r="C3425" s="77"/>
      <c r="D3425" s="78"/>
      <c r="E3425" s="77"/>
      <c r="F3425" s="77"/>
      <c r="G3425" s="77"/>
      <c r="H3425" s="77"/>
      <c r="I3425" s="77"/>
      <c r="J3425" s="77"/>
      <c r="K3425" s="79"/>
      <c r="L3425" s="49">
        <f t="shared" si="186"/>
        <v>0</v>
      </c>
      <c r="M3425" s="50">
        <f t="shared" si="187"/>
        <v>0</v>
      </c>
    </row>
    <row r="3426" spans="1:13" x14ac:dyDescent="0.2">
      <c r="A3426" s="18"/>
      <c r="B3426" s="77"/>
      <c r="C3426" s="77"/>
      <c r="D3426" s="78"/>
      <c r="E3426" s="77"/>
      <c r="F3426" s="77"/>
      <c r="G3426" s="77"/>
      <c r="H3426" s="77"/>
      <c r="I3426" s="77"/>
      <c r="J3426" s="77"/>
      <c r="K3426" s="79"/>
      <c r="L3426" s="49">
        <f t="shared" si="186"/>
        <v>0</v>
      </c>
      <c r="M3426" s="50">
        <f t="shared" si="187"/>
        <v>0</v>
      </c>
    </row>
    <row r="3427" spans="1:13" x14ac:dyDescent="0.2">
      <c r="A3427" s="18"/>
      <c r="B3427" s="77"/>
      <c r="C3427" s="77"/>
      <c r="D3427" s="78"/>
      <c r="E3427" s="77"/>
      <c r="F3427" s="77"/>
      <c r="G3427" s="77"/>
      <c r="H3427" s="77"/>
      <c r="I3427" s="77"/>
      <c r="J3427" s="77"/>
      <c r="K3427" s="79"/>
      <c r="L3427" s="49">
        <f t="shared" si="186"/>
        <v>0</v>
      </c>
      <c r="M3427" s="50">
        <f t="shared" si="187"/>
        <v>0</v>
      </c>
    </row>
    <row r="3428" spans="1:13" x14ac:dyDescent="0.2">
      <c r="A3428" s="18"/>
      <c r="B3428" s="77"/>
      <c r="C3428" s="77"/>
      <c r="D3428" s="78"/>
      <c r="E3428" s="77"/>
      <c r="F3428" s="77"/>
      <c r="G3428" s="77"/>
      <c r="H3428" s="77"/>
      <c r="I3428" s="77"/>
      <c r="J3428" s="77"/>
      <c r="K3428" s="79"/>
      <c r="L3428" s="49">
        <f t="shared" si="186"/>
        <v>0</v>
      </c>
      <c r="M3428" s="50">
        <f t="shared" si="187"/>
        <v>0</v>
      </c>
    </row>
    <row r="3429" spans="1:13" x14ac:dyDescent="0.2">
      <c r="A3429" s="18"/>
      <c r="B3429" s="77"/>
      <c r="C3429" s="77"/>
      <c r="D3429" s="78"/>
      <c r="E3429" s="77"/>
      <c r="F3429" s="77"/>
      <c r="G3429" s="77"/>
      <c r="H3429" s="77"/>
      <c r="I3429" s="77"/>
      <c r="J3429" s="77"/>
      <c r="K3429" s="79"/>
      <c r="L3429" s="49">
        <f t="shared" si="186"/>
        <v>0</v>
      </c>
      <c r="M3429" s="50">
        <f t="shared" si="187"/>
        <v>0</v>
      </c>
    </row>
    <row r="3430" spans="1:13" x14ac:dyDescent="0.2">
      <c r="A3430" s="18"/>
      <c r="B3430" s="77"/>
      <c r="C3430" s="77"/>
      <c r="D3430" s="78"/>
      <c r="E3430" s="77"/>
      <c r="F3430" s="77"/>
      <c r="G3430" s="77"/>
      <c r="H3430" s="77"/>
      <c r="I3430" s="77"/>
      <c r="J3430" s="77"/>
      <c r="K3430" s="79"/>
      <c r="L3430" s="49">
        <f t="shared" si="186"/>
        <v>0</v>
      </c>
      <c r="M3430" s="50">
        <f t="shared" si="187"/>
        <v>0</v>
      </c>
    </row>
    <row r="3431" spans="1:13" x14ac:dyDescent="0.2">
      <c r="A3431" s="18"/>
      <c r="B3431" s="77"/>
      <c r="C3431" s="77"/>
      <c r="D3431" s="78"/>
      <c r="E3431" s="77"/>
      <c r="F3431" s="77"/>
      <c r="G3431" s="77"/>
      <c r="H3431" s="77"/>
      <c r="I3431" s="77"/>
      <c r="J3431" s="77"/>
      <c r="K3431" s="79"/>
      <c r="L3431" s="49">
        <f t="shared" si="186"/>
        <v>0</v>
      </c>
      <c r="M3431" s="50">
        <f t="shared" si="187"/>
        <v>0</v>
      </c>
    </row>
    <row r="3432" spans="1:13" x14ac:dyDescent="0.2">
      <c r="A3432" s="18"/>
      <c r="B3432" s="77"/>
      <c r="C3432" s="77"/>
      <c r="D3432" s="78"/>
      <c r="E3432" s="77"/>
      <c r="F3432" s="77"/>
      <c r="G3432" s="77"/>
      <c r="H3432" s="77"/>
      <c r="I3432" s="77"/>
      <c r="J3432" s="77"/>
      <c r="K3432" s="79"/>
      <c r="L3432" s="49">
        <f t="shared" si="186"/>
        <v>0</v>
      </c>
      <c r="M3432" s="50">
        <f t="shared" si="187"/>
        <v>0</v>
      </c>
    </row>
    <row r="3433" spans="1:13" x14ac:dyDescent="0.2">
      <c r="A3433" s="18"/>
      <c r="B3433" s="77"/>
      <c r="C3433" s="77"/>
      <c r="D3433" s="78"/>
      <c r="E3433" s="77"/>
      <c r="F3433" s="77"/>
      <c r="G3433" s="77"/>
      <c r="H3433" s="77"/>
      <c r="I3433" s="77"/>
      <c r="J3433" s="77"/>
      <c r="K3433" s="79"/>
      <c r="L3433" s="49">
        <f t="shared" si="186"/>
        <v>0</v>
      </c>
      <c r="M3433" s="50">
        <f t="shared" si="187"/>
        <v>0</v>
      </c>
    </row>
    <row r="3434" spans="1:13" x14ac:dyDescent="0.2">
      <c r="A3434" s="18"/>
      <c r="B3434" s="77"/>
      <c r="C3434" s="77"/>
      <c r="D3434" s="78"/>
      <c r="E3434" s="77"/>
      <c r="F3434" s="77"/>
      <c r="G3434" s="77"/>
      <c r="H3434" s="77"/>
      <c r="I3434" s="77"/>
      <c r="J3434" s="77"/>
      <c r="K3434" s="79"/>
      <c r="L3434" s="49">
        <f t="shared" si="186"/>
        <v>0</v>
      </c>
      <c r="M3434" s="50">
        <f t="shared" si="187"/>
        <v>0</v>
      </c>
    </row>
    <row r="3435" spans="1:13" x14ac:dyDescent="0.2">
      <c r="A3435" s="18"/>
      <c r="B3435" s="77"/>
      <c r="C3435" s="77"/>
      <c r="D3435" s="78"/>
      <c r="E3435" s="77"/>
      <c r="F3435" s="77"/>
      <c r="G3435" s="77"/>
      <c r="H3435" s="77"/>
      <c r="I3435" s="77"/>
      <c r="J3435" s="77"/>
      <c r="K3435" s="79"/>
      <c r="L3435" s="49">
        <f t="shared" si="186"/>
        <v>0</v>
      </c>
      <c r="M3435" s="50">
        <f t="shared" si="187"/>
        <v>0</v>
      </c>
    </row>
    <row r="3436" spans="1:13" x14ac:dyDescent="0.2">
      <c r="A3436" s="18"/>
      <c r="B3436" s="77"/>
      <c r="C3436" s="77"/>
      <c r="D3436" s="78"/>
      <c r="E3436" s="77"/>
      <c r="F3436" s="77"/>
      <c r="G3436" s="77"/>
      <c r="H3436" s="77"/>
      <c r="I3436" s="77"/>
      <c r="J3436" s="77"/>
      <c r="K3436" s="79"/>
      <c r="L3436" s="49">
        <f t="shared" si="186"/>
        <v>0</v>
      </c>
      <c r="M3436" s="50">
        <f t="shared" si="187"/>
        <v>0</v>
      </c>
    </row>
    <row r="3437" spans="1:13" x14ac:dyDescent="0.2">
      <c r="A3437" s="18"/>
      <c r="B3437" s="77"/>
      <c r="C3437" s="77"/>
      <c r="D3437" s="78"/>
      <c r="E3437" s="77"/>
      <c r="F3437" s="77"/>
      <c r="G3437" s="77"/>
      <c r="H3437" s="77"/>
      <c r="I3437" s="77"/>
      <c r="J3437" s="77"/>
      <c r="K3437" s="79"/>
      <c r="L3437" s="49">
        <f t="shared" si="186"/>
        <v>0</v>
      </c>
      <c r="M3437" s="50">
        <f t="shared" si="187"/>
        <v>0</v>
      </c>
    </row>
    <row r="3438" spans="1:13" x14ac:dyDescent="0.2">
      <c r="A3438" s="18"/>
      <c r="B3438" s="77"/>
      <c r="C3438" s="77"/>
      <c r="D3438" s="78"/>
      <c r="E3438" s="77"/>
      <c r="F3438" s="77"/>
      <c r="G3438" s="77"/>
      <c r="H3438" s="77"/>
      <c r="I3438" s="77"/>
      <c r="J3438" s="77"/>
      <c r="K3438" s="79"/>
      <c r="L3438" s="49">
        <f t="shared" si="186"/>
        <v>0</v>
      </c>
      <c r="M3438" s="50">
        <f t="shared" si="187"/>
        <v>0</v>
      </c>
    </row>
    <row r="3439" spans="1:13" x14ac:dyDescent="0.2">
      <c r="A3439" s="18"/>
      <c r="B3439" s="77"/>
      <c r="C3439" s="77"/>
      <c r="D3439" s="78"/>
      <c r="E3439" s="77"/>
      <c r="F3439" s="77"/>
      <c r="G3439" s="77"/>
      <c r="H3439" s="77"/>
      <c r="I3439" s="77"/>
      <c r="J3439" s="77"/>
      <c r="K3439" s="79"/>
      <c r="L3439" s="49">
        <f t="shared" si="186"/>
        <v>0</v>
      </c>
      <c r="M3439" s="50">
        <f t="shared" si="187"/>
        <v>0</v>
      </c>
    </row>
    <row r="3440" spans="1:13" x14ac:dyDescent="0.2">
      <c r="A3440" s="18"/>
      <c r="B3440" s="77"/>
      <c r="C3440" s="77"/>
      <c r="D3440" s="78"/>
      <c r="E3440" s="77"/>
      <c r="F3440" s="77"/>
      <c r="G3440" s="77"/>
      <c r="H3440" s="77"/>
      <c r="I3440" s="77"/>
      <c r="J3440" s="77"/>
      <c r="K3440" s="79"/>
      <c r="L3440" s="49">
        <f t="shared" si="186"/>
        <v>0</v>
      </c>
      <c r="M3440" s="50">
        <f t="shared" si="187"/>
        <v>0</v>
      </c>
    </row>
    <row r="3441" spans="1:13" x14ac:dyDescent="0.2">
      <c r="A3441" s="18"/>
      <c r="B3441" s="77"/>
      <c r="C3441" s="77"/>
      <c r="D3441" s="78"/>
      <c r="E3441" s="77"/>
      <c r="F3441" s="77"/>
      <c r="G3441" s="77"/>
      <c r="H3441" s="77"/>
      <c r="I3441" s="77"/>
      <c r="J3441" s="77"/>
      <c r="K3441" s="79"/>
      <c r="L3441" s="49">
        <f t="shared" si="186"/>
        <v>0</v>
      </c>
      <c r="M3441" s="50">
        <f t="shared" si="187"/>
        <v>0</v>
      </c>
    </row>
    <row r="3442" spans="1:13" x14ac:dyDescent="0.2">
      <c r="A3442" s="18"/>
      <c r="B3442" s="77"/>
      <c r="C3442" s="77"/>
      <c r="D3442" s="78"/>
      <c r="E3442" s="77"/>
      <c r="F3442" s="77"/>
      <c r="G3442" s="77"/>
      <c r="H3442" s="77"/>
      <c r="I3442" s="77"/>
      <c r="J3442" s="77"/>
      <c r="K3442" s="79"/>
      <c r="L3442" s="49">
        <f t="shared" si="186"/>
        <v>0</v>
      </c>
      <c r="M3442" s="50">
        <f t="shared" si="187"/>
        <v>0</v>
      </c>
    </row>
    <row r="3443" spans="1:13" x14ac:dyDescent="0.2">
      <c r="A3443" s="18"/>
      <c r="B3443" s="77"/>
      <c r="C3443" s="77"/>
      <c r="D3443" s="78"/>
      <c r="E3443" s="77"/>
      <c r="F3443" s="77"/>
      <c r="G3443" s="77"/>
      <c r="H3443" s="77"/>
      <c r="I3443" s="77"/>
      <c r="J3443" s="77"/>
      <c r="K3443" s="79"/>
      <c r="L3443" s="49">
        <f t="shared" si="186"/>
        <v>0</v>
      </c>
      <c r="M3443" s="50">
        <f t="shared" si="187"/>
        <v>0</v>
      </c>
    </row>
    <row r="3444" spans="1:13" x14ac:dyDescent="0.2">
      <c r="A3444" s="18"/>
      <c r="B3444" s="77"/>
      <c r="C3444" s="77"/>
      <c r="D3444" s="78"/>
      <c r="E3444" s="77"/>
      <c r="F3444" s="77"/>
      <c r="G3444" s="77"/>
      <c r="H3444" s="77"/>
      <c r="I3444" s="77"/>
      <c r="J3444" s="77"/>
      <c r="K3444" s="79"/>
      <c r="L3444" s="49">
        <f t="shared" si="186"/>
        <v>0</v>
      </c>
      <c r="M3444" s="50">
        <f t="shared" si="187"/>
        <v>0</v>
      </c>
    </row>
    <row r="3445" spans="1:13" x14ac:dyDescent="0.2">
      <c r="A3445" s="18"/>
      <c r="B3445" s="77"/>
      <c r="C3445" s="77"/>
      <c r="D3445" s="78"/>
      <c r="E3445" s="77"/>
      <c r="F3445" s="77"/>
      <c r="G3445" s="77"/>
      <c r="H3445" s="77"/>
      <c r="I3445" s="77"/>
      <c r="J3445" s="77"/>
      <c r="K3445" s="79"/>
      <c r="L3445" s="49">
        <f t="shared" si="186"/>
        <v>0</v>
      </c>
      <c r="M3445" s="50">
        <f t="shared" si="187"/>
        <v>0</v>
      </c>
    </row>
    <row r="3446" spans="1:13" x14ac:dyDescent="0.2">
      <c r="A3446" s="18"/>
      <c r="B3446" s="77"/>
      <c r="C3446" s="77"/>
      <c r="D3446" s="78"/>
      <c r="E3446" s="77"/>
      <c r="F3446" s="77"/>
      <c r="G3446" s="77"/>
      <c r="H3446" s="77"/>
      <c r="I3446" s="77"/>
      <c r="J3446" s="77"/>
      <c r="K3446" s="79"/>
      <c r="L3446" s="49">
        <f t="shared" si="186"/>
        <v>0</v>
      </c>
      <c r="M3446" s="50">
        <f t="shared" si="187"/>
        <v>0</v>
      </c>
    </row>
    <row r="3447" spans="1:13" x14ac:dyDescent="0.2">
      <c r="A3447" s="18"/>
      <c r="B3447" s="77"/>
      <c r="C3447" s="77"/>
      <c r="D3447" s="78"/>
      <c r="E3447" s="77"/>
      <c r="F3447" s="77"/>
      <c r="G3447" s="77"/>
      <c r="H3447" s="77"/>
      <c r="I3447" s="77"/>
      <c r="J3447" s="77"/>
      <c r="K3447" s="79"/>
      <c r="L3447" s="49">
        <f t="shared" si="186"/>
        <v>0</v>
      </c>
      <c r="M3447" s="50">
        <f t="shared" si="187"/>
        <v>0</v>
      </c>
    </row>
    <row r="3448" spans="1:13" x14ac:dyDescent="0.2">
      <c r="A3448" s="18"/>
      <c r="B3448" s="77"/>
      <c r="C3448" s="77"/>
      <c r="D3448" s="78"/>
      <c r="E3448" s="77"/>
      <c r="F3448" s="77"/>
      <c r="G3448" s="77"/>
      <c r="H3448" s="77"/>
      <c r="I3448" s="77"/>
      <c r="J3448" s="77"/>
      <c r="K3448" s="79"/>
      <c r="L3448" s="49">
        <f t="shared" si="186"/>
        <v>0</v>
      </c>
      <c r="M3448" s="50">
        <f t="shared" si="187"/>
        <v>0</v>
      </c>
    </row>
    <row r="3449" spans="1:13" x14ac:dyDescent="0.2">
      <c r="A3449" s="18"/>
      <c r="B3449" s="77"/>
      <c r="C3449" s="77"/>
      <c r="D3449" s="78"/>
      <c r="E3449" s="77"/>
      <c r="F3449" s="77"/>
      <c r="G3449" s="77"/>
      <c r="H3449" s="77"/>
      <c r="I3449" s="77"/>
      <c r="J3449" s="77"/>
      <c r="K3449" s="79"/>
      <c r="L3449" s="49">
        <f t="shared" si="186"/>
        <v>0</v>
      </c>
      <c r="M3449" s="50">
        <f t="shared" si="187"/>
        <v>0</v>
      </c>
    </row>
    <row r="3450" spans="1:13" x14ac:dyDescent="0.2">
      <c r="A3450" s="18"/>
      <c r="B3450" s="77"/>
      <c r="C3450" s="77"/>
      <c r="D3450" s="78"/>
      <c r="E3450" s="77"/>
      <c r="F3450" s="77"/>
      <c r="G3450" s="77"/>
      <c r="H3450" s="77"/>
      <c r="I3450" s="77"/>
      <c r="J3450" s="77"/>
      <c r="K3450" s="79"/>
      <c r="L3450" s="49">
        <f t="shared" si="186"/>
        <v>0</v>
      </c>
      <c r="M3450" s="50">
        <f t="shared" si="187"/>
        <v>0</v>
      </c>
    </row>
    <row r="3451" spans="1:13" x14ac:dyDescent="0.2">
      <c r="A3451" s="18"/>
      <c r="B3451" s="77"/>
      <c r="C3451" s="77"/>
      <c r="D3451" s="78"/>
      <c r="E3451" s="77"/>
      <c r="F3451" s="77"/>
      <c r="G3451" s="77"/>
      <c r="H3451" s="77"/>
      <c r="I3451" s="77"/>
      <c r="J3451" s="77"/>
      <c r="K3451" s="79"/>
      <c r="L3451" s="49">
        <f t="shared" si="186"/>
        <v>0</v>
      </c>
      <c r="M3451" s="50">
        <f t="shared" si="187"/>
        <v>0</v>
      </c>
    </row>
    <row r="3452" spans="1:13" x14ac:dyDescent="0.2">
      <c r="A3452" s="18"/>
      <c r="B3452" s="77"/>
      <c r="C3452" s="77"/>
      <c r="D3452" s="78"/>
      <c r="E3452" s="77"/>
      <c r="F3452" s="77"/>
      <c r="G3452" s="77"/>
      <c r="H3452" s="77"/>
      <c r="I3452" s="77"/>
      <c r="J3452" s="77"/>
      <c r="K3452" s="79"/>
      <c r="L3452" s="49">
        <f t="shared" ref="L3452:L3501" si="188">+K3452*18%</f>
        <v>0</v>
      </c>
      <c r="M3452" s="50">
        <f t="shared" ref="M3452:M3501" si="189">+K3452+L3452</f>
        <v>0</v>
      </c>
    </row>
    <row r="3453" spans="1:13" x14ac:dyDescent="0.2">
      <c r="A3453" s="18"/>
      <c r="B3453" s="77"/>
      <c r="C3453" s="77"/>
      <c r="D3453" s="78"/>
      <c r="E3453" s="77"/>
      <c r="F3453" s="77"/>
      <c r="G3453" s="77"/>
      <c r="H3453" s="77"/>
      <c r="I3453" s="77"/>
      <c r="J3453" s="77"/>
      <c r="K3453" s="79"/>
      <c r="L3453" s="49">
        <f t="shared" si="188"/>
        <v>0</v>
      </c>
      <c r="M3453" s="50">
        <f t="shared" si="189"/>
        <v>0</v>
      </c>
    </row>
    <row r="3454" spans="1:13" x14ac:dyDescent="0.2">
      <c r="A3454" s="18"/>
      <c r="B3454" s="77"/>
      <c r="C3454" s="77"/>
      <c r="D3454" s="78"/>
      <c r="E3454" s="77"/>
      <c r="F3454" s="77"/>
      <c r="G3454" s="77"/>
      <c r="H3454" s="77"/>
      <c r="I3454" s="77"/>
      <c r="J3454" s="77"/>
      <c r="K3454" s="79"/>
      <c r="L3454" s="49">
        <f t="shared" si="188"/>
        <v>0</v>
      </c>
      <c r="M3454" s="50">
        <f t="shared" si="189"/>
        <v>0</v>
      </c>
    </row>
    <row r="3455" spans="1:13" x14ac:dyDescent="0.2">
      <c r="A3455" s="18"/>
      <c r="B3455" s="77"/>
      <c r="C3455" s="77"/>
      <c r="D3455" s="78"/>
      <c r="E3455" s="77"/>
      <c r="F3455" s="77"/>
      <c r="G3455" s="77"/>
      <c r="H3455" s="77"/>
      <c r="I3455" s="77"/>
      <c r="J3455" s="77"/>
      <c r="K3455" s="79"/>
      <c r="L3455" s="49">
        <f t="shared" si="188"/>
        <v>0</v>
      </c>
      <c r="M3455" s="50">
        <f t="shared" si="189"/>
        <v>0</v>
      </c>
    </row>
    <row r="3456" spans="1:13" x14ac:dyDescent="0.2">
      <c r="A3456" s="18"/>
      <c r="B3456" s="77"/>
      <c r="C3456" s="77"/>
      <c r="D3456" s="78"/>
      <c r="E3456" s="77"/>
      <c r="F3456" s="77"/>
      <c r="G3456" s="77"/>
      <c r="H3456" s="77"/>
      <c r="I3456" s="77"/>
      <c r="J3456" s="77"/>
      <c r="K3456" s="79"/>
      <c r="L3456" s="49">
        <f t="shared" si="188"/>
        <v>0</v>
      </c>
      <c r="M3456" s="50">
        <f t="shared" si="189"/>
        <v>0</v>
      </c>
    </row>
    <row r="3457" spans="1:13" x14ac:dyDescent="0.2">
      <c r="A3457" s="18"/>
      <c r="B3457" s="77"/>
      <c r="C3457" s="77"/>
      <c r="D3457" s="78"/>
      <c r="E3457" s="77"/>
      <c r="F3457" s="77"/>
      <c r="G3457" s="77"/>
      <c r="H3457" s="77"/>
      <c r="I3457" s="77"/>
      <c r="J3457" s="77"/>
      <c r="K3457" s="79"/>
      <c r="L3457" s="49">
        <f t="shared" si="188"/>
        <v>0</v>
      </c>
      <c r="M3457" s="50">
        <f t="shared" si="189"/>
        <v>0</v>
      </c>
    </row>
    <row r="3458" spans="1:13" x14ac:dyDescent="0.2">
      <c r="A3458" s="18"/>
      <c r="B3458" s="77"/>
      <c r="C3458" s="77"/>
      <c r="D3458" s="78"/>
      <c r="E3458" s="77"/>
      <c r="F3458" s="77"/>
      <c r="G3458" s="77"/>
      <c r="H3458" s="77"/>
      <c r="I3458" s="77"/>
      <c r="J3458" s="77"/>
      <c r="K3458" s="79"/>
      <c r="L3458" s="49">
        <f t="shared" si="188"/>
        <v>0</v>
      </c>
      <c r="M3458" s="50">
        <f t="shared" si="189"/>
        <v>0</v>
      </c>
    </row>
    <row r="3459" spans="1:13" x14ac:dyDescent="0.2">
      <c r="A3459" s="18"/>
      <c r="B3459" s="77"/>
      <c r="C3459" s="77"/>
      <c r="D3459" s="78"/>
      <c r="E3459" s="77"/>
      <c r="F3459" s="77"/>
      <c r="G3459" s="77"/>
      <c r="H3459" s="77"/>
      <c r="I3459" s="77"/>
      <c r="J3459" s="77"/>
      <c r="K3459" s="79"/>
      <c r="L3459" s="49">
        <f t="shared" si="188"/>
        <v>0</v>
      </c>
      <c r="M3459" s="50">
        <f t="shared" si="189"/>
        <v>0</v>
      </c>
    </row>
    <row r="3460" spans="1:13" x14ac:dyDescent="0.2">
      <c r="A3460" s="18"/>
      <c r="B3460" s="77"/>
      <c r="C3460" s="77"/>
      <c r="D3460" s="78"/>
      <c r="E3460" s="77"/>
      <c r="F3460" s="77"/>
      <c r="G3460" s="77"/>
      <c r="H3460" s="77"/>
      <c r="I3460" s="77"/>
      <c r="J3460" s="77"/>
      <c r="K3460" s="79"/>
      <c r="L3460" s="49">
        <f t="shared" si="188"/>
        <v>0</v>
      </c>
      <c r="M3460" s="50">
        <f t="shared" si="189"/>
        <v>0</v>
      </c>
    </row>
    <row r="3461" spans="1:13" x14ac:dyDescent="0.2">
      <c r="A3461" s="18"/>
      <c r="B3461" s="77"/>
      <c r="C3461" s="77"/>
      <c r="D3461" s="78"/>
      <c r="E3461" s="77"/>
      <c r="F3461" s="77"/>
      <c r="G3461" s="77"/>
      <c r="H3461" s="77"/>
      <c r="I3461" s="77"/>
      <c r="J3461" s="77"/>
      <c r="K3461" s="79"/>
      <c r="L3461" s="49">
        <f t="shared" si="188"/>
        <v>0</v>
      </c>
      <c r="M3461" s="50">
        <f t="shared" si="189"/>
        <v>0</v>
      </c>
    </row>
    <row r="3462" spans="1:13" x14ac:dyDescent="0.2">
      <c r="A3462" s="18"/>
      <c r="B3462" s="77"/>
      <c r="C3462" s="77"/>
      <c r="D3462" s="78"/>
      <c r="E3462" s="77"/>
      <c r="F3462" s="77"/>
      <c r="G3462" s="77"/>
      <c r="H3462" s="77"/>
      <c r="I3462" s="77"/>
      <c r="J3462" s="77"/>
      <c r="K3462" s="79"/>
      <c r="L3462" s="49">
        <f t="shared" si="188"/>
        <v>0</v>
      </c>
      <c r="M3462" s="50">
        <f t="shared" si="189"/>
        <v>0</v>
      </c>
    </row>
    <row r="3463" spans="1:13" x14ac:dyDescent="0.2">
      <c r="A3463" s="18"/>
      <c r="B3463" s="77"/>
      <c r="C3463" s="77"/>
      <c r="D3463" s="78"/>
      <c r="E3463" s="77"/>
      <c r="F3463" s="77"/>
      <c r="G3463" s="77"/>
      <c r="H3463" s="77"/>
      <c r="I3463" s="77"/>
      <c r="J3463" s="77"/>
      <c r="K3463" s="79"/>
      <c r="L3463" s="49">
        <f t="shared" si="188"/>
        <v>0</v>
      </c>
      <c r="M3463" s="50">
        <f t="shared" si="189"/>
        <v>0</v>
      </c>
    </row>
    <row r="3464" spans="1:13" x14ac:dyDescent="0.2">
      <c r="A3464" s="18"/>
      <c r="B3464" s="77"/>
      <c r="C3464" s="77"/>
      <c r="D3464" s="78"/>
      <c r="E3464" s="77"/>
      <c r="F3464" s="77"/>
      <c r="G3464" s="77"/>
      <c r="H3464" s="77"/>
      <c r="I3464" s="77"/>
      <c r="J3464" s="77"/>
      <c r="K3464" s="79"/>
      <c r="L3464" s="49">
        <f t="shared" si="188"/>
        <v>0</v>
      </c>
      <c r="M3464" s="50">
        <f t="shared" si="189"/>
        <v>0</v>
      </c>
    </row>
    <row r="3465" spans="1:13" x14ac:dyDescent="0.2">
      <c r="A3465" s="18"/>
      <c r="B3465" s="77"/>
      <c r="C3465" s="77"/>
      <c r="D3465" s="78"/>
      <c r="E3465" s="77"/>
      <c r="F3465" s="77"/>
      <c r="G3465" s="77"/>
      <c r="H3465" s="77"/>
      <c r="I3465" s="77"/>
      <c r="J3465" s="77"/>
      <c r="K3465" s="79"/>
      <c r="L3465" s="49">
        <f t="shared" si="188"/>
        <v>0</v>
      </c>
      <c r="M3465" s="50">
        <f t="shared" si="189"/>
        <v>0</v>
      </c>
    </row>
    <row r="3466" spans="1:13" x14ac:dyDescent="0.2">
      <c r="A3466" s="18"/>
      <c r="B3466" s="77"/>
      <c r="C3466" s="77"/>
      <c r="D3466" s="78"/>
      <c r="E3466" s="77"/>
      <c r="F3466" s="77"/>
      <c r="G3466" s="77"/>
      <c r="H3466" s="77"/>
      <c r="I3466" s="77"/>
      <c r="J3466" s="77"/>
      <c r="K3466" s="79"/>
      <c r="L3466" s="49">
        <f t="shared" si="188"/>
        <v>0</v>
      </c>
      <c r="M3466" s="50">
        <f t="shared" si="189"/>
        <v>0</v>
      </c>
    </row>
    <row r="3467" spans="1:13" x14ac:dyDescent="0.2">
      <c r="A3467" s="18"/>
      <c r="B3467" s="77"/>
      <c r="C3467" s="77"/>
      <c r="D3467" s="78"/>
      <c r="E3467" s="77"/>
      <c r="F3467" s="77"/>
      <c r="G3467" s="77"/>
      <c r="H3467" s="77"/>
      <c r="I3467" s="77"/>
      <c r="J3467" s="77"/>
      <c r="K3467" s="79"/>
      <c r="L3467" s="49">
        <f t="shared" si="188"/>
        <v>0</v>
      </c>
      <c r="M3467" s="50">
        <f t="shared" si="189"/>
        <v>0</v>
      </c>
    </row>
    <row r="3468" spans="1:13" x14ac:dyDescent="0.2">
      <c r="A3468" s="18"/>
      <c r="B3468" s="77"/>
      <c r="C3468" s="77"/>
      <c r="D3468" s="78"/>
      <c r="E3468" s="77"/>
      <c r="F3468" s="77"/>
      <c r="G3468" s="77"/>
      <c r="H3468" s="77"/>
      <c r="I3468" s="77"/>
      <c r="J3468" s="77"/>
      <c r="K3468" s="79"/>
      <c r="L3468" s="49">
        <f t="shared" si="188"/>
        <v>0</v>
      </c>
      <c r="M3468" s="50">
        <f t="shared" si="189"/>
        <v>0</v>
      </c>
    </row>
    <row r="3469" spans="1:13" x14ac:dyDescent="0.2">
      <c r="A3469" s="18"/>
      <c r="B3469" s="77"/>
      <c r="C3469" s="77"/>
      <c r="D3469" s="78"/>
      <c r="E3469" s="77"/>
      <c r="F3469" s="77"/>
      <c r="G3469" s="77"/>
      <c r="H3469" s="77"/>
      <c r="I3469" s="77"/>
      <c r="J3469" s="77"/>
      <c r="K3469" s="79"/>
      <c r="L3469" s="49">
        <f t="shared" si="188"/>
        <v>0</v>
      </c>
      <c r="M3469" s="50">
        <f t="shared" si="189"/>
        <v>0</v>
      </c>
    </row>
    <row r="3470" spans="1:13" x14ac:dyDescent="0.2">
      <c r="A3470" s="18"/>
      <c r="B3470" s="77"/>
      <c r="C3470" s="77"/>
      <c r="D3470" s="78"/>
      <c r="E3470" s="77"/>
      <c r="F3470" s="77"/>
      <c r="G3470" s="77"/>
      <c r="H3470" s="77"/>
      <c r="I3470" s="77"/>
      <c r="J3470" s="77"/>
      <c r="K3470" s="79"/>
      <c r="L3470" s="49">
        <f t="shared" si="188"/>
        <v>0</v>
      </c>
      <c r="M3470" s="50">
        <f t="shared" si="189"/>
        <v>0</v>
      </c>
    </row>
    <row r="3471" spans="1:13" x14ac:dyDescent="0.2">
      <c r="A3471" s="18"/>
      <c r="B3471" s="77"/>
      <c r="C3471" s="77"/>
      <c r="D3471" s="78"/>
      <c r="E3471" s="77"/>
      <c r="F3471" s="77"/>
      <c r="G3471" s="77"/>
      <c r="H3471" s="77"/>
      <c r="I3471" s="77"/>
      <c r="J3471" s="77"/>
      <c r="K3471" s="79"/>
      <c r="L3471" s="49">
        <f t="shared" si="188"/>
        <v>0</v>
      </c>
      <c r="M3471" s="50">
        <f t="shared" si="189"/>
        <v>0</v>
      </c>
    </row>
    <row r="3472" spans="1:13" x14ac:dyDescent="0.2">
      <c r="A3472" s="18"/>
      <c r="B3472" s="77"/>
      <c r="C3472" s="77"/>
      <c r="D3472" s="78"/>
      <c r="E3472" s="77"/>
      <c r="F3472" s="77"/>
      <c r="G3472" s="77"/>
      <c r="H3472" s="77"/>
      <c r="I3472" s="77"/>
      <c r="J3472" s="77"/>
      <c r="K3472" s="79"/>
      <c r="L3472" s="49">
        <f t="shared" si="188"/>
        <v>0</v>
      </c>
      <c r="M3472" s="50">
        <f t="shared" si="189"/>
        <v>0</v>
      </c>
    </row>
    <row r="3473" spans="1:13" x14ac:dyDescent="0.2">
      <c r="A3473" s="18"/>
      <c r="B3473" s="77"/>
      <c r="C3473" s="77"/>
      <c r="D3473" s="78"/>
      <c r="E3473" s="77"/>
      <c r="F3473" s="77"/>
      <c r="G3473" s="77"/>
      <c r="H3473" s="77"/>
      <c r="I3473" s="77"/>
      <c r="J3473" s="77"/>
      <c r="K3473" s="79"/>
      <c r="L3473" s="49">
        <f t="shared" si="188"/>
        <v>0</v>
      </c>
      <c r="M3473" s="50">
        <f t="shared" si="189"/>
        <v>0</v>
      </c>
    </row>
    <row r="3474" spans="1:13" x14ac:dyDescent="0.2">
      <c r="A3474" s="18"/>
      <c r="B3474" s="77"/>
      <c r="C3474" s="77"/>
      <c r="D3474" s="78"/>
      <c r="E3474" s="77"/>
      <c r="F3474" s="77"/>
      <c r="G3474" s="77"/>
      <c r="H3474" s="77"/>
      <c r="I3474" s="77"/>
      <c r="J3474" s="77"/>
      <c r="K3474" s="79"/>
      <c r="L3474" s="49">
        <f t="shared" si="188"/>
        <v>0</v>
      </c>
      <c r="M3474" s="50">
        <f t="shared" si="189"/>
        <v>0</v>
      </c>
    </row>
    <row r="3475" spans="1:13" x14ac:dyDescent="0.2">
      <c r="A3475" s="18"/>
      <c r="B3475" s="77"/>
      <c r="C3475" s="77"/>
      <c r="D3475" s="78"/>
      <c r="E3475" s="77"/>
      <c r="F3475" s="77"/>
      <c r="G3475" s="77"/>
      <c r="H3475" s="77"/>
      <c r="I3475" s="77"/>
      <c r="J3475" s="77"/>
      <c r="K3475" s="79"/>
      <c r="L3475" s="49">
        <f t="shared" si="188"/>
        <v>0</v>
      </c>
      <c r="M3475" s="50">
        <f t="shared" si="189"/>
        <v>0</v>
      </c>
    </row>
    <row r="3476" spans="1:13" x14ac:dyDescent="0.2">
      <c r="A3476" s="18"/>
      <c r="B3476" s="77"/>
      <c r="C3476" s="77"/>
      <c r="D3476" s="78"/>
      <c r="E3476" s="77"/>
      <c r="F3476" s="77"/>
      <c r="G3476" s="77"/>
      <c r="H3476" s="77"/>
      <c r="I3476" s="77"/>
      <c r="J3476" s="77"/>
      <c r="K3476" s="79"/>
      <c r="L3476" s="49">
        <f t="shared" si="188"/>
        <v>0</v>
      </c>
      <c r="M3476" s="50">
        <f t="shared" si="189"/>
        <v>0</v>
      </c>
    </row>
    <row r="3477" spans="1:13" x14ac:dyDescent="0.2">
      <c r="A3477" s="18"/>
      <c r="B3477" s="77"/>
      <c r="C3477" s="77"/>
      <c r="D3477" s="78"/>
      <c r="E3477" s="77"/>
      <c r="F3477" s="77"/>
      <c r="G3477" s="77"/>
      <c r="H3477" s="77"/>
      <c r="I3477" s="77"/>
      <c r="J3477" s="77"/>
      <c r="K3477" s="79"/>
      <c r="L3477" s="49">
        <f t="shared" si="188"/>
        <v>0</v>
      </c>
      <c r="M3477" s="50">
        <f t="shared" si="189"/>
        <v>0</v>
      </c>
    </row>
    <row r="3478" spans="1:13" x14ac:dyDescent="0.2">
      <c r="A3478" s="18"/>
      <c r="B3478" s="77"/>
      <c r="C3478" s="77"/>
      <c r="D3478" s="78"/>
      <c r="E3478" s="77"/>
      <c r="F3478" s="77"/>
      <c r="G3478" s="77"/>
      <c r="H3478" s="77"/>
      <c r="I3478" s="77"/>
      <c r="J3478" s="77"/>
      <c r="K3478" s="79"/>
      <c r="L3478" s="49">
        <f t="shared" si="188"/>
        <v>0</v>
      </c>
      <c r="M3478" s="50">
        <f t="shared" si="189"/>
        <v>0</v>
      </c>
    </row>
    <row r="3479" spans="1:13" x14ac:dyDescent="0.2">
      <c r="A3479" s="18"/>
      <c r="B3479" s="77"/>
      <c r="C3479" s="77"/>
      <c r="D3479" s="78"/>
      <c r="E3479" s="77"/>
      <c r="F3479" s="77"/>
      <c r="G3479" s="77"/>
      <c r="H3479" s="77"/>
      <c r="I3479" s="77"/>
      <c r="J3479" s="77"/>
      <c r="K3479" s="79"/>
      <c r="L3479" s="49">
        <f t="shared" si="188"/>
        <v>0</v>
      </c>
      <c r="M3479" s="50">
        <f t="shared" si="189"/>
        <v>0</v>
      </c>
    </row>
    <row r="3480" spans="1:13" x14ac:dyDescent="0.2">
      <c r="A3480" s="18"/>
      <c r="B3480" s="77"/>
      <c r="C3480" s="77"/>
      <c r="D3480" s="78"/>
      <c r="E3480" s="77"/>
      <c r="F3480" s="77"/>
      <c r="G3480" s="77"/>
      <c r="H3480" s="77"/>
      <c r="I3480" s="77"/>
      <c r="J3480" s="77"/>
      <c r="K3480" s="79"/>
      <c r="L3480" s="49">
        <f t="shared" si="188"/>
        <v>0</v>
      </c>
      <c r="M3480" s="50">
        <f t="shared" si="189"/>
        <v>0</v>
      </c>
    </row>
    <row r="3481" spans="1:13" x14ac:dyDescent="0.2">
      <c r="A3481" s="18"/>
      <c r="B3481" s="77"/>
      <c r="C3481" s="77"/>
      <c r="D3481" s="78"/>
      <c r="E3481" s="77"/>
      <c r="F3481" s="77"/>
      <c r="G3481" s="77"/>
      <c r="H3481" s="77"/>
      <c r="I3481" s="77"/>
      <c r="J3481" s="77"/>
      <c r="K3481" s="79"/>
      <c r="L3481" s="49">
        <f t="shared" si="188"/>
        <v>0</v>
      </c>
      <c r="M3481" s="50">
        <f t="shared" si="189"/>
        <v>0</v>
      </c>
    </row>
    <row r="3482" spans="1:13" x14ac:dyDescent="0.2">
      <c r="A3482" s="18"/>
      <c r="B3482" s="77"/>
      <c r="C3482" s="77"/>
      <c r="D3482" s="78"/>
      <c r="E3482" s="77"/>
      <c r="F3482" s="77"/>
      <c r="G3482" s="77"/>
      <c r="H3482" s="77"/>
      <c r="I3482" s="77"/>
      <c r="J3482" s="77"/>
      <c r="K3482" s="79"/>
      <c r="L3482" s="49">
        <f t="shared" si="188"/>
        <v>0</v>
      </c>
      <c r="M3482" s="50">
        <f t="shared" si="189"/>
        <v>0</v>
      </c>
    </row>
    <row r="3483" spans="1:13" x14ac:dyDescent="0.2">
      <c r="A3483" s="18"/>
      <c r="B3483" s="77"/>
      <c r="C3483" s="77"/>
      <c r="D3483" s="78"/>
      <c r="E3483" s="77"/>
      <c r="F3483" s="77"/>
      <c r="G3483" s="77"/>
      <c r="H3483" s="77"/>
      <c r="I3483" s="77"/>
      <c r="J3483" s="77"/>
      <c r="K3483" s="79"/>
      <c r="L3483" s="49">
        <f t="shared" si="188"/>
        <v>0</v>
      </c>
      <c r="M3483" s="50">
        <f t="shared" si="189"/>
        <v>0</v>
      </c>
    </row>
    <row r="3484" spans="1:13" x14ac:dyDescent="0.2">
      <c r="A3484" s="18"/>
      <c r="B3484" s="77"/>
      <c r="C3484" s="77"/>
      <c r="D3484" s="78"/>
      <c r="E3484" s="77"/>
      <c r="F3484" s="77"/>
      <c r="G3484" s="77"/>
      <c r="H3484" s="77"/>
      <c r="I3484" s="77"/>
      <c r="J3484" s="77"/>
      <c r="K3484" s="79"/>
      <c r="L3484" s="49">
        <f t="shared" si="188"/>
        <v>0</v>
      </c>
      <c r="M3484" s="50">
        <f t="shared" si="189"/>
        <v>0</v>
      </c>
    </row>
    <row r="3485" spans="1:13" x14ac:dyDescent="0.2">
      <c r="A3485" s="18"/>
      <c r="B3485" s="77"/>
      <c r="C3485" s="77"/>
      <c r="D3485" s="78"/>
      <c r="E3485" s="77"/>
      <c r="F3485" s="77"/>
      <c r="G3485" s="77"/>
      <c r="H3485" s="77"/>
      <c r="I3485" s="77"/>
      <c r="J3485" s="77"/>
      <c r="K3485" s="79"/>
      <c r="L3485" s="49">
        <f t="shared" si="188"/>
        <v>0</v>
      </c>
      <c r="M3485" s="50">
        <f t="shared" si="189"/>
        <v>0</v>
      </c>
    </row>
    <row r="3486" spans="1:13" x14ac:dyDescent="0.2">
      <c r="A3486" s="18"/>
      <c r="B3486" s="77"/>
      <c r="C3486" s="77"/>
      <c r="D3486" s="78"/>
      <c r="E3486" s="77"/>
      <c r="F3486" s="77"/>
      <c r="G3486" s="77"/>
      <c r="H3486" s="77"/>
      <c r="I3486" s="77"/>
      <c r="J3486" s="77"/>
      <c r="K3486" s="79"/>
      <c r="L3486" s="49">
        <f t="shared" si="188"/>
        <v>0</v>
      </c>
      <c r="M3486" s="50">
        <f t="shared" si="189"/>
        <v>0</v>
      </c>
    </row>
    <row r="3487" spans="1:13" x14ac:dyDescent="0.2">
      <c r="A3487" s="18"/>
      <c r="B3487" s="77"/>
      <c r="C3487" s="77"/>
      <c r="D3487" s="78"/>
      <c r="E3487" s="77"/>
      <c r="F3487" s="77"/>
      <c r="G3487" s="77"/>
      <c r="H3487" s="77"/>
      <c r="I3487" s="77"/>
      <c r="J3487" s="77"/>
      <c r="K3487" s="79"/>
      <c r="L3487" s="49">
        <f t="shared" si="188"/>
        <v>0</v>
      </c>
      <c r="M3487" s="50">
        <f t="shared" si="189"/>
        <v>0</v>
      </c>
    </row>
    <row r="3488" spans="1:13" x14ac:dyDescent="0.2">
      <c r="A3488" s="18"/>
      <c r="B3488" s="77"/>
      <c r="C3488" s="77"/>
      <c r="D3488" s="78"/>
      <c r="E3488" s="77"/>
      <c r="F3488" s="77"/>
      <c r="G3488" s="77"/>
      <c r="H3488" s="77"/>
      <c r="I3488" s="77"/>
      <c r="J3488" s="77"/>
      <c r="K3488" s="79"/>
      <c r="L3488" s="49">
        <f t="shared" si="188"/>
        <v>0</v>
      </c>
      <c r="M3488" s="50">
        <f t="shared" si="189"/>
        <v>0</v>
      </c>
    </row>
    <row r="3489" spans="1:13" x14ac:dyDescent="0.2">
      <c r="A3489" s="18"/>
      <c r="B3489" s="77"/>
      <c r="C3489" s="77"/>
      <c r="D3489" s="78"/>
      <c r="E3489" s="77"/>
      <c r="F3489" s="77"/>
      <c r="G3489" s="77"/>
      <c r="H3489" s="77"/>
      <c r="I3489" s="77"/>
      <c r="J3489" s="77"/>
      <c r="K3489" s="79"/>
      <c r="L3489" s="49">
        <f t="shared" si="188"/>
        <v>0</v>
      </c>
      <c r="M3489" s="50">
        <f t="shared" si="189"/>
        <v>0</v>
      </c>
    </row>
    <row r="3490" spans="1:13" x14ac:dyDescent="0.2">
      <c r="A3490" s="18"/>
      <c r="B3490" s="77"/>
      <c r="C3490" s="77"/>
      <c r="D3490" s="78"/>
      <c r="E3490" s="77"/>
      <c r="F3490" s="77"/>
      <c r="G3490" s="77"/>
      <c r="H3490" s="77"/>
      <c r="I3490" s="77"/>
      <c r="J3490" s="77"/>
      <c r="K3490" s="79"/>
      <c r="L3490" s="49">
        <f t="shared" si="188"/>
        <v>0</v>
      </c>
      <c r="M3490" s="50">
        <f t="shared" si="189"/>
        <v>0</v>
      </c>
    </row>
    <row r="3491" spans="1:13" x14ac:dyDescent="0.2">
      <c r="A3491" s="18"/>
      <c r="B3491" s="77"/>
      <c r="C3491" s="77"/>
      <c r="D3491" s="78"/>
      <c r="E3491" s="77"/>
      <c r="F3491" s="77"/>
      <c r="G3491" s="77"/>
      <c r="H3491" s="77"/>
      <c r="I3491" s="77"/>
      <c r="J3491" s="77"/>
      <c r="K3491" s="79"/>
      <c r="L3491" s="49">
        <f t="shared" si="188"/>
        <v>0</v>
      </c>
      <c r="M3491" s="50">
        <f t="shared" si="189"/>
        <v>0</v>
      </c>
    </row>
    <row r="3492" spans="1:13" x14ac:dyDescent="0.2">
      <c r="A3492" s="18"/>
      <c r="B3492" s="77"/>
      <c r="C3492" s="77"/>
      <c r="D3492" s="78"/>
      <c r="E3492" s="77"/>
      <c r="F3492" s="77"/>
      <c r="G3492" s="77"/>
      <c r="H3492" s="77"/>
      <c r="I3492" s="77"/>
      <c r="J3492" s="77"/>
      <c r="K3492" s="79"/>
      <c r="L3492" s="49">
        <f t="shared" si="188"/>
        <v>0</v>
      </c>
      <c r="M3492" s="50">
        <f t="shared" si="189"/>
        <v>0</v>
      </c>
    </row>
    <row r="3493" spans="1:13" x14ac:dyDescent="0.2">
      <c r="A3493" s="18"/>
      <c r="B3493" s="77"/>
      <c r="C3493" s="77"/>
      <c r="D3493" s="78"/>
      <c r="E3493" s="77"/>
      <c r="F3493" s="77"/>
      <c r="G3493" s="77"/>
      <c r="H3493" s="77"/>
      <c r="I3493" s="77"/>
      <c r="J3493" s="77"/>
      <c r="K3493" s="79"/>
      <c r="L3493" s="49">
        <f t="shared" si="188"/>
        <v>0</v>
      </c>
      <c r="M3493" s="50">
        <f t="shared" si="189"/>
        <v>0</v>
      </c>
    </row>
    <row r="3494" spans="1:13" x14ac:dyDescent="0.2">
      <c r="A3494" s="18"/>
      <c r="B3494" s="77"/>
      <c r="C3494" s="77"/>
      <c r="D3494" s="78"/>
      <c r="E3494" s="77"/>
      <c r="F3494" s="77"/>
      <c r="G3494" s="77"/>
      <c r="H3494" s="77"/>
      <c r="I3494" s="77"/>
      <c r="J3494" s="77"/>
      <c r="K3494" s="79"/>
      <c r="L3494" s="49">
        <f t="shared" si="188"/>
        <v>0</v>
      </c>
      <c r="M3494" s="50">
        <f t="shared" si="189"/>
        <v>0</v>
      </c>
    </row>
    <row r="3495" spans="1:13" x14ac:dyDescent="0.2">
      <c r="A3495" s="18"/>
      <c r="B3495" s="77"/>
      <c r="C3495" s="77"/>
      <c r="D3495" s="78"/>
      <c r="E3495" s="77"/>
      <c r="F3495" s="77"/>
      <c r="G3495" s="77"/>
      <c r="H3495" s="77"/>
      <c r="I3495" s="77"/>
      <c r="J3495" s="77"/>
      <c r="K3495" s="79"/>
      <c r="L3495" s="49">
        <f t="shared" si="188"/>
        <v>0</v>
      </c>
      <c r="M3495" s="50">
        <f t="shared" si="189"/>
        <v>0</v>
      </c>
    </row>
    <row r="3496" spans="1:13" x14ac:dyDescent="0.2">
      <c r="A3496" s="18"/>
      <c r="B3496" s="77"/>
      <c r="C3496" s="77"/>
      <c r="D3496" s="78"/>
      <c r="E3496" s="77"/>
      <c r="F3496" s="77"/>
      <c r="G3496" s="77"/>
      <c r="H3496" s="77"/>
      <c r="I3496" s="77"/>
      <c r="J3496" s="77"/>
      <c r="K3496" s="79"/>
      <c r="L3496" s="49">
        <f t="shared" si="188"/>
        <v>0</v>
      </c>
      <c r="M3496" s="50">
        <f t="shared" si="189"/>
        <v>0</v>
      </c>
    </row>
    <row r="3497" spans="1:13" x14ac:dyDescent="0.2">
      <c r="A3497" s="18"/>
      <c r="B3497" s="77"/>
      <c r="C3497" s="77"/>
      <c r="D3497" s="78"/>
      <c r="E3497" s="77"/>
      <c r="F3497" s="77"/>
      <c r="G3497" s="77"/>
      <c r="H3497" s="77"/>
      <c r="I3497" s="77"/>
      <c r="J3497" s="77"/>
      <c r="K3497" s="79"/>
      <c r="L3497" s="49">
        <f t="shared" si="188"/>
        <v>0</v>
      </c>
      <c r="M3497" s="50">
        <f t="shared" si="189"/>
        <v>0</v>
      </c>
    </row>
    <row r="3498" spans="1:13" x14ac:dyDescent="0.2">
      <c r="A3498" s="18"/>
      <c r="B3498" s="77"/>
      <c r="C3498" s="77"/>
      <c r="D3498" s="78"/>
      <c r="E3498" s="77"/>
      <c r="F3498" s="77"/>
      <c r="G3498" s="77"/>
      <c r="H3498" s="77"/>
      <c r="I3498" s="77"/>
      <c r="J3498" s="77"/>
      <c r="K3498" s="79"/>
      <c r="L3498" s="49">
        <f t="shared" si="188"/>
        <v>0</v>
      </c>
      <c r="M3498" s="50">
        <f t="shared" si="189"/>
        <v>0</v>
      </c>
    </row>
    <row r="3499" spans="1:13" x14ac:dyDescent="0.2">
      <c r="A3499" s="18"/>
      <c r="B3499" s="77"/>
      <c r="C3499" s="77"/>
      <c r="D3499" s="78"/>
      <c r="E3499" s="77"/>
      <c r="F3499" s="77"/>
      <c r="G3499" s="77"/>
      <c r="H3499" s="77"/>
      <c r="I3499" s="77"/>
      <c r="J3499" s="77"/>
      <c r="K3499" s="79"/>
      <c r="L3499" s="49">
        <f t="shared" si="188"/>
        <v>0</v>
      </c>
      <c r="M3499" s="50">
        <f t="shared" si="189"/>
        <v>0</v>
      </c>
    </row>
    <row r="3500" spans="1:13" x14ac:dyDescent="0.2">
      <c r="A3500" s="18"/>
      <c r="B3500" s="77"/>
      <c r="C3500" s="77"/>
      <c r="D3500" s="78"/>
      <c r="E3500" s="77"/>
      <c r="F3500" s="77"/>
      <c r="G3500" s="77"/>
      <c r="H3500" s="77"/>
      <c r="I3500" s="77"/>
      <c r="J3500" s="77"/>
      <c r="K3500" s="79"/>
      <c r="L3500" s="49">
        <f t="shared" si="188"/>
        <v>0</v>
      </c>
      <c r="M3500" s="50">
        <f t="shared" si="189"/>
        <v>0</v>
      </c>
    </row>
    <row r="3501" spans="1:13" x14ac:dyDescent="0.2">
      <c r="A3501" s="18"/>
      <c r="B3501" s="77"/>
      <c r="C3501" s="77"/>
      <c r="D3501" s="78"/>
      <c r="E3501" s="77"/>
      <c r="F3501" s="77"/>
      <c r="G3501" s="77"/>
      <c r="H3501" s="77"/>
      <c r="I3501" s="77"/>
      <c r="J3501" s="77"/>
      <c r="K3501" s="79"/>
      <c r="L3501" s="49">
        <f t="shared" si="188"/>
        <v>0</v>
      </c>
      <c r="M3501" s="50">
        <f t="shared" si="189"/>
        <v>0</v>
      </c>
    </row>
    <row r="3502" spans="1:13" x14ac:dyDescent="0.2">
      <c r="A3502" s="18"/>
      <c r="B3502" s="77"/>
      <c r="C3502" s="77"/>
      <c r="D3502" s="78"/>
      <c r="E3502" s="77"/>
      <c r="F3502" s="77"/>
      <c r="G3502" s="77"/>
      <c r="H3502" s="77"/>
      <c r="I3502" s="77"/>
      <c r="J3502" s="77"/>
      <c r="K3502" s="79"/>
      <c r="L3502" s="49">
        <f t="shared" ref="L3502:L3565" si="190">+K3502*18%</f>
        <v>0</v>
      </c>
      <c r="M3502" s="50">
        <f t="shared" ref="M3502:M3565" si="191">+K3502+L3502</f>
        <v>0</v>
      </c>
    </row>
    <row r="3503" spans="1:13" x14ac:dyDescent="0.2">
      <c r="A3503" s="18"/>
      <c r="B3503" s="77"/>
      <c r="C3503" s="77"/>
      <c r="D3503" s="78"/>
      <c r="E3503" s="77"/>
      <c r="F3503" s="77"/>
      <c r="G3503" s="77"/>
      <c r="H3503" s="77"/>
      <c r="I3503" s="77"/>
      <c r="J3503" s="77"/>
      <c r="K3503" s="79"/>
      <c r="L3503" s="49">
        <f t="shared" si="190"/>
        <v>0</v>
      </c>
      <c r="M3503" s="50">
        <f t="shared" si="191"/>
        <v>0</v>
      </c>
    </row>
    <row r="3504" spans="1:13" x14ac:dyDescent="0.2">
      <c r="A3504" s="18"/>
      <c r="B3504" s="77"/>
      <c r="C3504" s="77"/>
      <c r="D3504" s="78"/>
      <c r="E3504" s="77"/>
      <c r="F3504" s="77"/>
      <c r="G3504" s="77"/>
      <c r="H3504" s="77"/>
      <c r="I3504" s="77"/>
      <c r="J3504" s="77"/>
      <c r="K3504" s="79"/>
      <c r="L3504" s="49">
        <f t="shared" si="190"/>
        <v>0</v>
      </c>
      <c r="M3504" s="50">
        <f t="shared" si="191"/>
        <v>0</v>
      </c>
    </row>
    <row r="3505" spans="1:13" x14ac:dyDescent="0.2">
      <c r="A3505" s="18"/>
      <c r="B3505" s="77"/>
      <c r="C3505" s="77"/>
      <c r="D3505" s="78"/>
      <c r="E3505" s="77"/>
      <c r="F3505" s="77"/>
      <c r="G3505" s="77"/>
      <c r="H3505" s="77"/>
      <c r="I3505" s="77"/>
      <c r="J3505" s="77"/>
      <c r="K3505" s="79"/>
      <c r="L3505" s="49">
        <f t="shared" si="190"/>
        <v>0</v>
      </c>
      <c r="M3505" s="50">
        <f t="shared" si="191"/>
        <v>0</v>
      </c>
    </row>
    <row r="3506" spans="1:13" x14ac:dyDescent="0.2">
      <c r="A3506" s="18"/>
      <c r="B3506" s="77"/>
      <c r="C3506" s="77"/>
      <c r="D3506" s="78"/>
      <c r="E3506" s="77"/>
      <c r="F3506" s="77"/>
      <c r="G3506" s="77"/>
      <c r="H3506" s="77"/>
      <c r="I3506" s="77"/>
      <c r="J3506" s="77"/>
      <c r="K3506" s="79"/>
      <c r="L3506" s="49">
        <f t="shared" si="190"/>
        <v>0</v>
      </c>
      <c r="M3506" s="50">
        <f t="shared" si="191"/>
        <v>0</v>
      </c>
    </row>
    <row r="3507" spans="1:13" x14ac:dyDescent="0.2">
      <c r="A3507" s="18"/>
      <c r="B3507" s="77"/>
      <c r="C3507" s="77"/>
      <c r="D3507" s="78"/>
      <c r="E3507" s="77"/>
      <c r="F3507" s="77"/>
      <c r="G3507" s="77"/>
      <c r="H3507" s="77"/>
      <c r="I3507" s="77"/>
      <c r="J3507" s="77"/>
      <c r="K3507" s="79"/>
      <c r="L3507" s="49">
        <f t="shared" si="190"/>
        <v>0</v>
      </c>
      <c r="M3507" s="50">
        <f t="shared" si="191"/>
        <v>0</v>
      </c>
    </row>
    <row r="3508" spans="1:13" x14ac:dyDescent="0.2">
      <c r="A3508" s="18"/>
      <c r="B3508" s="77"/>
      <c r="C3508" s="77"/>
      <c r="D3508" s="78"/>
      <c r="E3508" s="77"/>
      <c r="F3508" s="77"/>
      <c r="G3508" s="77"/>
      <c r="H3508" s="77"/>
      <c r="I3508" s="77"/>
      <c r="J3508" s="77"/>
      <c r="K3508" s="79"/>
      <c r="L3508" s="49">
        <f t="shared" si="190"/>
        <v>0</v>
      </c>
      <c r="M3508" s="50">
        <f t="shared" si="191"/>
        <v>0</v>
      </c>
    </row>
    <row r="3509" spans="1:13" x14ac:dyDescent="0.2">
      <c r="A3509" s="18"/>
      <c r="B3509" s="77"/>
      <c r="C3509" s="77"/>
      <c r="D3509" s="78"/>
      <c r="E3509" s="77"/>
      <c r="F3509" s="77"/>
      <c r="G3509" s="77"/>
      <c r="H3509" s="77"/>
      <c r="I3509" s="77"/>
      <c r="J3509" s="77"/>
      <c r="K3509" s="79"/>
      <c r="L3509" s="49">
        <f t="shared" si="190"/>
        <v>0</v>
      </c>
      <c r="M3509" s="50">
        <f t="shared" si="191"/>
        <v>0</v>
      </c>
    </row>
    <row r="3510" spans="1:13" x14ac:dyDescent="0.2">
      <c r="A3510" s="18"/>
      <c r="B3510" s="77"/>
      <c r="C3510" s="77"/>
      <c r="D3510" s="78"/>
      <c r="E3510" s="77"/>
      <c r="F3510" s="77"/>
      <c r="G3510" s="77"/>
      <c r="H3510" s="77"/>
      <c r="I3510" s="77"/>
      <c r="J3510" s="77"/>
      <c r="K3510" s="79"/>
      <c r="L3510" s="49">
        <f t="shared" si="190"/>
        <v>0</v>
      </c>
      <c r="M3510" s="50">
        <f t="shared" si="191"/>
        <v>0</v>
      </c>
    </row>
    <row r="3511" spans="1:13" x14ac:dyDescent="0.2">
      <c r="A3511" s="18"/>
      <c r="B3511" s="77"/>
      <c r="C3511" s="77"/>
      <c r="D3511" s="78"/>
      <c r="E3511" s="77"/>
      <c r="F3511" s="77"/>
      <c r="G3511" s="77"/>
      <c r="H3511" s="77"/>
      <c r="I3511" s="77"/>
      <c r="J3511" s="77"/>
      <c r="K3511" s="79"/>
      <c r="L3511" s="49">
        <f t="shared" si="190"/>
        <v>0</v>
      </c>
      <c r="M3511" s="50">
        <f t="shared" si="191"/>
        <v>0</v>
      </c>
    </row>
    <row r="3512" spans="1:13" x14ac:dyDescent="0.2">
      <c r="A3512" s="18"/>
      <c r="B3512" s="77"/>
      <c r="C3512" s="77"/>
      <c r="D3512" s="78"/>
      <c r="E3512" s="77"/>
      <c r="F3512" s="77"/>
      <c r="G3512" s="77"/>
      <c r="H3512" s="77"/>
      <c r="I3512" s="77"/>
      <c r="J3512" s="77"/>
      <c r="K3512" s="79"/>
      <c r="L3512" s="49">
        <f t="shared" si="190"/>
        <v>0</v>
      </c>
      <c r="M3512" s="50">
        <f t="shared" si="191"/>
        <v>0</v>
      </c>
    </row>
    <row r="3513" spans="1:13" x14ac:dyDescent="0.2">
      <c r="A3513" s="18"/>
      <c r="B3513" s="77"/>
      <c r="C3513" s="77"/>
      <c r="D3513" s="78"/>
      <c r="E3513" s="77"/>
      <c r="F3513" s="77"/>
      <c r="G3513" s="77"/>
      <c r="H3513" s="77"/>
      <c r="I3513" s="77"/>
      <c r="J3513" s="77"/>
      <c r="K3513" s="79"/>
      <c r="L3513" s="49">
        <f t="shared" si="190"/>
        <v>0</v>
      </c>
      <c r="M3513" s="50">
        <f t="shared" si="191"/>
        <v>0</v>
      </c>
    </row>
    <row r="3514" spans="1:13" x14ac:dyDescent="0.2">
      <c r="A3514" s="18"/>
      <c r="B3514" s="77"/>
      <c r="C3514" s="77"/>
      <c r="D3514" s="78"/>
      <c r="E3514" s="77"/>
      <c r="F3514" s="77"/>
      <c r="G3514" s="77"/>
      <c r="H3514" s="77"/>
      <c r="I3514" s="77"/>
      <c r="J3514" s="77"/>
      <c r="K3514" s="79"/>
      <c r="L3514" s="49">
        <f t="shared" si="190"/>
        <v>0</v>
      </c>
      <c r="M3514" s="50">
        <f t="shared" si="191"/>
        <v>0</v>
      </c>
    </row>
    <row r="3515" spans="1:13" x14ac:dyDescent="0.2">
      <c r="A3515" s="18"/>
      <c r="B3515" s="77"/>
      <c r="C3515" s="77"/>
      <c r="D3515" s="78"/>
      <c r="E3515" s="77"/>
      <c r="F3515" s="77"/>
      <c r="G3515" s="77"/>
      <c r="H3515" s="77"/>
      <c r="I3515" s="77"/>
      <c r="J3515" s="77"/>
      <c r="K3515" s="79"/>
      <c r="L3515" s="49">
        <f t="shared" si="190"/>
        <v>0</v>
      </c>
      <c r="M3515" s="50">
        <f t="shared" si="191"/>
        <v>0</v>
      </c>
    </row>
    <row r="3516" spans="1:13" x14ac:dyDescent="0.2">
      <c r="A3516" s="18"/>
      <c r="B3516" s="77"/>
      <c r="C3516" s="77"/>
      <c r="D3516" s="78"/>
      <c r="E3516" s="77"/>
      <c r="F3516" s="77"/>
      <c r="G3516" s="77"/>
      <c r="H3516" s="77"/>
      <c r="I3516" s="77"/>
      <c r="J3516" s="77"/>
      <c r="K3516" s="79"/>
      <c r="L3516" s="49">
        <f t="shared" si="190"/>
        <v>0</v>
      </c>
      <c r="M3516" s="50">
        <f t="shared" si="191"/>
        <v>0</v>
      </c>
    </row>
    <row r="3517" spans="1:13" x14ac:dyDescent="0.2">
      <c r="A3517" s="18"/>
      <c r="B3517" s="77"/>
      <c r="C3517" s="77"/>
      <c r="D3517" s="78"/>
      <c r="E3517" s="77"/>
      <c r="F3517" s="77"/>
      <c r="G3517" s="77"/>
      <c r="H3517" s="77"/>
      <c r="I3517" s="77"/>
      <c r="J3517" s="77"/>
      <c r="K3517" s="79"/>
      <c r="L3517" s="49">
        <f t="shared" si="190"/>
        <v>0</v>
      </c>
      <c r="M3517" s="50">
        <f t="shared" si="191"/>
        <v>0</v>
      </c>
    </row>
    <row r="3518" spans="1:13" x14ac:dyDescent="0.2">
      <c r="A3518" s="18"/>
      <c r="B3518" s="77"/>
      <c r="C3518" s="77"/>
      <c r="D3518" s="78"/>
      <c r="E3518" s="77"/>
      <c r="F3518" s="77"/>
      <c r="G3518" s="77"/>
      <c r="H3518" s="77"/>
      <c r="I3518" s="77"/>
      <c r="J3518" s="77"/>
      <c r="K3518" s="79"/>
      <c r="L3518" s="49">
        <f t="shared" si="190"/>
        <v>0</v>
      </c>
      <c r="M3518" s="50">
        <f t="shared" si="191"/>
        <v>0</v>
      </c>
    </row>
    <row r="3519" spans="1:13" x14ac:dyDescent="0.2">
      <c r="A3519" s="18"/>
      <c r="B3519" s="77"/>
      <c r="C3519" s="77"/>
      <c r="D3519" s="78"/>
      <c r="E3519" s="77"/>
      <c r="F3519" s="77"/>
      <c r="G3519" s="77"/>
      <c r="H3519" s="77"/>
      <c r="I3519" s="77"/>
      <c r="J3519" s="77"/>
      <c r="K3519" s="79"/>
      <c r="L3519" s="49">
        <f t="shared" si="190"/>
        <v>0</v>
      </c>
      <c r="M3519" s="50">
        <f t="shared" si="191"/>
        <v>0</v>
      </c>
    </row>
    <row r="3520" spans="1:13" x14ac:dyDescent="0.2">
      <c r="A3520" s="18"/>
      <c r="B3520" s="77"/>
      <c r="C3520" s="77"/>
      <c r="D3520" s="78"/>
      <c r="E3520" s="77"/>
      <c r="F3520" s="77"/>
      <c r="G3520" s="77"/>
      <c r="H3520" s="77"/>
      <c r="I3520" s="77"/>
      <c r="J3520" s="77"/>
      <c r="K3520" s="79"/>
      <c r="L3520" s="49">
        <f t="shared" si="190"/>
        <v>0</v>
      </c>
      <c r="M3520" s="50">
        <f t="shared" si="191"/>
        <v>0</v>
      </c>
    </row>
    <row r="3521" spans="1:13" x14ac:dyDescent="0.2">
      <c r="A3521" s="18"/>
      <c r="B3521" s="77"/>
      <c r="C3521" s="77"/>
      <c r="D3521" s="78"/>
      <c r="E3521" s="77"/>
      <c r="F3521" s="77"/>
      <c r="G3521" s="77"/>
      <c r="H3521" s="77"/>
      <c r="I3521" s="77"/>
      <c r="J3521" s="77"/>
      <c r="K3521" s="79"/>
      <c r="L3521" s="49">
        <f t="shared" si="190"/>
        <v>0</v>
      </c>
      <c r="M3521" s="50">
        <f t="shared" si="191"/>
        <v>0</v>
      </c>
    </row>
    <row r="3522" spans="1:13" x14ac:dyDescent="0.2">
      <c r="A3522" s="18"/>
      <c r="B3522" s="77"/>
      <c r="C3522" s="77"/>
      <c r="D3522" s="78"/>
      <c r="E3522" s="77"/>
      <c r="F3522" s="77"/>
      <c r="G3522" s="77"/>
      <c r="H3522" s="77"/>
      <c r="I3522" s="77"/>
      <c r="J3522" s="77"/>
      <c r="K3522" s="79"/>
      <c r="L3522" s="49">
        <f t="shared" si="190"/>
        <v>0</v>
      </c>
      <c r="M3522" s="50">
        <f t="shared" si="191"/>
        <v>0</v>
      </c>
    </row>
    <row r="3523" spans="1:13" x14ac:dyDescent="0.2">
      <c r="A3523" s="18"/>
      <c r="B3523" s="77"/>
      <c r="C3523" s="77"/>
      <c r="D3523" s="78"/>
      <c r="E3523" s="77"/>
      <c r="F3523" s="77"/>
      <c r="G3523" s="77"/>
      <c r="H3523" s="77"/>
      <c r="I3523" s="77"/>
      <c r="J3523" s="77"/>
      <c r="K3523" s="79"/>
      <c r="L3523" s="49">
        <f t="shared" si="190"/>
        <v>0</v>
      </c>
      <c r="M3523" s="50">
        <f t="shared" si="191"/>
        <v>0</v>
      </c>
    </row>
    <row r="3524" spans="1:13" x14ac:dyDescent="0.2">
      <c r="A3524" s="18"/>
      <c r="B3524" s="77"/>
      <c r="C3524" s="77"/>
      <c r="D3524" s="78"/>
      <c r="E3524" s="77"/>
      <c r="F3524" s="77"/>
      <c r="G3524" s="77"/>
      <c r="H3524" s="77"/>
      <c r="I3524" s="77"/>
      <c r="J3524" s="77"/>
      <c r="K3524" s="79"/>
      <c r="L3524" s="49">
        <f t="shared" si="190"/>
        <v>0</v>
      </c>
      <c r="M3524" s="50">
        <f t="shared" si="191"/>
        <v>0</v>
      </c>
    </row>
    <row r="3525" spans="1:13" x14ac:dyDescent="0.2">
      <c r="A3525" s="18"/>
      <c r="B3525" s="77"/>
      <c r="C3525" s="77"/>
      <c r="D3525" s="78"/>
      <c r="E3525" s="77"/>
      <c r="F3525" s="77"/>
      <c r="G3525" s="77"/>
      <c r="H3525" s="77"/>
      <c r="I3525" s="77"/>
      <c r="J3525" s="77"/>
      <c r="K3525" s="79"/>
      <c r="L3525" s="49">
        <f t="shared" si="190"/>
        <v>0</v>
      </c>
      <c r="M3525" s="50">
        <f t="shared" si="191"/>
        <v>0</v>
      </c>
    </row>
    <row r="3526" spans="1:13" x14ac:dyDescent="0.2">
      <c r="A3526" s="18"/>
      <c r="B3526" s="77"/>
      <c r="C3526" s="77"/>
      <c r="D3526" s="78"/>
      <c r="E3526" s="77"/>
      <c r="F3526" s="77"/>
      <c r="G3526" s="77"/>
      <c r="H3526" s="77"/>
      <c r="I3526" s="77"/>
      <c r="J3526" s="77"/>
      <c r="K3526" s="79"/>
      <c r="L3526" s="49">
        <f t="shared" si="190"/>
        <v>0</v>
      </c>
      <c r="M3526" s="50">
        <f t="shared" si="191"/>
        <v>0</v>
      </c>
    </row>
    <row r="3527" spans="1:13" x14ac:dyDescent="0.2">
      <c r="A3527" s="18"/>
      <c r="B3527" s="77"/>
      <c r="C3527" s="77"/>
      <c r="D3527" s="78"/>
      <c r="E3527" s="77"/>
      <c r="F3527" s="77"/>
      <c r="G3527" s="77"/>
      <c r="H3527" s="77"/>
      <c r="I3527" s="77"/>
      <c r="J3527" s="77"/>
      <c r="K3527" s="79"/>
      <c r="L3527" s="49">
        <f t="shared" si="190"/>
        <v>0</v>
      </c>
      <c r="M3527" s="50">
        <f t="shared" si="191"/>
        <v>0</v>
      </c>
    </row>
    <row r="3528" spans="1:13" x14ac:dyDescent="0.2">
      <c r="A3528" s="18"/>
      <c r="B3528" s="77"/>
      <c r="C3528" s="77"/>
      <c r="D3528" s="78"/>
      <c r="E3528" s="77"/>
      <c r="F3528" s="77"/>
      <c r="G3528" s="77"/>
      <c r="H3528" s="77"/>
      <c r="I3528" s="77"/>
      <c r="J3528" s="77"/>
      <c r="K3528" s="79"/>
      <c r="L3528" s="49">
        <f t="shared" si="190"/>
        <v>0</v>
      </c>
      <c r="M3528" s="50">
        <f t="shared" si="191"/>
        <v>0</v>
      </c>
    </row>
    <row r="3529" spans="1:13" x14ac:dyDescent="0.2">
      <c r="A3529" s="18"/>
      <c r="B3529" s="77"/>
      <c r="C3529" s="77"/>
      <c r="D3529" s="78"/>
      <c r="E3529" s="77"/>
      <c r="F3529" s="77"/>
      <c r="G3529" s="77"/>
      <c r="H3529" s="77"/>
      <c r="I3529" s="77"/>
      <c r="J3529" s="77"/>
      <c r="K3529" s="79"/>
      <c r="L3529" s="49">
        <f t="shared" si="190"/>
        <v>0</v>
      </c>
      <c r="M3529" s="50">
        <f t="shared" si="191"/>
        <v>0</v>
      </c>
    </row>
    <row r="3530" spans="1:13" x14ac:dyDescent="0.2">
      <c r="A3530" s="18"/>
      <c r="B3530" s="77"/>
      <c r="C3530" s="77"/>
      <c r="D3530" s="78"/>
      <c r="E3530" s="77"/>
      <c r="F3530" s="77"/>
      <c r="G3530" s="77"/>
      <c r="H3530" s="77"/>
      <c r="I3530" s="77"/>
      <c r="J3530" s="77"/>
      <c r="K3530" s="79"/>
      <c r="L3530" s="49">
        <f t="shared" si="190"/>
        <v>0</v>
      </c>
      <c r="M3530" s="50">
        <f t="shared" si="191"/>
        <v>0</v>
      </c>
    </row>
    <row r="3531" spans="1:13" x14ac:dyDescent="0.2">
      <c r="A3531" s="18"/>
      <c r="B3531" s="77"/>
      <c r="C3531" s="77"/>
      <c r="D3531" s="78"/>
      <c r="E3531" s="77"/>
      <c r="F3531" s="77"/>
      <c r="G3531" s="77"/>
      <c r="H3531" s="77"/>
      <c r="I3531" s="77"/>
      <c r="J3531" s="77"/>
      <c r="K3531" s="79"/>
      <c r="L3531" s="49">
        <f t="shared" si="190"/>
        <v>0</v>
      </c>
      <c r="M3531" s="50">
        <f t="shared" si="191"/>
        <v>0</v>
      </c>
    </row>
    <row r="3532" spans="1:13" x14ac:dyDescent="0.2">
      <c r="A3532" s="18"/>
      <c r="B3532" s="77"/>
      <c r="C3532" s="77"/>
      <c r="D3532" s="78"/>
      <c r="E3532" s="77"/>
      <c r="F3532" s="77"/>
      <c r="G3532" s="77"/>
      <c r="H3532" s="77"/>
      <c r="I3532" s="77"/>
      <c r="J3532" s="77"/>
      <c r="K3532" s="79"/>
      <c r="L3532" s="49">
        <f t="shared" si="190"/>
        <v>0</v>
      </c>
      <c r="M3532" s="50">
        <f t="shared" si="191"/>
        <v>0</v>
      </c>
    </row>
    <row r="3533" spans="1:13" x14ac:dyDescent="0.2">
      <c r="A3533" s="18"/>
      <c r="B3533" s="77"/>
      <c r="C3533" s="77"/>
      <c r="D3533" s="78"/>
      <c r="E3533" s="77"/>
      <c r="F3533" s="77"/>
      <c r="G3533" s="77"/>
      <c r="H3533" s="77"/>
      <c r="I3533" s="77"/>
      <c r="J3533" s="77"/>
      <c r="K3533" s="79"/>
      <c r="L3533" s="49">
        <f t="shared" si="190"/>
        <v>0</v>
      </c>
      <c r="M3533" s="50">
        <f t="shared" si="191"/>
        <v>0</v>
      </c>
    </row>
    <row r="3534" spans="1:13" x14ac:dyDescent="0.2">
      <c r="A3534" s="18"/>
      <c r="B3534" s="77"/>
      <c r="C3534" s="77"/>
      <c r="D3534" s="78"/>
      <c r="E3534" s="77"/>
      <c r="F3534" s="77"/>
      <c r="G3534" s="77"/>
      <c r="H3534" s="77"/>
      <c r="I3534" s="77"/>
      <c r="J3534" s="77"/>
      <c r="K3534" s="79"/>
      <c r="L3534" s="49">
        <f t="shared" si="190"/>
        <v>0</v>
      </c>
      <c r="M3534" s="50">
        <f t="shared" si="191"/>
        <v>0</v>
      </c>
    </row>
    <row r="3535" spans="1:13" x14ac:dyDescent="0.2">
      <c r="A3535" s="18"/>
      <c r="B3535" s="77"/>
      <c r="C3535" s="77"/>
      <c r="D3535" s="78"/>
      <c r="E3535" s="77"/>
      <c r="F3535" s="77"/>
      <c r="G3535" s="77"/>
      <c r="H3535" s="77"/>
      <c r="I3535" s="77"/>
      <c r="J3535" s="77"/>
      <c r="K3535" s="79"/>
      <c r="L3535" s="49">
        <f t="shared" si="190"/>
        <v>0</v>
      </c>
      <c r="M3535" s="50">
        <f t="shared" si="191"/>
        <v>0</v>
      </c>
    </row>
    <row r="3536" spans="1:13" x14ac:dyDescent="0.2">
      <c r="A3536" s="18"/>
      <c r="B3536" s="77"/>
      <c r="C3536" s="77"/>
      <c r="D3536" s="78"/>
      <c r="E3536" s="77"/>
      <c r="F3536" s="77"/>
      <c r="G3536" s="77"/>
      <c r="H3536" s="77"/>
      <c r="I3536" s="77"/>
      <c r="J3536" s="77"/>
      <c r="K3536" s="79"/>
      <c r="L3536" s="49">
        <f t="shared" si="190"/>
        <v>0</v>
      </c>
      <c r="M3536" s="50">
        <f t="shared" si="191"/>
        <v>0</v>
      </c>
    </row>
    <row r="3537" spans="1:13" x14ac:dyDescent="0.2">
      <c r="A3537" s="18"/>
      <c r="B3537" s="77"/>
      <c r="C3537" s="77"/>
      <c r="D3537" s="78"/>
      <c r="E3537" s="77"/>
      <c r="F3537" s="77"/>
      <c r="G3537" s="77"/>
      <c r="H3537" s="77"/>
      <c r="I3537" s="77"/>
      <c r="J3537" s="77"/>
      <c r="K3537" s="79"/>
      <c r="L3537" s="49">
        <f t="shared" si="190"/>
        <v>0</v>
      </c>
      <c r="M3537" s="50">
        <f t="shared" si="191"/>
        <v>0</v>
      </c>
    </row>
    <row r="3538" spans="1:13" x14ac:dyDescent="0.2">
      <c r="A3538" s="18"/>
      <c r="B3538" s="77"/>
      <c r="C3538" s="77"/>
      <c r="D3538" s="78"/>
      <c r="E3538" s="77"/>
      <c r="F3538" s="77"/>
      <c r="G3538" s="77"/>
      <c r="H3538" s="77"/>
      <c r="I3538" s="77"/>
      <c r="J3538" s="77"/>
      <c r="K3538" s="79"/>
      <c r="L3538" s="49">
        <f t="shared" si="190"/>
        <v>0</v>
      </c>
      <c r="M3538" s="50">
        <f t="shared" si="191"/>
        <v>0</v>
      </c>
    </row>
    <row r="3539" spans="1:13" x14ac:dyDescent="0.2">
      <c r="A3539" s="18"/>
      <c r="B3539" s="77"/>
      <c r="C3539" s="77"/>
      <c r="D3539" s="78"/>
      <c r="E3539" s="77"/>
      <c r="F3539" s="77"/>
      <c r="G3539" s="77"/>
      <c r="H3539" s="77"/>
      <c r="I3539" s="77"/>
      <c r="J3539" s="77"/>
      <c r="K3539" s="79"/>
      <c r="L3539" s="49">
        <f t="shared" si="190"/>
        <v>0</v>
      </c>
      <c r="M3539" s="50">
        <f t="shared" si="191"/>
        <v>0</v>
      </c>
    </row>
    <row r="3540" spans="1:13" x14ac:dyDescent="0.2">
      <c r="A3540" s="18"/>
      <c r="B3540" s="77"/>
      <c r="C3540" s="77"/>
      <c r="D3540" s="78"/>
      <c r="E3540" s="77"/>
      <c r="F3540" s="77"/>
      <c r="G3540" s="77"/>
      <c r="H3540" s="77"/>
      <c r="I3540" s="77"/>
      <c r="J3540" s="77"/>
      <c r="K3540" s="79"/>
      <c r="L3540" s="49">
        <f t="shared" si="190"/>
        <v>0</v>
      </c>
      <c r="M3540" s="50">
        <f t="shared" si="191"/>
        <v>0</v>
      </c>
    </row>
    <row r="3541" spans="1:13" x14ac:dyDescent="0.2">
      <c r="A3541" s="18"/>
      <c r="B3541" s="77"/>
      <c r="C3541" s="77"/>
      <c r="D3541" s="78"/>
      <c r="E3541" s="77"/>
      <c r="F3541" s="77"/>
      <c r="G3541" s="77"/>
      <c r="H3541" s="77"/>
      <c r="I3541" s="77"/>
      <c r="J3541" s="77"/>
      <c r="K3541" s="79"/>
      <c r="L3541" s="49">
        <f t="shared" si="190"/>
        <v>0</v>
      </c>
      <c r="M3541" s="50">
        <f t="shared" si="191"/>
        <v>0</v>
      </c>
    </row>
    <row r="3542" spans="1:13" x14ac:dyDescent="0.2">
      <c r="A3542" s="18"/>
      <c r="B3542" s="77"/>
      <c r="C3542" s="77"/>
      <c r="D3542" s="78"/>
      <c r="E3542" s="77"/>
      <c r="F3542" s="77"/>
      <c r="G3542" s="77"/>
      <c r="H3542" s="77"/>
      <c r="I3542" s="77"/>
      <c r="J3542" s="77"/>
      <c r="K3542" s="79"/>
      <c r="L3542" s="49">
        <f t="shared" si="190"/>
        <v>0</v>
      </c>
      <c r="M3542" s="50">
        <f t="shared" si="191"/>
        <v>0</v>
      </c>
    </row>
    <row r="3543" spans="1:13" x14ac:dyDescent="0.2">
      <c r="A3543" s="18"/>
      <c r="B3543" s="77"/>
      <c r="C3543" s="77"/>
      <c r="D3543" s="78"/>
      <c r="E3543" s="77"/>
      <c r="F3543" s="77"/>
      <c r="G3543" s="77"/>
      <c r="H3543" s="77"/>
      <c r="I3543" s="77"/>
      <c r="J3543" s="77"/>
      <c r="K3543" s="79"/>
      <c r="L3543" s="49">
        <f t="shared" si="190"/>
        <v>0</v>
      </c>
      <c r="M3543" s="50">
        <f t="shared" si="191"/>
        <v>0</v>
      </c>
    </row>
    <row r="3544" spans="1:13" x14ac:dyDescent="0.2">
      <c r="A3544" s="18"/>
      <c r="B3544" s="77"/>
      <c r="C3544" s="77"/>
      <c r="D3544" s="78"/>
      <c r="E3544" s="77"/>
      <c r="F3544" s="77"/>
      <c r="G3544" s="77"/>
      <c r="H3544" s="77"/>
      <c r="I3544" s="77"/>
      <c r="J3544" s="77"/>
      <c r="K3544" s="79"/>
      <c r="L3544" s="49">
        <f t="shared" si="190"/>
        <v>0</v>
      </c>
      <c r="M3544" s="50">
        <f t="shared" si="191"/>
        <v>0</v>
      </c>
    </row>
    <row r="3545" spans="1:13" x14ac:dyDescent="0.2">
      <c r="A3545" s="18"/>
      <c r="B3545" s="77"/>
      <c r="C3545" s="77"/>
      <c r="D3545" s="78"/>
      <c r="E3545" s="77"/>
      <c r="F3545" s="77"/>
      <c r="G3545" s="77"/>
      <c r="H3545" s="77"/>
      <c r="I3545" s="77"/>
      <c r="J3545" s="77"/>
      <c r="K3545" s="79"/>
      <c r="L3545" s="49">
        <f t="shared" si="190"/>
        <v>0</v>
      </c>
      <c r="M3545" s="50">
        <f t="shared" si="191"/>
        <v>0</v>
      </c>
    </row>
    <row r="3546" spans="1:13" x14ac:dyDescent="0.2">
      <c r="A3546" s="18"/>
      <c r="B3546" s="77"/>
      <c r="C3546" s="77"/>
      <c r="D3546" s="78"/>
      <c r="E3546" s="77"/>
      <c r="F3546" s="77"/>
      <c r="G3546" s="77"/>
      <c r="H3546" s="77"/>
      <c r="I3546" s="77"/>
      <c r="J3546" s="77"/>
      <c r="K3546" s="79"/>
      <c r="L3546" s="49">
        <f t="shared" si="190"/>
        <v>0</v>
      </c>
      <c r="M3546" s="50">
        <f t="shared" si="191"/>
        <v>0</v>
      </c>
    </row>
    <row r="3547" spans="1:13" x14ac:dyDescent="0.2">
      <c r="A3547" s="18"/>
      <c r="B3547" s="77"/>
      <c r="C3547" s="77"/>
      <c r="D3547" s="78"/>
      <c r="E3547" s="77"/>
      <c r="F3547" s="77"/>
      <c r="G3547" s="77"/>
      <c r="H3547" s="77"/>
      <c r="I3547" s="77"/>
      <c r="J3547" s="77"/>
      <c r="K3547" s="79"/>
      <c r="L3547" s="49">
        <f t="shared" si="190"/>
        <v>0</v>
      </c>
      <c r="M3547" s="50">
        <f t="shared" si="191"/>
        <v>0</v>
      </c>
    </row>
    <row r="3548" spans="1:13" x14ac:dyDescent="0.2">
      <c r="A3548" s="18"/>
      <c r="B3548" s="77"/>
      <c r="C3548" s="77"/>
      <c r="D3548" s="78"/>
      <c r="E3548" s="77"/>
      <c r="F3548" s="77"/>
      <c r="G3548" s="77"/>
      <c r="H3548" s="77"/>
      <c r="I3548" s="77"/>
      <c r="J3548" s="77"/>
      <c r="K3548" s="79"/>
      <c r="L3548" s="49">
        <f t="shared" si="190"/>
        <v>0</v>
      </c>
      <c r="M3548" s="50">
        <f t="shared" si="191"/>
        <v>0</v>
      </c>
    </row>
    <row r="3549" spans="1:13" x14ac:dyDescent="0.2">
      <c r="A3549" s="18"/>
      <c r="B3549" s="77"/>
      <c r="C3549" s="77"/>
      <c r="D3549" s="78"/>
      <c r="E3549" s="77"/>
      <c r="F3549" s="77"/>
      <c r="G3549" s="77"/>
      <c r="H3549" s="77"/>
      <c r="I3549" s="77"/>
      <c r="J3549" s="77"/>
      <c r="K3549" s="79"/>
      <c r="L3549" s="49">
        <f t="shared" si="190"/>
        <v>0</v>
      </c>
      <c r="M3549" s="50">
        <f t="shared" si="191"/>
        <v>0</v>
      </c>
    </row>
    <row r="3550" spans="1:13" x14ac:dyDescent="0.2">
      <c r="A3550" s="18"/>
      <c r="B3550" s="77"/>
      <c r="C3550" s="77"/>
      <c r="D3550" s="78"/>
      <c r="E3550" s="77"/>
      <c r="F3550" s="77"/>
      <c r="G3550" s="77"/>
      <c r="H3550" s="77"/>
      <c r="I3550" s="77"/>
      <c r="J3550" s="77"/>
      <c r="K3550" s="79"/>
      <c r="L3550" s="49">
        <f t="shared" si="190"/>
        <v>0</v>
      </c>
      <c r="M3550" s="50">
        <f t="shared" si="191"/>
        <v>0</v>
      </c>
    </row>
    <row r="3551" spans="1:13" x14ac:dyDescent="0.2">
      <c r="A3551" s="18"/>
      <c r="B3551" s="77"/>
      <c r="C3551" s="77"/>
      <c r="D3551" s="78"/>
      <c r="E3551" s="77"/>
      <c r="F3551" s="77"/>
      <c r="G3551" s="77"/>
      <c r="H3551" s="77"/>
      <c r="I3551" s="77"/>
      <c r="J3551" s="77"/>
      <c r="K3551" s="79"/>
      <c r="L3551" s="49">
        <f t="shared" si="190"/>
        <v>0</v>
      </c>
      <c r="M3551" s="50">
        <f t="shared" si="191"/>
        <v>0</v>
      </c>
    </row>
    <row r="3552" spans="1:13" x14ac:dyDescent="0.2">
      <c r="A3552" s="18"/>
      <c r="B3552" s="77"/>
      <c r="C3552" s="77"/>
      <c r="D3552" s="78"/>
      <c r="E3552" s="77"/>
      <c r="F3552" s="77"/>
      <c r="G3552" s="77"/>
      <c r="H3552" s="77"/>
      <c r="I3552" s="77"/>
      <c r="J3552" s="77"/>
      <c r="K3552" s="79"/>
      <c r="L3552" s="49">
        <f t="shared" si="190"/>
        <v>0</v>
      </c>
      <c r="M3552" s="50">
        <f t="shared" si="191"/>
        <v>0</v>
      </c>
    </row>
    <row r="3553" spans="1:13" x14ac:dyDescent="0.2">
      <c r="A3553" s="18"/>
      <c r="B3553" s="77"/>
      <c r="C3553" s="77"/>
      <c r="D3553" s="78"/>
      <c r="E3553" s="77"/>
      <c r="F3553" s="77"/>
      <c r="G3553" s="77"/>
      <c r="H3553" s="77"/>
      <c r="I3553" s="77"/>
      <c r="J3553" s="77"/>
      <c r="K3553" s="79"/>
      <c r="L3553" s="49">
        <f t="shared" si="190"/>
        <v>0</v>
      </c>
      <c r="M3553" s="50">
        <f t="shared" si="191"/>
        <v>0</v>
      </c>
    </row>
    <row r="3554" spans="1:13" x14ac:dyDescent="0.2">
      <c r="A3554" s="18"/>
      <c r="B3554" s="77"/>
      <c r="C3554" s="77"/>
      <c r="D3554" s="78"/>
      <c r="E3554" s="77"/>
      <c r="F3554" s="77"/>
      <c r="G3554" s="77"/>
      <c r="H3554" s="77"/>
      <c r="I3554" s="77"/>
      <c r="J3554" s="77"/>
      <c r="K3554" s="79"/>
      <c r="L3554" s="49">
        <f t="shared" si="190"/>
        <v>0</v>
      </c>
      <c r="M3554" s="50">
        <f t="shared" si="191"/>
        <v>0</v>
      </c>
    </row>
    <row r="3555" spans="1:13" x14ac:dyDescent="0.2">
      <c r="A3555" s="18"/>
      <c r="B3555" s="77"/>
      <c r="C3555" s="77"/>
      <c r="D3555" s="78"/>
      <c r="E3555" s="77"/>
      <c r="F3555" s="77"/>
      <c r="G3555" s="77"/>
      <c r="H3555" s="77"/>
      <c r="I3555" s="77"/>
      <c r="J3555" s="77"/>
      <c r="K3555" s="79"/>
      <c r="L3555" s="49">
        <f t="shared" si="190"/>
        <v>0</v>
      </c>
      <c r="M3555" s="50">
        <f t="shared" si="191"/>
        <v>0</v>
      </c>
    </row>
    <row r="3556" spans="1:13" x14ac:dyDescent="0.2">
      <c r="A3556" s="18"/>
      <c r="B3556" s="77"/>
      <c r="C3556" s="77"/>
      <c r="D3556" s="78"/>
      <c r="E3556" s="77"/>
      <c r="F3556" s="77"/>
      <c r="G3556" s="77"/>
      <c r="H3556" s="77"/>
      <c r="I3556" s="77"/>
      <c r="J3556" s="77"/>
      <c r="K3556" s="79"/>
      <c r="L3556" s="49">
        <f t="shared" si="190"/>
        <v>0</v>
      </c>
      <c r="M3556" s="50">
        <f t="shared" si="191"/>
        <v>0</v>
      </c>
    </row>
    <row r="3557" spans="1:13" x14ac:dyDescent="0.2">
      <c r="A3557" s="18"/>
      <c r="B3557" s="77"/>
      <c r="C3557" s="77"/>
      <c r="D3557" s="78"/>
      <c r="E3557" s="77"/>
      <c r="F3557" s="77"/>
      <c r="G3557" s="77"/>
      <c r="H3557" s="77"/>
      <c r="I3557" s="77"/>
      <c r="J3557" s="77"/>
      <c r="K3557" s="79"/>
      <c r="L3557" s="49">
        <f t="shared" si="190"/>
        <v>0</v>
      </c>
      <c r="M3557" s="50">
        <f t="shared" si="191"/>
        <v>0</v>
      </c>
    </row>
    <row r="3558" spans="1:13" x14ac:dyDescent="0.2">
      <c r="A3558" s="18"/>
      <c r="B3558" s="77"/>
      <c r="C3558" s="77"/>
      <c r="D3558" s="78"/>
      <c r="E3558" s="77"/>
      <c r="F3558" s="77"/>
      <c r="G3558" s="77"/>
      <c r="H3558" s="77"/>
      <c r="I3558" s="77"/>
      <c r="J3558" s="77"/>
      <c r="K3558" s="79"/>
      <c r="L3558" s="49">
        <f t="shared" si="190"/>
        <v>0</v>
      </c>
      <c r="M3558" s="50">
        <f t="shared" si="191"/>
        <v>0</v>
      </c>
    </row>
    <row r="3559" spans="1:13" x14ac:dyDescent="0.2">
      <c r="A3559" s="18"/>
      <c r="B3559" s="77"/>
      <c r="C3559" s="77"/>
      <c r="D3559" s="78"/>
      <c r="E3559" s="77"/>
      <c r="F3559" s="77"/>
      <c r="G3559" s="77"/>
      <c r="H3559" s="77"/>
      <c r="I3559" s="77"/>
      <c r="J3559" s="77"/>
      <c r="K3559" s="79"/>
      <c r="L3559" s="49">
        <f t="shared" si="190"/>
        <v>0</v>
      </c>
      <c r="M3559" s="50">
        <f t="shared" si="191"/>
        <v>0</v>
      </c>
    </row>
    <row r="3560" spans="1:13" x14ac:dyDescent="0.2">
      <c r="A3560" s="18"/>
      <c r="B3560" s="77"/>
      <c r="C3560" s="77"/>
      <c r="D3560" s="78"/>
      <c r="E3560" s="77"/>
      <c r="F3560" s="77"/>
      <c r="G3560" s="77"/>
      <c r="H3560" s="77"/>
      <c r="I3560" s="77"/>
      <c r="J3560" s="77"/>
      <c r="K3560" s="79"/>
      <c r="L3560" s="49">
        <f t="shared" si="190"/>
        <v>0</v>
      </c>
      <c r="M3560" s="50">
        <f t="shared" si="191"/>
        <v>0</v>
      </c>
    </row>
    <row r="3561" spans="1:13" x14ac:dyDescent="0.2">
      <c r="A3561" s="18"/>
      <c r="B3561" s="77"/>
      <c r="C3561" s="77"/>
      <c r="D3561" s="78"/>
      <c r="E3561" s="77"/>
      <c r="F3561" s="77"/>
      <c r="G3561" s="77"/>
      <c r="H3561" s="77"/>
      <c r="I3561" s="77"/>
      <c r="J3561" s="77"/>
      <c r="K3561" s="79"/>
      <c r="L3561" s="49">
        <f t="shared" si="190"/>
        <v>0</v>
      </c>
      <c r="M3561" s="50">
        <f t="shared" si="191"/>
        <v>0</v>
      </c>
    </row>
    <row r="3562" spans="1:13" x14ac:dyDescent="0.2">
      <c r="A3562" s="18"/>
      <c r="B3562" s="77"/>
      <c r="C3562" s="77"/>
      <c r="D3562" s="78"/>
      <c r="E3562" s="77"/>
      <c r="F3562" s="77"/>
      <c r="G3562" s="77"/>
      <c r="H3562" s="77"/>
      <c r="I3562" s="77"/>
      <c r="J3562" s="77"/>
      <c r="K3562" s="79"/>
      <c r="L3562" s="49">
        <f t="shared" si="190"/>
        <v>0</v>
      </c>
      <c r="M3562" s="50">
        <f t="shared" si="191"/>
        <v>0</v>
      </c>
    </row>
    <row r="3563" spans="1:13" x14ac:dyDescent="0.2">
      <c r="A3563" s="18"/>
      <c r="B3563" s="77"/>
      <c r="C3563" s="77"/>
      <c r="D3563" s="78"/>
      <c r="E3563" s="77"/>
      <c r="F3563" s="77"/>
      <c r="G3563" s="77"/>
      <c r="H3563" s="77"/>
      <c r="I3563" s="77"/>
      <c r="J3563" s="77"/>
      <c r="K3563" s="79"/>
      <c r="L3563" s="49">
        <f t="shared" si="190"/>
        <v>0</v>
      </c>
      <c r="M3563" s="50">
        <f t="shared" si="191"/>
        <v>0</v>
      </c>
    </row>
    <row r="3564" spans="1:13" x14ac:dyDescent="0.2">
      <c r="A3564" s="18"/>
      <c r="B3564" s="77"/>
      <c r="C3564" s="77"/>
      <c r="D3564" s="78"/>
      <c r="E3564" s="77"/>
      <c r="F3564" s="77"/>
      <c r="G3564" s="77"/>
      <c r="H3564" s="77"/>
      <c r="I3564" s="77"/>
      <c r="J3564" s="77"/>
      <c r="K3564" s="79"/>
      <c r="L3564" s="49">
        <f t="shared" si="190"/>
        <v>0</v>
      </c>
      <c r="M3564" s="50">
        <f t="shared" si="191"/>
        <v>0</v>
      </c>
    </row>
    <row r="3565" spans="1:13" x14ac:dyDescent="0.2">
      <c r="A3565" s="18"/>
      <c r="B3565" s="77"/>
      <c r="C3565" s="77"/>
      <c r="D3565" s="78"/>
      <c r="E3565" s="77"/>
      <c r="F3565" s="77"/>
      <c r="G3565" s="77"/>
      <c r="H3565" s="77"/>
      <c r="I3565" s="77"/>
      <c r="J3565" s="77"/>
      <c r="K3565" s="79"/>
      <c r="L3565" s="49">
        <f t="shared" si="190"/>
        <v>0</v>
      </c>
      <c r="M3565" s="50">
        <f t="shared" si="191"/>
        <v>0</v>
      </c>
    </row>
    <row r="3566" spans="1:13" x14ac:dyDescent="0.2">
      <c r="A3566" s="18"/>
      <c r="B3566" s="77"/>
      <c r="C3566" s="77"/>
      <c r="D3566" s="78"/>
      <c r="E3566" s="77"/>
      <c r="F3566" s="77"/>
      <c r="G3566" s="77"/>
      <c r="H3566" s="77"/>
      <c r="I3566" s="77"/>
      <c r="J3566" s="77"/>
      <c r="K3566" s="79"/>
      <c r="L3566" s="49">
        <f t="shared" ref="L3566:L3573" si="192">+K3566*18%</f>
        <v>0</v>
      </c>
      <c r="M3566" s="50">
        <f t="shared" ref="M3566:M3573" si="193">+K3566+L3566</f>
        <v>0</v>
      </c>
    </row>
    <row r="3567" spans="1:13" x14ac:dyDescent="0.2">
      <c r="A3567" s="18"/>
      <c r="B3567" s="77"/>
      <c r="C3567" s="77"/>
      <c r="D3567" s="78"/>
      <c r="E3567" s="77"/>
      <c r="F3567" s="77"/>
      <c r="G3567" s="77"/>
      <c r="H3567" s="77"/>
      <c r="I3567" s="77"/>
      <c r="J3567" s="77"/>
      <c r="K3567" s="79"/>
      <c r="L3567" s="49">
        <f t="shared" si="192"/>
        <v>0</v>
      </c>
      <c r="M3567" s="50">
        <f t="shared" si="193"/>
        <v>0</v>
      </c>
    </row>
    <row r="3568" spans="1:13" x14ac:dyDescent="0.2">
      <c r="A3568" s="18"/>
      <c r="B3568" s="77"/>
      <c r="C3568" s="77"/>
      <c r="D3568" s="78"/>
      <c r="E3568" s="77"/>
      <c r="F3568" s="77"/>
      <c r="G3568" s="77"/>
      <c r="H3568" s="77"/>
      <c r="I3568" s="77"/>
      <c r="J3568" s="77"/>
      <c r="K3568" s="79"/>
      <c r="L3568" s="49">
        <f t="shared" si="192"/>
        <v>0</v>
      </c>
      <c r="M3568" s="50">
        <f t="shared" si="193"/>
        <v>0</v>
      </c>
    </row>
    <row r="3569" spans="1:13" x14ac:dyDescent="0.2">
      <c r="A3569" s="18"/>
      <c r="B3569" s="77"/>
      <c r="C3569" s="77"/>
      <c r="D3569" s="78"/>
      <c r="E3569" s="77"/>
      <c r="F3569" s="77"/>
      <c r="G3569" s="77"/>
      <c r="H3569" s="77"/>
      <c r="I3569" s="77"/>
      <c r="J3569" s="77"/>
      <c r="K3569" s="79"/>
      <c r="L3569" s="49">
        <f t="shared" si="192"/>
        <v>0</v>
      </c>
      <c r="M3569" s="50">
        <f t="shared" si="193"/>
        <v>0</v>
      </c>
    </row>
    <row r="3570" spans="1:13" x14ac:dyDescent="0.2">
      <c r="A3570" s="18"/>
      <c r="B3570" s="77"/>
      <c r="C3570" s="77"/>
      <c r="D3570" s="78"/>
      <c r="E3570" s="77"/>
      <c r="F3570" s="77"/>
      <c r="G3570" s="77"/>
      <c r="H3570" s="77"/>
      <c r="I3570" s="77"/>
      <c r="J3570" s="77"/>
      <c r="K3570" s="79"/>
      <c r="L3570" s="49">
        <f t="shared" si="192"/>
        <v>0</v>
      </c>
      <c r="M3570" s="50">
        <f t="shared" si="193"/>
        <v>0</v>
      </c>
    </row>
    <row r="3571" spans="1:13" x14ac:dyDescent="0.2">
      <c r="A3571" s="18"/>
      <c r="B3571" s="77"/>
      <c r="C3571" s="77"/>
      <c r="D3571" s="78"/>
      <c r="E3571" s="77"/>
      <c r="F3571" s="77"/>
      <c r="G3571" s="77"/>
      <c r="H3571" s="77"/>
      <c r="I3571" s="77"/>
      <c r="J3571" s="77"/>
      <c r="K3571" s="79"/>
      <c r="L3571" s="49">
        <f t="shared" si="192"/>
        <v>0</v>
      </c>
      <c r="M3571" s="50">
        <f t="shared" si="193"/>
        <v>0</v>
      </c>
    </row>
    <row r="3572" spans="1:13" x14ac:dyDescent="0.2">
      <c r="A3572" s="18"/>
      <c r="B3572" s="77"/>
      <c r="C3572" s="77"/>
      <c r="D3572" s="78"/>
      <c r="E3572" s="77"/>
      <c r="F3572" s="77"/>
      <c r="G3572" s="77"/>
      <c r="H3572" s="77"/>
      <c r="I3572" s="77"/>
      <c r="J3572" s="77"/>
      <c r="K3572" s="79"/>
      <c r="L3572" s="49">
        <f t="shared" si="192"/>
        <v>0</v>
      </c>
      <c r="M3572" s="50">
        <f t="shared" si="193"/>
        <v>0</v>
      </c>
    </row>
    <row r="3573" spans="1:13" x14ac:dyDescent="0.2">
      <c r="A3573" s="18"/>
      <c r="B3573" s="77"/>
      <c r="C3573" s="77"/>
      <c r="D3573" s="78"/>
      <c r="E3573" s="77"/>
      <c r="F3573" s="77"/>
      <c r="G3573" s="77"/>
      <c r="H3573" s="77"/>
      <c r="I3573" s="77"/>
      <c r="J3573" s="77"/>
      <c r="K3573" s="79"/>
      <c r="L3573" s="49">
        <f t="shared" si="192"/>
        <v>0</v>
      </c>
      <c r="M3573" s="50">
        <f t="shared" si="193"/>
        <v>0</v>
      </c>
    </row>
    <row r="3574" spans="1:13" x14ac:dyDescent="0.2">
      <c r="A3574" s="18"/>
      <c r="B3574" s="77"/>
      <c r="C3574" s="77"/>
      <c r="D3574" s="78"/>
      <c r="E3574" s="77"/>
      <c r="F3574" s="77"/>
      <c r="G3574" s="77"/>
      <c r="H3574" s="77"/>
      <c r="I3574" s="77"/>
      <c r="J3574" s="77"/>
      <c r="K3574" s="79"/>
      <c r="L3574" s="49">
        <f t="shared" ref="L3574:L3615" si="194">+K3574*18%</f>
        <v>0</v>
      </c>
      <c r="M3574" s="50">
        <f t="shared" ref="M3574:M3615" si="195">+K3574+L3574</f>
        <v>0</v>
      </c>
    </row>
    <row r="3575" spans="1:13" x14ac:dyDescent="0.2">
      <c r="A3575" s="18"/>
      <c r="B3575" s="77"/>
      <c r="C3575" s="77"/>
      <c r="D3575" s="78"/>
      <c r="E3575" s="77"/>
      <c r="F3575" s="77"/>
      <c r="G3575" s="77"/>
      <c r="H3575" s="77"/>
      <c r="I3575" s="77"/>
      <c r="J3575" s="77"/>
      <c r="K3575" s="79"/>
      <c r="L3575" s="49">
        <f t="shared" si="194"/>
        <v>0</v>
      </c>
      <c r="M3575" s="50">
        <f t="shared" si="195"/>
        <v>0</v>
      </c>
    </row>
    <row r="3576" spans="1:13" x14ac:dyDescent="0.2">
      <c r="A3576" s="18"/>
      <c r="B3576" s="77"/>
      <c r="C3576" s="77"/>
      <c r="D3576" s="78"/>
      <c r="E3576" s="77"/>
      <c r="F3576" s="77"/>
      <c r="G3576" s="77"/>
      <c r="H3576" s="77"/>
      <c r="I3576" s="77"/>
      <c r="J3576" s="77"/>
      <c r="K3576" s="79"/>
      <c r="L3576" s="49">
        <f t="shared" si="194"/>
        <v>0</v>
      </c>
      <c r="M3576" s="50">
        <f t="shared" si="195"/>
        <v>0</v>
      </c>
    </row>
    <row r="3577" spans="1:13" x14ac:dyDescent="0.2">
      <c r="A3577" s="18"/>
      <c r="B3577" s="77"/>
      <c r="C3577" s="77"/>
      <c r="D3577" s="78"/>
      <c r="E3577" s="77"/>
      <c r="F3577" s="77"/>
      <c r="G3577" s="77"/>
      <c r="H3577" s="77"/>
      <c r="I3577" s="77"/>
      <c r="J3577" s="77"/>
      <c r="K3577" s="79"/>
      <c r="L3577" s="49">
        <f t="shared" si="194"/>
        <v>0</v>
      </c>
      <c r="M3577" s="50">
        <f t="shared" si="195"/>
        <v>0</v>
      </c>
    </row>
    <row r="3578" spans="1:13" x14ac:dyDescent="0.2">
      <c r="A3578" s="18"/>
      <c r="B3578" s="77"/>
      <c r="C3578" s="77"/>
      <c r="D3578" s="78"/>
      <c r="E3578" s="77"/>
      <c r="F3578" s="77"/>
      <c r="G3578" s="77"/>
      <c r="H3578" s="77"/>
      <c r="I3578" s="77"/>
      <c r="J3578" s="77"/>
      <c r="K3578" s="79"/>
      <c r="L3578" s="49">
        <f t="shared" si="194"/>
        <v>0</v>
      </c>
      <c r="M3578" s="50">
        <f t="shared" si="195"/>
        <v>0</v>
      </c>
    </row>
    <row r="3579" spans="1:13" x14ac:dyDescent="0.2">
      <c r="A3579" s="18"/>
      <c r="B3579" s="77"/>
      <c r="C3579" s="77"/>
      <c r="D3579" s="78"/>
      <c r="E3579" s="77"/>
      <c r="F3579" s="77"/>
      <c r="G3579" s="77"/>
      <c r="H3579" s="77"/>
      <c r="I3579" s="77"/>
      <c r="J3579" s="77"/>
      <c r="K3579" s="79"/>
      <c r="L3579" s="49">
        <f t="shared" si="194"/>
        <v>0</v>
      </c>
      <c r="M3579" s="50">
        <f t="shared" si="195"/>
        <v>0</v>
      </c>
    </row>
    <row r="3580" spans="1:13" x14ac:dyDescent="0.2">
      <c r="A3580" s="18"/>
      <c r="B3580" s="77"/>
      <c r="C3580" s="77"/>
      <c r="D3580" s="78"/>
      <c r="E3580" s="77"/>
      <c r="F3580" s="77"/>
      <c r="G3580" s="77"/>
      <c r="H3580" s="77"/>
      <c r="I3580" s="77"/>
      <c r="J3580" s="77"/>
      <c r="K3580" s="79"/>
      <c r="L3580" s="49">
        <f t="shared" si="194"/>
        <v>0</v>
      </c>
      <c r="M3580" s="50">
        <f t="shared" si="195"/>
        <v>0</v>
      </c>
    </row>
    <row r="3581" spans="1:13" x14ac:dyDescent="0.2">
      <c r="A3581" s="18"/>
      <c r="B3581" s="77"/>
      <c r="C3581" s="77"/>
      <c r="D3581" s="78"/>
      <c r="E3581" s="77"/>
      <c r="F3581" s="77"/>
      <c r="G3581" s="77"/>
      <c r="H3581" s="77"/>
      <c r="I3581" s="77"/>
      <c r="J3581" s="77"/>
      <c r="K3581" s="79"/>
      <c r="L3581" s="49">
        <f t="shared" si="194"/>
        <v>0</v>
      </c>
      <c r="M3581" s="50">
        <f t="shared" si="195"/>
        <v>0</v>
      </c>
    </row>
    <row r="3582" spans="1:13" x14ac:dyDescent="0.2">
      <c r="A3582" s="18"/>
      <c r="B3582" s="77"/>
      <c r="C3582" s="77"/>
      <c r="D3582" s="78"/>
      <c r="E3582" s="77"/>
      <c r="F3582" s="77"/>
      <c r="G3582" s="77"/>
      <c r="H3582" s="77"/>
      <c r="I3582" s="77"/>
      <c r="J3582" s="77"/>
      <c r="K3582" s="79"/>
      <c r="L3582" s="49">
        <f t="shared" si="194"/>
        <v>0</v>
      </c>
      <c r="M3582" s="50">
        <f t="shared" si="195"/>
        <v>0</v>
      </c>
    </row>
    <row r="3583" spans="1:13" x14ac:dyDescent="0.2">
      <c r="A3583" s="18"/>
      <c r="B3583" s="77"/>
      <c r="C3583" s="77"/>
      <c r="D3583" s="78"/>
      <c r="E3583" s="77"/>
      <c r="F3583" s="77"/>
      <c r="G3583" s="77"/>
      <c r="H3583" s="77"/>
      <c r="I3583" s="77"/>
      <c r="J3583" s="77"/>
      <c r="K3583" s="79"/>
      <c r="L3583" s="49">
        <f t="shared" si="194"/>
        <v>0</v>
      </c>
      <c r="M3583" s="50">
        <f t="shared" si="195"/>
        <v>0</v>
      </c>
    </row>
    <row r="3584" spans="1:13" x14ac:dyDescent="0.2">
      <c r="A3584" s="18"/>
      <c r="B3584" s="77"/>
      <c r="C3584" s="77"/>
      <c r="D3584" s="78"/>
      <c r="E3584" s="77"/>
      <c r="F3584" s="77"/>
      <c r="G3584" s="77"/>
      <c r="H3584" s="77"/>
      <c r="I3584" s="77"/>
      <c r="J3584" s="77"/>
      <c r="K3584" s="79"/>
      <c r="L3584" s="49">
        <f t="shared" si="194"/>
        <v>0</v>
      </c>
      <c r="M3584" s="50">
        <f t="shared" si="195"/>
        <v>0</v>
      </c>
    </row>
    <row r="3585" spans="1:13" x14ac:dyDescent="0.2">
      <c r="A3585" s="18"/>
      <c r="B3585" s="77"/>
      <c r="C3585" s="77"/>
      <c r="D3585" s="78"/>
      <c r="E3585" s="77"/>
      <c r="F3585" s="77"/>
      <c r="G3585" s="77"/>
      <c r="H3585" s="77"/>
      <c r="I3585" s="77"/>
      <c r="J3585" s="77"/>
      <c r="K3585" s="79"/>
      <c r="L3585" s="49">
        <f t="shared" si="194"/>
        <v>0</v>
      </c>
      <c r="M3585" s="50">
        <f t="shared" si="195"/>
        <v>0</v>
      </c>
    </row>
    <row r="3586" spans="1:13" x14ac:dyDescent="0.2">
      <c r="A3586" s="18"/>
      <c r="B3586" s="77"/>
      <c r="C3586" s="77"/>
      <c r="D3586" s="78"/>
      <c r="E3586" s="77"/>
      <c r="F3586" s="77"/>
      <c r="G3586" s="77"/>
      <c r="H3586" s="77"/>
      <c r="I3586" s="77"/>
      <c r="J3586" s="77"/>
      <c r="K3586" s="79"/>
      <c r="L3586" s="49">
        <f t="shared" si="194"/>
        <v>0</v>
      </c>
      <c r="M3586" s="50">
        <f t="shared" si="195"/>
        <v>0</v>
      </c>
    </row>
    <row r="3587" spans="1:13" x14ac:dyDescent="0.2">
      <c r="A3587" s="18"/>
      <c r="B3587" s="77"/>
      <c r="C3587" s="77"/>
      <c r="D3587" s="78"/>
      <c r="E3587" s="77"/>
      <c r="F3587" s="77"/>
      <c r="G3587" s="77"/>
      <c r="H3587" s="77"/>
      <c r="I3587" s="77"/>
      <c r="J3587" s="77"/>
      <c r="K3587" s="79"/>
      <c r="L3587" s="49">
        <f t="shared" si="194"/>
        <v>0</v>
      </c>
      <c r="M3587" s="50">
        <f t="shared" si="195"/>
        <v>0</v>
      </c>
    </row>
    <row r="3588" spans="1:13" x14ac:dyDescent="0.2">
      <c r="A3588" s="18"/>
      <c r="B3588" s="77"/>
      <c r="C3588" s="77"/>
      <c r="D3588" s="78"/>
      <c r="E3588" s="77"/>
      <c r="F3588" s="77"/>
      <c r="G3588" s="77"/>
      <c r="H3588" s="77"/>
      <c r="I3588" s="77"/>
      <c r="J3588" s="77"/>
      <c r="K3588" s="79"/>
      <c r="L3588" s="49">
        <f t="shared" si="194"/>
        <v>0</v>
      </c>
      <c r="M3588" s="50">
        <f t="shared" si="195"/>
        <v>0</v>
      </c>
    </row>
    <row r="3589" spans="1:13" x14ac:dyDescent="0.2">
      <c r="A3589" s="18"/>
      <c r="B3589" s="77"/>
      <c r="C3589" s="77"/>
      <c r="D3589" s="78"/>
      <c r="E3589" s="77"/>
      <c r="F3589" s="77"/>
      <c r="G3589" s="77"/>
      <c r="H3589" s="77"/>
      <c r="I3589" s="77"/>
      <c r="J3589" s="77"/>
      <c r="K3589" s="79"/>
      <c r="L3589" s="49">
        <f t="shared" si="194"/>
        <v>0</v>
      </c>
      <c r="M3589" s="50">
        <f t="shared" si="195"/>
        <v>0</v>
      </c>
    </row>
    <row r="3590" spans="1:13" x14ac:dyDescent="0.2">
      <c r="A3590" s="18"/>
      <c r="B3590" s="77"/>
      <c r="C3590" s="77"/>
      <c r="D3590" s="78"/>
      <c r="E3590" s="77"/>
      <c r="F3590" s="77"/>
      <c r="G3590" s="77"/>
      <c r="H3590" s="77"/>
      <c r="I3590" s="77"/>
      <c r="J3590" s="77"/>
      <c r="K3590" s="79"/>
      <c r="L3590" s="49">
        <f t="shared" si="194"/>
        <v>0</v>
      </c>
      <c r="M3590" s="50">
        <f t="shared" si="195"/>
        <v>0</v>
      </c>
    </row>
    <row r="3591" spans="1:13" x14ac:dyDescent="0.2">
      <c r="A3591" s="18"/>
      <c r="B3591" s="77"/>
      <c r="C3591" s="77"/>
      <c r="D3591" s="78"/>
      <c r="E3591" s="77"/>
      <c r="F3591" s="77"/>
      <c r="G3591" s="77"/>
      <c r="H3591" s="77"/>
      <c r="I3591" s="77"/>
      <c r="J3591" s="77"/>
      <c r="K3591" s="79"/>
      <c r="L3591" s="49">
        <f t="shared" si="194"/>
        <v>0</v>
      </c>
      <c r="M3591" s="50">
        <f t="shared" si="195"/>
        <v>0</v>
      </c>
    </row>
    <row r="3592" spans="1:13" x14ac:dyDescent="0.2">
      <c r="A3592" s="18"/>
      <c r="B3592" s="77"/>
      <c r="C3592" s="77"/>
      <c r="D3592" s="78"/>
      <c r="E3592" s="77"/>
      <c r="F3592" s="77"/>
      <c r="G3592" s="77"/>
      <c r="H3592" s="77"/>
      <c r="I3592" s="77"/>
      <c r="J3592" s="77"/>
      <c r="K3592" s="79"/>
      <c r="L3592" s="49">
        <f t="shared" si="194"/>
        <v>0</v>
      </c>
      <c r="M3592" s="50">
        <f t="shared" si="195"/>
        <v>0</v>
      </c>
    </row>
    <row r="3593" spans="1:13" x14ac:dyDescent="0.2">
      <c r="A3593" s="18"/>
      <c r="B3593" s="77"/>
      <c r="C3593" s="77"/>
      <c r="D3593" s="78"/>
      <c r="E3593" s="77"/>
      <c r="F3593" s="77"/>
      <c r="G3593" s="77"/>
      <c r="H3593" s="77"/>
      <c r="I3593" s="77"/>
      <c r="J3593" s="77"/>
      <c r="K3593" s="79"/>
      <c r="L3593" s="49">
        <f t="shared" si="194"/>
        <v>0</v>
      </c>
      <c r="M3593" s="50">
        <f t="shared" si="195"/>
        <v>0</v>
      </c>
    </row>
    <row r="3594" spans="1:13" x14ac:dyDescent="0.2">
      <c r="A3594" s="18"/>
      <c r="B3594" s="77"/>
      <c r="C3594" s="77"/>
      <c r="D3594" s="78"/>
      <c r="E3594" s="77"/>
      <c r="F3594" s="77"/>
      <c r="G3594" s="77"/>
      <c r="H3594" s="77"/>
      <c r="I3594" s="77"/>
      <c r="J3594" s="77"/>
      <c r="K3594" s="79"/>
      <c r="L3594" s="49">
        <f t="shared" si="194"/>
        <v>0</v>
      </c>
      <c r="M3594" s="50">
        <f t="shared" si="195"/>
        <v>0</v>
      </c>
    </row>
    <row r="3595" spans="1:13" x14ac:dyDescent="0.2">
      <c r="A3595" s="18"/>
      <c r="B3595" s="77"/>
      <c r="C3595" s="77"/>
      <c r="D3595" s="78"/>
      <c r="E3595" s="77"/>
      <c r="F3595" s="77"/>
      <c r="G3595" s="77"/>
      <c r="H3595" s="77"/>
      <c r="I3595" s="77"/>
      <c r="J3595" s="77"/>
      <c r="K3595" s="79"/>
      <c r="L3595" s="49">
        <f t="shared" si="194"/>
        <v>0</v>
      </c>
      <c r="M3595" s="50">
        <f t="shared" si="195"/>
        <v>0</v>
      </c>
    </row>
    <row r="3596" spans="1:13" x14ac:dyDescent="0.2">
      <c r="A3596" s="18"/>
      <c r="B3596" s="77"/>
      <c r="C3596" s="77"/>
      <c r="D3596" s="78"/>
      <c r="E3596" s="77"/>
      <c r="F3596" s="77"/>
      <c r="G3596" s="77"/>
      <c r="H3596" s="77"/>
      <c r="I3596" s="77"/>
      <c r="J3596" s="77"/>
      <c r="K3596" s="79"/>
      <c r="L3596" s="49">
        <f t="shared" si="194"/>
        <v>0</v>
      </c>
      <c r="M3596" s="50">
        <f t="shared" si="195"/>
        <v>0</v>
      </c>
    </row>
    <row r="3597" spans="1:13" x14ac:dyDescent="0.2">
      <c r="A3597" s="18"/>
      <c r="B3597" s="77"/>
      <c r="C3597" s="77"/>
      <c r="D3597" s="78"/>
      <c r="E3597" s="77"/>
      <c r="F3597" s="77"/>
      <c r="G3597" s="77"/>
      <c r="H3597" s="77"/>
      <c r="I3597" s="77"/>
      <c r="J3597" s="77"/>
      <c r="K3597" s="79"/>
      <c r="L3597" s="49">
        <f t="shared" si="194"/>
        <v>0</v>
      </c>
      <c r="M3597" s="50">
        <f t="shared" si="195"/>
        <v>0</v>
      </c>
    </row>
    <row r="3598" spans="1:13" x14ac:dyDescent="0.2">
      <c r="A3598" s="18"/>
      <c r="B3598" s="77"/>
      <c r="C3598" s="77"/>
      <c r="D3598" s="78"/>
      <c r="E3598" s="77"/>
      <c r="F3598" s="77"/>
      <c r="G3598" s="77"/>
      <c r="H3598" s="77"/>
      <c r="I3598" s="77"/>
      <c r="J3598" s="77"/>
      <c r="K3598" s="79"/>
      <c r="L3598" s="49">
        <f t="shared" si="194"/>
        <v>0</v>
      </c>
      <c r="M3598" s="50">
        <f t="shared" si="195"/>
        <v>0</v>
      </c>
    </row>
    <row r="3599" spans="1:13" x14ac:dyDescent="0.2">
      <c r="A3599" s="18"/>
      <c r="B3599" s="77"/>
      <c r="C3599" s="77"/>
      <c r="D3599" s="78"/>
      <c r="E3599" s="77"/>
      <c r="F3599" s="77"/>
      <c r="G3599" s="77"/>
      <c r="H3599" s="77"/>
      <c r="I3599" s="77"/>
      <c r="J3599" s="77"/>
      <c r="K3599" s="79"/>
      <c r="L3599" s="49">
        <f t="shared" si="194"/>
        <v>0</v>
      </c>
      <c r="M3599" s="50">
        <f t="shared" si="195"/>
        <v>0</v>
      </c>
    </row>
    <row r="3600" spans="1:13" x14ac:dyDescent="0.2">
      <c r="A3600" s="18"/>
      <c r="B3600" s="77"/>
      <c r="C3600" s="77"/>
      <c r="D3600" s="78"/>
      <c r="E3600" s="77"/>
      <c r="F3600" s="77"/>
      <c r="G3600" s="77"/>
      <c r="H3600" s="77"/>
      <c r="I3600" s="77"/>
      <c r="J3600" s="77"/>
      <c r="K3600" s="79"/>
      <c r="L3600" s="49">
        <f t="shared" si="194"/>
        <v>0</v>
      </c>
      <c r="M3600" s="50">
        <f t="shared" si="195"/>
        <v>0</v>
      </c>
    </row>
    <row r="3601" spans="1:13" x14ac:dyDescent="0.2">
      <c r="A3601" s="18"/>
      <c r="B3601" s="77"/>
      <c r="C3601" s="77"/>
      <c r="D3601" s="78"/>
      <c r="E3601" s="77"/>
      <c r="F3601" s="77"/>
      <c r="G3601" s="77"/>
      <c r="H3601" s="77"/>
      <c r="I3601" s="77"/>
      <c r="J3601" s="77"/>
      <c r="K3601" s="79"/>
      <c r="L3601" s="49">
        <f t="shared" si="194"/>
        <v>0</v>
      </c>
      <c r="M3601" s="50">
        <f t="shared" si="195"/>
        <v>0</v>
      </c>
    </row>
    <row r="3602" spans="1:13" x14ac:dyDescent="0.2">
      <c r="A3602" s="18"/>
      <c r="B3602" s="77"/>
      <c r="C3602" s="77"/>
      <c r="D3602" s="78"/>
      <c r="E3602" s="77"/>
      <c r="F3602" s="77"/>
      <c r="G3602" s="77"/>
      <c r="H3602" s="77"/>
      <c r="I3602" s="77"/>
      <c r="J3602" s="77"/>
      <c r="K3602" s="79"/>
      <c r="L3602" s="49">
        <f t="shared" si="194"/>
        <v>0</v>
      </c>
      <c r="M3602" s="50">
        <f t="shared" si="195"/>
        <v>0</v>
      </c>
    </row>
    <row r="3603" spans="1:13" x14ac:dyDescent="0.2">
      <c r="A3603" s="18"/>
      <c r="B3603" s="77"/>
      <c r="C3603" s="77"/>
      <c r="D3603" s="78"/>
      <c r="E3603" s="77"/>
      <c r="F3603" s="77"/>
      <c r="G3603" s="77"/>
      <c r="H3603" s="77"/>
      <c r="I3603" s="77"/>
      <c r="J3603" s="77"/>
      <c r="K3603" s="79"/>
      <c r="L3603" s="49">
        <f t="shared" si="194"/>
        <v>0</v>
      </c>
      <c r="M3603" s="50">
        <f t="shared" si="195"/>
        <v>0</v>
      </c>
    </row>
    <row r="3604" spans="1:13" x14ac:dyDescent="0.2">
      <c r="A3604" s="18"/>
      <c r="B3604" s="77"/>
      <c r="C3604" s="77"/>
      <c r="D3604" s="78"/>
      <c r="E3604" s="77"/>
      <c r="F3604" s="77"/>
      <c r="G3604" s="77"/>
      <c r="H3604" s="77"/>
      <c r="I3604" s="77"/>
      <c r="J3604" s="77"/>
      <c r="K3604" s="79"/>
      <c r="L3604" s="49">
        <f t="shared" si="194"/>
        <v>0</v>
      </c>
      <c r="M3604" s="50">
        <f t="shared" si="195"/>
        <v>0</v>
      </c>
    </row>
    <row r="3605" spans="1:13" x14ac:dyDescent="0.2">
      <c r="A3605" s="18"/>
      <c r="B3605" s="77"/>
      <c r="C3605" s="77"/>
      <c r="D3605" s="78"/>
      <c r="E3605" s="77"/>
      <c r="F3605" s="77"/>
      <c r="G3605" s="77"/>
      <c r="H3605" s="77"/>
      <c r="I3605" s="77"/>
      <c r="J3605" s="77"/>
      <c r="K3605" s="79"/>
      <c r="L3605" s="49">
        <f t="shared" si="194"/>
        <v>0</v>
      </c>
      <c r="M3605" s="50">
        <f t="shared" si="195"/>
        <v>0</v>
      </c>
    </row>
    <row r="3606" spans="1:13" x14ac:dyDescent="0.2">
      <c r="A3606" s="18"/>
      <c r="B3606" s="77"/>
      <c r="C3606" s="77"/>
      <c r="D3606" s="78"/>
      <c r="E3606" s="77"/>
      <c r="F3606" s="77"/>
      <c r="G3606" s="77"/>
      <c r="H3606" s="77"/>
      <c r="I3606" s="77"/>
      <c r="J3606" s="77"/>
      <c r="K3606" s="79"/>
      <c r="L3606" s="49">
        <f t="shared" si="194"/>
        <v>0</v>
      </c>
      <c r="M3606" s="50">
        <f t="shared" si="195"/>
        <v>0</v>
      </c>
    </row>
    <row r="3607" spans="1:13" x14ac:dyDescent="0.2">
      <c r="A3607" s="18"/>
      <c r="B3607" s="77"/>
      <c r="C3607" s="77"/>
      <c r="D3607" s="78"/>
      <c r="E3607" s="77"/>
      <c r="F3607" s="77"/>
      <c r="G3607" s="77"/>
      <c r="H3607" s="77"/>
      <c r="I3607" s="77"/>
      <c r="J3607" s="77"/>
      <c r="K3607" s="79"/>
      <c r="L3607" s="49">
        <f t="shared" si="194"/>
        <v>0</v>
      </c>
      <c r="M3607" s="50">
        <f t="shared" si="195"/>
        <v>0</v>
      </c>
    </row>
    <row r="3608" spans="1:13" x14ac:dyDescent="0.2">
      <c r="A3608" s="18"/>
      <c r="B3608" s="77"/>
      <c r="C3608" s="77"/>
      <c r="D3608" s="78"/>
      <c r="E3608" s="77"/>
      <c r="F3608" s="77"/>
      <c r="G3608" s="77"/>
      <c r="H3608" s="77"/>
      <c r="I3608" s="77"/>
      <c r="J3608" s="77"/>
      <c r="K3608" s="79"/>
      <c r="L3608" s="49">
        <f t="shared" si="194"/>
        <v>0</v>
      </c>
      <c r="M3608" s="50">
        <f t="shared" si="195"/>
        <v>0</v>
      </c>
    </row>
    <row r="3609" spans="1:13" x14ac:dyDescent="0.2">
      <c r="A3609" s="18"/>
      <c r="B3609" s="77"/>
      <c r="C3609" s="77"/>
      <c r="D3609" s="78"/>
      <c r="E3609" s="77"/>
      <c r="F3609" s="77"/>
      <c r="G3609" s="77"/>
      <c r="H3609" s="77"/>
      <c r="I3609" s="77"/>
      <c r="J3609" s="77"/>
      <c r="K3609" s="79"/>
      <c r="L3609" s="49">
        <f t="shared" si="194"/>
        <v>0</v>
      </c>
      <c r="M3609" s="50">
        <f t="shared" si="195"/>
        <v>0</v>
      </c>
    </row>
    <row r="3610" spans="1:13" x14ac:dyDescent="0.2">
      <c r="A3610" s="18"/>
      <c r="B3610" s="77"/>
      <c r="C3610" s="77"/>
      <c r="D3610" s="78"/>
      <c r="E3610" s="77"/>
      <c r="F3610" s="77"/>
      <c r="G3610" s="77"/>
      <c r="H3610" s="77"/>
      <c r="I3610" s="77"/>
      <c r="J3610" s="77"/>
      <c r="K3610" s="79"/>
      <c r="L3610" s="49">
        <f t="shared" si="194"/>
        <v>0</v>
      </c>
      <c r="M3610" s="50">
        <f t="shared" si="195"/>
        <v>0</v>
      </c>
    </row>
    <row r="3611" spans="1:13" x14ac:dyDescent="0.2">
      <c r="A3611" s="18"/>
      <c r="B3611" s="77"/>
      <c r="C3611" s="77"/>
      <c r="D3611" s="78"/>
      <c r="E3611" s="77"/>
      <c r="F3611" s="77"/>
      <c r="G3611" s="77"/>
      <c r="H3611" s="77"/>
      <c r="I3611" s="77"/>
      <c r="J3611" s="77"/>
      <c r="K3611" s="79"/>
      <c r="L3611" s="49">
        <f t="shared" si="194"/>
        <v>0</v>
      </c>
      <c r="M3611" s="50">
        <f t="shared" si="195"/>
        <v>0</v>
      </c>
    </row>
    <row r="3612" spans="1:13" x14ac:dyDescent="0.2">
      <c r="A3612" s="18"/>
      <c r="B3612" s="77"/>
      <c r="C3612" s="77"/>
      <c r="D3612" s="78"/>
      <c r="E3612" s="77"/>
      <c r="F3612" s="77"/>
      <c r="G3612" s="77"/>
      <c r="H3612" s="77"/>
      <c r="I3612" s="77"/>
      <c r="J3612" s="77"/>
      <c r="K3612" s="79"/>
      <c r="L3612" s="49">
        <f t="shared" si="194"/>
        <v>0</v>
      </c>
      <c r="M3612" s="50">
        <f t="shared" si="195"/>
        <v>0</v>
      </c>
    </row>
    <row r="3613" spans="1:13" x14ac:dyDescent="0.2">
      <c r="A3613" s="18"/>
      <c r="B3613" s="77"/>
      <c r="C3613" s="77"/>
      <c r="D3613" s="78"/>
      <c r="E3613" s="77"/>
      <c r="F3613" s="77"/>
      <c r="G3613" s="77"/>
      <c r="H3613" s="77"/>
      <c r="I3613" s="77"/>
      <c r="J3613" s="77"/>
      <c r="K3613" s="79"/>
      <c r="L3613" s="49">
        <f t="shared" si="194"/>
        <v>0</v>
      </c>
      <c r="M3613" s="50">
        <f t="shared" si="195"/>
        <v>0</v>
      </c>
    </row>
    <row r="3614" spans="1:13" x14ac:dyDescent="0.2">
      <c r="A3614" s="18"/>
      <c r="B3614" s="77"/>
      <c r="C3614" s="77"/>
      <c r="D3614" s="78"/>
      <c r="E3614" s="77"/>
      <c r="F3614" s="77"/>
      <c r="G3614" s="77"/>
      <c r="H3614" s="77"/>
      <c r="I3614" s="77"/>
      <c r="J3614" s="77"/>
      <c r="K3614" s="79"/>
      <c r="L3614" s="49">
        <f t="shared" si="194"/>
        <v>0</v>
      </c>
      <c r="M3614" s="50">
        <f t="shared" si="195"/>
        <v>0</v>
      </c>
    </row>
    <row r="3615" spans="1:13" x14ac:dyDescent="0.2">
      <c r="A3615" s="18"/>
      <c r="B3615" s="77"/>
      <c r="C3615" s="77"/>
      <c r="D3615" s="78"/>
      <c r="E3615" s="77"/>
      <c r="F3615" s="77"/>
      <c r="G3615" s="77"/>
      <c r="H3615" s="77"/>
      <c r="I3615" s="77"/>
      <c r="J3615" s="77"/>
      <c r="K3615" s="79"/>
      <c r="L3615" s="49">
        <f t="shared" si="194"/>
        <v>0</v>
      </c>
      <c r="M3615" s="50">
        <f t="shared" si="195"/>
        <v>0</v>
      </c>
    </row>
    <row r="3616" spans="1:13" x14ac:dyDescent="0.2">
      <c r="A3616" s="18"/>
      <c r="B3616" s="77"/>
      <c r="C3616" s="77"/>
      <c r="D3616" s="78"/>
      <c r="E3616" s="77"/>
      <c r="F3616" s="77"/>
      <c r="G3616" s="77"/>
      <c r="H3616" s="77"/>
      <c r="I3616" s="77"/>
      <c r="J3616" s="77"/>
      <c r="K3616" s="79"/>
      <c r="L3616" s="49">
        <f t="shared" ref="L3616:L3626" si="196">+K3616*18%</f>
        <v>0</v>
      </c>
      <c r="M3616" s="50">
        <f t="shared" ref="M3616:M3626" si="197">+K3616+L3616</f>
        <v>0</v>
      </c>
    </row>
    <row r="3617" spans="1:13" x14ac:dyDescent="0.2">
      <c r="A3617" s="18"/>
      <c r="B3617" s="77"/>
      <c r="C3617" s="77"/>
      <c r="D3617" s="78"/>
      <c r="E3617" s="77"/>
      <c r="F3617" s="77"/>
      <c r="G3617" s="77"/>
      <c r="H3617" s="77"/>
      <c r="I3617" s="77"/>
      <c r="J3617" s="77"/>
      <c r="K3617" s="79"/>
      <c r="L3617" s="49">
        <f t="shared" si="196"/>
        <v>0</v>
      </c>
      <c r="M3617" s="50">
        <f t="shared" si="197"/>
        <v>0</v>
      </c>
    </row>
    <row r="3618" spans="1:13" x14ac:dyDescent="0.2">
      <c r="A3618" s="18"/>
      <c r="B3618" s="77"/>
      <c r="C3618" s="77"/>
      <c r="D3618" s="78"/>
      <c r="E3618" s="77"/>
      <c r="F3618" s="77"/>
      <c r="G3618" s="77"/>
      <c r="H3618" s="77"/>
      <c r="I3618" s="77"/>
      <c r="J3618" s="77"/>
      <c r="K3618" s="79"/>
      <c r="L3618" s="49">
        <f t="shared" si="196"/>
        <v>0</v>
      </c>
      <c r="M3618" s="50">
        <f t="shared" si="197"/>
        <v>0</v>
      </c>
    </row>
    <row r="3619" spans="1:13" x14ac:dyDescent="0.2">
      <c r="A3619" s="18"/>
      <c r="B3619" s="77"/>
      <c r="C3619" s="77"/>
      <c r="D3619" s="78"/>
      <c r="E3619" s="77"/>
      <c r="F3619" s="77"/>
      <c r="G3619" s="77"/>
      <c r="H3619" s="77"/>
      <c r="I3619" s="77"/>
      <c r="J3619" s="77"/>
      <c r="K3619" s="79"/>
      <c r="L3619" s="49">
        <f t="shared" si="196"/>
        <v>0</v>
      </c>
      <c r="M3619" s="50">
        <f t="shared" si="197"/>
        <v>0</v>
      </c>
    </row>
    <row r="3620" spans="1:13" x14ac:dyDescent="0.2">
      <c r="A3620" s="18"/>
      <c r="B3620" s="77"/>
      <c r="C3620" s="77"/>
      <c r="D3620" s="78"/>
      <c r="E3620" s="77"/>
      <c r="F3620" s="77"/>
      <c r="G3620" s="77"/>
      <c r="H3620" s="77"/>
      <c r="I3620" s="77"/>
      <c r="J3620" s="77"/>
      <c r="K3620" s="79"/>
      <c r="L3620" s="49">
        <f t="shared" si="196"/>
        <v>0</v>
      </c>
      <c r="M3620" s="50">
        <f t="shared" si="197"/>
        <v>0</v>
      </c>
    </row>
    <row r="3621" spans="1:13" x14ac:dyDescent="0.2">
      <c r="A3621" s="18"/>
      <c r="B3621" s="77"/>
      <c r="C3621" s="77"/>
      <c r="D3621" s="78"/>
      <c r="E3621" s="77"/>
      <c r="F3621" s="77"/>
      <c r="G3621" s="77"/>
      <c r="H3621" s="77"/>
      <c r="I3621" s="77"/>
      <c r="J3621" s="77"/>
      <c r="K3621" s="79"/>
      <c r="L3621" s="49">
        <f t="shared" si="196"/>
        <v>0</v>
      </c>
      <c r="M3621" s="50">
        <f t="shared" si="197"/>
        <v>0</v>
      </c>
    </row>
    <row r="3622" spans="1:13" x14ac:dyDescent="0.2">
      <c r="A3622" s="18"/>
      <c r="B3622" s="77"/>
      <c r="C3622" s="77"/>
      <c r="D3622" s="78"/>
      <c r="E3622" s="77"/>
      <c r="F3622" s="77"/>
      <c r="G3622" s="77"/>
      <c r="H3622" s="77"/>
      <c r="I3622" s="77"/>
      <c r="J3622" s="77"/>
      <c r="K3622" s="79"/>
      <c r="L3622" s="49">
        <f t="shared" si="196"/>
        <v>0</v>
      </c>
      <c r="M3622" s="50">
        <f t="shared" si="197"/>
        <v>0</v>
      </c>
    </row>
    <row r="3623" spans="1:13" x14ac:dyDescent="0.2">
      <c r="A3623" s="18"/>
      <c r="B3623" s="77"/>
      <c r="C3623" s="77"/>
      <c r="D3623" s="78"/>
      <c r="E3623" s="77"/>
      <c r="F3623" s="77"/>
      <c r="G3623" s="77"/>
      <c r="H3623" s="77"/>
      <c r="I3623" s="77"/>
      <c r="J3623" s="77"/>
      <c r="K3623" s="79"/>
      <c r="L3623" s="49">
        <f t="shared" si="196"/>
        <v>0</v>
      </c>
      <c r="M3623" s="50">
        <f t="shared" si="197"/>
        <v>0</v>
      </c>
    </row>
    <row r="3624" spans="1:13" x14ac:dyDescent="0.2">
      <c r="A3624" s="18"/>
      <c r="B3624" s="77"/>
      <c r="C3624" s="77"/>
      <c r="D3624" s="78"/>
      <c r="E3624" s="77"/>
      <c r="F3624" s="77"/>
      <c r="G3624" s="77"/>
      <c r="H3624" s="77"/>
      <c r="I3624" s="77"/>
      <c r="J3624" s="77"/>
      <c r="K3624" s="79"/>
      <c r="L3624" s="49">
        <f t="shared" si="196"/>
        <v>0</v>
      </c>
      <c r="M3624" s="50">
        <f t="shared" si="197"/>
        <v>0</v>
      </c>
    </row>
    <row r="3625" spans="1:13" x14ac:dyDescent="0.2">
      <c r="A3625" s="18"/>
      <c r="B3625" s="77"/>
      <c r="C3625" s="77"/>
      <c r="D3625" s="78"/>
      <c r="E3625" s="77"/>
      <c r="F3625" s="77"/>
      <c r="G3625" s="77"/>
      <c r="H3625" s="77"/>
      <c r="I3625" s="77"/>
      <c r="J3625" s="77"/>
      <c r="K3625" s="79"/>
      <c r="L3625" s="49">
        <f t="shared" si="196"/>
        <v>0</v>
      </c>
      <c r="M3625" s="50">
        <f t="shared" si="197"/>
        <v>0</v>
      </c>
    </row>
    <row r="3626" spans="1:13" x14ac:dyDescent="0.2">
      <c r="A3626" s="18"/>
      <c r="B3626" s="77"/>
      <c r="C3626" s="77"/>
      <c r="D3626" s="78"/>
      <c r="E3626" s="77"/>
      <c r="F3626" s="77"/>
      <c r="G3626" s="77"/>
      <c r="H3626" s="77"/>
      <c r="I3626" s="77"/>
      <c r="J3626" s="77"/>
      <c r="K3626" s="79"/>
      <c r="L3626" s="49">
        <f t="shared" si="196"/>
        <v>0</v>
      </c>
      <c r="M3626" s="50">
        <f t="shared" si="197"/>
        <v>0</v>
      </c>
    </row>
    <row r="3627" spans="1:13" x14ac:dyDescent="0.2">
      <c r="A3627" s="18"/>
      <c r="B3627" s="77"/>
      <c r="C3627" s="77"/>
      <c r="D3627" s="78"/>
      <c r="E3627" s="77"/>
      <c r="F3627" s="77"/>
      <c r="G3627" s="77"/>
      <c r="H3627" s="77"/>
      <c r="I3627" s="77"/>
      <c r="J3627" s="77"/>
      <c r="K3627" s="79"/>
      <c r="L3627" s="49">
        <f t="shared" ref="L3627:L3690" si="198">+K3627*18%</f>
        <v>0</v>
      </c>
      <c r="M3627" s="50">
        <f t="shared" ref="M3627:M3690" si="199">+K3627+L3627</f>
        <v>0</v>
      </c>
    </row>
    <row r="3628" spans="1:13" x14ac:dyDescent="0.2">
      <c r="A3628" s="18"/>
      <c r="B3628" s="77"/>
      <c r="C3628" s="77"/>
      <c r="D3628" s="78"/>
      <c r="E3628" s="77"/>
      <c r="F3628" s="77"/>
      <c r="G3628" s="77"/>
      <c r="H3628" s="77"/>
      <c r="I3628" s="77"/>
      <c r="J3628" s="77"/>
      <c r="K3628" s="79"/>
      <c r="L3628" s="49">
        <f t="shared" si="198"/>
        <v>0</v>
      </c>
      <c r="M3628" s="50">
        <f t="shared" si="199"/>
        <v>0</v>
      </c>
    </row>
    <row r="3629" spans="1:13" x14ac:dyDescent="0.2">
      <c r="A3629" s="18"/>
      <c r="B3629" s="77"/>
      <c r="C3629" s="77"/>
      <c r="D3629" s="78"/>
      <c r="E3629" s="77"/>
      <c r="F3629" s="77"/>
      <c r="G3629" s="77"/>
      <c r="H3629" s="77"/>
      <c r="I3629" s="77"/>
      <c r="J3629" s="77"/>
      <c r="K3629" s="79"/>
      <c r="L3629" s="49">
        <f t="shared" si="198"/>
        <v>0</v>
      </c>
      <c r="M3629" s="50">
        <f t="shared" si="199"/>
        <v>0</v>
      </c>
    </row>
    <row r="3630" spans="1:13" x14ac:dyDescent="0.2">
      <c r="A3630" s="18"/>
      <c r="B3630" s="77"/>
      <c r="C3630" s="77"/>
      <c r="D3630" s="78"/>
      <c r="E3630" s="77"/>
      <c r="F3630" s="77"/>
      <c r="G3630" s="77"/>
      <c r="H3630" s="77"/>
      <c r="I3630" s="77"/>
      <c r="J3630" s="77"/>
      <c r="K3630" s="79"/>
      <c r="L3630" s="49">
        <f t="shared" si="198"/>
        <v>0</v>
      </c>
      <c r="M3630" s="50">
        <f t="shared" si="199"/>
        <v>0</v>
      </c>
    </row>
    <row r="3631" spans="1:13" x14ac:dyDescent="0.2">
      <c r="A3631" s="18"/>
      <c r="B3631" s="77"/>
      <c r="C3631" s="77"/>
      <c r="D3631" s="78"/>
      <c r="E3631" s="77"/>
      <c r="F3631" s="77"/>
      <c r="G3631" s="77"/>
      <c r="H3631" s="77"/>
      <c r="I3631" s="77"/>
      <c r="J3631" s="77"/>
      <c r="K3631" s="79"/>
      <c r="L3631" s="49">
        <f t="shared" si="198"/>
        <v>0</v>
      </c>
      <c r="M3631" s="50">
        <f t="shared" si="199"/>
        <v>0</v>
      </c>
    </row>
    <row r="3632" spans="1:13" x14ac:dyDescent="0.2">
      <c r="A3632" s="18"/>
      <c r="B3632" s="77"/>
      <c r="C3632" s="77"/>
      <c r="D3632" s="78"/>
      <c r="E3632" s="77"/>
      <c r="F3632" s="77"/>
      <c r="G3632" s="77"/>
      <c r="H3632" s="77"/>
      <c r="I3632" s="77"/>
      <c r="J3632" s="77"/>
      <c r="K3632" s="79"/>
      <c r="L3632" s="49">
        <f t="shared" si="198"/>
        <v>0</v>
      </c>
      <c r="M3632" s="50">
        <f t="shared" si="199"/>
        <v>0</v>
      </c>
    </row>
    <row r="3633" spans="1:13" x14ac:dyDescent="0.2">
      <c r="A3633" s="18"/>
      <c r="B3633" s="77"/>
      <c r="C3633" s="77"/>
      <c r="D3633" s="78"/>
      <c r="E3633" s="77"/>
      <c r="F3633" s="77"/>
      <c r="G3633" s="77"/>
      <c r="H3633" s="77"/>
      <c r="I3633" s="77"/>
      <c r="J3633" s="77"/>
      <c r="K3633" s="79"/>
      <c r="L3633" s="49">
        <f t="shared" si="198"/>
        <v>0</v>
      </c>
      <c r="M3633" s="50">
        <f t="shared" si="199"/>
        <v>0</v>
      </c>
    </row>
    <row r="3634" spans="1:13" x14ac:dyDescent="0.2">
      <c r="A3634" s="18"/>
      <c r="B3634" s="77"/>
      <c r="C3634" s="77"/>
      <c r="D3634" s="78"/>
      <c r="E3634" s="77"/>
      <c r="F3634" s="77"/>
      <c r="G3634" s="77"/>
      <c r="H3634" s="77"/>
      <c r="I3634" s="77"/>
      <c r="J3634" s="77"/>
      <c r="K3634" s="79"/>
      <c r="L3634" s="49">
        <f t="shared" si="198"/>
        <v>0</v>
      </c>
      <c r="M3634" s="50">
        <f t="shared" si="199"/>
        <v>0</v>
      </c>
    </row>
    <row r="3635" spans="1:13" x14ac:dyDescent="0.2">
      <c r="A3635" s="18"/>
      <c r="B3635" s="77"/>
      <c r="C3635" s="77"/>
      <c r="D3635" s="78"/>
      <c r="E3635" s="77"/>
      <c r="F3635" s="77"/>
      <c r="G3635" s="77"/>
      <c r="H3635" s="77"/>
      <c r="I3635" s="77"/>
      <c r="J3635" s="77"/>
      <c r="K3635" s="79"/>
      <c r="L3635" s="49">
        <f t="shared" si="198"/>
        <v>0</v>
      </c>
      <c r="M3635" s="50">
        <f t="shared" si="199"/>
        <v>0</v>
      </c>
    </row>
    <row r="3636" spans="1:13" x14ac:dyDescent="0.2">
      <c r="A3636" s="18"/>
      <c r="B3636" s="77"/>
      <c r="C3636" s="77"/>
      <c r="D3636" s="78"/>
      <c r="E3636" s="77"/>
      <c r="F3636" s="77"/>
      <c r="G3636" s="77"/>
      <c r="H3636" s="77"/>
      <c r="I3636" s="77"/>
      <c r="J3636" s="77"/>
      <c r="K3636" s="79"/>
      <c r="L3636" s="49">
        <f t="shared" si="198"/>
        <v>0</v>
      </c>
      <c r="M3636" s="50">
        <f t="shared" si="199"/>
        <v>0</v>
      </c>
    </row>
    <row r="3637" spans="1:13" x14ac:dyDescent="0.2">
      <c r="A3637" s="18"/>
      <c r="B3637" s="77"/>
      <c r="C3637" s="77"/>
      <c r="D3637" s="78"/>
      <c r="E3637" s="77"/>
      <c r="F3637" s="77"/>
      <c r="G3637" s="77"/>
      <c r="H3637" s="77"/>
      <c r="I3637" s="77"/>
      <c r="J3637" s="77"/>
      <c r="K3637" s="79"/>
      <c r="L3637" s="49">
        <f t="shared" si="198"/>
        <v>0</v>
      </c>
      <c r="M3637" s="50">
        <f t="shared" si="199"/>
        <v>0</v>
      </c>
    </row>
    <row r="3638" spans="1:13" x14ac:dyDescent="0.2">
      <c r="A3638" s="18"/>
      <c r="B3638" s="77"/>
      <c r="C3638" s="77"/>
      <c r="D3638" s="78"/>
      <c r="E3638" s="77"/>
      <c r="F3638" s="77"/>
      <c r="G3638" s="77"/>
      <c r="H3638" s="77"/>
      <c r="I3638" s="77"/>
      <c r="J3638" s="77"/>
      <c r="K3638" s="79"/>
      <c r="L3638" s="49">
        <f t="shared" si="198"/>
        <v>0</v>
      </c>
      <c r="M3638" s="50">
        <f t="shared" si="199"/>
        <v>0</v>
      </c>
    </row>
    <row r="3639" spans="1:13" x14ac:dyDescent="0.2">
      <c r="A3639" s="18"/>
      <c r="B3639" s="77"/>
      <c r="C3639" s="77"/>
      <c r="D3639" s="78"/>
      <c r="E3639" s="77"/>
      <c r="F3639" s="77"/>
      <c r="G3639" s="77"/>
      <c r="H3639" s="77"/>
      <c r="I3639" s="77"/>
      <c r="J3639" s="77"/>
      <c r="K3639" s="79"/>
      <c r="L3639" s="49">
        <f t="shared" si="198"/>
        <v>0</v>
      </c>
      <c r="M3639" s="50">
        <f t="shared" si="199"/>
        <v>0</v>
      </c>
    </row>
    <row r="3640" spans="1:13" x14ac:dyDescent="0.2">
      <c r="A3640" s="18"/>
      <c r="B3640" s="77"/>
      <c r="C3640" s="77"/>
      <c r="D3640" s="78"/>
      <c r="E3640" s="77"/>
      <c r="F3640" s="77"/>
      <c r="G3640" s="77"/>
      <c r="H3640" s="77"/>
      <c r="I3640" s="77"/>
      <c r="J3640" s="77"/>
      <c r="K3640" s="79"/>
      <c r="L3640" s="49">
        <f t="shared" si="198"/>
        <v>0</v>
      </c>
      <c r="M3640" s="50">
        <f t="shared" si="199"/>
        <v>0</v>
      </c>
    </row>
    <row r="3641" spans="1:13" x14ac:dyDescent="0.2">
      <c r="A3641" s="18"/>
      <c r="B3641" s="77"/>
      <c r="C3641" s="77"/>
      <c r="D3641" s="78"/>
      <c r="E3641" s="77"/>
      <c r="F3641" s="77"/>
      <c r="G3641" s="77"/>
      <c r="H3641" s="77"/>
      <c r="I3641" s="77"/>
      <c r="J3641" s="77"/>
      <c r="K3641" s="79"/>
      <c r="L3641" s="49">
        <f t="shared" si="198"/>
        <v>0</v>
      </c>
      <c r="M3641" s="50">
        <f t="shared" si="199"/>
        <v>0</v>
      </c>
    </row>
    <row r="3642" spans="1:13" x14ac:dyDescent="0.2">
      <c r="A3642" s="18"/>
      <c r="B3642" s="77"/>
      <c r="C3642" s="77"/>
      <c r="D3642" s="78"/>
      <c r="E3642" s="77"/>
      <c r="F3642" s="77"/>
      <c r="G3642" s="77"/>
      <c r="H3642" s="77"/>
      <c r="I3642" s="77"/>
      <c r="J3642" s="77"/>
      <c r="K3642" s="79"/>
      <c r="L3642" s="49">
        <f t="shared" si="198"/>
        <v>0</v>
      </c>
      <c r="M3642" s="50">
        <f t="shared" si="199"/>
        <v>0</v>
      </c>
    </row>
    <row r="3643" spans="1:13" x14ac:dyDescent="0.2">
      <c r="A3643" s="18"/>
      <c r="B3643" s="77"/>
      <c r="C3643" s="77"/>
      <c r="D3643" s="78"/>
      <c r="E3643" s="77"/>
      <c r="F3643" s="77"/>
      <c r="G3643" s="77"/>
      <c r="H3643" s="77"/>
      <c r="I3643" s="77"/>
      <c r="J3643" s="77"/>
      <c r="K3643" s="79"/>
      <c r="L3643" s="49">
        <f t="shared" si="198"/>
        <v>0</v>
      </c>
      <c r="M3643" s="50">
        <f t="shared" si="199"/>
        <v>0</v>
      </c>
    </row>
    <row r="3644" spans="1:13" x14ac:dyDescent="0.2">
      <c r="A3644" s="18"/>
      <c r="B3644" s="77"/>
      <c r="C3644" s="77"/>
      <c r="D3644" s="78"/>
      <c r="E3644" s="77"/>
      <c r="F3644" s="77"/>
      <c r="G3644" s="77"/>
      <c r="H3644" s="77"/>
      <c r="I3644" s="77"/>
      <c r="J3644" s="77"/>
      <c r="K3644" s="79"/>
      <c r="L3644" s="49">
        <f t="shared" si="198"/>
        <v>0</v>
      </c>
      <c r="M3644" s="50">
        <f t="shared" si="199"/>
        <v>0</v>
      </c>
    </row>
    <row r="3645" spans="1:13" x14ac:dyDescent="0.2">
      <c r="A3645" s="18"/>
      <c r="B3645" s="77"/>
      <c r="C3645" s="77"/>
      <c r="D3645" s="78"/>
      <c r="E3645" s="77"/>
      <c r="F3645" s="77"/>
      <c r="G3645" s="77"/>
      <c r="H3645" s="77"/>
      <c r="I3645" s="77"/>
      <c r="J3645" s="77"/>
      <c r="K3645" s="79"/>
      <c r="L3645" s="49">
        <f t="shared" si="198"/>
        <v>0</v>
      </c>
      <c r="M3645" s="50">
        <f t="shared" si="199"/>
        <v>0</v>
      </c>
    </row>
    <row r="3646" spans="1:13" x14ac:dyDescent="0.2">
      <c r="A3646" s="18"/>
      <c r="B3646" s="77"/>
      <c r="C3646" s="77"/>
      <c r="D3646" s="78"/>
      <c r="E3646" s="77"/>
      <c r="F3646" s="77"/>
      <c r="G3646" s="77"/>
      <c r="H3646" s="77"/>
      <c r="I3646" s="77"/>
      <c r="J3646" s="77"/>
      <c r="K3646" s="79"/>
      <c r="L3646" s="49">
        <f t="shared" si="198"/>
        <v>0</v>
      </c>
      <c r="M3646" s="50">
        <f t="shared" si="199"/>
        <v>0</v>
      </c>
    </row>
    <row r="3647" spans="1:13" x14ac:dyDescent="0.2">
      <c r="A3647" s="18"/>
      <c r="B3647" s="77"/>
      <c r="C3647" s="77"/>
      <c r="D3647" s="78"/>
      <c r="E3647" s="77"/>
      <c r="F3647" s="77"/>
      <c r="G3647" s="77"/>
      <c r="H3647" s="77"/>
      <c r="I3647" s="77"/>
      <c r="J3647" s="77"/>
      <c r="K3647" s="79"/>
      <c r="L3647" s="49">
        <f t="shared" si="198"/>
        <v>0</v>
      </c>
      <c r="M3647" s="50">
        <f t="shared" si="199"/>
        <v>0</v>
      </c>
    </row>
    <row r="3648" spans="1:13" x14ac:dyDescent="0.2">
      <c r="A3648" s="18"/>
      <c r="B3648" s="77"/>
      <c r="C3648" s="77"/>
      <c r="D3648" s="78"/>
      <c r="E3648" s="77"/>
      <c r="F3648" s="77"/>
      <c r="G3648" s="77"/>
      <c r="H3648" s="77"/>
      <c r="I3648" s="77"/>
      <c r="J3648" s="77"/>
      <c r="K3648" s="79"/>
      <c r="L3648" s="49">
        <f t="shared" si="198"/>
        <v>0</v>
      </c>
      <c r="M3648" s="50">
        <f t="shared" si="199"/>
        <v>0</v>
      </c>
    </row>
    <row r="3649" spans="1:13" x14ac:dyDescent="0.2">
      <c r="A3649" s="18"/>
      <c r="B3649" s="77"/>
      <c r="C3649" s="77"/>
      <c r="D3649" s="78"/>
      <c r="E3649" s="77"/>
      <c r="F3649" s="77"/>
      <c r="G3649" s="77"/>
      <c r="H3649" s="77"/>
      <c r="I3649" s="77"/>
      <c r="J3649" s="77"/>
      <c r="K3649" s="79"/>
      <c r="L3649" s="49">
        <f t="shared" si="198"/>
        <v>0</v>
      </c>
      <c r="M3649" s="50">
        <f t="shared" si="199"/>
        <v>0</v>
      </c>
    </row>
    <row r="3650" spans="1:13" x14ac:dyDescent="0.2">
      <c r="A3650" s="18"/>
      <c r="B3650" s="77"/>
      <c r="C3650" s="77"/>
      <c r="D3650" s="78"/>
      <c r="E3650" s="77"/>
      <c r="F3650" s="77"/>
      <c r="G3650" s="77"/>
      <c r="H3650" s="77"/>
      <c r="I3650" s="77"/>
      <c r="J3650" s="77"/>
      <c r="K3650" s="79"/>
      <c r="L3650" s="49">
        <f t="shared" si="198"/>
        <v>0</v>
      </c>
      <c r="M3650" s="50">
        <f t="shared" si="199"/>
        <v>0</v>
      </c>
    </row>
    <row r="3651" spans="1:13" x14ac:dyDescent="0.2">
      <c r="A3651" s="18"/>
      <c r="B3651" s="77"/>
      <c r="C3651" s="77"/>
      <c r="D3651" s="78"/>
      <c r="E3651" s="77"/>
      <c r="F3651" s="77"/>
      <c r="G3651" s="77"/>
      <c r="H3651" s="77"/>
      <c r="I3651" s="77"/>
      <c r="J3651" s="77"/>
      <c r="K3651" s="79"/>
      <c r="L3651" s="49">
        <f t="shared" si="198"/>
        <v>0</v>
      </c>
      <c r="M3651" s="50">
        <f t="shared" si="199"/>
        <v>0</v>
      </c>
    </row>
    <row r="3652" spans="1:13" x14ac:dyDescent="0.2">
      <c r="A3652" s="18"/>
      <c r="B3652" s="77"/>
      <c r="C3652" s="77"/>
      <c r="D3652" s="78"/>
      <c r="E3652" s="77"/>
      <c r="F3652" s="77"/>
      <c r="G3652" s="77"/>
      <c r="H3652" s="77"/>
      <c r="I3652" s="77"/>
      <c r="J3652" s="77"/>
      <c r="K3652" s="79"/>
      <c r="L3652" s="49">
        <f t="shared" si="198"/>
        <v>0</v>
      </c>
      <c r="M3652" s="50">
        <f t="shared" si="199"/>
        <v>0</v>
      </c>
    </row>
    <row r="3653" spans="1:13" x14ac:dyDescent="0.2">
      <c r="A3653" s="18"/>
      <c r="B3653" s="77"/>
      <c r="C3653" s="77"/>
      <c r="D3653" s="78"/>
      <c r="E3653" s="77"/>
      <c r="F3653" s="77"/>
      <c r="G3653" s="77"/>
      <c r="H3653" s="77"/>
      <c r="I3653" s="77"/>
      <c r="J3653" s="77"/>
      <c r="K3653" s="79"/>
      <c r="L3653" s="49">
        <f t="shared" si="198"/>
        <v>0</v>
      </c>
      <c r="M3653" s="50">
        <f t="shared" si="199"/>
        <v>0</v>
      </c>
    </row>
    <row r="3654" spans="1:13" x14ac:dyDescent="0.2">
      <c r="A3654" s="18"/>
      <c r="B3654" s="77"/>
      <c r="C3654" s="77"/>
      <c r="D3654" s="78"/>
      <c r="E3654" s="77"/>
      <c r="F3654" s="77"/>
      <c r="G3654" s="77"/>
      <c r="H3654" s="77"/>
      <c r="I3654" s="77"/>
      <c r="J3654" s="77"/>
      <c r="K3654" s="79"/>
      <c r="L3654" s="49">
        <f t="shared" si="198"/>
        <v>0</v>
      </c>
      <c r="M3654" s="50">
        <f t="shared" si="199"/>
        <v>0</v>
      </c>
    </row>
    <row r="3655" spans="1:13" x14ac:dyDescent="0.2">
      <c r="A3655" s="18"/>
      <c r="B3655" s="77"/>
      <c r="C3655" s="77"/>
      <c r="D3655" s="78"/>
      <c r="E3655" s="77"/>
      <c r="F3655" s="77"/>
      <c r="G3655" s="77"/>
      <c r="H3655" s="77"/>
      <c r="I3655" s="77"/>
      <c r="J3655" s="77"/>
      <c r="K3655" s="79"/>
      <c r="L3655" s="49">
        <f t="shared" si="198"/>
        <v>0</v>
      </c>
      <c r="M3655" s="50">
        <f t="shared" si="199"/>
        <v>0</v>
      </c>
    </row>
    <row r="3656" spans="1:13" x14ac:dyDescent="0.2">
      <c r="A3656" s="18"/>
      <c r="B3656" s="77"/>
      <c r="C3656" s="77"/>
      <c r="D3656" s="78"/>
      <c r="E3656" s="77"/>
      <c r="F3656" s="77"/>
      <c r="G3656" s="77"/>
      <c r="H3656" s="77"/>
      <c r="I3656" s="77"/>
      <c r="J3656" s="77"/>
      <c r="K3656" s="79"/>
      <c r="L3656" s="49">
        <f t="shared" si="198"/>
        <v>0</v>
      </c>
      <c r="M3656" s="50">
        <f t="shared" si="199"/>
        <v>0</v>
      </c>
    </row>
    <row r="3657" spans="1:13" x14ac:dyDescent="0.2">
      <c r="A3657" s="18"/>
      <c r="B3657" s="77"/>
      <c r="C3657" s="77"/>
      <c r="D3657" s="78"/>
      <c r="E3657" s="77"/>
      <c r="F3657" s="77"/>
      <c r="G3657" s="77"/>
      <c r="H3657" s="77"/>
      <c r="I3657" s="77"/>
      <c r="J3657" s="77"/>
      <c r="K3657" s="79"/>
      <c r="L3657" s="49">
        <f t="shared" si="198"/>
        <v>0</v>
      </c>
      <c r="M3657" s="50">
        <f t="shared" si="199"/>
        <v>0</v>
      </c>
    </row>
    <row r="3658" spans="1:13" x14ac:dyDescent="0.2">
      <c r="A3658" s="18"/>
      <c r="B3658" s="77"/>
      <c r="C3658" s="77"/>
      <c r="D3658" s="78"/>
      <c r="E3658" s="77"/>
      <c r="F3658" s="77"/>
      <c r="G3658" s="77"/>
      <c r="H3658" s="77"/>
      <c r="I3658" s="77"/>
      <c r="J3658" s="77"/>
      <c r="K3658" s="79"/>
      <c r="L3658" s="49">
        <f t="shared" si="198"/>
        <v>0</v>
      </c>
      <c r="M3658" s="50">
        <f t="shared" si="199"/>
        <v>0</v>
      </c>
    </row>
    <row r="3659" spans="1:13" x14ac:dyDescent="0.2">
      <c r="A3659" s="18"/>
      <c r="B3659" s="77"/>
      <c r="C3659" s="77"/>
      <c r="D3659" s="78"/>
      <c r="E3659" s="77"/>
      <c r="F3659" s="77"/>
      <c r="G3659" s="77"/>
      <c r="H3659" s="77"/>
      <c r="I3659" s="77"/>
      <c r="J3659" s="77"/>
      <c r="K3659" s="79"/>
      <c r="L3659" s="49">
        <f t="shared" si="198"/>
        <v>0</v>
      </c>
      <c r="M3659" s="50">
        <f t="shared" si="199"/>
        <v>0</v>
      </c>
    </row>
    <row r="3660" spans="1:13" x14ac:dyDescent="0.2">
      <c r="A3660" s="18"/>
      <c r="B3660" s="77"/>
      <c r="C3660" s="77"/>
      <c r="D3660" s="78"/>
      <c r="E3660" s="77"/>
      <c r="F3660" s="77"/>
      <c r="G3660" s="77"/>
      <c r="H3660" s="77"/>
      <c r="I3660" s="77"/>
      <c r="J3660" s="77"/>
      <c r="K3660" s="79"/>
      <c r="L3660" s="49">
        <f t="shared" si="198"/>
        <v>0</v>
      </c>
      <c r="M3660" s="50">
        <f t="shared" si="199"/>
        <v>0</v>
      </c>
    </row>
    <row r="3661" spans="1:13" x14ac:dyDescent="0.2">
      <c r="A3661" s="18"/>
      <c r="B3661" s="77"/>
      <c r="C3661" s="77"/>
      <c r="D3661" s="78"/>
      <c r="E3661" s="77"/>
      <c r="F3661" s="77"/>
      <c r="G3661" s="77"/>
      <c r="H3661" s="77"/>
      <c r="I3661" s="77"/>
      <c r="J3661" s="77"/>
      <c r="K3661" s="79"/>
      <c r="L3661" s="49">
        <f t="shared" si="198"/>
        <v>0</v>
      </c>
      <c r="M3661" s="50">
        <f t="shared" si="199"/>
        <v>0</v>
      </c>
    </row>
    <row r="3662" spans="1:13" x14ac:dyDescent="0.2">
      <c r="A3662" s="18"/>
      <c r="B3662" s="77"/>
      <c r="C3662" s="77"/>
      <c r="D3662" s="78"/>
      <c r="E3662" s="77"/>
      <c r="F3662" s="77"/>
      <c r="G3662" s="77"/>
      <c r="H3662" s="77"/>
      <c r="I3662" s="77"/>
      <c r="J3662" s="77"/>
      <c r="K3662" s="79"/>
      <c r="L3662" s="49">
        <f t="shared" si="198"/>
        <v>0</v>
      </c>
      <c r="M3662" s="50">
        <f t="shared" si="199"/>
        <v>0</v>
      </c>
    </row>
    <row r="3663" spans="1:13" x14ac:dyDescent="0.2">
      <c r="A3663" s="18"/>
      <c r="B3663" s="77"/>
      <c r="C3663" s="77"/>
      <c r="D3663" s="78"/>
      <c r="E3663" s="77"/>
      <c r="F3663" s="77"/>
      <c r="G3663" s="77"/>
      <c r="H3663" s="77"/>
      <c r="I3663" s="77"/>
      <c r="J3663" s="77"/>
      <c r="K3663" s="79"/>
      <c r="L3663" s="49">
        <f t="shared" si="198"/>
        <v>0</v>
      </c>
      <c r="M3663" s="50">
        <f t="shared" si="199"/>
        <v>0</v>
      </c>
    </row>
    <row r="3664" spans="1:13" x14ac:dyDescent="0.2">
      <c r="A3664" s="18"/>
      <c r="B3664" s="77"/>
      <c r="C3664" s="77"/>
      <c r="D3664" s="78"/>
      <c r="E3664" s="77"/>
      <c r="F3664" s="77"/>
      <c r="G3664" s="77"/>
      <c r="H3664" s="77"/>
      <c r="I3664" s="77"/>
      <c r="J3664" s="77"/>
      <c r="K3664" s="79"/>
      <c r="L3664" s="49">
        <f t="shared" si="198"/>
        <v>0</v>
      </c>
      <c r="M3664" s="50">
        <f t="shared" si="199"/>
        <v>0</v>
      </c>
    </row>
    <row r="3665" spans="1:13" x14ac:dyDescent="0.2">
      <c r="A3665" s="18"/>
      <c r="B3665" s="77"/>
      <c r="C3665" s="77"/>
      <c r="D3665" s="78"/>
      <c r="E3665" s="77"/>
      <c r="F3665" s="77"/>
      <c r="G3665" s="77"/>
      <c r="H3665" s="77"/>
      <c r="I3665" s="77"/>
      <c r="J3665" s="77"/>
      <c r="K3665" s="79"/>
      <c r="L3665" s="49">
        <f t="shared" si="198"/>
        <v>0</v>
      </c>
      <c r="M3665" s="50">
        <f t="shared" si="199"/>
        <v>0</v>
      </c>
    </row>
    <row r="3666" spans="1:13" x14ac:dyDescent="0.2">
      <c r="A3666" s="18"/>
      <c r="B3666" s="77"/>
      <c r="C3666" s="77"/>
      <c r="D3666" s="78"/>
      <c r="E3666" s="77"/>
      <c r="F3666" s="77"/>
      <c r="G3666" s="77"/>
      <c r="H3666" s="77"/>
      <c r="I3666" s="77"/>
      <c r="J3666" s="77"/>
      <c r="K3666" s="79"/>
      <c r="L3666" s="49">
        <f t="shared" si="198"/>
        <v>0</v>
      </c>
      <c r="M3666" s="50">
        <f t="shared" si="199"/>
        <v>0</v>
      </c>
    </row>
    <row r="3667" spans="1:13" x14ac:dyDescent="0.2">
      <c r="A3667" s="18"/>
      <c r="B3667" s="77"/>
      <c r="C3667" s="77"/>
      <c r="D3667" s="78"/>
      <c r="E3667" s="77"/>
      <c r="F3667" s="77"/>
      <c r="G3667" s="77"/>
      <c r="H3667" s="77"/>
      <c r="I3667" s="77"/>
      <c r="J3667" s="77"/>
      <c r="K3667" s="79"/>
      <c r="L3667" s="49">
        <f t="shared" si="198"/>
        <v>0</v>
      </c>
      <c r="M3667" s="50">
        <f t="shared" si="199"/>
        <v>0</v>
      </c>
    </row>
    <row r="3668" spans="1:13" x14ac:dyDescent="0.2">
      <c r="A3668" s="18"/>
      <c r="B3668" s="77"/>
      <c r="C3668" s="77"/>
      <c r="D3668" s="78"/>
      <c r="E3668" s="77"/>
      <c r="F3668" s="77"/>
      <c r="G3668" s="77"/>
      <c r="H3668" s="77"/>
      <c r="I3668" s="77"/>
      <c r="J3668" s="77"/>
      <c r="K3668" s="79"/>
      <c r="L3668" s="49">
        <f t="shared" si="198"/>
        <v>0</v>
      </c>
      <c r="M3668" s="50">
        <f t="shared" si="199"/>
        <v>0</v>
      </c>
    </row>
    <row r="3669" spans="1:13" x14ac:dyDescent="0.2">
      <c r="A3669" s="18"/>
      <c r="B3669" s="77"/>
      <c r="C3669" s="77"/>
      <c r="D3669" s="78"/>
      <c r="E3669" s="77"/>
      <c r="F3669" s="77"/>
      <c r="G3669" s="77"/>
      <c r="H3669" s="77"/>
      <c r="I3669" s="77"/>
      <c r="J3669" s="77"/>
      <c r="K3669" s="79"/>
      <c r="L3669" s="49">
        <f t="shared" si="198"/>
        <v>0</v>
      </c>
      <c r="M3669" s="50">
        <f t="shared" si="199"/>
        <v>0</v>
      </c>
    </row>
    <row r="3670" spans="1:13" x14ac:dyDescent="0.2">
      <c r="A3670" s="18"/>
      <c r="B3670" s="77"/>
      <c r="C3670" s="77"/>
      <c r="D3670" s="78"/>
      <c r="E3670" s="77"/>
      <c r="F3670" s="77"/>
      <c r="G3670" s="77"/>
      <c r="H3670" s="77"/>
      <c r="I3670" s="77"/>
      <c r="J3670" s="77"/>
      <c r="K3670" s="79"/>
      <c r="L3670" s="49">
        <f t="shared" si="198"/>
        <v>0</v>
      </c>
      <c r="M3670" s="50">
        <f t="shared" si="199"/>
        <v>0</v>
      </c>
    </row>
    <row r="3671" spans="1:13" x14ac:dyDescent="0.2">
      <c r="A3671" s="18"/>
      <c r="B3671" s="77"/>
      <c r="C3671" s="77"/>
      <c r="D3671" s="78"/>
      <c r="E3671" s="77"/>
      <c r="F3671" s="77"/>
      <c r="G3671" s="77"/>
      <c r="H3671" s="77"/>
      <c r="I3671" s="77"/>
      <c r="J3671" s="77"/>
      <c r="K3671" s="79"/>
      <c r="L3671" s="49">
        <f t="shared" si="198"/>
        <v>0</v>
      </c>
      <c r="M3671" s="50">
        <f t="shared" si="199"/>
        <v>0</v>
      </c>
    </row>
    <row r="3672" spans="1:13" x14ac:dyDescent="0.2">
      <c r="A3672" s="18"/>
      <c r="B3672" s="77"/>
      <c r="C3672" s="77"/>
      <c r="D3672" s="78"/>
      <c r="E3672" s="77"/>
      <c r="F3672" s="77"/>
      <c r="G3672" s="77"/>
      <c r="H3672" s="77"/>
      <c r="I3672" s="77"/>
      <c r="J3672" s="77"/>
      <c r="K3672" s="79"/>
      <c r="L3672" s="49">
        <f t="shared" si="198"/>
        <v>0</v>
      </c>
      <c r="M3672" s="50">
        <f t="shared" si="199"/>
        <v>0</v>
      </c>
    </row>
    <row r="3673" spans="1:13" x14ac:dyDescent="0.2">
      <c r="A3673" s="18"/>
      <c r="B3673" s="77"/>
      <c r="C3673" s="77"/>
      <c r="D3673" s="78"/>
      <c r="E3673" s="77"/>
      <c r="F3673" s="77"/>
      <c r="G3673" s="77"/>
      <c r="H3673" s="77"/>
      <c r="I3673" s="77"/>
      <c r="J3673" s="77"/>
      <c r="K3673" s="79"/>
      <c r="L3673" s="49">
        <f t="shared" si="198"/>
        <v>0</v>
      </c>
      <c r="M3673" s="50">
        <f t="shared" si="199"/>
        <v>0</v>
      </c>
    </row>
    <row r="3674" spans="1:13" x14ac:dyDescent="0.2">
      <c r="A3674" s="18"/>
      <c r="B3674" s="77"/>
      <c r="C3674" s="77"/>
      <c r="D3674" s="78"/>
      <c r="E3674" s="77"/>
      <c r="F3674" s="77"/>
      <c r="G3674" s="77"/>
      <c r="H3674" s="77"/>
      <c r="I3674" s="77"/>
      <c r="J3674" s="77"/>
      <c r="K3674" s="79"/>
      <c r="L3674" s="49">
        <f t="shared" si="198"/>
        <v>0</v>
      </c>
      <c r="M3674" s="50">
        <f t="shared" si="199"/>
        <v>0</v>
      </c>
    </row>
    <row r="3675" spans="1:13" x14ac:dyDescent="0.2">
      <c r="A3675" s="18"/>
      <c r="B3675" s="77"/>
      <c r="C3675" s="77"/>
      <c r="D3675" s="78"/>
      <c r="E3675" s="77"/>
      <c r="F3675" s="77"/>
      <c r="G3675" s="77"/>
      <c r="H3675" s="77"/>
      <c r="I3675" s="77"/>
      <c r="J3675" s="77"/>
      <c r="K3675" s="79"/>
      <c r="L3675" s="49">
        <f t="shared" si="198"/>
        <v>0</v>
      </c>
      <c r="M3675" s="50">
        <f t="shared" si="199"/>
        <v>0</v>
      </c>
    </row>
    <row r="3676" spans="1:13" x14ac:dyDescent="0.2">
      <c r="A3676" s="18"/>
      <c r="B3676" s="77"/>
      <c r="C3676" s="77"/>
      <c r="D3676" s="78"/>
      <c r="E3676" s="77"/>
      <c r="F3676" s="77"/>
      <c r="G3676" s="77"/>
      <c r="H3676" s="77"/>
      <c r="I3676" s="77"/>
      <c r="J3676" s="77"/>
      <c r="K3676" s="79"/>
      <c r="L3676" s="49">
        <f t="shared" si="198"/>
        <v>0</v>
      </c>
      <c r="M3676" s="50">
        <f t="shared" si="199"/>
        <v>0</v>
      </c>
    </row>
    <row r="3677" spans="1:13" x14ac:dyDescent="0.2">
      <c r="A3677" s="18"/>
      <c r="B3677" s="77"/>
      <c r="C3677" s="77"/>
      <c r="D3677" s="78"/>
      <c r="E3677" s="77"/>
      <c r="F3677" s="77"/>
      <c r="G3677" s="77"/>
      <c r="H3677" s="77"/>
      <c r="I3677" s="77"/>
      <c r="J3677" s="77"/>
      <c r="K3677" s="79"/>
      <c r="L3677" s="49">
        <f t="shared" si="198"/>
        <v>0</v>
      </c>
      <c r="M3677" s="50">
        <f t="shared" si="199"/>
        <v>0</v>
      </c>
    </row>
    <row r="3678" spans="1:13" x14ac:dyDescent="0.2">
      <c r="A3678" s="18"/>
      <c r="B3678" s="77"/>
      <c r="C3678" s="77"/>
      <c r="D3678" s="78"/>
      <c r="E3678" s="77"/>
      <c r="F3678" s="77"/>
      <c r="G3678" s="77"/>
      <c r="H3678" s="77"/>
      <c r="I3678" s="77"/>
      <c r="J3678" s="77"/>
      <c r="K3678" s="79"/>
      <c r="L3678" s="49">
        <f t="shared" si="198"/>
        <v>0</v>
      </c>
      <c r="M3678" s="50">
        <f t="shared" si="199"/>
        <v>0</v>
      </c>
    </row>
    <row r="3679" spans="1:13" x14ac:dyDescent="0.2">
      <c r="A3679" s="18"/>
      <c r="B3679" s="77"/>
      <c r="C3679" s="77"/>
      <c r="D3679" s="78"/>
      <c r="E3679" s="77"/>
      <c r="F3679" s="77"/>
      <c r="G3679" s="77"/>
      <c r="H3679" s="77"/>
      <c r="I3679" s="77"/>
      <c r="J3679" s="77"/>
      <c r="K3679" s="79"/>
      <c r="L3679" s="49">
        <f t="shared" si="198"/>
        <v>0</v>
      </c>
      <c r="M3679" s="50">
        <f t="shared" si="199"/>
        <v>0</v>
      </c>
    </row>
    <row r="3680" spans="1:13" x14ac:dyDescent="0.2">
      <c r="A3680" s="18"/>
      <c r="B3680" s="77"/>
      <c r="C3680" s="77"/>
      <c r="D3680" s="78"/>
      <c r="E3680" s="77"/>
      <c r="F3680" s="77"/>
      <c r="G3680" s="77"/>
      <c r="H3680" s="77"/>
      <c r="I3680" s="77"/>
      <c r="J3680" s="77"/>
      <c r="K3680" s="79"/>
      <c r="L3680" s="49">
        <f t="shared" si="198"/>
        <v>0</v>
      </c>
      <c r="M3680" s="50">
        <f t="shared" si="199"/>
        <v>0</v>
      </c>
    </row>
    <row r="3681" spans="1:13" x14ac:dyDescent="0.2">
      <c r="A3681" s="18"/>
      <c r="B3681" s="77"/>
      <c r="C3681" s="77"/>
      <c r="D3681" s="78"/>
      <c r="E3681" s="77"/>
      <c r="F3681" s="77"/>
      <c r="G3681" s="77"/>
      <c r="H3681" s="77"/>
      <c r="I3681" s="77"/>
      <c r="J3681" s="77"/>
      <c r="K3681" s="79"/>
      <c r="L3681" s="49">
        <f t="shared" si="198"/>
        <v>0</v>
      </c>
      <c r="M3681" s="50">
        <f t="shared" si="199"/>
        <v>0</v>
      </c>
    </row>
    <row r="3682" spans="1:13" x14ac:dyDescent="0.2">
      <c r="A3682" s="18"/>
      <c r="B3682" s="77"/>
      <c r="C3682" s="77"/>
      <c r="D3682" s="78"/>
      <c r="E3682" s="77"/>
      <c r="F3682" s="77"/>
      <c r="G3682" s="77"/>
      <c r="H3682" s="77"/>
      <c r="I3682" s="77"/>
      <c r="J3682" s="77"/>
      <c r="K3682" s="79"/>
      <c r="L3682" s="49">
        <f t="shared" si="198"/>
        <v>0</v>
      </c>
      <c r="M3682" s="50">
        <f t="shared" si="199"/>
        <v>0</v>
      </c>
    </row>
    <row r="3683" spans="1:13" x14ac:dyDescent="0.2">
      <c r="A3683" s="18"/>
      <c r="B3683" s="77"/>
      <c r="C3683" s="77"/>
      <c r="D3683" s="78"/>
      <c r="E3683" s="77"/>
      <c r="F3683" s="77"/>
      <c r="G3683" s="77"/>
      <c r="H3683" s="77"/>
      <c r="I3683" s="77"/>
      <c r="J3683" s="77"/>
      <c r="K3683" s="79"/>
      <c r="L3683" s="49">
        <f t="shared" si="198"/>
        <v>0</v>
      </c>
      <c r="M3683" s="50">
        <f t="shared" si="199"/>
        <v>0</v>
      </c>
    </row>
    <row r="3684" spans="1:13" x14ac:dyDescent="0.2">
      <c r="A3684" s="18"/>
      <c r="B3684" s="77"/>
      <c r="C3684" s="77"/>
      <c r="D3684" s="78"/>
      <c r="E3684" s="77"/>
      <c r="F3684" s="77"/>
      <c r="G3684" s="77"/>
      <c r="H3684" s="77"/>
      <c r="I3684" s="77"/>
      <c r="J3684" s="77"/>
      <c r="K3684" s="79"/>
      <c r="L3684" s="49">
        <f t="shared" si="198"/>
        <v>0</v>
      </c>
      <c r="M3684" s="50">
        <f t="shared" si="199"/>
        <v>0</v>
      </c>
    </row>
    <row r="3685" spans="1:13" x14ac:dyDescent="0.2">
      <c r="A3685" s="18"/>
      <c r="B3685" s="77"/>
      <c r="C3685" s="77"/>
      <c r="D3685" s="78"/>
      <c r="E3685" s="77"/>
      <c r="F3685" s="77"/>
      <c r="G3685" s="77"/>
      <c r="H3685" s="77"/>
      <c r="I3685" s="77"/>
      <c r="J3685" s="77"/>
      <c r="K3685" s="79"/>
      <c r="L3685" s="49">
        <f t="shared" si="198"/>
        <v>0</v>
      </c>
      <c r="M3685" s="50">
        <f t="shared" si="199"/>
        <v>0</v>
      </c>
    </row>
    <row r="3686" spans="1:13" x14ac:dyDescent="0.2">
      <c r="A3686" s="18"/>
      <c r="B3686" s="77"/>
      <c r="C3686" s="77"/>
      <c r="D3686" s="78"/>
      <c r="E3686" s="77"/>
      <c r="F3686" s="77"/>
      <c r="G3686" s="77"/>
      <c r="H3686" s="77"/>
      <c r="I3686" s="77"/>
      <c r="J3686" s="77"/>
      <c r="K3686" s="79"/>
      <c r="L3686" s="49">
        <f t="shared" si="198"/>
        <v>0</v>
      </c>
      <c r="M3686" s="50">
        <f t="shared" si="199"/>
        <v>0</v>
      </c>
    </row>
    <row r="3687" spans="1:13" x14ac:dyDescent="0.2">
      <c r="A3687" s="18"/>
      <c r="B3687" s="77"/>
      <c r="C3687" s="77"/>
      <c r="D3687" s="78"/>
      <c r="E3687" s="77"/>
      <c r="F3687" s="77"/>
      <c r="G3687" s="77"/>
      <c r="H3687" s="77"/>
      <c r="I3687" s="77"/>
      <c r="J3687" s="77"/>
      <c r="K3687" s="79"/>
      <c r="L3687" s="49">
        <f t="shared" si="198"/>
        <v>0</v>
      </c>
      <c r="M3687" s="50">
        <f t="shared" si="199"/>
        <v>0</v>
      </c>
    </row>
    <row r="3688" spans="1:13" x14ac:dyDescent="0.2">
      <c r="A3688" s="18"/>
      <c r="B3688" s="77"/>
      <c r="C3688" s="77"/>
      <c r="D3688" s="78"/>
      <c r="E3688" s="77"/>
      <c r="F3688" s="77"/>
      <c r="G3688" s="77"/>
      <c r="H3688" s="77"/>
      <c r="I3688" s="77"/>
      <c r="J3688" s="77"/>
      <c r="K3688" s="79"/>
      <c r="L3688" s="49">
        <f t="shared" si="198"/>
        <v>0</v>
      </c>
      <c r="M3688" s="50">
        <f t="shared" si="199"/>
        <v>0</v>
      </c>
    </row>
    <row r="3689" spans="1:13" x14ac:dyDescent="0.2">
      <c r="A3689" s="18"/>
      <c r="B3689" s="77"/>
      <c r="C3689" s="77"/>
      <c r="D3689" s="78"/>
      <c r="E3689" s="77"/>
      <c r="F3689" s="77"/>
      <c r="G3689" s="77"/>
      <c r="H3689" s="77"/>
      <c r="I3689" s="77"/>
      <c r="J3689" s="77"/>
      <c r="K3689" s="79"/>
      <c r="L3689" s="49">
        <f t="shared" si="198"/>
        <v>0</v>
      </c>
      <c r="M3689" s="50">
        <f t="shared" si="199"/>
        <v>0</v>
      </c>
    </row>
    <row r="3690" spans="1:13" x14ac:dyDescent="0.2">
      <c r="A3690" s="18"/>
      <c r="B3690" s="77"/>
      <c r="C3690" s="77"/>
      <c r="D3690" s="78"/>
      <c r="E3690" s="77"/>
      <c r="F3690" s="77"/>
      <c r="G3690" s="77"/>
      <c r="H3690" s="77"/>
      <c r="I3690" s="77"/>
      <c r="J3690" s="77"/>
      <c r="K3690" s="79"/>
      <c r="L3690" s="49">
        <f t="shared" si="198"/>
        <v>0</v>
      </c>
      <c r="M3690" s="50">
        <f t="shared" si="199"/>
        <v>0</v>
      </c>
    </row>
    <row r="3691" spans="1:13" x14ac:dyDescent="0.2">
      <c r="A3691" s="18"/>
      <c r="B3691" s="77"/>
      <c r="C3691" s="77"/>
      <c r="D3691" s="78"/>
      <c r="E3691" s="77"/>
      <c r="F3691" s="77"/>
      <c r="G3691" s="77"/>
      <c r="H3691" s="77"/>
      <c r="I3691" s="77"/>
      <c r="J3691" s="77"/>
      <c r="K3691" s="79"/>
      <c r="L3691" s="49">
        <f t="shared" ref="L3691:L3702" si="200">+K3691*18%</f>
        <v>0</v>
      </c>
      <c r="M3691" s="50">
        <f t="shared" ref="M3691:M3702" si="201">+K3691+L3691</f>
        <v>0</v>
      </c>
    </row>
    <row r="3692" spans="1:13" x14ac:dyDescent="0.2">
      <c r="A3692" s="18"/>
      <c r="B3692" s="77"/>
      <c r="C3692" s="77"/>
      <c r="D3692" s="78"/>
      <c r="E3692" s="77"/>
      <c r="F3692" s="77"/>
      <c r="G3692" s="77"/>
      <c r="H3692" s="77"/>
      <c r="I3692" s="77"/>
      <c r="J3692" s="77"/>
      <c r="K3692" s="79"/>
      <c r="L3692" s="49">
        <f t="shared" si="200"/>
        <v>0</v>
      </c>
      <c r="M3692" s="50">
        <f t="shared" si="201"/>
        <v>0</v>
      </c>
    </row>
    <row r="3693" spans="1:13" x14ac:dyDescent="0.2">
      <c r="A3693" s="18"/>
      <c r="B3693" s="77"/>
      <c r="C3693" s="77"/>
      <c r="D3693" s="78"/>
      <c r="E3693" s="77"/>
      <c r="F3693" s="77"/>
      <c r="G3693" s="77"/>
      <c r="H3693" s="77"/>
      <c r="I3693" s="77"/>
      <c r="J3693" s="77"/>
      <c r="K3693" s="79"/>
      <c r="L3693" s="49">
        <f t="shared" si="200"/>
        <v>0</v>
      </c>
      <c r="M3693" s="50">
        <f t="shared" si="201"/>
        <v>0</v>
      </c>
    </row>
    <row r="3694" spans="1:13" x14ac:dyDescent="0.2">
      <c r="A3694" s="18"/>
      <c r="B3694" s="77"/>
      <c r="C3694" s="77"/>
      <c r="D3694" s="78"/>
      <c r="E3694" s="77"/>
      <c r="F3694" s="77"/>
      <c r="G3694" s="77"/>
      <c r="H3694" s="77"/>
      <c r="I3694" s="77"/>
      <c r="J3694" s="77"/>
      <c r="K3694" s="79"/>
      <c r="L3694" s="49">
        <f t="shared" si="200"/>
        <v>0</v>
      </c>
      <c r="M3694" s="50">
        <f t="shared" si="201"/>
        <v>0</v>
      </c>
    </row>
    <row r="3695" spans="1:13" x14ac:dyDescent="0.2">
      <c r="A3695" s="18"/>
      <c r="B3695" s="77"/>
      <c r="C3695" s="77"/>
      <c r="D3695" s="78"/>
      <c r="E3695" s="77"/>
      <c r="F3695" s="77"/>
      <c r="G3695" s="77"/>
      <c r="H3695" s="77"/>
      <c r="I3695" s="77"/>
      <c r="J3695" s="77"/>
      <c r="K3695" s="79"/>
      <c r="L3695" s="49">
        <f t="shared" si="200"/>
        <v>0</v>
      </c>
      <c r="M3695" s="50">
        <f t="shared" si="201"/>
        <v>0</v>
      </c>
    </row>
    <row r="3696" spans="1:13" x14ac:dyDescent="0.2">
      <c r="A3696" s="18"/>
      <c r="B3696" s="77"/>
      <c r="C3696" s="77"/>
      <c r="D3696" s="78"/>
      <c r="E3696" s="77"/>
      <c r="F3696" s="77"/>
      <c r="G3696" s="77"/>
      <c r="H3696" s="77"/>
      <c r="I3696" s="77"/>
      <c r="J3696" s="77"/>
      <c r="K3696" s="79"/>
      <c r="L3696" s="49">
        <f t="shared" si="200"/>
        <v>0</v>
      </c>
      <c r="M3696" s="50">
        <f t="shared" si="201"/>
        <v>0</v>
      </c>
    </row>
    <row r="3697" spans="1:13" x14ac:dyDescent="0.2">
      <c r="A3697" s="18"/>
      <c r="B3697" s="77"/>
      <c r="C3697" s="77"/>
      <c r="D3697" s="78"/>
      <c r="E3697" s="77"/>
      <c r="F3697" s="77"/>
      <c r="G3697" s="77"/>
      <c r="H3697" s="77"/>
      <c r="I3697" s="77"/>
      <c r="J3697" s="77"/>
      <c r="K3697" s="79"/>
      <c r="L3697" s="49">
        <f t="shared" si="200"/>
        <v>0</v>
      </c>
      <c r="M3697" s="50">
        <f t="shared" si="201"/>
        <v>0</v>
      </c>
    </row>
    <row r="3698" spans="1:13" x14ac:dyDescent="0.2">
      <c r="A3698" s="18"/>
      <c r="B3698" s="77"/>
      <c r="C3698" s="77"/>
      <c r="D3698" s="78"/>
      <c r="E3698" s="77"/>
      <c r="F3698" s="77"/>
      <c r="G3698" s="77"/>
      <c r="H3698" s="77"/>
      <c r="I3698" s="77"/>
      <c r="J3698" s="77"/>
      <c r="K3698" s="79"/>
      <c r="L3698" s="49">
        <f t="shared" si="200"/>
        <v>0</v>
      </c>
      <c r="M3698" s="50">
        <f t="shared" si="201"/>
        <v>0</v>
      </c>
    </row>
    <row r="3699" spans="1:13" x14ac:dyDescent="0.2">
      <c r="A3699" s="18"/>
      <c r="B3699" s="77"/>
      <c r="C3699" s="77"/>
      <c r="D3699" s="78"/>
      <c r="E3699" s="77"/>
      <c r="F3699" s="77"/>
      <c r="G3699" s="77"/>
      <c r="H3699" s="77"/>
      <c r="I3699" s="77"/>
      <c r="J3699" s="77"/>
      <c r="K3699" s="79"/>
      <c r="L3699" s="49">
        <f t="shared" si="200"/>
        <v>0</v>
      </c>
      <c r="M3699" s="50">
        <f t="shared" si="201"/>
        <v>0</v>
      </c>
    </row>
    <row r="3700" spans="1:13" x14ac:dyDescent="0.2">
      <c r="A3700" s="18"/>
      <c r="B3700" s="77"/>
      <c r="C3700" s="77"/>
      <c r="D3700" s="78"/>
      <c r="E3700" s="77"/>
      <c r="F3700" s="77"/>
      <c r="G3700" s="77"/>
      <c r="H3700" s="77"/>
      <c r="I3700" s="77"/>
      <c r="J3700" s="77"/>
      <c r="K3700" s="79"/>
      <c r="L3700" s="49">
        <f t="shared" si="200"/>
        <v>0</v>
      </c>
      <c r="M3700" s="50">
        <f t="shared" si="201"/>
        <v>0</v>
      </c>
    </row>
    <row r="3701" spans="1:13" x14ac:dyDescent="0.2">
      <c r="A3701" s="18"/>
      <c r="B3701" s="77"/>
      <c r="C3701" s="77"/>
      <c r="D3701" s="78"/>
      <c r="E3701" s="77"/>
      <c r="F3701" s="77"/>
      <c r="G3701" s="77"/>
      <c r="H3701" s="77"/>
      <c r="I3701" s="77"/>
      <c r="J3701" s="77"/>
      <c r="K3701" s="79"/>
      <c r="L3701" s="49">
        <f t="shared" si="200"/>
        <v>0</v>
      </c>
      <c r="M3701" s="50">
        <f t="shared" si="201"/>
        <v>0</v>
      </c>
    </row>
    <row r="3702" spans="1:13" x14ac:dyDescent="0.2">
      <c r="A3702" s="18"/>
      <c r="B3702" s="77"/>
      <c r="C3702" s="77"/>
      <c r="D3702" s="78"/>
      <c r="E3702" s="77"/>
      <c r="F3702" s="77"/>
      <c r="G3702" s="77"/>
      <c r="H3702" s="77"/>
      <c r="I3702" s="77"/>
      <c r="J3702" s="77"/>
      <c r="K3702" s="79"/>
      <c r="L3702" s="49">
        <f t="shared" si="200"/>
        <v>0</v>
      </c>
      <c r="M3702" s="50">
        <f t="shared" si="201"/>
        <v>0</v>
      </c>
    </row>
    <row r="3703" spans="1:13" x14ac:dyDescent="0.2">
      <c r="A3703" s="18"/>
      <c r="B3703" s="77"/>
      <c r="C3703" s="77"/>
      <c r="D3703" s="78"/>
      <c r="E3703" s="77"/>
      <c r="F3703" s="77"/>
      <c r="G3703" s="77"/>
      <c r="H3703" s="77"/>
      <c r="I3703" s="77"/>
      <c r="J3703" s="77"/>
      <c r="K3703" s="79"/>
      <c r="L3703" s="49">
        <f t="shared" ref="L3703:L3707" si="202">+K3703*18%</f>
        <v>0</v>
      </c>
      <c r="M3703" s="50">
        <f t="shared" ref="M3703:M3707" si="203">+K3703+L3703</f>
        <v>0</v>
      </c>
    </row>
    <row r="3704" spans="1:13" x14ac:dyDescent="0.2">
      <c r="A3704" s="18"/>
      <c r="B3704" s="77"/>
      <c r="C3704" s="77"/>
      <c r="D3704" s="78"/>
      <c r="E3704" s="77"/>
      <c r="F3704" s="77"/>
      <c r="G3704" s="77"/>
      <c r="H3704" s="77"/>
      <c r="I3704" s="77"/>
      <c r="J3704" s="77"/>
      <c r="K3704" s="79"/>
      <c r="L3704" s="49">
        <f t="shared" si="202"/>
        <v>0</v>
      </c>
      <c r="M3704" s="50">
        <f t="shared" si="203"/>
        <v>0</v>
      </c>
    </row>
    <row r="3705" spans="1:13" x14ac:dyDescent="0.2">
      <c r="A3705" s="18"/>
      <c r="B3705" s="77"/>
      <c r="C3705" s="77"/>
      <c r="D3705" s="78"/>
      <c r="E3705" s="77"/>
      <c r="F3705" s="77"/>
      <c r="G3705" s="77"/>
      <c r="H3705" s="77"/>
      <c r="I3705" s="77"/>
      <c r="J3705" s="77"/>
      <c r="K3705" s="79"/>
      <c r="L3705" s="49">
        <f t="shared" si="202"/>
        <v>0</v>
      </c>
      <c r="M3705" s="50">
        <f t="shared" si="203"/>
        <v>0</v>
      </c>
    </row>
    <row r="3706" spans="1:13" x14ac:dyDescent="0.2">
      <c r="A3706" s="18"/>
      <c r="B3706" s="77"/>
      <c r="C3706" s="77"/>
      <c r="D3706" s="78"/>
      <c r="E3706" s="77"/>
      <c r="F3706" s="77"/>
      <c r="G3706" s="77"/>
      <c r="H3706" s="77"/>
      <c r="I3706" s="77"/>
      <c r="J3706" s="77"/>
      <c r="K3706" s="79"/>
      <c r="L3706" s="49">
        <f t="shared" si="202"/>
        <v>0</v>
      </c>
      <c r="M3706" s="50">
        <f t="shared" si="203"/>
        <v>0</v>
      </c>
    </row>
    <row r="3707" spans="1:13" x14ac:dyDescent="0.2">
      <c r="A3707" s="18"/>
      <c r="B3707" s="77"/>
      <c r="C3707" s="77"/>
      <c r="D3707" s="78"/>
      <c r="E3707" s="77"/>
      <c r="F3707" s="77"/>
      <c r="G3707" s="77"/>
      <c r="H3707" s="77"/>
      <c r="I3707" s="77"/>
      <c r="J3707" s="77"/>
      <c r="K3707" s="79"/>
      <c r="L3707" s="49">
        <f t="shared" si="202"/>
        <v>0</v>
      </c>
      <c r="M3707" s="50">
        <f t="shared" si="203"/>
        <v>0</v>
      </c>
    </row>
    <row r="3708" spans="1:13" x14ac:dyDescent="0.2">
      <c r="A3708" s="18"/>
      <c r="B3708" s="77"/>
      <c r="C3708" s="77"/>
      <c r="D3708" s="78"/>
      <c r="E3708" s="77"/>
      <c r="F3708" s="77"/>
      <c r="G3708" s="77"/>
      <c r="H3708" s="77"/>
      <c r="I3708" s="77"/>
      <c r="J3708" s="77"/>
      <c r="K3708" s="79"/>
      <c r="L3708" s="49">
        <f t="shared" ref="L3708:L3723" si="204">+K3708*18%</f>
        <v>0</v>
      </c>
      <c r="M3708" s="50">
        <f t="shared" ref="M3708:M3723" si="205">+K3708+L3708</f>
        <v>0</v>
      </c>
    </row>
    <row r="3709" spans="1:13" x14ac:dyDescent="0.2">
      <c r="A3709" s="18"/>
      <c r="B3709" s="77"/>
      <c r="C3709" s="77"/>
      <c r="D3709" s="78"/>
      <c r="E3709" s="77"/>
      <c r="F3709" s="77"/>
      <c r="G3709" s="77"/>
      <c r="H3709" s="77"/>
      <c r="I3709" s="77"/>
      <c r="J3709" s="77"/>
      <c r="K3709" s="79"/>
      <c r="L3709" s="49">
        <f t="shared" si="204"/>
        <v>0</v>
      </c>
      <c r="M3709" s="50">
        <f t="shared" si="205"/>
        <v>0</v>
      </c>
    </row>
    <row r="3710" spans="1:13" x14ac:dyDescent="0.2">
      <c r="A3710" s="18"/>
      <c r="B3710" s="77"/>
      <c r="C3710" s="77"/>
      <c r="D3710" s="78"/>
      <c r="E3710" s="77"/>
      <c r="F3710" s="77"/>
      <c r="G3710" s="77"/>
      <c r="H3710" s="77"/>
      <c r="I3710" s="77"/>
      <c r="J3710" s="77"/>
      <c r="K3710" s="79"/>
      <c r="L3710" s="49">
        <f t="shared" si="204"/>
        <v>0</v>
      </c>
      <c r="M3710" s="50">
        <f t="shared" si="205"/>
        <v>0</v>
      </c>
    </row>
    <row r="3711" spans="1:13" x14ac:dyDescent="0.2">
      <c r="A3711" s="18"/>
      <c r="B3711" s="77"/>
      <c r="C3711" s="77"/>
      <c r="D3711" s="78"/>
      <c r="E3711" s="77"/>
      <c r="F3711" s="77"/>
      <c r="G3711" s="77"/>
      <c r="H3711" s="77"/>
      <c r="I3711" s="77"/>
      <c r="J3711" s="77"/>
      <c r="K3711" s="79"/>
      <c r="L3711" s="49">
        <f t="shared" si="204"/>
        <v>0</v>
      </c>
      <c r="M3711" s="50">
        <f t="shared" si="205"/>
        <v>0</v>
      </c>
    </row>
    <row r="3712" spans="1:13" x14ac:dyDescent="0.2">
      <c r="A3712" s="18"/>
      <c r="B3712" s="77"/>
      <c r="C3712" s="77"/>
      <c r="D3712" s="78"/>
      <c r="E3712" s="77"/>
      <c r="F3712" s="77"/>
      <c r="G3712" s="77"/>
      <c r="H3712" s="77"/>
      <c r="I3712" s="77"/>
      <c r="J3712" s="77"/>
      <c r="K3712" s="79"/>
      <c r="L3712" s="49">
        <f t="shared" si="204"/>
        <v>0</v>
      </c>
      <c r="M3712" s="50">
        <f t="shared" si="205"/>
        <v>0</v>
      </c>
    </row>
    <row r="3713" spans="1:13" x14ac:dyDescent="0.2">
      <c r="A3713" s="18"/>
      <c r="B3713" s="77"/>
      <c r="C3713" s="77"/>
      <c r="D3713" s="78"/>
      <c r="E3713" s="77"/>
      <c r="F3713" s="77"/>
      <c r="G3713" s="77"/>
      <c r="H3713" s="77"/>
      <c r="I3713" s="77"/>
      <c r="J3713" s="77"/>
      <c r="K3713" s="79"/>
      <c r="L3713" s="49">
        <f t="shared" si="204"/>
        <v>0</v>
      </c>
      <c r="M3713" s="50">
        <f t="shared" si="205"/>
        <v>0</v>
      </c>
    </row>
    <row r="3714" spans="1:13" x14ac:dyDescent="0.2">
      <c r="A3714" s="18"/>
      <c r="B3714" s="77"/>
      <c r="C3714" s="77"/>
      <c r="D3714" s="78"/>
      <c r="E3714" s="77"/>
      <c r="F3714" s="77"/>
      <c r="G3714" s="77"/>
      <c r="H3714" s="77"/>
      <c r="I3714" s="77"/>
      <c r="J3714" s="77"/>
      <c r="K3714" s="79"/>
      <c r="L3714" s="49">
        <f t="shared" si="204"/>
        <v>0</v>
      </c>
      <c r="M3714" s="50">
        <f t="shared" si="205"/>
        <v>0</v>
      </c>
    </row>
    <row r="3715" spans="1:13" x14ac:dyDescent="0.2">
      <c r="A3715" s="18"/>
      <c r="B3715" s="77"/>
      <c r="C3715" s="77"/>
      <c r="D3715" s="78"/>
      <c r="E3715" s="77"/>
      <c r="F3715" s="77"/>
      <c r="G3715" s="77"/>
      <c r="H3715" s="77"/>
      <c r="I3715" s="77"/>
      <c r="J3715" s="77"/>
      <c r="K3715" s="79"/>
      <c r="L3715" s="49">
        <f t="shared" si="204"/>
        <v>0</v>
      </c>
      <c r="M3715" s="50">
        <f t="shared" si="205"/>
        <v>0</v>
      </c>
    </row>
    <row r="3716" spans="1:13" x14ac:dyDescent="0.2">
      <c r="A3716" s="18"/>
      <c r="B3716" s="77"/>
      <c r="C3716" s="77"/>
      <c r="D3716" s="78"/>
      <c r="E3716" s="77"/>
      <c r="F3716" s="77"/>
      <c r="G3716" s="77"/>
      <c r="H3716" s="77"/>
      <c r="I3716" s="77"/>
      <c r="J3716" s="77"/>
      <c r="K3716" s="79"/>
      <c r="L3716" s="49">
        <f t="shared" si="204"/>
        <v>0</v>
      </c>
      <c r="M3716" s="50">
        <f t="shared" si="205"/>
        <v>0</v>
      </c>
    </row>
    <row r="3717" spans="1:13" x14ac:dyDescent="0.2">
      <c r="A3717" s="18"/>
      <c r="B3717" s="77"/>
      <c r="C3717" s="77"/>
      <c r="D3717" s="78"/>
      <c r="E3717" s="77"/>
      <c r="F3717" s="77"/>
      <c r="G3717" s="77"/>
      <c r="H3717" s="77"/>
      <c r="I3717" s="77"/>
      <c r="J3717" s="77"/>
      <c r="K3717" s="79"/>
      <c r="L3717" s="49">
        <f t="shared" si="204"/>
        <v>0</v>
      </c>
      <c r="M3717" s="50">
        <f t="shared" si="205"/>
        <v>0</v>
      </c>
    </row>
    <row r="3718" spans="1:13" x14ac:dyDescent="0.2">
      <c r="A3718" s="18"/>
      <c r="B3718" s="77"/>
      <c r="C3718" s="77"/>
      <c r="D3718" s="78"/>
      <c r="E3718" s="77"/>
      <c r="F3718" s="77"/>
      <c r="G3718" s="77"/>
      <c r="H3718" s="77"/>
      <c r="I3718" s="77"/>
      <c r="J3718" s="77"/>
      <c r="K3718" s="79"/>
      <c r="L3718" s="49">
        <f t="shared" si="204"/>
        <v>0</v>
      </c>
      <c r="M3718" s="50">
        <f t="shared" si="205"/>
        <v>0</v>
      </c>
    </row>
    <row r="3719" spans="1:13" x14ac:dyDescent="0.2">
      <c r="A3719" s="18"/>
      <c r="B3719" s="77"/>
      <c r="C3719" s="77"/>
      <c r="D3719" s="78"/>
      <c r="E3719" s="77"/>
      <c r="F3719" s="77"/>
      <c r="G3719" s="77"/>
      <c r="H3719" s="77"/>
      <c r="I3719" s="77"/>
      <c r="J3719" s="77"/>
      <c r="K3719" s="79"/>
      <c r="L3719" s="49">
        <f t="shared" si="204"/>
        <v>0</v>
      </c>
      <c r="M3719" s="50">
        <f t="shared" si="205"/>
        <v>0</v>
      </c>
    </row>
    <row r="3720" spans="1:13" x14ac:dyDescent="0.2">
      <c r="A3720" s="18"/>
      <c r="B3720" s="77"/>
      <c r="C3720" s="77"/>
      <c r="D3720" s="78"/>
      <c r="E3720" s="77"/>
      <c r="F3720" s="77"/>
      <c r="G3720" s="77"/>
      <c r="H3720" s="77"/>
      <c r="I3720" s="77"/>
      <c r="J3720" s="77"/>
      <c r="K3720" s="79"/>
      <c r="L3720" s="49">
        <f t="shared" si="204"/>
        <v>0</v>
      </c>
      <c r="M3720" s="50">
        <f t="shared" si="205"/>
        <v>0</v>
      </c>
    </row>
    <row r="3721" spans="1:13" x14ac:dyDescent="0.2">
      <c r="A3721" s="18"/>
      <c r="B3721" s="77"/>
      <c r="C3721" s="77"/>
      <c r="D3721" s="78"/>
      <c r="E3721" s="77"/>
      <c r="F3721" s="77"/>
      <c r="G3721" s="77"/>
      <c r="H3721" s="77"/>
      <c r="I3721" s="77"/>
      <c r="J3721" s="77"/>
      <c r="K3721" s="79"/>
      <c r="L3721" s="49">
        <f t="shared" si="204"/>
        <v>0</v>
      </c>
      <c r="M3721" s="50">
        <f t="shared" si="205"/>
        <v>0</v>
      </c>
    </row>
    <row r="3722" spans="1:13" x14ac:dyDescent="0.2">
      <c r="A3722" s="18"/>
      <c r="B3722" s="77"/>
      <c r="C3722" s="77"/>
      <c r="D3722" s="78"/>
      <c r="E3722" s="77"/>
      <c r="F3722" s="77"/>
      <c r="G3722" s="77"/>
      <c r="H3722" s="77"/>
      <c r="I3722" s="77"/>
      <c r="J3722" s="77"/>
      <c r="K3722" s="79"/>
      <c r="L3722" s="49">
        <f t="shared" si="204"/>
        <v>0</v>
      </c>
      <c r="M3722" s="50">
        <f t="shared" si="205"/>
        <v>0</v>
      </c>
    </row>
    <row r="3723" spans="1:13" x14ac:dyDescent="0.2">
      <c r="A3723" s="18"/>
      <c r="B3723" s="77"/>
      <c r="C3723" s="77"/>
      <c r="D3723" s="78"/>
      <c r="E3723" s="77"/>
      <c r="F3723" s="77"/>
      <c r="G3723" s="77"/>
      <c r="H3723" s="77"/>
      <c r="I3723" s="77"/>
      <c r="J3723" s="77"/>
      <c r="K3723" s="79"/>
      <c r="L3723" s="49">
        <f t="shared" si="204"/>
        <v>0</v>
      </c>
      <c r="M3723" s="50">
        <f t="shared" si="205"/>
        <v>0</v>
      </c>
    </row>
    <row r="3724" spans="1:13" x14ac:dyDescent="0.2">
      <c r="A3724" s="18"/>
      <c r="B3724" s="77"/>
      <c r="C3724" s="77"/>
      <c r="D3724" s="78"/>
      <c r="E3724" s="77"/>
      <c r="F3724" s="77"/>
      <c r="G3724" s="77"/>
      <c r="H3724" s="77"/>
      <c r="I3724" s="77"/>
      <c r="J3724" s="77"/>
      <c r="K3724" s="79"/>
      <c r="L3724" s="49">
        <f t="shared" ref="L3724:L3787" si="206">+K3724*18%</f>
        <v>0</v>
      </c>
      <c r="M3724" s="50">
        <f t="shared" ref="M3724:M3787" si="207">+K3724+L3724</f>
        <v>0</v>
      </c>
    </row>
    <row r="3725" spans="1:13" x14ac:dyDescent="0.2">
      <c r="A3725" s="18"/>
      <c r="B3725" s="77"/>
      <c r="C3725" s="77"/>
      <c r="D3725" s="78"/>
      <c r="E3725" s="77"/>
      <c r="F3725" s="77"/>
      <c r="G3725" s="77"/>
      <c r="H3725" s="77"/>
      <c r="I3725" s="77"/>
      <c r="J3725" s="77"/>
      <c r="K3725" s="79"/>
      <c r="L3725" s="49">
        <f t="shared" si="206"/>
        <v>0</v>
      </c>
      <c r="M3725" s="50">
        <f t="shared" si="207"/>
        <v>0</v>
      </c>
    </row>
    <row r="3726" spans="1:13" x14ac:dyDescent="0.2">
      <c r="A3726" s="18"/>
      <c r="B3726" s="77"/>
      <c r="C3726" s="77"/>
      <c r="D3726" s="78"/>
      <c r="E3726" s="77"/>
      <c r="F3726" s="77"/>
      <c r="G3726" s="77"/>
      <c r="H3726" s="77"/>
      <c r="I3726" s="77"/>
      <c r="J3726" s="77"/>
      <c r="K3726" s="79"/>
      <c r="L3726" s="49">
        <f t="shared" si="206"/>
        <v>0</v>
      </c>
      <c r="M3726" s="50">
        <f t="shared" si="207"/>
        <v>0</v>
      </c>
    </row>
    <row r="3727" spans="1:13" x14ac:dyDescent="0.2">
      <c r="A3727" s="18"/>
      <c r="B3727" s="77"/>
      <c r="C3727" s="77"/>
      <c r="D3727" s="78"/>
      <c r="E3727" s="77"/>
      <c r="F3727" s="77"/>
      <c r="G3727" s="77"/>
      <c r="H3727" s="77"/>
      <c r="I3727" s="77"/>
      <c r="J3727" s="77"/>
      <c r="K3727" s="79"/>
      <c r="L3727" s="49">
        <f t="shared" si="206"/>
        <v>0</v>
      </c>
      <c r="M3727" s="50">
        <f t="shared" si="207"/>
        <v>0</v>
      </c>
    </row>
    <row r="3728" spans="1:13" x14ac:dyDescent="0.2">
      <c r="A3728" s="18"/>
      <c r="B3728" s="77"/>
      <c r="C3728" s="77"/>
      <c r="D3728" s="78"/>
      <c r="E3728" s="77"/>
      <c r="F3728" s="77"/>
      <c r="G3728" s="77"/>
      <c r="H3728" s="77"/>
      <c r="I3728" s="77"/>
      <c r="J3728" s="77"/>
      <c r="K3728" s="79"/>
      <c r="L3728" s="49">
        <f t="shared" si="206"/>
        <v>0</v>
      </c>
      <c r="M3728" s="50">
        <f t="shared" si="207"/>
        <v>0</v>
      </c>
    </row>
    <row r="3729" spans="1:13" x14ac:dyDescent="0.2">
      <c r="A3729" s="18"/>
      <c r="B3729" s="77"/>
      <c r="C3729" s="77"/>
      <c r="D3729" s="78"/>
      <c r="E3729" s="77"/>
      <c r="F3729" s="77"/>
      <c r="G3729" s="77"/>
      <c r="H3729" s="77"/>
      <c r="I3729" s="77"/>
      <c r="J3729" s="77"/>
      <c r="K3729" s="79"/>
      <c r="L3729" s="49">
        <f t="shared" si="206"/>
        <v>0</v>
      </c>
      <c r="M3729" s="50">
        <f t="shared" si="207"/>
        <v>0</v>
      </c>
    </row>
    <row r="3730" spans="1:13" x14ac:dyDescent="0.2">
      <c r="A3730" s="18"/>
      <c r="B3730" s="77"/>
      <c r="C3730" s="77"/>
      <c r="D3730" s="78"/>
      <c r="E3730" s="77"/>
      <c r="F3730" s="77"/>
      <c r="G3730" s="77"/>
      <c r="H3730" s="77"/>
      <c r="I3730" s="77"/>
      <c r="J3730" s="77"/>
      <c r="K3730" s="79"/>
      <c r="L3730" s="49">
        <f t="shared" si="206"/>
        <v>0</v>
      </c>
      <c r="M3730" s="50">
        <f t="shared" si="207"/>
        <v>0</v>
      </c>
    </row>
    <row r="3731" spans="1:13" x14ac:dyDescent="0.2">
      <c r="A3731" s="18"/>
      <c r="B3731" s="77"/>
      <c r="C3731" s="77"/>
      <c r="D3731" s="78"/>
      <c r="E3731" s="77"/>
      <c r="F3731" s="77"/>
      <c r="G3731" s="77"/>
      <c r="H3731" s="77"/>
      <c r="I3731" s="77"/>
      <c r="J3731" s="77"/>
      <c r="K3731" s="79"/>
      <c r="L3731" s="49">
        <f t="shared" si="206"/>
        <v>0</v>
      </c>
      <c r="M3731" s="50">
        <f t="shared" si="207"/>
        <v>0</v>
      </c>
    </row>
    <row r="3732" spans="1:13" x14ac:dyDescent="0.2">
      <c r="A3732" s="18"/>
      <c r="B3732" s="77"/>
      <c r="C3732" s="77"/>
      <c r="D3732" s="78"/>
      <c r="E3732" s="77"/>
      <c r="F3732" s="77"/>
      <c r="G3732" s="77"/>
      <c r="H3732" s="77"/>
      <c r="I3732" s="77"/>
      <c r="J3732" s="77"/>
      <c r="K3732" s="79"/>
      <c r="L3732" s="49">
        <f t="shared" si="206"/>
        <v>0</v>
      </c>
      <c r="M3732" s="50">
        <f t="shared" si="207"/>
        <v>0</v>
      </c>
    </row>
    <row r="3733" spans="1:13" x14ac:dyDescent="0.2">
      <c r="A3733" s="18"/>
      <c r="B3733" s="77"/>
      <c r="C3733" s="77"/>
      <c r="D3733" s="78"/>
      <c r="E3733" s="77"/>
      <c r="F3733" s="77"/>
      <c r="G3733" s="77"/>
      <c r="H3733" s="77"/>
      <c r="I3733" s="77"/>
      <c r="J3733" s="77"/>
      <c r="K3733" s="79"/>
      <c r="L3733" s="49">
        <f t="shared" si="206"/>
        <v>0</v>
      </c>
      <c r="M3733" s="50">
        <f t="shared" si="207"/>
        <v>0</v>
      </c>
    </row>
    <row r="3734" spans="1:13" x14ac:dyDescent="0.2">
      <c r="A3734" s="18"/>
      <c r="B3734" s="77"/>
      <c r="C3734" s="77"/>
      <c r="D3734" s="78"/>
      <c r="E3734" s="77"/>
      <c r="F3734" s="77"/>
      <c r="G3734" s="77"/>
      <c r="H3734" s="77"/>
      <c r="I3734" s="77"/>
      <c r="J3734" s="77"/>
      <c r="K3734" s="79"/>
      <c r="L3734" s="49">
        <f t="shared" si="206"/>
        <v>0</v>
      </c>
      <c r="M3734" s="50">
        <f t="shared" si="207"/>
        <v>0</v>
      </c>
    </row>
    <row r="3735" spans="1:13" x14ac:dyDescent="0.2">
      <c r="A3735" s="18"/>
      <c r="B3735" s="77"/>
      <c r="C3735" s="77"/>
      <c r="D3735" s="78"/>
      <c r="E3735" s="77"/>
      <c r="F3735" s="77"/>
      <c r="G3735" s="77"/>
      <c r="H3735" s="77"/>
      <c r="I3735" s="77"/>
      <c r="J3735" s="77"/>
      <c r="K3735" s="79"/>
      <c r="L3735" s="49">
        <f t="shared" si="206"/>
        <v>0</v>
      </c>
      <c r="M3735" s="50">
        <f t="shared" si="207"/>
        <v>0</v>
      </c>
    </row>
    <row r="3736" spans="1:13" x14ac:dyDescent="0.2">
      <c r="A3736" s="18"/>
      <c r="B3736" s="77"/>
      <c r="C3736" s="77"/>
      <c r="D3736" s="78"/>
      <c r="E3736" s="77"/>
      <c r="F3736" s="77"/>
      <c r="G3736" s="77"/>
      <c r="H3736" s="77"/>
      <c r="I3736" s="77"/>
      <c r="J3736" s="77"/>
      <c r="K3736" s="79"/>
      <c r="L3736" s="49">
        <f t="shared" si="206"/>
        <v>0</v>
      </c>
      <c r="M3736" s="50">
        <f t="shared" si="207"/>
        <v>0</v>
      </c>
    </row>
    <row r="3737" spans="1:13" x14ac:dyDescent="0.2">
      <c r="A3737" s="18"/>
      <c r="B3737" s="77"/>
      <c r="C3737" s="77"/>
      <c r="D3737" s="78"/>
      <c r="E3737" s="77"/>
      <c r="F3737" s="77"/>
      <c r="G3737" s="77"/>
      <c r="H3737" s="77"/>
      <c r="I3737" s="77"/>
      <c r="J3737" s="77"/>
      <c r="K3737" s="79"/>
      <c r="L3737" s="49">
        <f t="shared" si="206"/>
        <v>0</v>
      </c>
      <c r="M3737" s="50">
        <f t="shared" si="207"/>
        <v>0</v>
      </c>
    </row>
    <row r="3738" spans="1:13" x14ac:dyDescent="0.2">
      <c r="A3738" s="18"/>
      <c r="B3738" s="77"/>
      <c r="C3738" s="77"/>
      <c r="D3738" s="78"/>
      <c r="E3738" s="77"/>
      <c r="F3738" s="77"/>
      <c r="G3738" s="77"/>
      <c r="H3738" s="77"/>
      <c r="I3738" s="77"/>
      <c r="J3738" s="77"/>
      <c r="K3738" s="79"/>
      <c r="L3738" s="49">
        <f t="shared" si="206"/>
        <v>0</v>
      </c>
      <c r="M3738" s="50">
        <f t="shared" si="207"/>
        <v>0</v>
      </c>
    </row>
    <row r="3739" spans="1:13" x14ac:dyDescent="0.2">
      <c r="A3739" s="18"/>
      <c r="B3739" s="77"/>
      <c r="C3739" s="77"/>
      <c r="D3739" s="78"/>
      <c r="E3739" s="77"/>
      <c r="F3739" s="77"/>
      <c r="G3739" s="77"/>
      <c r="H3739" s="77"/>
      <c r="I3739" s="77"/>
      <c r="J3739" s="77"/>
      <c r="K3739" s="79"/>
      <c r="L3739" s="49">
        <f t="shared" si="206"/>
        <v>0</v>
      </c>
      <c r="M3739" s="50">
        <f t="shared" si="207"/>
        <v>0</v>
      </c>
    </row>
    <row r="3740" spans="1:13" x14ac:dyDescent="0.2">
      <c r="A3740" s="18"/>
      <c r="B3740" s="77"/>
      <c r="C3740" s="77"/>
      <c r="D3740" s="78"/>
      <c r="E3740" s="77"/>
      <c r="F3740" s="77"/>
      <c r="G3740" s="77"/>
      <c r="H3740" s="77"/>
      <c r="I3740" s="77"/>
      <c r="J3740" s="77"/>
      <c r="K3740" s="79"/>
      <c r="L3740" s="49">
        <f t="shared" si="206"/>
        <v>0</v>
      </c>
      <c r="M3740" s="50">
        <f t="shared" si="207"/>
        <v>0</v>
      </c>
    </row>
    <row r="3741" spans="1:13" x14ac:dyDescent="0.2">
      <c r="A3741" s="18"/>
      <c r="B3741" s="77"/>
      <c r="C3741" s="77"/>
      <c r="D3741" s="78"/>
      <c r="E3741" s="77"/>
      <c r="F3741" s="77"/>
      <c r="G3741" s="77"/>
      <c r="H3741" s="77"/>
      <c r="I3741" s="77"/>
      <c r="J3741" s="77"/>
      <c r="K3741" s="79"/>
      <c r="L3741" s="49">
        <f t="shared" si="206"/>
        <v>0</v>
      </c>
      <c r="M3741" s="50">
        <f t="shared" si="207"/>
        <v>0</v>
      </c>
    </row>
    <row r="3742" spans="1:13" x14ac:dyDescent="0.2">
      <c r="A3742" s="18"/>
      <c r="B3742" s="77"/>
      <c r="C3742" s="77"/>
      <c r="D3742" s="78"/>
      <c r="E3742" s="77"/>
      <c r="F3742" s="77"/>
      <c r="G3742" s="77"/>
      <c r="H3742" s="77"/>
      <c r="I3742" s="77"/>
      <c r="J3742" s="77"/>
      <c r="K3742" s="79"/>
      <c r="L3742" s="49">
        <f t="shared" si="206"/>
        <v>0</v>
      </c>
      <c r="M3742" s="50">
        <f t="shared" si="207"/>
        <v>0</v>
      </c>
    </row>
    <row r="3743" spans="1:13" x14ac:dyDescent="0.2">
      <c r="A3743" s="18"/>
      <c r="B3743" s="77"/>
      <c r="C3743" s="77"/>
      <c r="D3743" s="78"/>
      <c r="E3743" s="77"/>
      <c r="F3743" s="77"/>
      <c r="G3743" s="77"/>
      <c r="H3743" s="77"/>
      <c r="I3743" s="77"/>
      <c r="J3743" s="77"/>
      <c r="K3743" s="79"/>
      <c r="L3743" s="49">
        <f t="shared" si="206"/>
        <v>0</v>
      </c>
      <c r="M3743" s="50">
        <f t="shared" si="207"/>
        <v>0</v>
      </c>
    </row>
    <row r="3744" spans="1:13" x14ac:dyDescent="0.2">
      <c r="A3744" s="18"/>
      <c r="B3744" s="77"/>
      <c r="C3744" s="77"/>
      <c r="D3744" s="78"/>
      <c r="E3744" s="77"/>
      <c r="F3744" s="77"/>
      <c r="G3744" s="77"/>
      <c r="H3744" s="77"/>
      <c r="I3744" s="77"/>
      <c r="J3744" s="77"/>
      <c r="K3744" s="79"/>
      <c r="L3744" s="49">
        <f t="shared" si="206"/>
        <v>0</v>
      </c>
      <c r="M3744" s="50">
        <f t="shared" si="207"/>
        <v>0</v>
      </c>
    </row>
    <row r="3745" spans="1:13" x14ac:dyDescent="0.2">
      <c r="A3745" s="18"/>
      <c r="B3745" s="77"/>
      <c r="C3745" s="77"/>
      <c r="D3745" s="78"/>
      <c r="E3745" s="77"/>
      <c r="F3745" s="77"/>
      <c r="G3745" s="77"/>
      <c r="H3745" s="77"/>
      <c r="I3745" s="77"/>
      <c r="J3745" s="77"/>
      <c r="K3745" s="79"/>
      <c r="L3745" s="49">
        <f t="shared" si="206"/>
        <v>0</v>
      </c>
      <c r="M3745" s="50">
        <f t="shared" si="207"/>
        <v>0</v>
      </c>
    </row>
    <row r="3746" spans="1:13" x14ac:dyDescent="0.2">
      <c r="A3746" s="18"/>
      <c r="B3746" s="77"/>
      <c r="C3746" s="77"/>
      <c r="D3746" s="78"/>
      <c r="E3746" s="77"/>
      <c r="F3746" s="77"/>
      <c r="G3746" s="77"/>
      <c r="H3746" s="77"/>
      <c r="I3746" s="77"/>
      <c r="J3746" s="77"/>
      <c r="K3746" s="79"/>
      <c r="L3746" s="49">
        <f t="shared" si="206"/>
        <v>0</v>
      </c>
      <c r="M3746" s="50">
        <f t="shared" si="207"/>
        <v>0</v>
      </c>
    </row>
    <row r="3747" spans="1:13" x14ac:dyDescent="0.2">
      <c r="A3747" s="18"/>
      <c r="B3747" s="77"/>
      <c r="C3747" s="77"/>
      <c r="D3747" s="78"/>
      <c r="E3747" s="77"/>
      <c r="F3747" s="77"/>
      <c r="G3747" s="77"/>
      <c r="H3747" s="77"/>
      <c r="I3747" s="77"/>
      <c r="J3747" s="77"/>
      <c r="K3747" s="79"/>
      <c r="L3747" s="49">
        <f t="shared" si="206"/>
        <v>0</v>
      </c>
      <c r="M3747" s="50">
        <f t="shared" si="207"/>
        <v>0</v>
      </c>
    </row>
    <row r="3748" spans="1:13" x14ac:dyDescent="0.2">
      <c r="A3748" s="18"/>
      <c r="B3748" s="77"/>
      <c r="C3748" s="77"/>
      <c r="D3748" s="78"/>
      <c r="E3748" s="77"/>
      <c r="F3748" s="77"/>
      <c r="G3748" s="77"/>
      <c r="H3748" s="77"/>
      <c r="I3748" s="77"/>
      <c r="J3748" s="77"/>
      <c r="K3748" s="79"/>
      <c r="L3748" s="49">
        <f t="shared" si="206"/>
        <v>0</v>
      </c>
      <c r="M3748" s="50">
        <f t="shared" si="207"/>
        <v>0</v>
      </c>
    </row>
    <row r="3749" spans="1:13" x14ac:dyDescent="0.2">
      <c r="A3749" s="18"/>
      <c r="B3749" s="77"/>
      <c r="C3749" s="77"/>
      <c r="D3749" s="78"/>
      <c r="E3749" s="77"/>
      <c r="F3749" s="77"/>
      <c r="G3749" s="77"/>
      <c r="H3749" s="77"/>
      <c r="I3749" s="77"/>
      <c r="J3749" s="77"/>
      <c r="K3749" s="79"/>
      <c r="L3749" s="49">
        <f t="shared" si="206"/>
        <v>0</v>
      </c>
      <c r="M3749" s="50">
        <f t="shared" si="207"/>
        <v>0</v>
      </c>
    </row>
    <row r="3750" spans="1:13" x14ac:dyDescent="0.2">
      <c r="A3750" s="18"/>
      <c r="B3750" s="77"/>
      <c r="C3750" s="77"/>
      <c r="D3750" s="78"/>
      <c r="E3750" s="77"/>
      <c r="F3750" s="77"/>
      <c r="G3750" s="77"/>
      <c r="H3750" s="77"/>
      <c r="I3750" s="77"/>
      <c r="J3750" s="77"/>
      <c r="K3750" s="79"/>
      <c r="L3750" s="49">
        <f t="shared" si="206"/>
        <v>0</v>
      </c>
      <c r="M3750" s="50">
        <f t="shared" si="207"/>
        <v>0</v>
      </c>
    </row>
    <row r="3751" spans="1:13" x14ac:dyDescent="0.2">
      <c r="A3751" s="18"/>
      <c r="B3751" s="77"/>
      <c r="C3751" s="77"/>
      <c r="D3751" s="78"/>
      <c r="E3751" s="77"/>
      <c r="F3751" s="77"/>
      <c r="G3751" s="77"/>
      <c r="H3751" s="77"/>
      <c r="I3751" s="77"/>
      <c r="J3751" s="77"/>
      <c r="K3751" s="79"/>
      <c r="L3751" s="49">
        <f t="shared" si="206"/>
        <v>0</v>
      </c>
      <c r="M3751" s="50">
        <f t="shared" si="207"/>
        <v>0</v>
      </c>
    </row>
    <row r="3752" spans="1:13" x14ac:dyDescent="0.2">
      <c r="A3752" s="18"/>
      <c r="B3752" s="77"/>
      <c r="C3752" s="77"/>
      <c r="D3752" s="78"/>
      <c r="E3752" s="77"/>
      <c r="F3752" s="77"/>
      <c r="G3752" s="77"/>
      <c r="H3752" s="77"/>
      <c r="I3752" s="77"/>
      <c r="J3752" s="77"/>
      <c r="K3752" s="79"/>
      <c r="L3752" s="49">
        <f t="shared" si="206"/>
        <v>0</v>
      </c>
      <c r="M3752" s="50">
        <f t="shared" si="207"/>
        <v>0</v>
      </c>
    </row>
    <row r="3753" spans="1:13" x14ac:dyDescent="0.2">
      <c r="A3753" s="18"/>
      <c r="B3753" s="77"/>
      <c r="C3753" s="77"/>
      <c r="D3753" s="78"/>
      <c r="E3753" s="77"/>
      <c r="F3753" s="77"/>
      <c r="G3753" s="77"/>
      <c r="H3753" s="77"/>
      <c r="I3753" s="77"/>
      <c r="J3753" s="77"/>
      <c r="K3753" s="79"/>
      <c r="L3753" s="49">
        <f t="shared" si="206"/>
        <v>0</v>
      </c>
      <c r="M3753" s="50">
        <f t="shared" si="207"/>
        <v>0</v>
      </c>
    </row>
    <row r="3754" spans="1:13" x14ac:dyDescent="0.2">
      <c r="A3754" s="18"/>
      <c r="B3754" s="77"/>
      <c r="C3754" s="77"/>
      <c r="D3754" s="78"/>
      <c r="E3754" s="77"/>
      <c r="F3754" s="77"/>
      <c r="G3754" s="77"/>
      <c r="H3754" s="77"/>
      <c r="I3754" s="77"/>
      <c r="J3754" s="77"/>
      <c r="K3754" s="79"/>
      <c r="L3754" s="49">
        <f t="shared" si="206"/>
        <v>0</v>
      </c>
      <c r="M3754" s="50">
        <f t="shared" si="207"/>
        <v>0</v>
      </c>
    </row>
    <row r="3755" spans="1:13" x14ac:dyDescent="0.2">
      <c r="A3755" s="18"/>
      <c r="B3755" s="77"/>
      <c r="C3755" s="77"/>
      <c r="D3755" s="78"/>
      <c r="E3755" s="77"/>
      <c r="F3755" s="77"/>
      <c r="G3755" s="77"/>
      <c r="H3755" s="77"/>
      <c r="I3755" s="77"/>
      <c r="J3755" s="77"/>
      <c r="K3755" s="79"/>
      <c r="L3755" s="49">
        <f t="shared" si="206"/>
        <v>0</v>
      </c>
      <c r="M3755" s="50">
        <f t="shared" si="207"/>
        <v>0</v>
      </c>
    </row>
    <row r="3756" spans="1:13" x14ac:dyDescent="0.2">
      <c r="A3756" s="18"/>
      <c r="B3756" s="77"/>
      <c r="C3756" s="77"/>
      <c r="D3756" s="78"/>
      <c r="E3756" s="77"/>
      <c r="F3756" s="77"/>
      <c r="G3756" s="77"/>
      <c r="H3756" s="77"/>
      <c r="I3756" s="77"/>
      <c r="J3756" s="77"/>
      <c r="K3756" s="79"/>
      <c r="L3756" s="49">
        <f t="shared" si="206"/>
        <v>0</v>
      </c>
      <c r="M3756" s="50">
        <f t="shared" si="207"/>
        <v>0</v>
      </c>
    </row>
    <row r="3757" spans="1:13" x14ac:dyDescent="0.2">
      <c r="A3757" s="18"/>
      <c r="B3757" s="77"/>
      <c r="C3757" s="77"/>
      <c r="D3757" s="78"/>
      <c r="E3757" s="77"/>
      <c r="F3757" s="77"/>
      <c r="G3757" s="77"/>
      <c r="H3757" s="77"/>
      <c r="I3757" s="77"/>
      <c r="J3757" s="77"/>
      <c r="K3757" s="79"/>
      <c r="L3757" s="49">
        <f t="shared" si="206"/>
        <v>0</v>
      </c>
      <c r="M3757" s="50">
        <f t="shared" si="207"/>
        <v>0</v>
      </c>
    </row>
    <row r="3758" spans="1:13" x14ac:dyDescent="0.2">
      <c r="A3758" s="18"/>
      <c r="B3758" s="77"/>
      <c r="C3758" s="77"/>
      <c r="D3758" s="78"/>
      <c r="E3758" s="77"/>
      <c r="F3758" s="77"/>
      <c r="G3758" s="77"/>
      <c r="H3758" s="77"/>
      <c r="I3758" s="77"/>
      <c r="J3758" s="77"/>
      <c r="K3758" s="79"/>
      <c r="L3758" s="49">
        <f t="shared" si="206"/>
        <v>0</v>
      </c>
      <c r="M3758" s="50">
        <f t="shared" si="207"/>
        <v>0</v>
      </c>
    </row>
    <row r="3759" spans="1:13" x14ac:dyDescent="0.2">
      <c r="A3759" s="18"/>
      <c r="B3759" s="77"/>
      <c r="C3759" s="77"/>
      <c r="D3759" s="78"/>
      <c r="E3759" s="77"/>
      <c r="F3759" s="77"/>
      <c r="G3759" s="77"/>
      <c r="H3759" s="77"/>
      <c r="I3759" s="77"/>
      <c r="J3759" s="77"/>
      <c r="K3759" s="79"/>
      <c r="L3759" s="49">
        <f t="shared" si="206"/>
        <v>0</v>
      </c>
      <c r="M3759" s="50">
        <f t="shared" si="207"/>
        <v>0</v>
      </c>
    </row>
    <row r="3760" spans="1:13" x14ac:dyDescent="0.2">
      <c r="A3760" s="18"/>
      <c r="B3760" s="77"/>
      <c r="C3760" s="77"/>
      <c r="D3760" s="78"/>
      <c r="E3760" s="77"/>
      <c r="F3760" s="77"/>
      <c r="G3760" s="77"/>
      <c r="H3760" s="77"/>
      <c r="I3760" s="77"/>
      <c r="J3760" s="77"/>
      <c r="K3760" s="79"/>
      <c r="L3760" s="49">
        <f t="shared" si="206"/>
        <v>0</v>
      </c>
      <c r="M3760" s="50">
        <f t="shared" si="207"/>
        <v>0</v>
      </c>
    </row>
    <row r="3761" spans="1:13" x14ac:dyDescent="0.2">
      <c r="A3761" s="18"/>
      <c r="B3761" s="77"/>
      <c r="C3761" s="77"/>
      <c r="D3761" s="78"/>
      <c r="E3761" s="77"/>
      <c r="F3761" s="77"/>
      <c r="G3761" s="77"/>
      <c r="H3761" s="77"/>
      <c r="I3761" s="77"/>
      <c r="J3761" s="77"/>
      <c r="K3761" s="79"/>
      <c r="L3761" s="49">
        <f t="shared" si="206"/>
        <v>0</v>
      </c>
      <c r="M3761" s="50">
        <f t="shared" si="207"/>
        <v>0</v>
      </c>
    </row>
    <row r="3762" spans="1:13" x14ac:dyDescent="0.2">
      <c r="A3762" s="18"/>
      <c r="B3762" s="77"/>
      <c r="C3762" s="77"/>
      <c r="D3762" s="78"/>
      <c r="E3762" s="77"/>
      <c r="F3762" s="77"/>
      <c r="G3762" s="77"/>
      <c r="H3762" s="77"/>
      <c r="I3762" s="77"/>
      <c r="J3762" s="77"/>
      <c r="K3762" s="79"/>
      <c r="L3762" s="49">
        <f t="shared" si="206"/>
        <v>0</v>
      </c>
      <c r="M3762" s="50">
        <f t="shared" si="207"/>
        <v>0</v>
      </c>
    </row>
    <row r="3763" spans="1:13" x14ac:dyDescent="0.2">
      <c r="A3763" s="18"/>
      <c r="B3763" s="77"/>
      <c r="C3763" s="77"/>
      <c r="D3763" s="78"/>
      <c r="E3763" s="77"/>
      <c r="F3763" s="77"/>
      <c r="G3763" s="77"/>
      <c r="H3763" s="77"/>
      <c r="I3763" s="77"/>
      <c r="J3763" s="77"/>
      <c r="K3763" s="79"/>
      <c r="L3763" s="49">
        <f t="shared" si="206"/>
        <v>0</v>
      </c>
      <c r="M3763" s="50">
        <f t="shared" si="207"/>
        <v>0</v>
      </c>
    </row>
    <row r="3764" spans="1:13" x14ac:dyDescent="0.2">
      <c r="A3764" s="18"/>
      <c r="B3764" s="77"/>
      <c r="C3764" s="77"/>
      <c r="D3764" s="78"/>
      <c r="E3764" s="77"/>
      <c r="F3764" s="77"/>
      <c r="G3764" s="77"/>
      <c r="H3764" s="77"/>
      <c r="I3764" s="77"/>
      <c r="J3764" s="77"/>
      <c r="K3764" s="79"/>
      <c r="L3764" s="49">
        <f t="shared" si="206"/>
        <v>0</v>
      </c>
      <c r="M3764" s="50">
        <f t="shared" si="207"/>
        <v>0</v>
      </c>
    </row>
    <row r="3765" spans="1:13" x14ac:dyDescent="0.2">
      <c r="A3765" s="18"/>
      <c r="B3765" s="77"/>
      <c r="C3765" s="77"/>
      <c r="D3765" s="78"/>
      <c r="E3765" s="77"/>
      <c r="F3765" s="77"/>
      <c r="G3765" s="77"/>
      <c r="H3765" s="77"/>
      <c r="I3765" s="77"/>
      <c r="J3765" s="77"/>
      <c r="K3765" s="79"/>
      <c r="L3765" s="49">
        <f t="shared" si="206"/>
        <v>0</v>
      </c>
      <c r="M3765" s="50">
        <f t="shared" si="207"/>
        <v>0</v>
      </c>
    </row>
    <row r="3766" spans="1:13" x14ac:dyDescent="0.2">
      <c r="A3766" s="18"/>
      <c r="B3766" s="77"/>
      <c r="C3766" s="77"/>
      <c r="D3766" s="78"/>
      <c r="E3766" s="77"/>
      <c r="F3766" s="77"/>
      <c r="G3766" s="77"/>
      <c r="H3766" s="77"/>
      <c r="I3766" s="77"/>
      <c r="J3766" s="77"/>
      <c r="K3766" s="79"/>
      <c r="L3766" s="49">
        <f t="shared" si="206"/>
        <v>0</v>
      </c>
      <c r="M3766" s="50">
        <f t="shared" si="207"/>
        <v>0</v>
      </c>
    </row>
    <row r="3767" spans="1:13" x14ac:dyDescent="0.2">
      <c r="A3767" s="18"/>
      <c r="B3767" s="77"/>
      <c r="C3767" s="77"/>
      <c r="D3767" s="78"/>
      <c r="E3767" s="77"/>
      <c r="F3767" s="77"/>
      <c r="G3767" s="77"/>
      <c r="H3767" s="77"/>
      <c r="I3767" s="77"/>
      <c r="J3767" s="77"/>
      <c r="K3767" s="79"/>
      <c r="L3767" s="49">
        <f t="shared" si="206"/>
        <v>0</v>
      </c>
      <c r="M3767" s="50">
        <f t="shared" si="207"/>
        <v>0</v>
      </c>
    </row>
    <row r="3768" spans="1:13" x14ac:dyDescent="0.2">
      <c r="A3768" s="18"/>
      <c r="B3768" s="77"/>
      <c r="C3768" s="77"/>
      <c r="D3768" s="78"/>
      <c r="E3768" s="77"/>
      <c r="F3768" s="77"/>
      <c r="G3768" s="77"/>
      <c r="H3768" s="77"/>
      <c r="I3768" s="77"/>
      <c r="J3768" s="77"/>
      <c r="K3768" s="79"/>
      <c r="L3768" s="49">
        <f t="shared" si="206"/>
        <v>0</v>
      </c>
      <c r="M3768" s="50">
        <f t="shared" si="207"/>
        <v>0</v>
      </c>
    </row>
    <row r="3769" spans="1:13" x14ac:dyDescent="0.2">
      <c r="A3769" s="18"/>
      <c r="B3769" s="77"/>
      <c r="C3769" s="77"/>
      <c r="D3769" s="78"/>
      <c r="E3769" s="77"/>
      <c r="F3769" s="77"/>
      <c r="G3769" s="77"/>
      <c r="H3769" s="77"/>
      <c r="I3769" s="77"/>
      <c r="J3769" s="77"/>
      <c r="K3769" s="79"/>
      <c r="L3769" s="49">
        <f t="shared" si="206"/>
        <v>0</v>
      </c>
      <c r="M3769" s="50">
        <f t="shared" si="207"/>
        <v>0</v>
      </c>
    </row>
    <row r="3770" spans="1:13" x14ac:dyDescent="0.2">
      <c r="A3770" s="18"/>
      <c r="B3770" s="77"/>
      <c r="C3770" s="77"/>
      <c r="D3770" s="78"/>
      <c r="E3770" s="77"/>
      <c r="F3770" s="77"/>
      <c r="G3770" s="77"/>
      <c r="H3770" s="77"/>
      <c r="I3770" s="77"/>
      <c r="J3770" s="77"/>
      <c r="K3770" s="79"/>
      <c r="L3770" s="49">
        <f t="shared" si="206"/>
        <v>0</v>
      </c>
      <c r="M3770" s="50">
        <f t="shared" si="207"/>
        <v>0</v>
      </c>
    </row>
    <row r="3771" spans="1:13" x14ac:dyDescent="0.2">
      <c r="A3771" s="18"/>
      <c r="B3771" s="77"/>
      <c r="C3771" s="77"/>
      <c r="D3771" s="78"/>
      <c r="E3771" s="77"/>
      <c r="F3771" s="77"/>
      <c r="G3771" s="77"/>
      <c r="H3771" s="77"/>
      <c r="I3771" s="77"/>
      <c r="J3771" s="77"/>
      <c r="K3771" s="79"/>
      <c r="L3771" s="49">
        <f t="shared" si="206"/>
        <v>0</v>
      </c>
      <c r="M3771" s="50">
        <f t="shared" si="207"/>
        <v>0</v>
      </c>
    </row>
    <row r="3772" spans="1:13" x14ac:dyDescent="0.2">
      <c r="A3772" s="18"/>
      <c r="B3772" s="77"/>
      <c r="C3772" s="77"/>
      <c r="D3772" s="78"/>
      <c r="E3772" s="77"/>
      <c r="F3772" s="77"/>
      <c r="G3772" s="77"/>
      <c r="H3772" s="77"/>
      <c r="I3772" s="77"/>
      <c r="J3772" s="77"/>
      <c r="K3772" s="79"/>
      <c r="L3772" s="49">
        <f t="shared" si="206"/>
        <v>0</v>
      </c>
      <c r="M3772" s="50">
        <f t="shared" si="207"/>
        <v>0</v>
      </c>
    </row>
    <row r="3773" spans="1:13" x14ac:dyDescent="0.2">
      <c r="A3773" s="18"/>
      <c r="B3773" s="77"/>
      <c r="C3773" s="77"/>
      <c r="D3773" s="78"/>
      <c r="E3773" s="77"/>
      <c r="F3773" s="77"/>
      <c r="G3773" s="77"/>
      <c r="H3773" s="77"/>
      <c r="I3773" s="77"/>
      <c r="J3773" s="77"/>
      <c r="K3773" s="79"/>
      <c r="L3773" s="49">
        <f t="shared" si="206"/>
        <v>0</v>
      </c>
      <c r="M3773" s="50">
        <f t="shared" si="207"/>
        <v>0</v>
      </c>
    </row>
    <row r="3774" spans="1:13" x14ac:dyDescent="0.2">
      <c r="A3774" s="18"/>
      <c r="B3774" s="77"/>
      <c r="C3774" s="77"/>
      <c r="D3774" s="78"/>
      <c r="E3774" s="77"/>
      <c r="F3774" s="77"/>
      <c r="G3774" s="77"/>
      <c r="H3774" s="77"/>
      <c r="I3774" s="77"/>
      <c r="J3774" s="77"/>
      <c r="K3774" s="79"/>
      <c r="L3774" s="49">
        <f t="shared" si="206"/>
        <v>0</v>
      </c>
      <c r="M3774" s="50">
        <f t="shared" si="207"/>
        <v>0</v>
      </c>
    </row>
    <row r="3775" spans="1:13" x14ac:dyDescent="0.2">
      <c r="A3775" s="18"/>
      <c r="B3775" s="77"/>
      <c r="C3775" s="77"/>
      <c r="D3775" s="78"/>
      <c r="E3775" s="77"/>
      <c r="F3775" s="77"/>
      <c r="G3775" s="77"/>
      <c r="H3775" s="77"/>
      <c r="I3775" s="77"/>
      <c r="J3775" s="77"/>
      <c r="K3775" s="79"/>
      <c r="L3775" s="49">
        <f t="shared" si="206"/>
        <v>0</v>
      </c>
      <c r="M3775" s="50">
        <f t="shared" si="207"/>
        <v>0</v>
      </c>
    </row>
    <row r="3776" spans="1:13" x14ac:dyDescent="0.2">
      <c r="A3776" s="18"/>
      <c r="B3776" s="77"/>
      <c r="C3776" s="77"/>
      <c r="D3776" s="78"/>
      <c r="E3776" s="77"/>
      <c r="F3776" s="77"/>
      <c r="G3776" s="77"/>
      <c r="H3776" s="77"/>
      <c r="I3776" s="77"/>
      <c r="J3776" s="77"/>
      <c r="K3776" s="79"/>
      <c r="L3776" s="49">
        <f t="shared" si="206"/>
        <v>0</v>
      </c>
      <c r="M3776" s="50">
        <f t="shared" si="207"/>
        <v>0</v>
      </c>
    </row>
    <row r="3777" spans="1:13" x14ac:dyDescent="0.2">
      <c r="A3777" s="18"/>
      <c r="B3777" s="77"/>
      <c r="C3777" s="77"/>
      <c r="D3777" s="78"/>
      <c r="E3777" s="77"/>
      <c r="F3777" s="77"/>
      <c r="G3777" s="77"/>
      <c r="H3777" s="77"/>
      <c r="I3777" s="77"/>
      <c r="J3777" s="77"/>
      <c r="K3777" s="79"/>
      <c r="L3777" s="49">
        <f t="shared" si="206"/>
        <v>0</v>
      </c>
      <c r="M3777" s="50">
        <f t="shared" si="207"/>
        <v>0</v>
      </c>
    </row>
    <row r="3778" spans="1:13" x14ac:dyDescent="0.2">
      <c r="A3778" s="18"/>
      <c r="B3778" s="77"/>
      <c r="C3778" s="77"/>
      <c r="D3778" s="78"/>
      <c r="E3778" s="77"/>
      <c r="F3778" s="77"/>
      <c r="G3778" s="77"/>
      <c r="H3778" s="77"/>
      <c r="I3778" s="77"/>
      <c r="J3778" s="77"/>
      <c r="K3778" s="79"/>
      <c r="L3778" s="49">
        <f t="shared" si="206"/>
        <v>0</v>
      </c>
      <c r="M3778" s="50">
        <f t="shared" si="207"/>
        <v>0</v>
      </c>
    </row>
    <row r="3779" spans="1:13" x14ac:dyDescent="0.2">
      <c r="A3779" s="18"/>
      <c r="B3779" s="77"/>
      <c r="C3779" s="77"/>
      <c r="D3779" s="78"/>
      <c r="E3779" s="77"/>
      <c r="F3779" s="77"/>
      <c r="G3779" s="77"/>
      <c r="H3779" s="77"/>
      <c r="I3779" s="77"/>
      <c r="J3779" s="77"/>
      <c r="K3779" s="79"/>
      <c r="L3779" s="49">
        <f t="shared" si="206"/>
        <v>0</v>
      </c>
      <c r="M3779" s="50">
        <f t="shared" si="207"/>
        <v>0</v>
      </c>
    </row>
    <row r="3780" spans="1:13" x14ac:dyDescent="0.2">
      <c r="A3780" s="18"/>
      <c r="B3780" s="77"/>
      <c r="C3780" s="77"/>
      <c r="D3780" s="78"/>
      <c r="E3780" s="77"/>
      <c r="F3780" s="77"/>
      <c r="G3780" s="77"/>
      <c r="H3780" s="77"/>
      <c r="I3780" s="77"/>
      <c r="J3780" s="77"/>
      <c r="K3780" s="79"/>
      <c r="L3780" s="49">
        <f t="shared" si="206"/>
        <v>0</v>
      </c>
      <c r="M3780" s="50">
        <f t="shared" si="207"/>
        <v>0</v>
      </c>
    </row>
    <row r="3781" spans="1:13" x14ac:dyDescent="0.2">
      <c r="A3781" s="18"/>
      <c r="B3781" s="77"/>
      <c r="C3781" s="77"/>
      <c r="D3781" s="78"/>
      <c r="E3781" s="77"/>
      <c r="F3781" s="77"/>
      <c r="G3781" s="77"/>
      <c r="H3781" s="77"/>
      <c r="I3781" s="77"/>
      <c r="J3781" s="77"/>
      <c r="K3781" s="79"/>
      <c r="L3781" s="49">
        <f t="shared" si="206"/>
        <v>0</v>
      </c>
      <c r="M3781" s="50">
        <f t="shared" si="207"/>
        <v>0</v>
      </c>
    </row>
    <row r="3782" spans="1:13" x14ac:dyDescent="0.2">
      <c r="A3782" s="18"/>
      <c r="B3782" s="77"/>
      <c r="C3782" s="77"/>
      <c r="D3782" s="78"/>
      <c r="E3782" s="77"/>
      <c r="F3782" s="77"/>
      <c r="G3782" s="77"/>
      <c r="H3782" s="77"/>
      <c r="I3782" s="77"/>
      <c r="J3782" s="77"/>
      <c r="K3782" s="79"/>
      <c r="L3782" s="49">
        <f t="shared" si="206"/>
        <v>0</v>
      </c>
      <c r="M3782" s="50">
        <f t="shared" si="207"/>
        <v>0</v>
      </c>
    </row>
    <row r="3783" spans="1:13" x14ac:dyDescent="0.2">
      <c r="A3783" s="18"/>
      <c r="B3783" s="77"/>
      <c r="C3783" s="77"/>
      <c r="D3783" s="78"/>
      <c r="E3783" s="77"/>
      <c r="F3783" s="77"/>
      <c r="G3783" s="77"/>
      <c r="H3783" s="77"/>
      <c r="I3783" s="77"/>
      <c r="J3783" s="77"/>
      <c r="K3783" s="79"/>
      <c r="L3783" s="49">
        <f t="shared" si="206"/>
        <v>0</v>
      </c>
      <c r="M3783" s="50">
        <f t="shared" si="207"/>
        <v>0</v>
      </c>
    </row>
    <row r="3784" spans="1:13" x14ac:dyDescent="0.2">
      <c r="A3784" s="18"/>
      <c r="B3784" s="77"/>
      <c r="C3784" s="77"/>
      <c r="D3784" s="78"/>
      <c r="E3784" s="77"/>
      <c r="F3784" s="77"/>
      <c r="G3784" s="77"/>
      <c r="H3784" s="77"/>
      <c r="I3784" s="77"/>
      <c r="J3784" s="77"/>
      <c r="K3784" s="79"/>
      <c r="L3784" s="49">
        <f t="shared" si="206"/>
        <v>0</v>
      </c>
      <c r="M3784" s="50">
        <f t="shared" si="207"/>
        <v>0</v>
      </c>
    </row>
    <row r="3785" spans="1:13" x14ac:dyDescent="0.2">
      <c r="A3785" s="18"/>
      <c r="B3785" s="77"/>
      <c r="C3785" s="77"/>
      <c r="D3785" s="78"/>
      <c r="E3785" s="77"/>
      <c r="F3785" s="77"/>
      <c r="G3785" s="77"/>
      <c r="H3785" s="77"/>
      <c r="I3785" s="77"/>
      <c r="J3785" s="77"/>
      <c r="K3785" s="79"/>
      <c r="L3785" s="49">
        <f t="shared" si="206"/>
        <v>0</v>
      </c>
      <c r="M3785" s="50">
        <f t="shared" si="207"/>
        <v>0</v>
      </c>
    </row>
    <row r="3786" spans="1:13" x14ac:dyDescent="0.2">
      <c r="A3786" s="18"/>
      <c r="B3786" s="77"/>
      <c r="C3786" s="77"/>
      <c r="D3786" s="78"/>
      <c r="E3786" s="77"/>
      <c r="F3786" s="77"/>
      <c r="G3786" s="77"/>
      <c r="H3786" s="77"/>
      <c r="I3786" s="77"/>
      <c r="J3786" s="77"/>
      <c r="K3786" s="79"/>
      <c r="L3786" s="49">
        <f t="shared" si="206"/>
        <v>0</v>
      </c>
      <c r="M3786" s="50">
        <f t="shared" si="207"/>
        <v>0</v>
      </c>
    </row>
    <row r="3787" spans="1:13" x14ac:dyDescent="0.2">
      <c r="A3787" s="18"/>
      <c r="B3787" s="77"/>
      <c r="C3787" s="77"/>
      <c r="D3787" s="78"/>
      <c r="E3787" s="77"/>
      <c r="F3787" s="77"/>
      <c r="G3787" s="77"/>
      <c r="H3787" s="77"/>
      <c r="I3787" s="77"/>
      <c r="J3787" s="77"/>
      <c r="K3787" s="79"/>
      <c r="L3787" s="49">
        <f t="shared" si="206"/>
        <v>0</v>
      </c>
      <c r="M3787" s="50">
        <f t="shared" si="207"/>
        <v>0</v>
      </c>
    </row>
    <row r="3788" spans="1:13" x14ac:dyDescent="0.2">
      <c r="A3788" s="18"/>
      <c r="B3788" s="77"/>
      <c r="C3788" s="77"/>
      <c r="D3788" s="78"/>
      <c r="E3788" s="77"/>
      <c r="F3788" s="77"/>
      <c r="G3788" s="77"/>
      <c r="H3788" s="77"/>
      <c r="I3788" s="77"/>
      <c r="J3788" s="77"/>
      <c r="K3788" s="79"/>
      <c r="L3788" s="49">
        <f t="shared" ref="L3788:L3823" si="208">+K3788*18%</f>
        <v>0</v>
      </c>
      <c r="M3788" s="50">
        <f t="shared" ref="M3788:M3823" si="209">+K3788+L3788</f>
        <v>0</v>
      </c>
    </row>
    <row r="3789" spans="1:13" x14ac:dyDescent="0.2">
      <c r="A3789" s="18"/>
      <c r="B3789" s="77"/>
      <c r="C3789" s="77"/>
      <c r="D3789" s="78"/>
      <c r="E3789" s="77"/>
      <c r="F3789" s="77"/>
      <c r="G3789" s="77"/>
      <c r="H3789" s="77"/>
      <c r="I3789" s="77"/>
      <c r="J3789" s="77"/>
      <c r="K3789" s="79"/>
      <c r="L3789" s="49">
        <f t="shared" si="208"/>
        <v>0</v>
      </c>
      <c r="M3789" s="50">
        <f t="shared" si="209"/>
        <v>0</v>
      </c>
    </row>
    <row r="3790" spans="1:13" x14ac:dyDescent="0.2">
      <c r="A3790" s="18"/>
      <c r="B3790" s="77"/>
      <c r="C3790" s="77"/>
      <c r="D3790" s="78"/>
      <c r="E3790" s="77"/>
      <c r="F3790" s="77"/>
      <c r="G3790" s="77"/>
      <c r="H3790" s="77"/>
      <c r="I3790" s="77"/>
      <c r="J3790" s="77"/>
      <c r="K3790" s="79"/>
      <c r="L3790" s="49">
        <f t="shared" si="208"/>
        <v>0</v>
      </c>
      <c r="M3790" s="50">
        <f t="shared" si="209"/>
        <v>0</v>
      </c>
    </row>
    <row r="3791" spans="1:13" x14ac:dyDescent="0.2">
      <c r="A3791" s="18"/>
      <c r="B3791" s="77"/>
      <c r="C3791" s="77"/>
      <c r="D3791" s="78"/>
      <c r="E3791" s="77"/>
      <c r="F3791" s="77"/>
      <c r="G3791" s="77"/>
      <c r="H3791" s="77"/>
      <c r="I3791" s="77"/>
      <c r="J3791" s="77"/>
      <c r="K3791" s="79"/>
      <c r="L3791" s="49">
        <f t="shared" si="208"/>
        <v>0</v>
      </c>
      <c r="M3791" s="50">
        <f t="shared" si="209"/>
        <v>0</v>
      </c>
    </row>
    <row r="3792" spans="1:13" x14ac:dyDescent="0.2">
      <c r="A3792" s="18"/>
      <c r="B3792" s="77"/>
      <c r="C3792" s="77"/>
      <c r="D3792" s="78"/>
      <c r="E3792" s="77"/>
      <c r="F3792" s="77"/>
      <c r="G3792" s="77"/>
      <c r="H3792" s="77"/>
      <c r="I3792" s="77"/>
      <c r="J3792" s="77"/>
      <c r="K3792" s="79"/>
      <c r="L3792" s="49">
        <f t="shared" si="208"/>
        <v>0</v>
      </c>
      <c r="M3792" s="50">
        <f t="shared" si="209"/>
        <v>0</v>
      </c>
    </row>
    <row r="3793" spans="1:13" x14ac:dyDescent="0.2">
      <c r="A3793" s="18"/>
      <c r="B3793" s="77"/>
      <c r="C3793" s="77"/>
      <c r="D3793" s="78"/>
      <c r="E3793" s="77"/>
      <c r="F3793" s="77"/>
      <c r="G3793" s="77"/>
      <c r="H3793" s="77"/>
      <c r="I3793" s="77"/>
      <c r="J3793" s="77"/>
      <c r="K3793" s="79"/>
      <c r="L3793" s="49">
        <f t="shared" si="208"/>
        <v>0</v>
      </c>
      <c r="M3793" s="50">
        <f t="shared" si="209"/>
        <v>0</v>
      </c>
    </row>
    <row r="3794" spans="1:13" x14ac:dyDescent="0.2">
      <c r="A3794" s="18"/>
      <c r="B3794" s="77"/>
      <c r="C3794" s="77"/>
      <c r="D3794" s="78"/>
      <c r="E3794" s="77"/>
      <c r="F3794" s="77"/>
      <c r="G3794" s="77"/>
      <c r="H3794" s="77"/>
      <c r="I3794" s="77"/>
      <c r="J3794" s="77"/>
      <c r="K3794" s="79"/>
      <c r="L3794" s="49">
        <f t="shared" si="208"/>
        <v>0</v>
      </c>
      <c r="M3794" s="50">
        <f t="shared" si="209"/>
        <v>0</v>
      </c>
    </row>
    <row r="3795" spans="1:13" x14ac:dyDescent="0.2">
      <c r="A3795" s="18"/>
      <c r="B3795" s="77"/>
      <c r="C3795" s="77"/>
      <c r="D3795" s="78"/>
      <c r="E3795" s="77"/>
      <c r="F3795" s="77"/>
      <c r="G3795" s="77"/>
      <c r="H3795" s="77"/>
      <c r="I3795" s="77"/>
      <c r="J3795" s="77"/>
      <c r="K3795" s="79"/>
      <c r="L3795" s="49">
        <f t="shared" si="208"/>
        <v>0</v>
      </c>
      <c r="M3795" s="50">
        <f t="shared" si="209"/>
        <v>0</v>
      </c>
    </row>
    <row r="3796" spans="1:13" x14ac:dyDescent="0.2">
      <c r="A3796" s="18"/>
      <c r="B3796" s="77"/>
      <c r="C3796" s="77"/>
      <c r="D3796" s="78"/>
      <c r="E3796" s="77"/>
      <c r="F3796" s="77"/>
      <c r="G3796" s="77"/>
      <c r="H3796" s="77"/>
      <c r="I3796" s="77"/>
      <c r="J3796" s="77"/>
      <c r="K3796" s="79"/>
      <c r="L3796" s="49">
        <f t="shared" si="208"/>
        <v>0</v>
      </c>
      <c r="M3796" s="50">
        <f t="shared" si="209"/>
        <v>0</v>
      </c>
    </row>
    <row r="3797" spans="1:13" x14ac:dyDescent="0.2">
      <c r="A3797" s="18"/>
      <c r="B3797" s="77"/>
      <c r="C3797" s="77"/>
      <c r="D3797" s="78"/>
      <c r="E3797" s="77"/>
      <c r="F3797" s="77"/>
      <c r="G3797" s="77"/>
      <c r="H3797" s="77"/>
      <c r="I3797" s="77"/>
      <c r="J3797" s="77"/>
      <c r="K3797" s="79"/>
      <c r="L3797" s="49">
        <f t="shared" si="208"/>
        <v>0</v>
      </c>
      <c r="M3797" s="50">
        <f t="shared" si="209"/>
        <v>0</v>
      </c>
    </row>
    <row r="3798" spans="1:13" x14ac:dyDescent="0.2">
      <c r="A3798" s="18"/>
      <c r="B3798" s="77"/>
      <c r="C3798" s="77"/>
      <c r="D3798" s="78"/>
      <c r="E3798" s="77"/>
      <c r="F3798" s="77"/>
      <c r="G3798" s="77"/>
      <c r="H3798" s="77"/>
      <c r="I3798" s="77"/>
      <c r="J3798" s="77"/>
      <c r="K3798" s="79"/>
      <c r="L3798" s="49">
        <f t="shared" si="208"/>
        <v>0</v>
      </c>
      <c r="M3798" s="50">
        <f t="shared" si="209"/>
        <v>0</v>
      </c>
    </row>
    <row r="3799" spans="1:13" x14ac:dyDescent="0.2">
      <c r="A3799" s="18"/>
      <c r="B3799" s="77"/>
      <c r="C3799" s="77"/>
      <c r="D3799" s="78"/>
      <c r="E3799" s="77"/>
      <c r="F3799" s="77"/>
      <c r="G3799" s="77"/>
      <c r="H3799" s="77"/>
      <c r="I3799" s="77"/>
      <c r="J3799" s="77"/>
      <c r="K3799" s="79"/>
      <c r="L3799" s="49">
        <f t="shared" si="208"/>
        <v>0</v>
      </c>
      <c r="M3799" s="50">
        <f t="shared" si="209"/>
        <v>0</v>
      </c>
    </row>
    <row r="3800" spans="1:13" x14ac:dyDescent="0.2">
      <c r="A3800" s="18"/>
      <c r="B3800" s="77"/>
      <c r="C3800" s="77"/>
      <c r="D3800" s="78"/>
      <c r="E3800" s="77"/>
      <c r="F3800" s="77"/>
      <c r="G3800" s="77"/>
      <c r="H3800" s="77"/>
      <c r="I3800" s="77"/>
      <c r="J3800" s="77"/>
      <c r="K3800" s="79"/>
      <c r="L3800" s="49">
        <f t="shared" si="208"/>
        <v>0</v>
      </c>
      <c r="M3800" s="50">
        <f t="shared" si="209"/>
        <v>0</v>
      </c>
    </row>
    <row r="3801" spans="1:13" x14ac:dyDescent="0.2">
      <c r="A3801" s="18"/>
      <c r="B3801" s="77"/>
      <c r="C3801" s="77"/>
      <c r="D3801" s="78"/>
      <c r="E3801" s="77"/>
      <c r="F3801" s="77"/>
      <c r="G3801" s="77"/>
      <c r="H3801" s="77"/>
      <c r="I3801" s="77"/>
      <c r="J3801" s="77"/>
      <c r="K3801" s="79"/>
      <c r="L3801" s="49">
        <f t="shared" si="208"/>
        <v>0</v>
      </c>
      <c r="M3801" s="50">
        <f t="shared" si="209"/>
        <v>0</v>
      </c>
    </row>
    <row r="3802" spans="1:13" x14ac:dyDescent="0.2">
      <c r="A3802" s="18"/>
      <c r="B3802" s="77"/>
      <c r="C3802" s="77"/>
      <c r="D3802" s="78"/>
      <c r="E3802" s="77"/>
      <c r="F3802" s="77"/>
      <c r="G3802" s="77"/>
      <c r="H3802" s="77"/>
      <c r="I3802" s="77"/>
      <c r="J3802" s="77"/>
      <c r="K3802" s="79"/>
      <c r="L3802" s="49">
        <f t="shared" si="208"/>
        <v>0</v>
      </c>
      <c r="M3802" s="50">
        <f t="shared" si="209"/>
        <v>0</v>
      </c>
    </row>
    <row r="3803" spans="1:13" x14ac:dyDescent="0.2">
      <c r="A3803" s="18"/>
      <c r="B3803" s="77"/>
      <c r="C3803" s="77"/>
      <c r="D3803" s="78"/>
      <c r="E3803" s="77"/>
      <c r="F3803" s="77"/>
      <c r="G3803" s="77"/>
      <c r="H3803" s="77"/>
      <c r="I3803" s="77"/>
      <c r="J3803" s="77"/>
      <c r="K3803" s="79"/>
      <c r="L3803" s="49">
        <f t="shared" si="208"/>
        <v>0</v>
      </c>
      <c r="M3803" s="50">
        <f t="shared" si="209"/>
        <v>0</v>
      </c>
    </row>
    <row r="3804" spans="1:13" x14ac:dyDescent="0.2">
      <c r="A3804" s="18"/>
      <c r="B3804" s="77"/>
      <c r="C3804" s="77"/>
      <c r="D3804" s="78"/>
      <c r="E3804" s="77"/>
      <c r="F3804" s="77"/>
      <c r="G3804" s="77"/>
      <c r="H3804" s="77"/>
      <c r="I3804" s="77"/>
      <c r="J3804" s="77"/>
      <c r="K3804" s="79"/>
      <c r="L3804" s="49">
        <f t="shared" si="208"/>
        <v>0</v>
      </c>
      <c r="M3804" s="50">
        <f t="shared" si="209"/>
        <v>0</v>
      </c>
    </row>
    <row r="3805" spans="1:13" x14ac:dyDescent="0.2">
      <c r="A3805" s="18"/>
      <c r="B3805" s="77"/>
      <c r="C3805" s="77"/>
      <c r="D3805" s="78"/>
      <c r="E3805" s="77"/>
      <c r="F3805" s="77"/>
      <c r="G3805" s="77"/>
      <c r="H3805" s="77"/>
      <c r="I3805" s="77"/>
      <c r="J3805" s="77"/>
      <c r="K3805" s="79"/>
      <c r="L3805" s="49">
        <f t="shared" si="208"/>
        <v>0</v>
      </c>
      <c r="M3805" s="50">
        <f t="shared" si="209"/>
        <v>0</v>
      </c>
    </row>
    <row r="3806" spans="1:13" x14ac:dyDescent="0.2">
      <c r="A3806" s="18"/>
      <c r="B3806" s="77"/>
      <c r="C3806" s="77"/>
      <c r="D3806" s="78"/>
      <c r="E3806" s="77"/>
      <c r="F3806" s="77"/>
      <c r="G3806" s="77"/>
      <c r="H3806" s="77"/>
      <c r="I3806" s="77"/>
      <c r="J3806" s="77"/>
      <c r="K3806" s="79"/>
      <c r="L3806" s="49">
        <f t="shared" si="208"/>
        <v>0</v>
      </c>
      <c r="M3806" s="50">
        <f t="shared" si="209"/>
        <v>0</v>
      </c>
    </row>
    <row r="3807" spans="1:13" x14ac:dyDescent="0.2">
      <c r="A3807" s="18"/>
      <c r="B3807" s="77"/>
      <c r="C3807" s="77"/>
      <c r="D3807" s="78"/>
      <c r="E3807" s="77"/>
      <c r="F3807" s="77"/>
      <c r="G3807" s="77"/>
      <c r="H3807" s="77"/>
      <c r="I3807" s="77"/>
      <c r="J3807" s="77"/>
      <c r="K3807" s="79"/>
      <c r="L3807" s="49">
        <f t="shared" si="208"/>
        <v>0</v>
      </c>
      <c r="M3807" s="50">
        <f t="shared" si="209"/>
        <v>0</v>
      </c>
    </row>
    <row r="3808" spans="1:13" x14ac:dyDescent="0.2">
      <c r="A3808" s="18"/>
      <c r="B3808" s="77"/>
      <c r="C3808" s="77"/>
      <c r="D3808" s="78"/>
      <c r="E3808" s="77"/>
      <c r="F3808" s="77"/>
      <c r="G3808" s="77"/>
      <c r="H3808" s="77"/>
      <c r="I3808" s="77"/>
      <c r="J3808" s="77"/>
      <c r="K3808" s="79"/>
      <c r="L3808" s="49">
        <f t="shared" si="208"/>
        <v>0</v>
      </c>
      <c r="M3808" s="50">
        <f t="shared" si="209"/>
        <v>0</v>
      </c>
    </row>
    <row r="3809" spans="1:13" x14ac:dyDescent="0.2">
      <c r="A3809" s="18"/>
      <c r="B3809" s="77"/>
      <c r="C3809" s="77"/>
      <c r="D3809" s="78"/>
      <c r="E3809" s="77"/>
      <c r="F3809" s="77"/>
      <c r="G3809" s="77"/>
      <c r="H3809" s="77"/>
      <c r="I3809" s="77"/>
      <c r="J3809" s="77"/>
      <c r="K3809" s="79"/>
      <c r="L3809" s="49">
        <f t="shared" si="208"/>
        <v>0</v>
      </c>
      <c r="M3809" s="50">
        <f t="shared" si="209"/>
        <v>0</v>
      </c>
    </row>
    <row r="3810" spans="1:13" x14ac:dyDescent="0.2">
      <c r="A3810" s="18"/>
      <c r="B3810" s="77"/>
      <c r="C3810" s="77"/>
      <c r="D3810" s="78"/>
      <c r="E3810" s="77"/>
      <c r="F3810" s="77"/>
      <c r="G3810" s="77"/>
      <c r="H3810" s="77"/>
      <c r="I3810" s="77"/>
      <c r="J3810" s="77"/>
      <c r="K3810" s="79"/>
      <c r="L3810" s="49">
        <f t="shared" si="208"/>
        <v>0</v>
      </c>
      <c r="M3810" s="50">
        <f t="shared" si="209"/>
        <v>0</v>
      </c>
    </row>
    <row r="3811" spans="1:13" x14ac:dyDescent="0.2">
      <c r="A3811" s="18"/>
      <c r="B3811" s="77"/>
      <c r="C3811" s="77"/>
      <c r="D3811" s="78"/>
      <c r="E3811" s="77"/>
      <c r="F3811" s="77"/>
      <c r="G3811" s="77"/>
      <c r="H3811" s="77"/>
      <c r="I3811" s="77"/>
      <c r="J3811" s="77"/>
      <c r="K3811" s="79"/>
      <c r="L3811" s="49">
        <f t="shared" si="208"/>
        <v>0</v>
      </c>
      <c r="M3811" s="50">
        <f t="shared" si="209"/>
        <v>0</v>
      </c>
    </row>
    <row r="3812" spans="1:13" x14ac:dyDescent="0.2">
      <c r="A3812" s="18"/>
      <c r="B3812" s="77"/>
      <c r="C3812" s="77"/>
      <c r="D3812" s="78"/>
      <c r="E3812" s="77"/>
      <c r="F3812" s="77"/>
      <c r="G3812" s="77"/>
      <c r="H3812" s="77"/>
      <c r="I3812" s="77"/>
      <c r="J3812" s="77"/>
      <c r="K3812" s="79"/>
      <c r="L3812" s="49">
        <f t="shared" si="208"/>
        <v>0</v>
      </c>
      <c r="M3812" s="50">
        <f t="shared" si="209"/>
        <v>0</v>
      </c>
    </row>
    <row r="3813" spans="1:13" x14ac:dyDescent="0.2">
      <c r="A3813" s="18"/>
      <c r="B3813" s="77"/>
      <c r="C3813" s="77"/>
      <c r="D3813" s="78"/>
      <c r="E3813" s="77"/>
      <c r="F3813" s="77"/>
      <c r="G3813" s="77"/>
      <c r="H3813" s="77"/>
      <c r="I3813" s="77"/>
      <c r="J3813" s="77"/>
      <c r="K3813" s="79"/>
      <c r="L3813" s="49">
        <f t="shared" si="208"/>
        <v>0</v>
      </c>
      <c r="M3813" s="50">
        <f t="shared" si="209"/>
        <v>0</v>
      </c>
    </row>
    <row r="3814" spans="1:13" x14ac:dyDescent="0.2">
      <c r="A3814" s="18"/>
      <c r="B3814" s="77"/>
      <c r="C3814" s="77"/>
      <c r="D3814" s="78"/>
      <c r="E3814" s="77"/>
      <c r="F3814" s="77"/>
      <c r="G3814" s="77"/>
      <c r="H3814" s="77"/>
      <c r="I3814" s="77"/>
      <c r="J3814" s="77"/>
      <c r="K3814" s="79"/>
      <c r="L3814" s="49">
        <f t="shared" si="208"/>
        <v>0</v>
      </c>
      <c r="M3814" s="50">
        <f t="shared" si="209"/>
        <v>0</v>
      </c>
    </row>
    <row r="3815" spans="1:13" x14ac:dyDescent="0.2">
      <c r="A3815" s="18"/>
      <c r="B3815" s="77"/>
      <c r="C3815" s="77"/>
      <c r="D3815" s="78"/>
      <c r="E3815" s="77"/>
      <c r="F3815" s="77"/>
      <c r="G3815" s="77"/>
      <c r="H3815" s="77"/>
      <c r="I3815" s="77"/>
      <c r="J3815" s="77"/>
      <c r="K3815" s="79"/>
      <c r="L3815" s="49">
        <f t="shared" si="208"/>
        <v>0</v>
      </c>
      <c r="M3815" s="50">
        <f t="shared" si="209"/>
        <v>0</v>
      </c>
    </row>
    <row r="3816" spans="1:13" x14ac:dyDescent="0.2">
      <c r="A3816" s="18"/>
      <c r="B3816" s="77"/>
      <c r="C3816" s="77"/>
      <c r="D3816" s="78"/>
      <c r="E3816" s="77"/>
      <c r="F3816" s="77"/>
      <c r="G3816" s="77"/>
      <c r="H3816" s="77"/>
      <c r="I3816" s="77"/>
      <c r="J3816" s="77"/>
      <c r="K3816" s="79"/>
      <c r="L3816" s="49">
        <f t="shared" si="208"/>
        <v>0</v>
      </c>
      <c r="M3816" s="50">
        <f t="shared" si="209"/>
        <v>0</v>
      </c>
    </row>
    <row r="3817" spans="1:13" x14ac:dyDescent="0.2">
      <c r="A3817" s="18"/>
      <c r="B3817" s="77"/>
      <c r="C3817" s="77"/>
      <c r="D3817" s="78"/>
      <c r="E3817" s="77"/>
      <c r="F3817" s="77"/>
      <c r="G3817" s="77"/>
      <c r="H3817" s="77"/>
      <c r="I3817" s="77"/>
      <c r="J3817" s="77"/>
      <c r="K3817" s="79"/>
      <c r="L3817" s="49">
        <f t="shared" si="208"/>
        <v>0</v>
      </c>
      <c r="M3817" s="50">
        <f t="shared" si="209"/>
        <v>0</v>
      </c>
    </row>
    <row r="3818" spans="1:13" x14ac:dyDescent="0.2">
      <c r="A3818" s="18"/>
      <c r="B3818" s="77"/>
      <c r="C3818" s="77"/>
      <c r="D3818" s="78"/>
      <c r="E3818" s="77"/>
      <c r="F3818" s="77"/>
      <c r="G3818" s="77"/>
      <c r="H3818" s="77"/>
      <c r="I3818" s="77"/>
      <c r="J3818" s="77"/>
      <c r="K3818" s="79"/>
      <c r="L3818" s="49">
        <f t="shared" si="208"/>
        <v>0</v>
      </c>
      <c r="M3818" s="50">
        <f t="shared" si="209"/>
        <v>0</v>
      </c>
    </row>
    <row r="3819" spans="1:13" x14ac:dyDescent="0.2">
      <c r="A3819" s="18"/>
      <c r="B3819" s="77"/>
      <c r="C3819" s="77"/>
      <c r="D3819" s="78"/>
      <c r="E3819" s="77"/>
      <c r="F3819" s="77"/>
      <c r="G3819" s="77"/>
      <c r="H3819" s="77"/>
      <c r="I3819" s="77"/>
      <c r="J3819" s="77"/>
      <c r="K3819" s="79"/>
      <c r="L3819" s="49">
        <f t="shared" si="208"/>
        <v>0</v>
      </c>
      <c r="M3819" s="50">
        <f t="shared" si="209"/>
        <v>0</v>
      </c>
    </row>
    <row r="3820" spans="1:13" x14ac:dyDescent="0.2">
      <c r="A3820" s="18"/>
      <c r="B3820" s="77"/>
      <c r="C3820" s="77"/>
      <c r="D3820" s="78"/>
      <c r="E3820" s="77"/>
      <c r="F3820" s="77"/>
      <c r="G3820" s="77"/>
      <c r="H3820" s="77"/>
      <c r="I3820" s="77"/>
      <c r="J3820" s="77"/>
      <c r="K3820" s="79"/>
      <c r="L3820" s="49">
        <f t="shared" si="208"/>
        <v>0</v>
      </c>
      <c r="M3820" s="50">
        <f t="shared" si="209"/>
        <v>0</v>
      </c>
    </row>
    <row r="3821" spans="1:13" x14ac:dyDescent="0.2">
      <c r="A3821" s="18"/>
      <c r="B3821" s="77"/>
      <c r="C3821" s="77"/>
      <c r="D3821" s="78"/>
      <c r="E3821" s="77"/>
      <c r="F3821" s="77"/>
      <c r="G3821" s="77"/>
      <c r="H3821" s="77"/>
      <c r="I3821" s="77"/>
      <c r="J3821" s="77"/>
      <c r="K3821" s="79"/>
      <c r="L3821" s="49">
        <f t="shared" si="208"/>
        <v>0</v>
      </c>
      <c r="M3821" s="50">
        <f t="shared" si="209"/>
        <v>0</v>
      </c>
    </row>
    <row r="3822" spans="1:13" x14ac:dyDescent="0.2">
      <c r="A3822" s="18"/>
      <c r="B3822" s="77"/>
      <c r="C3822" s="77"/>
      <c r="D3822" s="78"/>
      <c r="E3822" s="77"/>
      <c r="F3822" s="77"/>
      <c r="G3822" s="77"/>
      <c r="H3822" s="77"/>
      <c r="I3822" s="77"/>
      <c r="J3822" s="77"/>
      <c r="K3822" s="79"/>
      <c r="L3822" s="49">
        <f t="shared" si="208"/>
        <v>0</v>
      </c>
      <c r="M3822" s="50">
        <f t="shared" si="209"/>
        <v>0</v>
      </c>
    </row>
    <row r="3823" spans="1:13" x14ac:dyDescent="0.2">
      <c r="A3823" s="18"/>
      <c r="B3823" s="77"/>
      <c r="C3823" s="77"/>
      <c r="D3823" s="78"/>
      <c r="E3823" s="77"/>
      <c r="F3823" s="77"/>
      <c r="G3823" s="77"/>
      <c r="H3823" s="77"/>
      <c r="I3823" s="77"/>
      <c r="J3823" s="77"/>
      <c r="K3823" s="79"/>
      <c r="L3823" s="49">
        <f t="shared" si="208"/>
        <v>0</v>
      </c>
      <c r="M3823" s="50">
        <f t="shared" si="209"/>
        <v>0</v>
      </c>
    </row>
    <row r="3824" spans="1:13" x14ac:dyDescent="0.2">
      <c r="A3824" s="18"/>
      <c r="B3824" s="77"/>
      <c r="C3824" s="77"/>
      <c r="D3824" s="78"/>
      <c r="E3824" s="77"/>
      <c r="F3824" s="77"/>
      <c r="G3824" s="77"/>
      <c r="H3824" s="77"/>
      <c r="I3824" s="77"/>
      <c r="J3824" s="77"/>
      <c r="K3824" s="79"/>
      <c r="L3824" s="49">
        <f t="shared" ref="L3824:L3887" si="210">+K3824*18%</f>
        <v>0</v>
      </c>
      <c r="M3824" s="50">
        <f t="shared" ref="M3824:M3887" si="211">+K3824+L3824</f>
        <v>0</v>
      </c>
    </row>
    <row r="3825" spans="1:13" x14ac:dyDescent="0.2">
      <c r="A3825" s="18"/>
      <c r="B3825" s="77"/>
      <c r="C3825" s="77"/>
      <c r="D3825" s="78"/>
      <c r="E3825" s="77"/>
      <c r="F3825" s="77"/>
      <c r="G3825" s="77"/>
      <c r="H3825" s="77"/>
      <c r="I3825" s="77"/>
      <c r="J3825" s="77"/>
      <c r="K3825" s="79"/>
      <c r="L3825" s="49">
        <f t="shared" si="210"/>
        <v>0</v>
      </c>
      <c r="M3825" s="50">
        <f t="shared" si="211"/>
        <v>0</v>
      </c>
    </row>
    <row r="3826" spans="1:13" x14ac:dyDescent="0.2">
      <c r="A3826" s="18"/>
      <c r="B3826" s="77"/>
      <c r="C3826" s="77"/>
      <c r="D3826" s="78"/>
      <c r="E3826" s="77"/>
      <c r="F3826" s="77"/>
      <c r="G3826" s="77"/>
      <c r="H3826" s="77"/>
      <c r="I3826" s="77"/>
      <c r="J3826" s="77"/>
      <c r="K3826" s="79"/>
      <c r="L3826" s="49">
        <f t="shared" si="210"/>
        <v>0</v>
      </c>
      <c r="M3826" s="50">
        <f t="shared" si="211"/>
        <v>0</v>
      </c>
    </row>
    <row r="3827" spans="1:13" x14ac:dyDescent="0.2">
      <c r="A3827" s="18"/>
      <c r="B3827" s="77"/>
      <c r="C3827" s="77"/>
      <c r="D3827" s="78"/>
      <c r="E3827" s="77"/>
      <c r="F3827" s="77"/>
      <c r="G3827" s="77"/>
      <c r="H3827" s="77"/>
      <c r="I3827" s="77"/>
      <c r="J3827" s="77"/>
      <c r="K3827" s="79"/>
      <c r="L3827" s="49">
        <f t="shared" si="210"/>
        <v>0</v>
      </c>
      <c r="M3827" s="50">
        <f t="shared" si="211"/>
        <v>0</v>
      </c>
    </row>
    <row r="3828" spans="1:13" x14ac:dyDescent="0.2">
      <c r="A3828" s="18"/>
      <c r="B3828" s="77"/>
      <c r="C3828" s="77"/>
      <c r="D3828" s="78"/>
      <c r="E3828" s="77"/>
      <c r="F3828" s="77"/>
      <c r="G3828" s="77"/>
      <c r="H3828" s="77"/>
      <c r="I3828" s="77"/>
      <c r="J3828" s="77"/>
      <c r="K3828" s="79"/>
      <c r="L3828" s="49">
        <f t="shared" si="210"/>
        <v>0</v>
      </c>
      <c r="M3828" s="50">
        <f t="shared" si="211"/>
        <v>0</v>
      </c>
    </row>
    <row r="3829" spans="1:13" x14ac:dyDescent="0.2">
      <c r="A3829" s="18"/>
      <c r="B3829" s="77"/>
      <c r="C3829" s="77"/>
      <c r="D3829" s="78"/>
      <c r="E3829" s="77"/>
      <c r="F3829" s="77"/>
      <c r="G3829" s="77"/>
      <c r="H3829" s="77"/>
      <c r="I3829" s="77"/>
      <c r="J3829" s="77"/>
      <c r="K3829" s="79"/>
      <c r="L3829" s="49">
        <f t="shared" si="210"/>
        <v>0</v>
      </c>
      <c r="M3829" s="50">
        <f t="shared" si="211"/>
        <v>0</v>
      </c>
    </row>
    <row r="3830" spans="1:13" x14ac:dyDescent="0.2">
      <c r="A3830" s="18"/>
      <c r="B3830" s="77"/>
      <c r="C3830" s="77"/>
      <c r="D3830" s="78"/>
      <c r="E3830" s="77"/>
      <c r="F3830" s="77"/>
      <c r="G3830" s="77"/>
      <c r="H3830" s="77"/>
      <c r="I3830" s="77"/>
      <c r="J3830" s="77"/>
      <c r="K3830" s="79"/>
      <c r="L3830" s="49">
        <f t="shared" si="210"/>
        <v>0</v>
      </c>
      <c r="M3830" s="50">
        <f t="shared" si="211"/>
        <v>0</v>
      </c>
    </row>
    <row r="3831" spans="1:13" x14ac:dyDescent="0.2">
      <c r="A3831" s="18"/>
      <c r="B3831" s="77"/>
      <c r="C3831" s="77"/>
      <c r="D3831" s="78"/>
      <c r="E3831" s="77"/>
      <c r="F3831" s="77"/>
      <c r="G3831" s="77"/>
      <c r="H3831" s="77"/>
      <c r="I3831" s="77"/>
      <c r="J3831" s="77"/>
      <c r="K3831" s="79"/>
      <c r="L3831" s="49">
        <f t="shared" si="210"/>
        <v>0</v>
      </c>
      <c r="M3831" s="50">
        <f t="shared" si="211"/>
        <v>0</v>
      </c>
    </row>
    <row r="3832" spans="1:13" x14ac:dyDescent="0.2">
      <c r="A3832" s="18"/>
      <c r="B3832" s="77"/>
      <c r="C3832" s="77"/>
      <c r="D3832" s="78"/>
      <c r="E3832" s="77"/>
      <c r="F3832" s="77"/>
      <c r="G3832" s="77"/>
      <c r="H3832" s="77"/>
      <c r="I3832" s="77"/>
      <c r="J3832" s="77"/>
      <c r="K3832" s="79"/>
      <c r="L3832" s="49">
        <f t="shared" si="210"/>
        <v>0</v>
      </c>
      <c r="M3832" s="50">
        <f t="shared" si="211"/>
        <v>0</v>
      </c>
    </row>
    <row r="3833" spans="1:13" x14ac:dyDescent="0.2">
      <c r="A3833" s="18"/>
      <c r="B3833" s="77"/>
      <c r="C3833" s="77"/>
      <c r="D3833" s="78"/>
      <c r="E3833" s="77"/>
      <c r="F3833" s="77"/>
      <c r="G3833" s="77"/>
      <c r="H3833" s="77"/>
      <c r="I3833" s="77"/>
      <c r="J3833" s="77"/>
      <c r="K3833" s="79"/>
      <c r="L3833" s="49">
        <f t="shared" si="210"/>
        <v>0</v>
      </c>
      <c r="M3833" s="50">
        <f t="shared" si="211"/>
        <v>0</v>
      </c>
    </row>
    <row r="3834" spans="1:13" x14ac:dyDescent="0.2">
      <c r="A3834" s="18"/>
      <c r="B3834" s="77"/>
      <c r="C3834" s="77"/>
      <c r="D3834" s="78"/>
      <c r="E3834" s="77"/>
      <c r="F3834" s="77"/>
      <c r="G3834" s="77"/>
      <c r="H3834" s="77"/>
      <c r="I3834" s="77"/>
      <c r="J3834" s="77"/>
      <c r="K3834" s="79"/>
      <c r="L3834" s="49">
        <f t="shared" si="210"/>
        <v>0</v>
      </c>
      <c r="M3834" s="50">
        <f t="shared" si="211"/>
        <v>0</v>
      </c>
    </row>
    <row r="3835" spans="1:13" x14ac:dyDescent="0.2">
      <c r="A3835" s="18"/>
      <c r="B3835" s="77"/>
      <c r="C3835" s="77"/>
      <c r="D3835" s="78"/>
      <c r="E3835" s="77"/>
      <c r="F3835" s="77"/>
      <c r="G3835" s="77"/>
      <c r="H3835" s="77"/>
      <c r="I3835" s="77"/>
      <c r="J3835" s="77"/>
      <c r="K3835" s="79"/>
      <c r="L3835" s="49">
        <f t="shared" si="210"/>
        <v>0</v>
      </c>
      <c r="M3835" s="50">
        <f t="shared" si="211"/>
        <v>0</v>
      </c>
    </row>
    <row r="3836" spans="1:13" x14ac:dyDescent="0.2">
      <c r="A3836" s="18"/>
      <c r="B3836" s="77"/>
      <c r="C3836" s="77"/>
      <c r="D3836" s="78"/>
      <c r="E3836" s="77"/>
      <c r="F3836" s="77"/>
      <c r="G3836" s="77"/>
      <c r="H3836" s="77"/>
      <c r="I3836" s="77"/>
      <c r="J3836" s="77"/>
      <c r="K3836" s="79"/>
      <c r="L3836" s="49">
        <f t="shared" si="210"/>
        <v>0</v>
      </c>
      <c r="M3836" s="50">
        <f t="shared" si="211"/>
        <v>0</v>
      </c>
    </row>
    <row r="3837" spans="1:13" x14ac:dyDescent="0.2">
      <c r="A3837" s="18"/>
      <c r="B3837" s="77"/>
      <c r="C3837" s="77"/>
      <c r="D3837" s="78"/>
      <c r="E3837" s="77"/>
      <c r="F3837" s="77"/>
      <c r="G3837" s="77"/>
      <c r="H3837" s="77"/>
      <c r="I3837" s="77"/>
      <c r="J3837" s="77"/>
      <c r="K3837" s="79"/>
      <c r="L3837" s="49">
        <f t="shared" si="210"/>
        <v>0</v>
      </c>
      <c r="M3837" s="50">
        <f t="shared" si="211"/>
        <v>0</v>
      </c>
    </row>
    <row r="3838" spans="1:13" x14ac:dyDescent="0.2">
      <c r="A3838" s="18"/>
      <c r="B3838" s="77"/>
      <c r="C3838" s="77"/>
      <c r="D3838" s="78"/>
      <c r="E3838" s="77"/>
      <c r="F3838" s="77"/>
      <c r="G3838" s="77"/>
      <c r="H3838" s="77"/>
      <c r="I3838" s="77"/>
      <c r="J3838" s="77"/>
      <c r="K3838" s="79"/>
      <c r="L3838" s="49">
        <f t="shared" si="210"/>
        <v>0</v>
      </c>
      <c r="M3838" s="50">
        <f t="shared" si="211"/>
        <v>0</v>
      </c>
    </row>
    <row r="3839" spans="1:13" x14ac:dyDescent="0.2">
      <c r="A3839" s="18"/>
      <c r="B3839" s="77"/>
      <c r="C3839" s="77"/>
      <c r="D3839" s="78"/>
      <c r="E3839" s="77"/>
      <c r="F3839" s="77"/>
      <c r="G3839" s="77"/>
      <c r="H3839" s="77"/>
      <c r="I3839" s="77"/>
      <c r="J3839" s="77"/>
      <c r="K3839" s="79"/>
      <c r="L3839" s="49">
        <f t="shared" si="210"/>
        <v>0</v>
      </c>
      <c r="M3839" s="50">
        <f t="shared" si="211"/>
        <v>0</v>
      </c>
    </row>
    <row r="3840" spans="1:13" x14ac:dyDescent="0.2">
      <c r="A3840" s="18"/>
      <c r="B3840" s="77"/>
      <c r="C3840" s="77"/>
      <c r="D3840" s="78"/>
      <c r="E3840" s="77"/>
      <c r="F3840" s="77"/>
      <c r="G3840" s="77"/>
      <c r="H3840" s="77"/>
      <c r="I3840" s="77"/>
      <c r="J3840" s="77"/>
      <c r="K3840" s="79"/>
      <c r="L3840" s="49">
        <f t="shared" si="210"/>
        <v>0</v>
      </c>
      <c r="M3840" s="50">
        <f t="shared" si="211"/>
        <v>0</v>
      </c>
    </row>
    <row r="3841" spans="1:13" x14ac:dyDescent="0.2">
      <c r="A3841" s="18"/>
      <c r="B3841" s="77"/>
      <c r="C3841" s="77"/>
      <c r="D3841" s="78"/>
      <c r="E3841" s="77"/>
      <c r="F3841" s="77"/>
      <c r="G3841" s="77"/>
      <c r="H3841" s="77"/>
      <c r="I3841" s="77"/>
      <c r="J3841" s="77"/>
      <c r="K3841" s="79"/>
      <c r="L3841" s="49">
        <f t="shared" si="210"/>
        <v>0</v>
      </c>
      <c r="M3841" s="50">
        <f t="shared" si="211"/>
        <v>0</v>
      </c>
    </row>
    <row r="3842" spans="1:13" x14ac:dyDescent="0.2">
      <c r="A3842" s="18"/>
      <c r="B3842" s="77"/>
      <c r="C3842" s="77"/>
      <c r="D3842" s="78"/>
      <c r="E3842" s="77"/>
      <c r="F3842" s="77"/>
      <c r="G3842" s="77"/>
      <c r="H3842" s="77"/>
      <c r="I3842" s="77"/>
      <c r="J3842" s="77"/>
      <c r="K3842" s="79"/>
      <c r="L3842" s="49">
        <f t="shared" si="210"/>
        <v>0</v>
      </c>
      <c r="M3842" s="50">
        <f t="shared" si="211"/>
        <v>0</v>
      </c>
    </row>
    <row r="3843" spans="1:13" x14ac:dyDescent="0.2">
      <c r="A3843" s="18"/>
      <c r="B3843" s="77"/>
      <c r="C3843" s="77"/>
      <c r="D3843" s="78"/>
      <c r="E3843" s="77"/>
      <c r="F3843" s="77"/>
      <c r="G3843" s="77"/>
      <c r="H3843" s="77"/>
      <c r="I3843" s="77"/>
      <c r="J3843" s="77"/>
      <c r="K3843" s="79"/>
      <c r="L3843" s="49">
        <f t="shared" si="210"/>
        <v>0</v>
      </c>
      <c r="M3843" s="50">
        <f t="shared" si="211"/>
        <v>0</v>
      </c>
    </row>
    <row r="3844" spans="1:13" x14ac:dyDescent="0.2">
      <c r="A3844" s="18"/>
      <c r="B3844" s="77"/>
      <c r="C3844" s="77"/>
      <c r="D3844" s="78"/>
      <c r="E3844" s="77"/>
      <c r="F3844" s="77"/>
      <c r="G3844" s="77"/>
      <c r="H3844" s="77"/>
      <c r="I3844" s="77"/>
      <c r="J3844" s="77"/>
      <c r="K3844" s="79"/>
      <c r="L3844" s="49">
        <f t="shared" si="210"/>
        <v>0</v>
      </c>
      <c r="M3844" s="50">
        <f t="shared" si="211"/>
        <v>0</v>
      </c>
    </row>
    <row r="3845" spans="1:13" x14ac:dyDescent="0.2">
      <c r="A3845" s="18"/>
      <c r="B3845" s="77"/>
      <c r="C3845" s="77"/>
      <c r="D3845" s="78"/>
      <c r="E3845" s="77"/>
      <c r="F3845" s="77"/>
      <c r="G3845" s="77"/>
      <c r="H3845" s="77"/>
      <c r="I3845" s="77"/>
      <c r="J3845" s="77"/>
      <c r="K3845" s="79"/>
      <c r="L3845" s="49">
        <f t="shared" si="210"/>
        <v>0</v>
      </c>
      <c r="M3845" s="50">
        <f t="shared" si="211"/>
        <v>0</v>
      </c>
    </row>
    <row r="3846" spans="1:13" x14ac:dyDescent="0.2">
      <c r="A3846" s="18"/>
      <c r="B3846" s="77"/>
      <c r="C3846" s="77"/>
      <c r="D3846" s="78"/>
      <c r="E3846" s="77"/>
      <c r="F3846" s="77"/>
      <c r="G3846" s="77"/>
      <c r="H3846" s="77"/>
      <c r="I3846" s="77"/>
      <c r="J3846" s="77"/>
      <c r="K3846" s="79"/>
      <c r="L3846" s="49">
        <f t="shared" si="210"/>
        <v>0</v>
      </c>
      <c r="M3846" s="50">
        <f t="shared" si="211"/>
        <v>0</v>
      </c>
    </row>
    <row r="3847" spans="1:13" x14ac:dyDescent="0.2">
      <c r="A3847" s="18"/>
      <c r="B3847" s="77"/>
      <c r="C3847" s="77"/>
      <c r="D3847" s="78"/>
      <c r="E3847" s="77"/>
      <c r="F3847" s="77"/>
      <c r="G3847" s="77"/>
      <c r="H3847" s="77"/>
      <c r="I3847" s="77"/>
      <c r="J3847" s="77"/>
      <c r="K3847" s="79"/>
      <c r="L3847" s="49">
        <f t="shared" si="210"/>
        <v>0</v>
      </c>
      <c r="M3847" s="50">
        <f t="shared" si="211"/>
        <v>0</v>
      </c>
    </row>
    <row r="3848" spans="1:13" x14ac:dyDescent="0.2">
      <c r="A3848" s="18"/>
      <c r="B3848" s="77"/>
      <c r="C3848" s="77"/>
      <c r="D3848" s="78"/>
      <c r="E3848" s="77"/>
      <c r="F3848" s="77"/>
      <c r="G3848" s="77"/>
      <c r="H3848" s="77"/>
      <c r="I3848" s="77"/>
      <c r="J3848" s="77"/>
      <c r="K3848" s="79"/>
      <c r="L3848" s="49">
        <f t="shared" si="210"/>
        <v>0</v>
      </c>
      <c r="M3848" s="50">
        <f t="shared" si="211"/>
        <v>0</v>
      </c>
    </row>
    <row r="3849" spans="1:13" x14ac:dyDescent="0.2">
      <c r="A3849" s="18"/>
      <c r="B3849" s="77"/>
      <c r="C3849" s="77"/>
      <c r="D3849" s="78"/>
      <c r="E3849" s="77"/>
      <c r="F3849" s="77"/>
      <c r="G3849" s="77"/>
      <c r="H3849" s="77"/>
      <c r="I3849" s="77"/>
      <c r="J3849" s="77"/>
      <c r="K3849" s="79"/>
      <c r="L3849" s="49">
        <f t="shared" si="210"/>
        <v>0</v>
      </c>
      <c r="M3849" s="50">
        <f t="shared" si="211"/>
        <v>0</v>
      </c>
    </row>
    <row r="3850" spans="1:13" x14ac:dyDescent="0.2">
      <c r="A3850" s="18"/>
      <c r="B3850" s="77"/>
      <c r="C3850" s="77"/>
      <c r="D3850" s="78"/>
      <c r="E3850" s="77"/>
      <c r="F3850" s="77"/>
      <c r="G3850" s="77"/>
      <c r="H3850" s="77"/>
      <c r="I3850" s="77"/>
      <c r="J3850" s="77"/>
      <c r="K3850" s="79"/>
      <c r="L3850" s="49">
        <f t="shared" si="210"/>
        <v>0</v>
      </c>
      <c r="M3850" s="50">
        <f t="shared" si="211"/>
        <v>0</v>
      </c>
    </row>
    <row r="3851" spans="1:13" x14ac:dyDescent="0.2">
      <c r="A3851" s="18"/>
      <c r="B3851" s="77"/>
      <c r="C3851" s="77"/>
      <c r="D3851" s="78"/>
      <c r="E3851" s="77"/>
      <c r="F3851" s="77"/>
      <c r="G3851" s="77"/>
      <c r="H3851" s="77"/>
      <c r="I3851" s="77"/>
      <c r="J3851" s="77"/>
      <c r="K3851" s="79"/>
      <c r="L3851" s="49">
        <f t="shared" si="210"/>
        <v>0</v>
      </c>
      <c r="M3851" s="50">
        <f t="shared" si="211"/>
        <v>0</v>
      </c>
    </row>
    <row r="3852" spans="1:13" x14ac:dyDescent="0.2">
      <c r="A3852" s="18"/>
      <c r="B3852" s="77"/>
      <c r="C3852" s="77"/>
      <c r="D3852" s="78"/>
      <c r="E3852" s="77"/>
      <c r="F3852" s="77"/>
      <c r="G3852" s="77"/>
      <c r="H3852" s="77"/>
      <c r="I3852" s="77"/>
      <c r="J3852" s="77"/>
      <c r="K3852" s="79"/>
      <c r="L3852" s="49">
        <f t="shared" si="210"/>
        <v>0</v>
      </c>
      <c r="M3852" s="50">
        <f t="shared" si="211"/>
        <v>0</v>
      </c>
    </row>
    <row r="3853" spans="1:13" x14ac:dyDescent="0.2">
      <c r="A3853" s="18"/>
      <c r="B3853" s="77"/>
      <c r="C3853" s="77"/>
      <c r="D3853" s="78"/>
      <c r="E3853" s="77"/>
      <c r="F3853" s="77"/>
      <c r="G3853" s="77"/>
      <c r="H3853" s="77"/>
      <c r="I3853" s="77"/>
      <c r="J3853" s="77"/>
      <c r="K3853" s="79"/>
      <c r="L3853" s="49">
        <f t="shared" si="210"/>
        <v>0</v>
      </c>
      <c r="M3853" s="50">
        <f t="shared" si="211"/>
        <v>0</v>
      </c>
    </row>
    <row r="3854" spans="1:13" x14ac:dyDescent="0.2">
      <c r="A3854" s="18"/>
      <c r="B3854" s="77"/>
      <c r="C3854" s="77"/>
      <c r="D3854" s="78"/>
      <c r="E3854" s="77"/>
      <c r="F3854" s="77"/>
      <c r="G3854" s="77"/>
      <c r="H3854" s="77"/>
      <c r="I3854" s="77"/>
      <c r="J3854" s="77"/>
      <c r="K3854" s="79"/>
      <c r="L3854" s="49">
        <f t="shared" si="210"/>
        <v>0</v>
      </c>
      <c r="M3854" s="50">
        <f t="shared" si="211"/>
        <v>0</v>
      </c>
    </row>
    <row r="3855" spans="1:13" x14ac:dyDescent="0.2">
      <c r="A3855" s="18"/>
      <c r="B3855" s="77"/>
      <c r="C3855" s="77"/>
      <c r="D3855" s="78"/>
      <c r="E3855" s="77"/>
      <c r="F3855" s="77"/>
      <c r="G3855" s="77"/>
      <c r="H3855" s="77"/>
      <c r="I3855" s="77"/>
      <c r="J3855" s="77"/>
      <c r="K3855" s="79"/>
      <c r="L3855" s="49">
        <f t="shared" si="210"/>
        <v>0</v>
      </c>
      <c r="M3855" s="50">
        <f t="shared" si="211"/>
        <v>0</v>
      </c>
    </row>
    <row r="3856" spans="1:13" x14ac:dyDescent="0.2">
      <c r="A3856" s="18"/>
      <c r="B3856" s="77"/>
      <c r="C3856" s="77"/>
      <c r="D3856" s="78"/>
      <c r="E3856" s="77"/>
      <c r="F3856" s="77"/>
      <c r="G3856" s="77"/>
      <c r="H3856" s="77"/>
      <c r="I3856" s="77"/>
      <c r="J3856" s="77"/>
      <c r="K3856" s="79"/>
      <c r="L3856" s="49">
        <f t="shared" si="210"/>
        <v>0</v>
      </c>
      <c r="M3856" s="50">
        <f t="shared" si="211"/>
        <v>0</v>
      </c>
    </row>
    <row r="3857" spans="1:13" x14ac:dyDescent="0.2">
      <c r="A3857" s="18"/>
      <c r="B3857" s="77"/>
      <c r="C3857" s="77"/>
      <c r="D3857" s="78"/>
      <c r="E3857" s="77"/>
      <c r="F3857" s="77"/>
      <c r="G3857" s="77"/>
      <c r="H3857" s="77"/>
      <c r="I3857" s="77"/>
      <c r="J3857" s="77"/>
      <c r="K3857" s="79"/>
      <c r="L3857" s="49">
        <f t="shared" si="210"/>
        <v>0</v>
      </c>
      <c r="M3857" s="50">
        <f t="shared" si="211"/>
        <v>0</v>
      </c>
    </row>
    <row r="3858" spans="1:13" x14ac:dyDescent="0.2">
      <c r="A3858" s="18"/>
      <c r="B3858" s="77"/>
      <c r="C3858" s="77"/>
      <c r="D3858" s="78"/>
      <c r="E3858" s="77"/>
      <c r="F3858" s="77"/>
      <c r="G3858" s="77"/>
      <c r="H3858" s="77"/>
      <c r="I3858" s="77"/>
      <c r="J3858" s="77"/>
      <c r="K3858" s="79"/>
      <c r="L3858" s="49">
        <f t="shared" si="210"/>
        <v>0</v>
      </c>
      <c r="M3858" s="50">
        <f t="shared" si="211"/>
        <v>0</v>
      </c>
    </row>
    <row r="3859" spans="1:13" x14ac:dyDescent="0.2">
      <c r="A3859" s="18"/>
      <c r="B3859" s="77"/>
      <c r="C3859" s="77"/>
      <c r="D3859" s="78"/>
      <c r="E3859" s="77"/>
      <c r="F3859" s="77"/>
      <c r="G3859" s="77"/>
      <c r="H3859" s="77"/>
      <c r="I3859" s="77"/>
      <c r="J3859" s="77"/>
      <c r="K3859" s="79"/>
      <c r="L3859" s="49">
        <f t="shared" si="210"/>
        <v>0</v>
      </c>
      <c r="M3859" s="50">
        <f t="shared" si="211"/>
        <v>0</v>
      </c>
    </row>
    <row r="3860" spans="1:13" x14ac:dyDescent="0.2">
      <c r="A3860" s="18"/>
      <c r="B3860" s="77"/>
      <c r="C3860" s="77"/>
      <c r="D3860" s="78"/>
      <c r="E3860" s="77"/>
      <c r="F3860" s="77"/>
      <c r="G3860" s="77"/>
      <c r="H3860" s="77"/>
      <c r="I3860" s="77"/>
      <c r="J3860" s="77"/>
      <c r="K3860" s="79"/>
      <c r="L3860" s="49">
        <f t="shared" si="210"/>
        <v>0</v>
      </c>
      <c r="M3860" s="50">
        <f t="shared" si="211"/>
        <v>0</v>
      </c>
    </row>
    <row r="3861" spans="1:13" x14ac:dyDescent="0.2">
      <c r="A3861" s="18"/>
      <c r="B3861" s="77"/>
      <c r="C3861" s="77"/>
      <c r="D3861" s="78"/>
      <c r="E3861" s="77"/>
      <c r="F3861" s="77"/>
      <c r="G3861" s="77"/>
      <c r="H3861" s="77"/>
      <c r="I3861" s="77"/>
      <c r="J3861" s="77"/>
      <c r="K3861" s="79"/>
      <c r="L3861" s="49">
        <f t="shared" si="210"/>
        <v>0</v>
      </c>
      <c r="M3861" s="50">
        <f t="shared" si="211"/>
        <v>0</v>
      </c>
    </row>
    <row r="3862" spans="1:13" x14ac:dyDescent="0.2">
      <c r="A3862" s="18"/>
      <c r="B3862" s="77"/>
      <c r="C3862" s="77"/>
      <c r="D3862" s="78"/>
      <c r="E3862" s="77"/>
      <c r="F3862" s="77"/>
      <c r="G3862" s="77"/>
      <c r="H3862" s="77"/>
      <c r="I3862" s="77"/>
      <c r="J3862" s="77"/>
      <c r="K3862" s="79"/>
      <c r="L3862" s="49">
        <f t="shared" si="210"/>
        <v>0</v>
      </c>
      <c r="M3862" s="50">
        <f t="shared" si="211"/>
        <v>0</v>
      </c>
    </row>
    <row r="3863" spans="1:13" x14ac:dyDescent="0.2">
      <c r="A3863" s="18"/>
      <c r="B3863" s="77"/>
      <c r="C3863" s="77"/>
      <c r="D3863" s="78"/>
      <c r="E3863" s="77"/>
      <c r="F3863" s="77"/>
      <c r="G3863" s="77"/>
      <c r="H3863" s="77"/>
      <c r="I3863" s="77"/>
      <c r="J3863" s="77"/>
      <c r="K3863" s="79"/>
      <c r="L3863" s="49">
        <f t="shared" si="210"/>
        <v>0</v>
      </c>
      <c r="M3863" s="50">
        <f t="shared" si="211"/>
        <v>0</v>
      </c>
    </row>
    <row r="3864" spans="1:13" x14ac:dyDescent="0.2">
      <c r="A3864" s="18"/>
      <c r="B3864" s="77"/>
      <c r="C3864" s="77"/>
      <c r="D3864" s="78"/>
      <c r="E3864" s="77"/>
      <c r="F3864" s="77"/>
      <c r="G3864" s="77"/>
      <c r="H3864" s="77"/>
      <c r="I3864" s="77"/>
      <c r="J3864" s="77"/>
      <c r="K3864" s="79"/>
      <c r="L3864" s="49">
        <f t="shared" si="210"/>
        <v>0</v>
      </c>
      <c r="M3864" s="50">
        <f t="shared" si="211"/>
        <v>0</v>
      </c>
    </row>
    <row r="3865" spans="1:13" x14ac:dyDescent="0.2">
      <c r="A3865" s="18"/>
      <c r="B3865" s="77"/>
      <c r="C3865" s="77"/>
      <c r="D3865" s="78"/>
      <c r="E3865" s="77"/>
      <c r="F3865" s="77"/>
      <c r="G3865" s="77"/>
      <c r="H3865" s="77"/>
      <c r="I3865" s="77"/>
      <c r="J3865" s="77"/>
      <c r="K3865" s="79"/>
      <c r="L3865" s="49">
        <f t="shared" si="210"/>
        <v>0</v>
      </c>
      <c r="M3865" s="50">
        <f t="shared" si="211"/>
        <v>0</v>
      </c>
    </row>
    <row r="3866" spans="1:13" x14ac:dyDescent="0.2">
      <c r="A3866" s="18"/>
      <c r="B3866" s="77"/>
      <c r="C3866" s="77"/>
      <c r="D3866" s="78"/>
      <c r="E3866" s="77"/>
      <c r="F3866" s="77"/>
      <c r="G3866" s="77"/>
      <c r="H3866" s="77"/>
      <c r="I3866" s="77"/>
      <c r="J3866" s="77"/>
      <c r="K3866" s="79"/>
      <c r="L3866" s="49">
        <f t="shared" si="210"/>
        <v>0</v>
      </c>
      <c r="M3866" s="50">
        <f t="shared" si="211"/>
        <v>0</v>
      </c>
    </row>
    <row r="3867" spans="1:13" x14ac:dyDescent="0.2">
      <c r="A3867" s="18"/>
      <c r="B3867" s="77"/>
      <c r="C3867" s="77"/>
      <c r="D3867" s="78"/>
      <c r="E3867" s="77"/>
      <c r="F3867" s="77"/>
      <c r="G3867" s="77"/>
      <c r="H3867" s="77"/>
      <c r="I3867" s="77"/>
      <c r="J3867" s="77"/>
      <c r="K3867" s="79"/>
      <c r="L3867" s="49">
        <f t="shared" si="210"/>
        <v>0</v>
      </c>
      <c r="M3867" s="50">
        <f t="shared" si="211"/>
        <v>0</v>
      </c>
    </row>
    <row r="3868" spans="1:13" x14ac:dyDescent="0.2">
      <c r="A3868" s="18"/>
      <c r="B3868" s="77"/>
      <c r="C3868" s="77"/>
      <c r="D3868" s="78"/>
      <c r="E3868" s="77"/>
      <c r="F3868" s="77"/>
      <c r="G3868" s="77"/>
      <c r="H3868" s="77"/>
      <c r="I3868" s="77"/>
      <c r="J3868" s="77"/>
      <c r="K3868" s="79"/>
      <c r="L3868" s="49">
        <f t="shared" si="210"/>
        <v>0</v>
      </c>
      <c r="M3868" s="50">
        <f t="shared" si="211"/>
        <v>0</v>
      </c>
    </row>
    <row r="3869" spans="1:13" x14ac:dyDescent="0.2">
      <c r="A3869" s="18"/>
      <c r="B3869" s="77"/>
      <c r="C3869" s="77"/>
      <c r="D3869" s="78"/>
      <c r="E3869" s="77"/>
      <c r="F3869" s="77"/>
      <c r="G3869" s="77"/>
      <c r="H3869" s="77"/>
      <c r="I3869" s="77"/>
      <c r="J3869" s="77"/>
      <c r="K3869" s="79"/>
      <c r="L3869" s="49">
        <f t="shared" si="210"/>
        <v>0</v>
      </c>
      <c r="M3869" s="50">
        <f t="shared" si="211"/>
        <v>0</v>
      </c>
    </row>
    <row r="3870" spans="1:13" x14ac:dyDescent="0.2">
      <c r="A3870" s="18"/>
      <c r="B3870" s="77"/>
      <c r="C3870" s="77"/>
      <c r="D3870" s="78"/>
      <c r="E3870" s="77"/>
      <c r="F3870" s="77"/>
      <c r="G3870" s="77"/>
      <c r="H3870" s="77"/>
      <c r="I3870" s="77"/>
      <c r="J3870" s="77"/>
      <c r="K3870" s="79"/>
      <c r="L3870" s="49">
        <f t="shared" si="210"/>
        <v>0</v>
      </c>
      <c r="M3870" s="50">
        <f t="shared" si="211"/>
        <v>0</v>
      </c>
    </row>
    <row r="3871" spans="1:13" x14ac:dyDescent="0.2">
      <c r="A3871" s="18"/>
      <c r="B3871" s="77"/>
      <c r="C3871" s="77"/>
      <c r="D3871" s="78"/>
      <c r="E3871" s="77"/>
      <c r="F3871" s="77"/>
      <c r="G3871" s="77"/>
      <c r="H3871" s="77"/>
      <c r="I3871" s="77"/>
      <c r="J3871" s="77"/>
      <c r="K3871" s="79"/>
      <c r="L3871" s="49">
        <f t="shared" si="210"/>
        <v>0</v>
      </c>
      <c r="M3871" s="50">
        <f t="shared" si="211"/>
        <v>0</v>
      </c>
    </row>
    <row r="3872" spans="1:13" x14ac:dyDescent="0.2">
      <c r="A3872" s="18"/>
      <c r="B3872" s="77"/>
      <c r="C3872" s="77"/>
      <c r="D3872" s="78"/>
      <c r="E3872" s="77"/>
      <c r="F3872" s="77"/>
      <c r="G3872" s="77"/>
      <c r="H3872" s="77"/>
      <c r="I3872" s="77"/>
      <c r="J3872" s="77"/>
      <c r="K3872" s="79"/>
      <c r="L3872" s="49">
        <f t="shared" si="210"/>
        <v>0</v>
      </c>
      <c r="M3872" s="50">
        <f t="shared" si="211"/>
        <v>0</v>
      </c>
    </row>
    <row r="3873" spans="1:13" x14ac:dyDescent="0.2">
      <c r="A3873" s="18"/>
      <c r="B3873" s="77"/>
      <c r="C3873" s="77"/>
      <c r="D3873" s="78"/>
      <c r="E3873" s="77"/>
      <c r="F3873" s="77"/>
      <c r="G3873" s="77"/>
      <c r="H3873" s="77"/>
      <c r="I3873" s="77"/>
      <c r="J3873" s="77"/>
      <c r="K3873" s="79"/>
      <c r="L3873" s="49">
        <f t="shared" si="210"/>
        <v>0</v>
      </c>
      <c r="M3873" s="50">
        <f t="shared" si="211"/>
        <v>0</v>
      </c>
    </row>
    <row r="3874" spans="1:13" x14ac:dyDescent="0.2">
      <c r="A3874" s="18"/>
      <c r="B3874" s="77"/>
      <c r="C3874" s="77"/>
      <c r="D3874" s="78"/>
      <c r="E3874" s="77"/>
      <c r="F3874" s="77"/>
      <c r="G3874" s="77"/>
      <c r="H3874" s="77"/>
      <c r="I3874" s="77"/>
      <c r="J3874" s="77"/>
      <c r="K3874" s="79"/>
      <c r="L3874" s="49">
        <f t="shared" si="210"/>
        <v>0</v>
      </c>
      <c r="M3874" s="50">
        <f t="shared" si="211"/>
        <v>0</v>
      </c>
    </row>
    <row r="3875" spans="1:13" x14ac:dyDescent="0.2">
      <c r="A3875" s="18"/>
      <c r="B3875" s="77"/>
      <c r="C3875" s="77"/>
      <c r="D3875" s="78"/>
      <c r="E3875" s="77"/>
      <c r="F3875" s="77"/>
      <c r="G3875" s="77"/>
      <c r="H3875" s="77"/>
      <c r="I3875" s="77"/>
      <c r="J3875" s="77"/>
      <c r="K3875" s="79"/>
      <c r="L3875" s="49">
        <f t="shared" si="210"/>
        <v>0</v>
      </c>
      <c r="M3875" s="50">
        <f t="shared" si="211"/>
        <v>0</v>
      </c>
    </row>
    <row r="3876" spans="1:13" x14ac:dyDescent="0.2">
      <c r="A3876" s="18"/>
      <c r="B3876" s="77"/>
      <c r="C3876" s="77"/>
      <c r="D3876" s="78"/>
      <c r="E3876" s="77"/>
      <c r="F3876" s="77"/>
      <c r="G3876" s="77"/>
      <c r="H3876" s="77"/>
      <c r="I3876" s="77"/>
      <c r="J3876" s="77"/>
      <c r="K3876" s="79"/>
      <c r="L3876" s="49">
        <f t="shared" si="210"/>
        <v>0</v>
      </c>
      <c r="M3876" s="50">
        <f t="shared" si="211"/>
        <v>0</v>
      </c>
    </row>
    <row r="3877" spans="1:13" x14ac:dyDescent="0.2">
      <c r="A3877" s="18"/>
      <c r="B3877" s="77"/>
      <c r="C3877" s="77"/>
      <c r="D3877" s="78"/>
      <c r="E3877" s="77"/>
      <c r="F3877" s="77"/>
      <c r="G3877" s="77"/>
      <c r="H3877" s="77"/>
      <c r="I3877" s="77"/>
      <c r="J3877" s="77"/>
      <c r="K3877" s="79"/>
      <c r="L3877" s="49">
        <f t="shared" si="210"/>
        <v>0</v>
      </c>
      <c r="M3877" s="50">
        <f t="shared" si="211"/>
        <v>0</v>
      </c>
    </row>
    <row r="3878" spans="1:13" x14ac:dyDescent="0.2">
      <c r="A3878" s="18"/>
      <c r="B3878" s="77"/>
      <c r="C3878" s="77"/>
      <c r="D3878" s="78"/>
      <c r="E3878" s="77"/>
      <c r="F3878" s="77"/>
      <c r="G3878" s="77"/>
      <c r="H3878" s="77"/>
      <c r="I3878" s="77"/>
      <c r="J3878" s="77"/>
      <c r="K3878" s="79"/>
      <c r="L3878" s="49">
        <f t="shared" si="210"/>
        <v>0</v>
      </c>
      <c r="M3878" s="50">
        <f t="shared" si="211"/>
        <v>0</v>
      </c>
    </row>
    <row r="3879" spans="1:13" x14ac:dyDescent="0.2">
      <c r="A3879" s="18"/>
      <c r="B3879" s="77"/>
      <c r="C3879" s="77"/>
      <c r="D3879" s="78"/>
      <c r="E3879" s="77"/>
      <c r="F3879" s="77"/>
      <c r="G3879" s="77"/>
      <c r="H3879" s="77"/>
      <c r="I3879" s="77"/>
      <c r="J3879" s="77"/>
      <c r="K3879" s="79"/>
      <c r="L3879" s="49">
        <f t="shared" si="210"/>
        <v>0</v>
      </c>
      <c r="M3879" s="50">
        <f t="shared" si="211"/>
        <v>0</v>
      </c>
    </row>
    <row r="3880" spans="1:13" x14ac:dyDescent="0.2">
      <c r="A3880" s="18"/>
      <c r="B3880" s="77"/>
      <c r="C3880" s="77"/>
      <c r="D3880" s="78"/>
      <c r="E3880" s="77"/>
      <c r="F3880" s="77"/>
      <c r="G3880" s="77"/>
      <c r="H3880" s="77"/>
      <c r="I3880" s="77"/>
      <c r="J3880" s="77"/>
      <c r="K3880" s="79"/>
      <c r="L3880" s="49">
        <f t="shared" si="210"/>
        <v>0</v>
      </c>
      <c r="M3880" s="50">
        <f t="shared" si="211"/>
        <v>0</v>
      </c>
    </row>
    <row r="3881" spans="1:13" x14ac:dyDescent="0.2">
      <c r="A3881" s="18"/>
      <c r="B3881" s="77"/>
      <c r="C3881" s="77"/>
      <c r="D3881" s="78"/>
      <c r="E3881" s="77"/>
      <c r="F3881" s="77"/>
      <c r="G3881" s="77"/>
      <c r="H3881" s="77"/>
      <c r="I3881" s="77"/>
      <c r="J3881" s="77"/>
      <c r="K3881" s="79"/>
      <c r="L3881" s="49">
        <f t="shared" si="210"/>
        <v>0</v>
      </c>
      <c r="M3881" s="50">
        <f t="shared" si="211"/>
        <v>0</v>
      </c>
    </row>
    <row r="3882" spans="1:13" x14ac:dyDescent="0.2">
      <c r="A3882" s="18"/>
      <c r="B3882" s="77"/>
      <c r="C3882" s="77"/>
      <c r="D3882" s="78"/>
      <c r="E3882" s="77"/>
      <c r="F3882" s="77"/>
      <c r="G3882" s="77"/>
      <c r="H3882" s="77"/>
      <c r="I3882" s="77"/>
      <c r="J3882" s="77"/>
      <c r="K3882" s="79"/>
      <c r="L3882" s="49">
        <f t="shared" si="210"/>
        <v>0</v>
      </c>
      <c r="M3882" s="50">
        <f t="shared" si="211"/>
        <v>0</v>
      </c>
    </row>
    <row r="3883" spans="1:13" x14ac:dyDescent="0.2">
      <c r="A3883" s="18"/>
      <c r="B3883" s="77"/>
      <c r="C3883" s="77"/>
      <c r="D3883" s="78"/>
      <c r="E3883" s="77"/>
      <c r="F3883" s="77"/>
      <c r="G3883" s="77"/>
      <c r="H3883" s="77"/>
      <c r="I3883" s="77"/>
      <c r="J3883" s="77"/>
      <c r="K3883" s="79"/>
      <c r="L3883" s="49">
        <f t="shared" si="210"/>
        <v>0</v>
      </c>
      <c r="M3883" s="50">
        <f t="shared" si="211"/>
        <v>0</v>
      </c>
    </row>
    <row r="3884" spans="1:13" x14ac:dyDescent="0.2">
      <c r="A3884" s="18"/>
      <c r="B3884" s="77"/>
      <c r="C3884" s="77"/>
      <c r="D3884" s="78"/>
      <c r="E3884" s="77"/>
      <c r="F3884" s="77"/>
      <c r="G3884" s="77"/>
      <c r="H3884" s="77"/>
      <c r="I3884" s="77"/>
      <c r="J3884" s="77"/>
      <c r="K3884" s="79"/>
      <c r="L3884" s="49">
        <f t="shared" si="210"/>
        <v>0</v>
      </c>
      <c r="M3884" s="50">
        <f t="shared" si="211"/>
        <v>0</v>
      </c>
    </row>
    <row r="3885" spans="1:13" x14ac:dyDescent="0.2">
      <c r="A3885" s="18"/>
      <c r="B3885" s="77"/>
      <c r="C3885" s="77"/>
      <c r="D3885" s="78"/>
      <c r="E3885" s="77"/>
      <c r="F3885" s="77"/>
      <c r="G3885" s="77"/>
      <c r="H3885" s="77"/>
      <c r="I3885" s="77"/>
      <c r="J3885" s="77"/>
      <c r="K3885" s="79"/>
      <c r="L3885" s="49">
        <f t="shared" si="210"/>
        <v>0</v>
      </c>
      <c r="M3885" s="50">
        <f t="shared" si="211"/>
        <v>0</v>
      </c>
    </row>
    <row r="3886" spans="1:13" x14ac:dyDescent="0.2">
      <c r="A3886" s="18"/>
      <c r="B3886" s="77"/>
      <c r="C3886" s="77"/>
      <c r="D3886" s="78"/>
      <c r="E3886" s="77"/>
      <c r="F3886" s="77"/>
      <c r="G3886" s="77"/>
      <c r="H3886" s="77"/>
      <c r="I3886" s="77"/>
      <c r="J3886" s="77"/>
      <c r="K3886" s="79"/>
      <c r="L3886" s="49">
        <f t="shared" si="210"/>
        <v>0</v>
      </c>
      <c r="M3886" s="50">
        <f t="shared" si="211"/>
        <v>0</v>
      </c>
    </row>
    <row r="3887" spans="1:13" x14ac:dyDescent="0.2">
      <c r="A3887" s="18"/>
      <c r="B3887" s="77"/>
      <c r="C3887" s="77"/>
      <c r="D3887" s="78"/>
      <c r="E3887" s="77"/>
      <c r="F3887" s="77"/>
      <c r="G3887" s="77"/>
      <c r="H3887" s="77"/>
      <c r="I3887" s="77"/>
      <c r="J3887" s="77"/>
      <c r="K3887" s="79"/>
      <c r="L3887" s="49">
        <f t="shared" si="210"/>
        <v>0</v>
      </c>
      <c r="M3887" s="50">
        <f t="shared" si="211"/>
        <v>0</v>
      </c>
    </row>
    <row r="3888" spans="1:13" x14ac:dyDescent="0.2">
      <c r="A3888" s="18"/>
      <c r="B3888" s="77"/>
      <c r="C3888" s="77"/>
      <c r="D3888" s="78"/>
      <c r="E3888" s="77"/>
      <c r="F3888" s="77"/>
      <c r="G3888" s="77"/>
      <c r="H3888" s="77"/>
      <c r="I3888" s="77"/>
      <c r="J3888" s="77"/>
      <c r="K3888" s="79"/>
      <c r="L3888" s="49">
        <f t="shared" ref="L3888:L3904" si="212">+K3888*18%</f>
        <v>0</v>
      </c>
      <c r="M3888" s="50">
        <f t="shared" ref="M3888:M3904" si="213">+K3888+L3888</f>
        <v>0</v>
      </c>
    </row>
    <row r="3889" spans="1:13" x14ac:dyDescent="0.2">
      <c r="A3889" s="18"/>
      <c r="B3889" s="77"/>
      <c r="C3889" s="77"/>
      <c r="D3889" s="78"/>
      <c r="E3889" s="77"/>
      <c r="F3889" s="77"/>
      <c r="G3889" s="77"/>
      <c r="H3889" s="77"/>
      <c r="I3889" s="77"/>
      <c r="J3889" s="77"/>
      <c r="K3889" s="79"/>
      <c r="L3889" s="49">
        <f t="shared" si="212"/>
        <v>0</v>
      </c>
      <c r="M3889" s="50">
        <f t="shared" si="213"/>
        <v>0</v>
      </c>
    </row>
    <row r="3890" spans="1:13" x14ac:dyDescent="0.2">
      <c r="A3890" s="18"/>
      <c r="B3890" s="77"/>
      <c r="C3890" s="77"/>
      <c r="D3890" s="78"/>
      <c r="E3890" s="77"/>
      <c r="F3890" s="77"/>
      <c r="G3890" s="77"/>
      <c r="H3890" s="77"/>
      <c r="I3890" s="77"/>
      <c r="J3890" s="77"/>
      <c r="K3890" s="79"/>
      <c r="L3890" s="49">
        <f t="shared" si="212"/>
        <v>0</v>
      </c>
      <c r="M3890" s="50">
        <f t="shared" si="213"/>
        <v>0</v>
      </c>
    </row>
    <row r="3891" spans="1:13" x14ac:dyDescent="0.2">
      <c r="A3891" s="18"/>
      <c r="B3891" s="77"/>
      <c r="C3891" s="77"/>
      <c r="D3891" s="78"/>
      <c r="E3891" s="77"/>
      <c r="F3891" s="77"/>
      <c r="G3891" s="77"/>
      <c r="H3891" s="77"/>
      <c r="I3891" s="77"/>
      <c r="J3891" s="77"/>
      <c r="K3891" s="79"/>
      <c r="L3891" s="49">
        <f t="shared" si="212"/>
        <v>0</v>
      </c>
      <c r="M3891" s="50">
        <f t="shared" si="213"/>
        <v>0</v>
      </c>
    </row>
    <row r="3892" spans="1:13" x14ac:dyDescent="0.2">
      <c r="A3892" s="18"/>
      <c r="B3892" s="77"/>
      <c r="C3892" s="77"/>
      <c r="D3892" s="78"/>
      <c r="E3892" s="77"/>
      <c r="F3892" s="77"/>
      <c r="G3892" s="77"/>
      <c r="H3892" s="77"/>
      <c r="I3892" s="77"/>
      <c r="J3892" s="77"/>
      <c r="K3892" s="79"/>
      <c r="L3892" s="49">
        <f t="shared" si="212"/>
        <v>0</v>
      </c>
      <c r="M3892" s="50">
        <f t="shared" si="213"/>
        <v>0</v>
      </c>
    </row>
    <row r="3893" spans="1:13" x14ac:dyDescent="0.2">
      <c r="A3893" s="18"/>
      <c r="B3893" s="77"/>
      <c r="C3893" s="77"/>
      <c r="D3893" s="78"/>
      <c r="E3893" s="77"/>
      <c r="F3893" s="77"/>
      <c r="G3893" s="77"/>
      <c r="H3893" s="77"/>
      <c r="I3893" s="77"/>
      <c r="J3893" s="77"/>
      <c r="K3893" s="79"/>
      <c r="L3893" s="49">
        <f t="shared" si="212"/>
        <v>0</v>
      </c>
      <c r="M3893" s="50">
        <f t="shared" si="213"/>
        <v>0</v>
      </c>
    </row>
    <row r="3894" spans="1:13" x14ac:dyDescent="0.2">
      <c r="A3894" s="18"/>
      <c r="B3894" s="77"/>
      <c r="C3894" s="77"/>
      <c r="D3894" s="78"/>
      <c r="E3894" s="77"/>
      <c r="F3894" s="77"/>
      <c r="G3894" s="77"/>
      <c r="H3894" s="77"/>
      <c r="I3894" s="77"/>
      <c r="J3894" s="77"/>
      <c r="K3894" s="79"/>
      <c r="L3894" s="49">
        <f t="shared" si="212"/>
        <v>0</v>
      </c>
      <c r="M3894" s="50">
        <f t="shared" si="213"/>
        <v>0</v>
      </c>
    </row>
    <row r="3895" spans="1:13" x14ac:dyDescent="0.2">
      <c r="A3895" s="18"/>
      <c r="B3895" s="77"/>
      <c r="C3895" s="77"/>
      <c r="D3895" s="78"/>
      <c r="E3895" s="77"/>
      <c r="F3895" s="77"/>
      <c r="G3895" s="77"/>
      <c r="H3895" s="77"/>
      <c r="I3895" s="77"/>
      <c r="J3895" s="77"/>
      <c r="K3895" s="79"/>
      <c r="L3895" s="49">
        <f t="shared" si="212"/>
        <v>0</v>
      </c>
      <c r="M3895" s="50">
        <f t="shared" si="213"/>
        <v>0</v>
      </c>
    </row>
    <row r="3896" spans="1:13" x14ac:dyDescent="0.2">
      <c r="A3896" s="18"/>
      <c r="B3896" s="77"/>
      <c r="C3896" s="77"/>
      <c r="D3896" s="78"/>
      <c r="E3896" s="77"/>
      <c r="F3896" s="77"/>
      <c r="G3896" s="77"/>
      <c r="H3896" s="77"/>
      <c r="I3896" s="77"/>
      <c r="J3896" s="77"/>
      <c r="K3896" s="79"/>
      <c r="L3896" s="49">
        <f t="shared" si="212"/>
        <v>0</v>
      </c>
      <c r="M3896" s="50">
        <f t="shared" si="213"/>
        <v>0</v>
      </c>
    </row>
    <row r="3897" spans="1:13" x14ac:dyDescent="0.2">
      <c r="A3897" s="18"/>
      <c r="B3897" s="77"/>
      <c r="C3897" s="77"/>
      <c r="D3897" s="78"/>
      <c r="E3897" s="77"/>
      <c r="F3897" s="77"/>
      <c r="G3897" s="77"/>
      <c r="H3897" s="77"/>
      <c r="I3897" s="77"/>
      <c r="J3897" s="77"/>
      <c r="K3897" s="79"/>
      <c r="L3897" s="49">
        <f t="shared" si="212"/>
        <v>0</v>
      </c>
      <c r="M3897" s="50">
        <f t="shared" si="213"/>
        <v>0</v>
      </c>
    </row>
    <row r="3898" spans="1:13" x14ac:dyDescent="0.2">
      <c r="A3898" s="18"/>
      <c r="B3898" s="77"/>
      <c r="C3898" s="77"/>
      <c r="D3898" s="78"/>
      <c r="E3898" s="77"/>
      <c r="F3898" s="77"/>
      <c r="G3898" s="77"/>
      <c r="H3898" s="77"/>
      <c r="I3898" s="77"/>
      <c r="J3898" s="77"/>
      <c r="K3898" s="79"/>
      <c r="L3898" s="49">
        <f t="shared" si="212"/>
        <v>0</v>
      </c>
      <c r="M3898" s="50">
        <f t="shared" si="213"/>
        <v>0</v>
      </c>
    </row>
    <row r="3899" spans="1:13" x14ac:dyDescent="0.2">
      <c r="A3899" s="18"/>
      <c r="B3899" s="77"/>
      <c r="C3899" s="77"/>
      <c r="D3899" s="78"/>
      <c r="E3899" s="77"/>
      <c r="F3899" s="77"/>
      <c r="G3899" s="77"/>
      <c r="H3899" s="77"/>
      <c r="I3899" s="77"/>
      <c r="J3899" s="77"/>
      <c r="K3899" s="79"/>
      <c r="L3899" s="49">
        <f t="shared" si="212"/>
        <v>0</v>
      </c>
      <c r="M3899" s="50">
        <f t="shared" si="213"/>
        <v>0</v>
      </c>
    </row>
    <row r="3900" spans="1:13" x14ac:dyDescent="0.2">
      <c r="A3900" s="18"/>
      <c r="B3900" s="77"/>
      <c r="C3900" s="77"/>
      <c r="D3900" s="78"/>
      <c r="E3900" s="77"/>
      <c r="F3900" s="77"/>
      <c r="G3900" s="77"/>
      <c r="H3900" s="77"/>
      <c r="I3900" s="77"/>
      <c r="J3900" s="77"/>
      <c r="K3900" s="79"/>
      <c r="L3900" s="49">
        <f t="shared" si="212"/>
        <v>0</v>
      </c>
      <c r="M3900" s="50">
        <f t="shared" si="213"/>
        <v>0</v>
      </c>
    </row>
    <row r="3901" spans="1:13" x14ac:dyDescent="0.2">
      <c r="A3901" s="18"/>
      <c r="B3901" s="77"/>
      <c r="C3901" s="77"/>
      <c r="D3901" s="78"/>
      <c r="E3901" s="77"/>
      <c r="F3901" s="77"/>
      <c r="G3901" s="77"/>
      <c r="H3901" s="77"/>
      <c r="I3901" s="77"/>
      <c r="J3901" s="77"/>
      <c r="K3901" s="79"/>
      <c r="L3901" s="49">
        <f t="shared" si="212"/>
        <v>0</v>
      </c>
      <c r="M3901" s="50">
        <f t="shared" si="213"/>
        <v>0</v>
      </c>
    </row>
    <row r="3902" spans="1:13" x14ac:dyDescent="0.2">
      <c r="A3902" s="18"/>
      <c r="B3902" s="77"/>
      <c r="C3902" s="77"/>
      <c r="D3902" s="78"/>
      <c r="E3902" s="77"/>
      <c r="F3902" s="77"/>
      <c r="G3902" s="77"/>
      <c r="H3902" s="77"/>
      <c r="I3902" s="77"/>
      <c r="J3902" s="77"/>
      <c r="K3902" s="79"/>
      <c r="L3902" s="49">
        <f t="shared" si="212"/>
        <v>0</v>
      </c>
      <c r="M3902" s="50">
        <f t="shared" si="213"/>
        <v>0</v>
      </c>
    </row>
    <row r="3903" spans="1:13" x14ac:dyDescent="0.2">
      <c r="A3903" s="18"/>
      <c r="B3903" s="77"/>
      <c r="C3903" s="77"/>
      <c r="D3903" s="78"/>
      <c r="E3903" s="77"/>
      <c r="F3903" s="77"/>
      <c r="G3903" s="77"/>
      <c r="H3903" s="77"/>
      <c r="I3903" s="77"/>
      <c r="J3903" s="77"/>
      <c r="K3903" s="79"/>
      <c r="L3903" s="49">
        <f t="shared" si="212"/>
        <v>0</v>
      </c>
      <c r="M3903" s="50">
        <f t="shared" si="213"/>
        <v>0</v>
      </c>
    </row>
    <row r="3904" spans="1:13" x14ac:dyDescent="0.2">
      <c r="A3904" s="18"/>
      <c r="B3904" s="77"/>
      <c r="C3904" s="77"/>
      <c r="D3904" s="78"/>
      <c r="E3904" s="77"/>
      <c r="F3904" s="77"/>
      <c r="G3904" s="77"/>
      <c r="H3904" s="77"/>
      <c r="I3904" s="77"/>
      <c r="J3904" s="77"/>
      <c r="K3904" s="79"/>
      <c r="L3904" s="49">
        <f t="shared" si="212"/>
        <v>0</v>
      </c>
      <c r="M3904" s="50">
        <f t="shared" si="213"/>
        <v>0</v>
      </c>
    </row>
    <row r="3905" spans="1:13" x14ac:dyDescent="0.2">
      <c r="A3905" s="18"/>
      <c r="B3905" s="77"/>
      <c r="C3905" s="77"/>
      <c r="D3905" s="78"/>
      <c r="E3905" s="77"/>
      <c r="F3905" s="77"/>
      <c r="G3905" s="77"/>
      <c r="H3905" s="77"/>
      <c r="I3905" s="77"/>
      <c r="J3905" s="77"/>
      <c r="K3905" s="79"/>
      <c r="L3905" s="49">
        <f t="shared" ref="L3905:L3908" si="214">+K3905*18%</f>
        <v>0</v>
      </c>
      <c r="M3905" s="50">
        <f t="shared" ref="M3905:M3908" si="215">+K3905+L3905</f>
        <v>0</v>
      </c>
    </row>
    <row r="3906" spans="1:13" x14ac:dyDescent="0.2">
      <c r="A3906" s="18"/>
      <c r="B3906" s="77"/>
      <c r="C3906" s="77"/>
      <c r="D3906" s="78"/>
      <c r="E3906" s="77"/>
      <c r="F3906" s="77"/>
      <c r="G3906" s="77"/>
      <c r="H3906" s="77"/>
      <c r="I3906" s="77"/>
      <c r="J3906" s="77"/>
      <c r="K3906" s="79"/>
      <c r="L3906" s="49">
        <f t="shared" si="214"/>
        <v>0</v>
      </c>
      <c r="M3906" s="50">
        <f t="shared" si="215"/>
        <v>0</v>
      </c>
    </row>
    <row r="3907" spans="1:13" x14ac:dyDescent="0.2">
      <c r="A3907" s="18"/>
      <c r="B3907" s="77"/>
      <c r="C3907" s="77"/>
      <c r="D3907" s="78"/>
      <c r="E3907" s="77"/>
      <c r="F3907" s="77"/>
      <c r="G3907" s="77"/>
      <c r="H3907" s="77"/>
      <c r="I3907" s="77"/>
      <c r="J3907" s="77"/>
      <c r="K3907" s="79"/>
      <c r="L3907" s="49">
        <f t="shared" si="214"/>
        <v>0</v>
      </c>
      <c r="M3907" s="50">
        <f t="shared" si="215"/>
        <v>0</v>
      </c>
    </row>
    <row r="3908" spans="1:13" x14ac:dyDescent="0.2">
      <c r="A3908" s="18"/>
      <c r="B3908" s="77"/>
      <c r="C3908" s="77"/>
      <c r="D3908" s="78"/>
      <c r="E3908" s="77"/>
      <c r="F3908" s="77"/>
      <c r="G3908" s="77"/>
      <c r="H3908" s="77"/>
      <c r="I3908" s="77"/>
      <c r="J3908" s="77"/>
      <c r="K3908" s="79"/>
      <c r="L3908" s="49">
        <f t="shared" si="214"/>
        <v>0</v>
      </c>
      <c r="M3908" s="50">
        <f t="shared" si="215"/>
        <v>0</v>
      </c>
    </row>
    <row r="3909" spans="1:13" x14ac:dyDescent="0.2">
      <c r="A3909" s="18"/>
      <c r="B3909" s="77"/>
      <c r="C3909" s="77"/>
      <c r="D3909" s="78"/>
      <c r="E3909" s="77"/>
      <c r="F3909" s="77"/>
      <c r="G3909" s="77"/>
      <c r="H3909" s="77"/>
      <c r="I3909" s="77"/>
      <c r="J3909" s="77"/>
      <c r="K3909" s="79"/>
      <c r="L3909" s="49">
        <f t="shared" ref="L3909:L3933" si="216">+K3909*18%</f>
        <v>0</v>
      </c>
      <c r="M3909" s="50">
        <f t="shared" ref="M3909:M3933" si="217">+K3909+L3909</f>
        <v>0</v>
      </c>
    </row>
    <row r="3910" spans="1:13" x14ac:dyDescent="0.2">
      <c r="A3910" s="18"/>
      <c r="B3910" s="77"/>
      <c r="C3910" s="77"/>
      <c r="D3910" s="78"/>
      <c r="E3910" s="77"/>
      <c r="F3910" s="77"/>
      <c r="G3910" s="77"/>
      <c r="H3910" s="77"/>
      <c r="I3910" s="77"/>
      <c r="J3910" s="77"/>
      <c r="K3910" s="79"/>
      <c r="L3910" s="49">
        <f t="shared" si="216"/>
        <v>0</v>
      </c>
      <c r="M3910" s="50">
        <f t="shared" si="217"/>
        <v>0</v>
      </c>
    </row>
    <row r="3911" spans="1:13" x14ac:dyDescent="0.2">
      <c r="A3911" s="18"/>
      <c r="B3911" s="77"/>
      <c r="C3911" s="77"/>
      <c r="D3911" s="78"/>
      <c r="E3911" s="77"/>
      <c r="F3911" s="77"/>
      <c r="G3911" s="77"/>
      <c r="H3911" s="77"/>
      <c r="I3911" s="77"/>
      <c r="J3911" s="77"/>
      <c r="K3911" s="79"/>
      <c r="L3911" s="49">
        <f t="shared" si="216"/>
        <v>0</v>
      </c>
      <c r="M3911" s="50">
        <f t="shared" si="217"/>
        <v>0</v>
      </c>
    </row>
    <row r="3912" spans="1:13" x14ac:dyDescent="0.2">
      <c r="A3912" s="18"/>
      <c r="B3912" s="77"/>
      <c r="C3912" s="77"/>
      <c r="D3912" s="78"/>
      <c r="E3912" s="77"/>
      <c r="F3912" s="77"/>
      <c r="G3912" s="77"/>
      <c r="H3912" s="77"/>
      <c r="I3912" s="77"/>
      <c r="J3912" s="77"/>
      <c r="K3912" s="79"/>
      <c r="L3912" s="49">
        <f t="shared" si="216"/>
        <v>0</v>
      </c>
      <c r="M3912" s="50">
        <f t="shared" si="217"/>
        <v>0</v>
      </c>
    </row>
    <row r="3913" spans="1:13" x14ac:dyDescent="0.2">
      <c r="A3913" s="18"/>
      <c r="B3913" s="77"/>
      <c r="C3913" s="77"/>
      <c r="D3913" s="78"/>
      <c r="E3913" s="77"/>
      <c r="F3913" s="77"/>
      <c r="G3913" s="77"/>
      <c r="H3913" s="77"/>
      <c r="I3913" s="77"/>
      <c r="J3913" s="77"/>
      <c r="K3913" s="79"/>
      <c r="L3913" s="49">
        <f t="shared" si="216"/>
        <v>0</v>
      </c>
      <c r="M3913" s="50">
        <f t="shared" si="217"/>
        <v>0</v>
      </c>
    </row>
    <row r="3914" spans="1:13" x14ac:dyDescent="0.2">
      <c r="A3914" s="18"/>
      <c r="B3914" s="77"/>
      <c r="C3914" s="77"/>
      <c r="D3914" s="78"/>
      <c r="E3914" s="77"/>
      <c r="F3914" s="77"/>
      <c r="G3914" s="77"/>
      <c r="H3914" s="77"/>
      <c r="I3914" s="77"/>
      <c r="J3914" s="77"/>
      <c r="K3914" s="79"/>
      <c r="L3914" s="49">
        <f t="shared" si="216"/>
        <v>0</v>
      </c>
      <c r="M3914" s="50">
        <f t="shared" si="217"/>
        <v>0</v>
      </c>
    </row>
    <row r="3915" spans="1:13" x14ac:dyDescent="0.2">
      <c r="A3915" s="18"/>
      <c r="B3915" s="77"/>
      <c r="C3915" s="77"/>
      <c r="D3915" s="78"/>
      <c r="E3915" s="77"/>
      <c r="F3915" s="77"/>
      <c r="G3915" s="77"/>
      <c r="H3915" s="77"/>
      <c r="I3915" s="77"/>
      <c r="J3915" s="77"/>
      <c r="K3915" s="79"/>
      <c r="L3915" s="49">
        <f t="shared" si="216"/>
        <v>0</v>
      </c>
      <c r="M3915" s="50">
        <f t="shared" si="217"/>
        <v>0</v>
      </c>
    </row>
    <row r="3916" spans="1:13" x14ac:dyDescent="0.2">
      <c r="A3916" s="18"/>
      <c r="B3916" s="77"/>
      <c r="C3916" s="77"/>
      <c r="D3916" s="78"/>
      <c r="E3916" s="77"/>
      <c r="F3916" s="77"/>
      <c r="G3916" s="77"/>
      <c r="H3916" s="77"/>
      <c r="I3916" s="77"/>
      <c r="J3916" s="77"/>
      <c r="K3916" s="79"/>
      <c r="L3916" s="49">
        <f t="shared" si="216"/>
        <v>0</v>
      </c>
      <c r="M3916" s="50">
        <f t="shared" si="217"/>
        <v>0</v>
      </c>
    </row>
    <row r="3917" spans="1:13" x14ac:dyDescent="0.2">
      <c r="A3917" s="18"/>
      <c r="B3917" s="77"/>
      <c r="C3917" s="77"/>
      <c r="D3917" s="78"/>
      <c r="E3917" s="77"/>
      <c r="F3917" s="77"/>
      <c r="G3917" s="77"/>
      <c r="H3917" s="77"/>
      <c r="I3917" s="77"/>
      <c r="J3917" s="77"/>
      <c r="K3917" s="79"/>
      <c r="L3917" s="49">
        <f t="shared" si="216"/>
        <v>0</v>
      </c>
      <c r="M3917" s="50">
        <f t="shared" si="217"/>
        <v>0</v>
      </c>
    </row>
    <row r="3918" spans="1:13" x14ac:dyDescent="0.2">
      <c r="A3918" s="18"/>
      <c r="B3918" s="77"/>
      <c r="C3918" s="77"/>
      <c r="D3918" s="78"/>
      <c r="E3918" s="77"/>
      <c r="F3918" s="77"/>
      <c r="G3918" s="77"/>
      <c r="H3918" s="77"/>
      <c r="I3918" s="77"/>
      <c r="J3918" s="77"/>
      <c r="K3918" s="79"/>
      <c r="L3918" s="49">
        <f t="shared" si="216"/>
        <v>0</v>
      </c>
      <c r="M3918" s="50">
        <f t="shared" si="217"/>
        <v>0</v>
      </c>
    </row>
    <row r="3919" spans="1:13" x14ac:dyDescent="0.2">
      <c r="A3919" s="18"/>
      <c r="B3919" s="77"/>
      <c r="C3919" s="77"/>
      <c r="D3919" s="78"/>
      <c r="E3919" s="77"/>
      <c r="F3919" s="77"/>
      <c r="G3919" s="77"/>
      <c r="H3919" s="77"/>
      <c r="I3919" s="77"/>
      <c r="J3919" s="77"/>
      <c r="K3919" s="79"/>
      <c r="L3919" s="49">
        <f t="shared" si="216"/>
        <v>0</v>
      </c>
      <c r="M3919" s="50">
        <f t="shared" si="217"/>
        <v>0</v>
      </c>
    </row>
    <row r="3920" spans="1:13" x14ac:dyDescent="0.2">
      <c r="A3920" s="18"/>
      <c r="B3920" s="77"/>
      <c r="C3920" s="77"/>
      <c r="D3920" s="78"/>
      <c r="E3920" s="77"/>
      <c r="F3920" s="77"/>
      <c r="G3920" s="77"/>
      <c r="H3920" s="77"/>
      <c r="I3920" s="77"/>
      <c r="J3920" s="77"/>
      <c r="K3920" s="79"/>
      <c r="L3920" s="49">
        <f t="shared" si="216"/>
        <v>0</v>
      </c>
      <c r="M3920" s="50">
        <f t="shared" si="217"/>
        <v>0</v>
      </c>
    </row>
    <row r="3921" spans="1:13" x14ac:dyDescent="0.2">
      <c r="A3921" s="18"/>
      <c r="B3921" s="77"/>
      <c r="C3921" s="77"/>
      <c r="D3921" s="78"/>
      <c r="E3921" s="77"/>
      <c r="F3921" s="77"/>
      <c r="G3921" s="77"/>
      <c r="H3921" s="77"/>
      <c r="I3921" s="77"/>
      <c r="J3921" s="77"/>
      <c r="K3921" s="79"/>
      <c r="L3921" s="49">
        <f t="shared" si="216"/>
        <v>0</v>
      </c>
      <c r="M3921" s="50">
        <f t="shared" si="217"/>
        <v>0</v>
      </c>
    </row>
    <row r="3922" spans="1:13" x14ac:dyDescent="0.2">
      <c r="A3922" s="18"/>
      <c r="B3922" s="77"/>
      <c r="C3922" s="77"/>
      <c r="D3922" s="78"/>
      <c r="E3922" s="77"/>
      <c r="F3922" s="77"/>
      <c r="G3922" s="77"/>
      <c r="H3922" s="77"/>
      <c r="I3922" s="77"/>
      <c r="J3922" s="77"/>
      <c r="K3922" s="79"/>
      <c r="L3922" s="49">
        <f t="shared" si="216"/>
        <v>0</v>
      </c>
      <c r="M3922" s="50">
        <f t="shared" si="217"/>
        <v>0</v>
      </c>
    </row>
    <row r="3923" spans="1:13" x14ac:dyDescent="0.2">
      <c r="A3923" s="18"/>
      <c r="B3923" s="77"/>
      <c r="C3923" s="77"/>
      <c r="D3923" s="78"/>
      <c r="E3923" s="77"/>
      <c r="F3923" s="77"/>
      <c r="G3923" s="77"/>
      <c r="H3923" s="77"/>
      <c r="I3923" s="77"/>
      <c r="J3923" s="77"/>
      <c r="K3923" s="79"/>
      <c r="L3923" s="49">
        <f t="shared" si="216"/>
        <v>0</v>
      </c>
      <c r="M3923" s="50">
        <f t="shared" si="217"/>
        <v>0</v>
      </c>
    </row>
    <row r="3924" spans="1:13" x14ac:dyDescent="0.2">
      <c r="A3924" s="18"/>
      <c r="B3924" s="77"/>
      <c r="C3924" s="77"/>
      <c r="D3924" s="78"/>
      <c r="E3924" s="77"/>
      <c r="F3924" s="77"/>
      <c r="G3924" s="77"/>
      <c r="H3924" s="77"/>
      <c r="I3924" s="77"/>
      <c r="J3924" s="77"/>
      <c r="K3924" s="79"/>
      <c r="L3924" s="49">
        <f t="shared" si="216"/>
        <v>0</v>
      </c>
      <c r="M3924" s="50">
        <f t="shared" si="217"/>
        <v>0</v>
      </c>
    </row>
    <row r="3925" spans="1:13" x14ac:dyDescent="0.2">
      <c r="A3925" s="18"/>
      <c r="B3925" s="77"/>
      <c r="C3925" s="77"/>
      <c r="D3925" s="78"/>
      <c r="E3925" s="77"/>
      <c r="F3925" s="77"/>
      <c r="G3925" s="77"/>
      <c r="H3925" s="77"/>
      <c r="I3925" s="77"/>
      <c r="J3925" s="77"/>
      <c r="K3925" s="79"/>
      <c r="L3925" s="49">
        <f t="shared" si="216"/>
        <v>0</v>
      </c>
      <c r="M3925" s="50">
        <f t="shared" si="217"/>
        <v>0</v>
      </c>
    </row>
    <row r="3926" spans="1:13" x14ac:dyDescent="0.2">
      <c r="A3926" s="18"/>
      <c r="B3926" s="152"/>
      <c r="C3926" s="152"/>
      <c r="D3926" s="153"/>
      <c r="E3926" s="152"/>
      <c r="F3926" s="152"/>
      <c r="G3926" s="152"/>
      <c r="H3926" s="152"/>
      <c r="I3926" s="152"/>
      <c r="J3926" s="152"/>
      <c r="K3926" s="154"/>
      <c r="L3926" s="49">
        <f t="shared" si="216"/>
        <v>0</v>
      </c>
      <c r="M3926" s="50">
        <f t="shared" si="217"/>
        <v>0</v>
      </c>
    </row>
    <row r="3927" spans="1:13" x14ac:dyDescent="0.2">
      <c r="A3927" s="18"/>
      <c r="B3927" s="77"/>
      <c r="C3927" s="77"/>
      <c r="D3927" s="78"/>
      <c r="E3927" s="77"/>
      <c r="F3927" s="77"/>
      <c r="G3927" s="77"/>
      <c r="H3927" s="77"/>
      <c r="I3927" s="77"/>
      <c r="J3927" s="77"/>
      <c r="K3927" s="79"/>
      <c r="L3927" s="49">
        <f t="shared" si="216"/>
        <v>0</v>
      </c>
      <c r="M3927" s="50">
        <f t="shared" si="217"/>
        <v>0</v>
      </c>
    </row>
    <row r="3928" spans="1:13" x14ac:dyDescent="0.2">
      <c r="A3928" s="18"/>
      <c r="B3928" s="77"/>
      <c r="C3928" s="77"/>
      <c r="D3928" s="78"/>
      <c r="E3928" s="77"/>
      <c r="F3928" s="77"/>
      <c r="G3928" s="77"/>
      <c r="H3928" s="77"/>
      <c r="I3928" s="77"/>
      <c r="J3928" s="77"/>
      <c r="K3928" s="79"/>
      <c r="L3928" s="49">
        <f t="shared" si="216"/>
        <v>0</v>
      </c>
      <c r="M3928" s="50">
        <f t="shared" si="217"/>
        <v>0</v>
      </c>
    </row>
    <row r="3929" spans="1:13" x14ac:dyDescent="0.2">
      <c r="A3929" s="18"/>
      <c r="B3929" s="77"/>
      <c r="C3929" s="77"/>
      <c r="D3929" s="78"/>
      <c r="E3929" s="77"/>
      <c r="F3929" s="77"/>
      <c r="G3929" s="77"/>
      <c r="H3929" s="77"/>
      <c r="I3929" s="77"/>
      <c r="J3929" s="77"/>
      <c r="K3929" s="79"/>
      <c r="L3929" s="49">
        <f t="shared" si="216"/>
        <v>0</v>
      </c>
      <c r="M3929" s="50">
        <f t="shared" si="217"/>
        <v>0</v>
      </c>
    </row>
    <row r="3930" spans="1:13" x14ac:dyDescent="0.2">
      <c r="A3930" s="18"/>
      <c r="B3930" s="77"/>
      <c r="C3930" s="77"/>
      <c r="D3930" s="78"/>
      <c r="E3930" s="77"/>
      <c r="F3930" s="77"/>
      <c r="G3930" s="77"/>
      <c r="H3930" s="77"/>
      <c r="I3930" s="77"/>
      <c r="J3930" s="77"/>
      <c r="K3930" s="79"/>
      <c r="L3930" s="49">
        <f t="shared" si="216"/>
        <v>0</v>
      </c>
      <c r="M3930" s="50">
        <f t="shared" si="217"/>
        <v>0</v>
      </c>
    </row>
    <row r="3931" spans="1:13" x14ac:dyDescent="0.2">
      <c r="A3931" s="18"/>
      <c r="B3931" s="77"/>
      <c r="C3931" s="77"/>
      <c r="D3931" s="78"/>
      <c r="E3931" s="77"/>
      <c r="F3931" s="77"/>
      <c r="G3931" s="77"/>
      <c r="H3931" s="77"/>
      <c r="I3931" s="77"/>
      <c r="J3931" s="77"/>
      <c r="K3931" s="79"/>
      <c r="L3931" s="49">
        <f t="shared" si="216"/>
        <v>0</v>
      </c>
      <c r="M3931" s="50">
        <f t="shared" si="217"/>
        <v>0</v>
      </c>
    </row>
    <row r="3932" spans="1:13" x14ac:dyDescent="0.2">
      <c r="A3932" s="18"/>
      <c r="B3932" s="77"/>
      <c r="C3932" s="77"/>
      <c r="D3932" s="78"/>
      <c r="E3932" s="77"/>
      <c r="F3932" s="77"/>
      <c r="G3932" s="77"/>
      <c r="H3932" s="77"/>
      <c r="I3932" s="77"/>
      <c r="J3932" s="77"/>
      <c r="K3932" s="79"/>
      <c r="L3932" s="49">
        <f t="shared" si="216"/>
        <v>0</v>
      </c>
      <c r="M3932" s="50">
        <f t="shared" si="217"/>
        <v>0</v>
      </c>
    </row>
    <row r="3933" spans="1:13" x14ac:dyDescent="0.2">
      <c r="A3933" s="18"/>
      <c r="B3933" s="77"/>
      <c r="C3933" s="77"/>
      <c r="D3933" s="78"/>
      <c r="E3933" s="77"/>
      <c r="F3933" s="77"/>
      <c r="G3933" s="77"/>
      <c r="H3933" s="77"/>
      <c r="I3933" s="77"/>
      <c r="J3933" s="77"/>
      <c r="K3933" s="79"/>
      <c r="L3933" s="49">
        <f t="shared" si="216"/>
        <v>0</v>
      </c>
      <c r="M3933" s="50">
        <f t="shared" si="217"/>
        <v>0</v>
      </c>
    </row>
    <row r="3934" spans="1:13" x14ac:dyDescent="0.2">
      <c r="A3934" s="18"/>
      <c r="B3934" s="77"/>
      <c r="C3934" s="77"/>
      <c r="D3934" s="78"/>
      <c r="E3934" s="77"/>
      <c r="F3934" s="77"/>
      <c r="G3934" s="77"/>
      <c r="H3934" s="77"/>
      <c r="I3934" s="77"/>
      <c r="J3934" s="77"/>
      <c r="K3934" s="79"/>
      <c r="L3934" s="49">
        <f t="shared" ref="L3934:L3943" si="218">+K3934*18%</f>
        <v>0</v>
      </c>
      <c r="M3934" s="50">
        <f t="shared" ref="M3934:M3943" si="219">+K3934+L3934</f>
        <v>0</v>
      </c>
    </row>
    <row r="3935" spans="1:13" x14ac:dyDescent="0.2">
      <c r="A3935" s="18"/>
      <c r="B3935" s="77"/>
      <c r="C3935" s="77"/>
      <c r="D3935" s="78"/>
      <c r="E3935" s="77"/>
      <c r="F3935" s="77"/>
      <c r="G3935" s="77"/>
      <c r="H3935" s="77"/>
      <c r="I3935" s="77"/>
      <c r="J3935" s="77"/>
      <c r="K3935" s="79"/>
      <c r="L3935" s="49">
        <f t="shared" si="218"/>
        <v>0</v>
      </c>
      <c r="M3935" s="50">
        <f t="shared" si="219"/>
        <v>0</v>
      </c>
    </row>
    <row r="3936" spans="1:13" x14ac:dyDescent="0.2">
      <c r="A3936" s="18"/>
      <c r="B3936" s="77"/>
      <c r="C3936" s="77"/>
      <c r="D3936" s="78"/>
      <c r="E3936" s="77"/>
      <c r="F3936" s="77"/>
      <c r="G3936" s="77"/>
      <c r="H3936" s="77"/>
      <c r="I3936" s="77"/>
      <c r="J3936" s="77"/>
      <c r="K3936" s="79"/>
      <c r="L3936" s="49">
        <f t="shared" si="218"/>
        <v>0</v>
      </c>
      <c r="M3936" s="50">
        <f t="shared" si="219"/>
        <v>0</v>
      </c>
    </row>
    <row r="3937" spans="1:13" x14ac:dyDescent="0.2">
      <c r="A3937" s="18"/>
      <c r="B3937" s="77"/>
      <c r="C3937" s="77"/>
      <c r="D3937" s="78"/>
      <c r="E3937" s="77"/>
      <c r="F3937" s="77"/>
      <c r="G3937" s="77"/>
      <c r="H3937" s="77"/>
      <c r="I3937" s="77"/>
      <c r="J3937" s="77"/>
      <c r="K3937" s="79"/>
      <c r="L3937" s="49">
        <f t="shared" si="218"/>
        <v>0</v>
      </c>
      <c r="M3937" s="50">
        <f t="shared" si="219"/>
        <v>0</v>
      </c>
    </row>
    <row r="3938" spans="1:13" x14ac:dyDescent="0.2">
      <c r="A3938" s="18"/>
      <c r="B3938" s="77"/>
      <c r="C3938" s="77"/>
      <c r="D3938" s="78"/>
      <c r="E3938" s="77"/>
      <c r="F3938" s="77"/>
      <c r="G3938" s="77"/>
      <c r="H3938" s="77"/>
      <c r="I3938" s="77"/>
      <c r="J3938" s="77"/>
      <c r="K3938" s="79"/>
      <c r="L3938" s="49">
        <f t="shared" si="218"/>
        <v>0</v>
      </c>
      <c r="M3938" s="50">
        <f t="shared" si="219"/>
        <v>0</v>
      </c>
    </row>
    <row r="3939" spans="1:13" x14ac:dyDescent="0.2">
      <c r="A3939" s="18"/>
      <c r="B3939" s="77"/>
      <c r="C3939" s="77"/>
      <c r="D3939" s="78"/>
      <c r="E3939" s="77"/>
      <c r="F3939" s="77"/>
      <c r="G3939" s="77"/>
      <c r="H3939" s="77"/>
      <c r="I3939" s="77"/>
      <c r="J3939" s="77"/>
      <c r="K3939" s="79"/>
      <c r="L3939" s="49">
        <f t="shared" si="218"/>
        <v>0</v>
      </c>
      <c r="M3939" s="50">
        <f t="shared" si="219"/>
        <v>0</v>
      </c>
    </row>
    <row r="3940" spans="1:13" x14ac:dyDescent="0.2">
      <c r="A3940" s="18"/>
      <c r="B3940" s="77"/>
      <c r="C3940" s="77"/>
      <c r="D3940" s="78"/>
      <c r="E3940" s="77"/>
      <c r="F3940" s="77"/>
      <c r="G3940" s="77"/>
      <c r="H3940" s="77"/>
      <c r="I3940" s="77"/>
      <c r="J3940" s="77"/>
      <c r="K3940" s="79"/>
      <c r="L3940" s="49">
        <f t="shared" si="218"/>
        <v>0</v>
      </c>
      <c r="M3940" s="50">
        <f t="shared" si="219"/>
        <v>0</v>
      </c>
    </row>
    <row r="3941" spans="1:13" x14ac:dyDescent="0.2">
      <c r="A3941" s="18"/>
      <c r="B3941" s="77"/>
      <c r="C3941" s="77"/>
      <c r="D3941" s="78"/>
      <c r="E3941" s="77"/>
      <c r="F3941" s="77"/>
      <c r="G3941" s="77"/>
      <c r="H3941" s="77"/>
      <c r="I3941" s="77"/>
      <c r="J3941" s="77"/>
      <c r="K3941" s="79"/>
      <c r="L3941" s="49">
        <f t="shared" si="218"/>
        <v>0</v>
      </c>
      <c r="M3941" s="50">
        <f t="shared" si="219"/>
        <v>0</v>
      </c>
    </row>
    <row r="3942" spans="1:13" x14ac:dyDescent="0.2">
      <c r="A3942" s="18"/>
      <c r="B3942" s="77"/>
      <c r="C3942" s="77"/>
      <c r="D3942" s="78"/>
      <c r="E3942" s="77"/>
      <c r="F3942" s="77"/>
      <c r="G3942" s="77"/>
      <c r="H3942" s="77"/>
      <c r="I3942" s="77"/>
      <c r="J3942" s="77"/>
      <c r="K3942" s="79"/>
      <c r="L3942" s="49">
        <f t="shared" si="218"/>
        <v>0</v>
      </c>
      <c r="M3942" s="50">
        <f t="shared" si="219"/>
        <v>0</v>
      </c>
    </row>
    <row r="3943" spans="1:13" x14ac:dyDescent="0.2">
      <c r="A3943" s="18"/>
      <c r="B3943" s="77"/>
      <c r="C3943" s="77"/>
      <c r="D3943" s="78"/>
      <c r="E3943" s="77"/>
      <c r="F3943" s="77"/>
      <c r="G3943" s="77"/>
      <c r="H3943" s="77"/>
      <c r="I3943" s="77"/>
      <c r="J3943" s="77"/>
      <c r="K3943" s="79"/>
      <c r="L3943" s="49">
        <f t="shared" si="218"/>
        <v>0</v>
      </c>
      <c r="M3943" s="50">
        <f t="shared" si="219"/>
        <v>0</v>
      </c>
    </row>
    <row r="3944" spans="1:13" x14ac:dyDescent="0.2">
      <c r="A3944" s="18"/>
      <c r="B3944" s="77"/>
      <c r="C3944" s="77"/>
      <c r="D3944" s="78"/>
      <c r="E3944" s="77"/>
      <c r="F3944" s="77"/>
      <c r="G3944" s="77"/>
      <c r="H3944" s="77"/>
      <c r="I3944" s="77"/>
      <c r="J3944" s="77"/>
      <c r="K3944" s="79"/>
      <c r="L3944" s="49">
        <f t="shared" ref="L3944:L3993" si="220">+K3944*18%</f>
        <v>0</v>
      </c>
      <c r="M3944" s="50">
        <f t="shared" ref="M3944:M3993" si="221">+K3944+L3944</f>
        <v>0</v>
      </c>
    </row>
    <row r="3945" spans="1:13" x14ac:dyDescent="0.2">
      <c r="A3945" s="18"/>
      <c r="B3945" s="77"/>
      <c r="C3945" s="77"/>
      <c r="D3945" s="78"/>
      <c r="E3945" s="77"/>
      <c r="F3945" s="77"/>
      <c r="G3945" s="77"/>
      <c r="H3945" s="77"/>
      <c r="I3945" s="77"/>
      <c r="J3945" s="77"/>
      <c r="K3945" s="79"/>
      <c r="L3945" s="49">
        <f t="shared" si="220"/>
        <v>0</v>
      </c>
      <c r="M3945" s="50">
        <f t="shared" si="221"/>
        <v>0</v>
      </c>
    </row>
    <row r="3946" spans="1:13" x14ac:dyDescent="0.2">
      <c r="A3946" s="18"/>
      <c r="B3946" s="77"/>
      <c r="C3946" s="77"/>
      <c r="D3946" s="78"/>
      <c r="E3946" s="77"/>
      <c r="F3946" s="77"/>
      <c r="G3946" s="77"/>
      <c r="H3946" s="77"/>
      <c r="I3946" s="77"/>
      <c r="J3946" s="77"/>
      <c r="K3946" s="79"/>
      <c r="L3946" s="49">
        <f t="shared" si="220"/>
        <v>0</v>
      </c>
      <c r="M3946" s="50">
        <f t="shared" si="221"/>
        <v>0</v>
      </c>
    </row>
    <row r="3947" spans="1:13" x14ac:dyDescent="0.2">
      <c r="A3947" s="18"/>
      <c r="B3947" s="77"/>
      <c r="C3947" s="77"/>
      <c r="D3947" s="78"/>
      <c r="E3947" s="77"/>
      <c r="F3947" s="77"/>
      <c r="G3947" s="77"/>
      <c r="H3947" s="77"/>
      <c r="I3947" s="77"/>
      <c r="J3947" s="77"/>
      <c r="K3947" s="79"/>
      <c r="L3947" s="49">
        <f t="shared" si="220"/>
        <v>0</v>
      </c>
      <c r="M3947" s="50">
        <f t="shared" si="221"/>
        <v>0</v>
      </c>
    </row>
    <row r="3948" spans="1:13" x14ac:dyDescent="0.2">
      <c r="A3948" s="18"/>
      <c r="B3948" s="77"/>
      <c r="C3948" s="77"/>
      <c r="D3948" s="78"/>
      <c r="E3948" s="77"/>
      <c r="F3948" s="77"/>
      <c r="G3948" s="77"/>
      <c r="H3948" s="77"/>
      <c r="I3948" s="77"/>
      <c r="J3948" s="77"/>
      <c r="K3948" s="79"/>
      <c r="L3948" s="49">
        <f t="shared" si="220"/>
        <v>0</v>
      </c>
      <c r="M3948" s="50">
        <f t="shared" si="221"/>
        <v>0</v>
      </c>
    </row>
    <row r="3949" spans="1:13" x14ac:dyDescent="0.2">
      <c r="A3949" s="18"/>
      <c r="B3949" s="77"/>
      <c r="C3949" s="77"/>
      <c r="D3949" s="78"/>
      <c r="E3949" s="77"/>
      <c r="F3949" s="77"/>
      <c r="G3949" s="77"/>
      <c r="H3949" s="77"/>
      <c r="I3949" s="77"/>
      <c r="J3949" s="77"/>
      <c r="K3949" s="79"/>
      <c r="L3949" s="49">
        <f t="shared" si="220"/>
        <v>0</v>
      </c>
      <c r="M3949" s="50">
        <f t="shared" si="221"/>
        <v>0</v>
      </c>
    </row>
    <row r="3950" spans="1:13" x14ac:dyDescent="0.2">
      <c r="A3950" s="18"/>
      <c r="B3950" s="77"/>
      <c r="C3950" s="77"/>
      <c r="D3950" s="78"/>
      <c r="E3950" s="77"/>
      <c r="F3950" s="77"/>
      <c r="G3950" s="77"/>
      <c r="H3950" s="77"/>
      <c r="I3950" s="77"/>
      <c r="J3950" s="77"/>
      <c r="K3950" s="79"/>
      <c r="L3950" s="49">
        <f t="shared" si="220"/>
        <v>0</v>
      </c>
      <c r="M3950" s="50">
        <f t="shared" si="221"/>
        <v>0</v>
      </c>
    </row>
    <row r="3951" spans="1:13" x14ac:dyDescent="0.2">
      <c r="A3951" s="18"/>
      <c r="B3951" s="77"/>
      <c r="C3951" s="77"/>
      <c r="D3951" s="78"/>
      <c r="E3951" s="77"/>
      <c r="F3951" s="77"/>
      <c r="G3951" s="77"/>
      <c r="H3951" s="77"/>
      <c r="I3951" s="77"/>
      <c r="J3951" s="77"/>
      <c r="K3951" s="79"/>
      <c r="L3951" s="49">
        <f t="shared" si="220"/>
        <v>0</v>
      </c>
      <c r="M3951" s="50">
        <f t="shared" si="221"/>
        <v>0</v>
      </c>
    </row>
    <row r="3952" spans="1:13" x14ac:dyDescent="0.2">
      <c r="A3952" s="18"/>
      <c r="B3952" s="77"/>
      <c r="C3952" s="77"/>
      <c r="D3952" s="78"/>
      <c r="E3952" s="77"/>
      <c r="F3952" s="77"/>
      <c r="G3952" s="77"/>
      <c r="H3952" s="77"/>
      <c r="I3952" s="77"/>
      <c r="J3952" s="77"/>
      <c r="K3952" s="79"/>
      <c r="L3952" s="49">
        <f t="shared" si="220"/>
        <v>0</v>
      </c>
      <c r="M3952" s="50">
        <f t="shared" si="221"/>
        <v>0</v>
      </c>
    </row>
    <row r="3953" spans="1:13" x14ac:dyDescent="0.2">
      <c r="A3953" s="18"/>
      <c r="B3953" s="77"/>
      <c r="C3953" s="77"/>
      <c r="D3953" s="78"/>
      <c r="E3953" s="77"/>
      <c r="F3953" s="77"/>
      <c r="G3953" s="77"/>
      <c r="H3953" s="77"/>
      <c r="I3953" s="77"/>
      <c r="J3953" s="77"/>
      <c r="K3953" s="79"/>
      <c r="L3953" s="49">
        <f t="shared" si="220"/>
        <v>0</v>
      </c>
      <c r="M3953" s="50">
        <f t="shared" si="221"/>
        <v>0</v>
      </c>
    </row>
    <row r="3954" spans="1:13" x14ac:dyDescent="0.2">
      <c r="A3954" s="18"/>
      <c r="B3954" s="77"/>
      <c r="C3954" s="77"/>
      <c r="D3954" s="78"/>
      <c r="E3954" s="77"/>
      <c r="F3954" s="77"/>
      <c r="G3954" s="77"/>
      <c r="H3954" s="77"/>
      <c r="I3954" s="77"/>
      <c r="J3954" s="77"/>
      <c r="K3954" s="79"/>
      <c r="L3954" s="49">
        <f t="shared" si="220"/>
        <v>0</v>
      </c>
      <c r="M3954" s="50">
        <f t="shared" si="221"/>
        <v>0</v>
      </c>
    </row>
    <row r="3955" spans="1:13" x14ac:dyDescent="0.2">
      <c r="A3955" s="18"/>
      <c r="B3955" s="77"/>
      <c r="C3955" s="77"/>
      <c r="D3955" s="78"/>
      <c r="E3955" s="77"/>
      <c r="F3955" s="77"/>
      <c r="G3955" s="77"/>
      <c r="H3955" s="77"/>
      <c r="I3955" s="77"/>
      <c r="J3955" s="77"/>
      <c r="K3955" s="79"/>
      <c r="L3955" s="49">
        <f t="shared" si="220"/>
        <v>0</v>
      </c>
      <c r="M3955" s="50">
        <f t="shared" si="221"/>
        <v>0</v>
      </c>
    </row>
    <row r="3956" spans="1:13" x14ac:dyDescent="0.2">
      <c r="A3956" s="18"/>
      <c r="B3956" s="77"/>
      <c r="C3956" s="77"/>
      <c r="D3956" s="78"/>
      <c r="E3956" s="77"/>
      <c r="F3956" s="77"/>
      <c r="G3956" s="77"/>
      <c r="H3956" s="77"/>
      <c r="I3956" s="77"/>
      <c r="J3956" s="77"/>
      <c r="K3956" s="79"/>
      <c r="L3956" s="49">
        <f t="shared" si="220"/>
        <v>0</v>
      </c>
      <c r="M3956" s="50">
        <f t="shared" si="221"/>
        <v>0</v>
      </c>
    </row>
    <row r="3957" spans="1:13" x14ac:dyDescent="0.2">
      <c r="A3957" s="18"/>
      <c r="B3957" s="77"/>
      <c r="C3957" s="77"/>
      <c r="D3957" s="78"/>
      <c r="E3957" s="77"/>
      <c r="F3957" s="77"/>
      <c r="G3957" s="77"/>
      <c r="H3957" s="77"/>
      <c r="I3957" s="77"/>
      <c r="J3957" s="77"/>
      <c r="K3957" s="79"/>
      <c r="L3957" s="49">
        <f t="shared" si="220"/>
        <v>0</v>
      </c>
      <c r="M3957" s="50">
        <f t="shared" si="221"/>
        <v>0</v>
      </c>
    </row>
    <row r="3958" spans="1:13" x14ac:dyDescent="0.2">
      <c r="A3958" s="18"/>
      <c r="B3958" s="77"/>
      <c r="C3958" s="77"/>
      <c r="D3958" s="78"/>
      <c r="E3958" s="77"/>
      <c r="F3958" s="77"/>
      <c r="G3958" s="77"/>
      <c r="H3958" s="77"/>
      <c r="I3958" s="77"/>
      <c r="J3958" s="77"/>
      <c r="K3958" s="79"/>
      <c r="L3958" s="49">
        <f t="shared" si="220"/>
        <v>0</v>
      </c>
      <c r="M3958" s="50">
        <f t="shared" si="221"/>
        <v>0</v>
      </c>
    </row>
    <row r="3959" spans="1:13" x14ac:dyDescent="0.2">
      <c r="A3959" s="18"/>
      <c r="B3959" s="77"/>
      <c r="C3959" s="77"/>
      <c r="D3959" s="78"/>
      <c r="E3959" s="77"/>
      <c r="F3959" s="77"/>
      <c r="G3959" s="77"/>
      <c r="H3959" s="77"/>
      <c r="I3959" s="77"/>
      <c r="J3959" s="77"/>
      <c r="K3959" s="79"/>
      <c r="L3959" s="49">
        <f t="shared" si="220"/>
        <v>0</v>
      </c>
      <c r="M3959" s="50">
        <f t="shared" si="221"/>
        <v>0</v>
      </c>
    </row>
    <row r="3960" spans="1:13" x14ac:dyDescent="0.2">
      <c r="A3960" s="18"/>
      <c r="B3960" s="77"/>
      <c r="C3960" s="77"/>
      <c r="D3960" s="78"/>
      <c r="E3960" s="77"/>
      <c r="F3960" s="77"/>
      <c r="G3960" s="77"/>
      <c r="H3960" s="77"/>
      <c r="I3960" s="77"/>
      <c r="J3960" s="77"/>
      <c r="K3960" s="79"/>
      <c r="L3960" s="49">
        <f t="shared" si="220"/>
        <v>0</v>
      </c>
      <c r="M3960" s="50">
        <f t="shared" si="221"/>
        <v>0</v>
      </c>
    </row>
    <row r="3961" spans="1:13" x14ac:dyDescent="0.2">
      <c r="A3961" s="18"/>
      <c r="B3961" s="77"/>
      <c r="C3961" s="77"/>
      <c r="D3961" s="78"/>
      <c r="E3961" s="77"/>
      <c r="F3961" s="77"/>
      <c r="G3961" s="77"/>
      <c r="H3961" s="77"/>
      <c r="I3961" s="77"/>
      <c r="J3961" s="77"/>
      <c r="K3961" s="79"/>
      <c r="L3961" s="49">
        <f t="shared" si="220"/>
        <v>0</v>
      </c>
      <c r="M3961" s="50">
        <f t="shared" si="221"/>
        <v>0</v>
      </c>
    </row>
    <row r="3962" spans="1:13" x14ac:dyDescent="0.2">
      <c r="A3962" s="18"/>
      <c r="B3962" s="77"/>
      <c r="C3962" s="77"/>
      <c r="D3962" s="78"/>
      <c r="E3962" s="77"/>
      <c r="F3962" s="77"/>
      <c r="G3962" s="77"/>
      <c r="H3962" s="77"/>
      <c r="I3962" s="77"/>
      <c r="J3962" s="77"/>
      <c r="K3962" s="79"/>
      <c r="L3962" s="49">
        <f t="shared" si="220"/>
        <v>0</v>
      </c>
      <c r="M3962" s="50">
        <f t="shared" si="221"/>
        <v>0</v>
      </c>
    </row>
    <row r="3963" spans="1:13" x14ac:dyDescent="0.2">
      <c r="A3963" s="18"/>
      <c r="B3963" s="77"/>
      <c r="C3963" s="77"/>
      <c r="D3963" s="78"/>
      <c r="E3963" s="77"/>
      <c r="F3963" s="77"/>
      <c r="G3963" s="77"/>
      <c r="H3963" s="77"/>
      <c r="I3963" s="77"/>
      <c r="J3963" s="77"/>
      <c r="K3963" s="79"/>
      <c r="L3963" s="49">
        <f t="shared" si="220"/>
        <v>0</v>
      </c>
      <c r="M3963" s="50">
        <f t="shared" si="221"/>
        <v>0</v>
      </c>
    </row>
    <row r="3964" spans="1:13" x14ac:dyDescent="0.2">
      <c r="A3964" s="18"/>
      <c r="B3964" s="77"/>
      <c r="C3964" s="77"/>
      <c r="D3964" s="78"/>
      <c r="E3964" s="77"/>
      <c r="F3964" s="77"/>
      <c r="G3964" s="77"/>
      <c r="H3964" s="77"/>
      <c r="I3964" s="77"/>
      <c r="J3964" s="77"/>
      <c r="K3964" s="79"/>
      <c r="L3964" s="49">
        <f t="shared" si="220"/>
        <v>0</v>
      </c>
      <c r="M3964" s="50">
        <f t="shared" si="221"/>
        <v>0</v>
      </c>
    </row>
    <row r="3965" spans="1:13" x14ac:dyDescent="0.2">
      <c r="A3965" s="18"/>
      <c r="B3965" s="77"/>
      <c r="C3965" s="77"/>
      <c r="D3965" s="78"/>
      <c r="E3965" s="77"/>
      <c r="F3965" s="77"/>
      <c r="G3965" s="77"/>
      <c r="H3965" s="77"/>
      <c r="I3965" s="77"/>
      <c r="J3965" s="77"/>
      <c r="K3965" s="79"/>
      <c r="L3965" s="49">
        <f t="shared" si="220"/>
        <v>0</v>
      </c>
      <c r="M3965" s="50">
        <f t="shared" si="221"/>
        <v>0</v>
      </c>
    </row>
    <row r="3966" spans="1:13" x14ac:dyDescent="0.2">
      <c r="A3966" s="18"/>
      <c r="B3966" s="77"/>
      <c r="C3966" s="77"/>
      <c r="D3966" s="78"/>
      <c r="E3966" s="77"/>
      <c r="F3966" s="77"/>
      <c r="G3966" s="77"/>
      <c r="H3966" s="77"/>
      <c r="I3966" s="77"/>
      <c r="J3966" s="77"/>
      <c r="K3966" s="79"/>
      <c r="L3966" s="49">
        <f t="shared" si="220"/>
        <v>0</v>
      </c>
      <c r="M3966" s="50">
        <f t="shared" si="221"/>
        <v>0</v>
      </c>
    </row>
    <row r="3967" spans="1:13" x14ac:dyDescent="0.2">
      <c r="A3967" s="18"/>
      <c r="B3967" s="77"/>
      <c r="C3967" s="77"/>
      <c r="D3967" s="78"/>
      <c r="E3967" s="77"/>
      <c r="F3967" s="77"/>
      <c r="G3967" s="77"/>
      <c r="H3967" s="77"/>
      <c r="I3967" s="77"/>
      <c r="J3967" s="77"/>
      <c r="K3967" s="79"/>
      <c r="L3967" s="49">
        <f t="shared" si="220"/>
        <v>0</v>
      </c>
      <c r="M3967" s="50">
        <f t="shared" si="221"/>
        <v>0</v>
      </c>
    </row>
    <row r="3968" spans="1:13" x14ac:dyDescent="0.2">
      <c r="A3968" s="18"/>
      <c r="B3968" s="77"/>
      <c r="C3968" s="77"/>
      <c r="D3968" s="78"/>
      <c r="E3968" s="77"/>
      <c r="F3968" s="77"/>
      <c r="G3968" s="77"/>
      <c r="H3968" s="77"/>
      <c r="I3968" s="77"/>
      <c r="J3968" s="77"/>
      <c r="K3968" s="79"/>
      <c r="L3968" s="49">
        <f t="shared" si="220"/>
        <v>0</v>
      </c>
      <c r="M3968" s="50">
        <f t="shared" si="221"/>
        <v>0</v>
      </c>
    </row>
    <row r="3969" spans="1:13" x14ac:dyDescent="0.2">
      <c r="A3969" s="18"/>
      <c r="B3969" s="77"/>
      <c r="C3969" s="77"/>
      <c r="D3969" s="78"/>
      <c r="E3969" s="77"/>
      <c r="F3969" s="77"/>
      <c r="G3969" s="77"/>
      <c r="H3969" s="77"/>
      <c r="I3969" s="77"/>
      <c r="J3969" s="77"/>
      <c r="K3969" s="79"/>
      <c r="L3969" s="49">
        <f t="shared" si="220"/>
        <v>0</v>
      </c>
      <c r="M3969" s="50">
        <f t="shared" si="221"/>
        <v>0</v>
      </c>
    </row>
    <row r="3970" spans="1:13" x14ac:dyDescent="0.2">
      <c r="A3970" s="18"/>
      <c r="B3970" s="77"/>
      <c r="C3970" s="77"/>
      <c r="D3970" s="78"/>
      <c r="E3970" s="77"/>
      <c r="F3970" s="77"/>
      <c r="G3970" s="77"/>
      <c r="H3970" s="77"/>
      <c r="I3970" s="77"/>
      <c r="J3970" s="77"/>
      <c r="K3970" s="79"/>
      <c r="L3970" s="49">
        <f t="shared" si="220"/>
        <v>0</v>
      </c>
      <c r="M3970" s="50">
        <f t="shared" si="221"/>
        <v>0</v>
      </c>
    </row>
    <row r="3971" spans="1:13" x14ac:dyDescent="0.2">
      <c r="A3971" s="18"/>
      <c r="B3971" s="77"/>
      <c r="C3971" s="77"/>
      <c r="D3971" s="78"/>
      <c r="E3971" s="77"/>
      <c r="F3971" s="77"/>
      <c r="G3971" s="77"/>
      <c r="H3971" s="77"/>
      <c r="I3971" s="77"/>
      <c r="J3971" s="77"/>
      <c r="K3971" s="79"/>
      <c r="L3971" s="49">
        <f t="shared" si="220"/>
        <v>0</v>
      </c>
      <c r="M3971" s="50">
        <f t="shared" si="221"/>
        <v>0</v>
      </c>
    </row>
    <row r="3972" spans="1:13" x14ac:dyDescent="0.2">
      <c r="A3972" s="18"/>
      <c r="B3972" s="77"/>
      <c r="C3972" s="77"/>
      <c r="D3972" s="78"/>
      <c r="E3972" s="77"/>
      <c r="F3972" s="77"/>
      <c r="G3972" s="77"/>
      <c r="H3972" s="77"/>
      <c r="I3972" s="77"/>
      <c r="J3972" s="77"/>
      <c r="K3972" s="79"/>
      <c r="L3972" s="49">
        <f t="shared" si="220"/>
        <v>0</v>
      </c>
      <c r="M3972" s="50">
        <f t="shared" si="221"/>
        <v>0</v>
      </c>
    </row>
    <row r="3973" spans="1:13" x14ac:dyDescent="0.2">
      <c r="A3973" s="18"/>
      <c r="B3973" s="77"/>
      <c r="C3973" s="77"/>
      <c r="D3973" s="78"/>
      <c r="E3973" s="77"/>
      <c r="F3973" s="77"/>
      <c r="G3973" s="77"/>
      <c r="H3973" s="77"/>
      <c r="I3973" s="77"/>
      <c r="J3973" s="77"/>
      <c r="K3973" s="79"/>
      <c r="L3973" s="49">
        <f t="shared" si="220"/>
        <v>0</v>
      </c>
      <c r="M3973" s="50">
        <f t="shared" si="221"/>
        <v>0</v>
      </c>
    </row>
    <row r="3974" spans="1:13" x14ac:dyDescent="0.2">
      <c r="A3974" s="18"/>
      <c r="B3974" s="77"/>
      <c r="C3974" s="77"/>
      <c r="D3974" s="78"/>
      <c r="E3974" s="77"/>
      <c r="F3974" s="77"/>
      <c r="G3974" s="77"/>
      <c r="H3974" s="77"/>
      <c r="I3974" s="77"/>
      <c r="J3974" s="77"/>
      <c r="K3974" s="79"/>
      <c r="L3974" s="49">
        <f t="shared" si="220"/>
        <v>0</v>
      </c>
      <c r="M3974" s="50">
        <f t="shared" si="221"/>
        <v>0</v>
      </c>
    </row>
    <row r="3975" spans="1:13" x14ac:dyDescent="0.2">
      <c r="A3975" s="18"/>
      <c r="B3975" s="77"/>
      <c r="C3975" s="77"/>
      <c r="D3975" s="78"/>
      <c r="E3975" s="77"/>
      <c r="F3975" s="77"/>
      <c r="G3975" s="77"/>
      <c r="H3975" s="77"/>
      <c r="I3975" s="77"/>
      <c r="J3975" s="77"/>
      <c r="K3975" s="79"/>
      <c r="L3975" s="49">
        <f t="shared" si="220"/>
        <v>0</v>
      </c>
      <c r="M3975" s="50">
        <f t="shared" si="221"/>
        <v>0</v>
      </c>
    </row>
    <row r="3976" spans="1:13" x14ac:dyDescent="0.2">
      <c r="A3976" s="18"/>
      <c r="B3976" s="77"/>
      <c r="C3976" s="77"/>
      <c r="D3976" s="78"/>
      <c r="E3976" s="77"/>
      <c r="F3976" s="77"/>
      <c r="G3976" s="77"/>
      <c r="H3976" s="77"/>
      <c r="I3976" s="77"/>
      <c r="J3976" s="77"/>
      <c r="K3976" s="79"/>
      <c r="L3976" s="49">
        <f t="shared" si="220"/>
        <v>0</v>
      </c>
      <c r="M3976" s="50">
        <f t="shared" si="221"/>
        <v>0</v>
      </c>
    </row>
    <row r="3977" spans="1:13" x14ac:dyDescent="0.2">
      <c r="A3977" s="18"/>
      <c r="B3977" s="77"/>
      <c r="C3977" s="77"/>
      <c r="D3977" s="78"/>
      <c r="E3977" s="77"/>
      <c r="F3977" s="77"/>
      <c r="G3977" s="77"/>
      <c r="H3977" s="77"/>
      <c r="I3977" s="77"/>
      <c r="J3977" s="77"/>
      <c r="K3977" s="79"/>
      <c r="L3977" s="49">
        <f t="shared" si="220"/>
        <v>0</v>
      </c>
      <c r="M3977" s="50">
        <f t="shared" si="221"/>
        <v>0</v>
      </c>
    </row>
    <row r="3978" spans="1:13" x14ac:dyDescent="0.2">
      <c r="A3978" s="18"/>
      <c r="B3978" s="77"/>
      <c r="C3978" s="77"/>
      <c r="D3978" s="78"/>
      <c r="E3978" s="77"/>
      <c r="F3978" s="77"/>
      <c r="G3978" s="77"/>
      <c r="H3978" s="77"/>
      <c r="I3978" s="77"/>
      <c r="J3978" s="77"/>
      <c r="K3978" s="79"/>
      <c r="L3978" s="49">
        <f t="shared" si="220"/>
        <v>0</v>
      </c>
      <c r="M3978" s="50">
        <f t="shared" si="221"/>
        <v>0</v>
      </c>
    </row>
    <row r="3979" spans="1:13" x14ac:dyDescent="0.2">
      <c r="A3979" s="18"/>
      <c r="B3979" s="77"/>
      <c r="C3979" s="77"/>
      <c r="D3979" s="78"/>
      <c r="E3979" s="77"/>
      <c r="F3979" s="77"/>
      <c r="G3979" s="77"/>
      <c r="H3979" s="77"/>
      <c r="I3979" s="77"/>
      <c r="J3979" s="77"/>
      <c r="K3979" s="79"/>
      <c r="L3979" s="49">
        <f t="shared" si="220"/>
        <v>0</v>
      </c>
      <c r="M3979" s="50">
        <f t="shared" si="221"/>
        <v>0</v>
      </c>
    </row>
    <row r="3980" spans="1:13" x14ac:dyDescent="0.2">
      <c r="A3980" s="18"/>
      <c r="B3980" s="77"/>
      <c r="C3980" s="77"/>
      <c r="D3980" s="78"/>
      <c r="E3980" s="77"/>
      <c r="F3980" s="77"/>
      <c r="G3980" s="77"/>
      <c r="H3980" s="77"/>
      <c r="I3980" s="77"/>
      <c r="J3980" s="77"/>
      <c r="K3980" s="79"/>
      <c r="L3980" s="49">
        <f t="shared" si="220"/>
        <v>0</v>
      </c>
      <c r="M3980" s="50">
        <f t="shared" si="221"/>
        <v>0</v>
      </c>
    </row>
    <row r="3981" spans="1:13" x14ac:dyDescent="0.2">
      <c r="A3981" s="18"/>
      <c r="B3981" s="77"/>
      <c r="C3981" s="77"/>
      <c r="D3981" s="78"/>
      <c r="E3981" s="77"/>
      <c r="F3981" s="77"/>
      <c r="G3981" s="77"/>
      <c r="H3981" s="77"/>
      <c r="I3981" s="77"/>
      <c r="J3981" s="77"/>
      <c r="K3981" s="79"/>
      <c r="L3981" s="49">
        <f t="shared" si="220"/>
        <v>0</v>
      </c>
      <c r="M3981" s="50">
        <f t="shared" si="221"/>
        <v>0</v>
      </c>
    </row>
    <row r="3982" spans="1:13" x14ac:dyDescent="0.2">
      <c r="A3982" s="18"/>
      <c r="B3982" s="77"/>
      <c r="C3982" s="77"/>
      <c r="D3982" s="78"/>
      <c r="E3982" s="77"/>
      <c r="F3982" s="77"/>
      <c r="G3982" s="77"/>
      <c r="H3982" s="77"/>
      <c r="I3982" s="77"/>
      <c r="J3982" s="77"/>
      <c r="K3982" s="79"/>
      <c r="L3982" s="49">
        <f t="shared" si="220"/>
        <v>0</v>
      </c>
      <c r="M3982" s="50">
        <f t="shared" si="221"/>
        <v>0</v>
      </c>
    </row>
    <row r="3983" spans="1:13" x14ac:dyDescent="0.2">
      <c r="A3983" s="18"/>
      <c r="B3983" s="77"/>
      <c r="C3983" s="77"/>
      <c r="D3983" s="78"/>
      <c r="E3983" s="77"/>
      <c r="F3983" s="77"/>
      <c r="G3983" s="77"/>
      <c r="H3983" s="77"/>
      <c r="I3983" s="77"/>
      <c r="J3983" s="77"/>
      <c r="K3983" s="79"/>
      <c r="L3983" s="49">
        <f t="shared" si="220"/>
        <v>0</v>
      </c>
      <c r="M3983" s="50">
        <f t="shared" si="221"/>
        <v>0</v>
      </c>
    </row>
    <row r="3984" spans="1:13" x14ac:dyDescent="0.2">
      <c r="A3984" s="18"/>
      <c r="B3984" s="77"/>
      <c r="C3984" s="77"/>
      <c r="D3984" s="78"/>
      <c r="E3984" s="77"/>
      <c r="F3984" s="77"/>
      <c r="G3984" s="77"/>
      <c r="H3984" s="77"/>
      <c r="I3984" s="77"/>
      <c r="J3984" s="77"/>
      <c r="K3984" s="79"/>
      <c r="L3984" s="49">
        <f t="shared" si="220"/>
        <v>0</v>
      </c>
      <c r="M3984" s="50">
        <f t="shared" si="221"/>
        <v>0</v>
      </c>
    </row>
    <row r="3985" spans="1:13" x14ac:dyDescent="0.2">
      <c r="A3985" s="18"/>
      <c r="B3985" s="77"/>
      <c r="C3985" s="77"/>
      <c r="D3985" s="78"/>
      <c r="E3985" s="77"/>
      <c r="F3985" s="77"/>
      <c r="G3985" s="77"/>
      <c r="H3985" s="77"/>
      <c r="I3985" s="77"/>
      <c r="J3985" s="77"/>
      <c r="K3985" s="79"/>
      <c r="L3985" s="49">
        <f t="shared" si="220"/>
        <v>0</v>
      </c>
      <c r="M3985" s="50">
        <f t="shared" si="221"/>
        <v>0</v>
      </c>
    </row>
    <row r="3986" spans="1:13" x14ac:dyDescent="0.2">
      <c r="A3986" s="18"/>
      <c r="B3986" s="77"/>
      <c r="C3986" s="77"/>
      <c r="D3986" s="78"/>
      <c r="E3986" s="77"/>
      <c r="F3986" s="77"/>
      <c r="G3986" s="77"/>
      <c r="H3986" s="77"/>
      <c r="I3986" s="77"/>
      <c r="J3986" s="77"/>
      <c r="K3986" s="79"/>
      <c r="L3986" s="49">
        <f t="shared" si="220"/>
        <v>0</v>
      </c>
      <c r="M3986" s="50">
        <f t="shared" si="221"/>
        <v>0</v>
      </c>
    </row>
    <row r="3987" spans="1:13" x14ac:dyDescent="0.2">
      <c r="A3987" s="18"/>
      <c r="B3987" s="77"/>
      <c r="C3987" s="77"/>
      <c r="D3987" s="78"/>
      <c r="E3987" s="77"/>
      <c r="F3987" s="77"/>
      <c r="G3987" s="77"/>
      <c r="H3987" s="77"/>
      <c r="I3987" s="77"/>
      <c r="J3987" s="77"/>
      <c r="K3987" s="79"/>
      <c r="L3987" s="49">
        <f t="shared" si="220"/>
        <v>0</v>
      </c>
      <c r="M3987" s="50">
        <f t="shared" si="221"/>
        <v>0</v>
      </c>
    </row>
    <row r="3988" spans="1:13" x14ac:dyDescent="0.2">
      <c r="A3988" s="18"/>
      <c r="B3988" s="77"/>
      <c r="C3988" s="77"/>
      <c r="D3988" s="78"/>
      <c r="E3988" s="77"/>
      <c r="F3988" s="77"/>
      <c r="G3988" s="77"/>
      <c r="H3988" s="77"/>
      <c r="I3988" s="77"/>
      <c r="J3988" s="77"/>
      <c r="K3988" s="79"/>
      <c r="L3988" s="49">
        <f t="shared" si="220"/>
        <v>0</v>
      </c>
      <c r="M3988" s="50">
        <f t="shared" si="221"/>
        <v>0</v>
      </c>
    </row>
    <row r="3989" spans="1:13" x14ac:dyDescent="0.2">
      <c r="A3989" s="18"/>
      <c r="B3989" s="77"/>
      <c r="C3989" s="77"/>
      <c r="D3989" s="78"/>
      <c r="E3989" s="77"/>
      <c r="F3989" s="77"/>
      <c r="G3989" s="77"/>
      <c r="H3989" s="77"/>
      <c r="I3989" s="77"/>
      <c r="J3989" s="77"/>
      <c r="K3989" s="79"/>
      <c r="L3989" s="49">
        <f t="shared" si="220"/>
        <v>0</v>
      </c>
      <c r="M3989" s="50">
        <f t="shared" si="221"/>
        <v>0</v>
      </c>
    </row>
    <row r="3990" spans="1:13" x14ac:dyDescent="0.2">
      <c r="A3990" s="18"/>
      <c r="B3990" s="77"/>
      <c r="C3990" s="77"/>
      <c r="D3990" s="78"/>
      <c r="E3990" s="77"/>
      <c r="F3990" s="77"/>
      <c r="G3990" s="77"/>
      <c r="H3990" s="77"/>
      <c r="I3990" s="77"/>
      <c r="J3990" s="77"/>
      <c r="K3990" s="79"/>
      <c r="L3990" s="49">
        <f t="shared" si="220"/>
        <v>0</v>
      </c>
      <c r="M3990" s="50">
        <f t="shared" si="221"/>
        <v>0</v>
      </c>
    </row>
    <row r="3991" spans="1:13" x14ac:dyDescent="0.2">
      <c r="A3991" s="18"/>
      <c r="B3991" s="77"/>
      <c r="C3991" s="77"/>
      <c r="D3991" s="78"/>
      <c r="E3991" s="77"/>
      <c r="F3991" s="77"/>
      <c r="G3991" s="77"/>
      <c r="H3991" s="77"/>
      <c r="I3991" s="77"/>
      <c r="J3991" s="77"/>
      <c r="K3991" s="79"/>
      <c r="L3991" s="49">
        <f t="shared" si="220"/>
        <v>0</v>
      </c>
      <c r="M3991" s="50">
        <f t="shared" si="221"/>
        <v>0</v>
      </c>
    </row>
    <row r="3992" spans="1:13" x14ac:dyDescent="0.2">
      <c r="A3992" s="18"/>
      <c r="B3992" s="77"/>
      <c r="C3992" s="77"/>
      <c r="D3992" s="78"/>
      <c r="E3992" s="77"/>
      <c r="F3992" s="77"/>
      <c r="G3992" s="77"/>
      <c r="H3992" s="77"/>
      <c r="I3992" s="77"/>
      <c r="J3992" s="77"/>
      <c r="K3992" s="79"/>
      <c r="L3992" s="49">
        <f t="shared" si="220"/>
        <v>0</v>
      </c>
      <c r="M3992" s="50">
        <f t="shared" si="221"/>
        <v>0</v>
      </c>
    </row>
    <row r="3993" spans="1:13" x14ac:dyDescent="0.2">
      <c r="A3993" s="18"/>
      <c r="B3993" s="77"/>
      <c r="C3993" s="77"/>
      <c r="D3993" s="78"/>
      <c r="E3993" s="77"/>
      <c r="F3993" s="77"/>
      <c r="G3993" s="77"/>
      <c r="H3993" s="77"/>
      <c r="I3993" s="77"/>
      <c r="J3993" s="77"/>
      <c r="K3993" s="79"/>
      <c r="L3993" s="49">
        <f t="shared" si="220"/>
        <v>0</v>
      </c>
      <c r="M3993" s="50">
        <f t="shared" si="221"/>
        <v>0</v>
      </c>
    </row>
    <row r="3994" spans="1:13" x14ac:dyDescent="0.2">
      <c r="A3994" s="18"/>
      <c r="B3994" s="77"/>
      <c r="C3994" s="77"/>
      <c r="D3994" s="78"/>
      <c r="E3994" s="77"/>
      <c r="F3994" s="77"/>
      <c r="G3994" s="77"/>
      <c r="H3994" s="77"/>
      <c r="I3994" s="77"/>
      <c r="J3994" s="77"/>
      <c r="K3994" s="79"/>
      <c r="L3994" s="49">
        <f t="shared" ref="L3994:L4007" si="222">+K3994*18%</f>
        <v>0</v>
      </c>
      <c r="M3994" s="50">
        <f t="shared" ref="M3994:M4007" si="223">+K3994+L3994</f>
        <v>0</v>
      </c>
    </row>
    <row r="3995" spans="1:13" x14ac:dyDescent="0.2">
      <c r="A3995" s="18"/>
      <c r="B3995" s="77"/>
      <c r="C3995" s="77"/>
      <c r="D3995" s="78"/>
      <c r="E3995" s="77"/>
      <c r="F3995" s="77"/>
      <c r="G3995" s="77"/>
      <c r="H3995" s="77"/>
      <c r="I3995" s="77"/>
      <c r="J3995" s="77"/>
      <c r="K3995" s="79"/>
      <c r="L3995" s="49">
        <f t="shared" si="222"/>
        <v>0</v>
      </c>
      <c r="M3995" s="50">
        <f t="shared" si="223"/>
        <v>0</v>
      </c>
    </row>
    <row r="3996" spans="1:13" x14ac:dyDescent="0.2">
      <c r="A3996" s="18"/>
      <c r="B3996" s="77"/>
      <c r="C3996" s="77"/>
      <c r="D3996" s="78"/>
      <c r="E3996" s="77"/>
      <c r="F3996" s="77"/>
      <c r="G3996" s="77"/>
      <c r="H3996" s="77"/>
      <c r="I3996" s="77"/>
      <c r="J3996" s="77"/>
      <c r="K3996" s="79"/>
      <c r="L3996" s="49">
        <f t="shared" si="222"/>
        <v>0</v>
      </c>
      <c r="M3996" s="50">
        <f t="shared" si="223"/>
        <v>0</v>
      </c>
    </row>
    <row r="3997" spans="1:13" x14ac:dyDescent="0.2">
      <c r="A3997" s="18"/>
      <c r="B3997" s="77"/>
      <c r="C3997" s="77"/>
      <c r="D3997" s="78"/>
      <c r="E3997" s="77"/>
      <c r="F3997" s="77"/>
      <c r="G3997" s="77"/>
      <c r="H3997" s="77"/>
      <c r="I3997" s="77"/>
      <c r="J3997" s="77"/>
      <c r="K3997" s="79"/>
      <c r="L3997" s="49">
        <f t="shared" si="222"/>
        <v>0</v>
      </c>
      <c r="M3997" s="50">
        <f t="shared" si="223"/>
        <v>0</v>
      </c>
    </row>
    <row r="3998" spans="1:13" x14ac:dyDescent="0.2">
      <c r="A3998" s="18"/>
      <c r="B3998" s="77"/>
      <c r="C3998" s="77"/>
      <c r="D3998" s="78"/>
      <c r="E3998" s="77"/>
      <c r="F3998" s="77"/>
      <c r="G3998" s="77"/>
      <c r="H3998" s="77"/>
      <c r="I3998" s="77"/>
      <c r="J3998" s="77"/>
      <c r="K3998" s="79"/>
      <c r="L3998" s="49">
        <f t="shared" si="222"/>
        <v>0</v>
      </c>
      <c r="M3998" s="50">
        <f t="shared" si="223"/>
        <v>0</v>
      </c>
    </row>
    <row r="3999" spans="1:13" x14ac:dyDescent="0.2">
      <c r="A3999" s="18"/>
      <c r="B3999" s="77"/>
      <c r="C3999" s="77"/>
      <c r="D3999" s="78"/>
      <c r="E3999" s="77"/>
      <c r="F3999" s="77"/>
      <c r="G3999" s="77"/>
      <c r="H3999" s="77"/>
      <c r="I3999" s="77"/>
      <c r="J3999" s="77"/>
      <c r="K3999" s="79"/>
      <c r="L3999" s="49">
        <f t="shared" si="222"/>
        <v>0</v>
      </c>
      <c r="M3999" s="50">
        <f t="shared" si="223"/>
        <v>0</v>
      </c>
    </row>
    <row r="4000" spans="1:13" x14ac:dyDescent="0.2">
      <c r="A4000" s="18"/>
      <c r="B4000" s="77"/>
      <c r="C4000" s="77"/>
      <c r="D4000" s="78"/>
      <c r="E4000" s="77"/>
      <c r="F4000" s="77"/>
      <c r="G4000" s="77"/>
      <c r="H4000" s="77"/>
      <c r="I4000" s="77"/>
      <c r="J4000" s="77"/>
      <c r="K4000" s="79"/>
      <c r="L4000" s="49">
        <f t="shared" si="222"/>
        <v>0</v>
      </c>
      <c r="M4000" s="50">
        <f t="shared" si="223"/>
        <v>0</v>
      </c>
    </row>
    <row r="4001" spans="1:13" x14ac:dyDescent="0.2">
      <c r="A4001" s="18"/>
      <c r="B4001" s="77"/>
      <c r="C4001" s="77"/>
      <c r="D4001" s="78"/>
      <c r="E4001" s="77"/>
      <c r="F4001" s="77"/>
      <c r="G4001" s="77"/>
      <c r="H4001" s="77"/>
      <c r="I4001" s="77"/>
      <c r="J4001" s="77"/>
      <c r="K4001" s="79"/>
      <c r="L4001" s="49">
        <f t="shared" si="222"/>
        <v>0</v>
      </c>
      <c r="M4001" s="50">
        <f t="shared" si="223"/>
        <v>0</v>
      </c>
    </row>
    <row r="4002" spans="1:13" x14ac:dyDescent="0.2">
      <c r="A4002" s="18"/>
      <c r="B4002" s="77"/>
      <c r="C4002" s="77"/>
      <c r="D4002" s="78"/>
      <c r="E4002" s="77"/>
      <c r="F4002" s="77"/>
      <c r="G4002" s="77"/>
      <c r="H4002" s="77"/>
      <c r="I4002" s="77"/>
      <c r="J4002" s="77"/>
      <c r="K4002" s="79"/>
      <c r="L4002" s="49">
        <f t="shared" si="222"/>
        <v>0</v>
      </c>
      <c r="M4002" s="50">
        <f t="shared" si="223"/>
        <v>0</v>
      </c>
    </row>
    <row r="4003" spans="1:13" x14ac:dyDescent="0.2">
      <c r="A4003" s="18"/>
      <c r="B4003" s="77"/>
      <c r="C4003" s="77"/>
      <c r="D4003" s="78"/>
      <c r="E4003" s="77"/>
      <c r="F4003" s="77"/>
      <c r="G4003" s="77"/>
      <c r="H4003" s="77"/>
      <c r="I4003" s="77"/>
      <c r="J4003" s="77"/>
      <c r="K4003" s="79"/>
      <c r="L4003" s="49">
        <f t="shared" si="222"/>
        <v>0</v>
      </c>
      <c r="M4003" s="50">
        <f t="shared" si="223"/>
        <v>0</v>
      </c>
    </row>
    <row r="4004" spans="1:13" x14ac:dyDescent="0.2">
      <c r="A4004" s="18"/>
      <c r="B4004" s="77"/>
      <c r="C4004" s="77"/>
      <c r="D4004" s="78"/>
      <c r="E4004" s="77"/>
      <c r="F4004" s="77"/>
      <c r="G4004" s="77"/>
      <c r="H4004" s="77"/>
      <c r="I4004" s="77"/>
      <c r="J4004" s="77"/>
      <c r="K4004" s="79"/>
      <c r="L4004" s="49">
        <f t="shared" si="222"/>
        <v>0</v>
      </c>
      <c r="M4004" s="50">
        <f t="shared" si="223"/>
        <v>0</v>
      </c>
    </row>
    <row r="4005" spans="1:13" x14ac:dyDescent="0.2">
      <c r="A4005" s="18"/>
      <c r="B4005" s="77"/>
      <c r="C4005" s="77"/>
      <c r="D4005" s="78"/>
      <c r="E4005" s="77"/>
      <c r="F4005" s="77"/>
      <c r="G4005" s="77"/>
      <c r="H4005" s="77"/>
      <c r="I4005" s="77"/>
      <c r="J4005" s="77"/>
      <c r="K4005" s="79"/>
      <c r="L4005" s="49">
        <f t="shared" si="222"/>
        <v>0</v>
      </c>
      <c r="M4005" s="50">
        <f t="shared" si="223"/>
        <v>0</v>
      </c>
    </row>
    <row r="4006" spans="1:13" x14ac:dyDescent="0.2">
      <c r="A4006" s="18"/>
      <c r="B4006" s="77"/>
      <c r="C4006" s="77"/>
      <c r="D4006" s="78"/>
      <c r="E4006" s="77"/>
      <c r="F4006" s="77"/>
      <c r="G4006" s="77"/>
      <c r="H4006" s="77"/>
      <c r="I4006" s="77"/>
      <c r="J4006" s="77"/>
      <c r="K4006" s="79"/>
      <c r="L4006" s="49">
        <f t="shared" si="222"/>
        <v>0</v>
      </c>
      <c r="M4006" s="50">
        <f t="shared" si="223"/>
        <v>0</v>
      </c>
    </row>
    <row r="4007" spans="1:13" x14ac:dyDescent="0.2">
      <c r="A4007" s="18"/>
      <c r="B4007" s="77"/>
      <c r="C4007" s="77"/>
      <c r="D4007" s="78"/>
      <c r="E4007" s="77"/>
      <c r="F4007" s="77"/>
      <c r="G4007" s="77"/>
      <c r="H4007" s="77"/>
      <c r="I4007" s="77"/>
      <c r="J4007" s="77"/>
      <c r="K4007" s="79"/>
      <c r="L4007" s="49">
        <f t="shared" si="222"/>
        <v>0</v>
      </c>
      <c r="M4007" s="50">
        <f t="shared" si="223"/>
        <v>0</v>
      </c>
    </row>
    <row r="4008" spans="1:13" x14ac:dyDescent="0.2">
      <c r="A4008" s="18"/>
      <c r="B4008" s="77"/>
      <c r="C4008" s="77"/>
      <c r="D4008" s="78"/>
      <c r="E4008" s="77"/>
      <c r="F4008" s="77"/>
      <c r="G4008" s="77"/>
      <c r="H4008" s="77"/>
      <c r="I4008" s="77"/>
      <c r="J4008" s="77"/>
      <c r="K4008" s="79"/>
      <c r="L4008" s="49">
        <f t="shared" ref="L4008:L4071" si="224">+K4008*18%</f>
        <v>0</v>
      </c>
      <c r="M4008" s="50">
        <f t="shared" ref="M4008:M4071" si="225">+K4008+L4008</f>
        <v>0</v>
      </c>
    </row>
    <row r="4009" spans="1:13" x14ac:dyDescent="0.2">
      <c r="A4009" s="18"/>
      <c r="B4009" s="77"/>
      <c r="C4009" s="77"/>
      <c r="D4009" s="78"/>
      <c r="E4009" s="77"/>
      <c r="F4009" s="77"/>
      <c r="G4009" s="77"/>
      <c r="H4009" s="77"/>
      <c r="I4009" s="77"/>
      <c r="J4009" s="77"/>
      <c r="K4009" s="79"/>
      <c r="L4009" s="49">
        <f t="shared" si="224"/>
        <v>0</v>
      </c>
      <c r="M4009" s="50">
        <f t="shared" si="225"/>
        <v>0</v>
      </c>
    </row>
    <row r="4010" spans="1:13" x14ac:dyDescent="0.2">
      <c r="A4010" s="18"/>
      <c r="B4010" s="77"/>
      <c r="C4010" s="77"/>
      <c r="D4010" s="78"/>
      <c r="E4010" s="77"/>
      <c r="F4010" s="77"/>
      <c r="G4010" s="77"/>
      <c r="H4010" s="77"/>
      <c r="I4010" s="77"/>
      <c r="J4010" s="77"/>
      <c r="K4010" s="79"/>
      <c r="L4010" s="49">
        <f t="shared" si="224"/>
        <v>0</v>
      </c>
      <c r="M4010" s="50">
        <f t="shared" si="225"/>
        <v>0</v>
      </c>
    </row>
    <row r="4011" spans="1:13" x14ac:dyDescent="0.2">
      <c r="A4011" s="18"/>
      <c r="B4011" s="77"/>
      <c r="C4011" s="77"/>
      <c r="D4011" s="78"/>
      <c r="E4011" s="77"/>
      <c r="F4011" s="77"/>
      <c r="G4011" s="77"/>
      <c r="H4011" s="77"/>
      <c r="I4011" s="77"/>
      <c r="J4011" s="77"/>
      <c r="K4011" s="79"/>
      <c r="L4011" s="49">
        <f t="shared" si="224"/>
        <v>0</v>
      </c>
      <c r="M4011" s="50">
        <f t="shared" si="225"/>
        <v>0</v>
      </c>
    </row>
    <row r="4012" spans="1:13" x14ac:dyDescent="0.2">
      <c r="A4012" s="18"/>
      <c r="B4012" s="77"/>
      <c r="C4012" s="77"/>
      <c r="D4012" s="78"/>
      <c r="E4012" s="77"/>
      <c r="F4012" s="77"/>
      <c r="G4012" s="77"/>
      <c r="H4012" s="77"/>
      <c r="I4012" s="77"/>
      <c r="J4012" s="77"/>
      <c r="K4012" s="79"/>
      <c r="L4012" s="49">
        <f t="shared" si="224"/>
        <v>0</v>
      </c>
      <c r="M4012" s="50">
        <f t="shared" si="225"/>
        <v>0</v>
      </c>
    </row>
    <row r="4013" spans="1:13" x14ac:dyDescent="0.2">
      <c r="A4013" s="18"/>
      <c r="B4013" s="77"/>
      <c r="C4013" s="77"/>
      <c r="D4013" s="78"/>
      <c r="E4013" s="77"/>
      <c r="F4013" s="77"/>
      <c r="G4013" s="77"/>
      <c r="H4013" s="77"/>
      <c r="I4013" s="77"/>
      <c r="J4013" s="77"/>
      <c r="K4013" s="79"/>
      <c r="L4013" s="49">
        <f t="shared" si="224"/>
        <v>0</v>
      </c>
      <c r="M4013" s="50">
        <f t="shared" si="225"/>
        <v>0</v>
      </c>
    </row>
    <row r="4014" spans="1:13" x14ac:dyDescent="0.2">
      <c r="A4014" s="18"/>
      <c r="B4014" s="77"/>
      <c r="C4014" s="77"/>
      <c r="D4014" s="78"/>
      <c r="E4014" s="77"/>
      <c r="F4014" s="77"/>
      <c r="G4014" s="77"/>
      <c r="H4014" s="77"/>
      <c r="I4014" s="77"/>
      <c r="J4014" s="77"/>
      <c r="K4014" s="79"/>
      <c r="L4014" s="49">
        <f t="shared" si="224"/>
        <v>0</v>
      </c>
      <c r="M4014" s="50">
        <f t="shared" si="225"/>
        <v>0</v>
      </c>
    </row>
    <row r="4015" spans="1:13" x14ac:dyDescent="0.2">
      <c r="A4015" s="18"/>
      <c r="B4015" s="77"/>
      <c r="C4015" s="77"/>
      <c r="D4015" s="78"/>
      <c r="E4015" s="77"/>
      <c r="F4015" s="77"/>
      <c r="G4015" s="77"/>
      <c r="H4015" s="77"/>
      <c r="I4015" s="77"/>
      <c r="J4015" s="77"/>
      <c r="K4015" s="79"/>
      <c r="L4015" s="49">
        <f t="shared" si="224"/>
        <v>0</v>
      </c>
      <c r="M4015" s="50">
        <f t="shared" si="225"/>
        <v>0</v>
      </c>
    </row>
    <row r="4016" spans="1:13" x14ac:dyDescent="0.2">
      <c r="A4016" s="18"/>
      <c r="B4016" s="77"/>
      <c r="C4016" s="77"/>
      <c r="D4016" s="78"/>
      <c r="E4016" s="77"/>
      <c r="F4016" s="77"/>
      <c r="G4016" s="77"/>
      <c r="H4016" s="77"/>
      <c r="I4016" s="77"/>
      <c r="J4016" s="77"/>
      <c r="K4016" s="79"/>
      <c r="L4016" s="49">
        <f t="shared" si="224"/>
        <v>0</v>
      </c>
      <c r="M4016" s="50">
        <f t="shared" si="225"/>
        <v>0</v>
      </c>
    </row>
    <row r="4017" spans="1:13" x14ac:dyDescent="0.2">
      <c r="A4017" s="18"/>
      <c r="B4017" s="77"/>
      <c r="C4017" s="77"/>
      <c r="D4017" s="78"/>
      <c r="E4017" s="77"/>
      <c r="F4017" s="77"/>
      <c r="G4017" s="77"/>
      <c r="H4017" s="77"/>
      <c r="I4017" s="77"/>
      <c r="J4017" s="77"/>
      <c r="K4017" s="79"/>
      <c r="L4017" s="49">
        <f t="shared" si="224"/>
        <v>0</v>
      </c>
      <c r="M4017" s="50">
        <f t="shared" si="225"/>
        <v>0</v>
      </c>
    </row>
    <row r="4018" spans="1:13" x14ac:dyDescent="0.2">
      <c r="A4018" s="18"/>
      <c r="B4018" s="77"/>
      <c r="C4018" s="77"/>
      <c r="D4018" s="78"/>
      <c r="E4018" s="77"/>
      <c r="F4018" s="77"/>
      <c r="G4018" s="77"/>
      <c r="H4018" s="77"/>
      <c r="I4018" s="77"/>
      <c r="J4018" s="77"/>
      <c r="K4018" s="79"/>
      <c r="L4018" s="49">
        <f t="shared" si="224"/>
        <v>0</v>
      </c>
      <c r="M4018" s="50">
        <f t="shared" si="225"/>
        <v>0</v>
      </c>
    </row>
    <row r="4019" spans="1:13" x14ac:dyDescent="0.2">
      <c r="A4019" s="18"/>
      <c r="B4019" s="77"/>
      <c r="C4019" s="77"/>
      <c r="D4019" s="78"/>
      <c r="E4019" s="77"/>
      <c r="F4019" s="77"/>
      <c r="G4019" s="77"/>
      <c r="H4019" s="77"/>
      <c r="I4019" s="77"/>
      <c r="J4019" s="77"/>
      <c r="K4019" s="79"/>
      <c r="L4019" s="49">
        <f t="shared" si="224"/>
        <v>0</v>
      </c>
      <c r="M4019" s="50">
        <f t="shared" si="225"/>
        <v>0</v>
      </c>
    </row>
    <row r="4020" spans="1:13" x14ac:dyDescent="0.2">
      <c r="A4020" s="18"/>
      <c r="B4020" s="77"/>
      <c r="C4020" s="77"/>
      <c r="D4020" s="78"/>
      <c r="E4020" s="77"/>
      <c r="F4020" s="77"/>
      <c r="G4020" s="77"/>
      <c r="H4020" s="77"/>
      <c r="I4020" s="77"/>
      <c r="J4020" s="77"/>
      <c r="K4020" s="79"/>
      <c r="L4020" s="49">
        <f t="shared" si="224"/>
        <v>0</v>
      </c>
      <c r="M4020" s="50">
        <f t="shared" si="225"/>
        <v>0</v>
      </c>
    </row>
    <row r="4021" spans="1:13" x14ac:dyDescent="0.2">
      <c r="A4021" s="18"/>
      <c r="B4021" s="77"/>
      <c r="C4021" s="77"/>
      <c r="D4021" s="78"/>
      <c r="E4021" s="77"/>
      <c r="F4021" s="77"/>
      <c r="G4021" s="77"/>
      <c r="H4021" s="77"/>
      <c r="I4021" s="77"/>
      <c r="J4021" s="77"/>
      <c r="K4021" s="79"/>
      <c r="L4021" s="49">
        <f t="shared" si="224"/>
        <v>0</v>
      </c>
      <c r="M4021" s="50">
        <f t="shared" si="225"/>
        <v>0</v>
      </c>
    </row>
    <row r="4022" spans="1:13" x14ac:dyDescent="0.2">
      <c r="A4022" s="18"/>
      <c r="B4022" s="77"/>
      <c r="C4022" s="77"/>
      <c r="D4022" s="78"/>
      <c r="E4022" s="77"/>
      <c r="F4022" s="77"/>
      <c r="G4022" s="77"/>
      <c r="H4022" s="77"/>
      <c r="I4022" s="77"/>
      <c r="J4022" s="77"/>
      <c r="K4022" s="79"/>
      <c r="L4022" s="49">
        <f t="shared" si="224"/>
        <v>0</v>
      </c>
      <c r="M4022" s="50">
        <f t="shared" si="225"/>
        <v>0</v>
      </c>
    </row>
    <row r="4023" spans="1:13" x14ac:dyDescent="0.2">
      <c r="A4023" s="18"/>
      <c r="B4023" s="77"/>
      <c r="C4023" s="77"/>
      <c r="D4023" s="78"/>
      <c r="E4023" s="77"/>
      <c r="F4023" s="77"/>
      <c r="G4023" s="77"/>
      <c r="H4023" s="77"/>
      <c r="I4023" s="77"/>
      <c r="J4023" s="77"/>
      <c r="K4023" s="79"/>
      <c r="L4023" s="49">
        <f t="shared" si="224"/>
        <v>0</v>
      </c>
      <c r="M4023" s="50">
        <f t="shared" si="225"/>
        <v>0</v>
      </c>
    </row>
    <row r="4024" spans="1:13" x14ac:dyDescent="0.2">
      <c r="A4024" s="18"/>
      <c r="B4024" s="77"/>
      <c r="C4024" s="77"/>
      <c r="D4024" s="78"/>
      <c r="E4024" s="77"/>
      <c r="F4024" s="77"/>
      <c r="G4024" s="77"/>
      <c r="H4024" s="77"/>
      <c r="I4024" s="77"/>
      <c r="J4024" s="77"/>
      <c r="K4024" s="79"/>
      <c r="L4024" s="49">
        <f t="shared" si="224"/>
        <v>0</v>
      </c>
      <c r="M4024" s="50">
        <f t="shared" si="225"/>
        <v>0</v>
      </c>
    </row>
    <row r="4025" spans="1:13" x14ac:dyDescent="0.2">
      <c r="A4025" s="18"/>
      <c r="B4025" s="77"/>
      <c r="C4025" s="77"/>
      <c r="D4025" s="78"/>
      <c r="E4025" s="77"/>
      <c r="F4025" s="77"/>
      <c r="G4025" s="77"/>
      <c r="H4025" s="77"/>
      <c r="I4025" s="77"/>
      <c r="J4025" s="77"/>
      <c r="K4025" s="79"/>
      <c r="L4025" s="49">
        <f t="shared" si="224"/>
        <v>0</v>
      </c>
      <c r="M4025" s="50">
        <f t="shared" si="225"/>
        <v>0</v>
      </c>
    </row>
    <row r="4026" spans="1:13" x14ac:dyDescent="0.2">
      <c r="A4026" s="18"/>
      <c r="B4026" s="77"/>
      <c r="C4026" s="77"/>
      <c r="D4026" s="78"/>
      <c r="E4026" s="77"/>
      <c r="F4026" s="77"/>
      <c r="G4026" s="77"/>
      <c r="H4026" s="77"/>
      <c r="I4026" s="77"/>
      <c r="J4026" s="77"/>
      <c r="K4026" s="79"/>
      <c r="L4026" s="49">
        <f t="shared" si="224"/>
        <v>0</v>
      </c>
      <c r="M4026" s="50">
        <f t="shared" si="225"/>
        <v>0</v>
      </c>
    </row>
    <row r="4027" spans="1:13" x14ac:dyDescent="0.2">
      <c r="A4027" s="18"/>
      <c r="B4027" s="77"/>
      <c r="C4027" s="77"/>
      <c r="D4027" s="78"/>
      <c r="E4027" s="77"/>
      <c r="F4027" s="77"/>
      <c r="G4027" s="77"/>
      <c r="H4027" s="77"/>
      <c r="I4027" s="77"/>
      <c r="J4027" s="77"/>
      <c r="K4027" s="79"/>
      <c r="L4027" s="49">
        <f t="shared" si="224"/>
        <v>0</v>
      </c>
      <c r="M4027" s="50">
        <f t="shared" si="225"/>
        <v>0</v>
      </c>
    </row>
    <row r="4028" spans="1:13" x14ac:dyDescent="0.2">
      <c r="A4028" s="18"/>
      <c r="B4028" s="77"/>
      <c r="C4028" s="77"/>
      <c r="D4028" s="78"/>
      <c r="E4028" s="77"/>
      <c r="F4028" s="77"/>
      <c r="G4028" s="77"/>
      <c r="H4028" s="77"/>
      <c r="I4028" s="77"/>
      <c r="J4028" s="77"/>
      <c r="K4028" s="79"/>
      <c r="L4028" s="49">
        <f t="shared" si="224"/>
        <v>0</v>
      </c>
      <c r="M4028" s="50">
        <f t="shared" si="225"/>
        <v>0</v>
      </c>
    </row>
    <row r="4029" spans="1:13" x14ac:dyDescent="0.2">
      <c r="A4029" s="18"/>
      <c r="B4029" s="77"/>
      <c r="C4029" s="77"/>
      <c r="D4029" s="78"/>
      <c r="E4029" s="77"/>
      <c r="F4029" s="77"/>
      <c r="G4029" s="77"/>
      <c r="H4029" s="77"/>
      <c r="I4029" s="77"/>
      <c r="J4029" s="77"/>
      <c r="K4029" s="79"/>
      <c r="L4029" s="49">
        <f t="shared" si="224"/>
        <v>0</v>
      </c>
      <c r="M4029" s="50">
        <f t="shared" si="225"/>
        <v>0</v>
      </c>
    </row>
    <row r="4030" spans="1:13" x14ac:dyDescent="0.2">
      <c r="A4030" s="18"/>
      <c r="B4030" s="77"/>
      <c r="C4030" s="77"/>
      <c r="D4030" s="78"/>
      <c r="E4030" s="77"/>
      <c r="F4030" s="77"/>
      <c r="G4030" s="77"/>
      <c r="H4030" s="77"/>
      <c r="I4030" s="77"/>
      <c r="J4030" s="77"/>
      <c r="K4030" s="79"/>
      <c r="L4030" s="49">
        <f t="shared" si="224"/>
        <v>0</v>
      </c>
      <c r="M4030" s="50">
        <f t="shared" si="225"/>
        <v>0</v>
      </c>
    </row>
    <row r="4031" spans="1:13" x14ac:dyDescent="0.2">
      <c r="A4031" s="18"/>
      <c r="B4031" s="77"/>
      <c r="C4031" s="77"/>
      <c r="D4031" s="78"/>
      <c r="E4031" s="77"/>
      <c r="F4031" s="77"/>
      <c r="G4031" s="77"/>
      <c r="H4031" s="77"/>
      <c r="I4031" s="77"/>
      <c r="J4031" s="77"/>
      <c r="K4031" s="79"/>
      <c r="L4031" s="49">
        <f t="shared" si="224"/>
        <v>0</v>
      </c>
      <c r="M4031" s="50">
        <f t="shared" si="225"/>
        <v>0</v>
      </c>
    </row>
    <row r="4032" spans="1:13" x14ac:dyDescent="0.2">
      <c r="A4032" s="18"/>
      <c r="B4032" s="77"/>
      <c r="C4032" s="77"/>
      <c r="D4032" s="78"/>
      <c r="E4032" s="77"/>
      <c r="F4032" s="77"/>
      <c r="G4032" s="77"/>
      <c r="H4032" s="77"/>
      <c r="I4032" s="77"/>
      <c r="J4032" s="77"/>
      <c r="K4032" s="79"/>
      <c r="L4032" s="49">
        <f t="shared" si="224"/>
        <v>0</v>
      </c>
      <c r="M4032" s="50">
        <f t="shared" si="225"/>
        <v>0</v>
      </c>
    </row>
    <row r="4033" spans="1:13" x14ac:dyDescent="0.2">
      <c r="A4033" s="18"/>
      <c r="B4033" s="77"/>
      <c r="C4033" s="77"/>
      <c r="D4033" s="78"/>
      <c r="E4033" s="77"/>
      <c r="F4033" s="77"/>
      <c r="G4033" s="77"/>
      <c r="H4033" s="77"/>
      <c r="I4033" s="77"/>
      <c r="J4033" s="77"/>
      <c r="K4033" s="79"/>
      <c r="L4033" s="49">
        <f t="shared" si="224"/>
        <v>0</v>
      </c>
      <c r="M4033" s="50">
        <f t="shared" si="225"/>
        <v>0</v>
      </c>
    </row>
    <row r="4034" spans="1:13" x14ac:dyDescent="0.2">
      <c r="A4034" s="18"/>
      <c r="B4034" s="77"/>
      <c r="C4034" s="77"/>
      <c r="D4034" s="78"/>
      <c r="E4034" s="77"/>
      <c r="F4034" s="77"/>
      <c r="G4034" s="77"/>
      <c r="H4034" s="77"/>
      <c r="I4034" s="77"/>
      <c r="J4034" s="77"/>
      <c r="K4034" s="79"/>
      <c r="L4034" s="49">
        <f t="shared" si="224"/>
        <v>0</v>
      </c>
      <c r="M4034" s="50">
        <f t="shared" si="225"/>
        <v>0</v>
      </c>
    </row>
    <row r="4035" spans="1:13" x14ac:dyDescent="0.2">
      <c r="A4035" s="18"/>
      <c r="B4035" s="77"/>
      <c r="C4035" s="77"/>
      <c r="D4035" s="78"/>
      <c r="E4035" s="77"/>
      <c r="F4035" s="77"/>
      <c r="G4035" s="77"/>
      <c r="H4035" s="77"/>
      <c r="I4035" s="77"/>
      <c r="J4035" s="77"/>
      <c r="K4035" s="79"/>
      <c r="L4035" s="49">
        <f t="shared" si="224"/>
        <v>0</v>
      </c>
      <c r="M4035" s="50">
        <f t="shared" si="225"/>
        <v>0</v>
      </c>
    </row>
    <row r="4036" spans="1:13" x14ac:dyDescent="0.2">
      <c r="A4036" s="18"/>
      <c r="B4036" s="77"/>
      <c r="C4036" s="77"/>
      <c r="D4036" s="78"/>
      <c r="E4036" s="77"/>
      <c r="F4036" s="77"/>
      <c r="G4036" s="77"/>
      <c r="H4036" s="77"/>
      <c r="I4036" s="77"/>
      <c r="J4036" s="77"/>
      <c r="K4036" s="79"/>
      <c r="L4036" s="49">
        <f t="shared" si="224"/>
        <v>0</v>
      </c>
      <c r="M4036" s="50">
        <f t="shared" si="225"/>
        <v>0</v>
      </c>
    </row>
    <row r="4037" spans="1:13" x14ac:dyDescent="0.2">
      <c r="A4037" s="18"/>
      <c r="B4037" s="77"/>
      <c r="C4037" s="77"/>
      <c r="D4037" s="78"/>
      <c r="E4037" s="77"/>
      <c r="F4037" s="77"/>
      <c r="G4037" s="77"/>
      <c r="H4037" s="77"/>
      <c r="I4037" s="77"/>
      <c r="J4037" s="77"/>
      <c r="K4037" s="79"/>
      <c r="L4037" s="49">
        <f t="shared" si="224"/>
        <v>0</v>
      </c>
      <c r="M4037" s="50">
        <f t="shared" si="225"/>
        <v>0</v>
      </c>
    </row>
    <row r="4038" spans="1:13" x14ac:dyDescent="0.2">
      <c r="A4038" s="18"/>
      <c r="B4038" s="77"/>
      <c r="C4038" s="77"/>
      <c r="D4038" s="78"/>
      <c r="E4038" s="77"/>
      <c r="F4038" s="77"/>
      <c r="G4038" s="77"/>
      <c r="H4038" s="77"/>
      <c r="I4038" s="77"/>
      <c r="J4038" s="77"/>
      <c r="K4038" s="79"/>
      <c r="L4038" s="49">
        <f t="shared" si="224"/>
        <v>0</v>
      </c>
      <c r="M4038" s="50">
        <f t="shared" si="225"/>
        <v>0</v>
      </c>
    </row>
    <row r="4039" spans="1:13" x14ac:dyDescent="0.2">
      <c r="A4039" s="18"/>
      <c r="B4039" s="77"/>
      <c r="C4039" s="77"/>
      <c r="D4039" s="78"/>
      <c r="E4039" s="77"/>
      <c r="F4039" s="77"/>
      <c r="G4039" s="77"/>
      <c r="H4039" s="77"/>
      <c r="I4039" s="77"/>
      <c r="J4039" s="77"/>
      <c r="K4039" s="79"/>
      <c r="L4039" s="49">
        <f t="shared" si="224"/>
        <v>0</v>
      </c>
      <c r="M4039" s="50">
        <f t="shared" si="225"/>
        <v>0</v>
      </c>
    </row>
    <row r="4040" spans="1:13" x14ac:dyDescent="0.2">
      <c r="A4040" s="18"/>
      <c r="B4040" s="77"/>
      <c r="C4040" s="77"/>
      <c r="D4040" s="78"/>
      <c r="E4040" s="77"/>
      <c r="F4040" s="77"/>
      <c r="G4040" s="77"/>
      <c r="H4040" s="77"/>
      <c r="I4040" s="77"/>
      <c r="J4040" s="77"/>
      <c r="K4040" s="79"/>
      <c r="L4040" s="49">
        <f t="shared" si="224"/>
        <v>0</v>
      </c>
      <c r="M4040" s="50">
        <f t="shared" si="225"/>
        <v>0</v>
      </c>
    </row>
    <row r="4041" spans="1:13" x14ac:dyDescent="0.2">
      <c r="A4041" s="18"/>
      <c r="B4041" s="77"/>
      <c r="C4041" s="77"/>
      <c r="D4041" s="78"/>
      <c r="E4041" s="77"/>
      <c r="F4041" s="77"/>
      <c r="G4041" s="77"/>
      <c r="H4041" s="77"/>
      <c r="I4041" s="77"/>
      <c r="J4041" s="77"/>
      <c r="K4041" s="79"/>
      <c r="L4041" s="49">
        <f t="shared" si="224"/>
        <v>0</v>
      </c>
      <c r="M4041" s="50">
        <f t="shared" si="225"/>
        <v>0</v>
      </c>
    </row>
    <row r="4042" spans="1:13" x14ac:dyDescent="0.2">
      <c r="A4042" s="18"/>
      <c r="B4042" s="77"/>
      <c r="C4042" s="77"/>
      <c r="D4042" s="78"/>
      <c r="E4042" s="77"/>
      <c r="F4042" s="77"/>
      <c r="G4042" s="77"/>
      <c r="H4042" s="77"/>
      <c r="I4042" s="77"/>
      <c r="J4042" s="77"/>
      <c r="K4042" s="79"/>
      <c r="L4042" s="49">
        <f t="shared" si="224"/>
        <v>0</v>
      </c>
      <c r="M4042" s="50">
        <f t="shared" si="225"/>
        <v>0</v>
      </c>
    </row>
    <row r="4043" spans="1:13" x14ac:dyDescent="0.2">
      <c r="A4043" s="18"/>
      <c r="B4043" s="77"/>
      <c r="C4043" s="77"/>
      <c r="D4043" s="78"/>
      <c r="E4043" s="77"/>
      <c r="F4043" s="77"/>
      <c r="G4043" s="77"/>
      <c r="H4043" s="77"/>
      <c r="I4043" s="77"/>
      <c r="J4043" s="77"/>
      <c r="K4043" s="79"/>
      <c r="L4043" s="49">
        <f t="shared" si="224"/>
        <v>0</v>
      </c>
      <c r="M4043" s="50">
        <f t="shared" si="225"/>
        <v>0</v>
      </c>
    </row>
    <row r="4044" spans="1:13" x14ac:dyDescent="0.2">
      <c r="A4044" s="18"/>
      <c r="B4044" s="77"/>
      <c r="C4044" s="77"/>
      <c r="D4044" s="78"/>
      <c r="E4044" s="77"/>
      <c r="F4044" s="77"/>
      <c r="G4044" s="77"/>
      <c r="H4044" s="77"/>
      <c r="I4044" s="77"/>
      <c r="J4044" s="77"/>
      <c r="K4044" s="79"/>
      <c r="L4044" s="49">
        <f t="shared" si="224"/>
        <v>0</v>
      </c>
      <c r="M4044" s="50">
        <f t="shared" si="225"/>
        <v>0</v>
      </c>
    </row>
    <row r="4045" spans="1:13" x14ac:dyDescent="0.2">
      <c r="A4045" s="18"/>
      <c r="B4045" s="77"/>
      <c r="C4045" s="77"/>
      <c r="D4045" s="78"/>
      <c r="E4045" s="77"/>
      <c r="F4045" s="77"/>
      <c r="G4045" s="77"/>
      <c r="H4045" s="77"/>
      <c r="I4045" s="77"/>
      <c r="J4045" s="77"/>
      <c r="K4045" s="79"/>
      <c r="L4045" s="49">
        <f t="shared" si="224"/>
        <v>0</v>
      </c>
      <c r="M4045" s="50">
        <f t="shared" si="225"/>
        <v>0</v>
      </c>
    </row>
    <row r="4046" spans="1:13" x14ac:dyDescent="0.2">
      <c r="A4046" s="18"/>
      <c r="B4046" s="77"/>
      <c r="C4046" s="77"/>
      <c r="D4046" s="78"/>
      <c r="E4046" s="77"/>
      <c r="F4046" s="77"/>
      <c r="G4046" s="77"/>
      <c r="H4046" s="77"/>
      <c r="I4046" s="77"/>
      <c r="J4046" s="77"/>
      <c r="K4046" s="79"/>
      <c r="L4046" s="49">
        <f t="shared" si="224"/>
        <v>0</v>
      </c>
      <c r="M4046" s="50">
        <f t="shared" si="225"/>
        <v>0</v>
      </c>
    </row>
    <row r="4047" spans="1:13" x14ac:dyDescent="0.2">
      <c r="A4047" s="18"/>
      <c r="B4047" s="77"/>
      <c r="C4047" s="77"/>
      <c r="D4047" s="78"/>
      <c r="E4047" s="77"/>
      <c r="F4047" s="77"/>
      <c r="G4047" s="77"/>
      <c r="H4047" s="77"/>
      <c r="I4047" s="77"/>
      <c r="J4047" s="77"/>
      <c r="K4047" s="79"/>
      <c r="L4047" s="49">
        <f t="shared" si="224"/>
        <v>0</v>
      </c>
      <c r="M4047" s="50">
        <f t="shared" si="225"/>
        <v>0</v>
      </c>
    </row>
    <row r="4048" spans="1:13" x14ac:dyDescent="0.2">
      <c r="A4048" s="18"/>
      <c r="B4048" s="77"/>
      <c r="C4048" s="77"/>
      <c r="D4048" s="78"/>
      <c r="E4048" s="77"/>
      <c r="F4048" s="77"/>
      <c r="G4048" s="77"/>
      <c r="H4048" s="77"/>
      <c r="I4048" s="77"/>
      <c r="J4048" s="77"/>
      <c r="K4048" s="79"/>
      <c r="L4048" s="49">
        <f t="shared" si="224"/>
        <v>0</v>
      </c>
      <c r="M4048" s="50">
        <f t="shared" si="225"/>
        <v>0</v>
      </c>
    </row>
    <row r="4049" spans="1:13" x14ac:dyDescent="0.2">
      <c r="A4049" s="18"/>
      <c r="B4049" s="77"/>
      <c r="C4049" s="77"/>
      <c r="D4049" s="78"/>
      <c r="E4049" s="77"/>
      <c r="F4049" s="77"/>
      <c r="G4049" s="77"/>
      <c r="H4049" s="77"/>
      <c r="I4049" s="77"/>
      <c r="J4049" s="77"/>
      <c r="K4049" s="79"/>
      <c r="L4049" s="49">
        <f t="shared" si="224"/>
        <v>0</v>
      </c>
      <c r="M4049" s="50">
        <f t="shared" si="225"/>
        <v>0</v>
      </c>
    </row>
    <row r="4050" spans="1:13" x14ac:dyDescent="0.2">
      <c r="A4050" s="18"/>
      <c r="B4050" s="77"/>
      <c r="C4050" s="77"/>
      <c r="D4050" s="78"/>
      <c r="E4050" s="77"/>
      <c r="F4050" s="77"/>
      <c r="G4050" s="77"/>
      <c r="H4050" s="77"/>
      <c r="I4050" s="77"/>
      <c r="J4050" s="77"/>
      <c r="K4050" s="79"/>
      <c r="L4050" s="49">
        <f t="shared" si="224"/>
        <v>0</v>
      </c>
      <c r="M4050" s="50">
        <f t="shared" si="225"/>
        <v>0</v>
      </c>
    </row>
    <row r="4051" spans="1:13" x14ac:dyDescent="0.2">
      <c r="A4051" s="18"/>
      <c r="B4051" s="77"/>
      <c r="C4051" s="77"/>
      <c r="D4051" s="78"/>
      <c r="E4051" s="77"/>
      <c r="F4051" s="77"/>
      <c r="G4051" s="77"/>
      <c r="H4051" s="77"/>
      <c r="I4051" s="77"/>
      <c r="J4051" s="77"/>
      <c r="K4051" s="79"/>
      <c r="L4051" s="49">
        <f t="shared" si="224"/>
        <v>0</v>
      </c>
      <c r="M4051" s="50">
        <f t="shared" si="225"/>
        <v>0</v>
      </c>
    </row>
    <row r="4052" spans="1:13" x14ac:dyDescent="0.2">
      <c r="A4052" s="18"/>
      <c r="B4052" s="77"/>
      <c r="C4052" s="77"/>
      <c r="D4052" s="78"/>
      <c r="E4052" s="77"/>
      <c r="F4052" s="77"/>
      <c r="G4052" s="77"/>
      <c r="H4052" s="77"/>
      <c r="I4052" s="77"/>
      <c r="J4052" s="77"/>
      <c r="K4052" s="79"/>
      <c r="L4052" s="49">
        <f t="shared" si="224"/>
        <v>0</v>
      </c>
      <c r="M4052" s="50">
        <f t="shared" si="225"/>
        <v>0</v>
      </c>
    </row>
    <row r="4053" spans="1:13" x14ac:dyDescent="0.2">
      <c r="A4053" s="18"/>
      <c r="B4053" s="77"/>
      <c r="C4053" s="77"/>
      <c r="D4053" s="78"/>
      <c r="E4053" s="77"/>
      <c r="F4053" s="77"/>
      <c r="G4053" s="77"/>
      <c r="H4053" s="77"/>
      <c r="I4053" s="77"/>
      <c r="J4053" s="77"/>
      <c r="K4053" s="79"/>
      <c r="L4053" s="49">
        <f t="shared" si="224"/>
        <v>0</v>
      </c>
      <c r="M4053" s="50">
        <f t="shared" si="225"/>
        <v>0</v>
      </c>
    </row>
    <row r="4054" spans="1:13" x14ac:dyDescent="0.2">
      <c r="A4054" s="18"/>
      <c r="B4054" s="77"/>
      <c r="C4054" s="77"/>
      <c r="D4054" s="78"/>
      <c r="E4054" s="77"/>
      <c r="F4054" s="77"/>
      <c r="G4054" s="77"/>
      <c r="H4054" s="77"/>
      <c r="I4054" s="77"/>
      <c r="J4054" s="77"/>
      <c r="K4054" s="79"/>
      <c r="L4054" s="49">
        <f t="shared" si="224"/>
        <v>0</v>
      </c>
      <c r="M4054" s="50">
        <f t="shared" si="225"/>
        <v>0</v>
      </c>
    </row>
    <row r="4055" spans="1:13" x14ac:dyDescent="0.2">
      <c r="A4055" s="18"/>
      <c r="B4055" s="77"/>
      <c r="C4055" s="77"/>
      <c r="D4055" s="78"/>
      <c r="E4055" s="77"/>
      <c r="F4055" s="77"/>
      <c r="G4055" s="77"/>
      <c r="H4055" s="77"/>
      <c r="I4055" s="77"/>
      <c r="J4055" s="77"/>
      <c r="K4055" s="79"/>
      <c r="L4055" s="49">
        <f t="shared" si="224"/>
        <v>0</v>
      </c>
      <c r="M4055" s="50">
        <f t="shared" si="225"/>
        <v>0</v>
      </c>
    </row>
    <row r="4056" spans="1:13" x14ac:dyDescent="0.2">
      <c r="A4056" s="18"/>
      <c r="B4056" s="77"/>
      <c r="C4056" s="77"/>
      <c r="D4056" s="78"/>
      <c r="E4056" s="77"/>
      <c r="F4056" s="77"/>
      <c r="G4056" s="77"/>
      <c r="H4056" s="77"/>
      <c r="I4056" s="77"/>
      <c r="J4056" s="77"/>
      <c r="K4056" s="79"/>
      <c r="L4056" s="49">
        <f t="shared" si="224"/>
        <v>0</v>
      </c>
      <c r="M4056" s="50">
        <f t="shared" si="225"/>
        <v>0</v>
      </c>
    </row>
    <row r="4057" spans="1:13" x14ac:dyDescent="0.2">
      <c r="A4057" s="18"/>
      <c r="B4057" s="77"/>
      <c r="C4057" s="77"/>
      <c r="D4057" s="78"/>
      <c r="E4057" s="77"/>
      <c r="F4057" s="77"/>
      <c r="G4057" s="77"/>
      <c r="H4057" s="77"/>
      <c r="I4057" s="77"/>
      <c r="J4057" s="77"/>
      <c r="K4057" s="79"/>
      <c r="L4057" s="49">
        <f t="shared" si="224"/>
        <v>0</v>
      </c>
      <c r="M4057" s="50">
        <f t="shared" si="225"/>
        <v>0</v>
      </c>
    </row>
    <row r="4058" spans="1:13" x14ac:dyDescent="0.2">
      <c r="A4058" s="18"/>
      <c r="B4058" s="77"/>
      <c r="C4058" s="77"/>
      <c r="D4058" s="78"/>
      <c r="E4058" s="77"/>
      <c r="F4058" s="77"/>
      <c r="G4058" s="77"/>
      <c r="H4058" s="77"/>
      <c r="I4058" s="77"/>
      <c r="J4058" s="77"/>
      <c r="K4058" s="79"/>
      <c r="L4058" s="49">
        <f t="shared" si="224"/>
        <v>0</v>
      </c>
      <c r="M4058" s="50">
        <f t="shared" si="225"/>
        <v>0</v>
      </c>
    </row>
    <row r="4059" spans="1:13" x14ac:dyDescent="0.2">
      <c r="A4059" s="18"/>
      <c r="B4059" s="77"/>
      <c r="C4059" s="77"/>
      <c r="D4059" s="78"/>
      <c r="E4059" s="77"/>
      <c r="F4059" s="77"/>
      <c r="G4059" s="77"/>
      <c r="H4059" s="77"/>
      <c r="I4059" s="77"/>
      <c r="J4059" s="77"/>
      <c r="K4059" s="79"/>
      <c r="L4059" s="49">
        <f t="shared" si="224"/>
        <v>0</v>
      </c>
      <c r="M4059" s="50">
        <f t="shared" si="225"/>
        <v>0</v>
      </c>
    </row>
    <row r="4060" spans="1:13" x14ac:dyDescent="0.2">
      <c r="A4060" s="18"/>
      <c r="B4060" s="77"/>
      <c r="C4060" s="77"/>
      <c r="D4060" s="78"/>
      <c r="E4060" s="77"/>
      <c r="F4060" s="77"/>
      <c r="G4060" s="77"/>
      <c r="H4060" s="77"/>
      <c r="I4060" s="77"/>
      <c r="J4060" s="77"/>
      <c r="K4060" s="79"/>
      <c r="L4060" s="49">
        <f t="shared" si="224"/>
        <v>0</v>
      </c>
      <c r="M4060" s="50">
        <f t="shared" si="225"/>
        <v>0</v>
      </c>
    </row>
    <row r="4061" spans="1:13" x14ac:dyDescent="0.2">
      <c r="A4061" s="18"/>
      <c r="B4061" s="77"/>
      <c r="C4061" s="77"/>
      <c r="D4061" s="78"/>
      <c r="E4061" s="77"/>
      <c r="F4061" s="77"/>
      <c r="G4061" s="77"/>
      <c r="H4061" s="77"/>
      <c r="I4061" s="77"/>
      <c r="J4061" s="77"/>
      <c r="K4061" s="79"/>
      <c r="L4061" s="49">
        <f t="shared" si="224"/>
        <v>0</v>
      </c>
      <c r="M4061" s="50">
        <f t="shared" si="225"/>
        <v>0</v>
      </c>
    </row>
    <row r="4062" spans="1:13" x14ac:dyDescent="0.2">
      <c r="A4062" s="18"/>
      <c r="B4062" s="77"/>
      <c r="C4062" s="77"/>
      <c r="D4062" s="78"/>
      <c r="E4062" s="77"/>
      <c r="F4062" s="77"/>
      <c r="G4062" s="77"/>
      <c r="H4062" s="77"/>
      <c r="I4062" s="77"/>
      <c r="J4062" s="77"/>
      <c r="K4062" s="79"/>
      <c r="L4062" s="49">
        <f t="shared" si="224"/>
        <v>0</v>
      </c>
      <c r="M4062" s="50">
        <f t="shared" si="225"/>
        <v>0</v>
      </c>
    </row>
    <row r="4063" spans="1:13" x14ac:dyDescent="0.2">
      <c r="A4063" s="18"/>
      <c r="B4063" s="77"/>
      <c r="C4063" s="77"/>
      <c r="D4063" s="78"/>
      <c r="E4063" s="77"/>
      <c r="F4063" s="77"/>
      <c r="G4063" s="77"/>
      <c r="H4063" s="77"/>
      <c r="I4063" s="77"/>
      <c r="J4063" s="77"/>
      <c r="K4063" s="79"/>
      <c r="L4063" s="49">
        <f t="shared" si="224"/>
        <v>0</v>
      </c>
      <c r="M4063" s="50">
        <f t="shared" si="225"/>
        <v>0</v>
      </c>
    </row>
    <row r="4064" spans="1:13" x14ac:dyDescent="0.2">
      <c r="A4064" s="18"/>
      <c r="B4064" s="77"/>
      <c r="C4064" s="77"/>
      <c r="D4064" s="78"/>
      <c r="E4064" s="77"/>
      <c r="F4064" s="77"/>
      <c r="G4064" s="77"/>
      <c r="H4064" s="77"/>
      <c r="I4064" s="77"/>
      <c r="J4064" s="77"/>
      <c r="K4064" s="79"/>
      <c r="L4064" s="49">
        <f t="shared" si="224"/>
        <v>0</v>
      </c>
      <c r="M4064" s="50">
        <f t="shared" si="225"/>
        <v>0</v>
      </c>
    </row>
    <row r="4065" spans="1:13" x14ac:dyDescent="0.2">
      <c r="A4065" s="18"/>
      <c r="B4065" s="77"/>
      <c r="C4065" s="77"/>
      <c r="D4065" s="78"/>
      <c r="E4065" s="77"/>
      <c r="F4065" s="77"/>
      <c r="G4065" s="77"/>
      <c r="H4065" s="77"/>
      <c r="I4065" s="77"/>
      <c r="J4065" s="77"/>
      <c r="K4065" s="79"/>
      <c r="L4065" s="49">
        <f t="shared" si="224"/>
        <v>0</v>
      </c>
      <c r="M4065" s="50">
        <f t="shared" si="225"/>
        <v>0</v>
      </c>
    </row>
    <row r="4066" spans="1:13" x14ac:dyDescent="0.2">
      <c r="A4066" s="18"/>
      <c r="B4066" s="77"/>
      <c r="C4066" s="77"/>
      <c r="D4066" s="78"/>
      <c r="E4066" s="77"/>
      <c r="F4066" s="77"/>
      <c r="G4066" s="77"/>
      <c r="H4066" s="77"/>
      <c r="I4066" s="77"/>
      <c r="J4066" s="77"/>
      <c r="K4066" s="79"/>
      <c r="L4066" s="49">
        <f t="shared" si="224"/>
        <v>0</v>
      </c>
      <c r="M4066" s="50">
        <f t="shared" si="225"/>
        <v>0</v>
      </c>
    </row>
    <row r="4067" spans="1:13" x14ac:dyDescent="0.2">
      <c r="A4067" s="18"/>
      <c r="B4067" s="77"/>
      <c r="C4067" s="77"/>
      <c r="D4067" s="78"/>
      <c r="E4067" s="77"/>
      <c r="F4067" s="77"/>
      <c r="G4067" s="77"/>
      <c r="H4067" s="77"/>
      <c r="I4067" s="77"/>
      <c r="J4067" s="77"/>
      <c r="K4067" s="79"/>
      <c r="L4067" s="49">
        <f t="shared" si="224"/>
        <v>0</v>
      </c>
      <c r="M4067" s="50">
        <f t="shared" si="225"/>
        <v>0</v>
      </c>
    </row>
    <row r="4068" spans="1:13" x14ac:dyDescent="0.2">
      <c r="A4068" s="18"/>
      <c r="B4068" s="77"/>
      <c r="C4068" s="77"/>
      <c r="D4068" s="78"/>
      <c r="E4068" s="77"/>
      <c r="F4068" s="77"/>
      <c r="G4068" s="77"/>
      <c r="H4068" s="77"/>
      <c r="I4068" s="77"/>
      <c r="J4068" s="77"/>
      <c r="K4068" s="79"/>
      <c r="L4068" s="49">
        <f t="shared" si="224"/>
        <v>0</v>
      </c>
      <c r="M4068" s="50">
        <f t="shared" si="225"/>
        <v>0</v>
      </c>
    </row>
    <row r="4069" spans="1:13" x14ac:dyDescent="0.2">
      <c r="A4069" s="18"/>
      <c r="B4069" s="77"/>
      <c r="C4069" s="77"/>
      <c r="D4069" s="78"/>
      <c r="E4069" s="77"/>
      <c r="F4069" s="77"/>
      <c r="G4069" s="77"/>
      <c r="H4069" s="77"/>
      <c r="I4069" s="77"/>
      <c r="J4069" s="77"/>
      <c r="K4069" s="79"/>
      <c r="L4069" s="49">
        <f t="shared" si="224"/>
        <v>0</v>
      </c>
      <c r="M4069" s="50">
        <f t="shared" si="225"/>
        <v>0</v>
      </c>
    </row>
    <row r="4070" spans="1:13" x14ac:dyDescent="0.2">
      <c r="A4070" s="18"/>
      <c r="B4070" s="77"/>
      <c r="C4070" s="77"/>
      <c r="D4070" s="78"/>
      <c r="E4070" s="77"/>
      <c r="F4070" s="77"/>
      <c r="G4070" s="77"/>
      <c r="H4070" s="77"/>
      <c r="I4070" s="77"/>
      <c r="J4070" s="77"/>
      <c r="K4070" s="79"/>
      <c r="L4070" s="49">
        <f t="shared" si="224"/>
        <v>0</v>
      </c>
      <c r="M4070" s="50">
        <f t="shared" si="225"/>
        <v>0</v>
      </c>
    </row>
    <row r="4071" spans="1:13" x14ac:dyDescent="0.2">
      <c r="A4071" s="18"/>
      <c r="B4071" s="77"/>
      <c r="C4071" s="77"/>
      <c r="D4071" s="78"/>
      <c r="E4071" s="77"/>
      <c r="F4071" s="77"/>
      <c r="G4071" s="77"/>
      <c r="H4071" s="77"/>
      <c r="I4071" s="77"/>
      <c r="J4071" s="77"/>
      <c r="K4071" s="79"/>
      <c r="L4071" s="49">
        <f t="shared" si="224"/>
        <v>0</v>
      </c>
      <c r="M4071" s="50">
        <f t="shared" si="225"/>
        <v>0</v>
      </c>
    </row>
    <row r="4072" spans="1:13" x14ac:dyDescent="0.2">
      <c r="A4072" s="18"/>
      <c r="B4072" s="77"/>
      <c r="C4072" s="77"/>
      <c r="D4072" s="78"/>
      <c r="E4072" s="77"/>
      <c r="F4072" s="77"/>
      <c r="G4072" s="77"/>
      <c r="H4072" s="77"/>
      <c r="I4072" s="77"/>
      <c r="J4072" s="77"/>
      <c r="K4072" s="79"/>
      <c r="L4072" s="49">
        <f t="shared" ref="L4072:L4080" si="226">+K4072*18%</f>
        <v>0</v>
      </c>
      <c r="M4072" s="50">
        <f t="shared" ref="M4072:M4080" si="227">+K4072+L4072</f>
        <v>0</v>
      </c>
    </row>
    <row r="4073" spans="1:13" x14ac:dyDescent="0.2">
      <c r="A4073" s="18"/>
      <c r="B4073" s="77"/>
      <c r="C4073" s="77"/>
      <c r="D4073" s="78"/>
      <c r="E4073" s="77"/>
      <c r="F4073" s="77"/>
      <c r="G4073" s="77"/>
      <c r="H4073" s="77"/>
      <c r="I4073" s="77"/>
      <c r="J4073" s="77"/>
      <c r="K4073" s="79"/>
      <c r="L4073" s="49">
        <f t="shared" si="226"/>
        <v>0</v>
      </c>
      <c r="M4073" s="50">
        <f t="shared" si="227"/>
        <v>0</v>
      </c>
    </row>
    <row r="4074" spans="1:13" x14ac:dyDescent="0.2">
      <c r="A4074" s="18"/>
      <c r="B4074" s="77"/>
      <c r="C4074" s="77"/>
      <c r="D4074" s="78"/>
      <c r="E4074" s="77"/>
      <c r="F4074" s="77"/>
      <c r="G4074" s="77"/>
      <c r="H4074" s="77"/>
      <c r="I4074" s="77"/>
      <c r="J4074" s="77"/>
      <c r="K4074" s="79"/>
      <c r="L4074" s="49">
        <f t="shared" si="226"/>
        <v>0</v>
      </c>
      <c r="M4074" s="50">
        <f t="shared" si="227"/>
        <v>0</v>
      </c>
    </row>
    <row r="4075" spans="1:13" x14ac:dyDescent="0.2">
      <c r="A4075" s="18"/>
      <c r="B4075" s="77"/>
      <c r="C4075" s="77"/>
      <c r="D4075" s="78"/>
      <c r="E4075" s="77"/>
      <c r="F4075" s="77"/>
      <c r="G4075" s="77"/>
      <c r="H4075" s="77"/>
      <c r="I4075" s="77"/>
      <c r="J4075" s="77"/>
      <c r="K4075" s="79"/>
      <c r="L4075" s="49">
        <f t="shared" si="226"/>
        <v>0</v>
      </c>
      <c r="M4075" s="50">
        <f t="shared" si="227"/>
        <v>0</v>
      </c>
    </row>
    <row r="4076" spans="1:13" x14ac:dyDescent="0.2">
      <c r="A4076" s="18"/>
      <c r="B4076" s="77"/>
      <c r="C4076" s="77"/>
      <c r="D4076" s="78"/>
      <c r="E4076" s="77"/>
      <c r="F4076" s="77"/>
      <c r="G4076" s="77"/>
      <c r="H4076" s="77"/>
      <c r="I4076" s="77"/>
      <c r="J4076" s="77"/>
      <c r="K4076" s="79"/>
      <c r="L4076" s="49">
        <f t="shared" si="226"/>
        <v>0</v>
      </c>
      <c r="M4076" s="50">
        <f t="shared" si="227"/>
        <v>0</v>
      </c>
    </row>
    <row r="4077" spans="1:13" x14ac:dyDescent="0.2">
      <c r="A4077" s="18"/>
      <c r="B4077" s="77"/>
      <c r="C4077" s="77"/>
      <c r="D4077" s="78"/>
      <c r="E4077" s="77"/>
      <c r="F4077" s="77"/>
      <c r="G4077" s="77"/>
      <c r="H4077" s="77"/>
      <c r="I4077" s="77"/>
      <c r="J4077" s="77"/>
      <c r="K4077" s="79"/>
      <c r="L4077" s="49">
        <f t="shared" si="226"/>
        <v>0</v>
      </c>
      <c r="M4077" s="50">
        <f t="shared" si="227"/>
        <v>0</v>
      </c>
    </row>
    <row r="4078" spans="1:13" x14ac:dyDescent="0.2">
      <c r="A4078" s="18"/>
      <c r="B4078" s="77"/>
      <c r="C4078" s="77"/>
      <c r="D4078" s="78"/>
      <c r="E4078" s="77"/>
      <c r="F4078" s="77"/>
      <c r="G4078" s="77"/>
      <c r="H4078" s="77"/>
      <c r="I4078" s="77"/>
      <c r="J4078" s="77"/>
      <c r="K4078" s="79"/>
      <c r="L4078" s="49">
        <f t="shared" si="226"/>
        <v>0</v>
      </c>
      <c r="M4078" s="50">
        <f t="shared" si="227"/>
        <v>0</v>
      </c>
    </row>
    <row r="4079" spans="1:13" x14ac:dyDescent="0.2">
      <c r="A4079" s="18"/>
      <c r="B4079" s="77"/>
      <c r="C4079" s="77"/>
      <c r="D4079" s="78"/>
      <c r="E4079" s="77"/>
      <c r="F4079" s="77"/>
      <c r="G4079" s="77"/>
      <c r="H4079" s="77"/>
      <c r="I4079" s="77"/>
      <c r="J4079" s="77"/>
      <c r="K4079" s="79"/>
      <c r="L4079" s="49">
        <f t="shared" si="226"/>
        <v>0</v>
      </c>
      <c r="M4079" s="50">
        <f t="shared" si="227"/>
        <v>0</v>
      </c>
    </row>
    <row r="4080" spans="1:13" x14ac:dyDescent="0.2">
      <c r="A4080" s="18"/>
      <c r="B4080" s="77"/>
      <c r="C4080" s="77"/>
      <c r="D4080" s="78"/>
      <c r="E4080" s="77"/>
      <c r="F4080" s="77"/>
      <c r="G4080" s="77"/>
      <c r="H4080" s="77"/>
      <c r="I4080" s="77"/>
      <c r="J4080" s="77"/>
      <c r="K4080" s="79"/>
      <c r="L4080" s="49">
        <f t="shared" si="226"/>
        <v>0</v>
      </c>
      <c r="M4080" s="50">
        <f t="shared" si="227"/>
        <v>0</v>
      </c>
    </row>
    <row r="4081" spans="1:13" x14ac:dyDescent="0.2">
      <c r="A4081" s="18"/>
      <c r="B4081" s="77"/>
      <c r="C4081" s="77"/>
      <c r="D4081" s="78"/>
      <c r="E4081" s="77"/>
      <c r="F4081" s="77"/>
      <c r="G4081" s="77"/>
      <c r="H4081" s="77"/>
      <c r="I4081" s="77"/>
      <c r="J4081" s="77"/>
      <c r="K4081" s="79"/>
      <c r="L4081" s="49">
        <f t="shared" ref="L4081:L4086" si="228">+K4081*18%</f>
        <v>0</v>
      </c>
      <c r="M4081" s="50">
        <f t="shared" ref="M4081:M4086" si="229">+K4081+L4081</f>
        <v>0</v>
      </c>
    </row>
    <row r="4082" spans="1:13" x14ac:dyDescent="0.2">
      <c r="A4082" s="18"/>
      <c r="B4082" s="77"/>
      <c r="C4082" s="77"/>
      <c r="D4082" s="78"/>
      <c r="E4082" s="77"/>
      <c r="F4082" s="77"/>
      <c r="G4082" s="77"/>
      <c r="H4082" s="77"/>
      <c r="I4082" s="77"/>
      <c r="J4082" s="77"/>
      <c r="K4082" s="79"/>
      <c r="L4082" s="49">
        <f t="shared" si="228"/>
        <v>0</v>
      </c>
      <c r="M4082" s="50">
        <f t="shared" si="229"/>
        <v>0</v>
      </c>
    </row>
    <row r="4083" spans="1:13" x14ac:dyDescent="0.2">
      <c r="A4083" s="18"/>
      <c r="B4083" s="77"/>
      <c r="C4083" s="77"/>
      <c r="D4083" s="78"/>
      <c r="E4083" s="77"/>
      <c r="F4083" s="77"/>
      <c r="G4083" s="77"/>
      <c r="H4083" s="77"/>
      <c r="I4083" s="77"/>
      <c r="J4083" s="77"/>
      <c r="K4083" s="79"/>
      <c r="L4083" s="49">
        <f t="shared" si="228"/>
        <v>0</v>
      </c>
      <c r="M4083" s="50">
        <f t="shared" si="229"/>
        <v>0</v>
      </c>
    </row>
    <row r="4084" spans="1:13" x14ac:dyDescent="0.2">
      <c r="A4084" s="18"/>
      <c r="B4084" s="77"/>
      <c r="C4084" s="77"/>
      <c r="D4084" s="78"/>
      <c r="E4084" s="77"/>
      <c r="F4084" s="77"/>
      <c r="G4084" s="77"/>
      <c r="H4084" s="77"/>
      <c r="I4084" s="77"/>
      <c r="J4084" s="77"/>
      <c r="K4084" s="79"/>
      <c r="L4084" s="49">
        <f t="shared" si="228"/>
        <v>0</v>
      </c>
      <c r="M4084" s="50">
        <f t="shared" si="229"/>
        <v>0</v>
      </c>
    </row>
    <row r="4085" spans="1:13" x14ac:dyDescent="0.2">
      <c r="A4085" s="18"/>
      <c r="B4085" s="77"/>
      <c r="C4085" s="77"/>
      <c r="D4085" s="78"/>
      <c r="E4085" s="77"/>
      <c r="F4085" s="77"/>
      <c r="G4085" s="77"/>
      <c r="H4085" s="77"/>
      <c r="I4085" s="77"/>
      <c r="J4085" s="77"/>
      <c r="K4085" s="79"/>
      <c r="L4085" s="49">
        <f t="shared" si="228"/>
        <v>0</v>
      </c>
      <c r="M4085" s="50">
        <f t="shared" si="229"/>
        <v>0</v>
      </c>
    </row>
    <row r="4086" spans="1:13" x14ac:dyDescent="0.2">
      <c r="A4086" s="18"/>
      <c r="B4086" s="77"/>
      <c r="C4086" s="77"/>
      <c r="D4086" s="78"/>
      <c r="E4086" s="77"/>
      <c r="F4086" s="77"/>
      <c r="G4086" s="77"/>
      <c r="H4086" s="77"/>
      <c r="I4086" s="77"/>
      <c r="J4086" s="77"/>
      <c r="K4086" s="79"/>
      <c r="L4086" s="49">
        <f t="shared" si="228"/>
        <v>0</v>
      </c>
      <c r="M4086" s="50">
        <f t="shared" si="229"/>
        <v>0</v>
      </c>
    </row>
    <row r="4087" spans="1:13" x14ac:dyDescent="0.2">
      <c r="A4087" s="18"/>
      <c r="B4087" s="77"/>
      <c r="C4087" s="77"/>
      <c r="D4087" s="78"/>
      <c r="E4087" s="77"/>
      <c r="F4087" s="77"/>
      <c r="G4087" s="77"/>
      <c r="H4087" s="77"/>
      <c r="I4087" s="77"/>
      <c r="J4087" s="77"/>
      <c r="K4087" s="79"/>
      <c r="L4087" s="49">
        <f t="shared" ref="L4087:L4108" si="230">+K4087*18%</f>
        <v>0</v>
      </c>
      <c r="M4087" s="50">
        <f t="shared" ref="M4087:M4108" si="231">+K4087+L4087</f>
        <v>0</v>
      </c>
    </row>
    <row r="4088" spans="1:13" x14ac:dyDescent="0.2">
      <c r="A4088" s="18"/>
      <c r="B4088" s="77"/>
      <c r="C4088" s="77"/>
      <c r="D4088" s="78"/>
      <c r="E4088" s="77"/>
      <c r="F4088" s="77"/>
      <c r="G4088" s="77"/>
      <c r="H4088" s="77"/>
      <c r="I4088" s="77"/>
      <c r="J4088" s="77"/>
      <c r="K4088" s="79"/>
      <c r="L4088" s="49">
        <f t="shared" si="230"/>
        <v>0</v>
      </c>
      <c r="M4088" s="50">
        <f t="shared" si="231"/>
        <v>0</v>
      </c>
    </row>
    <row r="4089" spans="1:13" x14ac:dyDescent="0.2">
      <c r="A4089" s="18"/>
      <c r="B4089" s="77"/>
      <c r="C4089" s="77"/>
      <c r="D4089" s="78"/>
      <c r="E4089" s="77"/>
      <c r="F4089" s="77"/>
      <c r="G4089" s="77"/>
      <c r="H4089" s="77"/>
      <c r="I4089" s="77"/>
      <c r="J4089" s="77"/>
      <c r="K4089" s="79"/>
      <c r="L4089" s="49">
        <f t="shared" si="230"/>
        <v>0</v>
      </c>
      <c r="M4089" s="50">
        <f t="shared" si="231"/>
        <v>0</v>
      </c>
    </row>
    <row r="4090" spans="1:13" x14ac:dyDescent="0.2">
      <c r="A4090" s="18"/>
      <c r="B4090" s="77"/>
      <c r="C4090" s="77"/>
      <c r="D4090" s="78"/>
      <c r="E4090" s="77"/>
      <c r="F4090" s="77"/>
      <c r="G4090" s="77"/>
      <c r="H4090" s="77"/>
      <c r="I4090" s="77"/>
      <c r="J4090" s="77"/>
      <c r="K4090" s="79"/>
      <c r="L4090" s="49">
        <f t="shared" si="230"/>
        <v>0</v>
      </c>
      <c r="M4090" s="50">
        <f t="shared" si="231"/>
        <v>0</v>
      </c>
    </row>
    <row r="4091" spans="1:13" x14ac:dyDescent="0.2">
      <c r="A4091" s="18"/>
      <c r="B4091" s="77"/>
      <c r="C4091" s="77"/>
      <c r="D4091" s="78"/>
      <c r="E4091" s="77"/>
      <c r="F4091" s="77"/>
      <c r="G4091" s="77"/>
      <c r="H4091" s="77"/>
      <c r="I4091" s="77"/>
      <c r="J4091" s="77"/>
      <c r="K4091" s="79"/>
      <c r="L4091" s="49">
        <f t="shared" si="230"/>
        <v>0</v>
      </c>
      <c r="M4091" s="50">
        <f t="shared" si="231"/>
        <v>0</v>
      </c>
    </row>
    <row r="4092" spans="1:13" x14ac:dyDescent="0.2">
      <c r="A4092" s="18"/>
      <c r="B4092" s="77"/>
      <c r="C4092" s="77"/>
      <c r="D4092" s="78"/>
      <c r="E4092" s="77"/>
      <c r="F4092" s="77"/>
      <c r="G4092" s="77"/>
      <c r="H4092" s="77"/>
      <c r="I4092" s="77"/>
      <c r="J4092" s="77"/>
      <c r="K4092" s="79"/>
      <c r="L4092" s="49">
        <f t="shared" si="230"/>
        <v>0</v>
      </c>
      <c r="M4092" s="50">
        <f t="shared" si="231"/>
        <v>0</v>
      </c>
    </row>
    <row r="4093" spans="1:13" x14ac:dyDescent="0.2">
      <c r="A4093" s="18"/>
      <c r="B4093" s="77"/>
      <c r="C4093" s="77"/>
      <c r="D4093" s="78"/>
      <c r="E4093" s="77"/>
      <c r="F4093" s="77"/>
      <c r="G4093" s="77"/>
      <c r="H4093" s="77"/>
      <c r="I4093" s="77"/>
      <c r="J4093" s="77"/>
      <c r="K4093" s="79"/>
      <c r="L4093" s="49">
        <f t="shared" si="230"/>
        <v>0</v>
      </c>
      <c r="M4093" s="50">
        <f t="shared" si="231"/>
        <v>0</v>
      </c>
    </row>
    <row r="4094" spans="1:13" x14ac:dyDescent="0.2">
      <c r="A4094" s="18"/>
      <c r="B4094" s="77"/>
      <c r="C4094" s="77"/>
      <c r="D4094" s="78"/>
      <c r="E4094" s="77"/>
      <c r="F4094" s="77"/>
      <c r="G4094" s="77"/>
      <c r="H4094" s="77"/>
      <c r="I4094" s="77"/>
      <c r="J4094" s="77"/>
      <c r="K4094" s="79"/>
      <c r="L4094" s="49">
        <f t="shared" si="230"/>
        <v>0</v>
      </c>
      <c r="M4094" s="50">
        <f t="shared" si="231"/>
        <v>0</v>
      </c>
    </row>
    <row r="4095" spans="1:13" x14ac:dyDescent="0.2">
      <c r="A4095" s="18"/>
      <c r="B4095" s="77"/>
      <c r="C4095" s="77"/>
      <c r="D4095" s="78"/>
      <c r="E4095" s="77"/>
      <c r="F4095" s="77"/>
      <c r="G4095" s="77"/>
      <c r="H4095" s="77"/>
      <c r="I4095" s="77"/>
      <c r="J4095" s="77"/>
      <c r="K4095" s="79"/>
      <c r="L4095" s="49">
        <f t="shared" si="230"/>
        <v>0</v>
      </c>
      <c r="M4095" s="50">
        <f t="shared" si="231"/>
        <v>0</v>
      </c>
    </row>
    <row r="4096" spans="1:13" x14ac:dyDescent="0.2">
      <c r="A4096" s="18"/>
      <c r="B4096" s="77"/>
      <c r="C4096" s="77"/>
      <c r="D4096" s="78"/>
      <c r="E4096" s="77"/>
      <c r="F4096" s="77"/>
      <c r="G4096" s="77"/>
      <c r="H4096" s="77"/>
      <c r="I4096" s="77"/>
      <c r="J4096" s="77"/>
      <c r="K4096" s="79"/>
      <c r="L4096" s="49">
        <f t="shared" si="230"/>
        <v>0</v>
      </c>
      <c r="M4096" s="50">
        <f t="shared" si="231"/>
        <v>0</v>
      </c>
    </row>
    <row r="4097" spans="1:13" x14ac:dyDescent="0.2">
      <c r="A4097" s="18"/>
      <c r="B4097" s="77"/>
      <c r="C4097" s="77"/>
      <c r="D4097" s="78"/>
      <c r="E4097" s="77"/>
      <c r="F4097" s="77"/>
      <c r="G4097" s="77"/>
      <c r="H4097" s="77"/>
      <c r="I4097" s="77"/>
      <c r="J4097" s="77"/>
      <c r="K4097" s="79"/>
      <c r="L4097" s="49">
        <f t="shared" si="230"/>
        <v>0</v>
      </c>
      <c r="M4097" s="50">
        <f t="shared" si="231"/>
        <v>0</v>
      </c>
    </row>
    <row r="4098" spans="1:13" x14ac:dyDescent="0.2">
      <c r="A4098" s="18"/>
      <c r="B4098" s="77"/>
      <c r="C4098" s="77"/>
      <c r="D4098" s="78"/>
      <c r="E4098" s="77"/>
      <c r="F4098" s="77"/>
      <c r="G4098" s="77"/>
      <c r="H4098" s="77"/>
      <c r="I4098" s="77"/>
      <c r="J4098" s="77"/>
      <c r="K4098" s="79"/>
      <c r="L4098" s="49">
        <f t="shared" si="230"/>
        <v>0</v>
      </c>
      <c r="M4098" s="50">
        <f t="shared" si="231"/>
        <v>0</v>
      </c>
    </row>
    <row r="4099" spans="1:13" x14ac:dyDescent="0.2">
      <c r="A4099" s="18"/>
      <c r="B4099" s="77"/>
      <c r="C4099" s="77"/>
      <c r="D4099" s="78"/>
      <c r="E4099" s="77"/>
      <c r="F4099" s="77"/>
      <c r="G4099" s="77"/>
      <c r="H4099" s="77"/>
      <c r="I4099" s="77"/>
      <c r="J4099" s="77"/>
      <c r="K4099" s="79"/>
      <c r="L4099" s="49">
        <f t="shared" si="230"/>
        <v>0</v>
      </c>
      <c r="M4099" s="50">
        <f t="shared" si="231"/>
        <v>0</v>
      </c>
    </row>
    <row r="4100" spans="1:13" x14ac:dyDescent="0.2">
      <c r="A4100" s="18"/>
      <c r="B4100" s="77"/>
      <c r="C4100" s="77"/>
      <c r="D4100" s="78"/>
      <c r="E4100" s="77"/>
      <c r="F4100" s="77"/>
      <c r="G4100" s="77"/>
      <c r="H4100" s="77"/>
      <c r="I4100" s="77"/>
      <c r="J4100" s="77"/>
      <c r="K4100" s="79"/>
      <c r="L4100" s="49">
        <f t="shared" si="230"/>
        <v>0</v>
      </c>
      <c r="M4100" s="50">
        <f t="shared" si="231"/>
        <v>0</v>
      </c>
    </row>
    <row r="4101" spans="1:13" x14ac:dyDescent="0.2">
      <c r="A4101" s="18"/>
      <c r="B4101" s="77"/>
      <c r="C4101" s="77"/>
      <c r="D4101" s="78"/>
      <c r="E4101" s="77"/>
      <c r="F4101" s="77"/>
      <c r="G4101" s="77"/>
      <c r="H4101" s="77"/>
      <c r="I4101" s="77"/>
      <c r="J4101" s="77"/>
      <c r="K4101" s="79"/>
      <c r="L4101" s="49">
        <f t="shared" si="230"/>
        <v>0</v>
      </c>
      <c r="M4101" s="50">
        <f t="shared" si="231"/>
        <v>0</v>
      </c>
    </row>
    <row r="4102" spans="1:13" x14ac:dyDescent="0.2">
      <c r="A4102" s="18"/>
      <c r="B4102" s="77"/>
      <c r="C4102" s="77"/>
      <c r="D4102" s="78"/>
      <c r="E4102" s="77"/>
      <c r="F4102" s="77"/>
      <c r="G4102" s="77"/>
      <c r="H4102" s="77"/>
      <c r="I4102" s="77"/>
      <c r="J4102" s="77"/>
      <c r="K4102" s="79"/>
      <c r="L4102" s="49">
        <f t="shared" si="230"/>
        <v>0</v>
      </c>
      <c r="M4102" s="50">
        <f t="shared" si="231"/>
        <v>0</v>
      </c>
    </row>
    <row r="4103" spans="1:13" x14ac:dyDescent="0.2">
      <c r="A4103" s="18"/>
      <c r="B4103" s="77"/>
      <c r="C4103" s="77"/>
      <c r="D4103" s="78"/>
      <c r="E4103" s="77"/>
      <c r="F4103" s="77"/>
      <c r="G4103" s="77"/>
      <c r="H4103" s="77"/>
      <c r="I4103" s="77"/>
      <c r="J4103" s="77"/>
      <c r="K4103" s="79"/>
      <c r="L4103" s="49">
        <f t="shared" si="230"/>
        <v>0</v>
      </c>
      <c r="M4103" s="50">
        <f t="shared" si="231"/>
        <v>0</v>
      </c>
    </row>
    <row r="4104" spans="1:13" x14ac:dyDescent="0.2">
      <c r="A4104" s="18"/>
      <c r="B4104" s="77"/>
      <c r="C4104" s="77"/>
      <c r="D4104" s="78"/>
      <c r="E4104" s="77"/>
      <c r="F4104" s="77"/>
      <c r="G4104" s="77"/>
      <c r="H4104" s="77"/>
      <c r="I4104" s="77"/>
      <c r="J4104" s="77"/>
      <c r="K4104" s="79"/>
      <c r="L4104" s="49">
        <f t="shared" si="230"/>
        <v>0</v>
      </c>
      <c r="M4104" s="50">
        <f t="shared" si="231"/>
        <v>0</v>
      </c>
    </row>
    <row r="4105" spans="1:13" x14ac:dyDescent="0.2">
      <c r="A4105" s="18"/>
      <c r="B4105" s="77"/>
      <c r="C4105" s="77"/>
      <c r="D4105" s="78"/>
      <c r="E4105" s="77"/>
      <c r="F4105" s="77"/>
      <c r="G4105" s="77"/>
      <c r="H4105" s="77"/>
      <c r="I4105" s="77"/>
      <c r="J4105" s="77"/>
      <c r="K4105" s="79"/>
      <c r="L4105" s="49">
        <f t="shared" si="230"/>
        <v>0</v>
      </c>
      <c r="M4105" s="50">
        <f t="shared" si="231"/>
        <v>0</v>
      </c>
    </row>
    <row r="4106" spans="1:13" x14ac:dyDescent="0.2">
      <c r="A4106" s="18"/>
      <c r="B4106" s="77"/>
      <c r="C4106" s="77"/>
      <c r="D4106" s="78"/>
      <c r="E4106" s="77"/>
      <c r="F4106" s="77"/>
      <c r="G4106" s="77"/>
      <c r="H4106" s="77"/>
      <c r="I4106" s="77"/>
      <c r="J4106" s="77"/>
      <c r="K4106" s="79"/>
      <c r="L4106" s="49">
        <f t="shared" si="230"/>
        <v>0</v>
      </c>
      <c r="M4106" s="50">
        <f t="shared" si="231"/>
        <v>0</v>
      </c>
    </row>
    <row r="4107" spans="1:13" x14ac:dyDescent="0.2">
      <c r="A4107" s="18"/>
      <c r="B4107" s="77"/>
      <c r="C4107" s="77"/>
      <c r="D4107" s="78"/>
      <c r="E4107" s="77"/>
      <c r="F4107" s="77"/>
      <c r="G4107" s="77"/>
      <c r="H4107" s="77"/>
      <c r="I4107" s="77"/>
      <c r="J4107" s="77"/>
      <c r="K4107" s="79"/>
      <c r="L4107" s="49">
        <f t="shared" si="230"/>
        <v>0</v>
      </c>
      <c r="M4107" s="50">
        <f t="shared" si="231"/>
        <v>0</v>
      </c>
    </row>
    <row r="4108" spans="1:13" x14ac:dyDescent="0.2">
      <c r="A4108" s="18"/>
      <c r="B4108" s="77"/>
      <c r="C4108" s="77"/>
      <c r="D4108" s="78"/>
      <c r="E4108" s="77"/>
      <c r="F4108" s="77"/>
      <c r="G4108" s="77"/>
      <c r="H4108" s="77"/>
      <c r="I4108" s="77"/>
      <c r="J4108" s="77"/>
      <c r="K4108" s="79"/>
      <c r="L4108" s="49">
        <f t="shared" si="230"/>
        <v>0</v>
      </c>
      <c r="M4108" s="50">
        <f t="shared" si="231"/>
        <v>0</v>
      </c>
    </row>
    <row r="4109" spans="1:13" x14ac:dyDescent="0.2">
      <c r="A4109" s="18"/>
      <c r="B4109" s="77"/>
      <c r="C4109" s="77"/>
      <c r="D4109" s="78"/>
      <c r="E4109" s="77"/>
      <c r="F4109" s="77"/>
      <c r="G4109" s="77"/>
      <c r="H4109" s="77"/>
      <c r="I4109" s="77"/>
      <c r="J4109" s="77"/>
      <c r="K4109" s="79"/>
      <c r="L4109" s="49">
        <f t="shared" ref="L4109:L4122" si="232">+K4109*18%</f>
        <v>0</v>
      </c>
      <c r="M4109" s="50">
        <f t="shared" ref="M4109:M4122" si="233">+K4109+L4109</f>
        <v>0</v>
      </c>
    </row>
    <row r="4110" spans="1:13" x14ac:dyDescent="0.2">
      <c r="A4110" s="18"/>
      <c r="B4110" s="77"/>
      <c r="C4110" s="77"/>
      <c r="D4110" s="78"/>
      <c r="E4110" s="77"/>
      <c r="F4110" s="77"/>
      <c r="G4110" s="77"/>
      <c r="H4110" s="77"/>
      <c r="I4110" s="77"/>
      <c r="J4110" s="77"/>
      <c r="K4110" s="79"/>
      <c r="L4110" s="49">
        <f t="shared" si="232"/>
        <v>0</v>
      </c>
      <c r="M4110" s="50">
        <f t="shared" si="233"/>
        <v>0</v>
      </c>
    </row>
    <row r="4111" spans="1:13" x14ac:dyDescent="0.2">
      <c r="A4111" s="18"/>
      <c r="B4111" s="77"/>
      <c r="C4111" s="77"/>
      <c r="D4111" s="78"/>
      <c r="E4111" s="77"/>
      <c r="F4111" s="77"/>
      <c r="G4111" s="77"/>
      <c r="H4111" s="77"/>
      <c r="I4111" s="77"/>
      <c r="J4111" s="77"/>
      <c r="K4111" s="79"/>
      <c r="L4111" s="49">
        <f t="shared" si="232"/>
        <v>0</v>
      </c>
      <c r="M4111" s="50">
        <f t="shared" si="233"/>
        <v>0</v>
      </c>
    </row>
    <row r="4112" spans="1:13" x14ac:dyDescent="0.2">
      <c r="A4112" s="18"/>
      <c r="B4112" s="77"/>
      <c r="C4112" s="77"/>
      <c r="D4112" s="78"/>
      <c r="E4112" s="77"/>
      <c r="F4112" s="77"/>
      <c r="G4112" s="77"/>
      <c r="H4112" s="77"/>
      <c r="I4112" s="77"/>
      <c r="J4112" s="77"/>
      <c r="K4112" s="79"/>
      <c r="L4112" s="49">
        <f t="shared" si="232"/>
        <v>0</v>
      </c>
      <c r="M4112" s="50">
        <f t="shared" si="233"/>
        <v>0</v>
      </c>
    </row>
    <row r="4113" spans="1:13" x14ac:dyDescent="0.2">
      <c r="A4113" s="18"/>
      <c r="B4113" s="77"/>
      <c r="C4113" s="77"/>
      <c r="D4113" s="78"/>
      <c r="E4113" s="77"/>
      <c r="F4113" s="77"/>
      <c r="G4113" s="77"/>
      <c r="H4113" s="77"/>
      <c r="I4113" s="77"/>
      <c r="J4113" s="77"/>
      <c r="K4113" s="79"/>
      <c r="L4113" s="49">
        <f t="shared" si="232"/>
        <v>0</v>
      </c>
      <c r="M4113" s="50">
        <f t="shared" si="233"/>
        <v>0</v>
      </c>
    </row>
    <row r="4114" spans="1:13" x14ac:dyDescent="0.2">
      <c r="A4114" s="18"/>
      <c r="B4114" s="77"/>
      <c r="C4114" s="77"/>
      <c r="D4114" s="78"/>
      <c r="E4114" s="77"/>
      <c r="F4114" s="77"/>
      <c r="G4114" s="77"/>
      <c r="H4114" s="77"/>
      <c r="I4114" s="77"/>
      <c r="J4114" s="77"/>
      <c r="K4114" s="79"/>
      <c r="L4114" s="49">
        <f t="shared" si="232"/>
        <v>0</v>
      </c>
      <c r="M4114" s="50">
        <f t="shared" si="233"/>
        <v>0</v>
      </c>
    </row>
    <row r="4115" spans="1:13" x14ac:dyDescent="0.2">
      <c r="A4115" s="18"/>
      <c r="B4115" s="77"/>
      <c r="C4115" s="77"/>
      <c r="D4115" s="78"/>
      <c r="E4115" s="77"/>
      <c r="F4115" s="77"/>
      <c r="G4115" s="77"/>
      <c r="H4115" s="77"/>
      <c r="I4115" s="77"/>
      <c r="J4115" s="77"/>
      <c r="K4115" s="79"/>
      <c r="L4115" s="49">
        <f t="shared" si="232"/>
        <v>0</v>
      </c>
      <c r="M4115" s="50">
        <f t="shared" si="233"/>
        <v>0</v>
      </c>
    </row>
    <row r="4116" spans="1:13" x14ac:dyDescent="0.2">
      <c r="A4116" s="18"/>
      <c r="B4116" s="77"/>
      <c r="C4116" s="77"/>
      <c r="D4116" s="78"/>
      <c r="E4116" s="77"/>
      <c r="F4116" s="77"/>
      <c r="G4116" s="77"/>
      <c r="H4116" s="77"/>
      <c r="I4116" s="77"/>
      <c r="J4116" s="77"/>
      <c r="K4116" s="79"/>
      <c r="L4116" s="49">
        <f t="shared" si="232"/>
        <v>0</v>
      </c>
      <c r="M4116" s="50">
        <f t="shared" si="233"/>
        <v>0</v>
      </c>
    </row>
    <row r="4117" spans="1:13" x14ac:dyDescent="0.2">
      <c r="A4117" s="18"/>
      <c r="B4117" s="77"/>
      <c r="C4117" s="77"/>
      <c r="D4117" s="78"/>
      <c r="E4117" s="77"/>
      <c r="F4117" s="77"/>
      <c r="G4117" s="77"/>
      <c r="H4117" s="77"/>
      <c r="I4117" s="77"/>
      <c r="J4117" s="77"/>
      <c r="K4117" s="79"/>
      <c r="L4117" s="49">
        <f t="shared" si="232"/>
        <v>0</v>
      </c>
      <c r="M4117" s="50">
        <f t="shared" si="233"/>
        <v>0</v>
      </c>
    </row>
    <row r="4118" spans="1:13" x14ac:dyDescent="0.2">
      <c r="A4118" s="18"/>
      <c r="B4118" s="77"/>
      <c r="C4118" s="77"/>
      <c r="D4118" s="78"/>
      <c r="E4118" s="77"/>
      <c r="F4118" s="77"/>
      <c r="G4118" s="77"/>
      <c r="H4118" s="77"/>
      <c r="I4118" s="77"/>
      <c r="J4118" s="77"/>
      <c r="K4118" s="79"/>
      <c r="L4118" s="49">
        <f t="shared" si="232"/>
        <v>0</v>
      </c>
      <c r="M4118" s="50">
        <f t="shared" si="233"/>
        <v>0</v>
      </c>
    </row>
    <row r="4119" spans="1:13" x14ac:dyDescent="0.2">
      <c r="A4119" s="18"/>
      <c r="B4119" s="77"/>
      <c r="C4119" s="77"/>
      <c r="D4119" s="78"/>
      <c r="E4119" s="77"/>
      <c r="F4119" s="77"/>
      <c r="G4119" s="77"/>
      <c r="H4119" s="77"/>
      <c r="I4119" s="77"/>
      <c r="J4119" s="77"/>
      <c r="K4119" s="79"/>
      <c r="L4119" s="49">
        <f t="shared" si="232"/>
        <v>0</v>
      </c>
      <c r="M4119" s="50">
        <f t="shared" si="233"/>
        <v>0</v>
      </c>
    </row>
    <row r="4120" spans="1:13" x14ac:dyDescent="0.2">
      <c r="A4120" s="18"/>
      <c r="B4120" s="77"/>
      <c r="C4120" s="77"/>
      <c r="D4120" s="78"/>
      <c r="E4120" s="77"/>
      <c r="F4120" s="77"/>
      <c r="G4120" s="77"/>
      <c r="H4120" s="77"/>
      <c r="I4120" s="77"/>
      <c r="J4120" s="77"/>
      <c r="K4120" s="79"/>
      <c r="L4120" s="49">
        <f t="shared" si="232"/>
        <v>0</v>
      </c>
      <c r="M4120" s="50">
        <f t="shared" si="233"/>
        <v>0</v>
      </c>
    </row>
    <row r="4121" spans="1:13" x14ac:dyDescent="0.2">
      <c r="A4121" s="18"/>
      <c r="B4121" s="77"/>
      <c r="C4121" s="77"/>
      <c r="D4121" s="78"/>
      <c r="E4121" s="77"/>
      <c r="F4121" s="77"/>
      <c r="G4121" s="77"/>
      <c r="H4121" s="77"/>
      <c r="I4121" s="77"/>
      <c r="J4121" s="77"/>
      <c r="K4121" s="79"/>
      <c r="L4121" s="49">
        <f t="shared" si="232"/>
        <v>0</v>
      </c>
      <c r="M4121" s="50">
        <f t="shared" si="233"/>
        <v>0</v>
      </c>
    </row>
    <row r="4122" spans="1:13" x14ac:dyDescent="0.2">
      <c r="A4122" s="18"/>
      <c r="B4122" s="77"/>
      <c r="C4122" s="77"/>
      <c r="D4122" s="78"/>
      <c r="E4122" s="77"/>
      <c r="F4122" s="77"/>
      <c r="G4122" s="77"/>
      <c r="H4122" s="77"/>
      <c r="I4122" s="77"/>
      <c r="J4122" s="77"/>
      <c r="K4122" s="79"/>
      <c r="L4122" s="49">
        <f t="shared" si="232"/>
        <v>0</v>
      </c>
      <c r="M4122" s="50">
        <f t="shared" si="233"/>
        <v>0</v>
      </c>
    </row>
  </sheetData>
  <autoFilter ref="A3:M3933" xr:uid="{00000000-0009-0000-0000-000001000000}"/>
  <pageMargins left="0.25" right="0.25" top="0.75" bottom="0.75" header="0.3" footer="0.3"/>
  <pageSetup paperSize="9" scale="1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>
    <tabColor rgb="FFFFFF99"/>
    <pageSetUpPr fitToPage="1"/>
  </sheetPr>
  <dimension ref="A1:V8484"/>
  <sheetViews>
    <sheetView zoomScaleNormal="100" workbookViewId="0">
      <selection activeCell="B1909" sqref="B1909:B1914"/>
    </sheetView>
  </sheetViews>
  <sheetFormatPr defaultColWidth="11.42578125" defaultRowHeight="15" x14ac:dyDescent="0.25"/>
  <cols>
    <col min="1" max="1" width="12" style="5" bestFit="1" customWidth="1"/>
    <col min="2" max="2" width="40.28515625" style="5" bestFit="1" customWidth="1"/>
    <col min="3" max="3" width="6.28515625" style="5" bestFit="1" customWidth="1"/>
    <col min="4" max="4" width="5.140625" style="5" bestFit="1" customWidth="1"/>
    <col min="5" max="5" width="9.5703125" style="5" bestFit="1" customWidth="1"/>
    <col min="6" max="6" width="8.140625" style="5" bestFit="1" customWidth="1"/>
    <col min="7" max="7" width="8.42578125" style="5" bestFit="1" customWidth="1"/>
    <col min="8" max="8" width="11.5703125" style="5" bestFit="1" customWidth="1"/>
    <col min="9" max="9" width="11.140625" style="5" bestFit="1" customWidth="1"/>
    <col min="10" max="10" width="11.42578125" style="5" bestFit="1" customWidth="1"/>
    <col min="11" max="11" width="12.42578125" style="5" bestFit="1" customWidth="1"/>
    <col min="12" max="12" width="11" style="5" bestFit="1" customWidth="1"/>
    <col min="13" max="16384" width="11.42578125" style="5"/>
  </cols>
  <sheetData>
    <row r="1" spans="1:12" ht="20.25" x14ac:dyDescent="0.25">
      <c r="F1" s="7" t="s">
        <v>75</v>
      </c>
    </row>
    <row r="4" spans="1:12" x14ac:dyDescent="0.25">
      <c r="A4" s="8" t="s">
        <v>80</v>
      </c>
      <c r="B4" s="8" t="s">
        <v>81</v>
      </c>
      <c r="C4" s="8" t="s">
        <v>82</v>
      </c>
      <c r="D4" s="8" t="s">
        <v>63</v>
      </c>
      <c r="E4" s="8" t="s">
        <v>83</v>
      </c>
      <c r="F4" s="8" t="s">
        <v>84</v>
      </c>
      <c r="G4" s="8" t="s">
        <v>85</v>
      </c>
      <c r="H4" s="8" t="s">
        <v>86</v>
      </c>
      <c r="I4" s="8" t="s">
        <v>76</v>
      </c>
      <c r="J4" s="9" t="s">
        <v>77</v>
      </c>
      <c r="K4" s="9" t="s">
        <v>78</v>
      </c>
      <c r="L4" s="9" t="s">
        <v>79</v>
      </c>
    </row>
    <row r="5" spans="1:12" x14ac:dyDescent="0.25">
      <c r="A5" s="130" t="s">
        <v>569</v>
      </c>
      <c r="B5" s="130" t="s">
        <v>570</v>
      </c>
      <c r="C5" s="132" t="s">
        <v>150</v>
      </c>
      <c r="D5" s="129">
        <v>1</v>
      </c>
      <c r="E5" s="25">
        <v>19.413900000000002</v>
      </c>
      <c r="F5" s="25">
        <v>19.413900000000002</v>
      </c>
      <c r="G5" s="25">
        <v>65.580001999999993</v>
      </c>
      <c r="H5" s="25">
        <v>65.580001999999979</v>
      </c>
      <c r="I5" s="131" t="s">
        <v>87</v>
      </c>
      <c r="J5" s="132" t="s">
        <v>102</v>
      </c>
      <c r="K5" s="130" t="s">
        <v>695</v>
      </c>
      <c r="L5" s="6" t="str">
        <f t="shared" ref="L5:L68" si="0">CONCATENATE(J5,"-",K5)</f>
        <v>005-00000005</v>
      </c>
    </row>
    <row r="6" spans="1:12" hidden="1" x14ac:dyDescent="0.25">
      <c r="A6" s="130" t="s">
        <v>380</v>
      </c>
      <c r="B6" s="130" t="s">
        <v>381</v>
      </c>
      <c r="C6" s="132" t="s">
        <v>150</v>
      </c>
      <c r="D6" s="129">
        <v>1</v>
      </c>
      <c r="E6" s="129">
        <v>483.48000999999999</v>
      </c>
      <c r="F6" s="129">
        <v>483.48000999999988</v>
      </c>
      <c r="G6" s="129">
        <v>1618.2080000000001</v>
      </c>
      <c r="H6" s="129">
        <v>1618.2080000000001</v>
      </c>
      <c r="I6" s="131" t="s">
        <v>87</v>
      </c>
      <c r="J6" s="132" t="s">
        <v>102</v>
      </c>
      <c r="K6" s="130" t="s">
        <v>694</v>
      </c>
      <c r="L6" s="6" t="str">
        <f t="shared" si="0"/>
        <v>005-00000006</v>
      </c>
    </row>
    <row r="7" spans="1:12" hidden="1" x14ac:dyDescent="0.25">
      <c r="A7" s="130" t="s">
        <v>589</v>
      </c>
      <c r="B7" s="130" t="s">
        <v>590</v>
      </c>
      <c r="C7" s="132" t="s">
        <v>150</v>
      </c>
      <c r="D7" s="129">
        <v>1</v>
      </c>
      <c r="E7" s="129">
        <v>20.66</v>
      </c>
      <c r="F7" s="129">
        <v>20.66</v>
      </c>
      <c r="G7" s="129">
        <v>69.479598999999993</v>
      </c>
      <c r="H7" s="129">
        <v>69.479598999999979</v>
      </c>
      <c r="I7" s="131" t="s">
        <v>87</v>
      </c>
      <c r="J7" s="132" t="s">
        <v>102</v>
      </c>
      <c r="K7" s="130" t="s">
        <v>694</v>
      </c>
      <c r="L7" s="6" t="str">
        <f t="shared" si="0"/>
        <v>005-00000006</v>
      </c>
    </row>
    <row r="8" spans="1:12" hidden="1" x14ac:dyDescent="0.25">
      <c r="A8" s="130" t="s">
        <v>151</v>
      </c>
      <c r="B8" s="130" t="s">
        <v>152</v>
      </c>
      <c r="C8" s="132" t="s">
        <v>150</v>
      </c>
      <c r="D8" s="129">
        <v>1</v>
      </c>
      <c r="E8" s="129">
        <v>3.6579999999999999</v>
      </c>
      <c r="F8" s="129">
        <v>3.6579999999999995</v>
      </c>
      <c r="G8" s="129">
        <v>12.3093</v>
      </c>
      <c r="H8" s="129">
        <v>12.3093</v>
      </c>
      <c r="I8" s="131" t="s">
        <v>87</v>
      </c>
      <c r="J8" s="132" t="s">
        <v>102</v>
      </c>
      <c r="K8" s="130" t="s">
        <v>688</v>
      </c>
      <c r="L8" s="6" t="str">
        <f t="shared" si="0"/>
        <v>005-00000012</v>
      </c>
    </row>
    <row r="9" spans="1:12" hidden="1" x14ac:dyDescent="0.25">
      <c r="A9" s="130" t="s">
        <v>583</v>
      </c>
      <c r="B9" s="130" t="s">
        <v>584</v>
      </c>
      <c r="C9" s="132" t="s">
        <v>88</v>
      </c>
      <c r="D9" s="129">
        <v>1</v>
      </c>
      <c r="E9" s="129">
        <v>20.3444</v>
      </c>
      <c r="F9" s="129">
        <v>20.344400000000004</v>
      </c>
      <c r="G9" s="129">
        <v>68.438598999999996</v>
      </c>
      <c r="H9" s="129">
        <v>68.438598999999996</v>
      </c>
      <c r="I9" s="131" t="s">
        <v>87</v>
      </c>
      <c r="J9" s="132" t="s">
        <v>102</v>
      </c>
      <c r="K9" s="130" t="s">
        <v>688</v>
      </c>
      <c r="L9" s="6" t="str">
        <f t="shared" si="0"/>
        <v>005-00000012</v>
      </c>
    </row>
    <row r="10" spans="1:12" hidden="1" x14ac:dyDescent="0.25">
      <c r="A10" s="130" t="s">
        <v>1026</v>
      </c>
      <c r="B10" s="130" t="s">
        <v>1027</v>
      </c>
      <c r="C10" s="132" t="s">
        <v>150</v>
      </c>
      <c r="D10" s="129">
        <v>2</v>
      </c>
      <c r="E10" s="25">
        <v>38.632998999999998</v>
      </c>
      <c r="F10" s="25">
        <v>77.265997999999996</v>
      </c>
      <c r="G10" s="25">
        <v>130</v>
      </c>
      <c r="H10" s="25">
        <v>260</v>
      </c>
      <c r="I10" s="131" t="s">
        <v>87</v>
      </c>
      <c r="J10" s="132" t="s">
        <v>102</v>
      </c>
      <c r="K10" s="130" t="s">
        <v>687</v>
      </c>
      <c r="L10" s="6" t="str">
        <f t="shared" si="0"/>
        <v>005-00000013</v>
      </c>
    </row>
    <row r="11" spans="1:12" hidden="1" x14ac:dyDescent="0.25">
      <c r="A11" s="130" t="s">
        <v>344</v>
      </c>
      <c r="B11" s="130" t="s">
        <v>345</v>
      </c>
      <c r="C11" s="132" t="s">
        <v>150</v>
      </c>
      <c r="D11" s="129">
        <v>1</v>
      </c>
      <c r="E11" s="129">
        <v>35.587200000000003</v>
      </c>
      <c r="F11" s="129">
        <v>35.58720000000001</v>
      </c>
      <c r="G11" s="129">
        <v>120</v>
      </c>
      <c r="H11" s="129">
        <v>120</v>
      </c>
      <c r="I11" s="131" t="s">
        <v>87</v>
      </c>
      <c r="J11" s="132" t="s">
        <v>102</v>
      </c>
      <c r="K11" s="130" t="s">
        <v>687</v>
      </c>
      <c r="L11" s="6" t="str">
        <f t="shared" si="0"/>
        <v>005-00000013</v>
      </c>
    </row>
    <row r="12" spans="1:12" hidden="1" x14ac:dyDescent="0.25">
      <c r="A12" s="130" t="s">
        <v>360</v>
      </c>
      <c r="B12" s="130" t="s">
        <v>361</v>
      </c>
      <c r="C12" s="132" t="s">
        <v>150</v>
      </c>
      <c r="D12" s="129">
        <v>2</v>
      </c>
      <c r="E12" s="129">
        <v>0.12590000000000001</v>
      </c>
      <c r="F12" s="129">
        <v>0.25180000000000002</v>
      </c>
      <c r="G12" s="129">
        <v>0.42370000000000002</v>
      </c>
      <c r="H12" s="129">
        <v>0.84740000000000004</v>
      </c>
      <c r="I12" s="131" t="s">
        <v>87</v>
      </c>
      <c r="J12" s="132" t="s">
        <v>102</v>
      </c>
      <c r="K12" s="130" t="s">
        <v>687</v>
      </c>
      <c r="L12" s="6" t="str">
        <f t="shared" si="0"/>
        <v>005-00000013</v>
      </c>
    </row>
    <row r="13" spans="1:12" hidden="1" x14ac:dyDescent="0.25">
      <c r="A13" s="130" t="s">
        <v>342</v>
      </c>
      <c r="B13" s="130" t="s">
        <v>343</v>
      </c>
      <c r="C13" s="132" t="s">
        <v>150</v>
      </c>
      <c r="D13" s="129">
        <v>2</v>
      </c>
      <c r="E13" s="129">
        <v>0.12590000000000001</v>
      </c>
      <c r="F13" s="129">
        <v>0.25180000000000002</v>
      </c>
      <c r="G13" s="129">
        <v>0.42370000000000002</v>
      </c>
      <c r="H13" s="129">
        <v>0.84740000000000004</v>
      </c>
      <c r="I13" s="131" t="s">
        <v>87</v>
      </c>
      <c r="J13" s="132" t="s">
        <v>102</v>
      </c>
      <c r="K13" s="130" t="s">
        <v>687</v>
      </c>
      <c r="L13" s="6" t="str">
        <f t="shared" si="0"/>
        <v>005-00000013</v>
      </c>
    </row>
    <row r="14" spans="1:12" hidden="1" x14ac:dyDescent="0.25">
      <c r="A14" s="130" t="s">
        <v>372</v>
      </c>
      <c r="B14" s="130" t="s">
        <v>373</v>
      </c>
      <c r="C14" s="132" t="s">
        <v>153</v>
      </c>
      <c r="D14" s="129">
        <v>1</v>
      </c>
      <c r="E14" s="129">
        <v>12.514099999999999</v>
      </c>
      <c r="F14" s="129">
        <v>12.514099999999999</v>
      </c>
      <c r="G14" s="129">
        <v>42.009998000000003</v>
      </c>
      <c r="H14" s="129">
        <v>42.009998000000003</v>
      </c>
      <c r="I14" s="131" t="s">
        <v>87</v>
      </c>
      <c r="J14" s="132" t="s">
        <v>102</v>
      </c>
      <c r="K14" s="130" t="s">
        <v>687</v>
      </c>
      <c r="L14" s="6" t="str">
        <f t="shared" si="0"/>
        <v>005-00000013</v>
      </c>
    </row>
    <row r="15" spans="1:12" hidden="1" x14ac:dyDescent="0.25">
      <c r="A15" s="130" t="s">
        <v>567</v>
      </c>
      <c r="B15" s="130" t="s">
        <v>568</v>
      </c>
      <c r="C15" s="132" t="s">
        <v>150</v>
      </c>
      <c r="D15" s="129">
        <v>1</v>
      </c>
      <c r="E15" s="129">
        <v>13.380999999999998</v>
      </c>
      <c r="F15" s="129">
        <v>13.381000000000002</v>
      </c>
      <c r="G15" s="129">
        <v>45</v>
      </c>
      <c r="H15" s="129">
        <v>45</v>
      </c>
      <c r="I15" s="131" t="s">
        <v>87</v>
      </c>
      <c r="J15" s="132" t="s">
        <v>102</v>
      </c>
      <c r="K15" s="130" t="s">
        <v>687</v>
      </c>
      <c r="L15" s="6" t="str">
        <f t="shared" si="0"/>
        <v>005-00000013</v>
      </c>
    </row>
    <row r="16" spans="1:12" hidden="1" x14ac:dyDescent="0.25">
      <c r="A16" s="130" t="s">
        <v>1028</v>
      </c>
      <c r="B16" s="130" t="s">
        <v>1029</v>
      </c>
      <c r="C16" s="132" t="s">
        <v>150</v>
      </c>
      <c r="D16" s="129">
        <v>1</v>
      </c>
      <c r="E16" s="129">
        <v>1.5079</v>
      </c>
      <c r="F16" s="129">
        <v>1.5078999999999996</v>
      </c>
      <c r="G16" s="129">
        <v>5.0847001000000001</v>
      </c>
      <c r="H16" s="129">
        <v>5.0847001000000001</v>
      </c>
      <c r="I16" s="131" t="s">
        <v>87</v>
      </c>
      <c r="J16" s="132" t="s">
        <v>102</v>
      </c>
      <c r="K16" s="130" t="s">
        <v>687</v>
      </c>
      <c r="L16" s="6" t="str">
        <f t="shared" si="0"/>
        <v>005-00000013</v>
      </c>
    </row>
    <row r="17" spans="1:12" hidden="1" x14ac:dyDescent="0.25">
      <c r="A17" s="130" t="s">
        <v>1030</v>
      </c>
      <c r="B17" s="130" t="s">
        <v>1031</v>
      </c>
      <c r="C17" s="132" t="s">
        <v>150</v>
      </c>
      <c r="D17" s="129">
        <v>1</v>
      </c>
      <c r="E17" s="129">
        <v>2.0106001</v>
      </c>
      <c r="F17" s="129">
        <v>2.0106001</v>
      </c>
      <c r="G17" s="129">
        <v>6.7796998000000004</v>
      </c>
      <c r="H17" s="129">
        <v>6.7796998000000022</v>
      </c>
      <c r="I17" s="131" t="s">
        <v>87</v>
      </c>
      <c r="J17" s="132" t="s">
        <v>102</v>
      </c>
      <c r="K17" s="130" t="s">
        <v>687</v>
      </c>
      <c r="L17" s="6" t="str">
        <f t="shared" si="0"/>
        <v>005-00000013</v>
      </c>
    </row>
    <row r="18" spans="1:12" hidden="1" x14ac:dyDescent="0.25">
      <c r="A18" s="130" t="s">
        <v>227</v>
      </c>
      <c r="B18" s="130" t="s">
        <v>194</v>
      </c>
      <c r="C18" s="132" t="s">
        <v>88</v>
      </c>
      <c r="D18" s="129">
        <v>1</v>
      </c>
      <c r="E18" s="129">
        <v>1.7628999999999999</v>
      </c>
      <c r="F18" s="129">
        <v>1.7628999999999997</v>
      </c>
      <c r="G18" s="129">
        <v>5.9321999999999999</v>
      </c>
      <c r="H18" s="129">
        <v>5.9322000000000017</v>
      </c>
      <c r="I18" s="131" t="s">
        <v>87</v>
      </c>
      <c r="J18" s="132" t="s">
        <v>102</v>
      </c>
      <c r="K18" s="130" t="s">
        <v>687</v>
      </c>
      <c r="L18" s="6" t="str">
        <f t="shared" si="0"/>
        <v>005-00000013</v>
      </c>
    </row>
    <row r="19" spans="1:12" hidden="1" x14ac:dyDescent="0.25">
      <c r="A19" s="130" t="s">
        <v>1032</v>
      </c>
      <c r="B19" s="130" t="s">
        <v>1033</v>
      </c>
      <c r="C19" s="132" t="s">
        <v>88</v>
      </c>
      <c r="D19" s="129">
        <v>0.25</v>
      </c>
      <c r="E19" s="25">
        <v>12.573600000000001</v>
      </c>
      <c r="F19" s="25">
        <v>3.1434000000000011</v>
      </c>
      <c r="G19" s="25">
        <v>42.372897999999992</v>
      </c>
      <c r="H19" s="25">
        <v>10.593224499999996</v>
      </c>
      <c r="I19" s="131" t="s">
        <v>87</v>
      </c>
      <c r="J19" s="132" t="s">
        <v>102</v>
      </c>
      <c r="K19" s="130" t="s">
        <v>687</v>
      </c>
      <c r="L19" s="6" t="str">
        <f t="shared" si="0"/>
        <v>005-00000013</v>
      </c>
    </row>
    <row r="20" spans="1:12" hidden="1" x14ac:dyDescent="0.25">
      <c r="A20" s="130" t="s">
        <v>1034</v>
      </c>
      <c r="B20" s="130" t="s">
        <v>1035</v>
      </c>
      <c r="C20" s="132" t="s">
        <v>88</v>
      </c>
      <c r="D20" s="129">
        <v>1</v>
      </c>
      <c r="E20" s="129">
        <v>11.861700000000001</v>
      </c>
      <c r="F20" s="129">
        <v>11.861700000000001</v>
      </c>
      <c r="G20" s="129">
        <v>39.701000000000001</v>
      </c>
      <c r="H20" s="129">
        <v>39.701000000000001</v>
      </c>
      <c r="I20" s="131" t="s">
        <v>87</v>
      </c>
      <c r="J20" s="132" t="s">
        <v>102</v>
      </c>
      <c r="K20" s="130" t="s">
        <v>687</v>
      </c>
      <c r="L20" s="6" t="str">
        <f t="shared" si="0"/>
        <v>005-00000013</v>
      </c>
    </row>
    <row r="21" spans="1:12" hidden="1" x14ac:dyDescent="0.25">
      <c r="A21" s="130" t="s">
        <v>300</v>
      </c>
      <c r="B21" s="130" t="s">
        <v>301</v>
      </c>
      <c r="C21" s="132" t="s">
        <v>88</v>
      </c>
      <c r="D21" s="129">
        <v>0.75</v>
      </c>
      <c r="E21" s="129">
        <v>12.76</v>
      </c>
      <c r="F21" s="129">
        <v>9.57</v>
      </c>
      <c r="G21" s="129">
        <v>42.930999999999997</v>
      </c>
      <c r="H21" s="129">
        <v>32.198249999999987</v>
      </c>
      <c r="I21" s="131" t="s">
        <v>87</v>
      </c>
      <c r="J21" s="132" t="s">
        <v>102</v>
      </c>
      <c r="K21" s="130" t="s">
        <v>687</v>
      </c>
      <c r="L21" s="6" t="str">
        <f t="shared" si="0"/>
        <v>005-00000013</v>
      </c>
    </row>
    <row r="22" spans="1:12" hidden="1" x14ac:dyDescent="0.25">
      <c r="A22" s="130" t="s">
        <v>212</v>
      </c>
      <c r="B22" s="130" t="s">
        <v>213</v>
      </c>
      <c r="C22" s="132" t="s">
        <v>153</v>
      </c>
      <c r="D22" s="129">
        <v>1</v>
      </c>
      <c r="E22" s="25">
        <v>13.372999999999999</v>
      </c>
      <c r="F22" s="25">
        <v>13.372999999999999</v>
      </c>
      <c r="G22" s="25">
        <v>45</v>
      </c>
      <c r="H22" s="25">
        <v>45</v>
      </c>
      <c r="I22" s="131" t="s">
        <v>87</v>
      </c>
      <c r="J22" s="132" t="s">
        <v>102</v>
      </c>
      <c r="K22" s="130" t="s">
        <v>684</v>
      </c>
      <c r="L22" s="6" t="str">
        <f t="shared" si="0"/>
        <v>005-00000016</v>
      </c>
    </row>
    <row r="23" spans="1:12" hidden="1" x14ac:dyDescent="0.25">
      <c r="A23" s="130" t="s">
        <v>280</v>
      </c>
      <c r="B23" s="130" t="s">
        <v>281</v>
      </c>
      <c r="C23" s="132" t="s">
        <v>150</v>
      </c>
      <c r="D23" s="129">
        <v>1</v>
      </c>
      <c r="E23" s="129">
        <v>26.767900000000001</v>
      </c>
      <c r="F23" s="129">
        <v>26.767900000000004</v>
      </c>
      <c r="G23" s="129">
        <v>90</v>
      </c>
      <c r="H23" s="129">
        <v>90</v>
      </c>
      <c r="I23" s="131" t="s">
        <v>87</v>
      </c>
      <c r="J23" s="132" t="s">
        <v>102</v>
      </c>
      <c r="K23" s="130" t="s">
        <v>684</v>
      </c>
      <c r="L23" s="6" t="str">
        <f t="shared" si="0"/>
        <v>005-00000016</v>
      </c>
    </row>
    <row r="24" spans="1:12" hidden="1" x14ac:dyDescent="0.25">
      <c r="A24" s="130" t="s">
        <v>282</v>
      </c>
      <c r="B24" s="130" t="s">
        <v>283</v>
      </c>
      <c r="C24" s="132" t="s">
        <v>150</v>
      </c>
      <c r="D24" s="129">
        <v>1</v>
      </c>
      <c r="E24" s="129">
        <v>26.726101</v>
      </c>
      <c r="F24" s="129">
        <v>26.726101</v>
      </c>
      <c r="G24" s="129">
        <v>90</v>
      </c>
      <c r="H24" s="129">
        <v>90</v>
      </c>
      <c r="I24" s="131" t="s">
        <v>87</v>
      </c>
      <c r="J24" s="132" t="s">
        <v>102</v>
      </c>
      <c r="K24" s="130" t="s">
        <v>684</v>
      </c>
      <c r="L24" s="6" t="str">
        <f t="shared" si="0"/>
        <v>005-00000016</v>
      </c>
    </row>
    <row r="25" spans="1:12" hidden="1" x14ac:dyDescent="0.25">
      <c r="A25" s="130" t="s">
        <v>309</v>
      </c>
      <c r="B25" s="130" t="s">
        <v>310</v>
      </c>
      <c r="C25" s="132" t="s">
        <v>150</v>
      </c>
      <c r="D25" s="129">
        <v>1</v>
      </c>
      <c r="E25" s="25">
        <v>1.5087999999999999</v>
      </c>
      <c r="F25" s="25">
        <v>1.5087999999999999</v>
      </c>
      <c r="G25" s="25">
        <v>5.0847001000000001</v>
      </c>
      <c r="H25" s="25">
        <v>5.0847001000000001</v>
      </c>
      <c r="I25" s="131" t="s">
        <v>87</v>
      </c>
      <c r="J25" s="132" t="s">
        <v>102</v>
      </c>
      <c r="K25" s="130" t="s">
        <v>684</v>
      </c>
      <c r="L25" s="6" t="str">
        <f t="shared" si="0"/>
        <v>005-00000016</v>
      </c>
    </row>
    <row r="26" spans="1:12" hidden="1" x14ac:dyDescent="0.25">
      <c r="A26" s="130" t="s">
        <v>360</v>
      </c>
      <c r="B26" s="130" t="s">
        <v>361</v>
      </c>
      <c r="C26" s="132" t="s">
        <v>150</v>
      </c>
      <c r="D26" s="129">
        <v>2</v>
      </c>
      <c r="E26" s="129">
        <v>0.12590000000000001</v>
      </c>
      <c r="F26" s="129">
        <v>0.25180000000000002</v>
      </c>
      <c r="G26" s="129">
        <v>0.42370000000000002</v>
      </c>
      <c r="H26" s="129">
        <v>0.84740000000000004</v>
      </c>
      <c r="I26" s="131" t="s">
        <v>87</v>
      </c>
      <c r="J26" s="132" t="s">
        <v>102</v>
      </c>
      <c r="K26" s="130" t="s">
        <v>684</v>
      </c>
      <c r="L26" s="6" t="str">
        <f t="shared" si="0"/>
        <v>005-00000016</v>
      </c>
    </row>
    <row r="27" spans="1:12" hidden="1" x14ac:dyDescent="0.25">
      <c r="A27" s="130" t="s">
        <v>342</v>
      </c>
      <c r="B27" s="130" t="s">
        <v>343</v>
      </c>
      <c r="C27" s="132" t="s">
        <v>150</v>
      </c>
      <c r="D27" s="129">
        <v>2</v>
      </c>
      <c r="E27" s="129">
        <v>0.12590000000000001</v>
      </c>
      <c r="F27" s="129">
        <v>0.25180000000000002</v>
      </c>
      <c r="G27" s="129">
        <v>0.42370000000000002</v>
      </c>
      <c r="H27" s="129">
        <v>0.84740000000000004</v>
      </c>
      <c r="I27" s="131" t="s">
        <v>87</v>
      </c>
      <c r="J27" s="132" t="s">
        <v>102</v>
      </c>
      <c r="K27" s="130" t="s">
        <v>684</v>
      </c>
      <c r="L27" s="6" t="str">
        <f t="shared" si="0"/>
        <v>005-00000016</v>
      </c>
    </row>
    <row r="28" spans="1:12" hidden="1" x14ac:dyDescent="0.25">
      <c r="A28" s="130" t="s">
        <v>538</v>
      </c>
      <c r="B28" s="130" t="s">
        <v>539</v>
      </c>
      <c r="C28" s="132" t="s">
        <v>150</v>
      </c>
      <c r="D28" s="129">
        <v>1</v>
      </c>
      <c r="E28" s="25">
        <v>133.7296</v>
      </c>
      <c r="F28" s="25">
        <v>133.7296</v>
      </c>
      <c r="G28" s="25">
        <v>450</v>
      </c>
      <c r="H28" s="25">
        <v>450</v>
      </c>
      <c r="I28" s="131" t="s">
        <v>87</v>
      </c>
      <c r="J28" s="132" t="s">
        <v>102</v>
      </c>
      <c r="K28" s="130" t="s">
        <v>684</v>
      </c>
      <c r="L28" s="6" t="str">
        <f t="shared" si="0"/>
        <v>005-00000016</v>
      </c>
    </row>
    <row r="29" spans="1:12" hidden="1" x14ac:dyDescent="0.25">
      <c r="A29" s="130" t="s">
        <v>614</v>
      </c>
      <c r="B29" s="130" t="s">
        <v>615</v>
      </c>
      <c r="C29" s="132" t="s">
        <v>150</v>
      </c>
      <c r="D29" s="129">
        <v>2</v>
      </c>
      <c r="E29" s="129">
        <v>41.604800999999995</v>
      </c>
      <c r="F29" s="129">
        <v>83.20960199999999</v>
      </c>
      <c r="G29" s="129">
        <v>140</v>
      </c>
      <c r="H29" s="129">
        <v>280</v>
      </c>
      <c r="I29" s="131" t="s">
        <v>87</v>
      </c>
      <c r="J29" s="132" t="s">
        <v>102</v>
      </c>
      <c r="K29" s="130" t="s">
        <v>684</v>
      </c>
      <c r="L29" s="6" t="str">
        <f t="shared" si="0"/>
        <v>005-00000016</v>
      </c>
    </row>
    <row r="30" spans="1:12" hidden="1" x14ac:dyDescent="0.25">
      <c r="A30" s="130" t="s">
        <v>710</v>
      </c>
      <c r="B30" s="130" t="s">
        <v>711</v>
      </c>
      <c r="C30" s="132" t="s">
        <v>150</v>
      </c>
      <c r="D30" s="129">
        <v>1</v>
      </c>
      <c r="E30" s="129">
        <v>56.4636</v>
      </c>
      <c r="F30" s="129">
        <v>56.4636</v>
      </c>
      <c r="G30" s="129">
        <v>190</v>
      </c>
      <c r="H30" s="129">
        <v>190</v>
      </c>
      <c r="I30" s="131" t="s">
        <v>87</v>
      </c>
      <c r="J30" s="132" t="s">
        <v>102</v>
      </c>
      <c r="K30" s="130" t="s">
        <v>684</v>
      </c>
      <c r="L30" s="6" t="str">
        <f t="shared" si="0"/>
        <v>005-00000016</v>
      </c>
    </row>
    <row r="31" spans="1:12" hidden="1" x14ac:dyDescent="0.25">
      <c r="A31" s="130" t="s">
        <v>718</v>
      </c>
      <c r="B31" s="130" t="s">
        <v>719</v>
      </c>
      <c r="C31" s="132" t="s">
        <v>150</v>
      </c>
      <c r="D31" s="129">
        <v>1</v>
      </c>
      <c r="E31" s="25">
        <v>35.661200999999998</v>
      </c>
      <c r="F31" s="25">
        <v>35.661200999999998</v>
      </c>
      <c r="G31" s="25">
        <v>120</v>
      </c>
      <c r="H31" s="25">
        <v>120</v>
      </c>
      <c r="I31" s="131" t="s">
        <v>87</v>
      </c>
      <c r="J31" s="132" t="s">
        <v>102</v>
      </c>
      <c r="K31" s="130" t="s">
        <v>684</v>
      </c>
      <c r="L31" s="6" t="str">
        <f t="shared" si="0"/>
        <v>005-00000016</v>
      </c>
    </row>
    <row r="32" spans="1:12" hidden="1" x14ac:dyDescent="0.25">
      <c r="A32" s="130" t="s">
        <v>733</v>
      </c>
      <c r="B32" s="130" t="s">
        <v>734</v>
      </c>
      <c r="C32" s="132" t="s">
        <v>150</v>
      </c>
      <c r="D32" s="129">
        <v>1</v>
      </c>
      <c r="E32" s="129">
        <v>35.661200999999998</v>
      </c>
      <c r="F32" s="129">
        <v>35.661200999999998</v>
      </c>
      <c r="G32" s="129">
        <v>120</v>
      </c>
      <c r="H32" s="129">
        <v>120</v>
      </c>
      <c r="I32" s="131" t="s">
        <v>87</v>
      </c>
      <c r="J32" s="132" t="s">
        <v>102</v>
      </c>
      <c r="K32" s="130" t="s">
        <v>684</v>
      </c>
      <c r="L32" s="6" t="str">
        <f t="shared" si="0"/>
        <v>005-00000016</v>
      </c>
    </row>
    <row r="33" spans="1:12" hidden="1" x14ac:dyDescent="0.25">
      <c r="A33" s="130" t="s">
        <v>1036</v>
      </c>
      <c r="B33" s="130" t="s">
        <v>1037</v>
      </c>
      <c r="C33" s="132" t="s">
        <v>150</v>
      </c>
      <c r="D33" s="129">
        <v>1</v>
      </c>
      <c r="E33" s="129">
        <v>16.334499000000001</v>
      </c>
      <c r="F33" s="129">
        <v>16.334499000000005</v>
      </c>
      <c r="G33" s="129">
        <v>55.080002000000007</v>
      </c>
      <c r="H33" s="129">
        <v>55.080002000000015</v>
      </c>
      <c r="I33" s="131" t="s">
        <v>87</v>
      </c>
      <c r="J33" s="132" t="s">
        <v>102</v>
      </c>
      <c r="K33" s="130" t="s">
        <v>684</v>
      </c>
      <c r="L33" s="6" t="str">
        <f t="shared" si="0"/>
        <v>005-00000016</v>
      </c>
    </row>
    <row r="34" spans="1:12" hidden="1" x14ac:dyDescent="0.25">
      <c r="A34" s="130" t="s">
        <v>1038</v>
      </c>
      <c r="B34" s="130" t="s">
        <v>1039</v>
      </c>
      <c r="C34" s="132" t="s">
        <v>150</v>
      </c>
      <c r="D34" s="129">
        <v>2</v>
      </c>
      <c r="E34" s="25">
        <v>41.604800999999995</v>
      </c>
      <c r="F34" s="25">
        <v>83.20960199999999</v>
      </c>
      <c r="G34" s="25">
        <v>140</v>
      </c>
      <c r="H34" s="25">
        <v>280</v>
      </c>
      <c r="I34" s="131" t="s">
        <v>87</v>
      </c>
      <c r="J34" s="132" t="s">
        <v>102</v>
      </c>
      <c r="K34" s="130" t="s">
        <v>684</v>
      </c>
      <c r="L34" s="6" t="str">
        <f t="shared" si="0"/>
        <v>005-00000016</v>
      </c>
    </row>
    <row r="35" spans="1:12" hidden="1" x14ac:dyDescent="0.25">
      <c r="A35" s="130" t="s">
        <v>192</v>
      </c>
      <c r="B35" s="130" t="s">
        <v>203</v>
      </c>
      <c r="C35" s="132" t="s">
        <v>150</v>
      </c>
      <c r="D35" s="129">
        <v>1</v>
      </c>
      <c r="E35" s="129">
        <v>2.2584</v>
      </c>
      <c r="F35" s="129">
        <v>2.2584</v>
      </c>
      <c r="G35" s="129">
        <v>7.5995998</v>
      </c>
      <c r="H35" s="129">
        <v>7.5995998</v>
      </c>
      <c r="I35" s="131" t="s">
        <v>87</v>
      </c>
      <c r="J35" s="132" t="s">
        <v>102</v>
      </c>
      <c r="K35" s="130" t="s">
        <v>684</v>
      </c>
      <c r="L35" s="6" t="str">
        <f t="shared" si="0"/>
        <v>005-00000016</v>
      </c>
    </row>
    <row r="36" spans="1:12" hidden="1" x14ac:dyDescent="0.25">
      <c r="A36" s="130" t="s">
        <v>206</v>
      </c>
      <c r="B36" s="130" t="s">
        <v>207</v>
      </c>
      <c r="C36" s="132" t="s">
        <v>150</v>
      </c>
      <c r="D36" s="129">
        <v>1</v>
      </c>
      <c r="E36" s="129">
        <v>3.2721</v>
      </c>
      <c r="F36" s="129">
        <v>3.2721</v>
      </c>
      <c r="G36" s="129">
        <v>11.0106</v>
      </c>
      <c r="H36" s="129">
        <v>11.010600000000002</v>
      </c>
      <c r="I36" s="131" t="s">
        <v>87</v>
      </c>
      <c r="J36" s="132" t="s">
        <v>102</v>
      </c>
      <c r="K36" s="130" t="s">
        <v>684</v>
      </c>
      <c r="L36" s="6" t="str">
        <f t="shared" si="0"/>
        <v>005-00000016</v>
      </c>
    </row>
    <row r="37" spans="1:12" hidden="1" x14ac:dyDescent="0.25">
      <c r="A37" s="130" t="s">
        <v>1040</v>
      </c>
      <c r="B37" s="130" t="s">
        <v>408</v>
      </c>
      <c r="C37" s="132" t="s">
        <v>150</v>
      </c>
      <c r="D37" s="129">
        <v>4</v>
      </c>
      <c r="E37" s="25">
        <v>3.4015</v>
      </c>
      <c r="F37" s="25">
        <v>13.606000000000002</v>
      </c>
      <c r="G37" s="25">
        <v>11.47</v>
      </c>
      <c r="H37" s="25">
        <v>45.88</v>
      </c>
      <c r="I37" s="131" t="s">
        <v>87</v>
      </c>
      <c r="J37" s="132" t="s">
        <v>102</v>
      </c>
      <c r="K37" s="130" t="s">
        <v>684</v>
      </c>
      <c r="L37" s="6" t="str">
        <f t="shared" si="0"/>
        <v>005-00000016</v>
      </c>
    </row>
    <row r="38" spans="1:12" hidden="1" x14ac:dyDescent="0.25">
      <c r="A38" s="130" t="s">
        <v>227</v>
      </c>
      <c r="B38" s="130" t="s">
        <v>194</v>
      </c>
      <c r="C38" s="132" t="s">
        <v>88</v>
      </c>
      <c r="D38" s="129">
        <v>1</v>
      </c>
      <c r="E38" s="129">
        <v>1.7628999999999999</v>
      </c>
      <c r="F38" s="129">
        <v>1.7628999999999997</v>
      </c>
      <c r="G38" s="129">
        <v>5.9321999999999999</v>
      </c>
      <c r="H38" s="129">
        <v>5.9322000000000017</v>
      </c>
      <c r="I38" s="131" t="s">
        <v>87</v>
      </c>
      <c r="J38" s="132" t="s">
        <v>102</v>
      </c>
      <c r="K38" s="130" t="s">
        <v>684</v>
      </c>
      <c r="L38" s="6" t="str">
        <f t="shared" si="0"/>
        <v>005-00000016</v>
      </c>
    </row>
    <row r="39" spans="1:12" hidden="1" x14ac:dyDescent="0.25">
      <c r="A39" s="130" t="s">
        <v>1032</v>
      </c>
      <c r="B39" s="130" t="s">
        <v>1033</v>
      </c>
      <c r="C39" s="132" t="s">
        <v>88</v>
      </c>
      <c r="D39" s="129">
        <v>0.25</v>
      </c>
      <c r="E39" s="129">
        <v>12.573600000000001</v>
      </c>
      <c r="F39" s="129">
        <v>3.1434000000000011</v>
      </c>
      <c r="G39" s="129">
        <v>42.372897999999992</v>
      </c>
      <c r="H39" s="129">
        <v>10.593224499999996</v>
      </c>
      <c r="I39" s="131" t="s">
        <v>87</v>
      </c>
      <c r="J39" s="132" t="s">
        <v>102</v>
      </c>
      <c r="K39" s="130" t="s">
        <v>684</v>
      </c>
      <c r="L39" s="6" t="str">
        <f t="shared" si="0"/>
        <v>005-00000016</v>
      </c>
    </row>
    <row r="40" spans="1:12" hidden="1" x14ac:dyDescent="0.25">
      <c r="A40" s="130" t="s">
        <v>280</v>
      </c>
      <c r="B40" s="130" t="s">
        <v>281</v>
      </c>
      <c r="C40" s="132" t="s">
        <v>150</v>
      </c>
      <c r="D40" s="129">
        <v>1</v>
      </c>
      <c r="E40" s="129">
        <v>26.767900000000001</v>
      </c>
      <c r="F40" s="129">
        <v>26.767900000000004</v>
      </c>
      <c r="G40" s="129">
        <v>90</v>
      </c>
      <c r="H40" s="129">
        <v>90</v>
      </c>
      <c r="I40" s="131" t="s">
        <v>87</v>
      </c>
      <c r="J40" s="132" t="s">
        <v>102</v>
      </c>
      <c r="K40" s="130" t="s">
        <v>683</v>
      </c>
      <c r="L40" s="6" t="str">
        <f t="shared" si="0"/>
        <v>005-00000017</v>
      </c>
    </row>
    <row r="41" spans="1:12" hidden="1" x14ac:dyDescent="0.25">
      <c r="A41" s="130" t="s">
        <v>333</v>
      </c>
      <c r="B41" s="130" t="s">
        <v>334</v>
      </c>
      <c r="C41" s="132" t="s">
        <v>150</v>
      </c>
      <c r="D41" s="129">
        <v>1</v>
      </c>
      <c r="E41" s="129">
        <v>5.8231000999999996</v>
      </c>
      <c r="F41" s="129">
        <v>5.8231001000000004</v>
      </c>
      <c r="G41" s="129">
        <v>19.489999999999998</v>
      </c>
      <c r="H41" s="129">
        <v>19.489999999999998</v>
      </c>
      <c r="I41" s="131" t="s">
        <v>87</v>
      </c>
      <c r="J41" s="132" t="s">
        <v>102</v>
      </c>
      <c r="K41" s="130" t="s">
        <v>683</v>
      </c>
      <c r="L41" s="6" t="str">
        <f t="shared" si="0"/>
        <v>005-00000017</v>
      </c>
    </row>
    <row r="42" spans="1:12" hidden="1" x14ac:dyDescent="0.25">
      <c r="A42" s="130" t="s">
        <v>360</v>
      </c>
      <c r="B42" s="130" t="s">
        <v>361</v>
      </c>
      <c r="C42" s="132" t="s">
        <v>150</v>
      </c>
      <c r="D42" s="129">
        <v>2</v>
      </c>
      <c r="E42" s="129">
        <v>0.12590000000000001</v>
      </c>
      <c r="F42" s="129">
        <v>0.25180000000000002</v>
      </c>
      <c r="G42" s="129">
        <v>0.42370000000000002</v>
      </c>
      <c r="H42" s="129">
        <v>0.84740000000000004</v>
      </c>
      <c r="I42" s="131" t="s">
        <v>87</v>
      </c>
      <c r="J42" s="132" t="s">
        <v>102</v>
      </c>
      <c r="K42" s="130" t="s">
        <v>683</v>
      </c>
      <c r="L42" s="6" t="str">
        <f t="shared" si="0"/>
        <v>005-00000017</v>
      </c>
    </row>
    <row r="43" spans="1:12" hidden="1" x14ac:dyDescent="0.25">
      <c r="A43" s="130" t="s">
        <v>366</v>
      </c>
      <c r="B43" s="130" t="s">
        <v>367</v>
      </c>
      <c r="C43" s="132" t="s">
        <v>153</v>
      </c>
      <c r="D43" s="129">
        <v>1</v>
      </c>
      <c r="E43" s="129">
        <v>12.514099999999999</v>
      </c>
      <c r="F43" s="129">
        <v>12.514099999999999</v>
      </c>
      <c r="G43" s="129">
        <v>42.009998000000003</v>
      </c>
      <c r="H43" s="129">
        <v>42.009998000000003</v>
      </c>
      <c r="I43" s="131" t="s">
        <v>87</v>
      </c>
      <c r="J43" s="132" t="s">
        <v>102</v>
      </c>
      <c r="K43" s="130" t="s">
        <v>683</v>
      </c>
      <c r="L43" s="6" t="str">
        <f t="shared" si="0"/>
        <v>005-00000017</v>
      </c>
    </row>
    <row r="44" spans="1:12" hidden="1" x14ac:dyDescent="0.25">
      <c r="A44" s="130" t="s">
        <v>372</v>
      </c>
      <c r="B44" s="130" t="s">
        <v>373</v>
      </c>
      <c r="C44" s="132" t="s">
        <v>153</v>
      </c>
      <c r="D44" s="129">
        <v>1</v>
      </c>
      <c r="E44" s="129">
        <v>12.514099999999999</v>
      </c>
      <c r="F44" s="129">
        <v>12.514099999999999</v>
      </c>
      <c r="G44" s="129">
        <v>42.009998000000003</v>
      </c>
      <c r="H44" s="129">
        <v>42.009998000000003</v>
      </c>
      <c r="I44" s="131" t="s">
        <v>87</v>
      </c>
      <c r="J44" s="132" t="s">
        <v>102</v>
      </c>
      <c r="K44" s="130" t="s">
        <v>683</v>
      </c>
      <c r="L44" s="6" t="str">
        <f t="shared" si="0"/>
        <v>005-00000017</v>
      </c>
    </row>
    <row r="45" spans="1:12" hidden="1" x14ac:dyDescent="0.25">
      <c r="A45" s="130" t="s">
        <v>406</v>
      </c>
      <c r="B45" s="130" t="s">
        <v>407</v>
      </c>
      <c r="C45" s="132" t="s">
        <v>153</v>
      </c>
      <c r="D45" s="129">
        <v>1</v>
      </c>
      <c r="E45" s="129">
        <v>58.237202000000003</v>
      </c>
      <c r="F45" s="129">
        <v>58.237201999999996</v>
      </c>
      <c r="G45" s="129">
        <v>194.92</v>
      </c>
      <c r="H45" s="129">
        <v>194.92</v>
      </c>
      <c r="I45" s="131" t="s">
        <v>87</v>
      </c>
      <c r="J45" s="132" t="s">
        <v>102</v>
      </c>
      <c r="K45" s="130" t="s">
        <v>683</v>
      </c>
      <c r="L45" s="6" t="str">
        <f t="shared" si="0"/>
        <v>005-00000017</v>
      </c>
    </row>
    <row r="46" spans="1:12" hidden="1" x14ac:dyDescent="0.25">
      <c r="A46" s="130" t="s">
        <v>204</v>
      </c>
      <c r="B46" s="130" t="s">
        <v>205</v>
      </c>
      <c r="C46" s="132" t="s">
        <v>150</v>
      </c>
      <c r="D46" s="129">
        <v>1</v>
      </c>
      <c r="E46" s="25">
        <v>3.0901000000000001</v>
      </c>
      <c r="F46" s="25">
        <v>3.0901000000000001</v>
      </c>
      <c r="G46" s="25">
        <v>10.398300000000001</v>
      </c>
      <c r="H46" s="25">
        <v>10.398299999999999</v>
      </c>
      <c r="I46" s="131" t="s">
        <v>87</v>
      </c>
      <c r="J46" s="132" t="s">
        <v>102</v>
      </c>
      <c r="K46" s="130" t="s">
        <v>683</v>
      </c>
      <c r="L46" s="6" t="str">
        <f t="shared" si="0"/>
        <v>005-00000017</v>
      </c>
    </row>
    <row r="47" spans="1:12" hidden="1" x14ac:dyDescent="0.25">
      <c r="A47" s="130" t="s">
        <v>1041</v>
      </c>
      <c r="B47" s="130" t="s">
        <v>1042</v>
      </c>
      <c r="C47" s="132" t="s">
        <v>150</v>
      </c>
      <c r="D47" s="129">
        <v>1</v>
      </c>
      <c r="E47" s="129">
        <v>1.5079</v>
      </c>
      <c r="F47" s="129">
        <v>1.5078999999999996</v>
      </c>
      <c r="G47" s="129">
        <v>5.0847001000000001</v>
      </c>
      <c r="H47" s="129">
        <v>5.0847001000000001</v>
      </c>
      <c r="I47" s="131" t="s">
        <v>87</v>
      </c>
      <c r="J47" s="132" t="s">
        <v>102</v>
      </c>
      <c r="K47" s="130" t="s">
        <v>683</v>
      </c>
      <c r="L47" s="6" t="str">
        <f t="shared" si="0"/>
        <v>005-00000017</v>
      </c>
    </row>
    <row r="48" spans="1:12" hidden="1" x14ac:dyDescent="0.25">
      <c r="A48" s="130" t="s">
        <v>572</v>
      </c>
      <c r="B48" s="130" t="s">
        <v>408</v>
      </c>
      <c r="C48" s="132" t="s">
        <v>150</v>
      </c>
      <c r="D48" s="129">
        <v>4</v>
      </c>
      <c r="E48" s="129">
        <v>2.6895001000000001</v>
      </c>
      <c r="F48" s="129">
        <v>10.7580004</v>
      </c>
      <c r="G48" s="129">
        <v>9.0501003000000004</v>
      </c>
      <c r="H48" s="129">
        <v>36.200401199999995</v>
      </c>
      <c r="I48" s="131" t="s">
        <v>87</v>
      </c>
      <c r="J48" s="132" t="s">
        <v>102</v>
      </c>
      <c r="K48" s="130" t="s">
        <v>683</v>
      </c>
      <c r="L48" s="6" t="str">
        <f t="shared" si="0"/>
        <v>005-00000017</v>
      </c>
    </row>
    <row r="49" spans="1:12" hidden="1" x14ac:dyDescent="0.25">
      <c r="A49" s="130" t="s">
        <v>227</v>
      </c>
      <c r="B49" s="130" t="s">
        <v>194</v>
      </c>
      <c r="C49" s="132" t="s">
        <v>88</v>
      </c>
      <c r="D49" s="129">
        <v>1</v>
      </c>
      <c r="E49" s="129">
        <v>1.7628999999999999</v>
      </c>
      <c r="F49" s="129">
        <v>1.7628999999999997</v>
      </c>
      <c r="G49" s="129">
        <v>5.9321999999999999</v>
      </c>
      <c r="H49" s="129">
        <v>5.9322000000000017</v>
      </c>
      <c r="I49" s="131" t="s">
        <v>87</v>
      </c>
      <c r="J49" s="132" t="s">
        <v>102</v>
      </c>
      <c r="K49" s="130" t="s">
        <v>683</v>
      </c>
      <c r="L49" s="6" t="str">
        <f t="shared" si="0"/>
        <v>005-00000017</v>
      </c>
    </row>
    <row r="50" spans="1:12" hidden="1" x14ac:dyDescent="0.25">
      <c r="A50" s="130" t="s">
        <v>1032</v>
      </c>
      <c r="B50" s="130" t="s">
        <v>1033</v>
      </c>
      <c r="C50" s="132" t="s">
        <v>88</v>
      </c>
      <c r="D50" s="129">
        <v>0.25</v>
      </c>
      <c r="E50" s="129">
        <v>12.573600000000001</v>
      </c>
      <c r="F50" s="129">
        <v>3.1434000000000011</v>
      </c>
      <c r="G50" s="129">
        <v>42.372897999999992</v>
      </c>
      <c r="H50" s="129">
        <v>10.593224499999996</v>
      </c>
      <c r="I50" s="131" t="s">
        <v>87</v>
      </c>
      <c r="J50" s="132" t="s">
        <v>102</v>
      </c>
      <c r="K50" s="130" t="s">
        <v>683</v>
      </c>
      <c r="L50" s="6" t="str">
        <f t="shared" si="0"/>
        <v>005-00000017</v>
      </c>
    </row>
    <row r="51" spans="1:12" hidden="1" x14ac:dyDescent="0.25">
      <c r="A51" s="130" t="s">
        <v>1034</v>
      </c>
      <c r="B51" s="130" t="s">
        <v>1035</v>
      </c>
      <c r="C51" s="132" t="s">
        <v>88</v>
      </c>
      <c r="D51" s="129">
        <v>1</v>
      </c>
      <c r="E51" s="129">
        <v>11.861700000000001</v>
      </c>
      <c r="F51" s="129">
        <v>11.861700000000001</v>
      </c>
      <c r="G51" s="129">
        <v>39.701000000000001</v>
      </c>
      <c r="H51" s="129">
        <v>39.701000000000001</v>
      </c>
      <c r="I51" s="131" t="s">
        <v>87</v>
      </c>
      <c r="J51" s="132" t="s">
        <v>102</v>
      </c>
      <c r="K51" s="130" t="s">
        <v>683</v>
      </c>
      <c r="L51" s="6" t="str">
        <f t="shared" si="0"/>
        <v>005-00000017</v>
      </c>
    </row>
    <row r="52" spans="1:12" hidden="1" x14ac:dyDescent="0.25">
      <c r="A52" s="130" t="s">
        <v>300</v>
      </c>
      <c r="B52" s="130" t="s">
        <v>301</v>
      </c>
      <c r="C52" s="132" t="s">
        <v>88</v>
      </c>
      <c r="D52" s="129">
        <v>0.75</v>
      </c>
      <c r="E52" s="129">
        <v>12.76</v>
      </c>
      <c r="F52" s="129">
        <v>9.57</v>
      </c>
      <c r="G52" s="129">
        <v>42.930999999999997</v>
      </c>
      <c r="H52" s="129">
        <v>32.198249999999987</v>
      </c>
      <c r="I52" s="131" t="s">
        <v>87</v>
      </c>
      <c r="J52" s="132" t="s">
        <v>102</v>
      </c>
      <c r="K52" s="130" t="s">
        <v>683</v>
      </c>
      <c r="L52" s="6" t="str">
        <f t="shared" si="0"/>
        <v>005-00000017</v>
      </c>
    </row>
    <row r="53" spans="1:12" hidden="1" x14ac:dyDescent="0.25">
      <c r="A53" s="130" t="s">
        <v>224</v>
      </c>
      <c r="B53" s="130" t="s">
        <v>225</v>
      </c>
      <c r="C53" s="132" t="s">
        <v>226</v>
      </c>
      <c r="D53" s="129">
        <v>1</v>
      </c>
      <c r="E53" s="129">
        <v>61.75</v>
      </c>
      <c r="F53" s="129">
        <v>61.75</v>
      </c>
      <c r="G53" s="129">
        <v>207.29480000000001</v>
      </c>
      <c r="H53" s="129">
        <v>207.29479999999995</v>
      </c>
      <c r="I53" s="131" t="s">
        <v>87</v>
      </c>
      <c r="J53" s="132" t="s">
        <v>102</v>
      </c>
      <c r="K53" s="130" t="s">
        <v>682</v>
      </c>
      <c r="L53" s="6" t="str">
        <f t="shared" si="0"/>
        <v>005-00000018</v>
      </c>
    </row>
    <row r="54" spans="1:12" hidden="1" x14ac:dyDescent="0.25">
      <c r="A54" s="130" t="s">
        <v>280</v>
      </c>
      <c r="B54" s="130" t="s">
        <v>281</v>
      </c>
      <c r="C54" s="132" t="s">
        <v>150</v>
      </c>
      <c r="D54" s="129">
        <v>1</v>
      </c>
      <c r="E54" s="129">
        <v>26.767900000000001</v>
      </c>
      <c r="F54" s="129">
        <v>26.767900000000004</v>
      </c>
      <c r="G54" s="129">
        <v>90</v>
      </c>
      <c r="H54" s="129">
        <v>90</v>
      </c>
      <c r="I54" s="131" t="s">
        <v>87</v>
      </c>
      <c r="J54" s="132" t="s">
        <v>102</v>
      </c>
      <c r="K54" s="130" t="s">
        <v>682</v>
      </c>
      <c r="L54" s="6" t="str">
        <f t="shared" si="0"/>
        <v>005-00000018</v>
      </c>
    </row>
    <row r="55" spans="1:12" hidden="1" x14ac:dyDescent="0.25">
      <c r="A55" s="130" t="s">
        <v>464</v>
      </c>
      <c r="B55" s="130" t="s">
        <v>465</v>
      </c>
      <c r="C55" s="132" t="s">
        <v>150</v>
      </c>
      <c r="D55" s="129">
        <v>1</v>
      </c>
      <c r="E55" s="129">
        <v>4.5237999000000002</v>
      </c>
      <c r="F55" s="129">
        <v>4.5237999000000011</v>
      </c>
      <c r="G55" s="129">
        <v>15.254200000000001</v>
      </c>
      <c r="H55" s="129">
        <v>15.254200000000001</v>
      </c>
      <c r="I55" s="131" t="s">
        <v>87</v>
      </c>
      <c r="J55" s="132" t="s">
        <v>102</v>
      </c>
      <c r="K55" s="130" t="s">
        <v>682</v>
      </c>
      <c r="L55" s="6" t="str">
        <f t="shared" si="0"/>
        <v>005-00000018</v>
      </c>
    </row>
    <row r="56" spans="1:12" hidden="1" x14ac:dyDescent="0.25">
      <c r="A56" s="130" t="s">
        <v>1043</v>
      </c>
      <c r="B56" s="130" t="s">
        <v>160</v>
      </c>
      <c r="C56" s="132" t="s">
        <v>150</v>
      </c>
      <c r="D56" s="129">
        <v>1</v>
      </c>
      <c r="E56" s="129">
        <v>8.8142996</v>
      </c>
      <c r="F56" s="129">
        <v>8.8142996</v>
      </c>
      <c r="G56" s="129">
        <v>29.66</v>
      </c>
      <c r="H56" s="129">
        <v>29.66</v>
      </c>
      <c r="I56" s="131" t="s">
        <v>87</v>
      </c>
      <c r="J56" s="132" t="s">
        <v>102</v>
      </c>
      <c r="K56" s="130" t="s">
        <v>682</v>
      </c>
      <c r="L56" s="6" t="str">
        <f t="shared" si="0"/>
        <v>005-00000018</v>
      </c>
    </row>
    <row r="57" spans="1:12" hidden="1" x14ac:dyDescent="0.25">
      <c r="A57" s="130" t="s">
        <v>227</v>
      </c>
      <c r="B57" s="130" t="s">
        <v>194</v>
      </c>
      <c r="C57" s="132" t="s">
        <v>88</v>
      </c>
      <c r="D57" s="129">
        <v>1</v>
      </c>
      <c r="E57" s="129">
        <v>1.7628999999999999</v>
      </c>
      <c r="F57" s="129">
        <v>1.7628999999999997</v>
      </c>
      <c r="G57" s="129">
        <v>5.9321999999999999</v>
      </c>
      <c r="H57" s="129">
        <v>5.9322000000000017</v>
      </c>
      <c r="I57" s="131" t="s">
        <v>87</v>
      </c>
      <c r="J57" s="132" t="s">
        <v>102</v>
      </c>
      <c r="K57" s="130" t="s">
        <v>682</v>
      </c>
      <c r="L57" s="6" t="str">
        <f t="shared" si="0"/>
        <v>005-00000018</v>
      </c>
    </row>
    <row r="58" spans="1:12" hidden="1" x14ac:dyDescent="0.25">
      <c r="A58" s="130" t="s">
        <v>222</v>
      </c>
      <c r="B58" s="130" t="s">
        <v>223</v>
      </c>
      <c r="C58" s="132" t="s">
        <v>150</v>
      </c>
      <c r="D58" s="129">
        <v>1</v>
      </c>
      <c r="E58" s="25">
        <v>7.5665998000000005</v>
      </c>
      <c r="F58" s="25">
        <v>7.5665997999999988</v>
      </c>
      <c r="G58" s="25">
        <v>25.4237</v>
      </c>
      <c r="H58" s="25">
        <v>25.423700000000004</v>
      </c>
      <c r="I58" s="131" t="s">
        <v>87</v>
      </c>
      <c r="J58" s="132" t="s">
        <v>102</v>
      </c>
      <c r="K58" s="130" t="s">
        <v>681</v>
      </c>
      <c r="L58" s="6" t="str">
        <f t="shared" si="0"/>
        <v>005-00000019</v>
      </c>
    </row>
    <row r="59" spans="1:12" hidden="1" x14ac:dyDescent="0.25">
      <c r="A59" s="130" t="s">
        <v>234</v>
      </c>
      <c r="B59" s="130" t="s">
        <v>235</v>
      </c>
      <c r="C59" s="132" t="s">
        <v>153</v>
      </c>
      <c r="D59" s="129">
        <v>1</v>
      </c>
      <c r="E59" s="129">
        <v>11.325200000000001</v>
      </c>
      <c r="F59" s="129">
        <v>11.325200000000002</v>
      </c>
      <c r="G59" s="129">
        <v>38.135601000000001</v>
      </c>
      <c r="H59" s="129">
        <v>38.135601000000001</v>
      </c>
      <c r="I59" s="131" t="s">
        <v>87</v>
      </c>
      <c r="J59" s="132" t="s">
        <v>102</v>
      </c>
      <c r="K59" s="130" t="s">
        <v>681</v>
      </c>
      <c r="L59" s="6" t="str">
        <f t="shared" si="0"/>
        <v>005-00000019</v>
      </c>
    </row>
    <row r="60" spans="1:12" hidden="1" x14ac:dyDescent="0.25">
      <c r="A60" s="130" t="s">
        <v>280</v>
      </c>
      <c r="B60" s="130" t="s">
        <v>281</v>
      </c>
      <c r="C60" s="132" t="s">
        <v>150</v>
      </c>
      <c r="D60" s="129">
        <v>1</v>
      </c>
      <c r="E60" s="129">
        <v>26.767900000000001</v>
      </c>
      <c r="F60" s="129">
        <v>26.767900000000004</v>
      </c>
      <c r="G60" s="129">
        <v>90</v>
      </c>
      <c r="H60" s="129">
        <v>90</v>
      </c>
      <c r="I60" s="131" t="s">
        <v>87</v>
      </c>
      <c r="J60" s="132" t="s">
        <v>102</v>
      </c>
      <c r="K60" s="130" t="s">
        <v>681</v>
      </c>
      <c r="L60" s="6" t="str">
        <f t="shared" si="0"/>
        <v>005-00000019</v>
      </c>
    </row>
    <row r="61" spans="1:12" hidden="1" x14ac:dyDescent="0.25">
      <c r="A61" s="130" t="s">
        <v>282</v>
      </c>
      <c r="B61" s="130" t="s">
        <v>283</v>
      </c>
      <c r="C61" s="132" t="s">
        <v>150</v>
      </c>
      <c r="D61" s="129">
        <v>1</v>
      </c>
      <c r="E61" s="129">
        <v>26.726101</v>
      </c>
      <c r="F61" s="129">
        <v>26.726101</v>
      </c>
      <c r="G61" s="129">
        <v>90</v>
      </c>
      <c r="H61" s="129">
        <v>90</v>
      </c>
      <c r="I61" s="131" t="s">
        <v>87</v>
      </c>
      <c r="J61" s="132" t="s">
        <v>102</v>
      </c>
      <c r="K61" s="130" t="s">
        <v>681</v>
      </c>
      <c r="L61" s="6" t="str">
        <f t="shared" si="0"/>
        <v>005-00000019</v>
      </c>
    </row>
    <row r="62" spans="1:12" hidden="1" x14ac:dyDescent="0.25">
      <c r="A62" s="130" t="s">
        <v>309</v>
      </c>
      <c r="B62" s="130" t="s">
        <v>310</v>
      </c>
      <c r="C62" s="132" t="s">
        <v>150</v>
      </c>
      <c r="D62" s="129">
        <v>1</v>
      </c>
      <c r="E62" s="25">
        <v>2.5259999999999998</v>
      </c>
      <c r="F62" s="25">
        <v>2.5259999999999998</v>
      </c>
      <c r="G62" s="25">
        <v>8.4745998</v>
      </c>
      <c r="H62" s="25">
        <v>8.4745998</v>
      </c>
      <c r="I62" s="131" t="s">
        <v>87</v>
      </c>
      <c r="J62" s="132" t="s">
        <v>102</v>
      </c>
      <c r="K62" s="130" t="s">
        <v>681</v>
      </c>
      <c r="L62" s="6" t="str">
        <f t="shared" si="0"/>
        <v>005-00000019</v>
      </c>
    </row>
    <row r="63" spans="1:12" hidden="1" x14ac:dyDescent="0.25">
      <c r="A63" s="130" t="s">
        <v>360</v>
      </c>
      <c r="B63" s="130" t="s">
        <v>361</v>
      </c>
      <c r="C63" s="132" t="s">
        <v>150</v>
      </c>
      <c r="D63" s="129">
        <v>2</v>
      </c>
      <c r="E63" s="129">
        <v>0.12590000000000001</v>
      </c>
      <c r="F63" s="129">
        <v>0.25180000000000002</v>
      </c>
      <c r="G63" s="129">
        <v>0.42370000000000002</v>
      </c>
      <c r="H63" s="129">
        <v>0.84740000000000004</v>
      </c>
      <c r="I63" s="131" t="s">
        <v>87</v>
      </c>
      <c r="J63" s="132" t="s">
        <v>102</v>
      </c>
      <c r="K63" s="130" t="s">
        <v>681</v>
      </c>
      <c r="L63" s="6" t="str">
        <f t="shared" si="0"/>
        <v>005-00000019</v>
      </c>
    </row>
    <row r="64" spans="1:12" hidden="1" x14ac:dyDescent="0.25">
      <c r="A64" s="130" t="s">
        <v>358</v>
      </c>
      <c r="B64" s="130" t="s">
        <v>359</v>
      </c>
      <c r="C64" s="132" t="s">
        <v>150</v>
      </c>
      <c r="D64" s="129">
        <v>1</v>
      </c>
      <c r="E64" s="129">
        <v>11.869400000000001</v>
      </c>
      <c r="F64" s="129">
        <v>11.869400000000002</v>
      </c>
      <c r="G64" s="129">
        <v>40</v>
      </c>
      <c r="H64" s="129">
        <v>40</v>
      </c>
      <c r="I64" s="131" t="s">
        <v>87</v>
      </c>
      <c r="J64" s="132" t="s">
        <v>102</v>
      </c>
      <c r="K64" s="130" t="s">
        <v>681</v>
      </c>
      <c r="L64" s="6" t="str">
        <f t="shared" si="0"/>
        <v>005-00000019</v>
      </c>
    </row>
    <row r="65" spans="1:12" hidden="1" x14ac:dyDescent="0.25">
      <c r="A65" s="130" t="s">
        <v>366</v>
      </c>
      <c r="B65" s="130" t="s">
        <v>367</v>
      </c>
      <c r="C65" s="132" t="s">
        <v>153</v>
      </c>
      <c r="D65" s="129">
        <v>1</v>
      </c>
      <c r="E65" s="129">
        <v>12.514099999999999</v>
      </c>
      <c r="F65" s="129">
        <v>12.514099999999999</v>
      </c>
      <c r="G65" s="129">
        <v>42.009998000000003</v>
      </c>
      <c r="H65" s="129">
        <v>42.009998000000003</v>
      </c>
      <c r="I65" s="131" t="s">
        <v>87</v>
      </c>
      <c r="J65" s="132" t="s">
        <v>102</v>
      </c>
      <c r="K65" s="130" t="s">
        <v>681</v>
      </c>
      <c r="L65" s="6" t="str">
        <f t="shared" si="0"/>
        <v>005-00000019</v>
      </c>
    </row>
    <row r="66" spans="1:12" hidden="1" x14ac:dyDescent="0.25">
      <c r="A66" s="130" t="s">
        <v>372</v>
      </c>
      <c r="B66" s="130" t="s">
        <v>373</v>
      </c>
      <c r="C66" s="132" t="s">
        <v>153</v>
      </c>
      <c r="D66" s="129">
        <v>1</v>
      </c>
      <c r="E66" s="129">
        <v>12.514099999999999</v>
      </c>
      <c r="F66" s="129">
        <v>12.514099999999999</v>
      </c>
      <c r="G66" s="129">
        <v>42.009998000000003</v>
      </c>
      <c r="H66" s="129">
        <v>42.009998000000003</v>
      </c>
      <c r="I66" s="131" t="s">
        <v>87</v>
      </c>
      <c r="J66" s="132" t="s">
        <v>102</v>
      </c>
      <c r="K66" s="130" t="s">
        <v>681</v>
      </c>
      <c r="L66" s="6" t="str">
        <f t="shared" si="0"/>
        <v>005-00000019</v>
      </c>
    </row>
    <row r="67" spans="1:12" hidden="1" x14ac:dyDescent="0.25">
      <c r="A67" s="130" t="s">
        <v>378</v>
      </c>
      <c r="B67" s="130" t="s">
        <v>379</v>
      </c>
      <c r="C67" s="132" t="s">
        <v>153</v>
      </c>
      <c r="D67" s="129">
        <v>1</v>
      </c>
      <c r="E67" s="129">
        <v>17.629100999999999</v>
      </c>
      <c r="F67" s="129">
        <v>17.629100999999999</v>
      </c>
      <c r="G67" s="129">
        <v>59.321998999999998</v>
      </c>
      <c r="H67" s="129">
        <v>59.321998999999998</v>
      </c>
      <c r="I67" s="131" t="s">
        <v>87</v>
      </c>
      <c r="J67" s="132" t="s">
        <v>102</v>
      </c>
      <c r="K67" s="130" t="s">
        <v>681</v>
      </c>
      <c r="L67" s="6" t="str">
        <f t="shared" si="0"/>
        <v>005-00000019</v>
      </c>
    </row>
    <row r="68" spans="1:12" hidden="1" x14ac:dyDescent="0.25">
      <c r="A68" s="130" t="s">
        <v>380</v>
      </c>
      <c r="B68" s="130" t="s">
        <v>381</v>
      </c>
      <c r="C68" s="132" t="s">
        <v>150</v>
      </c>
      <c r="D68" s="129">
        <v>1</v>
      </c>
      <c r="E68" s="129">
        <v>89.268799000000001</v>
      </c>
      <c r="F68" s="129">
        <v>89.268799000000001</v>
      </c>
      <c r="G68" s="129">
        <v>300</v>
      </c>
      <c r="H68" s="129">
        <v>300</v>
      </c>
      <c r="I68" s="131" t="s">
        <v>87</v>
      </c>
      <c r="J68" s="132" t="s">
        <v>102</v>
      </c>
      <c r="K68" s="130" t="s">
        <v>681</v>
      </c>
      <c r="L68" s="6" t="str">
        <f t="shared" si="0"/>
        <v>005-00000019</v>
      </c>
    </row>
    <row r="69" spans="1:12" hidden="1" x14ac:dyDescent="0.25">
      <c r="A69" s="130" t="s">
        <v>405</v>
      </c>
      <c r="B69" s="130" t="s">
        <v>202</v>
      </c>
      <c r="C69" s="132" t="s">
        <v>150</v>
      </c>
      <c r="D69" s="129">
        <v>1</v>
      </c>
      <c r="E69" s="25">
        <v>3.7697999000000006</v>
      </c>
      <c r="F69" s="25">
        <v>3.7697999000000006</v>
      </c>
      <c r="G69" s="25">
        <v>12.7119</v>
      </c>
      <c r="H69" s="25">
        <v>12.711900000000004</v>
      </c>
      <c r="I69" s="131" t="s">
        <v>87</v>
      </c>
      <c r="J69" s="132" t="s">
        <v>102</v>
      </c>
      <c r="K69" s="130" t="s">
        <v>681</v>
      </c>
      <c r="L69" s="6" t="str">
        <f t="shared" ref="L69:L132" si="1">CONCATENATE(J69,"-",K69)</f>
        <v>005-00000019</v>
      </c>
    </row>
    <row r="70" spans="1:12" hidden="1" x14ac:dyDescent="0.25">
      <c r="A70" s="130" t="s">
        <v>439</v>
      </c>
      <c r="B70" s="130" t="s">
        <v>440</v>
      </c>
      <c r="C70" s="132" t="s">
        <v>150</v>
      </c>
      <c r="D70" s="129">
        <v>1</v>
      </c>
      <c r="E70" s="129">
        <v>83.086098000000007</v>
      </c>
      <c r="F70" s="129">
        <v>83.086097999999978</v>
      </c>
      <c r="G70" s="129">
        <v>280</v>
      </c>
      <c r="H70" s="129">
        <v>280</v>
      </c>
      <c r="I70" s="131" t="s">
        <v>87</v>
      </c>
      <c r="J70" s="132" t="s">
        <v>102</v>
      </c>
      <c r="K70" s="130" t="s">
        <v>681</v>
      </c>
      <c r="L70" s="6" t="str">
        <f t="shared" si="1"/>
        <v>005-00000019</v>
      </c>
    </row>
    <row r="71" spans="1:12" hidden="1" x14ac:dyDescent="0.25">
      <c r="A71" s="130" t="s">
        <v>567</v>
      </c>
      <c r="B71" s="130" t="s">
        <v>568</v>
      </c>
      <c r="C71" s="132" t="s">
        <v>150</v>
      </c>
      <c r="D71" s="129">
        <v>1</v>
      </c>
      <c r="E71" s="129">
        <v>13.380999999999998</v>
      </c>
      <c r="F71" s="129">
        <v>13.381000000000002</v>
      </c>
      <c r="G71" s="129">
        <v>45</v>
      </c>
      <c r="H71" s="129">
        <v>45</v>
      </c>
      <c r="I71" s="131" t="s">
        <v>87</v>
      </c>
      <c r="J71" s="132" t="s">
        <v>102</v>
      </c>
      <c r="K71" s="130" t="s">
        <v>681</v>
      </c>
      <c r="L71" s="6" t="str">
        <f t="shared" si="1"/>
        <v>005-00000019</v>
      </c>
    </row>
    <row r="72" spans="1:12" hidden="1" x14ac:dyDescent="0.25">
      <c r="A72" s="130" t="s">
        <v>192</v>
      </c>
      <c r="B72" s="130" t="s">
        <v>203</v>
      </c>
      <c r="C72" s="132" t="s">
        <v>150</v>
      </c>
      <c r="D72" s="129">
        <v>1</v>
      </c>
      <c r="E72" s="25">
        <v>2.2584</v>
      </c>
      <c r="F72" s="25">
        <v>2.2584</v>
      </c>
      <c r="G72" s="25">
        <v>7.5995998</v>
      </c>
      <c r="H72" s="25">
        <v>7.5995998</v>
      </c>
      <c r="I72" s="131" t="s">
        <v>87</v>
      </c>
      <c r="J72" s="132" t="s">
        <v>102</v>
      </c>
      <c r="K72" s="130" t="s">
        <v>681</v>
      </c>
      <c r="L72" s="6" t="str">
        <f t="shared" si="1"/>
        <v>005-00000019</v>
      </c>
    </row>
    <row r="73" spans="1:12" hidden="1" x14ac:dyDescent="0.25">
      <c r="A73" s="130" t="s">
        <v>572</v>
      </c>
      <c r="B73" s="130" t="s">
        <v>408</v>
      </c>
      <c r="C73" s="132" t="s">
        <v>150</v>
      </c>
      <c r="D73" s="129">
        <v>4</v>
      </c>
      <c r="E73" s="129">
        <v>2.6895001000000001</v>
      </c>
      <c r="F73" s="129">
        <v>10.7580004</v>
      </c>
      <c r="G73" s="129">
        <v>9.0501003000000004</v>
      </c>
      <c r="H73" s="129">
        <v>36.200401199999995</v>
      </c>
      <c r="I73" s="131" t="s">
        <v>87</v>
      </c>
      <c r="J73" s="132" t="s">
        <v>102</v>
      </c>
      <c r="K73" s="130" t="s">
        <v>681</v>
      </c>
      <c r="L73" s="6" t="str">
        <f t="shared" si="1"/>
        <v>005-00000019</v>
      </c>
    </row>
    <row r="74" spans="1:12" hidden="1" x14ac:dyDescent="0.25">
      <c r="A74" s="130" t="s">
        <v>227</v>
      </c>
      <c r="B74" s="130" t="s">
        <v>194</v>
      </c>
      <c r="C74" s="132" t="s">
        <v>88</v>
      </c>
      <c r="D74" s="129">
        <v>1</v>
      </c>
      <c r="E74" s="129">
        <v>1.7628999999999999</v>
      </c>
      <c r="F74" s="129">
        <v>1.7628999999999997</v>
      </c>
      <c r="G74" s="129">
        <v>5.9321999999999999</v>
      </c>
      <c r="H74" s="129">
        <v>5.9322000000000017</v>
      </c>
      <c r="I74" s="131" t="s">
        <v>87</v>
      </c>
      <c r="J74" s="132" t="s">
        <v>102</v>
      </c>
      <c r="K74" s="130" t="s">
        <v>681</v>
      </c>
      <c r="L74" s="6" t="str">
        <f t="shared" si="1"/>
        <v>005-00000019</v>
      </c>
    </row>
    <row r="75" spans="1:12" hidden="1" x14ac:dyDescent="0.25">
      <c r="A75" s="130" t="s">
        <v>529</v>
      </c>
      <c r="B75" s="130" t="s">
        <v>530</v>
      </c>
      <c r="C75" s="132" t="s">
        <v>88</v>
      </c>
      <c r="D75" s="129">
        <v>1</v>
      </c>
      <c r="E75" s="129">
        <v>14.7882</v>
      </c>
      <c r="F75" s="129">
        <v>14.788199999999996</v>
      </c>
      <c r="G75" s="129">
        <v>49.75519899999999</v>
      </c>
      <c r="H75" s="129">
        <v>49.75519899999999</v>
      </c>
      <c r="I75" s="131" t="s">
        <v>87</v>
      </c>
      <c r="J75" s="132" t="s">
        <v>102</v>
      </c>
      <c r="K75" s="130" t="s">
        <v>681</v>
      </c>
      <c r="L75" s="6" t="str">
        <f t="shared" si="1"/>
        <v>005-00000019</v>
      </c>
    </row>
    <row r="76" spans="1:12" hidden="1" x14ac:dyDescent="0.25">
      <c r="A76" s="130" t="s">
        <v>148</v>
      </c>
      <c r="B76" s="130" t="s">
        <v>149</v>
      </c>
      <c r="C76" s="132" t="s">
        <v>150</v>
      </c>
      <c r="D76" s="129">
        <v>1</v>
      </c>
      <c r="E76" s="25">
        <v>2.5574998999999998</v>
      </c>
      <c r="F76" s="25">
        <v>2.5574998999999998</v>
      </c>
      <c r="G76" s="25">
        <v>8.6058997999999995</v>
      </c>
      <c r="H76" s="25">
        <v>8.6058998000000013</v>
      </c>
      <c r="I76" s="131" t="s">
        <v>87</v>
      </c>
      <c r="J76" s="132" t="s">
        <v>102</v>
      </c>
      <c r="K76" s="130" t="s">
        <v>680</v>
      </c>
      <c r="L76" s="6" t="str">
        <f t="shared" si="1"/>
        <v>005-00000020</v>
      </c>
    </row>
    <row r="77" spans="1:12" hidden="1" x14ac:dyDescent="0.25">
      <c r="A77" s="130" t="s">
        <v>204</v>
      </c>
      <c r="B77" s="130" t="s">
        <v>205</v>
      </c>
      <c r="C77" s="132" t="s">
        <v>150</v>
      </c>
      <c r="D77" s="129">
        <v>1</v>
      </c>
      <c r="E77" s="129">
        <v>3.0901000000000001</v>
      </c>
      <c r="F77" s="129">
        <v>3.0901000000000001</v>
      </c>
      <c r="G77" s="129">
        <v>10.398300000000001</v>
      </c>
      <c r="H77" s="129">
        <v>10.398299999999999</v>
      </c>
      <c r="I77" s="131" t="s">
        <v>87</v>
      </c>
      <c r="J77" s="132" t="s">
        <v>102</v>
      </c>
      <c r="K77" s="130" t="s">
        <v>680</v>
      </c>
      <c r="L77" s="6" t="str">
        <f t="shared" si="1"/>
        <v>005-00000020</v>
      </c>
    </row>
    <row r="78" spans="1:12" hidden="1" x14ac:dyDescent="0.25">
      <c r="A78" s="130" t="s">
        <v>572</v>
      </c>
      <c r="B78" s="130" t="s">
        <v>408</v>
      </c>
      <c r="C78" s="132" t="s">
        <v>150</v>
      </c>
      <c r="D78" s="129">
        <v>4</v>
      </c>
      <c r="E78" s="129">
        <v>2.6895001000000001</v>
      </c>
      <c r="F78" s="129">
        <v>10.7580004</v>
      </c>
      <c r="G78" s="129">
        <v>9.0501003000000004</v>
      </c>
      <c r="H78" s="129">
        <v>36.200401199999995</v>
      </c>
      <c r="I78" s="131" t="s">
        <v>87</v>
      </c>
      <c r="J78" s="132" t="s">
        <v>102</v>
      </c>
      <c r="K78" s="130" t="s">
        <v>680</v>
      </c>
      <c r="L78" s="6" t="str">
        <f t="shared" si="1"/>
        <v>005-00000020</v>
      </c>
    </row>
    <row r="79" spans="1:12" hidden="1" x14ac:dyDescent="0.25">
      <c r="A79" s="130" t="s">
        <v>583</v>
      </c>
      <c r="B79" s="130" t="s">
        <v>584</v>
      </c>
      <c r="C79" s="132" t="s">
        <v>88</v>
      </c>
      <c r="D79" s="129">
        <v>1.25</v>
      </c>
      <c r="E79" s="25">
        <v>20.3444</v>
      </c>
      <c r="F79" s="25">
        <v>25.430500000000002</v>
      </c>
      <c r="G79" s="25">
        <v>68.438598999999996</v>
      </c>
      <c r="H79" s="25">
        <v>85.548248749999985</v>
      </c>
      <c r="I79" s="131" t="s">
        <v>87</v>
      </c>
      <c r="J79" s="132" t="s">
        <v>102</v>
      </c>
      <c r="K79" s="130" t="s">
        <v>680</v>
      </c>
      <c r="L79" s="6" t="str">
        <f t="shared" si="1"/>
        <v>005-00000020</v>
      </c>
    </row>
    <row r="80" spans="1:12" hidden="1" x14ac:dyDescent="0.25">
      <c r="A80" s="130" t="s">
        <v>222</v>
      </c>
      <c r="B80" s="130" t="s">
        <v>223</v>
      </c>
      <c r="C80" s="132" t="s">
        <v>150</v>
      </c>
      <c r="D80" s="129">
        <v>1</v>
      </c>
      <c r="E80" s="129">
        <v>7.5665998000000005</v>
      </c>
      <c r="F80" s="129">
        <v>7.5665997999999988</v>
      </c>
      <c r="G80" s="129">
        <v>25.4237</v>
      </c>
      <c r="H80" s="129">
        <v>25.423700000000004</v>
      </c>
      <c r="I80" s="131" t="s">
        <v>87</v>
      </c>
      <c r="J80" s="132" t="s">
        <v>102</v>
      </c>
      <c r="K80" s="130" t="s">
        <v>677</v>
      </c>
      <c r="L80" s="6" t="str">
        <f t="shared" si="1"/>
        <v>005-00000023</v>
      </c>
    </row>
    <row r="81" spans="1:12" hidden="1" x14ac:dyDescent="0.25">
      <c r="A81" s="130" t="s">
        <v>340</v>
      </c>
      <c r="B81" s="130" t="s">
        <v>341</v>
      </c>
      <c r="C81" s="132" t="s">
        <v>150</v>
      </c>
      <c r="D81" s="129">
        <v>4</v>
      </c>
      <c r="E81" s="129">
        <v>6.9243999000000001</v>
      </c>
      <c r="F81" s="129">
        <v>27.697599599999993</v>
      </c>
      <c r="G81" s="129">
        <v>23.459998999999996</v>
      </c>
      <c r="H81" s="129">
        <v>93.839996000000014</v>
      </c>
      <c r="I81" s="131" t="s">
        <v>87</v>
      </c>
      <c r="J81" s="132" t="s">
        <v>102</v>
      </c>
      <c r="K81" s="130" t="s">
        <v>677</v>
      </c>
      <c r="L81" s="13" t="str">
        <f t="shared" si="1"/>
        <v>005-00000023</v>
      </c>
    </row>
    <row r="82" spans="1:12" hidden="1" x14ac:dyDescent="0.25">
      <c r="A82" s="130" t="s">
        <v>737</v>
      </c>
      <c r="B82" s="130" t="s">
        <v>164</v>
      </c>
      <c r="C82" s="132" t="s">
        <v>150</v>
      </c>
      <c r="D82" s="129">
        <v>1</v>
      </c>
      <c r="E82" s="25">
        <v>3.2650001</v>
      </c>
      <c r="F82" s="25">
        <v>3.2650001</v>
      </c>
      <c r="G82" s="25">
        <v>11.02</v>
      </c>
      <c r="H82" s="25">
        <v>11.02</v>
      </c>
      <c r="I82" s="131" t="s">
        <v>87</v>
      </c>
      <c r="J82" s="132" t="s">
        <v>102</v>
      </c>
      <c r="K82" s="130" t="s">
        <v>677</v>
      </c>
      <c r="L82" s="6" t="str">
        <f t="shared" si="1"/>
        <v>005-00000023</v>
      </c>
    </row>
    <row r="83" spans="1:12" hidden="1" x14ac:dyDescent="0.25">
      <c r="A83" s="130" t="s">
        <v>159</v>
      </c>
      <c r="B83" s="130" t="s">
        <v>158</v>
      </c>
      <c r="C83" s="132" t="s">
        <v>150</v>
      </c>
      <c r="D83" s="129">
        <v>1</v>
      </c>
      <c r="E83" s="129">
        <v>3.1737000999999996</v>
      </c>
      <c r="F83" s="129">
        <v>3.1737001000000005</v>
      </c>
      <c r="G83" s="129">
        <v>10.679300000000001</v>
      </c>
      <c r="H83" s="129">
        <v>10.679300000000001</v>
      </c>
      <c r="I83" s="131" t="s">
        <v>87</v>
      </c>
      <c r="J83" s="132" t="s">
        <v>102</v>
      </c>
      <c r="K83" s="130" t="s">
        <v>677</v>
      </c>
      <c r="L83" s="6" t="str">
        <f t="shared" si="1"/>
        <v>005-00000023</v>
      </c>
    </row>
    <row r="84" spans="1:12" hidden="1" x14ac:dyDescent="0.25">
      <c r="A84" s="130" t="s">
        <v>583</v>
      </c>
      <c r="B84" s="130" t="s">
        <v>584</v>
      </c>
      <c r="C84" s="132" t="s">
        <v>88</v>
      </c>
      <c r="D84" s="129">
        <v>1</v>
      </c>
      <c r="E84" s="129">
        <v>20.3444</v>
      </c>
      <c r="F84" s="129">
        <v>20.344400000000004</v>
      </c>
      <c r="G84" s="129">
        <v>68.438598999999996</v>
      </c>
      <c r="H84" s="129">
        <v>68.438598999999996</v>
      </c>
      <c r="I84" s="131" t="s">
        <v>87</v>
      </c>
      <c r="J84" s="132" t="s">
        <v>102</v>
      </c>
      <c r="K84" s="130" t="s">
        <v>677</v>
      </c>
      <c r="L84" s="6" t="str">
        <f t="shared" si="1"/>
        <v>005-00000023</v>
      </c>
    </row>
    <row r="85" spans="1:12" hidden="1" x14ac:dyDescent="0.25">
      <c r="A85" s="130" t="s">
        <v>234</v>
      </c>
      <c r="B85" s="130" t="s">
        <v>235</v>
      </c>
      <c r="C85" s="132" t="s">
        <v>153</v>
      </c>
      <c r="D85" s="129">
        <v>1</v>
      </c>
      <c r="E85" s="129">
        <v>11.366800000000001</v>
      </c>
      <c r="F85" s="129">
        <v>11.366800000000001</v>
      </c>
      <c r="G85" s="129">
        <v>38.135601000000001</v>
      </c>
      <c r="H85" s="129">
        <v>38.135601000000001</v>
      </c>
      <c r="I85" s="131" t="s">
        <v>87</v>
      </c>
      <c r="J85" s="132" t="s">
        <v>102</v>
      </c>
      <c r="K85" s="130" t="s">
        <v>674</v>
      </c>
      <c r="L85" s="6" t="str">
        <f t="shared" si="1"/>
        <v>005-00000026</v>
      </c>
    </row>
    <row r="86" spans="1:12" hidden="1" x14ac:dyDescent="0.25">
      <c r="A86" s="130" t="s">
        <v>360</v>
      </c>
      <c r="B86" s="130" t="s">
        <v>361</v>
      </c>
      <c r="C86" s="132" t="s">
        <v>150</v>
      </c>
      <c r="D86" s="129">
        <v>2</v>
      </c>
      <c r="E86" s="129">
        <v>0.12590000000000001</v>
      </c>
      <c r="F86" s="129">
        <v>0.25180000000000002</v>
      </c>
      <c r="G86" s="129">
        <v>0.42370000000000002</v>
      </c>
      <c r="H86" s="129">
        <v>0.84740000000000004</v>
      </c>
      <c r="I86" s="131" t="s">
        <v>87</v>
      </c>
      <c r="J86" s="132" t="s">
        <v>102</v>
      </c>
      <c r="K86" s="130" t="s">
        <v>674</v>
      </c>
      <c r="L86" s="6" t="str">
        <f t="shared" si="1"/>
        <v>005-00000026</v>
      </c>
    </row>
    <row r="87" spans="1:12" hidden="1" x14ac:dyDescent="0.25">
      <c r="A87" s="130" t="s">
        <v>372</v>
      </c>
      <c r="B87" s="130" t="s">
        <v>373</v>
      </c>
      <c r="C87" s="132" t="s">
        <v>153</v>
      </c>
      <c r="D87" s="129">
        <v>1</v>
      </c>
      <c r="E87" s="129">
        <v>12.514099999999999</v>
      </c>
      <c r="F87" s="129">
        <v>12.514099999999999</v>
      </c>
      <c r="G87" s="129">
        <v>42.009998000000003</v>
      </c>
      <c r="H87" s="129">
        <v>42.009998000000003</v>
      </c>
      <c r="I87" s="131" t="s">
        <v>87</v>
      </c>
      <c r="J87" s="132" t="s">
        <v>102</v>
      </c>
      <c r="K87" s="130" t="s">
        <v>674</v>
      </c>
      <c r="L87" s="6" t="str">
        <f t="shared" si="1"/>
        <v>005-00000026</v>
      </c>
    </row>
    <row r="88" spans="1:12" hidden="1" x14ac:dyDescent="0.25">
      <c r="A88" s="130" t="s">
        <v>380</v>
      </c>
      <c r="B88" s="130" t="s">
        <v>381</v>
      </c>
      <c r="C88" s="132" t="s">
        <v>150</v>
      </c>
      <c r="D88" s="129">
        <v>1</v>
      </c>
      <c r="E88" s="129">
        <v>89.268799000000001</v>
      </c>
      <c r="F88" s="129">
        <v>89.268799000000001</v>
      </c>
      <c r="G88" s="129">
        <v>300</v>
      </c>
      <c r="H88" s="129">
        <v>300</v>
      </c>
      <c r="I88" s="131" t="s">
        <v>87</v>
      </c>
      <c r="J88" s="132" t="s">
        <v>102</v>
      </c>
      <c r="K88" s="130" t="s">
        <v>674</v>
      </c>
      <c r="L88" s="6" t="str">
        <f t="shared" si="1"/>
        <v>005-00000026</v>
      </c>
    </row>
    <row r="89" spans="1:12" hidden="1" x14ac:dyDescent="0.25">
      <c r="A89" s="130" t="s">
        <v>427</v>
      </c>
      <c r="B89" s="130" t="s">
        <v>428</v>
      </c>
      <c r="C89" s="132" t="s">
        <v>150</v>
      </c>
      <c r="D89" s="129">
        <v>2</v>
      </c>
      <c r="E89" s="129">
        <v>0.45050001000000001</v>
      </c>
      <c r="F89" s="129">
        <v>0.90100002000000001</v>
      </c>
      <c r="G89" s="129">
        <v>1.526</v>
      </c>
      <c r="H89" s="129">
        <v>3.052</v>
      </c>
      <c r="I89" s="131" t="s">
        <v>87</v>
      </c>
      <c r="J89" s="132" t="s">
        <v>102</v>
      </c>
      <c r="K89" s="130" t="s">
        <v>674</v>
      </c>
      <c r="L89" s="6" t="str">
        <f t="shared" si="1"/>
        <v>005-00000026</v>
      </c>
    </row>
    <row r="90" spans="1:12" hidden="1" x14ac:dyDescent="0.25">
      <c r="A90" s="130" t="s">
        <v>554</v>
      </c>
      <c r="B90" s="130" t="s">
        <v>555</v>
      </c>
      <c r="C90" s="132" t="s">
        <v>150</v>
      </c>
      <c r="D90" s="129">
        <v>1</v>
      </c>
      <c r="E90" s="129">
        <v>103.664</v>
      </c>
      <c r="F90" s="129">
        <v>103.664</v>
      </c>
      <c r="G90" s="129">
        <v>348</v>
      </c>
      <c r="H90" s="129">
        <v>348</v>
      </c>
      <c r="I90" s="131" t="s">
        <v>87</v>
      </c>
      <c r="J90" s="132" t="s">
        <v>102</v>
      </c>
      <c r="K90" s="130" t="s">
        <v>674</v>
      </c>
      <c r="L90" s="6" t="str">
        <f t="shared" si="1"/>
        <v>005-00000026</v>
      </c>
    </row>
    <row r="91" spans="1:12" hidden="1" x14ac:dyDescent="0.25">
      <c r="A91" s="130" t="s">
        <v>612</v>
      </c>
      <c r="B91" s="130" t="s">
        <v>613</v>
      </c>
      <c r="C91" s="132" t="s">
        <v>150</v>
      </c>
      <c r="D91" s="129">
        <v>1</v>
      </c>
      <c r="E91" s="129">
        <v>19.316500000000001</v>
      </c>
      <c r="F91" s="129">
        <v>19.316500000000005</v>
      </c>
      <c r="G91" s="129">
        <v>65</v>
      </c>
      <c r="H91" s="129">
        <v>65</v>
      </c>
      <c r="I91" s="131" t="s">
        <v>87</v>
      </c>
      <c r="J91" s="132" t="s">
        <v>102</v>
      </c>
      <c r="K91" s="130" t="s">
        <v>674</v>
      </c>
      <c r="L91" s="6" t="str">
        <f t="shared" si="1"/>
        <v>005-00000026</v>
      </c>
    </row>
    <row r="92" spans="1:12" hidden="1" x14ac:dyDescent="0.25">
      <c r="A92" s="130" t="s">
        <v>1044</v>
      </c>
      <c r="B92" s="130" t="s">
        <v>1045</v>
      </c>
      <c r="C92" s="132" t="s">
        <v>153</v>
      </c>
      <c r="D92" s="129">
        <v>1</v>
      </c>
      <c r="E92" s="129">
        <v>10.0528</v>
      </c>
      <c r="F92" s="129">
        <v>10.052800000000001</v>
      </c>
      <c r="G92" s="129">
        <v>33.897998999999999</v>
      </c>
      <c r="H92" s="129">
        <v>33.897998999999999</v>
      </c>
      <c r="I92" s="131" t="s">
        <v>87</v>
      </c>
      <c r="J92" s="132" t="s">
        <v>102</v>
      </c>
      <c r="K92" s="130" t="s">
        <v>674</v>
      </c>
      <c r="L92" s="6" t="str">
        <f t="shared" si="1"/>
        <v>005-00000026</v>
      </c>
    </row>
    <row r="93" spans="1:12" hidden="1" x14ac:dyDescent="0.25">
      <c r="A93" s="130" t="s">
        <v>1028</v>
      </c>
      <c r="B93" s="130" t="s">
        <v>1029</v>
      </c>
      <c r="C93" s="132" t="s">
        <v>150</v>
      </c>
      <c r="D93" s="129">
        <v>1</v>
      </c>
      <c r="E93" s="129">
        <v>1.5079</v>
      </c>
      <c r="F93" s="129">
        <v>1.5078999999999996</v>
      </c>
      <c r="G93" s="129">
        <v>5.0847001000000001</v>
      </c>
      <c r="H93" s="129">
        <v>5.0847001000000001</v>
      </c>
      <c r="I93" s="131" t="s">
        <v>87</v>
      </c>
      <c r="J93" s="132" t="s">
        <v>102</v>
      </c>
      <c r="K93" s="130" t="s">
        <v>674</v>
      </c>
      <c r="L93" s="6" t="str">
        <f t="shared" si="1"/>
        <v>005-00000026</v>
      </c>
    </row>
    <row r="94" spans="1:12" hidden="1" x14ac:dyDescent="0.25">
      <c r="A94" s="130" t="s">
        <v>1040</v>
      </c>
      <c r="B94" s="130" t="s">
        <v>408</v>
      </c>
      <c r="C94" s="132" t="s">
        <v>150</v>
      </c>
      <c r="D94" s="129">
        <v>4</v>
      </c>
      <c r="E94" s="25">
        <v>3.4015</v>
      </c>
      <c r="F94" s="25">
        <v>13.606000000000002</v>
      </c>
      <c r="G94" s="25">
        <v>11.47</v>
      </c>
      <c r="H94" s="25">
        <v>45.88</v>
      </c>
      <c r="I94" s="131" t="s">
        <v>87</v>
      </c>
      <c r="J94" s="132" t="s">
        <v>102</v>
      </c>
      <c r="K94" s="130" t="s">
        <v>674</v>
      </c>
      <c r="L94" s="6" t="str">
        <f t="shared" si="1"/>
        <v>005-00000026</v>
      </c>
    </row>
    <row r="95" spans="1:12" hidden="1" x14ac:dyDescent="0.25">
      <c r="A95" s="130" t="s">
        <v>1046</v>
      </c>
      <c r="B95" s="130" t="s">
        <v>1047</v>
      </c>
      <c r="C95" s="132" t="s">
        <v>150</v>
      </c>
      <c r="D95" s="129">
        <v>1</v>
      </c>
      <c r="E95" s="129">
        <v>2.3491000999999998</v>
      </c>
      <c r="F95" s="129">
        <v>2.3491000999999994</v>
      </c>
      <c r="G95" s="129">
        <v>7.8814000999999996</v>
      </c>
      <c r="H95" s="129">
        <v>7.8814000999999996</v>
      </c>
      <c r="I95" s="131" t="s">
        <v>87</v>
      </c>
      <c r="J95" s="132" t="s">
        <v>102</v>
      </c>
      <c r="K95" s="130" t="s">
        <v>674</v>
      </c>
      <c r="L95" s="6" t="str">
        <f t="shared" si="1"/>
        <v>005-00000026</v>
      </c>
    </row>
    <row r="96" spans="1:12" hidden="1" x14ac:dyDescent="0.25">
      <c r="A96" s="130" t="s">
        <v>227</v>
      </c>
      <c r="B96" s="130" t="s">
        <v>194</v>
      </c>
      <c r="C96" s="132" t="s">
        <v>88</v>
      </c>
      <c r="D96" s="129">
        <v>1</v>
      </c>
      <c r="E96" s="129">
        <v>1.7628999999999999</v>
      </c>
      <c r="F96" s="129">
        <v>1.7628999999999997</v>
      </c>
      <c r="G96" s="129">
        <v>5.9321999999999999</v>
      </c>
      <c r="H96" s="129">
        <v>5.9322000000000017</v>
      </c>
      <c r="I96" s="131" t="s">
        <v>87</v>
      </c>
      <c r="J96" s="132" t="s">
        <v>102</v>
      </c>
      <c r="K96" s="130" t="s">
        <v>674</v>
      </c>
      <c r="L96" s="6" t="str">
        <f t="shared" si="1"/>
        <v>005-00000026</v>
      </c>
    </row>
    <row r="97" spans="1:12" hidden="1" x14ac:dyDescent="0.25">
      <c r="A97" s="130" t="s">
        <v>1032</v>
      </c>
      <c r="B97" s="130" t="s">
        <v>1033</v>
      </c>
      <c r="C97" s="132" t="s">
        <v>88</v>
      </c>
      <c r="D97" s="129">
        <v>0.25</v>
      </c>
      <c r="E97" s="25">
        <v>12.573600000000001</v>
      </c>
      <c r="F97" s="25">
        <v>3.1434000000000011</v>
      </c>
      <c r="G97" s="25">
        <v>42.372897999999992</v>
      </c>
      <c r="H97" s="25">
        <v>10.593224499999996</v>
      </c>
      <c r="I97" s="131" t="s">
        <v>87</v>
      </c>
      <c r="J97" s="132" t="s">
        <v>102</v>
      </c>
      <c r="K97" s="130" t="s">
        <v>674</v>
      </c>
      <c r="L97" s="6" t="str">
        <f t="shared" si="1"/>
        <v>005-00000026</v>
      </c>
    </row>
    <row r="98" spans="1:12" hidden="1" x14ac:dyDescent="0.25">
      <c r="A98" s="130" t="s">
        <v>1048</v>
      </c>
      <c r="B98" s="130" t="s">
        <v>1049</v>
      </c>
      <c r="C98" s="132" t="s">
        <v>150</v>
      </c>
      <c r="D98" s="129">
        <v>4</v>
      </c>
      <c r="E98" s="129">
        <v>0</v>
      </c>
      <c r="F98" s="129">
        <v>0</v>
      </c>
      <c r="G98" s="129">
        <v>0</v>
      </c>
      <c r="H98" s="129">
        <v>0</v>
      </c>
      <c r="I98" s="131" t="s">
        <v>87</v>
      </c>
      <c r="J98" s="132" t="s">
        <v>102</v>
      </c>
      <c r="K98" s="130" t="s">
        <v>674</v>
      </c>
      <c r="L98" s="6" t="str">
        <f t="shared" si="1"/>
        <v>005-00000026</v>
      </c>
    </row>
    <row r="99" spans="1:12" hidden="1" x14ac:dyDescent="0.25">
      <c r="A99" s="130" t="s">
        <v>300</v>
      </c>
      <c r="B99" s="130" t="s">
        <v>301</v>
      </c>
      <c r="C99" s="132" t="s">
        <v>88</v>
      </c>
      <c r="D99" s="129">
        <v>0.75</v>
      </c>
      <c r="E99" s="129">
        <v>12.76</v>
      </c>
      <c r="F99" s="129">
        <v>9.57</v>
      </c>
      <c r="G99" s="129">
        <v>42.930999999999997</v>
      </c>
      <c r="H99" s="129">
        <v>32.198249999999987</v>
      </c>
      <c r="I99" s="131" t="s">
        <v>87</v>
      </c>
      <c r="J99" s="132" t="s">
        <v>102</v>
      </c>
      <c r="K99" s="130" t="s">
        <v>674</v>
      </c>
      <c r="L99" s="6" t="str">
        <f t="shared" si="1"/>
        <v>005-00000026</v>
      </c>
    </row>
    <row r="100" spans="1:12" hidden="1" x14ac:dyDescent="0.25">
      <c r="A100" s="130" t="s">
        <v>529</v>
      </c>
      <c r="B100" s="130" t="s">
        <v>530</v>
      </c>
      <c r="C100" s="132" t="s">
        <v>88</v>
      </c>
      <c r="D100" s="129">
        <v>1</v>
      </c>
      <c r="E100" s="129">
        <v>14.7882</v>
      </c>
      <c r="F100" s="129">
        <v>14.788199999999996</v>
      </c>
      <c r="G100" s="129">
        <v>49.75519899999999</v>
      </c>
      <c r="H100" s="129">
        <v>49.75519899999999</v>
      </c>
      <c r="I100" s="131" t="s">
        <v>87</v>
      </c>
      <c r="J100" s="132" t="s">
        <v>102</v>
      </c>
      <c r="K100" s="130" t="s">
        <v>674</v>
      </c>
      <c r="L100" s="6" t="str">
        <f t="shared" si="1"/>
        <v>005-00000026</v>
      </c>
    </row>
    <row r="101" spans="1:12" hidden="1" x14ac:dyDescent="0.25">
      <c r="A101" s="130" t="s">
        <v>234</v>
      </c>
      <c r="B101" s="130" t="s">
        <v>235</v>
      </c>
      <c r="C101" s="132" t="s">
        <v>153</v>
      </c>
      <c r="D101" s="129">
        <v>1</v>
      </c>
      <c r="E101" s="129">
        <v>11.325200000000001</v>
      </c>
      <c r="F101" s="129">
        <v>11.325200000000002</v>
      </c>
      <c r="G101" s="129">
        <v>38.135601000000001</v>
      </c>
      <c r="H101" s="129">
        <v>38.135601000000001</v>
      </c>
      <c r="I101" s="131" t="s">
        <v>87</v>
      </c>
      <c r="J101" s="132" t="s">
        <v>102</v>
      </c>
      <c r="K101" s="130" t="s">
        <v>673</v>
      </c>
      <c r="L101" s="6" t="str">
        <f t="shared" si="1"/>
        <v>005-00000027</v>
      </c>
    </row>
    <row r="102" spans="1:12" hidden="1" x14ac:dyDescent="0.25">
      <c r="A102" s="130" t="s">
        <v>309</v>
      </c>
      <c r="B102" s="130" t="s">
        <v>310</v>
      </c>
      <c r="C102" s="132" t="s">
        <v>150</v>
      </c>
      <c r="D102" s="129">
        <v>1</v>
      </c>
      <c r="E102" s="129">
        <v>1.5087999999999999</v>
      </c>
      <c r="F102" s="129">
        <v>1.5087999999999999</v>
      </c>
      <c r="G102" s="129">
        <v>5.0847001000000001</v>
      </c>
      <c r="H102" s="129">
        <v>5.0847001000000001</v>
      </c>
      <c r="I102" s="131" t="s">
        <v>87</v>
      </c>
      <c r="J102" s="132" t="s">
        <v>102</v>
      </c>
      <c r="K102" s="130" t="s">
        <v>673</v>
      </c>
      <c r="L102" s="6" t="str">
        <f t="shared" si="1"/>
        <v>005-00000027</v>
      </c>
    </row>
    <row r="103" spans="1:12" hidden="1" x14ac:dyDescent="0.25">
      <c r="A103" s="130" t="s">
        <v>360</v>
      </c>
      <c r="B103" s="130" t="s">
        <v>361</v>
      </c>
      <c r="C103" s="132" t="s">
        <v>150</v>
      </c>
      <c r="D103" s="129">
        <v>1</v>
      </c>
      <c r="E103" s="129">
        <v>0.12590000000000001</v>
      </c>
      <c r="F103" s="129">
        <v>0.12590000000000001</v>
      </c>
      <c r="G103" s="129">
        <v>0.42370000000000002</v>
      </c>
      <c r="H103" s="129">
        <v>0.42370000000000002</v>
      </c>
      <c r="I103" s="131" t="s">
        <v>87</v>
      </c>
      <c r="J103" s="132" t="s">
        <v>102</v>
      </c>
      <c r="K103" s="130" t="s">
        <v>673</v>
      </c>
      <c r="L103" s="6" t="str">
        <f t="shared" si="1"/>
        <v>005-00000027</v>
      </c>
    </row>
    <row r="104" spans="1:12" hidden="1" x14ac:dyDescent="0.25">
      <c r="A104" s="130" t="s">
        <v>579</v>
      </c>
      <c r="B104" s="130" t="s">
        <v>580</v>
      </c>
      <c r="C104" s="132" t="s">
        <v>153</v>
      </c>
      <c r="D104" s="129">
        <v>1</v>
      </c>
      <c r="E104" s="129">
        <v>30.188499</v>
      </c>
      <c r="F104" s="129">
        <v>30.188499000000007</v>
      </c>
      <c r="G104" s="129">
        <v>101.69</v>
      </c>
      <c r="H104" s="129">
        <v>101.69</v>
      </c>
      <c r="I104" s="131" t="s">
        <v>87</v>
      </c>
      <c r="J104" s="132" t="s">
        <v>102</v>
      </c>
      <c r="K104" s="130" t="s">
        <v>673</v>
      </c>
      <c r="L104" s="6" t="str">
        <f t="shared" si="1"/>
        <v>005-00000027</v>
      </c>
    </row>
    <row r="105" spans="1:12" hidden="1" x14ac:dyDescent="0.25">
      <c r="A105" s="130" t="s">
        <v>1028</v>
      </c>
      <c r="B105" s="130" t="s">
        <v>1029</v>
      </c>
      <c r="C105" s="132" t="s">
        <v>150</v>
      </c>
      <c r="D105" s="129">
        <v>1</v>
      </c>
      <c r="E105" s="25">
        <v>1.5079</v>
      </c>
      <c r="F105" s="25">
        <v>1.5078999999999996</v>
      </c>
      <c r="G105" s="25">
        <v>5.0847001000000001</v>
      </c>
      <c r="H105" s="25">
        <v>5.0847001000000001</v>
      </c>
      <c r="I105" s="131" t="s">
        <v>87</v>
      </c>
      <c r="J105" s="132" t="s">
        <v>102</v>
      </c>
      <c r="K105" s="130" t="s">
        <v>673</v>
      </c>
      <c r="L105" s="6" t="str">
        <f t="shared" si="1"/>
        <v>005-00000027</v>
      </c>
    </row>
    <row r="106" spans="1:12" hidden="1" x14ac:dyDescent="0.25">
      <c r="A106" s="130" t="s">
        <v>572</v>
      </c>
      <c r="B106" s="130" t="s">
        <v>408</v>
      </c>
      <c r="C106" s="132" t="s">
        <v>150</v>
      </c>
      <c r="D106" s="129">
        <v>4</v>
      </c>
      <c r="E106" s="129">
        <v>2.6895001000000001</v>
      </c>
      <c r="F106" s="129">
        <v>10.7580004</v>
      </c>
      <c r="G106" s="129">
        <v>9.0501003000000004</v>
      </c>
      <c r="H106" s="129">
        <v>36.200401199999995</v>
      </c>
      <c r="I106" s="131" t="s">
        <v>87</v>
      </c>
      <c r="J106" s="132" t="s">
        <v>102</v>
      </c>
      <c r="K106" s="130" t="s">
        <v>673</v>
      </c>
      <c r="L106" s="6" t="str">
        <f t="shared" si="1"/>
        <v>005-00000027</v>
      </c>
    </row>
    <row r="107" spans="1:12" hidden="1" x14ac:dyDescent="0.25">
      <c r="A107" s="130" t="s">
        <v>1046</v>
      </c>
      <c r="B107" s="130" t="s">
        <v>1047</v>
      </c>
      <c r="C107" s="132" t="s">
        <v>150</v>
      </c>
      <c r="D107" s="129">
        <v>1</v>
      </c>
      <c r="E107" s="129">
        <v>2.3491000999999998</v>
      </c>
      <c r="F107" s="129">
        <v>2.3491000999999994</v>
      </c>
      <c r="G107" s="129">
        <v>7.8814000999999996</v>
      </c>
      <c r="H107" s="129">
        <v>7.8814000999999996</v>
      </c>
      <c r="I107" s="131" t="s">
        <v>87</v>
      </c>
      <c r="J107" s="132" t="s">
        <v>102</v>
      </c>
      <c r="K107" s="130" t="s">
        <v>673</v>
      </c>
      <c r="L107" s="6" t="str">
        <f t="shared" si="1"/>
        <v>005-00000027</v>
      </c>
    </row>
    <row r="108" spans="1:12" hidden="1" x14ac:dyDescent="0.25">
      <c r="A108" s="130" t="s">
        <v>1032</v>
      </c>
      <c r="B108" s="130" t="s">
        <v>1033</v>
      </c>
      <c r="C108" s="132" t="s">
        <v>88</v>
      </c>
      <c r="D108" s="129">
        <v>0.25</v>
      </c>
      <c r="E108" s="129">
        <v>12.573600000000001</v>
      </c>
      <c r="F108" s="129">
        <v>3.1434000000000011</v>
      </c>
      <c r="G108" s="129">
        <v>42.372897999999992</v>
      </c>
      <c r="H108" s="129">
        <v>10.593224499999996</v>
      </c>
      <c r="I108" s="131" t="s">
        <v>87</v>
      </c>
      <c r="J108" s="132" t="s">
        <v>102</v>
      </c>
      <c r="K108" s="130" t="s">
        <v>673</v>
      </c>
      <c r="L108" s="6" t="str">
        <f t="shared" si="1"/>
        <v>005-00000027</v>
      </c>
    </row>
    <row r="109" spans="1:12" hidden="1" x14ac:dyDescent="0.25">
      <c r="A109" s="130" t="s">
        <v>529</v>
      </c>
      <c r="B109" s="130" t="s">
        <v>530</v>
      </c>
      <c r="C109" s="132" t="s">
        <v>88</v>
      </c>
      <c r="D109" s="129">
        <v>1</v>
      </c>
      <c r="E109" s="129">
        <v>14.7882</v>
      </c>
      <c r="F109" s="129">
        <v>14.788199999999996</v>
      </c>
      <c r="G109" s="129">
        <v>49.75519899999999</v>
      </c>
      <c r="H109" s="129">
        <v>49.75519899999999</v>
      </c>
      <c r="I109" s="131" t="s">
        <v>87</v>
      </c>
      <c r="J109" s="132" t="s">
        <v>102</v>
      </c>
      <c r="K109" s="130" t="s">
        <v>673</v>
      </c>
      <c r="L109" s="6" t="str">
        <f t="shared" si="1"/>
        <v>005-00000027</v>
      </c>
    </row>
    <row r="110" spans="1:12" hidden="1" x14ac:dyDescent="0.25">
      <c r="A110" s="130" t="s">
        <v>308</v>
      </c>
      <c r="B110" s="130" t="s">
        <v>163</v>
      </c>
      <c r="C110" s="132" t="s">
        <v>150</v>
      </c>
      <c r="D110" s="129">
        <v>1</v>
      </c>
      <c r="E110" s="129">
        <v>4.0392999999999999</v>
      </c>
      <c r="F110" s="129">
        <v>4.0392999999999999</v>
      </c>
      <c r="G110" s="129">
        <v>13.56</v>
      </c>
      <c r="H110" s="129">
        <v>13.56</v>
      </c>
      <c r="I110" s="131" t="s">
        <v>87</v>
      </c>
      <c r="J110" s="132" t="s">
        <v>102</v>
      </c>
      <c r="K110" s="130" t="s">
        <v>672</v>
      </c>
      <c r="L110" s="6" t="str">
        <f t="shared" si="1"/>
        <v>005-00000028</v>
      </c>
    </row>
    <row r="111" spans="1:12" hidden="1" x14ac:dyDescent="0.25">
      <c r="A111" s="130" t="s">
        <v>1043</v>
      </c>
      <c r="B111" s="130" t="s">
        <v>160</v>
      </c>
      <c r="C111" s="132" t="s">
        <v>150</v>
      </c>
      <c r="D111" s="129">
        <v>1</v>
      </c>
      <c r="E111" s="129">
        <v>8.8142996</v>
      </c>
      <c r="F111" s="129">
        <v>8.8142996</v>
      </c>
      <c r="G111" s="129">
        <v>29.66</v>
      </c>
      <c r="H111" s="129">
        <v>29.66</v>
      </c>
      <c r="I111" s="131" t="s">
        <v>87</v>
      </c>
      <c r="J111" s="132" t="s">
        <v>102</v>
      </c>
      <c r="K111" s="130" t="s">
        <v>672</v>
      </c>
      <c r="L111" s="6" t="str">
        <f t="shared" si="1"/>
        <v>005-00000028</v>
      </c>
    </row>
    <row r="112" spans="1:12" hidden="1" x14ac:dyDescent="0.25">
      <c r="A112" s="130" t="s">
        <v>151</v>
      </c>
      <c r="B112" s="130" t="s">
        <v>152</v>
      </c>
      <c r="C112" s="132" t="s">
        <v>150</v>
      </c>
      <c r="D112" s="129">
        <v>1</v>
      </c>
      <c r="E112" s="129">
        <v>3.6579999999999999</v>
      </c>
      <c r="F112" s="129">
        <v>3.6579999999999995</v>
      </c>
      <c r="G112" s="129">
        <v>12.3093</v>
      </c>
      <c r="H112" s="129">
        <v>12.3093</v>
      </c>
      <c r="I112" s="131" t="s">
        <v>87</v>
      </c>
      <c r="J112" s="132" t="s">
        <v>102</v>
      </c>
      <c r="K112" s="130" t="s">
        <v>672</v>
      </c>
      <c r="L112" s="6" t="str">
        <f t="shared" si="1"/>
        <v>005-00000028</v>
      </c>
    </row>
    <row r="113" spans="1:12" hidden="1" x14ac:dyDescent="0.25">
      <c r="A113" s="130" t="s">
        <v>572</v>
      </c>
      <c r="B113" s="130" t="s">
        <v>408</v>
      </c>
      <c r="C113" s="132" t="s">
        <v>150</v>
      </c>
      <c r="D113" s="129">
        <v>4</v>
      </c>
      <c r="E113" s="129">
        <v>2.6895001000000001</v>
      </c>
      <c r="F113" s="129">
        <v>10.7580004</v>
      </c>
      <c r="G113" s="129">
        <v>9.0501003000000004</v>
      </c>
      <c r="H113" s="129">
        <v>36.200401199999995</v>
      </c>
      <c r="I113" s="131" t="s">
        <v>87</v>
      </c>
      <c r="J113" s="132" t="s">
        <v>102</v>
      </c>
      <c r="K113" s="130" t="s">
        <v>672</v>
      </c>
      <c r="L113" s="6" t="str">
        <f t="shared" si="1"/>
        <v>005-00000028</v>
      </c>
    </row>
    <row r="114" spans="1:12" hidden="1" x14ac:dyDescent="0.25">
      <c r="A114" s="130" t="s">
        <v>227</v>
      </c>
      <c r="B114" s="130" t="s">
        <v>194</v>
      </c>
      <c r="C114" s="132" t="s">
        <v>88</v>
      </c>
      <c r="D114" s="129">
        <v>1</v>
      </c>
      <c r="E114" s="129">
        <v>1.7628999999999999</v>
      </c>
      <c r="F114" s="129">
        <v>1.7628999999999997</v>
      </c>
      <c r="G114" s="129">
        <v>5.9321999999999999</v>
      </c>
      <c r="H114" s="129">
        <v>5.9322000000000017</v>
      </c>
      <c r="I114" s="131" t="s">
        <v>87</v>
      </c>
      <c r="J114" s="132" t="s">
        <v>102</v>
      </c>
      <c r="K114" s="130" t="s">
        <v>672</v>
      </c>
      <c r="L114" s="6" t="str">
        <f t="shared" si="1"/>
        <v>005-00000028</v>
      </c>
    </row>
    <row r="115" spans="1:12" hidden="1" x14ac:dyDescent="0.25">
      <c r="A115" s="130" t="s">
        <v>210</v>
      </c>
      <c r="B115" s="130" t="s">
        <v>211</v>
      </c>
      <c r="C115" s="132" t="s">
        <v>150</v>
      </c>
      <c r="D115" s="129">
        <v>1</v>
      </c>
      <c r="E115" s="25">
        <v>3.7776999</v>
      </c>
      <c r="F115" s="25">
        <v>3.7776999</v>
      </c>
      <c r="G115" s="25">
        <v>12.7119</v>
      </c>
      <c r="H115" s="25">
        <v>12.711900000000004</v>
      </c>
      <c r="I115" s="131" t="s">
        <v>87</v>
      </c>
      <c r="J115" s="132" t="s">
        <v>102</v>
      </c>
      <c r="K115" s="130" t="s">
        <v>671</v>
      </c>
      <c r="L115" s="6" t="str">
        <f t="shared" si="1"/>
        <v>005-00000029</v>
      </c>
    </row>
    <row r="116" spans="1:12" hidden="1" x14ac:dyDescent="0.25">
      <c r="A116" s="130" t="s">
        <v>228</v>
      </c>
      <c r="B116" s="130" t="s">
        <v>229</v>
      </c>
      <c r="C116" s="132" t="s">
        <v>150</v>
      </c>
      <c r="D116" s="129">
        <v>1</v>
      </c>
      <c r="E116" s="129">
        <v>3.7888999000000001</v>
      </c>
      <c r="F116" s="129">
        <v>3.7888999000000005</v>
      </c>
      <c r="G116" s="129">
        <v>12.7119</v>
      </c>
      <c r="H116" s="129">
        <v>12.711900000000004</v>
      </c>
      <c r="I116" s="131" t="s">
        <v>87</v>
      </c>
      <c r="J116" s="132" t="s">
        <v>102</v>
      </c>
      <c r="K116" s="130" t="s">
        <v>671</v>
      </c>
      <c r="L116" s="6" t="str">
        <f t="shared" si="1"/>
        <v>005-00000029</v>
      </c>
    </row>
    <row r="117" spans="1:12" hidden="1" x14ac:dyDescent="0.25">
      <c r="A117" s="130" t="s">
        <v>234</v>
      </c>
      <c r="B117" s="130" t="s">
        <v>235</v>
      </c>
      <c r="C117" s="132" t="s">
        <v>153</v>
      </c>
      <c r="D117" s="129">
        <v>1</v>
      </c>
      <c r="E117" s="129">
        <v>11.325200000000001</v>
      </c>
      <c r="F117" s="129">
        <v>11.325200000000002</v>
      </c>
      <c r="G117" s="129">
        <v>38.135601000000001</v>
      </c>
      <c r="H117" s="129">
        <v>38.135601000000001</v>
      </c>
      <c r="I117" s="131" t="s">
        <v>87</v>
      </c>
      <c r="J117" s="132" t="s">
        <v>102</v>
      </c>
      <c r="K117" s="130" t="s">
        <v>671</v>
      </c>
      <c r="L117" s="6" t="str">
        <f t="shared" si="1"/>
        <v>005-00000029</v>
      </c>
    </row>
    <row r="118" spans="1:12" hidden="1" x14ac:dyDescent="0.25">
      <c r="A118" s="130" t="s">
        <v>170</v>
      </c>
      <c r="B118" s="130" t="s">
        <v>169</v>
      </c>
      <c r="C118" s="132" t="s">
        <v>150</v>
      </c>
      <c r="D118" s="129">
        <v>1</v>
      </c>
      <c r="E118" s="129">
        <v>18.874300000000002</v>
      </c>
      <c r="F118" s="129">
        <v>18.874300000000002</v>
      </c>
      <c r="G118" s="129">
        <v>63.559299000000003</v>
      </c>
      <c r="H118" s="129">
        <v>63.559298999999989</v>
      </c>
      <c r="I118" s="131" t="s">
        <v>87</v>
      </c>
      <c r="J118" s="132" t="s">
        <v>102</v>
      </c>
      <c r="K118" s="130" t="s">
        <v>671</v>
      </c>
      <c r="L118" s="6" t="str">
        <f t="shared" si="1"/>
        <v>005-00000029</v>
      </c>
    </row>
    <row r="119" spans="1:12" hidden="1" x14ac:dyDescent="0.25">
      <c r="A119" s="130" t="s">
        <v>238</v>
      </c>
      <c r="B119" s="130" t="s">
        <v>239</v>
      </c>
      <c r="C119" s="132" t="s">
        <v>150</v>
      </c>
      <c r="D119" s="129">
        <v>1</v>
      </c>
      <c r="E119" s="129">
        <v>5.0369000000000002</v>
      </c>
      <c r="F119" s="129">
        <v>5.0369000000000002</v>
      </c>
      <c r="G119" s="129">
        <v>16.949200000000001</v>
      </c>
      <c r="H119" s="129">
        <v>16.949200000000001</v>
      </c>
      <c r="I119" s="131" t="s">
        <v>87</v>
      </c>
      <c r="J119" s="132" t="s">
        <v>102</v>
      </c>
      <c r="K119" s="130" t="s">
        <v>671</v>
      </c>
      <c r="L119" s="6" t="str">
        <f t="shared" si="1"/>
        <v>005-00000029</v>
      </c>
    </row>
    <row r="120" spans="1:12" hidden="1" x14ac:dyDescent="0.25">
      <c r="A120" s="130" t="s">
        <v>366</v>
      </c>
      <c r="B120" s="130" t="s">
        <v>367</v>
      </c>
      <c r="C120" s="132" t="s">
        <v>153</v>
      </c>
      <c r="D120" s="129">
        <v>2</v>
      </c>
      <c r="E120" s="129">
        <v>12.514099999999999</v>
      </c>
      <c r="F120" s="129">
        <v>25.028199999999998</v>
      </c>
      <c r="G120" s="129">
        <v>42.009998000000003</v>
      </c>
      <c r="H120" s="129">
        <v>84.019996000000006</v>
      </c>
      <c r="I120" s="131" t="s">
        <v>87</v>
      </c>
      <c r="J120" s="132" t="s">
        <v>102</v>
      </c>
      <c r="K120" s="130" t="s">
        <v>671</v>
      </c>
      <c r="L120" s="6" t="str">
        <f t="shared" si="1"/>
        <v>005-00000029</v>
      </c>
    </row>
    <row r="121" spans="1:12" hidden="1" x14ac:dyDescent="0.25">
      <c r="A121" s="130" t="s">
        <v>372</v>
      </c>
      <c r="B121" s="130" t="s">
        <v>373</v>
      </c>
      <c r="C121" s="132" t="s">
        <v>153</v>
      </c>
      <c r="D121" s="129">
        <v>1</v>
      </c>
      <c r="E121" s="129">
        <v>12.514099999999999</v>
      </c>
      <c r="F121" s="129">
        <v>12.514099999999999</v>
      </c>
      <c r="G121" s="129">
        <v>42.009998000000003</v>
      </c>
      <c r="H121" s="129">
        <v>42.009998000000003</v>
      </c>
      <c r="I121" s="131" t="s">
        <v>87</v>
      </c>
      <c r="J121" s="132" t="s">
        <v>102</v>
      </c>
      <c r="K121" s="130" t="s">
        <v>671</v>
      </c>
      <c r="L121" s="6" t="str">
        <f t="shared" si="1"/>
        <v>005-00000029</v>
      </c>
    </row>
    <row r="122" spans="1:12" hidden="1" x14ac:dyDescent="0.25">
      <c r="A122" s="130" t="s">
        <v>374</v>
      </c>
      <c r="B122" s="130" t="s">
        <v>375</v>
      </c>
      <c r="C122" s="132" t="s">
        <v>150</v>
      </c>
      <c r="D122" s="129">
        <v>4</v>
      </c>
      <c r="E122" s="129">
        <v>38.632998999999998</v>
      </c>
      <c r="F122" s="129">
        <v>154.53199599999999</v>
      </c>
      <c r="G122" s="129">
        <v>130</v>
      </c>
      <c r="H122" s="129">
        <v>520</v>
      </c>
      <c r="I122" s="131" t="s">
        <v>87</v>
      </c>
      <c r="J122" s="132" t="s">
        <v>102</v>
      </c>
      <c r="K122" s="130" t="s">
        <v>671</v>
      </c>
      <c r="L122" s="6" t="str">
        <f t="shared" si="1"/>
        <v>005-00000029</v>
      </c>
    </row>
    <row r="123" spans="1:12" hidden="1" x14ac:dyDescent="0.25">
      <c r="A123" s="130" t="s">
        <v>413</v>
      </c>
      <c r="B123" s="130" t="s">
        <v>414</v>
      </c>
      <c r="C123" s="132" t="s">
        <v>150</v>
      </c>
      <c r="D123" s="129">
        <v>1</v>
      </c>
      <c r="E123" s="129">
        <v>77.151298999999995</v>
      </c>
      <c r="F123" s="129">
        <v>77.151298999999995</v>
      </c>
      <c r="G123" s="129">
        <v>260</v>
      </c>
      <c r="H123" s="129">
        <v>260</v>
      </c>
      <c r="I123" s="131" t="s">
        <v>87</v>
      </c>
      <c r="J123" s="132" t="s">
        <v>102</v>
      </c>
      <c r="K123" s="130" t="s">
        <v>671</v>
      </c>
      <c r="L123" s="6" t="str">
        <f t="shared" si="1"/>
        <v>005-00000029</v>
      </c>
    </row>
    <row r="124" spans="1:12" hidden="1" x14ac:dyDescent="0.25">
      <c r="A124" s="130" t="s">
        <v>417</v>
      </c>
      <c r="B124" s="130" t="s">
        <v>418</v>
      </c>
      <c r="C124" s="132" t="s">
        <v>150</v>
      </c>
      <c r="D124" s="129">
        <v>1</v>
      </c>
      <c r="E124" s="129">
        <v>37.980300999999997</v>
      </c>
      <c r="F124" s="129">
        <v>37.980300999999997</v>
      </c>
      <c r="G124" s="129">
        <v>127.12</v>
      </c>
      <c r="H124" s="129">
        <v>127.12</v>
      </c>
      <c r="I124" s="131" t="s">
        <v>87</v>
      </c>
      <c r="J124" s="132" t="s">
        <v>102</v>
      </c>
      <c r="K124" s="130" t="s">
        <v>671</v>
      </c>
      <c r="L124" s="6" t="str">
        <f t="shared" si="1"/>
        <v>005-00000029</v>
      </c>
    </row>
    <row r="125" spans="1:12" hidden="1" x14ac:dyDescent="0.25">
      <c r="A125" s="130" t="s">
        <v>433</v>
      </c>
      <c r="B125" s="130" t="s">
        <v>434</v>
      </c>
      <c r="C125" s="132" t="s">
        <v>150</v>
      </c>
      <c r="D125" s="129">
        <v>1</v>
      </c>
      <c r="E125" s="25">
        <v>83.086098000000007</v>
      </c>
      <c r="F125" s="25">
        <v>83.086097999999978</v>
      </c>
      <c r="G125" s="25">
        <v>280</v>
      </c>
      <c r="H125" s="25">
        <v>280</v>
      </c>
      <c r="I125" s="131" t="s">
        <v>87</v>
      </c>
      <c r="J125" s="132" t="s">
        <v>102</v>
      </c>
      <c r="K125" s="130" t="s">
        <v>671</v>
      </c>
      <c r="L125" s="6" t="str">
        <f t="shared" si="1"/>
        <v>005-00000029</v>
      </c>
    </row>
    <row r="126" spans="1:12" hidden="1" x14ac:dyDescent="0.25">
      <c r="A126" s="130" t="s">
        <v>443</v>
      </c>
      <c r="B126" s="130" t="s">
        <v>444</v>
      </c>
      <c r="C126" s="132" t="s">
        <v>153</v>
      </c>
      <c r="D126" s="129">
        <v>1</v>
      </c>
      <c r="E126" s="129">
        <v>47.477699000000001</v>
      </c>
      <c r="F126" s="129">
        <v>47.477698999999994</v>
      </c>
      <c r="G126" s="129">
        <v>160</v>
      </c>
      <c r="H126" s="129">
        <v>160</v>
      </c>
      <c r="I126" s="131" t="s">
        <v>87</v>
      </c>
      <c r="J126" s="132" t="s">
        <v>102</v>
      </c>
      <c r="K126" s="130" t="s">
        <v>671</v>
      </c>
      <c r="L126" s="6" t="str">
        <f t="shared" si="1"/>
        <v>005-00000029</v>
      </c>
    </row>
    <row r="127" spans="1:12" hidden="1" x14ac:dyDescent="0.25">
      <c r="A127" s="130" t="s">
        <v>461</v>
      </c>
      <c r="B127" s="130" t="s">
        <v>462</v>
      </c>
      <c r="C127" s="132" t="s">
        <v>150</v>
      </c>
      <c r="D127" s="129">
        <v>1</v>
      </c>
      <c r="E127" s="129">
        <v>83.086098000000007</v>
      </c>
      <c r="F127" s="129">
        <v>83.086097999999978</v>
      </c>
      <c r="G127" s="129">
        <v>280</v>
      </c>
      <c r="H127" s="129">
        <v>280</v>
      </c>
      <c r="I127" s="131" t="s">
        <v>87</v>
      </c>
      <c r="J127" s="132" t="s">
        <v>102</v>
      </c>
      <c r="K127" s="130" t="s">
        <v>671</v>
      </c>
      <c r="L127" s="6" t="str">
        <f t="shared" si="1"/>
        <v>005-00000029</v>
      </c>
    </row>
    <row r="128" spans="1:12" hidden="1" x14ac:dyDescent="0.25">
      <c r="A128" s="130" t="s">
        <v>579</v>
      </c>
      <c r="B128" s="130" t="s">
        <v>580</v>
      </c>
      <c r="C128" s="132" t="s">
        <v>153</v>
      </c>
      <c r="D128" s="129">
        <v>1</v>
      </c>
      <c r="E128" s="129">
        <v>30.188499</v>
      </c>
      <c r="F128" s="129">
        <v>30.188499000000007</v>
      </c>
      <c r="G128" s="129">
        <v>101.69</v>
      </c>
      <c r="H128" s="129">
        <v>101.69</v>
      </c>
      <c r="I128" s="131" t="s">
        <v>87</v>
      </c>
      <c r="J128" s="132" t="s">
        <v>102</v>
      </c>
      <c r="K128" s="130" t="s">
        <v>671</v>
      </c>
      <c r="L128" s="6" t="str">
        <f t="shared" si="1"/>
        <v>005-00000029</v>
      </c>
    </row>
    <row r="129" spans="1:12" hidden="1" x14ac:dyDescent="0.25">
      <c r="A129" s="130" t="s">
        <v>600</v>
      </c>
      <c r="B129" s="130" t="s">
        <v>601</v>
      </c>
      <c r="C129" s="132" t="s">
        <v>150</v>
      </c>
      <c r="D129" s="129">
        <v>1</v>
      </c>
      <c r="E129" s="129">
        <v>5.0369000000000002</v>
      </c>
      <c r="F129" s="129">
        <v>5.0369000000000002</v>
      </c>
      <c r="G129" s="129">
        <v>16.949200000000001</v>
      </c>
      <c r="H129" s="129">
        <v>16.949200000000001</v>
      </c>
      <c r="I129" s="131" t="s">
        <v>87</v>
      </c>
      <c r="J129" s="132" t="s">
        <v>102</v>
      </c>
      <c r="K129" s="130" t="s">
        <v>671</v>
      </c>
      <c r="L129" s="6" t="str">
        <f t="shared" si="1"/>
        <v>005-00000029</v>
      </c>
    </row>
    <row r="130" spans="1:12" hidden="1" x14ac:dyDescent="0.25">
      <c r="A130" s="130" t="s">
        <v>544</v>
      </c>
      <c r="B130" s="130" t="s">
        <v>545</v>
      </c>
      <c r="C130" s="132" t="s">
        <v>88</v>
      </c>
      <c r="D130" s="129">
        <v>2</v>
      </c>
      <c r="E130" s="129">
        <v>3.0158999</v>
      </c>
      <c r="F130" s="129">
        <v>6.031799799999999</v>
      </c>
      <c r="G130" s="129">
        <v>10.169499999999999</v>
      </c>
      <c r="H130" s="129">
        <v>20.338999999999995</v>
      </c>
      <c r="I130" s="131" t="s">
        <v>87</v>
      </c>
      <c r="J130" s="132" t="s">
        <v>102</v>
      </c>
      <c r="K130" s="130" t="s">
        <v>671</v>
      </c>
      <c r="L130" s="6" t="str">
        <f t="shared" si="1"/>
        <v>005-00000029</v>
      </c>
    </row>
    <row r="131" spans="1:12" hidden="1" x14ac:dyDescent="0.25">
      <c r="A131" s="130" t="s">
        <v>228</v>
      </c>
      <c r="B131" s="130" t="s">
        <v>229</v>
      </c>
      <c r="C131" s="132" t="s">
        <v>150</v>
      </c>
      <c r="D131" s="129">
        <v>1</v>
      </c>
      <c r="E131" s="129">
        <v>3.7822000999999998</v>
      </c>
      <c r="F131" s="129">
        <v>3.7822000999999998</v>
      </c>
      <c r="G131" s="129">
        <v>12.7119</v>
      </c>
      <c r="H131" s="129">
        <v>12.711900000000004</v>
      </c>
      <c r="I131" s="131" t="s">
        <v>87</v>
      </c>
      <c r="J131" s="132" t="s">
        <v>102</v>
      </c>
      <c r="K131" s="130" t="s">
        <v>662</v>
      </c>
      <c r="L131" s="6" t="str">
        <f t="shared" si="1"/>
        <v>005-00000038</v>
      </c>
    </row>
    <row r="132" spans="1:12" hidden="1" x14ac:dyDescent="0.25">
      <c r="A132" s="130" t="s">
        <v>382</v>
      </c>
      <c r="B132" s="130" t="s">
        <v>383</v>
      </c>
      <c r="C132" s="132" t="s">
        <v>150</v>
      </c>
      <c r="D132" s="129">
        <v>1</v>
      </c>
      <c r="E132" s="129">
        <v>82.020202999999995</v>
      </c>
      <c r="F132" s="129">
        <v>82.020203000000024</v>
      </c>
      <c r="G132" s="129">
        <v>275.42371000000003</v>
      </c>
      <c r="H132" s="129">
        <v>275.42370999999997</v>
      </c>
      <c r="I132" s="131" t="s">
        <v>87</v>
      </c>
      <c r="J132" s="132" t="s">
        <v>102</v>
      </c>
      <c r="K132" s="130" t="s">
        <v>662</v>
      </c>
      <c r="L132" s="6" t="str">
        <f t="shared" si="1"/>
        <v>005-00000038</v>
      </c>
    </row>
    <row r="133" spans="1:12" hidden="1" x14ac:dyDescent="0.25">
      <c r="A133" s="130" t="s">
        <v>1050</v>
      </c>
      <c r="B133" s="130" t="s">
        <v>1051</v>
      </c>
      <c r="C133" s="132" t="s">
        <v>150</v>
      </c>
      <c r="D133" s="129">
        <v>1</v>
      </c>
      <c r="E133" s="129">
        <v>135.7953</v>
      </c>
      <c r="F133" s="129">
        <v>135.7953</v>
      </c>
      <c r="G133" s="129">
        <v>457.63</v>
      </c>
      <c r="H133" s="129">
        <v>457.63</v>
      </c>
      <c r="I133" s="131" t="s">
        <v>87</v>
      </c>
      <c r="J133" s="132" t="s">
        <v>102</v>
      </c>
      <c r="K133" s="130" t="s">
        <v>662</v>
      </c>
      <c r="L133" s="6" t="str">
        <f t="shared" ref="L133:L196" si="2">CONCATENATE(J133,"-",K133)</f>
        <v>005-00000038</v>
      </c>
    </row>
    <row r="134" spans="1:12" hidden="1" x14ac:dyDescent="0.25">
      <c r="A134" s="130" t="s">
        <v>409</v>
      </c>
      <c r="B134" s="130" t="s">
        <v>408</v>
      </c>
      <c r="C134" s="132" t="s">
        <v>150</v>
      </c>
      <c r="D134" s="129">
        <v>4</v>
      </c>
      <c r="E134" s="129">
        <v>1.9486000999999999</v>
      </c>
      <c r="F134" s="129">
        <v>7.7944003999999998</v>
      </c>
      <c r="G134" s="129">
        <v>6.5571999999999999</v>
      </c>
      <c r="H134" s="129">
        <v>26.228800000000007</v>
      </c>
      <c r="I134" s="131" t="s">
        <v>87</v>
      </c>
      <c r="J134" s="132" t="s">
        <v>102</v>
      </c>
      <c r="K134" s="130" t="s">
        <v>662</v>
      </c>
      <c r="L134" s="6" t="str">
        <f t="shared" si="2"/>
        <v>005-00000038</v>
      </c>
    </row>
    <row r="135" spans="1:12" hidden="1" x14ac:dyDescent="0.25">
      <c r="A135" s="130" t="s">
        <v>240</v>
      </c>
      <c r="B135" s="130" t="s">
        <v>229</v>
      </c>
      <c r="C135" s="132" t="s">
        <v>150</v>
      </c>
      <c r="D135" s="129">
        <v>1</v>
      </c>
      <c r="E135" s="129">
        <v>2.5230999000000001</v>
      </c>
      <c r="F135" s="129">
        <v>2.5230998999999996</v>
      </c>
      <c r="G135" s="129">
        <v>8.4700003000000006</v>
      </c>
      <c r="H135" s="129">
        <v>8.4700003000000006</v>
      </c>
      <c r="I135" s="131" t="s">
        <v>87</v>
      </c>
      <c r="J135" s="132" t="s">
        <v>102</v>
      </c>
      <c r="K135" s="130" t="s">
        <v>661</v>
      </c>
      <c r="L135" s="6" t="str">
        <f t="shared" si="2"/>
        <v>005-00000039</v>
      </c>
    </row>
    <row r="136" spans="1:12" hidden="1" x14ac:dyDescent="0.25">
      <c r="A136" s="130" t="s">
        <v>382</v>
      </c>
      <c r="B136" s="130" t="s">
        <v>383</v>
      </c>
      <c r="C136" s="132" t="s">
        <v>150</v>
      </c>
      <c r="D136" s="129">
        <v>1</v>
      </c>
      <c r="E136" s="129">
        <v>82.020202999999995</v>
      </c>
      <c r="F136" s="129">
        <v>82.020203000000024</v>
      </c>
      <c r="G136" s="129">
        <v>275.42371000000003</v>
      </c>
      <c r="H136" s="129">
        <v>275.42370999999997</v>
      </c>
      <c r="I136" s="131" t="s">
        <v>87</v>
      </c>
      <c r="J136" s="132" t="s">
        <v>102</v>
      </c>
      <c r="K136" s="130" t="s">
        <v>661</v>
      </c>
      <c r="L136" s="6" t="str">
        <f t="shared" si="2"/>
        <v>005-00000039</v>
      </c>
    </row>
    <row r="137" spans="1:12" hidden="1" x14ac:dyDescent="0.25">
      <c r="A137" s="130" t="s">
        <v>429</v>
      </c>
      <c r="B137" s="130" t="s">
        <v>430</v>
      </c>
      <c r="C137" s="132" t="s">
        <v>153</v>
      </c>
      <c r="D137" s="129">
        <v>1</v>
      </c>
      <c r="E137" s="129">
        <v>27.785399999999999</v>
      </c>
      <c r="F137" s="129">
        <v>27.785400000000003</v>
      </c>
      <c r="G137" s="129">
        <v>93.220000999999996</v>
      </c>
      <c r="H137" s="129">
        <v>93.220000999999968</v>
      </c>
      <c r="I137" s="131" t="s">
        <v>87</v>
      </c>
      <c r="J137" s="132" t="s">
        <v>102</v>
      </c>
      <c r="K137" s="130" t="s">
        <v>661</v>
      </c>
      <c r="L137" s="6" t="str">
        <f t="shared" si="2"/>
        <v>005-00000039</v>
      </c>
    </row>
    <row r="138" spans="1:12" hidden="1" x14ac:dyDescent="0.25">
      <c r="A138" s="130" t="s">
        <v>1052</v>
      </c>
      <c r="B138" s="130" t="s">
        <v>379</v>
      </c>
      <c r="C138" s="132" t="s">
        <v>150</v>
      </c>
      <c r="D138" s="129">
        <v>1</v>
      </c>
      <c r="E138" s="129">
        <v>25.214500000000001</v>
      </c>
      <c r="F138" s="129">
        <v>25.214500000000001</v>
      </c>
      <c r="G138" s="129">
        <v>84.745795999999984</v>
      </c>
      <c r="H138" s="129">
        <v>84.74579599999997</v>
      </c>
      <c r="I138" s="131" t="s">
        <v>87</v>
      </c>
      <c r="J138" s="132" t="s">
        <v>102</v>
      </c>
      <c r="K138" s="130" t="s">
        <v>661</v>
      </c>
      <c r="L138" s="6" t="str">
        <f t="shared" si="2"/>
        <v>005-00000039</v>
      </c>
    </row>
    <row r="139" spans="1:12" hidden="1" x14ac:dyDescent="0.25">
      <c r="A139" s="130" t="s">
        <v>1053</v>
      </c>
      <c r="B139" s="130" t="s">
        <v>1054</v>
      </c>
      <c r="C139" s="132" t="s">
        <v>153</v>
      </c>
      <c r="D139" s="129">
        <v>1</v>
      </c>
      <c r="E139" s="129">
        <v>5.0489001</v>
      </c>
      <c r="F139" s="129">
        <v>5.0489001</v>
      </c>
      <c r="G139" s="129">
        <v>16.949200000000001</v>
      </c>
      <c r="H139" s="129">
        <v>16.949200000000001</v>
      </c>
      <c r="I139" s="131" t="s">
        <v>87</v>
      </c>
      <c r="J139" s="132" t="s">
        <v>102</v>
      </c>
      <c r="K139" s="130" t="s">
        <v>661</v>
      </c>
      <c r="L139" s="6" t="str">
        <f t="shared" si="2"/>
        <v>005-00000039</v>
      </c>
    </row>
    <row r="140" spans="1:12" hidden="1" x14ac:dyDescent="0.25">
      <c r="A140" s="130" t="s">
        <v>352</v>
      </c>
      <c r="B140" s="130" t="s">
        <v>353</v>
      </c>
      <c r="C140" s="132" t="s">
        <v>150</v>
      </c>
      <c r="D140" s="129">
        <v>1</v>
      </c>
      <c r="E140" s="129">
        <v>5.5405997999999999</v>
      </c>
      <c r="F140" s="129">
        <v>5.5405997999999999</v>
      </c>
      <c r="G140" s="129">
        <v>18.644100000000002</v>
      </c>
      <c r="H140" s="129">
        <v>18.644099999999998</v>
      </c>
      <c r="I140" s="131" t="s">
        <v>87</v>
      </c>
      <c r="J140" s="132" t="s">
        <v>102</v>
      </c>
      <c r="K140" s="130" t="s">
        <v>709</v>
      </c>
      <c r="L140" s="6" t="str">
        <f t="shared" si="2"/>
        <v>005-00000041</v>
      </c>
    </row>
    <row r="141" spans="1:12" hidden="1" x14ac:dyDescent="0.25">
      <c r="A141" s="130" t="s">
        <v>354</v>
      </c>
      <c r="B141" s="130" t="s">
        <v>355</v>
      </c>
      <c r="C141" s="132" t="s">
        <v>150</v>
      </c>
      <c r="D141" s="129">
        <v>1</v>
      </c>
      <c r="E141" s="25">
        <v>6.2961001000000003</v>
      </c>
      <c r="F141" s="25">
        <v>6.2961000999999985</v>
      </c>
      <c r="G141" s="25">
        <v>21.186399000000002</v>
      </c>
      <c r="H141" s="25">
        <v>21.186399000000002</v>
      </c>
      <c r="I141" s="131" t="s">
        <v>87</v>
      </c>
      <c r="J141" s="132" t="s">
        <v>102</v>
      </c>
      <c r="K141" s="130" t="s">
        <v>709</v>
      </c>
      <c r="L141" s="6" t="str">
        <f t="shared" si="2"/>
        <v>005-00000041</v>
      </c>
    </row>
    <row r="142" spans="1:12" hidden="1" x14ac:dyDescent="0.25">
      <c r="A142" s="130" t="s">
        <v>227</v>
      </c>
      <c r="B142" s="130" t="s">
        <v>194</v>
      </c>
      <c r="C142" s="132" t="s">
        <v>88</v>
      </c>
      <c r="D142" s="129">
        <v>1</v>
      </c>
      <c r="E142" s="129">
        <v>1.7628999999999999</v>
      </c>
      <c r="F142" s="129">
        <v>1.7628999999999997</v>
      </c>
      <c r="G142" s="129">
        <v>5.9321999999999999</v>
      </c>
      <c r="H142" s="129">
        <v>5.9322000000000017</v>
      </c>
      <c r="I142" s="131" t="s">
        <v>87</v>
      </c>
      <c r="J142" s="132" t="s">
        <v>102</v>
      </c>
      <c r="K142" s="130" t="s">
        <v>709</v>
      </c>
      <c r="L142" s="6" t="str">
        <f t="shared" si="2"/>
        <v>005-00000041</v>
      </c>
    </row>
    <row r="143" spans="1:12" hidden="1" x14ac:dyDescent="0.25">
      <c r="A143" s="130" t="s">
        <v>230</v>
      </c>
      <c r="B143" s="130" t="s">
        <v>231</v>
      </c>
      <c r="C143" s="132" t="s">
        <v>150</v>
      </c>
      <c r="D143" s="129">
        <v>1</v>
      </c>
      <c r="E143" s="129">
        <v>4.5251998999999996</v>
      </c>
      <c r="F143" s="129">
        <v>4.5251998999999996</v>
      </c>
      <c r="G143" s="129">
        <v>15.25</v>
      </c>
      <c r="H143" s="129">
        <v>15.25</v>
      </c>
      <c r="I143" s="131" t="s">
        <v>87</v>
      </c>
      <c r="J143" s="132" t="s">
        <v>102</v>
      </c>
      <c r="K143" s="130" t="s">
        <v>643</v>
      </c>
      <c r="L143" s="6" t="str">
        <f t="shared" si="2"/>
        <v>005-00000058</v>
      </c>
    </row>
    <row r="144" spans="1:12" hidden="1" x14ac:dyDescent="0.25">
      <c r="A144" s="130" t="s">
        <v>1055</v>
      </c>
      <c r="B144" s="130" t="s">
        <v>1056</v>
      </c>
      <c r="C144" s="132" t="s">
        <v>150</v>
      </c>
      <c r="D144" s="129">
        <v>1</v>
      </c>
      <c r="E144" s="25">
        <v>1.5079</v>
      </c>
      <c r="F144" s="25">
        <v>1.5078999999999996</v>
      </c>
      <c r="G144" s="25">
        <v>5.0847001000000001</v>
      </c>
      <c r="H144" s="25">
        <v>5.0847001000000001</v>
      </c>
      <c r="I144" s="131" t="s">
        <v>87</v>
      </c>
      <c r="J144" s="132" t="s">
        <v>102</v>
      </c>
      <c r="K144" s="130" t="s">
        <v>643</v>
      </c>
      <c r="L144" s="6" t="str">
        <f t="shared" si="2"/>
        <v>005-00000058</v>
      </c>
    </row>
    <row r="145" spans="1:12" hidden="1" x14ac:dyDescent="0.25">
      <c r="A145" s="130" t="s">
        <v>529</v>
      </c>
      <c r="B145" s="130" t="s">
        <v>530</v>
      </c>
      <c r="C145" s="132" t="s">
        <v>88</v>
      </c>
      <c r="D145" s="129">
        <v>1.25</v>
      </c>
      <c r="E145" s="129">
        <v>14.7882</v>
      </c>
      <c r="F145" s="129">
        <v>18.485249999999997</v>
      </c>
      <c r="G145" s="129">
        <v>49.75519899999999</v>
      </c>
      <c r="H145" s="129">
        <v>62.193998749999992</v>
      </c>
      <c r="I145" s="131" t="s">
        <v>87</v>
      </c>
      <c r="J145" s="132" t="s">
        <v>102</v>
      </c>
      <c r="K145" s="130" t="s">
        <v>643</v>
      </c>
      <c r="L145" s="6" t="str">
        <f t="shared" si="2"/>
        <v>005-00000058</v>
      </c>
    </row>
    <row r="146" spans="1:12" hidden="1" x14ac:dyDescent="0.25">
      <c r="A146" s="130" t="s">
        <v>232</v>
      </c>
      <c r="B146" s="130" t="s">
        <v>233</v>
      </c>
      <c r="C146" s="132" t="s">
        <v>150</v>
      </c>
      <c r="D146" s="129">
        <v>2</v>
      </c>
      <c r="E146" s="129">
        <v>2.7785001</v>
      </c>
      <c r="F146" s="129">
        <v>5.5570002000000009</v>
      </c>
      <c r="G146" s="129">
        <v>9.3219995000000004</v>
      </c>
      <c r="H146" s="129">
        <v>18.643999000000001</v>
      </c>
      <c r="I146" s="131" t="s">
        <v>87</v>
      </c>
      <c r="J146" s="132" t="s">
        <v>102</v>
      </c>
      <c r="K146" s="130" t="s">
        <v>638</v>
      </c>
      <c r="L146" s="6" t="str">
        <f t="shared" si="2"/>
        <v>005-00000063</v>
      </c>
    </row>
    <row r="147" spans="1:12" hidden="1" x14ac:dyDescent="0.25">
      <c r="A147" s="130" t="s">
        <v>396</v>
      </c>
      <c r="B147" s="130" t="s">
        <v>198</v>
      </c>
      <c r="C147" s="132" t="s">
        <v>150</v>
      </c>
      <c r="D147" s="129">
        <v>1</v>
      </c>
      <c r="E147" s="25">
        <v>3.0311000000000003</v>
      </c>
      <c r="F147" s="25">
        <v>3.0311000000000008</v>
      </c>
      <c r="G147" s="25">
        <v>10.169499999999999</v>
      </c>
      <c r="H147" s="25">
        <v>10.169499999999998</v>
      </c>
      <c r="I147" s="131" t="s">
        <v>87</v>
      </c>
      <c r="J147" s="132" t="s">
        <v>102</v>
      </c>
      <c r="K147" s="130" t="s">
        <v>638</v>
      </c>
      <c r="L147" s="6" t="str">
        <f t="shared" si="2"/>
        <v>005-00000063</v>
      </c>
    </row>
    <row r="148" spans="1:12" hidden="1" x14ac:dyDescent="0.25">
      <c r="A148" s="130" t="s">
        <v>730</v>
      </c>
      <c r="B148" s="130" t="s">
        <v>202</v>
      </c>
      <c r="C148" s="132" t="s">
        <v>150</v>
      </c>
      <c r="D148" s="129">
        <v>1</v>
      </c>
      <c r="E148" s="129">
        <v>7.5778999000000002</v>
      </c>
      <c r="F148" s="129">
        <v>7.5778999000000011</v>
      </c>
      <c r="G148" s="129">
        <v>25.4237</v>
      </c>
      <c r="H148" s="129">
        <v>25.423700000000004</v>
      </c>
      <c r="I148" s="131" t="s">
        <v>87</v>
      </c>
      <c r="J148" s="132" t="s">
        <v>102</v>
      </c>
      <c r="K148" s="130" t="s">
        <v>638</v>
      </c>
      <c r="L148" s="6" t="str">
        <f t="shared" si="2"/>
        <v>005-00000063</v>
      </c>
    </row>
    <row r="149" spans="1:12" hidden="1" x14ac:dyDescent="0.25">
      <c r="A149" s="130" t="s">
        <v>529</v>
      </c>
      <c r="B149" s="130" t="s">
        <v>530</v>
      </c>
      <c r="C149" s="132" t="s">
        <v>88</v>
      </c>
      <c r="D149" s="129">
        <v>1</v>
      </c>
      <c r="E149" s="129">
        <v>14.7882</v>
      </c>
      <c r="F149" s="129">
        <v>14.788199999999996</v>
      </c>
      <c r="G149" s="129">
        <v>49.75519899999999</v>
      </c>
      <c r="H149" s="129">
        <v>49.75519899999999</v>
      </c>
      <c r="I149" s="131" t="s">
        <v>87</v>
      </c>
      <c r="J149" s="132" t="s">
        <v>102</v>
      </c>
      <c r="K149" s="130" t="s">
        <v>638</v>
      </c>
      <c r="L149" s="6" t="str">
        <f t="shared" si="2"/>
        <v>005-00000063</v>
      </c>
    </row>
    <row r="150" spans="1:12" hidden="1" x14ac:dyDescent="0.25">
      <c r="A150" s="130" t="s">
        <v>610</v>
      </c>
      <c r="B150" s="130" t="s">
        <v>611</v>
      </c>
      <c r="C150" s="132" t="s">
        <v>150</v>
      </c>
      <c r="D150" s="129">
        <v>1</v>
      </c>
      <c r="E150" s="129">
        <v>3.7888999000000001</v>
      </c>
      <c r="F150" s="129">
        <v>3.7888999000000005</v>
      </c>
      <c r="G150" s="129">
        <v>12.7119</v>
      </c>
      <c r="H150" s="129">
        <v>12.711900000000004</v>
      </c>
      <c r="I150" s="131" t="s">
        <v>87</v>
      </c>
      <c r="J150" s="132" t="s">
        <v>102</v>
      </c>
      <c r="K150" s="130" t="s">
        <v>637</v>
      </c>
      <c r="L150" s="6" t="str">
        <f t="shared" si="2"/>
        <v>005-00000064</v>
      </c>
    </row>
    <row r="151" spans="1:12" hidden="1" x14ac:dyDescent="0.25">
      <c r="A151" s="130" t="s">
        <v>1057</v>
      </c>
      <c r="B151" s="130" t="s">
        <v>1058</v>
      </c>
      <c r="C151" s="132" t="s">
        <v>150</v>
      </c>
      <c r="D151" s="129">
        <v>1</v>
      </c>
      <c r="E151" s="129">
        <v>62.710299999999997</v>
      </c>
      <c r="F151" s="129">
        <v>62.710299999999989</v>
      </c>
      <c r="G151" s="129">
        <v>211.02</v>
      </c>
      <c r="H151" s="129">
        <v>211.02</v>
      </c>
      <c r="I151" s="131" t="s">
        <v>87</v>
      </c>
      <c r="J151" s="132" t="s">
        <v>102</v>
      </c>
      <c r="K151" s="130" t="s">
        <v>683</v>
      </c>
      <c r="L151" s="6" t="str">
        <f t="shared" si="2"/>
        <v>005-00000017</v>
      </c>
    </row>
    <row r="152" spans="1:12" hidden="1" x14ac:dyDescent="0.25">
      <c r="A152" s="130" t="s">
        <v>1057</v>
      </c>
      <c r="B152" s="130" t="s">
        <v>1058</v>
      </c>
      <c r="C152" s="132" t="s">
        <v>150</v>
      </c>
      <c r="D152" s="129">
        <v>1</v>
      </c>
      <c r="E152" s="129">
        <v>62.710299999999997</v>
      </c>
      <c r="F152" s="129">
        <v>62.710299999999989</v>
      </c>
      <c r="G152" s="129">
        <v>211.02</v>
      </c>
      <c r="H152" s="129">
        <v>211.02</v>
      </c>
      <c r="I152" s="131" t="s">
        <v>87</v>
      </c>
      <c r="J152" s="132" t="s">
        <v>102</v>
      </c>
      <c r="K152" s="130" t="s">
        <v>682</v>
      </c>
      <c r="L152" s="6" t="str">
        <f t="shared" si="2"/>
        <v>005-00000018</v>
      </c>
    </row>
    <row r="153" spans="1:12" hidden="1" x14ac:dyDescent="0.25">
      <c r="A153" s="130" t="s">
        <v>1059</v>
      </c>
      <c r="B153" s="130" t="s">
        <v>1060</v>
      </c>
      <c r="C153" s="132" t="s">
        <v>150</v>
      </c>
      <c r="D153" s="129">
        <v>1</v>
      </c>
      <c r="E153" s="129">
        <v>54.870700999999997</v>
      </c>
      <c r="F153" s="129">
        <v>54.870700999999997</v>
      </c>
      <c r="G153" s="129">
        <v>184.64</v>
      </c>
      <c r="H153" s="129">
        <v>184.64</v>
      </c>
      <c r="I153" s="131" t="s">
        <v>87</v>
      </c>
      <c r="J153" s="132" t="s">
        <v>102</v>
      </c>
      <c r="K153" s="130" t="s">
        <v>673</v>
      </c>
      <c r="L153" s="6" t="str">
        <f t="shared" si="2"/>
        <v>005-00000027</v>
      </c>
    </row>
    <row r="154" spans="1:12" hidden="1" x14ac:dyDescent="0.25">
      <c r="A154" s="130" t="s">
        <v>1059</v>
      </c>
      <c r="B154" s="130" t="s">
        <v>1060</v>
      </c>
      <c r="C154" s="132" t="s">
        <v>150</v>
      </c>
      <c r="D154" s="129">
        <v>1</v>
      </c>
      <c r="E154" s="129">
        <v>54.870700999999997</v>
      </c>
      <c r="F154" s="129">
        <v>54.870700999999997</v>
      </c>
      <c r="G154" s="129">
        <v>184.64</v>
      </c>
      <c r="H154" s="129">
        <v>184.64</v>
      </c>
      <c r="I154" s="131" t="s">
        <v>87</v>
      </c>
      <c r="J154" s="132" t="s">
        <v>102</v>
      </c>
      <c r="K154" s="130" t="s">
        <v>671</v>
      </c>
      <c r="L154" s="6" t="str">
        <f t="shared" si="2"/>
        <v>005-00000029</v>
      </c>
    </row>
    <row r="155" spans="1:12" hidden="1" x14ac:dyDescent="0.25">
      <c r="A155" s="130" t="s">
        <v>309</v>
      </c>
      <c r="B155" s="130" t="s">
        <v>310</v>
      </c>
      <c r="C155" s="132" t="s">
        <v>150</v>
      </c>
      <c r="D155" s="129">
        <v>1</v>
      </c>
      <c r="E155" s="129">
        <v>2.5259999999999998</v>
      </c>
      <c r="F155" s="129">
        <v>2.5259999999999998</v>
      </c>
      <c r="G155" s="129">
        <v>8.4745998</v>
      </c>
      <c r="H155" s="129">
        <v>8.4745998</v>
      </c>
      <c r="I155" s="131" t="s">
        <v>87</v>
      </c>
      <c r="J155" s="132" t="s">
        <v>102</v>
      </c>
      <c r="K155" s="130" t="s">
        <v>671</v>
      </c>
      <c r="L155" s="6" t="str">
        <f t="shared" si="2"/>
        <v>005-00000029</v>
      </c>
    </row>
    <row r="156" spans="1:12" hidden="1" x14ac:dyDescent="0.25">
      <c r="A156" s="130" t="s">
        <v>740</v>
      </c>
      <c r="B156" s="130" t="s">
        <v>741</v>
      </c>
      <c r="C156" s="132" t="s">
        <v>150</v>
      </c>
      <c r="D156" s="129">
        <v>1</v>
      </c>
      <c r="E156" s="129">
        <v>61.141201000000002</v>
      </c>
      <c r="F156" s="129">
        <v>61.141201000000002</v>
      </c>
      <c r="G156" s="129">
        <v>205.74001000000001</v>
      </c>
      <c r="H156" s="129">
        <v>205.74001000000001</v>
      </c>
      <c r="I156" s="131" t="s">
        <v>87</v>
      </c>
      <c r="J156" s="132" t="s">
        <v>102</v>
      </c>
      <c r="K156" s="130" t="s">
        <v>681</v>
      </c>
      <c r="L156" s="6" t="str">
        <f t="shared" si="2"/>
        <v>005-00000019</v>
      </c>
    </row>
    <row r="157" spans="1:12" hidden="1" x14ac:dyDescent="0.25">
      <c r="A157" s="130" t="s">
        <v>529</v>
      </c>
      <c r="B157" s="130" t="s">
        <v>530</v>
      </c>
      <c r="C157" s="132" t="s">
        <v>88</v>
      </c>
      <c r="D157" s="129">
        <v>1</v>
      </c>
      <c r="E157" s="129">
        <v>14.7882</v>
      </c>
      <c r="F157" s="129">
        <v>14.788199999999996</v>
      </c>
      <c r="G157" s="129">
        <v>49.75519899999999</v>
      </c>
      <c r="H157" s="129">
        <v>49.75519899999999</v>
      </c>
      <c r="I157" s="131" t="s">
        <v>87</v>
      </c>
      <c r="J157" s="132" t="s">
        <v>102</v>
      </c>
      <c r="K157" s="130" t="s">
        <v>684</v>
      </c>
      <c r="L157" s="6" t="str">
        <f t="shared" si="2"/>
        <v>005-00000016</v>
      </c>
    </row>
    <row r="158" spans="1:12" hidden="1" x14ac:dyDescent="0.25">
      <c r="A158" s="130" t="s">
        <v>740</v>
      </c>
      <c r="B158" s="130" t="s">
        <v>741</v>
      </c>
      <c r="C158" s="132" t="s">
        <v>150</v>
      </c>
      <c r="D158" s="129">
        <v>1</v>
      </c>
      <c r="E158" s="129">
        <v>61.141201000000002</v>
      </c>
      <c r="F158" s="129">
        <v>61.141201000000002</v>
      </c>
      <c r="G158" s="129">
        <v>205.74001000000001</v>
      </c>
      <c r="H158" s="129">
        <v>205.74001000000001</v>
      </c>
      <c r="I158" s="131" t="s">
        <v>87</v>
      </c>
      <c r="J158" s="132" t="s">
        <v>102</v>
      </c>
      <c r="K158" s="130" t="s">
        <v>684</v>
      </c>
      <c r="L158" s="6" t="str">
        <f t="shared" si="2"/>
        <v>005-00000016</v>
      </c>
    </row>
    <row r="159" spans="1:12" hidden="1" x14ac:dyDescent="0.25">
      <c r="A159" s="130" t="s">
        <v>216</v>
      </c>
      <c r="B159" s="130" t="s">
        <v>217</v>
      </c>
      <c r="C159" s="132" t="s">
        <v>153</v>
      </c>
      <c r="D159" s="129">
        <v>4</v>
      </c>
      <c r="E159" s="129">
        <v>3.2023001</v>
      </c>
      <c r="F159" s="129">
        <v>12.8092004</v>
      </c>
      <c r="G159" s="129">
        <v>10.75</v>
      </c>
      <c r="H159" s="129">
        <v>43</v>
      </c>
      <c r="I159" s="131" t="s">
        <v>87</v>
      </c>
      <c r="J159" s="132" t="s">
        <v>102</v>
      </c>
      <c r="K159" s="130" t="s">
        <v>661</v>
      </c>
      <c r="L159" s="6" t="str">
        <f t="shared" si="2"/>
        <v>005-00000039</v>
      </c>
    </row>
    <row r="160" spans="1:12" hidden="1" x14ac:dyDescent="0.25">
      <c r="A160" s="130" t="s">
        <v>608</v>
      </c>
      <c r="B160" s="130" t="s">
        <v>609</v>
      </c>
      <c r="C160" s="132" t="s">
        <v>153</v>
      </c>
      <c r="D160" s="129">
        <v>1</v>
      </c>
      <c r="E160" s="129">
        <v>6.3375000999999997</v>
      </c>
      <c r="F160" s="129">
        <v>6.3375001000000006</v>
      </c>
      <c r="G160" s="129">
        <v>21.18</v>
      </c>
      <c r="H160" s="129">
        <v>21.18</v>
      </c>
      <c r="I160" s="131" t="s">
        <v>87</v>
      </c>
      <c r="J160" s="132" t="s">
        <v>102</v>
      </c>
      <c r="K160" s="130" t="s">
        <v>683</v>
      </c>
      <c r="L160" s="6" t="str">
        <f t="shared" si="2"/>
        <v>005-00000017</v>
      </c>
    </row>
    <row r="161" spans="1:12" hidden="1" x14ac:dyDescent="0.25">
      <c r="A161" s="130" t="s">
        <v>274</v>
      </c>
      <c r="B161" s="130" t="s">
        <v>162</v>
      </c>
      <c r="C161" s="132" t="s">
        <v>153</v>
      </c>
      <c r="D161" s="129">
        <v>1</v>
      </c>
      <c r="E161" s="129">
        <v>5.0641999000000002</v>
      </c>
      <c r="F161" s="129">
        <v>5.0641999000000002</v>
      </c>
      <c r="G161" s="129">
        <v>16.950001</v>
      </c>
      <c r="H161" s="129">
        <v>16.950001</v>
      </c>
      <c r="I161" s="131" t="s">
        <v>87</v>
      </c>
      <c r="J161" s="132" t="s">
        <v>102</v>
      </c>
      <c r="K161" s="130" t="s">
        <v>687</v>
      </c>
      <c r="L161" s="6" t="str">
        <f t="shared" si="2"/>
        <v>005-00000013</v>
      </c>
    </row>
    <row r="162" spans="1:12" hidden="1" x14ac:dyDescent="0.25">
      <c r="A162" s="130" t="s">
        <v>222</v>
      </c>
      <c r="B162" s="130" t="s">
        <v>223</v>
      </c>
      <c r="C162" s="132" t="s">
        <v>150</v>
      </c>
      <c r="D162" s="129">
        <v>1</v>
      </c>
      <c r="E162" s="129">
        <v>5.0296998000000004</v>
      </c>
      <c r="F162" s="129">
        <v>5.0296998000000004</v>
      </c>
      <c r="G162" s="129">
        <v>16.950001</v>
      </c>
      <c r="H162" s="129">
        <v>16.950001</v>
      </c>
      <c r="I162" s="131" t="s">
        <v>87</v>
      </c>
      <c r="J162" s="132" t="s">
        <v>102</v>
      </c>
      <c r="K162" s="130" t="s">
        <v>687</v>
      </c>
      <c r="L162" s="6" t="str">
        <f t="shared" si="2"/>
        <v>005-00000013</v>
      </c>
    </row>
    <row r="163" spans="1:12" hidden="1" x14ac:dyDescent="0.25">
      <c r="A163" s="130" t="s">
        <v>459</v>
      </c>
      <c r="B163" s="130" t="s">
        <v>460</v>
      </c>
      <c r="C163" s="132" t="s">
        <v>150</v>
      </c>
      <c r="D163" s="129">
        <v>1</v>
      </c>
      <c r="E163" s="129">
        <v>3.7974000000000001</v>
      </c>
      <c r="F163" s="129">
        <v>3.7974000000000001</v>
      </c>
      <c r="G163" s="129">
        <v>12.71</v>
      </c>
      <c r="H163" s="129">
        <v>12.71</v>
      </c>
      <c r="I163" s="131" t="s">
        <v>87</v>
      </c>
      <c r="J163" s="132" t="s">
        <v>102</v>
      </c>
      <c r="K163" s="130" t="s">
        <v>687</v>
      </c>
      <c r="L163" s="6" t="str">
        <f t="shared" si="2"/>
        <v>005-00000013</v>
      </c>
    </row>
    <row r="164" spans="1:12" hidden="1" x14ac:dyDescent="0.25">
      <c r="A164" s="130" t="s">
        <v>406</v>
      </c>
      <c r="B164" s="130" t="s">
        <v>407</v>
      </c>
      <c r="C164" s="132" t="s">
        <v>153</v>
      </c>
      <c r="D164" s="129">
        <v>1</v>
      </c>
      <c r="E164" s="129">
        <v>40.511901999999999</v>
      </c>
      <c r="F164" s="129">
        <v>40.511902000000006</v>
      </c>
      <c r="G164" s="129">
        <v>135.5932</v>
      </c>
      <c r="H164" s="129">
        <v>135.5932</v>
      </c>
      <c r="I164" s="131" t="s">
        <v>87</v>
      </c>
      <c r="J164" s="132" t="s">
        <v>102</v>
      </c>
      <c r="K164" s="130" t="s">
        <v>687</v>
      </c>
      <c r="L164" s="6" t="str">
        <f t="shared" si="2"/>
        <v>005-00000013</v>
      </c>
    </row>
    <row r="165" spans="1:12" hidden="1" x14ac:dyDescent="0.25">
      <c r="A165" s="130" t="s">
        <v>716</v>
      </c>
      <c r="B165" s="130" t="s">
        <v>717</v>
      </c>
      <c r="C165" s="132" t="s">
        <v>150</v>
      </c>
      <c r="D165" s="129">
        <v>2</v>
      </c>
      <c r="E165" s="129">
        <v>10.760999999999999</v>
      </c>
      <c r="F165" s="129">
        <v>21.522000000000002</v>
      </c>
      <c r="G165" s="129">
        <v>36.016998000000001</v>
      </c>
      <c r="H165" s="129">
        <v>72.033996000000002</v>
      </c>
      <c r="I165" s="131" t="s">
        <v>87</v>
      </c>
      <c r="J165" s="132" t="s">
        <v>102</v>
      </c>
      <c r="K165" s="130" t="s">
        <v>687</v>
      </c>
      <c r="L165" s="6" t="str">
        <f t="shared" si="2"/>
        <v>005-00000013</v>
      </c>
    </row>
    <row r="166" spans="1:12" hidden="1" x14ac:dyDescent="0.25">
      <c r="A166" s="130" t="s">
        <v>579</v>
      </c>
      <c r="B166" s="130" t="s">
        <v>580</v>
      </c>
      <c r="C166" s="132" t="s">
        <v>153</v>
      </c>
      <c r="D166" s="129">
        <v>1</v>
      </c>
      <c r="E166" s="129">
        <v>30.382401000000002</v>
      </c>
      <c r="F166" s="129">
        <v>30.382401000000005</v>
      </c>
      <c r="G166" s="129">
        <v>101.69</v>
      </c>
      <c r="H166" s="129">
        <v>101.69</v>
      </c>
      <c r="I166" s="131" t="s">
        <v>87</v>
      </c>
      <c r="J166" s="132" t="s">
        <v>102</v>
      </c>
      <c r="K166" s="130" t="s">
        <v>687</v>
      </c>
      <c r="L166" s="6" t="str">
        <f t="shared" si="2"/>
        <v>005-00000013</v>
      </c>
    </row>
    <row r="167" spans="1:12" hidden="1" x14ac:dyDescent="0.25">
      <c r="A167" s="130" t="s">
        <v>234</v>
      </c>
      <c r="B167" s="130" t="s">
        <v>235</v>
      </c>
      <c r="C167" s="132" t="s">
        <v>153</v>
      </c>
      <c r="D167" s="129">
        <v>1</v>
      </c>
      <c r="E167" s="129">
        <v>11.394</v>
      </c>
      <c r="F167" s="129">
        <v>11.394000000000004</v>
      </c>
      <c r="G167" s="129">
        <v>38.135601000000001</v>
      </c>
      <c r="H167" s="129">
        <v>38.135601000000001</v>
      </c>
      <c r="I167" s="131" t="s">
        <v>87</v>
      </c>
      <c r="J167" s="132" t="s">
        <v>102</v>
      </c>
      <c r="K167" s="130" t="s">
        <v>687</v>
      </c>
      <c r="L167" s="6" t="str">
        <f t="shared" si="2"/>
        <v>005-00000013</v>
      </c>
    </row>
    <row r="168" spans="1:12" hidden="1" x14ac:dyDescent="0.25">
      <c r="A168" s="130" t="s">
        <v>368</v>
      </c>
      <c r="B168" s="130" t="s">
        <v>369</v>
      </c>
      <c r="C168" s="132" t="s">
        <v>150</v>
      </c>
      <c r="D168" s="129">
        <v>1</v>
      </c>
      <c r="E168" s="129">
        <v>3.7980000999999999</v>
      </c>
      <c r="F168" s="129">
        <v>3.7980000999999994</v>
      </c>
      <c r="G168" s="129">
        <v>12.7119</v>
      </c>
      <c r="H168" s="129">
        <v>12.711900000000004</v>
      </c>
      <c r="I168" s="131" t="s">
        <v>87</v>
      </c>
      <c r="J168" s="132" t="s">
        <v>102</v>
      </c>
      <c r="K168" s="130" t="s">
        <v>687</v>
      </c>
      <c r="L168" s="6" t="str">
        <f t="shared" si="2"/>
        <v>005-00000013</v>
      </c>
    </row>
    <row r="169" spans="1:12" hidden="1" x14ac:dyDescent="0.25">
      <c r="A169" s="130" t="s">
        <v>170</v>
      </c>
      <c r="B169" s="130" t="s">
        <v>169</v>
      </c>
      <c r="C169" s="132" t="s">
        <v>150</v>
      </c>
      <c r="D169" s="129">
        <v>1</v>
      </c>
      <c r="E169" s="129">
        <v>17.7239</v>
      </c>
      <c r="F169" s="129">
        <v>17.7239</v>
      </c>
      <c r="G169" s="129">
        <v>59.321998999999998</v>
      </c>
      <c r="H169" s="129">
        <v>59.321998999999998</v>
      </c>
      <c r="I169" s="131" t="s">
        <v>87</v>
      </c>
      <c r="J169" s="132" t="s">
        <v>102</v>
      </c>
      <c r="K169" s="130" t="s">
        <v>687</v>
      </c>
      <c r="L169" s="6" t="str">
        <f t="shared" si="2"/>
        <v>005-00000013</v>
      </c>
    </row>
    <row r="170" spans="1:12" hidden="1" x14ac:dyDescent="0.25">
      <c r="A170" s="130" t="s">
        <v>529</v>
      </c>
      <c r="B170" s="130" t="s">
        <v>530</v>
      </c>
      <c r="C170" s="132" t="s">
        <v>88</v>
      </c>
      <c r="D170" s="129">
        <v>1.25</v>
      </c>
      <c r="E170" s="129">
        <v>14.7882</v>
      </c>
      <c r="F170" s="129">
        <v>18.485249999999997</v>
      </c>
      <c r="G170" s="129">
        <v>49.75519899999999</v>
      </c>
      <c r="H170" s="129">
        <v>62.193998749999992</v>
      </c>
      <c r="I170" s="131" t="s">
        <v>87</v>
      </c>
      <c r="J170" s="132" t="s">
        <v>102</v>
      </c>
      <c r="K170" s="130" t="s">
        <v>682</v>
      </c>
      <c r="L170" s="6" t="str">
        <f t="shared" si="2"/>
        <v>005-00000018</v>
      </c>
    </row>
    <row r="171" spans="1:12" hidden="1" x14ac:dyDescent="0.25">
      <c r="A171" s="130" t="s">
        <v>529</v>
      </c>
      <c r="B171" s="130" t="s">
        <v>530</v>
      </c>
      <c r="C171" s="132" t="s">
        <v>88</v>
      </c>
      <c r="D171" s="129">
        <v>1.25</v>
      </c>
      <c r="E171" s="129">
        <v>14.7882</v>
      </c>
      <c r="F171" s="129">
        <v>18.485249999999997</v>
      </c>
      <c r="G171" s="129">
        <v>49.75519899999999</v>
      </c>
      <c r="H171" s="129">
        <v>62.193998749999992</v>
      </c>
      <c r="I171" s="131" t="s">
        <v>87</v>
      </c>
      <c r="J171" s="132" t="s">
        <v>102</v>
      </c>
      <c r="K171" s="130" t="s">
        <v>635</v>
      </c>
      <c r="L171" s="6" t="str">
        <f t="shared" si="2"/>
        <v>005-00000066</v>
      </c>
    </row>
    <row r="172" spans="1:12" hidden="1" x14ac:dyDescent="0.25">
      <c r="A172" s="130" t="s">
        <v>1041</v>
      </c>
      <c r="B172" s="130" t="s">
        <v>1042</v>
      </c>
      <c r="C172" s="132" t="s">
        <v>150</v>
      </c>
      <c r="D172" s="129">
        <v>1</v>
      </c>
      <c r="E172" s="129">
        <v>1.5079</v>
      </c>
      <c r="F172" s="129">
        <v>1.5078999999999996</v>
      </c>
      <c r="G172" s="129">
        <v>5.0847001000000001</v>
      </c>
      <c r="H172" s="129">
        <v>5.0847001000000001</v>
      </c>
      <c r="I172" s="131" t="s">
        <v>87</v>
      </c>
      <c r="J172" s="132" t="s">
        <v>102</v>
      </c>
      <c r="K172" s="130" t="s">
        <v>635</v>
      </c>
      <c r="L172" s="6" t="str">
        <f t="shared" si="2"/>
        <v>005-00000066</v>
      </c>
    </row>
    <row r="173" spans="1:12" hidden="1" x14ac:dyDescent="0.25">
      <c r="A173" s="130" t="s">
        <v>204</v>
      </c>
      <c r="B173" s="130" t="s">
        <v>205</v>
      </c>
      <c r="C173" s="132" t="s">
        <v>150</v>
      </c>
      <c r="D173" s="129">
        <v>1</v>
      </c>
      <c r="E173" s="129">
        <v>3.0901000000000001</v>
      </c>
      <c r="F173" s="129">
        <v>3.0901000000000001</v>
      </c>
      <c r="G173" s="129">
        <v>10.398300000000001</v>
      </c>
      <c r="H173" s="129">
        <v>10.398299999999999</v>
      </c>
      <c r="I173" s="131" t="s">
        <v>87</v>
      </c>
      <c r="J173" s="132" t="s">
        <v>102</v>
      </c>
      <c r="K173" s="130" t="s">
        <v>635</v>
      </c>
      <c r="L173" s="6" t="str">
        <f t="shared" si="2"/>
        <v>005-00000066</v>
      </c>
    </row>
    <row r="174" spans="1:12" hidden="1" x14ac:dyDescent="0.25">
      <c r="A174" s="130" t="s">
        <v>529</v>
      </c>
      <c r="B174" s="130" t="s">
        <v>530</v>
      </c>
      <c r="C174" s="132" t="s">
        <v>88</v>
      </c>
      <c r="D174" s="129">
        <v>1</v>
      </c>
      <c r="E174" s="129">
        <v>14.7882</v>
      </c>
      <c r="F174" s="129">
        <v>14.788199999999996</v>
      </c>
      <c r="G174" s="129">
        <v>49.75519899999999</v>
      </c>
      <c r="H174" s="129">
        <v>49.75519899999999</v>
      </c>
      <c r="I174" s="131" t="s">
        <v>87</v>
      </c>
      <c r="J174" s="132" t="s">
        <v>102</v>
      </c>
      <c r="K174" s="130" t="s">
        <v>632</v>
      </c>
      <c r="L174" s="6" t="str">
        <f t="shared" si="2"/>
        <v>005-00000074</v>
      </c>
    </row>
    <row r="175" spans="1:12" hidden="1" x14ac:dyDescent="0.25">
      <c r="A175" s="130" t="s">
        <v>192</v>
      </c>
      <c r="B175" s="130" t="s">
        <v>203</v>
      </c>
      <c r="C175" s="132" t="s">
        <v>150</v>
      </c>
      <c r="D175" s="129">
        <v>1</v>
      </c>
      <c r="E175" s="129">
        <v>2.2584</v>
      </c>
      <c r="F175" s="129">
        <v>2.2584</v>
      </c>
      <c r="G175" s="129">
        <v>7.5995998</v>
      </c>
      <c r="H175" s="129">
        <v>7.5995998</v>
      </c>
      <c r="I175" s="131" t="s">
        <v>87</v>
      </c>
      <c r="J175" s="132" t="s">
        <v>102</v>
      </c>
      <c r="K175" s="130" t="s">
        <v>632</v>
      </c>
      <c r="L175" s="6" t="str">
        <f t="shared" si="2"/>
        <v>005-00000074</v>
      </c>
    </row>
    <row r="176" spans="1:12" hidden="1" x14ac:dyDescent="0.25">
      <c r="A176" s="130" t="s">
        <v>529</v>
      </c>
      <c r="B176" s="130" t="s">
        <v>530</v>
      </c>
      <c r="C176" s="132" t="s">
        <v>88</v>
      </c>
      <c r="D176" s="129">
        <v>1</v>
      </c>
      <c r="E176" s="129">
        <v>14.7882</v>
      </c>
      <c r="F176" s="129">
        <v>14.788199999999996</v>
      </c>
      <c r="G176" s="129">
        <v>49.75519899999999</v>
      </c>
      <c r="H176" s="129">
        <v>49.75519899999999</v>
      </c>
      <c r="I176" s="131" t="s">
        <v>87</v>
      </c>
      <c r="J176" s="132" t="s">
        <v>102</v>
      </c>
      <c r="K176" s="130" t="s">
        <v>634</v>
      </c>
      <c r="L176" s="6" t="str">
        <f t="shared" si="2"/>
        <v>005-00000067</v>
      </c>
    </row>
    <row r="177" spans="1:12" hidden="1" x14ac:dyDescent="0.25">
      <c r="A177" s="130" t="s">
        <v>466</v>
      </c>
      <c r="B177" s="130" t="s">
        <v>198</v>
      </c>
      <c r="C177" s="132" t="s">
        <v>150</v>
      </c>
      <c r="D177" s="129">
        <v>1</v>
      </c>
      <c r="E177" s="129">
        <v>1.6168</v>
      </c>
      <c r="F177" s="129">
        <v>1.6168000000000005</v>
      </c>
      <c r="G177" s="129">
        <v>5.4407000999999999</v>
      </c>
      <c r="H177" s="129">
        <v>5.440700099999999</v>
      </c>
      <c r="I177" s="131" t="s">
        <v>87</v>
      </c>
      <c r="J177" s="132" t="s">
        <v>102</v>
      </c>
      <c r="K177" s="130" t="s">
        <v>634</v>
      </c>
      <c r="L177" s="6" t="str">
        <f t="shared" si="2"/>
        <v>005-00000067</v>
      </c>
    </row>
    <row r="178" spans="1:12" hidden="1" x14ac:dyDescent="0.25">
      <c r="A178" s="130" t="s">
        <v>206</v>
      </c>
      <c r="B178" s="130" t="s">
        <v>207</v>
      </c>
      <c r="C178" s="132" t="s">
        <v>150</v>
      </c>
      <c r="D178" s="129">
        <v>1</v>
      </c>
      <c r="E178" s="129">
        <v>3.2721</v>
      </c>
      <c r="F178" s="129">
        <v>3.2721</v>
      </c>
      <c r="G178" s="129">
        <v>11.0106</v>
      </c>
      <c r="H178" s="129">
        <v>11.010600000000002</v>
      </c>
      <c r="I178" s="131" t="s">
        <v>87</v>
      </c>
      <c r="J178" s="132" t="s">
        <v>102</v>
      </c>
      <c r="K178" s="130" t="s">
        <v>634</v>
      </c>
      <c r="L178" s="6" t="str">
        <f t="shared" si="2"/>
        <v>005-00000067</v>
      </c>
    </row>
    <row r="179" spans="1:12" hidden="1" x14ac:dyDescent="0.25">
      <c r="A179" s="130" t="s">
        <v>572</v>
      </c>
      <c r="B179" s="130" t="s">
        <v>408</v>
      </c>
      <c r="C179" s="132" t="s">
        <v>150</v>
      </c>
      <c r="D179" s="129">
        <v>4</v>
      </c>
      <c r="E179" s="129">
        <v>3.4210999000000002</v>
      </c>
      <c r="F179" s="129">
        <v>13.684399600000004</v>
      </c>
      <c r="G179" s="129">
        <v>11.47</v>
      </c>
      <c r="H179" s="129">
        <v>45.88</v>
      </c>
      <c r="I179" s="131" t="s">
        <v>87</v>
      </c>
      <c r="J179" s="132" t="s">
        <v>102</v>
      </c>
      <c r="K179" s="130" t="s">
        <v>634</v>
      </c>
      <c r="L179" s="6" t="str">
        <f t="shared" si="2"/>
        <v>005-00000067</v>
      </c>
    </row>
    <row r="180" spans="1:12" hidden="1" x14ac:dyDescent="0.25">
      <c r="A180" s="130" t="s">
        <v>168</v>
      </c>
      <c r="B180" s="130" t="s">
        <v>167</v>
      </c>
      <c r="C180" s="132" t="s">
        <v>150</v>
      </c>
      <c r="D180" s="129">
        <v>1</v>
      </c>
      <c r="E180" s="129">
        <v>6.5415001000000004</v>
      </c>
      <c r="F180" s="129">
        <v>6.5415001000000021</v>
      </c>
      <c r="G180" s="129">
        <v>22.011998999999999</v>
      </c>
      <c r="H180" s="129">
        <v>22.011998999999996</v>
      </c>
      <c r="I180" s="131" t="s">
        <v>87</v>
      </c>
      <c r="J180" s="132" t="s">
        <v>102</v>
      </c>
      <c r="K180" s="130" t="s">
        <v>634</v>
      </c>
      <c r="L180" s="6" t="str">
        <f t="shared" si="2"/>
        <v>005-00000067</v>
      </c>
    </row>
    <row r="181" spans="1:12" hidden="1" x14ac:dyDescent="0.25">
      <c r="A181" s="130" t="s">
        <v>577</v>
      </c>
      <c r="B181" s="130" t="s">
        <v>578</v>
      </c>
      <c r="C181" s="132" t="s">
        <v>150</v>
      </c>
      <c r="D181" s="129">
        <v>1</v>
      </c>
      <c r="E181" s="129">
        <v>80.669296000000003</v>
      </c>
      <c r="F181" s="129">
        <v>80.669295999999989</v>
      </c>
      <c r="G181" s="129">
        <v>270</v>
      </c>
      <c r="H181" s="129">
        <v>270</v>
      </c>
      <c r="I181" s="131" t="s">
        <v>87</v>
      </c>
      <c r="J181" s="132" t="s">
        <v>102</v>
      </c>
      <c r="K181" s="130" t="s">
        <v>652</v>
      </c>
      <c r="L181" s="6" t="str">
        <f t="shared" si="2"/>
        <v>005-00000049</v>
      </c>
    </row>
    <row r="182" spans="1:12" hidden="1" x14ac:dyDescent="0.25">
      <c r="A182" s="130" t="s">
        <v>577</v>
      </c>
      <c r="B182" s="130" t="s">
        <v>578</v>
      </c>
      <c r="C182" s="132" t="s">
        <v>150</v>
      </c>
      <c r="D182" s="129">
        <v>1</v>
      </c>
      <c r="E182" s="129">
        <v>80.669296000000003</v>
      </c>
      <c r="F182" s="129">
        <v>80.669295999999989</v>
      </c>
      <c r="G182" s="129">
        <v>270</v>
      </c>
      <c r="H182" s="129">
        <v>270</v>
      </c>
      <c r="I182" s="131" t="s">
        <v>87</v>
      </c>
      <c r="J182" s="132" t="s">
        <v>102</v>
      </c>
      <c r="K182" s="130" t="s">
        <v>646</v>
      </c>
      <c r="L182" s="6" t="str">
        <f t="shared" si="2"/>
        <v>005-00000055</v>
      </c>
    </row>
    <row r="183" spans="1:12" hidden="1" x14ac:dyDescent="0.25">
      <c r="A183" s="130" t="s">
        <v>577</v>
      </c>
      <c r="B183" s="130" t="s">
        <v>578</v>
      </c>
      <c r="C183" s="132" t="s">
        <v>150</v>
      </c>
      <c r="D183" s="129">
        <v>1</v>
      </c>
      <c r="E183" s="129">
        <v>80.669296000000003</v>
      </c>
      <c r="F183" s="129">
        <v>80.669295999999989</v>
      </c>
      <c r="G183" s="129">
        <v>270</v>
      </c>
      <c r="H183" s="129">
        <v>270</v>
      </c>
      <c r="I183" s="131" t="s">
        <v>87</v>
      </c>
      <c r="J183" s="132" t="s">
        <v>102</v>
      </c>
      <c r="K183" s="130" t="s">
        <v>655</v>
      </c>
      <c r="L183" s="6" t="str">
        <f t="shared" si="2"/>
        <v>005-00000046</v>
      </c>
    </row>
    <row r="184" spans="1:12" hidden="1" x14ac:dyDescent="0.25">
      <c r="A184" s="130" t="s">
        <v>577</v>
      </c>
      <c r="B184" s="130" t="s">
        <v>578</v>
      </c>
      <c r="C184" s="132" t="s">
        <v>150</v>
      </c>
      <c r="D184" s="129">
        <v>1</v>
      </c>
      <c r="E184" s="129">
        <v>80.669296000000003</v>
      </c>
      <c r="F184" s="129">
        <v>80.669295999999989</v>
      </c>
      <c r="G184" s="129">
        <v>270</v>
      </c>
      <c r="H184" s="129">
        <v>270</v>
      </c>
      <c r="I184" s="131" t="s">
        <v>87</v>
      </c>
      <c r="J184" s="132" t="s">
        <v>102</v>
      </c>
      <c r="K184" s="130" t="s">
        <v>651</v>
      </c>
      <c r="L184" s="6" t="str">
        <f t="shared" si="2"/>
        <v>005-00000050</v>
      </c>
    </row>
    <row r="185" spans="1:12" hidden="1" x14ac:dyDescent="0.25">
      <c r="A185" s="130" t="s">
        <v>577</v>
      </c>
      <c r="B185" s="130" t="s">
        <v>578</v>
      </c>
      <c r="C185" s="132" t="s">
        <v>150</v>
      </c>
      <c r="D185" s="129">
        <v>1</v>
      </c>
      <c r="E185" s="129">
        <v>80.669296000000003</v>
      </c>
      <c r="F185" s="129">
        <v>80.669295999999989</v>
      </c>
      <c r="G185" s="129">
        <v>270</v>
      </c>
      <c r="H185" s="129">
        <v>270</v>
      </c>
      <c r="I185" s="131" t="s">
        <v>87</v>
      </c>
      <c r="J185" s="132" t="s">
        <v>102</v>
      </c>
      <c r="K185" s="130" t="s">
        <v>633</v>
      </c>
      <c r="L185" s="6" t="str">
        <f t="shared" si="2"/>
        <v>005-00000069</v>
      </c>
    </row>
    <row r="186" spans="1:12" hidden="1" x14ac:dyDescent="0.25">
      <c r="A186" s="130" t="s">
        <v>380</v>
      </c>
      <c r="B186" s="130" t="s">
        <v>381</v>
      </c>
      <c r="C186" s="132" t="s">
        <v>150</v>
      </c>
      <c r="D186" s="129">
        <v>1</v>
      </c>
      <c r="E186" s="129">
        <v>38.840800999999999</v>
      </c>
      <c r="F186" s="129">
        <v>38.840801000000006</v>
      </c>
      <c r="G186" s="129">
        <v>130</v>
      </c>
      <c r="H186" s="129">
        <v>130</v>
      </c>
      <c r="I186" s="131" t="s">
        <v>87</v>
      </c>
      <c r="J186" s="132" t="s">
        <v>102</v>
      </c>
      <c r="K186" s="130" t="s">
        <v>653</v>
      </c>
      <c r="L186" s="6" t="str">
        <f t="shared" si="2"/>
        <v>005-00000048</v>
      </c>
    </row>
    <row r="187" spans="1:12" hidden="1" x14ac:dyDescent="0.25">
      <c r="A187" s="130" t="s">
        <v>423</v>
      </c>
      <c r="B187" s="130" t="s">
        <v>424</v>
      </c>
      <c r="C187" s="132" t="s">
        <v>150</v>
      </c>
      <c r="D187" s="129">
        <v>1</v>
      </c>
      <c r="E187" s="129">
        <v>8.9632997999999997</v>
      </c>
      <c r="F187" s="129">
        <v>8.9632997999999997</v>
      </c>
      <c r="G187" s="129">
        <v>30</v>
      </c>
      <c r="H187" s="129">
        <v>30</v>
      </c>
      <c r="I187" s="131" t="s">
        <v>87</v>
      </c>
      <c r="J187" s="132" t="s">
        <v>102</v>
      </c>
      <c r="K187" s="130" t="s">
        <v>653</v>
      </c>
      <c r="L187" s="6" t="str">
        <f t="shared" si="2"/>
        <v>005-00000048</v>
      </c>
    </row>
    <row r="188" spans="1:12" hidden="1" x14ac:dyDescent="0.25">
      <c r="A188" s="130" t="s">
        <v>589</v>
      </c>
      <c r="B188" s="130" t="s">
        <v>590</v>
      </c>
      <c r="C188" s="132" t="s">
        <v>150</v>
      </c>
      <c r="D188" s="129">
        <v>1</v>
      </c>
      <c r="E188" s="129">
        <v>8.9590998000000006</v>
      </c>
      <c r="F188" s="129">
        <v>8.9590997999999988</v>
      </c>
      <c r="G188" s="129">
        <v>30</v>
      </c>
      <c r="H188" s="129">
        <v>30</v>
      </c>
      <c r="I188" s="131" t="s">
        <v>87</v>
      </c>
      <c r="J188" s="132" t="s">
        <v>102</v>
      </c>
      <c r="K188" s="130" t="s">
        <v>653</v>
      </c>
      <c r="L188" s="6" t="str">
        <f t="shared" si="2"/>
        <v>005-00000048</v>
      </c>
    </row>
    <row r="189" spans="1:12" hidden="1" x14ac:dyDescent="0.25">
      <c r="A189" s="130" t="s">
        <v>282</v>
      </c>
      <c r="B189" s="130" t="s">
        <v>283</v>
      </c>
      <c r="C189" s="132" t="s">
        <v>150</v>
      </c>
      <c r="D189" s="129">
        <v>1</v>
      </c>
      <c r="E189" s="129">
        <v>10.457100000000001</v>
      </c>
      <c r="F189" s="129">
        <v>10.457100000000001</v>
      </c>
      <c r="G189" s="129">
        <v>35</v>
      </c>
      <c r="H189" s="129">
        <v>35</v>
      </c>
      <c r="I189" s="131" t="s">
        <v>87</v>
      </c>
      <c r="J189" s="132" t="s">
        <v>102</v>
      </c>
      <c r="K189" s="130" t="s">
        <v>653</v>
      </c>
      <c r="L189" s="6" t="str">
        <f t="shared" si="2"/>
        <v>005-00000048</v>
      </c>
    </row>
    <row r="190" spans="1:12" hidden="1" x14ac:dyDescent="0.25">
      <c r="A190" s="130" t="s">
        <v>280</v>
      </c>
      <c r="B190" s="130" t="s">
        <v>281</v>
      </c>
      <c r="C190" s="132" t="s">
        <v>150</v>
      </c>
      <c r="D190" s="129">
        <v>1</v>
      </c>
      <c r="E190" s="129">
        <v>10.457100000000001</v>
      </c>
      <c r="F190" s="129">
        <v>10.457100000000001</v>
      </c>
      <c r="G190" s="129">
        <v>35</v>
      </c>
      <c r="H190" s="129">
        <v>35</v>
      </c>
      <c r="I190" s="131" t="s">
        <v>87</v>
      </c>
      <c r="J190" s="132" t="s">
        <v>102</v>
      </c>
      <c r="K190" s="130" t="s">
        <v>653</v>
      </c>
      <c r="L190" s="6" t="str">
        <f t="shared" si="2"/>
        <v>005-00000048</v>
      </c>
    </row>
    <row r="191" spans="1:12" hidden="1" x14ac:dyDescent="0.25">
      <c r="A191" s="130" t="s">
        <v>358</v>
      </c>
      <c r="B191" s="130" t="s">
        <v>359</v>
      </c>
      <c r="C191" s="132" t="s">
        <v>150</v>
      </c>
      <c r="D191" s="129">
        <v>1</v>
      </c>
      <c r="E191" s="129">
        <v>7.4693999</v>
      </c>
      <c r="F191" s="129">
        <v>7.4693998999999982</v>
      </c>
      <c r="G191" s="129">
        <v>25</v>
      </c>
      <c r="H191" s="129">
        <v>25</v>
      </c>
      <c r="I191" s="131" t="s">
        <v>87</v>
      </c>
      <c r="J191" s="132" t="s">
        <v>102</v>
      </c>
      <c r="K191" s="130" t="s">
        <v>653</v>
      </c>
      <c r="L191" s="6" t="str">
        <f t="shared" si="2"/>
        <v>005-00000048</v>
      </c>
    </row>
    <row r="192" spans="1:12" hidden="1" x14ac:dyDescent="0.25">
      <c r="A192" s="130" t="s">
        <v>392</v>
      </c>
      <c r="B192" s="130" t="s">
        <v>393</v>
      </c>
      <c r="C192" s="132" t="s">
        <v>150</v>
      </c>
      <c r="D192" s="129">
        <v>1</v>
      </c>
      <c r="E192" s="129">
        <v>7.4693999</v>
      </c>
      <c r="F192" s="129">
        <v>7.4693998999999982</v>
      </c>
      <c r="G192" s="129">
        <v>25</v>
      </c>
      <c r="H192" s="129">
        <v>25</v>
      </c>
      <c r="I192" s="131" t="s">
        <v>87</v>
      </c>
      <c r="J192" s="132" t="s">
        <v>102</v>
      </c>
      <c r="K192" s="130" t="s">
        <v>653</v>
      </c>
      <c r="L192" s="6" t="str">
        <f t="shared" si="2"/>
        <v>005-00000048</v>
      </c>
    </row>
    <row r="193" spans="1:12" hidden="1" x14ac:dyDescent="0.25">
      <c r="A193" s="130" t="s">
        <v>449</v>
      </c>
      <c r="B193" s="130" t="s">
        <v>450</v>
      </c>
      <c r="C193" s="132" t="s">
        <v>150</v>
      </c>
      <c r="D193" s="129">
        <v>1</v>
      </c>
      <c r="E193" s="129">
        <v>53.779499000000008</v>
      </c>
      <c r="F193" s="129">
        <v>53.779498999999994</v>
      </c>
      <c r="G193" s="129">
        <v>180</v>
      </c>
      <c r="H193" s="129">
        <v>180</v>
      </c>
      <c r="I193" s="131" t="s">
        <v>87</v>
      </c>
      <c r="J193" s="132" t="s">
        <v>102</v>
      </c>
      <c r="K193" s="130" t="s">
        <v>653</v>
      </c>
      <c r="L193" s="6" t="str">
        <f t="shared" si="2"/>
        <v>005-00000048</v>
      </c>
    </row>
    <row r="194" spans="1:12" hidden="1" x14ac:dyDescent="0.25">
      <c r="A194" s="130" t="s">
        <v>461</v>
      </c>
      <c r="B194" s="130" t="s">
        <v>462</v>
      </c>
      <c r="C194" s="132" t="s">
        <v>150</v>
      </c>
      <c r="D194" s="129">
        <v>1</v>
      </c>
      <c r="E194" s="129">
        <v>74.693802000000005</v>
      </c>
      <c r="F194" s="129">
        <v>74.693802000000005</v>
      </c>
      <c r="G194" s="129">
        <v>250</v>
      </c>
      <c r="H194" s="129">
        <v>250</v>
      </c>
      <c r="I194" s="131" t="s">
        <v>87</v>
      </c>
      <c r="J194" s="132" t="s">
        <v>102</v>
      </c>
      <c r="K194" s="130" t="s">
        <v>653</v>
      </c>
      <c r="L194" s="6" t="str">
        <f t="shared" si="2"/>
        <v>005-00000048</v>
      </c>
    </row>
    <row r="195" spans="1:12" hidden="1" x14ac:dyDescent="0.25">
      <c r="A195" s="130" t="s">
        <v>443</v>
      </c>
      <c r="B195" s="130" t="s">
        <v>444</v>
      </c>
      <c r="C195" s="132" t="s">
        <v>153</v>
      </c>
      <c r="D195" s="129">
        <v>1</v>
      </c>
      <c r="E195" s="129">
        <v>26.889798999999996</v>
      </c>
      <c r="F195" s="129">
        <v>26.889798999999996</v>
      </c>
      <c r="G195" s="129">
        <v>90</v>
      </c>
      <c r="H195" s="129">
        <v>90</v>
      </c>
      <c r="I195" s="131" t="s">
        <v>87</v>
      </c>
      <c r="J195" s="132" t="s">
        <v>102</v>
      </c>
      <c r="K195" s="130" t="s">
        <v>653</v>
      </c>
      <c r="L195" s="6" t="str">
        <f t="shared" si="2"/>
        <v>005-00000048</v>
      </c>
    </row>
    <row r="196" spans="1:12" hidden="1" x14ac:dyDescent="0.25">
      <c r="A196" s="130" t="s">
        <v>405</v>
      </c>
      <c r="B196" s="130" t="s">
        <v>202</v>
      </c>
      <c r="C196" s="132" t="s">
        <v>150</v>
      </c>
      <c r="D196" s="129">
        <v>1</v>
      </c>
      <c r="E196" s="129">
        <v>6.3242998000000004</v>
      </c>
      <c r="F196" s="129">
        <v>6.3242997999999986</v>
      </c>
      <c r="G196" s="129">
        <v>21.186399000000002</v>
      </c>
      <c r="H196" s="129">
        <v>21.186399000000002</v>
      </c>
      <c r="I196" s="131" t="s">
        <v>87</v>
      </c>
      <c r="J196" s="132" t="s">
        <v>102</v>
      </c>
      <c r="K196" s="130" t="s">
        <v>655</v>
      </c>
      <c r="L196" s="6" t="str">
        <f t="shared" si="2"/>
        <v>005-00000046</v>
      </c>
    </row>
    <row r="197" spans="1:12" hidden="1" x14ac:dyDescent="0.25">
      <c r="A197" s="130" t="s">
        <v>364</v>
      </c>
      <c r="B197" s="130" t="s">
        <v>365</v>
      </c>
      <c r="C197" s="132" t="s">
        <v>153</v>
      </c>
      <c r="D197" s="129">
        <v>1</v>
      </c>
      <c r="E197" s="129">
        <v>7.5891999999999999</v>
      </c>
      <c r="F197" s="129">
        <v>7.5891999999999999</v>
      </c>
      <c r="G197" s="129">
        <v>25.4237</v>
      </c>
      <c r="H197" s="129">
        <v>25.423700000000004</v>
      </c>
      <c r="I197" s="131" t="s">
        <v>87</v>
      </c>
      <c r="J197" s="132" t="s">
        <v>102</v>
      </c>
      <c r="K197" s="130" t="s">
        <v>655</v>
      </c>
      <c r="L197" s="6" t="str">
        <f t="shared" ref="L197:L260" si="3">CONCATENATE(J197,"-",K197)</f>
        <v>005-00000046</v>
      </c>
    </row>
    <row r="198" spans="1:12" hidden="1" x14ac:dyDescent="0.25">
      <c r="A198" s="130" t="s">
        <v>249</v>
      </c>
      <c r="B198" s="130" t="s">
        <v>250</v>
      </c>
      <c r="C198" s="132" t="s">
        <v>153</v>
      </c>
      <c r="D198" s="129">
        <v>1</v>
      </c>
      <c r="E198" s="129">
        <v>11.2179</v>
      </c>
      <c r="F198" s="129">
        <v>11.2179</v>
      </c>
      <c r="G198" s="129">
        <v>37.580002</v>
      </c>
      <c r="H198" s="129">
        <v>37.580002000000007</v>
      </c>
      <c r="I198" s="131" t="s">
        <v>87</v>
      </c>
      <c r="J198" s="132" t="s">
        <v>102</v>
      </c>
      <c r="K198" s="130" t="s">
        <v>655</v>
      </c>
      <c r="L198" s="6" t="str">
        <f t="shared" si="3"/>
        <v>005-00000046</v>
      </c>
    </row>
    <row r="199" spans="1:12" hidden="1" x14ac:dyDescent="0.25">
      <c r="A199" s="130" t="s">
        <v>220</v>
      </c>
      <c r="B199" s="130" t="s">
        <v>221</v>
      </c>
      <c r="C199" s="132" t="s">
        <v>153</v>
      </c>
      <c r="D199" s="129">
        <v>1</v>
      </c>
      <c r="E199" s="129">
        <v>11.2179</v>
      </c>
      <c r="F199" s="129">
        <v>11.2179</v>
      </c>
      <c r="G199" s="129">
        <v>37.580002</v>
      </c>
      <c r="H199" s="129">
        <v>37.580002000000007</v>
      </c>
      <c r="I199" s="131" t="s">
        <v>87</v>
      </c>
      <c r="J199" s="132" t="s">
        <v>102</v>
      </c>
      <c r="K199" s="130" t="s">
        <v>655</v>
      </c>
      <c r="L199" s="6" t="str">
        <f t="shared" si="3"/>
        <v>005-00000046</v>
      </c>
    </row>
    <row r="200" spans="1:12" hidden="1" x14ac:dyDescent="0.25">
      <c r="A200" s="130" t="s">
        <v>544</v>
      </c>
      <c r="B200" s="130" t="s">
        <v>545</v>
      </c>
      <c r="C200" s="132" t="s">
        <v>150</v>
      </c>
      <c r="D200" s="129">
        <v>1</v>
      </c>
      <c r="E200" s="129">
        <v>3.0383998999999999</v>
      </c>
      <c r="F200" s="129">
        <v>3.0383998999999995</v>
      </c>
      <c r="G200" s="129">
        <v>10.169499999999999</v>
      </c>
      <c r="H200" s="129">
        <v>10.169499999999998</v>
      </c>
      <c r="I200" s="131" t="s">
        <v>87</v>
      </c>
      <c r="J200" s="132" t="s">
        <v>102</v>
      </c>
      <c r="K200" s="130" t="s">
        <v>655</v>
      </c>
      <c r="L200" s="6" t="str">
        <f t="shared" si="3"/>
        <v>005-00000046</v>
      </c>
    </row>
    <row r="201" spans="1:12" hidden="1" x14ac:dyDescent="0.25">
      <c r="A201" s="130" t="s">
        <v>331</v>
      </c>
      <c r="B201" s="130" t="s">
        <v>332</v>
      </c>
      <c r="C201" s="132" t="s">
        <v>150</v>
      </c>
      <c r="D201" s="129">
        <v>1</v>
      </c>
      <c r="E201" s="129">
        <v>1.899</v>
      </c>
      <c r="F201" s="129">
        <v>1.8989999999999998</v>
      </c>
      <c r="G201" s="129">
        <v>6.3558998000000004</v>
      </c>
      <c r="H201" s="129">
        <v>6.3558998000000004</v>
      </c>
      <c r="I201" s="131" t="s">
        <v>87</v>
      </c>
      <c r="J201" s="132" t="s">
        <v>102</v>
      </c>
      <c r="K201" s="130" t="s">
        <v>655</v>
      </c>
      <c r="L201" s="6" t="str">
        <f t="shared" si="3"/>
        <v>005-00000046</v>
      </c>
    </row>
    <row r="202" spans="1:12" hidden="1" x14ac:dyDescent="0.25">
      <c r="A202" s="130" t="s">
        <v>329</v>
      </c>
      <c r="B202" s="130" t="s">
        <v>330</v>
      </c>
      <c r="C202" s="132" t="s">
        <v>150</v>
      </c>
      <c r="D202" s="129">
        <v>1</v>
      </c>
      <c r="E202" s="129">
        <v>3.165</v>
      </c>
      <c r="F202" s="129">
        <v>3.165</v>
      </c>
      <c r="G202" s="129">
        <v>10.5932</v>
      </c>
      <c r="H202" s="129">
        <v>10.593199999999998</v>
      </c>
      <c r="I202" s="131" t="s">
        <v>87</v>
      </c>
      <c r="J202" s="132" t="s">
        <v>102</v>
      </c>
      <c r="K202" s="130" t="s">
        <v>655</v>
      </c>
      <c r="L202" s="6" t="str">
        <f t="shared" si="3"/>
        <v>005-00000046</v>
      </c>
    </row>
    <row r="203" spans="1:12" hidden="1" x14ac:dyDescent="0.25">
      <c r="A203" s="130" t="s">
        <v>406</v>
      </c>
      <c r="B203" s="130" t="s">
        <v>407</v>
      </c>
      <c r="C203" s="132" t="s">
        <v>153</v>
      </c>
      <c r="D203" s="129">
        <v>1</v>
      </c>
      <c r="E203" s="129">
        <v>35.416401</v>
      </c>
      <c r="F203" s="129">
        <v>35.416401</v>
      </c>
      <c r="G203" s="129">
        <v>118.645</v>
      </c>
      <c r="H203" s="129">
        <v>118.645</v>
      </c>
      <c r="I203" s="131" t="s">
        <v>87</v>
      </c>
      <c r="J203" s="132" t="s">
        <v>102</v>
      </c>
      <c r="K203" s="130" t="s">
        <v>651</v>
      </c>
      <c r="L203" s="6" t="str">
        <f t="shared" si="3"/>
        <v>005-00000050</v>
      </c>
    </row>
    <row r="204" spans="1:12" hidden="1" x14ac:dyDescent="0.25">
      <c r="A204" s="130" t="s">
        <v>544</v>
      </c>
      <c r="B204" s="130" t="s">
        <v>545</v>
      </c>
      <c r="C204" s="132" t="s">
        <v>150</v>
      </c>
      <c r="D204" s="129">
        <v>1</v>
      </c>
      <c r="E204" s="129">
        <v>3.0383998999999999</v>
      </c>
      <c r="F204" s="129">
        <v>3.0383998999999995</v>
      </c>
      <c r="G204" s="129">
        <v>10.169499999999999</v>
      </c>
      <c r="H204" s="129">
        <v>10.169499999999998</v>
      </c>
      <c r="I204" s="131" t="s">
        <v>87</v>
      </c>
      <c r="J204" s="132" t="s">
        <v>102</v>
      </c>
      <c r="K204" s="130" t="s">
        <v>651</v>
      </c>
      <c r="L204" s="6" t="str">
        <f t="shared" si="3"/>
        <v>005-00000050</v>
      </c>
    </row>
    <row r="205" spans="1:12" hidden="1" x14ac:dyDescent="0.25">
      <c r="A205" s="130" t="s">
        <v>1061</v>
      </c>
      <c r="B205" s="130" t="s">
        <v>1062</v>
      </c>
      <c r="C205" s="132" t="s">
        <v>226</v>
      </c>
      <c r="D205" s="129">
        <v>1</v>
      </c>
      <c r="E205" s="129">
        <v>61.45999900000001</v>
      </c>
      <c r="F205" s="129">
        <v>61.45999900000001</v>
      </c>
      <c r="G205" s="129">
        <v>205.95249999999999</v>
      </c>
      <c r="H205" s="129">
        <v>205.95249999999999</v>
      </c>
      <c r="I205" s="131" t="s">
        <v>87</v>
      </c>
      <c r="J205" s="132" t="s">
        <v>102</v>
      </c>
      <c r="K205" s="130" t="s">
        <v>651</v>
      </c>
      <c r="L205" s="6" t="str">
        <f t="shared" si="3"/>
        <v>005-00000050</v>
      </c>
    </row>
    <row r="206" spans="1:12" hidden="1" x14ac:dyDescent="0.25">
      <c r="A206" s="130" t="s">
        <v>546</v>
      </c>
      <c r="B206" s="130" t="s">
        <v>547</v>
      </c>
      <c r="C206" s="132" t="s">
        <v>153</v>
      </c>
      <c r="D206" s="129">
        <v>1</v>
      </c>
      <c r="E206" s="129">
        <v>25.319901000000002</v>
      </c>
      <c r="F206" s="129">
        <v>25.319901000000005</v>
      </c>
      <c r="G206" s="129">
        <v>84.745795999999984</v>
      </c>
      <c r="H206" s="129">
        <v>84.74579599999997</v>
      </c>
      <c r="I206" s="131" t="s">
        <v>87</v>
      </c>
      <c r="J206" s="132" t="s">
        <v>102</v>
      </c>
      <c r="K206" s="130" t="s">
        <v>651</v>
      </c>
      <c r="L206" s="6" t="str">
        <f t="shared" si="3"/>
        <v>005-00000050</v>
      </c>
    </row>
    <row r="207" spans="1:12" hidden="1" x14ac:dyDescent="0.25">
      <c r="A207" s="130" t="s">
        <v>502</v>
      </c>
      <c r="B207" s="130" t="s">
        <v>503</v>
      </c>
      <c r="C207" s="132" t="s">
        <v>153</v>
      </c>
      <c r="D207" s="129">
        <v>1</v>
      </c>
      <c r="E207" s="129">
        <v>17.7239</v>
      </c>
      <c r="F207" s="129">
        <v>17.7239</v>
      </c>
      <c r="G207" s="129">
        <v>59.321998999999998</v>
      </c>
      <c r="H207" s="129">
        <v>144.07</v>
      </c>
      <c r="I207" s="131" t="s">
        <v>87</v>
      </c>
      <c r="J207" s="132" t="s">
        <v>102</v>
      </c>
      <c r="K207" s="130" t="s">
        <v>651</v>
      </c>
      <c r="L207" s="6" t="str">
        <f t="shared" si="3"/>
        <v>005-00000050</v>
      </c>
    </row>
    <row r="208" spans="1:12" hidden="1" x14ac:dyDescent="0.25">
      <c r="A208" s="130" t="s">
        <v>1063</v>
      </c>
      <c r="B208" s="130" t="s">
        <v>1064</v>
      </c>
      <c r="C208" s="132" t="s">
        <v>150</v>
      </c>
      <c r="D208" s="129">
        <v>1</v>
      </c>
      <c r="E208" s="129">
        <v>8.6029996999999998</v>
      </c>
      <c r="F208" s="129">
        <v>8.6029996999999998</v>
      </c>
      <c r="G208" s="129">
        <v>28.82</v>
      </c>
      <c r="H208" s="129">
        <v>28.82</v>
      </c>
      <c r="I208" s="131" t="s">
        <v>87</v>
      </c>
      <c r="J208" s="132" t="s">
        <v>102</v>
      </c>
      <c r="K208" s="130" t="s">
        <v>651</v>
      </c>
      <c r="L208" s="6" t="str">
        <f t="shared" si="3"/>
        <v>005-00000050</v>
      </c>
    </row>
    <row r="209" spans="1:12" hidden="1" x14ac:dyDescent="0.25">
      <c r="A209" s="130" t="s">
        <v>1065</v>
      </c>
      <c r="B209" s="130" t="s">
        <v>1066</v>
      </c>
      <c r="C209" s="132" t="s">
        <v>150</v>
      </c>
      <c r="D209" s="129">
        <v>1</v>
      </c>
      <c r="E209" s="129">
        <v>9.6626996999999992</v>
      </c>
      <c r="F209" s="129">
        <v>9.6626996999999974</v>
      </c>
      <c r="G209" s="129">
        <v>32.369999</v>
      </c>
      <c r="H209" s="129">
        <v>32.369999000000007</v>
      </c>
      <c r="I209" s="131" t="s">
        <v>87</v>
      </c>
      <c r="J209" s="132" t="s">
        <v>102</v>
      </c>
      <c r="K209" s="130" t="s">
        <v>651</v>
      </c>
      <c r="L209" s="6" t="str">
        <f t="shared" si="3"/>
        <v>005-00000050</v>
      </c>
    </row>
    <row r="210" spans="1:12" hidden="1" x14ac:dyDescent="0.25">
      <c r="A210" s="130" t="s">
        <v>1059</v>
      </c>
      <c r="B210" s="130" t="s">
        <v>1060</v>
      </c>
      <c r="C210" s="132" t="s">
        <v>150</v>
      </c>
      <c r="D210" s="129">
        <v>1</v>
      </c>
      <c r="E210" s="129">
        <v>59.683300000000003</v>
      </c>
      <c r="F210" s="129">
        <v>59.68330000000001</v>
      </c>
      <c r="G210" s="129">
        <v>199.75998999999999</v>
      </c>
      <c r="H210" s="129">
        <v>199.75998999999996</v>
      </c>
      <c r="I210" s="131" t="s">
        <v>87</v>
      </c>
      <c r="J210" s="132" t="s">
        <v>102</v>
      </c>
      <c r="K210" s="130" t="s">
        <v>630</v>
      </c>
      <c r="L210" s="6" t="str">
        <f t="shared" si="3"/>
        <v>005-00000085</v>
      </c>
    </row>
    <row r="211" spans="1:12" hidden="1" x14ac:dyDescent="0.25">
      <c r="A211" s="130" t="s">
        <v>240</v>
      </c>
      <c r="B211" s="130" t="s">
        <v>229</v>
      </c>
      <c r="C211" s="132" t="s">
        <v>150</v>
      </c>
      <c r="D211" s="129">
        <v>1</v>
      </c>
      <c r="E211" s="129">
        <v>4.3004999000000002</v>
      </c>
      <c r="F211" s="129">
        <v>4.3004999000000002</v>
      </c>
      <c r="G211" s="129">
        <v>14.4068</v>
      </c>
      <c r="H211" s="129">
        <v>14.4068</v>
      </c>
      <c r="I211" s="131" t="s">
        <v>87</v>
      </c>
      <c r="J211" s="132" t="s">
        <v>102</v>
      </c>
      <c r="K211" s="130" t="s">
        <v>630</v>
      </c>
      <c r="L211" s="6" t="str">
        <f t="shared" si="3"/>
        <v>005-00000085</v>
      </c>
    </row>
    <row r="212" spans="1:12" hidden="1" x14ac:dyDescent="0.25">
      <c r="A212" s="130" t="s">
        <v>1063</v>
      </c>
      <c r="B212" s="130" t="s">
        <v>1064</v>
      </c>
      <c r="C212" s="132" t="s">
        <v>150</v>
      </c>
      <c r="D212" s="129">
        <v>1</v>
      </c>
      <c r="E212" s="129">
        <v>8.6029996999999998</v>
      </c>
      <c r="F212" s="129">
        <v>8.6029996999999998</v>
      </c>
      <c r="G212" s="129">
        <v>28.82</v>
      </c>
      <c r="H212" s="129">
        <v>28.82</v>
      </c>
      <c r="I212" s="131" t="s">
        <v>87</v>
      </c>
      <c r="J212" s="132" t="s">
        <v>102</v>
      </c>
      <c r="K212" s="130" t="s">
        <v>630</v>
      </c>
      <c r="L212" s="6" t="str">
        <f t="shared" si="3"/>
        <v>005-00000085</v>
      </c>
    </row>
    <row r="213" spans="1:12" hidden="1" x14ac:dyDescent="0.25">
      <c r="A213" s="130" t="s">
        <v>406</v>
      </c>
      <c r="B213" s="130" t="s">
        <v>407</v>
      </c>
      <c r="C213" s="132" t="s">
        <v>153</v>
      </c>
      <c r="D213" s="129">
        <v>1</v>
      </c>
      <c r="E213" s="129">
        <v>35.416401</v>
      </c>
      <c r="F213" s="129">
        <v>35.416401</v>
      </c>
      <c r="G213" s="129">
        <v>118.645</v>
      </c>
      <c r="H213" s="129">
        <v>118.645</v>
      </c>
      <c r="I213" s="131" t="s">
        <v>87</v>
      </c>
      <c r="J213" s="132" t="s">
        <v>102</v>
      </c>
      <c r="K213" s="130" t="s">
        <v>650</v>
      </c>
      <c r="L213" s="6" t="str">
        <f t="shared" si="3"/>
        <v>005-00000051</v>
      </c>
    </row>
    <row r="214" spans="1:12" hidden="1" x14ac:dyDescent="0.25">
      <c r="A214" s="130" t="s">
        <v>1065</v>
      </c>
      <c r="B214" s="130" t="s">
        <v>1066</v>
      </c>
      <c r="C214" s="132" t="s">
        <v>150</v>
      </c>
      <c r="D214" s="129">
        <v>1</v>
      </c>
      <c r="E214" s="129">
        <v>9.6626996999999992</v>
      </c>
      <c r="F214" s="129">
        <v>9.6626996999999974</v>
      </c>
      <c r="G214" s="129">
        <v>32.369999</v>
      </c>
      <c r="H214" s="129">
        <v>32.369999000000007</v>
      </c>
      <c r="I214" s="131" t="s">
        <v>87</v>
      </c>
      <c r="J214" s="132" t="s">
        <v>102</v>
      </c>
      <c r="K214" s="130" t="s">
        <v>650</v>
      </c>
      <c r="L214" s="6" t="str">
        <f t="shared" si="3"/>
        <v>005-00000051</v>
      </c>
    </row>
    <row r="215" spans="1:12" hidden="1" x14ac:dyDescent="0.25">
      <c r="A215" s="130" t="s">
        <v>409</v>
      </c>
      <c r="B215" s="130" t="s">
        <v>408</v>
      </c>
      <c r="C215" s="132" t="s">
        <v>150</v>
      </c>
      <c r="D215" s="129">
        <v>4</v>
      </c>
      <c r="E215" s="129">
        <v>2.2134999999999998</v>
      </c>
      <c r="F215" s="129">
        <v>8.8539999999999992</v>
      </c>
      <c r="G215" s="129">
        <v>7.4152998999999999</v>
      </c>
      <c r="H215" s="129">
        <v>29.6611996</v>
      </c>
      <c r="I215" s="131" t="s">
        <v>87</v>
      </c>
      <c r="J215" s="132" t="s">
        <v>102</v>
      </c>
      <c r="K215" s="130" t="s">
        <v>650</v>
      </c>
      <c r="L215" s="6" t="str">
        <f t="shared" si="3"/>
        <v>005-00000051</v>
      </c>
    </row>
    <row r="216" spans="1:12" hidden="1" x14ac:dyDescent="0.25">
      <c r="A216" s="130" t="s">
        <v>228</v>
      </c>
      <c r="B216" s="130" t="s">
        <v>229</v>
      </c>
      <c r="C216" s="132" t="s">
        <v>150</v>
      </c>
      <c r="D216" s="129">
        <v>1</v>
      </c>
      <c r="E216" s="129">
        <v>3.7946</v>
      </c>
      <c r="F216" s="129">
        <v>3.7946</v>
      </c>
      <c r="G216" s="129">
        <v>12.7119</v>
      </c>
      <c r="H216" s="129">
        <v>12.711900000000004</v>
      </c>
      <c r="I216" s="131" t="s">
        <v>87</v>
      </c>
      <c r="J216" s="132" t="s">
        <v>102</v>
      </c>
      <c r="K216" s="130" t="s">
        <v>650</v>
      </c>
      <c r="L216" s="6" t="str">
        <f t="shared" si="3"/>
        <v>005-00000051</v>
      </c>
    </row>
    <row r="217" spans="1:12" hidden="1" x14ac:dyDescent="0.25">
      <c r="A217" s="130" t="s">
        <v>1063</v>
      </c>
      <c r="B217" s="130" t="s">
        <v>1064</v>
      </c>
      <c r="C217" s="132" t="s">
        <v>150</v>
      </c>
      <c r="D217" s="129">
        <v>1</v>
      </c>
      <c r="E217" s="129">
        <v>8.6029996999999998</v>
      </c>
      <c r="F217" s="129">
        <v>8.6029996999999998</v>
      </c>
      <c r="G217" s="129">
        <v>28.82</v>
      </c>
      <c r="H217" s="129">
        <v>28.82</v>
      </c>
      <c r="I217" s="131" t="s">
        <v>87</v>
      </c>
      <c r="J217" s="132" t="s">
        <v>102</v>
      </c>
      <c r="K217" s="130" t="s">
        <v>631</v>
      </c>
      <c r="L217" s="6" t="str">
        <f t="shared" si="3"/>
        <v>005-00000079</v>
      </c>
    </row>
    <row r="218" spans="1:12" hidden="1" x14ac:dyDescent="0.25">
      <c r="A218" s="130" t="s">
        <v>1065</v>
      </c>
      <c r="B218" s="130" t="s">
        <v>1066</v>
      </c>
      <c r="C218" s="132" t="s">
        <v>150</v>
      </c>
      <c r="D218" s="129">
        <v>1</v>
      </c>
      <c r="E218" s="129">
        <v>9.6626996999999992</v>
      </c>
      <c r="F218" s="129">
        <v>9.6626996999999974</v>
      </c>
      <c r="G218" s="129">
        <v>32.369999</v>
      </c>
      <c r="H218" s="129">
        <v>32.369999000000007</v>
      </c>
      <c r="I218" s="131" t="s">
        <v>87</v>
      </c>
      <c r="J218" s="132" t="s">
        <v>102</v>
      </c>
      <c r="K218" s="130" t="s">
        <v>631</v>
      </c>
      <c r="L218" s="6" t="str">
        <f t="shared" si="3"/>
        <v>005-00000079</v>
      </c>
    </row>
    <row r="219" spans="1:12" hidden="1" x14ac:dyDescent="0.25">
      <c r="A219" s="130" t="s">
        <v>567</v>
      </c>
      <c r="B219" s="130" t="s">
        <v>568</v>
      </c>
      <c r="C219" s="132" t="s">
        <v>150</v>
      </c>
      <c r="D219" s="129">
        <v>1</v>
      </c>
      <c r="E219" s="129">
        <v>10.446199999999999</v>
      </c>
      <c r="F219" s="129">
        <v>10.446199999999999</v>
      </c>
      <c r="G219" s="129">
        <v>35</v>
      </c>
      <c r="H219" s="129">
        <v>35</v>
      </c>
      <c r="I219" s="131" t="s">
        <v>87</v>
      </c>
      <c r="J219" s="132" t="s">
        <v>102</v>
      </c>
      <c r="K219" s="130" t="s">
        <v>652</v>
      </c>
      <c r="L219" s="6" t="str">
        <f t="shared" si="3"/>
        <v>005-00000049</v>
      </c>
    </row>
    <row r="220" spans="1:12" hidden="1" x14ac:dyDescent="0.25">
      <c r="A220" s="130" t="s">
        <v>449</v>
      </c>
      <c r="B220" s="130" t="s">
        <v>450</v>
      </c>
      <c r="C220" s="132" t="s">
        <v>150</v>
      </c>
      <c r="D220" s="129">
        <v>1</v>
      </c>
      <c r="E220" s="129">
        <v>83.582099999999997</v>
      </c>
      <c r="F220" s="129">
        <v>83.582099999999997</v>
      </c>
      <c r="G220" s="129">
        <v>280</v>
      </c>
      <c r="H220" s="129">
        <v>280</v>
      </c>
      <c r="I220" s="131" t="s">
        <v>87</v>
      </c>
      <c r="J220" s="132" t="s">
        <v>102</v>
      </c>
      <c r="K220" s="130" t="s">
        <v>652</v>
      </c>
      <c r="L220" s="6" t="str">
        <f t="shared" si="3"/>
        <v>005-00000049</v>
      </c>
    </row>
    <row r="221" spans="1:12" hidden="1" x14ac:dyDescent="0.25">
      <c r="A221" s="130" t="s">
        <v>441</v>
      </c>
      <c r="B221" s="130" t="s">
        <v>442</v>
      </c>
      <c r="C221" s="132" t="s">
        <v>153</v>
      </c>
      <c r="D221" s="129">
        <v>1</v>
      </c>
      <c r="E221" s="129">
        <v>10.447800000000003</v>
      </c>
      <c r="F221" s="129">
        <v>10.447800000000004</v>
      </c>
      <c r="G221" s="129">
        <v>35</v>
      </c>
      <c r="H221" s="129">
        <v>35</v>
      </c>
      <c r="I221" s="131" t="s">
        <v>87</v>
      </c>
      <c r="J221" s="132" t="s">
        <v>102</v>
      </c>
      <c r="K221" s="130" t="s">
        <v>652</v>
      </c>
      <c r="L221" s="6" t="str">
        <f t="shared" si="3"/>
        <v>005-00000049</v>
      </c>
    </row>
    <row r="222" spans="1:12" hidden="1" x14ac:dyDescent="0.25">
      <c r="A222" s="130" t="s">
        <v>1067</v>
      </c>
      <c r="B222" s="130" t="s">
        <v>1068</v>
      </c>
      <c r="C222" s="132" t="s">
        <v>150</v>
      </c>
      <c r="D222" s="129">
        <v>1</v>
      </c>
      <c r="E222" s="129">
        <v>13.4328</v>
      </c>
      <c r="F222" s="129">
        <v>13.432799999999997</v>
      </c>
      <c r="G222" s="129">
        <v>45</v>
      </c>
      <c r="H222" s="129">
        <v>45</v>
      </c>
      <c r="I222" s="131" t="s">
        <v>87</v>
      </c>
      <c r="J222" s="132" t="s">
        <v>102</v>
      </c>
      <c r="K222" s="130" t="s">
        <v>652</v>
      </c>
      <c r="L222" s="6" t="str">
        <f t="shared" si="3"/>
        <v>005-00000049</v>
      </c>
    </row>
    <row r="223" spans="1:12" hidden="1" x14ac:dyDescent="0.25">
      <c r="A223" s="130" t="s">
        <v>1069</v>
      </c>
      <c r="B223" s="130" t="s">
        <v>1070</v>
      </c>
      <c r="C223" s="132" t="s">
        <v>150</v>
      </c>
      <c r="D223" s="129">
        <v>1</v>
      </c>
      <c r="E223" s="129">
        <v>13.4328</v>
      </c>
      <c r="F223" s="129">
        <v>13.432799999999997</v>
      </c>
      <c r="G223" s="129">
        <v>45</v>
      </c>
      <c r="H223" s="129">
        <v>45</v>
      </c>
      <c r="I223" s="131" t="s">
        <v>87</v>
      </c>
      <c r="J223" s="132" t="s">
        <v>102</v>
      </c>
      <c r="K223" s="130" t="s">
        <v>652</v>
      </c>
      <c r="L223" s="6" t="str">
        <f t="shared" si="3"/>
        <v>005-00000049</v>
      </c>
    </row>
    <row r="224" spans="1:12" hidden="1" x14ac:dyDescent="0.25">
      <c r="A224" s="130" t="s">
        <v>433</v>
      </c>
      <c r="B224" s="130" t="s">
        <v>434</v>
      </c>
      <c r="C224" s="132" t="s">
        <v>150</v>
      </c>
      <c r="D224" s="129">
        <v>1</v>
      </c>
      <c r="E224" s="129">
        <v>59.701500000000003</v>
      </c>
      <c r="F224" s="129">
        <v>59.701499999999996</v>
      </c>
      <c r="G224" s="129">
        <v>200</v>
      </c>
      <c r="H224" s="129">
        <v>200</v>
      </c>
      <c r="I224" s="131" t="s">
        <v>87</v>
      </c>
      <c r="J224" s="132" t="s">
        <v>102</v>
      </c>
      <c r="K224" s="130" t="s">
        <v>652</v>
      </c>
      <c r="L224" s="6" t="str">
        <f t="shared" si="3"/>
        <v>005-00000049</v>
      </c>
    </row>
    <row r="225" spans="1:12" hidden="1" x14ac:dyDescent="0.25">
      <c r="A225" s="130" t="s">
        <v>500</v>
      </c>
      <c r="B225" s="130" t="s">
        <v>501</v>
      </c>
      <c r="C225" s="132" t="s">
        <v>150</v>
      </c>
      <c r="D225" s="129">
        <v>1</v>
      </c>
      <c r="E225" s="129">
        <v>5.3103999999999996</v>
      </c>
      <c r="F225" s="129">
        <v>5.3103999999999996</v>
      </c>
      <c r="G225" s="129">
        <v>17.790001</v>
      </c>
      <c r="H225" s="129">
        <v>17.790001000000004</v>
      </c>
      <c r="I225" s="131" t="s">
        <v>87</v>
      </c>
      <c r="J225" s="132" t="s">
        <v>102</v>
      </c>
      <c r="K225" s="130" t="s">
        <v>646</v>
      </c>
      <c r="L225" s="6" t="str">
        <f t="shared" si="3"/>
        <v>005-00000055</v>
      </c>
    </row>
    <row r="226" spans="1:12" hidden="1" x14ac:dyDescent="0.25">
      <c r="A226" s="130" t="s">
        <v>453</v>
      </c>
      <c r="B226" s="130" t="s">
        <v>454</v>
      </c>
      <c r="C226" s="132" t="s">
        <v>150</v>
      </c>
      <c r="D226" s="129">
        <v>1</v>
      </c>
      <c r="E226" s="129">
        <v>20.080601000000001</v>
      </c>
      <c r="F226" s="129">
        <v>20.080601000000005</v>
      </c>
      <c r="G226" s="129">
        <v>67.269997000000004</v>
      </c>
      <c r="H226" s="129">
        <v>67.269996999999989</v>
      </c>
      <c r="I226" s="131" t="s">
        <v>87</v>
      </c>
      <c r="J226" s="132" t="s">
        <v>102</v>
      </c>
      <c r="K226" s="130" t="s">
        <v>646</v>
      </c>
      <c r="L226" s="6" t="str">
        <f t="shared" si="3"/>
        <v>005-00000055</v>
      </c>
    </row>
    <row r="227" spans="1:12" hidden="1" x14ac:dyDescent="0.25">
      <c r="A227" s="130" t="s">
        <v>575</v>
      </c>
      <c r="B227" s="130" t="s">
        <v>576</v>
      </c>
      <c r="C227" s="132" t="s">
        <v>150</v>
      </c>
      <c r="D227" s="129">
        <v>1</v>
      </c>
      <c r="E227" s="129">
        <v>31.3552</v>
      </c>
      <c r="F227" s="129">
        <v>31.3552</v>
      </c>
      <c r="G227" s="129">
        <v>105.04</v>
      </c>
      <c r="H227" s="129">
        <v>105.04</v>
      </c>
      <c r="I227" s="131" t="s">
        <v>87</v>
      </c>
      <c r="J227" s="132" t="s">
        <v>102</v>
      </c>
      <c r="K227" s="130" t="s">
        <v>646</v>
      </c>
      <c r="L227" s="6" t="str">
        <f t="shared" si="3"/>
        <v>005-00000055</v>
      </c>
    </row>
    <row r="228" spans="1:12" hidden="1" x14ac:dyDescent="0.25">
      <c r="A228" s="130" t="s">
        <v>380</v>
      </c>
      <c r="B228" s="130" t="s">
        <v>381</v>
      </c>
      <c r="C228" s="132" t="s">
        <v>150</v>
      </c>
      <c r="D228" s="129">
        <v>1</v>
      </c>
      <c r="E228" s="129">
        <v>44.7761</v>
      </c>
      <c r="F228" s="129">
        <v>44.7761</v>
      </c>
      <c r="G228" s="129">
        <v>150</v>
      </c>
      <c r="H228" s="129">
        <v>150</v>
      </c>
      <c r="I228" s="131" t="s">
        <v>87</v>
      </c>
      <c r="J228" s="132" t="s">
        <v>102</v>
      </c>
      <c r="K228" s="130" t="s">
        <v>633</v>
      </c>
      <c r="L228" s="6" t="str">
        <f t="shared" si="3"/>
        <v>005-00000069</v>
      </c>
    </row>
    <row r="229" spans="1:12" hidden="1" x14ac:dyDescent="0.25">
      <c r="A229" s="130" t="s">
        <v>441</v>
      </c>
      <c r="B229" s="130" t="s">
        <v>442</v>
      </c>
      <c r="C229" s="132" t="s">
        <v>153</v>
      </c>
      <c r="D229" s="129">
        <v>1</v>
      </c>
      <c r="E229" s="129">
        <v>10.447800000000003</v>
      </c>
      <c r="F229" s="129">
        <v>10.447800000000004</v>
      </c>
      <c r="G229" s="129">
        <v>35</v>
      </c>
      <c r="H229" s="129">
        <v>35</v>
      </c>
      <c r="I229" s="131" t="s">
        <v>87</v>
      </c>
      <c r="J229" s="132" t="s">
        <v>102</v>
      </c>
      <c r="K229" s="130" t="s">
        <v>633</v>
      </c>
      <c r="L229" s="6" t="str">
        <f t="shared" si="3"/>
        <v>005-00000069</v>
      </c>
    </row>
    <row r="230" spans="1:12" hidden="1" x14ac:dyDescent="0.25">
      <c r="A230" s="130" t="s">
        <v>358</v>
      </c>
      <c r="B230" s="130" t="s">
        <v>359</v>
      </c>
      <c r="C230" s="132" t="s">
        <v>150</v>
      </c>
      <c r="D230" s="129">
        <v>1</v>
      </c>
      <c r="E230" s="129">
        <v>10.447800000000003</v>
      </c>
      <c r="F230" s="129">
        <v>10.447800000000004</v>
      </c>
      <c r="G230" s="129">
        <v>35</v>
      </c>
      <c r="H230" s="129">
        <v>35</v>
      </c>
      <c r="I230" s="131" t="s">
        <v>87</v>
      </c>
      <c r="J230" s="132" t="s">
        <v>102</v>
      </c>
      <c r="K230" s="130" t="s">
        <v>633</v>
      </c>
      <c r="L230" s="6" t="str">
        <f t="shared" si="3"/>
        <v>005-00000069</v>
      </c>
    </row>
    <row r="231" spans="1:12" hidden="1" x14ac:dyDescent="0.25">
      <c r="A231" s="130" t="s">
        <v>392</v>
      </c>
      <c r="B231" s="130" t="s">
        <v>393</v>
      </c>
      <c r="C231" s="132" t="s">
        <v>150</v>
      </c>
      <c r="D231" s="129">
        <v>1</v>
      </c>
      <c r="E231" s="129">
        <v>10.447800000000003</v>
      </c>
      <c r="F231" s="129">
        <v>10.447800000000004</v>
      </c>
      <c r="G231" s="129">
        <v>35</v>
      </c>
      <c r="H231" s="129">
        <v>35</v>
      </c>
      <c r="I231" s="131" t="s">
        <v>87</v>
      </c>
      <c r="J231" s="132" t="s">
        <v>102</v>
      </c>
      <c r="K231" s="130" t="s">
        <v>633</v>
      </c>
      <c r="L231" s="6" t="str">
        <f t="shared" si="3"/>
        <v>005-00000069</v>
      </c>
    </row>
    <row r="232" spans="1:12" hidden="1" x14ac:dyDescent="0.25">
      <c r="A232" s="130" t="s">
        <v>437</v>
      </c>
      <c r="B232" s="130" t="s">
        <v>438</v>
      </c>
      <c r="C232" s="132" t="s">
        <v>150</v>
      </c>
      <c r="D232" s="129">
        <v>1</v>
      </c>
      <c r="E232" s="129">
        <v>8.9552002000000002</v>
      </c>
      <c r="F232" s="129">
        <v>8.9552002000000002</v>
      </c>
      <c r="G232" s="129">
        <v>30</v>
      </c>
      <c r="H232" s="129">
        <v>30</v>
      </c>
      <c r="I232" s="131" t="s">
        <v>87</v>
      </c>
      <c r="J232" s="132" t="s">
        <v>102</v>
      </c>
      <c r="K232" s="130" t="s">
        <v>633</v>
      </c>
      <c r="L232" s="6" t="str">
        <f t="shared" si="3"/>
        <v>005-00000069</v>
      </c>
    </row>
    <row r="233" spans="1:12" hidden="1" x14ac:dyDescent="0.25">
      <c r="A233" s="130" t="s">
        <v>587</v>
      </c>
      <c r="B233" s="130" t="s">
        <v>588</v>
      </c>
      <c r="C233" s="132" t="s">
        <v>150</v>
      </c>
      <c r="D233" s="129">
        <v>1</v>
      </c>
      <c r="E233" s="129">
        <v>8.9552002000000002</v>
      </c>
      <c r="F233" s="129">
        <v>8.9552002000000002</v>
      </c>
      <c r="G233" s="129">
        <v>30</v>
      </c>
      <c r="H233" s="129">
        <v>30</v>
      </c>
      <c r="I233" s="131" t="s">
        <v>87</v>
      </c>
      <c r="J233" s="132" t="s">
        <v>102</v>
      </c>
      <c r="K233" s="130" t="s">
        <v>633</v>
      </c>
      <c r="L233" s="6" t="str">
        <f t="shared" si="3"/>
        <v>005-00000069</v>
      </c>
    </row>
    <row r="234" spans="1:12" hidden="1" x14ac:dyDescent="0.25">
      <c r="A234" s="130" t="s">
        <v>550</v>
      </c>
      <c r="B234" s="130" t="s">
        <v>551</v>
      </c>
      <c r="C234" s="132" t="s">
        <v>150</v>
      </c>
      <c r="D234" s="129">
        <v>1</v>
      </c>
      <c r="E234" s="129">
        <v>74.626900000000006</v>
      </c>
      <c r="F234" s="129">
        <v>74.62690000000002</v>
      </c>
      <c r="G234" s="129">
        <v>250</v>
      </c>
      <c r="H234" s="129">
        <v>250</v>
      </c>
      <c r="I234" s="131" t="s">
        <v>87</v>
      </c>
      <c r="J234" s="132" t="s">
        <v>102</v>
      </c>
      <c r="K234" s="130" t="s">
        <v>633</v>
      </c>
      <c r="L234" s="6" t="str">
        <f t="shared" si="3"/>
        <v>005-00000069</v>
      </c>
    </row>
    <row r="235" spans="1:12" hidden="1" x14ac:dyDescent="0.25">
      <c r="A235" s="130" t="s">
        <v>380</v>
      </c>
      <c r="B235" s="130" t="s">
        <v>381</v>
      </c>
      <c r="C235" s="132" t="s">
        <v>150</v>
      </c>
      <c r="D235" s="129">
        <v>1</v>
      </c>
      <c r="E235" s="129">
        <v>44.7761</v>
      </c>
      <c r="F235" s="129">
        <v>44.7761</v>
      </c>
      <c r="G235" s="129">
        <v>150</v>
      </c>
      <c r="H235" s="129">
        <v>150</v>
      </c>
      <c r="I235" s="131" t="s">
        <v>87</v>
      </c>
      <c r="J235" s="132" t="s">
        <v>102</v>
      </c>
      <c r="K235" s="130" t="s">
        <v>636</v>
      </c>
      <c r="L235" s="6" t="str">
        <f t="shared" si="3"/>
        <v>005-00000065</v>
      </c>
    </row>
    <row r="236" spans="1:12" hidden="1" x14ac:dyDescent="0.25">
      <c r="A236" s="130" t="s">
        <v>441</v>
      </c>
      <c r="B236" s="130" t="s">
        <v>442</v>
      </c>
      <c r="C236" s="132" t="s">
        <v>153</v>
      </c>
      <c r="D236" s="129">
        <v>1</v>
      </c>
      <c r="E236" s="129">
        <v>10.447800000000003</v>
      </c>
      <c r="F236" s="129">
        <v>10.447800000000004</v>
      </c>
      <c r="G236" s="129">
        <v>35</v>
      </c>
      <c r="H236" s="129">
        <v>35</v>
      </c>
      <c r="I236" s="131" t="s">
        <v>87</v>
      </c>
      <c r="J236" s="132" t="s">
        <v>102</v>
      </c>
      <c r="K236" s="130" t="s">
        <v>636</v>
      </c>
      <c r="L236" s="6" t="str">
        <f t="shared" si="3"/>
        <v>005-00000065</v>
      </c>
    </row>
    <row r="237" spans="1:12" hidden="1" x14ac:dyDescent="0.25">
      <c r="A237" s="130" t="s">
        <v>358</v>
      </c>
      <c r="B237" s="130" t="s">
        <v>359</v>
      </c>
      <c r="C237" s="132" t="s">
        <v>150</v>
      </c>
      <c r="D237" s="129">
        <v>1</v>
      </c>
      <c r="E237" s="129">
        <v>10.447800000000003</v>
      </c>
      <c r="F237" s="129">
        <v>10.447800000000004</v>
      </c>
      <c r="G237" s="129">
        <v>35</v>
      </c>
      <c r="H237" s="129">
        <v>35</v>
      </c>
      <c r="I237" s="131" t="s">
        <v>87</v>
      </c>
      <c r="J237" s="132" t="s">
        <v>102</v>
      </c>
      <c r="K237" s="130" t="s">
        <v>636</v>
      </c>
      <c r="L237" s="6" t="str">
        <f t="shared" si="3"/>
        <v>005-00000065</v>
      </c>
    </row>
    <row r="238" spans="1:12" hidden="1" x14ac:dyDescent="0.25">
      <c r="A238" s="130" t="s">
        <v>392</v>
      </c>
      <c r="B238" s="130" t="s">
        <v>393</v>
      </c>
      <c r="C238" s="132" t="s">
        <v>150</v>
      </c>
      <c r="D238" s="129">
        <v>1</v>
      </c>
      <c r="E238" s="129">
        <v>10.447800000000003</v>
      </c>
      <c r="F238" s="129">
        <v>10.447800000000004</v>
      </c>
      <c r="G238" s="129">
        <v>35</v>
      </c>
      <c r="H238" s="129">
        <v>35</v>
      </c>
      <c r="I238" s="131" t="s">
        <v>87</v>
      </c>
      <c r="J238" s="132" t="s">
        <v>102</v>
      </c>
      <c r="K238" s="130" t="s">
        <v>636</v>
      </c>
      <c r="L238" s="6" t="str">
        <f t="shared" si="3"/>
        <v>005-00000065</v>
      </c>
    </row>
    <row r="239" spans="1:12" hidden="1" x14ac:dyDescent="0.25">
      <c r="A239" s="130" t="s">
        <v>282</v>
      </c>
      <c r="B239" s="130" t="s">
        <v>283</v>
      </c>
      <c r="C239" s="132" t="s">
        <v>150</v>
      </c>
      <c r="D239" s="129">
        <v>1</v>
      </c>
      <c r="E239" s="129">
        <v>10.444600000000001</v>
      </c>
      <c r="F239" s="129">
        <v>10.444600000000001</v>
      </c>
      <c r="G239" s="129">
        <v>35</v>
      </c>
      <c r="H239" s="129">
        <v>35</v>
      </c>
      <c r="I239" s="131" t="s">
        <v>87</v>
      </c>
      <c r="J239" s="132" t="s">
        <v>102</v>
      </c>
      <c r="K239" s="130" t="s">
        <v>647</v>
      </c>
      <c r="L239" s="6" t="str">
        <f t="shared" si="3"/>
        <v>005-00000054</v>
      </c>
    </row>
    <row r="240" spans="1:12" hidden="1" x14ac:dyDescent="0.25">
      <c r="A240" s="130" t="s">
        <v>1065</v>
      </c>
      <c r="B240" s="130" t="s">
        <v>1066</v>
      </c>
      <c r="C240" s="132" t="s">
        <v>150</v>
      </c>
      <c r="D240" s="129">
        <v>1</v>
      </c>
      <c r="E240" s="129">
        <v>9.6626996999999992</v>
      </c>
      <c r="F240" s="129">
        <v>9.6626996999999974</v>
      </c>
      <c r="G240" s="129">
        <v>32.369999</v>
      </c>
      <c r="H240" s="129">
        <v>32.369999000000007</v>
      </c>
      <c r="I240" s="131" t="s">
        <v>87</v>
      </c>
      <c r="J240" s="132" t="s">
        <v>102</v>
      </c>
      <c r="K240" s="130" t="s">
        <v>647</v>
      </c>
      <c r="L240" s="6" t="str">
        <f t="shared" si="3"/>
        <v>005-00000054</v>
      </c>
    </row>
    <row r="241" spans="1:12" hidden="1" x14ac:dyDescent="0.25">
      <c r="A241" s="130" t="s">
        <v>1063</v>
      </c>
      <c r="B241" s="130" t="s">
        <v>1064</v>
      </c>
      <c r="C241" s="132" t="s">
        <v>150</v>
      </c>
      <c r="D241" s="129">
        <v>1</v>
      </c>
      <c r="E241" s="129">
        <v>8.6029996999999998</v>
      </c>
      <c r="F241" s="129">
        <v>8.6029996999999998</v>
      </c>
      <c r="G241" s="129">
        <v>28.82</v>
      </c>
      <c r="H241" s="129">
        <v>28.82</v>
      </c>
      <c r="I241" s="131" t="s">
        <v>87</v>
      </c>
      <c r="J241" s="132" t="s">
        <v>102</v>
      </c>
      <c r="K241" s="130" t="s">
        <v>647</v>
      </c>
      <c r="L241" s="6" t="str">
        <f t="shared" si="3"/>
        <v>005-00000054</v>
      </c>
    </row>
    <row r="242" spans="1:12" hidden="1" x14ac:dyDescent="0.25">
      <c r="A242" s="130" t="s">
        <v>380</v>
      </c>
      <c r="B242" s="130" t="s">
        <v>381</v>
      </c>
      <c r="C242" s="132" t="s">
        <v>150</v>
      </c>
      <c r="D242" s="129">
        <v>1</v>
      </c>
      <c r="E242" s="129">
        <v>44.7761</v>
      </c>
      <c r="F242" s="129">
        <v>44.7761</v>
      </c>
      <c r="G242" s="129">
        <v>150</v>
      </c>
      <c r="H242" s="129">
        <v>150</v>
      </c>
      <c r="I242" s="131" t="s">
        <v>87</v>
      </c>
      <c r="J242" s="132" t="s">
        <v>102</v>
      </c>
      <c r="K242" s="130" t="s">
        <v>708</v>
      </c>
      <c r="L242" s="6" t="str">
        <f t="shared" si="3"/>
        <v>005-00000089</v>
      </c>
    </row>
    <row r="243" spans="1:12" hidden="1" x14ac:dyDescent="0.25">
      <c r="A243" s="130" t="s">
        <v>358</v>
      </c>
      <c r="B243" s="130" t="s">
        <v>359</v>
      </c>
      <c r="C243" s="132" t="s">
        <v>150</v>
      </c>
      <c r="D243" s="129">
        <v>1</v>
      </c>
      <c r="E243" s="129">
        <v>10.447800000000003</v>
      </c>
      <c r="F243" s="129">
        <v>10.447800000000004</v>
      </c>
      <c r="G243" s="129">
        <v>35</v>
      </c>
      <c r="H243" s="129">
        <v>35</v>
      </c>
      <c r="I243" s="131" t="s">
        <v>87</v>
      </c>
      <c r="J243" s="132" t="s">
        <v>102</v>
      </c>
      <c r="K243" s="130" t="s">
        <v>708</v>
      </c>
      <c r="L243" s="6" t="str">
        <f t="shared" si="3"/>
        <v>005-00000089</v>
      </c>
    </row>
    <row r="244" spans="1:12" hidden="1" x14ac:dyDescent="0.25">
      <c r="A244" s="130" t="s">
        <v>392</v>
      </c>
      <c r="B244" s="130" t="s">
        <v>393</v>
      </c>
      <c r="C244" s="132" t="s">
        <v>150</v>
      </c>
      <c r="D244" s="129">
        <v>1</v>
      </c>
      <c r="E244" s="129">
        <v>10.447800000000003</v>
      </c>
      <c r="F244" s="129">
        <v>10.447800000000004</v>
      </c>
      <c r="G244" s="129">
        <v>35</v>
      </c>
      <c r="H244" s="129">
        <v>35</v>
      </c>
      <c r="I244" s="131" t="s">
        <v>87</v>
      </c>
      <c r="J244" s="132" t="s">
        <v>102</v>
      </c>
      <c r="K244" s="130" t="s">
        <v>708</v>
      </c>
      <c r="L244" s="6" t="str">
        <f t="shared" si="3"/>
        <v>005-00000089</v>
      </c>
    </row>
    <row r="245" spans="1:12" hidden="1" x14ac:dyDescent="0.25">
      <c r="A245" s="130" t="s">
        <v>1067</v>
      </c>
      <c r="B245" s="130" t="s">
        <v>1068</v>
      </c>
      <c r="C245" s="132" t="s">
        <v>150</v>
      </c>
      <c r="D245" s="129">
        <v>1</v>
      </c>
      <c r="E245" s="129">
        <v>13.4328</v>
      </c>
      <c r="F245" s="129">
        <v>13.432799999999997</v>
      </c>
      <c r="G245" s="129">
        <v>45</v>
      </c>
      <c r="H245" s="129">
        <v>45</v>
      </c>
      <c r="I245" s="131" t="s">
        <v>87</v>
      </c>
      <c r="J245" s="132" t="s">
        <v>102</v>
      </c>
      <c r="K245" s="130" t="s">
        <v>708</v>
      </c>
      <c r="L245" s="6" t="str">
        <f t="shared" si="3"/>
        <v>005-00000089</v>
      </c>
    </row>
    <row r="246" spans="1:12" hidden="1" x14ac:dyDescent="0.25">
      <c r="A246" s="130" t="s">
        <v>280</v>
      </c>
      <c r="B246" s="130" t="s">
        <v>281</v>
      </c>
      <c r="C246" s="132" t="s">
        <v>150</v>
      </c>
      <c r="D246" s="129">
        <v>1</v>
      </c>
      <c r="E246" s="129">
        <v>14.9254</v>
      </c>
      <c r="F246" s="129">
        <v>14.9254</v>
      </c>
      <c r="G246" s="129">
        <v>50</v>
      </c>
      <c r="H246" s="129">
        <v>50</v>
      </c>
      <c r="I246" s="131" t="s">
        <v>87</v>
      </c>
      <c r="J246" s="132" t="s">
        <v>102</v>
      </c>
      <c r="K246" s="130" t="s">
        <v>629</v>
      </c>
      <c r="L246" s="6" t="str">
        <f t="shared" si="3"/>
        <v>005-00000090</v>
      </c>
    </row>
    <row r="247" spans="1:12" hidden="1" x14ac:dyDescent="0.25">
      <c r="A247" s="130" t="s">
        <v>360</v>
      </c>
      <c r="B247" s="130" t="s">
        <v>361</v>
      </c>
      <c r="C247" s="132" t="s">
        <v>150</v>
      </c>
      <c r="D247" s="129">
        <v>2</v>
      </c>
      <c r="E247" s="129">
        <v>0.12590000000000001</v>
      </c>
      <c r="F247" s="129">
        <v>0.25180000000000002</v>
      </c>
      <c r="G247" s="129">
        <v>0.42370000000000002</v>
      </c>
      <c r="H247" s="129">
        <v>0.84740000000000004</v>
      </c>
      <c r="I247" s="131" t="s">
        <v>87</v>
      </c>
      <c r="J247" s="132" t="s">
        <v>102</v>
      </c>
      <c r="K247" s="130" t="s">
        <v>630</v>
      </c>
      <c r="L247" s="6" t="str">
        <f t="shared" si="3"/>
        <v>005-00000085</v>
      </c>
    </row>
    <row r="248" spans="1:12" hidden="1" x14ac:dyDescent="0.25">
      <c r="A248" s="130" t="s">
        <v>227</v>
      </c>
      <c r="B248" s="130" t="s">
        <v>194</v>
      </c>
      <c r="C248" s="132" t="s">
        <v>88</v>
      </c>
      <c r="D248" s="129">
        <v>1</v>
      </c>
      <c r="E248" s="129">
        <v>1.7628999999999999</v>
      </c>
      <c r="F248" s="129">
        <v>1.7628999999999997</v>
      </c>
      <c r="G248" s="129">
        <v>5.9321999999999999</v>
      </c>
      <c r="H248" s="129">
        <v>5.9322000000000017</v>
      </c>
      <c r="I248" s="131" t="s">
        <v>87</v>
      </c>
      <c r="J248" s="132" t="s">
        <v>102</v>
      </c>
      <c r="K248" s="130" t="s">
        <v>630</v>
      </c>
      <c r="L248" s="6" t="str">
        <f t="shared" si="3"/>
        <v>005-00000085</v>
      </c>
    </row>
    <row r="249" spans="1:12" hidden="1" x14ac:dyDescent="0.25">
      <c r="A249" s="130" t="s">
        <v>1032</v>
      </c>
      <c r="B249" s="130" t="s">
        <v>1033</v>
      </c>
      <c r="C249" s="132" t="s">
        <v>88</v>
      </c>
      <c r="D249" s="129">
        <v>0.25</v>
      </c>
      <c r="E249" s="129">
        <v>12.573600000000001</v>
      </c>
      <c r="F249" s="129">
        <v>3.1434000000000011</v>
      </c>
      <c r="G249" s="129">
        <v>42.372897999999992</v>
      </c>
      <c r="H249" s="129">
        <v>10.593224499999996</v>
      </c>
      <c r="I249" s="131" t="s">
        <v>87</v>
      </c>
      <c r="J249" s="132" t="s">
        <v>102</v>
      </c>
      <c r="K249" s="130" t="s">
        <v>630</v>
      </c>
      <c r="L249" s="6" t="str">
        <f t="shared" si="3"/>
        <v>005-00000085</v>
      </c>
    </row>
    <row r="250" spans="1:12" hidden="1" x14ac:dyDescent="0.25">
      <c r="A250" s="130" t="s">
        <v>1028</v>
      </c>
      <c r="B250" s="130" t="s">
        <v>1029</v>
      </c>
      <c r="C250" s="132" t="s">
        <v>150</v>
      </c>
      <c r="D250" s="129">
        <v>1</v>
      </c>
      <c r="E250" s="129">
        <v>1.5079</v>
      </c>
      <c r="F250" s="129">
        <v>1.5078999999999996</v>
      </c>
      <c r="G250" s="129">
        <v>5.0847001000000001</v>
      </c>
      <c r="H250" s="129">
        <v>5.0847001000000001</v>
      </c>
      <c r="I250" s="131" t="s">
        <v>87</v>
      </c>
      <c r="J250" s="132" t="s">
        <v>102</v>
      </c>
      <c r="K250" s="130" t="s">
        <v>630</v>
      </c>
      <c r="L250" s="6" t="str">
        <f t="shared" si="3"/>
        <v>005-00000085</v>
      </c>
    </row>
    <row r="251" spans="1:12" hidden="1" x14ac:dyDescent="0.25">
      <c r="A251" s="130" t="s">
        <v>1034</v>
      </c>
      <c r="B251" s="130" t="s">
        <v>1035</v>
      </c>
      <c r="C251" s="132" t="s">
        <v>88</v>
      </c>
      <c r="D251" s="129">
        <v>1</v>
      </c>
      <c r="E251" s="129">
        <v>11.861700000000001</v>
      </c>
      <c r="F251" s="129">
        <v>11.861700000000001</v>
      </c>
      <c r="G251" s="129">
        <v>39.701000000000001</v>
      </c>
      <c r="H251" s="129">
        <v>39.701000000000001</v>
      </c>
      <c r="I251" s="131" t="s">
        <v>87</v>
      </c>
      <c r="J251" s="132" t="s">
        <v>102</v>
      </c>
      <c r="K251" s="130" t="s">
        <v>630</v>
      </c>
      <c r="L251" s="6" t="str">
        <f t="shared" si="3"/>
        <v>005-00000085</v>
      </c>
    </row>
    <row r="252" spans="1:12" hidden="1" x14ac:dyDescent="0.25">
      <c r="A252" s="130" t="s">
        <v>1046</v>
      </c>
      <c r="B252" s="130" t="s">
        <v>1047</v>
      </c>
      <c r="C252" s="132" t="s">
        <v>150</v>
      </c>
      <c r="D252" s="129">
        <v>1</v>
      </c>
      <c r="E252" s="129">
        <v>2.3491000999999998</v>
      </c>
      <c r="F252" s="129">
        <v>2.3491000999999994</v>
      </c>
      <c r="G252" s="129">
        <v>7.8814000999999996</v>
      </c>
      <c r="H252" s="129">
        <v>7.8814000999999996</v>
      </c>
      <c r="I252" s="131" t="s">
        <v>87</v>
      </c>
      <c r="J252" s="132" t="s">
        <v>102</v>
      </c>
      <c r="K252" s="130" t="s">
        <v>630</v>
      </c>
      <c r="L252" s="6" t="str">
        <f t="shared" si="3"/>
        <v>005-00000085</v>
      </c>
    </row>
    <row r="253" spans="1:12" hidden="1" x14ac:dyDescent="0.25">
      <c r="A253" s="130" t="s">
        <v>572</v>
      </c>
      <c r="B253" s="130" t="s">
        <v>408</v>
      </c>
      <c r="C253" s="132" t="s">
        <v>150</v>
      </c>
      <c r="D253" s="129">
        <v>4</v>
      </c>
      <c r="E253" s="129">
        <v>3.4210999000000002</v>
      </c>
      <c r="F253" s="129">
        <v>13.684399600000004</v>
      </c>
      <c r="G253" s="129">
        <v>11.47</v>
      </c>
      <c r="H253" s="129">
        <v>45.88</v>
      </c>
      <c r="I253" s="131" t="s">
        <v>87</v>
      </c>
      <c r="J253" s="132" t="s">
        <v>102</v>
      </c>
      <c r="K253" s="130" t="s">
        <v>630</v>
      </c>
      <c r="L253" s="6" t="str">
        <f t="shared" si="3"/>
        <v>005-00000085</v>
      </c>
    </row>
    <row r="254" spans="1:12" hidden="1" x14ac:dyDescent="0.25">
      <c r="A254" s="130" t="s">
        <v>1034</v>
      </c>
      <c r="B254" s="130" t="s">
        <v>1035</v>
      </c>
      <c r="C254" s="132" t="s">
        <v>88</v>
      </c>
      <c r="D254" s="129">
        <v>1</v>
      </c>
      <c r="E254" s="129">
        <v>11.861700000000001</v>
      </c>
      <c r="F254" s="129">
        <v>11.861700000000001</v>
      </c>
      <c r="G254" s="129">
        <v>39.701000000000001</v>
      </c>
      <c r="H254" s="129">
        <v>39.701000000000001</v>
      </c>
      <c r="I254" s="131" t="s">
        <v>87</v>
      </c>
      <c r="J254" s="132" t="s">
        <v>102</v>
      </c>
      <c r="K254" s="130" t="s">
        <v>651</v>
      </c>
      <c r="L254" s="6" t="str">
        <f t="shared" si="3"/>
        <v>005-00000050</v>
      </c>
    </row>
    <row r="255" spans="1:12" hidden="1" x14ac:dyDescent="0.25">
      <c r="A255" s="130" t="s">
        <v>1030</v>
      </c>
      <c r="B255" s="130" t="s">
        <v>1031</v>
      </c>
      <c r="C255" s="132" t="s">
        <v>150</v>
      </c>
      <c r="D255" s="129">
        <v>1</v>
      </c>
      <c r="E255" s="129">
        <v>2.0106001</v>
      </c>
      <c r="F255" s="129">
        <v>2.0106001</v>
      </c>
      <c r="G255" s="129">
        <v>6.7796998000000004</v>
      </c>
      <c r="H255" s="129">
        <v>6.7796998000000022</v>
      </c>
      <c r="I255" s="131" t="s">
        <v>87</v>
      </c>
      <c r="J255" s="132" t="s">
        <v>102</v>
      </c>
      <c r="K255" s="130" t="s">
        <v>651</v>
      </c>
      <c r="L255" s="6" t="str">
        <f t="shared" si="3"/>
        <v>005-00000050</v>
      </c>
    </row>
    <row r="256" spans="1:12" hidden="1" x14ac:dyDescent="0.25">
      <c r="A256" s="130" t="s">
        <v>409</v>
      </c>
      <c r="B256" s="130" t="s">
        <v>408</v>
      </c>
      <c r="C256" s="132" t="s">
        <v>150</v>
      </c>
      <c r="D256" s="129">
        <v>4</v>
      </c>
      <c r="E256" s="129">
        <v>1.9486000999999999</v>
      </c>
      <c r="F256" s="129">
        <v>7.7944003999999998</v>
      </c>
      <c r="G256" s="129">
        <v>6.5571999999999999</v>
      </c>
      <c r="H256" s="129">
        <v>26.228800000000007</v>
      </c>
      <c r="I256" s="131" t="s">
        <v>87</v>
      </c>
      <c r="J256" s="132" t="s">
        <v>102</v>
      </c>
      <c r="K256" s="130" t="s">
        <v>651</v>
      </c>
      <c r="L256" s="6" t="str">
        <f t="shared" si="3"/>
        <v>005-00000050</v>
      </c>
    </row>
    <row r="257" spans="1:12" hidden="1" x14ac:dyDescent="0.25">
      <c r="A257" s="130" t="s">
        <v>1032</v>
      </c>
      <c r="B257" s="130" t="s">
        <v>1033</v>
      </c>
      <c r="C257" s="132" t="s">
        <v>88</v>
      </c>
      <c r="D257" s="129">
        <v>0.25</v>
      </c>
      <c r="E257" s="129">
        <v>12.573600000000001</v>
      </c>
      <c r="F257" s="129">
        <v>3.1434000000000011</v>
      </c>
      <c r="G257" s="129">
        <v>42.372897999999992</v>
      </c>
      <c r="H257" s="129">
        <v>10.593224499999996</v>
      </c>
      <c r="I257" s="131" t="s">
        <v>87</v>
      </c>
      <c r="J257" s="132" t="s">
        <v>102</v>
      </c>
      <c r="K257" s="130" t="s">
        <v>651</v>
      </c>
      <c r="L257" s="6" t="str">
        <f t="shared" si="3"/>
        <v>005-00000050</v>
      </c>
    </row>
    <row r="258" spans="1:12" hidden="1" x14ac:dyDescent="0.25">
      <c r="A258" s="130" t="s">
        <v>227</v>
      </c>
      <c r="B258" s="130" t="s">
        <v>194</v>
      </c>
      <c r="C258" s="132" t="s">
        <v>88</v>
      </c>
      <c r="D258" s="129">
        <v>1</v>
      </c>
      <c r="E258" s="129">
        <v>1.7628999999999999</v>
      </c>
      <c r="F258" s="129">
        <v>1.7628999999999997</v>
      </c>
      <c r="G258" s="129">
        <v>5.9321999999999999</v>
      </c>
      <c r="H258" s="129">
        <v>5.9322000000000017</v>
      </c>
      <c r="I258" s="131" t="s">
        <v>87</v>
      </c>
      <c r="J258" s="132" t="s">
        <v>102</v>
      </c>
      <c r="K258" s="130" t="s">
        <v>651</v>
      </c>
      <c r="L258" s="6" t="str">
        <f t="shared" si="3"/>
        <v>005-00000050</v>
      </c>
    </row>
    <row r="259" spans="1:12" hidden="1" x14ac:dyDescent="0.25">
      <c r="A259" s="130" t="s">
        <v>1034</v>
      </c>
      <c r="B259" s="130" t="s">
        <v>1035</v>
      </c>
      <c r="C259" s="132" t="s">
        <v>88</v>
      </c>
      <c r="D259" s="129">
        <v>1</v>
      </c>
      <c r="E259" s="129">
        <v>11.861700000000001</v>
      </c>
      <c r="F259" s="129">
        <v>11.861700000000001</v>
      </c>
      <c r="G259" s="129">
        <v>39.701000000000001</v>
      </c>
      <c r="H259" s="129">
        <v>39.701000000000001</v>
      </c>
      <c r="I259" s="131" t="s">
        <v>87</v>
      </c>
      <c r="J259" s="132" t="s">
        <v>102</v>
      </c>
      <c r="K259" s="130" t="s">
        <v>655</v>
      </c>
      <c r="L259" s="6" t="str">
        <f t="shared" si="3"/>
        <v>005-00000046</v>
      </c>
    </row>
    <row r="260" spans="1:12" hidden="1" x14ac:dyDescent="0.25">
      <c r="A260" s="130" t="s">
        <v>227</v>
      </c>
      <c r="B260" s="130" t="s">
        <v>194</v>
      </c>
      <c r="C260" s="132" t="s">
        <v>88</v>
      </c>
      <c r="D260" s="129">
        <v>1</v>
      </c>
      <c r="E260" s="129">
        <v>1.7628999999999999</v>
      </c>
      <c r="F260" s="129">
        <v>1.7628999999999997</v>
      </c>
      <c r="G260" s="129">
        <v>5.9321999999999999</v>
      </c>
      <c r="H260" s="129">
        <v>5.9322000000000017</v>
      </c>
      <c r="I260" s="131" t="s">
        <v>87</v>
      </c>
      <c r="J260" s="132" t="s">
        <v>102</v>
      </c>
      <c r="K260" s="130" t="s">
        <v>655</v>
      </c>
      <c r="L260" s="6" t="str">
        <f t="shared" si="3"/>
        <v>005-00000046</v>
      </c>
    </row>
    <row r="261" spans="1:12" hidden="1" x14ac:dyDescent="0.25">
      <c r="A261" s="130" t="s">
        <v>1028</v>
      </c>
      <c r="B261" s="130" t="s">
        <v>1029</v>
      </c>
      <c r="C261" s="132" t="s">
        <v>150</v>
      </c>
      <c r="D261" s="129">
        <v>1</v>
      </c>
      <c r="E261" s="129">
        <v>1.5079</v>
      </c>
      <c r="F261" s="129">
        <v>1.5078999999999996</v>
      </c>
      <c r="G261" s="129">
        <v>5.0847001000000001</v>
      </c>
      <c r="H261" s="129">
        <v>5.0847001000000001</v>
      </c>
      <c r="I261" s="131" t="s">
        <v>87</v>
      </c>
      <c r="J261" s="132" t="s">
        <v>102</v>
      </c>
      <c r="K261" s="130" t="s">
        <v>655</v>
      </c>
      <c r="L261" s="6" t="str">
        <f t="shared" ref="L261:L324" si="4">CONCATENATE(J261,"-",K261)</f>
        <v>005-00000046</v>
      </c>
    </row>
    <row r="262" spans="1:12" hidden="1" x14ac:dyDescent="0.25">
      <c r="A262" s="130" t="s">
        <v>1030</v>
      </c>
      <c r="B262" s="130" t="s">
        <v>1031</v>
      </c>
      <c r="C262" s="132" t="s">
        <v>150</v>
      </c>
      <c r="D262" s="129">
        <v>1</v>
      </c>
      <c r="E262" s="129">
        <v>2.0106001</v>
      </c>
      <c r="F262" s="129">
        <v>2.0106001</v>
      </c>
      <c r="G262" s="129">
        <v>6.7796998000000004</v>
      </c>
      <c r="H262" s="129">
        <v>6.7796998000000022</v>
      </c>
      <c r="I262" s="131" t="s">
        <v>87</v>
      </c>
      <c r="J262" s="132" t="s">
        <v>102</v>
      </c>
      <c r="K262" s="130" t="s">
        <v>650</v>
      </c>
      <c r="L262" s="6" t="str">
        <f t="shared" si="4"/>
        <v>005-00000051</v>
      </c>
    </row>
    <row r="263" spans="1:12" hidden="1" x14ac:dyDescent="0.25">
      <c r="A263" s="130" t="s">
        <v>300</v>
      </c>
      <c r="B263" s="130" t="s">
        <v>301</v>
      </c>
      <c r="C263" s="132" t="s">
        <v>88</v>
      </c>
      <c r="D263" s="129">
        <v>0.75</v>
      </c>
      <c r="E263" s="129">
        <v>12.76</v>
      </c>
      <c r="F263" s="129">
        <v>9.57</v>
      </c>
      <c r="G263" s="129">
        <v>42.930999999999997</v>
      </c>
      <c r="H263" s="129">
        <v>32.198249999999987</v>
      </c>
      <c r="I263" s="131" t="s">
        <v>87</v>
      </c>
      <c r="J263" s="132" t="s">
        <v>102</v>
      </c>
      <c r="K263" s="130" t="s">
        <v>650</v>
      </c>
      <c r="L263" s="6" t="str">
        <f t="shared" si="4"/>
        <v>005-00000051</v>
      </c>
    </row>
    <row r="264" spans="1:12" hidden="1" x14ac:dyDescent="0.25">
      <c r="A264" s="130" t="s">
        <v>1034</v>
      </c>
      <c r="B264" s="130" t="s">
        <v>1035</v>
      </c>
      <c r="C264" s="132" t="s">
        <v>88</v>
      </c>
      <c r="D264" s="129">
        <v>1</v>
      </c>
      <c r="E264" s="129">
        <v>11.861700000000001</v>
      </c>
      <c r="F264" s="129">
        <v>11.861700000000001</v>
      </c>
      <c r="G264" s="129">
        <v>39.701000000000001</v>
      </c>
      <c r="H264" s="129">
        <v>39.701000000000001</v>
      </c>
      <c r="I264" s="131" t="s">
        <v>87</v>
      </c>
      <c r="J264" s="132" t="s">
        <v>102</v>
      </c>
      <c r="K264" s="130" t="s">
        <v>650</v>
      </c>
      <c r="L264" s="6" t="str">
        <f t="shared" si="4"/>
        <v>005-00000051</v>
      </c>
    </row>
    <row r="265" spans="1:12" hidden="1" x14ac:dyDescent="0.25">
      <c r="A265" s="130" t="s">
        <v>1028</v>
      </c>
      <c r="B265" s="130" t="s">
        <v>1029</v>
      </c>
      <c r="C265" s="132" t="s">
        <v>150</v>
      </c>
      <c r="D265" s="129">
        <v>1</v>
      </c>
      <c r="E265" s="129">
        <v>1.5079</v>
      </c>
      <c r="F265" s="129">
        <v>1.5078999999999996</v>
      </c>
      <c r="G265" s="129">
        <v>5.0847001000000001</v>
      </c>
      <c r="H265" s="129">
        <v>5.0847001000000001</v>
      </c>
      <c r="I265" s="131" t="s">
        <v>87</v>
      </c>
      <c r="J265" s="132" t="s">
        <v>102</v>
      </c>
      <c r="K265" s="130" t="s">
        <v>650</v>
      </c>
      <c r="L265" s="6" t="str">
        <f t="shared" si="4"/>
        <v>005-00000051</v>
      </c>
    </row>
    <row r="266" spans="1:12" hidden="1" x14ac:dyDescent="0.25">
      <c r="A266" s="130" t="s">
        <v>227</v>
      </c>
      <c r="B266" s="130" t="s">
        <v>194</v>
      </c>
      <c r="C266" s="132" t="s">
        <v>88</v>
      </c>
      <c r="D266" s="129">
        <v>1</v>
      </c>
      <c r="E266" s="129">
        <v>1.7628999999999999</v>
      </c>
      <c r="F266" s="129">
        <v>1.7628999999999997</v>
      </c>
      <c r="G266" s="129">
        <v>5.9321999999999999</v>
      </c>
      <c r="H266" s="129">
        <v>5.9322000000000017</v>
      </c>
      <c r="I266" s="131" t="s">
        <v>87</v>
      </c>
      <c r="J266" s="132" t="s">
        <v>102</v>
      </c>
      <c r="K266" s="130" t="s">
        <v>646</v>
      </c>
      <c r="L266" s="6" t="str">
        <f t="shared" si="4"/>
        <v>005-00000055</v>
      </c>
    </row>
    <row r="267" spans="1:12" hidden="1" x14ac:dyDescent="0.25">
      <c r="A267" s="130" t="s">
        <v>1034</v>
      </c>
      <c r="B267" s="130" t="s">
        <v>1035</v>
      </c>
      <c r="C267" s="132" t="s">
        <v>88</v>
      </c>
      <c r="D267" s="129">
        <v>1</v>
      </c>
      <c r="E267" s="129">
        <v>11.861700000000001</v>
      </c>
      <c r="F267" s="129">
        <v>11.861700000000001</v>
      </c>
      <c r="G267" s="129">
        <v>39.701000000000001</v>
      </c>
      <c r="H267" s="129">
        <v>39.701000000000001</v>
      </c>
      <c r="I267" s="131" t="s">
        <v>87</v>
      </c>
      <c r="J267" s="132" t="s">
        <v>102</v>
      </c>
      <c r="K267" s="130" t="s">
        <v>646</v>
      </c>
      <c r="L267" s="6" t="str">
        <f t="shared" si="4"/>
        <v>005-00000055</v>
      </c>
    </row>
    <row r="268" spans="1:12" hidden="1" x14ac:dyDescent="0.25">
      <c r="A268" s="130" t="s">
        <v>1034</v>
      </c>
      <c r="B268" s="130" t="s">
        <v>1035</v>
      </c>
      <c r="C268" s="132" t="s">
        <v>88</v>
      </c>
      <c r="D268" s="129">
        <v>1</v>
      </c>
      <c r="E268" s="129">
        <v>11.861700000000001</v>
      </c>
      <c r="F268" s="129">
        <v>11.861700000000001</v>
      </c>
      <c r="G268" s="129">
        <v>39.701000000000001</v>
      </c>
      <c r="H268" s="129">
        <v>39.701000000000001</v>
      </c>
      <c r="I268" s="131" t="s">
        <v>87</v>
      </c>
      <c r="J268" s="132" t="s">
        <v>102</v>
      </c>
      <c r="K268" s="130" t="s">
        <v>628</v>
      </c>
      <c r="L268" s="6" t="str">
        <f t="shared" si="4"/>
        <v>005-00000097</v>
      </c>
    </row>
    <row r="269" spans="1:12" hidden="1" x14ac:dyDescent="0.25">
      <c r="A269" s="130" t="s">
        <v>1055</v>
      </c>
      <c r="B269" s="130" t="s">
        <v>1056</v>
      </c>
      <c r="C269" s="132" t="s">
        <v>150</v>
      </c>
      <c r="D269" s="129">
        <v>1</v>
      </c>
      <c r="E269" s="129">
        <v>1.5079</v>
      </c>
      <c r="F269" s="129">
        <v>1.5078999999999996</v>
      </c>
      <c r="G269" s="129">
        <v>5.0847001000000001</v>
      </c>
      <c r="H269" s="129">
        <v>5.0847001000000009</v>
      </c>
      <c r="I269" s="131" t="s">
        <v>87</v>
      </c>
      <c r="J269" s="132" t="s">
        <v>102</v>
      </c>
      <c r="K269" s="130" t="s">
        <v>628</v>
      </c>
      <c r="L269" s="6" t="str">
        <f t="shared" si="4"/>
        <v>005-00000097</v>
      </c>
    </row>
    <row r="270" spans="1:12" hidden="1" x14ac:dyDescent="0.25">
      <c r="A270" s="130" t="s">
        <v>1032</v>
      </c>
      <c r="B270" s="130" t="s">
        <v>1033</v>
      </c>
      <c r="C270" s="132" t="s">
        <v>88</v>
      </c>
      <c r="D270" s="129">
        <v>0.25</v>
      </c>
      <c r="E270" s="129">
        <v>12.573600000000001</v>
      </c>
      <c r="F270" s="129">
        <v>3.1434000000000011</v>
      </c>
      <c r="G270" s="129">
        <v>42.372897999999992</v>
      </c>
      <c r="H270" s="129">
        <v>10.593224499999996</v>
      </c>
      <c r="I270" s="131" t="s">
        <v>87</v>
      </c>
      <c r="J270" s="132" t="s">
        <v>102</v>
      </c>
      <c r="K270" s="130" t="s">
        <v>619</v>
      </c>
      <c r="L270" s="6" t="str">
        <f t="shared" si="4"/>
        <v>005-00000120</v>
      </c>
    </row>
    <row r="271" spans="1:12" hidden="1" x14ac:dyDescent="0.25">
      <c r="A271" s="130" t="s">
        <v>1034</v>
      </c>
      <c r="B271" s="130" t="s">
        <v>1035</v>
      </c>
      <c r="C271" s="132" t="s">
        <v>88</v>
      </c>
      <c r="D271" s="129">
        <v>1</v>
      </c>
      <c r="E271" s="129">
        <v>11.861700000000001</v>
      </c>
      <c r="F271" s="129">
        <v>11.861700000000001</v>
      </c>
      <c r="G271" s="129">
        <v>39.701000000000001</v>
      </c>
      <c r="H271" s="129">
        <v>39.701000000000001</v>
      </c>
      <c r="I271" s="131" t="s">
        <v>87</v>
      </c>
      <c r="J271" s="132" t="s">
        <v>102</v>
      </c>
      <c r="K271" s="130" t="s">
        <v>620</v>
      </c>
      <c r="L271" s="6" t="str">
        <f t="shared" si="4"/>
        <v>005-00000119</v>
      </c>
    </row>
    <row r="272" spans="1:12" hidden="1" x14ac:dyDescent="0.25">
      <c r="A272" s="130" t="s">
        <v>309</v>
      </c>
      <c r="B272" s="130" t="s">
        <v>310</v>
      </c>
      <c r="C272" s="132" t="s">
        <v>150</v>
      </c>
      <c r="D272" s="129">
        <v>1</v>
      </c>
      <c r="E272" s="129">
        <v>1.1394</v>
      </c>
      <c r="F272" s="129">
        <v>1.1394</v>
      </c>
      <c r="G272" s="129">
        <v>3.8136000999999999</v>
      </c>
      <c r="H272" s="129">
        <v>3.8136001000000004</v>
      </c>
      <c r="I272" s="131" t="s">
        <v>87</v>
      </c>
      <c r="J272" s="132" t="s">
        <v>102</v>
      </c>
      <c r="K272" s="130" t="s">
        <v>652</v>
      </c>
      <c r="L272" s="6" t="str">
        <f t="shared" si="4"/>
        <v>005-00000049</v>
      </c>
    </row>
    <row r="273" spans="1:12" hidden="1" x14ac:dyDescent="0.25">
      <c r="A273" s="130" t="s">
        <v>1034</v>
      </c>
      <c r="B273" s="130" t="s">
        <v>1035</v>
      </c>
      <c r="C273" s="132" t="s">
        <v>88</v>
      </c>
      <c r="D273" s="129">
        <v>1</v>
      </c>
      <c r="E273" s="129">
        <v>11.861700000000001</v>
      </c>
      <c r="F273" s="129">
        <v>11.861700000000001</v>
      </c>
      <c r="G273" s="129">
        <v>39.701000000000001</v>
      </c>
      <c r="H273" s="129">
        <v>39.701000000000001</v>
      </c>
      <c r="I273" s="131" t="s">
        <v>87</v>
      </c>
      <c r="J273" s="132" t="s">
        <v>102</v>
      </c>
      <c r="K273" s="130" t="s">
        <v>652</v>
      </c>
      <c r="L273" s="6" t="str">
        <f t="shared" si="4"/>
        <v>005-00000049</v>
      </c>
    </row>
    <row r="274" spans="1:12" hidden="1" x14ac:dyDescent="0.25">
      <c r="A274" s="130" t="s">
        <v>1041</v>
      </c>
      <c r="B274" s="130" t="s">
        <v>1042</v>
      </c>
      <c r="C274" s="132" t="s">
        <v>150</v>
      </c>
      <c r="D274" s="129">
        <v>1</v>
      </c>
      <c r="E274" s="129">
        <v>1.5079</v>
      </c>
      <c r="F274" s="129">
        <v>1.5078999999999996</v>
      </c>
      <c r="G274" s="129">
        <v>5.0847001000000001</v>
      </c>
      <c r="H274" s="129">
        <v>5.0847001000000009</v>
      </c>
      <c r="I274" s="131" t="s">
        <v>87</v>
      </c>
      <c r="J274" s="132" t="s">
        <v>102</v>
      </c>
      <c r="K274" s="130" t="s">
        <v>652</v>
      </c>
      <c r="L274" s="6" t="str">
        <f t="shared" si="4"/>
        <v>005-00000049</v>
      </c>
    </row>
    <row r="275" spans="1:12" hidden="1" x14ac:dyDescent="0.25">
      <c r="A275" s="130" t="s">
        <v>1071</v>
      </c>
      <c r="B275" s="130" t="s">
        <v>1072</v>
      </c>
      <c r="C275" s="132" t="s">
        <v>150</v>
      </c>
      <c r="D275" s="129">
        <v>1</v>
      </c>
      <c r="E275" s="129">
        <v>2.2618999</v>
      </c>
      <c r="F275" s="129">
        <v>2.2618998999999995</v>
      </c>
      <c r="G275" s="129">
        <v>7.6271000000000004</v>
      </c>
      <c r="H275" s="129">
        <v>7.6271000000000004</v>
      </c>
      <c r="I275" s="131" t="s">
        <v>87</v>
      </c>
      <c r="J275" s="132" t="s">
        <v>102</v>
      </c>
      <c r="K275" s="130" t="s">
        <v>652</v>
      </c>
      <c r="L275" s="6" t="str">
        <f t="shared" si="4"/>
        <v>005-00000049</v>
      </c>
    </row>
    <row r="276" spans="1:12" hidden="1" x14ac:dyDescent="0.25">
      <c r="A276" s="130" t="s">
        <v>300</v>
      </c>
      <c r="B276" s="130" t="s">
        <v>301</v>
      </c>
      <c r="C276" s="132" t="s">
        <v>88</v>
      </c>
      <c r="D276" s="129">
        <v>0.75</v>
      </c>
      <c r="E276" s="129">
        <v>12.76</v>
      </c>
      <c r="F276" s="129">
        <v>9.57</v>
      </c>
      <c r="G276" s="129">
        <v>42.930999999999997</v>
      </c>
      <c r="H276" s="129">
        <v>32.198249999999987</v>
      </c>
      <c r="I276" s="131" t="s">
        <v>87</v>
      </c>
      <c r="J276" s="132" t="s">
        <v>102</v>
      </c>
      <c r="K276" s="130" t="s">
        <v>652</v>
      </c>
      <c r="L276" s="6" t="str">
        <f t="shared" si="4"/>
        <v>005-00000049</v>
      </c>
    </row>
    <row r="277" spans="1:12" hidden="1" x14ac:dyDescent="0.25">
      <c r="A277" s="130" t="s">
        <v>1044</v>
      </c>
      <c r="B277" s="130" t="s">
        <v>1045</v>
      </c>
      <c r="C277" s="132" t="s">
        <v>153</v>
      </c>
      <c r="D277" s="129">
        <v>1</v>
      </c>
      <c r="E277" s="129">
        <v>10.0528</v>
      </c>
      <c r="F277" s="129">
        <v>10.052800000000001</v>
      </c>
      <c r="G277" s="129">
        <v>33.897998999999999</v>
      </c>
      <c r="H277" s="129">
        <v>33.897998999999999</v>
      </c>
      <c r="I277" s="131" t="s">
        <v>87</v>
      </c>
      <c r="J277" s="132" t="s">
        <v>102</v>
      </c>
      <c r="K277" s="130" t="s">
        <v>646</v>
      </c>
      <c r="L277" s="6" t="str">
        <f t="shared" si="4"/>
        <v>005-00000055</v>
      </c>
    </row>
    <row r="278" spans="1:12" hidden="1" x14ac:dyDescent="0.25">
      <c r="A278" s="130" t="s">
        <v>1055</v>
      </c>
      <c r="B278" s="130" t="s">
        <v>1056</v>
      </c>
      <c r="C278" s="132" t="s">
        <v>150</v>
      </c>
      <c r="D278" s="129">
        <v>1</v>
      </c>
      <c r="E278" s="129">
        <v>1.5079</v>
      </c>
      <c r="F278" s="129">
        <v>1.5078999999999996</v>
      </c>
      <c r="G278" s="129">
        <v>5.0847001000000001</v>
      </c>
      <c r="H278" s="129">
        <v>5.0847001000000009</v>
      </c>
      <c r="I278" s="131" t="s">
        <v>87</v>
      </c>
      <c r="J278" s="132" t="s">
        <v>102</v>
      </c>
      <c r="K278" s="130" t="s">
        <v>636</v>
      </c>
      <c r="L278" s="6" t="str">
        <f t="shared" si="4"/>
        <v>005-00000065</v>
      </c>
    </row>
    <row r="279" spans="1:12" hidden="1" x14ac:dyDescent="0.25">
      <c r="A279" s="130" t="s">
        <v>206</v>
      </c>
      <c r="B279" s="130" t="s">
        <v>207</v>
      </c>
      <c r="C279" s="132" t="s">
        <v>150</v>
      </c>
      <c r="D279" s="129">
        <v>1</v>
      </c>
      <c r="E279" s="129">
        <v>3.2721</v>
      </c>
      <c r="F279" s="129">
        <v>3.2721</v>
      </c>
      <c r="G279" s="129">
        <v>11.0106</v>
      </c>
      <c r="H279" s="129">
        <v>11.010600000000002</v>
      </c>
      <c r="I279" s="131" t="s">
        <v>87</v>
      </c>
      <c r="J279" s="132" t="s">
        <v>102</v>
      </c>
      <c r="K279" s="130" t="s">
        <v>636</v>
      </c>
      <c r="L279" s="6" t="str">
        <f t="shared" si="4"/>
        <v>005-00000065</v>
      </c>
    </row>
    <row r="280" spans="1:12" hidden="1" x14ac:dyDescent="0.25">
      <c r="A280" s="130" t="s">
        <v>1034</v>
      </c>
      <c r="B280" s="130" t="s">
        <v>1035</v>
      </c>
      <c r="C280" s="132" t="s">
        <v>88</v>
      </c>
      <c r="D280" s="129">
        <v>1</v>
      </c>
      <c r="E280" s="129">
        <v>11.861700000000001</v>
      </c>
      <c r="F280" s="129">
        <v>11.861700000000001</v>
      </c>
      <c r="G280" s="129">
        <v>39.701000000000001</v>
      </c>
      <c r="H280" s="129">
        <v>39.701000000000001</v>
      </c>
      <c r="I280" s="131" t="s">
        <v>87</v>
      </c>
      <c r="J280" s="132" t="s">
        <v>102</v>
      </c>
      <c r="K280" s="130" t="s">
        <v>636</v>
      </c>
      <c r="L280" s="6" t="str">
        <f t="shared" si="4"/>
        <v>005-00000065</v>
      </c>
    </row>
    <row r="281" spans="1:12" hidden="1" x14ac:dyDescent="0.25">
      <c r="A281" s="130" t="s">
        <v>208</v>
      </c>
      <c r="B281" s="130" t="s">
        <v>209</v>
      </c>
      <c r="C281" s="132" t="s">
        <v>150</v>
      </c>
      <c r="D281" s="129">
        <v>1</v>
      </c>
      <c r="E281" s="129">
        <v>10.133900000000001</v>
      </c>
      <c r="F281" s="129">
        <v>10.133900000000002</v>
      </c>
      <c r="G281" s="129">
        <v>33.897998999999999</v>
      </c>
      <c r="H281" s="129">
        <v>33.897998999999999</v>
      </c>
      <c r="I281" s="131" t="s">
        <v>87</v>
      </c>
      <c r="J281" s="132" t="s">
        <v>102</v>
      </c>
      <c r="K281" s="130" t="s">
        <v>623</v>
      </c>
      <c r="L281" s="6" t="str">
        <f t="shared" si="4"/>
        <v>005-00000108</v>
      </c>
    </row>
    <row r="282" spans="1:12" hidden="1" x14ac:dyDescent="0.25">
      <c r="A282" s="130" t="s">
        <v>208</v>
      </c>
      <c r="B282" s="130" t="s">
        <v>209</v>
      </c>
      <c r="C282" s="132" t="s">
        <v>150</v>
      </c>
      <c r="D282" s="129">
        <v>1</v>
      </c>
      <c r="E282" s="129">
        <v>6.3337998000000004</v>
      </c>
      <c r="F282" s="129">
        <v>6.3337998000000004</v>
      </c>
      <c r="G282" s="129">
        <v>21.186399000000002</v>
      </c>
      <c r="H282" s="129">
        <v>21.186399000000002</v>
      </c>
      <c r="I282" s="131" t="s">
        <v>87</v>
      </c>
      <c r="J282" s="132" t="s">
        <v>102</v>
      </c>
      <c r="K282" s="130" t="s">
        <v>700</v>
      </c>
      <c r="L282" s="6" t="str">
        <f t="shared" si="4"/>
        <v>005-00000165</v>
      </c>
    </row>
    <row r="283" spans="1:12" hidden="1" x14ac:dyDescent="0.25">
      <c r="A283" s="130" t="s">
        <v>218</v>
      </c>
      <c r="B283" s="130" t="s">
        <v>219</v>
      </c>
      <c r="C283" s="132" t="s">
        <v>150</v>
      </c>
      <c r="D283" s="129">
        <v>1</v>
      </c>
      <c r="E283" s="129">
        <v>4.5535997999999998</v>
      </c>
      <c r="F283" s="129">
        <v>4.5535997999999998</v>
      </c>
      <c r="G283" s="129">
        <v>15.25</v>
      </c>
      <c r="H283" s="129">
        <v>15.25</v>
      </c>
      <c r="I283" s="131" t="s">
        <v>87</v>
      </c>
      <c r="J283" s="132" t="s">
        <v>102</v>
      </c>
      <c r="K283" s="130" t="s">
        <v>628</v>
      </c>
      <c r="L283" s="6" t="str">
        <f t="shared" si="4"/>
        <v>005-00000097</v>
      </c>
    </row>
    <row r="284" spans="1:12" hidden="1" x14ac:dyDescent="0.25">
      <c r="A284" s="130" t="s">
        <v>220</v>
      </c>
      <c r="B284" s="130" t="s">
        <v>221</v>
      </c>
      <c r="C284" s="132" t="s">
        <v>153</v>
      </c>
      <c r="D284" s="129">
        <v>1</v>
      </c>
      <c r="E284" s="129">
        <v>27.9436</v>
      </c>
      <c r="F284" s="129">
        <v>27.9436</v>
      </c>
      <c r="G284" s="129">
        <v>93.220000999999996</v>
      </c>
      <c r="H284" s="129">
        <v>93.220000999999968</v>
      </c>
      <c r="I284" s="131" t="s">
        <v>87</v>
      </c>
      <c r="J284" s="132" t="s">
        <v>102</v>
      </c>
      <c r="K284" s="130" t="s">
        <v>708</v>
      </c>
      <c r="L284" s="6" t="str">
        <f t="shared" si="4"/>
        <v>005-00000089</v>
      </c>
    </row>
    <row r="285" spans="1:12" hidden="1" x14ac:dyDescent="0.25">
      <c r="A285" s="130" t="s">
        <v>220</v>
      </c>
      <c r="B285" s="130" t="s">
        <v>221</v>
      </c>
      <c r="C285" s="132" t="s">
        <v>153</v>
      </c>
      <c r="D285" s="129">
        <v>1</v>
      </c>
      <c r="E285" s="129">
        <v>27.9436</v>
      </c>
      <c r="F285" s="129">
        <v>27.9436</v>
      </c>
      <c r="G285" s="129">
        <v>93.220000999999996</v>
      </c>
      <c r="H285" s="129">
        <v>93.220000999999968</v>
      </c>
      <c r="I285" s="131" t="s">
        <v>87</v>
      </c>
      <c r="J285" s="132" t="s">
        <v>102</v>
      </c>
      <c r="K285" s="130" t="s">
        <v>654</v>
      </c>
      <c r="L285" s="6" t="str">
        <f t="shared" si="4"/>
        <v>005-00000047</v>
      </c>
    </row>
    <row r="286" spans="1:12" hidden="1" x14ac:dyDescent="0.25">
      <c r="A286" s="130" t="s">
        <v>214</v>
      </c>
      <c r="B286" s="130" t="s">
        <v>215</v>
      </c>
      <c r="C286" s="132" t="s">
        <v>150</v>
      </c>
      <c r="D286" s="129">
        <v>1</v>
      </c>
      <c r="E286" s="25">
        <v>70.938698000000002</v>
      </c>
      <c r="F286" s="25">
        <v>70.938698000000002</v>
      </c>
      <c r="G286" s="25">
        <v>237.28998999999999</v>
      </c>
      <c r="H286" s="25">
        <v>237.28998999999996</v>
      </c>
      <c r="I286" s="131" t="s">
        <v>87</v>
      </c>
      <c r="J286" s="132" t="s">
        <v>102</v>
      </c>
      <c r="K286" s="130" t="s">
        <v>622</v>
      </c>
      <c r="L286" s="6" t="str">
        <f t="shared" si="4"/>
        <v>005-00000109</v>
      </c>
    </row>
    <row r="287" spans="1:12" hidden="1" x14ac:dyDescent="0.25">
      <c r="A287" s="130" t="s">
        <v>243</v>
      </c>
      <c r="B287" s="130" t="s">
        <v>244</v>
      </c>
      <c r="C287" s="132" t="s">
        <v>150</v>
      </c>
      <c r="D287" s="129">
        <v>1</v>
      </c>
      <c r="E287" s="129">
        <v>10.133900000000001</v>
      </c>
      <c r="F287" s="129">
        <v>10.133900000000002</v>
      </c>
      <c r="G287" s="129">
        <v>33.897998999999999</v>
      </c>
      <c r="H287" s="129">
        <v>33.897998999999999</v>
      </c>
      <c r="I287" s="131" t="s">
        <v>87</v>
      </c>
      <c r="J287" s="132" t="s">
        <v>102</v>
      </c>
      <c r="K287" s="130" t="s">
        <v>623</v>
      </c>
      <c r="L287" s="6" t="str">
        <f t="shared" si="4"/>
        <v>005-00000108</v>
      </c>
    </row>
    <row r="288" spans="1:12" hidden="1" x14ac:dyDescent="0.25">
      <c r="A288" s="130" t="s">
        <v>240</v>
      </c>
      <c r="B288" s="130" t="s">
        <v>229</v>
      </c>
      <c r="C288" s="132" t="s">
        <v>150</v>
      </c>
      <c r="D288" s="129">
        <v>1</v>
      </c>
      <c r="E288" s="129">
        <v>11.431500000000002</v>
      </c>
      <c r="F288" s="129">
        <v>11.431500000000003</v>
      </c>
      <c r="G288" s="129">
        <v>38.135601000000001</v>
      </c>
      <c r="H288" s="129">
        <v>38.135601000000001</v>
      </c>
      <c r="I288" s="131" t="s">
        <v>87</v>
      </c>
      <c r="J288" s="132" t="s">
        <v>102</v>
      </c>
      <c r="K288" s="130" t="s">
        <v>653</v>
      </c>
      <c r="L288" s="6" t="str">
        <f t="shared" si="4"/>
        <v>005-00000048</v>
      </c>
    </row>
    <row r="289" spans="1:12" hidden="1" x14ac:dyDescent="0.25">
      <c r="A289" s="130" t="s">
        <v>240</v>
      </c>
      <c r="B289" s="130" t="s">
        <v>229</v>
      </c>
      <c r="C289" s="132" t="s">
        <v>150</v>
      </c>
      <c r="D289" s="129">
        <v>1</v>
      </c>
      <c r="E289" s="25">
        <v>11.431500000000002</v>
      </c>
      <c r="F289" s="25">
        <v>11.431500000000003</v>
      </c>
      <c r="G289" s="25">
        <v>38.135601000000001</v>
      </c>
      <c r="H289" s="25">
        <v>38.135601000000001</v>
      </c>
      <c r="I289" s="131" t="s">
        <v>87</v>
      </c>
      <c r="J289" s="132" t="s">
        <v>102</v>
      </c>
      <c r="K289" s="130" t="s">
        <v>708</v>
      </c>
      <c r="L289" s="6" t="str">
        <f t="shared" si="4"/>
        <v>005-00000089</v>
      </c>
    </row>
    <row r="290" spans="1:12" hidden="1" x14ac:dyDescent="0.25">
      <c r="A290" s="130" t="s">
        <v>251</v>
      </c>
      <c r="B290" s="130" t="s">
        <v>252</v>
      </c>
      <c r="C290" s="132" t="s">
        <v>153</v>
      </c>
      <c r="D290" s="129">
        <v>1</v>
      </c>
      <c r="E290" s="129">
        <v>12.541100000000002</v>
      </c>
      <c r="F290" s="129">
        <v>12.541100000000004</v>
      </c>
      <c r="G290" s="129">
        <v>41.950001</v>
      </c>
      <c r="H290" s="129">
        <v>41.950001</v>
      </c>
      <c r="I290" s="131" t="s">
        <v>87</v>
      </c>
      <c r="J290" s="132" t="s">
        <v>102</v>
      </c>
      <c r="K290" s="130" t="s">
        <v>623</v>
      </c>
      <c r="L290" s="6" t="str">
        <f t="shared" si="4"/>
        <v>005-00000108</v>
      </c>
    </row>
    <row r="291" spans="1:12" hidden="1" x14ac:dyDescent="0.25">
      <c r="A291" s="130" t="s">
        <v>247</v>
      </c>
      <c r="B291" s="130" t="s">
        <v>248</v>
      </c>
      <c r="C291" s="132" t="s">
        <v>153</v>
      </c>
      <c r="D291" s="129">
        <v>2</v>
      </c>
      <c r="E291" s="129">
        <v>1.5115000000000001</v>
      </c>
      <c r="F291" s="129">
        <v>3.0229999999999997</v>
      </c>
      <c r="G291" s="129">
        <v>5.0847001000000001</v>
      </c>
      <c r="H291" s="129">
        <v>10.1694002</v>
      </c>
      <c r="I291" s="131" t="s">
        <v>87</v>
      </c>
      <c r="J291" s="132" t="s">
        <v>102</v>
      </c>
      <c r="K291" s="130" t="s">
        <v>649</v>
      </c>
      <c r="L291" s="6" t="str">
        <f t="shared" si="4"/>
        <v>005-00000052</v>
      </c>
    </row>
    <row r="292" spans="1:12" hidden="1" x14ac:dyDescent="0.25">
      <c r="A292" s="130" t="s">
        <v>245</v>
      </c>
      <c r="B292" s="130" t="s">
        <v>246</v>
      </c>
      <c r="C292" s="132" t="s">
        <v>150</v>
      </c>
      <c r="D292" s="129">
        <v>1</v>
      </c>
      <c r="E292" s="129">
        <v>30.484100000000002</v>
      </c>
      <c r="F292" s="129">
        <v>30.484099999999998</v>
      </c>
      <c r="G292" s="129">
        <v>101.6949</v>
      </c>
      <c r="H292" s="129">
        <v>101.69489999999998</v>
      </c>
      <c r="I292" s="131" t="s">
        <v>87</v>
      </c>
      <c r="J292" s="132" t="s">
        <v>102</v>
      </c>
      <c r="K292" s="130" t="s">
        <v>653</v>
      </c>
      <c r="L292" s="6" t="str">
        <f t="shared" si="4"/>
        <v>005-00000048</v>
      </c>
    </row>
    <row r="293" spans="1:12" hidden="1" x14ac:dyDescent="0.25">
      <c r="A293" s="130" t="s">
        <v>306</v>
      </c>
      <c r="B293" s="130" t="s">
        <v>307</v>
      </c>
      <c r="C293" s="132" t="s">
        <v>150</v>
      </c>
      <c r="D293" s="129">
        <v>1</v>
      </c>
      <c r="E293" s="25">
        <v>7.6005000999999996</v>
      </c>
      <c r="F293" s="25">
        <v>7.6005000999999996</v>
      </c>
      <c r="G293" s="25">
        <v>25.4237</v>
      </c>
      <c r="H293" s="25">
        <v>25.423700000000004</v>
      </c>
      <c r="I293" s="131" t="s">
        <v>87</v>
      </c>
      <c r="J293" s="132" t="s">
        <v>102</v>
      </c>
      <c r="K293" s="130" t="s">
        <v>701</v>
      </c>
      <c r="L293" s="6" t="str">
        <f t="shared" si="4"/>
        <v>005-00000164</v>
      </c>
    </row>
    <row r="294" spans="1:12" hidden="1" x14ac:dyDescent="0.25">
      <c r="A294" s="130" t="s">
        <v>306</v>
      </c>
      <c r="B294" s="130" t="s">
        <v>307</v>
      </c>
      <c r="C294" s="132" t="s">
        <v>150</v>
      </c>
      <c r="D294" s="129">
        <v>1</v>
      </c>
      <c r="E294" s="129">
        <v>7.6005000999999996</v>
      </c>
      <c r="F294" s="129">
        <v>7.6005000999999996</v>
      </c>
      <c r="G294" s="129">
        <v>25.4237</v>
      </c>
      <c r="H294" s="129">
        <v>25.423700000000004</v>
      </c>
      <c r="I294" s="131" t="s">
        <v>87</v>
      </c>
      <c r="J294" s="132" t="s">
        <v>102</v>
      </c>
      <c r="K294" s="130" t="s">
        <v>625</v>
      </c>
      <c r="L294" s="6" t="str">
        <f t="shared" si="4"/>
        <v>005-00000106</v>
      </c>
    </row>
    <row r="295" spans="1:12" hidden="1" x14ac:dyDescent="0.25">
      <c r="A295" s="130" t="s">
        <v>306</v>
      </c>
      <c r="B295" s="130" t="s">
        <v>307</v>
      </c>
      <c r="C295" s="132" t="s">
        <v>150</v>
      </c>
      <c r="D295" s="129">
        <v>1</v>
      </c>
      <c r="E295" s="129">
        <v>7.6005000999999996</v>
      </c>
      <c r="F295" s="129">
        <v>7.6005000999999996</v>
      </c>
      <c r="G295" s="129">
        <v>25.4237</v>
      </c>
      <c r="H295" s="129">
        <v>25.423700000000004</v>
      </c>
      <c r="I295" s="131" t="s">
        <v>87</v>
      </c>
      <c r="J295" s="132" t="s">
        <v>102</v>
      </c>
      <c r="K295" s="130" t="s">
        <v>622</v>
      </c>
      <c r="L295" s="6" t="str">
        <f t="shared" si="4"/>
        <v>005-00000109</v>
      </c>
    </row>
    <row r="296" spans="1:12" hidden="1" x14ac:dyDescent="0.25">
      <c r="A296" s="130" t="s">
        <v>306</v>
      </c>
      <c r="B296" s="130" t="s">
        <v>307</v>
      </c>
      <c r="C296" s="132" t="s">
        <v>150</v>
      </c>
      <c r="D296" s="129">
        <v>1</v>
      </c>
      <c r="E296" s="25">
        <v>5.0382999999999996</v>
      </c>
      <c r="F296" s="25">
        <v>5.0382999999999996</v>
      </c>
      <c r="G296" s="25">
        <v>16.948999000000001</v>
      </c>
      <c r="H296" s="25">
        <v>16.948999000000001</v>
      </c>
      <c r="I296" s="131" t="s">
        <v>87</v>
      </c>
      <c r="J296" s="132" t="s">
        <v>102</v>
      </c>
      <c r="K296" s="130" t="s">
        <v>649</v>
      </c>
      <c r="L296" s="6" t="str">
        <f t="shared" si="4"/>
        <v>005-00000052</v>
      </c>
    </row>
    <row r="297" spans="1:12" hidden="1" x14ac:dyDescent="0.25">
      <c r="A297" s="130" t="s">
        <v>304</v>
      </c>
      <c r="B297" s="130" t="s">
        <v>305</v>
      </c>
      <c r="C297" s="132" t="s">
        <v>150</v>
      </c>
      <c r="D297" s="129">
        <v>1</v>
      </c>
      <c r="E297" s="129">
        <v>8.8669995999999998</v>
      </c>
      <c r="F297" s="129">
        <v>8.8669995999999998</v>
      </c>
      <c r="G297" s="129">
        <v>29.66</v>
      </c>
      <c r="H297" s="129">
        <v>29.66</v>
      </c>
      <c r="I297" s="131" t="s">
        <v>87</v>
      </c>
      <c r="J297" s="132" t="s">
        <v>102</v>
      </c>
      <c r="K297" s="130" t="s">
        <v>701</v>
      </c>
      <c r="L297" s="6" t="str">
        <f t="shared" si="4"/>
        <v>005-00000164</v>
      </c>
    </row>
    <row r="298" spans="1:12" hidden="1" x14ac:dyDescent="0.25">
      <c r="A298" s="130" t="s">
        <v>304</v>
      </c>
      <c r="B298" s="130" t="s">
        <v>305</v>
      </c>
      <c r="C298" s="132" t="s">
        <v>150</v>
      </c>
      <c r="D298" s="129">
        <v>1</v>
      </c>
      <c r="E298" s="129">
        <v>8.8669995999999998</v>
      </c>
      <c r="F298" s="129">
        <v>8.8669995999999998</v>
      </c>
      <c r="G298" s="129">
        <v>29.66</v>
      </c>
      <c r="H298" s="129">
        <v>29.66</v>
      </c>
      <c r="I298" s="131" t="s">
        <v>87</v>
      </c>
      <c r="J298" s="132" t="s">
        <v>102</v>
      </c>
      <c r="K298" s="130" t="s">
        <v>625</v>
      </c>
      <c r="L298" s="6" t="str">
        <f t="shared" si="4"/>
        <v>005-00000106</v>
      </c>
    </row>
    <row r="299" spans="1:12" hidden="1" x14ac:dyDescent="0.25">
      <c r="A299" s="130" t="s">
        <v>304</v>
      </c>
      <c r="B299" s="130" t="s">
        <v>305</v>
      </c>
      <c r="C299" s="132" t="s">
        <v>150</v>
      </c>
      <c r="D299" s="129">
        <v>1</v>
      </c>
      <c r="E299" s="129">
        <v>8.8669995999999998</v>
      </c>
      <c r="F299" s="129">
        <v>8.8669995999999998</v>
      </c>
      <c r="G299" s="129">
        <v>29.66</v>
      </c>
      <c r="H299" s="129">
        <v>29.66</v>
      </c>
      <c r="I299" s="131" t="s">
        <v>87</v>
      </c>
      <c r="J299" s="132" t="s">
        <v>102</v>
      </c>
      <c r="K299" s="130" t="s">
        <v>622</v>
      </c>
      <c r="L299" s="6" t="str">
        <f t="shared" si="4"/>
        <v>005-00000109</v>
      </c>
    </row>
    <row r="300" spans="1:12" hidden="1" x14ac:dyDescent="0.25">
      <c r="A300" s="130" t="s">
        <v>304</v>
      </c>
      <c r="B300" s="130" t="s">
        <v>305</v>
      </c>
      <c r="C300" s="132" t="s">
        <v>150</v>
      </c>
      <c r="D300" s="129">
        <v>1</v>
      </c>
      <c r="E300" s="25">
        <v>6.2979998999999998</v>
      </c>
      <c r="F300" s="25">
        <v>6.2979998999999998</v>
      </c>
      <c r="G300" s="25">
        <v>21.186399000000002</v>
      </c>
      <c r="H300" s="25">
        <v>21.186399000000002</v>
      </c>
      <c r="I300" s="131" t="s">
        <v>87</v>
      </c>
      <c r="J300" s="132" t="s">
        <v>102</v>
      </c>
      <c r="K300" s="130" t="s">
        <v>649</v>
      </c>
      <c r="L300" s="6" t="str">
        <f t="shared" si="4"/>
        <v>005-00000052</v>
      </c>
    </row>
    <row r="301" spans="1:12" hidden="1" x14ac:dyDescent="0.25">
      <c r="A301" s="130" t="s">
        <v>302</v>
      </c>
      <c r="B301" s="130" t="s">
        <v>303</v>
      </c>
      <c r="C301" s="132" t="s">
        <v>150</v>
      </c>
      <c r="D301" s="129">
        <v>1</v>
      </c>
      <c r="E301" s="129">
        <v>63.412201000000003</v>
      </c>
      <c r="F301" s="129">
        <v>63.41220100000001</v>
      </c>
      <c r="G301" s="129">
        <v>211.86</v>
      </c>
      <c r="H301" s="129">
        <v>211.86</v>
      </c>
      <c r="I301" s="131" t="s">
        <v>87</v>
      </c>
      <c r="J301" s="132" t="s">
        <v>102</v>
      </c>
      <c r="K301" s="130" t="s">
        <v>708</v>
      </c>
      <c r="L301" s="6" t="str">
        <f t="shared" si="4"/>
        <v>005-00000089</v>
      </c>
    </row>
    <row r="302" spans="1:12" hidden="1" x14ac:dyDescent="0.25">
      <c r="A302" s="130" t="s">
        <v>348</v>
      </c>
      <c r="B302" s="130" t="s">
        <v>349</v>
      </c>
      <c r="C302" s="132" t="s">
        <v>150</v>
      </c>
      <c r="D302" s="129">
        <v>2</v>
      </c>
      <c r="E302" s="129">
        <v>5.5736999999999997</v>
      </c>
      <c r="F302" s="129">
        <v>11.147399999999998</v>
      </c>
      <c r="G302" s="129">
        <v>18.643999000000001</v>
      </c>
      <c r="H302" s="129">
        <v>37.287998000000002</v>
      </c>
      <c r="I302" s="131" t="s">
        <v>87</v>
      </c>
      <c r="J302" s="132" t="s">
        <v>102</v>
      </c>
      <c r="K302" s="130" t="s">
        <v>703</v>
      </c>
      <c r="L302" s="6" t="str">
        <f t="shared" si="4"/>
        <v>005-00000162</v>
      </c>
    </row>
    <row r="303" spans="1:12" hidden="1" x14ac:dyDescent="0.25">
      <c r="A303" s="130" t="s">
        <v>346</v>
      </c>
      <c r="B303" s="130" t="s">
        <v>347</v>
      </c>
      <c r="C303" s="132" t="s">
        <v>153</v>
      </c>
      <c r="D303" s="129">
        <v>1</v>
      </c>
      <c r="E303" s="129">
        <v>3.7894999999999999</v>
      </c>
      <c r="F303" s="129">
        <v>3.7894999999999999</v>
      </c>
      <c r="G303" s="129">
        <v>12.7118</v>
      </c>
      <c r="H303" s="129">
        <v>12.7118</v>
      </c>
      <c r="I303" s="131" t="s">
        <v>87</v>
      </c>
      <c r="J303" s="132" t="s">
        <v>102</v>
      </c>
      <c r="K303" s="130" t="s">
        <v>623</v>
      </c>
      <c r="L303" s="6" t="str">
        <f t="shared" si="4"/>
        <v>005-00000108</v>
      </c>
    </row>
    <row r="304" spans="1:12" hidden="1" x14ac:dyDescent="0.25">
      <c r="A304" s="130" t="s">
        <v>350</v>
      </c>
      <c r="B304" s="130" t="s">
        <v>351</v>
      </c>
      <c r="C304" s="132" t="s">
        <v>150</v>
      </c>
      <c r="D304" s="129">
        <v>3</v>
      </c>
      <c r="E304" s="25">
        <v>30.402100000000001</v>
      </c>
      <c r="F304" s="25">
        <v>91.206300000000013</v>
      </c>
      <c r="G304" s="25">
        <v>101.6949</v>
      </c>
      <c r="H304" s="25">
        <v>305.08469999999994</v>
      </c>
      <c r="I304" s="131" t="s">
        <v>87</v>
      </c>
      <c r="J304" s="132" t="s">
        <v>102</v>
      </c>
      <c r="K304" s="130" t="s">
        <v>626</v>
      </c>
      <c r="L304" s="6" t="str">
        <f t="shared" si="4"/>
        <v>005-00000105</v>
      </c>
    </row>
    <row r="305" spans="1:12" hidden="1" x14ac:dyDescent="0.25">
      <c r="A305" s="130" t="s">
        <v>362</v>
      </c>
      <c r="B305" s="130" t="s">
        <v>363</v>
      </c>
      <c r="C305" s="132" t="s">
        <v>153</v>
      </c>
      <c r="D305" s="129">
        <v>1</v>
      </c>
      <c r="E305" s="129">
        <v>48.137501</v>
      </c>
      <c r="F305" s="129">
        <v>48.137501</v>
      </c>
      <c r="G305" s="129">
        <v>161.02000000000001</v>
      </c>
      <c r="H305" s="129">
        <v>161.02000000000001</v>
      </c>
      <c r="I305" s="131" t="s">
        <v>87</v>
      </c>
      <c r="J305" s="132" t="s">
        <v>102</v>
      </c>
      <c r="K305" s="130" t="s">
        <v>699</v>
      </c>
      <c r="L305" s="6" t="str">
        <f t="shared" si="4"/>
        <v>005-00000166</v>
      </c>
    </row>
    <row r="306" spans="1:12" hidden="1" x14ac:dyDescent="0.25">
      <c r="A306" s="130" t="s">
        <v>368</v>
      </c>
      <c r="B306" s="130" t="s">
        <v>369</v>
      </c>
      <c r="C306" s="132" t="s">
        <v>150</v>
      </c>
      <c r="D306" s="129">
        <v>1</v>
      </c>
      <c r="E306" s="129">
        <v>3.8002999000000002</v>
      </c>
      <c r="F306" s="129">
        <v>3.8002999000000002</v>
      </c>
      <c r="G306" s="129">
        <v>12.7119</v>
      </c>
      <c r="H306" s="129">
        <v>12.711900000000004</v>
      </c>
      <c r="I306" s="131" t="s">
        <v>87</v>
      </c>
      <c r="J306" s="132" t="s">
        <v>102</v>
      </c>
      <c r="K306" s="130" t="s">
        <v>706</v>
      </c>
      <c r="L306" s="6" t="str">
        <f t="shared" si="4"/>
        <v>005-00000152</v>
      </c>
    </row>
    <row r="307" spans="1:12" hidden="1" x14ac:dyDescent="0.25">
      <c r="A307" s="130" t="s">
        <v>390</v>
      </c>
      <c r="B307" s="130" t="s">
        <v>391</v>
      </c>
      <c r="C307" s="132" t="s">
        <v>150</v>
      </c>
      <c r="D307" s="129">
        <v>1</v>
      </c>
      <c r="E307" s="25">
        <v>19.001301000000002</v>
      </c>
      <c r="F307" s="25">
        <v>19.001301000000002</v>
      </c>
      <c r="G307" s="25">
        <v>63.559299000000003</v>
      </c>
      <c r="H307" s="25">
        <v>63.559298999999989</v>
      </c>
      <c r="I307" s="131" t="s">
        <v>87</v>
      </c>
      <c r="J307" s="132" t="s">
        <v>102</v>
      </c>
      <c r="K307" s="130" t="s">
        <v>622</v>
      </c>
      <c r="L307" s="6" t="str">
        <f t="shared" si="4"/>
        <v>005-00000109</v>
      </c>
    </row>
    <row r="308" spans="1:12" hidden="1" x14ac:dyDescent="0.25">
      <c r="A308" s="130" t="s">
        <v>370</v>
      </c>
      <c r="B308" s="130" t="s">
        <v>371</v>
      </c>
      <c r="C308" s="132" t="s">
        <v>153</v>
      </c>
      <c r="D308" s="129">
        <v>1</v>
      </c>
      <c r="E308" s="129">
        <v>34.294601</v>
      </c>
      <c r="F308" s="129">
        <v>34.294601</v>
      </c>
      <c r="G308" s="129">
        <v>114.4068</v>
      </c>
      <c r="H308" s="129">
        <v>114.4068</v>
      </c>
      <c r="I308" s="131" t="s">
        <v>87</v>
      </c>
      <c r="J308" s="132" t="s">
        <v>102</v>
      </c>
      <c r="K308" s="130" t="s">
        <v>633</v>
      </c>
      <c r="L308" s="6" t="str">
        <f t="shared" si="4"/>
        <v>005-00000069</v>
      </c>
    </row>
    <row r="309" spans="1:12" hidden="1" x14ac:dyDescent="0.25">
      <c r="A309" s="130" t="s">
        <v>370</v>
      </c>
      <c r="B309" s="130" t="s">
        <v>371</v>
      </c>
      <c r="C309" s="132" t="s">
        <v>153</v>
      </c>
      <c r="D309" s="129">
        <v>1</v>
      </c>
      <c r="E309" s="129">
        <v>34.294601</v>
      </c>
      <c r="F309" s="129">
        <v>34.294601</v>
      </c>
      <c r="G309" s="129">
        <v>114.4068</v>
      </c>
      <c r="H309" s="129">
        <v>114.4068</v>
      </c>
      <c r="I309" s="131" t="s">
        <v>87</v>
      </c>
      <c r="J309" s="132" t="s">
        <v>102</v>
      </c>
      <c r="K309" s="130" t="s">
        <v>708</v>
      </c>
      <c r="L309" s="6" t="str">
        <f t="shared" si="4"/>
        <v>005-00000089</v>
      </c>
    </row>
    <row r="310" spans="1:12" hidden="1" x14ac:dyDescent="0.25">
      <c r="A310" s="130" t="s">
        <v>384</v>
      </c>
      <c r="B310" s="130" t="s">
        <v>385</v>
      </c>
      <c r="C310" s="132" t="s">
        <v>150</v>
      </c>
      <c r="D310" s="129">
        <v>1</v>
      </c>
      <c r="E310" s="129">
        <v>4.5602999000000004</v>
      </c>
      <c r="F310" s="129">
        <v>4.5602999000000004</v>
      </c>
      <c r="G310" s="129">
        <v>15.254200000000001</v>
      </c>
      <c r="H310" s="129">
        <v>15.254200000000001</v>
      </c>
      <c r="I310" s="131" t="s">
        <v>87</v>
      </c>
      <c r="J310" s="132" t="s">
        <v>102</v>
      </c>
      <c r="K310" s="130" t="s">
        <v>623</v>
      </c>
      <c r="L310" s="6" t="str">
        <f t="shared" si="4"/>
        <v>005-00000108</v>
      </c>
    </row>
    <row r="311" spans="1:12" hidden="1" x14ac:dyDescent="0.25">
      <c r="A311" s="130" t="s">
        <v>384</v>
      </c>
      <c r="B311" s="130" t="s">
        <v>385</v>
      </c>
      <c r="C311" s="132" t="s">
        <v>150</v>
      </c>
      <c r="D311" s="129">
        <v>1</v>
      </c>
      <c r="E311" s="25">
        <v>5.5736999999999997</v>
      </c>
      <c r="F311" s="25">
        <v>5.5736999999999988</v>
      </c>
      <c r="G311" s="25">
        <v>18.643999000000001</v>
      </c>
      <c r="H311" s="25">
        <v>18.643999000000001</v>
      </c>
      <c r="I311" s="131" t="s">
        <v>87</v>
      </c>
      <c r="J311" s="132" t="s">
        <v>102</v>
      </c>
      <c r="K311" s="130" t="s">
        <v>698</v>
      </c>
      <c r="L311" s="6" t="str">
        <f t="shared" si="4"/>
        <v>005-00000167</v>
      </c>
    </row>
    <row r="312" spans="1:12" hidden="1" x14ac:dyDescent="0.25">
      <c r="A312" s="130" t="s">
        <v>384</v>
      </c>
      <c r="B312" s="130" t="s">
        <v>385</v>
      </c>
      <c r="C312" s="132" t="s">
        <v>150</v>
      </c>
      <c r="D312" s="129">
        <v>1</v>
      </c>
      <c r="E312" s="129">
        <v>5.5736999999999997</v>
      </c>
      <c r="F312" s="129">
        <v>5.5736999999999988</v>
      </c>
      <c r="G312" s="129">
        <v>18.643999000000001</v>
      </c>
      <c r="H312" s="129">
        <v>18.643999000000001</v>
      </c>
      <c r="I312" s="131" t="s">
        <v>87</v>
      </c>
      <c r="J312" s="132" t="s">
        <v>102</v>
      </c>
      <c r="K312" s="130" t="s">
        <v>649</v>
      </c>
      <c r="L312" s="6" t="str">
        <f t="shared" si="4"/>
        <v>005-00000052</v>
      </c>
    </row>
    <row r="313" spans="1:12" hidden="1" x14ac:dyDescent="0.25">
      <c r="A313" s="130" t="s">
        <v>397</v>
      </c>
      <c r="B313" s="130" t="s">
        <v>398</v>
      </c>
      <c r="C313" s="132" t="s">
        <v>150</v>
      </c>
      <c r="D313" s="129">
        <v>1</v>
      </c>
      <c r="E313" s="129">
        <v>5.0669998999999999</v>
      </c>
      <c r="F313" s="129">
        <v>5.0669998999999999</v>
      </c>
      <c r="G313" s="129">
        <v>16.948999000000001</v>
      </c>
      <c r="H313" s="129">
        <v>16.948999000000001</v>
      </c>
      <c r="I313" s="131" t="s">
        <v>87</v>
      </c>
      <c r="J313" s="132" t="s">
        <v>102</v>
      </c>
      <c r="K313" s="130" t="s">
        <v>623</v>
      </c>
      <c r="L313" s="6" t="str">
        <f t="shared" si="4"/>
        <v>005-00000108</v>
      </c>
    </row>
    <row r="314" spans="1:12" hidden="1" x14ac:dyDescent="0.25">
      <c r="A314" s="130" t="s">
        <v>399</v>
      </c>
      <c r="B314" s="130" t="s">
        <v>400</v>
      </c>
      <c r="C314" s="132" t="s">
        <v>153</v>
      </c>
      <c r="D314" s="129">
        <v>1</v>
      </c>
      <c r="E314" s="129">
        <v>58.271999000000008</v>
      </c>
      <c r="F314" s="129">
        <v>58.271998999999994</v>
      </c>
      <c r="G314" s="129">
        <v>194.92</v>
      </c>
      <c r="H314" s="129">
        <v>194.92</v>
      </c>
      <c r="I314" s="131" t="s">
        <v>87</v>
      </c>
      <c r="J314" s="132" t="s">
        <v>102</v>
      </c>
      <c r="K314" s="130" t="s">
        <v>624</v>
      </c>
      <c r="L314" s="6" t="str">
        <f t="shared" si="4"/>
        <v>005-00000107</v>
      </c>
    </row>
    <row r="315" spans="1:12" hidden="1" x14ac:dyDescent="0.25">
      <c r="A315" s="130" t="s">
        <v>415</v>
      </c>
      <c r="B315" s="130" t="s">
        <v>416</v>
      </c>
      <c r="C315" s="132" t="s">
        <v>153</v>
      </c>
      <c r="D315" s="129">
        <v>1</v>
      </c>
      <c r="E315" s="129">
        <v>38.762298999999999</v>
      </c>
      <c r="F315" s="129">
        <v>38.762298999999999</v>
      </c>
      <c r="G315" s="129">
        <v>129.66</v>
      </c>
      <c r="H315" s="129">
        <v>129.66</v>
      </c>
      <c r="I315" s="131" t="s">
        <v>87</v>
      </c>
      <c r="J315" s="132" t="s">
        <v>102</v>
      </c>
      <c r="K315" s="130" t="s">
        <v>704</v>
      </c>
      <c r="L315" s="6" t="str">
        <f t="shared" si="4"/>
        <v>005-00000160</v>
      </c>
    </row>
    <row r="316" spans="1:12" hidden="1" x14ac:dyDescent="0.25">
      <c r="A316" s="130" t="s">
        <v>419</v>
      </c>
      <c r="B316" s="130" t="s">
        <v>420</v>
      </c>
      <c r="C316" s="132" t="s">
        <v>153</v>
      </c>
      <c r="D316" s="129">
        <v>1</v>
      </c>
      <c r="E316" s="129">
        <v>16.164400000000001</v>
      </c>
      <c r="F316" s="129">
        <v>16.164400000000004</v>
      </c>
      <c r="G316" s="129">
        <v>54.07</v>
      </c>
      <c r="H316" s="129">
        <v>54.07</v>
      </c>
      <c r="I316" s="131" t="s">
        <v>87</v>
      </c>
      <c r="J316" s="132" t="s">
        <v>102</v>
      </c>
      <c r="K316" s="130" t="s">
        <v>698</v>
      </c>
      <c r="L316" s="6" t="str">
        <f t="shared" si="4"/>
        <v>005-00000167</v>
      </c>
    </row>
    <row r="317" spans="1:12" hidden="1" x14ac:dyDescent="0.25">
      <c r="A317" s="130" t="s">
        <v>421</v>
      </c>
      <c r="B317" s="130" t="s">
        <v>422</v>
      </c>
      <c r="C317" s="132" t="s">
        <v>150</v>
      </c>
      <c r="D317" s="129">
        <v>1</v>
      </c>
      <c r="E317" s="129">
        <v>53.348300999999999</v>
      </c>
      <c r="F317" s="129">
        <v>53.348300999999992</v>
      </c>
      <c r="G317" s="129">
        <v>177.97</v>
      </c>
      <c r="H317" s="129">
        <v>177.97</v>
      </c>
      <c r="I317" s="131" t="s">
        <v>87</v>
      </c>
      <c r="J317" s="132" t="s">
        <v>102</v>
      </c>
      <c r="K317" s="130" t="s">
        <v>655</v>
      </c>
      <c r="L317" s="6" t="str">
        <f t="shared" si="4"/>
        <v>005-00000046</v>
      </c>
    </row>
    <row r="318" spans="1:12" hidden="1" x14ac:dyDescent="0.25">
      <c r="A318" s="130" t="s">
        <v>429</v>
      </c>
      <c r="B318" s="130" t="s">
        <v>430</v>
      </c>
      <c r="C318" s="132" t="s">
        <v>153</v>
      </c>
      <c r="D318" s="129">
        <v>1</v>
      </c>
      <c r="E318" s="129">
        <v>30.228901</v>
      </c>
      <c r="F318" s="129">
        <v>30.228901</v>
      </c>
      <c r="G318" s="129">
        <v>101.69</v>
      </c>
      <c r="H318" s="129">
        <v>101.69</v>
      </c>
      <c r="I318" s="131" t="s">
        <v>87</v>
      </c>
      <c r="J318" s="132" t="s">
        <v>102</v>
      </c>
      <c r="K318" s="130" t="s">
        <v>647</v>
      </c>
      <c r="L318" s="6" t="str">
        <f t="shared" si="4"/>
        <v>005-00000054</v>
      </c>
    </row>
    <row r="319" spans="1:12" hidden="1" x14ac:dyDescent="0.25">
      <c r="A319" s="130" t="s">
        <v>431</v>
      </c>
      <c r="B319" s="130" t="s">
        <v>432</v>
      </c>
      <c r="C319" s="132" t="s">
        <v>153</v>
      </c>
      <c r="D319" s="129">
        <v>1</v>
      </c>
      <c r="E319" s="129">
        <v>35.469101000000002</v>
      </c>
      <c r="F319" s="129">
        <v>35.469101000000002</v>
      </c>
      <c r="G319" s="129">
        <v>118.64400000000002</v>
      </c>
      <c r="H319" s="129">
        <v>118.64400000000002</v>
      </c>
      <c r="I319" s="131" t="s">
        <v>87</v>
      </c>
      <c r="J319" s="132" t="s">
        <v>102</v>
      </c>
      <c r="K319" s="130" t="s">
        <v>623</v>
      </c>
      <c r="L319" s="6" t="str">
        <f t="shared" si="4"/>
        <v>005-00000108</v>
      </c>
    </row>
    <row r="320" spans="1:12" hidden="1" x14ac:dyDescent="0.25">
      <c r="A320" s="130" t="s">
        <v>445</v>
      </c>
      <c r="B320" s="130" t="s">
        <v>446</v>
      </c>
      <c r="C320" s="132" t="s">
        <v>150</v>
      </c>
      <c r="D320" s="129">
        <v>1</v>
      </c>
      <c r="E320" s="25">
        <v>27.868499999999997</v>
      </c>
      <c r="F320" s="25">
        <v>27.868499999999997</v>
      </c>
      <c r="G320" s="25">
        <v>93.220000999999996</v>
      </c>
      <c r="H320" s="25">
        <v>93.220000999999968</v>
      </c>
      <c r="I320" s="131" t="s">
        <v>87</v>
      </c>
      <c r="J320" s="132" t="s">
        <v>102</v>
      </c>
      <c r="K320" s="130" t="s">
        <v>698</v>
      </c>
      <c r="L320" s="6" t="str">
        <f t="shared" si="4"/>
        <v>005-00000167</v>
      </c>
    </row>
    <row r="321" spans="1:12" hidden="1" x14ac:dyDescent="0.25">
      <c r="A321" s="130" t="s">
        <v>441</v>
      </c>
      <c r="B321" s="130" t="s">
        <v>442</v>
      </c>
      <c r="C321" s="132" t="s">
        <v>153</v>
      </c>
      <c r="D321" s="129">
        <v>1</v>
      </c>
      <c r="E321" s="129">
        <v>10.4634</v>
      </c>
      <c r="F321" s="129">
        <v>10.4634</v>
      </c>
      <c r="G321" s="129">
        <v>35</v>
      </c>
      <c r="H321" s="129">
        <v>35</v>
      </c>
      <c r="I321" s="131" t="s">
        <v>87</v>
      </c>
      <c r="J321" s="132" t="s">
        <v>102</v>
      </c>
      <c r="K321" s="130" t="s">
        <v>626</v>
      </c>
      <c r="L321" s="6" t="str">
        <f t="shared" si="4"/>
        <v>005-00000105</v>
      </c>
    </row>
    <row r="322" spans="1:12" hidden="1" x14ac:dyDescent="0.25">
      <c r="A322" s="130" t="s">
        <v>451</v>
      </c>
      <c r="B322" s="130" t="s">
        <v>452</v>
      </c>
      <c r="C322" s="132" t="s">
        <v>150</v>
      </c>
      <c r="D322" s="129">
        <v>1</v>
      </c>
      <c r="E322" s="129">
        <v>19.021298999999999</v>
      </c>
      <c r="F322" s="129">
        <v>19.021298999999999</v>
      </c>
      <c r="G322" s="129">
        <v>63.549999</v>
      </c>
      <c r="H322" s="129">
        <v>63.549998999999985</v>
      </c>
      <c r="I322" s="131" t="s">
        <v>87</v>
      </c>
      <c r="J322" s="132" t="s">
        <v>102</v>
      </c>
      <c r="K322" s="130" t="s">
        <v>653</v>
      </c>
      <c r="L322" s="6" t="str">
        <f t="shared" si="4"/>
        <v>005-00000048</v>
      </c>
    </row>
    <row r="323" spans="1:12" hidden="1" x14ac:dyDescent="0.25">
      <c r="A323" s="130" t="s">
        <v>455</v>
      </c>
      <c r="B323" s="130" t="s">
        <v>456</v>
      </c>
      <c r="C323" s="132" t="s">
        <v>150</v>
      </c>
      <c r="D323" s="129">
        <v>1</v>
      </c>
      <c r="E323" s="129">
        <v>8.8169003000000004</v>
      </c>
      <c r="F323" s="129">
        <v>8.8169003000000004</v>
      </c>
      <c r="G323" s="129">
        <v>29.66</v>
      </c>
      <c r="H323" s="129">
        <v>29.66</v>
      </c>
      <c r="I323" s="131" t="s">
        <v>87</v>
      </c>
      <c r="J323" s="132" t="s">
        <v>102</v>
      </c>
      <c r="K323" s="130" t="s">
        <v>697</v>
      </c>
      <c r="L323" s="6" t="str">
        <f t="shared" si="4"/>
        <v>005-00000168</v>
      </c>
    </row>
    <row r="324" spans="1:12" hidden="1" x14ac:dyDescent="0.25">
      <c r="A324" s="130" t="s">
        <v>495</v>
      </c>
      <c r="B324" s="130" t="s">
        <v>496</v>
      </c>
      <c r="C324" s="132" t="s">
        <v>150</v>
      </c>
      <c r="D324" s="129">
        <v>1</v>
      </c>
      <c r="E324" s="25">
        <v>19.001301000000002</v>
      </c>
      <c r="F324" s="25">
        <v>19.001301000000002</v>
      </c>
      <c r="G324" s="25">
        <v>63.559299000000003</v>
      </c>
      <c r="H324" s="25">
        <v>63.559298999999989</v>
      </c>
      <c r="I324" s="131" t="s">
        <v>87</v>
      </c>
      <c r="J324" s="132" t="s">
        <v>102</v>
      </c>
      <c r="K324" s="130" t="s">
        <v>702</v>
      </c>
      <c r="L324" s="6" t="str">
        <f t="shared" si="4"/>
        <v>005-00000163</v>
      </c>
    </row>
    <row r="325" spans="1:12" hidden="1" x14ac:dyDescent="0.25">
      <c r="A325" s="130" t="s">
        <v>502</v>
      </c>
      <c r="B325" s="130" t="s">
        <v>503</v>
      </c>
      <c r="C325" s="132" t="s">
        <v>153</v>
      </c>
      <c r="D325" s="129">
        <v>1</v>
      </c>
      <c r="E325" s="129">
        <v>27.740499</v>
      </c>
      <c r="F325" s="129">
        <v>27.740499</v>
      </c>
      <c r="G325" s="129">
        <v>93.220000999999996</v>
      </c>
      <c r="H325" s="129">
        <v>93.220000999999968</v>
      </c>
      <c r="I325" s="131" t="s">
        <v>87</v>
      </c>
      <c r="J325" s="132" t="s">
        <v>102</v>
      </c>
      <c r="K325" s="130" t="s">
        <v>623</v>
      </c>
      <c r="L325" s="6" t="str">
        <f t="shared" ref="L325:L388" si="5">CONCATENATE(J325,"-",K325)</f>
        <v>005-00000108</v>
      </c>
    </row>
    <row r="326" spans="1:12" hidden="1" x14ac:dyDescent="0.25">
      <c r="A326" s="130" t="s">
        <v>502</v>
      </c>
      <c r="B326" s="130" t="s">
        <v>503</v>
      </c>
      <c r="C326" s="132" t="s">
        <v>153</v>
      </c>
      <c r="D326" s="129">
        <v>1</v>
      </c>
      <c r="E326" s="129">
        <v>30.330798999999999</v>
      </c>
      <c r="F326" s="129">
        <v>30.330799000000003</v>
      </c>
      <c r="G326" s="129">
        <v>101.69</v>
      </c>
      <c r="H326" s="129">
        <v>101.69</v>
      </c>
      <c r="I326" s="131" t="s">
        <v>87</v>
      </c>
      <c r="J326" s="132" t="s">
        <v>102</v>
      </c>
      <c r="K326" s="130" t="s">
        <v>625</v>
      </c>
      <c r="L326" s="6" t="str">
        <f t="shared" si="5"/>
        <v>005-00000106</v>
      </c>
    </row>
    <row r="327" spans="1:12" hidden="1" x14ac:dyDescent="0.25">
      <c r="A327" s="130" t="s">
        <v>502</v>
      </c>
      <c r="B327" s="130" t="s">
        <v>503</v>
      </c>
      <c r="C327" s="132" t="s">
        <v>153</v>
      </c>
      <c r="D327" s="129">
        <v>1</v>
      </c>
      <c r="E327" s="129">
        <v>30.330798999999999</v>
      </c>
      <c r="F327" s="129">
        <v>30.330799000000003</v>
      </c>
      <c r="G327" s="129">
        <v>101.69</v>
      </c>
      <c r="H327" s="129">
        <v>101.69</v>
      </c>
      <c r="I327" s="131" t="s">
        <v>87</v>
      </c>
      <c r="J327" s="132" t="s">
        <v>102</v>
      </c>
      <c r="K327" s="130" t="s">
        <v>699</v>
      </c>
      <c r="L327" s="6" t="str">
        <f t="shared" si="5"/>
        <v>005-00000166</v>
      </c>
    </row>
    <row r="328" spans="1:12" hidden="1" x14ac:dyDescent="0.25">
      <c r="A328" s="130" t="s">
        <v>502</v>
      </c>
      <c r="B328" s="130" t="s">
        <v>503</v>
      </c>
      <c r="C328" s="132" t="s">
        <v>153</v>
      </c>
      <c r="D328" s="129">
        <v>1</v>
      </c>
      <c r="E328" s="129">
        <v>30.330798999999999</v>
      </c>
      <c r="F328" s="129">
        <v>30.330799000000003</v>
      </c>
      <c r="G328" s="129">
        <v>101.69</v>
      </c>
      <c r="H328" s="129">
        <v>101.69</v>
      </c>
      <c r="I328" s="131" t="s">
        <v>87</v>
      </c>
      <c r="J328" s="132" t="s">
        <v>102</v>
      </c>
      <c r="K328" s="130" t="s">
        <v>706</v>
      </c>
      <c r="L328" s="6" t="str">
        <f t="shared" si="5"/>
        <v>005-00000152</v>
      </c>
    </row>
    <row r="329" spans="1:12" hidden="1" x14ac:dyDescent="0.25">
      <c r="A329" s="130" t="s">
        <v>531</v>
      </c>
      <c r="B329" s="130" t="s">
        <v>532</v>
      </c>
      <c r="C329" s="132" t="s">
        <v>150</v>
      </c>
      <c r="D329" s="129">
        <v>1</v>
      </c>
      <c r="E329" s="129">
        <v>20.268000000000001</v>
      </c>
      <c r="F329" s="129">
        <v>20.268000000000001</v>
      </c>
      <c r="G329" s="129">
        <v>67.796599999999998</v>
      </c>
      <c r="H329" s="129">
        <v>67.796599999999998</v>
      </c>
      <c r="I329" s="131" t="s">
        <v>87</v>
      </c>
      <c r="J329" s="132" t="s">
        <v>102</v>
      </c>
      <c r="K329" s="130" t="s">
        <v>649</v>
      </c>
      <c r="L329" s="6" t="str">
        <f t="shared" si="5"/>
        <v>005-00000052</v>
      </c>
    </row>
    <row r="330" spans="1:12" hidden="1" x14ac:dyDescent="0.25">
      <c r="A330" s="130" t="s">
        <v>536</v>
      </c>
      <c r="B330" s="130" t="s">
        <v>537</v>
      </c>
      <c r="C330" s="132" t="s">
        <v>150</v>
      </c>
      <c r="D330" s="129">
        <v>1</v>
      </c>
      <c r="E330" s="25">
        <v>63.507197999999995</v>
      </c>
      <c r="F330" s="25">
        <v>63.507197999999988</v>
      </c>
      <c r="G330" s="25">
        <v>211.86</v>
      </c>
      <c r="H330" s="25">
        <v>211.86</v>
      </c>
      <c r="I330" s="131" t="s">
        <v>87</v>
      </c>
      <c r="J330" s="132" t="s">
        <v>102</v>
      </c>
      <c r="K330" s="130" t="s">
        <v>653</v>
      </c>
      <c r="L330" s="6" t="str">
        <f t="shared" si="5"/>
        <v>005-00000048</v>
      </c>
    </row>
    <row r="331" spans="1:12" hidden="1" x14ac:dyDescent="0.25">
      <c r="A331" s="130" t="s">
        <v>540</v>
      </c>
      <c r="B331" s="130" t="s">
        <v>541</v>
      </c>
      <c r="C331" s="132" t="s">
        <v>153</v>
      </c>
      <c r="D331" s="129">
        <v>1</v>
      </c>
      <c r="E331" s="129">
        <v>131.74229</v>
      </c>
      <c r="F331" s="129">
        <v>131.74229</v>
      </c>
      <c r="G331" s="129">
        <v>440.67788999999999</v>
      </c>
      <c r="H331" s="129">
        <v>440.67788999999988</v>
      </c>
      <c r="I331" s="131" t="s">
        <v>87</v>
      </c>
      <c r="J331" s="132" t="s">
        <v>102</v>
      </c>
      <c r="K331" s="130" t="s">
        <v>623</v>
      </c>
      <c r="L331" s="6" t="str">
        <f t="shared" si="5"/>
        <v>005-00000108</v>
      </c>
    </row>
    <row r="332" spans="1:12" hidden="1" x14ac:dyDescent="0.25">
      <c r="A332" s="130" t="s">
        <v>540</v>
      </c>
      <c r="B332" s="130" t="s">
        <v>541</v>
      </c>
      <c r="C332" s="132" t="s">
        <v>153</v>
      </c>
      <c r="D332" s="129">
        <v>1</v>
      </c>
      <c r="E332" s="129">
        <v>121.6084</v>
      </c>
      <c r="F332" s="129">
        <v>121.60840000000002</v>
      </c>
      <c r="G332" s="129">
        <v>406.78</v>
      </c>
      <c r="H332" s="129">
        <v>406.78</v>
      </c>
      <c r="I332" s="131" t="s">
        <v>87</v>
      </c>
      <c r="J332" s="132" t="s">
        <v>102</v>
      </c>
      <c r="K332" s="130" t="s">
        <v>707</v>
      </c>
      <c r="L332" s="6" t="str">
        <f t="shared" si="5"/>
        <v>005-00000151</v>
      </c>
    </row>
    <row r="333" spans="1:12" hidden="1" x14ac:dyDescent="0.25">
      <c r="A333" s="130" t="s">
        <v>542</v>
      </c>
      <c r="B333" s="130" t="s">
        <v>543</v>
      </c>
      <c r="C333" s="132" t="s">
        <v>153</v>
      </c>
      <c r="D333" s="129">
        <v>1</v>
      </c>
      <c r="E333" s="129">
        <v>1.5112999999999999</v>
      </c>
      <c r="F333" s="129">
        <v>1.5112999999999999</v>
      </c>
      <c r="G333" s="129">
        <v>5.0840000999999999</v>
      </c>
      <c r="H333" s="129">
        <v>5.0840000999999999</v>
      </c>
      <c r="I333" s="131" t="s">
        <v>87</v>
      </c>
      <c r="J333" s="132" t="s">
        <v>102</v>
      </c>
      <c r="K333" s="130" t="s">
        <v>654</v>
      </c>
      <c r="L333" s="6" t="str">
        <f t="shared" si="5"/>
        <v>005-00000047</v>
      </c>
    </row>
    <row r="334" spans="1:12" hidden="1" x14ac:dyDescent="0.25">
      <c r="A334" s="130" t="s">
        <v>542</v>
      </c>
      <c r="B334" s="130" t="s">
        <v>543</v>
      </c>
      <c r="C334" s="132" t="s">
        <v>153</v>
      </c>
      <c r="D334" s="129">
        <v>1</v>
      </c>
      <c r="E334" s="129">
        <v>1.5112999999999999</v>
      </c>
      <c r="F334" s="129">
        <v>1.5112999999999999</v>
      </c>
      <c r="G334" s="129">
        <v>5.0840000999999999</v>
      </c>
      <c r="H334" s="129">
        <v>5.0840000999999999</v>
      </c>
      <c r="I334" s="131" t="s">
        <v>87</v>
      </c>
      <c r="J334" s="132" t="s">
        <v>102</v>
      </c>
      <c r="K334" s="130" t="s">
        <v>649</v>
      </c>
      <c r="L334" s="6" t="str">
        <f t="shared" si="5"/>
        <v>005-00000052</v>
      </c>
    </row>
    <row r="335" spans="1:12" hidden="1" x14ac:dyDescent="0.25">
      <c r="A335" s="130" t="s">
        <v>548</v>
      </c>
      <c r="B335" s="130" t="s">
        <v>549</v>
      </c>
      <c r="C335" s="132" t="s">
        <v>150</v>
      </c>
      <c r="D335" s="129">
        <v>1</v>
      </c>
      <c r="E335" s="25">
        <v>24.133199999999999</v>
      </c>
      <c r="F335" s="25">
        <v>24.133199999999999</v>
      </c>
      <c r="G335" s="25">
        <v>80.508399999999995</v>
      </c>
      <c r="H335" s="25">
        <v>80.508399999999995</v>
      </c>
      <c r="I335" s="131" t="s">
        <v>87</v>
      </c>
      <c r="J335" s="132" t="s">
        <v>102</v>
      </c>
      <c r="K335" s="130" t="s">
        <v>633</v>
      </c>
      <c r="L335" s="6" t="str">
        <f t="shared" si="5"/>
        <v>005-00000069</v>
      </c>
    </row>
    <row r="336" spans="1:12" hidden="1" x14ac:dyDescent="0.25">
      <c r="A336" s="130" t="s">
        <v>546</v>
      </c>
      <c r="B336" s="130" t="s">
        <v>547</v>
      </c>
      <c r="C336" s="132" t="s">
        <v>153</v>
      </c>
      <c r="D336" s="129">
        <v>1</v>
      </c>
      <c r="E336" s="129">
        <v>22.801201000000002</v>
      </c>
      <c r="F336" s="129">
        <v>22.801201000000002</v>
      </c>
      <c r="G336" s="129">
        <v>76.269997000000004</v>
      </c>
      <c r="H336" s="129">
        <v>76.269997000000004</v>
      </c>
      <c r="I336" s="131" t="s">
        <v>87</v>
      </c>
      <c r="J336" s="132" t="s">
        <v>102</v>
      </c>
      <c r="K336" s="130" t="s">
        <v>625</v>
      </c>
      <c r="L336" s="6" t="str">
        <f t="shared" si="5"/>
        <v>005-00000106</v>
      </c>
    </row>
    <row r="337" spans="1:12" hidden="1" x14ac:dyDescent="0.25">
      <c r="A337" s="130" t="s">
        <v>546</v>
      </c>
      <c r="B337" s="130" t="s">
        <v>547</v>
      </c>
      <c r="C337" s="132" t="s">
        <v>153</v>
      </c>
      <c r="D337" s="129">
        <v>1</v>
      </c>
      <c r="E337" s="129">
        <v>22.801201000000002</v>
      </c>
      <c r="F337" s="129">
        <v>22.801201000000002</v>
      </c>
      <c r="G337" s="129">
        <v>76.269997000000004</v>
      </c>
      <c r="H337" s="129">
        <v>76.269997000000004</v>
      </c>
      <c r="I337" s="131" t="s">
        <v>87</v>
      </c>
      <c r="J337" s="132" t="s">
        <v>102</v>
      </c>
      <c r="K337" s="130" t="s">
        <v>699</v>
      </c>
      <c r="L337" s="6" t="str">
        <f t="shared" si="5"/>
        <v>005-00000166</v>
      </c>
    </row>
    <row r="338" spans="1:12" hidden="1" x14ac:dyDescent="0.25">
      <c r="A338" s="130" t="s">
        <v>552</v>
      </c>
      <c r="B338" s="130" t="s">
        <v>553</v>
      </c>
      <c r="C338" s="132" t="s">
        <v>150</v>
      </c>
      <c r="D338" s="129">
        <v>1</v>
      </c>
      <c r="E338" s="25">
        <v>98.654701000000003</v>
      </c>
      <c r="F338" s="25">
        <v>98.654700999999989</v>
      </c>
      <c r="G338" s="25">
        <v>330</v>
      </c>
      <c r="H338" s="25">
        <v>330</v>
      </c>
      <c r="I338" s="131" t="s">
        <v>87</v>
      </c>
      <c r="J338" s="132" t="s">
        <v>102</v>
      </c>
      <c r="K338" s="130" t="s">
        <v>626</v>
      </c>
      <c r="L338" s="6" t="str">
        <f t="shared" si="5"/>
        <v>005-00000105</v>
      </c>
    </row>
    <row r="339" spans="1:12" hidden="1" x14ac:dyDescent="0.25">
      <c r="A339" s="130" t="s">
        <v>564</v>
      </c>
      <c r="B339" s="130" t="s">
        <v>565</v>
      </c>
      <c r="C339" s="132" t="s">
        <v>150</v>
      </c>
      <c r="D339" s="129">
        <v>1</v>
      </c>
      <c r="E339" s="129">
        <v>27.868499999999997</v>
      </c>
      <c r="F339" s="129">
        <v>27.868499999999997</v>
      </c>
      <c r="G339" s="129">
        <v>93.220298999999997</v>
      </c>
      <c r="H339" s="129">
        <v>93.220298999999997</v>
      </c>
      <c r="I339" s="131" t="s">
        <v>87</v>
      </c>
      <c r="J339" s="132" t="s">
        <v>102</v>
      </c>
      <c r="K339" s="130" t="s">
        <v>622</v>
      </c>
      <c r="L339" s="6" t="str">
        <f t="shared" si="5"/>
        <v>005-00000109</v>
      </c>
    </row>
    <row r="340" spans="1:12" hidden="1" x14ac:dyDescent="0.25">
      <c r="A340" s="130" t="s">
        <v>566</v>
      </c>
      <c r="B340" s="130" t="s">
        <v>410</v>
      </c>
      <c r="C340" s="132" t="s">
        <v>150</v>
      </c>
      <c r="D340" s="129">
        <v>1</v>
      </c>
      <c r="E340" s="129">
        <v>20.268000000000001</v>
      </c>
      <c r="F340" s="129">
        <v>20.268000000000001</v>
      </c>
      <c r="G340" s="129">
        <v>67.796599999999998</v>
      </c>
      <c r="H340" s="129">
        <v>67.796599999999998</v>
      </c>
      <c r="I340" s="131" t="s">
        <v>87</v>
      </c>
      <c r="J340" s="132" t="s">
        <v>102</v>
      </c>
      <c r="K340" s="130" t="s">
        <v>698</v>
      </c>
      <c r="L340" s="6" t="str">
        <f t="shared" si="5"/>
        <v>005-00000167</v>
      </c>
    </row>
    <row r="341" spans="1:12" hidden="1" x14ac:dyDescent="0.25">
      <c r="A341" s="130" t="s">
        <v>566</v>
      </c>
      <c r="B341" s="130" t="s">
        <v>410</v>
      </c>
      <c r="C341" s="132" t="s">
        <v>150</v>
      </c>
      <c r="D341" s="129">
        <v>1</v>
      </c>
      <c r="E341" s="129">
        <v>30.402100000000001</v>
      </c>
      <c r="F341" s="129">
        <v>30.402100000000004</v>
      </c>
      <c r="G341" s="129">
        <v>101.6949</v>
      </c>
      <c r="H341" s="129">
        <v>101.69489999999998</v>
      </c>
      <c r="I341" s="131" t="s">
        <v>87</v>
      </c>
      <c r="J341" s="132" t="s">
        <v>102</v>
      </c>
      <c r="K341" s="130" t="s">
        <v>706</v>
      </c>
      <c r="L341" s="6" t="str">
        <f t="shared" si="5"/>
        <v>005-00000152</v>
      </c>
    </row>
    <row r="342" spans="1:12" hidden="1" x14ac:dyDescent="0.25">
      <c r="A342" s="130" t="s">
        <v>566</v>
      </c>
      <c r="B342" s="130" t="s">
        <v>410</v>
      </c>
      <c r="C342" s="132" t="s">
        <v>150</v>
      </c>
      <c r="D342" s="129">
        <v>1</v>
      </c>
      <c r="E342" s="129">
        <v>25.335100000000001</v>
      </c>
      <c r="F342" s="129">
        <v>25.335100000000001</v>
      </c>
      <c r="G342" s="129">
        <v>84.745795999999984</v>
      </c>
      <c r="H342" s="129">
        <v>84.74579599999997</v>
      </c>
      <c r="I342" s="131" t="s">
        <v>87</v>
      </c>
      <c r="J342" s="132" t="s">
        <v>102</v>
      </c>
      <c r="K342" s="130" t="s">
        <v>622</v>
      </c>
      <c r="L342" s="6" t="str">
        <f t="shared" si="5"/>
        <v>005-00000109</v>
      </c>
    </row>
    <row r="343" spans="1:12" hidden="1" x14ac:dyDescent="0.25">
      <c r="A343" s="130" t="s">
        <v>573</v>
      </c>
      <c r="B343" s="130" t="s">
        <v>574</v>
      </c>
      <c r="C343" s="132" t="s">
        <v>150</v>
      </c>
      <c r="D343" s="129">
        <v>1</v>
      </c>
      <c r="E343" s="25">
        <v>12.681800000000001</v>
      </c>
      <c r="F343" s="25">
        <v>12.681800000000001</v>
      </c>
      <c r="G343" s="25">
        <v>42.369999</v>
      </c>
      <c r="H343" s="25">
        <v>42.369998999999986</v>
      </c>
      <c r="I343" s="131" t="s">
        <v>87</v>
      </c>
      <c r="J343" s="132" t="s">
        <v>102</v>
      </c>
      <c r="K343" s="130" t="s">
        <v>708</v>
      </c>
      <c r="L343" s="6" t="str">
        <f t="shared" si="5"/>
        <v>005-00000089</v>
      </c>
    </row>
    <row r="344" spans="1:12" hidden="1" x14ac:dyDescent="0.25">
      <c r="A344" s="130" t="s">
        <v>585</v>
      </c>
      <c r="B344" s="130" t="s">
        <v>586</v>
      </c>
      <c r="C344" s="132" t="s">
        <v>150</v>
      </c>
      <c r="D344" s="129">
        <v>1</v>
      </c>
      <c r="E344" s="129">
        <v>7.5994000000000002</v>
      </c>
      <c r="F344" s="129">
        <v>7.5994000000000002</v>
      </c>
      <c r="G344" s="129">
        <v>25.42</v>
      </c>
      <c r="H344" s="129">
        <v>25.42</v>
      </c>
      <c r="I344" s="131" t="s">
        <v>87</v>
      </c>
      <c r="J344" s="132" t="s">
        <v>102</v>
      </c>
      <c r="K344" s="130" t="s">
        <v>698</v>
      </c>
      <c r="L344" s="6" t="str">
        <f t="shared" si="5"/>
        <v>005-00000167</v>
      </c>
    </row>
    <row r="345" spans="1:12" hidden="1" x14ac:dyDescent="0.25">
      <c r="A345" s="130" t="s">
        <v>585</v>
      </c>
      <c r="B345" s="130" t="s">
        <v>586</v>
      </c>
      <c r="C345" s="132" t="s">
        <v>150</v>
      </c>
      <c r="D345" s="129">
        <v>1</v>
      </c>
      <c r="E345" s="129">
        <v>7.5994000000000002</v>
      </c>
      <c r="F345" s="129">
        <v>7.5994000000000002</v>
      </c>
      <c r="G345" s="129">
        <v>25.42</v>
      </c>
      <c r="H345" s="129">
        <v>25.42</v>
      </c>
      <c r="I345" s="131" t="s">
        <v>87</v>
      </c>
      <c r="J345" s="132" t="s">
        <v>102</v>
      </c>
      <c r="K345" s="130" t="s">
        <v>622</v>
      </c>
      <c r="L345" s="6" t="str">
        <f t="shared" si="5"/>
        <v>005-00000109</v>
      </c>
    </row>
    <row r="346" spans="1:12" hidden="1" x14ac:dyDescent="0.25">
      <c r="A346" s="130" t="s">
        <v>616</v>
      </c>
      <c r="B346" s="130" t="s">
        <v>602</v>
      </c>
      <c r="C346" s="132" t="s">
        <v>150</v>
      </c>
      <c r="D346" s="129">
        <v>1</v>
      </c>
      <c r="E346" s="25">
        <v>21.534800000000001</v>
      </c>
      <c r="F346" s="25">
        <v>21.534799999999997</v>
      </c>
      <c r="G346" s="25">
        <v>72.033896999999996</v>
      </c>
      <c r="H346" s="25">
        <v>72.033896999999996</v>
      </c>
      <c r="I346" s="131" t="s">
        <v>87</v>
      </c>
      <c r="J346" s="132" t="s">
        <v>102</v>
      </c>
      <c r="K346" s="130" t="s">
        <v>649</v>
      </c>
      <c r="L346" s="6" t="str">
        <f t="shared" si="5"/>
        <v>005-00000052</v>
      </c>
    </row>
    <row r="347" spans="1:12" hidden="1" x14ac:dyDescent="0.25">
      <c r="A347" s="130" t="s">
        <v>714</v>
      </c>
      <c r="B347" s="130" t="s">
        <v>715</v>
      </c>
      <c r="C347" s="132" t="s">
        <v>150</v>
      </c>
      <c r="D347" s="129">
        <v>1</v>
      </c>
      <c r="E347" s="129">
        <v>48.137501</v>
      </c>
      <c r="F347" s="129">
        <v>48.137501</v>
      </c>
      <c r="G347" s="129">
        <v>161.02000000000001</v>
      </c>
      <c r="H347" s="129">
        <v>161.02000000000001</v>
      </c>
      <c r="I347" s="131" t="s">
        <v>87</v>
      </c>
      <c r="J347" s="132" t="s">
        <v>102</v>
      </c>
      <c r="K347" s="130" t="s">
        <v>626</v>
      </c>
      <c r="L347" s="6" t="str">
        <f t="shared" si="5"/>
        <v>005-00000105</v>
      </c>
    </row>
    <row r="348" spans="1:12" hidden="1" x14ac:dyDescent="0.25">
      <c r="A348" s="130" t="s">
        <v>725</v>
      </c>
      <c r="B348" s="130" t="s">
        <v>726</v>
      </c>
      <c r="C348" s="132" t="s">
        <v>150</v>
      </c>
      <c r="D348" s="129">
        <v>2</v>
      </c>
      <c r="E348" s="129">
        <v>15.201000000000001</v>
      </c>
      <c r="F348" s="129">
        <v>30.402000000000001</v>
      </c>
      <c r="G348" s="129">
        <v>50.847400999999998</v>
      </c>
      <c r="H348" s="129">
        <v>101.69480199999998</v>
      </c>
      <c r="I348" s="131" t="s">
        <v>87</v>
      </c>
      <c r="J348" s="132" t="s">
        <v>102</v>
      </c>
      <c r="K348" s="130" t="s">
        <v>623</v>
      </c>
      <c r="L348" s="6" t="str">
        <f t="shared" si="5"/>
        <v>005-00000108</v>
      </c>
    </row>
    <row r="349" spans="1:12" hidden="1" x14ac:dyDescent="0.25">
      <c r="A349" s="130" t="s">
        <v>727</v>
      </c>
      <c r="B349" s="130" t="s">
        <v>728</v>
      </c>
      <c r="C349" s="132" t="s">
        <v>150</v>
      </c>
      <c r="D349" s="129">
        <v>1</v>
      </c>
      <c r="E349" s="129">
        <v>25.407699999999998</v>
      </c>
      <c r="F349" s="129">
        <v>25.407699999999998</v>
      </c>
      <c r="G349" s="129">
        <v>84.760002</v>
      </c>
      <c r="H349" s="129">
        <v>84.760002</v>
      </c>
      <c r="I349" s="131" t="s">
        <v>87</v>
      </c>
      <c r="J349" s="132" t="s">
        <v>102</v>
      </c>
      <c r="K349" s="130" t="s">
        <v>654</v>
      </c>
      <c r="L349" s="6" t="str">
        <f t="shared" si="5"/>
        <v>005-00000047</v>
      </c>
    </row>
    <row r="350" spans="1:12" hidden="1" x14ac:dyDescent="0.25">
      <c r="A350" s="130" t="s">
        <v>731</v>
      </c>
      <c r="B350" s="130" t="s">
        <v>732</v>
      </c>
      <c r="C350" s="132" t="s">
        <v>153</v>
      </c>
      <c r="D350" s="129">
        <v>1</v>
      </c>
      <c r="E350" s="25">
        <v>73.470900999999998</v>
      </c>
      <c r="F350" s="25">
        <v>73.470900999999998</v>
      </c>
      <c r="G350" s="25">
        <v>245.75998999999999</v>
      </c>
      <c r="H350" s="25">
        <v>245.75998999999996</v>
      </c>
      <c r="I350" s="131" t="s">
        <v>87</v>
      </c>
      <c r="J350" s="132" t="s">
        <v>102</v>
      </c>
      <c r="K350" s="130" t="s">
        <v>697</v>
      </c>
      <c r="L350" s="6" t="str">
        <f t="shared" si="5"/>
        <v>005-00000168</v>
      </c>
    </row>
    <row r="351" spans="1:12" hidden="1" x14ac:dyDescent="0.25">
      <c r="A351" s="130" t="s">
        <v>1073</v>
      </c>
      <c r="B351" s="130" t="s">
        <v>1074</v>
      </c>
      <c r="C351" s="132" t="s">
        <v>153</v>
      </c>
      <c r="D351" s="129">
        <v>1</v>
      </c>
      <c r="E351" s="129">
        <v>32.935699</v>
      </c>
      <c r="F351" s="129">
        <v>32.935699</v>
      </c>
      <c r="G351" s="129">
        <v>110.17</v>
      </c>
      <c r="H351" s="129">
        <v>110.17</v>
      </c>
      <c r="I351" s="131" t="s">
        <v>87</v>
      </c>
      <c r="J351" s="132" t="s">
        <v>102</v>
      </c>
      <c r="K351" s="130" t="s">
        <v>624</v>
      </c>
      <c r="L351" s="6" t="str">
        <f t="shared" si="5"/>
        <v>005-00000107</v>
      </c>
    </row>
    <row r="352" spans="1:12" hidden="1" x14ac:dyDescent="0.25">
      <c r="A352" s="130" t="s">
        <v>1075</v>
      </c>
      <c r="B352" s="130" t="s">
        <v>1076</v>
      </c>
      <c r="C352" s="132" t="s">
        <v>150</v>
      </c>
      <c r="D352" s="129">
        <v>1</v>
      </c>
      <c r="E352" s="129">
        <v>8.8171996999999998</v>
      </c>
      <c r="F352" s="129">
        <v>8.8171996999999998</v>
      </c>
      <c r="G352" s="129">
        <v>29.660999</v>
      </c>
      <c r="H352" s="129">
        <v>29.660999000000007</v>
      </c>
      <c r="I352" s="131" t="s">
        <v>87</v>
      </c>
      <c r="J352" s="132" t="s">
        <v>102</v>
      </c>
      <c r="K352" s="130" t="s">
        <v>654</v>
      </c>
      <c r="L352" s="6" t="str">
        <f t="shared" si="5"/>
        <v>005-00000047</v>
      </c>
    </row>
    <row r="353" spans="1:12" hidden="1" x14ac:dyDescent="0.25">
      <c r="A353" s="130" t="s">
        <v>1063</v>
      </c>
      <c r="B353" s="130" t="s">
        <v>1064</v>
      </c>
      <c r="C353" s="132" t="s">
        <v>150</v>
      </c>
      <c r="D353" s="129">
        <v>1</v>
      </c>
      <c r="E353" s="129">
        <v>8.6112003000000001</v>
      </c>
      <c r="F353" s="129">
        <v>8.6112003000000001</v>
      </c>
      <c r="G353" s="129">
        <v>28.77</v>
      </c>
      <c r="H353" s="129">
        <v>28.77</v>
      </c>
      <c r="I353" s="131" t="s">
        <v>87</v>
      </c>
      <c r="J353" s="132" t="s">
        <v>102</v>
      </c>
      <c r="K353" s="130" t="s">
        <v>700</v>
      </c>
      <c r="L353" s="6" t="str">
        <f t="shared" si="5"/>
        <v>005-00000165</v>
      </c>
    </row>
    <row r="354" spans="1:12" hidden="1" x14ac:dyDescent="0.25">
      <c r="A354" s="130" t="s">
        <v>1063</v>
      </c>
      <c r="B354" s="130" t="s">
        <v>1064</v>
      </c>
      <c r="C354" s="132" t="s">
        <v>150</v>
      </c>
      <c r="D354" s="129">
        <v>1</v>
      </c>
      <c r="E354" s="25">
        <v>17.4529</v>
      </c>
      <c r="F354" s="25">
        <v>17.4529</v>
      </c>
      <c r="G354" s="25">
        <v>58.310001</v>
      </c>
      <c r="H354" s="25">
        <v>58.310001</v>
      </c>
      <c r="I354" s="131" t="s">
        <v>87</v>
      </c>
      <c r="J354" s="132" t="s">
        <v>102</v>
      </c>
      <c r="K354" s="130" t="s">
        <v>706</v>
      </c>
      <c r="L354" s="6" t="str">
        <f t="shared" si="5"/>
        <v>005-00000152</v>
      </c>
    </row>
    <row r="355" spans="1:12" hidden="1" x14ac:dyDescent="0.25">
      <c r="A355" s="130" t="s">
        <v>1063</v>
      </c>
      <c r="B355" s="130" t="s">
        <v>1064</v>
      </c>
      <c r="C355" s="132" t="s">
        <v>153</v>
      </c>
      <c r="D355" s="129">
        <v>1</v>
      </c>
      <c r="E355" s="129">
        <v>8.6112003000000001</v>
      </c>
      <c r="F355" s="129">
        <v>8.6112003000000001</v>
      </c>
      <c r="G355" s="129">
        <v>28.77</v>
      </c>
      <c r="H355" s="129">
        <v>28.77</v>
      </c>
      <c r="I355" s="131" t="s">
        <v>87</v>
      </c>
      <c r="J355" s="132" t="s">
        <v>102</v>
      </c>
      <c r="K355" s="130" t="s">
        <v>622</v>
      </c>
      <c r="L355" s="6" t="str">
        <f t="shared" si="5"/>
        <v>005-00000109</v>
      </c>
    </row>
    <row r="356" spans="1:12" hidden="1" x14ac:dyDescent="0.25">
      <c r="A356" s="130" t="s">
        <v>1065</v>
      </c>
      <c r="B356" s="130" t="s">
        <v>1066</v>
      </c>
      <c r="C356" s="132" t="s">
        <v>150</v>
      </c>
      <c r="D356" s="129">
        <v>1</v>
      </c>
      <c r="E356" s="129">
        <v>9.7157000999999994</v>
      </c>
      <c r="F356" s="129">
        <v>9.7157000999999994</v>
      </c>
      <c r="G356" s="129">
        <v>32.459999000000003</v>
      </c>
      <c r="H356" s="129">
        <v>32.459999000000003</v>
      </c>
      <c r="I356" s="131" t="s">
        <v>87</v>
      </c>
      <c r="J356" s="132" t="s">
        <v>102</v>
      </c>
      <c r="K356" s="130" t="s">
        <v>700</v>
      </c>
      <c r="L356" s="6" t="str">
        <f t="shared" si="5"/>
        <v>005-00000165</v>
      </c>
    </row>
    <row r="357" spans="1:12" hidden="1" x14ac:dyDescent="0.25">
      <c r="A357" s="130" t="s">
        <v>1065</v>
      </c>
      <c r="B357" s="130" t="s">
        <v>1066</v>
      </c>
      <c r="C357" s="132" t="s">
        <v>150</v>
      </c>
      <c r="D357" s="129">
        <v>1</v>
      </c>
      <c r="E357" s="25">
        <v>14.788999999999998</v>
      </c>
      <c r="F357" s="25">
        <v>14.788999999999996</v>
      </c>
      <c r="G357" s="25">
        <v>49.41</v>
      </c>
      <c r="H357" s="25">
        <v>49.41</v>
      </c>
      <c r="I357" s="131" t="s">
        <v>87</v>
      </c>
      <c r="J357" s="132" t="s">
        <v>102</v>
      </c>
      <c r="K357" s="130" t="s">
        <v>706</v>
      </c>
      <c r="L357" s="6" t="str">
        <f t="shared" si="5"/>
        <v>005-00000152</v>
      </c>
    </row>
    <row r="358" spans="1:12" hidden="1" x14ac:dyDescent="0.25">
      <c r="A358" s="130" t="s">
        <v>1065</v>
      </c>
      <c r="B358" s="130" t="s">
        <v>1066</v>
      </c>
      <c r="C358" s="132" t="s">
        <v>153</v>
      </c>
      <c r="D358" s="129">
        <v>1</v>
      </c>
      <c r="E358" s="129">
        <v>9.7157000999999994</v>
      </c>
      <c r="F358" s="129">
        <v>9.7157000999999994</v>
      </c>
      <c r="G358" s="129">
        <v>32.459999000000003</v>
      </c>
      <c r="H358" s="129">
        <v>32.459999000000003</v>
      </c>
      <c r="I358" s="131" t="s">
        <v>87</v>
      </c>
      <c r="J358" s="132" t="s">
        <v>102</v>
      </c>
      <c r="K358" s="130" t="s">
        <v>622</v>
      </c>
      <c r="L358" s="6" t="str">
        <f t="shared" si="5"/>
        <v>005-00000109</v>
      </c>
    </row>
    <row r="359" spans="1:12" hidden="1" x14ac:dyDescent="0.25">
      <c r="A359" s="130" t="s">
        <v>1077</v>
      </c>
      <c r="B359" s="130" t="s">
        <v>1078</v>
      </c>
      <c r="C359" s="132" t="s">
        <v>150</v>
      </c>
      <c r="D359" s="129">
        <v>1</v>
      </c>
      <c r="E359" s="129">
        <v>9.3325005000000001</v>
      </c>
      <c r="F359" s="129">
        <v>9.3325005000000001</v>
      </c>
      <c r="G359" s="129">
        <v>31.18</v>
      </c>
      <c r="H359" s="129">
        <v>31.18</v>
      </c>
      <c r="I359" s="131" t="s">
        <v>87</v>
      </c>
      <c r="J359" s="132" t="s">
        <v>102</v>
      </c>
      <c r="K359" s="130" t="s">
        <v>624</v>
      </c>
      <c r="L359" s="6" t="str">
        <f t="shared" si="5"/>
        <v>005-00000107</v>
      </c>
    </row>
    <row r="360" spans="1:12" hidden="1" x14ac:dyDescent="0.25">
      <c r="A360" s="130" t="s">
        <v>1061</v>
      </c>
      <c r="B360" s="130" t="s">
        <v>1062</v>
      </c>
      <c r="C360" s="132" t="s">
        <v>226</v>
      </c>
      <c r="D360" s="129">
        <v>1</v>
      </c>
      <c r="E360" s="129">
        <v>61.45999900000001</v>
      </c>
      <c r="F360" s="129">
        <v>61.459999000000018</v>
      </c>
      <c r="G360" s="129">
        <v>205.7312</v>
      </c>
      <c r="H360" s="129">
        <v>205.73119999999994</v>
      </c>
      <c r="I360" s="131" t="s">
        <v>87</v>
      </c>
      <c r="J360" s="132" t="s">
        <v>102</v>
      </c>
      <c r="K360" s="130" t="s">
        <v>700</v>
      </c>
      <c r="L360" s="6" t="str">
        <f t="shared" si="5"/>
        <v>005-00000165</v>
      </c>
    </row>
    <row r="361" spans="1:12" hidden="1" x14ac:dyDescent="0.25">
      <c r="A361" s="130" t="s">
        <v>1061</v>
      </c>
      <c r="B361" s="130" t="s">
        <v>1062</v>
      </c>
      <c r="C361" s="132" t="s">
        <v>226</v>
      </c>
      <c r="D361" s="129">
        <v>1</v>
      </c>
      <c r="E361" s="25">
        <v>61.45999900000001</v>
      </c>
      <c r="F361" s="25">
        <v>61.459999000000018</v>
      </c>
      <c r="G361" s="25">
        <v>205.7312</v>
      </c>
      <c r="H361" s="25">
        <v>205.73119999999994</v>
      </c>
      <c r="I361" s="131" t="s">
        <v>87</v>
      </c>
      <c r="J361" s="132" t="s">
        <v>102</v>
      </c>
      <c r="K361" s="130" t="s">
        <v>622</v>
      </c>
      <c r="L361" s="6" t="str">
        <f t="shared" si="5"/>
        <v>005-00000109</v>
      </c>
    </row>
    <row r="362" spans="1:12" hidden="1" x14ac:dyDescent="0.25">
      <c r="A362" s="130" t="s">
        <v>1061</v>
      </c>
      <c r="B362" s="130" t="s">
        <v>1062</v>
      </c>
      <c r="C362" s="132" t="s">
        <v>226</v>
      </c>
      <c r="D362" s="129">
        <v>1</v>
      </c>
      <c r="E362" s="129">
        <v>61.45999900000001</v>
      </c>
      <c r="F362" s="129">
        <v>61.459999000000018</v>
      </c>
      <c r="G362" s="129">
        <v>205.7312</v>
      </c>
      <c r="H362" s="129">
        <v>205.73119999999994</v>
      </c>
      <c r="I362" s="131" t="s">
        <v>87</v>
      </c>
      <c r="J362" s="132" t="s">
        <v>102</v>
      </c>
      <c r="K362" s="130" t="s">
        <v>706</v>
      </c>
      <c r="L362" s="6" t="str">
        <f t="shared" si="5"/>
        <v>005-00000152</v>
      </c>
    </row>
    <row r="363" spans="1:12" hidden="1" x14ac:dyDescent="0.25">
      <c r="A363" s="130" t="s">
        <v>1079</v>
      </c>
      <c r="B363" s="130" t="s">
        <v>1080</v>
      </c>
      <c r="C363" s="132" t="s">
        <v>153</v>
      </c>
      <c r="D363" s="129">
        <v>1</v>
      </c>
      <c r="E363" s="129">
        <v>9.3006001000000005</v>
      </c>
      <c r="F363" s="129">
        <v>9.3006001000000005</v>
      </c>
      <c r="G363" s="129">
        <v>31.18</v>
      </c>
      <c r="H363" s="129">
        <v>31.18</v>
      </c>
      <c r="I363" s="131" t="s">
        <v>87</v>
      </c>
      <c r="J363" s="132" t="s">
        <v>102</v>
      </c>
      <c r="K363" s="130" t="s">
        <v>626</v>
      </c>
      <c r="L363" s="6" t="str">
        <f t="shared" si="5"/>
        <v>005-00000105</v>
      </c>
    </row>
    <row r="364" spans="1:12" hidden="1" x14ac:dyDescent="0.25">
      <c r="A364" s="130" t="s">
        <v>1081</v>
      </c>
      <c r="B364" s="130" t="s">
        <v>1010</v>
      </c>
      <c r="C364" s="132" t="s">
        <v>153</v>
      </c>
      <c r="D364" s="129">
        <v>1</v>
      </c>
      <c r="E364" s="25">
        <v>58.271999000000008</v>
      </c>
      <c r="F364" s="25">
        <v>58.271998999999994</v>
      </c>
      <c r="G364" s="25">
        <v>194.92</v>
      </c>
      <c r="H364" s="25">
        <v>194.92</v>
      </c>
      <c r="I364" s="131" t="s">
        <v>87</v>
      </c>
      <c r="J364" s="132" t="s">
        <v>102</v>
      </c>
      <c r="K364" s="130" t="s">
        <v>626</v>
      </c>
      <c r="L364" s="6" t="str">
        <f t="shared" si="5"/>
        <v>005-00000105</v>
      </c>
    </row>
    <row r="365" spans="1:12" hidden="1" x14ac:dyDescent="0.25">
      <c r="A365" s="130" t="s">
        <v>1082</v>
      </c>
      <c r="B365" s="130" t="s">
        <v>1083</v>
      </c>
      <c r="C365" s="132" t="s">
        <v>150</v>
      </c>
      <c r="D365" s="129">
        <v>1</v>
      </c>
      <c r="E365" s="129">
        <v>54.539200000000001</v>
      </c>
      <c r="F365" s="129">
        <v>54.539200000000008</v>
      </c>
      <c r="G365" s="129">
        <v>182.20339999999999</v>
      </c>
      <c r="H365" s="129">
        <v>182.20339999999996</v>
      </c>
      <c r="I365" s="131" t="s">
        <v>87</v>
      </c>
      <c r="J365" s="132" t="s">
        <v>102</v>
      </c>
      <c r="K365" s="130" t="s">
        <v>625</v>
      </c>
      <c r="L365" s="6" t="str">
        <f t="shared" si="5"/>
        <v>005-00000106</v>
      </c>
    </row>
    <row r="366" spans="1:12" hidden="1" x14ac:dyDescent="0.25">
      <c r="A366" s="130" t="s">
        <v>1082</v>
      </c>
      <c r="B366" s="130" t="s">
        <v>1083</v>
      </c>
      <c r="C366" s="132" t="s">
        <v>150</v>
      </c>
      <c r="D366" s="129">
        <v>1</v>
      </c>
      <c r="E366" s="129">
        <v>54.539200000000001</v>
      </c>
      <c r="F366" s="129">
        <v>54.539200000000008</v>
      </c>
      <c r="G366" s="129">
        <v>182.20339999999999</v>
      </c>
      <c r="H366" s="129">
        <v>182.20339999999996</v>
      </c>
      <c r="I366" s="131" t="s">
        <v>87</v>
      </c>
      <c r="J366" s="132" t="s">
        <v>102</v>
      </c>
      <c r="K366" s="130" t="s">
        <v>624</v>
      </c>
      <c r="L366" s="6" t="str">
        <f t="shared" si="5"/>
        <v>005-00000107</v>
      </c>
    </row>
    <row r="367" spans="1:12" hidden="1" x14ac:dyDescent="0.25">
      <c r="A367" s="130" t="s">
        <v>1082</v>
      </c>
      <c r="B367" s="130" t="s">
        <v>1083</v>
      </c>
      <c r="C367" s="132" t="s">
        <v>150</v>
      </c>
      <c r="D367" s="129">
        <v>1</v>
      </c>
      <c r="E367" s="25">
        <v>54.539200000000001</v>
      </c>
      <c r="F367" s="25">
        <v>54.539200000000008</v>
      </c>
      <c r="G367" s="25">
        <v>182.20339999999999</v>
      </c>
      <c r="H367" s="25">
        <v>182.20339999999996</v>
      </c>
      <c r="I367" s="131" t="s">
        <v>87</v>
      </c>
      <c r="J367" s="132" t="s">
        <v>102</v>
      </c>
      <c r="K367" s="130" t="s">
        <v>700</v>
      </c>
      <c r="L367" s="6" t="str">
        <f t="shared" si="5"/>
        <v>005-00000165</v>
      </c>
    </row>
    <row r="368" spans="1:12" hidden="1" x14ac:dyDescent="0.25">
      <c r="A368" s="130" t="s">
        <v>1082</v>
      </c>
      <c r="B368" s="130" t="s">
        <v>1083</v>
      </c>
      <c r="C368" s="132" t="s">
        <v>150</v>
      </c>
      <c r="D368" s="129">
        <v>1</v>
      </c>
      <c r="E368" s="129">
        <v>54.539200000000001</v>
      </c>
      <c r="F368" s="129">
        <v>54.539200000000008</v>
      </c>
      <c r="G368" s="129">
        <v>182.20339999999999</v>
      </c>
      <c r="H368" s="129">
        <v>182.20339999999996</v>
      </c>
      <c r="I368" s="131" t="s">
        <v>87</v>
      </c>
      <c r="J368" s="132" t="s">
        <v>102</v>
      </c>
      <c r="K368" s="130" t="s">
        <v>626</v>
      </c>
      <c r="L368" s="6" t="str">
        <f t="shared" si="5"/>
        <v>005-00000105</v>
      </c>
    </row>
    <row r="369" spans="1:12" hidden="1" x14ac:dyDescent="0.25">
      <c r="A369" s="130" t="s">
        <v>1082</v>
      </c>
      <c r="B369" s="130" t="s">
        <v>1083</v>
      </c>
      <c r="C369" s="132" t="s">
        <v>150</v>
      </c>
      <c r="D369" s="129">
        <v>1</v>
      </c>
      <c r="E369" s="129">
        <v>54.539200000000001</v>
      </c>
      <c r="F369" s="129">
        <v>54.539200000000008</v>
      </c>
      <c r="G369" s="129">
        <v>182.20339999999999</v>
      </c>
      <c r="H369" s="129">
        <v>182.20339999999996</v>
      </c>
      <c r="I369" s="131" t="s">
        <v>87</v>
      </c>
      <c r="J369" s="132" t="s">
        <v>102</v>
      </c>
      <c r="K369" s="130" t="s">
        <v>699</v>
      </c>
      <c r="L369" s="6" t="str">
        <f t="shared" si="5"/>
        <v>005-00000166</v>
      </c>
    </row>
    <row r="370" spans="1:12" hidden="1" x14ac:dyDescent="0.25">
      <c r="A370" s="130" t="s">
        <v>1082</v>
      </c>
      <c r="B370" s="130" t="s">
        <v>1083</v>
      </c>
      <c r="C370" s="132" t="s">
        <v>150</v>
      </c>
      <c r="D370" s="129">
        <v>1</v>
      </c>
      <c r="E370" s="129">
        <v>54.539200000000001</v>
      </c>
      <c r="F370" s="129">
        <v>54.539200000000008</v>
      </c>
      <c r="G370" s="129">
        <v>182.20339999999999</v>
      </c>
      <c r="H370" s="129">
        <v>182.20339999999996</v>
      </c>
      <c r="I370" s="131" t="s">
        <v>87</v>
      </c>
      <c r="J370" s="132" t="s">
        <v>102</v>
      </c>
      <c r="K370" s="130" t="s">
        <v>622</v>
      </c>
      <c r="L370" s="6" t="str">
        <f t="shared" si="5"/>
        <v>005-00000109</v>
      </c>
    </row>
    <row r="371" spans="1:12" hidden="1" x14ac:dyDescent="0.25">
      <c r="A371" s="130" t="s">
        <v>1082</v>
      </c>
      <c r="B371" s="130" t="s">
        <v>1083</v>
      </c>
      <c r="C371" s="132" t="s">
        <v>150</v>
      </c>
      <c r="D371" s="129">
        <v>1</v>
      </c>
      <c r="E371" s="129">
        <v>54.539200000000001</v>
      </c>
      <c r="F371" s="129">
        <v>54.539200000000008</v>
      </c>
      <c r="G371" s="129">
        <v>182.20339999999999</v>
      </c>
      <c r="H371" s="129">
        <v>182.20339999999996</v>
      </c>
      <c r="I371" s="131" t="s">
        <v>87</v>
      </c>
      <c r="J371" s="132" t="s">
        <v>102</v>
      </c>
      <c r="K371" s="130" t="s">
        <v>707</v>
      </c>
      <c r="L371" s="6" t="str">
        <f t="shared" si="5"/>
        <v>005-00000151</v>
      </c>
    </row>
    <row r="372" spans="1:12" hidden="1" x14ac:dyDescent="0.25">
      <c r="A372" s="130" t="s">
        <v>1084</v>
      </c>
      <c r="B372" s="130" t="s">
        <v>1085</v>
      </c>
      <c r="C372" s="132" t="s">
        <v>150</v>
      </c>
      <c r="D372" s="129">
        <v>1</v>
      </c>
      <c r="E372" s="129">
        <v>3.7952001000000002</v>
      </c>
      <c r="F372" s="129">
        <v>3.7952000999999997</v>
      </c>
      <c r="G372" s="129">
        <v>12.71</v>
      </c>
      <c r="H372" s="129">
        <v>12.71</v>
      </c>
      <c r="I372" s="131" t="s">
        <v>87</v>
      </c>
      <c r="J372" s="132" t="s">
        <v>102</v>
      </c>
      <c r="K372" s="130" t="s">
        <v>629</v>
      </c>
      <c r="L372" s="6" t="str">
        <f t="shared" si="5"/>
        <v>005-00000090</v>
      </c>
    </row>
    <row r="373" spans="1:12" hidden="1" x14ac:dyDescent="0.25">
      <c r="A373" s="130" t="s">
        <v>1086</v>
      </c>
      <c r="B373" s="130" t="s">
        <v>1087</v>
      </c>
      <c r="C373" s="132" t="s">
        <v>153</v>
      </c>
      <c r="D373" s="129">
        <v>1</v>
      </c>
      <c r="E373" s="129">
        <v>10.056800000000001</v>
      </c>
      <c r="F373" s="129">
        <v>10.056800000000003</v>
      </c>
      <c r="G373" s="129">
        <v>33.639999000000003</v>
      </c>
      <c r="H373" s="129">
        <v>33.639999000000003</v>
      </c>
      <c r="I373" s="131" t="s">
        <v>87</v>
      </c>
      <c r="J373" s="132" t="s">
        <v>102</v>
      </c>
      <c r="K373" s="130" t="s">
        <v>649</v>
      </c>
      <c r="L373" s="6" t="str">
        <f t="shared" si="5"/>
        <v>005-00000052</v>
      </c>
    </row>
    <row r="374" spans="1:12" hidden="1" x14ac:dyDescent="0.25">
      <c r="A374" s="130" t="s">
        <v>1088</v>
      </c>
      <c r="B374" s="130" t="s">
        <v>1089</v>
      </c>
      <c r="C374" s="132" t="s">
        <v>153</v>
      </c>
      <c r="D374" s="129">
        <v>1</v>
      </c>
      <c r="E374" s="129">
        <v>12.388600000000002</v>
      </c>
      <c r="F374" s="129">
        <v>12.388600000000004</v>
      </c>
      <c r="G374" s="129">
        <v>41.439999</v>
      </c>
      <c r="H374" s="129">
        <v>41.439998999999986</v>
      </c>
      <c r="I374" s="131" t="s">
        <v>87</v>
      </c>
      <c r="J374" s="132" t="s">
        <v>102</v>
      </c>
      <c r="K374" s="130" t="s">
        <v>649</v>
      </c>
      <c r="L374" s="6" t="str">
        <f t="shared" si="5"/>
        <v>005-00000052</v>
      </c>
    </row>
    <row r="375" spans="1:12" hidden="1" x14ac:dyDescent="0.25">
      <c r="A375" s="130" t="s">
        <v>1090</v>
      </c>
      <c r="B375" s="130" t="s">
        <v>1091</v>
      </c>
      <c r="C375" s="132" t="s">
        <v>150</v>
      </c>
      <c r="D375" s="129">
        <v>1</v>
      </c>
      <c r="E375" s="25">
        <v>74.738403000000005</v>
      </c>
      <c r="F375" s="25">
        <v>74.738403000000005</v>
      </c>
      <c r="G375" s="25">
        <v>250</v>
      </c>
      <c r="H375" s="25">
        <v>250</v>
      </c>
      <c r="I375" s="131" t="s">
        <v>87</v>
      </c>
      <c r="J375" s="132" t="s">
        <v>102</v>
      </c>
      <c r="K375" s="130" t="s">
        <v>626</v>
      </c>
      <c r="L375" s="6" t="str">
        <f t="shared" si="5"/>
        <v>005-00000105</v>
      </c>
    </row>
    <row r="376" spans="1:12" hidden="1" x14ac:dyDescent="0.25">
      <c r="A376" s="130" t="s">
        <v>1092</v>
      </c>
      <c r="B376" s="130" t="s">
        <v>1093</v>
      </c>
      <c r="C376" s="132" t="s">
        <v>226</v>
      </c>
      <c r="D376" s="129">
        <v>1</v>
      </c>
      <c r="E376" s="129">
        <v>81.292000000000002</v>
      </c>
      <c r="F376" s="129">
        <v>81.292000000000002</v>
      </c>
      <c r="G376" s="129">
        <v>271.19</v>
      </c>
      <c r="H376" s="129">
        <v>271.19</v>
      </c>
      <c r="I376" s="131" t="s">
        <v>87</v>
      </c>
      <c r="J376" s="132" t="s">
        <v>102</v>
      </c>
      <c r="K376" s="130" t="s">
        <v>631</v>
      </c>
      <c r="L376" s="6" t="str">
        <f t="shared" si="5"/>
        <v>005-00000079</v>
      </c>
    </row>
    <row r="377" spans="1:12" hidden="1" x14ac:dyDescent="0.25">
      <c r="A377" s="130" t="s">
        <v>1094</v>
      </c>
      <c r="B377" s="130" t="s">
        <v>1095</v>
      </c>
      <c r="C377" s="132" t="s">
        <v>153</v>
      </c>
      <c r="D377" s="129">
        <v>1</v>
      </c>
      <c r="E377" s="129">
        <v>14.711199999999998</v>
      </c>
      <c r="F377" s="129">
        <v>14.711199999999998</v>
      </c>
      <c r="G377" s="129">
        <v>49.150002000000001</v>
      </c>
      <c r="H377" s="129">
        <v>49.150002000000015</v>
      </c>
      <c r="I377" s="131" t="s">
        <v>87</v>
      </c>
      <c r="J377" s="132" t="s">
        <v>102</v>
      </c>
      <c r="K377" s="130" t="s">
        <v>707</v>
      </c>
      <c r="L377" s="6" t="str">
        <f t="shared" si="5"/>
        <v>005-00000151</v>
      </c>
    </row>
    <row r="378" spans="1:12" hidden="1" x14ac:dyDescent="0.25">
      <c r="A378" s="130" t="s">
        <v>1096</v>
      </c>
      <c r="B378" s="130" t="s">
        <v>1097</v>
      </c>
      <c r="C378" s="132" t="s">
        <v>153</v>
      </c>
      <c r="D378" s="129">
        <v>1</v>
      </c>
      <c r="E378" s="129">
        <v>9.3325005000000001</v>
      </c>
      <c r="F378" s="129">
        <v>9.3325005000000001</v>
      </c>
      <c r="G378" s="129">
        <v>31.18</v>
      </c>
      <c r="H378" s="129">
        <v>31.18</v>
      </c>
      <c r="I378" s="131" t="s">
        <v>87</v>
      </c>
      <c r="J378" s="132" t="s">
        <v>102</v>
      </c>
      <c r="K378" s="130" t="s">
        <v>707</v>
      </c>
      <c r="L378" s="6" t="str">
        <f t="shared" si="5"/>
        <v>005-00000151</v>
      </c>
    </row>
    <row r="379" spans="1:12" hidden="1" x14ac:dyDescent="0.25">
      <c r="A379" s="130" t="s">
        <v>1098</v>
      </c>
      <c r="B379" s="130" t="s">
        <v>255</v>
      </c>
      <c r="C379" s="132" t="s">
        <v>150</v>
      </c>
      <c r="D379" s="129">
        <v>1</v>
      </c>
      <c r="E379" s="25">
        <v>40.536098000000003</v>
      </c>
      <c r="F379" s="25">
        <v>40.536098000000003</v>
      </c>
      <c r="G379" s="25">
        <v>135.5932</v>
      </c>
      <c r="H379" s="25">
        <v>135.5932</v>
      </c>
      <c r="I379" s="131" t="s">
        <v>87</v>
      </c>
      <c r="J379" s="132" t="s">
        <v>102</v>
      </c>
      <c r="K379" s="130" t="s">
        <v>701</v>
      </c>
      <c r="L379" s="6" t="str">
        <f t="shared" si="5"/>
        <v>005-00000164</v>
      </c>
    </row>
    <row r="380" spans="1:12" hidden="1" x14ac:dyDescent="0.25">
      <c r="A380" s="130" t="s">
        <v>1099</v>
      </c>
      <c r="B380" s="130" t="s">
        <v>1100</v>
      </c>
      <c r="C380" s="132" t="s">
        <v>153</v>
      </c>
      <c r="D380" s="129">
        <v>1</v>
      </c>
      <c r="E380" s="129">
        <v>22.801599999999997</v>
      </c>
      <c r="F380" s="129">
        <v>22.801599999999997</v>
      </c>
      <c r="G380" s="129">
        <v>76.271202000000002</v>
      </c>
      <c r="H380" s="129">
        <v>76.271202000000002</v>
      </c>
      <c r="I380" s="131" t="s">
        <v>87</v>
      </c>
      <c r="J380" s="132" t="s">
        <v>102</v>
      </c>
      <c r="K380" s="130" t="s">
        <v>700</v>
      </c>
      <c r="L380" s="6" t="str">
        <f t="shared" si="5"/>
        <v>005-00000165</v>
      </c>
    </row>
    <row r="381" spans="1:12" hidden="1" x14ac:dyDescent="0.25">
      <c r="A381" s="130" t="s">
        <v>1101</v>
      </c>
      <c r="B381" s="130" t="s">
        <v>1102</v>
      </c>
      <c r="C381" s="132" t="s">
        <v>226</v>
      </c>
      <c r="D381" s="129">
        <v>1</v>
      </c>
      <c r="E381" s="129">
        <v>69.671204000000003</v>
      </c>
      <c r="F381" s="129">
        <v>69.671204000000003</v>
      </c>
      <c r="G381" s="129">
        <v>233.05</v>
      </c>
      <c r="H381" s="129">
        <v>233.05</v>
      </c>
      <c r="I381" s="131" t="s">
        <v>87</v>
      </c>
      <c r="J381" s="132" t="s">
        <v>102</v>
      </c>
      <c r="K381" s="130" t="s">
        <v>707</v>
      </c>
      <c r="L381" s="6" t="str">
        <f t="shared" si="5"/>
        <v>005-00000151</v>
      </c>
    </row>
    <row r="382" spans="1:12" hidden="1" x14ac:dyDescent="0.25">
      <c r="A382" s="130" t="s">
        <v>1101</v>
      </c>
      <c r="B382" s="130" t="s">
        <v>1102</v>
      </c>
      <c r="C382" s="132" t="s">
        <v>226</v>
      </c>
      <c r="D382" s="129">
        <v>1</v>
      </c>
      <c r="E382" s="25">
        <v>69.031402999999997</v>
      </c>
      <c r="F382" s="25">
        <v>69.031402999999997</v>
      </c>
      <c r="G382" s="25">
        <v>233.05</v>
      </c>
      <c r="H382" s="25">
        <v>233.05</v>
      </c>
      <c r="I382" s="131" t="s">
        <v>87</v>
      </c>
      <c r="J382" s="132" t="s">
        <v>102</v>
      </c>
      <c r="K382" s="130" t="s">
        <v>699</v>
      </c>
      <c r="L382" s="6" t="str">
        <f t="shared" si="5"/>
        <v>005-00000166</v>
      </c>
    </row>
    <row r="383" spans="1:12" hidden="1" x14ac:dyDescent="0.25">
      <c r="A383" s="130" t="s">
        <v>1103</v>
      </c>
      <c r="B383" s="130" t="s">
        <v>1104</v>
      </c>
      <c r="C383" s="132" t="s">
        <v>150</v>
      </c>
      <c r="D383" s="129">
        <v>2</v>
      </c>
      <c r="E383" s="129">
        <v>17.249300000000002</v>
      </c>
      <c r="F383" s="129">
        <v>34.498600000000003</v>
      </c>
      <c r="G383" s="129">
        <v>57.630001</v>
      </c>
      <c r="H383" s="129">
        <v>115.260002</v>
      </c>
      <c r="I383" s="131" t="s">
        <v>87</v>
      </c>
      <c r="J383" s="132" t="s">
        <v>102</v>
      </c>
      <c r="K383" s="130" t="s">
        <v>653</v>
      </c>
      <c r="L383" s="6" t="str">
        <f t="shared" si="5"/>
        <v>005-00000048</v>
      </c>
    </row>
    <row r="384" spans="1:12" hidden="1" x14ac:dyDescent="0.25">
      <c r="A384" s="130" t="s">
        <v>1105</v>
      </c>
      <c r="B384" s="130" t="s">
        <v>1106</v>
      </c>
      <c r="C384" s="132" t="s">
        <v>150</v>
      </c>
      <c r="D384" s="129">
        <v>1</v>
      </c>
      <c r="E384" s="129">
        <v>27.901800000000001</v>
      </c>
      <c r="F384" s="129">
        <v>27.901800000000001</v>
      </c>
      <c r="G384" s="129">
        <v>93.220000999999996</v>
      </c>
      <c r="H384" s="129">
        <v>93.220000999999968</v>
      </c>
      <c r="I384" s="131" t="s">
        <v>87</v>
      </c>
      <c r="J384" s="132" t="s">
        <v>102</v>
      </c>
      <c r="K384" s="130" t="s">
        <v>633</v>
      </c>
      <c r="L384" s="6" t="str">
        <f t="shared" si="5"/>
        <v>005-00000069</v>
      </c>
    </row>
    <row r="385" spans="1:12" hidden="1" x14ac:dyDescent="0.25">
      <c r="A385" s="130" t="s">
        <v>1107</v>
      </c>
      <c r="B385" s="130" t="s">
        <v>1108</v>
      </c>
      <c r="C385" s="132" t="s">
        <v>150</v>
      </c>
      <c r="D385" s="129">
        <v>1</v>
      </c>
      <c r="E385" s="129">
        <v>15.881500000000001</v>
      </c>
      <c r="F385" s="129">
        <v>15.881500000000003</v>
      </c>
      <c r="G385" s="129">
        <v>53.060001</v>
      </c>
      <c r="H385" s="129">
        <v>53.060001</v>
      </c>
      <c r="I385" s="131" t="s">
        <v>87</v>
      </c>
      <c r="J385" s="132" t="s">
        <v>102</v>
      </c>
      <c r="K385" s="130" t="s">
        <v>705</v>
      </c>
      <c r="L385" s="6" t="str">
        <f t="shared" si="5"/>
        <v>005-00000157</v>
      </c>
    </row>
    <row r="386" spans="1:12" hidden="1" x14ac:dyDescent="0.25">
      <c r="A386" s="130" t="s">
        <v>1109</v>
      </c>
      <c r="B386" s="130" t="s">
        <v>1110</v>
      </c>
      <c r="C386" s="132" t="s">
        <v>153</v>
      </c>
      <c r="D386" s="129">
        <v>1</v>
      </c>
      <c r="E386" s="25">
        <v>48.137501</v>
      </c>
      <c r="F386" s="25">
        <v>48.137501</v>
      </c>
      <c r="G386" s="25">
        <v>161.02000000000001</v>
      </c>
      <c r="H386" s="25">
        <v>161.02000000000001</v>
      </c>
      <c r="I386" s="131" t="s">
        <v>87</v>
      </c>
      <c r="J386" s="132" t="s">
        <v>102</v>
      </c>
      <c r="K386" s="130" t="s">
        <v>625</v>
      </c>
      <c r="L386" s="6" t="str">
        <f t="shared" si="5"/>
        <v>005-00000106</v>
      </c>
    </row>
    <row r="387" spans="1:12" hidden="1" x14ac:dyDescent="0.25">
      <c r="A387" s="130" t="s">
        <v>1109</v>
      </c>
      <c r="B387" s="130" t="s">
        <v>1110</v>
      </c>
      <c r="C387" s="132" t="s">
        <v>153</v>
      </c>
      <c r="D387" s="129">
        <v>1</v>
      </c>
      <c r="E387" s="129">
        <v>48.137501</v>
      </c>
      <c r="F387" s="129">
        <v>48.137501</v>
      </c>
      <c r="G387" s="129">
        <v>161.02000000000001</v>
      </c>
      <c r="H387" s="129">
        <v>161.02000000000001</v>
      </c>
      <c r="I387" s="131" t="s">
        <v>87</v>
      </c>
      <c r="J387" s="132" t="s">
        <v>102</v>
      </c>
      <c r="K387" s="130" t="s">
        <v>700</v>
      </c>
      <c r="L387" s="6" t="str">
        <f t="shared" si="5"/>
        <v>005-00000165</v>
      </c>
    </row>
    <row r="388" spans="1:12" hidden="1" x14ac:dyDescent="0.25">
      <c r="A388" s="130" t="s">
        <v>735</v>
      </c>
      <c r="B388" s="130" t="s">
        <v>736</v>
      </c>
      <c r="C388" s="132" t="s">
        <v>150</v>
      </c>
      <c r="D388" s="129">
        <v>5</v>
      </c>
      <c r="E388" s="129">
        <v>8.1071997000000007</v>
      </c>
      <c r="F388" s="129">
        <v>40.535998500000005</v>
      </c>
      <c r="G388" s="129">
        <v>27.118601000000002</v>
      </c>
      <c r="H388" s="129">
        <v>135.59300500000001</v>
      </c>
      <c r="I388" s="131" t="s">
        <v>87</v>
      </c>
      <c r="J388" s="132" t="s">
        <v>102</v>
      </c>
      <c r="K388" s="130" t="s">
        <v>697</v>
      </c>
      <c r="L388" s="6" t="str">
        <f t="shared" si="5"/>
        <v>005-00000168</v>
      </c>
    </row>
    <row r="389" spans="1:12" hidden="1" x14ac:dyDescent="0.25">
      <c r="A389" s="130" t="s">
        <v>1111</v>
      </c>
      <c r="B389" s="130" t="s">
        <v>1112</v>
      </c>
      <c r="C389" s="132" t="s">
        <v>150</v>
      </c>
      <c r="D389" s="129">
        <v>5</v>
      </c>
      <c r="E389" s="129">
        <v>11.1122</v>
      </c>
      <c r="F389" s="129">
        <v>55.561000000000007</v>
      </c>
      <c r="G389" s="129">
        <v>37.125999</v>
      </c>
      <c r="H389" s="129">
        <v>185.62999500000001</v>
      </c>
      <c r="I389" s="131" t="s">
        <v>87</v>
      </c>
      <c r="J389" s="132" t="s">
        <v>102</v>
      </c>
      <c r="K389" s="130" t="s">
        <v>705</v>
      </c>
      <c r="L389" s="6" t="str">
        <f t="shared" ref="L389:L452" si="6">CONCATENATE(J389,"-",K389)</f>
        <v>005-00000157</v>
      </c>
    </row>
    <row r="390" spans="1:12" hidden="1" x14ac:dyDescent="0.25">
      <c r="A390" s="130" t="s">
        <v>249</v>
      </c>
      <c r="B390" s="130" t="s">
        <v>250</v>
      </c>
      <c r="C390" s="132" t="s">
        <v>153</v>
      </c>
      <c r="D390" s="129">
        <v>1</v>
      </c>
      <c r="E390" s="25">
        <v>15.241899999999998</v>
      </c>
      <c r="F390" s="25">
        <v>15.241899999999996</v>
      </c>
      <c r="G390" s="25">
        <v>50.847000000000001</v>
      </c>
      <c r="H390" s="25">
        <v>50.847000000000001</v>
      </c>
      <c r="I390" s="131" t="s">
        <v>87</v>
      </c>
      <c r="J390" s="132" t="s">
        <v>102</v>
      </c>
      <c r="K390" s="130" t="s">
        <v>653</v>
      </c>
      <c r="L390" s="6" t="str">
        <f t="shared" si="6"/>
        <v>005-00000048</v>
      </c>
    </row>
    <row r="391" spans="1:12" hidden="1" x14ac:dyDescent="0.25">
      <c r="A391" s="130" t="s">
        <v>249</v>
      </c>
      <c r="B391" s="130" t="s">
        <v>250</v>
      </c>
      <c r="C391" s="132" t="s">
        <v>153</v>
      </c>
      <c r="D391" s="129">
        <v>1</v>
      </c>
      <c r="E391" s="129">
        <v>15.241899999999998</v>
      </c>
      <c r="F391" s="129">
        <v>15.241899999999996</v>
      </c>
      <c r="G391" s="129">
        <v>50.847000000000001</v>
      </c>
      <c r="H391" s="129">
        <v>50.847000000000001</v>
      </c>
      <c r="I391" s="131" t="s">
        <v>87</v>
      </c>
      <c r="J391" s="132" t="s">
        <v>102</v>
      </c>
      <c r="K391" s="130" t="s">
        <v>654</v>
      </c>
      <c r="L391" s="6" t="str">
        <f t="shared" si="6"/>
        <v>005-00000047</v>
      </c>
    </row>
    <row r="392" spans="1:12" hidden="1" x14ac:dyDescent="0.25">
      <c r="A392" s="130" t="s">
        <v>1034</v>
      </c>
      <c r="B392" s="130" t="s">
        <v>1035</v>
      </c>
      <c r="C392" s="132" t="s">
        <v>88</v>
      </c>
      <c r="D392" s="129">
        <v>1</v>
      </c>
      <c r="E392" s="129">
        <v>11.861700000000001</v>
      </c>
      <c r="F392" s="129">
        <v>11.861700000000001</v>
      </c>
      <c r="G392" s="129">
        <v>39.701000000000001</v>
      </c>
      <c r="H392" s="129">
        <v>39.701000000000001</v>
      </c>
      <c r="I392" s="131" t="s">
        <v>87</v>
      </c>
      <c r="J392" s="132" t="s">
        <v>102</v>
      </c>
      <c r="K392" s="130" t="s">
        <v>627</v>
      </c>
      <c r="L392" s="6" t="str">
        <f t="shared" si="6"/>
        <v>005-00000102</v>
      </c>
    </row>
    <row r="393" spans="1:12" hidden="1" x14ac:dyDescent="0.25">
      <c r="A393" s="80" t="s">
        <v>461</v>
      </c>
      <c r="B393" s="80" t="s">
        <v>462</v>
      </c>
      <c r="C393" s="81" t="s">
        <v>150</v>
      </c>
      <c r="D393" s="82">
        <v>1</v>
      </c>
      <c r="E393" s="82">
        <v>56.886200000000002</v>
      </c>
      <c r="F393" s="82">
        <v>56.886199999999988</v>
      </c>
      <c r="G393" s="82">
        <v>190</v>
      </c>
      <c r="H393" s="82">
        <v>190</v>
      </c>
      <c r="I393" s="83" t="s">
        <v>87</v>
      </c>
      <c r="J393" s="81" t="s">
        <v>102</v>
      </c>
      <c r="K393" s="80" t="s">
        <v>683</v>
      </c>
      <c r="L393" s="6" t="str">
        <f t="shared" si="6"/>
        <v>005-00000017</v>
      </c>
    </row>
    <row r="394" spans="1:12" hidden="1" x14ac:dyDescent="0.25">
      <c r="A394" s="80" t="s">
        <v>552</v>
      </c>
      <c r="B394" s="80" t="s">
        <v>553</v>
      </c>
      <c r="C394" s="81" t="s">
        <v>150</v>
      </c>
      <c r="D394" s="82">
        <v>1</v>
      </c>
      <c r="E394" s="82">
        <v>53.747397999999997</v>
      </c>
      <c r="F394" s="82">
        <v>53.747397999999997</v>
      </c>
      <c r="G394" s="82">
        <v>180</v>
      </c>
      <c r="H394" s="82">
        <v>180</v>
      </c>
      <c r="I394" s="83" t="s">
        <v>87</v>
      </c>
      <c r="J394" s="81" t="s">
        <v>102</v>
      </c>
      <c r="K394" s="80" t="s">
        <v>681</v>
      </c>
      <c r="L394" s="6" t="str">
        <f t="shared" si="6"/>
        <v>005-00000019</v>
      </c>
    </row>
    <row r="395" spans="1:12" hidden="1" x14ac:dyDescent="0.25">
      <c r="A395" s="80" t="s">
        <v>1113</v>
      </c>
      <c r="B395" s="80" t="s">
        <v>1114</v>
      </c>
      <c r="C395" s="81" t="s">
        <v>150</v>
      </c>
      <c r="D395" s="82">
        <v>4</v>
      </c>
      <c r="E395" s="82">
        <v>37.346901000000003</v>
      </c>
      <c r="F395" s="82">
        <v>149.38760400000001</v>
      </c>
      <c r="G395" s="82">
        <v>125</v>
      </c>
      <c r="H395" s="82">
        <v>500</v>
      </c>
      <c r="I395" s="83" t="s">
        <v>87</v>
      </c>
      <c r="J395" s="81" t="s">
        <v>102</v>
      </c>
      <c r="K395" s="80" t="s">
        <v>655</v>
      </c>
      <c r="L395" s="6" t="str">
        <f t="shared" si="6"/>
        <v>005-00000046</v>
      </c>
    </row>
    <row r="396" spans="1:12" hidden="1" x14ac:dyDescent="0.25">
      <c r="A396" s="80" t="s">
        <v>612</v>
      </c>
      <c r="B396" s="80" t="s">
        <v>613</v>
      </c>
      <c r="C396" s="81" t="s">
        <v>150</v>
      </c>
      <c r="D396" s="82">
        <v>1</v>
      </c>
      <c r="E396" s="82">
        <v>19.420400999999998</v>
      </c>
      <c r="F396" s="82">
        <v>19.420400999999998</v>
      </c>
      <c r="G396" s="82">
        <v>65</v>
      </c>
      <c r="H396" s="82">
        <v>65</v>
      </c>
      <c r="I396" s="83" t="s">
        <v>87</v>
      </c>
      <c r="J396" s="81" t="s">
        <v>102</v>
      </c>
      <c r="K396" s="80" t="s">
        <v>655</v>
      </c>
      <c r="L396" s="6" t="str">
        <f t="shared" si="6"/>
        <v>005-00000046</v>
      </c>
    </row>
    <row r="397" spans="1:12" hidden="1" x14ac:dyDescent="0.25">
      <c r="A397" s="80" t="s">
        <v>451</v>
      </c>
      <c r="B397" s="80" t="s">
        <v>452</v>
      </c>
      <c r="C397" s="81" t="s">
        <v>150</v>
      </c>
      <c r="D397" s="82">
        <v>1</v>
      </c>
      <c r="E397" s="171">
        <v>44.023997999999999</v>
      </c>
      <c r="F397" s="171">
        <v>44.023997999999992</v>
      </c>
      <c r="G397" s="171">
        <v>147.03998999999999</v>
      </c>
      <c r="H397" s="171">
        <v>147.03999000000002</v>
      </c>
      <c r="I397" s="83" t="s">
        <v>87</v>
      </c>
      <c r="J397" s="81" t="s">
        <v>102</v>
      </c>
      <c r="K397" s="80" t="s">
        <v>655</v>
      </c>
      <c r="L397" s="6" t="str">
        <f t="shared" si="6"/>
        <v>005-00000046</v>
      </c>
    </row>
    <row r="398" spans="1:12" hidden="1" x14ac:dyDescent="0.25">
      <c r="A398" s="80" t="s">
        <v>356</v>
      </c>
      <c r="B398" s="80" t="s">
        <v>357</v>
      </c>
      <c r="C398" s="81" t="s">
        <v>150</v>
      </c>
      <c r="D398" s="82">
        <v>1</v>
      </c>
      <c r="E398" s="82">
        <v>99.58380099999998</v>
      </c>
      <c r="F398" s="82">
        <v>99.583801000000008</v>
      </c>
      <c r="G398" s="82">
        <v>332.60998999999998</v>
      </c>
      <c r="H398" s="82">
        <v>332.60999000000004</v>
      </c>
      <c r="I398" s="83" t="s">
        <v>87</v>
      </c>
      <c r="J398" s="81" t="s">
        <v>102</v>
      </c>
      <c r="K398" s="80" t="s">
        <v>655</v>
      </c>
      <c r="L398" s="6" t="str">
        <f t="shared" si="6"/>
        <v>005-00000046</v>
      </c>
    </row>
    <row r="399" spans="1:12" hidden="1" x14ac:dyDescent="0.25">
      <c r="A399" s="80" t="s">
        <v>394</v>
      </c>
      <c r="B399" s="80" t="s">
        <v>395</v>
      </c>
      <c r="C399" s="81" t="s">
        <v>150</v>
      </c>
      <c r="D399" s="82">
        <v>1</v>
      </c>
      <c r="E399" s="82">
        <v>79.194603000000001</v>
      </c>
      <c r="F399" s="82">
        <v>79.194602999999987</v>
      </c>
      <c r="G399" s="82">
        <v>264.51001000000002</v>
      </c>
      <c r="H399" s="82">
        <v>264.51001000000002</v>
      </c>
      <c r="I399" s="83" t="s">
        <v>87</v>
      </c>
      <c r="J399" s="81" t="s">
        <v>102</v>
      </c>
      <c r="K399" s="80" t="s">
        <v>655</v>
      </c>
      <c r="L399" s="6" t="str">
        <f t="shared" si="6"/>
        <v>005-00000046</v>
      </c>
    </row>
    <row r="400" spans="1:12" hidden="1" x14ac:dyDescent="0.25">
      <c r="A400" s="80" t="s">
        <v>1038</v>
      </c>
      <c r="B400" s="80" t="s">
        <v>1039</v>
      </c>
      <c r="C400" s="81" t="s">
        <v>150</v>
      </c>
      <c r="D400" s="82">
        <v>1</v>
      </c>
      <c r="E400" s="82">
        <v>38.023997999999999</v>
      </c>
      <c r="F400" s="82">
        <v>38.023997999999992</v>
      </c>
      <c r="G400" s="82">
        <v>127</v>
      </c>
      <c r="H400" s="82">
        <v>127</v>
      </c>
      <c r="I400" s="83" t="s">
        <v>87</v>
      </c>
      <c r="J400" s="81" t="s">
        <v>102</v>
      </c>
      <c r="K400" s="80" t="s">
        <v>654</v>
      </c>
      <c r="L400" s="6" t="str">
        <f t="shared" si="6"/>
        <v>005-00000047</v>
      </c>
    </row>
    <row r="401" spans="1:12" hidden="1" x14ac:dyDescent="0.25">
      <c r="A401" s="80" t="s">
        <v>612</v>
      </c>
      <c r="B401" s="80" t="s">
        <v>613</v>
      </c>
      <c r="C401" s="81" t="s">
        <v>150</v>
      </c>
      <c r="D401" s="82">
        <v>1</v>
      </c>
      <c r="E401" s="82">
        <v>19.461099999999998</v>
      </c>
      <c r="F401" s="82">
        <v>19.461099999999998</v>
      </c>
      <c r="G401" s="82">
        <v>65</v>
      </c>
      <c r="H401" s="82">
        <v>65</v>
      </c>
      <c r="I401" s="83" t="s">
        <v>87</v>
      </c>
      <c r="J401" s="81" t="s">
        <v>102</v>
      </c>
      <c r="K401" s="80" t="s">
        <v>654</v>
      </c>
      <c r="L401" s="6" t="str">
        <f t="shared" si="6"/>
        <v>005-00000047</v>
      </c>
    </row>
    <row r="402" spans="1:12" hidden="1" x14ac:dyDescent="0.25">
      <c r="A402" s="80" t="s">
        <v>278</v>
      </c>
      <c r="B402" s="80" t="s">
        <v>279</v>
      </c>
      <c r="C402" s="81" t="s">
        <v>150</v>
      </c>
      <c r="D402" s="82">
        <v>1</v>
      </c>
      <c r="E402" s="82">
        <v>89.955001999999979</v>
      </c>
      <c r="F402" s="82">
        <v>89.955002000000007</v>
      </c>
      <c r="G402" s="82">
        <v>300</v>
      </c>
      <c r="H402" s="82">
        <v>300</v>
      </c>
      <c r="I402" s="83" t="s">
        <v>87</v>
      </c>
      <c r="J402" s="81" t="s">
        <v>102</v>
      </c>
      <c r="K402" s="80" t="s">
        <v>654</v>
      </c>
      <c r="L402" s="6" t="str">
        <f t="shared" si="6"/>
        <v>005-00000047</v>
      </c>
    </row>
    <row r="403" spans="1:12" hidden="1" x14ac:dyDescent="0.25">
      <c r="A403" s="80" t="s">
        <v>441</v>
      </c>
      <c r="B403" s="80" t="s">
        <v>442</v>
      </c>
      <c r="C403" s="81" t="s">
        <v>153</v>
      </c>
      <c r="D403" s="82">
        <v>1</v>
      </c>
      <c r="E403" s="82">
        <v>13.4933</v>
      </c>
      <c r="F403" s="82">
        <v>13.4933</v>
      </c>
      <c r="G403" s="82">
        <v>45</v>
      </c>
      <c r="H403" s="82">
        <v>45</v>
      </c>
      <c r="I403" s="83" t="s">
        <v>87</v>
      </c>
      <c r="J403" s="81" t="s">
        <v>102</v>
      </c>
      <c r="K403" s="80" t="s">
        <v>654</v>
      </c>
      <c r="L403" s="6" t="str">
        <f t="shared" si="6"/>
        <v>005-00000047</v>
      </c>
    </row>
    <row r="404" spans="1:12" hidden="1" x14ac:dyDescent="0.25">
      <c r="A404" s="80" t="s">
        <v>358</v>
      </c>
      <c r="B404" s="80" t="s">
        <v>359</v>
      </c>
      <c r="C404" s="81" t="s">
        <v>150</v>
      </c>
      <c r="D404" s="82">
        <v>1</v>
      </c>
      <c r="E404" s="82">
        <v>13.4933</v>
      </c>
      <c r="F404" s="82">
        <v>13.4933</v>
      </c>
      <c r="G404" s="82">
        <v>45</v>
      </c>
      <c r="H404" s="82">
        <v>45</v>
      </c>
      <c r="I404" s="83" t="s">
        <v>87</v>
      </c>
      <c r="J404" s="81" t="s">
        <v>102</v>
      </c>
      <c r="K404" s="80" t="s">
        <v>654</v>
      </c>
      <c r="L404" s="6" t="str">
        <f t="shared" si="6"/>
        <v>005-00000047</v>
      </c>
    </row>
    <row r="405" spans="1:12" hidden="1" x14ac:dyDescent="0.25">
      <c r="A405" s="80" t="s">
        <v>392</v>
      </c>
      <c r="B405" s="80" t="s">
        <v>393</v>
      </c>
      <c r="C405" s="81" t="s">
        <v>150</v>
      </c>
      <c r="D405" s="82">
        <v>1</v>
      </c>
      <c r="E405" s="82">
        <v>13.4933</v>
      </c>
      <c r="F405" s="82">
        <v>13.4933</v>
      </c>
      <c r="G405" s="82">
        <v>45</v>
      </c>
      <c r="H405" s="82">
        <v>45</v>
      </c>
      <c r="I405" s="83" t="s">
        <v>87</v>
      </c>
      <c r="J405" s="81" t="s">
        <v>102</v>
      </c>
      <c r="K405" s="80" t="s">
        <v>654</v>
      </c>
      <c r="L405" s="6" t="str">
        <f t="shared" si="6"/>
        <v>005-00000047</v>
      </c>
    </row>
    <row r="406" spans="1:12" hidden="1" x14ac:dyDescent="0.25">
      <c r="A406" s="80" t="s">
        <v>282</v>
      </c>
      <c r="B406" s="80" t="s">
        <v>283</v>
      </c>
      <c r="C406" s="81" t="s">
        <v>150</v>
      </c>
      <c r="D406" s="82">
        <v>1</v>
      </c>
      <c r="E406" s="82">
        <v>17.990998999999999</v>
      </c>
      <c r="F406" s="82">
        <v>17.990998999999999</v>
      </c>
      <c r="G406" s="82">
        <v>60</v>
      </c>
      <c r="H406" s="82">
        <v>60</v>
      </c>
      <c r="I406" s="83" t="s">
        <v>87</v>
      </c>
      <c r="J406" s="81" t="s">
        <v>102</v>
      </c>
      <c r="K406" s="80" t="s">
        <v>654</v>
      </c>
      <c r="L406" s="6" t="str">
        <f t="shared" si="6"/>
        <v>005-00000047</v>
      </c>
    </row>
    <row r="407" spans="1:12" hidden="1" x14ac:dyDescent="0.25">
      <c r="A407" s="80" t="s">
        <v>461</v>
      </c>
      <c r="B407" s="80" t="s">
        <v>462</v>
      </c>
      <c r="C407" s="81" t="s">
        <v>150</v>
      </c>
      <c r="D407" s="82">
        <v>1</v>
      </c>
      <c r="E407" s="82">
        <v>71.963997000000006</v>
      </c>
      <c r="F407" s="82">
        <v>71.963997000000006</v>
      </c>
      <c r="G407" s="82">
        <v>240</v>
      </c>
      <c r="H407" s="82">
        <v>240</v>
      </c>
      <c r="I407" s="83" t="s">
        <v>87</v>
      </c>
      <c r="J407" s="81" t="s">
        <v>102</v>
      </c>
      <c r="K407" s="80" t="s">
        <v>654</v>
      </c>
      <c r="L407" s="6" t="str">
        <f t="shared" si="6"/>
        <v>005-00000047</v>
      </c>
    </row>
    <row r="408" spans="1:12" hidden="1" x14ac:dyDescent="0.25">
      <c r="A408" s="80" t="s">
        <v>449</v>
      </c>
      <c r="B408" s="80" t="s">
        <v>450</v>
      </c>
      <c r="C408" s="81" t="s">
        <v>150</v>
      </c>
      <c r="D408" s="82">
        <v>1</v>
      </c>
      <c r="E408" s="82">
        <v>71.963997000000006</v>
      </c>
      <c r="F408" s="82">
        <v>71.963997000000006</v>
      </c>
      <c r="G408" s="82">
        <v>240</v>
      </c>
      <c r="H408" s="82">
        <v>240</v>
      </c>
      <c r="I408" s="83" t="s">
        <v>87</v>
      </c>
      <c r="J408" s="81" t="s">
        <v>102</v>
      </c>
      <c r="K408" s="80" t="s">
        <v>654</v>
      </c>
      <c r="L408" s="6" t="str">
        <f t="shared" si="6"/>
        <v>005-00000047</v>
      </c>
    </row>
    <row r="409" spans="1:12" hidden="1" x14ac:dyDescent="0.25">
      <c r="A409" s="80" t="s">
        <v>1077</v>
      </c>
      <c r="B409" s="80" t="s">
        <v>1078</v>
      </c>
      <c r="C409" s="81" t="s">
        <v>150</v>
      </c>
      <c r="D409" s="82">
        <v>1</v>
      </c>
      <c r="E409" s="82">
        <v>9.2954998</v>
      </c>
      <c r="F409" s="82">
        <v>9.2954998000000018</v>
      </c>
      <c r="G409" s="82">
        <v>31.139999</v>
      </c>
      <c r="H409" s="82">
        <v>31.139999000000007</v>
      </c>
      <c r="I409" s="83" t="s">
        <v>87</v>
      </c>
      <c r="J409" s="81" t="s">
        <v>102</v>
      </c>
      <c r="K409" s="80" t="s">
        <v>653</v>
      </c>
      <c r="L409" s="6" t="str">
        <f t="shared" si="6"/>
        <v>005-00000048</v>
      </c>
    </row>
    <row r="410" spans="1:12" hidden="1" x14ac:dyDescent="0.25">
      <c r="A410" s="80" t="s">
        <v>1115</v>
      </c>
      <c r="B410" s="80" t="s">
        <v>1116</v>
      </c>
      <c r="C410" s="81" t="s">
        <v>150</v>
      </c>
      <c r="D410" s="82">
        <v>1</v>
      </c>
      <c r="E410" s="82">
        <v>9.4896001999999999</v>
      </c>
      <c r="F410" s="82">
        <v>9.4896001999999999</v>
      </c>
      <c r="G410" s="82">
        <v>31.790001000000004</v>
      </c>
      <c r="H410" s="82">
        <v>31.790001000000007</v>
      </c>
      <c r="I410" s="83" t="s">
        <v>87</v>
      </c>
      <c r="J410" s="81" t="s">
        <v>102</v>
      </c>
      <c r="K410" s="80" t="s">
        <v>653</v>
      </c>
      <c r="L410" s="6" t="str">
        <f t="shared" si="6"/>
        <v>005-00000048</v>
      </c>
    </row>
    <row r="411" spans="1:12" hidden="1" x14ac:dyDescent="0.25">
      <c r="A411" s="80" t="s">
        <v>614</v>
      </c>
      <c r="B411" s="80" t="s">
        <v>615</v>
      </c>
      <c r="C411" s="81" t="s">
        <v>150</v>
      </c>
      <c r="D411" s="82">
        <v>2</v>
      </c>
      <c r="E411" s="82">
        <v>37.346901000000003</v>
      </c>
      <c r="F411" s="82">
        <v>74.693802000000005</v>
      </c>
      <c r="G411" s="82">
        <v>125</v>
      </c>
      <c r="H411" s="82">
        <v>250</v>
      </c>
      <c r="I411" s="83" t="s">
        <v>87</v>
      </c>
      <c r="J411" s="81" t="s">
        <v>102</v>
      </c>
      <c r="K411" s="80" t="s">
        <v>653</v>
      </c>
      <c r="L411" s="6" t="str">
        <f t="shared" si="6"/>
        <v>005-00000048</v>
      </c>
    </row>
    <row r="412" spans="1:12" hidden="1" x14ac:dyDescent="0.25">
      <c r="A412" s="80" t="s">
        <v>612</v>
      </c>
      <c r="B412" s="80" t="s">
        <v>613</v>
      </c>
      <c r="C412" s="81" t="s">
        <v>150</v>
      </c>
      <c r="D412" s="82">
        <v>2</v>
      </c>
      <c r="E412" s="82">
        <v>19.420400999999998</v>
      </c>
      <c r="F412" s="82">
        <v>38.840801999999996</v>
      </c>
      <c r="G412" s="82">
        <v>65</v>
      </c>
      <c r="H412" s="82">
        <v>130</v>
      </c>
      <c r="I412" s="83" t="s">
        <v>87</v>
      </c>
      <c r="J412" s="81" t="s">
        <v>102</v>
      </c>
      <c r="K412" s="80" t="s">
        <v>653</v>
      </c>
      <c r="L412" s="6" t="str">
        <f t="shared" si="6"/>
        <v>005-00000048</v>
      </c>
    </row>
    <row r="413" spans="1:12" hidden="1" x14ac:dyDescent="0.25">
      <c r="A413" s="80" t="s">
        <v>384</v>
      </c>
      <c r="B413" s="80" t="s">
        <v>385</v>
      </c>
      <c r="C413" s="81" t="s">
        <v>150</v>
      </c>
      <c r="D413" s="82">
        <v>1</v>
      </c>
      <c r="E413" s="82">
        <v>7.5869001999999996</v>
      </c>
      <c r="F413" s="82">
        <v>7.5869002000000014</v>
      </c>
      <c r="G413" s="82">
        <v>25.4237</v>
      </c>
      <c r="H413" s="82">
        <v>25.423700000000004</v>
      </c>
      <c r="I413" s="83" t="s">
        <v>87</v>
      </c>
      <c r="J413" s="81" t="s">
        <v>102</v>
      </c>
      <c r="K413" s="80" t="s">
        <v>653</v>
      </c>
      <c r="L413" s="6" t="str">
        <f t="shared" si="6"/>
        <v>005-00000048</v>
      </c>
    </row>
    <row r="414" spans="1:12" hidden="1" x14ac:dyDescent="0.25">
      <c r="A414" s="80" t="s">
        <v>455</v>
      </c>
      <c r="B414" s="80" t="s">
        <v>456</v>
      </c>
      <c r="C414" s="81" t="s">
        <v>150</v>
      </c>
      <c r="D414" s="82">
        <v>2</v>
      </c>
      <c r="E414" s="171">
        <v>6.3224000999999994</v>
      </c>
      <c r="F414" s="171">
        <v>12.644800199999999</v>
      </c>
      <c r="G414" s="171">
        <v>21.186399000000002</v>
      </c>
      <c r="H414" s="171">
        <v>42.372798000000003</v>
      </c>
      <c r="I414" s="83" t="s">
        <v>87</v>
      </c>
      <c r="J414" s="81" t="s">
        <v>102</v>
      </c>
      <c r="K414" s="80" t="s">
        <v>653</v>
      </c>
      <c r="L414" s="6" t="str">
        <f t="shared" si="6"/>
        <v>005-00000048</v>
      </c>
    </row>
    <row r="415" spans="1:12" hidden="1" x14ac:dyDescent="0.25">
      <c r="A415" s="80" t="s">
        <v>342</v>
      </c>
      <c r="B415" s="80" t="s">
        <v>343</v>
      </c>
      <c r="C415" s="81" t="s">
        <v>150</v>
      </c>
      <c r="D415" s="82">
        <v>2</v>
      </c>
      <c r="E415" s="82">
        <v>0.14929998999999999</v>
      </c>
      <c r="F415" s="82">
        <v>0.29859997999999999</v>
      </c>
      <c r="G415" s="82">
        <v>0.5</v>
      </c>
      <c r="H415" s="82">
        <v>1</v>
      </c>
      <c r="I415" s="83" t="s">
        <v>87</v>
      </c>
      <c r="J415" s="81" t="s">
        <v>102</v>
      </c>
      <c r="K415" s="80" t="s">
        <v>652</v>
      </c>
      <c r="L415" s="6" t="str">
        <f t="shared" si="6"/>
        <v>005-00000049</v>
      </c>
    </row>
    <row r="416" spans="1:12" hidden="1" x14ac:dyDescent="0.25">
      <c r="A416" s="80" t="s">
        <v>240</v>
      </c>
      <c r="B416" s="80" t="s">
        <v>229</v>
      </c>
      <c r="C416" s="81" t="s">
        <v>150</v>
      </c>
      <c r="D416" s="82">
        <v>1</v>
      </c>
      <c r="E416" s="171">
        <v>10.164400000000001</v>
      </c>
      <c r="F416" s="171">
        <v>10.164400000000001</v>
      </c>
      <c r="G416" s="171">
        <v>33.898299999999999</v>
      </c>
      <c r="H416" s="171">
        <v>33.898299999999999</v>
      </c>
      <c r="I416" s="83" t="s">
        <v>87</v>
      </c>
      <c r="J416" s="81" t="s">
        <v>102</v>
      </c>
      <c r="K416" s="80" t="s">
        <v>652</v>
      </c>
      <c r="L416" s="6" t="str">
        <f t="shared" si="6"/>
        <v>005-00000049</v>
      </c>
    </row>
    <row r="417" spans="1:12" hidden="1" x14ac:dyDescent="0.25">
      <c r="A417" s="80" t="s">
        <v>360</v>
      </c>
      <c r="B417" s="80" t="s">
        <v>361</v>
      </c>
      <c r="C417" s="81" t="s">
        <v>150</v>
      </c>
      <c r="D417" s="82">
        <v>2</v>
      </c>
      <c r="E417" s="82">
        <v>0.29879999000000002</v>
      </c>
      <c r="F417" s="82">
        <v>0.59759997999999992</v>
      </c>
      <c r="G417" s="82">
        <v>1</v>
      </c>
      <c r="H417" s="82">
        <v>2</v>
      </c>
      <c r="I417" s="83" t="s">
        <v>87</v>
      </c>
      <c r="J417" s="81" t="s">
        <v>102</v>
      </c>
      <c r="K417" s="80" t="s">
        <v>652</v>
      </c>
      <c r="L417" s="13" t="str">
        <f t="shared" si="6"/>
        <v>005-00000049</v>
      </c>
    </row>
    <row r="418" spans="1:12" hidden="1" x14ac:dyDescent="0.25">
      <c r="A418" s="80" t="s">
        <v>1036</v>
      </c>
      <c r="B418" s="80" t="s">
        <v>1037</v>
      </c>
      <c r="C418" s="81" t="s">
        <v>150</v>
      </c>
      <c r="D418" s="82">
        <v>1</v>
      </c>
      <c r="E418" s="82">
        <v>10.1158</v>
      </c>
      <c r="F418" s="82">
        <v>10.1158</v>
      </c>
      <c r="G418" s="82">
        <v>33.897998999999999</v>
      </c>
      <c r="H418" s="82">
        <v>33.897998999999999</v>
      </c>
      <c r="I418" s="83" t="s">
        <v>87</v>
      </c>
      <c r="J418" s="81" t="s">
        <v>102</v>
      </c>
      <c r="K418" s="80" t="s">
        <v>652</v>
      </c>
      <c r="L418" s="13" t="str">
        <f t="shared" si="6"/>
        <v>005-00000049</v>
      </c>
    </row>
    <row r="419" spans="1:12" hidden="1" x14ac:dyDescent="0.25">
      <c r="A419" s="80" t="s">
        <v>1115</v>
      </c>
      <c r="B419" s="80" t="s">
        <v>1116</v>
      </c>
      <c r="C419" s="81" t="s">
        <v>150</v>
      </c>
      <c r="D419" s="82">
        <v>1</v>
      </c>
      <c r="E419" s="82">
        <v>9.4896001999999999</v>
      </c>
      <c r="F419" s="82">
        <v>9.4896001999999999</v>
      </c>
      <c r="G419" s="82">
        <v>31.790001000000004</v>
      </c>
      <c r="H419" s="82">
        <v>31.790001000000007</v>
      </c>
      <c r="I419" s="83" t="s">
        <v>87</v>
      </c>
      <c r="J419" s="81" t="s">
        <v>102</v>
      </c>
      <c r="K419" s="80" t="s">
        <v>652</v>
      </c>
      <c r="L419" s="6" t="str">
        <f t="shared" si="6"/>
        <v>005-00000049</v>
      </c>
    </row>
    <row r="420" spans="1:12" hidden="1" x14ac:dyDescent="0.25">
      <c r="A420" s="80" t="s">
        <v>740</v>
      </c>
      <c r="B420" s="80" t="s">
        <v>741</v>
      </c>
      <c r="C420" s="81" t="s">
        <v>150</v>
      </c>
      <c r="D420" s="82">
        <v>1</v>
      </c>
      <c r="E420" s="82">
        <v>61.460799999999999</v>
      </c>
      <c r="F420" s="82">
        <v>61.460800000000006</v>
      </c>
      <c r="G420" s="82">
        <v>205.74001000000001</v>
      </c>
      <c r="H420" s="82">
        <v>205.74001000000001</v>
      </c>
      <c r="I420" s="83" t="s">
        <v>87</v>
      </c>
      <c r="J420" s="81" t="s">
        <v>102</v>
      </c>
      <c r="K420" s="80" t="s">
        <v>652</v>
      </c>
      <c r="L420" s="6" t="str">
        <f t="shared" si="6"/>
        <v>005-00000049</v>
      </c>
    </row>
    <row r="421" spans="1:12" hidden="1" x14ac:dyDescent="0.25">
      <c r="A421" s="80" t="s">
        <v>457</v>
      </c>
      <c r="B421" s="80" t="s">
        <v>458</v>
      </c>
      <c r="C421" s="81" t="s">
        <v>150</v>
      </c>
      <c r="D421" s="82">
        <v>1</v>
      </c>
      <c r="E421" s="82">
        <v>22.869600000000002</v>
      </c>
      <c r="F421" s="82">
        <v>22.869600000000005</v>
      </c>
      <c r="G421" s="82">
        <v>76.269997000000004</v>
      </c>
      <c r="H421" s="82">
        <v>76.269996999999989</v>
      </c>
      <c r="I421" s="83" t="s">
        <v>87</v>
      </c>
      <c r="J421" s="81" t="s">
        <v>102</v>
      </c>
      <c r="K421" s="80" t="s">
        <v>652</v>
      </c>
      <c r="L421" s="6" t="str">
        <f t="shared" si="6"/>
        <v>005-00000049</v>
      </c>
    </row>
    <row r="422" spans="1:12" hidden="1" x14ac:dyDescent="0.25">
      <c r="A422" s="80" t="s">
        <v>166</v>
      </c>
      <c r="B422" s="80" t="s">
        <v>165</v>
      </c>
      <c r="C422" s="81" t="s">
        <v>88</v>
      </c>
      <c r="D422" s="82">
        <v>0.5</v>
      </c>
      <c r="E422" s="82">
        <v>23.270700000000001</v>
      </c>
      <c r="F422" s="82">
        <v>11.635349999999999</v>
      </c>
      <c r="G422" s="82">
        <v>77.980002999999996</v>
      </c>
      <c r="H422" s="82">
        <v>38.990001500000005</v>
      </c>
      <c r="I422" s="83" t="s">
        <v>87</v>
      </c>
      <c r="J422" s="81" t="s">
        <v>102</v>
      </c>
      <c r="K422" s="80" t="s">
        <v>651</v>
      </c>
      <c r="L422" s="6" t="str">
        <f t="shared" si="6"/>
        <v>005-00000050</v>
      </c>
    </row>
    <row r="423" spans="1:12" hidden="1" x14ac:dyDescent="0.25">
      <c r="A423" s="80" t="s">
        <v>170</v>
      </c>
      <c r="B423" s="80" t="s">
        <v>169</v>
      </c>
      <c r="C423" s="81" t="s">
        <v>150</v>
      </c>
      <c r="D423" s="82">
        <v>1</v>
      </c>
      <c r="E423" s="82">
        <v>11.394</v>
      </c>
      <c r="F423" s="82">
        <v>11.394000000000004</v>
      </c>
      <c r="G423" s="82">
        <v>38.135601000000001</v>
      </c>
      <c r="H423" s="82">
        <v>38.135601000000001</v>
      </c>
      <c r="I423" s="83" t="s">
        <v>87</v>
      </c>
      <c r="J423" s="81" t="s">
        <v>102</v>
      </c>
      <c r="K423" s="80" t="s">
        <v>651</v>
      </c>
      <c r="L423" s="6" t="str">
        <f t="shared" si="6"/>
        <v>005-00000050</v>
      </c>
    </row>
    <row r="424" spans="1:12" hidden="1" x14ac:dyDescent="0.25">
      <c r="A424" s="80" t="s">
        <v>396</v>
      </c>
      <c r="B424" s="80" t="s">
        <v>198</v>
      </c>
      <c r="C424" s="81" t="s">
        <v>150</v>
      </c>
      <c r="D424" s="82">
        <v>1</v>
      </c>
      <c r="E424" s="82">
        <v>3.8117000999999999</v>
      </c>
      <c r="F424" s="82">
        <v>3.8117000999999999</v>
      </c>
      <c r="G424" s="82">
        <v>12.7119</v>
      </c>
      <c r="H424" s="82">
        <v>12.711900000000004</v>
      </c>
      <c r="I424" s="83" t="s">
        <v>87</v>
      </c>
      <c r="J424" s="81" t="s">
        <v>102</v>
      </c>
      <c r="K424" s="80" t="s">
        <v>651</v>
      </c>
      <c r="L424" s="6" t="str">
        <f t="shared" si="6"/>
        <v>005-00000050</v>
      </c>
    </row>
    <row r="425" spans="1:12" hidden="1" x14ac:dyDescent="0.25">
      <c r="A425" s="80" t="s">
        <v>376</v>
      </c>
      <c r="B425" s="80" t="s">
        <v>377</v>
      </c>
      <c r="C425" s="81" t="s">
        <v>150</v>
      </c>
      <c r="D425" s="82">
        <v>1</v>
      </c>
      <c r="E425" s="82">
        <v>20.255898999999999</v>
      </c>
      <c r="F425" s="82">
        <v>20.255898999999999</v>
      </c>
      <c r="G425" s="82">
        <v>67.796599999999998</v>
      </c>
      <c r="H425" s="82">
        <v>67.796599999999998</v>
      </c>
      <c r="I425" s="83" t="s">
        <v>87</v>
      </c>
      <c r="J425" s="81" t="s">
        <v>102</v>
      </c>
      <c r="K425" s="80" t="s">
        <v>651</v>
      </c>
      <c r="L425" s="6" t="str">
        <f t="shared" si="6"/>
        <v>005-00000050</v>
      </c>
    </row>
    <row r="426" spans="1:12" hidden="1" x14ac:dyDescent="0.25">
      <c r="A426" s="80" t="s">
        <v>564</v>
      </c>
      <c r="B426" s="80" t="s">
        <v>565</v>
      </c>
      <c r="C426" s="81" t="s">
        <v>150</v>
      </c>
      <c r="D426" s="82">
        <v>1</v>
      </c>
      <c r="E426" s="82">
        <v>25.289498999999999</v>
      </c>
      <c r="F426" s="82">
        <v>25.289498999999996</v>
      </c>
      <c r="G426" s="82">
        <v>84.745002999999997</v>
      </c>
      <c r="H426" s="82">
        <v>84.745002999999997</v>
      </c>
      <c r="I426" s="83" t="s">
        <v>87</v>
      </c>
      <c r="J426" s="81" t="s">
        <v>102</v>
      </c>
      <c r="K426" s="80" t="s">
        <v>651</v>
      </c>
      <c r="L426" s="6" t="str">
        <f t="shared" si="6"/>
        <v>005-00000050</v>
      </c>
    </row>
    <row r="427" spans="1:12" hidden="1" x14ac:dyDescent="0.25">
      <c r="A427" s="80" t="s">
        <v>464</v>
      </c>
      <c r="B427" s="80" t="s">
        <v>465</v>
      </c>
      <c r="C427" s="81" t="s">
        <v>150</v>
      </c>
      <c r="D427" s="82">
        <v>1</v>
      </c>
      <c r="E427" s="82">
        <v>4.5535002000000002</v>
      </c>
      <c r="F427" s="82">
        <v>4.5535002000000002</v>
      </c>
      <c r="G427" s="82">
        <v>15.254200000000001</v>
      </c>
      <c r="H427" s="82">
        <v>15.254200000000001</v>
      </c>
      <c r="I427" s="83" t="s">
        <v>87</v>
      </c>
      <c r="J427" s="81" t="s">
        <v>102</v>
      </c>
      <c r="K427" s="80" t="s">
        <v>651</v>
      </c>
      <c r="L427" s="6" t="str">
        <f t="shared" si="6"/>
        <v>005-00000050</v>
      </c>
    </row>
    <row r="428" spans="1:12" hidden="1" x14ac:dyDescent="0.25">
      <c r="A428" s="80" t="s">
        <v>606</v>
      </c>
      <c r="B428" s="80" t="s">
        <v>607</v>
      </c>
      <c r="C428" s="81" t="s">
        <v>150</v>
      </c>
      <c r="D428" s="82">
        <v>1</v>
      </c>
      <c r="E428" s="82">
        <v>2.5297000000000001</v>
      </c>
      <c r="F428" s="82">
        <v>2.5297000000000001</v>
      </c>
      <c r="G428" s="82">
        <v>8.4745998</v>
      </c>
      <c r="H428" s="82">
        <v>8.4745998</v>
      </c>
      <c r="I428" s="83" t="s">
        <v>87</v>
      </c>
      <c r="J428" s="81" t="s">
        <v>102</v>
      </c>
      <c r="K428" s="80" t="s">
        <v>651</v>
      </c>
      <c r="L428" s="6" t="str">
        <f t="shared" si="6"/>
        <v>005-00000050</v>
      </c>
    </row>
    <row r="429" spans="1:12" hidden="1" x14ac:dyDescent="0.25">
      <c r="A429" s="80" t="s">
        <v>1117</v>
      </c>
      <c r="B429" s="80" t="s">
        <v>1118</v>
      </c>
      <c r="C429" s="81" t="s">
        <v>150</v>
      </c>
      <c r="D429" s="82">
        <v>4</v>
      </c>
      <c r="E429" s="82">
        <v>37.346901000000003</v>
      </c>
      <c r="F429" s="82">
        <v>149.38760400000001</v>
      </c>
      <c r="G429" s="82">
        <v>125</v>
      </c>
      <c r="H429" s="82">
        <v>500</v>
      </c>
      <c r="I429" s="83" t="s">
        <v>87</v>
      </c>
      <c r="J429" s="81" t="s">
        <v>102</v>
      </c>
      <c r="K429" s="80" t="s">
        <v>651</v>
      </c>
      <c r="L429" s="6" t="str">
        <f t="shared" si="6"/>
        <v>005-00000050</v>
      </c>
    </row>
    <row r="430" spans="1:12" hidden="1" x14ac:dyDescent="0.25">
      <c r="A430" s="80" t="s">
        <v>1057</v>
      </c>
      <c r="B430" s="80" t="s">
        <v>1058</v>
      </c>
      <c r="C430" s="81" t="s">
        <v>150</v>
      </c>
      <c r="D430" s="82">
        <v>1</v>
      </c>
      <c r="E430" s="171">
        <v>63.04750099999999</v>
      </c>
      <c r="F430" s="171">
        <v>63.047501000000004</v>
      </c>
      <c r="G430" s="171">
        <v>211.02</v>
      </c>
      <c r="H430" s="171">
        <v>211.02</v>
      </c>
      <c r="I430" s="83" t="s">
        <v>87</v>
      </c>
      <c r="J430" s="81" t="s">
        <v>102</v>
      </c>
      <c r="K430" s="80" t="s">
        <v>651</v>
      </c>
      <c r="L430" s="6" t="str">
        <f t="shared" si="6"/>
        <v>005-00000050</v>
      </c>
    </row>
    <row r="431" spans="1:12" hidden="1" x14ac:dyDescent="0.25">
      <c r="A431" s="80" t="s">
        <v>346</v>
      </c>
      <c r="B431" s="80" t="s">
        <v>347</v>
      </c>
      <c r="C431" s="81" t="s">
        <v>153</v>
      </c>
      <c r="D431" s="82">
        <v>1</v>
      </c>
      <c r="E431" s="82">
        <v>2.5288998999999999</v>
      </c>
      <c r="F431" s="82">
        <v>2.5288999000000003</v>
      </c>
      <c r="G431" s="82">
        <v>8.4744997000000009</v>
      </c>
      <c r="H431" s="82">
        <v>8.4744997000000009</v>
      </c>
      <c r="I431" s="83" t="s">
        <v>87</v>
      </c>
      <c r="J431" s="81" t="s">
        <v>102</v>
      </c>
      <c r="K431" s="80" t="s">
        <v>651</v>
      </c>
      <c r="L431" s="6" t="str">
        <f t="shared" si="6"/>
        <v>005-00000050</v>
      </c>
    </row>
    <row r="432" spans="1:12" hidden="1" x14ac:dyDescent="0.25">
      <c r="A432" s="80" t="s">
        <v>380</v>
      </c>
      <c r="B432" s="80" t="s">
        <v>381</v>
      </c>
      <c r="C432" s="81" t="s">
        <v>150</v>
      </c>
      <c r="D432" s="82">
        <v>1</v>
      </c>
      <c r="E432" s="82">
        <v>92.953498999999994</v>
      </c>
      <c r="F432" s="82">
        <v>92.953498999999994</v>
      </c>
      <c r="G432" s="82">
        <v>310</v>
      </c>
      <c r="H432" s="82">
        <v>310</v>
      </c>
      <c r="I432" s="83" t="s">
        <v>87</v>
      </c>
      <c r="J432" s="81" t="s">
        <v>102</v>
      </c>
      <c r="K432" s="80" t="s">
        <v>651</v>
      </c>
      <c r="L432" s="6" t="str">
        <f t="shared" si="6"/>
        <v>005-00000050</v>
      </c>
    </row>
    <row r="433" spans="1:12" hidden="1" x14ac:dyDescent="0.25">
      <c r="A433" s="80" t="s">
        <v>441</v>
      </c>
      <c r="B433" s="80" t="s">
        <v>442</v>
      </c>
      <c r="C433" s="81" t="s">
        <v>153</v>
      </c>
      <c r="D433" s="82">
        <v>1</v>
      </c>
      <c r="E433" s="82">
        <v>14.392799999999999</v>
      </c>
      <c r="F433" s="82">
        <v>14.392799999999998</v>
      </c>
      <c r="G433" s="82">
        <v>48</v>
      </c>
      <c r="H433" s="82">
        <v>48</v>
      </c>
      <c r="I433" s="83" t="s">
        <v>87</v>
      </c>
      <c r="J433" s="81" t="s">
        <v>102</v>
      </c>
      <c r="K433" s="80" t="s">
        <v>651</v>
      </c>
      <c r="L433" s="6" t="str">
        <f t="shared" si="6"/>
        <v>005-00000050</v>
      </c>
    </row>
    <row r="434" spans="1:12" hidden="1" x14ac:dyDescent="0.25">
      <c r="A434" s="80" t="s">
        <v>451</v>
      </c>
      <c r="B434" s="80" t="s">
        <v>452</v>
      </c>
      <c r="C434" s="81" t="s">
        <v>150</v>
      </c>
      <c r="D434" s="82">
        <v>1</v>
      </c>
      <c r="E434" s="82">
        <v>19.490299</v>
      </c>
      <c r="F434" s="82">
        <v>19.490299000000004</v>
      </c>
      <c r="G434" s="82">
        <v>65</v>
      </c>
      <c r="H434" s="82">
        <v>65</v>
      </c>
      <c r="I434" s="83" t="s">
        <v>87</v>
      </c>
      <c r="J434" s="81" t="s">
        <v>102</v>
      </c>
      <c r="K434" s="80" t="s">
        <v>651</v>
      </c>
      <c r="L434" s="6" t="str">
        <f t="shared" si="6"/>
        <v>005-00000050</v>
      </c>
    </row>
    <row r="435" spans="1:12" hidden="1" x14ac:dyDescent="0.25">
      <c r="A435" s="80" t="s">
        <v>544</v>
      </c>
      <c r="B435" s="80" t="s">
        <v>545</v>
      </c>
      <c r="C435" s="81" t="s">
        <v>150</v>
      </c>
      <c r="D435" s="82">
        <v>1</v>
      </c>
      <c r="E435" s="82">
        <v>3.0383998999999999</v>
      </c>
      <c r="F435" s="82">
        <v>3.0383998999999995</v>
      </c>
      <c r="G435" s="82">
        <v>10.169499999999999</v>
      </c>
      <c r="H435" s="82">
        <v>10.169499999999998</v>
      </c>
      <c r="I435" s="83" t="s">
        <v>87</v>
      </c>
      <c r="J435" s="81" t="s">
        <v>102</v>
      </c>
      <c r="K435" s="80" t="s">
        <v>650</v>
      </c>
      <c r="L435" s="6" t="str">
        <f t="shared" si="6"/>
        <v>005-00000051</v>
      </c>
    </row>
    <row r="436" spans="1:12" hidden="1" x14ac:dyDescent="0.25">
      <c r="A436" s="80" t="s">
        <v>712</v>
      </c>
      <c r="B436" s="80" t="s">
        <v>713</v>
      </c>
      <c r="C436" s="81" t="s">
        <v>226</v>
      </c>
      <c r="D436" s="82">
        <v>1</v>
      </c>
      <c r="E436" s="82">
        <v>69.883101999999994</v>
      </c>
      <c r="F436" s="82">
        <v>69.883101999999994</v>
      </c>
      <c r="G436" s="82">
        <v>233.06</v>
      </c>
      <c r="H436" s="82">
        <v>233.06</v>
      </c>
      <c r="I436" s="83" t="s">
        <v>87</v>
      </c>
      <c r="J436" s="81" t="s">
        <v>102</v>
      </c>
      <c r="K436" s="80" t="s">
        <v>650</v>
      </c>
      <c r="L436" s="6" t="str">
        <f t="shared" si="6"/>
        <v>005-00000051</v>
      </c>
    </row>
    <row r="437" spans="1:12" hidden="1" x14ac:dyDescent="0.25">
      <c r="A437" s="80" t="s">
        <v>380</v>
      </c>
      <c r="B437" s="80" t="s">
        <v>381</v>
      </c>
      <c r="C437" s="81" t="s">
        <v>150</v>
      </c>
      <c r="D437" s="82">
        <v>1</v>
      </c>
      <c r="E437" s="171">
        <v>86.956496999999999</v>
      </c>
      <c r="F437" s="171">
        <v>86.956496999999999</v>
      </c>
      <c r="G437" s="171">
        <v>290</v>
      </c>
      <c r="H437" s="171">
        <v>290</v>
      </c>
      <c r="I437" s="83" t="s">
        <v>87</v>
      </c>
      <c r="J437" s="81" t="s">
        <v>102</v>
      </c>
      <c r="K437" s="80" t="s">
        <v>650</v>
      </c>
      <c r="L437" s="6" t="str">
        <f t="shared" si="6"/>
        <v>005-00000051</v>
      </c>
    </row>
    <row r="438" spans="1:12" hidden="1" x14ac:dyDescent="0.25">
      <c r="A438" s="80" t="s">
        <v>441</v>
      </c>
      <c r="B438" s="80" t="s">
        <v>442</v>
      </c>
      <c r="C438" s="81" t="s">
        <v>153</v>
      </c>
      <c r="D438" s="82">
        <v>1</v>
      </c>
      <c r="E438" s="82">
        <v>14.392799999999999</v>
      </c>
      <c r="F438" s="82">
        <v>14.392799999999998</v>
      </c>
      <c r="G438" s="82">
        <v>48</v>
      </c>
      <c r="H438" s="82">
        <v>48</v>
      </c>
      <c r="I438" s="83" t="s">
        <v>87</v>
      </c>
      <c r="J438" s="81" t="s">
        <v>102</v>
      </c>
      <c r="K438" s="80" t="s">
        <v>650</v>
      </c>
      <c r="L438" s="6" t="str">
        <f t="shared" si="6"/>
        <v>005-00000051</v>
      </c>
    </row>
    <row r="439" spans="1:12" hidden="1" x14ac:dyDescent="0.25">
      <c r="A439" s="80" t="s">
        <v>1119</v>
      </c>
      <c r="B439" s="80" t="s">
        <v>1120</v>
      </c>
      <c r="C439" s="81" t="s">
        <v>150</v>
      </c>
      <c r="D439" s="82">
        <v>1</v>
      </c>
      <c r="E439" s="82">
        <v>38.023997999999999</v>
      </c>
      <c r="F439" s="82">
        <v>38.023997999999992</v>
      </c>
      <c r="G439" s="82">
        <v>127</v>
      </c>
      <c r="H439" s="82">
        <v>127</v>
      </c>
      <c r="I439" s="83" t="s">
        <v>87</v>
      </c>
      <c r="J439" s="81" t="s">
        <v>102</v>
      </c>
      <c r="K439" s="80" t="s">
        <v>649</v>
      </c>
      <c r="L439" s="6" t="str">
        <f t="shared" si="6"/>
        <v>005-00000052</v>
      </c>
    </row>
    <row r="440" spans="1:12" hidden="1" x14ac:dyDescent="0.25">
      <c r="A440" s="80" t="s">
        <v>1121</v>
      </c>
      <c r="B440" s="80" t="s">
        <v>1122</v>
      </c>
      <c r="C440" s="81" t="s">
        <v>150</v>
      </c>
      <c r="D440" s="82">
        <v>1</v>
      </c>
      <c r="E440" s="82">
        <v>86.826301999999998</v>
      </c>
      <c r="F440" s="82">
        <v>86.826301999999998</v>
      </c>
      <c r="G440" s="82">
        <v>290</v>
      </c>
      <c r="H440" s="82">
        <v>290</v>
      </c>
      <c r="I440" s="83" t="s">
        <v>87</v>
      </c>
      <c r="J440" s="81" t="s">
        <v>102</v>
      </c>
      <c r="K440" s="80" t="s">
        <v>649</v>
      </c>
      <c r="L440" s="6" t="str">
        <f t="shared" si="6"/>
        <v>005-00000052</v>
      </c>
    </row>
    <row r="441" spans="1:12" hidden="1" x14ac:dyDescent="0.25">
      <c r="A441" s="80" t="s">
        <v>441</v>
      </c>
      <c r="B441" s="80" t="s">
        <v>442</v>
      </c>
      <c r="C441" s="81" t="s">
        <v>153</v>
      </c>
      <c r="D441" s="82">
        <v>1</v>
      </c>
      <c r="E441" s="82">
        <v>13.473099999999999</v>
      </c>
      <c r="F441" s="82">
        <v>13.473100000000004</v>
      </c>
      <c r="G441" s="82">
        <v>45</v>
      </c>
      <c r="H441" s="82">
        <v>45</v>
      </c>
      <c r="I441" s="83" t="s">
        <v>87</v>
      </c>
      <c r="J441" s="81" t="s">
        <v>102</v>
      </c>
      <c r="K441" s="80" t="s">
        <v>649</v>
      </c>
      <c r="L441" s="6" t="str">
        <f t="shared" si="6"/>
        <v>005-00000052</v>
      </c>
    </row>
    <row r="442" spans="1:12" hidden="1" x14ac:dyDescent="0.25">
      <c r="A442" s="80" t="s">
        <v>358</v>
      </c>
      <c r="B442" s="80" t="s">
        <v>359</v>
      </c>
      <c r="C442" s="81" t="s">
        <v>150</v>
      </c>
      <c r="D442" s="82">
        <v>1</v>
      </c>
      <c r="E442" s="82">
        <v>13.473099999999999</v>
      </c>
      <c r="F442" s="82">
        <v>13.473100000000004</v>
      </c>
      <c r="G442" s="82">
        <v>45</v>
      </c>
      <c r="H442" s="82">
        <v>45</v>
      </c>
      <c r="I442" s="83" t="s">
        <v>87</v>
      </c>
      <c r="J442" s="81" t="s">
        <v>102</v>
      </c>
      <c r="K442" s="80" t="s">
        <v>649</v>
      </c>
      <c r="L442" s="6" t="str">
        <f t="shared" si="6"/>
        <v>005-00000052</v>
      </c>
    </row>
    <row r="443" spans="1:12" hidden="1" x14ac:dyDescent="0.25">
      <c r="A443" s="80" t="s">
        <v>392</v>
      </c>
      <c r="B443" s="80" t="s">
        <v>393</v>
      </c>
      <c r="C443" s="81" t="s">
        <v>150</v>
      </c>
      <c r="D443" s="82">
        <v>1</v>
      </c>
      <c r="E443" s="171">
        <v>13.473099999999999</v>
      </c>
      <c r="F443" s="171">
        <v>13.473100000000004</v>
      </c>
      <c r="G443" s="171">
        <v>45</v>
      </c>
      <c r="H443" s="171">
        <v>45</v>
      </c>
      <c r="I443" s="83" t="s">
        <v>87</v>
      </c>
      <c r="J443" s="81" t="s">
        <v>102</v>
      </c>
      <c r="K443" s="80" t="s">
        <v>649</v>
      </c>
      <c r="L443" s="6" t="str">
        <f t="shared" si="6"/>
        <v>005-00000052</v>
      </c>
    </row>
    <row r="444" spans="1:12" hidden="1" x14ac:dyDescent="0.25">
      <c r="A444" s="80" t="s">
        <v>567</v>
      </c>
      <c r="B444" s="80" t="s">
        <v>568</v>
      </c>
      <c r="C444" s="81" t="s">
        <v>150</v>
      </c>
      <c r="D444" s="82">
        <v>1</v>
      </c>
      <c r="E444" s="82">
        <v>14.351900000000001</v>
      </c>
      <c r="F444" s="82">
        <v>14.351900000000002</v>
      </c>
      <c r="G444" s="82">
        <v>48</v>
      </c>
      <c r="H444" s="82">
        <v>48</v>
      </c>
      <c r="I444" s="83" t="s">
        <v>87</v>
      </c>
      <c r="J444" s="81" t="s">
        <v>102</v>
      </c>
      <c r="K444" s="80" t="s">
        <v>649</v>
      </c>
      <c r="L444" s="6" t="str">
        <f t="shared" si="6"/>
        <v>005-00000052</v>
      </c>
    </row>
    <row r="445" spans="1:12" hidden="1" x14ac:dyDescent="0.25">
      <c r="A445" s="80" t="s">
        <v>433</v>
      </c>
      <c r="B445" s="80" t="s">
        <v>434</v>
      </c>
      <c r="C445" s="81" t="s">
        <v>150</v>
      </c>
      <c r="D445" s="82">
        <v>1</v>
      </c>
      <c r="E445" s="82">
        <v>80.838302999999996</v>
      </c>
      <c r="F445" s="82">
        <v>80.83830300000001</v>
      </c>
      <c r="G445" s="82">
        <v>270</v>
      </c>
      <c r="H445" s="82">
        <v>270</v>
      </c>
      <c r="I445" s="83" t="s">
        <v>87</v>
      </c>
      <c r="J445" s="81" t="s">
        <v>102</v>
      </c>
      <c r="K445" s="80" t="s">
        <v>649</v>
      </c>
      <c r="L445" s="6" t="str">
        <f t="shared" si="6"/>
        <v>005-00000052</v>
      </c>
    </row>
    <row r="446" spans="1:12" hidden="1" x14ac:dyDescent="0.25">
      <c r="A446" s="80" t="s">
        <v>282</v>
      </c>
      <c r="B446" s="80" t="s">
        <v>283</v>
      </c>
      <c r="C446" s="81" t="s">
        <v>150</v>
      </c>
      <c r="D446" s="82">
        <v>1</v>
      </c>
      <c r="E446" s="171">
        <v>22.455099000000001</v>
      </c>
      <c r="F446" s="171">
        <v>22.455099000000004</v>
      </c>
      <c r="G446" s="171">
        <v>75</v>
      </c>
      <c r="H446" s="171">
        <v>75</v>
      </c>
      <c r="I446" s="83" t="s">
        <v>87</v>
      </c>
      <c r="J446" s="81" t="s">
        <v>102</v>
      </c>
      <c r="K446" s="80" t="s">
        <v>649</v>
      </c>
      <c r="L446" s="6" t="str">
        <f t="shared" si="6"/>
        <v>005-00000052</v>
      </c>
    </row>
    <row r="447" spans="1:12" hidden="1" x14ac:dyDescent="0.25">
      <c r="A447" s="80" t="s">
        <v>280</v>
      </c>
      <c r="B447" s="80" t="s">
        <v>281</v>
      </c>
      <c r="C447" s="81" t="s">
        <v>150</v>
      </c>
      <c r="D447" s="82">
        <v>1</v>
      </c>
      <c r="E447" s="82">
        <v>22.455099000000001</v>
      </c>
      <c r="F447" s="82">
        <v>22.455099000000004</v>
      </c>
      <c r="G447" s="82">
        <v>75</v>
      </c>
      <c r="H447" s="82">
        <v>75</v>
      </c>
      <c r="I447" s="83" t="s">
        <v>87</v>
      </c>
      <c r="J447" s="81" t="s">
        <v>102</v>
      </c>
      <c r="K447" s="80" t="s">
        <v>649</v>
      </c>
      <c r="L447" s="6" t="str">
        <f t="shared" si="6"/>
        <v>005-00000052</v>
      </c>
    </row>
    <row r="448" spans="1:12" hidden="1" x14ac:dyDescent="0.25">
      <c r="A448" s="80" t="s">
        <v>380</v>
      </c>
      <c r="B448" s="80" t="s">
        <v>381</v>
      </c>
      <c r="C448" s="81" t="s">
        <v>150</v>
      </c>
      <c r="D448" s="82">
        <v>1</v>
      </c>
      <c r="E448" s="82">
        <v>80.838302999999996</v>
      </c>
      <c r="F448" s="82">
        <v>80.83830300000001</v>
      </c>
      <c r="G448" s="82">
        <v>270</v>
      </c>
      <c r="H448" s="82">
        <v>270</v>
      </c>
      <c r="I448" s="83" t="s">
        <v>87</v>
      </c>
      <c r="J448" s="81" t="s">
        <v>102</v>
      </c>
      <c r="K448" s="80" t="s">
        <v>649</v>
      </c>
      <c r="L448" s="6" t="str">
        <f t="shared" si="6"/>
        <v>005-00000052</v>
      </c>
    </row>
    <row r="449" spans="1:12" hidden="1" x14ac:dyDescent="0.25">
      <c r="A449" s="80" t="s">
        <v>1117</v>
      </c>
      <c r="B449" s="80" t="s">
        <v>1118</v>
      </c>
      <c r="C449" s="81" t="s">
        <v>150</v>
      </c>
      <c r="D449" s="82">
        <v>4</v>
      </c>
      <c r="E449" s="82">
        <v>37.346901000000003</v>
      </c>
      <c r="F449" s="82">
        <v>149.38760400000001</v>
      </c>
      <c r="G449" s="82">
        <v>125</v>
      </c>
      <c r="H449" s="82">
        <v>500</v>
      </c>
      <c r="I449" s="83" t="s">
        <v>87</v>
      </c>
      <c r="J449" s="81" t="s">
        <v>102</v>
      </c>
      <c r="K449" s="80" t="s">
        <v>647</v>
      </c>
      <c r="L449" s="6" t="str">
        <f t="shared" si="6"/>
        <v>005-00000054</v>
      </c>
    </row>
    <row r="450" spans="1:12" hidden="1" x14ac:dyDescent="0.25">
      <c r="A450" s="80" t="s">
        <v>581</v>
      </c>
      <c r="B450" s="80" t="s">
        <v>582</v>
      </c>
      <c r="C450" s="81" t="s">
        <v>150</v>
      </c>
      <c r="D450" s="82">
        <v>1</v>
      </c>
      <c r="E450" s="82">
        <v>22.7607</v>
      </c>
      <c r="F450" s="82">
        <v>22.760699999999996</v>
      </c>
      <c r="G450" s="82">
        <v>76.271102999999997</v>
      </c>
      <c r="H450" s="82">
        <v>76.271102999999997</v>
      </c>
      <c r="I450" s="83" t="s">
        <v>87</v>
      </c>
      <c r="J450" s="81" t="s">
        <v>102</v>
      </c>
      <c r="K450" s="80" t="s">
        <v>647</v>
      </c>
      <c r="L450" s="6" t="str">
        <f t="shared" si="6"/>
        <v>005-00000054</v>
      </c>
    </row>
    <row r="451" spans="1:12" hidden="1" x14ac:dyDescent="0.25">
      <c r="A451" s="80" t="s">
        <v>222</v>
      </c>
      <c r="B451" s="80" t="s">
        <v>223</v>
      </c>
      <c r="C451" s="81" t="s">
        <v>150</v>
      </c>
      <c r="D451" s="82">
        <v>1</v>
      </c>
      <c r="E451" s="82">
        <v>8.8620005000000006</v>
      </c>
      <c r="F451" s="82">
        <v>8.8620004999999988</v>
      </c>
      <c r="G451" s="82">
        <v>29.660999</v>
      </c>
      <c r="H451" s="82">
        <v>29.660999000000007</v>
      </c>
      <c r="I451" s="83" t="s">
        <v>87</v>
      </c>
      <c r="J451" s="81" t="s">
        <v>102</v>
      </c>
      <c r="K451" s="80" t="s">
        <v>647</v>
      </c>
      <c r="L451" s="6" t="str">
        <f t="shared" si="6"/>
        <v>005-00000054</v>
      </c>
    </row>
    <row r="452" spans="1:12" hidden="1" x14ac:dyDescent="0.25">
      <c r="A452" s="80" t="s">
        <v>306</v>
      </c>
      <c r="B452" s="80" t="s">
        <v>307</v>
      </c>
      <c r="C452" s="81" t="s">
        <v>150</v>
      </c>
      <c r="D452" s="82">
        <v>1</v>
      </c>
      <c r="E452" s="82">
        <v>7.5869001999999996</v>
      </c>
      <c r="F452" s="82">
        <v>7.5869002000000014</v>
      </c>
      <c r="G452" s="82">
        <v>25.4237</v>
      </c>
      <c r="H452" s="82">
        <v>25.423700000000004</v>
      </c>
      <c r="I452" s="83" t="s">
        <v>87</v>
      </c>
      <c r="J452" s="81" t="s">
        <v>102</v>
      </c>
      <c r="K452" s="80" t="s">
        <v>647</v>
      </c>
      <c r="L452" s="6" t="str">
        <f t="shared" si="6"/>
        <v>005-00000054</v>
      </c>
    </row>
    <row r="453" spans="1:12" hidden="1" x14ac:dyDescent="0.25">
      <c r="A453" s="80" t="s">
        <v>304</v>
      </c>
      <c r="B453" s="80" t="s">
        <v>305</v>
      </c>
      <c r="C453" s="81" t="s">
        <v>150</v>
      </c>
      <c r="D453" s="82">
        <v>1</v>
      </c>
      <c r="E453" s="82">
        <v>7.5869001999999996</v>
      </c>
      <c r="F453" s="82">
        <v>7.5869002000000014</v>
      </c>
      <c r="G453" s="82">
        <v>25.4237</v>
      </c>
      <c r="H453" s="82">
        <v>25.423700000000004</v>
      </c>
      <c r="I453" s="83" t="s">
        <v>87</v>
      </c>
      <c r="J453" s="81" t="s">
        <v>102</v>
      </c>
      <c r="K453" s="80" t="s">
        <v>647</v>
      </c>
      <c r="L453" s="6" t="str">
        <f t="shared" ref="L453:L516" si="7">CONCATENATE(J453,"-",K453)</f>
        <v>005-00000054</v>
      </c>
    </row>
    <row r="454" spans="1:12" hidden="1" x14ac:dyDescent="0.25">
      <c r="A454" s="80" t="s">
        <v>403</v>
      </c>
      <c r="B454" s="80" t="s">
        <v>404</v>
      </c>
      <c r="C454" s="81" t="s">
        <v>150</v>
      </c>
      <c r="D454" s="82">
        <v>1</v>
      </c>
      <c r="E454" s="82">
        <v>20.328800000000001</v>
      </c>
      <c r="F454" s="82">
        <v>20.328800000000001</v>
      </c>
      <c r="G454" s="82">
        <v>67.796599999999998</v>
      </c>
      <c r="H454" s="82">
        <v>67.796599999999998</v>
      </c>
      <c r="I454" s="83" t="s">
        <v>87</v>
      </c>
      <c r="J454" s="81" t="s">
        <v>102</v>
      </c>
      <c r="K454" s="80" t="s">
        <v>647</v>
      </c>
      <c r="L454" s="6" t="str">
        <f t="shared" si="7"/>
        <v>005-00000054</v>
      </c>
    </row>
    <row r="455" spans="1:12" hidden="1" x14ac:dyDescent="0.25">
      <c r="A455" s="80" t="s">
        <v>540</v>
      </c>
      <c r="B455" s="80" t="s">
        <v>541</v>
      </c>
      <c r="C455" s="81" t="s">
        <v>153</v>
      </c>
      <c r="D455" s="82">
        <v>1</v>
      </c>
      <c r="E455" s="171">
        <v>88.513901000000004</v>
      </c>
      <c r="F455" s="171">
        <v>88.513901000000018</v>
      </c>
      <c r="G455" s="171">
        <v>296.60998999999998</v>
      </c>
      <c r="H455" s="171">
        <v>296.60998999999998</v>
      </c>
      <c r="I455" s="83" t="s">
        <v>87</v>
      </c>
      <c r="J455" s="81" t="s">
        <v>102</v>
      </c>
      <c r="K455" s="80" t="s">
        <v>647</v>
      </c>
      <c r="L455" s="6" t="str">
        <f t="shared" si="7"/>
        <v>005-00000054</v>
      </c>
    </row>
    <row r="456" spans="1:12" hidden="1" x14ac:dyDescent="0.25">
      <c r="A456" s="80" t="s">
        <v>1113</v>
      </c>
      <c r="B456" s="80" t="s">
        <v>1114</v>
      </c>
      <c r="C456" s="81" t="s">
        <v>150</v>
      </c>
      <c r="D456" s="82">
        <v>1</v>
      </c>
      <c r="E456" s="82">
        <v>37.346901000000003</v>
      </c>
      <c r="F456" s="82">
        <v>37.346901000000003</v>
      </c>
      <c r="G456" s="82">
        <v>125</v>
      </c>
      <c r="H456" s="82">
        <v>125</v>
      </c>
      <c r="I456" s="83" t="s">
        <v>87</v>
      </c>
      <c r="J456" s="81" t="s">
        <v>102</v>
      </c>
      <c r="K456" s="80" t="s">
        <v>646</v>
      </c>
      <c r="L456" s="6" t="str">
        <f t="shared" si="7"/>
        <v>005-00000055</v>
      </c>
    </row>
    <row r="457" spans="1:12" hidden="1" x14ac:dyDescent="0.25">
      <c r="A457" s="80" t="s">
        <v>740</v>
      </c>
      <c r="B457" s="80" t="s">
        <v>741</v>
      </c>
      <c r="C457" s="81" t="s">
        <v>150</v>
      </c>
      <c r="D457" s="82">
        <v>1</v>
      </c>
      <c r="E457" s="82">
        <v>61.460799999999999</v>
      </c>
      <c r="F457" s="82">
        <v>61.460800000000006</v>
      </c>
      <c r="G457" s="82">
        <v>205.74001000000001</v>
      </c>
      <c r="H457" s="82">
        <v>205.74001000000001</v>
      </c>
      <c r="I457" s="83" t="s">
        <v>87</v>
      </c>
      <c r="J457" s="81" t="s">
        <v>102</v>
      </c>
      <c r="K457" s="80" t="s">
        <v>646</v>
      </c>
      <c r="L457" s="6" t="str">
        <f t="shared" si="7"/>
        <v>005-00000055</v>
      </c>
    </row>
    <row r="458" spans="1:12" hidden="1" x14ac:dyDescent="0.25">
      <c r="A458" s="80" t="s">
        <v>1123</v>
      </c>
      <c r="B458" s="80" t="s">
        <v>1124</v>
      </c>
      <c r="C458" s="81" t="s">
        <v>150</v>
      </c>
      <c r="D458" s="82">
        <v>1</v>
      </c>
      <c r="E458" s="82">
        <v>7.5960001999999998</v>
      </c>
      <c r="F458" s="82">
        <v>7.5960001999999971</v>
      </c>
      <c r="G458" s="82">
        <v>25.4237</v>
      </c>
      <c r="H458" s="82">
        <v>25.423700000000004</v>
      </c>
      <c r="I458" s="83" t="s">
        <v>87</v>
      </c>
      <c r="J458" s="81" t="s">
        <v>102</v>
      </c>
      <c r="K458" s="80" t="s">
        <v>646</v>
      </c>
      <c r="L458" s="6" t="str">
        <f t="shared" si="7"/>
        <v>005-00000055</v>
      </c>
    </row>
    <row r="459" spans="1:12" hidden="1" x14ac:dyDescent="0.25">
      <c r="A459" s="80" t="s">
        <v>533</v>
      </c>
      <c r="B459" s="80" t="s">
        <v>534</v>
      </c>
      <c r="C459" s="81" t="s">
        <v>150</v>
      </c>
      <c r="D459" s="82">
        <v>1</v>
      </c>
      <c r="E459" s="82">
        <v>71.150902000000002</v>
      </c>
      <c r="F459" s="82">
        <v>71.150902000000016</v>
      </c>
      <c r="G459" s="82">
        <v>237.28809999999999</v>
      </c>
      <c r="H459" s="82">
        <v>237.28810000000001</v>
      </c>
      <c r="I459" s="83" t="s">
        <v>87</v>
      </c>
      <c r="J459" s="81" t="s">
        <v>102</v>
      </c>
      <c r="K459" s="80" t="s">
        <v>646</v>
      </c>
      <c r="L459" s="6" t="str">
        <f t="shared" si="7"/>
        <v>005-00000055</v>
      </c>
    </row>
    <row r="460" spans="1:12" hidden="1" x14ac:dyDescent="0.25">
      <c r="A460" s="80" t="s">
        <v>241</v>
      </c>
      <c r="B460" s="80" t="s">
        <v>242</v>
      </c>
      <c r="C460" s="81" t="s">
        <v>150</v>
      </c>
      <c r="D460" s="82">
        <v>1</v>
      </c>
      <c r="E460" s="82">
        <v>10.1158</v>
      </c>
      <c r="F460" s="82">
        <v>10.1158</v>
      </c>
      <c r="G460" s="82">
        <v>33.897998999999999</v>
      </c>
      <c r="H460" s="82">
        <v>33.897998999999999</v>
      </c>
      <c r="I460" s="83" t="s">
        <v>87</v>
      </c>
      <c r="J460" s="81" t="s">
        <v>102</v>
      </c>
      <c r="K460" s="80" t="s">
        <v>646</v>
      </c>
      <c r="L460" s="6" t="str">
        <f t="shared" si="7"/>
        <v>005-00000055</v>
      </c>
    </row>
    <row r="461" spans="1:12" hidden="1" x14ac:dyDescent="0.25">
      <c r="A461" s="80" t="s">
        <v>1040</v>
      </c>
      <c r="B461" s="80" t="s">
        <v>408</v>
      </c>
      <c r="C461" s="81" t="s">
        <v>150</v>
      </c>
      <c r="D461" s="82">
        <v>4</v>
      </c>
      <c r="E461" s="82">
        <v>1.8984999999999999</v>
      </c>
      <c r="F461" s="82">
        <v>7.5939999999999994</v>
      </c>
      <c r="G461" s="82">
        <v>6.3558998000000004</v>
      </c>
      <c r="H461" s="82">
        <v>25.423599200000002</v>
      </c>
      <c r="I461" s="83" t="s">
        <v>87</v>
      </c>
      <c r="J461" s="81" t="s">
        <v>102</v>
      </c>
      <c r="K461" s="80" t="s">
        <v>636</v>
      </c>
      <c r="L461" s="6" t="str">
        <f t="shared" si="7"/>
        <v>005-00000065</v>
      </c>
    </row>
    <row r="462" spans="1:12" hidden="1" x14ac:dyDescent="0.25">
      <c r="A462" s="80" t="s">
        <v>342</v>
      </c>
      <c r="B462" s="80" t="s">
        <v>343</v>
      </c>
      <c r="C462" s="81" t="s">
        <v>150</v>
      </c>
      <c r="D462" s="82">
        <v>2</v>
      </c>
      <c r="E462" s="82">
        <v>0.14929998999999999</v>
      </c>
      <c r="F462" s="82">
        <v>0.29859997999999999</v>
      </c>
      <c r="G462" s="82">
        <v>0.5</v>
      </c>
      <c r="H462" s="82">
        <v>1</v>
      </c>
      <c r="I462" s="83" t="s">
        <v>87</v>
      </c>
      <c r="J462" s="81" t="s">
        <v>102</v>
      </c>
      <c r="K462" s="80" t="s">
        <v>636</v>
      </c>
      <c r="L462" s="6" t="str">
        <f t="shared" si="7"/>
        <v>005-00000065</v>
      </c>
    </row>
    <row r="463" spans="1:12" hidden="1" x14ac:dyDescent="0.25">
      <c r="A463" s="80" t="s">
        <v>740</v>
      </c>
      <c r="B463" s="80" t="s">
        <v>741</v>
      </c>
      <c r="C463" s="81" t="s">
        <v>150</v>
      </c>
      <c r="D463" s="82">
        <v>1</v>
      </c>
      <c r="E463" s="171">
        <v>61.460799999999999</v>
      </c>
      <c r="F463" s="171">
        <v>61.460800000000006</v>
      </c>
      <c r="G463" s="171">
        <v>205.74001000000001</v>
      </c>
      <c r="H463" s="171">
        <v>205.74001000000001</v>
      </c>
      <c r="I463" s="83" t="s">
        <v>87</v>
      </c>
      <c r="J463" s="81" t="s">
        <v>102</v>
      </c>
      <c r="K463" s="80" t="s">
        <v>636</v>
      </c>
      <c r="L463" s="6" t="str">
        <f t="shared" si="7"/>
        <v>005-00000065</v>
      </c>
    </row>
    <row r="464" spans="1:12" hidden="1" x14ac:dyDescent="0.25">
      <c r="A464" s="80" t="s">
        <v>227</v>
      </c>
      <c r="B464" s="80" t="s">
        <v>194</v>
      </c>
      <c r="C464" s="81" t="s">
        <v>88</v>
      </c>
      <c r="D464" s="82">
        <v>1</v>
      </c>
      <c r="E464" s="82">
        <v>1.7628999999999999</v>
      </c>
      <c r="F464" s="82">
        <v>1.7628999999999997</v>
      </c>
      <c r="G464" s="82">
        <v>5.9321999999999999</v>
      </c>
      <c r="H464" s="82">
        <v>5.9322000000000017</v>
      </c>
      <c r="I464" s="83" t="s">
        <v>87</v>
      </c>
      <c r="J464" s="81" t="s">
        <v>102</v>
      </c>
      <c r="K464" s="80" t="s">
        <v>636</v>
      </c>
      <c r="L464" s="6" t="str">
        <f t="shared" si="7"/>
        <v>005-00000065</v>
      </c>
    </row>
    <row r="465" spans="1:12" hidden="1" x14ac:dyDescent="0.25">
      <c r="A465" s="80" t="s">
        <v>340</v>
      </c>
      <c r="B465" s="80" t="s">
        <v>341</v>
      </c>
      <c r="C465" s="81" t="s">
        <v>150</v>
      </c>
      <c r="D465" s="82">
        <v>4</v>
      </c>
      <c r="E465" s="82">
        <v>7.5888</v>
      </c>
      <c r="F465" s="82">
        <v>30.3552</v>
      </c>
      <c r="G465" s="82">
        <v>25.422501</v>
      </c>
      <c r="H465" s="82">
        <v>101.69000400000003</v>
      </c>
      <c r="I465" s="83" t="s">
        <v>87</v>
      </c>
      <c r="J465" s="81" t="s">
        <v>102</v>
      </c>
      <c r="K465" s="80" t="s">
        <v>635</v>
      </c>
      <c r="L465" s="6" t="str">
        <f t="shared" si="7"/>
        <v>005-00000066</v>
      </c>
    </row>
    <row r="466" spans="1:12" hidden="1" x14ac:dyDescent="0.25">
      <c r="A466" s="80" t="s">
        <v>1117</v>
      </c>
      <c r="B466" s="80" t="s">
        <v>1118</v>
      </c>
      <c r="C466" s="81" t="s">
        <v>150</v>
      </c>
      <c r="D466" s="82">
        <v>4</v>
      </c>
      <c r="E466" s="82">
        <v>37.346901000000003</v>
      </c>
      <c r="F466" s="82">
        <v>149.38760400000001</v>
      </c>
      <c r="G466" s="82">
        <v>125</v>
      </c>
      <c r="H466" s="82">
        <v>500</v>
      </c>
      <c r="I466" s="83" t="s">
        <v>87</v>
      </c>
      <c r="J466" s="81" t="s">
        <v>102</v>
      </c>
      <c r="K466" s="80" t="s">
        <v>633</v>
      </c>
      <c r="L466" s="6" t="str">
        <f t="shared" si="7"/>
        <v>005-00000069</v>
      </c>
    </row>
    <row r="467" spans="1:12" hidden="1" x14ac:dyDescent="0.25">
      <c r="A467" s="80" t="s">
        <v>240</v>
      </c>
      <c r="B467" s="80" t="s">
        <v>229</v>
      </c>
      <c r="C467" s="81" t="s">
        <v>150</v>
      </c>
      <c r="D467" s="82">
        <v>1</v>
      </c>
      <c r="E467" s="82">
        <v>10.164400000000001</v>
      </c>
      <c r="F467" s="82">
        <v>10.164400000000001</v>
      </c>
      <c r="G467" s="82">
        <v>33.898299999999999</v>
      </c>
      <c r="H467" s="82">
        <v>33.898299999999999</v>
      </c>
      <c r="I467" s="83" t="s">
        <v>87</v>
      </c>
      <c r="J467" s="81" t="s">
        <v>102</v>
      </c>
      <c r="K467" s="80" t="s">
        <v>633</v>
      </c>
      <c r="L467" s="6" t="str">
        <f t="shared" si="7"/>
        <v>005-00000069</v>
      </c>
    </row>
    <row r="468" spans="1:12" hidden="1" x14ac:dyDescent="0.25">
      <c r="A468" s="80" t="s">
        <v>224</v>
      </c>
      <c r="B468" s="80" t="s">
        <v>225</v>
      </c>
      <c r="C468" s="81" t="s">
        <v>226</v>
      </c>
      <c r="D468" s="82">
        <v>1</v>
      </c>
      <c r="E468" s="82">
        <v>63.527599000000002</v>
      </c>
      <c r="F468" s="82">
        <v>63.527599000000002</v>
      </c>
      <c r="G468" s="82">
        <v>211.86439999999999</v>
      </c>
      <c r="H468" s="82">
        <v>211.86439999999999</v>
      </c>
      <c r="I468" s="83" t="s">
        <v>87</v>
      </c>
      <c r="J468" s="81" t="s">
        <v>102</v>
      </c>
      <c r="K468" s="80" t="s">
        <v>633</v>
      </c>
      <c r="L468" s="6" t="str">
        <f t="shared" si="7"/>
        <v>005-00000069</v>
      </c>
    </row>
    <row r="469" spans="1:12" hidden="1" x14ac:dyDescent="0.25">
      <c r="A469" s="80" t="s">
        <v>1036</v>
      </c>
      <c r="B469" s="80" t="s">
        <v>1037</v>
      </c>
      <c r="C469" s="81" t="s">
        <v>150</v>
      </c>
      <c r="D469" s="82">
        <v>1</v>
      </c>
      <c r="E469" s="171">
        <v>10.1158</v>
      </c>
      <c r="F469" s="171">
        <v>10.1158</v>
      </c>
      <c r="G469" s="171">
        <v>33.897998999999999</v>
      </c>
      <c r="H469" s="171">
        <v>33.897998999999999</v>
      </c>
      <c r="I469" s="83" t="s">
        <v>87</v>
      </c>
      <c r="J469" s="81" t="s">
        <v>102</v>
      </c>
      <c r="K469" s="80" t="s">
        <v>633</v>
      </c>
      <c r="L469" s="6" t="str">
        <f t="shared" si="7"/>
        <v>005-00000069</v>
      </c>
    </row>
    <row r="470" spans="1:12" hidden="1" x14ac:dyDescent="0.25">
      <c r="A470" s="80" t="s">
        <v>1115</v>
      </c>
      <c r="B470" s="80" t="s">
        <v>1116</v>
      </c>
      <c r="C470" s="81" t="s">
        <v>150</v>
      </c>
      <c r="D470" s="82">
        <v>1</v>
      </c>
      <c r="E470" s="82">
        <v>9.4896001999999999</v>
      </c>
      <c r="F470" s="82">
        <v>9.4896001999999999</v>
      </c>
      <c r="G470" s="82">
        <v>31.790001000000004</v>
      </c>
      <c r="H470" s="82">
        <v>31.790001000000007</v>
      </c>
      <c r="I470" s="83" t="s">
        <v>87</v>
      </c>
      <c r="J470" s="81" t="s">
        <v>102</v>
      </c>
      <c r="K470" s="80" t="s">
        <v>633</v>
      </c>
      <c r="L470" s="6" t="str">
        <f t="shared" si="7"/>
        <v>005-00000069</v>
      </c>
    </row>
    <row r="471" spans="1:12" hidden="1" x14ac:dyDescent="0.25">
      <c r="A471" s="80" t="s">
        <v>562</v>
      </c>
      <c r="B471" s="80" t="s">
        <v>563</v>
      </c>
      <c r="C471" s="81" t="s">
        <v>150</v>
      </c>
      <c r="D471" s="82">
        <v>1</v>
      </c>
      <c r="E471" s="82">
        <v>12.6448</v>
      </c>
      <c r="F471" s="82">
        <v>12.644800000000002</v>
      </c>
      <c r="G471" s="82">
        <v>42.372897999999992</v>
      </c>
      <c r="H471" s="82">
        <v>42.372897999999985</v>
      </c>
      <c r="I471" s="83" t="s">
        <v>87</v>
      </c>
      <c r="J471" s="81" t="s">
        <v>102</v>
      </c>
      <c r="K471" s="80" t="s">
        <v>633</v>
      </c>
      <c r="L471" s="6" t="str">
        <f t="shared" si="7"/>
        <v>005-00000069</v>
      </c>
    </row>
    <row r="472" spans="1:12" hidden="1" x14ac:dyDescent="0.25">
      <c r="A472" s="80" t="s">
        <v>1077</v>
      </c>
      <c r="B472" s="80" t="s">
        <v>1078</v>
      </c>
      <c r="C472" s="81" t="s">
        <v>150</v>
      </c>
      <c r="D472" s="82">
        <v>1</v>
      </c>
      <c r="E472" s="82">
        <v>9.2954998</v>
      </c>
      <c r="F472" s="82">
        <v>9.2954998000000018</v>
      </c>
      <c r="G472" s="82">
        <v>31.139999</v>
      </c>
      <c r="H472" s="82">
        <v>31.139999000000007</v>
      </c>
      <c r="I472" s="83" t="s">
        <v>87</v>
      </c>
      <c r="J472" s="81" t="s">
        <v>102</v>
      </c>
      <c r="K472" s="80" t="s">
        <v>633</v>
      </c>
      <c r="L472" s="6" t="str">
        <f t="shared" si="7"/>
        <v>005-00000069</v>
      </c>
    </row>
    <row r="473" spans="1:12" hidden="1" x14ac:dyDescent="0.25">
      <c r="A473" s="80" t="s">
        <v>1081</v>
      </c>
      <c r="B473" s="80" t="s">
        <v>1010</v>
      </c>
      <c r="C473" s="81" t="s">
        <v>153</v>
      </c>
      <c r="D473" s="82">
        <v>1</v>
      </c>
      <c r="E473" s="171">
        <v>45.739100999999998</v>
      </c>
      <c r="F473" s="171">
        <v>45.739100999999998</v>
      </c>
      <c r="G473" s="171">
        <v>152.53998999999999</v>
      </c>
      <c r="H473" s="171">
        <v>152.53999000000002</v>
      </c>
      <c r="I473" s="83" t="s">
        <v>87</v>
      </c>
      <c r="J473" s="81" t="s">
        <v>102</v>
      </c>
      <c r="K473" s="80" t="s">
        <v>631</v>
      </c>
      <c r="L473" s="6" t="str">
        <f t="shared" si="7"/>
        <v>005-00000079</v>
      </c>
    </row>
    <row r="474" spans="1:12" hidden="1" x14ac:dyDescent="0.25">
      <c r="A474" s="80" t="s">
        <v>435</v>
      </c>
      <c r="B474" s="80" t="s">
        <v>436</v>
      </c>
      <c r="C474" s="81" t="s">
        <v>153</v>
      </c>
      <c r="D474" s="82">
        <v>1</v>
      </c>
      <c r="E474" s="82">
        <v>38.116501</v>
      </c>
      <c r="F474" s="82">
        <v>38.116501</v>
      </c>
      <c r="G474" s="82">
        <v>127.1186</v>
      </c>
      <c r="H474" s="82">
        <v>127.1186</v>
      </c>
      <c r="I474" s="83" t="s">
        <v>87</v>
      </c>
      <c r="J474" s="81" t="s">
        <v>102</v>
      </c>
      <c r="K474" s="80" t="s">
        <v>631</v>
      </c>
      <c r="L474" s="6" t="str">
        <f t="shared" si="7"/>
        <v>005-00000079</v>
      </c>
    </row>
    <row r="475" spans="1:12" hidden="1" x14ac:dyDescent="0.25">
      <c r="A475" s="80" t="s">
        <v>1117</v>
      </c>
      <c r="B475" s="80" t="s">
        <v>1118</v>
      </c>
      <c r="C475" s="81" t="s">
        <v>150</v>
      </c>
      <c r="D475" s="82">
        <v>2</v>
      </c>
      <c r="E475" s="82">
        <v>37.346901000000003</v>
      </c>
      <c r="F475" s="82">
        <v>74.693802000000005</v>
      </c>
      <c r="G475" s="82">
        <v>125</v>
      </c>
      <c r="H475" s="82">
        <v>250</v>
      </c>
      <c r="I475" s="83" t="s">
        <v>87</v>
      </c>
      <c r="J475" s="81" t="s">
        <v>102</v>
      </c>
      <c r="K475" s="80" t="s">
        <v>631</v>
      </c>
      <c r="L475" s="6" t="str">
        <f t="shared" si="7"/>
        <v>005-00000079</v>
      </c>
    </row>
    <row r="476" spans="1:12" hidden="1" x14ac:dyDescent="0.25">
      <c r="A476" s="80" t="s">
        <v>546</v>
      </c>
      <c r="B476" s="80" t="s">
        <v>547</v>
      </c>
      <c r="C476" s="81" t="s">
        <v>153</v>
      </c>
      <c r="D476" s="82">
        <v>1</v>
      </c>
      <c r="E476" s="82">
        <v>25.289699999999996</v>
      </c>
      <c r="F476" s="82">
        <v>25.289699999999993</v>
      </c>
      <c r="G476" s="82">
        <v>84.745795999999984</v>
      </c>
      <c r="H476" s="82">
        <v>84.74579599999997</v>
      </c>
      <c r="I476" s="83" t="s">
        <v>87</v>
      </c>
      <c r="J476" s="81" t="s">
        <v>102</v>
      </c>
      <c r="K476" s="80" t="s">
        <v>631</v>
      </c>
      <c r="L476" s="6" t="str">
        <f t="shared" si="7"/>
        <v>005-00000079</v>
      </c>
    </row>
    <row r="477" spans="1:12" hidden="1" x14ac:dyDescent="0.25">
      <c r="A477" s="80" t="s">
        <v>502</v>
      </c>
      <c r="B477" s="80" t="s">
        <v>503</v>
      </c>
      <c r="C477" s="81" t="s">
        <v>153</v>
      </c>
      <c r="D477" s="82">
        <v>1</v>
      </c>
      <c r="E477" s="82">
        <v>17.702801000000001</v>
      </c>
      <c r="F477" s="82">
        <v>17.702801000000001</v>
      </c>
      <c r="G477" s="82">
        <v>59.321998999999998</v>
      </c>
      <c r="H477" s="82">
        <v>59.321998999999998</v>
      </c>
      <c r="I477" s="83" t="s">
        <v>87</v>
      </c>
      <c r="J477" s="81" t="s">
        <v>102</v>
      </c>
      <c r="K477" s="80" t="s">
        <v>631</v>
      </c>
      <c r="L477" s="6" t="str">
        <f t="shared" si="7"/>
        <v>005-00000079</v>
      </c>
    </row>
    <row r="478" spans="1:12" hidden="1" x14ac:dyDescent="0.25">
      <c r="A478" s="80" t="s">
        <v>346</v>
      </c>
      <c r="B478" s="80" t="s">
        <v>347</v>
      </c>
      <c r="C478" s="81" t="s">
        <v>153</v>
      </c>
      <c r="D478" s="82">
        <v>1</v>
      </c>
      <c r="E478" s="82">
        <v>2.5288998999999999</v>
      </c>
      <c r="F478" s="82">
        <v>2.5288999000000003</v>
      </c>
      <c r="G478" s="82">
        <v>8.4744997000000009</v>
      </c>
      <c r="H478" s="82">
        <v>8.4744997000000009</v>
      </c>
      <c r="I478" s="83" t="s">
        <v>87</v>
      </c>
      <c r="J478" s="81" t="s">
        <v>102</v>
      </c>
      <c r="K478" s="80" t="s">
        <v>631</v>
      </c>
      <c r="L478" s="6" t="str">
        <f t="shared" si="7"/>
        <v>005-00000079</v>
      </c>
    </row>
    <row r="479" spans="1:12" hidden="1" x14ac:dyDescent="0.25">
      <c r="A479" s="80" t="s">
        <v>170</v>
      </c>
      <c r="B479" s="80" t="s">
        <v>169</v>
      </c>
      <c r="C479" s="81" t="s">
        <v>150</v>
      </c>
      <c r="D479" s="82">
        <v>1</v>
      </c>
      <c r="E479" s="82">
        <v>11.394</v>
      </c>
      <c r="F479" s="82">
        <v>11.394000000000004</v>
      </c>
      <c r="G479" s="82">
        <v>38.135601000000001</v>
      </c>
      <c r="H479" s="82">
        <v>38.135601000000001</v>
      </c>
      <c r="I479" s="83" t="s">
        <v>87</v>
      </c>
      <c r="J479" s="81" t="s">
        <v>102</v>
      </c>
      <c r="K479" s="80" t="s">
        <v>631</v>
      </c>
      <c r="L479" s="6" t="str">
        <f t="shared" si="7"/>
        <v>005-00000079</v>
      </c>
    </row>
    <row r="480" spans="1:12" hidden="1" x14ac:dyDescent="0.25">
      <c r="A480" s="80" t="s">
        <v>425</v>
      </c>
      <c r="B480" s="80" t="s">
        <v>426</v>
      </c>
      <c r="C480" s="81" t="s">
        <v>150</v>
      </c>
      <c r="D480" s="82">
        <v>1</v>
      </c>
      <c r="E480" s="171">
        <v>32.935699</v>
      </c>
      <c r="F480" s="171">
        <v>32.935699</v>
      </c>
      <c r="G480" s="171">
        <v>110.16950000000001</v>
      </c>
      <c r="H480" s="171">
        <v>110.16950000000003</v>
      </c>
      <c r="I480" s="83" t="s">
        <v>87</v>
      </c>
      <c r="J480" s="81" t="s">
        <v>102</v>
      </c>
      <c r="K480" s="80" t="s">
        <v>631</v>
      </c>
      <c r="L480" s="6" t="str">
        <f t="shared" si="7"/>
        <v>005-00000079</v>
      </c>
    </row>
    <row r="481" spans="1:12" x14ac:dyDescent="0.25">
      <c r="A481" s="80" t="s">
        <v>569</v>
      </c>
      <c r="B481" s="80" t="s">
        <v>570</v>
      </c>
      <c r="C481" s="81" t="s">
        <v>150</v>
      </c>
      <c r="D481" s="82">
        <v>1</v>
      </c>
      <c r="E481" s="82">
        <v>20.889299000000001</v>
      </c>
      <c r="F481" s="82">
        <v>20.889299000000005</v>
      </c>
      <c r="G481" s="82">
        <v>70</v>
      </c>
      <c r="H481" s="82">
        <v>70</v>
      </c>
      <c r="I481" s="83" t="s">
        <v>87</v>
      </c>
      <c r="J481" s="81" t="s">
        <v>102</v>
      </c>
      <c r="K481" s="80" t="s">
        <v>631</v>
      </c>
      <c r="L481" s="6" t="str">
        <f t="shared" si="7"/>
        <v>005-00000079</v>
      </c>
    </row>
    <row r="482" spans="1:12" hidden="1" x14ac:dyDescent="0.25">
      <c r="A482" s="80" t="s">
        <v>1038</v>
      </c>
      <c r="B482" s="80" t="s">
        <v>1039</v>
      </c>
      <c r="C482" s="81" t="s">
        <v>150</v>
      </c>
      <c r="D482" s="82">
        <v>1</v>
      </c>
      <c r="E482" s="82">
        <v>37.346901000000003</v>
      </c>
      <c r="F482" s="82">
        <v>37.346901000000003</v>
      </c>
      <c r="G482" s="82">
        <v>125</v>
      </c>
      <c r="H482" s="82">
        <v>125</v>
      </c>
      <c r="I482" s="83" t="s">
        <v>87</v>
      </c>
      <c r="J482" s="81" t="s">
        <v>102</v>
      </c>
      <c r="K482" s="80" t="s">
        <v>630</v>
      </c>
      <c r="L482" s="6" t="str">
        <f t="shared" si="7"/>
        <v>005-00000085</v>
      </c>
    </row>
    <row r="483" spans="1:12" hidden="1" x14ac:dyDescent="0.25">
      <c r="A483" s="80" t="s">
        <v>497</v>
      </c>
      <c r="B483" s="80" t="s">
        <v>498</v>
      </c>
      <c r="C483" s="81" t="s">
        <v>150</v>
      </c>
      <c r="D483" s="82">
        <v>1</v>
      </c>
      <c r="E483" s="82">
        <v>77.844299000000007</v>
      </c>
      <c r="F483" s="82">
        <v>77.844299000000021</v>
      </c>
      <c r="G483" s="82">
        <v>260</v>
      </c>
      <c r="H483" s="82">
        <v>260</v>
      </c>
      <c r="I483" s="83" t="s">
        <v>87</v>
      </c>
      <c r="J483" s="81" t="s">
        <v>102</v>
      </c>
      <c r="K483" s="80" t="s">
        <v>630</v>
      </c>
      <c r="L483" s="6" t="str">
        <f t="shared" si="7"/>
        <v>005-00000085</v>
      </c>
    </row>
    <row r="484" spans="1:12" hidden="1" x14ac:dyDescent="0.25">
      <c r="A484" s="80" t="s">
        <v>1115</v>
      </c>
      <c r="B484" s="80" t="s">
        <v>1116</v>
      </c>
      <c r="C484" s="81" t="s">
        <v>150</v>
      </c>
      <c r="D484" s="82">
        <v>1</v>
      </c>
      <c r="E484" s="82">
        <v>9.4896001999999999</v>
      </c>
      <c r="F484" s="82">
        <v>9.4896001999999999</v>
      </c>
      <c r="G484" s="82">
        <v>31.790001000000004</v>
      </c>
      <c r="H484" s="82">
        <v>31.790001000000007</v>
      </c>
      <c r="I484" s="83" t="s">
        <v>87</v>
      </c>
      <c r="J484" s="81" t="s">
        <v>102</v>
      </c>
      <c r="K484" s="80" t="s">
        <v>708</v>
      </c>
      <c r="L484" s="6" t="str">
        <f t="shared" si="7"/>
        <v>005-00000089</v>
      </c>
    </row>
    <row r="485" spans="1:12" hidden="1" x14ac:dyDescent="0.25">
      <c r="A485" s="80" t="s">
        <v>224</v>
      </c>
      <c r="B485" s="80" t="s">
        <v>225</v>
      </c>
      <c r="C485" s="81" t="s">
        <v>226</v>
      </c>
      <c r="D485" s="82">
        <v>1</v>
      </c>
      <c r="E485" s="82">
        <v>63.527599000000002</v>
      </c>
      <c r="F485" s="82">
        <v>63.527599000000002</v>
      </c>
      <c r="G485" s="82">
        <v>211.86439999999999</v>
      </c>
      <c r="H485" s="82">
        <v>211.86439999999999</v>
      </c>
      <c r="I485" s="83" t="s">
        <v>87</v>
      </c>
      <c r="J485" s="81" t="s">
        <v>102</v>
      </c>
      <c r="K485" s="80" t="s">
        <v>708</v>
      </c>
      <c r="L485" s="13" t="str">
        <f t="shared" si="7"/>
        <v>005-00000089</v>
      </c>
    </row>
    <row r="486" spans="1:12" hidden="1" x14ac:dyDescent="0.25">
      <c r="A486" s="80" t="s">
        <v>1075</v>
      </c>
      <c r="B486" s="80" t="s">
        <v>1076</v>
      </c>
      <c r="C486" s="81" t="s">
        <v>150</v>
      </c>
      <c r="D486" s="82">
        <v>1</v>
      </c>
      <c r="E486" s="82">
        <v>8.8620005000000006</v>
      </c>
      <c r="F486" s="82">
        <v>8.8620004999999988</v>
      </c>
      <c r="G486" s="82">
        <v>29.660999</v>
      </c>
      <c r="H486" s="82">
        <v>29.660999000000007</v>
      </c>
      <c r="I486" s="83" t="s">
        <v>87</v>
      </c>
      <c r="J486" s="81" t="s">
        <v>102</v>
      </c>
      <c r="K486" s="80" t="s">
        <v>708</v>
      </c>
      <c r="L486" s="6" t="str">
        <f t="shared" si="7"/>
        <v>005-00000089</v>
      </c>
    </row>
    <row r="487" spans="1:12" hidden="1" x14ac:dyDescent="0.25">
      <c r="A487" s="80" t="s">
        <v>384</v>
      </c>
      <c r="B487" s="80" t="s">
        <v>385</v>
      </c>
      <c r="C487" s="81" t="s">
        <v>150</v>
      </c>
      <c r="D487" s="82">
        <v>1</v>
      </c>
      <c r="E487" s="82">
        <v>7.5869001999999996</v>
      </c>
      <c r="F487" s="82">
        <v>7.5869002000000014</v>
      </c>
      <c r="G487" s="82">
        <v>25.4237</v>
      </c>
      <c r="H487" s="82">
        <v>25.423700000000004</v>
      </c>
      <c r="I487" s="83" t="s">
        <v>87</v>
      </c>
      <c r="J487" s="81" t="s">
        <v>102</v>
      </c>
      <c r="K487" s="80" t="s">
        <v>708</v>
      </c>
      <c r="L487" s="6" t="str">
        <f t="shared" si="7"/>
        <v>005-00000089</v>
      </c>
    </row>
    <row r="488" spans="1:12" hidden="1" x14ac:dyDescent="0.25">
      <c r="A488" s="80" t="s">
        <v>1038</v>
      </c>
      <c r="B488" s="80" t="s">
        <v>1039</v>
      </c>
      <c r="C488" s="81" t="s">
        <v>150</v>
      </c>
      <c r="D488" s="82">
        <v>2</v>
      </c>
      <c r="E488" s="82">
        <v>37.346901000000003</v>
      </c>
      <c r="F488" s="82">
        <v>74.693802000000005</v>
      </c>
      <c r="G488" s="82">
        <v>125</v>
      </c>
      <c r="H488" s="82">
        <v>250</v>
      </c>
      <c r="I488" s="83" t="s">
        <v>87</v>
      </c>
      <c r="J488" s="81" t="s">
        <v>102</v>
      </c>
      <c r="K488" s="80" t="s">
        <v>708</v>
      </c>
      <c r="L488" s="6" t="str">
        <f t="shared" si="7"/>
        <v>005-00000089</v>
      </c>
    </row>
    <row r="489" spans="1:12" hidden="1" x14ac:dyDescent="0.25">
      <c r="A489" s="80" t="s">
        <v>224</v>
      </c>
      <c r="B489" s="80" t="s">
        <v>225</v>
      </c>
      <c r="C489" s="81" t="s">
        <v>226</v>
      </c>
      <c r="D489" s="82">
        <v>1</v>
      </c>
      <c r="E489" s="171">
        <v>63.527599000000002</v>
      </c>
      <c r="F489" s="171">
        <v>63.527599000000002</v>
      </c>
      <c r="G489" s="171">
        <v>211.86439999999999</v>
      </c>
      <c r="H489" s="171">
        <v>211.86439999999999</v>
      </c>
      <c r="I489" s="83" t="s">
        <v>87</v>
      </c>
      <c r="J489" s="81" t="s">
        <v>102</v>
      </c>
      <c r="K489" s="80" t="s">
        <v>629</v>
      </c>
      <c r="L489" s="6" t="str">
        <f t="shared" si="7"/>
        <v>005-00000090</v>
      </c>
    </row>
    <row r="490" spans="1:12" hidden="1" x14ac:dyDescent="0.25">
      <c r="A490" s="80" t="s">
        <v>362</v>
      </c>
      <c r="B490" s="80" t="s">
        <v>363</v>
      </c>
      <c r="C490" s="81" t="s">
        <v>153</v>
      </c>
      <c r="D490" s="82">
        <v>1</v>
      </c>
      <c r="E490" s="82">
        <v>38.116501</v>
      </c>
      <c r="F490" s="82">
        <v>38.116501</v>
      </c>
      <c r="G490" s="82">
        <v>127.1186</v>
      </c>
      <c r="H490" s="82">
        <v>127.1186</v>
      </c>
      <c r="I490" s="83" t="s">
        <v>87</v>
      </c>
      <c r="J490" s="81" t="s">
        <v>102</v>
      </c>
      <c r="K490" s="80" t="s">
        <v>629</v>
      </c>
      <c r="L490" s="6" t="str">
        <f t="shared" si="7"/>
        <v>005-00000090</v>
      </c>
    </row>
    <row r="491" spans="1:12" hidden="1" x14ac:dyDescent="0.25">
      <c r="A491" s="80" t="s">
        <v>1040</v>
      </c>
      <c r="B491" s="80" t="s">
        <v>408</v>
      </c>
      <c r="C491" s="81" t="s">
        <v>150</v>
      </c>
      <c r="D491" s="82">
        <v>4</v>
      </c>
      <c r="E491" s="82">
        <v>1.8984999999999999</v>
      </c>
      <c r="F491" s="82">
        <v>7.5939999999999994</v>
      </c>
      <c r="G491" s="82">
        <v>6.3558998000000004</v>
      </c>
      <c r="H491" s="82">
        <v>25.423599200000002</v>
      </c>
      <c r="I491" s="83" t="s">
        <v>87</v>
      </c>
      <c r="J491" s="81" t="s">
        <v>102</v>
      </c>
      <c r="K491" s="80" t="s">
        <v>629</v>
      </c>
      <c r="L491" s="6" t="str">
        <f t="shared" si="7"/>
        <v>005-00000090</v>
      </c>
    </row>
    <row r="492" spans="1:12" hidden="1" x14ac:dyDescent="0.25">
      <c r="A492" s="80" t="s">
        <v>401</v>
      </c>
      <c r="B492" s="80" t="s">
        <v>402</v>
      </c>
      <c r="C492" s="81" t="s">
        <v>150</v>
      </c>
      <c r="D492" s="82">
        <v>1</v>
      </c>
      <c r="E492" s="82">
        <v>11.435</v>
      </c>
      <c r="F492" s="82">
        <v>11.435</v>
      </c>
      <c r="G492" s="82">
        <v>38.135601000000001</v>
      </c>
      <c r="H492" s="82">
        <v>38.135601000000001</v>
      </c>
      <c r="I492" s="83" t="s">
        <v>87</v>
      </c>
      <c r="J492" s="81" t="s">
        <v>102</v>
      </c>
      <c r="K492" s="80" t="s">
        <v>629</v>
      </c>
      <c r="L492" s="6" t="str">
        <f t="shared" si="7"/>
        <v>005-00000090</v>
      </c>
    </row>
    <row r="493" spans="1:12" hidden="1" x14ac:dyDescent="0.25">
      <c r="A493" s="80" t="s">
        <v>548</v>
      </c>
      <c r="B493" s="80" t="s">
        <v>549</v>
      </c>
      <c r="C493" s="81" t="s">
        <v>150</v>
      </c>
      <c r="D493" s="82">
        <v>1</v>
      </c>
      <c r="E493" s="82">
        <v>25.410999</v>
      </c>
      <c r="F493" s="82">
        <v>25.410999000000007</v>
      </c>
      <c r="G493" s="82">
        <v>84.745795999999984</v>
      </c>
      <c r="H493" s="82">
        <v>84.74579599999997</v>
      </c>
      <c r="I493" s="83" t="s">
        <v>87</v>
      </c>
      <c r="J493" s="81" t="s">
        <v>102</v>
      </c>
      <c r="K493" s="80" t="s">
        <v>629</v>
      </c>
      <c r="L493" s="6" t="str">
        <f t="shared" si="7"/>
        <v>005-00000090</v>
      </c>
    </row>
    <row r="494" spans="1:12" hidden="1" x14ac:dyDescent="0.25">
      <c r="A494" s="80" t="s">
        <v>1125</v>
      </c>
      <c r="B494" s="80" t="s">
        <v>1126</v>
      </c>
      <c r="C494" s="81" t="s">
        <v>153</v>
      </c>
      <c r="D494" s="82">
        <v>1</v>
      </c>
      <c r="E494" s="82">
        <v>9.5493001999999994</v>
      </c>
      <c r="F494" s="82">
        <v>9.5493001999999976</v>
      </c>
      <c r="G494" s="82">
        <v>31.99</v>
      </c>
      <c r="H494" s="82">
        <v>31.99</v>
      </c>
      <c r="I494" s="83" t="s">
        <v>87</v>
      </c>
      <c r="J494" s="81" t="s">
        <v>102</v>
      </c>
      <c r="K494" s="80" t="s">
        <v>629</v>
      </c>
      <c r="L494" s="6" t="str">
        <f t="shared" si="7"/>
        <v>005-00000090</v>
      </c>
    </row>
    <row r="495" spans="1:12" hidden="1" x14ac:dyDescent="0.25">
      <c r="A495" s="80" t="s">
        <v>1127</v>
      </c>
      <c r="B495" s="80" t="s">
        <v>1128</v>
      </c>
      <c r="C495" s="81" t="s">
        <v>150</v>
      </c>
      <c r="D495" s="82">
        <v>1</v>
      </c>
      <c r="E495" s="82">
        <v>37.346901000000003</v>
      </c>
      <c r="F495" s="82">
        <v>37.346901000000003</v>
      </c>
      <c r="G495" s="82">
        <v>125</v>
      </c>
      <c r="H495" s="82">
        <v>125</v>
      </c>
      <c r="I495" s="83" t="s">
        <v>87</v>
      </c>
      <c r="J495" s="81" t="s">
        <v>102</v>
      </c>
      <c r="K495" s="80" t="s">
        <v>629</v>
      </c>
      <c r="L495" s="6" t="str">
        <f t="shared" si="7"/>
        <v>005-00000090</v>
      </c>
    </row>
    <row r="496" spans="1:12" hidden="1" x14ac:dyDescent="0.25">
      <c r="A496" s="80" t="s">
        <v>740</v>
      </c>
      <c r="B496" s="80" t="s">
        <v>741</v>
      </c>
      <c r="C496" s="81" t="s">
        <v>150</v>
      </c>
      <c r="D496" s="82">
        <v>1</v>
      </c>
      <c r="E496" s="82">
        <v>61.460799999999999</v>
      </c>
      <c r="F496" s="82">
        <v>61.460800000000006</v>
      </c>
      <c r="G496" s="82">
        <v>205.74001000000001</v>
      </c>
      <c r="H496" s="82">
        <v>205.74001000000001</v>
      </c>
      <c r="I496" s="83" t="s">
        <v>87</v>
      </c>
      <c r="J496" s="81" t="s">
        <v>102</v>
      </c>
      <c r="K496" s="80" t="s">
        <v>629</v>
      </c>
      <c r="L496" s="6" t="str">
        <f t="shared" si="7"/>
        <v>005-00000090</v>
      </c>
    </row>
    <row r="497" spans="1:12" hidden="1" x14ac:dyDescent="0.25">
      <c r="A497" s="80" t="s">
        <v>300</v>
      </c>
      <c r="B497" s="80" t="s">
        <v>301</v>
      </c>
      <c r="C497" s="81" t="s">
        <v>88</v>
      </c>
      <c r="D497" s="82">
        <v>0.75</v>
      </c>
      <c r="E497" s="82">
        <v>12.76</v>
      </c>
      <c r="F497" s="82">
        <v>9.57</v>
      </c>
      <c r="G497" s="82">
        <v>42.930999999999997</v>
      </c>
      <c r="H497" s="82">
        <v>32.198249999999987</v>
      </c>
      <c r="I497" s="83" t="s">
        <v>87</v>
      </c>
      <c r="J497" s="81" t="s">
        <v>102</v>
      </c>
      <c r="K497" s="80" t="s">
        <v>629</v>
      </c>
      <c r="L497" s="6" t="str">
        <f t="shared" si="7"/>
        <v>005-00000090</v>
      </c>
    </row>
    <row r="498" spans="1:12" hidden="1" x14ac:dyDescent="0.25">
      <c r="A498" s="80" t="s">
        <v>729</v>
      </c>
      <c r="B498" s="80" t="s">
        <v>408</v>
      </c>
      <c r="C498" s="81" t="s">
        <v>150</v>
      </c>
      <c r="D498" s="82">
        <v>3</v>
      </c>
      <c r="E498" s="82">
        <v>1.8134999999999999</v>
      </c>
      <c r="F498" s="82">
        <v>5.4404999999999992</v>
      </c>
      <c r="G498" s="82">
        <v>6.1023997999999997</v>
      </c>
      <c r="H498" s="82">
        <v>18.307199399999995</v>
      </c>
      <c r="I498" s="83" t="s">
        <v>87</v>
      </c>
      <c r="J498" s="81" t="s">
        <v>102</v>
      </c>
      <c r="K498" s="80" t="s">
        <v>628</v>
      </c>
      <c r="L498" s="6" t="str">
        <f t="shared" si="7"/>
        <v>005-00000097</v>
      </c>
    </row>
    <row r="499" spans="1:12" hidden="1" x14ac:dyDescent="0.25">
      <c r="A499" s="80" t="s">
        <v>1041</v>
      </c>
      <c r="B499" s="80" t="s">
        <v>1042</v>
      </c>
      <c r="C499" s="81" t="s">
        <v>150</v>
      </c>
      <c r="D499" s="82">
        <v>1</v>
      </c>
      <c r="E499" s="82">
        <v>1.5079</v>
      </c>
      <c r="F499" s="82">
        <v>1.5078999999999996</v>
      </c>
      <c r="G499" s="82">
        <v>5.0847001000000001</v>
      </c>
      <c r="H499" s="82">
        <v>5.0847001000000009</v>
      </c>
      <c r="I499" s="83" t="s">
        <v>87</v>
      </c>
      <c r="J499" s="81" t="s">
        <v>102</v>
      </c>
      <c r="K499" s="80" t="s">
        <v>627</v>
      </c>
      <c r="L499" s="6" t="str">
        <f t="shared" si="7"/>
        <v>005-00000102</v>
      </c>
    </row>
    <row r="500" spans="1:12" hidden="1" x14ac:dyDescent="0.25">
      <c r="A500" s="80" t="s">
        <v>276</v>
      </c>
      <c r="B500" s="80" t="s">
        <v>277</v>
      </c>
      <c r="C500" s="81" t="s">
        <v>150</v>
      </c>
      <c r="D500" s="82">
        <v>1</v>
      </c>
      <c r="E500" s="82">
        <v>4.3133998</v>
      </c>
      <c r="F500" s="82">
        <v>4.3133998</v>
      </c>
      <c r="G500" s="82">
        <v>14.4068</v>
      </c>
      <c r="H500" s="82">
        <v>14.4068</v>
      </c>
      <c r="I500" s="83" t="s">
        <v>87</v>
      </c>
      <c r="J500" s="81" t="s">
        <v>102</v>
      </c>
      <c r="K500" s="80" t="s">
        <v>620</v>
      </c>
      <c r="L500" s="6" t="str">
        <f t="shared" si="7"/>
        <v>005-00000119</v>
      </c>
    </row>
    <row r="501" spans="1:12" hidden="1" x14ac:dyDescent="0.25">
      <c r="A501" s="80" t="s">
        <v>275</v>
      </c>
      <c r="B501" s="80" t="s">
        <v>161</v>
      </c>
      <c r="C501" s="81" t="s">
        <v>150</v>
      </c>
      <c r="D501" s="82">
        <v>1</v>
      </c>
      <c r="E501" s="82">
        <v>4.3144001999999997</v>
      </c>
      <c r="F501" s="82">
        <v>4.3144001999999997</v>
      </c>
      <c r="G501" s="82">
        <v>14.41</v>
      </c>
      <c r="H501" s="82">
        <v>14.41</v>
      </c>
      <c r="I501" s="83" t="s">
        <v>87</v>
      </c>
      <c r="J501" s="81" t="s">
        <v>102</v>
      </c>
      <c r="K501" s="80" t="s">
        <v>620</v>
      </c>
      <c r="L501" s="6" t="str">
        <f t="shared" si="7"/>
        <v>005-00000119</v>
      </c>
    </row>
    <row r="502" spans="1:12" hidden="1" x14ac:dyDescent="0.25">
      <c r="A502" s="80" t="s">
        <v>236</v>
      </c>
      <c r="B502" s="80" t="s">
        <v>237</v>
      </c>
      <c r="C502" s="81" t="s">
        <v>88</v>
      </c>
      <c r="D502" s="82">
        <v>1</v>
      </c>
      <c r="E502" s="82">
        <v>15.1746</v>
      </c>
      <c r="F502" s="82">
        <v>15.1746</v>
      </c>
      <c r="G502" s="82">
        <v>50.849997999999999</v>
      </c>
      <c r="H502" s="82">
        <v>50.849998000000006</v>
      </c>
      <c r="I502" s="83" t="s">
        <v>87</v>
      </c>
      <c r="J502" s="81" t="s">
        <v>102</v>
      </c>
      <c r="K502" s="80" t="s">
        <v>619</v>
      </c>
      <c r="L502" s="6" t="str">
        <f t="shared" si="7"/>
        <v>005-00000120</v>
      </c>
    </row>
    <row r="503" spans="1:12" hidden="1" x14ac:dyDescent="0.25">
      <c r="A503" s="80" t="s">
        <v>714</v>
      </c>
      <c r="B503" s="80" t="s">
        <v>715</v>
      </c>
      <c r="C503" s="81" t="s">
        <v>150</v>
      </c>
      <c r="D503" s="82">
        <v>1</v>
      </c>
      <c r="E503" s="171">
        <v>63.432499</v>
      </c>
      <c r="F503" s="171">
        <v>63.432498999999986</v>
      </c>
      <c r="G503" s="171">
        <v>211.86439999999999</v>
      </c>
      <c r="H503" s="171">
        <v>211.86439999999999</v>
      </c>
      <c r="I503" s="83" t="s">
        <v>87</v>
      </c>
      <c r="J503" s="81" t="s">
        <v>102</v>
      </c>
      <c r="K503" s="80" t="s">
        <v>619</v>
      </c>
      <c r="L503" s="6" t="str">
        <f t="shared" si="7"/>
        <v>005-00000120</v>
      </c>
    </row>
    <row r="504" spans="1:12" hidden="1" x14ac:dyDescent="0.25">
      <c r="A504" s="80" t="s">
        <v>276</v>
      </c>
      <c r="B504" s="80" t="s">
        <v>277</v>
      </c>
      <c r="C504" s="81" t="s">
        <v>150</v>
      </c>
      <c r="D504" s="82">
        <v>1</v>
      </c>
      <c r="E504" s="82">
        <v>4.3017998000000004</v>
      </c>
      <c r="F504" s="82">
        <v>4.3017998000000004</v>
      </c>
      <c r="G504" s="82">
        <v>14.4068</v>
      </c>
      <c r="H504" s="82">
        <v>14.4068</v>
      </c>
      <c r="I504" s="83" t="s">
        <v>87</v>
      </c>
      <c r="J504" s="81" t="s">
        <v>102</v>
      </c>
      <c r="K504" s="80" t="s">
        <v>618</v>
      </c>
      <c r="L504" s="6" t="str">
        <f t="shared" si="7"/>
        <v>005-00000122</v>
      </c>
    </row>
    <row r="505" spans="1:12" hidden="1" x14ac:dyDescent="0.25">
      <c r="A505" s="80" t="s">
        <v>275</v>
      </c>
      <c r="B505" s="80" t="s">
        <v>161</v>
      </c>
      <c r="C505" s="81" t="s">
        <v>150</v>
      </c>
      <c r="D505" s="82">
        <v>1</v>
      </c>
      <c r="E505" s="82">
        <v>4.3017998000000004</v>
      </c>
      <c r="F505" s="82">
        <v>4.3017998000000004</v>
      </c>
      <c r="G505" s="82">
        <v>14.4068</v>
      </c>
      <c r="H505" s="82">
        <v>14.4068</v>
      </c>
      <c r="I505" s="83" t="s">
        <v>87</v>
      </c>
      <c r="J505" s="81" t="s">
        <v>102</v>
      </c>
      <c r="K505" s="80" t="s">
        <v>618</v>
      </c>
      <c r="L505" s="6" t="str">
        <f t="shared" si="7"/>
        <v>005-00000122</v>
      </c>
    </row>
    <row r="506" spans="1:12" hidden="1" x14ac:dyDescent="0.25">
      <c r="A506" s="80" t="s">
        <v>572</v>
      </c>
      <c r="B506" s="80" t="s">
        <v>408</v>
      </c>
      <c r="C506" s="81" t="s">
        <v>150</v>
      </c>
      <c r="D506" s="82">
        <v>4</v>
      </c>
      <c r="E506" s="171">
        <v>1.8991999999999998</v>
      </c>
      <c r="F506" s="171">
        <v>7.5967999999999982</v>
      </c>
      <c r="G506" s="171">
        <v>6.3558998000000004</v>
      </c>
      <c r="H506" s="171">
        <v>25.423599200000002</v>
      </c>
      <c r="I506" s="83" t="s">
        <v>87</v>
      </c>
      <c r="J506" s="81" t="s">
        <v>102</v>
      </c>
      <c r="K506" s="80" t="s">
        <v>617</v>
      </c>
      <c r="L506" s="6" t="str">
        <f t="shared" si="7"/>
        <v>005-00000124</v>
      </c>
    </row>
    <row r="507" spans="1:12" hidden="1" x14ac:dyDescent="0.25">
      <c r="A507" s="80" t="s">
        <v>585</v>
      </c>
      <c r="B507" s="80" t="s">
        <v>586</v>
      </c>
      <c r="C507" s="81" t="s">
        <v>150</v>
      </c>
      <c r="D507" s="82">
        <v>1</v>
      </c>
      <c r="E507" s="82">
        <v>7.5949001000000003</v>
      </c>
      <c r="F507" s="82">
        <v>7.5949001000000003</v>
      </c>
      <c r="G507" s="82">
        <v>25.42</v>
      </c>
      <c r="H507" s="82">
        <v>25.42</v>
      </c>
      <c r="I507" s="83" t="s">
        <v>87</v>
      </c>
      <c r="J507" s="81" t="s">
        <v>102</v>
      </c>
      <c r="K507" s="80" t="s">
        <v>687</v>
      </c>
      <c r="L507" s="6" t="str">
        <f t="shared" si="7"/>
        <v>005-00000013</v>
      </c>
    </row>
    <row r="508" spans="1:12" hidden="1" x14ac:dyDescent="0.25">
      <c r="A508" s="80" t="s">
        <v>1129</v>
      </c>
      <c r="B508" s="80" t="s">
        <v>1130</v>
      </c>
      <c r="C508" s="81" t="s">
        <v>150</v>
      </c>
      <c r="D508" s="82">
        <v>2</v>
      </c>
      <c r="E508" s="82">
        <v>0.88620001000000004</v>
      </c>
      <c r="F508" s="82">
        <v>1.7724000200000003</v>
      </c>
      <c r="G508" s="82">
        <v>2.9661</v>
      </c>
      <c r="H508" s="82">
        <v>5.9322000000000017</v>
      </c>
      <c r="I508" s="83" t="s">
        <v>87</v>
      </c>
      <c r="J508" s="81" t="s">
        <v>102</v>
      </c>
      <c r="K508" s="80" t="s">
        <v>687</v>
      </c>
      <c r="L508" s="6" t="str">
        <f t="shared" si="7"/>
        <v>005-00000013</v>
      </c>
    </row>
    <row r="509" spans="1:12" hidden="1" x14ac:dyDescent="0.25">
      <c r="A509" s="80" t="s">
        <v>544</v>
      </c>
      <c r="B509" s="80" t="s">
        <v>545</v>
      </c>
      <c r="C509" s="81" t="s">
        <v>150</v>
      </c>
      <c r="D509" s="82">
        <v>1</v>
      </c>
      <c r="E509" s="82">
        <v>3.0383998999999999</v>
      </c>
      <c r="F509" s="82">
        <v>3.0383998999999995</v>
      </c>
      <c r="G509" s="82">
        <v>10.169499999999999</v>
      </c>
      <c r="H509" s="82">
        <v>10.169499999999998</v>
      </c>
      <c r="I509" s="83" t="s">
        <v>87</v>
      </c>
      <c r="J509" s="81" t="s">
        <v>102</v>
      </c>
      <c r="K509" s="80" t="s">
        <v>687</v>
      </c>
      <c r="L509" s="6" t="str">
        <f t="shared" si="7"/>
        <v>005-00000013</v>
      </c>
    </row>
    <row r="510" spans="1:12" hidden="1" x14ac:dyDescent="0.25">
      <c r="A510" s="80" t="s">
        <v>1044</v>
      </c>
      <c r="B510" s="80" t="s">
        <v>1045</v>
      </c>
      <c r="C510" s="81" t="s">
        <v>153</v>
      </c>
      <c r="D510" s="82">
        <v>1</v>
      </c>
      <c r="E510" s="82">
        <v>10.0528</v>
      </c>
      <c r="F510" s="82">
        <v>10.052800000000001</v>
      </c>
      <c r="G510" s="82">
        <v>33.897998999999999</v>
      </c>
      <c r="H510" s="82">
        <v>33.897998999999999</v>
      </c>
      <c r="I510" s="83" t="s">
        <v>87</v>
      </c>
      <c r="J510" s="81" t="s">
        <v>102</v>
      </c>
      <c r="K510" s="80" t="s">
        <v>684</v>
      </c>
      <c r="L510" s="6" t="str">
        <f t="shared" si="7"/>
        <v>005-00000016</v>
      </c>
    </row>
    <row r="511" spans="1:12" hidden="1" x14ac:dyDescent="0.25">
      <c r="A511" s="80" t="s">
        <v>1044</v>
      </c>
      <c r="B511" s="80" t="s">
        <v>1045</v>
      </c>
      <c r="C511" s="81" t="s">
        <v>153</v>
      </c>
      <c r="D511" s="82">
        <v>1</v>
      </c>
      <c r="E511" s="82">
        <v>10.0528</v>
      </c>
      <c r="F511" s="82">
        <v>10.052800000000001</v>
      </c>
      <c r="G511" s="82">
        <v>33.897998999999999</v>
      </c>
      <c r="H511" s="82">
        <v>33.897998999999999</v>
      </c>
      <c r="I511" s="83" t="s">
        <v>87</v>
      </c>
      <c r="J511" s="81" t="s">
        <v>102</v>
      </c>
      <c r="K511" s="80" t="s">
        <v>681</v>
      </c>
      <c r="L511" s="6" t="str">
        <f t="shared" si="7"/>
        <v>005-00000019</v>
      </c>
    </row>
    <row r="512" spans="1:12" hidden="1" x14ac:dyDescent="0.25">
      <c r="A512" s="80" t="s">
        <v>1034</v>
      </c>
      <c r="B512" s="80" t="s">
        <v>1035</v>
      </c>
      <c r="C512" s="81" t="s">
        <v>88</v>
      </c>
      <c r="D512" s="82">
        <v>1</v>
      </c>
      <c r="E512" s="82">
        <v>11.861700000000001</v>
      </c>
      <c r="F512" s="82">
        <v>11.861700000000001</v>
      </c>
      <c r="G512" s="82">
        <v>39.701000000000001</v>
      </c>
      <c r="H512" s="82">
        <v>39.701000000000001</v>
      </c>
      <c r="I512" s="83" t="s">
        <v>87</v>
      </c>
      <c r="J512" s="81" t="s">
        <v>102</v>
      </c>
      <c r="K512" s="80" t="s">
        <v>629</v>
      </c>
      <c r="L512" s="6" t="str">
        <f t="shared" si="7"/>
        <v>005-00000090</v>
      </c>
    </row>
    <row r="513" spans="1:12" hidden="1" x14ac:dyDescent="0.25">
      <c r="A513" s="80" t="s">
        <v>1028</v>
      </c>
      <c r="B513" s="80" t="s">
        <v>1029</v>
      </c>
      <c r="C513" s="81" t="s">
        <v>150</v>
      </c>
      <c r="D513" s="82">
        <v>1</v>
      </c>
      <c r="E513" s="82">
        <v>1.5079</v>
      </c>
      <c r="F513" s="82">
        <v>1.5078999999999996</v>
      </c>
      <c r="G513" s="82">
        <v>5.0847001000000001</v>
      </c>
      <c r="H513" s="82">
        <v>5.0847001000000009</v>
      </c>
      <c r="I513" s="83" t="s">
        <v>87</v>
      </c>
      <c r="J513" s="81" t="s">
        <v>102</v>
      </c>
      <c r="K513" s="80" t="s">
        <v>629</v>
      </c>
      <c r="L513" s="6" t="str">
        <f t="shared" si="7"/>
        <v>005-00000090</v>
      </c>
    </row>
    <row r="514" spans="1:12" hidden="1" x14ac:dyDescent="0.25">
      <c r="A514" s="80" t="s">
        <v>206</v>
      </c>
      <c r="B514" s="80" t="s">
        <v>207</v>
      </c>
      <c r="C514" s="81" t="s">
        <v>150</v>
      </c>
      <c r="D514" s="82">
        <v>1</v>
      </c>
      <c r="E514" s="171">
        <v>3.2721</v>
      </c>
      <c r="F514" s="171">
        <v>3.2721</v>
      </c>
      <c r="G514" s="171">
        <v>11.0106</v>
      </c>
      <c r="H514" s="171">
        <v>11.010600000000002</v>
      </c>
      <c r="I514" s="83" t="s">
        <v>87</v>
      </c>
      <c r="J514" s="81" t="s">
        <v>102</v>
      </c>
      <c r="K514" s="80" t="s">
        <v>629</v>
      </c>
      <c r="L514" s="6" t="str">
        <f t="shared" si="7"/>
        <v>005-00000090</v>
      </c>
    </row>
    <row r="515" spans="1:12" hidden="1" x14ac:dyDescent="0.25">
      <c r="A515" s="80" t="s">
        <v>1034</v>
      </c>
      <c r="B515" s="80" t="s">
        <v>1035</v>
      </c>
      <c r="C515" s="81" t="s">
        <v>88</v>
      </c>
      <c r="D515" s="82">
        <v>1</v>
      </c>
      <c r="E515" s="82">
        <v>11.861700000000001</v>
      </c>
      <c r="F515" s="82">
        <v>11.861700000000001</v>
      </c>
      <c r="G515" s="82">
        <v>39.701000000000001</v>
      </c>
      <c r="H515" s="82">
        <v>39.701000000000001</v>
      </c>
      <c r="I515" s="83" t="s">
        <v>87</v>
      </c>
      <c r="J515" s="81" t="s">
        <v>102</v>
      </c>
      <c r="K515" s="80" t="s">
        <v>618</v>
      </c>
      <c r="L515" s="6" t="str">
        <f t="shared" si="7"/>
        <v>005-00000122</v>
      </c>
    </row>
    <row r="516" spans="1:12" hidden="1" x14ac:dyDescent="0.25">
      <c r="A516" s="80" t="s">
        <v>1034</v>
      </c>
      <c r="B516" s="80" t="s">
        <v>1035</v>
      </c>
      <c r="C516" s="81" t="s">
        <v>88</v>
      </c>
      <c r="D516" s="82">
        <v>1</v>
      </c>
      <c r="E516" s="82">
        <v>11.861700000000001</v>
      </c>
      <c r="F516" s="82">
        <v>11.861700000000001</v>
      </c>
      <c r="G516" s="82">
        <v>39.701000000000001</v>
      </c>
      <c r="H516" s="82">
        <v>39.701000000000001</v>
      </c>
      <c r="I516" s="83" t="s">
        <v>87</v>
      </c>
      <c r="J516" s="81" t="s">
        <v>102</v>
      </c>
      <c r="K516" s="80" t="s">
        <v>617</v>
      </c>
      <c r="L516" s="6" t="str">
        <f t="shared" si="7"/>
        <v>005-00000124</v>
      </c>
    </row>
    <row r="517" spans="1:12" hidden="1" x14ac:dyDescent="0.25">
      <c r="A517" s="80" t="s">
        <v>1055</v>
      </c>
      <c r="B517" s="80" t="s">
        <v>1056</v>
      </c>
      <c r="C517" s="81" t="s">
        <v>150</v>
      </c>
      <c r="D517" s="82">
        <v>1</v>
      </c>
      <c r="E517" s="82">
        <v>1.5079</v>
      </c>
      <c r="F517" s="82">
        <v>1.5078999999999996</v>
      </c>
      <c r="G517" s="82">
        <v>5.0847001000000001</v>
      </c>
      <c r="H517" s="82">
        <v>5.0847001000000009</v>
      </c>
      <c r="I517" s="83" t="s">
        <v>87</v>
      </c>
      <c r="J517" s="81" t="s">
        <v>102</v>
      </c>
      <c r="K517" s="80" t="s">
        <v>617</v>
      </c>
      <c r="L517" s="6" t="str">
        <f t="shared" ref="L517:L580" si="8">CONCATENATE(J517,"-",K517)</f>
        <v>005-00000124</v>
      </c>
    </row>
    <row r="518" spans="1:12" hidden="1" x14ac:dyDescent="0.25">
      <c r="A518" s="80" t="s">
        <v>1071</v>
      </c>
      <c r="B518" s="80" t="s">
        <v>1072</v>
      </c>
      <c r="C518" s="81" t="s">
        <v>150</v>
      </c>
      <c r="D518" s="82">
        <v>1</v>
      </c>
      <c r="E518" s="82">
        <v>2.2618999</v>
      </c>
      <c r="F518" s="82">
        <v>2.2618998999999995</v>
      </c>
      <c r="G518" s="82">
        <v>7.6271000000000004</v>
      </c>
      <c r="H518" s="82">
        <v>7.6271000000000004</v>
      </c>
      <c r="I518" s="83" t="s">
        <v>87</v>
      </c>
      <c r="J518" s="81" t="s">
        <v>102</v>
      </c>
      <c r="K518" s="80" t="s">
        <v>617</v>
      </c>
      <c r="L518" s="6" t="str">
        <f t="shared" si="8"/>
        <v>005-00000124</v>
      </c>
    </row>
    <row r="519" spans="1:12" hidden="1" x14ac:dyDescent="0.25">
      <c r="A519" s="130" t="s">
        <v>1463</v>
      </c>
      <c r="B519" s="130" t="s">
        <v>1464</v>
      </c>
      <c r="C519" s="132" t="s">
        <v>150</v>
      </c>
      <c r="D519" s="129">
        <v>1</v>
      </c>
      <c r="E519" s="129">
        <v>11.336399999999999</v>
      </c>
      <c r="F519" s="129">
        <v>11.336400000000001</v>
      </c>
      <c r="G519" s="129">
        <v>38.135601000000001</v>
      </c>
      <c r="H519" s="129">
        <v>38.135601000000001</v>
      </c>
      <c r="I519" s="131" t="s">
        <v>87</v>
      </c>
      <c r="J519" s="132" t="s">
        <v>102</v>
      </c>
      <c r="K519" s="130" t="s">
        <v>655</v>
      </c>
      <c r="L519" s="130" t="str">
        <f t="shared" si="8"/>
        <v>005-00000046</v>
      </c>
    </row>
    <row r="520" spans="1:12" hidden="1" x14ac:dyDescent="0.25">
      <c r="A520" s="130" t="s">
        <v>727</v>
      </c>
      <c r="B520" s="130" t="s">
        <v>728</v>
      </c>
      <c r="C520" s="132" t="s">
        <v>150</v>
      </c>
      <c r="D520" s="129">
        <v>1</v>
      </c>
      <c r="E520" s="129">
        <v>25.407699999999998</v>
      </c>
      <c r="F520" s="129">
        <v>25.407699999999998</v>
      </c>
      <c r="G520" s="129">
        <v>84.760002</v>
      </c>
      <c r="H520" s="129">
        <v>84.760002</v>
      </c>
      <c r="I520" s="131" t="s">
        <v>87</v>
      </c>
      <c r="J520" s="132" t="s">
        <v>102</v>
      </c>
      <c r="K520" s="130" t="s">
        <v>654</v>
      </c>
      <c r="L520" s="130" t="str">
        <f t="shared" si="8"/>
        <v>005-00000047</v>
      </c>
    </row>
    <row r="521" spans="1:12" hidden="1" x14ac:dyDescent="0.25">
      <c r="A521" s="130" t="s">
        <v>249</v>
      </c>
      <c r="B521" s="130" t="s">
        <v>250</v>
      </c>
      <c r="C521" s="132" t="s">
        <v>153</v>
      </c>
      <c r="D521" s="129">
        <v>1</v>
      </c>
      <c r="E521" s="25">
        <v>15.241899999999998</v>
      </c>
      <c r="F521" s="25">
        <v>15.241899999999996</v>
      </c>
      <c r="G521" s="25">
        <v>50.847000000000001</v>
      </c>
      <c r="H521" s="25">
        <v>50.847000000000001</v>
      </c>
      <c r="I521" s="131" t="s">
        <v>87</v>
      </c>
      <c r="J521" s="132" t="s">
        <v>102</v>
      </c>
      <c r="K521" s="130" t="s">
        <v>654</v>
      </c>
      <c r="L521" s="130" t="str">
        <f t="shared" si="8"/>
        <v>005-00000047</v>
      </c>
    </row>
    <row r="522" spans="1:12" hidden="1" x14ac:dyDescent="0.25">
      <c r="A522" s="130" t="s">
        <v>220</v>
      </c>
      <c r="B522" s="130" t="s">
        <v>221</v>
      </c>
      <c r="C522" s="132" t="s">
        <v>153</v>
      </c>
      <c r="D522" s="129">
        <v>1</v>
      </c>
      <c r="E522" s="129">
        <v>27.9436</v>
      </c>
      <c r="F522" s="129">
        <v>27.9436</v>
      </c>
      <c r="G522" s="129">
        <v>93.220000999999996</v>
      </c>
      <c r="H522" s="129">
        <v>93.220000999999968</v>
      </c>
      <c r="I522" s="131" t="s">
        <v>87</v>
      </c>
      <c r="J522" s="132" t="s">
        <v>102</v>
      </c>
      <c r="K522" s="130" t="s">
        <v>654</v>
      </c>
      <c r="L522" s="130" t="str">
        <f t="shared" si="8"/>
        <v>005-00000047</v>
      </c>
    </row>
    <row r="523" spans="1:12" hidden="1" x14ac:dyDescent="0.25">
      <c r="A523" s="130" t="s">
        <v>464</v>
      </c>
      <c r="B523" s="130" t="s">
        <v>465</v>
      </c>
      <c r="C523" s="132" t="s">
        <v>150</v>
      </c>
      <c r="D523" s="129">
        <v>1</v>
      </c>
      <c r="E523" s="129">
        <v>4.5359997999999999</v>
      </c>
      <c r="F523" s="129">
        <v>4.5359997999999999</v>
      </c>
      <c r="G523" s="129">
        <v>15.254200000000001</v>
      </c>
      <c r="H523" s="129">
        <v>15.254200000000001</v>
      </c>
      <c r="I523" s="131" t="s">
        <v>87</v>
      </c>
      <c r="J523" s="132" t="s">
        <v>102</v>
      </c>
      <c r="K523" s="130" t="s">
        <v>654</v>
      </c>
      <c r="L523" s="130" t="str">
        <f t="shared" si="8"/>
        <v>005-00000047</v>
      </c>
    </row>
    <row r="524" spans="1:12" hidden="1" x14ac:dyDescent="0.25">
      <c r="A524" s="130" t="s">
        <v>342</v>
      </c>
      <c r="B524" s="130" t="s">
        <v>343</v>
      </c>
      <c r="C524" s="132" t="s">
        <v>150</v>
      </c>
      <c r="D524" s="129">
        <v>2</v>
      </c>
      <c r="E524" s="129">
        <v>8.7999999999999995E-2</v>
      </c>
      <c r="F524" s="129">
        <v>0.17599999999999993</v>
      </c>
      <c r="G524" s="129">
        <v>0.29660001000000003</v>
      </c>
      <c r="H524" s="129">
        <v>0.59320002000000005</v>
      </c>
      <c r="I524" s="131" t="s">
        <v>87</v>
      </c>
      <c r="J524" s="132" t="s">
        <v>102</v>
      </c>
      <c r="K524" s="130" t="s">
        <v>654</v>
      </c>
      <c r="L524" s="130" t="str">
        <f t="shared" si="8"/>
        <v>005-00000047</v>
      </c>
    </row>
    <row r="525" spans="1:12" hidden="1" x14ac:dyDescent="0.25">
      <c r="A525" s="130" t="s">
        <v>1082</v>
      </c>
      <c r="B525" s="130" t="s">
        <v>1083</v>
      </c>
      <c r="C525" s="132" t="s">
        <v>150</v>
      </c>
      <c r="D525" s="129">
        <v>1</v>
      </c>
      <c r="E525" s="25">
        <v>54.539200000000001</v>
      </c>
      <c r="F525" s="25">
        <v>54.539200000000008</v>
      </c>
      <c r="G525" s="25">
        <v>182.20339999999999</v>
      </c>
      <c r="H525" s="25">
        <v>182.20339999999996</v>
      </c>
      <c r="I525" s="131" t="s">
        <v>87</v>
      </c>
      <c r="J525" s="132" t="s">
        <v>102</v>
      </c>
      <c r="K525" s="130" t="s">
        <v>654</v>
      </c>
      <c r="L525" s="130" t="str">
        <f t="shared" si="8"/>
        <v>005-00000047</v>
      </c>
    </row>
    <row r="526" spans="1:12" hidden="1" x14ac:dyDescent="0.25">
      <c r="A526" s="130" t="s">
        <v>1041</v>
      </c>
      <c r="B526" s="130" t="s">
        <v>1042</v>
      </c>
      <c r="C526" s="132" t="s">
        <v>150</v>
      </c>
      <c r="D526" s="129">
        <v>1</v>
      </c>
      <c r="E526" s="129">
        <v>1.5099</v>
      </c>
      <c r="F526" s="129">
        <v>1.5099</v>
      </c>
      <c r="G526" s="129">
        <v>5.0847001000000001</v>
      </c>
      <c r="H526" s="129">
        <v>5.0847001000000001</v>
      </c>
      <c r="I526" s="131" t="s">
        <v>87</v>
      </c>
      <c r="J526" s="132" t="s">
        <v>102</v>
      </c>
      <c r="K526" s="130" t="s">
        <v>654</v>
      </c>
      <c r="L526" s="130" t="str">
        <f t="shared" si="8"/>
        <v>005-00000047</v>
      </c>
    </row>
    <row r="527" spans="1:12" hidden="1" x14ac:dyDescent="0.25">
      <c r="A527" s="130" t="s">
        <v>1071</v>
      </c>
      <c r="B527" s="130" t="s">
        <v>1072</v>
      </c>
      <c r="C527" s="132" t="s">
        <v>150</v>
      </c>
      <c r="D527" s="129">
        <v>1</v>
      </c>
      <c r="E527" s="129">
        <v>2.2618999</v>
      </c>
      <c r="F527" s="129">
        <v>2.2618998999999995</v>
      </c>
      <c r="G527" s="129">
        <v>7.6271000000000004</v>
      </c>
      <c r="H527" s="129">
        <v>7.6271000000000004</v>
      </c>
      <c r="I527" s="131" t="s">
        <v>87</v>
      </c>
      <c r="J527" s="132" t="s">
        <v>102</v>
      </c>
      <c r="K527" s="130" t="s">
        <v>654</v>
      </c>
      <c r="L527" s="130" t="str">
        <f t="shared" si="8"/>
        <v>005-00000047</v>
      </c>
    </row>
    <row r="528" spans="1:12" hidden="1" x14ac:dyDescent="0.25">
      <c r="A528" s="130" t="s">
        <v>572</v>
      </c>
      <c r="B528" s="130" t="s">
        <v>408</v>
      </c>
      <c r="C528" s="132" t="s">
        <v>150</v>
      </c>
      <c r="D528" s="129">
        <v>4</v>
      </c>
      <c r="E528" s="25">
        <v>1.8991999999999998</v>
      </c>
      <c r="F528" s="25">
        <v>7.5967999999999982</v>
      </c>
      <c r="G528" s="25">
        <v>6.3558998000000004</v>
      </c>
      <c r="H528" s="25">
        <v>25.423599200000002</v>
      </c>
      <c r="I528" s="131" t="s">
        <v>87</v>
      </c>
      <c r="J528" s="132" t="s">
        <v>102</v>
      </c>
      <c r="K528" s="130" t="s">
        <v>654</v>
      </c>
      <c r="L528" s="130" t="str">
        <f t="shared" si="8"/>
        <v>005-00000047</v>
      </c>
    </row>
    <row r="529" spans="1:22" hidden="1" x14ac:dyDescent="0.25">
      <c r="A529" s="130" t="s">
        <v>1034</v>
      </c>
      <c r="B529" s="130" t="s">
        <v>1035</v>
      </c>
      <c r="C529" s="132" t="s">
        <v>88</v>
      </c>
      <c r="D529" s="129">
        <v>1</v>
      </c>
      <c r="E529" s="129">
        <v>11.861700000000001</v>
      </c>
      <c r="F529" s="129">
        <v>11.861700000000001</v>
      </c>
      <c r="G529" s="129">
        <v>39.701000000000001</v>
      </c>
      <c r="H529" s="129">
        <v>39.701000000000001</v>
      </c>
      <c r="I529" s="131" t="s">
        <v>87</v>
      </c>
      <c r="J529" s="132" t="s">
        <v>102</v>
      </c>
      <c r="K529" s="130" t="s">
        <v>654</v>
      </c>
      <c r="L529" s="130" t="str">
        <f t="shared" si="8"/>
        <v>005-00000047</v>
      </c>
    </row>
    <row r="530" spans="1:22" hidden="1" x14ac:dyDescent="0.25">
      <c r="A530" s="130" t="s">
        <v>1465</v>
      </c>
      <c r="B530" s="130" t="s">
        <v>160</v>
      </c>
      <c r="C530" s="132" t="s">
        <v>150</v>
      </c>
      <c r="D530" s="129">
        <v>2</v>
      </c>
      <c r="E530" s="129">
        <v>1.2092000000000001</v>
      </c>
      <c r="F530" s="129">
        <v>2.4184000000000001</v>
      </c>
      <c r="G530" s="129">
        <v>4.0678000000000001</v>
      </c>
      <c r="H530" s="129">
        <v>8.1356000000000002</v>
      </c>
      <c r="I530" s="131" t="s">
        <v>87</v>
      </c>
      <c r="J530" s="132" t="s">
        <v>102</v>
      </c>
      <c r="K530" s="130" t="s">
        <v>654</v>
      </c>
      <c r="L530" s="130" t="str">
        <f t="shared" si="8"/>
        <v>005-00000047</v>
      </c>
    </row>
    <row r="531" spans="1:22" hidden="1" x14ac:dyDescent="0.25">
      <c r="A531" s="130" t="s">
        <v>227</v>
      </c>
      <c r="B531" s="130" t="s">
        <v>194</v>
      </c>
      <c r="C531" s="132" t="s">
        <v>88</v>
      </c>
      <c r="D531" s="129">
        <v>1</v>
      </c>
      <c r="E531" s="25">
        <v>1.6415</v>
      </c>
      <c r="F531" s="25">
        <v>1.6414999999999997</v>
      </c>
      <c r="G531" s="25">
        <v>5.4759001999999999</v>
      </c>
      <c r="H531" s="25">
        <v>5.4759001999999999</v>
      </c>
      <c r="I531" s="131" t="s">
        <v>87</v>
      </c>
      <c r="J531" s="132" t="s">
        <v>102</v>
      </c>
      <c r="K531" s="130" t="s">
        <v>654</v>
      </c>
      <c r="L531" s="130" t="str">
        <f t="shared" si="8"/>
        <v>005-00000047</v>
      </c>
      <c r="V531" s="53"/>
    </row>
    <row r="532" spans="1:22" hidden="1" x14ac:dyDescent="0.25">
      <c r="A532" s="130" t="s">
        <v>1466</v>
      </c>
      <c r="B532" s="130" t="s">
        <v>1467</v>
      </c>
      <c r="C532" s="132" t="s">
        <v>88</v>
      </c>
      <c r="D532" s="129">
        <v>0.75</v>
      </c>
      <c r="E532" s="129">
        <v>9.2980003</v>
      </c>
      <c r="F532" s="129">
        <v>6.9735002249999987</v>
      </c>
      <c r="G532" s="129">
        <v>31.138999999999999</v>
      </c>
      <c r="H532" s="129">
        <v>23.354249999999997</v>
      </c>
      <c r="I532" s="131" t="s">
        <v>87</v>
      </c>
      <c r="J532" s="132" t="s">
        <v>102</v>
      </c>
      <c r="K532" s="130" t="s">
        <v>654</v>
      </c>
      <c r="L532" s="130" t="str">
        <f t="shared" si="8"/>
        <v>005-00000047</v>
      </c>
      <c r="V532" s="53"/>
    </row>
    <row r="533" spans="1:22" hidden="1" x14ac:dyDescent="0.25">
      <c r="A533" s="130" t="s">
        <v>249</v>
      </c>
      <c r="B533" s="130" t="s">
        <v>250</v>
      </c>
      <c r="C533" s="132" t="s">
        <v>153</v>
      </c>
      <c r="D533" s="129">
        <v>1</v>
      </c>
      <c r="E533" s="129">
        <v>15.241899999999998</v>
      </c>
      <c r="F533" s="129">
        <v>15.241899999999996</v>
      </c>
      <c r="G533" s="129">
        <v>50.847000000000001</v>
      </c>
      <c r="H533" s="129">
        <v>50.847000000000001</v>
      </c>
      <c r="I533" s="131" t="s">
        <v>87</v>
      </c>
      <c r="J533" s="132" t="s">
        <v>102</v>
      </c>
      <c r="K533" s="130" t="s">
        <v>653</v>
      </c>
      <c r="L533" s="130" t="str">
        <f t="shared" si="8"/>
        <v>005-00000048</v>
      </c>
      <c r="V533" s="53"/>
    </row>
    <row r="534" spans="1:22" hidden="1" x14ac:dyDescent="0.25">
      <c r="A534" s="130" t="s">
        <v>245</v>
      </c>
      <c r="B534" s="130" t="s">
        <v>246</v>
      </c>
      <c r="C534" s="132" t="s">
        <v>150</v>
      </c>
      <c r="D534" s="129">
        <v>1</v>
      </c>
      <c r="E534" s="25">
        <v>30.484100000000002</v>
      </c>
      <c r="F534" s="25">
        <v>30.484099999999998</v>
      </c>
      <c r="G534" s="25">
        <v>101.6949</v>
      </c>
      <c r="H534" s="25">
        <v>101.69489999999998</v>
      </c>
      <c r="I534" s="131" t="s">
        <v>87</v>
      </c>
      <c r="J534" s="132" t="s">
        <v>102</v>
      </c>
      <c r="K534" s="130" t="s">
        <v>653</v>
      </c>
      <c r="L534" s="130" t="str">
        <f t="shared" si="8"/>
        <v>005-00000048</v>
      </c>
      <c r="V534" s="53"/>
    </row>
    <row r="535" spans="1:22" hidden="1" x14ac:dyDescent="0.25">
      <c r="A535" s="130" t="s">
        <v>240</v>
      </c>
      <c r="B535" s="130" t="s">
        <v>229</v>
      </c>
      <c r="C535" s="132" t="s">
        <v>150</v>
      </c>
      <c r="D535" s="129">
        <v>1</v>
      </c>
      <c r="E535" s="129">
        <v>11.431500000000002</v>
      </c>
      <c r="F535" s="129">
        <v>11.431500000000003</v>
      </c>
      <c r="G535" s="129">
        <v>38.135601000000001</v>
      </c>
      <c r="H535" s="129">
        <v>38.135601000000001</v>
      </c>
      <c r="I535" s="131" t="s">
        <v>87</v>
      </c>
      <c r="J535" s="132" t="s">
        <v>102</v>
      </c>
      <c r="K535" s="130" t="s">
        <v>653</v>
      </c>
      <c r="L535" s="130" t="str">
        <f t="shared" si="8"/>
        <v>005-00000048</v>
      </c>
      <c r="V535" s="53"/>
    </row>
    <row r="536" spans="1:22" hidden="1" x14ac:dyDescent="0.25">
      <c r="A536" s="130" t="s">
        <v>536</v>
      </c>
      <c r="B536" s="130" t="s">
        <v>537</v>
      </c>
      <c r="C536" s="132" t="s">
        <v>150</v>
      </c>
      <c r="D536" s="129">
        <v>1</v>
      </c>
      <c r="E536" s="129">
        <v>63.507197999999995</v>
      </c>
      <c r="F536" s="129">
        <v>63.507197999999988</v>
      </c>
      <c r="G536" s="129">
        <v>211.86</v>
      </c>
      <c r="H536" s="129">
        <v>211.86</v>
      </c>
      <c r="I536" s="131" t="s">
        <v>87</v>
      </c>
      <c r="J536" s="132" t="s">
        <v>102</v>
      </c>
      <c r="K536" s="130" t="s">
        <v>653</v>
      </c>
      <c r="L536" s="130" t="str">
        <f t="shared" si="8"/>
        <v>005-00000048</v>
      </c>
      <c r="V536" s="53"/>
    </row>
    <row r="537" spans="1:22" hidden="1" x14ac:dyDescent="0.25">
      <c r="A537" s="130" t="s">
        <v>241</v>
      </c>
      <c r="B537" s="130" t="s">
        <v>242</v>
      </c>
      <c r="C537" s="132" t="s">
        <v>150</v>
      </c>
      <c r="D537" s="129">
        <v>1</v>
      </c>
      <c r="E537" s="129">
        <v>10.1158</v>
      </c>
      <c r="F537" s="129">
        <v>10.1158</v>
      </c>
      <c r="G537" s="129">
        <v>33.897998999999999</v>
      </c>
      <c r="H537" s="129">
        <v>33.897998999999999</v>
      </c>
      <c r="I537" s="131" t="s">
        <v>87</v>
      </c>
      <c r="J537" s="132" t="s">
        <v>102</v>
      </c>
      <c r="K537" s="130" t="s">
        <v>653</v>
      </c>
      <c r="L537" s="130" t="str">
        <f t="shared" si="8"/>
        <v>005-00000048</v>
      </c>
      <c r="V537" s="53"/>
    </row>
    <row r="538" spans="1:22" hidden="1" x14ac:dyDescent="0.25">
      <c r="A538" s="130" t="s">
        <v>309</v>
      </c>
      <c r="B538" s="130" t="s">
        <v>310</v>
      </c>
      <c r="C538" s="132" t="s">
        <v>150</v>
      </c>
      <c r="D538" s="129">
        <v>2</v>
      </c>
      <c r="E538" s="25">
        <v>1.1394</v>
      </c>
      <c r="F538" s="25">
        <v>2.2787999999999999</v>
      </c>
      <c r="G538" s="25">
        <v>3.8136000999999999</v>
      </c>
      <c r="H538" s="25">
        <v>7.6272002000000008</v>
      </c>
      <c r="I538" s="131" t="s">
        <v>87</v>
      </c>
      <c r="J538" s="132" t="s">
        <v>102</v>
      </c>
      <c r="K538" s="130" t="s">
        <v>653</v>
      </c>
      <c r="L538" s="130" t="str">
        <f t="shared" si="8"/>
        <v>005-00000048</v>
      </c>
      <c r="V538" s="53"/>
    </row>
    <row r="539" spans="1:22" hidden="1" x14ac:dyDescent="0.25">
      <c r="A539" s="130" t="s">
        <v>227</v>
      </c>
      <c r="B539" s="130" t="s">
        <v>194</v>
      </c>
      <c r="C539" s="132" t="s">
        <v>88</v>
      </c>
      <c r="D539" s="129">
        <v>1</v>
      </c>
      <c r="E539" s="129">
        <v>1.6415</v>
      </c>
      <c r="F539" s="129">
        <v>1.6414999999999997</v>
      </c>
      <c r="G539" s="129">
        <v>5.4759001999999999</v>
      </c>
      <c r="H539" s="129">
        <v>5.4759001999999999</v>
      </c>
      <c r="I539" s="131" t="s">
        <v>87</v>
      </c>
      <c r="J539" s="132" t="s">
        <v>102</v>
      </c>
      <c r="K539" s="130" t="s">
        <v>653</v>
      </c>
      <c r="L539" s="130" t="str">
        <f t="shared" si="8"/>
        <v>005-00000048</v>
      </c>
      <c r="V539" s="53"/>
    </row>
    <row r="540" spans="1:22" hidden="1" x14ac:dyDescent="0.25">
      <c r="A540" s="130" t="s">
        <v>1034</v>
      </c>
      <c r="B540" s="130" t="s">
        <v>1035</v>
      </c>
      <c r="C540" s="132" t="s">
        <v>88</v>
      </c>
      <c r="D540" s="129">
        <v>1</v>
      </c>
      <c r="E540" s="129">
        <v>11.861700000000001</v>
      </c>
      <c r="F540" s="129">
        <v>11.861700000000001</v>
      </c>
      <c r="G540" s="129">
        <v>39.701000000000001</v>
      </c>
      <c r="H540" s="129">
        <v>39.701000000000001</v>
      </c>
      <c r="I540" s="131" t="s">
        <v>87</v>
      </c>
      <c r="J540" s="132" t="s">
        <v>102</v>
      </c>
      <c r="K540" s="130" t="s">
        <v>653</v>
      </c>
      <c r="L540" s="130" t="str">
        <f t="shared" si="8"/>
        <v>005-00000048</v>
      </c>
      <c r="V540" s="53"/>
    </row>
    <row r="541" spans="1:22" hidden="1" x14ac:dyDescent="0.25">
      <c r="A541" s="130" t="s">
        <v>1466</v>
      </c>
      <c r="B541" s="130" t="s">
        <v>1467</v>
      </c>
      <c r="C541" s="132" t="s">
        <v>88</v>
      </c>
      <c r="D541" s="129">
        <v>0.75</v>
      </c>
      <c r="E541" s="25">
        <v>9.2980003</v>
      </c>
      <c r="F541" s="25">
        <v>6.9735002249999987</v>
      </c>
      <c r="G541" s="25">
        <v>31.138999999999999</v>
      </c>
      <c r="H541" s="25">
        <v>23.354249999999997</v>
      </c>
      <c r="I541" s="131" t="s">
        <v>87</v>
      </c>
      <c r="J541" s="132" t="s">
        <v>102</v>
      </c>
      <c r="K541" s="130" t="s">
        <v>653</v>
      </c>
      <c r="L541" s="130" t="str">
        <f t="shared" si="8"/>
        <v>005-00000048</v>
      </c>
      <c r="V541" s="53"/>
    </row>
    <row r="542" spans="1:22" hidden="1" x14ac:dyDescent="0.25">
      <c r="A542" s="130" t="s">
        <v>1071</v>
      </c>
      <c r="B542" s="130" t="s">
        <v>1072</v>
      </c>
      <c r="C542" s="132" t="s">
        <v>150</v>
      </c>
      <c r="D542" s="129">
        <v>1</v>
      </c>
      <c r="E542" s="129">
        <v>2.2618999</v>
      </c>
      <c r="F542" s="129">
        <v>2.2618998999999995</v>
      </c>
      <c r="G542" s="129">
        <v>7.6271000000000004</v>
      </c>
      <c r="H542" s="129">
        <v>7.6271000000000004</v>
      </c>
      <c r="I542" s="131" t="s">
        <v>87</v>
      </c>
      <c r="J542" s="132" t="s">
        <v>102</v>
      </c>
      <c r="K542" s="130" t="s">
        <v>653</v>
      </c>
      <c r="L542" s="130" t="str">
        <f t="shared" si="8"/>
        <v>005-00000048</v>
      </c>
      <c r="V542" s="53"/>
    </row>
    <row r="543" spans="1:22" hidden="1" x14ac:dyDescent="0.25">
      <c r="A543" s="130" t="s">
        <v>1055</v>
      </c>
      <c r="B543" s="130" t="s">
        <v>1056</v>
      </c>
      <c r="C543" s="132" t="s">
        <v>150</v>
      </c>
      <c r="D543" s="129">
        <v>1</v>
      </c>
      <c r="E543" s="129">
        <v>1.5107999999999999</v>
      </c>
      <c r="F543" s="129">
        <v>1.5108000000000001</v>
      </c>
      <c r="G543" s="129">
        <v>5.0847001000000001</v>
      </c>
      <c r="H543" s="129">
        <v>5.0847001000000001</v>
      </c>
      <c r="I543" s="131" t="s">
        <v>87</v>
      </c>
      <c r="J543" s="132" t="s">
        <v>102</v>
      </c>
      <c r="K543" s="130" t="s">
        <v>653</v>
      </c>
      <c r="L543" s="130" t="str">
        <f t="shared" si="8"/>
        <v>005-00000048</v>
      </c>
      <c r="V543" s="53"/>
    </row>
    <row r="544" spans="1:22" hidden="1" x14ac:dyDescent="0.25">
      <c r="A544" s="130" t="s">
        <v>342</v>
      </c>
      <c r="B544" s="130" t="s">
        <v>343</v>
      </c>
      <c r="C544" s="132" t="s">
        <v>150</v>
      </c>
      <c r="D544" s="129">
        <v>2</v>
      </c>
      <c r="E544" s="25">
        <v>8.7999999999999995E-2</v>
      </c>
      <c r="F544" s="25">
        <v>0.17599999999999993</v>
      </c>
      <c r="G544" s="25">
        <v>0.29660001000000003</v>
      </c>
      <c r="H544" s="25">
        <v>0.59320002000000005</v>
      </c>
      <c r="I544" s="131" t="s">
        <v>87</v>
      </c>
      <c r="J544" s="132" t="s">
        <v>102</v>
      </c>
      <c r="K544" s="130" t="s">
        <v>653</v>
      </c>
      <c r="L544" s="130" t="str">
        <f t="shared" si="8"/>
        <v>005-00000048</v>
      </c>
      <c r="V544" s="53"/>
    </row>
    <row r="545" spans="1:22" hidden="1" x14ac:dyDescent="0.25">
      <c r="A545" s="130" t="s">
        <v>1040</v>
      </c>
      <c r="B545" s="130" t="s">
        <v>408</v>
      </c>
      <c r="C545" s="132" t="s">
        <v>150</v>
      </c>
      <c r="D545" s="129">
        <v>4</v>
      </c>
      <c r="E545" s="129">
        <v>1.8984999999999999</v>
      </c>
      <c r="F545" s="129">
        <v>7.5939999999999994</v>
      </c>
      <c r="G545" s="129">
        <v>6.3558998000000004</v>
      </c>
      <c r="H545" s="129">
        <v>25.423599200000002</v>
      </c>
      <c r="I545" s="131" t="s">
        <v>87</v>
      </c>
      <c r="J545" s="132" t="s">
        <v>102</v>
      </c>
      <c r="K545" s="130" t="s">
        <v>653</v>
      </c>
      <c r="L545" s="130" t="str">
        <f t="shared" si="8"/>
        <v>005-00000048</v>
      </c>
      <c r="V545" s="53"/>
    </row>
    <row r="546" spans="1:22" hidden="1" x14ac:dyDescent="0.25">
      <c r="A546" s="130" t="s">
        <v>502</v>
      </c>
      <c r="B546" s="130" t="s">
        <v>503</v>
      </c>
      <c r="C546" s="132" t="s">
        <v>153</v>
      </c>
      <c r="D546" s="129">
        <v>1</v>
      </c>
      <c r="E546" s="129">
        <v>30.330798999999999</v>
      </c>
      <c r="F546" s="129">
        <v>30.330799000000003</v>
      </c>
      <c r="G546" s="129">
        <v>101.69</v>
      </c>
      <c r="H546" s="129">
        <v>101.69</v>
      </c>
      <c r="I546" s="131" t="s">
        <v>87</v>
      </c>
      <c r="J546" s="132" t="s">
        <v>102</v>
      </c>
      <c r="K546" s="130" t="s">
        <v>651</v>
      </c>
      <c r="L546" s="130" t="str">
        <f t="shared" si="8"/>
        <v>005-00000050</v>
      </c>
      <c r="V546" s="53"/>
    </row>
    <row r="547" spans="1:22" hidden="1" x14ac:dyDescent="0.25">
      <c r="A547" s="130" t="s">
        <v>1059</v>
      </c>
      <c r="B547" s="130" t="s">
        <v>1060</v>
      </c>
      <c r="C547" s="132" t="s">
        <v>150</v>
      </c>
      <c r="D547" s="129">
        <v>1</v>
      </c>
      <c r="E547" s="129">
        <v>59.683300000000003</v>
      </c>
      <c r="F547" s="129">
        <v>59.68330000000001</v>
      </c>
      <c r="G547" s="129">
        <v>199.75998999999999</v>
      </c>
      <c r="H547" s="129">
        <v>199.75998999999996</v>
      </c>
      <c r="I547" s="131" t="s">
        <v>87</v>
      </c>
      <c r="J547" s="132" t="s">
        <v>102</v>
      </c>
      <c r="K547" s="130" t="s">
        <v>650</v>
      </c>
      <c r="L547" s="130" t="str">
        <f t="shared" si="8"/>
        <v>005-00000051</v>
      </c>
      <c r="V547" s="53"/>
    </row>
    <row r="548" spans="1:22" hidden="1" x14ac:dyDescent="0.25">
      <c r="A548" s="130" t="s">
        <v>1465</v>
      </c>
      <c r="B548" s="130" t="s">
        <v>160</v>
      </c>
      <c r="C548" s="132" t="s">
        <v>150</v>
      </c>
      <c r="D548" s="129">
        <v>2</v>
      </c>
      <c r="E548" s="129">
        <v>1.2092000000000001</v>
      </c>
      <c r="F548" s="129">
        <v>2.4184000000000001</v>
      </c>
      <c r="G548" s="129">
        <v>4.0678000000000001</v>
      </c>
      <c r="H548" s="129">
        <v>8.1356000000000002</v>
      </c>
      <c r="I548" s="131" t="s">
        <v>87</v>
      </c>
      <c r="J548" s="132" t="s">
        <v>102</v>
      </c>
      <c r="K548" s="130" t="s">
        <v>650</v>
      </c>
      <c r="L548" s="130" t="str">
        <f t="shared" si="8"/>
        <v>005-00000051</v>
      </c>
      <c r="V548" s="53"/>
    </row>
    <row r="549" spans="1:22" hidden="1" x14ac:dyDescent="0.25">
      <c r="A549" s="130" t="s">
        <v>342</v>
      </c>
      <c r="B549" s="130" t="s">
        <v>343</v>
      </c>
      <c r="C549" s="132" t="s">
        <v>150</v>
      </c>
      <c r="D549" s="129">
        <v>2</v>
      </c>
      <c r="E549" s="25">
        <v>8.7999999999999995E-2</v>
      </c>
      <c r="F549" s="25">
        <v>0.17599999999999993</v>
      </c>
      <c r="G549" s="25">
        <v>0.29660001000000003</v>
      </c>
      <c r="H549" s="25">
        <v>0.59320002000000005</v>
      </c>
      <c r="I549" s="131" t="s">
        <v>87</v>
      </c>
      <c r="J549" s="132" t="s">
        <v>102</v>
      </c>
      <c r="K549" s="130" t="s">
        <v>650</v>
      </c>
      <c r="L549" s="130" t="str">
        <f t="shared" si="8"/>
        <v>005-00000051</v>
      </c>
      <c r="V549" s="53"/>
    </row>
    <row r="550" spans="1:22" hidden="1" x14ac:dyDescent="0.25">
      <c r="A550" s="130" t="s">
        <v>370</v>
      </c>
      <c r="B550" s="130" t="s">
        <v>371</v>
      </c>
      <c r="C550" s="132" t="s">
        <v>153</v>
      </c>
      <c r="D550" s="129">
        <v>1</v>
      </c>
      <c r="E550" s="129">
        <v>34.294601</v>
      </c>
      <c r="F550" s="129">
        <v>34.294601</v>
      </c>
      <c r="G550" s="129">
        <v>114.4068</v>
      </c>
      <c r="H550" s="129">
        <v>114.4068</v>
      </c>
      <c r="I550" s="131" t="s">
        <v>87</v>
      </c>
      <c r="J550" s="132" t="s">
        <v>102</v>
      </c>
      <c r="K550" s="130" t="s">
        <v>650</v>
      </c>
      <c r="L550" s="130" t="str">
        <f t="shared" si="8"/>
        <v>005-00000051</v>
      </c>
      <c r="V550" s="53"/>
    </row>
    <row r="551" spans="1:22" hidden="1" x14ac:dyDescent="0.25">
      <c r="A551" s="130" t="s">
        <v>1086</v>
      </c>
      <c r="B551" s="130" t="s">
        <v>1087</v>
      </c>
      <c r="C551" s="132" t="s">
        <v>153</v>
      </c>
      <c r="D551" s="129">
        <v>1</v>
      </c>
      <c r="E551" s="129">
        <v>10.056800000000001</v>
      </c>
      <c r="F551" s="129">
        <v>10.056800000000003</v>
      </c>
      <c r="G551" s="129">
        <v>33.639999000000003</v>
      </c>
      <c r="H551" s="129">
        <v>33.639999000000003</v>
      </c>
      <c r="I551" s="131" t="s">
        <v>87</v>
      </c>
      <c r="J551" s="132" t="s">
        <v>102</v>
      </c>
      <c r="K551" s="130" t="s">
        <v>649</v>
      </c>
      <c r="L551" s="130" t="str">
        <f t="shared" si="8"/>
        <v>005-00000052</v>
      </c>
      <c r="V551" s="53"/>
    </row>
    <row r="552" spans="1:22" hidden="1" x14ac:dyDescent="0.25">
      <c r="A552" s="130" t="s">
        <v>1088</v>
      </c>
      <c r="B552" s="130" t="s">
        <v>1089</v>
      </c>
      <c r="C552" s="132" t="s">
        <v>153</v>
      </c>
      <c r="D552" s="129">
        <v>1</v>
      </c>
      <c r="E552" s="129">
        <v>12.388600000000002</v>
      </c>
      <c r="F552" s="129">
        <v>12.388600000000004</v>
      </c>
      <c r="G552" s="129">
        <v>41.439999</v>
      </c>
      <c r="H552" s="129">
        <v>41.439998999999986</v>
      </c>
      <c r="I552" s="131" t="s">
        <v>87</v>
      </c>
      <c r="J552" s="132" t="s">
        <v>102</v>
      </c>
      <c r="K552" s="130" t="s">
        <v>649</v>
      </c>
      <c r="L552" s="130" t="str">
        <f t="shared" si="8"/>
        <v>005-00000052</v>
      </c>
      <c r="V552" s="53"/>
    </row>
    <row r="553" spans="1:22" hidden="1" x14ac:dyDescent="0.25">
      <c r="A553" s="130" t="s">
        <v>1098</v>
      </c>
      <c r="B553" s="130" t="s">
        <v>255</v>
      </c>
      <c r="C553" s="132" t="s">
        <v>150</v>
      </c>
      <c r="D553" s="129">
        <v>1</v>
      </c>
      <c r="E553" s="25">
        <v>48.134498999999998</v>
      </c>
      <c r="F553" s="25">
        <v>48.134498999999998</v>
      </c>
      <c r="G553" s="25">
        <v>161.00998999999999</v>
      </c>
      <c r="H553" s="25">
        <v>161.00998999999996</v>
      </c>
      <c r="I553" s="131" t="s">
        <v>87</v>
      </c>
      <c r="J553" s="132" t="s">
        <v>102</v>
      </c>
      <c r="K553" s="130" t="s">
        <v>649</v>
      </c>
      <c r="L553" s="130" t="str">
        <f t="shared" si="8"/>
        <v>005-00000052</v>
      </c>
      <c r="V553" s="53"/>
    </row>
    <row r="554" spans="1:22" hidden="1" x14ac:dyDescent="0.25">
      <c r="A554" s="130" t="s">
        <v>1075</v>
      </c>
      <c r="B554" s="130" t="s">
        <v>1076</v>
      </c>
      <c r="C554" s="132" t="s">
        <v>150</v>
      </c>
      <c r="D554" s="129">
        <v>1</v>
      </c>
      <c r="E554" s="129">
        <v>13.741199999999999</v>
      </c>
      <c r="F554" s="129">
        <v>13.741199999999999</v>
      </c>
      <c r="G554" s="129">
        <v>46.61000099999999</v>
      </c>
      <c r="H554" s="129">
        <v>46.610001000000004</v>
      </c>
      <c r="I554" s="131" t="s">
        <v>87</v>
      </c>
      <c r="J554" s="132" t="s">
        <v>102</v>
      </c>
      <c r="K554" s="130" t="s">
        <v>649</v>
      </c>
      <c r="L554" s="130" t="str">
        <f t="shared" si="8"/>
        <v>005-00000052</v>
      </c>
      <c r="V554" s="53"/>
    </row>
    <row r="555" spans="1:22" hidden="1" x14ac:dyDescent="0.25">
      <c r="A555" s="130" t="s">
        <v>1468</v>
      </c>
      <c r="B555" s="130" t="s">
        <v>1469</v>
      </c>
      <c r="C555" s="132" t="s">
        <v>150</v>
      </c>
      <c r="D555" s="129">
        <v>1</v>
      </c>
      <c r="E555" s="129">
        <v>27.482400999999999</v>
      </c>
      <c r="F555" s="129">
        <v>27.482401000000003</v>
      </c>
      <c r="G555" s="129">
        <v>93.220298999999997</v>
      </c>
      <c r="H555" s="129">
        <v>93.220298999999997</v>
      </c>
      <c r="I555" s="131" t="s">
        <v>87</v>
      </c>
      <c r="J555" s="132" t="s">
        <v>102</v>
      </c>
      <c r="K555" s="130" t="s">
        <v>649</v>
      </c>
      <c r="L555" s="130" t="str">
        <f t="shared" si="8"/>
        <v>005-00000052</v>
      </c>
      <c r="V555" s="53"/>
    </row>
    <row r="556" spans="1:22" hidden="1" x14ac:dyDescent="0.25">
      <c r="A556" s="130" t="s">
        <v>1470</v>
      </c>
      <c r="B556" s="130" t="s">
        <v>1471</v>
      </c>
      <c r="C556" s="132" t="s">
        <v>150</v>
      </c>
      <c r="D556" s="129">
        <v>1</v>
      </c>
      <c r="E556" s="25">
        <v>23.738299999999999</v>
      </c>
      <c r="F556" s="25">
        <v>23.738299999999999</v>
      </c>
      <c r="G556" s="25">
        <v>80.508399999999995</v>
      </c>
      <c r="H556" s="25">
        <v>80.508399999999995</v>
      </c>
      <c r="I556" s="131" t="s">
        <v>87</v>
      </c>
      <c r="J556" s="132" t="s">
        <v>102</v>
      </c>
      <c r="K556" s="130" t="s">
        <v>649</v>
      </c>
      <c r="L556" s="130" t="str">
        <f t="shared" si="8"/>
        <v>005-00000052</v>
      </c>
      <c r="V556" s="53"/>
    </row>
    <row r="557" spans="1:22" hidden="1" x14ac:dyDescent="0.25">
      <c r="A557" s="130" t="s">
        <v>1463</v>
      </c>
      <c r="B557" s="130" t="s">
        <v>1464</v>
      </c>
      <c r="C557" s="132" t="s">
        <v>150</v>
      </c>
      <c r="D557" s="129">
        <v>1</v>
      </c>
      <c r="E557" s="129">
        <v>11.336399999999999</v>
      </c>
      <c r="F557" s="129">
        <v>11.336400000000001</v>
      </c>
      <c r="G557" s="129">
        <v>38.135601000000001</v>
      </c>
      <c r="H557" s="129">
        <v>38.135601000000001</v>
      </c>
      <c r="I557" s="131" t="s">
        <v>87</v>
      </c>
      <c r="J557" s="132" t="s">
        <v>102</v>
      </c>
      <c r="K557" s="130" t="s">
        <v>649</v>
      </c>
      <c r="L557" s="130" t="str">
        <f t="shared" si="8"/>
        <v>005-00000052</v>
      </c>
      <c r="V557" s="53"/>
    </row>
    <row r="558" spans="1:22" hidden="1" x14ac:dyDescent="0.25">
      <c r="A558" s="130" t="s">
        <v>1082</v>
      </c>
      <c r="B558" s="130" t="s">
        <v>1083</v>
      </c>
      <c r="C558" s="132" t="s">
        <v>150</v>
      </c>
      <c r="D558" s="129">
        <v>1</v>
      </c>
      <c r="E558" s="129">
        <v>54.539200000000001</v>
      </c>
      <c r="F558" s="129">
        <v>54.539200000000008</v>
      </c>
      <c r="G558" s="129">
        <v>182.20339999999999</v>
      </c>
      <c r="H558" s="129">
        <v>182.20339999999996</v>
      </c>
      <c r="I558" s="131" t="s">
        <v>87</v>
      </c>
      <c r="J558" s="132" t="s">
        <v>102</v>
      </c>
      <c r="K558" s="130" t="s">
        <v>649</v>
      </c>
      <c r="L558" s="130" t="str">
        <f t="shared" si="8"/>
        <v>005-00000052</v>
      </c>
      <c r="V558" s="53"/>
    </row>
    <row r="559" spans="1:22" hidden="1" x14ac:dyDescent="0.25">
      <c r="A559" s="130" t="s">
        <v>1465</v>
      </c>
      <c r="B559" s="130" t="s">
        <v>160</v>
      </c>
      <c r="C559" s="132" t="s">
        <v>150</v>
      </c>
      <c r="D559" s="129">
        <v>1</v>
      </c>
      <c r="E559" s="25">
        <v>1.2092000000000001</v>
      </c>
      <c r="F559" s="25">
        <v>1.2092000000000001</v>
      </c>
      <c r="G559" s="25">
        <v>4.0678000000000001</v>
      </c>
      <c r="H559" s="25">
        <v>4.0678000000000001</v>
      </c>
      <c r="I559" s="131" t="s">
        <v>87</v>
      </c>
      <c r="J559" s="132" t="s">
        <v>102</v>
      </c>
      <c r="K559" s="130" t="s">
        <v>649</v>
      </c>
      <c r="L559" s="130" t="str">
        <f t="shared" si="8"/>
        <v>005-00000052</v>
      </c>
      <c r="V559" s="53"/>
    </row>
    <row r="560" spans="1:22" hidden="1" x14ac:dyDescent="0.25">
      <c r="A560" s="130" t="s">
        <v>1466</v>
      </c>
      <c r="B560" s="130" t="s">
        <v>1467</v>
      </c>
      <c r="C560" s="132" t="s">
        <v>88</v>
      </c>
      <c r="D560" s="129">
        <v>0.75</v>
      </c>
      <c r="E560" s="129">
        <v>9.2980003</v>
      </c>
      <c r="F560" s="129">
        <v>6.9735002249999987</v>
      </c>
      <c r="G560" s="129">
        <v>31.138999999999999</v>
      </c>
      <c r="H560" s="129">
        <v>23.354249999999997</v>
      </c>
      <c r="I560" s="131" t="s">
        <v>87</v>
      </c>
      <c r="J560" s="132" t="s">
        <v>102</v>
      </c>
      <c r="K560" s="130" t="s">
        <v>649</v>
      </c>
      <c r="L560" s="130" t="str">
        <f t="shared" si="8"/>
        <v>005-00000052</v>
      </c>
      <c r="V560" s="53"/>
    </row>
    <row r="561" spans="1:22" hidden="1" x14ac:dyDescent="0.25">
      <c r="A561" s="130" t="s">
        <v>227</v>
      </c>
      <c r="B561" s="130" t="s">
        <v>194</v>
      </c>
      <c r="C561" s="132" t="s">
        <v>88</v>
      </c>
      <c r="D561" s="129">
        <v>1</v>
      </c>
      <c r="E561" s="129">
        <v>1.6415</v>
      </c>
      <c r="F561" s="129">
        <v>1.6414999999999997</v>
      </c>
      <c r="G561" s="129">
        <v>5.4759001999999999</v>
      </c>
      <c r="H561" s="129">
        <v>5.4759001999999999</v>
      </c>
      <c r="I561" s="131" t="s">
        <v>87</v>
      </c>
      <c r="J561" s="132" t="s">
        <v>102</v>
      </c>
      <c r="K561" s="130" t="s">
        <v>649</v>
      </c>
      <c r="L561" s="130" t="str">
        <f t="shared" si="8"/>
        <v>005-00000052</v>
      </c>
      <c r="V561" s="53"/>
    </row>
    <row r="562" spans="1:22" hidden="1" x14ac:dyDescent="0.25">
      <c r="A562" s="130" t="s">
        <v>1055</v>
      </c>
      <c r="B562" s="130" t="s">
        <v>1056</v>
      </c>
      <c r="C562" s="132" t="s">
        <v>150</v>
      </c>
      <c r="D562" s="129">
        <v>1</v>
      </c>
      <c r="E562" s="25">
        <v>1.5107999999999999</v>
      </c>
      <c r="F562" s="25">
        <v>1.5108000000000001</v>
      </c>
      <c r="G562" s="25">
        <v>5.0847001000000001</v>
      </c>
      <c r="H562" s="25">
        <v>5.0847001000000001</v>
      </c>
      <c r="I562" s="131" t="s">
        <v>87</v>
      </c>
      <c r="J562" s="132" t="s">
        <v>102</v>
      </c>
      <c r="K562" s="130" t="s">
        <v>649</v>
      </c>
      <c r="L562" s="130" t="str">
        <f t="shared" si="8"/>
        <v>005-00000052</v>
      </c>
      <c r="V562" s="53"/>
    </row>
    <row r="563" spans="1:22" hidden="1" x14ac:dyDescent="0.25">
      <c r="A563" s="130" t="s">
        <v>1472</v>
      </c>
      <c r="B563" s="130" t="s">
        <v>1473</v>
      </c>
      <c r="C563" s="132" t="s">
        <v>153</v>
      </c>
      <c r="D563" s="129">
        <v>1</v>
      </c>
      <c r="E563" s="129">
        <v>40.536098000000003</v>
      </c>
      <c r="F563" s="129">
        <v>40.536098000000003</v>
      </c>
      <c r="G563" s="129">
        <v>135.5932</v>
      </c>
      <c r="H563" s="129">
        <v>135.5932</v>
      </c>
      <c r="I563" s="131" t="s">
        <v>87</v>
      </c>
      <c r="J563" s="132" t="s">
        <v>102</v>
      </c>
      <c r="K563" s="130" t="s">
        <v>647</v>
      </c>
      <c r="L563" s="130" t="str">
        <f t="shared" si="8"/>
        <v>005-00000054</v>
      </c>
      <c r="V563" s="53"/>
    </row>
    <row r="564" spans="1:22" hidden="1" x14ac:dyDescent="0.25">
      <c r="A564" s="130" t="s">
        <v>544</v>
      </c>
      <c r="B564" s="130" t="s">
        <v>545</v>
      </c>
      <c r="C564" s="132" t="s">
        <v>150</v>
      </c>
      <c r="D564" s="129">
        <v>2</v>
      </c>
      <c r="E564" s="129">
        <v>3.0402</v>
      </c>
      <c r="F564" s="129">
        <v>6.0804</v>
      </c>
      <c r="G564" s="129">
        <v>10.169499999999999</v>
      </c>
      <c r="H564" s="129">
        <v>20.338999999999995</v>
      </c>
      <c r="I564" s="131" t="s">
        <v>87</v>
      </c>
      <c r="J564" s="132" t="s">
        <v>102</v>
      </c>
      <c r="K564" s="130" t="s">
        <v>647</v>
      </c>
      <c r="L564" s="130" t="str">
        <f t="shared" si="8"/>
        <v>005-00000054</v>
      </c>
      <c r="V564" s="53"/>
    </row>
    <row r="565" spans="1:22" hidden="1" x14ac:dyDescent="0.25">
      <c r="A565" s="130" t="s">
        <v>1474</v>
      </c>
      <c r="B565" s="130" t="s">
        <v>1475</v>
      </c>
      <c r="C565" s="132" t="s">
        <v>150</v>
      </c>
      <c r="D565" s="129">
        <v>1</v>
      </c>
      <c r="E565" s="25">
        <v>3.5527999000000001</v>
      </c>
      <c r="F565" s="25">
        <v>3.5527999000000001</v>
      </c>
      <c r="G565" s="25">
        <v>11.87</v>
      </c>
      <c r="H565" s="25">
        <v>11.87</v>
      </c>
      <c r="I565" s="131" t="s">
        <v>87</v>
      </c>
      <c r="J565" s="132" t="s">
        <v>102</v>
      </c>
      <c r="K565" s="130" t="s">
        <v>647</v>
      </c>
      <c r="L565" s="130" t="str">
        <f t="shared" si="8"/>
        <v>005-00000054</v>
      </c>
      <c r="V565" s="53"/>
    </row>
    <row r="566" spans="1:22" hidden="1" x14ac:dyDescent="0.25">
      <c r="A566" s="130" t="s">
        <v>228</v>
      </c>
      <c r="B566" s="130" t="s">
        <v>229</v>
      </c>
      <c r="C566" s="132" t="s">
        <v>150</v>
      </c>
      <c r="D566" s="129">
        <v>1</v>
      </c>
      <c r="E566" s="129">
        <v>3.8104998999999999</v>
      </c>
      <c r="F566" s="129">
        <v>3.8104998999999999</v>
      </c>
      <c r="G566" s="129">
        <v>12.7119</v>
      </c>
      <c r="H566" s="129">
        <v>12.711900000000004</v>
      </c>
      <c r="I566" s="131" t="s">
        <v>87</v>
      </c>
      <c r="J566" s="132" t="s">
        <v>102</v>
      </c>
      <c r="K566" s="130" t="s">
        <v>647</v>
      </c>
      <c r="L566" s="130" t="str">
        <f t="shared" si="8"/>
        <v>005-00000054</v>
      </c>
      <c r="V566" s="53"/>
    </row>
    <row r="567" spans="1:22" hidden="1" x14ac:dyDescent="0.25">
      <c r="A567" s="130" t="s">
        <v>342</v>
      </c>
      <c r="B567" s="130" t="s">
        <v>343</v>
      </c>
      <c r="C567" s="132" t="s">
        <v>150</v>
      </c>
      <c r="D567" s="129">
        <v>4</v>
      </c>
      <c r="E567" s="129">
        <v>8.7999999999999995E-2</v>
      </c>
      <c r="F567" s="129">
        <v>0.35199999999999987</v>
      </c>
      <c r="G567" s="129">
        <v>0.29660001000000003</v>
      </c>
      <c r="H567" s="129">
        <v>1.1864000400000001</v>
      </c>
      <c r="I567" s="131" t="s">
        <v>87</v>
      </c>
      <c r="J567" s="132" t="s">
        <v>102</v>
      </c>
      <c r="K567" s="130" t="s">
        <v>647</v>
      </c>
      <c r="L567" s="130" t="str">
        <f t="shared" si="8"/>
        <v>005-00000054</v>
      </c>
      <c r="V567" s="53"/>
    </row>
    <row r="568" spans="1:22" hidden="1" x14ac:dyDescent="0.25">
      <c r="A568" s="130" t="s">
        <v>1059</v>
      </c>
      <c r="B568" s="130" t="s">
        <v>1060</v>
      </c>
      <c r="C568" s="132" t="s">
        <v>150</v>
      </c>
      <c r="D568" s="129">
        <v>1</v>
      </c>
      <c r="E568" s="25">
        <v>59.683300000000003</v>
      </c>
      <c r="F568" s="25">
        <v>59.68330000000001</v>
      </c>
      <c r="G568" s="25">
        <v>199.75998999999999</v>
      </c>
      <c r="H568" s="25">
        <v>199.75998999999996</v>
      </c>
      <c r="I568" s="131" t="s">
        <v>87</v>
      </c>
      <c r="J568" s="132" t="s">
        <v>102</v>
      </c>
      <c r="K568" s="130" t="s">
        <v>647</v>
      </c>
      <c r="L568" s="130" t="str">
        <f t="shared" si="8"/>
        <v>005-00000054</v>
      </c>
      <c r="V568" s="53"/>
    </row>
    <row r="569" spans="1:22" hidden="1" x14ac:dyDescent="0.25">
      <c r="A569" s="130" t="s">
        <v>227</v>
      </c>
      <c r="B569" s="130" t="s">
        <v>194</v>
      </c>
      <c r="C569" s="132" t="s">
        <v>88</v>
      </c>
      <c r="D569" s="129">
        <v>1</v>
      </c>
      <c r="E569" s="129">
        <v>1.6415</v>
      </c>
      <c r="F569" s="129">
        <v>1.6414999999999997</v>
      </c>
      <c r="G569" s="129">
        <v>5.4759001999999999</v>
      </c>
      <c r="H569" s="129">
        <v>5.4759001999999999</v>
      </c>
      <c r="I569" s="131" t="s">
        <v>87</v>
      </c>
      <c r="J569" s="132" t="s">
        <v>102</v>
      </c>
      <c r="K569" s="130" t="s">
        <v>647</v>
      </c>
      <c r="L569" s="130" t="str">
        <f t="shared" si="8"/>
        <v>005-00000054</v>
      </c>
      <c r="V569" s="53"/>
    </row>
    <row r="570" spans="1:22" hidden="1" x14ac:dyDescent="0.25">
      <c r="A570" s="130" t="s">
        <v>309</v>
      </c>
      <c r="B570" s="130" t="s">
        <v>310</v>
      </c>
      <c r="C570" s="132" t="s">
        <v>150</v>
      </c>
      <c r="D570" s="129">
        <v>1</v>
      </c>
      <c r="E570" s="129">
        <v>1.1394</v>
      </c>
      <c r="F570" s="129">
        <v>1.1394</v>
      </c>
      <c r="G570" s="129">
        <v>3.8136000999999999</v>
      </c>
      <c r="H570" s="129">
        <v>3.8136001000000004</v>
      </c>
      <c r="I570" s="131" t="s">
        <v>87</v>
      </c>
      <c r="J570" s="132" t="s">
        <v>102</v>
      </c>
      <c r="K570" s="130" t="s">
        <v>647</v>
      </c>
      <c r="L570" s="130" t="str">
        <f t="shared" si="8"/>
        <v>005-00000054</v>
      </c>
      <c r="V570" s="53"/>
    </row>
    <row r="571" spans="1:22" hidden="1" x14ac:dyDescent="0.25">
      <c r="A571" s="130" t="s">
        <v>331</v>
      </c>
      <c r="B571" s="130" t="s">
        <v>332</v>
      </c>
      <c r="C571" s="132" t="s">
        <v>150</v>
      </c>
      <c r="D571" s="129">
        <v>1</v>
      </c>
      <c r="E571" s="25">
        <v>1.0668</v>
      </c>
      <c r="F571" s="25">
        <v>1.0668</v>
      </c>
      <c r="G571" s="25">
        <v>3.6015999000000001</v>
      </c>
      <c r="H571" s="25">
        <v>16.95</v>
      </c>
      <c r="I571" s="131" t="s">
        <v>87</v>
      </c>
      <c r="J571" s="132" t="s">
        <v>102</v>
      </c>
      <c r="K571" s="130" t="s">
        <v>647</v>
      </c>
      <c r="L571" s="130" t="str">
        <f t="shared" si="8"/>
        <v>005-00000054</v>
      </c>
      <c r="V571" s="53"/>
    </row>
    <row r="572" spans="1:22" hidden="1" x14ac:dyDescent="0.25">
      <c r="A572" s="130" t="s">
        <v>360</v>
      </c>
      <c r="B572" s="130" t="s">
        <v>361</v>
      </c>
      <c r="C572" s="132" t="s">
        <v>150</v>
      </c>
      <c r="D572" s="129">
        <v>2</v>
      </c>
      <c r="E572" s="129">
        <v>0.12590000000000001</v>
      </c>
      <c r="F572" s="129">
        <v>0.25180000000000002</v>
      </c>
      <c r="G572" s="129">
        <v>0.42370000000000002</v>
      </c>
      <c r="H572" s="129">
        <v>0.84740000000000004</v>
      </c>
      <c r="I572" s="131" t="s">
        <v>87</v>
      </c>
      <c r="J572" s="132" t="s">
        <v>102</v>
      </c>
      <c r="K572" s="130" t="s">
        <v>647</v>
      </c>
      <c r="L572" s="130" t="str">
        <f t="shared" si="8"/>
        <v>005-00000054</v>
      </c>
      <c r="V572" s="53"/>
    </row>
    <row r="573" spans="1:22" hidden="1" x14ac:dyDescent="0.25">
      <c r="A573" s="130" t="s">
        <v>1034</v>
      </c>
      <c r="B573" s="130" t="s">
        <v>1035</v>
      </c>
      <c r="C573" s="132" t="s">
        <v>88</v>
      </c>
      <c r="D573" s="129">
        <v>1</v>
      </c>
      <c r="E573" s="129">
        <v>11.861700000000001</v>
      </c>
      <c r="F573" s="129">
        <v>11.861700000000001</v>
      </c>
      <c r="G573" s="129">
        <v>39.701000000000001</v>
      </c>
      <c r="H573" s="129">
        <v>39.701000000000001</v>
      </c>
      <c r="I573" s="131" t="s">
        <v>87</v>
      </c>
      <c r="J573" s="132" t="s">
        <v>102</v>
      </c>
      <c r="K573" s="130" t="s">
        <v>647</v>
      </c>
      <c r="L573" s="130" t="str">
        <f t="shared" si="8"/>
        <v>005-00000054</v>
      </c>
      <c r="V573" s="53"/>
    </row>
    <row r="574" spans="1:22" hidden="1" x14ac:dyDescent="0.25">
      <c r="A574" s="130" t="s">
        <v>409</v>
      </c>
      <c r="B574" s="130" t="s">
        <v>408</v>
      </c>
      <c r="C574" s="132" t="s">
        <v>150</v>
      </c>
      <c r="D574" s="129">
        <v>4</v>
      </c>
      <c r="E574" s="25">
        <v>1.4915</v>
      </c>
      <c r="F574" s="25">
        <v>5.9659999999999993</v>
      </c>
      <c r="G574" s="25">
        <v>6.1016002</v>
      </c>
      <c r="H574" s="25">
        <v>24.406400800000007</v>
      </c>
      <c r="I574" s="131" t="s">
        <v>87</v>
      </c>
      <c r="J574" s="132" t="s">
        <v>102</v>
      </c>
      <c r="K574" s="130" t="s">
        <v>647</v>
      </c>
      <c r="L574" s="130" t="str">
        <f t="shared" si="8"/>
        <v>005-00000054</v>
      </c>
      <c r="V574" s="53"/>
    </row>
    <row r="575" spans="1:22" hidden="1" x14ac:dyDescent="0.25">
      <c r="A575" s="130" t="s">
        <v>1061</v>
      </c>
      <c r="B575" s="130" t="s">
        <v>1062</v>
      </c>
      <c r="C575" s="132" t="s">
        <v>226</v>
      </c>
      <c r="D575" s="129">
        <v>1</v>
      </c>
      <c r="E575" s="129">
        <v>61.45999900000001</v>
      </c>
      <c r="F575" s="129">
        <v>61.459999000000018</v>
      </c>
      <c r="G575" s="129">
        <v>205.7312</v>
      </c>
      <c r="H575" s="129">
        <v>205.73119999999994</v>
      </c>
      <c r="I575" s="131" t="s">
        <v>87</v>
      </c>
      <c r="J575" s="132" t="s">
        <v>102</v>
      </c>
      <c r="K575" s="130" t="s">
        <v>647</v>
      </c>
      <c r="L575" s="130" t="str">
        <f t="shared" si="8"/>
        <v>005-00000054</v>
      </c>
      <c r="V575" s="53"/>
    </row>
    <row r="576" spans="1:22" hidden="1" x14ac:dyDescent="0.25">
      <c r="A576" s="130" t="s">
        <v>1476</v>
      </c>
      <c r="B576" s="130" t="s">
        <v>1477</v>
      </c>
      <c r="C576" s="132" t="s">
        <v>150</v>
      </c>
      <c r="D576" s="129">
        <v>1</v>
      </c>
      <c r="E576" s="129">
        <v>4.4972000000000003</v>
      </c>
      <c r="F576" s="129">
        <v>4.4972000000000003</v>
      </c>
      <c r="G576" s="129">
        <v>15.25</v>
      </c>
      <c r="H576" s="129">
        <v>15.25</v>
      </c>
      <c r="I576" s="131" t="s">
        <v>87</v>
      </c>
      <c r="J576" s="132" t="s">
        <v>102</v>
      </c>
      <c r="K576" s="130" t="s">
        <v>647</v>
      </c>
      <c r="L576" s="130" t="str">
        <f t="shared" si="8"/>
        <v>005-00000054</v>
      </c>
      <c r="V576" s="53"/>
    </row>
    <row r="577" spans="1:22" hidden="1" x14ac:dyDescent="0.25">
      <c r="A577" s="130" t="s">
        <v>548</v>
      </c>
      <c r="B577" s="130" t="s">
        <v>549</v>
      </c>
      <c r="C577" s="132" t="s">
        <v>150</v>
      </c>
      <c r="D577" s="129">
        <v>1</v>
      </c>
      <c r="E577" s="25">
        <v>24.133199999999999</v>
      </c>
      <c r="F577" s="25">
        <v>24.133199999999999</v>
      </c>
      <c r="G577" s="25">
        <v>80.508399999999995</v>
      </c>
      <c r="H577" s="25">
        <v>80.508399999999995</v>
      </c>
      <c r="I577" s="131" t="s">
        <v>87</v>
      </c>
      <c r="J577" s="132" t="s">
        <v>102</v>
      </c>
      <c r="K577" s="130" t="s">
        <v>633</v>
      </c>
      <c r="L577" s="130" t="str">
        <f t="shared" si="8"/>
        <v>005-00000069</v>
      </c>
      <c r="V577" s="53"/>
    </row>
    <row r="578" spans="1:22" hidden="1" x14ac:dyDescent="0.25">
      <c r="A578" s="130" t="s">
        <v>370</v>
      </c>
      <c r="B578" s="130" t="s">
        <v>371</v>
      </c>
      <c r="C578" s="132" t="s">
        <v>153</v>
      </c>
      <c r="D578" s="129">
        <v>1</v>
      </c>
      <c r="E578" s="129">
        <v>34.294601</v>
      </c>
      <c r="F578" s="129">
        <v>34.294601</v>
      </c>
      <c r="G578" s="129">
        <v>114.4068</v>
      </c>
      <c r="H578" s="129">
        <v>114.4068</v>
      </c>
      <c r="I578" s="131" t="s">
        <v>87</v>
      </c>
      <c r="J578" s="132" t="s">
        <v>102</v>
      </c>
      <c r="K578" s="130" t="s">
        <v>633</v>
      </c>
      <c r="L578" s="130" t="str">
        <f t="shared" si="8"/>
        <v>005-00000069</v>
      </c>
      <c r="V578" s="53"/>
    </row>
    <row r="579" spans="1:22" hidden="1" x14ac:dyDescent="0.25">
      <c r="A579" s="130" t="s">
        <v>1466</v>
      </c>
      <c r="B579" s="130" t="s">
        <v>1467</v>
      </c>
      <c r="C579" s="132" t="s">
        <v>88</v>
      </c>
      <c r="D579" s="129">
        <v>0.75</v>
      </c>
      <c r="E579" s="129">
        <v>9.2980003</v>
      </c>
      <c r="F579" s="129">
        <v>6.9735002249999987</v>
      </c>
      <c r="G579" s="129">
        <v>31.138999999999999</v>
      </c>
      <c r="H579" s="129">
        <v>23.354249999999997</v>
      </c>
      <c r="I579" s="131" t="s">
        <v>87</v>
      </c>
      <c r="J579" s="132" t="s">
        <v>102</v>
      </c>
      <c r="K579" s="130" t="s">
        <v>633</v>
      </c>
      <c r="L579" s="130" t="str">
        <f t="shared" si="8"/>
        <v>005-00000069</v>
      </c>
      <c r="V579" s="53"/>
    </row>
    <row r="580" spans="1:22" hidden="1" x14ac:dyDescent="0.25">
      <c r="A580" s="130" t="s">
        <v>1034</v>
      </c>
      <c r="B580" s="130" t="s">
        <v>1035</v>
      </c>
      <c r="C580" s="132" t="s">
        <v>88</v>
      </c>
      <c r="D580" s="129">
        <v>1</v>
      </c>
      <c r="E580" s="25">
        <v>11.861700000000001</v>
      </c>
      <c r="F580" s="25">
        <v>11.861700000000001</v>
      </c>
      <c r="G580" s="25">
        <v>39.701000000000001</v>
      </c>
      <c r="H580" s="25">
        <v>39.701000000000001</v>
      </c>
      <c r="I580" s="131" t="s">
        <v>87</v>
      </c>
      <c r="J580" s="132" t="s">
        <v>102</v>
      </c>
      <c r="K580" s="130" t="s">
        <v>633</v>
      </c>
      <c r="L580" s="130" t="str">
        <f t="shared" si="8"/>
        <v>005-00000069</v>
      </c>
      <c r="V580" s="53"/>
    </row>
    <row r="581" spans="1:22" hidden="1" x14ac:dyDescent="0.25">
      <c r="A581" s="130" t="s">
        <v>1055</v>
      </c>
      <c r="B581" s="130" t="s">
        <v>1056</v>
      </c>
      <c r="C581" s="132" t="s">
        <v>150</v>
      </c>
      <c r="D581" s="129">
        <v>1</v>
      </c>
      <c r="E581" s="129">
        <v>1.5107999999999999</v>
      </c>
      <c r="F581" s="129">
        <v>1.5108000000000001</v>
      </c>
      <c r="G581" s="129">
        <v>5.0847001000000001</v>
      </c>
      <c r="H581" s="129">
        <v>5.0847001000000001</v>
      </c>
      <c r="I581" s="131" t="s">
        <v>87</v>
      </c>
      <c r="J581" s="132" t="s">
        <v>102</v>
      </c>
      <c r="K581" s="130" t="s">
        <v>633</v>
      </c>
      <c r="L581" s="130" t="str">
        <f t="shared" ref="L581:L644" si="9">CONCATENATE(J581,"-",K581)</f>
        <v>005-00000069</v>
      </c>
      <c r="V581" s="53"/>
    </row>
    <row r="582" spans="1:22" hidden="1" x14ac:dyDescent="0.25">
      <c r="A582" s="130" t="s">
        <v>1071</v>
      </c>
      <c r="B582" s="130" t="s">
        <v>1072</v>
      </c>
      <c r="C582" s="132" t="s">
        <v>150</v>
      </c>
      <c r="D582" s="129">
        <v>1</v>
      </c>
      <c r="E582" s="129">
        <v>2.2618999</v>
      </c>
      <c r="F582" s="129">
        <v>2.2618998999999995</v>
      </c>
      <c r="G582" s="129">
        <v>7.6271000000000004</v>
      </c>
      <c r="H582" s="129">
        <v>7.6271000000000004</v>
      </c>
      <c r="I582" s="131" t="s">
        <v>87</v>
      </c>
      <c r="J582" s="132" t="s">
        <v>102</v>
      </c>
      <c r="K582" s="130" t="s">
        <v>633</v>
      </c>
      <c r="L582" s="130" t="str">
        <f t="shared" si="9"/>
        <v>005-00000069</v>
      </c>
      <c r="V582" s="53"/>
    </row>
    <row r="583" spans="1:22" hidden="1" x14ac:dyDescent="0.25">
      <c r="A583" s="130" t="s">
        <v>1040</v>
      </c>
      <c r="B583" s="130" t="s">
        <v>408</v>
      </c>
      <c r="C583" s="132" t="s">
        <v>150</v>
      </c>
      <c r="D583" s="129">
        <v>4</v>
      </c>
      <c r="E583" s="129">
        <v>1.8984999999999999</v>
      </c>
      <c r="F583" s="129">
        <v>7.5939999999999994</v>
      </c>
      <c r="G583" s="129">
        <v>6.3558998000000004</v>
      </c>
      <c r="H583" s="129">
        <v>25.423599200000002</v>
      </c>
      <c r="I583" s="131" t="s">
        <v>87</v>
      </c>
      <c r="J583" s="132" t="s">
        <v>102</v>
      </c>
      <c r="K583" s="130" t="s">
        <v>633</v>
      </c>
      <c r="L583" s="130" t="str">
        <f t="shared" si="9"/>
        <v>005-00000069</v>
      </c>
      <c r="V583" s="53"/>
    </row>
    <row r="584" spans="1:22" hidden="1" x14ac:dyDescent="0.25">
      <c r="A584" s="130" t="s">
        <v>1465</v>
      </c>
      <c r="B584" s="130" t="s">
        <v>160</v>
      </c>
      <c r="C584" s="132" t="s">
        <v>150</v>
      </c>
      <c r="D584" s="129">
        <v>1</v>
      </c>
      <c r="E584" s="129">
        <v>1.2092000000000001</v>
      </c>
      <c r="F584" s="129">
        <v>1.2092000000000001</v>
      </c>
      <c r="G584" s="129">
        <v>4.0678000000000001</v>
      </c>
      <c r="H584" s="129">
        <v>4.0678000000000001</v>
      </c>
      <c r="I584" s="131" t="s">
        <v>87</v>
      </c>
      <c r="J584" s="132" t="s">
        <v>102</v>
      </c>
      <c r="K584" s="130" t="s">
        <v>633</v>
      </c>
      <c r="L584" s="130" t="str">
        <f t="shared" si="9"/>
        <v>005-00000069</v>
      </c>
      <c r="V584" s="53"/>
    </row>
    <row r="585" spans="1:22" hidden="1" x14ac:dyDescent="0.25">
      <c r="A585" s="130" t="s">
        <v>227</v>
      </c>
      <c r="B585" s="130" t="s">
        <v>194</v>
      </c>
      <c r="C585" s="132" t="s">
        <v>88</v>
      </c>
      <c r="D585" s="129">
        <v>1</v>
      </c>
      <c r="E585" s="25">
        <v>1.6415</v>
      </c>
      <c r="F585" s="25">
        <v>1.6414999999999997</v>
      </c>
      <c r="G585" s="25">
        <v>5.4759001999999999</v>
      </c>
      <c r="H585" s="25">
        <v>5.4759001999999999</v>
      </c>
      <c r="I585" s="131" t="s">
        <v>87</v>
      </c>
      <c r="J585" s="132" t="s">
        <v>102</v>
      </c>
      <c r="K585" s="130" t="s">
        <v>633</v>
      </c>
      <c r="L585" s="130" t="str">
        <f t="shared" si="9"/>
        <v>005-00000069</v>
      </c>
      <c r="V585" s="53"/>
    </row>
    <row r="586" spans="1:22" hidden="1" x14ac:dyDescent="0.25">
      <c r="A586" s="130" t="s">
        <v>360</v>
      </c>
      <c r="B586" s="130" t="s">
        <v>361</v>
      </c>
      <c r="C586" s="132" t="s">
        <v>150</v>
      </c>
      <c r="D586" s="129">
        <v>2</v>
      </c>
      <c r="E586" s="129">
        <v>0.12590000000000001</v>
      </c>
      <c r="F586" s="129">
        <v>0.25180000000000002</v>
      </c>
      <c r="G586" s="129">
        <v>0.42370000000000002</v>
      </c>
      <c r="H586" s="129">
        <v>0.84740000000000004</v>
      </c>
      <c r="I586" s="131" t="s">
        <v>87</v>
      </c>
      <c r="J586" s="132" t="s">
        <v>102</v>
      </c>
      <c r="K586" s="130" t="s">
        <v>633</v>
      </c>
      <c r="L586" s="130" t="str">
        <f t="shared" si="9"/>
        <v>005-00000069</v>
      </c>
      <c r="V586" s="53"/>
    </row>
    <row r="587" spans="1:22" hidden="1" x14ac:dyDescent="0.25">
      <c r="A587" s="130" t="s">
        <v>342</v>
      </c>
      <c r="B587" s="130" t="s">
        <v>343</v>
      </c>
      <c r="C587" s="132" t="s">
        <v>150</v>
      </c>
      <c r="D587" s="129">
        <v>2</v>
      </c>
      <c r="E587" s="129">
        <v>8.7999999999999995E-2</v>
      </c>
      <c r="F587" s="129">
        <v>0.17599999999999993</v>
      </c>
      <c r="G587" s="129">
        <v>0.29660001000000003</v>
      </c>
      <c r="H587" s="129">
        <v>0.59320002000000005</v>
      </c>
      <c r="I587" s="131" t="s">
        <v>87</v>
      </c>
      <c r="J587" s="132" t="s">
        <v>102</v>
      </c>
      <c r="K587" s="130" t="s">
        <v>633</v>
      </c>
      <c r="L587" s="130" t="str">
        <f t="shared" si="9"/>
        <v>005-00000069</v>
      </c>
      <c r="V587" s="53"/>
    </row>
    <row r="588" spans="1:22" hidden="1" x14ac:dyDescent="0.25">
      <c r="A588" s="130" t="s">
        <v>1092</v>
      </c>
      <c r="B588" s="130" t="s">
        <v>1093</v>
      </c>
      <c r="C588" s="132" t="s">
        <v>226</v>
      </c>
      <c r="D588" s="129">
        <v>1</v>
      </c>
      <c r="E588" s="129">
        <v>81.292000000000002</v>
      </c>
      <c r="F588" s="129">
        <v>81.292000000000002</v>
      </c>
      <c r="G588" s="129">
        <v>271.19</v>
      </c>
      <c r="H588" s="129">
        <v>271.19</v>
      </c>
      <c r="I588" s="131" t="s">
        <v>87</v>
      </c>
      <c r="J588" s="132" t="s">
        <v>102</v>
      </c>
      <c r="K588" s="130" t="s">
        <v>631</v>
      </c>
      <c r="L588" s="130" t="str">
        <f t="shared" si="9"/>
        <v>005-00000079</v>
      </c>
      <c r="V588" s="53"/>
    </row>
    <row r="589" spans="1:22" hidden="1" x14ac:dyDescent="0.25">
      <c r="A589" s="130" t="s">
        <v>1466</v>
      </c>
      <c r="B589" s="130" t="s">
        <v>1467</v>
      </c>
      <c r="C589" s="132" t="s">
        <v>88</v>
      </c>
      <c r="D589" s="129">
        <v>0.75</v>
      </c>
      <c r="E589" s="129">
        <v>9.2980003</v>
      </c>
      <c r="F589" s="129">
        <v>6.9735002249999987</v>
      </c>
      <c r="G589" s="129">
        <v>31.138999999999999</v>
      </c>
      <c r="H589" s="129">
        <v>23.354249999999997</v>
      </c>
      <c r="I589" s="131" t="s">
        <v>87</v>
      </c>
      <c r="J589" s="132" t="s">
        <v>102</v>
      </c>
      <c r="K589" s="130" t="s">
        <v>631</v>
      </c>
      <c r="L589" s="130" t="str">
        <f t="shared" si="9"/>
        <v>005-00000079</v>
      </c>
      <c r="V589" s="53"/>
    </row>
    <row r="590" spans="1:22" hidden="1" x14ac:dyDescent="0.25">
      <c r="A590" s="130" t="s">
        <v>1034</v>
      </c>
      <c r="B590" s="130" t="s">
        <v>1035</v>
      </c>
      <c r="C590" s="132" t="s">
        <v>88</v>
      </c>
      <c r="D590" s="129">
        <v>1</v>
      </c>
      <c r="E590" s="25">
        <v>11.861700000000001</v>
      </c>
      <c r="F590" s="25">
        <v>11.861700000000001</v>
      </c>
      <c r="G590" s="25">
        <v>39.701000000000001</v>
      </c>
      <c r="H590" s="25">
        <v>39.701000000000001</v>
      </c>
      <c r="I590" s="131" t="s">
        <v>87</v>
      </c>
      <c r="J590" s="132" t="s">
        <v>102</v>
      </c>
      <c r="K590" s="130" t="s">
        <v>631</v>
      </c>
      <c r="L590" s="130" t="str">
        <f t="shared" si="9"/>
        <v>005-00000079</v>
      </c>
      <c r="M590" s="101"/>
      <c r="V590" s="53"/>
    </row>
    <row r="591" spans="1:22" hidden="1" x14ac:dyDescent="0.25">
      <c r="A591" s="130" t="s">
        <v>1465</v>
      </c>
      <c r="B591" s="130" t="s">
        <v>160</v>
      </c>
      <c r="C591" s="132" t="s">
        <v>150</v>
      </c>
      <c r="D591" s="129">
        <v>2</v>
      </c>
      <c r="E591" s="129">
        <v>1.2092000000000001</v>
      </c>
      <c r="F591" s="129">
        <v>2.4184000000000001</v>
      </c>
      <c r="G591" s="129">
        <v>4.0678000000000001</v>
      </c>
      <c r="H591" s="129">
        <v>8.1356000000000002</v>
      </c>
      <c r="I591" s="131" t="s">
        <v>87</v>
      </c>
      <c r="J591" s="132" t="s">
        <v>102</v>
      </c>
      <c r="K591" s="130" t="s">
        <v>631</v>
      </c>
      <c r="L591" s="130" t="str">
        <f t="shared" si="9"/>
        <v>005-00000079</v>
      </c>
      <c r="V591" s="53"/>
    </row>
    <row r="592" spans="1:22" hidden="1" x14ac:dyDescent="0.25">
      <c r="A592" s="130" t="s">
        <v>227</v>
      </c>
      <c r="B592" s="130" t="s">
        <v>194</v>
      </c>
      <c r="C592" s="132" t="s">
        <v>88</v>
      </c>
      <c r="D592" s="129">
        <v>1</v>
      </c>
      <c r="E592" s="129">
        <v>1.6415</v>
      </c>
      <c r="F592" s="129">
        <v>1.6414999999999997</v>
      </c>
      <c r="G592" s="129">
        <v>5.4759001999999999</v>
      </c>
      <c r="H592" s="129">
        <v>5.4759001999999999</v>
      </c>
      <c r="I592" s="131" t="s">
        <v>87</v>
      </c>
      <c r="J592" s="132" t="s">
        <v>102</v>
      </c>
      <c r="K592" s="130" t="s">
        <v>631</v>
      </c>
      <c r="L592" s="130" t="str">
        <f t="shared" si="9"/>
        <v>005-00000079</v>
      </c>
      <c r="V592" s="53"/>
    </row>
    <row r="593" spans="1:22" hidden="1" x14ac:dyDescent="0.25">
      <c r="A593" s="130" t="s">
        <v>1055</v>
      </c>
      <c r="B593" s="130" t="s">
        <v>1056</v>
      </c>
      <c r="C593" s="132" t="s">
        <v>150</v>
      </c>
      <c r="D593" s="129">
        <v>1</v>
      </c>
      <c r="E593" s="129">
        <v>1.5107999999999999</v>
      </c>
      <c r="F593" s="129">
        <v>1.5108000000000001</v>
      </c>
      <c r="G593" s="129">
        <v>5.0847001000000001</v>
      </c>
      <c r="H593" s="129">
        <v>5.0847001000000001</v>
      </c>
      <c r="I593" s="131" t="s">
        <v>87</v>
      </c>
      <c r="J593" s="132" t="s">
        <v>102</v>
      </c>
      <c r="K593" s="130" t="s">
        <v>631</v>
      </c>
      <c r="L593" s="130" t="str">
        <f t="shared" si="9"/>
        <v>005-00000079</v>
      </c>
      <c r="V593" s="53"/>
    </row>
    <row r="594" spans="1:22" hidden="1" x14ac:dyDescent="0.25">
      <c r="A594" s="130" t="s">
        <v>302</v>
      </c>
      <c r="B594" s="130" t="s">
        <v>303</v>
      </c>
      <c r="C594" s="132" t="s">
        <v>150</v>
      </c>
      <c r="D594" s="129">
        <v>1</v>
      </c>
      <c r="E594" s="129">
        <v>63.412201000000003</v>
      </c>
      <c r="F594" s="129">
        <v>63.41220100000001</v>
      </c>
      <c r="G594" s="129">
        <v>211.86</v>
      </c>
      <c r="H594" s="129">
        <v>211.86</v>
      </c>
      <c r="I594" s="131" t="s">
        <v>87</v>
      </c>
      <c r="J594" s="132" t="s">
        <v>102</v>
      </c>
      <c r="K594" s="130" t="s">
        <v>708</v>
      </c>
      <c r="L594" s="130" t="str">
        <f t="shared" si="9"/>
        <v>005-00000089</v>
      </c>
      <c r="V594" s="53"/>
    </row>
    <row r="595" spans="1:22" hidden="1" x14ac:dyDescent="0.25">
      <c r="A595" s="130" t="s">
        <v>573</v>
      </c>
      <c r="B595" s="130" t="s">
        <v>574</v>
      </c>
      <c r="C595" s="132" t="s">
        <v>150</v>
      </c>
      <c r="D595" s="129">
        <v>1</v>
      </c>
      <c r="E595" s="25">
        <v>12.681800000000001</v>
      </c>
      <c r="F595" s="25">
        <v>12.681800000000001</v>
      </c>
      <c r="G595" s="25">
        <v>42.369999</v>
      </c>
      <c r="H595" s="25">
        <v>42.369998999999986</v>
      </c>
      <c r="I595" s="131" t="s">
        <v>87</v>
      </c>
      <c r="J595" s="132" t="s">
        <v>102</v>
      </c>
      <c r="K595" s="130" t="s">
        <v>708</v>
      </c>
      <c r="L595" s="130" t="str">
        <f t="shared" si="9"/>
        <v>005-00000089</v>
      </c>
      <c r="V595" s="53"/>
    </row>
    <row r="596" spans="1:22" hidden="1" x14ac:dyDescent="0.25">
      <c r="A596" s="130" t="s">
        <v>240</v>
      </c>
      <c r="B596" s="130" t="s">
        <v>229</v>
      </c>
      <c r="C596" s="132" t="s">
        <v>150</v>
      </c>
      <c r="D596" s="129">
        <v>1</v>
      </c>
      <c r="E596" s="129">
        <v>11.431500000000002</v>
      </c>
      <c r="F596" s="129">
        <v>11.431500000000003</v>
      </c>
      <c r="G596" s="129">
        <v>38.135601000000001</v>
      </c>
      <c r="H596" s="129">
        <v>38.135601000000001</v>
      </c>
      <c r="I596" s="131" t="s">
        <v>87</v>
      </c>
      <c r="J596" s="132" t="s">
        <v>102</v>
      </c>
      <c r="K596" s="130" t="s">
        <v>708</v>
      </c>
      <c r="L596" s="130" t="str">
        <f t="shared" si="9"/>
        <v>005-00000089</v>
      </c>
      <c r="V596" s="53"/>
    </row>
    <row r="597" spans="1:22" hidden="1" x14ac:dyDescent="0.25">
      <c r="A597" s="130" t="s">
        <v>220</v>
      </c>
      <c r="B597" s="130" t="s">
        <v>221</v>
      </c>
      <c r="C597" s="132" t="s">
        <v>153</v>
      </c>
      <c r="D597" s="129">
        <v>1</v>
      </c>
      <c r="E597" s="129">
        <v>27.9436</v>
      </c>
      <c r="F597" s="129">
        <v>27.9436</v>
      </c>
      <c r="G597" s="129">
        <v>93.220000999999996</v>
      </c>
      <c r="H597" s="129">
        <v>93.220000999999968</v>
      </c>
      <c r="I597" s="131" t="s">
        <v>87</v>
      </c>
      <c r="J597" s="132" t="s">
        <v>102</v>
      </c>
      <c r="K597" s="130" t="s">
        <v>708</v>
      </c>
      <c r="L597" s="130" t="str">
        <f t="shared" si="9"/>
        <v>005-00000089</v>
      </c>
      <c r="V597" s="53"/>
    </row>
    <row r="598" spans="1:22" hidden="1" x14ac:dyDescent="0.25">
      <c r="A598" s="130" t="s">
        <v>370</v>
      </c>
      <c r="B598" s="130" t="s">
        <v>371</v>
      </c>
      <c r="C598" s="132" t="s">
        <v>153</v>
      </c>
      <c r="D598" s="129">
        <v>1</v>
      </c>
      <c r="E598" s="25">
        <v>34.294601</v>
      </c>
      <c r="F598" s="25">
        <v>34.294601</v>
      </c>
      <c r="G598" s="25">
        <v>114.4068</v>
      </c>
      <c r="H598" s="25">
        <v>114.4068</v>
      </c>
      <c r="I598" s="131" t="s">
        <v>87</v>
      </c>
      <c r="J598" s="132" t="s">
        <v>102</v>
      </c>
      <c r="K598" s="130" t="s">
        <v>708</v>
      </c>
      <c r="L598" s="130" t="str">
        <f t="shared" si="9"/>
        <v>005-00000089</v>
      </c>
      <c r="V598" s="53"/>
    </row>
    <row r="599" spans="1:22" hidden="1" x14ac:dyDescent="0.25">
      <c r="A599" s="130" t="s">
        <v>331</v>
      </c>
      <c r="B599" s="130" t="s">
        <v>332</v>
      </c>
      <c r="C599" s="132" t="s">
        <v>150</v>
      </c>
      <c r="D599" s="129">
        <v>1</v>
      </c>
      <c r="E599" s="129">
        <v>1.0668</v>
      </c>
      <c r="F599" s="129">
        <v>1.0668</v>
      </c>
      <c r="G599" s="129">
        <v>3.6015999000000001</v>
      </c>
      <c r="H599" s="129">
        <v>3.6015999000000005</v>
      </c>
      <c r="I599" s="131" t="s">
        <v>87</v>
      </c>
      <c r="J599" s="132" t="s">
        <v>102</v>
      </c>
      <c r="K599" s="130" t="s">
        <v>708</v>
      </c>
      <c r="L599" s="130" t="str">
        <f t="shared" si="9"/>
        <v>005-00000089</v>
      </c>
      <c r="V599" s="53"/>
    </row>
    <row r="600" spans="1:22" hidden="1" x14ac:dyDescent="0.25">
      <c r="A600" s="130" t="s">
        <v>329</v>
      </c>
      <c r="B600" s="130" t="s">
        <v>330</v>
      </c>
      <c r="C600" s="132" t="s">
        <v>150</v>
      </c>
      <c r="D600" s="129">
        <v>1</v>
      </c>
      <c r="E600" s="129">
        <v>2.7613001000000001</v>
      </c>
      <c r="F600" s="129">
        <v>2.7613001000000001</v>
      </c>
      <c r="G600" s="129">
        <v>9.3219995000000004</v>
      </c>
      <c r="H600" s="129">
        <v>9.3219995000000004</v>
      </c>
      <c r="I600" s="131" t="s">
        <v>87</v>
      </c>
      <c r="J600" s="132" t="s">
        <v>102</v>
      </c>
      <c r="K600" s="130" t="s">
        <v>708</v>
      </c>
      <c r="L600" s="130" t="str">
        <f t="shared" si="9"/>
        <v>005-00000089</v>
      </c>
      <c r="V600" s="53"/>
    </row>
    <row r="601" spans="1:22" hidden="1" x14ac:dyDescent="0.25">
      <c r="A601" s="130" t="s">
        <v>1465</v>
      </c>
      <c r="B601" s="130" t="s">
        <v>160</v>
      </c>
      <c r="C601" s="132" t="s">
        <v>150</v>
      </c>
      <c r="D601" s="129">
        <v>2</v>
      </c>
      <c r="E601" s="25">
        <v>1.2092000000000001</v>
      </c>
      <c r="F601" s="25">
        <v>2.4184000000000001</v>
      </c>
      <c r="G601" s="25">
        <v>4.0678000000000001</v>
      </c>
      <c r="H601" s="25">
        <v>8.1356000000000002</v>
      </c>
      <c r="I601" s="131" t="s">
        <v>87</v>
      </c>
      <c r="J601" s="132" t="s">
        <v>102</v>
      </c>
      <c r="K601" s="130" t="s">
        <v>708</v>
      </c>
      <c r="L601" s="130" t="str">
        <f t="shared" si="9"/>
        <v>005-00000089</v>
      </c>
      <c r="V601" s="53"/>
    </row>
    <row r="602" spans="1:22" hidden="1" x14ac:dyDescent="0.25">
      <c r="A602" s="130" t="s">
        <v>548</v>
      </c>
      <c r="B602" s="130" t="s">
        <v>549</v>
      </c>
      <c r="C602" s="132" t="s">
        <v>150</v>
      </c>
      <c r="D602" s="129">
        <v>1</v>
      </c>
      <c r="E602" s="129">
        <v>24.133199999999999</v>
      </c>
      <c r="F602" s="129">
        <v>24.133199999999999</v>
      </c>
      <c r="G602" s="129">
        <v>80.508399999999995</v>
      </c>
      <c r="H602" s="129">
        <v>80.508399999999995</v>
      </c>
      <c r="I602" s="131" t="s">
        <v>87</v>
      </c>
      <c r="J602" s="132" t="s">
        <v>102</v>
      </c>
      <c r="K602" s="130" t="s">
        <v>708</v>
      </c>
      <c r="L602" s="130" t="str">
        <f t="shared" si="9"/>
        <v>005-00000089</v>
      </c>
      <c r="V602" s="53"/>
    </row>
    <row r="603" spans="1:22" hidden="1" x14ac:dyDescent="0.25">
      <c r="A603" s="130" t="s">
        <v>464</v>
      </c>
      <c r="B603" s="130" t="s">
        <v>465</v>
      </c>
      <c r="C603" s="132" t="s">
        <v>150</v>
      </c>
      <c r="D603" s="129">
        <v>1</v>
      </c>
      <c r="E603" s="129">
        <v>4.5359997999999999</v>
      </c>
      <c r="F603" s="129">
        <v>4.5359997999999999</v>
      </c>
      <c r="G603" s="129">
        <v>15.254200000000001</v>
      </c>
      <c r="H603" s="129">
        <v>15.254200000000001</v>
      </c>
      <c r="I603" s="131" t="s">
        <v>87</v>
      </c>
      <c r="J603" s="132" t="s">
        <v>102</v>
      </c>
      <c r="K603" s="130" t="s">
        <v>708</v>
      </c>
      <c r="L603" s="130" t="str">
        <f t="shared" si="9"/>
        <v>005-00000089</v>
      </c>
      <c r="V603" s="53"/>
    </row>
    <row r="604" spans="1:22" hidden="1" x14ac:dyDescent="0.25">
      <c r="A604" s="130" t="s">
        <v>1034</v>
      </c>
      <c r="B604" s="130" t="s">
        <v>1035</v>
      </c>
      <c r="C604" s="132" t="s">
        <v>88</v>
      </c>
      <c r="D604" s="129">
        <v>1</v>
      </c>
      <c r="E604" s="129">
        <v>11.861700000000001</v>
      </c>
      <c r="F604" s="129">
        <v>11.861700000000001</v>
      </c>
      <c r="G604" s="129">
        <v>39.701000000000001</v>
      </c>
      <c r="H604" s="129">
        <v>39.701000000000001</v>
      </c>
      <c r="I604" s="131" t="s">
        <v>87</v>
      </c>
      <c r="J604" s="132" t="s">
        <v>102</v>
      </c>
      <c r="K604" s="130" t="s">
        <v>708</v>
      </c>
      <c r="L604" s="130" t="str">
        <f t="shared" si="9"/>
        <v>005-00000089</v>
      </c>
      <c r="V604" s="53"/>
    </row>
    <row r="605" spans="1:22" hidden="1" x14ac:dyDescent="0.25">
      <c r="A605" s="130" t="s">
        <v>1055</v>
      </c>
      <c r="B605" s="130" t="s">
        <v>1056</v>
      </c>
      <c r="C605" s="132" t="s">
        <v>150</v>
      </c>
      <c r="D605" s="129">
        <v>1</v>
      </c>
      <c r="E605" s="25">
        <v>1.5107999999999999</v>
      </c>
      <c r="F605" s="25">
        <v>1.5108000000000001</v>
      </c>
      <c r="G605" s="25">
        <v>5.0847001000000001</v>
      </c>
      <c r="H605" s="25">
        <v>5.0847001000000001</v>
      </c>
      <c r="I605" s="131" t="s">
        <v>87</v>
      </c>
      <c r="J605" s="132" t="s">
        <v>102</v>
      </c>
      <c r="K605" s="130" t="s">
        <v>708</v>
      </c>
      <c r="L605" s="130" t="str">
        <f t="shared" si="9"/>
        <v>005-00000089</v>
      </c>
      <c r="V605" s="53"/>
    </row>
    <row r="606" spans="1:22" hidden="1" x14ac:dyDescent="0.25">
      <c r="A606" s="130" t="s">
        <v>1071</v>
      </c>
      <c r="B606" s="130" t="s">
        <v>1072</v>
      </c>
      <c r="C606" s="132" t="s">
        <v>150</v>
      </c>
      <c r="D606" s="129">
        <v>1</v>
      </c>
      <c r="E606" s="129">
        <v>2.2618999</v>
      </c>
      <c r="F606" s="129">
        <v>2.2618998999999995</v>
      </c>
      <c r="G606" s="129">
        <v>7.6271000000000004</v>
      </c>
      <c r="H606" s="129">
        <v>7.6271000000000004</v>
      </c>
      <c r="I606" s="131" t="s">
        <v>87</v>
      </c>
      <c r="J606" s="132" t="s">
        <v>102</v>
      </c>
      <c r="K606" s="130" t="s">
        <v>708</v>
      </c>
      <c r="L606" s="130" t="str">
        <f t="shared" si="9"/>
        <v>005-00000089</v>
      </c>
      <c r="V606" s="53"/>
    </row>
    <row r="607" spans="1:22" hidden="1" x14ac:dyDescent="0.25">
      <c r="A607" s="130" t="s">
        <v>1040</v>
      </c>
      <c r="B607" s="130" t="s">
        <v>408</v>
      </c>
      <c r="C607" s="132" t="s">
        <v>150</v>
      </c>
      <c r="D607" s="129">
        <v>4</v>
      </c>
      <c r="E607" s="129">
        <v>1.8984999999999999</v>
      </c>
      <c r="F607" s="129">
        <v>7.5939999999999994</v>
      </c>
      <c r="G607" s="129">
        <v>6.3558998000000004</v>
      </c>
      <c r="H607" s="129">
        <v>25.423599200000002</v>
      </c>
      <c r="I607" s="131" t="s">
        <v>87</v>
      </c>
      <c r="J607" s="132" t="s">
        <v>102</v>
      </c>
      <c r="K607" s="130" t="s">
        <v>708</v>
      </c>
      <c r="L607" s="130" t="str">
        <f t="shared" si="9"/>
        <v>005-00000089</v>
      </c>
      <c r="V607" s="53"/>
    </row>
    <row r="608" spans="1:22" hidden="1" x14ac:dyDescent="0.25">
      <c r="A608" s="130" t="s">
        <v>342</v>
      </c>
      <c r="B608" s="130" t="s">
        <v>343</v>
      </c>
      <c r="C608" s="132" t="s">
        <v>150</v>
      </c>
      <c r="D608" s="129">
        <v>2</v>
      </c>
      <c r="E608" s="25">
        <v>8.7999999999999995E-2</v>
      </c>
      <c r="F608" s="25">
        <v>0.17599999999999993</v>
      </c>
      <c r="G608" s="25">
        <v>0.29660001000000003</v>
      </c>
      <c r="H608" s="25">
        <v>0.59320002000000005</v>
      </c>
      <c r="I608" s="131" t="s">
        <v>87</v>
      </c>
      <c r="J608" s="132" t="s">
        <v>102</v>
      </c>
      <c r="K608" s="130" t="s">
        <v>708</v>
      </c>
      <c r="L608" s="130" t="str">
        <f t="shared" si="9"/>
        <v>005-00000089</v>
      </c>
      <c r="V608" s="53"/>
    </row>
    <row r="609" spans="1:22" hidden="1" x14ac:dyDescent="0.25">
      <c r="A609" s="130" t="s">
        <v>1478</v>
      </c>
      <c r="B609" s="130" t="s">
        <v>1479</v>
      </c>
      <c r="C609" s="132" t="s">
        <v>150</v>
      </c>
      <c r="D609" s="129">
        <v>2</v>
      </c>
      <c r="E609" s="129">
        <v>0.37779998999999997</v>
      </c>
      <c r="F609" s="129">
        <v>0.75559997999999995</v>
      </c>
      <c r="G609" s="129">
        <v>1.2711999</v>
      </c>
      <c r="H609" s="129">
        <v>2.5423998000000001</v>
      </c>
      <c r="I609" s="131" t="s">
        <v>87</v>
      </c>
      <c r="J609" s="132" t="s">
        <v>102</v>
      </c>
      <c r="K609" s="130" t="s">
        <v>708</v>
      </c>
      <c r="L609" s="130" t="str">
        <f t="shared" si="9"/>
        <v>005-00000089</v>
      </c>
      <c r="V609" s="53"/>
    </row>
    <row r="610" spans="1:22" hidden="1" x14ac:dyDescent="0.25">
      <c r="A610" s="130" t="s">
        <v>360</v>
      </c>
      <c r="B610" s="130" t="s">
        <v>361</v>
      </c>
      <c r="C610" s="132" t="s">
        <v>150</v>
      </c>
      <c r="D610" s="129">
        <v>2</v>
      </c>
      <c r="E610" s="129">
        <v>0.12590000000000001</v>
      </c>
      <c r="F610" s="129">
        <v>0.25180000000000002</v>
      </c>
      <c r="G610" s="129">
        <v>0.42370000000000002</v>
      </c>
      <c r="H610" s="129">
        <v>0.84740000000000004</v>
      </c>
      <c r="I610" s="131" t="s">
        <v>87</v>
      </c>
      <c r="J610" s="132" t="s">
        <v>102</v>
      </c>
      <c r="K610" s="130" t="s">
        <v>708</v>
      </c>
      <c r="L610" s="130" t="str">
        <f t="shared" si="9"/>
        <v>005-00000089</v>
      </c>
      <c r="V610" s="53"/>
    </row>
    <row r="611" spans="1:22" hidden="1" x14ac:dyDescent="0.25">
      <c r="A611" s="130" t="s">
        <v>227</v>
      </c>
      <c r="B611" s="130" t="s">
        <v>194</v>
      </c>
      <c r="C611" s="132" t="s">
        <v>88</v>
      </c>
      <c r="D611" s="129">
        <v>1</v>
      </c>
      <c r="E611" s="25">
        <v>1.6415</v>
      </c>
      <c r="F611" s="25">
        <v>1.6414999999999997</v>
      </c>
      <c r="G611" s="25">
        <v>5.4759001999999999</v>
      </c>
      <c r="H611" s="25">
        <v>5.4759001999999999</v>
      </c>
      <c r="I611" s="131" t="s">
        <v>87</v>
      </c>
      <c r="J611" s="132" t="s">
        <v>102</v>
      </c>
      <c r="K611" s="130" t="s">
        <v>708</v>
      </c>
      <c r="L611" s="130" t="str">
        <f t="shared" si="9"/>
        <v>005-00000089</v>
      </c>
      <c r="V611" s="53"/>
    </row>
    <row r="612" spans="1:22" hidden="1" x14ac:dyDescent="0.25">
      <c r="A612" s="130" t="s">
        <v>1466</v>
      </c>
      <c r="B612" s="130" t="s">
        <v>1467</v>
      </c>
      <c r="C612" s="132" t="s">
        <v>88</v>
      </c>
      <c r="D612" s="129">
        <v>0.75</v>
      </c>
      <c r="E612" s="129">
        <v>9.2980003</v>
      </c>
      <c r="F612" s="129">
        <v>6.9735002249999987</v>
      </c>
      <c r="G612" s="129">
        <v>31.138999999999999</v>
      </c>
      <c r="H612" s="129">
        <v>23.354249999999997</v>
      </c>
      <c r="I612" s="131" t="s">
        <v>87</v>
      </c>
      <c r="J612" s="132" t="s">
        <v>102</v>
      </c>
      <c r="K612" s="130" t="s">
        <v>708</v>
      </c>
      <c r="L612" s="130" t="str">
        <f t="shared" si="9"/>
        <v>005-00000089</v>
      </c>
      <c r="V612" s="53"/>
    </row>
    <row r="613" spans="1:22" hidden="1" x14ac:dyDescent="0.25">
      <c r="A613" s="130" t="s">
        <v>1084</v>
      </c>
      <c r="B613" s="130" t="s">
        <v>1085</v>
      </c>
      <c r="C613" s="132" t="s">
        <v>150</v>
      </c>
      <c r="D613" s="129">
        <v>1</v>
      </c>
      <c r="E613" s="129">
        <v>3.7952001000000002</v>
      </c>
      <c r="F613" s="129">
        <v>3.7952000999999997</v>
      </c>
      <c r="G613" s="129">
        <v>12.71</v>
      </c>
      <c r="H613" s="129">
        <v>12.71</v>
      </c>
      <c r="I613" s="131" t="s">
        <v>87</v>
      </c>
      <c r="J613" s="132" t="s">
        <v>102</v>
      </c>
      <c r="K613" s="130" t="s">
        <v>629</v>
      </c>
      <c r="L613" s="130" t="str">
        <f t="shared" si="9"/>
        <v>005-00000090</v>
      </c>
      <c r="V613" s="53"/>
    </row>
    <row r="614" spans="1:22" hidden="1" x14ac:dyDescent="0.25">
      <c r="A614" s="130" t="s">
        <v>552</v>
      </c>
      <c r="B614" s="130" t="s">
        <v>553</v>
      </c>
      <c r="C614" s="132" t="s">
        <v>150</v>
      </c>
      <c r="D614" s="129">
        <v>1</v>
      </c>
      <c r="E614" s="129">
        <v>98.654701000000003</v>
      </c>
      <c r="F614" s="129">
        <v>98.654700999999989</v>
      </c>
      <c r="G614" s="129">
        <v>330</v>
      </c>
      <c r="H614" s="129">
        <v>330</v>
      </c>
      <c r="I614" s="131" t="s">
        <v>87</v>
      </c>
      <c r="J614" s="132" t="s">
        <v>102</v>
      </c>
      <c r="K614" s="130" t="s">
        <v>626</v>
      </c>
      <c r="L614" s="130" t="str">
        <f t="shared" si="9"/>
        <v>005-00000105</v>
      </c>
      <c r="V614" s="53"/>
    </row>
    <row r="615" spans="1:22" hidden="1" x14ac:dyDescent="0.25">
      <c r="A615" s="130" t="s">
        <v>1090</v>
      </c>
      <c r="B615" s="130" t="s">
        <v>1091</v>
      </c>
      <c r="C615" s="132" t="s">
        <v>150</v>
      </c>
      <c r="D615" s="129">
        <v>1</v>
      </c>
      <c r="E615" s="25">
        <v>74.738403000000005</v>
      </c>
      <c r="F615" s="25">
        <v>74.738403000000005</v>
      </c>
      <c r="G615" s="25">
        <v>250</v>
      </c>
      <c r="H615" s="25">
        <v>250</v>
      </c>
      <c r="I615" s="131" t="s">
        <v>87</v>
      </c>
      <c r="J615" s="132" t="s">
        <v>102</v>
      </c>
      <c r="K615" s="130" t="s">
        <v>626</v>
      </c>
      <c r="L615" s="130" t="str">
        <f t="shared" si="9"/>
        <v>005-00000105</v>
      </c>
      <c r="V615" s="53"/>
    </row>
    <row r="616" spans="1:22" hidden="1" x14ac:dyDescent="0.25">
      <c r="A616" s="130" t="s">
        <v>441</v>
      </c>
      <c r="B616" s="130" t="s">
        <v>442</v>
      </c>
      <c r="C616" s="132" t="s">
        <v>153</v>
      </c>
      <c r="D616" s="129">
        <v>1</v>
      </c>
      <c r="E616" s="129">
        <v>10.4634</v>
      </c>
      <c r="F616" s="129">
        <v>10.4634</v>
      </c>
      <c r="G616" s="129">
        <v>35</v>
      </c>
      <c r="H616" s="129">
        <v>35</v>
      </c>
      <c r="I616" s="131" t="s">
        <v>87</v>
      </c>
      <c r="J616" s="132" t="s">
        <v>102</v>
      </c>
      <c r="K616" s="130" t="s">
        <v>626</v>
      </c>
      <c r="L616" s="130" t="str">
        <f t="shared" si="9"/>
        <v>005-00000105</v>
      </c>
      <c r="V616" s="53"/>
    </row>
    <row r="617" spans="1:22" hidden="1" x14ac:dyDescent="0.25">
      <c r="A617" s="130" t="s">
        <v>1082</v>
      </c>
      <c r="B617" s="130" t="s">
        <v>1083</v>
      </c>
      <c r="C617" s="132" t="s">
        <v>150</v>
      </c>
      <c r="D617" s="129">
        <v>1</v>
      </c>
      <c r="E617" s="129">
        <v>54.539200000000001</v>
      </c>
      <c r="F617" s="129">
        <v>54.539200000000008</v>
      </c>
      <c r="G617" s="129">
        <v>182.20339999999999</v>
      </c>
      <c r="H617" s="129">
        <v>182.20339999999996</v>
      </c>
      <c r="I617" s="131" t="s">
        <v>87</v>
      </c>
      <c r="J617" s="132" t="s">
        <v>102</v>
      </c>
      <c r="K617" s="130" t="s">
        <v>626</v>
      </c>
      <c r="L617" s="130" t="str">
        <f t="shared" si="9"/>
        <v>005-00000105</v>
      </c>
      <c r="V617" s="53"/>
    </row>
    <row r="618" spans="1:22" hidden="1" x14ac:dyDescent="0.25">
      <c r="A618" s="130" t="s">
        <v>1480</v>
      </c>
      <c r="B618" s="130" t="s">
        <v>1481</v>
      </c>
      <c r="C618" s="132" t="s">
        <v>150</v>
      </c>
      <c r="D618" s="129">
        <v>1</v>
      </c>
      <c r="E618" s="129">
        <v>16.214600000000001</v>
      </c>
      <c r="F618" s="129">
        <v>16.214600000000001</v>
      </c>
      <c r="G618" s="129">
        <v>55</v>
      </c>
      <c r="H618" s="129">
        <v>55</v>
      </c>
      <c r="I618" s="131" t="s">
        <v>87</v>
      </c>
      <c r="J618" s="132" t="s">
        <v>102</v>
      </c>
      <c r="K618" s="130" t="s">
        <v>626</v>
      </c>
      <c r="L618" s="130" t="str">
        <f t="shared" si="9"/>
        <v>005-00000105</v>
      </c>
      <c r="V618" s="53"/>
    </row>
    <row r="619" spans="1:22" hidden="1" x14ac:dyDescent="0.25">
      <c r="A619" s="130" t="s">
        <v>567</v>
      </c>
      <c r="B619" s="130" t="s">
        <v>568</v>
      </c>
      <c r="C619" s="132" t="s">
        <v>150</v>
      </c>
      <c r="D619" s="129">
        <v>1</v>
      </c>
      <c r="E619" s="129">
        <v>10.318400000000002</v>
      </c>
      <c r="F619" s="129">
        <v>10.318400000000002</v>
      </c>
      <c r="G619" s="129">
        <v>35</v>
      </c>
      <c r="H619" s="129">
        <v>35</v>
      </c>
      <c r="I619" s="131" t="s">
        <v>87</v>
      </c>
      <c r="J619" s="132" t="s">
        <v>102</v>
      </c>
      <c r="K619" s="130" t="s">
        <v>626</v>
      </c>
      <c r="L619" s="130" t="str">
        <f t="shared" si="9"/>
        <v>005-00000105</v>
      </c>
      <c r="V619" s="53"/>
    </row>
    <row r="620" spans="1:22" hidden="1" x14ac:dyDescent="0.25">
      <c r="A620" s="130" t="s">
        <v>1082</v>
      </c>
      <c r="B620" s="130" t="s">
        <v>1083</v>
      </c>
      <c r="C620" s="132" t="s">
        <v>150</v>
      </c>
      <c r="D620" s="129">
        <v>1</v>
      </c>
      <c r="E620" s="25">
        <v>54.539200000000001</v>
      </c>
      <c r="F620" s="25">
        <v>54.539200000000008</v>
      </c>
      <c r="G620" s="25">
        <v>182.20339999999999</v>
      </c>
      <c r="H620" s="25">
        <v>182.20339999999996</v>
      </c>
      <c r="I620" s="131" t="s">
        <v>87</v>
      </c>
      <c r="J620" s="132" t="s">
        <v>102</v>
      </c>
      <c r="K620" s="130" t="s">
        <v>625</v>
      </c>
      <c r="L620" s="130" t="str">
        <f t="shared" si="9"/>
        <v>005-00000106</v>
      </c>
      <c r="V620" s="53"/>
    </row>
    <row r="621" spans="1:22" hidden="1" x14ac:dyDescent="0.25">
      <c r="A621" s="130" t="s">
        <v>1482</v>
      </c>
      <c r="B621" s="130" t="s">
        <v>1483</v>
      </c>
      <c r="C621" s="132" t="s">
        <v>150</v>
      </c>
      <c r="D621" s="129">
        <v>1</v>
      </c>
      <c r="E621" s="129">
        <v>71.748901000000004</v>
      </c>
      <c r="F621" s="129">
        <v>71.748901000000004</v>
      </c>
      <c r="G621" s="129">
        <v>240</v>
      </c>
      <c r="H621" s="129">
        <v>240</v>
      </c>
      <c r="I621" s="131" t="s">
        <v>87</v>
      </c>
      <c r="J621" s="132" t="s">
        <v>102</v>
      </c>
      <c r="K621" s="130" t="s">
        <v>625</v>
      </c>
      <c r="L621" s="130" t="str">
        <f t="shared" si="9"/>
        <v>005-00000106</v>
      </c>
      <c r="V621" s="53"/>
    </row>
    <row r="622" spans="1:22" hidden="1" x14ac:dyDescent="0.25">
      <c r="A622" s="130" t="s">
        <v>441</v>
      </c>
      <c r="B622" s="130" t="s">
        <v>442</v>
      </c>
      <c r="C622" s="132" t="s">
        <v>153</v>
      </c>
      <c r="D622" s="129">
        <v>1</v>
      </c>
      <c r="E622" s="129">
        <v>13.4529</v>
      </c>
      <c r="F622" s="129">
        <v>13.4529</v>
      </c>
      <c r="G622" s="129">
        <v>45</v>
      </c>
      <c r="H622" s="129">
        <v>45</v>
      </c>
      <c r="I622" s="131" t="s">
        <v>87</v>
      </c>
      <c r="J622" s="132" t="s">
        <v>102</v>
      </c>
      <c r="K622" s="130" t="s">
        <v>625</v>
      </c>
      <c r="L622" s="130" t="str">
        <f t="shared" si="9"/>
        <v>005-00000106</v>
      </c>
      <c r="V622" s="53"/>
    </row>
    <row r="623" spans="1:22" hidden="1" x14ac:dyDescent="0.25">
      <c r="A623" s="130" t="s">
        <v>567</v>
      </c>
      <c r="B623" s="130" t="s">
        <v>568</v>
      </c>
      <c r="C623" s="132" t="s">
        <v>150</v>
      </c>
      <c r="D623" s="129">
        <v>1</v>
      </c>
      <c r="E623" s="129">
        <v>13.4529</v>
      </c>
      <c r="F623" s="129">
        <v>13.4529</v>
      </c>
      <c r="G623" s="129">
        <v>45</v>
      </c>
      <c r="H623" s="129">
        <v>45</v>
      </c>
      <c r="I623" s="131" t="s">
        <v>87</v>
      </c>
      <c r="J623" s="132" t="s">
        <v>102</v>
      </c>
      <c r="K623" s="130" t="s">
        <v>625</v>
      </c>
      <c r="L623" s="130" t="str">
        <f t="shared" si="9"/>
        <v>005-00000106</v>
      </c>
      <c r="V623" s="53"/>
    </row>
    <row r="624" spans="1:22" hidden="1" x14ac:dyDescent="0.25">
      <c r="A624" s="130" t="s">
        <v>437</v>
      </c>
      <c r="B624" s="130" t="s">
        <v>438</v>
      </c>
      <c r="C624" s="132" t="s">
        <v>150</v>
      </c>
      <c r="D624" s="129">
        <v>1</v>
      </c>
      <c r="E624" s="129">
        <v>10.4634</v>
      </c>
      <c r="F624" s="129">
        <v>10.4634</v>
      </c>
      <c r="G624" s="129">
        <v>35</v>
      </c>
      <c r="H624" s="129">
        <v>35</v>
      </c>
      <c r="I624" s="131" t="s">
        <v>87</v>
      </c>
      <c r="J624" s="132" t="s">
        <v>102</v>
      </c>
      <c r="K624" s="130" t="s">
        <v>625</v>
      </c>
      <c r="L624" s="130" t="str">
        <f t="shared" si="9"/>
        <v>005-00000106</v>
      </c>
      <c r="V624" s="53"/>
    </row>
    <row r="625" spans="1:22" hidden="1" x14ac:dyDescent="0.25">
      <c r="A625" s="130" t="s">
        <v>587</v>
      </c>
      <c r="B625" s="130" t="s">
        <v>588</v>
      </c>
      <c r="C625" s="132" t="s">
        <v>150</v>
      </c>
      <c r="D625" s="129">
        <v>1</v>
      </c>
      <c r="E625" s="129">
        <v>10.4634</v>
      </c>
      <c r="F625" s="129">
        <v>10.4634</v>
      </c>
      <c r="G625" s="129">
        <v>35</v>
      </c>
      <c r="H625" s="129">
        <v>35</v>
      </c>
      <c r="I625" s="131" t="s">
        <v>87</v>
      </c>
      <c r="J625" s="132" t="s">
        <v>102</v>
      </c>
      <c r="K625" s="130" t="s">
        <v>625</v>
      </c>
      <c r="L625" s="130" t="str">
        <f t="shared" si="9"/>
        <v>005-00000106</v>
      </c>
      <c r="V625" s="53"/>
    </row>
    <row r="626" spans="1:22" hidden="1" x14ac:dyDescent="0.25">
      <c r="A626" s="130" t="s">
        <v>1484</v>
      </c>
      <c r="B626" s="130" t="s">
        <v>1485</v>
      </c>
      <c r="C626" s="132" t="s">
        <v>150</v>
      </c>
      <c r="D626" s="129">
        <v>1</v>
      </c>
      <c r="E626" s="25">
        <v>62.780299999999997</v>
      </c>
      <c r="F626" s="25">
        <v>62.78029999999999</v>
      </c>
      <c r="G626" s="25">
        <v>210</v>
      </c>
      <c r="H626" s="25">
        <v>210</v>
      </c>
      <c r="I626" s="131" t="s">
        <v>87</v>
      </c>
      <c r="J626" s="132" t="s">
        <v>102</v>
      </c>
      <c r="K626" s="130" t="s">
        <v>625</v>
      </c>
      <c r="L626" s="130" t="str">
        <f t="shared" si="9"/>
        <v>005-00000106</v>
      </c>
      <c r="V626" s="53"/>
    </row>
    <row r="627" spans="1:22" hidden="1" x14ac:dyDescent="0.25">
      <c r="A627" s="130" t="s">
        <v>1486</v>
      </c>
      <c r="B627" s="130" t="s">
        <v>1487</v>
      </c>
      <c r="C627" s="132" t="s">
        <v>150</v>
      </c>
      <c r="D627" s="129">
        <v>1</v>
      </c>
      <c r="E627" s="129">
        <v>62.780299999999997</v>
      </c>
      <c r="F627" s="129">
        <v>62.78029999999999</v>
      </c>
      <c r="G627" s="129">
        <v>210</v>
      </c>
      <c r="H627" s="129">
        <v>210</v>
      </c>
      <c r="I627" s="131" t="s">
        <v>87</v>
      </c>
      <c r="J627" s="132" t="s">
        <v>102</v>
      </c>
      <c r="K627" s="130" t="s">
        <v>625</v>
      </c>
      <c r="L627" s="130" t="str">
        <f t="shared" si="9"/>
        <v>005-00000106</v>
      </c>
      <c r="V627" s="53"/>
    </row>
    <row r="628" spans="1:22" hidden="1" x14ac:dyDescent="0.25">
      <c r="A628" s="130" t="s">
        <v>1488</v>
      </c>
      <c r="B628" s="130" t="s">
        <v>1489</v>
      </c>
      <c r="C628" s="132" t="s">
        <v>150</v>
      </c>
      <c r="D628" s="129">
        <v>1</v>
      </c>
      <c r="E628" s="129">
        <v>13.4529</v>
      </c>
      <c r="F628" s="129">
        <v>13.4529</v>
      </c>
      <c r="G628" s="129">
        <v>45</v>
      </c>
      <c r="H628" s="129">
        <v>45</v>
      </c>
      <c r="I628" s="131" t="s">
        <v>87</v>
      </c>
      <c r="J628" s="132" t="s">
        <v>102</v>
      </c>
      <c r="K628" s="130" t="s">
        <v>625</v>
      </c>
      <c r="L628" s="130" t="str">
        <f t="shared" si="9"/>
        <v>005-00000106</v>
      </c>
      <c r="V628" s="53"/>
    </row>
    <row r="629" spans="1:22" hidden="1" x14ac:dyDescent="0.25">
      <c r="A629" s="130" t="s">
        <v>1490</v>
      </c>
      <c r="B629" s="130" t="s">
        <v>1491</v>
      </c>
      <c r="C629" s="132" t="s">
        <v>150</v>
      </c>
      <c r="D629" s="129">
        <v>1</v>
      </c>
      <c r="E629" s="129">
        <v>13.4529</v>
      </c>
      <c r="F629" s="129">
        <v>13.4529</v>
      </c>
      <c r="G629" s="129">
        <v>45</v>
      </c>
      <c r="H629" s="129">
        <v>45</v>
      </c>
      <c r="I629" s="131" t="s">
        <v>87</v>
      </c>
      <c r="J629" s="132" t="s">
        <v>102</v>
      </c>
      <c r="K629" s="130" t="s">
        <v>625</v>
      </c>
      <c r="L629" s="130" t="str">
        <f t="shared" si="9"/>
        <v>005-00000106</v>
      </c>
      <c r="V629" s="53"/>
    </row>
    <row r="630" spans="1:22" hidden="1" x14ac:dyDescent="0.25">
      <c r="A630" s="130" t="s">
        <v>392</v>
      </c>
      <c r="B630" s="130" t="s">
        <v>393</v>
      </c>
      <c r="C630" s="132" t="s">
        <v>150</v>
      </c>
      <c r="D630" s="129">
        <v>1</v>
      </c>
      <c r="E630" s="129">
        <v>17.937201000000002</v>
      </c>
      <c r="F630" s="129">
        <v>17.937201000000002</v>
      </c>
      <c r="G630" s="129">
        <v>60</v>
      </c>
      <c r="H630" s="129">
        <v>60</v>
      </c>
      <c r="I630" s="131" t="s">
        <v>87</v>
      </c>
      <c r="J630" s="132" t="s">
        <v>102</v>
      </c>
      <c r="K630" s="130" t="s">
        <v>625</v>
      </c>
      <c r="L630" s="130" t="str">
        <f t="shared" si="9"/>
        <v>005-00000106</v>
      </c>
      <c r="V630" s="53"/>
    </row>
    <row r="631" spans="1:22" hidden="1" x14ac:dyDescent="0.25">
      <c r="A631" s="130" t="s">
        <v>358</v>
      </c>
      <c r="B631" s="130" t="s">
        <v>359</v>
      </c>
      <c r="C631" s="132" t="s">
        <v>150</v>
      </c>
      <c r="D631" s="129">
        <v>1</v>
      </c>
      <c r="E631" s="129">
        <v>17.937201000000002</v>
      </c>
      <c r="F631" s="129">
        <v>17.937201000000002</v>
      </c>
      <c r="G631" s="129">
        <v>60</v>
      </c>
      <c r="H631" s="129">
        <v>60</v>
      </c>
      <c r="I631" s="131" t="s">
        <v>87</v>
      </c>
      <c r="J631" s="132" t="s">
        <v>102</v>
      </c>
      <c r="K631" s="130" t="s">
        <v>625</v>
      </c>
      <c r="L631" s="130" t="str">
        <f t="shared" si="9"/>
        <v>005-00000106</v>
      </c>
      <c r="V631" s="53"/>
    </row>
    <row r="632" spans="1:22" hidden="1" x14ac:dyDescent="0.25">
      <c r="A632" s="130" t="s">
        <v>1082</v>
      </c>
      <c r="B632" s="130" t="s">
        <v>1083</v>
      </c>
      <c r="C632" s="132" t="s">
        <v>150</v>
      </c>
      <c r="D632" s="129">
        <v>1</v>
      </c>
      <c r="E632" s="129">
        <v>54.539200000000001</v>
      </c>
      <c r="F632" s="129">
        <v>54.539200000000008</v>
      </c>
      <c r="G632" s="129">
        <v>182.20339999999999</v>
      </c>
      <c r="H632" s="129">
        <v>182.20339999999996</v>
      </c>
      <c r="I632" s="131" t="s">
        <v>87</v>
      </c>
      <c r="J632" s="132" t="s">
        <v>102</v>
      </c>
      <c r="K632" s="130" t="s">
        <v>624</v>
      </c>
      <c r="L632" s="130" t="str">
        <f t="shared" si="9"/>
        <v>005-00000107</v>
      </c>
      <c r="V632" s="53"/>
    </row>
    <row r="633" spans="1:22" hidden="1" x14ac:dyDescent="0.25">
      <c r="A633" s="130" t="s">
        <v>1034</v>
      </c>
      <c r="B633" s="130" t="s">
        <v>1035</v>
      </c>
      <c r="C633" s="132" t="s">
        <v>88</v>
      </c>
      <c r="D633" s="129">
        <v>1</v>
      </c>
      <c r="E633" s="25">
        <v>11.861700000000001</v>
      </c>
      <c r="F633" s="25">
        <v>11.861700000000001</v>
      </c>
      <c r="G633" s="25">
        <v>39.701000000000001</v>
      </c>
      <c r="H633" s="25">
        <v>39.701000000000001</v>
      </c>
      <c r="I633" s="131" t="s">
        <v>87</v>
      </c>
      <c r="J633" s="132" t="s">
        <v>102</v>
      </c>
      <c r="K633" s="130" t="s">
        <v>624</v>
      </c>
      <c r="L633" s="130" t="str">
        <f t="shared" si="9"/>
        <v>005-00000107</v>
      </c>
    </row>
    <row r="634" spans="1:22" hidden="1" x14ac:dyDescent="0.25">
      <c r="A634" s="130" t="s">
        <v>1055</v>
      </c>
      <c r="B634" s="130" t="s">
        <v>1056</v>
      </c>
      <c r="C634" s="132" t="s">
        <v>150</v>
      </c>
      <c r="D634" s="129">
        <v>1</v>
      </c>
      <c r="E634" s="129">
        <v>1.5107999999999999</v>
      </c>
      <c r="F634" s="129">
        <v>1.5108000000000001</v>
      </c>
      <c r="G634" s="129">
        <v>5.0847001000000001</v>
      </c>
      <c r="H634" s="129">
        <v>5.0847001000000001</v>
      </c>
      <c r="I634" s="131" t="s">
        <v>87</v>
      </c>
      <c r="J634" s="132" t="s">
        <v>102</v>
      </c>
      <c r="K634" s="130" t="s">
        <v>624</v>
      </c>
      <c r="L634" s="130" t="str">
        <f t="shared" si="9"/>
        <v>005-00000107</v>
      </c>
    </row>
    <row r="635" spans="1:22" hidden="1" x14ac:dyDescent="0.25">
      <c r="A635" s="130" t="s">
        <v>1071</v>
      </c>
      <c r="B635" s="130" t="s">
        <v>1072</v>
      </c>
      <c r="C635" s="132" t="s">
        <v>150</v>
      </c>
      <c r="D635" s="129">
        <v>1</v>
      </c>
      <c r="E635" s="129">
        <v>2.2618999</v>
      </c>
      <c r="F635" s="129">
        <v>2.2618998999999995</v>
      </c>
      <c r="G635" s="129">
        <v>7.6271000000000004</v>
      </c>
      <c r="H635" s="129">
        <v>7.6271000000000004</v>
      </c>
      <c r="I635" s="131" t="s">
        <v>87</v>
      </c>
      <c r="J635" s="132" t="s">
        <v>102</v>
      </c>
      <c r="K635" s="130" t="s">
        <v>624</v>
      </c>
      <c r="L635" s="130" t="str">
        <f t="shared" si="9"/>
        <v>005-00000107</v>
      </c>
    </row>
    <row r="636" spans="1:22" hidden="1" x14ac:dyDescent="0.25">
      <c r="A636" s="130" t="s">
        <v>572</v>
      </c>
      <c r="B636" s="130" t="s">
        <v>408</v>
      </c>
      <c r="C636" s="132" t="s">
        <v>150</v>
      </c>
      <c r="D636" s="129">
        <v>4</v>
      </c>
      <c r="E636" s="129">
        <v>1.8991999999999998</v>
      </c>
      <c r="F636" s="129">
        <v>7.5967999999999982</v>
      </c>
      <c r="G636" s="129">
        <v>6.3558998000000004</v>
      </c>
      <c r="H636" s="129">
        <v>25.423599200000002</v>
      </c>
      <c r="I636" s="131" t="s">
        <v>87</v>
      </c>
      <c r="J636" s="132" t="s">
        <v>102</v>
      </c>
      <c r="K636" s="130" t="s">
        <v>624</v>
      </c>
      <c r="L636" s="130" t="str">
        <f t="shared" si="9"/>
        <v>005-00000107</v>
      </c>
    </row>
    <row r="637" spans="1:22" hidden="1" x14ac:dyDescent="0.25">
      <c r="A637" s="130" t="s">
        <v>227</v>
      </c>
      <c r="B637" s="130" t="s">
        <v>194</v>
      </c>
      <c r="C637" s="132" t="s">
        <v>88</v>
      </c>
      <c r="D637" s="129">
        <v>1</v>
      </c>
      <c r="E637" s="129">
        <v>1.6415</v>
      </c>
      <c r="F637" s="129">
        <v>1.6414999999999997</v>
      </c>
      <c r="G637" s="129">
        <v>5.4759001999999999</v>
      </c>
      <c r="H637" s="129">
        <v>5.4759001999999999</v>
      </c>
      <c r="I637" s="131" t="s">
        <v>87</v>
      </c>
      <c r="J637" s="132" t="s">
        <v>102</v>
      </c>
      <c r="K637" s="130" t="s">
        <v>624</v>
      </c>
      <c r="L637" s="130" t="str">
        <f t="shared" si="9"/>
        <v>005-00000107</v>
      </c>
    </row>
    <row r="638" spans="1:22" hidden="1" x14ac:dyDescent="0.25">
      <c r="A638" s="130" t="s">
        <v>1115</v>
      </c>
      <c r="B638" s="130" t="s">
        <v>1116</v>
      </c>
      <c r="C638" s="132" t="s">
        <v>150</v>
      </c>
      <c r="D638" s="129">
        <v>1</v>
      </c>
      <c r="E638" s="129">
        <v>9.4896001999999999</v>
      </c>
      <c r="F638" s="129">
        <v>9.4896001999999999</v>
      </c>
      <c r="G638" s="129">
        <v>31.790001000000004</v>
      </c>
      <c r="H638" s="129">
        <v>31.790001000000007</v>
      </c>
      <c r="I638" s="131" t="s">
        <v>87</v>
      </c>
      <c r="J638" s="132" t="s">
        <v>102</v>
      </c>
      <c r="K638" s="130" t="s">
        <v>624</v>
      </c>
      <c r="L638" s="130" t="str">
        <f t="shared" si="9"/>
        <v>005-00000107</v>
      </c>
    </row>
    <row r="639" spans="1:22" hidden="1" x14ac:dyDescent="0.25">
      <c r="A639" s="130" t="s">
        <v>453</v>
      </c>
      <c r="B639" s="130" t="s">
        <v>454</v>
      </c>
      <c r="C639" s="132" t="s">
        <v>150</v>
      </c>
      <c r="D639" s="129">
        <v>1</v>
      </c>
      <c r="E639" s="25">
        <v>22.110799999999998</v>
      </c>
      <c r="F639" s="25">
        <v>22.110799999999998</v>
      </c>
      <c r="G639" s="25">
        <v>75</v>
      </c>
      <c r="H639" s="25">
        <v>75</v>
      </c>
      <c r="I639" s="131" t="s">
        <v>87</v>
      </c>
      <c r="J639" s="132" t="s">
        <v>102</v>
      </c>
      <c r="K639" s="130" t="s">
        <v>624</v>
      </c>
      <c r="L639" s="130" t="str">
        <f t="shared" si="9"/>
        <v>005-00000107</v>
      </c>
    </row>
    <row r="640" spans="1:22" hidden="1" x14ac:dyDescent="0.25">
      <c r="A640" s="130" t="s">
        <v>358</v>
      </c>
      <c r="B640" s="130" t="s">
        <v>359</v>
      </c>
      <c r="C640" s="132" t="s">
        <v>150</v>
      </c>
      <c r="D640" s="129">
        <v>1</v>
      </c>
      <c r="E640" s="129">
        <v>13.266500000000001</v>
      </c>
      <c r="F640" s="129">
        <v>13.266500000000002</v>
      </c>
      <c r="G640" s="129">
        <v>45</v>
      </c>
      <c r="H640" s="129">
        <v>45</v>
      </c>
      <c r="I640" s="131" t="s">
        <v>87</v>
      </c>
      <c r="J640" s="132" t="s">
        <v>102</v>
      </c>
      <c r="K640" s="130" t="s">
        <v>624</v>
      </c>
      <c r="L640" s="130" t="str">
        <f t="shared" si="9"/>
        <v>005-00000107</v>
      </c>
    </row>
    <row r="641" spans="1:12" hidden="1" x14ac:dyDescent="0.25">
      <c r="A641" s="130" t="s">
        <v>392</v>
      </c>
      <c r="B641" s="130" t="s">
        <v>393</v>
      </c>
      <c r="C641" s="132" t="s">
        <v>150</v>
      </c>
      <c r="D641" s="129">
        <v>1</v>
      </c>
      <c r="E641" s="129">
        <v>13.266500000000001</v>
      </c>
      <c r="F641" s="129">
        <v>13.266500000000002</v>
      </c>
      <c r="G641" s="129">
        <v>45</v>
      </c>
      <c r="H641" s="129">
        <v>45</v>
      </c>
      <c r="I641" s="131" t="s">
        <v>87</v>
      </c>
      <c r="J641" s="132" t="s">
        <v>102</v>
      </c>
      <c r="K641" s="130" t="s">
        <v>624</v>
      </c>
      <c r="L641" s="130" t="str">
        <f t="shared" si="9"/>
        <v>005-00000107</v>
      </c>
    </row>
    <row r="642" spans="1:12" hidden="1" x14ac:dyDescent="0.25">
      <c r="A642" s="130" t="s">
        <v>441</v>
      </c>
      <c r="B642" s="130" t="s">
        <v>442</v>
      </c>
      <c r="C642" s="132" t="s">
        <v>153</v>
      </c>
      <c r="D642" s="129">
        <v>1</v>
      </c>
      <c r="E642" s="129">
        <v>11.7925</v>
      </c>
      <c r="F642" s="129">
        <v>11.7925</v>
      </c>
      <c r="G642" s="129">
        <v>40</v>
      </c>
      <c r="H642" s="129">
        <v>40</v>
      </c>
      <c r="I642" s="131" t="s">
        <v>87</v>
      </c>
      <c r="J642" s="132" t="s">
        <v>102</v>
      </c>
      <c r="K642" s="130" t="s">
        <v>624</v>
      </c>
      <c r="L642" s="130" t="str">
        <f t="shared" si="9"/>
        <v>005-00000107</v>
      </c>
    </row>
    <row r="643" spans="1:12" hidden="1" x14ac:dyDescent="0.25">
      <c r="A643" s="130" t="s">
        <v>1488</v>
      </c>
      <c r="B643" s="130" t="s">
        <v>1489</v>
      </c>
      <c r="C643" s="132" t="s">
        <v>150</v>
      </c>
      <c r="D643" s="129">
        <v>1</v>
      </c>
      <c r="E643" s="129">
        <v>22.110799999999998</v>
      </c>
      <c r="F643" s="129">
        <v>22.110799999999998</v>
      </c>
      <c r="G643" s="129">
        <v>75</v>
      </c>
      <c r="H643" s="129">
        <v>75</v>
      </c>
      <c r="I643" s="131" t="s">
        <v>87</v>
      </c>
      <c r="J643" s="132" t="s">
        <v>102</v>
      </c>
      <c r="K643" s="130" t="s">
        <v>624</v>
      </c>
      <c r="L643" s="130" t="str">
        <f t="shared" si="9"/>
        <v>005-00000107</v>
      </c>
    </row>
    <row r="644" spans="1:12" hidden="1" x14ac:dyDescent="0.25">
      <c r="A644" s="130" t="s">
        <v>251</v>
      </c>
      <c r="B644" s="130" t="s">
        <v>252</v>
      </c>
      <c r="C644" s="132" t="s">
        <v>153</v>
      </c>
      <c r="D644" s="129">
        <v>1</v>
      </c>
      <c r="E644" s="129">
        <v>12.541100000000002</v>
      </c>
      <c r="F644" s="129">
        <v>12.541100000000004</v>
      </c>
      <c r="G644" s="129">
        <v>41.950001</v>
      </c>
      <c r="H644" s="129">
        <v>41.950001</v>
      </c>
      <c r="I644" s="131" t="s">
        <v>87</v>
      </c>
      <c r="J644" s="132" t="s">
        <v>102</v>
      </c>
      <c r="K644" s="130" t="s">
        <v>623</v>
      </c>
      <c r="L644" s="130" t="str">
        <f t="shared" si="9"/>
        <v>005-00000108</v>
      </c>
    </row>
    <row r="645" spans="1:12" hidden="1" x14ac:dyDescent="0.25">
      <c r="A645" s="130" t="s">
        <v>214</v>
      </c>
      <c r="B645" s="130" t="s">
        <v>215</v>
      </c>
      <c r="C645" s="132" t="s">
        <v>150</v>
      </c>
      <c r="D645" s="129">
        <v>1</v>
      </c>
      <c r="E645" s="129">
        <v>70.938698000000002</v>
      </c>
      <c r="F645" s="129">
        <v>70.938698000000002</v>
      </c>
      <c r="G645" s="129">
        <v>237.28998999999999</v>
      </c>
      <c r="H645" s="129">
        <v>237.28998999999996</v>
      </c>
      <c r="I645" s="131" t="s">
        <v>87</v>
      </c>
      <c r="J645" s="132" t="s">
        <v>102</v>
      </c>
      <c r="K645" s="130" t="s">
        <v>622</v>
      </c>
      <c r="L645" s="130" t="str">
        <f t="shared" ref="L645:L708" si="10">CONCATENATE(J645,"-",K645)</f>
        <v>005-00000109</v>
      </c>
    </row>
    <row r="646" spans="1:12" hidden="1" x14ac:dyDescent="0.25">
      <c r="A646" s="130" t="s">
        <v>1082</v>
      </c>
      <c r="B646" s="130" t="s">
        <v>1083</v>
      </c>
      <c r="C646" s="132" t="s">
        <v>150</v>
      </c>
      <c r="D646" s="129">
        <v>1</v>
      </c>
      <c r="E646" s="129">
        <v>54.539200000000001</v>
      </c>
      <c r="F646" s="129">
        <v>54.539200000000008</v>
      </c>
      <c r="G646" s="129">
        <v>182.20339999999999</v>
      </c>
      <c r="H646" s="129">
        <v>182.20339999999996</v>
      </c>
      <c r="I646" s="131" t="s">
        <v>87</v>
      </c>
      <c r="J646" s="132" t="s">
        <v>102</v>
      </c>
      <c r="K646" s="130" t="s">
        <v>622</v>
      </c>
      <c r="L646" s="130" t="str">
        <f t="shared" si="10"/>
        <v>005-00000109</v>
      </c>
    </row>
    <row r="647" spans="1:12" hidden="1" x14ac:dyDescent="0.25">
      <c r="A647" s="130" t="s">
        <v>567</v>
      </c>
      <c r="B647" s="130" t="s">
        <v>568</v>
      </c>
      <c r="C647" s="132" t="s">
        <v>150</v>
      </c>
      <c r="D647" s="129">
        <v>1</v>
      </c>
      <c r="E647" s="129">
        <v>13.3294</v>
      </c>
      <c r="F647" s="129">
        <v>13.329400000000003</v>
      </c>
      <c r="G647" s="129">
        <v>45</v>
      </c>
      <c r="H647" s="129">
        <v>45</v>
      </c>
      <c r="I647" s="131" t="s">
        <v>87</v>
      </c>
      <c r="J647" s="132" t="s">
        <v>102</v>
      </c>
      <c r="K647" s="130" t="s">
        <v>622</v>
      </c>
      <c r="L647" s="130" t="str">
        <f t="shared" si="10"/>
        <v>005-00000109</v>
      </c>
    </row>
    <row r="648" spans="1:12" hidden="1" x14ac:dyDescent="0.25">
      <c r="A648" s="130" t="s">
        <v>451</v>
      </c>
      <c r="B648" s="130" t="s">
        <v>452</v>
      </c>
      <c r="C648" s="132" t="s">
        <v>150</v>
      </c>
      <c r="D648" s="129">
        <v>1</v>
      </c>
      <c r="E648" s="129">
        <v>17.772499</v>
      </c>
      <c r="F648" s="129">
        <v>17.772498999999996</v>
      </c>
      <c r="G648" s="129">
        <v>60</v>
      </c>
      <c r="H648" s="129">
        <v>60</v>
      </c>
      <c r="I648" s="131" t="s">
        <v>87</v>
      </c>
      <c r="J648" s="132" t="s">
        <v>102</v>
      </c>
      <c r="K648" s="130" t="s">
        <v>622</v>
      </c>
      <c r="L648" s="130" t="str">
        <f t="shared" si="10"/>
        <v>005-00000109</v>
      </c>
    </row>
    <row r="649" spans="1:12" hidden="1" x14ac:dyDescent="0.25">
      <c r="A649" s="130" t="s">
        <v>1488</v>
      </c>
      <c r="B649" s="130" t="s">
        <v>1489</v>
      </c>
      <c r="C649" s="132" t="s">
        <v>150</v>
      </c>
      <c r="D649" s="129">
        <v>1</v>
      </c>
      <c r="E649" s="129">
        <v>23.696698999999999</v>
      </c>
      <c r="F649" s="129">
        <v>23.696699000000002</v>
      </c>
      <c r="G649" s="129">
        <v>80</v>
      </c>
      <c r="H649" s="129">
        <v>80</v>
      </c>
      <c r="I649" s="131" t="s">
        <v>87</v>
      </c>
      <c r="J649" s="132" t="s">
        <v>102</v>
      </c>
      <c r="K649" s="130" t="s">
        <v>622</v>
      </c>
      <c r="L649" s="130" t="str">
        <f t="shared" si="10"/>
        <v>005-00000109</v>
      </c>
    </row>
    <row r="650" spans="1:12" hidden="1" x14ac:dyDescent="0.25">
      <c r="A650" s="130" t="s">
        <v>1492</v>
      </c>
      <c r="B650" s="130" t="s">
        <v>1493</v>
      </c>
      <c r="C650" s="132" t="s">
        <v>150</v>
      </c>
      <c r="D650" s="129">
        <v>1</v>
      </c>
      <c r="E650" s="129">
        <v>13.741199999999999</v>
      </c>
      <c r="F650" s="129">
        <v>13.741199999999999</v>
      </c>
      <c r="G650" s="129">
        <v>46.61000099999999</v>
      </c>
      <c r="H650" s="129">
        <v>46.610001000000004</v>
      </c>
      <c r="I650" s="131" t="s">
        <v>87</v>
      </c>
      <c r="J650" s="132" t="s">
        <v>102</v>
      </c>
      <c r="K650" s="130" t="s">
        <v>1494</v>
      </c>
      <c r="L650" s="130" t="str">
        <f t="shared" si="10"/>
        <v>005-00000123</v>
      </c>
    </row>
    <row r="651" spans="1:12" hidden="1" x14ac:dyDescent="0.25">
      <c r="A651" s="130" t="s">
        <v>1082</v>
      </c>
      <c r="B651" s="130" t="s">
        <v>1083</v>
      </c>
      <c r="C651" s="132" t="s">
        <v>150</v>
      </c>
      <c r="D651" s="129">
        <v>1</v>
      </c>
      <c r="E651" s="129">
        <v>54.539200000000001</v>
      </c>
      <c r="F651" s="129">
        <v>54.539200000000008</v>
      </c>
      <c r="G651" s="129">
        <v>182.20339999999999</v>
      </c>
      <c r="H651" s="129">
        <v>182.20339999999996</v>
      </c>
      <c r="I651" s="131" t="s">
        <v>87</v>
      </c>
      <c r="J651" s="132" t="s">
        <v>102</v>
      </c>
      <c r="K651" s="130" t="s">
        <v>707</v>
      </c>
      <c r="L651" s="130" t="str">
        <f t="shared" si="10"/>
        <v>005-00000151</v>
      </c>
    </row>
    <row r="652" spans="1:12" hidden="1" x14ac:dyDescent="0.25">
      <c r="A652" s="130" t="s">
        <v>1488</v>
      </c>
      <c r="B652" s="130" t="s">
        <v>1489</v>
      </c>
      <c r="C652" s="132" t="s">
        <v>150</v>
      </c>
      <c r="D652" s="129">
        <v>1</v>
      </c>
      <c r="E652" s="25">
        <v>13.3294</v>
      </c>
      <c r="F652" s="25">
        <v>13.329400000000003</v>
      </c>
      <c r="G652" s="25">
        <v>45</v>
      </c>
      <c r="H652" s="25">
        <v>45</v>
      </c>
      <c r="I652" s="131" t="s">
        <v>87</v>
      </c>
      <c r="J652" s="132" t="s">
        <v>102</v>
      </c>
      <c r="K652" s="130" t="s">
        <v>707</v>
      </c>
      <c r="L652" s="130" t="str">
        <f t="shared" si="10"/>
        <v>005-00000151</v>
      </c>
    </row>
    <row r="653" spans="1:12" hidden="1" x14ac:dyDescent="0.25">
      <c r="A653" s="130" t="s">
        <v>441</v>
      </c>
      <c r="B653" s="130" t="s">
        <v>442</v>
      </c>
      <c r="C653" s="132" t="s">
        <v>153</v>
      </c>
      <c r="D653" s="129">
        <v>1</v>
      </c>
      <c r="E653" s="129">
        <v>10.3673</v>
      </c>
      <c r="F653" s="129">
        <v>10.367300000000002</v>
      </c>
      <c r="G653" s="129">
        <v>35</v>
      </c>
      <c r="H653" s="129">
        <v>35</v>
      </c>
      <c r="I653" s="131" t="s">
        <v>87</v>
      </c>
      <c r="J653" s="132" t="s">
        <v>102</v>
      </c>
      <c r="K653" s="130" t="s">
        <v>707</v>
      </c>
      <c r="L653" s="130" t="str">
        <f t="shared" si="10"/>
        <v>005-00000151</v>
      </c>
    </row>
    <row r="654" spans="1:12" hidden="1" x14ac:dyDescent="0.25">
      <c r="A654" s="130" t="s">
        <v>587</v>
      </c>
      <c r="B654" s="130" t="s">
        <v>588</v>
      </c>
      <c r="C654" s="132" t="s">
        <v>150</v>
      </c>
      <c r="D654" s="129">
        <v>1</v>
      </c>
      <c r="E654" s="129">
        <v>13.3294</v>
      </c>
      <c r="F654" s="129">
        <v>13.329400000000003</v>
      </c>
      <c r="G654" s="129">
        <v>45</v>
      </c>
      <c r="H654" s="129">
        <v>45</v>
      </c>
      <c r="I654" s="131" t="s">
        <v>87</v>
      </c>
      <c r="J654" s="132" t="s">
        <v>102</v>
      </c>
      <c r="K654" s="130" t="s">
        <v>707</v>
      </c>
      <c r="L654" s="130" t="str">
        <f t="shared" si="10"/>
        <v>005-00000151</v>
      </c>
    </row>
    <row r="655" spans="1:12" hidden="1" x14ac:dyDescent="0.25">
      <c r="A655" s="130" t="s">
        <v>358</v>
      </c>
      <c r="B655" s="130" t="s">
        <v>359</v>
      </c>
      <c r="C655" s="132" t="s">
        <v>150</v>
      </c>
      <c r="D655" s="129">
        <v>1</v>
      </c>
      <c r="E655" s="25">
        <v>9.4786997</v>
      </c>
      <c r="F655" s="25">
        <v>9.4786997</v>
      </c>
      <c r="G655" s="25">
        <v>32</v>
      </c>
      <c r="H655" s="25">
        <v>32</v>
      </c>
      <c r="I655" s="131" t="s">
        <v>87</v>
      </c>
      <c r="J655" s="132" t="s">
        <v>102</v>
      </c>
      <c r="K655" s="130" t="s">
        <v>707</v>
      </c>
      <c r="L655" s="130" t="str">
        <f t="shared" si="10"/>
        <v>005-00000151</v>
      </c>
    </row>
    <row r="656" spans="1:12" hidden="1" x14ac:dyDescent="0.25">
      <c r="A656" s="130" t="s">
        <v>392</v>
      </c>
      <c r="B656" s="130" t="s">
        <v>393</v>
      </c>
      <c r="C656" s="132" t="s">
        <v>150</v>
      </c>
      <c r="D656" s="129">
        <v>1</v>
      </c>
      <c r="E656" s="129">
        <v>9.4786997</v>
      </c>
      <c r="F656" s="129">
        <v>9.4786997</v>
      </c>
      <c r="G656" s="129">
        <v>32</v>
      </c>
      <c r="H656" s="129">
        <v>32</v>
      </c>
      <c r="I656" s="131" t="s">
        <v>87</v>
      </c>
      <c r="J656" s="132" t="s">
        <v>102</v>
      </c>
      <c r="K656" s="130" t="s">
        <v>707</v>
      </c>
      <c r="L656" s="130" t="str">
        <f t="shared" si="10"/>
        <v>005-00000151</v>
      </c>
    </row>
    <row r="657" spans="1:12" hidden="1" x14ac:dyDescent="0.25">
      <c r="A657" s="130" t="s">
        <v>397</v>
      </c>
      <c r="B657" s="130" t="s">
        <v>398</v>
      </c>
      <c r="C657" s="132" t="s">
        <v>150</v>
      </c>
      <c r="D657" s="129">
        <v>1</v>
      </c>
      <c r="E657" s="129">
        <v>14.990399999999999</v>
      </c>
      <c r="F657" s="129">
        <v>14.990399999999999</v>
      </c>
      <c r="G657" s="129">
        <v>50.847499999999997</v>
      </c>
      <c r="H657" s="129">
        <v>50.847499999999997</v>
      </c>
      <c r="I657" s="131" t="s">
        <v>87</v>
      </c>
      <c r="J657" s="132" t="s">
        <v>102</v>
      </c>
      <c r="K657" s="130" t="s">
        <v>707</v>
      </c>
      <c r="L657" s="130" t="str">
        <f t="shared" si="10"/>
        <v>005-00000151</v>
      </c>
    </row>
    <row r="658" spans="1:12" hidden="1" x14ac:dyDescent="0.25">
      <c r="A658" s="130" t="s">
        <v>727</v>
      </c>
      <c r="B658" s="130" t="s">
        <v>728</v>
      </c>
      <c r="C658" s="132" t="s">
        <v>150</v>
      </c>
      <c r="D658" s="129">
        <v>1</v>
      </c>
      <c r="E658" s="25">
        <v>27.6126</v>
      </c>
      <c r="F658" s="25">
        <v>27.6126</v>
      </c>
      <c r="G658" s="25">
        <v>93.220000999999996</v>
      </c>
      <c r="H658" s="25">
        <v>93.220000999999968</v>
      </c>
      <c r="I658" s="131" t="s">
        <v>87</v>
      </c>
      <c r="J658" s="132" t="s">
        <v>102</v>
      </c>
      <c r="K658" s="130" t="s">
        <v>706</v>
      </c>
      <c r="L658" s="130" t="str">
        <f t="shared" si="10"/>
        <v>005-00000152</v>
      </c>
    </row>
    <row r="659" spans="1:12" hidden="1" x14ac:dyDescent="0.25">
      <c r="A659" s="130" t="s">
        <v>441</v>
      </c>
      <c r="B659" s="130" t="s">
        <v>442</v>
      </c>
      <c r="C659" s="132" t="s">
        <v>153</v>
      </c>
      <c r="D659" s="129">
        <v>2</v>
      </c>
      <c r="E659" s="129">
        <v>13.376899999999999</v>
      </c>
      <c r="F659" s="129">
        <v>26.753799999999991</v>
      </c>
      <c r="G659" s="129">
        <v>45</v>
      </c>
      <c r="H659" s="129">
        <v>90</v>
      </c>
      <c r="I659" s="131" t="s">
        <v>87</v>
      </c>
      <c r="J659" s="132" t="s">
        <v>102</v>
      </c>
      <c r="K659" s="130" t="s">
        <v>706</v>
      </c>
      <c r="L659" s="130" t="str">
        <f t="shared" si="10"/>
        <v>005-00000152</v>
      </c>
    </row>
    <row r="660" spans="1:12" hidden="1" x14ac:dyDescent="0.25">
      <c r="A660" s="130" t="s">
        <v>358</v>
      </c>
      <c r="B660" s="130" t="s">
        <v>359</v>
      </c>
      <c r="C660" s="132" t="s">
        <v>150</v>
      </c>
      <c r="D660" s="129">
        <v>1</v>
      </c>
      <c r="E660" s="129">
        <v>13.376899999999999</v>
      </c>
      <c r="F660" s="129">
        <v>13.376899999999996</v>
      </c>
      <c r="G660" s="129">
        <v>45</v>
      </c>
      <c r="H660" s="129">
        <v>45</v>
      </c>
      <c r="I660" s="131" t="s">
        <v>87</v>
      </c>
      <c r="J660" s="132" t="s">
        <v>102</v>
      </c>
      <c r="K660" s="130" t="s">
        <v>706</v>
      </c>
      <c r="L660" s="130" t="str">
        <f t="shared" si="10"/>
        <v>005-00000152</v>
      </c>
    </row>
    <row r="661" spans="1:12" hidden="1" x14ac:dyDescent="0.25">
      <c r="A661" s="130" t="s">
        <v>392</v>
      </c>
      <c r="B661" s="130" t="s">
        <v>393</v>
      </c>
      <c r="C661" s="132" t="s">
        <v>150</v>
      </c>
      <c r="D661" s="129">
        <v>1</v>
      </c>
      <c r="E661" s="129">
        <v>13.376899999999999</v>
      </c>
      <c r="F661" s="129">
        <v>13.376899999999996</v>
      </c>
      <c r="G661" s="129">
        <v>45</v>
      </c>
      <c r="H661" s="129">
        <v>45</v>
      </c>
      <c r="I661" s="131" t="s">
        <v>87</v>
      </c>
      <c r="J661" s="132" t="s">
        <v>102</v>
      </c>
      <c r="K661" s="130" t="s">
        <v>706</v>
      </c>
      <c r="L661" s="130" t="str">
        <f t="shared" si="10"/>
        <v>005-00000152</v>
      </c>
    </row>
    <row r="662" spans="1:12" hidden="1" x14ac:dyDescent="0.25">
      <c r="A662" s="130" t="s">
        <v>433</v>
      </c>
      <c r="B662" s="130" t="s">
        <v>434</v>
      </c>
      <c r="C662" s="132" t="s">
        <v>150</v>
      </c>
      <c r="D662" s="129">
        <v>1</v>
      </c>
      <c r="E662" s="25">
        <v>74.316299000000001</v>
      </c>
      <c r="F662" s="25">
        <v>74.316299000000001</v>
      </c>
      <c r="G662" s="25">
        <v>250</v>
      </c>
      <c r="H662" s="25">
        <v>250</v>
      </c>
      <c r="I662" s="131" t="s">
        <v>87</v>
      </c>
      <c r="J662" s="132" t="s">
        <v>102</v>
      </c>
      <c r="K662" s="130" t="s">
        <v>706</v>
      </c>
      <c r="L662" s="130" t="str">
        <f t="shared" si="10"/>
        <v>005-00000152</v>
      </c>
    </row>
    <row r="663" spans="1:12" hidden="1" x14ac:dyDescent="0.25">
      <c r="A663" s="130" t="s">
        <v>529</v>
      </c>
      <c r="B663" s="130" t="s">
        <v>530</v>
      </c>
      <c r="C663" s="132" t="s">
        <v>88</v>
      </c>
      <c r="D663" s="129">
        <v>1</v>
      </c>
      <c r="E663" s="129">
        <v>14.7882</v>
      </c>
      <c r="F663" s="129">
        <v>14.788199999999996</v>
      </c>
      <c r="G663" s="129">
        <v>49.75519899999999</v>
      </c>
      <c r="H663" s="129">
        <v>49.75519899999999</v>
      </c>
      <c r="I663" s="131" t="s">
        <v>87</v>
      </c>
      <c r="J663" s="132" t="s">
        <v>102</v>
      </c>
      <c r="K663" s="130" t="s">
        <v>1495</v>
      </c>
      <c r="L663" s="130" t="str">
        <f t="shared" si="10"/>
        <v>005-00000154</v>
      </c>
    </row>
    <row r="664" spans="1:12" hidden="1" x14ac:dyDescent="0.25">
      <c r="A664" s="130" t="s">
        <v>1496</v>
      </c>
      <c r="B664" s="130" t="s">
        <v>1497</v>
      </c>
      <c r="C664" s="132" t="s">
        <v>150</v>
      </c>
      <c r="D664" s="129">
        <v>1</v>
      </c>
      <c r="E664" s="129">
        <v>2.3308000999999998</v>
      </c>
      <c r="F664" s="129">
        <v>2.3308000999999998</v>
      </c>
      <c r="G664" s="129">
        <v>7.8432002000000001</v>
      </c>
      <c r="H664" s="129">
        <v>7.8432002000000001</v>
      </c>
      <c r="I664" s="131" t="s">
        <v>87</v>
      </c>
      <c r="J664" s="132" t="s">
        <v>102</v>
      </c>
      <c r="K664" s="130" t="s">
        <v>1495</v>
      </c>
      <c r="L664" s="130" t="str">
        <f t="shared" si="10"/>
        <v>005-00000154</v>
      </c>
    </row>
    <row r="665" spans="1:12" hidden="1" x14ac:dyDescent="0.25">
      <c r="A665" s="130" t="s">
        <v>409</v>
      </c>
      <c r="B665" s="130" t="s">
        <v>408</v>
      </c>
      <c r="C665" s="132" t="s">
        <v>150</v>
      </c>
      <c r="D665" s="129">
        <v>4</v>
      </c>
      <c r="E665" s="25">
        <v>1.4915</v>
      </c>
      <c r="F665" s="25">
        <v>5.9659999999999993</v>
      </c>
      <c r="G665" s="25">
        <v>6.1016002</v>
      </c>
      <c r="H665" s="25">
        <v>24.406400800000007</v>
      </c>
      <c r="I665" s="131" t="s">
        <v>87</v>
      </c>
      <c r="J665" s="132" t="s">
        <v>102</v>
      </c>
      <c r="K665" s="130" t="s">
        <v>1495</v>
      </c>
      <c r="L665" s="130" t="str">
        <f t="shared" si="10"/>
        <v>005-00000154</v>
      </c>
    </row>
    <row r="666" spans="1:12" hidden="1" x14ac:dyDescent="0.25">
      <c r="A666" s="130" t="s">
        <v>415</v>
      </c>
      <c r="B666" s="130" t="s">
        <v>416</v>
      </c>
      <c r="C666" s="132" t="s">
        <v>153</v>
      </c>
      <c r="D666" s="129">
        <v>1</v>
      </c>
      <c r="E666" s="129">
        <v>38.762298999999999</v>
      </c>
      <c r="F666" s="129">
        <v>38.762298999999999</v>
      </c>
      <c r="G666" s="129">
        <v>129.66</v>
      </c>
      <c r="H666" s="129">
        <v>129.66</v>
      </c>
      <c r="I666" s="131" t="s">
        <v>87</v>
      </c>
      <c r="J666" s="132" t="s">
        <v>102</v>
      </c>
      <c r="K666" s="130" t="s">
        <v>704</v>
      </c>
      <c r="L666" s="130" t="str">
        <f t="shared" si="10"/>
        <v>005-00000160</v>
      </c>
    </row>
    <row r="667" spans="1:12" hidden="1" x14ac:dyDescent="0.25">
      <c r="A667" s="130" t="s">
        <v>342</v>
      </c>
      <c r="B667" s="130" t="s">
        <v>343</v>
      </c>
      <c r="C667" s="132" t="s">
        <v>150</v>
      </c>
      <c r="D667" s="129">
        <v>2</v>
      </c>
      <c r="E667" s="129">
        <v>8.7999999999999995E-2</v>
      </c>
      <c r="F667" s="129">
        <v>0.17599999999999993</v>
      </c>
      <c r="G667" s="129">
        <v>0.29660001000000003</v>
      </c>
      <c r="H667" s="129">
        <v>0.59320002000000005</v>
      </c>
      <c r="I667" s="131" t="s">
        <v>87</v>
      </c>
      <c r="J667" s="132" t="s">
        <v>102</v>
      </c>
      <c r="K667" s="130" t="s">
        <v>704</v>
      </c>
      <c r="L667" s="130" t="str">
        <f t="shared" si="10"/>
        <v>005-00000160</v>
      </c>
    </row>
    <row r="668" spans="1:12" hidden="1" x14ac:dyDescent="0.25">
      <c r="A668" s="130" t="s">
        <v>1466</v>
      </c>
      <c r="B668" s="130" t="s">
        <v>1467</v>
      </c>
      <c r="C668" s="132" t="s">
        <v>88</v>
      </c>
      <c r="D668" s="129">
        <v>0.75</v>
      </c>
      <c r="E668" s="25">
        <v>9.2980003</v>
      </c>
      <c r="F668" s="25">
        <v>6.9735002249999987</v>
      </c>
      <c r="G668" s="25">
        <v>31.138999999999999</v>
      </c>
      <c r="H668" s="25">
        <v>23.354249999999997</v>
      </c>
      <c r="I668" s="131" t="s">
        <v>87</v>
      </c>
      <c r="J668" s="132" t="s">
        <v>102</v>
      </c>
      <c r="K668" s="130" t="s">
        <v>703</v>
      </c>
      <c r="L668" s="130" t="str">
        <f t="shared" si="10"/>
        <v>005-00000162</v>
      </c>
    </row>
    <row r="669" spans="1:12" hidden="1" x14ac:dyDescent="0.25">
      <c r="A669" s="130" t="s">
        <v>227</v>
      </c>
      <c r="B669" s="130" t="s">
        <v>194</v>
      </c>
      <c r="C669" s="132" t="s">
        <v>88</v>
      </c>
      <c r="D669" s="129">
        <v>1</v>
      </c>
      <c r="E669" s="129">
        <v>1.6415</v>
      </c>
      <c r="F669" s="129">
        <v>1.6414999999999997</v>
      </c>
      <c r="G669" s="129">
        <v>5.4759001999999999</v>
      </c>
      <c r="H669" s="129">
        <v>5.4759001999999999</v>
      </c>
      <c r="I669" s="131" t="s">
        <v>87</v>
      </c>
      <c r="J669" s="132" t="s">
        <v>102</v>
      </c>
      <c r="K669" s="130" t="s">
        <v>701</v>
      </c>
      <c r="L669" s="130" t="str">
        <f t="shared" si="10"/>
        <v>005-00000164</v>
      </c>
    </row>
    <row r="670" spans="1:12" hidden="1" x14ac:dyDescent="0.25">
      <c r="A670" s="130" t="s">
        <v>1082</v>
      </c>
      <c r="B670" s="130" t="s">
        <v>1083</v>
      </c>
      <c r="C670" s="132" t="s">
        <v>150</v>
      </c>
      <c r="D670" s="129">
        <v>1</v>
      </c>
      <c r="E670" s="129">
        <v>54.539200000000001</v>
      </c>
      <c r="F670" s="129">
        <v>54.539200000000008</v>
      </c>
      <c r="G670" s="129">
        <v>182.20339999999999</v>
      </c>
      <c r="H670" s="129">
        <v>182.20339999999996</v>
      </c>
      <c r="I670" s="131" t="s">
        <v>87</v>
      </c>
      <c r="J670" s="132" t="s">
        <v>102</v>
      </c>
      <c r="K670" s="130" t="s">
        <v>700</v>
      </c>
      <c r="L670" s="130" t="str">
        <f t="shared" si="10"/>
        <v>005-00000165</v>
      </c>
    </row>
    <row r="671" spans="1:12" hidden="1" x14ac:dyDescent="0.25">
      <c r="A671" s="130" t="s">
        <v>1482</v>
      </c>
      <c r="B671" s="130" t="s">
        <v>1483</v>
      </c>
      <c r="C671" s="132" t="s">
        <v>150</v>
      </c>
      <c r="D671" s="129">
        <v>1</v>
      </c>
      <c r="E671" s="25">
        <v>91.824600000000004</v>
      </c>
      <c r="F671" s="25">
        <v>91.82459999999999</v>
      </c>
      <c r="G671" s="25">
        <v>310</v>
      </c>
      <c r="H671" s="25">
        <v>310</v>
      </c>
      <c r="I671" s="131" t="s">
        <v>87</v>
      </c>
      <c r="J671" s="132" t="s">
        <v>102</v>
      </c>
      <c r="K671" s="130" t="s">
        <v>700</v>
      </c>
      <c r="L671" s="130" t="str">
        <f t="shared" si="10"/>
        <v>005-00000165</v>
      </c>
    </row>
    <row r="672" spans="1:12" hidden="1" x14ac:dyDescent="0.25">
      <c r="A672" s="130" t="s">
        <v>441</v>
      </c>
      <c r="B672" s="130" t="s">
        <v>442</v>
      </c>
      <c r="C672" s="132" t="s">
        <v>153</v>
      </c>
      <c r="D672" s="129">
        <v>1</v>
      </c>
      <c r="E672" s="129">
        <v>10.3673</v>
      </c>
      <c r="F672" s="129">
        <v>10.367300000000002</v>
      </c>
      <c r="G672" s="129">
        <v>35</v>
      </c>
      <c r="H672" s="129">
        <v>35</v>
      </c>
      <c r="I672" s="131" t="s">
        <v>87</v>
      </c>
      <c r="J672" s="132" t="s">
        <v>102</v>
      </c>
      <c r="K672" s="130" t="s">
        <v>700</v>
      </c>
      <c r="L672" s="130" t="str">
        <f t="shared" si="10"/>
        <v>005-00000165</v>
      </c>
    </row>
    <row r="673" spans="1:12" hidden="1" x14ac:dyDescent="0.25">
      <c r="A673" s="130" t="s">
        <v>1498</v>
      </c>
      <c r="B673" s="130" t="s">
        <v>1499</v>
      </c>
      <c r="C673" s="132" t="s">
        <v>153</v>
      </c>
      <c r="D673" s="129">
        <v>1</v>
      </c>
      <c r="E673" s="129">
        <v>23.696698999999999</v>
      </c>
      <c r="F673" s="129">
        <v>23.696699000000002</v>
      </c>
      <c r="G673" s="129">
        <v>80</v>
      </c>
      <c r="H673" s="129">
        <v>80</v>
      </c>
      <c r="I673" s="131" t="s">
        <v>87</v>
      </c>
      <c r="J673" s="132" t="s">
        <v>102</v>
      </c>
      <c r="K673" s="130" t="s">
        <v>700</v>
      </c>
      <c r="L673" s="130" t="str">
        <f t="shared" si="10"/>
        <v>005-00000165</v>
      </c>
    </row>
    <row r="674" spans="1:12" hidden="1" x14ac:dyDescent="0.25">
      <c r="A674" s="130" t="s">
        <v>1484</v>
      </c>
      <c r="B674" s="130" t="s">
        <v>1485</v>
      </c>
      <c r="C674" s="132" t="s">
        <v>150</v>
      </c>
      <c r="D674" s="129">
        <v>1</v>
      </c>
      <c r="E674" s="129">
        <v>65.165901000000005</v>
      </c>
      <c r="F674" s="129">
        <v>65.165901000000005</v>
      </c>
      <c r="G674" s="129">
        <v>220</v>
      </c>
      <c r="H674" s="129">
        <v>220</v>
      </c>
      <c r="I674" s="131" t="s">
        <v>87</v>
      </c>
      <c r="J674" s="132" t="s">
        <v>102</v>
      </c>
      <c r="K674" s="130" t="s">
        <v>700</v>
      </c>
      <c r="L674" s="130" t="str">
        <f t="shared" si="10"/>
        <v>005-00000165</v>
      </c>
    </row>
    <row r="675" spans="1:12" hidden="1" x14ac:dyDescent="0.25">
      <c r="A675" s="130" t="s">
        <v>1082</v>
      </c>
      <c r="B675" s="130" t="s">
        <v>1083</v>
      </c>
      <c r="C675" s="132" t="s">
        <v>150</v>
      </c>
      <c r="D675" s="129">
        <v>1</v>
      </c>
      <c r="E675" s="129">
        <v>54.539200000000001</v>
      </c>
      <c r="F675" s="129">
        <v>54.539200000000008</v>
      </c>
      <c r="G675" s="129">
        <v>182.20339999999999</v>
      </c>
      <c r="H675" s="129">
        <v>182.20339999999996</v>
      </c>
      <c r="I675" s="131" t="s">
        <v>87</v>
      </c>
      <c r="J675" s="132" t="s">
        <v>102</v>
      </c>
      <c r="K675" s="130" t="s">
        <v>699</v>
      </c>
      <c r="L675" s="130" t="str">
        <f t="shared" si="10"/>
        <v>005-00000166</v>
      </c>
    </row>
    <row r="676" spans="1:12" hidden="1" x14ac:dyDescent="0.25">
      <c r="A676" s="130" t="s">
        <v>358</v>
      </c>
      <c r="B676" s="130" t="s">
        <v>359</v>
      </c>
      <c r="C676" s="132" t="s">
        <v>150</v>
      </c>
      <c r="D676" s="129">
        <v>1</v>
      </c>
      <c r="E676" s="129">
        <v>8.9180001999999998</v>
      </c>
      <c r="F676" s="129">
        <v>8.9180001999999998</v>
      </c>
      <c r="G676" s="129">
        <v>30</v>
      </c>
      <c r="H676" s="129">
        <v>30</v>
      </c>
      <c r="I676" s="131" t="s">
        <v>87</v>
      </c>
      <c r="J676" s="132" t="s">
        <v>102</v>
      </c>
      <c r="K676" s="130" t="s">
        <v>699</v>
      </c>
      <c r="L676" s="130" t="str">
        <f t="shared" si="10"/>
        <v>005-00000166</v>
      </c>
    </row>
    <row r="677" spans="1:12" hidden="1" x14ac:dyDescent="0.25">
      <c r="A677" s="130" t="s">
        <v>392</v>
      </c>
      <c r="B677" s="130" t="s">
        <v>393</v>
      </c>
      <c r="C677" s="132" t="s">
        <v>150</v>
      </c>
      <c r="D677" s="129">
        <v>1</v>
      </c>
      <c r="E677" s="129">
        <v>8.9180001999999998</v>
      </c>
      <c r="F677" s="129">
        <v>8.9180001999999998</v>
      </c>
      <c r="G677" s="129">
        <v>30</v>
      </c>
      <c r="H677" s="129">
        <v>30</v>
      </c>
      <c r="I677" s="131" t="s">
        <v>87</v>
      </c>
      <c r="J677" s="132" t="s">
        <v>102</v>
      </c>
      <c r="K677" s="130" t="s">
        <v>699</v>
      </c>
      <c r="L677" s="130" t="str">
        <f t="shared" si="10"/>
        <v>005-00000166</v>
      </c>
    </row>
    <row r="678" spans="1:12" hidden="1" x14ac:dyDescent="0.25">
      <c r="A678" s="130" t="s">
        <v>1488</v>
      </c>
      <c r="B678" s="130" t="s">
        <v>1489</v>
      </c>
      <c r="C678" s="132" t="s">
        <v>150</v>
      </c>
      <c r="D678" s="129">
        <v>1</v>
      </c>
      <c r="E678" s="129">
        <v>20.808599000000001</v>
      </c>
      <c r="F678" s="129">
        <v>20.808598999999994</v>
      </c>
      <c r="G678" s="129">
        <v>70</v>
      </c>
      <c r="H678" s="129">
        <v>70</v>
      </c>
      <c r="I678" s="131" t="s">
        <v>87</v>
      </c>
      <c r="J678" s="132" t="s">
        <v>102</v>
      </c>
      <c r="K678" s="130" t="s">
        <v>699</v>
      </c>
      <c r="L678" s="130" t="str">
        <f t="shared" si="10"/>
        <v>005-00000166</v>
      </c>
    </row>
    <row r="679" spans="1:12" hidden="1" x14ac:dyDescent="0.25">
      <c r="A679" s="130" t="s">
        <v>441</v>
      </c>
      <c r="B679" s="130" t="s">
        <v>442</v>
      </c>
      <c r="C679" s="132" t="s">
        <v>153</v>
      </c>
      <c r="D679" s="129">
        <v>1</v>
      </c>
      <c r="E679" s="129">
        <v>10.404299999999999</v>
      </c>
      <c r="F679" s="129">
        <v>10.404300000000001</v>
      </c>
      <c r="G679" s="129">
        <v>35</v>
      </c>
      <c r="H679" s="129">
        <v>35</v>
      </c>
      <c r="I679" s="131" t="s">
        <v>87</v>
      </c>
      <c r="J679" s="132" t="s">
        <v>102</v>
      </c>
      <c r="K679" s="130" t="s">
        <v>699</v>
      </c>
      <c r="L679" s="130" t="str">
        <f t="shared" si="10"/>
        <v>005-00000166</v>
      </c>
    </row>
    <row r="680" spans="1:12" hidden="1" x14ac:dyDescent="0.25">
      <c r="A680" s="130" t="s">
        <v>419</v>
      </c>
      <c r="B680" s="130" t="s">
        <v>420</v>
      </c>
      <c r="C680" s="132" t="s">
        <v>153</v>
      </c>
      <c r="D680" s="129">
        <v>1</v>
      </c>
      <c r="E680" s="129">
        <v>16.164400000000001</v>
      </c>
      <c r="F680" s="129">
        <v>16.164400000000004</v>
      </c>
      <c r="G680" s="129">
        <v>54.07</v>
      </c>
      <c r="H680" s="129">
        <v>54.07</v>
      </c>
      <c r="I680" s="131" t="s">
        <v>87</v>
      </c>
      <c r="J680" s="132" t="s">
        <v>102</v>
      </c>
      <c r="K680" s="130" t="s">
        <v>698</v>
      </c>
      <c r="L680" s="130" t="str">
        <f t="shared" si="10"/>
        <v>005-00000167</v>
      </c>
    </row>
    <row r="681" spans="1:12" hidden="1" x14ac:dyDescent="0.25">
      <c r="A681" s="130" t="s">
        <v>358</v>
      </c>
      <c r="B681" s="130" t="s">
        <v>359</v>
      </c>
      <c r="C681" s="132" t="s">
        <v>150</v>
      </c>
      <c r="D681" s="129">
        <v>1</v>
      </c>
      <c r="E681" s="129">
        <v>10.321400000000001</v>
      </c>
      <c r="F681" s="129">
        <v>10.321400000000001</v>
      </c>
      <c r="G681" s="129">
        <v>35</v>
      </c>
      <c r="H681" s="129">
        <v>35</v>
      </c>
      <c r="I681" s="131" t="s">
        <v>87</v>
      </c>
      <c r="J681" s="132" t="s">
        <v>102</v>
      </c>
      <c r="K681" s="130" t="s">
        <v>698</v>
      </c>
      <c r="L681" s="130" t="str">
        <f t="shared" si="10"/>
        <v>005-00000167</v>
      </c>
    </row>
    <row r="682" spans="1:12" hidden="1" x14ac:dyDescent="0.25">
      <c r="A682" s="130" t="s">
        <v>392</v>
      </c>
      <c r="B682" s="130" t="s">
        <v>393</v>
      </c>
      <c r="C682" s="132" t="s">
        <v>150</v>
      </c>
      <c r="D682" s="129">
        <v>1</v>
      </c>
      <c r="E682" s="25">
        <v>10.321400000000001</v>
      </c>
      <c r="F682" s="25">
        <v>10.321400000000001</v>
      </c>
      <c r="G682" s="25">
        <v>35</v>
      </c>
      <c r="H682" s="25">
        <v>35</v>
      </c>
      <c r="I682" s="131" t="s">
        <v>87</v>
      </c>
      <c r="J682" s="132" t="s">
        <v>102</v>
      </c>
      <c r="K682" s="130" t="s">
        <v>698</v>
      </c>
      <c r="L682" s="130" t="str">
        <f t="shared" si="10"/>
        <v>005-00000167</v>
      </c>
    </row>
    <row r="683" spans="1:12" hidden="1" x14ac:dyDescent="0.25">
      <c r="A683" s="130" t="s">
        <v>449</v>
      </c>
      <c r="B683" s="130" t="s">
        <v>450</v>
      </c>
      <c r="C683" s="132" t="s">
        <v>150</v>
      </c>
      <c r="D683" s="129">
        <v>1</v>
      </c>
      <c r="E683" s="129">
        <v>41.285800999999999</v>
      </c>
      <c r="F683" s="129">
        <v>41.285800999999992</v>
      </c>
      <c r="G683" s="129">
        <v>140</v>
      </c>
      <c r="H683" s="129">
        <v>140</v>
      </c>
      <c r="I683" s="131" t="s">
        <v>87</v>
      </c>
      <c r="J683" s="132" t="s">
        <v>102</v>
      </c>
      <c r="K683" s="130" t="s">
        <v>698</v>
      </c>
      <c r="L683" s="130" t="str">
        <f t="shared" si="10"/>
        <v>005-00000167</v>
      </c>
    </row>
    <row r="684" spans="1:12" hidden="1" x14ac:dyDescent="0.25">
      <c r="A684" s="130" t="s">
        <v>1488</v>
      </c>
      <c r="B684" s="130" t="s">
        <v>1489</v>
      </c>
      <c r="C684" s="132" t="s">
        <v>150</v>
      </c>
      <c r="D684" s="129">
        <v>1</v>
      </c>
      <c r="E684" s="129">
        <v>11.7959</v>
      </c>
      <c r="F684" s="129">
        <v>11.7959</v>
      </c>
      <c r="G684" s="129">
        <v>40</v>
      </c>
      <c r="H684" s="129">
        <v>40</v>
      </c>
      <c r="I684" s="131" t="s">
        <v>87</v>
      </c>
      <c r="J684" s="132" t="s">
        <v>102</v>
      </c>
      <c r="K684" s="130" t="s">
        <v>698</v>
      </c>
      <c r="L684" s="130" t="str">
        <f t="shared" si="10"/>
        <v>005-00000167</v>
      </c>
    </row>
    <row r="685" spans="1:12" hidden="1" x14ac:dyDescent="0.25">
      <c r="A685" s="130" t="s">
        <v>1490</v>
      </c>
      <c r="B685" s="130" t="s">
        <v>1491</v>
      </c>
      <c r="C685" s="132" t="s">
        <v>150</v>
      </c>
      <c r="D685" s="129">
        <v>1</v>
      </c>
      <c r="E685" s="129">
        <v>11.7959</v>
      </c>
      <c r="F685" s="129">
        <v>11.7959</v>
      </c>
      <c r="G685" s="129">
        <v>40</v>
      </c>
      <c r="H685" s="129">
        <v>40</v>
      </c>
      <c r="I685" s="131" t="s">
        <v>87</v>
      </c>
      <c r="J685" s="132" t="s">
        <v>102</v>
      </c>
      <c r="K685" s="130" t="s">
        <v>698</v>
      </c>
      <c r="L685" s="130" t="str">
        <f t="shared" si="10"/>
        <v>005-00000167</v>
      </c>
    </row>
    <row r="686" spans="1:12" hidden="1" x14ac:dyDescent="0.25">
      <c r="A686" s="130" t="s">
        <v>731</v>
      </c>
      <c r="B686" s="130" t="s">
        <v>732</v>
      </c>
      <c r="C686" s="132" t="s">
        <v>153</v>
      </c>
      <c r="D686" s="129">
        <v>1</v>
      </c>
      <c r="E686" s="129">
        <v>73.470900999999998</v>
      </c>
      <c r="F686" s="129">
        <v>73.470900999999998</v>
      </c>
      <c r="G686" s="129">
        <v>245.75998999999999</v>
      </c>
      <c r="H686" s="129">
        <v>245.75998999999996</v>
      </c>
      <c r="I686" s="131" t="s">
        <v>87</v>
      </c>
      <c r="J686" s="132" t="s">
        <v>102</v>
      </c>
      <c r="K686" s="130" t="s">
        <v>697</v>
      </c>
      <c r="L686" s="130" t="str">
        <f t="shared" si="10"/>
        <v>005-00000168</v>
      </c>
    </row>
    <row r="687" spans="1:12" hidden="1" x14ac:dyDescent="0.25">
      <c r="A687" s="130" t="s">
        <v>735</v>
      </c>
      <c r="B687" s="130" t="s">
        <v>736</v>
      </c>
      <c r="C687" s="132" t="s">
        <v>150</v>
      </c>
      <c r="D687" s="129">
        <v>5</v>
      </c>
      <c r="E687" s="25">
        <v>8.1071997000000007</v>
      </c>
      <c r="F687" s="25">
        <v>40.535998500000005</v>
      </c>
      <c r="G687" s="25">
        <v>27.118601000000002</v>
      </c>
      <c r="H687" s="25">
        <v>135.59300500000001</v>
      </c>
      <c r="I687" s="131" t="s">
        <v>87</v>
      </c>
      <c r="J687" s="132" t="s">
        <v>102</v>
      </c>
      <c r="K687" s="130" t="s">
        <v>697</v>
      </c>
      <c r="L687" s="130" t="str">
        <f t="shared" si="10"/>
        <v>005-00000168</v>
      </c>
    </row>
    <row r="688" spans="1:12" hidden="1" x14ac:dyDescent="0.25">
      <c r="A688" s="130" t="s">
        <v>529</v>
      </c>
      <c r="B688" s="130" t="s">
        <v>530</v>
      </c>
      <c r="C688" s="132" t="s">
        <v>88</v>
      </c>
      <c r="D688" s="129">
        <v>1.25</v>
      </c>
      <c r="E688" s="129">
        <v>14.7882</v>
      </c>
      <c r="F688" s="129">
        <v>18.485249999999997</v>
      </c>
      <c r="G688" s="129">
        <v>49.75519899999999</v>
      </c>
      <c r="H688" s="129">
        <v>62.193998749999992</v>
      </c>
      <c r="I688" s="131" t="s">
        <v>87</v>
      </c>
      <c r="J688" s="132" t="s">
        <v>102</v>
      </c>
      <c r="K688" s="130" t="s">
        <v>1500</v>
      </c>
      <c r="L688" s="130" t="str">
        <f t="shared" si="10"/>
        <v>005-00000174</v>
      </c>
    </row>
    <row r="689" spans="1:12" hidden="1" x14ac:dyDescent="0.25">
      <c r="A689" s="130" t="s">
        <v>1501</v>
      </c>
      <c r="B689" s="130" t="s">
        <v>1502</v>
      </c>
      <c r="C689" s="132" t="s">
        <v>150</v>
      </c>
      <c r="D689" s="129">
        <v>1</v>
      </c>
      <c r="E689" s="129">
        <v>7.6283998000000004</v>
      </c>
      <c r="F689" s="129">
        <v>7.6283998000000004</v>
      </c>
      <c r="G689" s="129">
        <v>25.669499999999999</v>
      </c>
      <c r="H689" s="129">
        <v>25.669500000000003</v>
      </c>
      <c r="I689" s="131" t="s">
        <v>87</v>
      </c>
      <c r="J689" s="132" t="s">
        <v>102</v>
      </c>
      <c r="K689" s="130" t="s">
        <v>1500</v>
      </c>
      <c r="L689" s="130" t="str">
        <f t="shared" si="10"/>
        <v>005-00000174</v>
      </c>
    </row>
    <row r="690" spans="1:12" hidden="1" x14ac:dyDescent="0.25">
      <c r="A690" s="130" t="s">
        <v>729</v>
      </c>
      <c r="B690" s="130" t="s">
        <v>408</v>
      </c>
      <c r="C690" s="132" t="s">
        <v>150</v>
      </c>
      <c r="D690" s="129">
        <v>4</v>
      </c>
      <c r="E690" s="129">
        <v>1.8134999999999999</v>
      </c>
      <c r="F690" s="129">
        <v>7.2539999999999996</v>
      </c>
      <c r="G690" s="129">
        <v>6.1023997999999997</v>
      </c>
      <c r="H690" s="129">
        <v>24.409599199999992</v>
      </c>
      <c r="I690" s="131" t="s">
        <v>87</v>
      </c>
      <c r="J690" s="132" t="s">
        <v>102</v>
      </c>
      <c r="K690" s="130" t="s">
        <v>1500</v>
      </c>
      <c r="L690" s="130" t="str">
        <f t="shared" si="10"/>
        <v>005-00000174</v>
      </c>
    </row>
    <row r="691" spans="1:12" hidden="1" x14ac:dyDescent="0.25">
      <c r="A691" s="130" t="s">
        <v>529</v>
      </c>
      <c r="B691" s="130" t="s">
        <v>530</v>
      </c>
      <c r="C691" s="132" t="s">
        <v>88</v>
      </c>
      <c r="D691" s="129">
        <v>1</v>
      </c>
      <c r="E691" s="129">
        <v>14.7882</v>
      </c>
      <c r="F691" s="129">
        <v>14.788199999999996</v>
      </c>
      <c r="G691" s="129">
        <v>49.75519899999999</v>
      </c>
      <c r="H691" s="129">
        <v>49.75519899999999</v>
      </c>
      <c r="I691" s="131" t="s">
        <v>87</v>
      </c>
      <c r="J691" s="132" t="s">
        <v>102</v>
      </c>
      <c r="K691" s="130" t="s">
        <v>1503</v>
      </c>
      <c r="L691" s="130" t="str">
        <f t="shared" si="10"/>
        <v>005-00000175</v>
      </c>
    </row>
    <row r="692" spans="1:12" hidden="1" x14ac:dyDescent="0.25">
      <c r="A692" s="130" t="s">
        <v>1041</v>
      </c>
      <c r="B692" s="130" t="s">
        <v>1042</v>
      </c>
      <c r="C692" s="132" t="s">
        <v>150</v>
      </c>
      <c r="D692" s="129">
        <v>1</v>
      </c>
      <c r="E692" s="25">
        <v>1.5099</v>
      </c>
      <c r="F692" s="25">
        <v>1.5099</v>
      </c>
      <c r="G692" s="25">
        <v>5.0847001000000001</v>
      </c>
      <c r="H692" s="25">
        <v>5.0847001000000001</v>
      </c>
      <c r="I692" s="131" t="s">
        <v>87</v>
      </c>
      <c r="J692" s="132" t="s">
        <v>102</v>
      </c>
      <c r="K692" s="130" t="s">
        <v>1503</v>
      </c>
      <c r="L692" s="130" t="str">
        <f t="shared" si="10"/>
        <v>005-00000175</v>
      </c>
    </row>
    <row r="693" spans="1:12" hidden="1" x14ac:dyDescent="0.25">
      <c r="A693" s="130" t="s">
        <v>1504</v>
      </c>
      <c r="B693" s="130" t="s">
        <v>1505</v>
      </c>
      <c r="C693" s="132" t="s">
        <v>153</v>
      </c>
      <c r="D693" s="129">
        <v>1</v>
      </c>
      <c r="E693" s="129">
        <v>13.745200000000001</v>
      </c>
      <c r="F693" s="129">
        <v>13.745200000000002</v>
      </c>
      <c r="G693" s="129">
        <v>46.61000099999999</v>
      </c>
      <c r="H693" s="129">
        <v>46.610001000000004</v>
      </c>
      <c r="I693" s="131" t="s">
        <v>87</v>
      </c>
      <c r="J693" s="132" t="s">
        <v>102</v>
      </c>
      <c r="K693" s="130" t="s">
        <v>1506</v>
      </c>
      <c r="L693" s="130" t="str">
        <f t="shared" si="10"/>
        <v>005-00000176</v>
      </c>
    </row>
    <row r="694" spans="1:12" hidden="1" x14ac:dyDescent="0.25">
      <c r="A694" s="130" t="s">
        <v>1507</v>
      </c>
      <c r="B694" s="130" t="s">
        <v>1508</v>
      </c>
      <c r="C694" s="132" t="s">
        <v>150</v>
      </c>
      <c r="D694" s="129">
        <v>1</v>
      </c>
      <c r="E694" s="129">
        <v>4.4984001999999998</v>
      </c>
      <c r="F694" s="129">
        <v>4.4984002000000007</v>
      </c>
      <c r="G694" s="129">
        <v>15.254200000000001</v>
      </c>
      <c r="H694" s="129">
        <v>15.254200000000001</v>
      </c>
      <c r="I694" s="131" t="s">
        <v>87</v>
      </c>
      <c r="J694" s="132" t="s">
        <v>102</v>
      </c>
      <c r="K694" s="130" t="s">
        <v>1506</v>
      </c>
      <c r="L694" s="130" t="str">
        <f t="shared" si="10"/>
        <v>005-00000176</v>
      </c>
    </row>
    <row r="695" spans="1:12" hidden="1" x14ac:dyDescent="0.25">
      <c r="A695" s="130" t="s">
        <v>1509</v>
      </c>
      <c r="B695" s="130" t="s">
        <v>1510</v>
      </c>
      <c r="C695" s="132" t="s">
        <v>150</v>
      </c>
      <c r="D695" s="129">
        <v>1</v>
      </c>
      <c r="E695" s="25">
        <v>2.9990000999999999</v>
      </c>
      <c r="F695" s="25">
        <v>2.9990000999999999</v>
      </c>
      <c r="G695" s="25">
        <v>10.169499999999999</v>
      </c>
      <c r="H695" s="25">
        <v>10.169499999999998</v>
      </c>
      <c r="I695" s="131" t="s">
        <v>87</v>
      </c>
      <c r="J695" s="132" t="s">
        <v>102</v>
      </c>
      <c r="K695" s="130" t="s">
        <v>1506</v>
      </c>
      <c r="L695" s="130" t="str">
        <f t="shared" si="10"/>
        <v>005-00000176</v>
      </c>
    </row>
    <row r="696" spans="1:12" hidden="1" x14ac:dyDescent="0.25">
      <c r="A696" s="130" t="s">
        <v>529</v>
      </c>
      <c r="B696" s="130" t="s">
        <v>530</v>
      </c>
      <c r="C696" s="132" t="s">
        <v>88</v>
      </c>
      <c r="D696" s="129">
        <v>1</v>
      </c>
      <c r="E696" s="129">
        <v>14.7882</v>
      </c>
      <c r="F696" s="129">
        <v>14.788199999999996</v>
      </c>
      <c r="G696" s="129">
        <v>49.75519899999999</v>
      </c>
      <c r="H696" s="129">
        <v>49.75519899999999</v>
      </c>
      <c r="I696" s="131" t="s">
        <v>87</v>
      </c>
      <c r="J696" s="132" t="s">
        <v>102</v>
      </c>
      <c r="K696" s="130" t="s">
        <v>1506</v>
      </c>
      <c r="L696" s="130" t="str">
        <f t="shared" si="10"/>
        <v>005-00000176</v>
      </c>
    </row>
    <row r="697" spans="1:12" hidden="1" x14ac:dyDescent="0.25">
      <c r="A697" s="130" t="s">
        <v>1511</v>
      </c>
      <c r="B697" s="130" t="s">
        <v>1512</v>
      </c>
      <c r="C697" s="132" t="s">
        <v>226</v>
      </c>
      <c r="D697" s="129">
        <v>1</v>
      </c>
      <c r="E697" s="129">
        <v>49.93</v>
      </c>
      <c r="F697" s="129">
        <v>49.93</v>
      </c>
      <c r="G697" s="129">
        <v>167.31540000000001</v>
      </c>
      <c r="H697" s="129">
        <v>167.31540000000004</v>
      </c>
      <c r="I697" s="131" t="s">
        <v>87</v>
      </c>
      <c r="J697" s="132" t="s">
        <v>102</v>
      </c>
      <c r="K697" s="130" t="s">
        <v>626</v>
      </c>
      <c r="L697" s="130" t="str">
        <f t="shared" si="10"/>
        <v>005-00000105</v>
      </c>
    </row>
    <row r="698" spans="1:12" hidden="1" x14ac:dyDescent="0.25">
      <c r="A698" s="130" t="s">
        <v>1061</v>
      </c>
      <c r="B698" s="130" t="s">
        <v>1062</v>
      </c>
      <c r="C698" s="132" t="s">
        <v>226</v>
      </c>
      <c r="D698" s="129">
        <v>1</v>
      </c>
      <c r="E698" s="129">
        <v>61.45999900000001</v>
      </c>
      <c r="F698" s="129">
        <v>61.459999000000018</v>
      </c>
      <c r="G698" s="129">
        <v>205.7312</v>
      </c>
      <c r="H698" s="129">
        <v>205.73119999999994</v>
      </c>
      <c r="I698" s="131" t="s">
        <v>87</v>
      </c>
      <c r="J698" s="132" t="s">
        <v>102</v>
      </c>
      <c r="K698" s="130" t="s">
        <v>625</v>
      </c>
      <c r="L698" s="130" t="str">
        <f t="shared" si="10"/>
        <v>005-00000106</v>
      </c>
    </row>
    <row r="699" spans="1:12" hidden="1" x14ac:dyDescent="0.25">
      <c r="A699" s="130" t="s">
        <v>612</v>
      </c>
      <c r="B699" s="130" t="s">
        <v>613</v>
      </c>
      <c r="C699" s="132" t="s">
        <v>150</v>
      </c>
      <c r="D699" s="129">
        <v>4</v>
      </c>
      <c r="E699" s="129">
        <v>19.322201</v>
      </c>
      <c r="F699" s="129">
        <v>77.288804000000013</v>
      </c>
      <c r="G699" s="129">
        <v>65</v>
      </c>
      <c r="H699" s="129">
        <v>260</v>
      </c>
      <c r="I699" s="131" t="s">
        <v>87</v>
      </c>
      <c r="J699" s="132" t="s">
        <v>102</v>
      </c>
      <c r="K699" s="130" t="s">
        <v>698</v>
      </c>
      <c r="L699" s="130" t="str">
        <f t="shared" si="10"/>
        <v>005-00000167</v>
      </c>
    </row>
    <row r="700" spans="1:12" hidden="1" x14ac:dyDescent="0.25">
      <c r="A700" s="130" t="s">
        <v>1513</v>
      </c>
      <c r="B700" s="130" t="s">
        <v>1514</v>
      </c>
      <c r="C700" s="132" t="s">
        <v>150</v>
      </c>
      <c r="D700" s="129">
        <v>4</v>
      </c>
      <c r="E700" s="129">
        <v>37.158099999999997</v>
      </c>
      <c r="F700" s="129">
        <v>148.63239999999999</v>
      </c>
      <c r="G700" s="129">
        <v>125</v>
      </c>
      <c r="H700" s="129">
        <v>500</v>
      </c>
      <c r="I700" s="131" t="s">
        <v>87</v>
      </c>
      <c r="J700" s="132" t="s">
        <v>102</v>
      </c>
      <c r="K700" s="130" t="s">
        <v>698</v>
      </c>
      <c r="L700" s="130" t="str">
        <f t="shared" si="10"/>
        <v>005-00000167</v>
      </c>
    </row>
    <row r="701" spans="1:12" hidden="1" x14ac:dyDescent="0.25">
      <c r="A701" s="130" t="s">
        <v>1515</v>
      </c>
      <c r="B701" s="130" t="s">
        <v>1516</v>
      </c>
      <c r="C701" s="132" t="s">
        <v>150</v>
      </c>
      <c r="D701" s="129">
        <v>4</v>
      </c>
      <c r="E701" s="129">
        <v>37.158099999999997</v>
      </c>
      <c r="F701" s="129">
        <v>148.63239999999999</v>
      </c>
      <c r="G701" s="129">
        <v>125</v>
      </c>
      <c r="H701" s="129">
        <v>500</v>
      </c>
      <c r="I701" s="131" t="s">
        <v>87</v>
      </c>
      <c r="J701" s="132" t="s">
        <v>102</v>
      </c>
      <c r="K701" s="130" t="s">
        <v>623</v>
      </c>
      <c r="L701" s="130" t="str">
        <f t="shared" si="10"/>
        <v>005-00000108</v>
      </c>
    </row>
    <row r="702" spans="1:12" hidden="1" x14ac:dyDescent="0.25">
      <c r="A702" s="130" t="s">
        <v>612</v>
      </c>
      <c r="B702" s="130" t="s">
        <v>613</v>
      </c>
      <c r="C702" s="132" t="s">
        <v>150</v>
      </c>
      <c r="D702" s="129">
        <v>4</v>
      </c>
      <c r="E702" s="129">
        <v>19.322201</v>
      </c>
      <c r="F702" s="129">
        <v>77.288804000000013</v>
      </c>
      <c r="G702" s="129">
        <v>65</v>
      </c>
      <c r="H702" s="129">
        <v>260</v>
      </c>
      <c r="I702" s="131" t="s">
        <v>87</v>
      </c>
      <c r="J702" s="132" t="s">
        <v>102</v>
      </c>
      <c r="K702" s="130" t="s">
        <v>623</v>
      </c>
      <c r="L702" s="130" t="str">
        <f t="shared" si="10"/>
        <v>005-00000108</v>
      </c>
    </row>
    <row r="703" spans="1:12" hidden="1" x14ac:dyDescent="0.25">
      <c r="A703" s="130" t="s">
        <v>612</v>
      </c>
      <c r="B703" s="130" t="s">
        <v>613</v>
      </c>
      <c r="C703" s="132" t="s">
        <v>150</v>
      </c>
      <c r="D703" s="129">
        <v>1</v>
      </c>
      <c r="E703" s="129">
        <v>19.322201</v>
      </c>
      <c r="F703" s="129">
        <v>19.322201000000003</v>
      </c>
      <c r="G703" s="129">
        <v>65</v>
      </c>
      <c r="H703" s="129">
        <v>65</v>
      </c>
      <c r="I703" s="131" t="s">
        <v>87</v>
      </c>
      <c r="J703" s="132" t="s">
        <v>102</v>
      </c>
      <c r="K703" s="130" t="s">
        <v>701</v>
      </c>
      <c r="L703" s="130" t="str">
        <f t="shared" si="10"/>
        <v>005-00000164</v>
      </c>
    </row>
    <row r="704" spans="1:12" hidden="1" x14ac:dyDescent="0.25">
      <c r="A704" s="130" t="s">
        <v>397</v>
      </c>
      <c r="B704" s="130" t="s">
        <v>398</v>
      </c>
      <c r="C704" s="132" t="s">
        <v>150</v>
      </c>
      <c r="D704" s="129">
        <v>1</v>
      </c>
      <c r="E704" s="129">
        <v>12.561500000000001</v>
      </c>
      <c r="F704" s="129">
        <v>12.561500000000002</v>
      </c>
      <c r="G704" s="129">
        <v>42.369999</v>
      </c>
      <c r="H704" s="129">
        <v>42.369998999999986</v>
      </c>
      <c r="I704" s="131" t="s">
        <v>87</v>
      </c>
      <c r="J704" s="132" t="s">
        <v>102</v>
      </c>
      <c r="K704" s="130" t="s">
        <v>624</v>
      </c>
      <c r="L704" s="130" t="str">
        <f t="shared" si="10"/>
        <v>005-00000107</v>
      </c>
    </row>
    <row r="705" spans="1:12" hidden="1" x14ac:dyDescent="0.25">
      <c r="A705" s="130" t="s">
        <v>1476</v>
      </c>
      <c r="B705" s="130" t="s">
        <v>1477</v>
      </c>
      <c r="C705" s="132" t="s">
        <v>150</v>
      </c>
      <c r="D705" s="129">
        <v>1</v>
      </c>
      <c r="E705" s="129">
        <v>4.5212002</v>
      </c>
      <c r="F705" s="129">
        <v>4.5212002</v>
      </c>
      <c r="G705" s="129">
        <v>15.25</v>
      </c>
      <c r="H705" s="129">
        <v>15.25</v>
      </c>
      <c r="I705" s="131" t="s">
        <v>87</v>
      </c>
      <c r="J705" s="132" t="s">
        <v>102</v>
      </c>
      <c r="K705" s="130" t="s">
        <v>624</v>
      </c>
      <c r="L705" s="130" t="str">
        <f t="shared" si="10"/>
        <v>005-00000107</v>
      </c>
    </row>
    <row r="706" spans="1:12" hidden="1" x14ac:dyDescent="0.25">
      <c r="A706" s="130" t="s">
        <v>214</v>
      </c>
      <c r="B706" s="130" t="s">
        <v>215</v>
      </c>
      <c r="C706" s="132" t="s">
        <v>150</v>
      </c>
      <c r="D706" s="129">
        <v>1</v>
      </c>
      <c r="E706" s="129">
        <v>70.349800000000002</v>
      </c>
      <c r="F706" s="129">
        <v>70.349800000000002</v>
      </c>
      <c r="G706" s="129">
        <v>237.28998999999999</v>
      </c>
      <c r="H706" s="129">
        <v>237.28998999999996</v>
      </c>
      <c r="I706" s="131" t="s">
        <v>87</v>
      </c>
      <c r="J706" s="132" t="s">
        <v>102</v>
      </c>
      <c r="K706" s="130" t="s">
        <v>1517</v>
      </c>
      <c r="L706" s="130" t="str">
        <f t="shared" si="10"/>
        <v>005-00000178</v>
      </c>
    </row>
    <row r="707" spans="1:12" hidden="1" x14ac:dyDescent="0.25">
      <c r="A707" s="130" t="s">
        <v>1518</v>
      </c>
      <c r="B707" s="130" t="s">
        <v>1519</v>
      </c>
      <c r="C707" s="132" t="s">
        <v>150</v>
      </c>
      <c r="D707" s="129">
        <v>1</v>
      </c>
      <c r="E707" s="129">
        <v>12.700799999999999</v>
      </c>
      <c r="F707" s="129">
        <v>12.700799999999999</v>
      </c>
      <c r="G707" s="129">
        <v>42.369999</v>
      </c>
      <c r="H707" s="129">
        <v>42.369998999999986</v>
      </c>
      <c r="I707" s="131" t="s">
        <v>87</v>
      </c>
      <c r="J707" s="132" t="s">
        <v>102</v>
      </c>
      <c r="K707" s="130" t="s">
        <v>708</v>
      </c>
      <c r="L707" s="130" t="str">
        <f t="shared" si="10"/>
        <v>005-00000089</v>
      </c>
    </row>
    <row r="708" spans="1:12" hidden="1" x14ac:dyDescent="0.25">
      <c r="A708" s="130" t="s">
        <v>397</v>
      </c>
      <c r="B708" s="130" t="s">
        <v>398</v>
      </c>
      <c r="C708" s="132" t="s">
        <v>150</v>
      </c>
      <c r="D708" s="129">
        <v>1</v>
      </c>
      <c r="E708" s="129">
        <v>12.561500000000001</v>
      </c>
      <c r="F708" s="129">
        <v>12.561500000000002</v>
      </c>
      <c r="G708" s="129">
        <v>42.369999</v>
      </c>
      <c r="H708" s="129">
        <v>42.369998999999986</v>
      </c>
      <c r="I708" s="131" t="s">
        <v>87</v>
      </c>
      <c r="J708" s="132" t="s">
        <v>102</v>
      </c>
      <c r="K708" s="130" t="s">
        <v>626</v>
      </c>
      <c r="L708" s="130" t="str">
        <f t="shared" si="10"/>
        <v>005-00000105</v>
      </c>
    </row>
    <row r="709" spans="1:12" hidden="1" x14ac:dyDescent="0.25">
      <c r="A709" s="130" t="s">
        <v>348</v>
      </c>
      <c r="B709" s="130" t="s">
        <v>349</v>
      </c>
      <c r="C709" s="132" t="s">
        <v>150</v>
      </c>
      <c r="D709" s="129">
        <v>2</v>
      </c>
      <c r="E709" s="129">
        <v>6.2811999000000007</v>
      </c>
      <c r="F709" s="129">
        <v>12.562399800000001</v>
      </c>
      <c r="G709" s="129">
        <v>21.186399000000002</v>
      </c>
      <c r="H709" s="129">
        <v>42.372798000000003</v>
      </c>
      <c r="I709" s="131" t="s">
        <v>87</v>
      </c>
      <c r="J709" s="132" t="s">
        <v>102</v>
      </c>
      <c r="K709" s="130" t="s">
        <v>624</v>
      </c>
      <c r="L709" s="130" t="str">
        <f t="shared" ref="L709:L772" si="11">CONCATENATE(J709,"-",K709)</f>
        <v>005-00000107</v>
      </c>
    </row>
    <row r="710" spans="1:12" hidden="1" x14ac:dyDescent="0.25">
      <c r="A710" s="130" t="s">
        <v>350</v>
      </c>
      <c r="B710" s="130" t="s">
        <v>351</v>
      </c>
      <c r="C710" s="132" t="s">
        <v>150</v>
      </c>
      <c r="D710" s="129">
        <v>2</v>
      </c>
      <c r="E710" s="129">
        <v>30.149699999999999</v>
      </c>
      <c r="F710" s="129">
        <v>60.299399999999984</v>
      </c>
      <c r="G710" s="129">
        <v>101.6949</v>
      </c>
      <c r="H710" s="129">
        <v>203.38979999999995</v>
      </c>
      <c r="I710" s="131" t="s">
        <v>87</v>
      </c>
      <c r="J710" s="132" t="s">
        <v>102</v>
      </c>
      <c r="K710" s="130" t="s">
        <v>624</v>
      </c>
      <c r="L710" s="130" t="str">
        <f t="shared" si="11"/>
        <v>005-00000107</v>
      </c>
    </row>
    <row r="711" spans="1:12" hidden="1" x14ac:dyDescent="0.25">
      <c r="A711" s="130" t="s">
        <v>1466</v>
      </c>
      <c r="B711" s="130" t="s">
        <v>1467</v>
      </c>
      <c r="C711" s="132" t="s">
        <v>88</v>
      </c>
      <c r="D711" s="129">
        <v>0.75</v>
      </c>
      <c r="E711" s="129">
        <v>9.2980003</v>
      </c>
      <c r="F711" s="129">
        <v>6.9735002249999987</v>
      </c>
      <c r="G711" s="129">
        <v>31.138999999999999</v>
      </c>
      <c r="H711" s="129">
        <v>23.354249999999997</v>
      </c>
      <c r="I711" s="131" t="s">
        <v>87</v>
      </c>
      <c r="J711" s="132" t="s">
        <v>102</v>
      </c>
      <c r="K711" s="130" t="s">
        <v>624</v>
      </c>
      <c r="L711" s="130" t="str">
        <f t="shared" si="11"/>
        <v>005-00000107</v>
      </c>
    </row>
    <row r="712" spans="1:12" hidden="1" x14ac:dyDescent="0.25">
      <c r="A712" s="130" t="s">
        <v>1465</v>
      </c>
      <c r="B712" s="130" t="s">
        <v>160</v>
      </c>
      <c r="C712" s="132" t="s">
        <v>150</v>
      </c>
      <c r="D712" s="129">
        <v>1</v>
      </c>
      <c r="E712" s="129">
        <v>1.2092000000000001</v>
      </c>
      <c r="F712" s="129">
        <v>1.2092000000000001</v>
      </c>
      <c r="G712" s="129">
        <v>4.0678000000000001</v>
      </c>
      <c r="H712" s="129">
        <v>4.0678000000000001</v>
      </c>
      <c r="I712" s="131" t="s">
        <v>87</v>
      </c>
      <c r="J712" s="132" t="s">
        <v>102</v>
      </c>
      <c r="K712" s="130" t="s">
        <v>624</v>
      </c>
      <c r="L712" s="130" t="str">
        <f t="shared" si="11"/>
        <v>005-00000107</v>
      </c>
    </row>
    <row r="713" spans="1:12" hidden="1" x14ac:dyDescent="0.25">
      <c r="A713" s="130" t="s">
        <v>1465</v>
      </c>
      <c r="B713" s="130" t="s">
        <v>160</v>
      </c>
      <c r="C713" s="132" t="s">
        <v>150</v>
      </c>
      <c r="D713" s="129">
        <v>1</v>
      </c>
      <c r="E713" s="129">
        <v>1.2092000000000001</v>
      </c>
      <c r="F713" s="129">
        <v>1.2092000000000001</v>
      </c>
      <c r="G713" s="129">
        <v>4.0678000000000001</v>
      </c>
      <c r="H713" s="129">
        <v>4.0678000000000001</v>
      </c>
      <c r="I713" s="131" t="s">
        <v>87</v>
      </c>
      <c r="J713" s="132" t="s">
        <v>102</v>
      </c>
      <c r="K713" s="130" t="s">
        <v>626</v>
      </c>
      <c r="L713" s="130" t="str">
        <f t="shared" si="11"/>
        <v>005-00000105</v>
      </c>
    </row>
    <row r="714" spans="1:12" hidden="1" x14ac:dyDescent="0.25">
      <c r="A714" s="130" t="s">
        <v>1044</v>
      </c>
      <c r="B714" s="130" t="s">
        <v>1045</v>
      </c>
      <c r="C714" s="132" t="s">
        <v>153</v>
      </c>
      <c r="D714" s="129">
        <v>1</v>
      </c>
      <c r="E714" s="129">
        <v>10.076700000000001</v>
      </c>
      <c r="F714" s="129">
        <v>10.076700000000001</v>
      </c>
      <c r="G714" s="129">
        <v>33.897998999999999</v>
      </c>
      <c r="H714" s="129">
        <v>33.897998999999999</v>
      </c>
      <c r="I714" s="131" t="s">
        <v>87</v>
      </c>
      <c r="J714" s="132" t="s">
        <v>102</v>
      </c>
      <c r="K714" s="130" t="s">
        <v>626</v>
      </c>
      <c r="L714" s="130" t="str">
        <f t="shared" si="11"/>
        <v>005-00000105</v>
      </c>
    </row>
    <row r="715" spans="1:12" hidden="1" x14ac:dyDescent="0.25">
      <c r="A715" s="130" t="s">
        <v>1034</v>
      </c>
      <c r="B715" s="130" t="s">
        <v>1035</v>
      </c>
      <c r="C715" s="132" t="s">
        <v>88</v>
      </c>
      <c r="D715" s="129">
        <v>1</v>
      </c>
      <c r="E715" s="129">
        <v>11.861700000000001</v>
      </c>
      <c r="F715" s="129">
        <v>11.861700000000001</v>
      </c>
      <c r="G715" s="129">
        <v>39.701000000000001</v>
      </c>
      <c r="H715" s="129">
        <v>39.701000000000001</v>
      </c>
      <c r="I715" s="131" t="s">
        <v>87</v>
      </c>
      <c r="J715" s="132" t="s">
        <v>102</v>
      </c>
      <c r="K715" s="130" t="s">
        <v>626</v>
      </c>
      <c r="L715" s="130" t="str">
        <f t="shared" si="11"/>
        <v>005-00000105</v>
      </c>
    </row>
    <row r="716" spans="1:12" hidden="1" x14ac:dyDescent="0.25">
      <c r="A716" s="130" t="s">
        <v>1071</v>
      </c>
      <c r="B716" s="130" t="s">
        <v>1072</v>
      </c>
      <c r="C716" s="132" t="s">
        <v>150</v>
      </c>
      <c r="D716" s="129">
        <v>1</v>
      </c>
      <c r="E716" s="129">
        <v>2.2618999</v>
      </c>
      <c r="F716" s="129">
        <v>2.2618998999999995</v>
      </c>
      <c r="G716" s="129">
        <v>7.6271000000000004</v>
      </c>
      <c r="H716" s="129">
        <v>7.6271000000000004</v>
      </c>
      <c r="I716" s="131" t="s">
        <v>87</v>
      </c>
      <c r="J716" s="132" t="s">
        <v>102</v>
      </c>
      <c r="K716" s="130" t="s">
        <v>626</v>
      </c>
      <c r="L716" s="130" t="str">
        <f t="shared" si="11"/>
        <v>005-00000105</v>
      </c>
    </row>
    <row r="717" spans="1:12" hidden="1" x14ac:dyDescent="0.25">
      <c r="A717" s="130" t="s">
        <v>1466</v>
      </c>
      <c r="B717" s="130" t="s">
        <v>1467</v>
      </c>
      <c r="C717" s="132" t="s">
        <v>88</v>
      </c>
      <c r="D717" s="129">
        <v>0.75</v>
      </c>
      <c r="E717" s="129">
        <v>9.2980003</v>
      </c>
      <c r="F717" s="129">
        <v>6.9735002249999987</v>
      </c>
      <c r="G717" s="129">
        <v>31.138999999999999</v>
      </c>
      <c r="H717" s="129">
        <v>23.354249999999997</v>
      </c>
      <c r="I717" s="131" t="s">
        <v>87</v>
      </c>
      <c r="J717" s="132" t="s">
        <v>102</v>
      </c>
      <c r="K717" s="130" t="s">
        <v>626</v>
      </c>
      <c r="L717" s="130" t="str">
        <f t="shared" si="11"/>
        <v>005-00000105</v>
      </c>
    </row>
    <row r="718" spans="1:12" hidden="1" x14ac:dyDescent="0.25">
      <c r="A718" s="130" t="s">
        <v>572</v>
      </c>
      <c r="B718" s="130" t="s">
        <v>408</v>
      </c>
      <c r="C718" s="132" t="s">
        <v>150</v>
      </c>
      <c r="D718" s="129">
        <v>4</v>
      </c>
      <c r="E718" s="129">
        <v>1.8991999999999998</v>
      </c>
      <c r="F718" s="129">
        <v>7.5967999999999982</v>
      </c>
      <c r="G718" s="129">
        <v>6.3558998000000004</v>
      </c>
      <c r="H718" s="129">
        <v>25.423599200000002</v>
      </c>
      <c r="I718" s="131" t="s">
        <v>87</v>
      </c>
      <c r="J718" s="132" t="s">
        <v>102</v>
      </c>
      <c r="K718" s="130" t="s">
        <v>626</v>
      </c>
      <c r="L718" s="130" t="str">
        <f t="shared" si="11"/>
        <v>005-00000105</v>
      </c>
    </row>
    <row r="719" spans="1:12" hidden="1" x14ac:dyDescent="0.25">
      <c r="A719" s="130" t="s">
        <v>1041</v>
      </c>
      <c r="B719" s="130" t="s">
        <v>1042</v>
      </c>
      <c r="C719" s="132" t="s">
        <v>150</v>
      </c>
      <c r="D719" s="129">
        <v>1</v>
      </c>
      <c r="E719" s="129">
        <v>1.5099</v>
      </c>
      <c r="F719" s="129">
        <v>1.5099</v>
      </c>
      <c r="G719" s="129">
        <v>5.0847001000000001</v>
      </c>
      <c r="H719" s="129">
        <v>5.0847001000000001</v>
      </c>
      <c r="I719" s="131" t="s">
        <v>87</v>
      </c>
      <c r="J719" s="132" t="s">
        <v>102</v>
      </c>
      <c r="K719" s="130" t="s">
        <v>626</v>
      </c>
      <c r="L719" s="130" t="str">
        <f t="shared" si="11"/>
        <v>005-00000105</v>
      </c>
    </row>
    <row r="720" spans="1:12" hidden="1" x14ac:dyDescent="0.25">
      <c r="A720" s="130" t="s">
        <v>227</v>
      </c>
      <c r="B720" s="130" t="s">
        <v>194</v>
      </c>
      <c r="C720" s="132" t="s">
        <v>88</v>
      </c>
      <c r="D720" s="129">
        <v>1</v>
      </c>
      <c r="E720" s="129">
        <v>1.6415</v>
      </c>
      <c r="F720" s="129">
        <v>1.6414999999999997</v>
      </c>
      <c r="G720" s="129">
        <v>5.4759001999999999</v>
      </c>
      <c r="H720" s="129">
        <v>5.4759001999999999</v>
      </c>
      <c r="I720" s="131" t="s">
        <v>87</v>
      </c>
      <c r="J720" s="132" t="s">
        <v>102</v>
      </c>
      <c r="K720" s="130" t="s">
        <v>626</v>
      </c>
      <c r="L720" s="130" t="str">
        <f t="shared" si="11"/>
        <v>005-00000105</v>
      </c>
    </row>
    <row r="721" spans="1:12" hidden="1" x14ac:dyDescent="0.25">
      <c r="A721" s="130" t="s">
        <v>1117</v>
      </c>
      <c r="B721" s="130" t="s">
        <v>1118</v>
      </c>
      <c r="C721" s="132" t="s">
        <v>150</v>
      </c>
      <c r="D721" s="129">
        <v>4</v>
      </c>
      <c r="E721" s="129">
        <v>37.279998999999997</v>
      </c>
      <c r="F721" s="129">
        <v>149.11999600000001</v>
      </c>
      <c r="G721" s="129">
        <v>125</v>
      </c>
      <c r="H721" s="129">
        <v>500</v>
      </c>
      <c r="I721" s="131" t="s">
        <v>87</v>
      </c>
      <c r="J721" s="132" t="s">
        <v>102</v>
      </c>
      <c r="K721" s="130" t="s">
        <v>625</v>
      </c>
      <c r="L721" s="130" t="str">
        <f t="shared" si="11"/>
        <v>005-00000106</v>
      </c>
    </row>
    <row r="722" spans="1:12" hidden="1" x14ac:dyDescent="0.25">
      <c r="A722" s="130" t="s">
        <v>1038</v>
      </c>
      <c r="B722" s="130" t="s">
        <v>1039</v>
      </c>
      <c r="C722" s="132" t="s">
        <v>150</v>
      </c>
      <c r="D722" s="129">
        <v>2</v>
      </c>
      <c r="E722" s="129">
        <v>37.209999000000003</v>
      </c>
      <c r="F722" s="129">
        <v>74.419998000000007</v>
      </c>
      <c r="G722" s="129">
        <v>125</v>
      </c>
      <c r="H722" s="129">
        <v>250</v>
      </c>
      <c r="I722" s="131" t="s">
        <v>87</v>
      </c>
      <c r="J722" s="132" t="s">
        <v>102</v>
      </c>
      <c r="K722" s="130" t="s">
        <v>624</v>
      </c>
      <c r="L722" s="130" t="str">
        <f t="shared" si="11"/>
        <v>005-00000107</v>
      </c>
    </row>
    <row r="723" spans="1:12" hidden="1" x14ac:dyDescent="0.25">
      <c r="A723" s="130" t="s">
        <v>1117</v>
      </c>
      <c r="B723" s="130" t="s">
        <v>1118</v>
      </c>
      <c r="C723" s="132" t="s">
        <v>150</v>
      </c>
      <c r="D723" s="129">
        <v>4</v>
      </c>
      <c r="E723" s="129">
        <v>37.279998999999997</v>
      </c>
      <c r="F723" s="129">
        <v>149.11999600000001</v>
      </c>
      <c r="G723" s="129">
        <v>125</v>
      </c>
      <c r="H723" s="129">
        <v>500</v>
      </c>
      <c r="I723" s="131" t="s">
        <v>87</v>
      </c>
      <c r="J723" s="132" t="s">
        <v>102</v>
      </c>
      <c r="K723" s="130" t="s">
        <v>700</v>
      </c>
      <c r="L723" s="130" t="str">
        <f t="shared" si="11"/>
        <v>005-00000165</v>
      </c>
    </row>
    <row r="724" spans="1:12" hidden="1" x14ac:dyDescent="0.25">
      <c r="A724" s="130" t="s">
        <v>1117</v>
      </c>
      <c r="B724" s="130" t="s">
        <v>1118</v>
      </c>
      <c r="C724" s="132" t="s">
        <v>150</v>
      </c>
      <c r="D724" s="129">
        <v>4</v>
      </c>
      <c r="E724" s="129">
        <v>37.279998999999997</v>
      </c>
      <c r="F724" s="129">
        <v>149.11999600000001</v>
      </c>
      <c r="G724" s="129">
        <v>125</v>
      </c>
      <c r="H724" s="129">
        <v>500</v>
      </c>
      <c r="I724" s="131" t="s">
        <v>87</v>
      </c>
      <c r="J724" s="132" t="s">
        <v>102</v>
      </c>
      <c r="K724" s="130" t="s">
        <v>626</v>
      </c>
      <c r="L724" s="130" t="str">
        <f t="shared" si="11"/>
        <v>005-00000105</v>
      </c>
    </row>
    <row r="725" spans="1:12" hidden="1" x14ac:dyDescent="0.25">
      <c r="A725" s="130" t="s">
        <v>1117</v>
      </c>
      <c r="B725" s="130" t="s">
        <v>1118</v>
      </c>
      <c r="C725" s="132" t="s">
        <v>150</v>
      </c>
      <c r="D725" s="129">
        <v>4</v>
      </c>
      <c r="E725" s="129">
        <v>37.279998999999997</v>
      </c>
      <c r="F725" s="129">
        <v>149.11999600000001</v>
      </c>
      <c r="G725" s="129">
        <v>125</v>
      </c>
      <c r="H725" s="129">
        <v>500</v>
      </c>
      <c r="I725" s="131" t="s">
        <v>87</v>
      </c>
      <c r="J725" s="132" t="s">
        <v>102</v>
      </c>
      <c r="K725" s="130" t="s">
        <v>706</v>
      </c>
      <c r="L725" s="130" t="str">
        <f t="shared" si="11"/>
        <v>005-00000152</v>
      </c>
    </row>
    <row r="726" spans="1:12" hidden="1" x14ac:dyDescent="0.25">
      <c r="A726" s="130" t="s">
        <v>612</v>
      </c>
      <c r="B726" s="130" t="s">
        <v>613</v>
      </c>
      <c r="C726" s="132" t="s">
        <v>150</v>
      </c>
      <c r="D726" s="129">
        <v>2</v>
      </c>
      <c r="E726" s="129">
        <v>19.385598999999999</v>
      </c>
      <c r="F726" s="129">
        <v>38.771197999999998</v>
      </c>
      <c r="G726" s="129">
        <v>65</v>
      </c>
      <c r="H726" s="129">
        <v>130</v>
      </c>
      <c r="I726" s="131" t="s">
        <v>87</v>
      </c>
      <c r="J726" s="132" t="s">
        <v>102</v>
      </c>
      <c r="K726" s="130" t="s">
        <v>646</v>
      </c>
      <c r="L726" s="130" t="str">
        <f t="shared" si="11"/>
        <v>005-00000055</v>
      </c>
    </row>
    <row r="727" spans="1:12" hidden="1" x14ac:dyDescent="0.25">
      <c r="A727" s="130" t="s">
        <v>1520</v>
      </c>
      <c r="B727" s="130" t="s">
        <v>1521</v>
      </c>
      <c r="C727" s="132" t="s">
        <v>150</v>
      </c>
      <c r="D727" s="129">
        <v>1</v>
      </c>
      <c r="E727" s="129">
        <v>134.94999999999999</v>
      </c>
      <c r="F727" s="129">
        <v>134.94999999999999</v>
      </c>
      <c r="G727" s="129">
        <v>451.94751000000002</v>
      </c>
      <c r="H727" s="129">
        <v>451.94751000000014</v>
      </c>
      <c r="I727" s="131" t="s">
        <v>87</v>
      </c>
      <c r="J727" s="132" t="s">
        <v>102</v>
      </c>
      <c r="K727" s="130" t="s">
        <v>664</v>
      </c>
      <c r="L727" s="130" t="str">
        <f t="shared" si="11"/>
        <v>005-00000036</v>
      </c>
    </row>
    <row r="728" spans="1:12" hidden="1" x14ac:dyDescent="0.25">
      <c r="A728" s="130" t="s">
        <v>1522</v>
      </c>
      <c r="B728" s="130" t="s">
        <v>1523</v>
      </c>
      <c r="C728" s="132" t="s">
        <v>150</v>
      </c>
      <c r="D728" s="129">
        <v>1</v>
      </c>
      <c r="E728" s="129">
        <v>326.48000999999999</v>
      </c>
      <c r="F728" s="129">
        <v>326.48000999999999</v>
      </c>
      <c r="G728" s="129">
        <v>1093.3810000000001</v>
      </c>
      <c r="H728" s="129">
        <v>1093.3810000000003</v>
      </c>
      <c r="I728" s="131" t="s">
        <v>87</v>
      </c>
      <c r="J728" s="132" t="s">
        <v>102</v>
      </c>
      <c r="K728" s="130" t="s">
        <v>664</v>
      </c>
      <c r="L728" s="130" t="str">
        <f t="shared" si="11"/>
        <v>005-00000036</v>
      </c>
    </row>
    <row r="729" spans="1:12" hidden="1" x14ac:dyDescent="0.25">
      <c r="A729" s="130" t="s">
        <v>714</v>
      </c>
      <c r="B729" s="130" t="s">
        <v>715</v>
      </c>
      <c r="C729" s="132" t="s">
        <v>150</v>
      </c>
      <c r="D729" s="129">
        <v>1</v>
      </c>
      <c r="E729" s="129">
        <v>580.58001999999999</v>
      </c>
      <c r="F729" s="129">
        <v>580.58001999999999</v>
      </c>
      <c r="G729" s="129">
        <v>1944.3620999999998</v>
      </c>
      <c r="H729" s="129">
        <v>1944.3620999999996</v>
      </c>
      <c r="I729" s="131" t="s">
        <v>87</v>
      </c>
      <c r="J729" s="132" t="s">
        <v>102</v>
      </c>
      <c r="K729" s="130" t="s">
        <v>664</v>
      </c>
      <c r="L729" s="130" t="str">
        <f t="shared" si="11"/>
        <v>005-00000036</v>
      </c>
    </row>
    <row r="730" spans="1:12" hidden="1" x14ac:dyDescent="0.25">
      <c r="A730" s="130" t="s">
        <v>1073</v>
      </c>
      <c r="B730" s="130" t="s">
        <v>1074</v>
      </c>
      <c r="C730" s="132" t="s">
        <v>150</v>
      </c>
      <c r="D730" s="129">
        <v>1</v>
      </c>
      <c r="E730" s="129">
        <v>108.72</v>
      </c>
      <c r="F730" s="129">
        <v>108.72</v>
      </c>
      <c r="G730" s="129">
        <v>364.10329999999999</v>
      </c>
      <c r="H730" s="129">
        <v>364.1033000000001</v>
      </c>
      <c r="I730" s="131" t="s">
        <v>87</v>
      </c>
      <c r="J730" s="132" t="s">
        <v>102</v>
      </c>
      <c r="K730" s="130" t="s">
        <v>664</v>
      </c>
      <c r="L730" s="130" t="str">
        <f t="shared" si="11"/>
        <v>005-00000036</v>
      </c>
    </row>
    <row r="731" spans="1:12" hidden="1" x14ac:dyDescent="0.25">
      <c r="A731" s="130" t="s">
        <v>1524</v>
      </c>
      <c r="B731" s="130" t="s">
        <v>1525</v>
      </c>
      <c r="C731" s="132" t="s">
        <v>150</v>
      </c>
      <c r="D731" s="129">
        <v>1</v>
      </c>
      <c r="E731" s="129">
        <v>166.32001</v>
      </c>
      <c r="F731" s="129">
        <v>166.32001</v>
      </c>
      <c r="G731" s="129">
        <v>557.00567999999998</v>
      </c>
      <c r="H731" s="129">
        <v>557.00567999999998</v>
      </c>
      <c r="I731" s="131" t="s">
        <v>87</v>
      </c>
      <c r="J731" s="132" t="s">
        <v>102</v>
      </c>
      <c r="K731" s="130" t="s">
        <v>664</v>
      </c>
      <c r="L731" s="130" t="str">
        <f t="shared" si="11"/>
        <v>005-00000036</v>
      </c>
    </row>
    <row r="732" spans="1:12" hidden="1" x14ac:dyDescent="0.25">
      <c r="A732" s="130" t="s">
        <v>1526</v>
      </c>
      <c r="B732" s="130" t="s">
        <v>1527</v>
      </c>
      <c r="C732" s="132" t="s">
        <v>150</v>
      </c>
      <c r="D732" s="129">
        <v>1</v>
      </c>
      <c r="E732" s="129">
        <v>311.5</v>
      </c>
      <c r="F732" s="129">
        <v>311.5</v>
      </c>
      <c r="G732" s="129">
        <v>1043.2139999999999</v>
      </c>
      <c r="H732" s="129">
        <v>1043.2140000000002</v>
      </c>
      <c r="I732" s="131" t="s">
        <v>87</v>
      </c>
      <c r="J732" s="132" t="s">
        <v>102</v>
      </c>
      <c r="K732" s="130" t="s">
        <v>664</v>
      </c>
      <c r="L732" s="130" t="str">
        <f t="shared" si="11"/>
        <v>005-00000036</v>
      </c>
    </row>
    <row r="733" spans="1:12" hidden="1" x14ac:dyDescent="0.25">
      <c r="A733" s="130" t="s">
        <v>1528</v>
      </c>
      <c r="B733" s="130" t="s">
        <v>1529</v>
      </c>
      <c r="C733" s="132" t="s">
        <v>150</v>
      </c>
      <c r="D733" s="129">
        <v>1</v>
      </c>
      <c r="E733" s="129">
        <v>46.200001</v>
      </c>
      <c r="F733" s="129">
        <v>46.200001</v>
      </c>
      <c r="G733" s="129">
        <v>154.72380000000001</v>
      </c>
      <c r="H733" s="129">
        <v>154.72380000000004</v>
      </c>
      <c r="I733" s="131" t="s">
        <v>87</v>
      </c>
      <c r="J733" s="132" t="s">
        <v>102</v>
      </c>
      <c r="K733" s="130" t="s">
        <v>664</v>
      </c>
      <c r="L733" s="130" t="str">
        <f t="shared" si="11"/>
        <v>005-00000036</v>
      </c>
    </row>
    <row r="734" spans="1:12" hidden="1" x14ac:dyDescent="0.25">
      <c r="A734" s="130" t="s">
        <v>227</v>
      </c>
      <c r="B734" s="130" t="s">
        <v>194</v>
      </c>
      <c r="C734" s="132" t="s">
        <v>88</v>
      </c>
      <c r="D734" s="129">
        <v>1</v>
      </c>
      <c r="E734" s="129">
        <v>1.6415</v>
      </c>
      <c r="F734" s="129">
        <v>1.6414999999999997</v>
      </c>
      <c r="G734" s="129">
        <v>5.4759001999999999</v>
      </c>
      <c r="H734" s="129">
        <v>5.4759001999999999</v>
      </c>
      <c r="I734" s="131" t="s">
        <v>87</v>
      </c>
      <c r="J734" s="132" t="s">
        <v>102</v>
      </c>
      <c r="K734" s="130" t="s">
        <v>1530</v>
      </c>
      <c r="L734" s="130" t="str">
        <f t="shared" si="11"/>
        <v>005-00000169</v>
      </c>
    </row>
    <row r="735" spans="1:12" hidden="1" x14ac:dyDescent="0.25">
      <c r="A735" s="130" t="s">
        <v>1044</v>
      </c>
      <c r="B735" s="130" t="s">
        <v>1045</v>
      </c>
      <c r="C735" s="132" t="s">
        <v>153</v>
      </c>
      <c r="D735" s="129">
        <v>1</v>
      </c>
      <c r="E735" s="129">
        <v>10.076700000000001</v>
      </c>
      <c r="F735" s="129">
        <v>10.076700000000001</v>
      </c>
      <c r="G735" s="129">
        <v>33.897998999999999</v>
      </c>
      <c r="H735" s="129">
        <v>33.897998999999999</v>
      </c>
      <c r="I735" s="131" t="s">
        <v>87</v>
      </c>
      <c r="J735" s="132" t="s">
        <v>102</v>
      </c>
      <c r="K735" s="130" t="s">
        <v>624</v>
      </c>
      <c r="L735" s="130" t="str">
        <f t="shared" si="11"/>
        <v>005-00000107</v>
      </c>
    </row>
    <row r="736" spans="1:12" hidden="1" x14ac:dyDescent="0.25">
      <c r="A736" s="130" t="s">
        <v>331</v>
      </c>
      <c r="B736" s="130" t="s">
        <v>332</v>
      </c>
      <c r="C736" s="132" t="s">
        <v>150</v>
      </c>
      <c r="D736" s="129">
        <v>1</v>
      </c>
      <c r="E736" s="129">
        <v>1.0668</v>
      </c>
      <c r="F736" s="129">
        <v>1.0668</v>
      </c>
      <c r="G736" s="129">
        <v>3.6015999000000001</v>
      </c>
      <c r="H736" s="129">
        <v>3.6015999000000005</v>
      </c>
      <c r="I736" s="131" t="s">
        <v>87</v>
      </c>
      <c r="J736" s="132" t="s">
        <v>102</v>
      </c>
      <c r="K736" s="130" t="s">
        <v>624</v>
      </c>
      <c r="L736" s="130" t="str">
        <f t="shared" si="11"/>
        <v>005-00000107</v>
      </c>
    </row>
    <row r="737" spans="1:12" hidden="1" x14ac:dyDescent="0.25">
      <c r="A737" s="130" t="s">
        <v>329</v>
      </c>
      <c r="B737" s="130" t="s">
        <v>330</v>
      </c>
      <c r="C737" s="132" t="s">
        <v>150</v>
      </c>
      <c r="D737" s="129">
        <v>1</v>
      </c>
      <c r="E737" s="129">
        <v>2.7613001000000001</v>
      </c>
      <c r="F737" s="129">
        <v>2.7613001000000001</v>
      </c>
      <c r="G737" s="129">
        <v>9.3219995000000004</v>
      </c>
      <c r="H737" s="129">
        <v>9.3219995000000004</v>
      </c>
      <c r="I737" s="131" t="s">
        <v>87</v>
      </c>
      <c r="J737" s="132" t="s">
        <v>102</v>
      </c>
      <c r="K737" s="130" t="s">
        <v>624</v>
      </c>
      <c r="L737" s="130" t="str">
        <f t="shared" si="11"/>
        <v>005-00000107</v>
      </c>
    </row>
    <row r="738" spans="1:12" hidden="1" x14ac:dyDescent="0.25">
      <c r="A738" s="130" t="s">
        <v>342</v>
      </c>
      <c r="B738" s="130" t="s">
        <v>343</v>
      </c>
      <c r="C738" s="132" t="s">
        <v>150</v>
      </c>
      <c r="D738" s="129">
        <v>4</v>
      </c>
      <c r="E738" s="129">
        <v>8.7999999999999995E-2</v>
      </c>
      <c r="F738" s="129">
        <v>0.35199999999999987</v>
      </c>
      <c r="G738" s="129">
        <v>0.29660001000000003</v>
      </c>
      <c r="H738" s="129">
        <v>1.1864000400000001</v>
      </c>
      <c r="I738" s="131" t="s">
        <v>87</v>
      </c>
      <c r="J738" s="132" t="s">
        <v>102</v>
      </c>
      <c r="K738" s="130" t="s">
        <v>626</v>
      </c>
      <c r="L738" s="130" t="str">
        <f t="shared" si="11"/>
        <v>005-00000105</v>
      </c>
    </row>
    <row r="739" spans="1:12" hidden="1" x14ac:dyDescent="0.25">
      <c r="A739" s="130" t="s">
        <v>360</v>
      </c>
      <c r="B739" s="130" t="s">
        <v>361</v>
      </c>
      <c r="C739" s="132" t="s">
        <v>150</v>
      </c>
      <c r="D739" s="129">
        <v>2</v>
      </c>
      <c r="E739" s="129">
        <v>0.12590000000000001</v>
      </c>
      <c r="F739" s="129">
        <v>0.25180000000000002</v>
      </c>
      <c r="G739" s="129">
        <v>0.42370000000000002</v>
      </c>
      <c r="H739" s="129">
        <v>0.84740000000000004</v>
      </c>
      <c r="I739" s="131" t="s">
        <v>87</v>
      </c>
      <c r="J739" s="132" t="s">
        <v>102</v>
      </c>
      <c r="K739" s="130" t="s">
        <v>626</v>
      </c>
      <c r="L739" s="130" t="str">
        <f t="shared" si="11"/>
        <v>005-00000105</v>
      </c>
    </row>
    <row r="740" spans="1:12" hidden="1" x14ac:dyDescent="0.25">
      <c r="A740" s="130" t="s">
        <v>342</v>
      </c>
      <c r="B740" s="130" t="s">
        <v>343</v>
      </c>
      <c r="C740" s="132" t="s">
        <v>150</v>
      </c>
      <c r="D740" s="129">
        <v>2</v>
      </c>
      <c r="E740" s="129">
        <v>8.7999999999999995E-2</v>
      </c>
      <c r="F740" s="129">
        <v>0.17599999999999993</v>
      </c>
      <c r="G740" s="129">
        <v>0.29660001000000003</v>
      </c>
      <c r="H740" s="129">
        <v>0.59320002000000005</v>
      </c>
      <c r="I740" s="131" t="s">
        <v>87</v>
      </c>
      <c r="J740" s="132" t="s">
        <v>102</v>
      </c>
      <c r="K740" s="130" t="s">
        <v>707</v>
      </c>
      <c r="L740" s="130" t="str">
        <f t="shared" si="11"/>
        <v>005-00000151</v>
      </c>
    </row>
    <row r="741" spans="1:12" hidden="1" x14ac:dyDescent="0.25">
      <c r="A741" s="130" t="s">
        <v>360</v>
      </c>
      <c r="B741" s="130" t="s">
        <v>361</v>
      </c>
      <c r="C741" s="132" t="s">
        <v>150</v>
      </c>
      <c r="D741" s="129">
        <v>1</v>
      </c>
      <c r="E741" s="129">
        <v>0.12590000000000001</v>
      </c>
      <c r="F741" s="129">
        <v>0.12590000000000001</v>
      </c>
      <c r="G741" s="129">
        <v>0.42370000000000002</v>
      </c>
      <c r="H741" s="129">
        <v>0.42370000000000002</v>
      </c>
      <c r="I741" s="131" t="s">
        <v>87</v>
      </c>
      <c r="J741" s="132" t="s">
        <v>102</v>
      </c>
      <c r="K741" s="130" t="s">
        <v>707</v>
      </c>
      <c r="L741" s="130" t="str">
        <f t="shared" si="11"/>
        <v>005-00000151</v>
      </c>
    </row>
    <row r="742" spans="1:12" hidden="1" x14ac:dyDescent="0.25">
      <c r="A742" s="130" t="s">
        <v>331</v>
      </c>
      <c r="B742" s="130" t="s">
        <v>332</v>
      </c>
      <c r="C742" s="132" t="s">
        <v>150</v>
      </c>
      <c r="D742" s="129">
        <v>1</v>
      </c>
      <c r="E742" s="129">
        <v>1.0668</v>
      </c>
      <c r="F742" s="129">
        <v>1.0668</v>
      </c>
      <c r="G742" s="129">
        <v>3.6015999000000001</v>
      </c>
      <c r="H742" s="129">
        <v>3.6015999000000005</v>
      </c>
      <c r="I742" s="131" t="s">
        <v>87</v>
      </c>
      <c r="J742" s="132" t="s">
        <v>102</v>
      </c>
      <c r="K742" s="130" t="s">
        <v>707</v>
      </c>
      <c r="L742" s="130" t="str">
        <f t="shared" si="11"/>
        <v>005-00000151</v>
      </c>
    </row>
    <row r="743" spans="1:12" hidden="1" x14ac:dyDescent="0.25">
      <c r="A743" s="130" t="s">
        <v>329</v>
      </c>
      <c r="B743" s="130" t="s">
        <v>330</v>
      </c>
      <c r="C743" s="132" t="s">
        <v>150</v>
      </c>
      <c r="D743" s="129">
        <v>1</v>
      </c>
      <c r="E743" s="129">
        <v>2.7613001000000001</v>
      </c>
      <c r="F743" s="129">
        <v>2.7613001000000001</v>
      </c>
      <c r="G743" s="129">
        <v>9.3219995000000004</v>
      </c>
      <c r="H743" s="129">
        <v>9.3219995000000004</v>
      </c>
      <c r="I743" s="131" t="s">
        <v>87</v>
      </c>
      <c r="J743" s="132" t="s">
        <v>102</v>
      </c>
      <c r="K743" s="130" t="s">
        <v>707</v>
      </c>
      <c r="L743" s="130" t="str">
        <f t="shared" si="11"/>
        <v>005-00000151</v>
      </c>
    </row>
    <row r="744" spans="1:12" hidden="1" x14ac:dyDescent="0.25">
      <c r="A744" s="130" t="s">
        <v>1531</v>
      </c>
      <c r="B744" s="130" t="s">
        <v>1532</v>
      </c>
      <c r="C744" s="132" t="s">
        <v>150</v>
      </c>
      <c r="D744" s="129">
        <v>1</v>
      </c>
      <c r="E744" s="129">
        <v>16.334499000000001</v>
      </c>
      <c r="F744" s="129">
        <v>16.334499000000005</v>
      </c>
      <c r="G744" s="129">
        <v>55.080002000000007</v>
      </c>
      <c r="H744" s="129">
        <v>55.080002000000015</v>
      </c>
      <c r="I744" s="131" t="s">
        <v>87</v>
      </c>
      <c r="J744" s="132" t="s">
        <v>102</v>
      </c>
      <c r="K744" s="130" t="s">
        <v>700</v>
      </c>
      <c r="L744" s="130" t="str">
        <f t="shared" si="11"/>
        <v>005-00000165</v>
      </c>
    </row>
    <row r="745" spans="1:12" hidden="1" x14ac:dyDescent="0.25">
      <c r="A745" s="130" t="s">
        <v>1119</v>
      </c>
      <c r="B745" s="130" t="s">
        <v>1120</v>
      </c>
      <c r="C745" s="132" t="s">
        <v>150</v>
      </c>
      <c r="D745" s="129">
        <v>3</v>
      </c>
      <c r="E745" s="129">
        <v>38.023997999999999</v>
      </c>
      <c r="F745" s="129">
        <v>114.07199399999998</v>
      </c>
      <c r="G745" s="129">
        <v>127</v>
      </c>
      <c r="H745" s="129">
        <v>381</v>
      </c>
      <c r="I745" s="131" t="s">
        <v>87</v>
      </c>
      <c r="J745" s="132" t="s">
        <v>102</v>
      </c>
      <c r="K745" s="130" t="s">
        <v>649</v>
      </c>
      <c r="L745" s="130" t="str">
        <f t="shared" si="11"/>
        <v>005-00000052</v>
      </c>
    </row>
    <row r="746" spans="1:12" hidden="1" x14ac:dyDescent="0.25">
      <c r="A746" s="130" t="s">
        <v>1073</v>
      </c>
      <c r="B746" s="130" t="s">
        <v>1074</v>
      </c>
      <c r="C746" s="132" t="s">
        <v>153</v>
      </c>
      <c r="D746" s="129">
        <v>1</v>
      </c>
      <c r="E746" s="129">
        <v>32.671700000000001</v>
      </c>
      <c r="F746" s="129">
        <v>32.671700000000001</v>
      </c>
      <c r="G746" s="129">
        <v>110.169</v>
      </c>
      <c r="H746" s="129">
        <v>110.169</v>
      </c>
      <c r="I746" s="131" t="s">
        <v>87</v>
      </c>
      <c r="J746" s="132" t="s">
        <v>102</v>
      </c>
      <c r="K746" s="130" t="s">
        <v>1517</v>
      </c>
      <c r="L746" s="130" t="str">
        <f t="shared" si="11"/>
        <v>005-00000178</v>
      </c>
    </row>
    <row r="747" spans="1:12" hidden="1" x14ac:dyDescent="0.25">
      <c r="A747" s="130" t="s">
        <v>546</v>
      </c>
      <c r="B747" s="130" t="s">
        <v>547</v>
      </c>
      <c r="C747" s="132" t="s">
        <v>153</v>
      </c>
      <c r="D747" s="129">
        <v>1</v>
      </c>
      <c r="E747" s="129">
        <v>22.6068</v>
      </c>
      <c r="F747" s="129">
        <v>22.6068</v>
      </c>
      <c r="G747" s="129">
        <v>76.230002999999996</v>
      </c>
      <c r="H747" s="129">
        <v>76.230002999999996</v>
      </c>
      <c r="I747" s="131" t="s">
        <v>87</v>
      </c>
      <c r="J747" s="132" t="s">
        <v>102</v>
      </c>
      <c r="K747" s="130" t="s">
        <v>1517</v>
      </c>
      <c r="L747" s="130" t="str">
        <f t="shared" si="11"/>
        <v>005-00000178</v>
      </c>
    </row>
    <row r="748" spans="1:12" hidden="1" x14ac:dyDescent="0.25">
      <c r="A748" s="130" t="s">
        <v>390</v>
      </c>
      <c r="B748" s="130" t="s">
        <v>391</v>
      </c>
      <c r="C748" s="132" t="s">
        <v>150</v>
      </c>
      <c r="D748" s="129">
        <v>1</v>
      </c>
      <c r="E748" s="129">
        <v>18.8491</v>
      </c>
      <c r="F748" s="129">
        <v>18.8491</v>
      </c>
      <c r="G748" s="129">
        <v>63.559299000000003</v>
      </c>
      <c r="H748" s="129">
        <v>63.559298999999989</v>
      </c>
      <c r="I748" s="131" t="s">
        <v>87</v>
      </c>
      <c r="J748" s="132" t="s">
        <v>102</v>
      </c>
      <c r="K748" s="130" t="s">
        <v>1517</v>
      </c>
      <c r="L748" s="130" t="str">
        <f t="shared" si="11"/>
        <v>005-00000178</v>
      </c>
    </row>
    <row r="749" spans="1:12" hidden="1" x14ac:dyDescent="0.25">
      <c r="A749" s="130" t="s">
        <v>1533</v>
      </c>
      <c r="B749" s="130" t="s">
        <v>1534</v>
      </c>
      <c r="C749" s="132" t="s">
        <v>153</v>
      </c>
      <c r="D749" s="129">
        <v>1</v>
      </c>
      <c r="E749" s="129">
        <v>10.0528</v>
      </c>
      <c r="F749" s="129">
        <v>10.052800000000001</v>
      </c>
      <c r="G749" s="129">
        <v>33.897998999999999</v>
      </c>
      <c r="H749" s="129">
        <v>33.897998999999999</v>
      </c>
      <c r="I749" s="131" t="s">
        <v>87</v>
      </c>
      <c r="J749" s="132" t="s">
        <v>102</v>
      </c>
      <c r="K749" s="130" t="s">
        <v>1517</v>
      </c>
      <c r="L749" s="130" t="str">
        <f t="shared" si="11"/>
        <v>005-00000178</v>
      </c>
    </row>
    <row r="750" spans="1:12" hidden="1" x14ac:dyDescent="0.25">
      <c r="A750" s="130" t="s">
        <v>346</v>
      </c>
      <c r="B750" s="130" t="s">
        <v>347</v>
      </c>
      <c r="C750" s="132" t="s">
        <v>153</v>
      </c>
      <c r="D750" s="129">
        <v>1</v>
      </c>
      <c r="E750" s="129">
        <v>10.039400000000001</v>
      </c>
      <c r="F750" s="129">
        <v>10.039400000000001</v>
      </c>
      <c r="G750" s="129">
        <v>33.897998999999999</v>
      </c>
      <c r="H750" s="129">
        <v>33.897998999999999</v>
      </c>
      <c r="I750" s="131" t="s">
        <v>87</v>
      </c>
      <c r="J750" s="132" t="s">
        <v>102</v>
      </c>
      <c r="K750" s="130" t="s">
        <v>1517</v>
      </c>
      <c r="L750" s="130" t="str">
        <f t="shared" si="11"/>
        <v>005-00000178</v>
      </c>
    </row>
    <row r="751" spans="1:12" hidden="1" x14ac:dyDescent="0.25">
      <c r="A751" s="130" t="s">
        <v>348</v>
      </c>
      <c r="B751" s="130" t="s">
        <v>349</v>
      </c>
      <c r="C751" s="132" t="s">
        <v>153</v>
      </c>
      <c r="D751" s="129">
        <v>1</v>
      </c>
      <c r="E751" s="129">
        <v>11.0581</v>
      </c>
      <c r="F751" s="129">
        <v>11.058100000000001</v>
      </c>
      <c r="G751" s="129">
        <v>37.287998000000002</v>
      </c>
      <c r="H751" s="129">
        <v>37.287998000000002</v>
      </c>
      <c r="I751" s="131" t="s">
        <v>87</v>
      </c>
      <c r="J751" s="132" t="s">
        <v>102</v>
      </c>
      <c r="K751" s="130" t="s">
        <v>1517</v>
      </c>
      <c r="L751" s="130" t="str">
        <f t="shared" si="11"/>
        <v>005-00000178</v>
      </c>
    </row>
    <row r="752" spans="1:12" hidden="1" x14ac:dyDescent="0.25">
      <c r="A752" s="130" t="s">
        <v>304</v>
      </c>
      <c r="B752" s="130" t="s">
        <v>305</v>
      </c>
      <c r="C752" s="132" t="s">
        <v>150</v>
      </c>
      <c r="D752" s="129">
        <v>1</v>
      </c>
      <c r="E752" s="129">
        <v>7.5396999999999998</v>
      </c>
      <c r="F752" s="129">
        <v>7.5397000000000016</v>
      </c>
      <c r="G752" s="129">
        <v>25.4237</v>
      </c>
      <c r="H752" s="129">
        <v>25.423700000000004</v>
      </c>
      <c r="I752" s="131" t="s">
        <v>87</v>
      </c>
      <c r="J752" s="132" t="s">
        <v>102</v>
      </c>
      <c r="K752" s="130" t="s">
        <v>1517</v>
      </c>
      <c r="L752" s="130" t="str">
        <f t="shared" si="11"/>
        <v>005-00000178</v>
      </c>
    </row>
    <row r="753" spans="1:12" hidden="1" x14ac:dyDescent="0.25">
      <c r="A753" s="130" t="s">
        <v>306</v>
      </c>
      <c r="B753" s="130" t="s">
        <v>307</v>
      </c>
      <c r="C753" s="132" t="s">
        <v>150</v>
      </c>
      <c r="D753" s="129">
        <v>1</v>
      </c>
      <c r="E753" s="129">
        <v>8.7959995000000006</v>
      </c>
      <c r="F753" s="129">
        <v>8.7959995000000006</v>
      </c>
      <c r="G753" s="129">
        <v>29.66</v>
      </c>
      <c r="H753" s="129">
        <v>29.66</v>
      </c>
      <c r="I753" s="131" t="s">
        <v>87</v>
      </c>
      <c r="J753" s="132" t="s">
        <v>102</v>
      </c>
      <c r="K753" s="130" t="s">
        <v>1517</v>
      </c>
      <c r="L753" s="130" t="str">
        <f t="shared" si="11"/>
        <v>005-00000178</v>
      </c>
    </row>
    <row r="754" spans="1:12" hidden="1" x14ac:dyDescent="0.25">
      <c r="A754" s="130" t="s">
        <v>1535</v>
      </c>
      <c r="B754" s="130" t="s">
        <v>1536</v>
      </c>
      <c r="C754" s="132" t="s">
        <v>150</v>
      </c>
      <c r="D754" s="129">
        <v>1</v>
      </c>
      <c r="E754" s="129">
        <v>5.5290999000000003</v>
      </c>
      <c r="F754" s="129">
        <v>5.5290999000000003</v>
      </c>
      <c r="G754" s="129">
        <v>18.643999000000001</v>
      </c>
      <c r="H754" s="129">
        <v>18.643999000000001</v>
      </c>
      <c r="I754" s="131" t="s">
        <v>87</v>
      </c>
      <c r="J754" s="132" t="s">
        <v>102</v>
      </c>
      <c r="K754" s="130" t="s">
        <v>1517</v>
      </c>
      <c r="L754" s="130" t="str">
        <f t="shared" si="11"/>
        <v>005-00000178</v>
      </c>
    </row>
    <row r="755" spans="1:12" hidden="1" x14ac:dyDescent="0.25">
      <c r="A755" s="130" t="s">
        <v>1468</v>
      </c>
      <c r="B755" s="130" t="s">
        <v>1469</v>
      </c>
      <c r="C755" s="132" t="s">
        <v>150</v>
      </c>
      <c r="D755" s="129">
        <v>1</v>
      </c>
      <c r="E755" s="129">
        <v>25.136399999999998</v>
      </c>
      <c r="F755" s="129">
        <v>25.136399999999995</v>
      </c>
      <c r="G755" s="129">
        <v>84.760002</v>
      </c>
      <c r="H755" s="129">
        <v>84.760002</v>
      </c>
      <c r="I755" s="131" t="s">
        <v>87</v>
      </c>
      <c r="J755" s="132" t="s">
        <v>102</v>
      </c>
      <c r="K755" s="130" t="s">
        <v>1517</v>
      </c>
      <c r="L755" s="130" t="str">
        <f t="shared" si="11"/>
        <v>005-00000178</v>
      </c>
    </row>
    <row r="756" spans="1:12" hidden="1" x14ac:dyDescent="0.25">
      <c r="A756" s="130" t="s">
        <v>309</v>
      </c>
      <c r="B756" s="130" t="s">
        <v>310</v>
      </c>
      <c r="C756" s="132" t="s">
        <v>150</v>
      </c>
      <c r="D756" s="129">
        <v>1</v>
      </c>
      <c r="E756" s="129">
        <v>1.1394</v>
      </c>
      <c r="F756" s="129">
        <v>1.1394</v>
      </c>
      <c r="G756" s="129">
        <v>3.8136000999999999</v>
      </c>
      <c r="H756" s="129">
        <v>3.8136001000000004</v>
      </c>
      <c r="I756" s="131" t="s">
        <v>87</v>
      </c>
      <c r="J756" s="132" t="s">
        <v>102</v>
      </c>
      <c r="K756" s="130" t="s">
        <v>1537</v>
      </c>
      <c r="L756" s="130" t="str">
        <f t="shared" si="11"/>
        <v>005-00000185</v>
      </c>
    </row>
    <row r="757" spans="1:12" hidden="1" x14ac:dyDescent="0.25">
      <c r="A757" s="130" t="s">
        <v>1482</v>
      </c>
      <c r="B757" s="130" t="s">
        <v>1483</v>
      </c>
      <c r="C757" s="132" t="s">
        <v>150</v>
      </c>
      <c r="D757" s="129">
        <v>1</v>
      </c>
      <c r="E757" s="129">
        <v>76.900299000000004</v>
      </c>
      <c r="F757" s="129">
        <v>76.900299000000004</v>
      </c>
      <c r="G757" s="129">
        <v>260</v>
      </c>
      <c r="H757" s="129">
        <v>260</v>
      </c>
      <c r="I757" s="131" t="s">
        <v>87</v>
      </c>
      <c r="J757" s="132" t="s">
        <v>102</v>
      </c>
      <c r="K757" s="130" t="s">
        <v>623</v>
      </c>
      <c r="L757" s="130" t="str">
        <f t="shared" si="11"/>
        <v>005-00000108</v>
      </c>
    </row>
    <row r="758" spans="1:12" hidden="1" x14ac:dyDescent="0.25">
      <c r="A758" s="130" t="s">
        <v>437</v>
      </c>
      <c r="B758" s="130" t="s">
        <v>438</v>
      </c>
      <c r="C758" s="132" t="s">
        <v>150</v>
      </c>
      <c r="D758" s="129">
        <v>1</v>
      </c>
      <c r="E758" s="129">
        <v>17.746200999999999</v>
      </c>
      <c r="F758" s="129">
        <v>17.746200999999999</v>
      </c>
      <c r="G758" s="129">
        <v>60</v>
      </c>
      <c r="H758" s="129">
        <v>60</v>
      </c>
      <c r="I758" s="131" t="s">
        <v>87</v>
      </c>
      <c r="J758" s="132" t="s">
        <v>102</v>
      </c>
      <c r="K758" s="130" t="s">
        <v>623</v>
      </c>
      <c r="L758" s="130" t="str">
        <f t="shared" si="11"/>
        <v>005-00000108</v>
      </c>
    </row>
    <row r="759" spans="1:12" hidden="1" x14ac:dyDescent="0.25">
      <c r="A759" s="130" t="s">
        <v>587</v>
      </c>
      <c r="B759" s="130" t="s">
        <v>588</v>
      </c>
      <c r="C759" s="132" t="s">
        <v>150</v>
      </c>
      <c r="D759" s="129">
        <v>1</v>
      </c>
      <c r="E759" s="129">
        <v>17.746200999999999</v>
      </c>
      <c r="F759" s="129">
        <v>17.746200999999999</v>
      </c>
      <c r="G759" s="129">
        <v>60</v>
      </c>
      <c r="H759" s="129">
        <v>60</v>
      </c>
      <c r="I759" s="131" t="s">
        <v>87</v>
      </c>
      <c r="J759" s="132" t="s">
        <v>102</v>
      </c>
      <c r="K759" s="130" t="s">
        <v>623</v>
      </c>
      <c r="L759" s="130" t="str">
        <f t="shared" si="11"/>
        <v>005-00000108</v>
      </c>
    </row>
    <row r="760" spans="1:12" hidden="1" x14ac:dyDescent="0.25">
      <c r="A760" s="130" t="s">
        <v>1538</v>
      </c>
      <c r="B760" s="130" t="s">
        <v>1539</v>
      </c>
      <c r="C760" s="132" t="s">
        <v>150</v>
      </c>
      <c r="D760" s="129">
        <v>1</v>
      </c>
      <c r="E760" s="129">
        <v>38.450198999999998</v>
      </c>
      <c r="F760" s="129">
        <v>38.450198999999991</v>
      </c>
      <c r="G760" s="129">
        <v>130</v>
      </c>
      <c r="H760" s="129">
        <v>130</v>
      </c>
      <c r="I760" s="131" t="s">
        <v>87</v>
      </c>
      <c r="J760" s="132" t="s">
        <v>102</v>
      </c>
      <c r="K760" s="130" t="s">
        <v>623</v>
      </c>
      <c r="L760" s="130" t="str">
        <f t="shared" si="11"/>
        <v>005-00000108</v>
      </c>
    </row>
    <row r="761" spans="1:12" hidden="1" x14ac:dyDescent="0.25">
      <c r="A761" s="130" t="s">
        <v>1540</v>
      </c>
      <c r="B761" s="130" t="s">
        <v>1541</v>
      </c>
      <c r="C761" s="132" t="s">
        <v>150</v>
      </c>
      <c r="D761" s="129">
        <v>1</v>
      </c>
      <c r="E761" s="129">
        <v>20.703899</v>
      </c>
      <c r="F761" s="129">
        <v>20.703899</v>
      </c>
      <c r="G761" s="129">
        <v>70</v>
      </c>
      <c r="H761" s="129">
        <v>70</v>
      </c>
      <c r="I761" s="131" t="s">
        <v>87</v>
      </c>
      <c r="J761" s="132" t="s">
        <v>102</v>
      </c>
      <c r="K761" s="130" t="s">
        <v>623</v>
      </c>
      <c r="L761" s="130" t="str">
        <f t="shared" si="11"/>
        <v>005-00000108</v>
      </c>
    </row>
    <row r="762" spans="1:12" hidden="1" x14ac:dyDescent="0.25">
      <c r="A762" s="130" t="s">
        <v>1542</v>
      </c>
      <c r="B762" s="130" t="s">
        <v>1543</v>
      </c>
      <c r="C762" s="132" t="s">
        <v>150</v>
      </c>
      <c r="D762" s="129">
        <v>1</v>
      </c>
      <c r="E762" s="129">
        <v>11.8308</v>
      </c>
      <c r="F762" s="129">
        <v>11.8308</v>
      </c>
      <c r="G762" s="129">
        <v>40</v>
      </c>
      <c r="H762" s="129">
        <v>40</v>
      </c>
      <c r="I762" s="131" t="s">
        <v>87</v>
      </c>
      <c r="J762" s="132" t="s">
        <v>102</v>
      </c>
      <c r="K762" s="130" t="s">
        <v>623</v>
      </c>
      <c r="L762" s="130" t="str">
        <f t="shared" si="11"/>
        <v>005-00000108</v>
      </c>
    </row>
    <row r="763" spans="1:12" hidden="1" x14ac:dyDescent="0.25">
      <c r="A763" s="130" t="s">
        <v>1482</v>
      </c>
      <c r="B763" s="130" t="s">
        <v>1483</v>
      </c>
      <c r="C763" s="132" t="s">
        <v>150</v>
      </c>
      <c r="D763" s="129">
        <v>1</v>
      </c>
      <c r="E763" s="129">
        <v>88.731102000000007</v>
      </c>
      <c r="F763" s="129">
        <v>88.731102000000007</v>
      </c>
      <c r="G763" s="129">
        <v>300</v>
      </c>
      <c r="H763" s="129">
        <v>300</v>
      </c>
      <c r="I763" s="131" t="s">
        <v>87</v>
      </c>
      <c r="J763" s="132" t="s">
        <v>102</v>
      </c>
      <c r="K763" s="130" t="s">
        <v>698</v>
      </c>
      <c r="L763" s="130" t="str">
        <f t="shared" si="11"/>
        <v>005-00000167</v>
      </c>
    </row>
    <row r="764" spans="1:12" hidden="1" x14ac:dyDescent="0.25">
      <c r="A764" s="130" t="s">
        <v>1484</v>
      </c>
      <c r="B764" s="130" t="s">
        <v>1485</v>
      </c>
      <c r="C764" s="132" t="s">
        <v>150</v>
      </c>
      <c r="D764" s="129">
        <v>1</v>
      </c>
      <c r="E764" s="129">
        <v>65.069503999999995</v>
      </c>
      <c r="F764" s="129">
        <v>65.069504000000009</v>
      </c>
      <c r="G764" s="129">
        <v>220</v>
      </c>
      <c r="H764" s="129">
        <v>220</v>
      </c>
      <c r="I764" s="131" t="s">
        <v>87</v>
      </c>
      <c r="J764" s="132" t="s">
        <v>102</v>
      </c>
      <c r="K764" s="130" t="s">
        <v>698</v>
      </c>
      <c r="L764" s="130" t="str">
        <f t="shared" si="11"/>
        <v>005-00000167</v>
      </c>
    </row>
    <row r="765" spans="1:12" hidden="1" x14ac:dyDescent="0.25">
      <c r="A765" s="130" t="s">
        <v>437</v>
      </c>
      <c r="B765" s="130" t="s">
        <v>438</v>
      </c>
      <c r="C765" s="132" t="s">
        <v>150</v>
      </c>
      <c r="D765" s="129">
        <v>1</v>
      </c>
      <c r="E765" s="129">
        <v>13.309699999999999</v>
      </c>
      <c r="F765" s="129">
        <v>13.309699999999999</v>
      </c>
      <c r="G765" s="129">
        <v>45</v>
      </c>
      <c r="H765" s="129">
        <v>45</v>
      </c>
      <c r="I765" s="131" t="s">
        <v>87</v>
      </c>
      <c r="J765" s="132" t="s">
        <v>102</v>
      </c>
      <c r="K765" s="130" t="s">
        <v>698</v>
      </c>
      <c r="L765" s="130" t="str">
        <f t="shared" si="11"/>
        <v>005-00000167</v>
      </c>
    </row>
    <row r="766" spans="1:12" hidden="1" x14ac:dyDescent="0.25">
      <c r="A766" s="130" t="s">
        <v>587</v>
      </c>
      <c r="B766" s="130" t="s">
        <v>588</v>
      </c>
      <c r="C766" s="132" t="s">
        <v>150</v>
      </c>
      <c r="D766" s="129">
        <v>1</v>
      </c>
      <c r="E766" s="129">
        <v>13.309699999999999</v>
      </c>
      <c r="F766" s="129">
        <v>13.309699999999999</v>
      </c>
      <c r="G766" s="129">
        <v>45</v>
      </c>
      <c r="H766" s="129">
        <v>45</v>
      </c>
      <c r="I766" s="131" t="s">
        <v>87</v>
      </c>
      <c r="J766" s="132" t="s">
        <v>102</v>
      </c>
      <c r="K766" s="130" t="s">
        <v>698</v>
      </c>
      <c r="L766" s="130" t="str">
        <f t="shared" si="11"/>
        <v>005-00000167</v>
      </c>
    </row>
    <row r="767" spans="1:12" hidden="1" x14ac:dyDescent="0.25">
      <c r="A767" s="130" t="s">
        <v>1544</v>
      </c>
      <c r="B767" s="130" t="s">
        <v>1545</v>
      </c>
      <c r="C767" s="132" t="s">
        <v>150</v>
      </c>
      <c r="D767" s="129">
        <v>1</v>
      </c>
      <c r="E767" s="129">
        <v>23.724800000000002</v>
      </c>
      <c r="F767" s="129">
        <v>23.724799999999995</v>
      </c>
      <c r="G767" s="129">
        <v>80</v>
      </c>
      <c r="H767" s="129">
        <v>80</v>
      </c>
      <c r="I767" s="131" t="s">
        <v>87</v>
      </c>
      <c r="J767" s="132" t="s">
        <v>102</v>
      </c>
      <c r="K767" s="130" t="s">
        <v>649</v>
      </c>
      <c r="L767" s="130" t="str">
        <f t="shared" si="11"/>
        <v>005-00000052</v>
      </c>
    </row>
    <row r="768" spans="1:12" hidden="1" x14ac:dyDescent="0.25">
      <c r="A768" s="130" t="s">
        <v>1546</v>
      </c>
      <c r="B768" s="130" t="s">
        <v>1547</v>
      </c>
      <c r="C768" s="132" t="s">
        <v>150</v>
      </c>
      <c r="D768" s="129">
        <v>1</v>
      </c>
      <c r="E768" s="129">
        <v>23.7178</v>
      </c>
      <c r="F768" s="129">
        <v>23.7178</v>
      </c>
      <c r="G768" s="129">
        <v>80</v>
      </c>
      <c r="H768" s="129">
        <v>80</v>
      </c>
      <c r="I768" s="131" t="s">
        <v>87</v>
      </c>
      <c r="J768" s="132" t="s">
        <v>102</v>
      </c>
      <c r="K768" s="130" t="s">
        <v>707</v>
      </c>
      <c r="L768" s="130" t="str">
        <f t="shared" si="11"/>
        <v>005-00000151</v>
      </c>
    </row>
    <row r="769" spans="1:12" hidden="1" x14ac:dyDescent="0.25">
      <c r="A769" s="130" t="s">
        <v>1482</v>
      </c>
      <c r="B769" s="130" t="s">
        <v>1483</v>
      </c>
      <c r="C769" s="132" t="s">
        <v>150</v>
      </c>
      <c r="D769" s="129">
        <v>1</v>
      </c>
      <c r="E769" s="129">
        <v>71.153296999999995</v>
      </c>
      <c r="F769" s="129">
        <v>71.153296999999981</v>
      </c>
      <c r="G769" s="129">
        <v>240</v>
      </c>
      <c r="H769" s="129">
        <v>240</v>
      </c>
      <c r="I769" s="131" t="s">
        <v>87</v>
      </c>
      <c r="J769" s="132" t="s">
        <v>102</v>
      </c>
      <c r="K769" s="130" t="s">
        <v>1517</v>
      </c>
      <c r="L769" s="130" t="str">
        <f t="shared" si="11"/>
        <v>005-00000178</v>
      </c>
    </row>
    <row r="770" spans="1:12" hidden="1" x14ac:dyDescent="0.25">
      <c r="A770" s="130" t="s">
        <v>1548</v>
      </c>
      <c r="B770" s="130" t="s">
        <v>1549</v>
      </c>
      <c r="C770" s="132" t="s">
        <v>150</v>
      </c>
      <c r="D770" s="129">
        <v>1</v>
      </c>
      <c r="E770" s="129">
        <v>47.435501000000002</v>
      </c>
      <c r="F770" s="129">
        <v>47.435501000000002</v>
      </c>
      <c r="G770" s="129">
        <v>160</v>
      </c>
      <c r="H770" s="129">
        <v>160</v>
      </c>
      <c r="I770" s="131" t="s">
        <v>87</v>
      </c>
      <c r="J770" s="132" t="s">
        <v>102</v>
      </c>
      <c r="K770" s="130" t="s">
        <v>1517</v>
      </c>
      <c r="L770" s="130" t="str">
        <f t="shared" si="11"/>
        <v>005-00000178</v>
      </c>
    </row>
    <row r="771" spans="1:12" hidden="1" x14ac:dyDescent="0.25">
      <c r="A771" s="130" t="s">
        <v>567</v>
      </c>
      <c r="B771" s="130" t="s">
        <v>568</v>
      </c>
      <c r="C771" s="132" t="s">
        <v>150</v>
      </c>
      <c r="D771" s="129">
        <v>1</v>
      </c>
      <c r="E771" s="129">
        <v>13.3971</v>
      </c>
      <c r="F771" s="129">
        <v>13.3971</v>
      </c>
      <c r="G771" s="129">
        <v>45</v>
      </c>
      <c r="H771" s="129">
        <v>45</v>
      </c>
      <c r="I771" s="131" t="s">
        <v>87</v>
      </c>
      <c r="J771" s="132" t="s">
        <v>102</v>
      </c>
      <c r="K771" s="130" t="s">
        <v>1517</v>
      </c>
      <c r="L771" s="130" t="str">
        <f t="shared" si="11"/>
        <v>005-00000178</v>
      </c>
    </row>
    <row r="772" spans="1:12" hidden="1" x14ac:dyDescent="0.25">
      <c r="A772" s="130" t="s">
        <v>1486</v>
      </c>
      <c r="B772" s="130" t="s">
        <v>1487</v>
      </c>
      <c r="C772" s="132" t="s">
        <v>150</v>
      </c>
      <c r="D772" s="129">
        <v>1</v>
      </c>
      <c r="E772" s="129">
        <v>65.223800999999995</v>
      </c>
      <c r="F772" s="129">
        <v>65.22380099999998</v>
      </c>
      <c r="G772" s="129">
        <v>220</v>
      </c>
      <c r="H772" s="129">
        <v>220</v>
      </c>
      <c r="I772" s="131" t="s">
        <v>87</v>
      </c>
      <c r="J772" s="132" t="s">
        <v>102</v>
      </c>
      <c r="K772" s="130" t="s">
        <v>1517</v>
      </c>
      <c r="L772" s="130" t="str">
        <f t="shared" si="11"/>
        <v>005-00000178</v>
      </c>
    </row>
    <row r="773" spans="1:12" hidden="1" x14ac:dyDescent="0.25">
      <c r="A773" s="130" t="s">
        <v>1484</v>
      </c>
      <c r="B773" s="130" t="s">
        <v>1485</v>
      </c>
      <c r="C773" s="132" t="s">
        <v>150</v>
      </c>
      <c r="D773" s="129">
        <v>1</v>
      </c>
      <c r="E773" s="129">
        <v>65.223800999999995</v>
      </c>
      <c r="F773" s="129">
        <v>65.22380099999998</v>
      </c>
      <c r="G773" s="129">
        <v>220</v>
      </c>
      <c r="H773" s="129">
        <v>220</v>
      </c>
      <c r="I773" s="131" t="s">
        <v>87</v>
      </c>
      <c r="J773" s="132" t="s">
        <v>102</v>
      </c>
      <c r="K773" s="130" t="s">
        <v>1517</v>
      </c>
      <c r="L773" s="130" t="str">
        <f t="shared" ref="L773:L836" si="12">CONCATENATE(J773,"-",K773)</f>
        <v>005-00000178</v>
      </c>
    </row>
    <row r="774" spans="1:12" hidden="1" x14ac:dyDescent="0.25">
      <c r="A774" s="130" t="s">
        <v>552</v>
      </c>
      <c r="B774" s="130" t="s">
        <v>553</v>
      </c>
      <c r="C774" s="132" t="s">
        <v>150</v>
      </c>
      <c r="D774" s="129">
        <v>1</v>
      </c>
      <c r="E774" s="129">
        <v>17.7883</v>
      </c>
      <c r="F774" s="129">
        <v>17.7883</v>
      </c>
      <c r="G774" s="129">
        <v>60</v>
      </c>
      <c r="H774" s="129">
        <v>60</v>
      </c>
      <c r="I774" s="131" t="s">
        <v>87</v>
      </c>
      <c r="J774" s="132" t="s">
        <v>102</v>
      </c>
      <c r="K774" s="130" t="s">
        <v>1517</v>
      </c>
      <c r="L774" s="130" t="str">
        <f t="shared" si="12"/>
        <v>005-00000178</v>
      </c>
    </row>
    <row r="775" spans="1:12" hidden="1" x14ac:dyDescent="0.25">
      <c r="A775" s="130" t="s">
        <v>392</v>
      </c>
      <c r="B775" s="130" t="s">
        <v>393</v>
      </c>
      <c r="C775" s="132" t="s">
        <v>150</v>
      </c>
      <c r="D775" s="129">
        <v>1</v>
      </c>
      <c r="E775" s="129">
        <v>17.7883</v>
      </c>
      <c r="F775" s="129">
        <v>17.7883</v>
      </c>
      <c r="G775" s="129">
        <v>60</v>
      </c>
      <c r="H775" s="129">
        <v>60</v>
      </c>
      <c r="I775" s="131" t="s">
        <v>87</v>
      </c>
      <c r="J775" s="132" t="s">
        <v>102</v>
      </c>
      <c r="K775" s="130" t="s">
        <v>1517</v>
      </c>
      <c r="L775" s="130" t="str">
        <f t="shared" si="12"/>
        <v>005-00000178</v>
      </c>
    </row>
    <row r="776" spans="1:12" hidden="1" x14ac:dyDescent="0.25">
      <c r="A776" s="130" t="s">
        <v>358</v>
      </c>
      <c r="B776" s="130" t="s">
        <v>359</v>
      </c>
      <c r="C776" s="132" t="s">
        <v>150</v>
      </c>
      <c r="D776" s="129">
        <v>1</v>
      </c>
      <c r="E776" s="129">
        <v>17.7883</v>
      </c>
      <c r="F776" s="129">
        <v>17.7883</v>
      </c>
      <c r="G776" s="129">
        <v>60</v>
      </c>
      <c r="H776" s="129">
        <v>60</v>
      </c>
      <c r="I776" s="131" t="s">
        <v>87</v>
      </c>
      <c r="J776" s="132" t="s">
        <v>102</v>
      </c>
      <c r="K776" s="130" t="s">
        <v>1517</v>
      </c>
      <c r="L776" s="130" t="str">
        <f t="shared" si="12"/>
        <v>005-00000178</v>
      </c>
    </row>
    <row r="777" spans="1:12" hidden="1" x14ac:dyDescent="0.25">
      <c r="A777" s="130" t="s">
        <v>1103</v>
      </c>
      <c r="B777" s="130" t="s">
        <v>1104</v>
      </c>
      <c r="C777" s="132" t="s">
        <v>150</v>
      </c>
      <c r="D777" s="129">
        <v>2</v>
      </c>
      <c r="E777" s="129">
        <v>10.3765</v>
      </c>
      <c r="F777" s="129">
        <v>20.753000000000007</v>
      </c>
      <c r="G777" s="129">
        <v>35</v>
      </c>
      <c r="H777" s="129">
        <v>70</v>
      </c>
      <c r="I777" s="131" t="s">
        <v>87</v>
      </c>
      <c r="J777" s="132" t="s">
        <v>102</v>
      </c>
      <c r="K777" s="130" t="s">
        <v>1517</v>
      </c>
      <c r="L777" s="130" t="str">
        <f t="shared" si="12"/>
        <v>005-00000178</v>
      </c>
    </row>
    <row r="778" spans="1:12" hidden="1" x14ac:dyDescent="0.25">
      <c r="A778" s="130" t="s">
        <v>399</v>
      </c>
      <c r="B778" s="130" t="s">
        <v>400</v>
      </c>
      <c r="C778" s="132" t="s">
        <v>153</v>
      </c>
      <c r="D778" s="129">
        <v>1</v>
      </c>
      <c r="E778" s="129">
        <v>70.058502000000004</v>
      </c>
      <c r="F778" s="129">
        <v>70.058502000000004</v>
      </c>
      <c r="G778" s="129">
        <v>237.28809999999999</v>
      </c>
      <c r="H778" s="129">
        <v>237.28809999999999</v>
      </c>
      <c r="I778" s="131" t="s">
        <v>87</v>
      </c>
      <c r="J778" s="132" t="s">
        <v>102</v>
      </c>
      <c r="K778" s="130" t="s">
        <v>1550</v>
      </c>
      <c r="L778" s="130" t="str">
        <f t="shared" si="12"/>
        <v>005-00000189</v>
      </c>
    </row>
    <row r="779" spans="1:12" hidden="1" x14ac:dyDescent="0.25">
      <c r="A779" s="130" t="s">
        <v>1081</v>
      </c>
      <c r="B779" s="130" t="s">
        <v>1010</v>
      </c>
      <c r="C779" s="132" t="s">
        <v>153</v>
      </c>
      <c r="D779" s="129">
        <v>1</v>
      </c>
      <c r="E779" s="129">
        <v>60.049300999999993</v>
      </c>
      <c r="F779" s="129">
        <v>60.049301000000007</v>
      </c>
      <c r="G779" s="129">
        <v>203.38699</v>
      </c>
      <c r="H779" s="129">
        <v>203.38699000000005</v>
      </c>
      <c r="I779" s="131" t="s">
        <v>87</v>
      </c>
      <c r="J779" s="132" t="s">
        <v>102</v>
      </c>
      <c r="K779" s="130" t="s">
        <v>1550</v>
      </c>
      <c r="L779" s="130" t="str">
        <f t="shared" si="12"/>
        <v>005-00000189</v>
      </c>
    </row>
    <row r="780" spans="1:12" hidden="1" x14ac:dyDescent="0.25">
      <c r="A780" s="130" t="s">
        <v>431</v>
      </c>
      <c r="B780" s="130" t="s">
        <v>432</v>
      </c>
      <c r="C780" s="132" t="s">
        <v>153</v>
      </c>
      <c r="D780" s="129">
        <v>1</v>
      </c>
      <c r="E780" s="129">
        <v>35.029201999999998</v>
      </c>
      <c r="F780" s="129">
        <v>35.029201999999998</v>
      </c>
      <c r="G780" s="129">
        <v>118.64400000000002</v>
      </c>
      <c r="H780" s="129">
        <v>118.64400000000002</v>
      </c>
      <c r="I780" s="131" t="s">
        <v>87</v>
      </c>
      <c r="J780" s="132" t="s">
        <v>102</v>
      </c>
      <c r="K780" s="130" t="s">
        <v>1550</v>
      </c>
      <c r="L780" s="130" t="str">
        <f t="shared" si="12"/>
        <v>005-00000189</v>
      </c>
    </row>
    <row r="781" spans="1:12" hidden="1" x14ac:dyDescent="0.25">
      <c r="A781" s="130" t="s">
        <v>1551</v>
      </c>
      <c r="B781" s="130" t="s">
        <v>1552</v>
      </c>
      <c r="C781" s="132" t="s">
        <v>153</v>
      </c>
      <c r="D781" s="129">
        <v>1</v>
      </c>
      <c r="E781" s="129">
        <v>35.029300999999997</v>
      </c>
      <c r="F781" s="129">
        <v>35.029300999999997</v>
      </c>
      <c r="G781" s="129">
        <v>118.64409999999999</v>
      </c>
      <c r="H781" s="129">
        <v>118.64410000000002</v>
      </c>
      <c r="I781" s="131" t="s">
        <v>87</v>
      </c>
      <c r="J781" s="132" t="s">
        <v>102</v>
      </c>
      <c r="K781" s="130" t="s">
        <v>1550</v>
      </c>
      <c r="L781" s="130" t="str">
        <f t="shared" si="12"/>
        <v>005-00000189</v>
      </c>
    </row>
    <row r="782" spans="1:12" hidden="1" x14ac:dyDescent="0.25">
      <c r="A782" s="130" t="s">
        <v>1073</v>
      </c>
      <c r="B782" s="130" t="s">
        <v>1074</v>
      </c>
      <c r="C782" s="132" t="s">
        <v>153</v>
      </c>
      <c r="D782" s="129">
        <v>1</v>
      </c>
      <c r="E782" s="129">
        <v>27.523001000000001</v>
      </c>
      <c r="F782" s="129">
        <v>27.523001000000001</v>
      </c>
      <c r="G782" s="129">
        <v>93.220298999999997</v>
      </c>
      <c r="H782" s="129">
        <v>93.220298999999997</v>
      </c>
      <c r="I782" s="131" t="s">
        <v>87</v>
      </c>
      <c r="J782" s="132" t="s">
        <v>102</v>
      </c>
      <c r="K782" s="130" t="s">
        <v>1550</v>
      </c>
      <c r="L782" s="130" t="str">
        <f t="shared" si="12"/>
        <v>005-00000189</v>
      </c>
    </row>
    <row r="783" spans="1:12" hidden="1" x14ac:dyDescent="0.25">
      <c r="A783" s="130" t="s">
        <v>536</v>
      </c>
      <c r="B783" s="130" t="s">
        <v>537</v>
      </c>
      <c r="C783" s="132" t="s">
        <v>150</v>
      </c>
      <c r="D783" s="129">
        <v>1</v>
      </c>
      <c r="E783" s="129">
        <v>48.890498999999998</v>
      </c>
      <c r="F783" s="129">
        <v>48.890499000000005</v>
      </c>
      <c r="G783" s="129">
        <v>165.25</v>
      </c>
      <c r="H783" s="129">
        <v>165.25</v>
      </c>
      <c r="I783" s="131" t="s">
        <v>87</v>
      </c>
      <c r="J783" s="132" t="s">
        <v>102</v>
      </c>
      <c r="K783" s="130" t="s">
        <v>699</v>
      </c>
      <c r="L783" s="130" t="str">
        <f t="shared" si="12"/>
        <v>005-00000166</v>
      </c>
    </row>
    <row r="784" spans="1:12" hidden="1" x14ac:dyDescent="0.25">
      <c r="A784" s="130" t="s">
        <v>1125</v>
      </c>
      <c r="B784" s="130" t="s">
        <v>1126</v>
      </c>
      <c r="C784" s="132" t="s">
        <v>153</v>
      </c>
      <c r="D784" s="129">
        <v>1</v>
      </c>
      <c r="E784" s="129">
        <v>14.511400000000002</v>
      </c>
      <c r="F784" s="129">
        <v>14.511400000000002</v>
      </c>
      <c r="G784" s="129">
        <v>49.150002000000001</v>
      </c>
      <c r="H784" s="129">
        <v>49.150002000000015</v>
      </c>
      <c r="I784" s="131" t="s">
        <v>87</v>
      </c>
      <c r="J784" s="132" t="s">
        <v>102</v>
      </c>
      <c r="K784" s="130" t="s">
        <v>1553</v>
      </c>
      <c r="L784" s="130" t="str">
        <f t="shared" si="12"/>
        <v>005-00000188</v>
      </c>
    </row>
    <row r="785" spans="1:12" hidden="1" x14ac:dyDescent="0.25">
      <c r="A785" s="130" t="s">
        <v>1077</v>
      </c>
      <c r="B785" s="130" t="s">
        <v>1078</v>
      </c>
      <c r="C785" s="132" t="s">
        <v>150</v>
      </c>
      <c r="D785" s="129">
        <v>1</v>
      </c>
      <c r="E785" s="129">
        <v>14.9129</v>
      </c>
      <c r="F785" s="129">
        <v>14.9129</v>
      </c>
      <c r="G785" s="129">
        <v>50.509998000000003</v>
      </c>
      <c r="H785" s="129">
        <v>50.509998000000003</v>
      </c>
      <c r="I785" s="131" t="s">
        <v>87</v>
      </c>
      <c r="J785" s="132" t="s">
        <v>102</v>
      </c>
      <c r="K785" s="130" t="s">
        <v>1553</v>
      </c>
      <c r="L785" s="130" t="str">
        <f t="shared" si="12"/>
        <v>005-00000188</v>
      </c>
    </row>
    <row r="786" spans="1:12" hidden="1" x14ac:dyDescent="0.25">
      <c r="A786" s="130" t="s">
        <v>1063</v>
      </c>
      <c r="B786" s="130" t="s">
        <v>1064</v>
      </c>
      <c r="C786" s="132" t="s">
        <v>153</v>
      </c>
      <c r="D786" s="129">
        <v>1</v>
      </c>
      <c r="E786" s="129">
        <v>8.4941998000000005</v>
      </c>
      <c r="F786" s="129">
        <v>8.4941998000000005</v>
      </c>
      <c r="G786" s="129">
        <v>28.77</v>
      </c>
      <c r="H786" s="129">
        <v>28.77</v>
      </c>
      <c r="I786" s="131" t="s">
        <v>87</v>
      </c>
      <c r="J786" s="132" t="s">
        <v>102</v>
      </c>
      <c r="K786" s="130" t="s">
        <v>1554</v>
      </c>
      <c r="L786" s="130" t="str">
        <f t="shared" si="12"/>
        <v>005-00000196</v>
      </c>
    </row>
    <row r="787" spans="1:12" hidden="1" x14ac:dyDescent="0.25">
      <c r="A787" s="130" t="s">
        <v>1065</v>
      </c>
      <c r="B787" s="130" t="s">
        <v>1066</v>
      </c>
      <c r="C787" s="132" t="s">
        <v>153</v>
      </c>
      <c r="D787" s="129">
        <v>1</v>
      </c>
      <c r="E787" s="129">
        <v>9.5837001999999991</v>
      </c>
      <c r="F787" s="129">
        <v>9.5837001999999991</v>
      </c>
      <c r="G787" s="129">
        <v>32.459999000000003</v>
      </c>
      <c r="H787" s="129">
        <v>32.459999000000003</v>
      </c>
      <c r="I787" s="131" t="s">
        <v>87</v>
      </c>
      <c r="J787" s="132" t="s">
        <v>102</v>
      </c>
      <c r="K787" s="130" t="s">
        <v>1554</v>
      </c>
      <c r="L787" s="130" t="str">
        <f t="shared" si="12"/>
        <v>005-00000196</v>
      </c>
    </row>
    <row r="788" spans="1:12" hidden="1" x14ac:dyDescent="0.25">
      <c r="A788" s="130" t="s">
        <v>1065</v>
      </c>
      <c r="B788" s="130" t="s">
        <v>1066</v>
      </c>
      <c r="C788" s="132" t="s">
        <v>153</v>
      </c>
      <c r="D788" s="129">
        <v>1</v>
      </c>
      <c r="E788" s="129">
        <v>9.5837001999999991</v>
      </c>
      <c r="F788" s="129">
        <v>9.5837001999999991</v>
      </c>
      <c r="G788" s="129">
        <v>32.459999000000003</v>
      </c>
      <c r="H788" s="129">
        <v>32.459999000000003</v>
      </c>
      <c r="I788" s="131" t="s">
        <v>87</v>
      </c>
      <c r="J788" s="132" t="s">
        <v>102</v>
      </c>
      <c r="K788" s="130" t="s">
        <v>625</v>
      </c>
      <c r="L788" s="130" t="str">
        <f t="shared" si="12"/>
        <v>005-00000106</v>
      </c>
    </row>
    <row r="789" spans="1:12" hidden="1" x14ac:dyDescent="0.25">
      <c r="A789" s="130" t="s">
        <v>1094</v>
      </c>
      <c r="B789" s="130" t="s">
        <v>1095</v>
      </c>
      <c r="C789" s="132" t="s">
        <v>153</v>
      </c>
      <c r="D789" s="129">
        <v>1</v>
      </c>
      <c r="E789" s="129">
        <v>14.511400000000002</v>
      </c>
      <c r="F789" s="129">
        <v>14.511400000000002</v>
      </c>
      <c r="G789" s="129">
        <v>49.150002000000001</v>
      </c>
      <c r="H789" s="129">
        <v>49.150002000000015</v>
      </c>
      <c r="I789" s="131" t="s">
        <v>87</v>
      </c>
      <c r="J789" s="132" t="s">
        <v>102</v>
      </c>
      <c r="K789" s="130" t="s">
        <v>1555</v>
      </c>
      <c r="L789" s="130" t="str">
        <f t="shared" si="12"/>
        <v>005-00000190</v>
      </c>
    </row>
    <row r="790" spans="1:12" hidden="1" x14ac:dyDescent="0.25">
      <c r="A790" s="130" t="s">
        <v>1077</v>
      </c>
      <c r="B790" s="130" t="s">
        <v>1078</v>
      </c>
      <c r="C790" s="132" t="s">
        <v>153</v>
      </c>
      <c r="D790" s="129">
        <v>1</v>
      </c>
      <c r="E790" s="129">
        <v>9.2058000999999994</v>
      </c>
      <c r="F790" s="129">
        <v>9.2058000999999994</v>
      </c>
      <c r="G790" s="129">
        <v>31.18</v>
      </c>
      <c r="H790" s="129">
        <v>31.18</v>
      </c>
      <c r="I790" s="131" t="s">
        <v>87</v>
      </c>
      <c r="J790" s="132" t="s">
        <v>102</v>
      </c>
      <c r="K790" s="130" t="s">
        <v>1555</v>
      </c>
      <c r="L790" s="130" t="str">
        <f t="shared" si="12"/>
        <v>005-00000190</v>
      </c>
    </row>
    <row r="791" spans="1:12" hidden="1" x14ac:dyDescent="0.25">
      <c r="A791" s="130" t="s">
        <v>1094</v>
      </c>
      <c r="B791" s="130" t="s">
        <v>1095</v>
      </c>
      <c r="C791" s="132" t="s">
        <v>153</v>
      </c>
      <c r="D791" s="129">
        <v>1</v>
      </c>
      <c r="E791" s="129">
        <v>14.511400000000002</v>
      </c>
      <c r="F791" s="129">
        <v>14.511400000000002</v>
      </c>
      <c r="G791" s="129">
        <v>49.150002000000001</v>
      </c>
      <c r="H791" s="129">
        <v>49.150002000000015</v>
      </c>
      <c r="I791" s="131" t="s">
        <v>87</v>
      </c>
      <c r="J791" s="132" t="s">
        <v>102</v>
      </c>
      <c r="K791" s="130" t="s">
        <v>699</v>
      </c>
      <c r="L791" s="130" t="str">
        <f t="shared" si="12"/>
        <v>005-00000166</v>
      </c>
    </row>
    <row r="792" spans="1:12" hidden="1" x14ac:dyDescent="0.25">
      <c r="A792" s="130" t="s">
        <v>1077</v>
      </c>
      <c r="B792" s="130" t="s">
        <v>1078</v>
      </c>
      <c r="C792" s="132" t="s">
        <v>153</v>
      </c>
      <c r="D792" s="129">
        <v>1</v>
      </c>
      <c r="E792" s="129">
        <v>9.2058000999999994</v>
      </c>
      <c r="F792" s="129">
        <v>9.2058000999999994</v>
      </c>
      <c r="G792" s="129">
        <v>31.18</v>
      </c>
      <c r="H792" s="129">
        <v>31.18</v>
      </c>
      <c r="I792" s="131" t="s">
        <v>87</v>
      </c>
      <c r="J792" s="132" t="s">
        <v>102</v>
      </c>
      <c r="K792" s="130" t="s">
        <v>699</v>
      </c>
      <c r="L792" s="130" t="str">
        <f t="shared" si="12"/>
        <v>005-00000166</v>
      </c>
    </row>
    <row r="793" spans="1:12" hidden="1" x14ac:dyDescent="0.25">
      <c r="A793" s="130" t="s">
        <v>1556</v>
      </c>
      <c r="B793" s="130" t="s">
        <v>1557</v>
      </c>
      <c r="C793" s="132" t="s">
        <v>153</v>
      </c>
      <c r="D793" s="129">
        <v>1</v>
      </c>
      <c r="E793" s="129">
        <v>24.446399999999997</v>
      </c>
      <c r="F793" s="129">
        <v>24.446399999999993</v>
      </c>
      <c r="G793" s="129">
        <v>82.800003000000004</v>
      </c>
      <c r="H793" s="129">
        <v>82.800003000000004</v>
      </c>
      <c r="I793" s="131" t="s">
        <v>87</v>
      </c>
      <c r="J793" s="132" t="s">
        <v>102</v>
      </c>
      <c r="K793" s="130" t="s">
        <v>1558</v>
      </c>
      <c r="L793" s="130" t="str">
        <f t="shared" si="12"/>
        <v>005-00000198</v>
      </c>
    </row>
    <row r="794" spans="1:12" hidden="1" x14ac:dyDescent="0.25">
      <c r="A794" s="130" t="s">
        <v>1063</v>
      </c>
      <c r="B794" s="130" t="s">
        <v>1064</v>
      </c>
      <c r="C794" s="132" t="s">
        <v>153</v>
      </c>
      <c r="D794" s="129">
        <v>1</v>
      </c>
      <c r="E794" s="129">
        <v>17.215799000000001</v>
      </c>
      <c r="F794" s="129">
        <v>17.215798999999997</v>
      </c>
      <c r="G794" s="129">
        <v>58.310001</v>
      </c>
      <c r="H794" s="129">
        <v>58.310001</v>
      </c>
      <c r="I794" s="131" t="s">
        <v>87</v>
      </c>
      <c r="J794" s="132" t="s">
        <v>102</v>
      </c>
      <c r="K794" s="130" t="s">
        <v>1559</v>
      </c>
      <c r="L794" s="130" t="str">
        <f t="shared" si="12"/>
        <v>005-00000195</v>
      </c>
    </row>
    <row r="795" spans="1:12" hidden="1" x14ac:dyDescent="0.25">
      <c r="A795" s="130" t="s">
        <v>1065</v>
      </c>
      <c r="B795" s="130" t="s">
        <v>1066</v>
      </c>
      <c r="C795" s="132" t="s">
        <v>153</v>
      </c>
      <c r="D795" s="129">
        <v>1</v>
      </c>
      <c r="E795" s="129">
        <v>14.588100000000003</v>
      </c>
      <c r="F795" s="129">
        <v>14.588100000000003</v>
      </c>
      <c r="G795" s="129">
        <v>49.41</v>
      </c>
      <c r="H795" s="129">
        <v>49.41</v>
      </c>
      <c r="I795" s="131" t="s">
        <v>87</v>
      </c>
      <c r="J795" s="132" t="s">
        <v>102</v>
      </c>
      <c r="K795" s="130" t="s">
        <v>1559</v>
      </c>
      <c r="L795" s="130" t="str">
        <f t="shared" si="12"/>
        <v>005-00000195</v>
      </c>
    </row>
    <row r="796" spans="1:12" hidden="1" x14ac:dyDescent="0.25">
      <c r="A796" s="130" t="s">
        <v>1082</v>
      </c>
      <c r="B796" s="130" t="s">
        <v>1083</v>
      </c>
      <c r="C796" s="132" t="s">
        <v>150</v>
      </c>
      <c r="D796" s="129">
        <v>1</v>
      </c>
      <c r="E796" s="129">
        <v>53.906300000000002</v>
      </c>
      <c r="F796" s="129">
        <v>53.906300000000002</v>
      </c>
      <c r="G796" s="129">
        <v>182.20339999999999</v>
      </c>
      <c r="H796" s="129">
        <v>182.20339999999996</v>
      </c>
      <c r="I796" s="131" t="s">
        <v>87</v>
      </c>
      <c r="J796" s="132" t="s">
        <v>102</v>
      </c>
      <c r="K796" s="130" t="s">
        <v>1517</v>
      </c>
      <c r="L796" s="130" t="str">
        <f t="shared" si="12"/>
        <v>005-00000178</v>
      </c>
    </row>
    <row r="797" spans="1:12" hidden="1" x14ac:dyDescent="0.25">
      <c r="A797" s="130" t="s">
        <v>1082</v>
      </c>
      <c r="B797" s="130" t="s">
        <v>1083</v>
      </c>
      <c r="C797" s="132" t="s">
        <v>150</v>
      </c>
      <c r="D797" s="129">
        <v>1</v>
      </c>
      <c r="E797" s="129">
        <v>53.906300000000002</v>
      </c>
      <c r="F797" s="129">
        <v>53.906300000000002</v>
      </c>
      <c r="G797" s="129">
        <v>182.20339999999999</v>
      </c>
      <c r="H797" s="129">
        <v>182.20339999999996</v>
      </c>
      <c r="I797" s="131" t="s">
        <v>87</v>
      </c>
      <c r="J797" s="132" t="s">
        <v>102</v>
      </c>
      <c r="K797" s="130" t="s">
        <v>623</v>
      </c>
      <c r="L797" s="130" t="str">
        <f t="shared" si="12"/>
        <v>005-00000108</v>
      </c>
    </row>
    <row r="798" spans="1:12" hidden="1" x14ac:dyDescent="0.25">
      <c r="A798" s="130" t="s">
        <v>1082</v>
      </c>
      <c r="B798" s="130" t="s">
        <v>1083</v>
      </c>
      <c r="C798" s="132" t="s">
        <v>150</v>
      </c>
      <c r="D798" s="129">
        <v>1</v>
      </c>
      <c r="E798" s="129">
        <v>53.906300000000002</v>
      </c>
      <c r="F798" s="129">
        <v>53.906300000000002</v>
      </c>
      <c r="G798" s="129">
        <v>182.20339999999999</v>
      </c>
      <c r="H798" s="129">
        <v>182.20339999999996</v>
      </c>
      <c r="I798" s="131" t="s">
        <v>87</v>
      </c>
      <c r="J798" s="132" t="s">
        <v>102</v>
      </c>
      <c r="K798" s="130" t="s">
        <v>698</v>
      </c>
      <c r="L798" s="130" t="str">
        <f t="shared" si="12"/>
        <v>005-00000167</v>
      </c>
    </row>
    <row r="799" spans="1:12" hidden="1" x14ac:dyDescent="0.25">
      <c r="A799" s="130" t="s">
        <v>1082</v>
      </c>
      <c r="B799" s="130" t="s">
        <v>1083</v>
      </c>
      <c r="C799" s="132" t="s">
        <v>150</v>
      </c>
      <c r="D799" s="129">
        <v>1</v>
      </c>
      <c r="E799" s="129">
        <v>53.906300000000002</v>
      </c>
      <c r="F799" s="129">
        <v>53.906300000000002</v>
      </c>
      <c r="G799" s="129">
        <v>182.20339999999999</v>
      </c>
      <c r="H799" s="129">
        <v>182.20339999999996</v>
      </c>
      <c r="I799" s="131" t="s">
        <v>87</v>
      </c>
      <c r="J799" s="132" t="s">
        <v>102</v>
      </c>
      <c r="K799" s="130" t="s">
        <v>1559</v>
      </c>
      <c r="L799" s="130" t="str">
        <f t="shared" si="12"/>
        <v>005-00000195</v>
      </c>
    </row>
    <row r="800" spans="1:12" hidden="1" x14ac:dyDescent="0.25">
      <c r="A800" s="130" t="s">
        <v>1082</v>
      </c>
      <c r="B800" s="130" t="s">
        <v>1083</v>
      </c>
      <c r="C800" s="132" t="s">
        <v>150</v>
      </c>
      <c r="D800" s="129">
        <v>1</v>
      </c>
      <c r="E800" s="129">
        <v>53.906300000000002</v>
      </c>
      <c r="F800" s="129">
        <v>53.906300000000002</v>
      </c>
      <c r="G800" s="129">
        <v>182.20339999999999</v>
      </c>
      <c r="H800" s="129">
        <v>182.20339999999996</v>
      </c>
      <c r="I800" s="131" t="s">
        <v>87</v>
      </c>
      <c r="J800" s="132" t="s">
        <v>102</v>
      </c>
      <c r="K800" s="130" t="s">
        <v>1560</v>
      </c>
      <c r="L800" s="130" t="str">
        <f t="shared" si="12"/>
        <v>005-00000194</v>
      </c>
    </row>
    <row r="801" spans="1:12" hidden="1" x14ac:dyDescent="0.25">
      <c r="A801" s="130" t="s">
        <v>1082</v>
      </c>
      <c r="B801" s="130" t="s">
        <v>1083</v>
      </c>
      <c r="C801" s="132" t="s">
        <v>150</v>
      </c>
      <c r="D801" s="129">
        <v>1</v>
      </c>
      <c r="E801" s="129">
        <v>53.906300000000002</v>
      </c>
      <c r="F801" s="129">
        <v>53.906300000000002</v>
      </c>
      <c r="G801" s="129">
        <v>182.20339999999999</v>
      </c>
      <c r="H801" s="129">
        <v>182.20339999999996</v>
      </c>
      <c r="I801" s="131" t="s">
        <v>87</v>
      </c>
      <c r="J801" s="132" t="s">
        <v>102</v>
      </c>
      <c r="K801" s="130" t="s">
        <v>1555</v>
      </c>
      <c r="L801" s="130" t="str">
        <f t="shared" si="12"/>
        <v>005-00000190</v>
      </c>
    </row>
    <row r="802" spans="1:12" hidden="1" x14ac:dyDescent="0.25">
      <c r="A802" s="130" t="s">
        <v>1082</v>
      </c>
      <c r="B802" s="130" t="s">
        <v>1083</v>
      </c>
      <c r="C802" s="132" t="s">
        <v>150</v>
      </c>
      <c r="D802" s="129">
        <v>1</v>
      </c>
      <c r="E802" s="129">
        <v>53.906300000000002</v>
      </c>
      <c r="F802" s="129">
        <v>53.906300000000002</v>
      </c>
      <c r="G802" s="129">
        <v>182.20339999999999</v>
      </c>
      <c r="H802" s="129">
        <v>182.20339999999996</v>
      </c>
      <c r="I802" s="131" t="s">
        <v>87</v>
      </c>
      <c r="J802" s="132" t="s">
        <v>102</v>
      </c>
      <c r="K802" s="130" t="s">
        <v>1554</v>
      </c>
      <c r="L802" s="130" t="str">
        <f t="shared" si="12"/>
        <v>005-00000196</v>
      </c>
    </row>
    <row r="803" spans="1:12" hidden="1" x14ac:dyDescent="0.25">
      <c r="A803" s="130" t="s">
        <v>1082</v>
      </c>
      <c r="B803" s="130" t="s">
        <v>1083</v>
      </c>
      <c r="C803" s="132" t="s">
        <v>150</v>
      </c>
      <c r="D803" s="129">
        <v>1</v>
      </c>
      <c r="E803" s="129">
        <v>53.906300000000002</v>
      </c>
      <c r="F803" s="129">
        <v>53.906300000000002</v>
      </c>
      <c r="G803" s="129">
        <v>182.20339999999999</v>
      </c>
      <c r="H803" s="129">
        <v>182.20339999999996</v>
      </c>
      <c r="I803" s="131" t="s">
        <v>87</v>
      </c>
      <c r="J803" s="132" t="s">
        <v>102</v>
      </c>
      <c r="K803" s="130" t="s">
        <v>645</v>
      </c>
      <c r="L803" s="130" t="str">
        <f t="shared" si="12"/>
        <v>005-00000056</v>
      </c>
    </row>
    <row r="804" spans="1:12" hidden="1" x14ac:dyDescent="0.25">
      <c r="A804" s="130" t="s">
        <v>1082</v>
      </c>
      <c r="B804" s="130" t="s">
        <v>1083</v>
      </c>
      <c r="C804" s="132" t="s">
        <v>150</v>
      </c>
      <c r="D804" s="129">
        <v>1</v>
      </c>
      <c r="E804" s="129">
        <v>53.906300000000002</v>
      </c>
      <c r="F804" s="129">
        <v>53.906300000000002</v>
      </c>
      <c r="G804" s="129">
        <v>182.20339999999999</v>
      </c>
      <c r="H804" s="129">
        <v>182.20339999999996</v>
      </c>
      <c r="I804" s="131" t="s">
        <v>87</v>
      </c>
      <c r="J804" s="132" t="s">
        <v>102</v>
      </c>
      <c r="K804" s="130" t="s">
        <v>1558</v>
      </c>
      <c r="L804" s="130" t="str">
        <f t="shared" si="12"/>
        <v>005-00000198</v>
      </c>
    </row>
    <row r="805" spans="1:12" hidden="1" x14ac:dyDescent="0.25">
      <c r="A805" s="130" t="s">
        <v>1082</v>
      </c>
      <c r="B805" s="130" t="s">
        <v>1083</v>
      </c>
      <c r="C805" s="132" t="s">
        <v>150</v>
      </c>
      <c r="D805" s="129">
        <v>1</v>
      </c>
      <c r="E805" s="129">
        <v>53.906300000000002</v>
      </c>
      <c r="F805" s="129">
        <v>53.906300000000002</v>
      </c>
      <c r="G805" s="129">
        <v>182.20339999999999</v>
      </c>
      <c r="H805" s="129">
        <v>182.20339999999996</v>
      </c>
      <c r="I805" s="131" t="s">
        <v>87</v>
      </c>
      <c r="J805" s="132" t="s">
        <v>102</v>
      </c>
      <c r="K805" s="130" t="s">
        <v>1553</v>
      </c>
      <c r="L805" s="130" t="str">
        <f t="shared" si="12"/>
        <v>005-00000188</v>
      </c>
    </row>
    <row r="806" spans="1:12" hidden="1" x14ac:dyDescent="0.25">
      <c r="A806" s="130" t="s">
        <v>1082</v>
      </c>
      <c r="B806" s="130" t="s">
        <v>1083</v>
      </c>
      <c r="C806" s="132" t="s">
        <v>150</v>
      </c>
      <c r="D806" s="129">
        <v>1</v>
      </c>
      <c r="E806" s="129">
        <v>53.906300000000002</v>
      </c>
      <c r="F806" s="129">
        <v>53.906300000000002</v>
      </c>
      <c r="G806" s="129">
        <v>182.20339999999999</v>
      </c>
      <c r="H806" s="129">
        <v>182.20339999999996</v>
      </c>
      <c r="I806" s="131" t="s">
        <v>87</v>
      </c>
      <c r="J806" s="132" t="s">
        <v>102</v>
      </c>
      <c r="K806" s="130" t="s">
        <v>1561</v>
      </c>
      <c r="L806" s="130" t="str">
        <f t="shared" si="12"/>
        <v>005-00000197</v>
      </c>
    </row>
    <row r="807" spans="1:12" hidden="1" x14ac:dyDescent="0.25">
      <c r="A807" s="130" t="s">
        <v>1562</v>
      </c>
      <c r="B807" s="130" t="s">
        <v>1563</v>
      </c>
      <c r="C807" s="132" t="s">
        <v>150</v>
      </c>
      <c r="D807" s="129">
        <v>1</v>
      </c>
      <c r="E807" s="129">
        <v>37.6875</v>
      </c>
      <c r="F807" s="129">
        <v>37.6875</v>
      </c>
      <c r="G807" s="129">
        <v>127.12</v>
      </c>
      <c r="H807" s="129">
        <v>127.12</v>
      </c>
      <c r="I807" s="131" t="s">
        <v>87</v>
      </c>
      <c r="J807" s="132" t="s">
        <v>102</v>
      </c>
      <c r="K807" s="130" t="s">
        <v>708</v>
      </c>
      <c r="L807" s="130" t="str">
        <f t="shared" si="12"/>
        <v>005-00000089</v>
      </c>
    </row>
    <row r="808" spans="1:12" hidden="1" x14ac:dyDescent="0.25">
      <c r="A808" s="130" t="s">
        <v>1564</v>
      </c>
      <c r="B808" s="130" t="s">
        <v>1565</v>
      </c>
      <c r="C808" s="132" t="s">
        <v>150</v>
      </c>
      <c r="D808" s="129">
        <v>1</v>
      </c>
      <c r="E808" s="129">
        <v>32.662300000000002</v>
      </c>
      <c r="F808" s="129">
        <v>32.662299999999995</v>
      </c>
      <c r="G808" s="129">
        <v>110.17</v>
      </c>
      <c r="H808" s="129">
        <v>110.17</v>
      </c>
      <c r="I808" s="131" t="s">
        <v>87</v>
      </c>
      <c r="J808" s="132" t="s">
        <v>102</v>
      </c>
      <c r="K808" s="130" t="s">
        <v>708</v>
      </c>
      <c r="L808" s="130" t="str">
        <f t="shared" si="12"/>
        <v>005-00000089</v>
      </c>
    </row>
    <row r="809" spans="1:12" hidden="1" x14ac:dyDescent="0.25">
      <c r="A809" s="130" t="s">
        <v>1566</v>
      </c>
      <c r="B809" s="130" t="s">
        <v>1567</v>
      </c>
      <c r="C809" s="132" t="s">
        <v>150</v>
      </c>
      <c r="D809" s="129">
        <v>2</v>
      </c>
      <c r="E809" s="129">
        <v>25.125999</v>
      </c>
      <c r="F809" s="129">
        <v>50.251998000000015</v>
      </c>
      <c r="G809" s="129">
        <v>84.75</v>
      </c>
      <c r="H809" s="129">
        <v>169.5</v>
      </c>
      <c r="I809" s="131" t="s">
        <v>87</v>
      </c>
      <c r="J809" s="132" t="s">
        <v>102</v>
      </c>
      <c r="K809" s="130" t="s">
        <v>625</v>
      </c>
      <c r="L809" s="130" t="str">
        <f t="shared" si="12"/>
        <v>005-00000106</v>
      </c>
    </row>
    <row r="810" spans="1:12" hidden="1" x14ac:dyDescent="0.25">
      <c r="A810" s="130" t="s">
        <v>1562</v>
      </c>
      <c r="B810" s="130" t="s">
        <v>1563</v>
      </c>
      <c r="C810" s="132" t="s">
        <v>150</v>
      </c>
      <c r="D810" s="129">
        <v>1</v>
      </c>
      <c r="E810" s="129">
        <v>37.6875</v>
      </c>
      <c r="F810" s="129">
        <v>37.6875</v>
      </c>
      <c r="G810" s="129">
        <v>127.12</v>
      </c>
      <c r="H810" s="129">
        <v>127.12</v>
      </c>
      <c r="I810" s="131" t="s">
        <v>87</v>
      </c>
      <c r="J810" s="132" t="s">
        <v>102</v>
      </c>
      <c r="K810" s="130" t="s">
        <v>625</v>
      </c>
      <c r="L810" s="130" t="str">
        <f t="shared" si="12"/>
        <v>005-00000106</v>
      </c>
    </row>
    <row r="811" spans="1:12" hidden="1" x14ac:dyDescent="0.25">
      <c r="A811" s="130" t="s">
        <v>1564</v>
      </c>
      <c r="B811" s="130" t="s">
        <v>1565</v>
      </c>
      <c r="C811" s="132" t="s">
        <v>150</v>
      </c>
      <c r="D811" s="129">
        <v>1</v>
      </c>
      <c r="E811" s="129">
        <v>32.662300000000002</v>
      </c>
      <c r="F811" s="129">
        <v>32.662299999999995</v>
      </c>
      <c r="G811" s="129">
        <v>110.17</v>
      </c>
      <c r="H811" s="129">
        <v>110.17</v>
      </c>
      <c r="I811" s="131" t="s">
        <v>87</v>
      </c>
      <c r="J811" s="132" t="s">
        <v>102</v>
      </c>
      <c r="K811" s="130" t="s">
        <v>625</v>
      </c>
      <c r="L811" s="130" t="str">
        <f t="shared" si="12"/>
        <v>005-00000106</v>
      </c>
    </row>
    <row r="812" spans="1:12" hidden="1" x14ac:dyDescent="0.25">
      <c r="A812" s="130" t="s">
        <v>1562</v>
      </c>
      <c r="B812" s="130" t="s">
        <v>1563</v>
      </c>
      <c r="C812" s="132" t="s">
        <v>150</v>
      </c>
      <c r="D812" s="129">
        <v>1</v>
      </c>
      <c r="E812" s="129">
        <v>37.6875</v>
      </c>
      <c r="F812" s="129">
        <v>37.6875</v>
      </c>
      <c r="G812" s="129">
        <v>127.12</v>
      </c>
      <c r="H812" s="129">
        <v>127.12</v>
      </c>
      <c r="I812" s="131" t="s">
        <v>87</v>
      </c>
      <c r="J812" s="132" t="s">
        <v>102</v>
      </c>
      <c r="K812" s="130" t="s">
        <v>699</v>
      </c>
      <c r="L812" s="130" t="str">
        <f t="shared" si="12"/>
        <v>005-00000166</v>
      </c>
    </row>
    <row r="813" spans="1:12" hidden="1" x14ac:dyDescent="0.25">
      <c r="A813" s="130" t="s">
        <v>1562</v>
      </c>
      <c r="B813" s="130" t="s">
        <v>1563</v>
      </c>
      <c r="C813" s="132" t="s">
        <v>150</v>
      </c>
      <c r="D813" s="129">
        <v>1</v>
      </c>
      <c r="E813" s="129">
        <v>37.6875</v>
      </c>
      <c r="F813" s="129">
        <v>37.6875</v>
      </c>
      <c r="G813" s="129">
        <v>127.12</v>
      </c>
      <c r="H813" s="129">
        <v>127.12</v>
      </c>
      <c r="I813" s="131" t="s">
        <v>87</v>
      </c>
      <c r="J813" s="132" t="s">
        <v>102</v>
      </c>
      <c r="K813" s="130" t="s">
        <v>629</v>
      </c>
      <c r="L813" s="130" t="str">
        <f t="shared" si="12"/>
        <v>005-00000090</v>
      </c>
    </row>
    <row r="814" spans="1:12" hidden="1" x14ac:dyDescent="0.25">
      <c r="A814" s="130" t="s">
        <v>1562</v>
      </c>
      <c r="B814" s="130" t="s">
        <v>1563</v>
      </c>
      <c r="C814" s="132" t="s">
        <v>150</v>
      </c>
      <c r="D814" s="129">
        <v>1</v>
      </c>
      <c r="E814" s="129">
        <v>37.6875</v>
      </c>
      <c r="F814" s="129">
        <v>37.6875</v>
      </c>
      <c r="G814" s="129">
        <v>127.12</v>
      </c>
      <c r="H814" s="129">
        <v>127.12</v>
      </c>
      <c r="I814" s="131" t="s">
        <v>87</v>
      </c>
      <c r="J814" s="132" t="s">
        <v>102</v>
      </c>
      <c r="K814" s="130" t="s">
        <v>654</v>
      </c>
      <c r="L814" s="130" t="str">
        <f t="shared" si="12"/>
        <v>005-00000047</v>
      </c>
    </row>
    <row r="815" spans="1:12" hidden="1" x14ac:dyDescent="0.25">
      <c r="A815" s="130" t="s">
        <v>1566</v>
      </c>
      <c r="B815" s="130" t="s">
        <v>1567</v>
      </c>
      <c r="C815" s="132" t="s">
        <v>150</v>
      </c>
      <c r="D815" s="129">
        <v>2</v>
      </c>
      <c r="E815" s="129">
        <v>25.125999</v>
      </c>
      <c r="F815" s="129">
        <v>50.251998000000015</v>
      </c>
      <c r="G815" s="129">
        <v>84.75</v>
      </c>
      <c r="H815" s="129">
        <v>169.5</v>
      </c>
      <c r="I815" s="131" t="s">
        <v>87</v>
      </c>
      <c r="J815" s="132" t="s">
        <v>102</v>
      </c>
      <c r="K815" s="130" t="s">
        <v>654</v>
      </c>
      <c r="L815" s="130" t="str">
        <f t="shared" si="12"/>
        <v>005-00000047</v>
      </c>
    </row>
    <row r="816" spans="1:12" hidden="1" x14ac:dyDescent="0.25">
      <c r="A816" s="130" t="s">
        <v>1568</v>
      </c>
      <c r="B816" s="130" t="s">
        <v>1569</v>
      </c>
      <c r="C816" s="132" t="s">
        <v>150</v>
      </c>
      <c r="D816" s="129">
        <v>1</v>
      </c>
      <c r="E816" s="129">
        <v>80</v>
      </c>
      <c r="F816" s="129">
        <v>80</v>
      </c>
      <c r="G816" s="129">
        <v>269.83999999999997</v>
      </c>
      <c r="H816" s="129">
        <v>269.83999999999997</v>
      </c>
      <c r="I816" s="131" t="s">
        <v>87</v>
      </c>
      <c r="J816" s="132" t="s">
        <v>102</v>
      </c>
      <c r="K816" s="130" t="s">
        <v>1570</v>
      </c>
      <c r="L816" s="130" t="str">
        <f t="shared" si="12"/>
        <v>005-00000183</v>
      </c>
    </row>
    <row r="817" spans="1:12" hidden="1" x14ac:dyDescent="0.25">
      <c r="A817" s="130" t="s">
        <v>1044</v>
      </c>
      <c r="B817" s="130" t="s">
        <v>1045</v>
      </c>
      <c r="C817" s="132" t="s">
        <v>153</v>
      </c>
      <c r="D817" s="129">
        <v>1</v>
      </c>
      <c r="E817" s="129">
        <v>10.076700000000001</v>
      </c>
      <c r="F817" s="129">
        <v>10.076700000000001</v>
      </c>
      <c r="G817" s="129">
        <v>33.897998999999999</v>
      </c>
      <c r="H817" s="129">
        <v>33.897998999999999</v>
      </c>
      <c r="I817" s="131" t="s">
        <v>87</v>
      </c>
      <c r="J817" s="132" t="s">
        <v>102</v>
      </c>
      <c r="K817" s="130" t="s">
        <v>700</v>
      </c>
      <c r="L817" s="130" t="str">
        <f t="shared" si="12"/>
        <v>005-00000165</v>
      </c>
    </row>
    <row r="818" spans="1:12" hidden="1" x14ac:dyDescent="0.25">
      <c r="A818" s="130" t="s">
        <v>1030</v>
      </c>
      <c r="B818" s="130" t="s">
        <v>1031</v>
      </c>
      <c r="C818" s="132" t="s">
        <v>150</v>
      </c>
      <c r="D818" s="129">
        <v>1</v>
      </c>
      <c r="E818" s="129">
        <v>2.0106001</v>
      </c>
      <c r="F818" s="129">
        <v>2.0106001</v>
      </c>
      <c r="G818" s="129">
        <v>6.7796998000000004</v>
      </c>
      <c r="H818" s="129">
        <v>6.7796998000000022</v>
      </c>
      <c r="I818" s="131" t="s">
        <v>87</v>
      </c>
      <c r="J818" s="132" t="s">
        <v>102</v>
      </c>
      <c r="K818" s="130" t="s">
        <v>700</v>
      </c>
      <c r="L818" s="130" t="str">
        <f t="shared" si="12"/>
        <v>005-00000165</v>
      </c>
    </row>
    <row r="819" spans="1:12" hidden="1" x14ac:dyDescent="0.25">
      <c r="A819" s="130" t="s">
        <v>1028</v>
      </c>
      <c r="B819" s="130" t="s">
        <v>1029</v>
      </c>
      <c r="C819" s="132" t="s">
        <v>150</v>
      </c>
      <c r="D819" s="129">
        <v>1</v>
      </c>
      <c r="E819" s="129">
        <v>1.5079</v>
      </c>
      <c r="F819" s="129">
        <v>1.5078999999999996</v>
      </c>
      <c r="G819" s="129">
        <v>5.0847001000000001</v>
      </c>
      <c r="H819" s="129">
        <v>5.0847001000000001</v>
      </c>
      <c r="I819" s="131" t="s">
        <v>87</v>
      </c>
      <c r="J819" s="132" t="s">
        <v>102</v>
      </c>
      <c r="K819" s="130" t="s">
        <v>700</v>
      </c>
      <c r="L819" s="130" t="str">
        <f t="shared" si="12"/>
        <v>005-00000165</v>
      </c>
    </row>
    <row r="820" spans="1:12" hidden="1" x14ac:dyDescent="0.25">
      <c r="A820" s="130" t="s">
        <v>1034</v>
      </c>
      <c r="B820" s="130" t="s">
        <v>1035</v>
      </c>
      <c r="C820" s="132" t="s">
        <v>88</v>
      </c>
      <c r="D820" s="129">
        <v>1</v>
      </c>
      <c r="E820" s="129">
        <v>11.861700000000001</v>
      </c>
      <c r="F820" s="129">
        <v>11.861700000000001</v>
      </c>
      <c r="G820" s="129">
        <v>39.701000000000001</v>
      </c>
      <c r="H820" s="129">
        <v>39.701000000000001</v>
      </c>
      <c r="I820" s="131" t="s">
        <v>87</v>
      </c>
      <c r="J820" s="132" t="s">
        <v>102</v>
      </c>
      <c r="K820" s="130" t="s">
        <v>700</v>
      </c>
      <c r="L820" s="130" t="str">
        <f t="shared" si="12"/>
        <v>005-00000165</v>
      </c>
    </row>
    <row r="821" spans="1:12" hidden="1" x14ac:dyDescent="0.25">
      <c r="A821" s="130" t="s">
        <v>1466</v>
      </c>
      <c r="B821" s="130" t="s">
        <v>1467</v>
      </c>
      <c r="C821" s="132" t="s">
        <v>88</v>
      </c>
      <c r="D821" s="129">
        <v>0.75</v>
      </c>
      <c r="E821" s="129">
        <v>9.2980003</v>
      </c>
      <c r="F821" s="129">
        <v>6.9735002249999987</v>
      </c>
      <c r="G821" s="129">
        <v>31.138999999999999</v>
      </c>
      <c r="H821" s="129">
        <v>23.354249999999997</v>
      </c>
      <c r="I821" s="131" t="s">
        <v>87</v>
      </c>
      <c r="J821" s="132" t="s">
        <v>102</v>
      </c>
      <c r="K821" s="130" t="s">
        <v>700</v>
      </c>
      <c r="L821" s="130" t="str">
        <f t="shared" si="12"/>
        <v>005-00000165</v>
      </c>
    </row>
    <row r="822" spans="1:12" hidden="1" x14ac:dyDescent="0.25">
      <c r="A822" s="130" t="s">
        <v>409</v>
      </c>
      <c r="B822" s="130" t="s">
        <v>408</v>
      </c>
      <c r="C822" s="132" t="s">
        <v>150</v>
      </c>
      <c r="D822" s="129">
        <v>4</v>
      </c>
      <c r="E822" s="129">
        <v>1.4915</v>
      </c>
      <c r="F822" s="129">
        <v>5.9659999999999993</v>
      </c>
      <c r="G822" s="129">
        <v>6.1016002</v>
      </c>
      <c r="H822" s="129">
        <v>24.406400800000007</v>
      </c>
      <c r="I822" s="131" t="s">
        <v>87</v>
      </c>
      <c r="J822" s="132" t="s">
        <v>102</v>
      </c>
      <c r="K822" s="130" t="s">
        <v>700</v>
      </c>
      <c r="L822" s="130" t="str">
        <f t="shared" si="12"/>
        <v>005-00000165</v>
      </c>
    </row>
    <row r="823" spans="1:12" hidden="1" x14ac:dyDescent="0.25">
      <c r="A823" s="130" t="s">
        <v>227</v>
      </c>
      <c r="B823" s="130" t="s">
        <v>194</v>
      </c>
      <c r="C823" s="132" t="s">
        <v>88</v>
      </c>
      <c r="D823" s="129">
        <v>1</v>
      </c>
      <c r="E823" s="129">
        <v>1.6415</v>
      </c>
      <c r="F823" s="129">
        <v>1.6414999999999997</v>
      </c>
      <c r="G823" s="129">
        <v>5.4759001999999999</v>
      </c>
      <c r="H823" s="129">
        <v>5.4759001999999999</v>
      </c>
      <c r="I823" s="131" t="s">
        <v>87</v>
      </c>
      <c r="J823" s="132" t="s">
        <v>102</v>
      </c>
      <c r="K823" s="130" t="s">
        <v>700</v>
      </c>
      <c r="L823" s="130" t="str">
        <f t="shared" si="12"/>
        <v>005-00000165</v>
      </c>
    </row>
    <row r="824" spans="1:12" hidden="1" x14ac:dyDescent="0.25">
      <c r="A824" s="130" t="s">
        <v>309</v>
      </c>
      <c r="B824" s="130" t="s">
        <v>310</v>
      </c>
      <c r="C824" s="132" t="s">
        <v>150</v>
      </c>
      <c r="D824" s="129">
        <v>1</v>
      </c>
      <c r="E824" s="129">
        <v>1.1394</v>
      </c>
      <c r="F824" s="129">
        <v>1.1394</v>
      </c>
      <c r="G824" s="129">
        <v>3.8136000999999999</v>
      </c>
      <c r="H824" s="129">
        <v>3.8136001000000004</v>
      </c>
      <c r="I824" s="131" t="s">
        <v>87</v>
      </c>
      <c r="J824" s="132" t="s">
        <v>102</v>
      </c>
      <c r="K824" s="130" t="s">
        <v>700</v>
      </c>
      <c r="L824" s="130" t="str">
        <f t="shared" si="12"/>
        <v>005-00000165</v>
      </c>
    </row>
    <row r="825" spans="1:12" hidden="1" x14ac:dyDescent="0.25">
      <c r="A825" s="130" t="s">
        <v>342</v>
      </c>
      <c r="B825" s="130" t="s">
        <v>343</v>
      </c>
      <c r="C825" s="132" t="s">
        <v>150</v>
      </c>
      <c r="D825" s="129">
        <v>6</v>
      </c>
      <c r="E825" s="129">
        <v>8.7999999999999995E-2</v>
      </c>
      <c r="F825" s="129">
        <v>0.5279999999999998</v>
      </c>
      <c r="G825" s="129">
        <v>0.29660001000000003</v>
      </c>
      <c r="H825" s="129">
        <v>1.7796000600000002</v>
      </c>
      <c r="I825" s="131" t="s">
        <v>87</v>
      </c>
      <c r="J825" s="132" t="s">
        <v>102</v>
      </c>
      <c r="K825" s="130" t="s">
        <v>700</v>
      </c>
      <c r="L825" s="130" t="str">
        <f t="shared" si="12"/>
        <v>005-00000165</v>
      </c>
    </row>
    <row r="826" spans="1:12" hidden="1" x14ac:dyDescent="0.25">
      <c r="A826" s="130" t="s">
        <v>1071</v>
      </c>
      <c r="B826" s="130" t="s">
        <v>1072</v>
      </c>
      <c r="C826" s="132" t="s">
        <v>150</v>
      </c>
      <c r="D826" s="129">
        <v>1</v>
      </c>
      <c r="E826" s="129">
        <v>2.2618999</v>
      </c>
      <c r="F826" s="129">
        <v>2.2618998999999995</v>
      </c>
      <c r="G826" s="129">
        <v>7.6271000000000004</v>
      </c>
      <c r="H826" s="129">
        <v>7.6271000000000004</v>
      </c>
      <c r="I826" s="131" t="s">
        <v>87</v>
      </c>
      <c r="J826" s="132" t="s">
        <v>102</v>
      </c>
      <c r="K826" s="130" t="s">
        <v>699</v>
      </c>
      <c r="L826" s="130" t="str">
        <f t="shared" si="12"/>
        <v>005-00000166</v>
      </c>
    </row>
    <row r="827" spans="1:12" hidden="1" x14ac:dyDescent="0.25">
      <c r="A827" s="130" t="s">
        <v>1055</v>
      </c>
      <c r="B827" s="130" t="s">
        <v>1056</v>
      </c>
      <c r="C827" s="132" t="s">
        <v>150</v>
      </c>
      <c r="D827" s="129">
        <v>1</v>
      </c>
      <c r="E827" s="129">
        <v>1.5107999999999999</v>
      </c>
      <c r="F827" s="129">
        <v>1.5108000000000001</v>
      </c>
      <c r="G827" s="129">
        <v>5.0847001000000001</v>
      </c>
      <c r="H827" s="129">
        <v>5.0847001000000001</v>
      </c>
      <c r="I827" s="131" t="s">
        <v>87</v>
      </c>
      <c r="J827" s="132" t="s">
        <v>102</v>
      </c>
      <c r="K827" s="130" t="s">
        <v>699</v>
      </c>
      <c r="L827" s="130" t="str">
        <f t="shared" si="12"/>
        <v>005-00000166</v>
      </c>
    </row>
    <row r="828" spans="1:12" hidden="1" x14ac:dyDescent="0.25">
      <c r="A828" s="130" t="s">
        <v>1034</v>
      </c>
      <c r="B828" s="130" t="s">
        <v>1035</v>
      </c>
      <c r="C828" s="132" t="s">
        <v>88</v>
      </c>
      <c r="D828" s="129">
        <v>1</v>
      </c>
      <c r="E828" s="129">
        <v>11.861700000000001</v>
      </c>
      <c r="F828" s="129">
        <v>11.861700000000001</v>
      </c>
      <c r="G828" s="129">
        <v>39.701000000000001</v>
      </c>
      <c r="H828" s="129">
        <v>39.701000000000001</v>
      </c>
      <c r="I828" s="131" t="s">
        <v>87</v>
      </c>
      <c r="J828" s="132" t="s">
        <v>102</v>
      </c>
      <c r="K828" s="130" t="s">
        <v>699</v>
      </c>
      <c r="L828" s="130" t="str">
        <f t="shared" si="12"/>
        <v>005-00000166</v>
      </c>
    </row>
    <row r="829" spans="1:12" hidden="1" x14ac:dyDescent="0.25">
      <c r="A829" s="130" t="s">
        <v>1466</v>
      </c>
      <c r="B829" s="130" t="s">
        <v>1467</v>
      </c>
      <c r="C829" s="132" t="s">
        <v>88</v>
      </c>
      <c r="D829" s="129">
        <v>0.75</v>
      </c>
      <c r="E829" s="129">
        <v>9.2980003</v>
      </c>
      <c r="F829" s="129">
        <v>6.9735002249999987</v>
      </c>
      <c r="G829" s="129">
        <v>31.138999999999999</v>
      </c>
      <c r="H829" s="129">
        <v>23.354249999999997</v>
      </c>
      <c r="I829" s="131" t="s">
        <v>87</v>
      </c>
      <c r="J829" s="132" t="s">
        <v>102</v>
      </c>
      <c r="K829" s="130" t="s">
        <v>699</v>
      </c>
      <c r="L829" s="130" t="str">
        <f t="shared" si="12"/>
        <v>005-00000166</v>
      </c>
    </row>
    <row r="830" spans="1:12" hidden="1" x14ac:dyDescent="0.25">
      <c r="A830" s="130" t="s">
        <v>1040</v>
      </c>
      <c r="B830" s="130" t="s">
        <v>408</v>
      </c>
      <c r="C830" s="132" t="s">
        <v>150</v>
      </c>
      <c r="D830" s="129">
        <v>2</v>
      </c>
      <c r="E830" s="129">
        <v>1.8984999999999999</v>
      </c>
      <c r="F830" s="129">
        <v>3.7969999999999997</v>
      </c>
      <c r="G830" s="129">
        <v>6.3558998000000004</v>
      </c>
      <c r="H830" s="129">
        <v>12.711799600000001</v>
      </c>
      <c r="I830" s="131" t="s">
        <v>87</v>
      </c>
      <c r="J830" s="132" t="s">
        <v>102</v>
      </c>
      <c r="K830" s="130" t="s">
        <v>699</v>
      </c>
      <c r="L830" s="130" t="str">
        <f t="shared" si="12"/>
        <v>005-00000166</v>
      </c>
    </row>
    <row r="831" spans="1:12" hidden="1" x14ac:dyDescent="0.25">
      <c r="A831" s="130" t="s">
        <v>1465</v>
      </c>
      <c r="B831" s="130" t="s">
        <v>160</v>
      </c>
      <c r="C831" s="132" t="s">
        <v>150</v>
      </c>
      <c r="D831" s="129">
        <v>1</v>
      </c>
      <c r="E831" s="129">
        <v>1.2092000000000001</v>
      </c>
      <c r="F831" s="129">
        <v>1.2092000000000001</v>
      </c>
      <c r="G831" s="129">
        <v>4.0678000000000001</v>
      </c>
      <c r="H831" s="129">
        <v>4.0678000000000001</v>
      </c>
      <c r="I831" s="131" t="s">
        <v>87</v>
      </c>
      <c r="J831" s="132" t="s">
        <v>102</v>
      </c>
      <c r="K831" s="130" t="s">
        <v>699</v>
      </c>
      <c r="L831" s="130" t="str">
        <f t="shared" si="12"/>
        <v>005-00000166</v>
      </c>
    </row>
    <row r="832" spans="1:12" hidden="1" x14ac:dyDescent="0.25">
      <c r="A832" s="130" t="s">
        <v>227</v>
      </c>
      <c r="B832" s="130" t="s">
        <v>194</v>
      </c>
      <c r="C832" s="132" t="s">
        <v>88</v>
      </c>
      <c r="D832" s="129">
        <v>1</v>
      </c>
      <c r="E832" s="129">
        <v>1.6415</v>
      </c>
      <c r="F832" s="129">
        <v>1.6414999999999997</v>
      </c>
      <c r="G832" s="129">
        <v>5.4759001999999999</v>
      </c>
      <c r="H832" s="129">
        <v>5.4759001999999999</v>
      </c>
      <c r="I832" s="131" t="s">
        <v>87</v>
      </c>
      <c r="J832" s="132" t="s">
        <v>102</v>
      </c>
      <c r="K832" s="130" t="s">
        <v>699</v>
      </c>
      <c r="L832" s="130" t="str">
        <f t="shared" si="12"/>
        <v>005-00000166</v>
      </c>
    </row>
    <row r="833" spans="1:12" hidden="1" x14ac:dyDescent="0.25">
      <c r="A833" s="130" t="s">
        <v>542</v>
      </c>
      <c r="B833" s="130" t="s">
        <v>543</v>
      </c>
      <c r="C833" s="132" t="s">
        <v>153</v>
      </c>
      <c r="D833" s="129">
        <v>1</v>
      </c>
      <c r="E833" s="129">
        <v>1.5112999999999999</v>
      </c>
      <c r="F833" s="129">
        <v>1.5112999999999999</v>
      </c>
      <c r="G833" s="129">
        <v>5.0840000999999999</v>
      </c>
      <c r="H833" s="129">
        <v>5.0840000999999999</v>
      </c>
      <c r="I833" s="131" t="s">
        <v>87</v>
      </c>
      <c r="J833" s="132" t="s">
        <v>102</v>
      </c>
      <c r="K833" s="130" t="s">
        <v>699</v>
      </c>
      <c r="L833" s="130" t="str">
        <f t="shared" si="12"/>
        <v>005-00000166</v>
      </c>
    </row>
    <row r="834" spans="1:12" hidden="1" x14ac:dyDescent="0.25">
      <c r="A834" s="130" t="s">
        <v>342</v>
      </c>
      <c r="B834" s="130" t="s">
        <v>343</v>
      </c>
      <c r="C834" s="132" t="s">
        <v>150</v>
      </c>
      <c r="D834" s="129">
        <v>3</v>
      </c>
      <c r="E834" s="129">
        <v>8.7999999999999995E-2</v>
      </c>
      <c r="F834" s="129">
        <v>0.2639999999999999</v>
      </c>
      <c r="G834" s="129">
        <v>0.29660001000000003</v>
      </c>
      <c r="H834" s="129">
        <v>0.88980003000000008</v>
      </c>
      <c r="I834" s="131" t="s">
        <v>87</v>
      </c>
      <c r="J834" s="132" t="s">
        <v>102</v>
      </c>
      <c r="K834" s="130" t="s">
        <v>699</v>
      </c>
      <c r="L834" s="130" t="str">
        <f t="shared" si="12"/>
        <v>005-00000166</v>
      </c>
    </row>
    <row r="835" spans="1:12" hidden="1" x14ac:dyDescent="0.25">
      <c r="A835" s="130" t="s">
        <v>360</v>
      </c>
      <c r="B835" s="130" t="s">
        <v>361</v>
      </c>
      <c r="C835" s="132" t="s">
        <v>150</v>
      </c>
      <c r="D835" s="129">
        <v>2</v>
      </c>
      <c r="E835" s="129">
        <v>0.12590000000000001</v>
      </c>
      <c r="F835" s="129">
        <v>0.25180000000000002</v>
      </c>
      <c r="G835" s="129">
        <v>0.42370000000000002</v>
      </c>
      <c r="H835" s="129">
        <v>0.84740000000000004</v>
      </c>
      <c r="I835" s="131" t="s">
        <v>87</v>
      </c>
      <c r="J835" s="132" t="s">
        <v>102</v>
      </c>
      <c r="K835" s="130" t="s">
        <v>699</v>
      </c>
      <c r="L835" s="130" t="str">
        <f t="shared" si="12"/>
        <v>005-00000166</v>
      </c>
    </row>
    <row r="836" spans="1:12" hidden="1" x14ac:dyDescent="0.25">
      <c r="A836" s="130" t="s">
        <v>1571</v>
      </c>
      <c r="B836" s="130" t="s">
        <v>1572</v>
      </c>
      <c r="C836" s="132" t="s">
        <v>150</v>
      </c>
      <c r="D836" s="129">
        <v>2</v>
      </c>
      <c r="E836" s="129">
        <v>0.12590000000000001</v>
      </c>
      <c r="F836" s="129">
        <v>0.25180000000000002</v>
      </c>
      <c r="G836" s="129">
        <v>0.42370000000000002</v>
      </c>
      <c r="H836" s="129">
        <v>0.84740000000000004</v>
      </c>
      <c r="I836" s="131" t="s">
        <v>87</v>
      </c>
      <c r="J836" s="132" t="s">
        <v>102</v>
      </c>
      <c r="K836" s="130" t="s">
        <v>699</v>
      </c>
      <c r="L836" s="130" t="str">
        <f t="shared" si="12"/>
        <v>005-00000166</v>
      </c>
    </row>
    <row r="837" spans="1:12" hidden="1" x14ac:dyDescent="0.25">
      <c r="A837" s="130" t="s">
        <v>342</v>
      </c>
      <c r="B837" s="130" t="s">
        <v>343</v>
      </c>
      <c r="C837" s="132" t="s">
        <v>150</v>
      </c>
      <c r="D837" s="129">
        <v>2</v>
      </c>
      <c r="E837" s="129">
        <v>8.7999999999999995E-2</v>
      </c>
      <c r="F837" s="129">
        <v>0.17599999999999993</v>
      </c>
      <c r="G837" s="129">
        <v>0.29660001000000003</v>
      </c>
      <c r="H837" s="129">
        <v>0.59320002000000005</v>
      </c>
      <c r="I837" s="131" t="s">
        <v>87</v>
      </c>
      <c r="J837" s="132" t="s">
        <v>102</v>
      </c>
      <c r="K837" s="130" t="s">
        <v>624</v>
      </c>
      <c r="L837" s="130" t="str">
        <f t="shared" ref="L837:L900" si="13">CONCATENATE(J837,"-",K837)</f>
        <v>005-00000107</v>
      </c>
    </row>
    <row r="838" spans="1:12" hidden="1" x14ac:dyDescent="0.25">
      <c r="A838" s="130" t="s">
        <v>1468</v>
      </c>
      <c r="B838" s="130" t="s">
        <v>1469</v>
      </c>
      <c r="C838" s="132" t="s">
        <v>150</v>
      </c>
      <c r="D838" s="129">
        <v>1</v>
      </c>
      <c r="E838" s="129">
        <v>25.136399999999998</v>
      </c>
      <c r="F838" s="129">
        <v>25.136399999999995</v>
      </c>
      <c r="G838" s="129">
        <v>84.760002</v>
      </c>
      <c r="H838" s="129">
        <v>84.760002</v>
      </c>
      <c r="I838" s="131" t="s">
        <v>87</v>
      </c>
      <c r="J838" s="132" t="s">
        <v>102</v>
      </c>
      <c r="K838" s="130" t="s">
        <v>649</v>
      </c>
      <c r="L838" s="130" t="str">
        <f t="shared" si="13"/>
        <v>005-00000052</v>
      </c>
    </row>
    <row r="839" spans="1:12" hidden="1" x14ac:dyDescent="0.25">
      <c r="A839" s="130" t="s">
        <v>1470</v>
      </c>
      <c r="B839" s="130" t="s">
        <v>1471</v>
      </c>
      <c r="C839" s="132" t="s">
        <v>150</v>
      </c>
      <c r="D839" s="129">
        <v>1</v>
      </c>
      <c r="E839" s="129">
        <v>23.738299999999999</v>
      </c>
      <c r="F839" s="129">
        <v>23.738299999999999</v>
      </c>
      <c r="G839" s="129">
        <v>80.508399999999995</v>
      </c>
      <c r="H839" s="129">
        <v>80.508399999999995</v>
      </c>
      <c r="I839" s="131" t="s">
        <v>87</v>
      </c>
      <c r="J839" s="132" t="s">
        <v>102</v>
      </c>
      <c r="K839" s="130" t="s">
        <v>649</v>
      </c>
      <c r="L839" s="130" t="str">
        <f t="shared" si="13"/>
        <v>005-00000052</v>
      </c>
    </row>
    <row r="840" spans="1:12" hidden="1" x14ac:dyDescent="0.25">
      <c r="A840" s="130" t="s">
        <v>1109</v>
      </c>
      <c r="B840" s="130" t="s">
        <v>1110</v>
      </c>
      <c r="C840" s="132" t="s">
        <v>153</v>
      </c>
      <c r="D840" s="129">
        <v>1</v>
      </c>
      <c r="E840" s="129">
        <v>42.623600000000003</v>
      </c>
      <c r="F840" s="129">
        <v>42.623600000000003</v>
      </c>
      <c r="G840" s="129">
        <v>144.06779</v>
      </c>
      <c r="H840" s="129">
        <v>144.06779</v>
      </c>
      <c r="I840" s="131" t="s">
        <v>87</v>
      </c>
      <c r="J840" s="132" t="s">
        <v>102</v>
      </c>
      <c r="K840" s="130" t="s">
        <v>1559</v>
      </c>
      <c r="L840" s="130" t="str">
        <f t="shared" si="13"/>
        <v>005-00000195</v>
      </c>
    </row>
    <row r="841" spans="1:12" hidden="1" x14ac:dyDescent="0.25">
      <c r="A841" s="130" t="s">
        <v>546</v>
      </c>
      <c r="B841" s="130" t="s">
        <v>547</v>
      </c>
      <c r="C841" s="132" t="s">
        <v>153</v>
      </c>
      <c r="D841" s="129">
        <v>1</v>
      </c>
      <c r="E841" s="129">
        <v>20.058201</v>
      </c>
      <c r="F841" s="129">
        <v>20.058201</v>
      </c>
      <c r="G841" s="129">
        <v>67.796599999999998</v>
      </c>
      <c r="H841" s="129">
        <v>67.796599999999998</v>
      </c>
      <c r="I841" s="131" t="s">
        <v>87</v>
      </c>
      <c r="J841" s="132" t="s">
        <v>102</v>
      </c>
      <c r="K841" s="130" t="s">
        <v>1559</v>
      </c>
      <c r="L841" s="130" t="str">
        <f t="shared" si="13"/>
        <v>005-00000195</v>
      </c>
    </row>
    <row r="842" spans="1:12" hidden="1" x14ac:dyDescent="0.25">
      <c r="A842" s="130" t="s">
        <v>1073</v>
      </c>
      <c r="B842" s="130" t="s">
        <v>1074</v>
      </c>
      <c r="C842" s="132" t="s">
        <v>153</v>
      </c>
      <c r="D842" s="129">
        <v>1</v>
      </c>
      <c r="E842" s="129">
        <v>17.550899999999999</v>
      </c>
      <c r="F842" s="129">
        <v>17.550899999999999</v>
      </c>
      <c r="G842" s="129">
        <v>59.321998999999998</v>
      </c>
      <c r="H842" s="129">
        <v>59.321998999999998</v>
      </c>
      <c r="I842" s="131" t="s">
        <v>87</v>
      </c>
      <c r="J842" s="132" t="s">
        <v>102</v>
      </c>
      <c r="K842" s="130" t="s">
        <v>1559</v>
      </c>
      <c r="L842" s="130" t="str">
        <f t="shared" si="13"/>
        <v>005-00000195</v>
      </c>
    </row>
    <row r="843" spans="1:12" hidden="1" x14ac:dyDescent="0.25">
      <c r="A843" s="130" t="s">
        <v>1099</v>
      </c>
      <c r="B843" s="130" t="s">
        <v>1100</v>
      </c>
      <c r="C843" s="132" t="s">
        <v>153</v>
      </c>
      <c r="D843" s="129">
        <v>1</v>
      </c>
      <c r="E843" s="129">
        <v>22.565398999999999</v>
      </c>
      <c r="F843" s="129">
        <v>22.565398999999999</v>
      </c>
      <c r="G843" s="129">
        <v>76.271202000000002</v>
      </c>
      <c r="H843" s="129">
        <v>76.271202000000002</v>
      </c>
      <c r="I843" s="131" t="s">
        <v>87</v>
      </c>
      <c r="J843" s="132" t="s">
        <v>102</v>
      </c>
      <c r="K843" s="130" t="s">
        <v>1559</v>
      </c>
      <c r="L843" s="130" t="str">
        <f t="shared" si="13"/>
        <v>005-00000195</v>
      </c>
    </row>
    <row r="844" spans="1:12" hidden="1" x14ac:dyDescent="0.25">
      <c r="A844" s="130" t="s">
        <v>304</v>
      </c>
      <c r="B844" s="130" t="s">
        <v>305</v>
      </c>
      <c r="C844" s="132" t="s">
        <v>150</v>
      </c>
      <c r="D844" s="129">
        <v>1</v>
      </c>
      <c r="E844" s="129">
        <v>8.7754002</v>
      </c>
      <c r="F844" s="129">
        <v>8.7754002</v>
      </c>
      <c r="G844" s="129">
        <v>29.660999</v>
      </c>
      <c r="H844" s="129">
        <v>29.660999000000007</v>
      </c>
      <c r="I844" s="131" t="s">
        <v>87</v>
      </c>
      <c r="J844" s="132" t="s">
        <v>102</v>
      </c>
      <c r="K844" s="130" t="s">
        <v>1554</v>
      </c>
      <c r="L844" s="130" t="str">
        <f t="shared" si="13"/>
        <v>005-00000196</v>
      </c>
    </row>
    <row r="845" spans="1:12" hidden="1" x14ac:dyDescent="0.25">
      <c r="A845" s="130" t="s">
        <v>306</v>
      </c>
      <c r="B845" s="130" t="s">
        <v>307</v>
      </c>
      <c r="C845" s="132" t="s">
        <v>150</v>
      </c>
      <c r="D845" s="129">
        <v>1</v>
      </c>
      <c r="E845" s="129">
        <v>7.5217999999999998</v>
      </c>
      <c r="F845" s="129">
        <v>7.521799999999998</v>
      </c>
      <c r="G845" s="129">
        <v>25.4237</v>
      </c>
      <c r="H845" s="129">
        <v>25.423700000000004</v>
      </c>
      <c r="I845" s="131" t="s">
        <v>87</v>
      </c>
      <c r="J845" s="132" t="s">
        <v>102</v>
      </c>
      <c r="K845" s="130" t="s">
        <v>1554</v>
      </c>
      <c r="L845" s="130" t="str">
        <f t="shared" si="13"/>
        <v>005-00000196</v>
      </c>
    </row>
    <row r="846" spans="1:12" hidden="1" x14ac:dyDescent="0.25">
      <c r="A846" s="130" t="s">
        <v>546</v>
      </c>
      <c r="B846" s="130" t="s">
        <v>547</v>
      </c>
      <c r="C846" s="132" t="s">
        <v>153</v>
      </c>
      <c r="D846" s="129">
        <v>1</v>
      </c>
      <c r="E846" s="129">
        <v>20.058201</v>
      </c>
      <c r="F846" s="129">
        <v>20.058201</v>
      </c>
      <c r="G846" s="129">
        <v>67.796599999999998</v>
      </c>
      <c r="H846" s="129">
        <v>67.796599999999998</v>
      </c>
      <c r="I846" s="131" t="s">
        <v>87</v>
      </c>
      <c r="J846" s="132" t="s">
        <v>102</v>
      </c>
      <c r="K846" s="130" t="s">
        <v>1554</v>
      </c>
      <c r="L846" s="130" t="str">
        <f t="shared" si="13"/>
        <v>005-00000196</v>
      </c>
    </row>
    <row r="847" spans="1:12" hidden="1" x14ac:dyDescent="0.25">
      <c r="A847" s="130" t="s">
        <v>1073</v>
      </c>
      <c r="B847" s="130" t="s">
        <v>1074</v>
      </c>
      <c r="C847" s="132" t="s">
        <v>153</v>
      </c>
      <c r="D847" s="129">
        <v>1</v>
      </c>
      <c r="E847" s="129">
        <v>17.550899999999999</v>
      </c>
      <c r="F847" s="129">
        <v>17.550899999999999</v>
      </c>
      <c r="G847" s="129">
        <v>59.321998999999998</v>
      </c>
      <c r="H847" s="129">
        <v>59.321998999999998</v>
      </c>
      <c r="I847" s="131" t="s">
        <v>87</v>
      </c>
      <c r="J847" s="132" t="s">
        <v>102</v>
      </c>
      <c r="K847" s="130" t="s">
        <v>1554</v>
      </c>
      <c r="L847" s="130" t="str">
        <f t="shared" si="13"/>
        <v>005-00000196</v>
      </c>
    </row>
    <row r="848" spans="1:12" hidden="1" x14ac:dyDescent="0.25">
      <c r="A848" s="130" t="s">
        <v>1573</v>
      </c>
      <c r="B848" s="130" t="s">
        <v>1574</v>
      </c>
      <c r="C848" s="132" t="s">
        <v>153</v>
      </c>
      <c r="D848" s="129">
        <v>1</v>
      </c>
      <c r="E848" s="129">
        <v>22.565398999999999</v>
      </c>
      <c r="F848" s="129">
        <v>22.565398999999999</v>
      </c>
      <c r="G848" s="129">
        <v>76.271202000000002</v>
      </c>
      <c r="H848" s="129">
        <v>76.271202000000002</v>
      </c>
      <c r="I848" s="131" t="s">
        <v>87</v>
      </c>
      <c r="J848" s="132" t="s">
        <v>102</v>
      </c>
      <c r="K848" s="130" t="s">
        <v>1554</v>
      </c>
      <c r="L848" s="130" t="str">
        <f t="shared" si="13"/>
        <v>005-00000196</v>
      </c>
    </row>
    <row r="849" spans="1:12" hidden="1" x14ac:dyDescent="0.25">
      <c r="A849" s="130" t="s">
        <v>1099</v>
      </c>
      <c r="B849" s="130" t="s">
        <v>1100</v>
      </c>
      <c r="C849" s="132" t="s">
        <v>153</v>
      </c>
      <c r="D849" s="129">
        <v>1</v>
      </c>
      <c r="E849" s="129">
        <v>22.565398999999999</v>
      </c>
      <c r="F849" s="129">
        <v>22.565398999999999</v>
      </c>
      <c r="G849" s="129">
        <v>76.271202000000002</v>
      </c>
      <c r="H849" s="129">
        <v>76.271202000000002</v>
      </c>
      <c r="I849" s="131" t="s">
        <v>87</v>
      </c>
      <c r="J849" s="132" t="s">
        <v>102</v>
      </c>
      <c r="K849" s="130" t="s">
        <v>1554</v>
      </c>
      <c r="L849" s="130" t="str">
        <f t="shared" si="13"/>
        <v>005-00000196</v>
      </c>
    </row>
    <row r="850" spans="1:12" hidden="1" x14ac:dyDescent="0.25">
      <c r="A850" s="130" t="s">
        <v>208</v>
      </c>
      <c r="B850" s="130" t="s">
        <v>209</v>
      </c>
      <c r="C850" s="132" t="s">
        <v>150</v>
      </c>
      <c r="D850" s="129">
        <v>1</v>
      </c>
      <c r="E850" s="129">
        <v>3.7608999999999999</v>
      </c>
      <c r="F850" s="129">
        <v>3.760899999999999</v>
      </c>
      <c r="G850" s="129">
        <v>12.7119</v>
      </c>
      <c r="H850" s="129">
        <v>12.711900000000004</v>
      </c>
      <c r="I850" s="131" t="s">
        <v>87</v>
      </c>
      <c r="J850" s="132" t="s">
        <v>102</v>
      </c>
      <c r="K850" s="130" t="s">
        <v>1554</v>
      </c>
      <c r="L850" s="130" t="str">
        <f t="shared" si="13"/>
        <v>005-00000196</v>
      </c>
    </row>
    <row r="851" spans="1:12" hidden="1" x14ac:dyDescent="0.25">
      <c r="A851" s="130" t="s">
        <v>397</v>
      </c>
      <c r="B851" s="130" t="s">
        <v>398</v>
      </c>
      <c r="C851" s="132" t="s">
        <v>150</v>
      </c>
      <c r="D851" s="129">
        <v>1</v>
      </c>
      <c r="E851" s="129">
        <v>3.7608999999999999</v>
      </c>
      <c r="F851" s="129">
        <v>3.760899999999999</v>
      </c>
      <c r="G851" s="129">
        <v>12.7119</v>
      </c>
      <c r="H851" s="129">
        <v>12.711900000000004</v>
      </c>
      <c r="I851" s="131" t="s">
        <v>87</v>
      </c>
      <c r="J851" s="132" t="s">
        <v>102</v>
      </c>
      <c r="K851" s="130" t="s">
        <v>1560</v>
      </c>
      <c r="L851" s="130" t="str">
        <f t="shared" si="13"/>
        <v>005-00000194</v>
      </c>
    </row>
    <row r="852" spans="1:12" hidden="1" x14ac:dyDescent="0.25">
      <c r="A852" s="130" t="s">
        <v>1073</v>
      </c>
      <c r="B852" s="130" t="s">
        <v>1074</v>
      </c>
      <c r="C852" s="132" t="s">
        <v>153</v>
      </c>
      <c r="D852" s="129">
        <v>1</v>
      </c>
      <c r="E852" s="129">
        <v>17.550899999999999</v>
      </c>
      <c r="F852" s="129">
        <v>17.550899999999999</v>
      </c>
      <c r="G852" s="129">
        <v>59.321998999999998</v>
      </c>
      <c r="H852" s="129">
        <v>59.321998999999998</v>
      </c>
      <c r="I852" s="131" t="s">
        <v>87</v>
      </c>
      <c r="J852" s="132" t="s">
        <v>102</v>
      </c>
      <c r="K852" s="130" t="s">
        <v>1560</v>
      </c>
      <c r="L852" s="130" t="str">
        <f t="shared" si="13"/>
        <v>005-00000194</v>
      </c>
    </row>
    <row r="853" spans="1:12" hidden="1" x14ac:dyDescent="0.25">
      <c r="A853" s="130" t="s">
        <v>546</v>
      </c>
      <c r="B853" s="130" t="s">
        <v>547</v>
      </c>
      <c r="C853" s="132" t="s">
        <v>153</v>
      </c>
      <c r="D853" s="129">
        <v>1</v>
      </c>
      <c r="E853" s="129">
        <v>20.058201</v>
      </c>
      <c r="F853" s="129">
        <v>20.058201</v>
      </c>
      <c r="G853" s="129">
        <v>67.796599999999998</v>
      </c>
      <c r="H853" s="129">
        <v>67.796599999999998</v>
      </c>
      <c r="I853" s="131" t="s">
        <v>87</v>
      </c>
      <c r="J853" s="132" t="s">
        <v>102</v>
      </c>
      <c r="K853" s="130" t="s">
        <v>1560</v>
      </c>
      <c r="L853" s="130" t="str">
        <f t="shared" si="13"/>
        <v>005-00000194</v>
      </c>
    </row>
    <row r="854" spans="1:12" hidden="1" x14ac:dyDescent="0.25">
      <c r="A854" s="130" t="s">
        <v>1573</v>
      </c>
      <c r="B854" s="130" t="s">
        <v>1574</v>
      </c>
      <c r="C854" s="132" t="s">
        <v>153</v>
      </c>
      <c r="D854" s="129">
        <v>1</v>
      </c>
      <c r="E854" s="129">
        <v>22.565398999999999</v>
      </c>
      <c r="F854" s="129">
        <v>22.565398999999999</v>
      </c>
      <c r="G854" s="129">
        <v>76.271202000000002</v>
      </c>
      <c r="H854" s="129">
        <v>76.271202000000002</v>
      </c>
      <c r="I854" s="131" t="s">
        <v>87</v>
      </c>
      <c r="J854" s="132" t="s">
        <v>102</v>
      </c>
      <c r="K854" s="130" t="s">
        <v>1560</v>
      </c>
      <c r="L854" s="130" t="str">
        <f t="shared" si="13"/>
        <v>005-00000194</v>
      </c>
    </row>
    <row r="855" spans="1:12" hidden="1" x14ac:dyDescent="0.25">
      <c r="A855" s="130" t="s">
        <v>1073</v>
      </c>
      <c r="B855" s="130" t="s">
        <v>1074</v>
      </c>
      <c r="C855" s="132" t="s">
        <v>150</v>
      </c>
      <c r="D855" s="129">
        <v>1</v>
      </c>
      <c r="E855" s="129">
        <v>11.2827</v>
      </c>
      <c r="F855" s="129">
        <v>11.282700000000002</v>
      </c>
      <c r="G855" s="129">
        <v>38.135601000000001</v>
      </c>
      <c r="H855" s="129">
        <v>38.135601000000001</v>
      </c>
      <c r="I855" s="131" t="s">
        <v>87</v>
      </c>
      <c r="J855" s="132" t="s">
        <v>102</v>
      </c>
      <c r="K855" s="130" t="s">
        <v>645</v>
      </c>
      <c r="L855" s="130" t="str">
        <f t="shared" si="13"/>
        <v>005-00000056</v>
      </c>
    </row>
    <row r="856" spans="1:12" hidden="1" x14ac:dyDescent="0.25">
      <c r="A856" s="130" t="s">
        <v>445</v>
      </c>
      <c r="B856" s="130" t="s">
        <v>446</v>
      </c>
      <c r="C856" s="132" t="s">
        <v>150</v>
      </c>
      <c r="D856" s="129">
        <v>1</v>
      </c>
      <c r="E856" s="129">
        <v>31.340900000000001</v>
      </c>
      <c r="F856" s="129">
        <v>31.340900000000001</v>
      </c>
      <c r="G856" s="129">
        <v>105.93219999999999</v>
      </c>
      <c r="H856" s="129">
        <v>105.93219999999999</v>
      </c>
      <c r="I856" s="131" t="s">
        <v>87</v>
      </c>
      <c r="J856" s="132" t="s">
        <v>102</v>
      </c>
      <c r="K856" s="130" t="s">
        <v>645</v>
      </c>
      <c r="L856" s="130" t="str">
        <f t="shared" si="13"/>
        <v>005-00000056</v>
      </c>
    </row>
    <row r="857" spans="1:12" hidden="1" x14ac:dyDescent="0.25">
      <c r="A857" s="130" t="s">
        <v>302</v>
      </c>
      <c r="B857" s="130" t="s">
        <v>303</v>
      </c>
      <c r="C857" s="132" t="s">
        <v>150</v>
      </c>
      <c r="D857" s="129">
        <v>1</v>
      </c>
      <c r="E857" s="129">
        <v>48.891800000000003</v>
      </c>
      <c r="F857" s="129">
        <v>48.891800000000003</v>
      </c>
      <c r="G857" s="129">
        <v>165.25419999999997</v>
      </c>
      <c r="H857" s="129">
        <v>165.25419999999997</v>
      </c>
      <c r="I857" s="131" t="s">
        <v>87</v>
      </c>
      <c r="J857" s="132" t="s">
        <v>102</v>
      </c>
      <c r="K857" s="130" t="s">
        <v>645</v>
      </c>
      <c r="L857" s="130" t="str">
        <f t="shared" si="13"/>
        <v>005-00000056</v>
      </c>
    </row>
    <row r="858" spans="1:12" hidden="1" x14ac:dyDescent="0.25">
      <c r="A858" s="130" t="s">
        <v>1535</v>
      </c>
      <c r="B858" s="130" t="s">
        <v>1536</v>
      </c>
      <c r="C858" s="132" t="s">
        <v>150</v>
      </c>
      <c r="D858" s="129">
        <v>1</v>
      </c>
      <c r="E858" s="129">
        <v>3.7608999999999999</v>
      </c>
      <c r="F858" s="129">
        <v>3.760899999999999</v>
      </c>
      <c r="G858" s="129">
        <v>12.7119</v>
      </c>
      <c r="H858" s="129">
        <v>12.711900000000004</v>
      </c>
      <c r="I858" s="131" t="s">
        <v>87</v>
      </c>
      <c r="J858" s="132" t="s">
        <v>102</v>
      </c>
      <c r="K858" s="130" t="s">
        <v>1575</v>
      </c>
      <c r="L858" s="130" t="str">
        <f t="shared" si="13"/>
        <v>005-00000186</v>
      </c>
    </row>
    <row r="859" spans="1:12" hidden="1" x14ac:dyDescent="0.25">
      <c r="A859" s="130" t="s">
        <v>1073</v>
      </c>
      <c r="B859" s="130" t="s">
        <v>1074</v>
      </c>
      <c r="C859" s="132" t="s">
        <v>153</v>
      </c>
      <c r="D859" s="129">
        <v>1</v>
      </c>
      <c r="E859" s="129">
        <v>17.550899999999999</v>
      </c>
      <c r="F859" s="129">
        <v>17.550899999999999</v>
      </c>
      <c r="G859" s="129">
        <v>59.321998999999998</v>
      </c>
      <c r="H859" s="129">
        <v>59.321998999999998</v>
      </c>
      <c r="I859" s="131" t="s">
        <v>87</v>
      </c>
      <c r="J859" s="132" t="s">
        <v>102</v>
      </c>
      <c r="K859" s="130" t="s">
        <v>1575</v>
      </c>
      <c r="L859" s="130" t="str">
        <f t="shared" si="13"/>
        <v>005-00000186</v>
      </c>
    </row>
    <row r="860" spans="1:12" hidden="1" x14ac:dyDescent="0.25">
      <c r="A860" s="130" t="s">
        <v>546</v>
      </c>
      <c r="B860" s="130" t="s">
        <v>547</v>
      </c>
      <c r="C860" s="132" t="s">
        <v>153</v>
      </c>
      <c r="D860" s="129">
        <v>1</v>
      </c>
      <c r="E860" s="129">
        <v>20.058201</v>
      </c>
      <c r="F860" s="129">
        <v>20.058201</v>
      </c>
      <c r="G860" s="129">
        <v>67.796599999999998</v>
      </c>
      <c r="H860" s="129">
        <v>67.796599999999998</v>
      </c>
      <c r="I860" s="131" t="s">
        <v>87</v>
      </c>
      <c r="J860" s="132" t="s">
        <v>102</v>
      </c>
      <c r="K860" s="130" t="s">
        <v>1575</v>
      </c>
      <c r="L860" s="130" t="str">
        <f t="shared" si="13"/>
        <v>005-00000186</v>
      </c>
    </row>
    <row r="861" spans="1:12" hidden="1" x14ac:dyDescent="0.25">
      <c r="A861" s="130" t="s">
        <v>1576</v>
      </c>
      <c r="B861" s="130" t="s">
        <v>1577</v>
      </c>
      <c r="C861" s="132" t="s">
        <v>153</v>
      </c>
      <c r="D861" s="129">
        <v>1</v>
      </c>
      <c r="E861" s="129">
        <v>15.0436</v>
      </c>
      <c r="F861" s="129">
        <v>15.043599999999996</v>
      </c>
      <c r="G861" s="129">
        <v>50.847499999999997</v>
      </c>
      <c r="H861" s="129">
        <v>50.847499999999997</v>
      </c>
      <c r="I861" s="131" t="s">
        <v>87</v>
      </c>
      <c r="J861" s="132" t="s">
        <v>102</v>
      </c>
      <c r="K861" s="130" t="s">
        <v>1575</v>
      </c>
      <c r="L861" s="130" t="str">
        <f t="shared" si="13"/>
        <v>005-00000186</v>
      </c>
    </row>
    <row r="862" spans="1:12" hidden="1" x14ac:dyDescent="0.25">
      <c r="A862" s="130" t="s">
        <v>399</v>
      </c>
      <c r="B862" s="130" t="s">
        <v>400</v>
      </c>
      <c r="C862" s="132" t="s">
        <v>153</v>
      </c>
      <c r="D862" s="129">
        <v>1</v>
      </c>
      <c r="E862" s="129">
        <v>42.623600000000003</v>
      </c>
      <c r="F862" s="129">
        <v>42.623600000000003</v>
      </c>
      <c r="G862" s="129">
        <v>144.06779</v>
      </c>
      <c r="H862" s="129">
        <v>144.06779</v>
      </c>
      <c r="I862" s="131" t="s">
        <v>87</v>
      </c>
      <c r="J862" s="132" t="s">
        <v>102</v>
      </c>
      <c r="K862" s="130" t="s">
        <v>1575</v>
      </c>
      <c r="L862" s="130" t="str">
        <f t="shared" si="13"/>
        <v>005-00000186</v>
      </c>
    </row>
    <row r="863" spans="1:12" hidden="1" x14ac:dyDescent="0.25">
      <c r="A863" s="130" t="s">
        <v>1081</v>
      </c>
      <c r="B863" s="130" t="s">
        <v>1010</v>
      </c>
      <c r="C863" s="132" t="s">
        <v>153</v>
      </c>
      <c r="D863" s="129">
        <v>1</v>
      </c>
      <c r="E863" s="129">
        <v>35.101799</v>
      </c>
      <c r="F863" s="129">
        <v>35.101799000000007</v>
      </c>
      <c r="G863" s="129">
        <v>118.64409999999999</v>
      </c>
      <c r="H863" s="129">
        <v>118.64410000000002</v>
      </c>
      <c r="I863" s="131" t="s">
        <v>87</v>
      </c>
      <c r="J863" s="132" t="s">
        <v>102</v>
      </c>
      <c r="K863" s="130" t="s">
        <v>1575</v>
      </c>
      <c r="L863" s="130" t="str">
        <f t="shared" si="13"/>
        <v>005-00000186</v>
      </c>
    </row>
    <row r="864" spans="1:12" hidden="1" x14ac:dyDescent="0.25">
      <c r="A864" s="130" t="s">
        <v>1578</v>
      </c>
      <c r="B864" s="130" t="s">
        <v>1579</v>
      </c>
      <c r="C864" s="132" t="s">
        <v>150</v>
      </c>
      <c r="D864" s="129">
        <v>1</v>
      </c>
      <c r="E864" s="129">
        <v>65.093102000000002</v>
      </c>
      <c r="F864" s="129">
        <v>65.093102000000002</v>
      </c>
      <c r="G864" s="129">
        <v>220.34</v>
      </c>
      <c r="H864" s="129">
        <v>220.34</v>
      </c>
      <c r="I864" s="131" t="s">
        <v>87</v>
      </c>
      <c r="J864" s="132" t="s">
        <v>102</v>
      </c>
      <c r="K864" s="130" t="s">
        <v>1558</v>
      </c>
      <c r="L864" s="130" t="str">
        <f t="shared" si="13"/>
        <v>005-00000198</v>
      </c>
    </row>
    <row r="865" spans="1:12" hidden="1" x14ac:dyDescent="0.25">
      <c r="A865" s="130" t="s">
        <v>1578</v>
      </c>
      <c r="B865" s="130" t="s">
        <v>1579</v>
      </c>
      <c r="C865" s="132" t="s">
        <v>150</v>
      </c>
      <c r="D865" s="129">
        <v>1</v>
      </c>
      <c r="E865" s="129">
        <v>67.595298999999997</v>
      </c>
      <c r="F865" s="129">
        <v>67.595299000000011</v>
      </c>
      <c r="G865" s="129">
        <v>228.81</v>
      </c>
      <c r="H865" s="129">
        <v>228.81</v>
      </c>
      <c r="I865" s="131" t="s">
        <v>87</v>
      </c>
      <c r="J865" s="132" t="s">
        <v>102</v>
      </c>
      <c r="K865" s="130" t="s">
        <v>1553</v>
      </c>
      <c r="L865" s="130" t="str">
        <f t="shared" si="13"/>
        <v>005-00000188</v>
      </c>
    </row>
    <row r="866" spans="1:12" hidden="1" x14ac:dyDescent="0.25">
      <c r="A866" s="130" t="s">
        <v>1515</v>
      </c>
      <c r="B866" s="130" t="s">
        <v>1516</v>
      </c>
      <c r="C866" s="132" t="s">
        <v>150</v>
      </c>
      <c r="D866" s="129">
        <v>4</v>
      </c>
      <c r="E866" s="129">
        <v>37.017398999999997</v>
      </c>
      <c r="F866" s="129">
        <v>148.06959599999999</v>
      </c>
      <c r="G866" s="129">
        <v>125</v>
      </c>
      <c r="H866" s="129">
        <v>500</v>
      </c>
      <c r="I866" s="131" t="s">
        <v>87</v>
      </c>
      <c r="J866" s="132" t="s">
        <v>102</v>
      </c>
      <c r="K866" s="130" t="s">
        <v>1561</v>
      </c>
      <c r="L866" s="130" t="str">
        <f t="shared" si="13"/>
        <v>005-00000197</v>
      </c>
    </row>
    <row r="867" spans="1:12" hidden="1" x14ac:dyDescent="0.25">
      <c r="A867" s="130" t="s">
        <v>612</v>
      </c>
      <c r="B867" s="130" t="s">
        <v>613</v>
      </c>
      <c r="C867" s="132" t="s">
        <v>150</v>
      </c>
      <c r="D867" s="129">
        <v>4</v>
      </c>
      <c r="E867" s="129">
        <v>19.247999</v>
      </c>
      <c r="F867" s="129">
        <v>76.991996</v>
      </c>
      <c r="G867" s="129">
        <v>65</v>
      </c>
      <c r="H867" s="129">
        <v>260</v>
      </c>
      <c r="I867" s="131" t="s">
        <v>87</v>
      </c>
      <c r="J867" s="132" t="s">
        <v>102</v>
      </c>
      <c r="K867" s="130" t="s">
        <v>1561</v>
      </c>
      <c r="L867" s="130" t="str">
        <f t="shared" si="13"/>
        <v>005-00000197</v>
      </c>
    </row>
    <row r="868" spans="1:12" hidden="1" x14ac:dyDescent="0.25">
      <c r="A868" s="130" t="s">
        <v>1580</v>
      </c>
      <c r="B868" s="130" t="s">
        <v>1581</v>
      </c>
      <c r="C868" s="132" t="s">
        <v>150</v>
      </c>
      <c r="D868" s="129">
        <v>4</v>
      </c>
      <c r="E868" s="129">
        <v>36.982201000000003</v>
      </c>
      <c r="F868" s="129">
        <v>147.92880400000001</v>
      </c>
      <c r="G868" s="129">
        <v>125</v>
      </c>
      <c r="H868" s="129">
        <v>500</v>
      </c>
      <c r="I868" s="131" t="s">
        <v>87</v>
      </c>
      <c r="J868" s="132" t="s">
        <v>102</v>
      </c>
      <c r="K868" s="130" t="s">
        <v>645</v>
      </c>
      <c r="L868" s="130" t="str">
        <f t="shared" si="13"/>
        <v>005-00000056</v>
      </c>
    </row>
    <row r="869" spans="1:12" hidden="1" x14ac:dyDescent="0.25">
      <c r="A869" s="130" t="s">
        <v>1038</v>
      </c>
      <c r="B869" s="130" t="s">
        <v>1039</v>
      </c>
      <c r="C869" s="132" t="s">
        <v>150</v>
      </c>
      <c r="D869" s="129">
        <v>4</v>
      </c>
      <c r="E869" s="129">
        <v>37.027802000000001</v>
      </c>
      <c r="F869" s="129">
        <v>148.11120800000003</v>
      </c>
      <c r="G869" s="129">
        <v>125</v>
      </c>
      <c r="H869" s="129">
        <v>500</v>
      </c>
      <c r="I869" s="131" t="s">
        <v>87</v>
      </c>
      <c r="J869" s="132" t="s">
        <v>102</v>
      </c>
      <c r="K869" s="130" t="s">
        <v>1555</v>
      </c>
      <c r="L869" s="130" t="str">
        <f t="shared" si="13"/>
        <v>005-00000190</v>
      </c>
    </row>
    <row r="870" spans="1:12" hidden="1" x14ac:dyDescent="0.25">
      <c r="A870" s="130" t="s">
        <v>1582</v>
      </c>
      <c r="B870" s="130" t="s">
        <v>1583</v>
      </c>
      <c r="C870" s="132" t="s">
        <v>150</v>
      </c>
      <c r="D870" s="129">
        <v>2</v>
      </c>
      <c r="E870" s="129">
        <v>36.982201000000003</v>
      </c>
      <c r="F870" s="129">
        <v>73.964402000000007</v>
      </c>
      <c r="G870" s="129">
        <v>125</v>
      </c>
      <c r="H870" s="129">
        <v>250</v>
      </c>
      <c r="I870" s="131" t="s">
        <v>87</v>
      </c>
      <c r="J870" s="132" t="s">
        <v>102</v>
      </c>
      <c r="K870" s="130" t="s">
        <v>1558</v>
      </c>
      <c r="L870" s="130" t="str">
        <f t="shared" si="13"/>
        <v>005-00000198</v>
      </c>
    </row>
    <row r="871" spans="1:12" hidden="1" x14ac:dyDescent="0.25">
      <c r="A871" s="130" t="s">
        <v>612</v>
      </c>
      <c r="B871" s="130" t="s">
        <v>613</v>
      </c>
      <c r="C871" s="132" t="s">
        <v>150</v>
      </c>
      <c r="D871" s="129">
        <v>4</v>
      </c>
      <c r="E871" s="129">
        <v>19.247999</v>
      </c>
      <c r="F871" s="129">
        <v>76.991996</v>
      </c>
      <c r="G871" s="129">
        <v>65</v>
      </c>
      <c r="H871" s="129">
        <v>260</v>
      </c>
      <c r="I871" s="131" t="s">
        <v>87</v>
      </c>
      <c r="J871" s="132" t="s">
        <v>102</v>
      </c>
      <c r="K871" s="130" t="s">
        <v>1558</v>
      </c>
      <c r="L871" s="130" t="str">
        <f t="shared" si="13"/>
        <v>005-00000198</v>
      </c>
    </row>
    <row r="872" spans="1:12" hidden="1" x14ac:dyDescent="0.25">
      <c r="A872" s="130" t="s">
        <v>1117</v>
      </c>
      <c r="B872" s="130" t="s">
        <v>1118</v>
      </c>
      <c r="C872" s="132" t="s">
        <v>150</v>
      </c>
      <c r="D872" s="129">
        <v>4</v>
      </c>
      <c r="E872" s="129">
        <v>36.982201000000003</v>
      </c>
      <c r="F872" s="129">
        <v>147.92880400000001</v>
      </c>
      <c r="G872" s="129">
        <v>125</v>
      </c>
      <c r="H872" s="129">
        <v>500</v>
      </c>
      <c r="I872" s="131" t="s">
        <v>87</v>
      </c>
      <c r="J872" s="132" t="s">
        <v>102</v>
      </c>
      <c r="K872" s="130" t="s">
        <v>1575</v>
      </c>
      <c r="L872" s="130" t="str">
        <f t="shared" si="13"/>
        <v>005-00000186</v>
      </c>
    </row>
    <row r="873" spans="1:12" hidden="1" x14ac:dyDescent="0.25">
      <c r="A873" s="130" t="s">
        <v>612</v>
      </c>
      <c r="B873" s="130" t="s">
        <v>613</v>
      </c>
      <c r="C873" s="132" t="s">
        <v>150</v>
      </c>
      <c r="D873" s="129">
        <v>2</v>
      </c>
      <c r="E873" s="129">
        <v>19.247999</v>
      </c>
      <c r="F873" s="129">
        <v>38.495998</v>
      </c>
      <c r="G873" s="129">
        <v>65</v>
      </c>
      <c r="H873" s="129">
        <v>130</v>
      </c>
      <c r="I873" s="131" t="s">
        <v>87</v>
      </c>
      <c r="J873" s="132" t="s">
        <v>102</v>
      </c>
      <c r="K873" s="130" t="s">
        <v>1575</v>
      </c>
      <c r="L873" s="130" t="str">
        <f t="shared" si="13"/>
        <v>005-00000186</v>
      </c>
    </row>
    <row r="874" spans="1:12" hidden="1" x14ac:dyDescent="0.25">
      <c r="A874" s="130" t="s">
        <v>1117</v>
      </c>
      <c r="B874" s="130" t="s">
        <v>1118</v>
      </c>
      <c r="C874" s="132" t="s">
        <v>150</v>
      </c>
      <c r="D874" s="129">
        <v>3</v>
      </c>
      <c r="E874" s="129">
        <v>36.982201000000003</v>
      </c>
      <c r="F874" s="129">
        <v>110.94660300000001</v>
      </c>
      <c r="G874" s="129">
        <v>125</v>
      </c>
      <c r="H874" s="129">
        <v>375</v>
      </c>
      <c r="I874" s="131" t="s">
        <v>87</v>
      </c>
      <c r="J874" s="132" t="s">
        <v>102</v>
      </c>
      <c r="K874" s="130" t="s">
        <v>1554</v>
      </c>
      <c r="L874" s="130" t="str">
        <f t="shared" si="13"/>
        <v>005-00000196</v>
      </c>
    </row>
    <row r="875" spans="1:12" hidden="1" x14ac:dyDescent="0.25">
      <c r="A875" s="130" t="s">
        <v>612</v>
      </c>
      <c r="B875" s="130" t="s">
        <v>613</v>
      </c>
      <c r="C875" s="132" t="s">
        <v>150</v>
      </c>
      <c r="D875" s="129">
        <v>2</v>
      </c>
      <c r="E875" s="129">
        <v>19.247999</v>
      </c>
      <c r="F875" s="129">
        <v>38.495998</v>
      </c>
      <c r="G875" s="129">
        <v>65</v>
      </c>
      <c r="H875" s="129">
        <v>130</v>
      </c>
      <c r="I875" s="131" t="s">
        <v>87</v>
      </c>
      <c r="J875" s="132" t="s">
        <v>102</v>
      </c>
      <c r="K875" s="130" t="s">
        <v>1554</v>
      </c>
      <c r="L875" s="130" t="str">
        <f t="shared" si="13"/>
        <v>005-00000196</v>
      </c>
    </row>
    <row r="876" spans="1:12" hidden="1" x14ac:dyDescent="0.25">
      <c r="A876" s="130" t="s">
        <v>1117</v>
      </c>
      <c r="B876" s="130" t="s">
        <v>1118</v>
      </c>
      <c r="C876" s="132" t="s">
        <v>150</v>
      </c>
      <c r="D876" s="129">
        <v>2</v>
      </c>
      <c r="E876" s="129">
        <v>36.982201000000003</v>
      </c>
      <c r="F876" s="129">
        <v>73.964402000000007</v>
      </c>
      <c r="G876" s="129">
        <v>125</v>
      </c>
      <c r="H876" s="129">
        <v>250</v>
      </c>
      <c r="I876" s="131" t="s">
        <v>87</v>
      </c>
      <c r="J876" s="132" t="s">
        <v>102</v>
      </c>
      <c r="K876" s="130" t="s">
        <v>1560</v>
      </c>
      <c r="L876" s="130" t="str">
        <f t="shared" si="13"/>
        <v>005-00000194</v>
      </c>
    </row>
    <row r="877" spans="1:12" hidden="1" x14ac:dyDescent="0.25">
      <c r="A877" s="130" t="s">
        <v>612</v>
      </c>
      <c r="B877" s="130" t="s">
        <v>613</v>
      </c>
      <c r="C877" s="132" t="s">
        <v>150</v>
      </c>
      <c r="D877" s="129">
        <v>2</v>
      </c>
      <c r="E877" s="129">
        <v>19.247999</v>
      </c>
      <c r="F877" s="129">
        <v>38.495998</v>
      </c>
      <c r="G877" s="129">
        <v>65</v>
      </c>
      <c r="H877" s="129">
        <v>130</v>
      </c>
      <c r="I877" s="131" t="s">
        <v>87</v>
      </c>
      <c r="J877" s="132" t="s">
        <v>102</v>
      </c>
      <c r="K877" s="130" t="s">
        <v>1560</v>
      </c>
      <c r="L877" s="130" t="str">
        <f t="shared" si="13"/>
        <v>005-00000194</v>
      </c>
    </row>
    <row r="878" spans="1:12" hidden="1" x14ac:dyDescent="0.25">
      <c r="A878" s="130" t="s">
        <v>1117</v>
      </c>
      <c r="B878" s="130" t="s">
        <v>1118</v>
      </c>
      <c r="C878" s="132" t="s">
        <v>150</v>
      </c>
      <c r="D878" s="129">
        <v>4</v>
      </c>
      <c r="E878" s="129">
        <v>36.982201000000003</v>
      </c>
      <c r="F878" s="129">
        <v>147.92880400000001</v>
      </c>
      <c r="G878" s="129">
        <v>125</v>
      </c>
      <c r="H878" s="129">
        <v>500</v>
      </c>
      <c r="I878" s="131" t="s">
        <v>87</v>
      </c>
      <c r="J878" s="132" t="s">
        <v>102</v>
      </c>
      <c r="K878" s="130" t="s">
        <v>1559</v>
      </c>
      <c r="L878" s="130" t="str">
        <f t="shared" si="13"/>
        <v>005-00000195</v>
      </c>
    </row>
    <row r="879" spans="1:12" hidden="1" x14ac:dyDescent="0.25">
      <c r="A879" s="130" t="s">
        <v>1117</v>
      </c>
      <c r="B879" s="130" t="s">
        <v>1118</v>
      </c>
      <c r="C879" s="132" t="s">
        <v>150</v>
      </c>
      <c r="D879" s="129">
        <v>4</v>
      </c>
      <c r="E879" s="129">
        <v>36.982201000000003</v>
      </c>
      <c r="F879" s="129">
        <v>147.92880400000001</v>
      </c>
      <c r="G879" s="129">
        <v>125</v>
      </c>
      <c r="H879" s="129">
        <v>500</v>
      </c>
      <c r="I879" s="131" t="s">
        <v>87</v>
      </c>
      <c r="J879" s="132" t="s">
        <v>102</v>
      </c>
      <c r="K879" s="130" t="s">
        <v>1517</v>
      </c>
      <c r="L879" s="130" t="str">
        <f t="shared" si="13"/>
        <v>005-00000178</v>
      </c>
    </row>
    <row r="880" spans="1:12" hidden="1" x14ac:dyDescent="0.25">
      <c r="A880" s="130" t="s">
        <v>612</v>
      </c>
      <c r="B880" s="130" t="s">
        <v>613</v>
      </c>
      <c r="C880" s="132" t="s">
        <v>150</v>
      </c>
      <c r="D880" s="129">
        <v>2</v>
      </c>
      <c r="E880" s="129">
        <v>19.247999</v>
      </c>
      <c r="F880" s="129">
        <v>38.495998</v>
      </c>
      <c r="G880" s="129">
        <v>65</v>
      </c>
      <c r="H880" s="129">
        <v>130</v>
      </c>
      <c r="I880" s="131" t="s">
        <v>87</v>
      </c>
      <c r="J880" s="132" t="s">
        <v>102</v>
      </c>
      <c r="K880" s="130" t="s">
        <v>1517</v>
      </c>
      <c r="L880" s="130" t="str">
        <f t="shared" si="13"/>
        <v>005-00000178</v>
      </c>
    </row>
    <row r="881" spans="1:12" hidden="1" x14ac:dyDescent="0.25">
      <c r="A881" s="130" t="s">
        <v>1584</v>
      </c>
      <c r="B881" s="130" t="s">
        <v>1585</v>
      </c>
      <c r="C881" s="132" t="s">
        <v>153</v>
      </c>
      <c r="D881" s="129">
        <v>1</v>
      </c>
      <c r="E881" s="129">
        <v>10.8314</v>
      </c>
      <c r="F881" s="129">
        <v>10.8314</v>
      </c>
      <c r="G881" s="129">
        <v>36.610000999999997</v>
      </c>
      <c r="H881" s="129">
        <v>36.61000099999999</v>
      </c>
      <c r="I881" s="131" t="s">
        <v>87</v>
      </c>
      <c r="J881" s="132" t="s">
        <v>102</v>
      </c>
      <c r="K881" s="130" t="s">
        <v>699</v>
      </c>
      <c r="L881" s="130" t="str">
        <f t="shared" si="13"/>
        <v>005-00000166</v>
      </c>
    </row>
    <row r="882" spans="1:12" hidden="1" x14ac:dyDescent="0.25">
      <c r="A882" s="130" t="s">
        <v>1586</v>
      </c>
      <c r="B882" s="130" t="s">
        <v>1587</v>
      </c>
      <c r="C882" s="132" t="s">
        <v>150</v>
      </c>
      <c r="D882" s="129">
        <v>1</v>
      </c>
      <c r="E882" s="129">
        <v>5.0148001000000004</v>
      </c>
      <c r="F882" s="129">
        <v>5.0148000999999995</v>
      </c>
      <c r="G882" s="129">
        <v>16.950001</v>
      </c>
      <c r="H882" s="129">
        <v>16.950001</v>
      </c>
      <c r="I882" s="131" t="s">
        <v>87</v>
      </c>
      <c r="J882" s="132" t="s">
        <v>102</v>
      </c>
      <c r="K882" s="130" t="s">
        <v>700</v>
      </c>
      <c r="L882" s="130" t="str">
        <f t="shared" si="13"/>
        <v>005-00000165</v>
      </c>
    </row>
    <row r="883" spans="1:12" hidden="1" x14ac:dyDescent="0.25">
      <c r="A883" s="130" t="s">
        <v>397</v>
      </c>
      <c r="B883" s="130" t="s">
        <v>398</v>
      </c>
      <c r="C883" s="132" t="s">
        <v>150</v>
      </c>
      <c r="D883" s="129">
        <v>1</v>
      </c>
      <c r="E883" s="129">
        <v>3.7530999000000005</v>
      </c>
      <c r="F883" s="129">
        <v>3.7530998999999996</v>
      </c>
      <c r="G883" s="129">
        <v>12.7119</v>
      </c>
      <c r="H883" s="129">
        <v>12.711900000000004</v>
      </c>
      <c r="I883" s="131" t="s">
        <v>87</v>
      </c>
      <c r="J883" s="132" t="s">
        <v>102</v>
      </c>
      <c r="K883" s="130" t="s">
        <v>700</v>
      </c>
      <c r="L883" s="130" t="str">
        <f t="shared" si="13"/>
        <v>005-00000165</v>
      </c>
    </row>
    <row r="884" spans="1:12" hidden="1" x14ac:dyDescent="0.25">
      <c r="A884" s="130" t="s">
        <v>1588</v>
      </c>
      <c r="B884" s="130" t="s">
        <v>1589</v>
      </c>
      <c r="C884" s="132" t="s">
        <v>150</v>
      </c>
      <c r="D884" s="129">
        <v>1</v>
      </c>
      <c r="E884" s="129">
        <v>12.510399999999999</v>
      </c>
      <c r="F884" s="129">
        <v>12.510399999999999</v>
      </c>
      <c r="G884" s="129">
        <v>42.372897999999992</v>
      </c>
      <c r="H884" s="129">
        <v>42.372897999999985</v>
      </c>
      <c r="I884" s="131" t="s">
        <v>87</v>
      </c>
      <c r="J884" s="132" t="s">
        <v>102</v>
      </c>
      <c r="K884" s="130" t="s">
        <v>699</v>
      </c>
      <c r="L884" s="130" t="str">
        <f t="shared" si="13"/>
        <v>005-00000166</v>
      </c>
    </row>
    <row r="885" spans="1:12" hidden="1" x14ac:dyDescent="0.25">
      <c r="A885" s="130" t="s">
        <v>554</v>
      </c>
      <c r="B885" s="130" t="s">
        <v>555</v>
      </c>
      <c r="C885" s="132" t="s">
        <v>150</v>
      </c>
      <c r="D885" s="129">
        <v>1</v>
      </c>
      <c r="E885" s="129">
        <v>21.030000999999999</v>
      </c>
      <c r="F885" s="129">
        <v>21.030000999999992</v>
      </c>
      <c r="G885" s="129">
        <v>71.186401000000004</v>
      </c>
      <c r="H885" s="129">
        <v>71.186401000000004</v>
      </c>
      <c r="I885" s="131" t="s">
        <v>87</v>
      </c>
      <c r="J885" s="132" t="s">
        <v>102</v>
      </c>
      <c r="K885" s="130" t="s">
        <v>1554</v>
      </c>
      <c r="L885" s="130" t="str">
        <f t="shared" si="13"/>
        <v>005-00000196</v>
      </c>
    </row>
    <row r="886" spans="1:12" hidden="1" x14ac:dyDescent="0.25">
      <c r="A886" s="130" t="s">
        <v>1472</v>
      </c>
      <c r="B886" s="130" t="s">
        <v>1473</v>
      </c>
      <c r="C886" s="132" t="s">
        <v>153</v>
      </c>
      <c r="D886" s="129">
        <v>1</v>
      </c>
      <c r="E886" s="129">
        <v>50.071300999999991</v>
      </c>
      <c r="F886" s="129">
        <v>50.071300999999984</v>
      </c>
      <c r="G886" s="129">
        <v>169.4915</v>
      </c>
      <c r="H886" s="129">
        <v>169.49150000000006</v>
      </c>
      <c r="I886" s="131" t="s">
        <v>87</v>
      </c>
      <c r="J886" s="132" t="s">
        <v>102</v>
      </c>
      <c r="K886" s="130" t="s">
        <v>1554</v>
      </c>
      <c r="L886" s="130" t="str">
        <f t="shared" si="13"/>
        <v>005-00000196</v>
      </c>
    </row>
    <row r="887" spans="1:12" hidden="1" x14ac:dyDescent="0.25">
      <c r="A887" s="130" t="s">
        <v>1590</v>
      </c>
      <c r="B887" s="130" t="s">
        <v>1591</v>
      </c>
      <c r="C887" s="132" t="s">
        <v>153</v>
      </c>
      <c r="D887" s="129">
        <v>1</v>
      </c>
      <c r="E887" s="129">
        <v>42.560699000000007</v>
      </c>
      <c r="F887" s="129">
        <v>42.560699000000014</v>
      </c>
      <c r="G887" s="129">
        <v>144.06779</v>
      </c>
      <c r="H887" s="129">
        <v>144.06779</v>
      </c>
      <c r="I887" s="131" t="s">
        <v>87</v>
      </c>
      <c r="J887" s="132" t="s">
        <v>102</v>
      </c>
      <c r="K887" s="130" t="s">
        <v>1554</v>
      </c>
      <c r="L887" s="130" t="str">
        <f t="shared" si="13"/>
        <v>005-00000196</v>
      </c>
    </row>
    <row r="888" spans="1:12" hidden="1" x14ac:dyDescent="0.25">
      <c r="A888" s="130" t="s">
        <v>455</v>
      </c>
      <c r="B888" s="130" t="s">
        <v>456</v>
      </c>
      <c r="C888" s="132" t="s">
        <v>150</v>
      </c>
      <c r="D888" s="129">
        <v>1</v>
      </c>
      <c r="E888" s="129">
        <v>5.0071000999999997</v>
      </c>
      <c r="F888" s="129">
        <v>5.0071000999999997</v>
      </c>
      <c r="G888" s="129">
        <v>16.949200000000001</v>
      </c>
      <c r="H888" s="129">
        <v>16.949200000000001</v>
      </c>
      <c r="I888" s="131" t="s">
        <v>87</v>
      </c>
      <c r="J888" s="132" t="s">
        <v>102</v>
      </c>
      <c r="K888" s="130" t="s">
        <v>1554</v>
      </c>
      <c r="L888" s="130" t="str">
        <f t="shared" si="13"/>
        <v>005-00000196</v>
      </c>
    </row>
    <row r="889" spans="1:12" hidden="1" x14ac:dyDescent="0.25">
      <c r="A889" s="130" t="s">
        <v>390</v>
      </c>
      <c r="B889" s="130" t="s">
        <v>391</v>
      </c>
      <c r="C889" s="132" t="s">
        <v>150</v>
      </c>
      <c r="D889" s="129">
        <v>1</v>
      </c>
      <c r="E889" s="129">
        <v>18.779900000000001</v>
      </c>
      <c r="F889" s="129">
        <v>18.779900000000005</v>
      </c>
      <c r="G889" s="129">
        <v>63.57</v>
      </c>
      <c r="H889" s="129">
        <v>63.57</v>
      </c>
      <c r="I889" s="131" t="s">
        <v>87</v>
      </c>
      <c r="J889" s="132" t="s">
        <v>102</v>
      </c>
      <c r="K889" s="130" t="s">
        <v>1554</v>
      </c>
      <c r="L889" s="130" t="str">
        <f t="shared" si="13"/>
        <v>005-00000196</v>
      </c>
    </row>
    <row r="890" spans="1:12" hidden="1" x14ac:dyDescent="0.25">
      <c r="A890" s="130" t="s">
        <v>1590</v>
      </c>
      <c r="B890" s="130" t="s">
        <v>1591</v>
      </c>
      <c r="C890" s="132" t="s">
        <v>153</v>
      </c>
      <c r="D890" s="129">
        <v>1</v>
      </c>
      <c r="E890" s="129">
        <v>42.560699000000007</v>
      </c>
      <c r="F890" s="129">
        <v>42.560699000000014</v>
      </c>
      <c r="G890" s="129">
        <v>144.06779</v>
      </c>
      <c r="H890" s="129">
        <v>144.06779</v>
      </c>
      <c r="I890" s="131" t="s">
        <v>87</v>
      </c>
      <c r="J890" s="132" t="s">
        <v>102</v>
      </c>
      <c r="K890" s="130" t="s">
        <v>1575</v>
      </c>
      <c r="L890" s="130" t="str">
        <f t="shared" si="13"/>
        <v>005-00000186</v>
      </c>
    </row>
    <row r="891" spans="1:12" hidden="1" x14ac:dyDescent="0.25">
      <c r="A891" s="130" t="s">
        <v>1592</v>
      </c>
      <c r="B891" s="130" t="s">
        <v>1593</v>
      </c>
      <c r="C891" s="132" t="s">
        <v>150</v>
      </c>
      <c r="D891" s="129">
        <v>1</v>
      </c>
      <c r="E891" s="129">
        <v>22.532101000000001</v>
      </c>
      <c r="F891" s="129">
        <v>22.532101000000001</v>
      </c>
      <c r="G891" s="129">
        <v>76.271202000000002</v>
      </c>
      <c r="H891" s="129">
        <v>76.271202000000002</v>
      </c>
      <c r="I891" s="131" t="s">
        <v>87</v>
      </c>
      <c r="J891" s="132" t="s">
        <v>102</v>
      </c>
      <c r="K891" s="130" t="s">
        <v>1553</v>
      </c>
      <c r="L891" s="130" t="str">
        <f t="shared" si="13"/>
        <v>005-00000188</v>
      </c>
    </row>
    <row r="892" spans="1:12" hidden="1" x14ac:dyDescent="0.25">
      <c r="A892" s="130" t="s">
        <v>384</v>
      </c>
      <c r="B892" s="130" t="s">
        <v>385</v>
      </c>
      <c r="C892" s="132" t="s">
        <v>150</v>
      </c>
      <c r="D892" s="129">
        <v>1</v>
      </c>
      <c r="E892" s="129">
        <v>8.7624998000000005</v>
      </c>
      <c r="F892" s="129">
        <v>8.7624998000000005</v>
      </c>
      <c r="G892" s="129">
        <v>29.660999</v>
      </c>
      <c r="H892" s="129">
        <v>29.660999000000007</v>
      </c>
      <c r="I892" s="131" t="s">
        <v>87</v>
      </c>
      <c r="J892" s="132" t="s">
        <v>102</v>
      </c>
      <c r="K892" s="130" t="s">
        <v>1553</v>
      </c>
      <c r="L892" s="130" t="str">
        <f t="shared" si="13"/>
        <v>005-00000188</v>
      </c>
    </row>
    <row r="893" spans="1:12" hidden="1" x14ac:dyDescent="0.25">
      <c r="A893" s="130" t="s">
        <v>399</v>
      </c>
      <c r="B893" s="130" t="s">
        <v>400</v>
      </c>
      <c r="C893" s="132" t="s">
        <v>153</v>
      </c>
      <c r="D893" s="129">
        <v>1</v>
      </c>
      <c r="E893" s="129">
        <v>72.604797000000005</v>
      </c>
      <c r="F893" s="129">
        <v>72.604797000000005</v>
      </c>
      <c r="G893" s="129">
        <v>245.76711</v>
      </c>
      <c r="H893" s="129">
        <v>245.76710999999995</v>
      </c>
      <c r="I893" s="131" t="s">
        <v>87</v>
      </c>
      <c r="J893" s="132" t="s">
        <v>102</v>
      </c>
      <c r="K893" s="130" t="s">
        <v>1553</v>
      </c>
      <c r="L893" s="130" t="str">
        <f t="shared" si="13"/>
        <v>005-00000188</v>
      </c>
    </row>
    <row r="894" spans="1:12" hidden="1" x14ac:dyDescent="0.25">
      <c r="A894" s="130" t="s">
        <v>1081</v>
      </c>
      <c r="B894" s="130" t="s">
        <v>1010</v>
      </c>
      <c r="C894" s="132" t="s">
        <v>153</v>
      </c>
      <c r="D894" s="129">
        <v>1</v>
      </c>
      <c r="E894" s="129">
        <v>62.586201000000003</v>
      </c>
      <c r="F894" s="129">
        <v>62.586201000000003</v>
      </c>
      <c r="G894" s="129">
        <v>211.8544</v>
      </c>
      <c r="H894" s="129">
        <v>211.8544</v>
      </c>
      <c r="I894" s="131" t="s">
        <v>87</v>
      </c>
      <c r="J894" s="132" t="s">
        <v>102</v>
      </c>
      <c r="K894" s="130" t="s">
        <v>1553</v>
      </c>
      <c r="L894" s="130" t="str">
        <f t="shared" si="13"/>
        <v>005-00000188</v>
      </c>
    </row>
    <row r="895" spans="1:12" hidden="1" x14ac:dyDescent="0.25">
      <c r="A895" s="130" t="s">
        <v>441</v>
      </c>
      <c r="B895" s="130" t="s">
        <v>442</v>
      </c>
      <c r="C895" s="132" t="s">
        <v>153</v>
      </c>
      <c r="D895" s="129">
        <v>1</v>
      </c>
      <c r="E895" s="129">
        <v>10.0054</v>
      </c>
      <c r="F895" s="129">
        <v>10.0054</v>
      </c>
      <c r="G895" s="129">
        <v>33.898299999999999</v>
      </c>
      <c r="H895" s="129">
        <v>33.898299999999999</v>
      </c>
      <c r="I895" s="131" t="s">
        <v>87</v>
      </c>
      <c r="J895" s="132" t="s">
        <v>102</v>
      </c>
      <c r="K895" s="130" t="s">
        <v>645</v>
      </c>
      <c r="L895" s="130" t="str">
        <f t="shared" si="13"/>
        <v>005-00000056</v>
      </c>
    </row>
    <row r="896" spans="1:12" hidden="1" x14ac:dyDescent="0.25">
      <c r="A896" s="130" t="s">
        <v>1594</v>
      </c>
      <c r="B896" s="130" t="s">
        <v>1595</v>
      </c>
      <c r="C896" s="132" t="s">
        <v>150</v>
      </c>
      <c r="D896" s="129">
        <v>1</v>
      </c>
      <c r="E896" s="129">
        <v>69.975800000000007</v>
      </c>
      <c r="F896" s="129">
        <v>69.975800000000007</v>
      </c>
      <c r="G896" s="129">
        <v>237.28809999999999</v>
      </c>
      <c r="H896" s="129">
        <v>237.28809999999999</v>
      </c>
      <c r="I896" s="131" t="s">
        <v>87</v>
      </c>
      <c r="J896" s="132" t="s">
        <v>102</v>
      </c>
      <c r="K896" s="130" t="s">
        <v>645</v>
      </c>
      <c r="L896" s="130" t="str">
        <f t="shared" si="13"/>
        <v>005-00000056</v>
      </c>
    </row>
    <row r="897" spans="1:12" hidden="1" x14ac:dyDescent="0.25">
      <c r="A897" s="130" t="s">
        <v>1486</v>
      </c>
      <c r="B897" s="130" t="s">
        <v>1487</v>
      </c>
      <c r="C897" s="132" t="s">
        <v>150</v>
      </c>
      <c r="D897" s="129">
        <v>1</v>
      </c>
      <c r="E897" s="129">
        <v>79.972397000000001</v>
      </c>
      <c r="F897" s="129">
        <v>79.972397000000015</v>
      </c>
      <c r="G897" s="129">
        <v>271.18639999999999</v>
      </c>
      <c r="H897" s="129">
        <v>271.18639999999999</v>
      </c>
      <c r="I897" s="131" t="s">
        <v>87</v>
      </c>
      <c r="J897" s="132" t="s">
        <v>102</v>
      </c>
      <c r="K897" s="130" t="s">
        <v>645</v>
      </c>
      <c r="L897" s="130" t="str">
        <f t="shared" si="13"/>
        <v>005-00000056</v>
      </c>
    </row>
    <row r="898" spans="1:12" hidden="1" x14ac:dyDescent="0.25">
      <c r="A898" s="130" t="s">
        <v>1484</v>
      </c>
      <c r="B898" s="130" t="s">
        <v>1485</v>
      </c>
      <c r="C898" s="132" t="s">
        <v>150</v>
      </c>
      <c r="D898" s="129">
        <v>1</v>
      </c>
      <c r="E898" s="129">
        <v>79.972397000000001</v>
      </c>
      <c r="F898" s="129">
        <v>79.972397000000015</v>
      </c>
      <c r="G898" s="129">
        <v>271.18639999999999</v>
      </c>
      <c r="H898" s="129">
        <v>271.18639999999999</v>
      </c>
      <c r="I898" s="131" t="s">
        <v>87</v>
      </c>
      <c r="J898" s="132" t="s">
        <v>102</v>
      </c>
      <c r="K898" s="130" t="s">
        <v>645</v>
      </c>
      <c r="L898" s="130" t="str">
        <f t="shared" si="13"/>
        <v>005-00000056</v>
      </c>
    </row>
    <row r="899" spans="1:12" hidden="1" x14ac:dyDescent="0.25">
      <c r="A899" s="130" t="s">
        <v>1596</v>
      </c>
      <c r="B899" s="130" t="s">
        <v>1597</v>
      </c>
      <c r="C899" s="132" t="s">
        <v>150</v>
      </c>
      <c r="D899" s="129">
        <v>1</v>
      </c>
      <c r="E899" s="129">
        <v>43.7393</v>
      </c>
      <c r="F899" s="129">
        <v>43.7393</v>
      </c>
      <c r="G899" s="129">
        <v>148.32001</v>
      </c>
      <c r="H899" s="129">
        <v>148.32001000000002</v>
      </c>
      <c r="I899" s="131" t="s">
        <v>87</v>
      </c>
      <c r="J899" s="132" t="s">
        <v>102</v>
      </c>
      <c r="K899" s="130" t="s">
        <v>645</v>
      </c>
      <c r="L899" s="130" t="str">
        <f t="shared" si="13"/>
        <v>005-00000056</v>
      </c>
    </row>
    <row r="900" spans="1:12" hidden="1" x14ac:dyDescent="0.25">
      <c r="A900" s="130" t="s">
        <v>241</v>
      </c>
      <c r="B900" s="130" t="s">
        <v>242</v>
      </c>
      <c r="C900" s="132" t="s">
        <v>150</v>
      </c>
      <c r="D900" s="129">
        <v>1</v>
      </c>
      <c r="E900" s="129">
        <v>13.769600000000001</v>
      </c>
      <c r="F900" s="129">
        <v>13.769600000000001</v>
      </c>
      <c r="G900" s="129">
        <v>46.610199000000001</v>
      </c>
      <c r="H900" s="129">
        <v>46.610198999999994</v>
      </c>
      <c r="I900" s="131" t="s">
        <v>87</v>
      </c>
      <c r="J900" s="132" t="s">
        <v>102</v>
      </c>
      <c r="K900" s="130" t="s">
        <v>645</v>
      </c>
      <c r="L900" s="130" t="str">
        <f t="shared" si="13"/>
        <v>005-00000056</v>
      </c>
    </row>
    <row r="901" spans="1:12" hidden="1" x14ac:dyDescent="0.25">
      <c r="A901" s="130" t="s">
        <v>399</v>
      </c>
      <c r="B901" s="130" t="s">
        <v>400</v>
      </c>
      <c r="C901" s="132" t="s">
        <v>150</v>
      </c>
      <c r="D901" s="129">
        <v>1</v>
      </c>
      <c r="E901" s="129">
        <v>36.301701000000001</v>
      </c>
      <c r="F901" s="129">
        <v>36.301701000000008</v>
      </c>
      <c r="G901" s="129">
        <v>122.8813</v>
      </c>
      <c r="H901" s="129">
        <v>122.88129999999997</v>
      </c>
      <c r="I901" s="131" t="s">
        <v>87</v>
      </c>
      <c r="J901" s="132" t="s">
        <v>102</v>
      </c>
      <c r="K901" s="130" t="s">
        <v>645</v>
      </c>
      <c r="L901" s="130" t="str">
        <f t="shared" ref="L901:L964" si="14">CONCATENATE(J901,"-",K901)</f>
        <v>005-00000056</v>
      </c>
    </row>
    <row r="902" spans="1:12" hidden="1" x14ac:dyDescent="0.25">
      <c r="A902" s="130" t="s">
        <v>1598</v>
      </c>
      <c r="B902" s="130" t="s">
        <v>1599</v>
      </c>
      <c r="C902" s="132" t="s">
        <v>150</v>
      </c>
      <c r="D902" s="129">
        <v>4</v>
      </c>
      <c r="E902" s="129">
        <v>11.2601</v>
      </c>
      <c r="F902" s="129">
        <v>45.040399999999998</v>
      </c>
      <c r="G902" s="129">
        <v>38.135601000000001</v>
      </c>
      <c r="H902" s="129">
        <v>152.542404</v>
      </c>
      <c r="I902" s="131" t="s">
        <v>87</v>
      </c>
      <c r="J902" s="132" t="s">
        <v>102</v>
      </c>
      <c r="K902" s="130" t="s">
        <v>1560</v>
      </c>
      <c r="L902" s="130" t="str">
        <f t="shared" si="14"/>
        <v>005-00000194</v>
      </c>
    </row>
    <row r="903" spans="1:12" hidden="1" x14ac:dyDescent="0.25">
      <c r="A903" s="130" t="s">
        <v>1600</v>
      </c>
      <c r="B903" s="130" t="s">
        <v>1601</v>
      </c>
      <c r="C903" s="132" t="s">
        <v>150</v>
      </c>
      <c r="D903" s="129">
        <v>2</v>
      </c>
      <c r="E903" s="129">
        <v>10.0143</v>
      </c>
      <c r="F903" s="129">
        <v>20.028600000000004</v>
      </c>
      <c r="G903" s="129">
        <v>33.898299999999999</v>
      </c>
      <c r="H903" s="129">
        <v>67.796599999999998</v>
      </c>
      <c r="I903" s="131" t="s">
        <v>87</v>
      </c>
      <c r="J903" s="132" t="s">
        <v>102</v>
      </c>
      <c r="K903" s="130" t="s">
        <v>1560</v>
      </c>
      <c r="L903" s="130" t="str">
        <f t="shared" si="14"/>
        <v>005-00000194</v>
      </c>
    </row>
    <row r="904" spans="1:12" hidden="1" x14ac:dyDescent="0.25">
      <c r="A904" s="130" t="s">
        <v>1602</v>
      </c>
      <c r="B904" s="130" t="s">
        <v>1603</v>
      </c>
      <c r="C904" s="132" t="s">
        <v>150</v>
      </c>
      <c r="D904" s="129">
        <v>1</v>
      </c>
      <c r="E904" s="129">
        <v>10.0143</v>
      </c>
      <c r="F904" s="129">
        <v>10.014300000000002</v>
      </c>
      <c r="G904" s="129">
        <v>33.898299999999999</v>
      </c>
      <c r="H904" s="129">
        <v>33.898299999999999</v>
      </c>
      <c r="I904" s="131" t="s">
        <v>87</v>
      </c>
      <c r="J904" s="132" t="s">
        <v>102</v>
      </c>
      <c r="K904" s="130" t="s">
        <v>1560</v>
      </c>
      <c r="L904" s="130" t="str">
        <f t="shared" si="14"/>
        <v>005-00000194</v>
      </c>
    </row>
    <row r="905" spans="1:12" hidden="1" x14ac:dyDescent="0.25">
      <c r="A905" s="130" t="s">
        <v>1482</v>
      </c>
      <c r="B905" s="130" t="s">
        <v>1483</v>
      </c>
      <c r="C905" s="132" t="s">
        <v>150</v>
      </c>
      <c r="D905" s="129">
        <v>1</v>
      </c>
      <c r="E905" s="129">
        <v>70.099898999999994</v>
      </c>
      <c r="F905" s="129">
        <v>70.099898999999994</v>
      </c>
      <c r="G905" s="129">
        <v>237.28809999999999</v>
      </c>
      <c r="H905" s="129">
        <v>237.28809999999999</v>
      </c>
      <c r="I905" s="131" t="s">
        <v>87</v>
      </c>
      <c r="J905" s="132" t="s">
        <v>102</v>
      </c>
      <c r="K905" s="130" t="s">
        <v>1555</v>
      </c>
      <c r="L905" s="130" t="str">
        <f t="shared" si="14"/>
        <v>005-00000190</v>
      </c>
    </row>
    <row r="906" spans="1:12" hidden="1" x14ac:dyDescent="0.25">
      <c r="A906" s="130" t="s">
        <v>1538</v>
      </c>
      <c r="B906" s="130" t="s">
        <v>1539</v>
      </c>
      <c r="C906" s="132" t="s">
        <v>150</v>
      </c>
      <c r="D906" s="129">
        <v>1</v>
      </c>
      <c r="E906" s="129">
        <v>41.308700999999999</v>
      </c>
      <c r="F906" s="129">
        <v>41.308700999999999</v>
      </c>
      <c r="G906" s="129">
        <v>139.83000000000001</v>
      </c>
      <c r="H906" s="129">
        <v>139.83000000000001</v>
      </c>
      <c r="I906" s="131" t="s">
        <v>87</v>
      </c>
      <c r="J906" s="132" t="s">
        <v>102</v>
      </c>
      <c r="K906" s="130" t="s">
        <v>1555</v>
      </c>
      <c r="L906" s="130" t="str">
        <f t="shared" si="14"/>
        <v>005-00000190</v>
      </c>
    </row>
    <row r="907" spans="1:12" hidden="1" x14ac:dyDescent="0.25">
      <c r="A907" s="130" t="s">
        <v>1490</v>
      </c>
      <c r="B907" s="130" t="s">
        <v>1491</v>
      </c>
      <c r="C907" s="132" t="s">
        <v>150</v>
      </c>
      <c r="D907" s="129">
        <v>1</v>
      </c>
      <c r="E907" s="129">
        <v>20.028500000000001</v>
      </c>
      <c r="F907" s="129">
        <v>20.028500000000001</v>
      </c>
      <c r="G907" s="129">
        <v>67.796599999999998</v>
      </c>
      <c r="H907" s="129">
        <v>67.796599999999998</v>
      </c>
      <c r="I907" s="131" t="s">
        <v>87</v>
      </c>
      <c r="J907" s="132" t="s">
        <v>102</v>
      </c>
      <c r="K907" s="130" t="s">
        <v>1555</v>
      </c>
      <c r="L907" s="130" t="str">
        <f t="shared" si="14"/>
        <v>005-00000190</v>
      </c>
    </row>
    <row r="908" spans="1:12" hidden="1" x14ac:dyDescent="0.25">
      <c r="A908" s="130" t="s">
        <v>1488</v>
      </c>
      <c r="B908" s="130" t="s">
        <v>1489</v>
      </c>
      <c r="C908" s="132" t="s">
        <v>150</v>
      </c>
      <c r="D908" s="129">
        <v>1</v>
      </c>
      <c r="E908" s="129">
        <v>20.028500000000001</v>
      </c>
      <c r="F908" s="129">
        <v>20.028500000000001</v>
      </c>
      <c r="G908" s="129">
        <v>67.796599999999998</v>
      </c>
      <c r="H908" s="129">
        <v>67.796599999999998</v>
      </c>
      <c r="I908" s="131" t="s">
        <v>87</v>
      </c>
      <c r="J908" s="132" t="s">
        <v>102</v>
      </c>
      <c r="K908" s="130" t="s">
        <v>1555</v>
      </c>
      <c r="L908" s="130" t="str">
        <f t="shared" si="14"/>
        <v>005-00000190</v>
      </c>
    </row>
    <row r="909" spans="1:12" hidden="1" x14ac:dyDescent="0.25">
      <c r="A909" s="130" t="s">
        <v>1103</v>
      </c>
      <c r="B909" s="130" t="s">
        <v>1104</v>
      </c>
      <c r="C909" s="132" t="s">
        <v>150</v>
      </c>
      <c r="D909" s="129">
        <v>1</v>
      </c>
      <c r="E909" s="129">
        <v>12.5199</v>
      </c>
      <c r="F909" s="129">
        <v>12.519899999999998</v>
      </c>
      <c r="G909" s="129">
        <v>42.380001</v>
      </c>
      <c r="H909" s="129">
        <v>42.380001</v>
      </c>
      <c r="I909" s="131" t="s">
        <v>87</v>
      </c>
      <c r="J909" s="132" t="s">
        <v>102</v>
      </c>
      <c r="K909" s="130" t="s">
        <v>1555</v>
      </c>
      <c r="L909" s="130" t="str">
        <f t="shared" si="14"/>
        <v>005-00000190</v>
      </c>
    </row>
    <row r="910" spans="1:12" hidden="1" x14ac:dyDescent="0.25">
      <c r="A910" s="130" t="s">
        <v>1482</v>
      </c>
      <c r="B910" s="130" t="s">
        <v>1483</v>
      </c>
      <c r="C910" s="132" t="s">
        <v>150</v>
      </c>
      <c r="D910" s="129">
        <v>1</v>
      </c>
      <c r="E910" s="129">
        <v>67.596298000000004</v>
      </c>
      <c r="F910" s="129">
        <v>67.596298000000019</v>
      </c>
      <c r="G910" s="129">
        <v>228.81360000000001</v>
      </c>
      <c r="H910" s="129">
        <v>228.81360000000001</v>
      </c>
      <c r="I910" s="131" t="s">
        <v>87</v>
      </c>
      <c r="J910" s="132" t="s">
        <v>102</v>
      </c>
      <c r="K910" s="130" t="s">
        <v>1554</v>
      </c>
      <c r="L910" s="130" t="str">
        <f t="shared" si="14"/>
        <v>005-00000196</v>
      </c>
    </row>
    <row r="911" spans="1:12" hidden="1" x14ac:dyDescent="0.25">
      <c r="A911" s="130" t="s">
        <v>1486</v>
      </c>
      <c r="B911" s="130" t="s">
        <v>1487</v>
      </c>
      <c r="C911" s="132" t="s">
        <v>150</v>
      </c>
      <c r="D911" s="129">
        <v>1</v>
      </c>
      <c r="E911" s="129">
        <v>47.567799000000008</v>
      </c>
      <c r="F911" s="129">
        <v>47.567799000000008</v>
      </c>
      <c r="G911" s="129">
        <v>161.01691</v>
      </c>
      <c r="H911" s="129">
        <v>161.01691</v>
      </c>
      <c r="I911" s="131" t="s">
        <v>87</v>
      </c>
      <c r="J911" s="132" t="s">
        <v>102</v>
      </c>
      <c r="K911" s="130" t="s">
        <v>1554</v>
      </c>
      <c r="L911" s="130" t="str">
        <f t="shared" si="14"/>
        <v>005-00000196</v>
      </c>
    </row>
    <row r="912" spans="1:12" hidden="1" x14ac:dyDescent="0.25">
      <c r="A912" s="130" t="s">
        <v>1484</v>
      </c>
      <c r="B912" s="130" t="s">
        <v>1485</v>
      </c>
      <c r="C912" s="132" t="s">
        <v>150</v>
      </c>
      <c r="D912" s="129">
        <v>1</v>
      </c>
      <c r="E912" s="129">
        <v>47.567799000000008</v>
      </c>
      <c r="F912" s="129">
        <v>47.567799000000008</v>
      </c>
      <c r="G912" s="129">
        <v>161.01691</v>
      </c>
      <c r="H912" s="129">
        <v>161.01691</v>
      </c>
      <c r="I912" s="131" t="s">
        <v>87</v>
      </c>
      <c r="J912" s="132" t="s">
        <v>102</v>
      </c>
      <c r="K912" s="130" t="s">
        <v>1554</v>
      </c>
      <c r="L912" s="130" t="str">
        <f t="shared" si="14"/>
        <v>005-00000196</v>
      </c>
    </row>
    <row r="913" spans="1:12" hidden="1" x14ac:dyDescent="0.25">
      <c r="A913" s="130" t="s">
        <v>1604</v>
      </c>
      <c r="B913" s="130" t="s">
        <v>1605</v>
      </c>
      <c r="C913" s="132" t="s">
        <v>153</v>
      </c>
      <c r="D913" s="129">
        <v>1</v>
      </c>
      <c r="E913" s="129">
        <v>35.048698000000002</v>
      </c>
      <c r="F913" s="129">
        <v>35.048698000000002</v>
      </c>
      <c r="G913" s="129">
        <v>118.64</v>
      </c>
      <c r="H913" s="129">
        <v>118.64</v>
      </c>
      <c r="I913" s="131" t="s">
        <v>87</v>
      </c>
      <c r="J913" s="132" t="s">
        <v>102</v>
      </c>
      <c r="K913" s="130" t="s">
        <v>1606</v>
      </c>
      <c r="L913" s="130" t="str">
        <f t="shared" si="14"/>
        <v>005-00000191</v>
      </c>
    </row>
    <row r="914" spans="1:12" hidden="1" x14ac:dyDescent="0.25">
      <c r="A914" s="130" t="s">
        <v>1607</v>
      </c>
      <c r="B914" s="130" t="s">
        <v>1608</v>
      </c>
      <c r="C914" s="132" t="s">
        <v>153</v>
      </c>
      <c r="D914" s="129">
        <v>1</v>
      </c>
      <c r="E914" s="129">
        <v>5.0043997999999998</v>
      </c>
      <c r="F914" s="129">
        <v>5.0043998000000007</v>
      </c>
      <c r="G914" s="129">
        <v>16.940000999999999</v>
      </c>
      <c r="H914" s="129">
        <v>16.940000999999999</v>
      </c>
      <c r="I914" s="131" t="s">
        <v>87</v>
      </c>
      <c r="J914" s="132" t="s">
        <v>102</v>
      </c>
      <c r="K914" s="130" t="s">
        <v>1606</v>
      </c>
      <c r="L914" s="130" t="str">
        <f t="shared" si="14"/>
        <v>005-00000191</v>
      </c>
    </row>
    <row r="915" spans="1:12" hidden="1" x14ac:dyDescent="0.25">
      <c r="A915" s="130" t="s">
        <v>1609</v>
      </c>
      <c r="B915" s="130" t="s">
        <v>1610</v>
      </c>
      <c r="C915" s="132" t="s">
        <v>153</v>
      </c>
      <c r="D915" s="129">
        <v>1</v>
      </c>
      <c r="E915" s="129">
        <v>55.078299999999999</v>
      </c>
      <c r="F915" s="129">
        <v>55.078300000000006</v>
      </c>
      <c r="G915" s="129">
        <v>186.44</v>
      </c>
      <c r="H915" s="129">
        <v>186.44</v>
      </c>
      <c r="I915" s="131" t="s">
        <v>87</v>
      </c>
      <c r="J915" s="132" t="s">
        <v>102</v>
      </c>
      <c r="K915" s="130" t="s">
        <v>1606</v>
      </c>
      <c r="L915" s="130" t="str">
        <f t="shared" si="14"/>
        <v>005-00000191</v>
      </c>
    </row>
    <row r="916" spans="1:12" hidden="1" x14ac:dyDescent="0.25">
      <c r="A916" s="130" t="s">
        <v>1611</v>
      </c>
      <c r="B916" s="130" t="s">
        <v>1612</v>
      </c>
      <c r="C916" s="132" t="s">
        <v>150</v>
      </c>
      <c r="D916" s="129">
        <v>1</v>
      </c>
      <c r="E916" s="129">
        <v>70.097504000000001</v>
      </c>
      <c r="F916" s="129">
        <v>70.097504000000001</v>
      </c>
      <c r="G916" s="129">
        <v>237.28</v>
      </c>
      <c r="H916" s="129">
        <v>237.28</v>
      </c>
      <c r="I916" s="131" t="s">
        <v>87</v>
      </c>
      <c r="J916" s="132" t="s">
        <v>102</v>
      </c>
      <c r="K916" s="130" t="s">
        <v>1606</v>
      </c>
      <c r="L916" s="130" t="str">
        <f t="shared" si="14"/>
        <v>005-00000191</v>
      </c>
    </row>
    <row r="917" spans="1:12" hidden="1" x14ac:dyDescent="0.25">
      <c r="A917" s="130" t="s">
        <v>241</v>
      </c>
      <c r="B917" s="130" t="s">
        <v>242</v>
      </c>
      <c r="C917" s="132" t="s">
        <v>150</v>
      </c>
      <c r="D917" s="129">
        <v>1</v>
      </c>
      <c r="E917" s="129">
        <v>8.7622003999999993</v>
      </c>
      <c r="F917" s="129">
        <v>8.7622004000000011</v>
      </c>
      <c r="G917" s="129">
        <v>29.66</v>
      </c>
      <c r="H917" s="129">
        <v>29.66</v>
      </c>
      <c r="I917" s="131" t="s">
        <v>87</v>
      </c>
      <c r="J917" s="132" t="s">
        <v>102</v>
      </c>
      <c r="K917" s="130" t="s">
        <v>1606</v>
      </c>
      <c r="L917" s="130" t="str">
        <f t="shared" si="14"/>
        <v>005-00000191</v>
      </c>
    </row>
    <row r="918" spans="1:12" hidden="1" x14ac:dyDescent="0.25">
      <c r="A918" s="130" t="s">
        <v>1468</v>
      </c>
      <c r="B918" s="130" t="s">
        <v>1469</v>
      </c>
      <c r="C918" s="132" t="s">
        <v>150</v>
      </c>
      <c r="D918" s="129">
        <v>1</v>
      </c>
      <c r="E918" s="129">
        <v>15.019200000000001</v>
      </c>
      <c r="F918" s="129">
        <v>15.019200000000001</v>
      </c>
      <c r="G918" s="129">
        <v>50.84</v>
      </c>
      <c r="H918" s="129">
        <v>50.84</v>
      </c>
      <c r="I918" s="131" t="s">
        <v>87</v>
      </c>
      <c r="J918" s="132" t="s">
        <v>102</v>
      </c>
      <c r="K918" s="130" t="s">
        <v>1606</v>
      </c>
      <c r="L918" s="130" t="str">
        <f t="shared" si="14"/>
        <v>005-00000191</v>
      </c>
    </row>
    <row r="919" spans="1:12" hidden="1" x14ac:dyDescent="0.25">
      <c r="A919" s="130" t="s">
        <v>1613</v>
      </c>
      <c r="B919" s="130" t="s">
        <v>1614</v>
      </c>
      <c r="C919" s="132" t="s">
        <v>153</v>
      </c>
      <c r="D919" s="129">
        <v>1</v>
      </c>
      <c r="E919" s="129">
        <v>16.271799000000001</v>
      </c>
      <c r="F919" s="129">
        <v>16.271799000000001</v>
      </c>
      <c r="G919" s="129">
        <v>55.080002000000007</v>
      </c>
      <c r="H919" s="129">
        <v>55.080002000000015</v>
      </c>
      <c r="I919" s="131" t="s">
        <v>87</v>
      </c>
      <c r="J919" s="132" t="s">
        <v>102</v>
      </c>
      <c r="K919" s="130" t="s">
        <v>1606</v>
      </c>
      <c r="L919" s="130" t="str">
        <f t="shared" si="14"/>
        <v>005-00000191</v>
      </c>
    </row>
    <row r="920" spans="1:12" hidden="1" x14ac:dyDescent="0.25">
      <c r="A920" s="130" t="s">
        <v>1615</v>
      </c>
      <c r="B920" s="130" t="s">
        <v>1616</v>
      </c>
      <c r="C920" s="132" t="s">
        <v>1617</v>
      </c>
      <c r="D920" s="129">
        <v>1</v>
      </c>
      <c r="E920" s="129">
        <v>35.048698000000002</v>
      </c>
      <c r="F920" s="129">
        <v>35.048698000000002</v>
      </c>
      <c r="G920" s="129">
        <v>118.64</v>
      </c>
      <c r="H920" s="129">
        <v>118.64</v>
      </c>
      <c r="I920" s="131" t="s">
        <v>87</v>
      </c>
      <c r="J920" s="132" t="s">
        <v>102</v>
      </c>
      <c r="K920" s="130" t="s">
        <v>1606</v>
      </c>
      <c r="L920" s="130" t="str">
        <f t="shared" si="14"/>
        <v>005-00000191</v>
      </c>
    </row>
    <row r="921" spans="1:12" hidden="1" x14ac:dyDescent="0.25">
      <c r="A921" s="130" t="s">
        <v>1618</v>
      </c>
      <c r="B921" s="130" t="s">
        <v>1619</v>
      </c>
      <c r="C921" s="132" t="s">
        <v>226</v>
      </c>
      <c r="D921" s="129">
        <v>1</v>
      </c>
      <c r="E921" s="129">
        <v>27.539101000000002</v>
      </c>
      <c r="F921" s="129">
        <v>27.539101000000006</v>
      </c>
      <c r="G921" s="129">
        <v>93.220000999999996</v>
      </c>
      <c r="H921" s="129">
        <v>93.220000999999968</v>
      </c>
      <c r="I921" s="131" t="s">
        <v>87</v>
      </c>
      <c r="J921" s="132" t="s">
        <v>102</v>
      </c>
      <c r="K921" s="130" t="s">
        <v>1606</v>
      </c>
      <c r="L921" s="130" t="str">
        <f t="shared" si="14"/>
        <v>005-00000191</v>
      </c>
    </row>
    <row r="922" spans="1:12" hidden="1" x14ac:dyDescent="0.25">
      <c r="A922" s="130" t="s">
        <v>1620</v>
      </c>
      <c r="B922" s="130" t="s">
        <v>1621</v>
      </c>
      <c r="C922" s="132" t="s">
        <v>153</v>
      </c>
      <c r="D922" s="129">
        <v>1</v>
      </c>
      <c r="E922" s="129">
        <v>30.0443</v>
      </c>
      <c r="F922" s="129">
        <v>30.0443</v>
      </c>
      <c r="G922" s="129">
        <v>101.7</v>
      </c>
      <c r="H922" s="129">
        <v>101.7</v>
      </c>
      <c r="I922" s="131" t="s">
        <v>87</v>
      </c>
      <c r="J922" s="132" t="s">
        <v>102</v>
      </c>
      <c r="K922" s="130" t="s">
        <v>1606</v>
      </c>
      <c r="L922" s="130" t="str">
        <f t="shared" si="14"/>
        <v>005-00000191</v>
      </c>
    </row>
    <row r="923" spans="1:12" hidden="1" x14ac:dyDescent="0.25">
      <c r="A923" s="130" t="s">
        <v>1622</v>
      </c>
      <c r="B923" s="130" t="s">
        <v>1623</v>
      </c>
      <c r="C923" s="132" t="s">
        <v>153</v>
      </c>
      <c r="D923" s="129">
        <v>1</v>
      </c>
      <c r="E923" s="129">
        <v>27.542100999999999</v>
      </c>
      <c r="F923" s="129">
        <v>27.542100999999999</v>
      </c>
      <c r="G923" s="129">
        <v>93.230002999999996</v>
      </c>
      <c r="H923" s="129">
        <v>93.230002999999996</v>
      </c>
      <c r="I923" s="131" t="s">
        <v>87</v>
      </c>
      <c r="J923" s="132" t="s">
        <v>102</v>
      </c>
      <c r="K923" s="130" t="s">
        <v>1606</v>
      </c>
      <c r="L923" s="130" t="str">
        <f t="shared" si="14"/>
        <v>005-00000191</v>
      </c>
    </row>
    <row r="924" spans="1:12" hidden="1" x14ac:dyDescent="0.25">
      <c r="A924" s="130" t="s">
        <v>1624</v>
      </c>
      <c r="B924" s="130" t="s">
        <v>1625</v>
      </c>
      <c r="C924" s="132" t="s">
        <v>153</v>
      </c>
      <c r="D924" s="129">
        <v>1</v>
      </c>
      <c r="E924" s="129">
        <v>7.5125999000000006</v>
      </c>
      <c r="F924" s="129">
        <v>7.5125999000000006</v>
      </c>
      <c r="G924" s="129">
        <v>25.43</v>
      </c>
      <c r="H924" s="129">
        <v>25.43</v>
      </c>
      <c r="I924" s="131" t="s">
        <v>87</v>
      </c>
      <c r="J924" s="132" t="s">
        <v>102</v>
      </c>
      <c r="K924" s="130" t="s">
        <v>1606</v>
      </c>
      <c r="L924" s="130" t="str">
        <f t="shared" si="14"/>
        <v>005-00000191</v>
      </c>
    </row>
    <row r="925" spans="1:12" hidden="1" x14ac:dyDescent="0.25">
      <c r="A925" s="130" t="s">
        <v>1626</v>
      </c>
      <c r="B925" s="130" t="s">
        <v>1627</v>
      </c>
      <c r="C925" s="132" t="s">
        <v>153</v>
      </c>
      <c r="D925" s="129">
        <v>1</v>
      </c>
      <c r="E925" s="129">
        <v>11.2851</v>
      </c>
      <c r="F925" s="129">
        <v>11.2851</v>
      </c>
      <c r="G925" s="129">
        <v>38.200001</v>
      </c>
      <c r="H925" s="129">
        <v>38.200001000000007</v>
      </c>
      <c r="I925" s="131" t="s">
        <v>87</v>
      </c>
      <c r="J925" s="132" t="s">
        <v>102</v>
      </c>
      <c r="K925" s="130" t="s">
        <v>1606</v>
      </c>
      <c r="L925" s="130" t="str">
        <f t="shared" si="14"/>
        <v>005-00000191</v>
      </c>
    </row>
    <row r="926" spans="1:12" hidden="1" x14ac:dyDescent="0.25">
      <c r="A926" s="130" t="s">
        <v>1628</v>
      </c>
      <c r="B926" s="130" t="s">
        <v>1629</v>
      </c>
      <c r="C926" s="132" t="s">
        <v>153</v>
      </c>
      <c r="D926" s="129">
        <v>1</v>
      </c>
      <c r="E926" s="129">
        <v>3.7548000999999998</v>
      </c>
      <c r="F926" s="129">
        <v>3.7548000999999998</v>
      </c>
      <c r="G926" s="129">
        <v>12.71</v>
      </c>
      <c r="H926" s="129">
        <v>12.71</v>
      </c>
      <c r="I926" s="131" t="s">
        <v>87</v>
      </c>
      <c r="J926" s="132" t="s">
        <v>102</v>
      </c>
      <c r="K926" s="130" t="s">
        <v>1606</v>
      </c>
      <c r="L926" s="130" t="str">
        <f t="shared" si="14"/>
        <v>005-00000191</v>
      </c>
    </row>
    <row r="927" spans="1:12" hidden="1" x14ac:dyDescent="0.25">
      <c r="A927" s="130" t="s">
        <v>1511</v>
      </c>
      <c r="B927" s="130" t="s">
        <v>1512</v>
      </c>
      <c r="C927" s="132" t="s">
        <v>226</v>
      </c>
      <c r="D927" s="129">
        <v>1</v>
      </c>
      <c r="E927" s="129">
        <v>52.07</v>
      </c>
      <c r="F927" s="129">
        <v>52.07</v>
      </c>
      <c r="G927" s="129">
        <v>176.56939999999997</v>
      </c>
      <c r="H927" s="129">
        <v>176.56939999999997</v>
      </c>
      <c r="I927" s="131" t="s">
        <v>87</v>
      </c>
      <c r="J927" s="132" t="s">
        <v>102</v>
      </c>
      <c r="K927" s="130" t="s">
        <v>1553</v>
      </c>
      <c r="L927" s="130" t="str">
        <f t="shared" si="14"/>
        <v>005-00000188</v>
      </c>
    </row>
    <row r="928" spans="1:12" hidden="1" x14ac:dyDescent="0.25">
      <c r="A928" s="130" t="s">
        <v>1061</v>
      </c>
      <c r="B928" s="130" t="s">
        <v>1062</v>
      </c>
      <c r="C928" s="132" t="s">
        <v>226</v>
      </c>
      <c r="D928" s="129">
        <v>1</v>
      </c>
      <c r="E928" s="129">
        <v>61.45999900000001</v>
      </c>
      <c r="F928" s="129">
        <v>61.459999000000018</v>
      </c>
      <c r="G928" s="129">
        <v>208.4109</v>
      </c>
      <c r="H928" s="129">
        <v>208.41089999999997</v>
      </c>
      <c r="I928" s="131" t="s">
        <v>87</v>
      </c>
      <c r="J928" s="132" t="s">
        <v>102</v>
      </c>
      <c r="K928" s="130" t="s">
        <v>1560</v>
      </c>
      <c r="L928" s="130" t="str">
        <f t="shared" si="14"/>
        <v>005-00000194</v>
      </c>
    </row>
    <row r="929" spans="1:12" hidden="1" x14ac:dyDescent="0.25">
      <c r="A929" s="130" t="s">
        <v>1061</v>
      </c>
      <c r="B929" s="130" t="s">
        <v>1062</v>
      </c>
      <c r="C929" s="132" t="s">
        <v>226</v>
      </c>
      <c r="D929" s="129">
        <v>1</v>
      </c>
      <c r="E929" s="129">
        <v>61.45999900000001</v>
      </c>
      <c r="F929" s="129">
        <v>61.459999000000018</v>
      </c>
      <c r="G929" s="129">
        <v>208.4109</v>
      </c>
      <c r="H929" s="129">
        <v>208.41089999999997</v>
      </c>
      <c r="I929" s="131" t="s">
        <v>87</v>
      </c>
      <c r="J929" s="132" t="s">
        <v>102</v>
      </c>
      <c r="K929" s="130" t="s">
        <v>1554</v>
      </c>
      <c r="L929" s="130" t="str">
        <f t="shared" si="14"/>
        <v>005-00000196</v>
      </c>
    </row>
    <row r="930" spans="1:12" hidden="1" x14ac:dyDescent="0.25">
      <c r="A930" s="130" t="s">
        <v>1061</v>
      </c>
      <c r="B930" s="130" t="s">
        <v>1062</v>
      </c>
      <c r="C930" s="132" t="s">
        <v>226</v>
      </c>
      <c r="D930" s="129">
        <v>1</v>
      </c>
      <c r="E930" s="129">
        <v>61.45999900000001</v>
      </c>
      <c r="F930" s="129">
        <v>61.459999000000018</v>
      </c>
      <c r="G930" s="129">
        <v>208.4109</v>
      </c>
      <c r="H930" s="129">
        <v>208.41089999999997</v>
      </c>
      <c r="I930" s="131" t="s">
        <v>87</v>
      </c>
      <c r="J930" s="132" t="s">
        <v>102</v>
      </c>
      <c r="K930" s="130" t="s">
        <v>1575</v>
      </c>
      <c r="L930" s="130" t="str">
        <f t="shared" si="14"/>
        <v>005-00000186</v>
      </c>
    </row>
    <row r="931" spans="1:12" hidden="1" x14ac:dyDescent="0.25">
      <c r="A931" s="130" t="s">
        <v>1630</v>
      </c>
      <c r="B931" s="130" t="s">
        <v>1631</v>
      </c>
      <c r="C931" s="132" t="s">
        <v>150</v>
      </c>
      <c r="D931" s="129">
        <v>1</v>
      </c>
      <c r="E931" s="129">
        <v>37.598300999999999</v>
      </c>
      <c r="F931" s="129">
        <v>37.598301000000006</v>
      </c>
      <c r="G931" s="129">
        <v>127.12</v>
      </c>
      <c r="H931" s="129">
        <v>127.12</v>
      </c>
      <c r="I931" s="131" t="s">
        <v>87</v>
      </c>
      <c r="J931" s="132" t="s">
        <v>102</v>
      </c>
      <c r="K931" s="130" t="s">
        <v>624</v>
      </c>
      <c r="L931" s="130" t="str">
        <f t="shared" si="14"/>
        <v>005-00000107</v>
      </c>
    </row>
    <row r="932" spans="1:12" hidden="1" x14ac:dyDescent="0.25">
      <c r="A932" s="130" t="s">
        <v>1632</v>
      </c>
      <c r="B932" s="130" t="s">
        <v>1633</v>
      </c>
      <c r="C932" s="132" t="s">
        <v>150</v>
      </c>
      <c r="D932" s="129">
        <v>1</v>
      </c>
      <c r="E932" s="129">
        <v>175.24959999999999</v>
      </c>
      <c r="F932" s="129">
        <v>175.24960000000002</v>
      </c>
      <c r="G932" s="129">
        <v>593.21996999999999</v>
      </c>
      <c r="H932" s="129">
        <v>593.21996999999999</v>
      </c>
      <c r="I932" s="131" t="s">
        <v>87</v>
      </c>
      <c r="J932" s="132" t="s">
        <v>102</v>
      </c>
      <c r="K932" s="130" t="s">
        <v>1558</v>
      </c>
      <c r="L932" s="130" t="str">
        <f t="shared" si="14"/>
        <v>005-00000198</v>
      </c>
    </row>
    <row r="933" spans="1:12" hidden="1" x14ac:dyDescent="0.25">
      <c r="A933" s="130" t="s">
        <v>1634</v>
      </c>
      <c r="B933" s="130" t="s">
        <v>1635</v>
      </c>
      <c r="C933" s="132" t="s">
        <v>150</v>
      </c>
      <c r="D933" s="129">
        <v>1</v>
      </c>
      <c r="E933" s="129">
        <v>177.25258999999997</v>
      </c>
      <c r="F933" s="129">
        <v>177.25259000000003</v>
      </c>
      <c r="G933" s="129">
        <v>600</v>
      </c>
      <c r="H933" s="129">
        <v>600</v>
      </c>
      <c r="I933" s="131" t="s">
        <v>87</v>
      </c>
      <c r="J933" s="132" t="s">
        <v>102</v>
      </c>
      <c r="K933" s="130" t="s">
        <v>1559</v>
      </c>
      <c r="L933" s="130" t="str">
        <f t="shared" si="14"/>
        <v>005-00000195</v>
      </c>
    </row>
    <row r="934" spans="1:12" hidden="1" x14ac:dyDescent="0.25">
      <c r="A934" s="130" t="s">
        <v>1636</v>
      </c>
      <c r="B934" s="130" t="s">
        <v>1637</v>
      </c>
      <c r="C934" s="132" t="s">
        <v>153</v>
      </c>
      <c r="D934" s="129">
        <v>1</v>
      </c>
      <c r="E934" s="129">
        <v>176.78258999999997</v>
      </c>
      <c r="F934" s="129">
        <v>176.78259000000003</v>
      </c>
      <c r="G934" s="129">
        <v>600</v>
      </c>
      <c r="H934" s="129">
        <v>600</v>
      </c>
      <c r="I934" s="131" t="s">
        <v>87</v>
      </c>
      <c r="J934" s="132" t="s">
        <v>102</v>
      </c>
      <c r="K934" s="130" t="s">
        <v>1559</v>
      </c>
      <c r="L934" s="130" t="str">
        <f t="shared" si="14"/>
        <v>005-00000195</v>
      </c>
    </row>
    <row r="935" spans="1:12" hidden="1" x14ac:dyDescent="0.25">
      <c r="A935" s="130" t="s">
        <v>1632</v>
      </c>
      <c r="B935" s="130" t="s">
        <v>1633</v>
      </c>
      <c r="C935" s="132" t="s">
        <v>150</v>
      </c>
      <c r="D935" s="129">
        <v>1</v>
      </c>
      <c r="E935" s="129">
        <v>120.8014</v>
      </c>
      <c r="F935" s="129">
        <v>120.8014</v>
      </c>
      <c r="G935" s="129">
        <v>410</v>
      </c>
      <c r="H935" s="129">
        <v>410</v>
      </c>
      <c r="I935" s="131" t="s">
        <v>87</v>
      </c>
      <c r="J935" s="132" t="s">
        <v>102</v>
      </c>
      <c r="K935" s="130" t="s">
        <v>1559</v>
      </c>
      <c r="L935" s="130" t="str">
        <f t="shared" si="14"/>
        <v>005-00000195</v>
      </c>
    </row>
    <row r="936" spans="1:12" hidden="1" x14ac:dyDescent="0.25">
      <c r="A936" s="130" t="s">
        <v>459</v>
      </c>
      <c r="B936" s="130" t="s">
        <v>460</v>
      </c>
      <c r="C936" s="132" t="s">
        <v>150</v>
      </c>
      <c r="D936" s="129">
        <v>1</v>
      </c>
      <c r="E936" s="129">
        <v>2.2500998999999999</v>
      </c>
      <c r="F936" s="129">
        <v>2.2500998999999999</v>
      </c>
      <c r="G936" s="129">
        <v>7.6300001000000002</v>
      </c>
      <c r="H936" s="129">
        <v>7.6300001000000011</v>
      </c>
      <c r="I936" s="131" t="s">
        <v>87</v>
      </c>
      <c r="J936" s="132" t="s">
        <v>102</v>
      </c>
      <c r="K936" s="130" t="s">
        <v>706</v>
      </c>
      <c r="L936" s="130" t="str">
        <f t="shared" si="14"/>
        <v>005-00000152</v>
      </c>
    </row>
    <row r="937" spans="1:12" hidden="1" x14ac:dyDescent="0.25">
      <c r="A937" s="130" t="s">
        <v>459</v>
      </c>
      <c r="B937" s="130" t="s">
        <v>460</v>
      </c>
      <c r="C937" s="132" t="s">
        <v>150</v>
      </c>
      <c r="D937" s="129">
        <v>1</v>
      </c>
      <c r="E937" s="129">
        <v>2.2500998999999999</v>
      </c>
      <c r="F937" s="129">
        <v>2.2500998999999999</v>
      </c>
      <c r="G937" s="129">
        <v>7.6300001000000002</v>
      </c>
      <c r="H937" s="129">
        <v>7.6300001000000011</v>
      </c>
      <c r="I937" s="131" t="s">
        <v>87</v>
      </c>
      <c r="J937" s="132" t="s">
        <v>102</v>
      </c>
      <c r="K937" s="130" t="s">
        <v>1554</v>
      </c>
      <c r="L937" s="130" t="str">
        <f t="shared" si="14"/>
        <v>005-00000196</v>
      </c>
    </row>
    <row r="938" spans="1:12" hidden="1" x14ac:dyDescent="0.25">
      <c r="A938" s="130" t="s">
        <v>1028</v>
      </c>
      <c r="B938" s="130" t="s">
        <v>1029</v>
      </c>
      <c r="C938" s="132" t="s">
        <v>150</v>
      </c>
      <c r="D938" s="129">
        <v>1</v>
      </c>
      <c r="E938" s="129">
        <v>1.5079</v>
      </c>
      <c r="F938" s="129">
        <v>1.5078999999999996</v>
      </c>
      <c r="G938" s="129">
        <v>5.0847001000000001</v>
      </c>
      <c r="H938" s="129">
        <v>5.0847001000000001</v>
      </c>
      <c r="I938" s="131" t="s">
        <v>87</v>
      </c>
      <c r="J938" s="132" t="s">
        <v>102</v>
      </c>
      <c r="K938" s="130" t="s">
        <v>698</v>
      </c>
      <c r="L938" s="130" t="str">
        <f t="shared" si="14"/>
        <v>005-00000167</v>
      </c>
    </row>
    <row r="939" spans="1:12" hidden="1" x14ac:dyDescent="0.25">
      <c r="A939" s="130" t="s">
        <v>1030</v>
      </c>
      <c r="B939" s="130" t="s">
        <v>1031</v>
      </c>
      <c r="C939" s="132" t="s">
        <v>150</v>
      </c>
      <c r="D939" s="129">
        <v>1</v>
      </c>
      <c r="E939" s="129">
        <v>2.0106001</v>
      </c>
      <c r="F939" s="129">
        <v>2.0106001</v>
      </c>
      <c r="G939" s="129">
        <v>6.7796998000000004</v>
      </c>
      <c r="H939" s="129">
        <v>6.7796998000000022</v>
      </c>
      <c r="I939" s="131" t="s">
        <v>87</v>
      </c>
      <c r="J939" s="132" t="s">
        <v>102</v>
      </c>
      <c r="K939" s="130" t="s">
        <v>698</v>
      </c>
      <c r="L939" s="130" t="str">
        <f t="shared" si="14"/>
        <v>005-00000167</v>
      </c>
    </row>
    <row r="940" spans="1:12" hidden="1" x14ac:dyDescent="0.25">
      <c r="A940" s="130" t="s">
        <v>1034</v>
      </c>
      <c r="B940" s="130" t="s">
        <v>1035</v>
      </c>
      <c r="C940" s="132" t="s">
        <v>88</v>
      </c>
      <c r="D940" s="129">
        <v>1</v>
      </c>
      <c r="E940" s="129">
        <v>10.5677</v>
      </c>
      <c r="F940" s="129">
        <v>10.567700000000002</v>
      </c>
      <c r="G940" s="129">
        <v>35.745998</v>
      </c>
      <c r="H940" s="129">
        <v>35.745998</v>
      </c>
      <c r="I940" s="131" t="s">
        <v>87</v>
      </c>
      <c r="J940" s="132" t="s">
        <v>102</v>
      </c>
      <c r="K940" s="130" t="s">
        <v>698</v>
      </c>
      <c r="L940" s="130" t="str">
        <f t="shared" si="14"/>
        <v>005-00000167</v>
      </c>
    </row>
    <row r="941" spans="1:12" hidden="1" x14ac:dyDescent="0.25">
      <c r="A941" s="130" t="s">
        <v>1466</v>
      </c>
      <c r="B941" s="130" t="s">
        <v>1467</v>
      </c>
      <c r="C941" s="132" t="s">
        <v>88</v>
      </c>
      <c r="D941" s="129">
        <v>1</v>
      </c>
      <c r="E941" s="129">
        <v>9.2980003</v>
      </c>
      <c r="F941" s="129">
        <v>9.2980002999999982</v>
      </c>
      <c r="G941" s="129">
        <v>31.138999999999999</v>
      </c>
      <c r="H941" s="129">
        <v>31.138999999999996</v>
      </c>
      <c r="I941" s="131" t="s">
        <v>87</v>
      </c>
      <c r="J941" s="132" t="s">
        <v>102</v>
      </c>
      <c r="K941" s="130" t="s">
        <v>698</v>
      </c>
      <c r="L941" s="130" t="str">
        <f t="shared" si="14"/>
        <v>005-00000167</v>
      </c>
    </row>
    <row r="942" spans="1:12" hidden="1" x14ac:dyDescent="0.25">
      <c r="A942" s="130" t="s">
        <v>1465</v>
      </c>
      <c r="B942" s="130" t="s">
        <v>160</v>
      </c>
      <c r="C942" s="132" t="s">
        <v>150</v>
      </c>
      <c r="D942" s="129">
        <v>2</v>
      </c>
      <c r="E942" s="129">
        <v>1.2092000000000001</v>
      </c>
      <c r="F942" s="129">
        <v>2.4184000000000001</v>
      </c>
      <c r="G942" s="129">
        <v>4.0678000000000001</v>
      </c>
      <c r="H942" s="129">
        <v>8.1356000000000002</v>
      </c>
      <c r="I942" s="131" t="s">
        <v>87</v>
      </c>
      <c r="J942" s="132" t="s">
        <v>102</v>
      </c>
      <c r="K942" s="130" t="s">
        <v>698</v>
      </c>
      <c r="L942" s="130" t="str">
        <f t="shared" si="14"/>
        <v>005-00000167</v>
      </c>
    </row>
    <row r="943" spans="1:12" hidden="1" x14ac:dyDescent="0.25">
      <c r="A943" s="130" t="s">
        <v>227</v>
      </c>
      <c r="B943" s="130" t="s">
        <v>194</v>
      </c>
      <c r="C943" s="132" t="s">
        <v>88</v>
      </c>
      <c r="D943" s="129">
        <v>1</v>
      </c>
      <c r="E943" s="129">
        <v>1.6415</v>
      </c>
      <c r="F943" s="129">
        <v>1.6414999999999997</v>
      </c>
      <c r="G943" s="129">
        <v>5.4759001999999999</v>
      </c>
      <c r="H943" s="129">
        <v>5.4759001999999999</v>
      </c>
      <c r="I943" s="131" t="s">
        <v>87</v>
      </c>
      <c r="J943" s="132" t="s">
        <v>102</v>
      </c>
      <c r="K943" s="130" t="s">
        <v>698</v>
      </c>
      <c r="L943" s="130" t="str">
        <f t="shared" si="14"/>
        <v>005-00000167</v>
      </c>
    </row>
    <row r="944" spans="1:12" hidden="1" x14ac:dyDescent="0.25">
      <c r="A944" s="130" t="s">
        <v>1030</v>
      </c>
      <c r="B944" s="130" t="s">
        <v>1031</v>
      </c>
      <c r="C944" s="132" t="s">
        <v>150</v>
      </c>
      <c r="D944" s="129">
        <v>1</v>
      </c>
      <c r="E944" s="129">
        <v>2.0106001</v>
      </c>
      <c r="F944" s="129">
        <v>2.0106001</v>
      </c>
      <c r="G944" s="129">
        <v>6.7796998000000004</v>
      </c>
      <c r="H944" s="129">
        <v>6.7796998000000022</v>
      </c>
      <c r="I944" s="131" t="s">
        <v>87</v>
      </c>
      <c r="J944" s="132" t="s">
        <v>102</v>
      </c>
      <c r="K944" s="130" t="s">
        <v>706</v>
      </c>
      <c r="L944" s="130" t="str">
        <f t="shared" si="14"/>
        <v>005-00000152</v>
      </c>
    </row>
    <row r="945" spans="1:12" hidden="1" x14ac:dyDescent="0.25">
      <c r="A945" s="130" t="s">
        <v>1034</v>
      </c>
      <c r="B945" s="130" t="s">
        <v>1035</v>
      </c>
      <c r="C945" s="132" t="s">
        <v>88</v>
      </c>
      <c r="D945" s="129">
        <v>1</v>
      </c>
      <c r="E945" s="129">
        <v>10.5677</v>
      </c>
      <c r="F945" s="129">
        <v>10.567700000000002</v>
      </c>
      <c r="G945" s="129">
        <v>35.745998</v>
      </c>
      <c r="H945" s="129">
        <v>35.745998</v>
      </c>
      <c r="I945" s="131" t="s">
        <v>87</v>
      </c>
      <c r="J945" s="132" t="s">
        <v>102</v>
      </c>
      <c r="K945" s="130" t="s">
        <v>706</v>
      </c>
      <c r="L945" s="130" t="str">
        <f t="shared" si="14"/>
        <v>005-00000152</v>
      </c>
    </row>
    <row r="946" spans="1:12" hidden="1" x14ac:dyDescent="0.25">
      <c r="A946" s="130" t="s">
        <v>1466</v>
      </c>
      <c r="B946" s="130" t="s">
        <v>1467</v>
      </c>
      <c r="C946" s="132" t="s">
        <v>88</v>
      </c>
      <c r="D946" s="129">
        <v>1</v>
      </c>
      <c r="E946" s="129">
        <v>9.2980003</v>
      </c>
      <c r="F946" s="129">
        <v>9.2980002999999982</v>
      </c>
      <c r="G946" s="129">
        <v>31.138999999999999</v>
      </c>
      <c r="H946" s="129">
        <v>31.138999999999996</v>
      </c>
      <c r="I946" s="131" t="s">
        <v>87</v>
      </c>
      <c r="J946" s="132" t="s">
        <v>102</v>
      </c>
      <c r="K946" s="130" t="s">
        <v>706</v>
      </c>
      <c r="L946" s="130" t="str">
        <f t="shared" si="14"/>
        <v>005-00000152</v>
      </c>
    </row>
    <row r="947" spans="1:12" hidden="1" x14ac:dyDescent="0.25">
      <c r="A947" s="130" t="s">
        <v>409</v>
      </c>
      <c r="B947" s="130" t="s">
        <v>408</v>
      </c>
      <c r="C947" s="132" t="s">
        <v>150</v>
      </c>
      <c r="D947" s="129">
        <v>4</v>
      </c>
      <c r="E947" s="129">
        <v>1.4915</v>
      </c>
      <c r="F947" s="129">
        <v>5.9659999999999993</v>
      </c>
      <c r="G947" s="129">
        <v>6.1016002</v>
      </c>
      <c r="H947" s="129">
        <v>24.406400800000007</v>
      </c>
      <c r="I947" s="131" t="s">
        <v>87</v>
      </c>
      <c r="J947" s="132" t="s">
        <v>102</v>
      </c>
      <c r="K947" s="130" t="s">
        <v>706</v>
      </c>
      <c r="L947" s="130" t="str">
        <f t="shared" si="14"/>
        <v>005-00000152</v>
      </c>
    </row>
    <row r="948" spans="1:12" hidden="1" x14ac:dyDescent="0.25">
      <c r="A948" s="130" t="s">
        <v>1465</v>
      </c>
      <c r="B948" s="130" t="s">
        <v>160</v>
      </c>
      <c r="C948" s="132" t="s">
        <v>150</v>
      </c>
      <c r="D948" s="129">
        <v>2</v>
      </c>
      <c r="E948" s="129">
        <v>1.2092000000000001</v>
      </c>
      <c r="F948" s="129">
        <v>2.4184000000000001</v>
      </c>
      <c r="G948" s="129">
        <v>4.0678000000000001</v>
      </c>
      <c r="H948" s="129">
        <v>8.1356000000000002</v>
      </c>
      <c r="I948" s="131" t="s">
        <v>87</v>
      </c>
      <c r="J948" s="132" t="s">
        <v>102</v>
      </c>
      <c r="K948" s="130" t="s">
        <v>706</v>
      </c>
      <c r="L948" s="130" t="str">
        <f t="shared" si="14"/>
        <v>005-00000152</v>
      </c>
    </row>
    <row r="949" spans="1:12" hidden="1" x14ac:dyDescent="0.25">
      <c r="A949" s="130" t="s">
        <v>227</v>
      </c>
      <c r="B949" s="130" t="s">
        <v>194</v>
      </c>
      <c r="C949" s="132" t="s">
        <v>88</v>
      </c>
      <c r="D949" s="129">
        <v>1</v>
      </c>
      <c r="E949" s="129">
        <v>1.6415</v>
      </c>
      <c r="F949" s="129">
        <v>1.6414999999999997</v>
      </c>
      <c r="G949" s="129">
        <v>5.4759001999999999</v>
      </c>
      <c r="H949" s="129">
        <v>5.4759001999999999</v>
      </c>
      <c r="I949" s="131" t="s">
        <v>87</v>
      </c>
      <c r="J949" s="132" t="s">
        <v>102</v>
      </c>
      <c r="K949" s="130" t="s">
        <v>706</v>
      </c>
      <c r="L949" s="130" t="str">
        <f t="shared" si="14"/>
        <v>005-00000152</v>
      </c>
    </row>
    <row r="950" spans="1:12" hidden="1" x14ac:dyDescent="0.25">
      <c r="A950" s="130" t="s">
        <v>544</v>
      </c>
      <c r="B950" s="130" t="s">
        <v>545</v>
      </c>
      <c r="C950" s="132" t="s">
        <v>150</v>
      </c>
      <c r="D950" s="129">
        <v>1</v>
      </c>
      <c r="E950" s="129">
        <v>2.5021</v>
      </c>
      <c r="F950" s="129">
        <v>2.5021</v>
      </c>
      <c r="G950" s="129">
        <v>8.4745998</v>
      </c>
      <c r="H950" s="129">
        <v>8.4745998</v>
      </c>
      <c r="I950" s="131" t="s">
        <v>87</v>
      </c>
      <c r="J950" s="132" t="s">
        <v>102</v>
      </c>
      <c r="K950" s="130" t="s">
        <v>706</v>
      </c>
      <c r="L950" s="130" t="str">
        <f t="shared" si="14"/>
        <v>005-00000152</v>
      </c>
    </row>
    <row r="951" spans="1:12" hidden="1" x14ac:dyDescent="0.25">
      <c r="A951" s="130" t="s">
        <v>342</v>
      </c>
      <c r="B951" s="130" t="s">
        <v>343</v>
      </c>
      <c r="C951" s="132" t="s">
        <v>150</v>
      </c>
      <c r="D951" s="129">
        <v>4</v>
      </c>
      <c r="E951" s="129">
        <v>8.7999999999999995E-2</v>
      </c>
      <c r="F951" s="129">
        <v>0.35199999999999987</v>
      </c>
      <c r="G951" s="129">
        <v>0.29660001000000003</v>
      </c>
      <c r="H951" s="129">
        <v>1.1864000400000001</v>
      </c>
      <c r="I951" s="131" t="s">
        <v>87</v>
      </c>
      <c r="J951" s="132" t="s">
        <v>102</v>
      </c>
      <c r="K951" s="130" t="s">
        <v>706</v>
      </c>
      <c r="L951" s="130" t="str">
        <f t="shared" si="14"/>
        <v>005-00000152</v>
      </c>
    </row>
    <row r="952" spans="1:12" hidden="1" x14ac:dyDescent="0.25">
      <c r="A952" s="130" t="s">
        <v>360</v>
      </c>
      <c r="B952" s="130" t="s">
        <v>361</v>
      </c>
      <c r="C952" s="132" t="s">
        <v>150</v>
      </c>
      <c r="D952" s="129">
        <v>2</v>
      </c>
      <c r="E952" s="129">
        <v>0.12590000000000001</v>
      </c>
      <c r="F952" s="129">
        <v>0.25180000000000002</v>
      </c>
      <c r="G952" s="129">
        <v>0.42370000000000002</v>
      </c>
      <c r="H952" s="129">
        <v>0.84740000000000004</v>
      </c>
      <c r="I952" s="131" t="s">
        <v>87</v>
      </c>
      <c r="J952" s="132" t="s">
        <v>102</v>
      </c>
      <c r="K952" s="130" t="s">
        <v>706</v>
      </c>
      <c r="L952" s="130" t="str">
        <f t="shared" si="14"/>
        <v>005-00000152</v>
      </c>
    </row>
    <row r="953" spans="1:12" hidden="1" x14ac:dyDescent="0.25">
      <c r="A953" s="130" t="s">
        <v>1638</v>
      </c>
      <c r="B953" s="130" t="s">
        <v>1639</v>
      </c>
      <c r="C953" s="132" t="s">
        <v>150</v>
      </c>
      <c r="D953" s="129">
        <v>1</v>
      </c>
      <c r="E953" s="129">
        <v>0.75249999999999995</v>
      </c>
      <c r="F953" s="129">
        <v>0.75249999999999995</v>
      </c>
      <c r="G953" s="129">
        <v>2.5432999000000001</v>
      </c>
      <c r="H953" s="129">
        <v>2.5432999000000005</v>
      </c>
      <c r="I953" s="131" t="s">
        <v>87</v>
      </c>
      <c r="J953" s="132" t="s">
        <v>102</v>
      </c>
      <c r="K953" s="130" t="s">
        <v>706</v>
      </c>
      <c r="L953" s="130" t="str">
        <f t="shared" si="14"/>
        <v>005-00000152</v>
      </c>
    </row>
    <row r="954" spans="1:12" hidden="1" x14ac:dyDescent="0.25">
      <c r="A954" s="130" t="s">
        <v>1030</v>
      </c>
      <c r="B954" s="130" t="s">
        <v>1031</v>
      </c>
      <c r="C954" s="132" t="s">
        <v>150</v>
      </c>
      <c r="D954" s="129">
        <v>1</v>
      </c>
      <c r="E954" s="129">
        <v>2.0106001</v>
      </c>
      <c r="F954" s="129">
        <v>2.0106001</v>
      </c>
      <c r="G954" s="129">
        <v>6.7796998000000004</v>
      </c>
      <c r="H954" s="129">
        <v>6.7796998000000022</v>
      </c>
      <c r="I954" s="131" t="s">
        <v>87</v>
      </c>
      <c r="J954" s="132" t="s">
        <v>102</v>
      </c>
      <c r="K954" s="130" t="s">
        <v>622</v>
      </c>
      <c r="L954" s="130" t="str">
        <f t="shared" si="14"/>
        <v>005-00000109</v>
      </c>
    </row>
    <row r="955" spans="1:12" hidden="1" x14ac:dyDescent="0.25">
      <c r="A955" s="130" t="s">
        <v>1034</v>
      </c>
      <c r="B955" s="130" t="s">
        <v>1035</v>
      </c>
      <c r="C955" s="132" t="s">
        <v>88</v>
      </c>
      <c r="D955" s="129">
        <v>1</v>
      </c>
      <c r="E955" s="129">
        <v>10.5677</v>
      </c>
      <c r="F955" s="129">
        <v>10.567700000000002</v>
      </c>
      <c r="G955" s="129">
        <v>35.745998</v>
      </c>
      <c r="H955" s="129">
        <v>35.745998</v>
      </c>
      <c r="I955" s="131" t="s">
        <v>87</v>
      </c>
      <c r="J955" s="132" t="s">
        <v>102</v>
      </c>
      <c r="K955" s="130" t="s">
        <v>622</v>
      </c>
      <c r="L955" s="130" t="str">
        <f t="shared" si="14"/>
        <v>005-00000109</v>
      </c>
    </row>
    <row r="956" spans="1:12" hidden="1" x14ac:dyDescent="0.25">
      <c r="A956" s="130" t="s">
        <v>1466</v>
      </c>
      <c r="B956" s="130" t="s">
        <v>1467</v>
      </c>
      <c r="C956" s="132" t="s">
        <v>88</v>
      </c>
      <c r="D956" s="129">
        <v>1</v>
      </c>
      <c r="E956" s="129">
        <v>9.2980003</v>
      </c>
      <c r="F956" s="129">
        <v>9.2980002999999982</v>
      </c>
      <c r="G956" s="129">
        <v>31.138999999999999</v>
      </c>
      <c r="H956" s="129">
        <v>31.138999999999996</v>
      </c>
      <c r="I956" s="131" t="s">
        <v>87</v>
      </c>
      <c r="J956" s="132" t="s">
        <v>102</v>
      </c>
      <c r="K956" s="130" t="s">
        <v>622</v>
      </c>
      <c r="L956" s="130" t="str">
        <f t="shared" si="14"/>
        <v>005-00000109</v>
      </c>
    </row>
    <row r="957" spans="1:12" hidden="1" x14ac:dyDescent="0.25">
      <c r="A957" s="130" t="s">
        <v>409</v>
      </c>
      <c r="B957" s="130" t="s">
        <v>408</v>
      </c>
      <c r="C957" s="132" t="s">
        <v>150</v>
      </c>
      <c r="D957" s="129">
        <v>4</v>
      </c>
      <c r="E957" s="129">
        <v>1.4915</v>
      </c>
      <c r="F957" s="129">
        <v>5.9659999999999993</v>
      </c>
      <c r="G957" s="129">
        <v>6.1016002</v>
      </c>
      <c r="H957" s="129">
        <v>24.406400800000007</v>
      </c>
      <c r="I957" s="131" t="s">
        <v>87</v>
      </c>
      <c r="J957" s="132" t="s">
        <v>102</v>
      </c>
      <c r="K957" s="130" t="s">
        <v>622</v>
      </c>
      <c r="L957" s="130" t="str">
        <f t="shared" si="14"/>
        <v>005-00000109</v>
      </c>
    </row>
    <row r="958" spans="1:12" hidden="1" x14ac:dyDescent="0.25">
      <c r="A958" s="130" t="s">
        <v>1465</v>
      </c>
      <c r="B958" s="130" t="s">
        <v>160</v>
      </c>
      <c r="C958" s="132" t="s">
        <v>150</v>
      </c>
      <c r="D958" s="129">
        <v>2</v>
      </c>
      <c r="E958" s="129">
        <v>1.2092000000000001</v>
      </c>
      <c r="F958" s="129">
        <v>2.4184000000000001</v>
      </c>
      <c r="G958" s="129">
        <v>4.0678000000000001</v>
      </c>
      <c r="H958" s="129">
        <v>8.1356000000000002</v>
      </c>
      <c r="I958" s="131" t="s">
        <v>87</v>
      </c>
      <c r="J958" s="132" t="s">
        <v>102</v>
      </c>
      <c r="K958" s="130" t="s">
        <v>622</v>
      </c>
      <c r="L958" s="130" t="str">
        <f t="shared" si="14"/>
        <v>005-00000109</v>
      </c>
    </row>
    <row r="959" spans="1:12" hidden="1" x14ac:dyDescent="0.25">
      <c r="A959" s="130" t="s">
        <v>227</v>
      </c>
      <c r="B959" s="130" t="s">
        <v>194</v>
      </c>
      <c r="C959" s="132" t="s">
        <v>88</v>
      </c>
      <c r="D959" s="129">
        <v>1</v>
      </c>
      <c r="E959" s="129">
        <v>1.6415</v>
      </c>
      <c r="F959" s="129">
        <v>1.6414999999999997</v>
      </c>
      <c r="G959" s="129">
        <v>5.4759001999999999</v>
      </c>
      <c r="H959" s="129">
        <v>5.4759001999999999</v>
      </c>
      <c r="I959" s="131" t="s">
        <v>87</v>
      </c>
      <c r="J959" s="132" t="s">
        <v>102</v>
      </c>
      <c r="K959" s="130" t="s">
        <v>622</v>
      </c>
      <c r="L959" s="130" t="str">
        <f t="shared" si="14"/>
        <v>005-00000109</v>
      </c>
    </row>
    <row r="960" spans="1:12" hidden="1" x14ac:dyDescent="0.25">
      <c r="A960" s="130" t="s">
        <v>544</v>
      </c>
      <c r="B960" s="130" t="s">
        <v>545</v>
      </c>
      <c r="C960" s="132" t="s">
        <v>150</v>
      </c>
      <c r="D960" s="129">
        <v>1</v>
      </c>
      <c r="E960" s="129">
        <v>2.5021</v>
      </c>
      <c r="F960" s="129">
        <v>2.5021</v>
      </c>
      <c r="G960" s="129">
        <v>8.4745998</v>
      </c>
      <c r="H960" s="129">
        <v>8.4745998</v>
      </c>
      <c r="I960" s="131" t="s">
        <v>87</v>
      </c>
      <c r="J960" s="132" t="s">
        <v>102</v>
      </c>
      <c r="K960" s="130" t="s">
        <v>622</v>
      </c>
      <c r="L960" s="130" t="str">
        <f t="shared" si="14"/>
        <v>005-00000109</v>
      </c>
    </row>
    <row r="961" spans="1:12" hidden="1" x14ac:dyDescent="0.25">
      <c r="A961" s="130" t="s">
        <v>342</v>
      </c>
      <c r="B961" s="130" t="s">
        <v>343</v>
      </c>
      <c r="C961" s="132" t="s">
        <v>150</v>
      </c>
      <c r="D961" s="129">
        <v>6</v>
      </c>
      <c r="E961" s="129">
        <v>8.7999999999999995E-2</v>
      </c>
      <c r="F961" s="129">
        <v>0.5279999999999998</v>
      </c>
      <c r="G961" s="129">
        <v>0.29660001000000003</v>
      </c>
      <c r="H961" s="129">
        <v>1.7796000600000002</v>
      </c>
      <c r="I961" s="131" t="s">
        <v>87</v>
      </c>
      <c r="J961" s="132" t="s">
        <v>102</v>
      </c>
      <c r="K961" s="130" t="s">
        <v>622</v>
      </c>
      <c r="L961" s="130" t="str">
        <f t="shared" si="14"/>
        <v>005-00000109</v>
      </c>
    </row>
    <row r="962" spans="1:12" hidden="1" x14ac:dyDescent="0.25">
      <c r="A962" s="130" t="s">
        <v>360</v>
      </c>
      <c r="B962" s="130" t="s">
        <v>361</v>
      </c>
      <c r="C962" s="132" t="s">
        <v>150</v>
      </c>
      <c r="D962" s="129">
        <v>4</v>
      </c>
      <c r="E962" s="129">
        <v>0.12590000000000001</v>
      </c>
      <c r="F962" s="129">
        <v>0.50360000000000005</v>
      </c>
      <c r="G962" s="129">
        <v>0.42370000000000002</v>
      </c>
      <c r="H962" s="129">
        <v>1.6948000000000001</v>
      </c>
      <c r="I962" s="131" t="s">
        <v>87</v>
      </c>
      <c r="J962" s="132" t="s">
        <v>102</v>
      </c>
      <c r="K962" s="130" t="s">
        <v>622</v>
      </c>
      <c r="L962" s="130" t="str">
        <f t="shared" si="14"/>
        <v>005-00000109</v>
      </c>
    </row>
    <row r="963" spans="1:12" hidden="1" x14ac:dyDescent="0.25">
      <c r="A963" s="130" t="s">
        <v>1571</v>
      </c>
      <c r="B963" s="130" t="s">
        <v>1572</v>
      </c>
      <c r="C963" s="132" t="s">
        <v>150</v>
      </c>
      <c r="D963" s="129">
        <v>2</v>
      </c>
      <c r="E963" s="129">
        <v>0.12590000000000001</v>
      </c>
      <c r="F963" s="129">
        <v>0.25180000000000002</v>
      </c>
      <c r="G963" s="129">
        <v>0.42370000000000002</v>
      </c>
      <c r="H963" s="129">
        <v>0.84740000000000004</v>
      </c>
      <c r="I963" s="131" t="s">
        <v>87</v>
      </c>
      <c r="J963" s="132" t="s">
        <v>102</v>
      </c>
      <c r="K963" s="130" t="s">
        <v>622</v>
      </c>
      <c r="L963" s="130" t="str">
        <f t="shared" si="14"/>
        <v>005-00000109</v>
      </c>
    </row>
    <row r="964" spans="1:12" hidden="1" x14ac:dyDescent="0.25">
      <c r="A964" s="130" t="s">
        <v>544</v>
      </c>
      <c r="B964" s="130" t="s">
        <v>545</v>
      </c>
      <c r="C964" s="132" t="s">
        <v>150</v>
      </c>
      <c r="D964" s="129">
        <v>1</v>
      </c>
      <c r="E964" s="129">
        <v>2.5021</v>
      </c>
      <c r="F964" s="129">
        <v>2.5021</v>
      </c>
      <c r="G964" s="129">
        <v>8.4745998</v>
      </c>
      <c r="H964" s="129">
        <v>8.4745998</v>
      </c>
      <c r="I964" s="131" t="s">
        <v>87</v>
      </c>
      <c r="J964" s="132" t="s">
        <v>102</v>
      </c>
      <c r="K964" s="130" t="s">
        <v>700</v>
      </c>
      <c r="L964" s="130" t="str">
        <f t="shared" si="14"/>
        <v>005-00000165</v>
      </c>
    </row>
    <row r="965" spans="1:12" hidden="1" x14ac:dyDescent="0.25">
      <c r="A965" s="130" t="s">
        <v>1638</v>
      </c>
      <c r="B965" s="130" t="s">
        <v>1639</v>
      </c>
      <c r="C965" s="132" t="s">
        <v>150</v>
      </c>
      <c r="D965" s="129">
        <v>1</v>
      </c>
      <c r="E965" s="129">
        <v>0.75249999999999995</v>
      </c>
      <c r="F965" s="129">
        <v>0.75249999999999995</v>
      </c>
      <c r="G965" s="129">
        <v>2.5432999000000001</v>
      </c>
      <c r="H965" s="129">
        <v>2.5432999000000005</v>
      </c>
      <c r="I965" s="131" t="s">
        <v>87</v>
      </c>
      <c r="J965" s="132" t="s">
        <v>102</v>
      </c>
      <c r="K965" s="130" t="s">
        <v>699</v>
      </c>
      <c r="L965" s="130" t="str">
        <f t="shared" ref="L965:L1028" si="15">CONCATENATE(J965,"-",K965)</f>
        <v>005-00000166</v>
      </c>
    </row>
    <row r="966" spans="1:12" hidden="1" x14ac:dyDescent="0.25">
      <c r="A966" s="130" t="s">
        <v>360</v>
      </c>
      <c r="B966" s="130" t="s">
        <v>361</v>
      </c>
      <c r="C966" s="132" t="s">
        <v>150</v>
      </c>
      <c r="D966" s="129">
        <v>2</v>
      </c>
      <c r="E966" s="129">
        <v>0.12590000000000001</v>
      </c>
      <c r="F966" s="129">
        <v>0.25180000000000002</v>
      </c>
      <c r="G966" s="129">
        <v>0.42370000000000002</v>
      </c>
      <c r="H966" s="129">
        <v>0.84740000000000004</v>
      </c>
      <c r="I966" s="131" t="s">
        <v>87</v>
      </c>
      <c r="J966" s="132" t="s">
        <v>102</v>
      </c>
      <c r="K966" s="130" t="s">
        <v>699</v>
      </c>
      <c r="L966" s="130" t="str">
        <f t="shared" si="15"/>
        <v>005-00000166</v>
      </c>
    </row>
    <row r="967" spans="1:12" hidden="1" x14ac:dyDescent="0.25">
      <c r="A967" s="130" t="s">
        <v>236</v>
      </c>
      <c r="B967" s="130" t="s">
        <v>237</v>
      </c>
      <c r="C967" s="132" t="s">
        <v>88</v>
      </c>
      <c r="D967" s="129">
        <v>1.5</v>
      </c>
      <c r="E967" s="129">
        <v>14.9946</v>
      </c>
      <c r="F967" s="129">
        <v>22.491900000000001</v>
      </c>
      <c r="G967" s="129">
        <v>50.846699000000001</v>
      </c>
      <c r="H967" s="129">
        <v>76.270048499999987</v>
      </c>
      <c r="I967" s="131" t="s">
        <v>87</v>
      </c>
      <c r="J967" s="132" t="s">
        <v>102</v>
      </c>
      <c r="K967" s="130" t="s">
        <v>668</v>
      </c>
      <c r="L967" s="130" t="str">
        <f t="shared" si="15"/>
        <v>005-00000032</v>
      </c>
    </row>
    <row r="968" spans="1:12" hidden="1" x14ac:dyDescent="0.25">
      <c r="A968" s="130" t="s">
        <v>1640</v>
      </c>
      <c r="B968" s="130" t="s">
        <v>1641</v>
      </c>
      <c r="C968" s="132" t="s">
        <v>150</v>
      </c>
      <c r="D968" s="129">
        <v>2</v>
      </c>
      <c r="E968" s="129">
        <v>34.957298000000002</v>
      </c>
      <c r="F968" s="129">
        <v>69.914596000000017</v>
      </c>
      <c r="G968" s="129">
        <v>118.645</v>
      </c>
      <c r="H968" s="129">
        <v>237.29</v>
      </c>
      <c r="I968" s="131" t="s">
        <v>87</v>
      </c>
      <c r="J968" s="132" t="s">
        <v>102</v>
      </c>
      <c r="K968" s="130" t="s">
        <v>649</v>
      </c>
      <c r="L968" s="130" t="str">
        <f t="shared" si="15"/>
        <v>005-00000052</v>
      </c>
    </row>
    <row r="969" spans="1:12" hidden="1" x14ac:dyDescent="0.25">
      <c r="A969" s="130" t="s">
        <v>1642</v>
      </c>
      <c r="B969" s="130" t="s">
        <v>1643</v>
      </c>
      <c r="C969" s="132" t="s">
        <v>150</v>
      </c>
      <c r="D969" s="129">
        <v>1</v>
      </c>
      <c r="E969" s="129">
        <v>10.0291</v>
      </c>
      <c r="F969" s="129">
        <v>10.029099999999998</v>
      </c>
      <c r="G969" s="129">
        <v>33.898299999999999</v>
      </c>
      <c r="H969" s="129">
        <v>33.898299999999999</v>
      </c>
      <c r="I969" s="131" t="s">
        <v>87</v>
      </c>
      <c r="J969" s="132" t="s">
        <v>102</v>
      </c>
      <c r="K969" s="130" t="s">
        <v>649</v>
      </c>
      <c r="L969" s="130" t="str">
        <f t="shared" si="15"/>
        <v>005-00000052</v>
      </c>
    </row>
    <row r="970" spans="1:12" hidden="1" x14ac:dyDescent="0.25">
      <c r="A970" s="130" t="s">
        <v>368</v>
      </c>
      <c r="B970" s="130" t="s">
        <v>369</v>
      </c>
      <c r="C970" s="132" t="s">
        <v>150</v>
      </c>
      <c r="D970" s="129">
        <v>1</v>
      </c>
      <c r="E970" s="129">
        <v>3.7486999000000001</v>
      </c>
      <c r="F970" s="129">
        <v>3.748699900000001</v>
      </c>
      <c r="G970" s="129">
        <v>12.7119</v>
      </c>
      <c r="H970" s="129">
        <v>12.711900000000004</v>
      </c>
      <c r="I970" s="131" t="s">
        <v>87</v>
      </c>
      <c r="J970" s="132" t="s">
        <v>102</v>
      </c>
      <c r="K970" s="130" t="s">
        <v>622</v>
      </c>
      <c r="L970" s="130" t="str">
        <f t="shared" si="15"/>
        <v>005-00000109</v>
      </c>
    </row>
    <row r="971" spans="1:12" hidden="1" x14ac:dyDescent="0.25">
      <c r="A971" s="130" t="s">
        <v>1644</v>
      </c>
      <c r="B971" s="130" t="s">
        <v>1645</v>
      </c>
      <c r="C971" s="132" t="s">
        <v>150</v>
      </c>
      <c r="D971" s="129">
        <v>1</v>
      </c>
      <c r="E971" s="129">
        <v>2.5021998999999999</v>
      </c>
      <c r="F971" s="129">
        <v>2.5021999000000004</v>
      </c>
      <c r="G971" s="129">
        <v>8.4700003000000006</v>
      </c>
      <c r="H971" s="129">
        <v>8.4700003000000006</v>
      </c>
      <c r="I971" s="131" t="s">
        <v>87</v>
      </c>
      <c r="J971" s="132" t="s">
        <v>102</v>
      </c>
      <c r="K971" s="130" t="s">
        <v>649</v>
      </c>
      <c r="L971" s="130" t="str">
        <f t="shared" si="15"/>
        <v>005-00000052</v>
      </c>
    </row>
    <row r="972" spans="1:12" hidden="1" x14ac:dyDescent="0.25">
      <c r="A972" s="130" t="s">
        <v>401</v>
      </c>
      <c r="B972" s="130" t="s">
        <v>402</v>
      </c>
      <c r="C972" s="132" t="s">
        <v>150</v>
      </c>
      <c r="D972" s="129">
        <v>1</v>
      </c>
      <c r="E972" s="129">
        <v>5.0073999999999996</v>
      </c>
      <c r="F972" s="129">
        <v>5.0073999999999996</v>
      </c>
      <c r="G972" s="129">
        <v>16.950001</v>
      </c>
      <c r="H972" s="129">
        <v>16.950001</v>
      </c>
      <c r="I972" s="131" t="s">
        <v>87</v>
      </c>
      <c r="J972" s="132" t="s">
        <v>102</v>
      </c>
      <c r="K972" s="130" t="s">
        <v>706</v>
      </c>
      <c r="L972" s="130" t="str">
        <f t="shared" si="15"/>
        <v>005-00000152</v>
      </c>
    </row>
    <row r="973" spans="1:12" hidden="1" x14ac:dyDescent="0.25">
      <c r="A973" s="130" t="s">
        <v>222</v>
      </c>
      <c r="B973" s="130" t="s">
        <v>223</v>
      </c>
      <c r="C973" s="132" t="s">
        <v>150</v>
      </c>
      <c r="D973" s="129">
        <v>1</v>
      </c>
      <c r="E973" s="129">
        <v>11.246100000000002</v>
      </c>
      <c r="F973" s="129">
        <v>11.246100000000004</v>
      </c>
      <c r="G973" s="129">
        <v>38.135601000000001</v>
      </c>
      <c r="H973" s="129">
        <v>38.135601000000001</v>
      </c>
      <c r="I973" s="131" t="s">
        <v>87</v>
      </c>
      <c r="J973" s="132" t="s">
        <v>102</v>
      </c>
      <c r="K973" s="130" t="s">
        <v>622</v>
      </c>
      <c r="L973" s="130" t="str">
        <f t="shared" si="15"/>
        <v>005-00000109</v>
      </c>
    </row>
    <row r="974" spans="1:12" hidden="1" x14ac:dyDescent="0.25">
      <c r="A974" s="130" t="s">
        <v>401</v>
      </c>
      <c r="B974" s="130" t="s">
        <v>402</v>
      </c>
      <c r="C974" s="132" t="s">
        <v>150</v>
      </c>
      <c r="D974" s="129">
        <v>1</v>
      </c>
      <c r="E974" s="129">
        <v>4.9984998999999997</v>
      </c>
      <c r="F974" s="129">
        <v>4.9984998999999997</v>
      </c>
      <c r="G974" s="129">
        <v>16.950001</v>
      </c>
      <c r="H974" s="129">
        <v>16.950001</v>
      </c>
      <c r="I974" s="131" t="s">
        <v>87</v>
      </c>
      <c r="J974" s="132" t="s">
        <v>102</v>
      </c>
      <c r="K974" s="130" t="s">
        <v>622</v>
      </c>
      <c r="L974" s="130" t="str">
        <f t="shared" si="15"/>
        <v>005-00000109</v>
      </c>
    </row>
    <row r="975" spans="1:12" hidden="1" x14ac:dyDescent="0.25">
      <c r="A975" s="130" t="s">
        <v>1646</v>
      </c>
      <c r="B975" s="130" t="s">
        <v>1647</v>
      </c>
      <c r="C975" s="132" t="s">
        <v>150</v>
      </c>
      <c r="D975" s="129">
        <v>2</v>
      </c>
      <c r="E975" s="129">
        <v>4.9984998999999997</v>
      </c>
      <c r="F975" s="129">
        <v>9.9969997999999993</v>
      </c>
      <c r="G975" s="129">
        <v>16.950001</v>
      </c>
      <c r="H975" s="129">
        <v>33.900002000000001</v>
      </c>
      <c r="I975" s="131" t="s">
        <v>87</v>
      </c>
      <c r="J975" s="132" t="s">
        <v>102</v>
      </c>
      <c r="K975" s="130" t="s">
        <v>622</v>
      </c>
      <c r="L975" s="130" t="str">
        <f t="shared" si="15"/>
        <v>005-00000109</v>
      </c>
    </row>
    <row r="976" spans="1:12" hidden="1" x14ac:dyDescent="0.25">
      <c r="A976" s="130" t="s">
        <v>401</v>
      </c>
      <c r="B976" s="130" t="s">
        <v>402</v>
      </c>
      <c r="C976" s="132" t="s">
        <v>150</v>
      </c>
      <c r="D976" s="129">
        <v>1</v>
      </c>
      <c r="E976" s="129">
        <v>4.9984998999999997</v>
      </c>
      <c r="F976" s="129">
        <v>4.9984998999999997</v>
      </c>
      <c r="G976" s="129">
        <v>16.950001</v>
      </c>
      <c r="H976" s="129">
        <v>16.950001</v>
      </c>
      <c r="I976" s="131" t="s">
        <v>87</v>
      </c>
      <c r="J976" s="132" t="s">
        <v>102</v>
      </c>
      <c r="K976" s="130" t="s">
        <v>698</v>
      </c>
      <c r="L976" s="130" t="str">
        <f t="shared" si="15"/>
        <v>005-00000167</v>
      </c>
    </row>
    <row r="977" spans="1:12" hidden="1" x14ac:dyDescent="0.25">
      <c r="A977" s="130" t="s">
        <v>1648</v>
      </c>
      <c r="B977" s="130" t="s">
        <v>1649</v>
      </c>
      <c r="C977" s="132" t="s">
        <v>150</v>
      </c>
      <c r="D977" s="129">
        <v>1</v>
      </c>
      <c r="E977" s="129">
        <v>3.7548000999999998</v>
      </c>
      <c r="F977" s="129">
        <v>3.7548000999999998</v>
      </c>
      <c r="G977" s="129">
        <v>12.71</v>
      </c>
      <c r="H977" s="129">
        <v>12.71</v>
      </c>
      <c r="I977" s="131" t="s">
        <v>87</v>
      </c>
      <c r="J977" s="132" t="s">
        <v>102</v>
      </c>
      <c r="K977" s="130" t="s">
        <v>649</v>
      </c>
      <c r="L977" s="130" t="str">
        <f t="shared" si="15"/>
        <v>005-00000052</v>
      </c>
    </row>
    <row r="978" spans="1:12" hidden="1" x14ac:dyDescent="0.25">
      <c r="A978" s="130" t="s">
        <v>1474</v>
      </c>
      <c r="B978" s="130" t="s">
        <v>1475</v>
      </c>
      <c r="C978" s="132" t="s">
        <v>150</v>
      </c>
      <c r="D978" s="129">
        <v>1</v>
      </c>
      <c r="E978" s="129">
        <v>3.2555000999999999</v>
      </c>
      <c r="F978" s="129">
        <v>3.2555000999999995</v>
      </c>
      <c r="G978" s="129">
        <v>11.02</v>
      </c>
      <c r="H978" s="129">
        <v>11.02</v>
      </c>
      <c r="I978" s="131" t="s">
        <v>87</v>
      </c>
      <c r="J978" s="132" t="s">
        <v>102</v>
      </c>
      <c r="K978" s="130" t="s">
        <v>622</v>
      </c>
      <c r="L978" s="130" t="str">
        <f t="shared" si="15"/>
        <v>005-00000109</v>
      </c>
    </row>
    <row r="979" spans="1:12" hidden="1" x14ac:dyDescent="0.25">
      <c r="A979" s="130" t="s">
        <v>368</v>
      </c>
      <c r="B979" s="130" t="s">
        <v>369</v>
      </c>
      <c r="C979" s="132" t="s">
        <v>150</v>
      </c>
      <c r="D979" s="129">
        <v>1</v>
      </c>
      <c r="E979" s="129">
        <v>3.7521</v>
      </c>
      <c r="F979" s="129">
        <v>3.7521</v>
      </c>
      <c r="G979" s="129">
        <v>12.7119</v>
      </c>
      <c r="H979" s="129">
        <v>12.711900000000004</v>
      </c>
      <c r="I979" s="131" t="s">
        <v>87</v>
      </c>
      <c r="J979" s="132" t="s">
        <v>102</v>
      </c>
      <c r="K979" s="130" t="s">
        <v>1554</v>
      </c>
      <c r="L979" s="130" t="str">
        <f t="shared" si="15"/>
        <v>005-00000196</v>
      </c>
    </row>
    <row r="980" spans="1:12" hidden="1" x14ac:dyDescent="0.25">
      <c r="A980" s="130" t="s">
        <v>222</v>
      </c>
      <c r="B980" s="130" t="s">
        <v>223</v>
      </c>
      <c r="C980" s="132" t="s">
        <v>150</v>
      </c>
      <c r="D980" s="129">
        <v>1</v>
      </c>
      <c r="E980" s="129">
        <v>11.246100000000002</v>
      </c>
      <c r="F980" s="129">
        <v>11.246100000000004</v>
      </c>
      <c r="G980" s="129">
        <v>38.135601000000001</v>
      </c>
      <c r="H980" s="129">
        <v>38.135601000000001</v>
      </c>
      <c r="I980" s="131" t="s">
        <v>87</v>
      </c>
      <c r="J980" s="132" t="s">
        <v>102</v>
      </c>
      <c r="K980" s="130" t="s">
        <v>1554</v>
      </c>
      <c r="L980" s="130" t="str">
        <f t="shared" si="15"/>
        <v>005-00000196</v>
      </c>
    </row>
    <row r="981" spans="1:12" hidden="1" x14ac:dyDescent="0.25">
      <c r="A981" s="130" t="s">
        <v>401</v>
      </c>
      <c r="B981" s="130" t="s">
        <v>402</v>
      </c>
      <c r="C981" s="132" t="s">
        <v>150</v>
      </c>
      <c r="D981" s="129">
        <v>1</v>
      </c>
      <c r="E981" s="129">
        <v>4.9984998999999997</v>
      </c>
      <c r="F981" s="129">
        <v>4.9984998999999997</v>
      </c>
      <c r="G981" s="129">
        <v>16.950001</v>
      </c>
      <c r="H981" s="129">
        <v>16.950001</v>
      </c>
      <c r="I981" s="131" t="s">
        <v>87</v>
      </c>
      <c r="J981" s="132" t="s">
        <v>102</v>
      </c>
      <c r="K981" s="130" t="s">
        <v>1554</v>
      </c>
      <c r="L981" s="130" t="str">
        <f t="shared" si="15"/>
        <v>005-00000196</v>
      </c>
    </row>
    <row r="982" spans="1:12" hidden="1" x14ac:dyDescent="0.25">
      <c r="A982" s="130" t="s">
        <v>403</v>
      </c>
      <c r="B982" s="130" t="s">
        <v>404</v>
      </c>
      <c r="C982" s="132" t="s">
        <v>150</v>
      </c>
      <c r="D982" s="129">
        <v>1</v>
      </c>
      <c r="E982" s="129">
        <v>27.490499</v>
      </c>
      <c r="F982" s="129">
        <v>27.490499</v>
      </c>
      <c r="G982" s="129">
        <v>93.220298999999997</v>
      </c>
      <c r="H982" s="129">
        <v>93.220298999999997</v>
      </c>
      <c r="I982" s="131" t="s">
        <v>87</v>
      </c>
      <c r="J982" s="132" t="s">
        <v>102</v>
      </c>
      <c r="K982" s="130" t="s">
        <v>1554</v>
      </c>
      <c r="L982" s="130" t="str">
        <f t="shared" si="15"/>
        <v>005-00000196</v>
      </c>
    </row>
    <row r="983" spans="1:12" hidden="1" x14ac:dyDescent="0.25">
      <c r="A983" s="130" t="s">
        <v>1474</v>
      </c>
      <c r="B983" s="130" t="s">
        <v>1475</v>
      </c>
      <c r="C983" s="132" t="s">
        <v>150</v>
      </c>
      <c r="D983" s="129">
        <v>1</v>
      </c>
      <c r="E983" s="129">
        <v>2.9990999999999999</v>
      </c>
      <c r="F983" s="129">
        <v>2.9991000000000003</v>
      </c>
      <c r="G983" s="129">
        <v>10.17</v>
      </c>
      <c r="H983" s="129">
        <v>10.17</v>
      </c>
      <c r="I983" s="131" t="s">
        <v>87</v>
      </c>
      <c r="J983" s="132" t="s">
        <v>102</v>
      </c>
      <c r="K983" s="130" t="s">
        <v>706</v>
      </c>
      <c r="L983" s="130" t="str">
        <f t="shared" si="15"/>
        <v>005-00000152</v>
      </c>
    </row>
    <row r="984" spans="1:12" hidden="1" x14ac:dyDescent="0.25">
      <c r="A984" s="130" t="s">
        <v>1650</v>
      </c>
      <c r="B984" s="130" t="s">
        <v>1651</v>
      </c>
      <c r="C984" s="132" t="s">
        <v>150</v>
      </c>
      <c r="D984" s="129">
        <v>1</v>
      </c>
      <c r="E984" s="129">
        <v>43.697701000000009</v>
      </c>
      <c r="F984" s="129">
        <v>43.697701000000009</v>
      </c>
      <c r="G984" s="129">
        <v>148.31</v>
      </c>
      <c r="H984" s="129">
        <v>148.31</v>
      </c>
      <c r="I984" s="131" t="s">
        <v>87</v>
      </c>
      <c r="J984" s="132" t="s">
        <v>102</v>
      </c>
      <c r="K984" s="130" t="s">
        <v>1555</v>
      </c>
      <c r="L984" s="130" t="str">
        <f t="shared" si="15"/>
        <v>005-00000190</v>
      </c>
    </row>
    <row r="985" spans="1:12" hidden="1" x14ac:dyDescent="0.25">
      <c r="A985" s="130" t="s">
        <v>384</v>
      </c>
      <c r="B985" s="130" t="s">
        <v>385</v>
      </c>
      <c r="C985" s="132" t="s">
        <v>150</v>
      </c>
      <c r="D985" s="129">
        <v>1</v>
      </c>
      <c r="E985" s="129">
        <v>8.7509002999999996</v>
      </c>
      <c r="F985" s="129">
        <v>8.7509002999999979</v>
      </c>
      <c r="G985" s="129">
        <v>29.660999</v>
      </c>
      <c r="H985" s="129">
        <v>29.660999000000007</v>
      </c>
      <c r="I985" s="131" t="s">
        <v>87</v>
      </c>
      <c r="J985" s="132" t="s">
        <v>102</v>
      </c>
      <c r="K985" s="130" t="s">
        <v>1555</v>
      </c>
      <c r="L985" s="130" t="str">
        <f t="shared" si="15"/>
        <v>005-00000190</v>
      </c>
    </row>
    <row r="986" spans="1:12" hidden="1" x14ac:dyDescent="0.25">
      <c r="A986" s="130" t="s">
        <v>222</v>
      </c>
      <c r="B986" s="130" t="s">
        <v>223</v>
      </c>
      <c r="C986" s="132" t="s">
        <v>150</v>
      </c>
      <c r="D986" s="129">
        <v>1</v>
      </c>
      <c r="E986" s="129">
        <v>13.7331</v>
      </c>
      <c r="F986" s="129">
        <v>13.733100000000002</v>
      </c>
      <c r="G986" s="129">
        <v>46.61000099999999</v>
      </c>
      <c r="H986" s="129">
        <v>46.610001000000004</v>
      </c>
      <c r="I986" s="131" t="s">
        <v>87</v>
      </c>
      <c r="J986" s="132" t="s">
        <v>102</v>
      </c>
      <c r="K986" s="130" t="s">
        <v>1555</v>
      </c>
      <c r="L986" s="130" t="str">
        <f t="shared" si="15"/>
        <v>005-00000190</v>
      </c>
    </row>
    <row r="987" spans="1:12" hidden="1" x14ac:dyDescent="0.25">
      <c r="A987" s="130" t="s">
        <v>1470</v>
      </c>
      <c r="B987" s="130" t="s">
        <v>1471</v>
      </c>
      <c r="C987" s="132" t="s">
        <v>150</v>
      </c>
      <c r="D987" s="129">
        <v>1</v>
      </c>
      <c r="E987" s="129">
        <v>18.710599999999999</v>
      </c>
      <c r="F987" s="129">
        <v>18.710600000000003</v>
      </c>
      <c r="G987" s="129">
        <v>63.560001</v>
      </c>
      <c r="H987" s="129">
        <v>63.560001</v>
      </c>
      <c r="I987" s="131" t="s">
        <v>87</v>
      </c>
      <c r="J987" s="132" t="s">
        <v>102</v>
      </c>
      <c r="K987" s="130" t="s">
        <v>1555</v>
      </c>
      <c r="L987" s="130" t="str">
        <f t="shared" si="15"/>
        <v>005-00000190</v>
      </c>
    </row>
    <row r="988" spans="1:12" hidden="1" x14ac:dyDescent="0.25">
      <c r="A988" s="130" t="s">
        <v>1081</v>
      </c>
      <c r="B988" s="130" t="s">
        <v>1010</v>
      </c>
      <c r="C988" s="132" t="s">
        <v>153</v>
      </c>
      <c r="D988" s="129">
        <v>1</v>
      </c>
      <c r="E988" s="129">
        <v>62.421902000000003</v>
      </c>
      <c r="F988" s="129">
        <v>62.421902000000003</v>
      </c>
      <c r="G988" s="129">
        <v>211.86</v>
      </c>
      <c r="H988" s="129">
        <v>211.86</v>
      </c>
      <c r="I988" s="131" t="s">
        <v>87</v>
      </c>
      <c r="J988" s="132" t="s">
        <v>102</v>
      </c>
      <c r="K988" s="130" t="s">
        <v>1555</v>
      </c>
      <c r="L988" s="130" t="str">
        <f t="shared" si="15"/>
        <v>005-00000190</v>
      </c>
    </row>
    <row r="989" spans="1:12" hidden="1" x14ac:dyDescent="0.25">
      <c r="A989" s="130" t="s">
        <v>241</v>
      </c>
      <c r="B989" s="130" t="s">
        <v>242</v>
      </c>
      <c r="C989" s="132" t="s">
        <v>150</v>
      </c>
      <c r="D989" s="129">
        <v>1</v>
      </c>
      <c r="E989" s="129">
        <v>12.4838</v>
      </c>
      <c r="F989" s="129">
        <v>12.4838</v>
      </c>
      <c r="G989" s="129">
        <v>42.369999</v>
      </c>
      <c r="H989" s="129">
        <v>42.369998999999986</v>
      </c>
      <c r="I989" s="131" t="s">
        <v>87</v>
      </c>
      <c r="J989" s="132" t="s">
        <v>102</v>
      </c>
      <c r="K989" s="130" t="s">
        <v>1555</v>
      </c>
      <c r="L989" s="130" t="str">
        <f t="shared" si="15"/>
        <v>005-00000190</v>
      </c>
    </row>
    <row r="990" spans="1:12" hidden="1" x14ac:dyDescent="0.25">
      <c r="A990" s="130" t="s">
        <v>1652</v>
      </c>
      <c r="B990" s="130" t="s">
        <v>1653</v>
      </c>
      <c r="C990" s="132" t="s">
        <v>150</v>
      </c>
      <c r="D990" s="129">
        <v>2</v>
      </c>
      <c r="E990" s="129">
        <v>1.0029999999999999</v>
      </c>
      <c r="F990" s="129">
        <v>2.0059999999999998</v>
      </c>
      <c r="G990" s="129">
        <v>3.3900001</v>
      </c>
      <c r="H990" s="129">
        <v>6.7800001999999999</v>
      </c>
      <c r="I990" s="131" t="s">
        <v>87</v>
      </c>
      <c r="J990" s="132" t="s">
        <v>102</v>
      </c>
      <c r="K990" s="130" t="s">
        <v>700</v>
      </c>
      <c r="L990" s="130" t="str">
        <f t="shared" si="15"/>
        <v>005-00000165</v>
      </c>
    </row>
    <row r="991" spans="1:12" hidden="1" x14ac:dyDescent="0.25">
      <c r="A991" s="130" t="s">
        <v>1654</v>
      </c>
      <c r="B991" s="130" t="s">
        <v>1655</v>
      </c>
      <c r="C991" s="132" t="s">
        <v>150</v>
      </c>
      <c r="D991" s="129">
        <v>1</v>
      </c>
      <c r="E991" s="129">
        <v>24.998800000000003</v>
      </c>
      <c r="F991" s="129">
        <v>24.998800000000006</v>
      </c>
      <c r="G991" s="129">
        <v>84.745795999999984</v>
      </c>
      <c r="H991" s="129">
        <v>84.74579599999997</v>
      </c>
      <c r="I991" s="131" t="s">
        <v>87</v>
      </c>
      <c r="J991" s="132" t="s">
        <v>102</v>
      </c>
      <c r="K991" s="130" t="s">
        <v>699</v>
      </c>
      <c r="L991" s="130" t="str">
        <f t="shared" si="15"/>
        <v>005-00000166</v>
      </c>
    </row>
    <row r="992" spans="1:12" hidden="1" x14ac:dyDescent="0.25">
      <c r="A992" s="130" t="s">
        <v>1656</v>
      </c>
      <c r="B992" s="130" t="s">
        <v>1657</v>
      </c>
      <c r="C992" s="132" t="s">
        <v>150</v>
      </c>
      <c r="D992" s="129">
        <v>1</v>
      </c>
      <c r="E992" s="129">
        <v>19.999001</v>
      </c>
      <c r="F992" s="129">
        <v>19.999001</v>
      </c>
      <c r="G992" s="129">
        <v>67.796599999999998</v>
      </c>
      <c r="H992" s="129">
        <v>67.796599999999998</v>
      </c>
      <c r="I992" s="131" t="s">
        <v>87</v>
      </c>
      <c r="J992" s="132" t="s">
        <v>102</v>
      </c>
      <c r="K992" s="130" t="s">
        <v>699</v>
      </c>
      <c r="L992" s="130" t="str">
        <f t="shared" si="15"/>
        <v>005-00000166</v>
      </c>
    </row>
    <row r="993" spans="1:12" hidden="1" x14ac:dyDescent="0.25">
      <c r="A993" s="130" t="s">
        <v>306</v>
      </c>
      <c r="B993" s="130" t="s">
        <v>307</v>
      </c>
      <c r="C993" s="132" t="s">
        <v>150</v>
      </c>
      <c r="D993" s="129">
        <v>1</v>
      </c>
      <c r="E993" s="129">
        <v>7.4995998999999998</v>
      </c>
      <c r="F993" s="129">
        <v>7.499599899999998</v>
      </c>
      <c r="G993" s="129">
        <v>25.4237</v>
      </c>
      <c r="H993" s="129">
        <v>25.423700000000004</v>
      </c>
      <c r="I993" s="131" t="s">
        <v>87</v>
      </c>
      <c r="J993" s="132" t="s">
        <v>102</v>
      </c>
      <c r="K993" s="130" t="s">
        <v>623</v>
      </c>
      <c r="L993" s="130" t="str">
        <f t="shared" si="15"/>
        <v>005-00000108</v>
      </c>
    </row>
    <row r="994" spans="1:12" hidden="1" x14ac:dyDescent="0.25">
      <c r="A994" s="130" t="s">
        <v>304</v>
      </c>
      <c r="B994" s="130" t="s">
        <v>305</v>
      </c>
      <c r="C994" s="132" t="s">
        <v>150</v>
      </c>
      <c r="D994" s="129">
        <v>1</v>
      </c>
      <c r="E994" s="129">
        <v>7.4995998999999998</v>
      </c>
      <c r="F994" s="129">
        <v>7.499599899999998</v>
      </c>
      <c r="G994" s="129">
        <v>25.4237</v>
      </c>
      <c r="H994" s="129">
        <v>25.423700000000004</v>
      </c>
      <c r="I994" s="131" t="s">
        <v>87</v>
      </c>
      <c r="J994" s="132" t="s">
        <v>102</v>
      </c>
      <c r="K994" s="130" t="s">
        <v>623</v>
      </c>
      <c r="L994" s="130" t="str">
        <f t="shared" si="15"/>
        <v>005-00000108</v>
      </c>
    </row>
    <row r="995" spans="1:12" hidden="1" x14ac:dyDescent="0.25">
      <c r="A995" s="130" t="s">
        <v>241</v>
      </c>
      <c r="B995" s="130" t="s">
        <v>242</v>
      </c>
      <c r="C995" s="132" t="s">
        <v>150</v>
      </c>
      <c r="D995" s="129">
        <v>1</v>
      </c>
      <c r="E995" s="129">
        <v>14.9993</v>
      </c>
      <c r="F995" s="129">
        <v>14.9993</v>
      </c>
      <c r="G995" s="129">
        <v>50.847499999999997</v>
      </c>
      <c r="H995" s="129">
        <v>50.847499999999997</v>
      </c>
      <c r="I995" s="131" t="s">
        <v>87</v>
      </c>
      <c r="J995" s="132" t="s">
        <v>102</v>
      </c>
      <c r="K995" s="130" t="s">
        <v>623</v>
      </c>
      <c r="L995" s="130" t="str">
        <f t="shared" si="15"/>
        <v>005-00000108</v>
      </c>
    </row>
    <row r="996" spans="1:12" hidden="1" x14ac:dyDescent="0.25">
      <c r="A996" s="130" t="s">
        <v>562</v>
      </c>
      <c r="B996" s="130" t="s">
        <v>563</v>
      </c>
      <c r="C996" s="132" t="s">
        <v>150</v>
      </c>
      <c r="D996" s="129">
        <v>1</v>
      </c>
      <c r="E996" s="129">
        <v>19.969601000000001</v>
      </c>
      <c r="F996" s="129">
        <v>19.969601000000001</v>
      </c>
      <c r="G996" s="129">
        <v>67.796599999999998</v>
      </c>
      <c r="H996" s="129">
        <v>67.796599999999998</v>
      </c>
      <c r="I996" s="131" t="s">
        <v>87</v>
      </c>
      <c r="J996" s="132" t="s">
        <v>102</v>
      </c>
      <c r="K996" s="130" t="s">
        <v>623</v>
      </c>
      <c r="L996" s="130" t="str">
        <f t="shared" si="15"/>
        <v>005-00000108</v>
      </c>
    </row>
    <row r="997" spans="1:12" hidden="1" x14ac:dyDescent="0.25">
      <c r="A997" s="130" t="s">
        <v>401</v>
      </c>
      <c r="B997" s="130" t="s">
        <v>402</v>
      </c>
      <c r="C997" s="132" t="s">
        <v>150</v>
      </c>
      <c r="D997" s="129">
        <v>1</v>
      </c>
      <c r="E997" s="129">
        <v>8.7496004000000003</v>
      </c>
      <c r="F997" s="129">
        <v>8.7496003999999985</v>
      </c>
      <c r="G997" s="129">
        <v>29.660999</v>
      </c>
      <c r="H997" s="129">
        <v>29.660999000000007</v>
      </c>
      <c r="I997" s="131" t="s">
        <v>87</v>
      </c>
      <c r="J997" s="132" t="s">
        <v>102</v>
      </c>
      <c r="K997" s="130" t="s">
        <v>623</v>
      </c>
      <c r="L997" s="130" t="str">
        <f t="shared" si="15"/>
        <v>005-00000108</v>
      </c>
    </row>
    <row r="998" spans="1:12" hidden="1" x14ac:dyDescent="0.25">
      <c r="A998" s="130" t="s">
        <v>222</v>
      </c>
      <c r="B998" s="130" t="s">
        <v>223</v>
      </c>
      <c r="C998" s="132" t="s">
        <v>150</v>
      </c>
      <c r="D998" s="129">
        <v>1</v>
      </c>
      <c r="E998" s="129">
        <v>8.7496004000000003</v>
      </c>
      <c r="F998" s="129">
        <v>8.7496003999999985</v>
      </c>
      <c r="G998" s="129">
        <v>29.660999</v>
      </c>
      <c r="H998" s="129">
        <v>29.660999000000007</v>
      </c>
      <c r="I998" s="131" t="s">
        <v>87</v>
      </c>
      <c r="J998" s="132" t="s">
        <v>102</v>
      </c>
      <c r="K998" s="130" t="s">
        <v>623</v>
      </c>
      <c r="L998" s="130" t="str">
        <f t="shared" si="15"/>
        <v>005-00000108</v>
      </c>
    </row>
    <row r="999" spans="1:12" hidden="1" x14ac:dyDescent="0.25">
      <c r="A999" s="130" t="s">
        <v>247</v>
      </c>
      <c r="B999" s="130" t="s">
        <v>248</v>
      </c>
      <c r="C999" s="132" t="s">
        <v>153</v>
      </c>
      <c r="D999" s="129">
        <v>4</v>
      </c>
      <c r="E999" s="129">
        <v>1.2486999999999999</v>
      </c>
      <c r="F999" s="129">
        <v>4.9947999999999997</v>
      </c>
      <c r="G999" s="129">
        <v>4.2372999</v>
      </c>
      <c r="H999" s="129">
        <v>16.9491996</v>
      </c>
      <c r="I999" s="131" t="s">
        <v>87</v>
      </c>
      <c r="J999" s="132" t="s">
        <v>102</v>
      </c>
      <c r="K999" s="130" t="s">
        <v>623</v>
      </c>
      <c r="L999" s="130" t="str">
        <f t="shared" si="15"/>
        <v>005-00000108</v>
      </c>
    </row>
    <row r="1000" spans="1:12" hidden="1" x14ac:dyDescent="0.25">
      <c r="A1000" s="130" t="s">
        <v>1658</v>
      </c>
      <c r="B1000" s="130" t="s">
        <v>1659</v>
      </c>
      <c r="C1000" s="132" t="s">
        <v>150</v>
      </c>
      <c r="D1000" s="129">
        <v>1</v>
      </c>
      <c r="E1000" s="129">
        <v>5.0029000999999997</v>
      </c>
      <c r="F1000" s="129">
        <v>5.0029000999999997</v>
      </c>
      <c r="G1000" s="129">
        <v>16.959999</v>
      </c>
      <c r="H1000" s="129">
        <v>16.959998999999996</v>
      </c>
      <c r="I1000" s="131" t="s">
        <v>87</v>
      </c>
      <c r="J1000" s="132" t="s">
        <v>102</v>
      </c>
      <c r="K1000" s="130" t="s">
        <v>623</v>
      </c>
      <c r="L1000" s="130" t="str">
        <f t="shared" si="15"/>
        <v>005-00000108</v>
      </c>
    </row>
    <row r="1001" spans="1:12" hidden="1" x14ac:dyDescent="0.25">
      <c r="A1001" s="130" t="s">
        <v>1660</v>
      </c>
      <c r="B1001" s="130" t="s">
        <v>1661</v>
      </c>
      <c r="C1001" s="132" t="s">
        <v>153</v>
      </c>
      <c r="D1001" s="129">
        <v>1</v>
      </c>
      <c r="E1001" s="129">
        <v>7.9764999999999997</v>
      </c>
      <c r="F1001" s="129">
        <v>7.9764999999999997</v>
      </c>
      <c r="G1001" s="129">
        <v>27.120000999999998</v>
      </c>
      <c r="H1001" s="129">
        <v>27.120000999999991</v>
      </c>
      <c r="I1001" s="131" t="s">
        <v>87</v>
      </c>
      <c r="J1001" s="132" t="s">
        <v>102</v>
      </c>
      <c r="K1001" s="130" t="s">
        <v>1662</v>
      </c>
      <c r="L1001" s="130" t="str">
        <f t="shared" si="15"/>
        <v>005-00000220</v>
      </c>
    </row>
    <row r="1002" spans="1:12" hidden="1" x14ac:dyDescent="0.25">
      <c r="A1002" s="130" t="s">
        <v>1041</v>
      </c>
      <c r="B1002" s="130" t="s">
        <v>1042</v>
      </c>
      <c r="C1002" s="132" t="s">
        <v>150</v>
      </c>
      <c r="D1002" s="129">
        <v>1</v>
      </c>
      <c r="E1002" s="129">
        <v>1.5099</v>
      </c>
      <c r="F1002" s="129">
        <v>1.5099</v>
      </c>
      <c r="G1002" s="129">
        <v>5.0847001000000001</v>
      </c>
      <c r="H1002" s="129">
        <v>5.0847001000000001</v>
      </c>
      <c r="I1002" s="131" t="s">
        <v>87</v>
      </c>
      <c r="J1002" s="132" t="s">
        <v>102</v>
      </c>
      <c r="K1002" s="130" t="s">
        <v>1662</v>
      </c>
      <c r="L1002" s="130" t="str">
        <f t="shared" si="15"/>
        <v>005-00000220</v>
      </c>
    </row>
    <row r="1003" spans="1:12" hidden="1" x14ac:dyDescent="0.25">
      <c r="A1003" s="130" t="s">
        <v>1071</v>
      </c>
      <c r="B1003" s="130" t="s">
        <v>1072</v>
      </c>
      <c r="C1003" s="132" t="s">
        <v>150</v>
      </c>
      <c r="D1003" s="129">
        <v>1</v>
      </c>
      <c r="E1003" s="129">
        <v>2.2618999</v>
      </c>
      <c r="F1003" s="129">
        <v>2.2618998999999995</v>
      </c>
      <c r="G1003" s="129">
        <v>7.6271000000000004</v>
      </c>
      <c r="H1003" s="129">
        <v>7.6271000000000004</v>
      </c>
      <c r="I1003" s="131" t="s">
        <v>87</v>
      </c>
      <c r="J1003" s="132" t="s">
        <v>102</v>
      </c>
      <c r="K1003" s="130" t="s">
        <v>1662</v>
      </c>
      <c r="L1003" s="130" t="str">
        <f t="shared" si="15"/>
        <v>005-00000220</v>
      </c>
    </row>
    <row r="1004" spans="1:12" hidden="1" x14ac:dyDescent="0.25">
      <c r="A1004" s="130" t="s">
        <v>1034</v>
      </c>
      <c r="B1004" s="130" t="s">
        <v>1035</v>
      </c>
      <c r="C1004" s="132" t="s">
        <v>88</v>
      </c>
      <c r="D1004" s="129">
        <v>1</v>
      </c>
      <c r="E1004" s="129">
        <v>10.5677</v>
      </c>
      <c r="F1004" s="129">
        <v>10.567700000000002</v>
      </c>
      <c r="G1004" s="129">
        <v>35.745998</v>
      </c>
      <c r="H1004" s="129">
        <v>35.745998</v>
      </c>
      <c r="I1004" s="131" t="s">
        <v>87</v>
      </c>
      <c r="J1004" s="132" t="s">
        <v>102</v>
      </c>
      <c r="K1004" s="130" t="s">
        <v>1662</v>
      </c>
      <c r="L1004" s="130" t="str">
        <f t="shared" si="15"/>
        <v>005-00000220</v>
      </c>
    </row>
    <row r="1005" spans="1:12" hidden="1" x14ac:dyDescent="0.25">
      <c r="A1005" s="130" t="s">
        <v>502</v>
      </c>
      <c r="B1005" s="130" t="s">
        <v>503</v>
      </c>
      <c r="C1005" s="132" t="s">
        <v>153</v>
      </c>
      <c r="D1005" s="53">
        <v>1</v>
      </c>
      <c r="E1005" s="53">
        <v>27.740499</v>
      </c>
      <c r="F1005" s="53">
        <v>27.740499</v>
      </c>
      <c r="G1005" s="53">
        <v>93.220000999999996</v>
      </c>
      <c r="H1005" s="53">
        <v>93.220000999999968</v>
      </c>
      <c r="I1005" s="131" t="s">
        <v>87</v>
      </c>
      <c r="J1005" s="132" t="s">
        <v>102</v>
      </c>
      <c r="K1005" s="96" t="s">
        <v>623</v>
      </c>
      <c r="L1005" s="130" t="str">
        <f t="shared" si="15"/>
        <v>005-00000108</v>
      </c>
    </row>
    <row r="1006" spans="1:12" hidden="1" x14ac:dyDescent="0.25">
      <c r="A1006" s="130" t="s">
        <v>208</v>
      </c>
      <c r="B1006" s="130" t="s">
        <v>209</v>
      </c>
      <c r="C1006" s="132" t="s">
        <v>150</v>
      </c>
      <c r="D1006" s="53">
        <v>1</v>
      </c>
      <c r="E1006" s="53">
        <v>10.133900000000001</v>
      </c>
      <c r="F1006" s="53">
        <v>10.133900000000001</v>
      </c>
      <c r="G1006" s="53">
        <v>33.897998999999999</v>
      </c>
      <c r="H1006" s="53">
        <v>33.897998999999999</v>
      </c>
      <c r="I1006" s="131" t="s">
        <v>87</v>
      </c>
      <c r="J1006" s="132" t="s">
        <v>102</v>
      </c>
      <c r="K1006" s="96" t="s">
        <v>623</v>
      </c>
      <c r="L1006" s="130" t="str">
        <f t="shared" si="15"/>
        <v>005-00000108</v>
      </c>
    </row>
    <row r="1007" spans="1:12" hidden="1" x14ac:dyDescent="0.25">
      <c r="A1007" s="130" t="s">
        <v>445</v>
      </c>
      <c r="B1007" s="130" t="s">
        <v>446</v>
      </c>
      <c r="C1007" s="132" t="s">
        <v>150</v>
      </c>
      <c r="D1007" s="53">
        <v>1</v>
      </c>
      <c r="E1007" s="53">
        <v>27.868499999999997</v>
      </c>
      <c r="F1007" s="53">
        <v>27.868499999999997</v>
      </c>
      <c r="G1007" s="53">
        <v>93.220000999999996</v>
      </c>
      <c r="H1007" s="53">
        <v>93.220000999999968</v>
      </c>
      <c r="I1007" s="131" t="s">
        <v>87</v>
      </c>
      <c r="J1007" s="132" t="s">
        <v>102</v>
      </c>
      <c r="K1007" s="96" t="s">
        <v>698</v>
      </c>
      <c r="L1007" s="130" t="str">
        <f t="shared" si="15"/>
        <v>005-00000167</v>
      </c>
    </row>
    <row r="1008" spans="1:12" hidden="1" x14ac:dyDescent="0.25">
      <c r="A1008" s="130" t="s">
        <v>566</v>
      </c>
      <c r="B1008" s="130" t="s">
        <v>410</v>
      </c>
      <c r="C1008" s="132" t="s">
        <v>150</v>
      </c>
      <c r="D1008" s="53">
        <v>1</v>
      </c>
      <c r="E1008" s="53">
        <v>20.268000000000001</v>
      </c>
      <c r="F1008" s="53">
        <v>20.268000000000001</v>
      </c>
      <c r="G1008" s="53">
        <v>67.796599999999998</v>
      </c>
      <c r="H1008" s="53">
        <v>67.796599999999998</v>
      </c>
      <c r="I1008" s="131" t="s">
        <v>87</v>
      </c>
      <c r="J1008" s="132" t="s">
        <v>102</v>
      </c>
      <c r="K1008" s="96" t="s">
        <v>698</v>
      </c>
      <c r="L1008" s="130" t="str">
        <f t="shared" si="15"/>
        <v>005-00000167</v>
      </c>
    </row>
    <row r="1009" spans="1:12" hidden="1" x14ac:dyDescent="0.25">
      <c r="A1009" s="130" t="s">
        <v>585</v>
      </c>
      <c r="B1009" s="130" t="s">
        <v>586</v>
      </c>
      <c r="C1009" s="132" t="s">
        <v>150</v>
      </c>
      <c r="D1009" s="53">
        <v>1</v>
      </c>
      <c r="E1009" s="53">
        <v>7.5994000000000002</v>
      </c>
      <c r="F1009" s="53">
        <v>7.5994000000000002</v>
      </c>
      <c r="G1009" s="53">
        <v>25.42</v>
      </c>
      <c r="H1009" s="53">
        <v>25.42</v>
      </c>
      <c r="I1009" s="131" t="s">
        <v>87</v>
      </c>
      <c r="J1009" s="132" t="s">
        <v>102</v>
      </c>
      <c r="K1009" s="96" t="s">
        <v>698</v>
      </c>
      <c r="L1009" s="130" t="str">
        <f t="shared" si="15"/>
        <v>005-00000167</v>
      </c>
    </row>
    <row r="1010" spans="1:12" hidden="1" x14ac:dyDescent="0.25">
      <c r="A1010" s="130" t="s">
        <v>384</v>
      </c>
      <c r="B1010" s="130" t="s">
        <v>385</v>
      </c>
      <c r="C1010" s="132" t="s">
        <v>150</v>
      </c>
      <c r="D1010" s="53">
        <v>1</v>
      </c>
      <c r="E1010" s="53">
        <v>5.5736999999999997</v>
      </c>
      <c r="F1010" s="53">
        <v>5.5736999999999988</v>
      </c>
      <c r="G1010" s="53">
        <v>18.643999000000001</v>
      </c>
      <c r="H1010" s="53">
        <v>18.643999000000001</v>
      </c>
      <c r="I1010" s="131" t="s">
        <v>87</v>
      </c>
      <c r="J1010" s="132" t="s">
        <v>102</v>
      </c>
      <c r="K1010" s="96" t="s">
        <v>698</v>
      </c>
      <c r="L1010" s="130" t="str">
        <f t="shared" si="15"/>
        <v>005-00000167</v>
      </c>
    </row>
    <row r="1011" spans="1:12" hidden="1" x14ac:dyDescent="0.25">
      <c r="A1011" s="130" t="s">
        <v>531</v>
      </c>
      <c r="B1011" s="130" t="s">
        <v>532</v>
      </c>
      <c r="C1011" s="132" t="s">
        <v>150</v>
      </c>
      <c r="D1011" s="53">
        <v>1</v>
      </c>
      <c r="E1011" s="53">
        <v>20.268000000000001</v>
      </c>
      <c r="F1011" s="53">
        <v>20.268000000000001</v>
      </c>
      <c r="G1011" s="53">
        <v>67.796599999999998</v>
      </c>
      <c r="H1011" s="53">
        <v>67.796599999999998</v>
      </c>
      <c r="I1011" s="131" t="s">
        <v>87</v>
      </c>
      <c r="J1011" s="132" t="s">
        <v>102</v>
      </c>
      <c r="K1011" s="96" t="s">
        <v>649</v>
      </c>
      <c r="L1011" s="130" t="str">
        <f t="shared" si="15"/>
        <v>005-00000052</v>
      </c>
    </row>
    <row r="1012" spans="1:12" hidden="1" x14ac:dyDescent="0.25">
      <c r="A1012" s="130" t="s">
        <v>384</v>
      </c>
      <c r="B1012" s="130" t="s">
        <v>385</v>
      </c>
      <c r="C1012" s="132" t="s">
        <v>150</v>
      </c>
      <c r="D1012" s="53">
        <v>1</v>
      </c>
      <c r="E1012" s="53">
        <v>5.5736999999999997</v>
      </c>
      <c r="F1012" s="53">
        <v>5.5736999999999988</v>
      </c>
      <c r="G1012" s="53">
        <v>18.643999000000001</v>
      </c>
      <c r="H1012" s="53">
        <v>18.643999000000001</v>
      </c>
      <c r="I1012" s="131" t="s">
        <v>87</v>
      </c>
      <c r="J1012" s="132" t="s">
        <v>102</v>
      </c>
      <c r="K1012" s="96" t="s">
        <v>649</v>
      </c>
      <c r="L1012" s="130" t="str">
        <f t="shared" si="15"/>
        <v>005-00000052</v>
      </c>
    </row>
    <row r="1013" spans="1:12" hidden="1" x14ac:dyDescent="0.25">
      <c r="A1013" s="130" t="s">
        <v>616</v>
      </c>
      <c r="B1013" s="130" t="s">
        <v>602</v>
      </c>
      <c r="C1013" s="132" t="s">
        <v>150</v>
      </c>
      <c r="D1013" s="53">
        <v>1</v>
      </c>
      <c r="E1013" s="53">
        <v>21.534800000000001</v>
      </c>
      <c r="F1013" s="53">
        <v>21.534799999999997</v>
      </c>
      <c r="G1013" s="53">
        <v>72.033896999999996</v>
      </c>
      <c r="H1013" s="53">
        <v>72.033896999999996</v>
      </c>
      <c r="I1013" s="131" t="s">
        <v>87</v>
      </c>
      <c r="J1013" s="132" t="s">
        <v>102</v>
      </c>
      <c r="K1013" s="96" t="s">
        <v>649</v>
      </c>
      <c r="L1013" s="130" t="str">
        <f t="shared" si="15"/>
        <v>005-00000052</v>
      </c>
    </row>
    <row r="1014" spans="1:12" hidden="1" x14ac:dyDescent="0.25">
      <c r="A1014" s="130" t="s">
        <v>348</v>
      </c>
      <c r="B1014" s="130" t="s">
        <v>349</v>
      </c>
      <c r="C1014" s="132" t="s">
        <v>150</v>
      </c>
      <c r="D1014" s="53">
        <v>2</v>
      </c>
      <c r="E1014" s="53">
        <v>5.5736999999999997</v>
      </c>
      <c r="F1014" s="53">
        <v>11.147399999999998</v>
      </c>
      <c r="G1014" s="53">
        <v>18.643999000000001</v>
      </c>
      <c r="H1014" s="53">
        <v>37.287998000000002</v>
      </c>
      <c r="I1014" s="131" t="s">
        <v>87</v>
      </c>
      <c r="J1014" s="132" t="s">
        <v>102</v>
      </c>
      <c r="K1014" s="96" t="s">
        <v>703</v>
      </c>
      <c r="L1014" s="130" t="str">
        <f t="shared" si="15"/>
        <v>005-00000162</v>
      </c>
    </row>
    <row r="1015" spans="1:12" hidden="1" x14ac:dyDescent="0.25">
      <c r="A1015" s="130" t="s">
        <v>1098</v>
      </c>
      <c r="B1015" s="130" t="s">
        <v>255</v>
      </c>
      <c r="C1015" s="132" t="s">
        <v>150</v>
      </c>
      <c r="D1015" s="53">
        <v>1</v>
      </c>
      <c r="E1015" s="53">
        <v>40.536098000000003</v>
      </c>
      <c r="F1015" s="53">
        <v>40.536098000000003</v>
      </c>
      <c r="G1015" s="53">
        <v>135.5932</v>
      </c>
      <c r="H1015" s="53">
        <v>135.5932</v>
      </c>
      <c r="I1015" s="131" t="s">
        <v>87</v>
      </c>
      <c r="J1015" s="132" t="s">
        <v>102</v>
      </c>
      <c r="K1015" s="96" t="s">
        <v>701</v>
      </c>
      <c r="L1015" s="130" t="str">
        <f t="shared" si="15"/>
        <v>005-00000164</v>
      </c>
    </row>
    <row r="1016" spans="1:12" hidden="1" x14ac:dyDescent="0.25">
      <c r="A1016" s="130" t="s">
        <v>304</v>
      </c>
      <c r="B1016" s="130" t="s">
        <v>305</v>
      </c>
      <c r="C1016" s="132" t="s">
        <v>150</v>
      </c>
      <c r="D1016" s="53">
        <v>1</v>
      </c>
      <c r="E1016" s="53">
        <v>8.8669995999999998</v>
      </c>
      <c r="F1016" s="53">
        <v>8.866999599999998</v>
      </c>
      <c r="G1016" s="53">
        <v>29.66</v>
      </c>
      <c r="H1016" s="53">
        <v>29.66</v>
      </c>
      <c r="I1016" s="131" t="s">
        <v>87</v>
      </c>
      <c r="J1016" s="132" t="s">
        <v>102</v>
      </c>
      <c r="K1016" s="96" t="s">
        <v>701</v>
      </c>
      <c r="L1016" s="130" t="str">
        <f t="shared" si="15"/>
        <v>005-00000164</v>
      </c>
    </row>
    <row r="1017" spans="1:12" hidden="1" x14ac:dyDescent="0.25">
      <c r="A1017" s="130" t="s">
        <v>306</v>
      </c>
      <c r="B1017" s="130" t="s">
        <v>307</v>
      </c>
      <c r="C1017" s="132" t="s">
        <v>150</v>
      </c>
      <c r="D1017" s="53">
        <v>1</v>
      </c>
      <c r="E1017" s="53">
        <v>7.6005000999999996</v>
      </c>
      <c r="F1017" s="53">
        <v>7.6005000999999996</v>
      </c>
      <c r="G1017" s="53">
        <v>25.4237</v>
      </c>
      <c r="H1017" s="53">
        <v>25.423700000000004</v>
      </c>
      <c r="I1017" s="131" t="s">
        <v>87</v>
      </c>
      <c r="J1017" s="132" t="s">
        <v>102</v>
      </c>
      <c r="K1017" s="96" t="s">
        <v>701</v>
      </c>
      <c r="L1017" s="130" t="str">
        <f t="shared" si="15"/>
        <v>005-00000164</v>
      </c>
    </row>
    <row r="1018" spans="1:12" hidden="1" x14ac:dyDescent="0.25">
      <c r="A1018" s="130" t="s">
        <v>495</v>
      </c>
      <c r="B1018" s="130" t="s">
        <v>496</v>
      </c>
      <c r="C1018" s="132" t="s">
        <v>150</v>
      </c>
      <c r="D1018" s="53">
        <v>1</v>
      </c>
      <c r="E1018" s="53">
        <v>19.001301000000002</v>
      </c>
      <c r="F1018" s="53">
        <v>19.001301000000002</v>
      </c>
      <c r="G1018" s="53">
        <v>63.559299000000003</v>
      </c>
      <c r="H1018" s="53">
        <v>63.559298999999989</v>
      </c>
      <c r="I1018" s="131" t="s">
        <v>87</v>
      </c>
      <c r="J1018" s="132" t="s">
        <v>102</v>
      </c>
      <c r="K1018" s="96" t="s">
        <v>702</v>
      </c>
      <c r="L1018" s="130" t="str">
        <f t="shared" si="15"/>
        <v>005-00000163</v>
      </c>
    </row>
    <row r="1019" spans="1:12" hidden="1" x14ac:dyDescent="0.25">
      <c r="A1019" s="130" t="s">
        <v>304</v>
      </c>
      <c r="B1019" s="130" t="s">
        <v>305</v>
      </c>
      <c r="C1019" s="132" t="s">
        <v>150</v>
      </c>
      <c r="D1019" s="53">
        <v>1</v>
      </c>
      <c r="E1019" s="53">
        <v>8.8669995999999998</v>
      </c>
      <c r="F1019" s="53">
        <v>8.866999599999998</v>
      </c>
      <c r="G1019" s="53">
        <v>29.66</v>
      </c>
      <c r="H1019" s="53">
        <v>29.66</v>
      </c>
      <c r="I1019" s="131" t="s">
        <v>87</v>
      </c>
      <c r="J1019" s="132" t="s">
        <v>102</v>
      </c>
      <c r="K1019" s="96" t="s">
        <v>625</v>
      </c>
      <c r="L1019" s="130" t="str">
        <f t="shared" si="15"/>
        <v>005-00000106</v>
      </c>
    </row>
    <row r="1020" spans="1:12" hidden="1" x14ac:dyDescent="0.25">
      <c r="A1020" s="130" t="s">
        <v>306</v>
      </c>
      <c r="B1020" s="130" t="s">
        <v>307</v>
      </c>
      <c r="C1020" s="132" t="s">
        <v>150</v>
      </c>
      <c r="D1020" s="53">
        <v>1</v>
      </c>
      <c r="E1020" s="53">
        <v>7.6005000999999996</v>
      </c>
      <c r="F1020" s="53">
        <v>7.6005000999999996</v>
      </c>
      <c r="G1020" s="53">
        <v>25.4237</v>
      </c>
      <c r="H1020" s="53">
        <v>25.423700000000004</v>
      </c>
      <c r="I1020" s="131" t="s">
        <v>87</v>
      </c>
      <c r="J1020" s="132" t="s">
        <v>102</v>
      </c>
      <c r="K1020" s="96" t="s">
        <v>625</v>
      </c>
      <c r="L1020" s="130" t="str">
        <f t="shared" si="15"/>
        <v>005-00000106</v>
      </c>
    </row>
    <row r="1021" spans="1:12" hidden="1" x14ac:dyDescent="0.25">
      <c r="A1021" s="130" t="s">
        <v>1099</v>
      </c>
      <c r="B1021" s="130" t="s">
        <v>1100</v>
      </c>
      <c r="C1021" s="132" t="s">
        <v>153</v>
      </c>
      <c r="D1021" s="53">
        <v>1</v>
      </c>
      <c r="E1021" s="53">
        <v>22.801599999999997</v>
      </c>
      <c r="F1021" s="53">
        <v>22.801599999999997</v>
      </c>
      <c r="G1021" s="53">
        <v>76.271202000000002</v>
      </c>
      <c r="H1021" s="53">
        <v>76.271202000000002</v>
      </c>
      <c r="I1021" s="131" t="s">
        <v>87</v>
      </c>
      <c r="J1021" s="132" t="s">
        <v>102</v>
      </c>
      <c r="K1021" s="96" t="s">
        <v>700</v>
      </c>
      <c r="L1021" s="130" t="str">
        <f t="shared" si="15"/>
        <v>005-00000165</v>
      </c>
    </row>
    <row r="1022" spans="1:12" hidden="1" x14ac:dyDescent="0.25">
      <c r="A1022" s="130" t="s">
        <v>208</v>
      </c>
      <c r="B1022" s="130" t="s">
        <v>209</v>
      </c>
      <c r="C1022" s="132" t="s">
        <v>150</v>
      </c>
      <c r="D1022" s="53">
        <v>1</v>
      </c>
      <c r="E1022" s="53">
        <v>6.3337998000000004</v>
      </c>
      <c r="F1022" s="53">
        <v>6.3337998000000004</v>
      </c>
      <c r="G1022" s="53">
        <v>21.186399000000002</v>
      </c>
      <c r="H1022" s="53">
        <v>21.186399000000002</v>
      </c>
      <c r="I1022" s="131" t="s">
        <v>87</v>
      </c>
      <c r="J1022" s="132" t="s">
        <v>102</v>
      </c>
      <c r="K1022" s="96" t="s">
        <v>700</v>
      </c>
      <c r="L1022" s="130" t="str">
        <f t="shared" si="15"/>
        <v>005-00000165</v>
      </c>
    </row>
    <row r="1023" spans="1:12" hidden="1" x14ac:dyDescent="0.25">
      <c r="A1023" s="130" t="s">
        <v>350</v>
      </c>
      <c r="B1023" s="130" t="s">
        <v>351</v>
      </c>
      <c r="C1023" s="132" t="s">
        <v>150</v>
      </c>
      <c r="D1023" s="53">
        <v>3</v>
      </c>
      <c r="E1023" s="53">
        <v>30.402100000000001</v>
      </c>
      <c r="F1023" s="53">
        <v>91.206300000000013</v>
      </c>
      <c r="G1023" s="53">
        <v>101.6949</v>
      </c>
      <c r="H1023" s="53">
        <v>305.08469999999994</v>
      </c>
      <c r="I1023" s="131" t="s">
        <v>87</v>
      </c>
      <c r="J1023" s="132" t="s">
        <v>102</v>
      </c>
      <c r="K1023" s="96" t="s">
        <v>626</v>
      </c>
      <c r="L1023" s="130" t="str">
        <f t="shared" si="15"/>
        <v>005-00000105</v>
      </c>
    </row>
    <row r="1024" spans="1:12" hidden="1" x14ac:dyDescent="0.25">
      <c r="A1024" s="130" t="s">
        <v>566</v>
      </c>
      <c r="B1024" s="130" t="s">
        <v>410</v>
      </c>
      <c r="C1024" s="132" t="s">
        <v>150</v>
      </c>
      <c r="D1024" s="53">
        <v>1</v>
      </c>
      <c r="E1024" s="53">
        <v>30.402100000000001</v>
      </c>
      <c r="F1024" s="53">
        <v>30.402100000000004</v>
      </c>
      <c r="G1024" s="53">
        <v>101.6949</v>
      </c>
      <c r="H1024" s="53">
        <v>101.69489999999998</v>
      </c>
      <c r="I1024" s="131" t="s">
        <v>87</v>
      </c>
      <c r="J1024" s="132" t="s">
        <v>102</v>
      </c>
      <c r="K1024" s="96" t="s">
        <v>706</v>
      </c>
      <c r="L1024" s="130" t="str">
        <f t="shared" si="15"/>
        <v>005-00000152</v>
      </c>
    </row>
    <row r="1025" spans="1:12" hidden="1" x14ac:dyDescent="0.25">
      <c r="A1025" s="130" t="s">
        <v>368</v>
      </c>
      <c r="B1025" s="130" t="s">
        <v>369</v>
      </c>
      <c r="C1025" s="132" t="s">
        <v>150</v>
      </c>
      <c r="D1025" s="53">
        <v>1</v>
      </c>
      <c r="E1025" s="53">
        <v>3.8002999000000002</v>
      </c>
      <c r="F1025" s="53">
        <v>3.8002998999999993</v>
      </c>
      <c r="G1025" s="53">
        <v>12.7119</v>
      </c>
      <c r="H1025" s="53">
        <v>12.711900000000004</v>
      </c>
      <c r="I1025" s="131" t="s">
        <v>87</v>
      </c>
      <c r="J1025" s="132" t="s">
        <v>102</v>
      </c>
      <c r="K1025" s="96" t="s">
        <v>706</v>
      </c>
      <c r="L1025" s="130" t="str">
        <f t="shared" si="15"/>
        <v>005-00000152</v>
      </c>
    </row>
    <row r="1026" spans="1:12" hidden="1" x14ac:dyDescent="0.25">
      <c r="A1026" s="130" t="s">
        <v>1101</v>
      </c>
      <c r="B1026" s="130" t="s">
        <v>1102</v>
      </c>
      <c r="C1026" s="132" t="s">
        <v>226</v>
      </c>
      <c r="D1026" s="53">
        <v>1</v>
      </c>
      <c r="E1026" s="53">
        <v>69.671204000000003</v>
      </c>
      <c r="F1026" s="53">
        <v>69.671204000000003</v>
      </c>
      <c r="G1026" s="53">
        <v>233.05</v>
      </c>
      <c r="H1026" s="53">
        <v>233.05</v>
      </c>
      <c r="I1026" s="131" t="s">
        <v>87</v>
      </c>
      <c r="J1026" s="132" t="s">
        <v>102</v>
      </c>
      <c r="K1026" s="96" t="s">
        <v>707</v>
      </c>
      <c r="L1026" s="130" t="str">
        <f t="shared" si="15"/>
        <v>005-00000151</v>
      </c>
    </row>
    <row r="1027" spans="1:12" hidden="1" x14ac:dyDescent="0.25">
      <c r="A1027" s="130" t="s">
        <v>1101</v>
      </c>
      <c r="B1027" s="130" t="s">
        <v>1102</v>
      </c>
      <c r="C1027" s="132" t="s">
        <v>226</v>
      </c>
      <c r="D1027" s="53">
        <v>1</v>
      </c>
      <c r="E1027" s="53">
        <v>69.031402999999997</v>
      </c>
      <c r="F1027" s="53">
        <v>69.031402999999997</v>
      </c>
      <c r="G1027" s="53">
        <v>233.05</v>
      </c>
      <c r="H1027" s="53">
        <v>233.05</v>
      </c>
      <c r="I1027" s="131" t="s">
        <v>87</v>
      </c>
      <c r="J1027" s="132" t="s">
        <v>102</v>
      </c>
      <c r="K1027" s="96" t="s">
        <v>699</v>
      </c>
      <c r="L1027" s="130" t="str">
        <f t="shared" si="15"/>
        <v>005-00000166</v>
      </c>
    </row>
    <row r="1028" spans="1:12" hidden="1" x14ac:dyDescent="0.25">
      <c r="A1028" s="130" t="s">
        <v>304</v>
      </c>
      <c r="B1028" s="130" t="s">
        <v>305</v>
      </c>
      <c r="C1028" s="132" t="s">
        <v>150</v>
      </c>
      <c r="D1028" s="53">
        <v>1</v>
      </c>
      <c r="E1028" s="53">
        <v>8.8669995999999998</v>
      </c>
      <c r="F1028" s="53">
        <v>8.866999599999998</v>
      </c>
      <c r="G1028" s="53">
        <v>29.66</v>
      </c>
      <c r="H1028" s="53">
        <v>29.66</v>
      </c>
      <c r="I1028" s="131" t="s">
        <v>87</v>
      </c>
      <c r="J1028" s="132" t="s">
        <v>102</v>
      </c>
      <c r="K1028" s="96" t="s">
        <v>622</v>
      </c>
      <c r="L1028" s="130" t="str">
        <f t="shared" si="15"/>
        <v>005-00000109</v>
      </c>
    </row>
    <row r="1029" spans="1:12" hidden="1" x14ac:dyDescent="0.25">
      <c r="A1029" s="130" t="s">
        <v>306</v>
      </c>
      <c r="B1029" s="130" t="s">
        <v>307</v>
      </c>
      <c r="C1029" s="132" t="s">
        <v>150</v>
      </c>
      <c r="D1029" s="53">
        <v>1</v>
      </c>
      <c r="E1029" s="53">
        <v>7.6005000999999996</v>
      </c>
      <c r="F1029" s="53">
        <v>7.6005000999999996</v>
      </c>
      <c r="G1029" s="53">
        <v>25.4237</v>
      </c>
      <c r="H1029" s="53">
        <v>25.423700000000004</v>
      </c>
      <c r="I1029" s="131" t="s">
        <v>87</v>
      </c>
      <c r="J1029" s="132" t="s">
        <v>102</v>
      </c>
      <c r="K1029" s="96" t="s">
        <v>622</v>
      </c>
      <c r="L1029" s="130" t="str">
        <f t="shared" ref="L1029:L1092" si="16">CONCATENATE(J1029,"-",K1029)</f>
        <v>005-00000109</v>
      </c>
    </row>
    <row r="1030" spans="1:12" hidden="1" x14ac:dyDescent="0.25">
      <c r="A1030" s="130" t="s">
        <v>566</v>
      </c>
      <c r="B1030" s="130" t="s">
        <v>410</v>
      </c>
      <c r="C1030" s="132" t="s">
        <v>150</v>
      </c>
      <c r="D1030" s="53">
        <v>1</v>
      </c>
      <c r="E1030" s="53">
        <v>25.335100000000001</v>
      </c>
      <c r="F1030" s="53">
        <v>25.335100000000001</v>
      </c>
      <c r="G1030" s="53">
        <v>84.745795999999984</v>
      </c>
      <c r="H1030" s="53">
        <v>84.74579599999997</v>
      </c>
      <c r="I1030" s="131" t="s">
        <v>87</v>
      </c>
      <c r="J1030" s="132" t="s">
        <v>102</v>
      </c>
      <c r="K1030" s="96" t="s">
        <v>622</v>
      </c>
      <c r="L1030" s="130" t="str">
        <f t="shared" si="16"/>
        <v>005-00000109</v>
      </c>
    </row>
    <row r="1031" spans="1:12" hidden="1" x14ac:dyDescent="0.25">
      <c r="A1031" s="130" t="s">
        <v>390</v>
      </c>
      <c r="B1031" s="130" t="s">
        <v>391</v>
      </c>
      <c r="C1031" s="132" t="s">
        <v>150</v>
      </c>
      <c r="D1031" s="53">
        <v>1</v>
      </c>
      <c r="E1031" s="53">
        <v>19.001301000000002</v>
      </c>
      <c r="F1031" s="53">
        <v>19.001301000000002</v>
      </c>
      <c r="G1031" s="53">
        <v>63.559299000000003</v>
      </c>
      <c r="H1031" s="53">
        <v>63.559298999999989</v>
      </c>
      <c r="I1031" s="131" t="s">
        <v>87</v>
      </c>
      <c r="J1031" s="132" t="s">
        <v>102</v>
      </c>
      <c r="K1031" s="96" t="s">
        <v>622</v>
      </c>
      <c r="L1031" s="130" t="str">
        <f t="shared" si="16"/>
        <v>005-00000109</v>
      </c>
    </row>
    <row r="1032" spans="1:12" hidden="1" x14ac:dyDescent="0.25">
      <c r="A1032" s="130" t="s">
        <v>585</v>
      </c>
      <c r="B1032" s="130" t="s">
        <v>586</v>
      </c>
      <c r="C1032" s="132" t="s">
        <v>150</v>
      </c>
      <c r="D1032" s="53">
        <v>1</v>
      </c>
      <c r="E1032" s="53">
        <v>7.5994000000000002</v>
      </c>
      <c r="F1032" s="53">
        <v>7.5994000000000002</v>
      </c>
      <c r="G1032" s="53">
        <v>25.42</v>
      </c>
      <c r="H1032" s="53">
        <v>25.42</v>
      </c>
      <c r="I1032" s="131" t="s">
        <v>87</v>
      </c>
      <c r="J1032" s="132" t="s">
        <v>102</v>
      </c>
      <c r="K1032" s="96" t="s">
        <v>622</v>
      </c>
      <c r="L1032" s="130" t="str">
        <f t="shared" si="16"/>
        <v>005-00000109</v>
      </c>
    </row>
    <row r="1033" spans="1:12" hidden="1" x14ac:dyDescent="0.25">
      <c r="A1033" s="130" t="s">
        <v>564</v>
      </c>
      <c r="B1033" s="130" t="s">
        <v>565</v>
      </c>
      <c r="C1033" s="132" t="s">
        <v>150</v>
      </c>
      <c r="D1033" s="53">
        <v>1</v>
      </c>
      <c r="E1033" s="53">
        <v>27.868499999999997</v>
      </c>
      <c r="F1033" s="53">
        <v>27.868499999999997</v>
      </c>
      <c r="G1033" s="53">
        <v>93.220298999999997</v>
      </c>
      <c r="H1033" s="53">
        <v>93.220298999999997</v>
      </c>
      <c r="I1033" s="131" t="s">
        <v>87</v>
      </c>
      <c r="J1033" s="132" t="s">
        <v>102</v>
      </c>
      <c r="K1033" s="96" t="s">
        <v>622</v>
      </c>
      <c r="L1033" s="130" t="str">
        <f t="shared" si="16"/>
        <v>005-00000109</v>
      </c>
    </row>
    <row r="1034" spans="1:12" hidden="1" x14ac:dyDescent="0.25">
      <c r="A1034" s="130" t="s">
        <v>1103</v>
      </c>
      <c r="B1034" s="130" t="s">
        <v>1104</v>
      </c>
      <c r="C1034" s="132" t="s">
        <v>150</v>
      </c>
      <c r="D1034" s="53">
        <v>2</v>
      </c>
      <c r="E1034" s="53">
        <v>17.249300000000002</v>
      </c>
      <c r="F1034" s="53">
        <v>34.498600000000003</v>
      </c>
      <c r="G1034" s="53">
        <v>57.630001</v>
      </c>
      <c r="H1034" s="53">
        <v>115.260002</v>
      </c>
      <c r="I1034" s="131" t="s">
        <v>87</v>
      </c>
      <c r="J1034" s="132" t="s">
        <v>102</v>
      </c>
      <c r="K1034" s="96" t="s">
        <v>653</v>
      </c>
      <c r="L1034" s="130" t="str">
        <f t="shared" si="16"/>
        <v>005-00000048</v>
      </c>
    </row>
    <row r="1035" spans="1:12" hidden="1" x14ac:dyDescent="0.25">
      <c r="A1035" s="130" t="s">
        <v>451</v>
      </c>
      <c r="B1035" s="130" t="s">
        <v>452</v>
      </c>
      <c r="C1035" s="132" t="s">
        <v>150</v>
      </c>
      <c r="D1035" s="53">
        <v>1</v>
      </c>
      <c r="E1035" s="53">
        <v>19.021298999999999</v>
      </c>
      <c r="F1035" s="53">
        <v>19.021298999999999</v>
      </c>
      <c r="G1035" s="53">
        <v>63.549999</v>
      </c>
      <c r="H1035" s="53">
        <v>63.549998999999985</v>
      </c>
      <c r="I1035" s="131" t="s">
        <v>87</v>
      </c>
      <c r="J1035" s="132" t="s">
        <v>102</v>
      </c>
      <c r="K1035" s="96" t="s">
        <v>653</v>
      </c>
      <c r="L1035" s="130" t="str">
        <f t="shared" si="16"/>
        <v>005-00000048</v>
      </c>
    </row>
    <row r="1036" spans="1:12" hidden="1" x14ac:dyDescent="0.25">
      <c r="A1036" s="130" t="s">
        <v>1105</v>
      </c>
      <c r="B1036" s="130" t="s">
        <v>1106</v>
      </c>
      <c r="C1036" s="132" t="s">
        <v>150</v>
      </c>
      <c r="D1036" s="53">
        <v>1</v>
      </c>
      <c r="E1036" s="53">
        <v>27.901800000000001</v>
      </c>
      <c r="F1036" s="53">
        <v>27.901799999999998</v>
      </c>
      <c r="G1036" s="53">
        <v>93.220000999999996</v>
      </c>
      <c r="H1036" s="53">
        <v>93.220000999999968</v>
      </c>
      <c r="I1036" s="131" t="s">
        <v>87</v>
      </c>
      <c r="J1036" s="132" t="s">
        <v>102</v>
      </c>
      <c r="K1036" s="96" t="s">
        <v>633</v>
      </c>
      <c r="L1036" s="130" t="str">
        <f t="shared" si="16"/>
        <v>005-00000069</v>
      </c>
    </row>
    <row r="1037" spans="1:12" hidden="1" x14ac:dyDescent="0.25">
      <c r="A1037" s="130" t="s">
        <v>1107</v>
      </c>
      <c r="B1037" s="130" t="s">
        <v>1108</v>
      </c>
      <c r="C1037" s="132" t="s">
        <v>150</v>
      </c>
      <c r="D1037" s="53">
        <v>1</v>
      </c>
      <c r="E1037" s="53">
        <v>15.881500000000001</v>
      </c>
      <c r="F1037" s="53">
        <v>15.881500000000003</v>
      </c>
      <c r="G1037" s="53">
        <v>53.060001</v>
      </c>
      <c r="H1037" s="53">
        <v>53.060001</v>
      </c>
      <c r="I1037" s="131" t="s">
        <v>87</v>
      </c>
      <c r="J1037" s="132" t="s">
        <v>102</v>
      </c>
      <c r="K1037" s="96" t="s">
        <v>705</v>
      </c>
      <c r="L1037" s="130" t="str">
        <f t="shared" si="16"/>
        <v>005-00000157</v>
      </c>
    </row>
    <row r="1038" spans="1:12" hidden="1" x14ac:dyDescent="0.25">
      <c r="A1038" s="130" t="s">
        <v>1111</v>
      </c>
      <c r="B1038" s="130" t="s">
        <v>1112</v>
      </c>
      <c r="C1038" s="132" t="s">
        <v>150</v>
      </c>
      <c r="D1038" s="53">
        <v>5</v>
      </c>
      <c r="E1038" s="53">
        <v>11.1122</v>
      </c>
      <c r="F1038" s="53">
        <v>55.561000000000007</v>
      </c>
      <c r="G1038" s="53">
        <v>37.125999</v>
      </c>
      <c r="H1038" s="53">
        <v>185.62999500000006</v>
      </c>
      <c r="I1038" s="131" t="s">
        <v>87</v>
      </c>
      <c r="J1038" s="132" t="s">
        <v>102</v>
      </c>
      <c r="K1038" s="96" t="s">
        <v>705</v>
      </c>
      <c r="L1038" s="130" t="str">
        <f t="shared" si="16"/>
        <v>005-00000157</v>
      </c>
    </row>
    <row r="1039" spans="1:12" hidden="1" x14ac:dyDescent="0.25">
      <c r="A1039" s="130" t="s">
        <v>304</v>
      </c>
      <c r="B1039" s="130" t="s">
        <v>305</v>
      </c>
      <c r="C1039" s="132" t="s">
        <v>150</v>
      </c>
      <c r="D1039" s="53">
        <v>1</v>
      </c>
      <c r="E1039" s="53">
        <v>6.2979998999999998</v>
      </c>
      <c r="F1039" s="53">
        <v>6.2979998999999998</v>
      </c>
      <c r="G1039" s="53">
        <v>21.186399000000002</v>
      </c>
      <c r="H1039" s="53">
        <v>21.186399000000002</v>
      </c>
      <c r="I1039" s="131" t="s">
        <v>87</v>
      </c>
      <c r="J1039" s="132" t="s">
        <v>102</v>
      </c>
      <c r="K1039" s="96" t="s">
        <v>649</v>
      </c>
      <c r="L1039" s="130" t="str">
        <f t="shared" si="16"/>
        <v>005-00000052</v>
      </c>
    </row>
    <row r="1040" spans="1:12" hidden="1" x14ac:dyDescent="0.25">
      <c r="A1040" s="130" t="s">
        <v>306</v>
      </c>
      <c r="B1040" s="130" t="s">
        <v>307</v>
      </c>
      <c r="C1040" s="132" t="s">
        <v>150</v>
      </c>
      <c r="D1040" s="53">
        <v>1</v>
      </c>
      <c r="E1040" s="53">
        <v>5.0382999999999996</v>
      </c>
      <c r="F1040" s="53">
        <v>5.0382999999999996</v>
      </c>
      <c r="G1040" s="53">
        <v>16.948999000000001</v>
      </c>
      <c r="H1040" s="53">
        <v>16.948999000000001</v>
      </c>
      <c r="I1040" s="131" t="s">
        <v>87</v>
      </c>
      <c r="J1040" s="132" t="s">
        <v>102</v>
      </c>
      <c r="K1040" s="96" t="s">
        <v>649</v>
      </c>
      <c r="L1040" s="130" t="str">
        <f t="shared" si="16"/>
        <v>005-00000052</v>
      </c>
    </row>
    <row r="1041" spans="1:12" hidden="1" x14ac:dyDescent="0.25">
      <c r="A1041" s="130" t="s">
        <v>1075</v>
      </c>
      <c r="B1041" s="130" t="s">
        <v>1076</v>
      </c>
      <c r="C1041" s="132" t="s">
        <v>150</v>
      </c>
      <c r="D1041" s="53">
        <v>1</v>
      </c>
      <c r="E1041" s="53">
        <v>8.8171996999999998</v>
      </c>
      <c r="F1041" s="53">
        <v>8.8171996999999998</v>
      </c>
      <c r="G1041" s="53">
        <v>29.660999</v>
      </c>
      <c r="H1041" s="53">
        <v>29.660999000000007</v>
      </c>
      <c r="I1041" s="131" t="s">
        <v>87</v>
      </c>
      <c r="J1041" s="132" t="s">
        <v>102</v>
      </c>
      <c r="K1041" s="96" t="s">
        <v>654</v>
      </c>
      <c r="L1041" s="130" t="str">
        <f t="shared" si="16"/>
        <v>005-00000047</v>
      </c>
    </row>
    <row r="1042" spans="1:12" hidden="1" x14ac:dyDescent="0.25">
      <c r="A1042" s="130" t="s">
        <v>542</v>
      </c>
      <c r="B1042" s="130" t="s">
        <v>543</v>
      </c>
      <c r="C1042" s="132" t="s">
        <v>153</v>
      </c>
      <c r="D1042" s="53">
        <v>1</v>
      </c>
      <c r="E1042" s="53">
        <v>1.5112999999999999</v>
      </c>
      <c r="F1042" s="53">
        <v>1.5112999999999999</v>
      </c>
      <c r="G1042" s="53">
        <v>5.0840000999999999</v>
      </c>
      <c r="H1042" s="53">
        <v>5.0840001000000008</v>
      </c>
      <c r="I1042" s="131" t="s">
        <v>87</v>
      </c>
      <c r="J1042" s="132" t="s">
        <v>102</v>
      </c>
      <c r="K1042" s="96" t="s">
        <v>654</v>
      </c>
      <c r="L1042" s="130" t="str">
        <f t="shared" si="16"/>
        <v>005-00000047</v>
      </c>
    </row>
    <row r="1043" spans="1:12" hidden="1" x14ac:dyDescent="0.25">
      <c r="A1043" s="130" t="s">
        <v>542</v>
      </c>
      <c r="B1043" s="130" t="s">
        <v>543</v>
      </c>
      <c r="C1043" s="132" t="s">
        <v>153</v>
      </c>
      <c r="D1043" s="53">
        <v>1</v>
      </c>
      <c r="E1043" s="53">
        <v>1.5112999999999999</v>
      </c>
      <c r="F1043" s="53">
        <v>1.5112999999999999</v>
      </c>
      <c r="G1043" s="53">
        <v>5.0840000999999999</v>
      </c>
      <c r="H1043" s="53">
        <v>5.0840001000000008</v>
      </c>
      <c r="I1043" s="131" t="s">
        <v>87</v>
      </c>
      <c r="J1043" s="132" t="s">
        <v>102</v>
      </c>
      <c r="K1043" s="96" t="s">
        <v>649</v>
      </c>
      <c r="L1043" s="130" t="str">
        <f t="shared" si="16"/>
        <v>005-00000052</v>
      </c>
    </row>
    <row r="1044" spans="1:12" hidden="1" x14ac:dyDescent="0.25">
      <c r="A1044" s="130" t="s">
        <v>247</v>
      </c>
      <c r="B1044" s="130" t="s">
        <v>248</v>
      </c>
      <c r="C1044" s="132" t="s">
        <v>153</v>
      </c>
      <c r="D1044" s="53">
        <v>2</v>
      </c>
      <c r="E1044" s="53">
        <v>1.5115000000000001</v>
      </c>
      <c r="F1044" s="53">
        <v>3.0229999999999997</v>
      </c>
      <c r="G1044" s="53">
        <v>5.0847001000000001</v>
      </c>
      <c r="H1044" s="53">
        <v>10.169400200000002</v>
      </c>
      <c r="I1044" s="131" t="s">
        <v>87</v>
      </c>
      <c r="J1044" s="132" t="s">
        <v>102</v>
      </c>
      <c r="K1044" s="96" t="s">
        <v>649</v>
      </c>
      <c r="L1044" s="130" t="str">
        <f t="shared" si="16"/>
        <v>005-00000052</v>
      </c>
    </row>
    <row r="1045" spans="1:12" hidden="1" x14ac:dyDescent="0.25">
      <c r="A1045" s="130" t="s">
        <v>1061</v>
      </c>
      <c r="B1045" s="130" t="s">
        <v>1062</v>
      </c>
      <c r="C1045" s="132" t="s">
        <v>226</v>
      </c>
      <c r="D1045" s="53">
        <v>1</v>
      </c>
      <c r="E1045" s="53">
        <v>61.45999900000001</v>
      </c>
      <c r="F1045" s="53">
        <v>61.45999900000001</v>
      </c>
      <c r="G1045" s="53">
        <v>205.7312</v>
      </c>
      <c r="H1045" s="53">
        <v>205.73119999999994</v>
      </c>
      <c r="I1045" s="131" t="s">
        <v>87</v>
      </c>
      <c r="J1045" s="132" t="s">
        <v>102</v>
      </c>
      <c r="K1045" s="96" t="s">
        <v>700</v>
      </c>
      <c r="L1045" s="130" t="str">
        <f t="shared" si="16"/>
        <v>005-00000165</v>
      </c>
    </row>
    <row r="1046" spans="1:12" hidden="1" x14ac:dyDescent="0.25">
      <c r="A1046" s="130" t="s">
        <v>1061</v>
      </c>
      <c r="B1046" s="130" t="s">
        <v>1062</v>
      </c>
      <c r="C1046" s="132" t="s">
        <v>226</v>
      </c>
      <c r="D1046" s="53">
        <v>1</v>
      </c>
      <c r="E1046" s="53">
        <v>61.45999900000001</v>
      </c>
      <c r="F1046" s="53">
        <v>61.45999900000001</v>
      </c>
      <c r="G1046" s="53">
        <v>205.7312</v>
      </c>
      <c r="H1046" s="53">
        <v>205.73119999999994</v>
      </c>
      <c r="I1046" s="131" t="s">
        <v>87</v>
      </c>
      <c r="J1046" s="132" t="s">
        <v>102</v>
      </c>
      <c r="K1046" s="96" t="s">
        <v>622</v>
      </c>
      <c r="L1046" s="130" t="str">
        <f t="shared" si="16"/>
        <v>005-00000109</v>
      </c>
    </row>
    <row r="1047" spans="1:12" hidden="1" x14ac:dyDescent="0.25">
      <c r="A1047" s="130" t="s">
        <v>1061</v>
      </c>
      <c r="B1047" s="130" t="s">
        <v>1062</v>
      </c>
      <c r="C1047" s="132" t="s">
        <v>226</v>
      </c>
      <c r="D1047" s="53">
        <v>1</v>
      </c>
      <c r="E1047" s="53">
        <v>61.45999900000001</v>
      </c>
      <c r="F1047" s="53">
        <v>61.45999900000001</v>
      </c>
      <c r="G1047" s="53">
        <v>205.7312</v>
      </c>
      <c r="H1047" s="53">
        <v>205.73119999999994</v>
      </c>
      <c r="I1047" s="131" t="s">
        <v>87</v>
      </c>
      <c r="J1047" s="132" t="s">
        <v>102</v>
      </c>
      <c r="K1047" s="96" t="s">
        <v>706</v>
      </c>
      <c r="L1047" s="130" t="str">
        <f t="shared" si="16"/>
        <v>005-00000152</v>
      </c>
    </row>
    <row r="1048" spans="1:12" hidden="1" x14ac:dyDescent="0.25">
      <c r="A1048" s="130" t="s">
        <v>1109</v>
      </c>
      <c r="B1048" s="130" t="s">
        <v>1110</v>
      </c>
      <c r="C1048" s="132" t="s">
        <v>153</v>
      </c>
      <c r="D1048" s="53">
        <v>1</v>
      </c>
      <c r="E1048" s="53">
        <v>48.137501</v>
      </c>
      <c r="F1048" s="53">
        <v>48.137501</v>
      </c>
      <c r="G1048" s="53">
        <v>161.02000000000001</v>
      </c>
      <c r="H1048" s="53">
        <v>161.02000000000001</v>
      </c>
      <c r="I1048" s="131" t="s">
        <v>87</v>
      </c>
      <c r="J1048" s="132" t="s">
        <v>102</v>
      </c>
      <c r="K1048" s="96" t="s">
        <v>625</v>
      </c>
      <c r="L1048" s="130" t="str">
        <f t="shared" si="16"/>
        <v>005-00000106</v>
      </c>
    </row>
    <row r="1049" spans="1:12" hidden="1" x14ac:dyDescent="0.25">
      <c r="A1049" s="130" t="s">
        <v>546</v>
      </c>
      <c r="B1049" s="130" t="s">
        <v>547</v>
      </c>
      <c r="C1049" s="132" t="s">
        <v>153</v>
      </c>
      <c r="D1049" s="53">
        <v>1</v>
      </c>
      <c r="E1049" s="53">
        <v>22.801201000000002</v>
      </c>
      <c r="F1049" s="53">
        <v>22.801201000000002</v>
      </c>
      <c r="G1049" s="53">
        <v>76.269997000000004</v>
      </c>
      <c r="H1049" s="53">
        <v>76.269996999999989</v>
      </c>
      <c r="I1049" s="131" t="s">
        <v>87</v>
      </c>
      <c r="J1049" s="132" t="s">
        <v>102</v>
      </c>
      <c r="K1049" s="96" t="s">
        <v>625</v>
      </c>
      <c r="L1049" s="130" t="str">
        <f t="shared" si="16"/>
        <v>005-00000106</v>
      </c>
    </row>
    <row r="1050" spans="1:12" hidden="1" x14ac:dyDescent="0.25">
      <c r="A1050" s="130" t="s">
        <v>502</v>
      </c>
      <c r="B1050" s="130" t="s">
        <v>503</v>
      </c>
      <c r="C1050" s="132" t="s">
        <v>153</v>
      </c>
      <c r="D1050" s="53">
        <v>1</v>
      </c>
      <c r="E1050" s="53">
        <v>30.330798999999999</v>
      </c>
      <c r="F1050" s="53">
        <v>30.330798999999999</v>
      </c>
      <c r="G1050" s="53">
        <v>101.69</v>
      </c>
      <c r="H1050" s="53">
        <v>101.69</v>
      </c>
      <c r="I1050" s="131" t="s">
        <v>87</v>
      </c>
      <c r="J1050" s="132" t="s">
        <v>102</v>
      </c>
      <c r="K1050" s="96" t="s">
        <v>625</v>
      </c>
      <c r="L1050" s="130" t="str">
        <f t="shared" si="16"/>
        <v>005-00000106</v>
      </c>
    </row>
    <row r="1051" spans="1:12" hidden="1" x14ac:dyDescent="0.25">
      <c r="A1051" s="130" t="s">
        <v>362</v>
      </c>
      <c r="B1051" s="130" t="s">
        <v>363</v>
      </c>
      <c r="C1051" s="132" t="s">
        <v>153</v>
      </c>
      <c r="D1051" s="53">
        <v>1</v>
      </c>
      <c r="E1051" s="53">
        <v>48.137501</v>
      </c>
      <c r="F1051" s="53">
        <v>48.137501</v>
      </c>
      <c r="G1051" s="53">
        <v>161.02000000000001</v>
      </c>
      <c r="H1051" s="53">
        <v>161.02000000000001</v>
      </c>
      <c r="I1051" s="131" t="s">
        <v>87</v>
      </c>
      <c r="J1051" s="132" t="s">
        <v>102</v>
      </c>
      <c r="K1051" s="96" t="s">
        <v>699</v>
      </c>
      <c r="L1051" s="130" t="str">
        <f t="shared" si="16"/>
        <v>005-00000166</v>
      </c>
    </row>
    <row r="1052" spans="1:12" hidden="1" x14ac:dyDescent="0.25">
      <c r="A1052" s="130" t="s">
        <v>546</v>
      </c>
      <c r="B1052" s="130" t="s">
        <v>547</v>
      </c>
      <c r="C1052" s="132" t="s">
        <v>153</v>
      </c>
      <c r="D1052" s="53">
        <v>1</v>
      </c>
      <c r="E1052" s="53">
        <v>22.801201000000002</v>
      </c>
      <c r="F1052" s="53">
        <v>22.801201000000002</v>
      </c>
      <c r="G1052" s="53">
        <v>76.269997000000004</v>
      </c>
      <c r="H1052" s="53">
        <v>76.269996999999989</v>
      </c>
      <c r="I1052" s="131" t="s">
        <v>87</v>
      </c>
      <c r="J1052" s="132" t="s">
        <v>102</v>
      </c>
      <c r="K1052" s="96" t="s">
        <v>699</v>
      </c>
      <c r="L1052" s="130" t="str">
        <f t="shared" si="16"/>
        <v>005-00000166</v>
      </c>
    </row>
    <row r="1053" spans="1:12" hidden="1" x14ac:dyDescent="0.25">
      <c r="A1053" s="130" t="s">
        <v>502</v>
      </c>
      <c r="B1053" s="130" t="s">
        <v>503</v>
      </c>
      <c r="C1053" s="132" t="s">
        <v>153</v>
      </c>
      <c r="D1053" s="53">
        <v>1</v>
      </c>
      <c r="E1053" s="53">
        <v>30.330798999999999</v>
      </c>
      <c r="F1053" s="53">
        <v>30.330798999999999</v>
      </c>
      <c r="G1053" s="53">
        <v>101.69</v>
      </c>
      <c r="H1053" s="53">
        <v>101.69</v>
      </c>
      <c r="I1053" s="131" t="s">
        <v>87</v>
      </c>
      <c r="J1053" s="132" t="s">
        <v>102</v>
      </c>
      <c r="K1053" s="96" t="s">
        <v>699</v>
      </c>
      <c r="L1053" s="130" t="str">
        <f t="shared" si="16"/>
        <v>005-00000166</v>
      </c>
    </row>
    <row r="1054" spans="1:12" hidden="1" x14ac:dyDescent="0.25">
      <c r="A1054" s="130" t="s">
        <v>399</v>
      </c>
      <c r="B1054" s="130" t="s">
        <v>400</v>
      </c>
      <c r="C1054" s="132" t="s">
        <v>153</v>
      </c>
      <c r="D1054" s="53">
        <v>1</v>
      </c>
      <c r="E1054" s="53">
        <v>58.271999000000008</v>
      </c>
      <c r="F1054" s="53">
        <v>58.271998999999994</v>
      </c>
      <c r="G1054" s="53">
        <v>194.92</v>
      </c>
      <c r="H1054" s="53">
        <v>194.92</v>
      </c>
      <c r="I1054" s="131" t="s">
        <v>87</v>
      </c>
      <c r="J1054" s="132" t="s">
        <v>102</v>
      </c>
      <c r="K1054" s="96" t="s">
        <v>624</v>
      </c>
      <c r="L1054" s="130" t="str">
        <f t="shared" si="16"/>
        <v>005-00000107</v>
      </c>
    </row>
    <row r="1055" spans="1:12" hidden="1" x14ac:dyDescent="0.25">
      <c r="A1055" s="130" t="s">
        <v>1073</v>
      </c>
      <c r="B1055" s="130" t="s">
        <v>1074</v>
      </c>
      <c r="C1055" s="132" t="s">
        <v>153</v>
      </c>
      <c r="D1055" s="53">
        <v>1</v>
      </c>
      <c r="E1055" s="53">
        <v>32.935699</v>
      </c>
      <c r="F1055" s="53">
        <v>32.935699</v>
      </c>
      <c r="G1055" s="53">
        <v>110.17</v>
      </c>
      <c r="H1055" s="53">
        <v>110.17</v>
      </c>
      <c r="I1055" s="131" t="s">
        <v>87</v>
      </c>
      <c r="J1055" s="132" t="s">
        <v>102</v>
      </c>
      <c r="K1055" s="96" t="s">
        <v>624</v>
      </c>
      <c r="L1055" s="130" t="str">
        <f t="shared" si="16"/>
        <v>005-00000107</v>
      </c>
    </row>
    <row r="1056" spans="1:12" hidden="1" x14ac:dyDescent="0.25">
      <c r="A1056" s="130" t="s">
        <v>1109</v>
      </c>
      <c r="B1056" s="130" t="s">
        <v>1110</v>
      </c>
      <c r="C1056" s="132" t="s">
        <v>153</v>
      </c>
      <c r="D1056" s="53">
        <v>1</v>
      </c>
      <c r="E1056" s="53">
        <v>48.137501</v>
      </c>
      <c r="F1056" s="53">
        <v>48.137501</v>
      </c>
      <c r="G1056" s="53">
        <v>161.02000000000001</v>
      </c>
      <c r="H1056" s="53">
        <v>161.02000000000001</v>
      </c>
      <c r="I1056" s="131" t="s">
        <v>87</v>
      </c>
      <c r="J1056" s="132" t="s">
        <v>102</v>
      </c>
      <c r="K1056" s="96" t="s">
        <v>700</v>
      </c>
      <c r="L1056" s="130" t="str">
        <f t="shared" si="16"/>
        <v>005-00000165</v>
      </c>
    </row>
    <row r="1057" spans="1:12" hidden="1" x14ac:dyDescent="0.25">
      <c r="A1057" s="130" t="s">
        <v>1081</v>
      </c>
      <c r="B1057" s="130" t="s">
        <v>1010</v>
      </c>
      <c r="C1057" s="132" t="s">
        <v>153</v>
      </c>
      <c r="D1057" s="53">
        <v>1</v>
      </c>
      <c r="E1057" s="53">
        <v>58.271999000000008</v>
      </c>
      <c r="F1057" s="53">
        <v>58.271998999999994</v>
      </c>
      <c r="G1057" s="53">
        <v>194.92</v>
      </c>
      <c r="H1057" s="53">
        <v>194.92</v>
      </c>
      <c r="I1057" s="131" t="s">
        <v>87</v>
      </c>
      <c r="J1057" s="132" t="s">
        <v>102</v>
      </c>
      <c r="K1057" s="96" t="s">
        <v>626</v>
      </c>
      <c r="L1057" s="130" t="str">
        <f t="shared" si="16"/>
        <v>005-00000105</v>
      </c>
    </row>
    <row r="1058" spans="1:12" hidden="1" x14ac:dyDescent="0.25">
      <c r="A1058" s="130" t="s">
        <v>714</v>
      </c>
      <c r="B1058" s="130" t="s">
        <v>715</v>
      </c>
      <c r="C1058" s="132" t="s">
        <v>150</v>
      </c>
      <c r="D1058" s="53">
        <v>1</v>
      </c>
      <c r="E1058" s="53">
        <v>48.137501</v>
      </c>
      <c r="F1058" s="53">
        <v>48.137501</v>
      </c>
      <c r="G1058" s="53">
        <v>161.02000000000001</v>
      </c>
      <c r="H1058" s="53">
        <v>161.02000000000001</v>
      </c>
      <c r="I1058" s="131" t="s">
        <v>87</v>
      </c>
      <c r="J1058" s="132" t="s">
        <v>102</v>
      </c>
      <c r="K1058" s="96" t="s">
        <v>626</v>
      </c>
      <c r="L1058" s="130" t="str">
        <f t="shared" si="16"/>
        <v>005-00000105</v>
      </c>
    </row>
    <row r="1059" spans="1:12" hidden="1" x14ac:dyDescent="0.25">
      <c r="A1059" s="130" t="s">
        <v>502</v>
      </c>
      <c r="B1059" s="130" t="s">
        <v>503</v>
      </c>
      <c r="C1059" s="132" t="s">
        <v>153</v>
      </c>
      <c r="D1059" s="53">
        <v>1</v>
      </c>
      <c r="E1059" s="53">
        <v>30.330798999999999</v>
      </c>
      <c r="F1059" s="53">
        <v>30.330798999999999</v>
      </c>
      <c r="G1059" s="53">
        <v>101.69</v>
      </c>
      <c r="H1059" s="53">
        <v>101.69</v>
      </c>
      <c r="I1059" s="131" t="s">
        <v>87</v>
      </c>
      <c r="J1059" s="132" t="s">
        <v>102</v>
      </c>
      <c r="K1059" s="96" t="s">
        <v>706</v>
      </c>
      <c r="L1059" s="130" t="str">
        <f t="shared" si="16"/>
        <v>005-00000152</v>
      </c>
    </row>
    <row r="1060" spans="1:12" hidden="1" x14ac:dyDescent="0.25">
      <c r="A1060" s="130" t="s">
        <v>540</v>
      </c>
      <c r="B1060" s="130" t="s">
        <v>541</v>
      </c>
      <c r="C1060" s="132" t="s">
        <v>153</v>
      </c>
      <c r="D1060" s="53">
        <v>1</v>
      </c>
      <c r="E1060" s="53">
        <v>121.6084</v>
      </c>
      <c r="F1060" s="53">
        <v>121.60840000000002</v>
      </c>
      <c r="G1060" s="53">
        <v>406.78</v>
      </c>
      <c r="H1060" s="53">
        <v>406.78</v>
      </c>
      <c r="I1060" s="131" t="s">
        <v>87</v>
      </c>
      <c r="J1060" s="132" t="s">
        <v>102</v>
      </c>
      <c r="K1060" s="96" t="s">
        <v>707</v>
      </c>
      <c r="L1060" s="130" t="str">
        <f t="shared" si="16"/>
        <v>005-00000151</v>
      </c>
    </row>
    <row r="1061" spans="1:12" hidden="1" x14ac:dyDescent="0.25">
      <c r="A1061" s="130" t="s">
        <v>429</v>
      </c>
      <c r="B1061" s="130" t="s">
        <v>430</v>
      </c>
      <c r="C1061" s="132" t="s">
        <v>153</v>
      </c>
      <c r="D1061" s="53">
        <v>1</v>
      </c>
      <c r="E1061" s="53">
        <v>30.228901</v>
      </c>
      <c r="F1061" s="53">
        <v>30.228901</v>
      </c>
      <c r="G1061" s="53">
        <v>101.69</v>
      </c>
      <c r="H1061" s="53">
        <v>101.69</v>
      </c>
      <c r="I1061" s="131" t="s">
        <v>87</v>
      </c>
      <c r="J1061" s="132" t="s">
        <v>102</v>
      </c>
      <c r="K1061" s="96" t="s">
        <v>647</v>
      </c>
      <c r="L1061" s="130" t="str">
        <f t="shared" si="16"/>
        <v>005-00000054</v>
      </c>
    </row>
    <row r="1062" spans="1:12" hidden="1" x14ac:dyDescent="0.25">
      <c r="A1062" s="130" t="s">
        <v>455</v>
      </c>
      <c r="B1062" s="130" t="s">
        <v>456</v>
      </c>
      <c r="C1062" s="132" t="s">
        <v>150</v>
      </c>
      <c r="D1062" s="53">
        <v>1</v>
      </c>
      <c r="E1062" s="53">
        <v>8.8169003000000004</v>
      </c>
      <c r="F1062" s="53">
        <v>8.8169003000000004</v>
      </c>
      <c r="G1062" s="53">
        <v>29.66</v>
      </c>
      <c r="H1062" s="53">
        <v>29.66</v>
      </c>
      <c r="I1062" s="131" t="s">
        <v>87</v>
      </c>
      <c r="J1062" s="132" t="s">
        <v>102</v>
      </c>
      <c r="K1062" s="96" t="s">
        <v>697</v>
      </c>
      <c r="L1062" s="130" t="str">
        <f t="shared" si="16"/>
        <v>005-00000168</v>
      </c>
    </row>
    <row r="1063" spans="1:12" hidden="1" x14ac:dyDescent="0.25">
      <c r="A1063" s="130" t="s">
        <v>1044</v>
      </c>
      <c r="B1063" s="130" t="s">
        <v>1045</v>
      </c>
      <c r="C1063" s="132" t="s">
        <v>153</v>
      </c>
      <c r="D1063" s="129">
        <v>1</v>
      </c>
      <c r="E1063" s="129">
        <v>10.076700000000001</v>
      </c>
      <c r="F1063" s="129">
        <v>10.076700000000001</v>
      </c>
      <c r="G1063" s="129">
        <v>33.897998999999999</v>
      </c>
      <c r="H1063" s="129">
        <v>33.897998999999999</v>
      </c>
      <c r="I1063" s="131" t="s">
        <v>87</v>
      </c>
      <c r="J1063" s="132" t="s">
        <v>102</v>
      </c>
      <c r="K1063" s="130" t="s">
        <v>622</v>
      </c>
      <c r="L1063" s="130" t="str">
        <f t="shared" si="16"/>
        <v>005-00000109</v>
      </c>
    </row>
    <row r="1064" spans="1:12" hidden="1" x14ac:dyDescent="0.25">
      <c r="A1064" s="130" t="s">
        <v>368</v>
      </c>
      <c r="B1064" s="130" t="s">
        <v>369</v>
      </c>
      <c r="C1064" s="132" t="s">
        <v>150</v>
      </c>
      <c r="D1064" s="129">
        <v>1</v>
      </c>
      <c r="E1064" s="129">
        <v>3.7498</v>
      </c>
      <c r="F1064" s="129">
        <v>3.7498</v>
      </c>
      <c r="G1064" s="129">
        <v>12.7119</v>
      </c>
      <c r="H1064" s="129">
        <v>12.711900000000004</v>
      </c>
      <c r="I1064" s="131" t="s">
        <v>87</v>
      </c>
      <c r="J1064" s="132" t="s">
        <v>102</v>
      </c>
      <c r="K1064" s="130" t="s">
        <v>698</v>
      </c>
      <c r="L1064" s="130" t="str">
        <f t="shared" si="16"/>
        <v>005-00000167</v>
      </c>
    </row>
    <row r="1065" spans="1:12" hidden="1" x14ac:dyDescent="0.25">
      <c r="A1065" s="130" t="s">
        <v>222</v>
      </c>
      <c r="B1065" s="130" t="s">
        <v>223</v>
      </c>
      <c r="C1065" s="132" t="s">
        <v>150</v>
      </c>
      <c r="D1065" s="129">
        <v>1</v>
      </c>
      <c r="E1065" s="129">
        <v>4.9997001000000001</v>
      </c>
      <c r="F1065" s="129">
        <v>4.9997001000000001</v>
      </c>
      <c r="G1065" s="129">
        <v>16.949200000000001</v>
      </c>
      <c r="H1065" s="129">
        <v>16.949200000000001</v>
      </c>
      <c r="I1065" s="131" t="s">
        <v>87</v>
      </c>
      <c r="J1065" s="132" t="s">
        <v>102</v>
      </c>
      <c r="K1065" s="130" t="s">
        <v>698</v>
      </c>
      <c r="L1065" s="130" t="str">
        <f t="shared" si="16"/>
        <v>005-00000167</v>
      </c>
    </row>
    <row r="1066" spans="1:12" hidden="1" x14ac:dyDescent="0.25">
      <c r="A1066" s="130" t="s">
        <v>1592</v>
      </c>
      <c r="B1066" s="130" t="s">
        <v>1593</v>
      </c>
      <c r="C1066" s="132" t="s">
        <v>150</v>
      </c>
      <c r="D1066" s="129">
        <v>1</v>
      </c>
      <c r="E1066" s="129">
        <v>71.246398999999997</v>
      </c>
      <c r="F1066" s="129">
        <v>71.246399000000011</v>
      </c>
      <c r="G1066" s="129">
        <v>241.52541000000002</v>
      </c>
      <c r="H1066" s="129">
        <v>241.52540999999997</v>
      </c>
      <c r="I1066" s="131" t="s">
        <v>87</v>
      </c>
      <c r="J1066" s="132" t="s">
        <v>102</v>
      </c>
      <c r="K1066" s="130" t="s">
        <v>1673</v>
      </c>
      <c r="L1066" s="130" t="str">
        <f t="shared" si="16"/>
        <v>005-00000193</v>
      </c>
    </row>
    <row r="1067" spans="1:12" hidden="1" x14ac:dyDescent="0.25">
      <c r="A1067" s="130" t="s">
        <v>222</v>
      </c>
      <c r="B1067" s="130" t="s">
        <v>223</v>
      </c>
      <c r="C1067" s="132" t="s">
        <v>150</v>
      </c>
      <c r="D1067" s="129">
        <v>1</v>
      </c>
      <c r="E1067" s="129">
        <v>18.749099999999999</v>
      </c>
      <c r="F1067" s="129">
        <v>18.749099999999999</v>
      </c>
      <c r="G1067" s="129">
        <v>63.559299000000003</v>
      </c>
      <c r="H1067" s="129">
        <v>63.559298999999989</v>
      </c>
      <c r="I1067" s="131" t="s">
        <v>87</v>
      </c>
      <c r="J1067" s="132" t="s">
        <v>102</v>
      </c>
      <c r="K1067" s="130" t="s">
        <v>1673</v>
      </c>
      <c r="L1067" s="130" t="str">
        <f t="shared" si="16"/>
        <v>005-00000193</v>
      </c>
    </row>
    <row r="1068" spans="1:12" hidden="1" x14ac:dyDescent="0.25">
      <c r="A1068" s="130" t="s">
        <v>401</v>
      </c>
      <c r="B1068" s="130" t="s">
        <v>402</v>
      </c>
      <c r="C1068" s="132" t="s">
        <v>150</v>
      </c>
      <c r="D1068" s="129">
        <v>1</v>
      </c>
      <c r="E1068" s="129">
        <v>11.249400000000001</v>
      </c>
      <c r="F1068" s="129">
        <v>11.249400000000003</v>
      </c>
      <c r="G1068" s="129">
        <v>38.135601000000001</v>
      </c>
      <c r="H1068" s="129">
        <v>38.135601000000001</v>
      </c>
      <c r="I1068" s="131" t="s">
        <v>87</v>
      </c>
      <c r="J1068" s="132" t="s">
        <v>102</v>
      </c>
      <c r="K1068" s="130" t="s">
        <v>1673</v>
      </c>
      <c r="L1068" s="130" t="str">
        <f t="shared" si="16"/>
        <v>005-00000193</v>
      </c>
    </row>
    <row r="1069" spans="1:12" hidden="1" x14ac:dyDescent="0.25">
      <c r="A1069" s="130" t="s">
        <v>1658</v>
      </c>
      <c r="B1069" s="130" t="s">
        <v>1659</v>
      </c>
      <c r="C1069" s="132" t="s">
        <v>150</v>
      </c>
      <c r="D1069" s="129">
        <v>1</v>
      </c>
      <c r="E1069" s="129">
        <v>4.9808998000000004</v>
      </c>
      <c r="F1069" s="129">
        <v>4.9808997999999995</v>
      </c>
      <c r="G1069" s="129">
        <v>16.950001</v>
      </c>
      <c r="H1069" s="129">
        <v>16.950001</v>
      </c>
      <c r="I1069" s="131" t="s">
        <v>87</v>
      </c>
      <c r="J1069" s="132" t="s">
        <v>102</v>
      </c>
      <c r="K1069" s="130" t="s">
        <v>1673</v>
      </c>
      <c r="L1069" s="130" t="str">
        <f t="shared" si="16"/>
        <v>005-00000193</v>
      </c>
    </row>
    <row r="1070" spans="1:12" hidden="1" x14ac:dyDescent="0.25">
      <c r="A1070" s="130" t="s">
        <v>1034</v>
      </c>
      <c r="B1070" s="130" t="s">
        <v>1035</v>
      </c>
      <c r="C1070" s="132" t="s">
        <v>88</v>
      </c>
      <c r="D1070" s="129">
        <v>1</v>
      </c>
      <c r="E1070" s="129">
        <v>10.5677</v>
      </c>
      <c r="F1070" s="129">
        <v>10.567700000000002</v>
      </c>
      <c r="G1070" s="129">
        <v>35.745998</v>
      </c>
      <c r="H1070" s="129">
        <v>35.745998</v>
      </c>
      <c r="I1070" s="131" t="s">
        <v>87</v>
      </c>
      <c r="J1070" s="132" t="s">
        <v>102</v>
      </c>
      <c r="K1070" s="130" t="s">
        <v>1673</v>
      </c>
      <c r="L1070" s="130" t="str">
        <f t="shared" si="16"/>
        <v>005-00000193</v>
      </c>
    </row>
    <row r="1071" spans="1:12" hidden="1" x14ac:dyDescent="0.25">
      <c r="A1071" s="130" t="s">
        <v>583</v>
      </c>
      <c r="B1071" s="130" t="s">
        <v>584</v>
      </c>
      <c r="C1071" s="132" t="s">
        <v>88</v>
      </c>
      <c r="D1071" s="129">
        <v>1.25</v>
      </c>
      <c r="E1071" s="129">
        <v>20.3444</v>
      </c>
      <c r="F1071" s="129">
        <v>25.430500000000002</v>
      </c>
      <c r="G1071" s="129">
        <v>68.438598999999996</v>
      </c>
      <c r="H1071" s="129">
        <v>85.548248749999985</v>
      </c>
      <c r="I1071" s="131" t="s">
        <v>87</v>
      </c>
      <c r="J1071" s="132" t="s">
        <v>102</v>
      </c>
      <c r="K1071" s="130" t="s">
        <v>1674</v>
      </c>
      <c r="L1071" s="130" t="str">
        <f t="shared" si="16"/>
        <v>005-00000224</v>
      </c>
    </row>
    <row r="1072" spans="1:12" hidden="1" x14ac:dyDescent="0.25">
      <c r="A1072" s="130" t="s">
        <v>159</v>
      </c>
      <c r="B1072" s="130" t="s">
        <v>158</v>
      </c>
      <c r="C1072" s="132" t="s">
        <v>150</v>
      </c>
      <c r="D1072" s="129">
        <v>1</v>
      </c>
      <c r="E1072" s="129">
        <v>3.1737000999999996</v>
      </c>
      <c r="F1072" s="129">
        <v>3.1737001000000005</v>
      </c>
      <c r="G1072" s="129">
        <v>10.679300000000001</v>
      </c>
      <c r="H1072" s="129">
        <v>10.679300000000001</v>
      </c>
      <c r="I1072" s="131" t="s">
        <v>87</v>
      </c>
      <c r="J1072" s="132" t="s">
        <v>102</v>
      </c>
      <c r="K1072" s="130" t="s">
        <v>1674</v>
      </c>
      <c r="L1072" s="130" t="str">
        <f t="shared" si="16"/>
        <v>005-00000224</v>
      </c>
    </row>
    <row r="1073" spans="1:12" hidden="1" x14ac:dyDescent="0.25">
      <c r="A1073" s="130" t="s">
        <v>548</v>
      </c>
      <c r="B1073" s="130" t="s">
        <v>549</v>
      </c>
      <c r="C1073" s="132" t="s">
        <v>150</v>
      </c>
      <c r="D1073" s="129">
        <v>1</v>
      </c>
      <c r="E1073" s="129">
        <v>29.8825</v>
      </c>
      <c r="F1073" s="129">
        <v>29.8825</v>
      </c>
      <c r="G1073" s="129">
        <v>101.69</v>
      </c>
      <c r="H1073" s="129">
        <v>101.69</v>
      </c>
      <c r="I1073" s="131" t="s">
        <v>87</v>
      </c>
      <c r="J1073" s="132" t="s">
        <v>102</v>
      </c>
      <c r="K1073" s="130" t="s">
        <v>1554</v>
      </c>
      <c r="L1073" s="130" t="str">
        <f t="shared" si="16"/>
        <v>005-00000196</v>
      </c>
    </row>
    <row r="1074" spans="1:12" hidden="1" x14ac:dyDescent="0.25">
      <c r="A1074" s="130" t="s">
        <v>247</v>
      </c>
      <c r="B1074" s="130" t="s">
        <v>248</v>
      </c>
      <c r="C1074" s="132" t="s">
        <v>150</v>
      </c>
      <c r="D1074" s="129">
        <v>4</v>
      </c>
      <c r="E1074" s="129">
        <v>0.93389999999999995</v>
      </c>
      <c r="F1074" s="129">
        <v>3.7355999999999994</v>
      </c>
      <c r="G1074" s="129">
        <v>3.1779999999999999</v>
      </c>
      <c r="H1074" s="129">
        <v>12.711999999999998</v>
      </c>
      <c r="I1074" s="131" t="s">
        <v>87</v>
      </c>
      <c r="J1074" s="132" t="s">
        <v>102</v>
      </c>
      <c r="K1074" s="130" t="s">
        <v>622</v>
      </c>
      <c r="L1074" s="130" t="str">
        <f t="shared" si="16"/>
        <v>005-00000109</v>
      </c>
    </row>
    <row r="1075" spans="1:12" hidden="1" x14ac:dyDescent="0.25">
      <c r="A1075" s="130" t="s">
        <v>459</v>
      </c>
      <c r="B1075" s="130" t="s">
        <v>460</v>
      </c>
      <c r="C1075" s="132" t="s">
        <v>150</v>
      </c>
      <c r="D1075" s="129">
        <v>1</v>
      </c>
      <c r="E1075" s="129">
        <v>3.7355000999999999</v>
      </c>
      <c r="F1075" s="129">
        <v>3.7355000999999994</v>
      </c>
      <c r="G1075" s="129">
        <v>12.7119</v>
      </c>
      <c r="H1075" s="129">
        <v>12.711900000000004</v>
      </c>
      <c r="I1075" s="131" t="s">
        <v>87</v>
      </c>
      <c r="J1075" s="132" t="s">
        <v>102</v>
      </c>
      <c r="K1075" s="130" t="s">
        <v>622</v>
      </c>
      <c r="L1075" s="130" t="str">
        <f t="shared" si="16"/>
        <v>005-00000109</v>
      </c>
    </row>
    <row r="1076" spans="1:12" hidden="1" x14ac:dyDescent="0.25">
      <c r="A1076" s="130" t="s">
        <v>1098</v>
      </c>
      <c r="B1076" s="130" t="s">
        <v>255</v>
      </c>
      <c r="C1076" s="132" t="s">
        <v>150</v>
      </c>
      <c r="D1076" s="129">
        <v>1</v>
      </c>
      <c r="E1076" s="129">
        <v>53.627800000000001</v>
      </c>
      <c r="F1076" s="129">
        <v>53.627799999999986</v>
      </c>
      <c r="G1076" s="129">
        <v>182.2</v>
      </c>
      <c r="H1076" s="129">
        <v>182.2</v>
      </c>
      <c r="I1076" s="131" t="s">
        <v>87</v>
      </c>
      <c r="J1076" s="132" t="s">
        <v>102</v>
      </c>
      <c r="K1076" s="130" t="s">
        <v>1558</v>
      </c>
      <c r="L1076" s="130" t="str">
        <f t="shared" si="16"/>
        <v>005-00000198</v>
      </c>
    </row>
    <row r="1077" spans="1:12" hidden="1" x14ac:dyDescent="0.25">
      <c r="A1077" s="130" t="s">
        <v>1055</v>
      </c>
      <c r="B1077" s="130" t="s">
        <v>1056</v>
      </c>
      <c r="C1077" s="132" t="s">
        <v>150</v>
      </c>
      <c r="D1077" s="129">
        <v>1</v>
      </c>
      <c r="E1077" s="129">
        <v>1.5107999999999999</v>
      </c>
      <c r="F1077" s="129">
        <v>1.5108000000000001</v>
      </c>
      <c r="G1077" s="129">
        <v>5.0847001000000001</v>
      </c>
      <c r="H1077" s="129">
        <v>5.0847001000000001</v>
      </c>
      <c r="I1077" s="131" t="s">
        <v>87</v>
      </c>
      <c r="J1077" s="132" t="s">
        <v>102</v>
      </c>
      <c r="K1077" s="130" t="s">
        <v>1553</v>
      </c>
      <c r="L1077" s="130" t="str">
        <f t="shared" si="16"/>
        <v>005-00000188</v>
      </c>
    </row>
    <row r="1078" spans="1:12" hidden="1" x14ac:dyDescent="0.25">
      <c r="A1078" s="130" t="s">
        <v>1071</v>
      </c>
      <c r="B1078" s="130" t="s">
        <v>1072</v>
      </c>
      <c r="C1078" s="132" t="s">
        <v>150</v>
      </c>
      <c r="D1078" s="129">
        <v>1</v>
      </c>
      <c r="E1078" s="129">
        <v>2.2618999</v>
      </c>
      <c r="F1078" s="129">
        <v>2.2618998999999995</v>
      </c>
      <c r="G1078" s="129">
        <v>7.6271000000000004</v>
      </c>
      <c r="H1078" s="129">
        <v>7.6271000000000004</v>
      </c>
      <c r="I1078" s="131" t="s">
        <v>87</v>
      </c>
      <c r="J1078" s="132" t="s">
        <v>102</v>
      </c>
      <c r="K1078" s="130" t="s">
        <v>1553</v>
      </c>
      <c r="L1078" s="130" t="str">
        <f t="shared" si="16"/>
        <v>005-00000188</v>
      </c>
    </row>
    <row r="1079" spans="1:12" hidden="1" x14ac:dyDescent="0.25">
      <c r="A1079" s="130" t="s">
        <v>1675</v>
      </c>
      <c r="B1079" s="130" t="s">
        <v>408</v>
      </c>
      <c r="C1079" s="132" t="s">
        <v>150</v>
      </c>
      <c r="D1079" s="129">
        <v>4</v>
      </c>
      <c r="E1079" s="129">
        <v>1.2966</v>
      </c>
      <c r="F1079" s="129">
        <v>5.186399999999999</v>
      </c>
      <c r="G1079" s="129">
        <v>4.3629999000000002</v>
      </c>
      <c r="H1079" s="129">
        <v>17.451999600000001</v>
      </c>
      <c r="I1079" s="131" t="s">
        <v>87</v>
      </c>
      <c r="J1079" s="132" t="s">
        <v>102</v>
      </c>
      <c r="K1079" s="130" t="s">
        <v>623</v>
      </c>
      <c r="L1079" s="130" t="str">
        <f t="shared" si="16"/>
        <v>005-00000108</v>
      </c>
    </row>
    <row r="1080" spans="1:12" hidden="1" x14ac:dyDescent="0.25">
      <c r="A1080" s="130" t="s">
        <v>502</v>
      </c>
      <c r="B1080" s="130" t="s">
        <v>503</v>
      </c>
      <c r="C1080" s="132" t="s">
        <v>150</v>
      </c>
      <c r="D1080" s="129">
        <v>1</v>
      </c>
      <c r="E1080" s="129">
        <v>7.9693999</v>
      </c>
      <c r="F1080" s="129">
        <v>7.9693998999999982</v>
      </c>
      <c r="G1080" s="129">
        <v>27.120000999999998</v>
      </c>
      <c r="H1080" s="129">
        <v>27.120000999999991</v>
      </c>
      <c r="I1080" s="131" t="s">
        <v>87</v>
      </c>
      <c r="J1080" s="132" t="s">
        <v>102</v>
      </c>
      <c r="K1080" s="130" t="s">
        <v>1558</v>
      </c>
      <c r="L1080" s="130" t="str">
        <f t="shared" si="16"/>
        <v>005-00000198</v>
      </c>
    </row>
    <row r="1081" spans="1:12" hidden="1" x14ac:dyDescent="0.25">
      <c r="A1081" s="130" t="s">
        <v>1676</v>
      </c>
      <c r="B1081" s="130" t="s">
        <v>1677</v>
      </c>
      <c r="C1081" s="132" t="s">
        <v>150</v>
      </c>
      <c r="D1081" s="129">
        <v>1</v>
      </c>
      <c r="E1081" s="129">
        <v>7.4699001000000003</v>
      </c>
      <c r="F1081" s="129">
        <v>7.4699001000000003</v>
      </c>
      <c r="G1081" s="129">
        <v>25.42</v>
      </c>
      <c r="H1081" s="129">
        <v>25.42</v>
      </c>
      <c r="I1081" s="131" t="s">
        <v>87</v>
      </c>
      <c r="J1081" s="132" t="s">
        <v>102</v>
      </c>
      <c r="K1081" s="130" t="s">
        <v>1674</v>
      </c>
      <c r="L1081" s="130" t="str">
        <f t="shared" si="16"/>
        <v>005-00000224</v>
      </c>
    </row>
    <row r="1082" spans="1:12" hidden="1" x14ac:dyDescent="0.25">
      <c r="A1082" s="130" t="s">
        <v>241</v>
      </c>
      <c r="B1082" s="130" t="s">
        <v>242</v>
      </c>
      <c r="C1082" s="132" t="s">
        <v>150</v>
      </c>
      <c r="D1082" s="129">
        <v>1</v>
      </c>
      <c r="E1082" s="129">
        <v>8.7158002999999997</v>
      </c>
      <c r="F1082" s="129">
        <v>8.7158002999999997</v>
      </c>
      <c r="G1082" s="129">
        <v>29.66</v>
      </c>
      <c r="H1082" s="129">
        <v>29.66</v>
      </c>
      <c r="I1082" s="131" t="s">
        <v>87</v>
      </c>
      <c r="J1082" s="132" t="s">
        <v>102</v>
      </c>
      <c r="K1082" s="130" t="s">
        <v>698</v>
      </c>
      <c r="L1082" s="130" t="str">
        <f t="shared" si="16"/>
        <v>005-00000167</v>
      </c>
    </row>
    <row r="1083" spans="1:12" hidden="1" x14ac:dyDescent="0.25">
      <c r="A1083" s="130" t="s">
        <v>1646</v>
      </c>
      <c r="B1083" s="130" t="s">
        <v>1647</v>
      </c>
      <c r="C1083" s="132" t="s">
        <v>150</v>
      </c>
      <c r="D1083" s="129">
        <v>1</v>
      </c>
      <c r="E1083" s="129">
        <v>4.9808998000000004</v>
      </c>
      <c r="F1083" s="129">
        <v>4.9808997999999995</v>
      </c>
      <c r="G1083" s="129">
        <v>16.950001</v>
      </c>
      <c r="H1083" s="129">
        <v>16.950001</v>
      </c>
      <c r="I1083" s="131" t="s">
        <v>87</v>
      </c>
      <c r="J1083" s="132" t="s">
        <v>102</v>
      </c>
      <c r="K1083" s="130" t="s">
        <v>1554</v>
      </c>
      <c r="L1083" s="130" t="str">
        <f t="shared" si="16"/>
        <v>005-00000196</v>
      </c>
    </row>
    <row r="1084" spans="1:12" hidden="1" x14ac:dyDescent="0.25">
      <c r="A1084" s="130" t="s">
        <v>1028</v>
      </c>
      <c r="B1084" s="130" t="s">
        <v>1029</v>
      </c>
      <c r="C1084" s="132" t="s">
        <v>150</v>
      </c>
      <c r="D1084" s="129">
        <v>1</v>
      </c>
      <c r="E1084" s="129">
        <v>1.5079</v>
      </c>
      <c r="F1084" s="129">
        <v>1.5078999999999996</v>
      </c>
      <c r="G1084" s="129">
        <v>5.0847001000000001</v>
      </c>
      <c r="H1084" s="129">
        <v>5.0847001000000001</v>
      </c>
      <c r="I1084" s="131" t="s">
        <v>87</v>
      </c>
      <c r="J1084" s="132" t="s">
        <v>102</v>
      </c>
      <c r="K1084" s="130" t="s">
        <v>1554</v>
      </c>
      <c r="L1084" s="130" t="str">
        <f t="shared" si="16"/>
        <v>005-00000196</v>
      </c>
    </row>
    <row r="1085" spans="1:12" hidden="1" x14ac:dyDescent="0.25">
      <c r="A1085" s="130" t="s">
        <v>1030</v>
      </c>
      <c r="B1085" s="130" t="s">
        <v>1031</v>
      </c>
      <c r="C1085" s="132" t="s">
        <v>150</v>
      </c>
      <c r="D1085" s="129">
        <v>1</v>
      </c>
      <c r="E1085" s="129">
        <v>2.0106001</v>
      </c>
      <c r="F1085" s="129">
        <v>2.0106001</v>
      </c>
      <c r="G1085" s="129">
        <v>6.7796998000000004</v>
      </c>
      <c r="H1085" s="129">
        <v>6.7796998000000022</v>
      </c>
      <c r="I1085" s="131" t="s">
        <v>87</v>
      </c>
      <c r="J1085" s="132" t="s">
        <v>102</v>
      </c>
      <c r="K1085" s="130" t="s">
        <v>1554</v>
      </c>
      <c r="L1085" s="130" t="str">
        <f t="shared" si="16"/>
        <v>005-00000196</v>
      </c>
    </row>
    <row r="1086" spans="1:12" hidden="1" x14ac:dyDescent="0.25">
      <c r="A1086" s="130" t="s">
        <v>1034</v>
      </c>
      <c r="B1086" s="130" t="s">
        <v>1035</v>
      </c>
      <c r="C1086" s="132" t="s">
        <v>88</v>
      </c>
      <c r="D1086" s="129">
        <v>1</v>
      </c>
      <c r="E1086" s="129">
        <v>10.5677</v>
      </c>
      <c r="F1086" s="129">
        <v>10.567700000000002</v>
      </c>
      <c r="G1086" s="129">
        <v>35.745998</v>
      </c>
      <c r="H1086" s="129">
        <v>35.745998</v>
      </c>
      <c r="I1086" s="131" t="s">
        <v>87</v>
      </c>
      <c r="J1086" s="132" t="s">
        <v>102</v>
      </c>
      <c r="K1086" s="130" t="s">
        <v>1554</v>
      </c>
      <c r="L1086" s="130" t="str">
        <f t="shared" si="16"/>
        <v>005-00000196</v>
      </c>
    </row>
    <row r="1087" spans="1:12" hidden="1" x14ac:dyDescent="0.25">
      <c r="A1087" s="130" t="s">
        <v>1466</v>
      </c>
      <c r="B1087" s="130" t="s">
        <v>1467</v>
      </c>
      <c r="C1087" s="132" t="s">
        <v>88</v>
      </c>
      <c r="D1087" s="129">
        <v>1</v>
      </c>
      <c r="E1087" s="129">
        <v>9.2980003</v>
      </c>
      <c r="F1087" s="129">
        <v>9.2980002999999982</v>
      </c>
      <c r="G1087" s="129">
        <v>31.138999999999999</v>
      </c>
      <c r="H1087" s="129">
        <v>31.138999999999996</v>
      </c>
      <c r="I1087" s="131" t="s">
        <v>87</v>
      </c>
      <c r="J1087" s="132" t="s">
        <v>102</v>
      </c>
      <c r="K1087" s="130" t="s">
        <v>1554</v>
      </c>
      <c r="L1087" s="130" t="str">
        <f t="shared" si="16"/>
        <v>005-00000196</v>
      </c>
    </row>
    <row r="1088" spans="1:12" hidden="1" x14ac:dyDescent="0.25">
      <c r="A1088" s="130" t="s">
        <v>409</v>
      </c>
      <c r="B1088" s="130" t="s">
        <v>408</v>
      </c>
      <c r="C1088" s="132" t="s">
        <v>150</v>
      </c>
      <c r="D1088" s="129">
        <v>4</v>
      </c>
      <c r="E1088" s="129">
        <v>1.4915</v>
      </c>
      <c r="F1088" s="129">
        <v>5.9659999999999993</v>
      </c>
      <c r="G1088" s="129">
        <v>6.1016002</v>
      </c>
      <c r="H1088" s="129">
        <v>24.406400800000007</v>
      </c>
      <c r="I1088" s="131" t="s">
        <v>87</v>
      </c>
      <c r="J1088" s="132" t="s">
        <v>102</v>
      </c>
      <c r="K1088" s="130" t="s">
        <v>1554</v>
      </c>
      <c r="L1088" s="130" t="str">
        <f t="shared" si="16"/>
        <v>005-00000196</v>
      </c>
    </row>
    <row r="1089" spans="1:12" hidden="1" x14ac:dyDescent="0.25">
      <c r="A1089" s="130" t="s">
        <v>1465</v>
      </c>
      <c r="B1089" s="130" t="s">
        <v>160</v>
      </c>
      <c r="C1089" s="132" t="s">
        <v>150</v>
      </c>
      <c r="D1089" s="129">
        <v>2</v>
      </c>
      <c r="E1089" s="129">
        <v>1.2092000000000001</v>
      </c>
      <c r="F1089" s="129">
        <v>2.4184000000000001</v>
      </c>
      <c r="G1089" s="129">
        <v>4.0678000000000001</v>
      </c>
      <c r="H1089" s="129">
        <v>8.1356000000000002</v>
      </c>
      <c r="I1089" s="131" t="s">
        <v>87</v>
      </c>
      <c r="J1089" s="132" t="s">
        <v>102</v>
      </c>
      <c r="K1089" s="130" t="s">
        <v>1554</v>
      </c>
      <c r="L1089" s="130" t="str">
        <f t="shared" si="16"/>
        <v>005-00000196</v>
      </c>
    </row>
    <row r="1090" spans="1:12" hidden="1" x14ac:dyDescent="0.25">
      <c r="A1090" s="130" t="s">
        <v>544</v>
      </c>
      <c r="B1090" s="130" t="s">
        <v>545</v>
      </c>
      <c r="C1090" s="132" t="s">
        <v>150</v>
      </c>
      <c r="D1090" s="129">
        <v>1</v>
      </c>
      <c r="E1090" s="129">
        <v>2.4985000999999998</v>
      </c>
      <c r="F1090" s="129">
        <v>2.4985000999999998</v>
      </c>
      <c r="G1090" s="129">
        <v>8.4745998</v>
      </c>
      <c r="H1090" s="129">
        <v>8.4745998</v>
      </c>
      <c r="I1090" s="131" t="s">
        <v>87</v>
      </c>
      <c r="J1090" s="132" t="s">
        <v>102</v>
      </c>
      <c r="K1090" s="130" t="s">
        <v>1554</v>
      </c>
      <c r="L1090" s="130" t="str">
        <f t="shared" si="16"/>
        <v>005-00000196</v>
      </c>
    </row>
    <row r="1091" spans="1:12" hidden="1" x14ac:dyDescent="0.25">
      <c r="A1091" s="130" t="s">
        <v>441</v>
      </c>
      <c r="B1091" s="130" t="s">
        <v>442</v>
      </c>
      <c r="C1091" s="132" t="s">
        <v>153</v>
      </c>
      <c r="D1091" s="129">
        <v>1</v>
      </c>
      <c r="E1091" s="129">
        <v>11.7751</v>
      </c>
      <c r="F1091" s="129">
        <v>11.7751</v>
      </c>
      <c r="G1091" s="129">
        <v>40</v>
      </c>
      <c r="H1091" s="129">
        <v>40</v>
      </c>
      <c r="I1091" s="131" t="s">
        <v>87</v>
      </c>
      <c r="J1091" s="132" t="s">
        <v>102</v>
      </c>
      <c r="K1091" s="130" t="s">
        <v>1678</v>
      </c>
      <c r="L1091" s="130" t="str">
        <f t="shared" si="16"/>
        <v>005-00000201</v>
      </c>
    </row>
    <row r="1092" spans="1:12" hidden="1" x14ac:dyDescent="0.25">
      <c r="A1092" s="130" t="s">
        <v>567</v>
      </c>
      <c r="B1092" s="130" t="s">
        <v>568</v>
      </c>
      <c r="C1092" s="132" t="s">
        <v>150</v>
      </c>
      <c r="D1092" s="129">
        <v>1</v>
      </c>
      <c r="E1092" s="129">
        <v>13.339300000000001</v>
      </c>
      <c r="F1092" s="129">
        <v>13.339300000000001</v>
      </c>
      <c r="G1092" s="129">
        <v>45</v>
      </c>
      <c r="H1092" s="129">
        <v>45</v>
      </c>
      <c r="I1092" s="131" t="s">
        <v>87</v>
      </c>
      <c r="J1092" s="132" t="s">
        <v>102</v>
      </c>
      <c r="K1092" s="130" t="s">
        <v>1678</v>
      </c>
      <c r="L1092" s="130" t="str">
        <f t="shared" si="16"/>
        <v>005-00000201</v>
      </c>
    </row>
    <row r="1093" spans="1:12" hidden="1" x14ac:dyDescent="0.25">
      <c r="A1093" s="130" t="s">
        <v>1484</v>
      </c>
      <c r="B1093" s="130" t="s">
        <v>1485</v>
      </c>
      <c r="C1093" s="132" t="s">
        <v>150</v>
      </c>
      <c r="D1093" s="129">
        <v>1</v>
      </c>
      <c r="E1093" s="129">
        <v>55.783298000000002</v>
      </c>
      <c r="F1093" s="129">
        <v>55.783297999999995</v>
      </c>
      <c r="G1093" s="129">
        <v>189.83051</v>
      </c>
      <c r="H1093" s="129">
        <v>189.83051000000003</v>
      </c>
      <c r="I1093" s="131" t="s">
        <v>87</v>
      </c>
      <c r="J1093" s="132" t="s">
        <v>102</v>
      </c>
      <c r="K1093" s="130" t="s">
        <v>1678</v>
      </c>
      <c r="L1093" s="130" t="str">
        <f t="shared" ref="L1093:L1156" si="17">CONCATENATE(J1093,"-",K1093)</f>
        <v>005-00000201</v>
      </c>
    </row>
    <row r="1094" spans="1:12" hidden="1" x14ac:dyDescent="0.25">
      <c r="A1094" s="130" t="s">
        <v>1486</v>
      </c>
      <c r="B1094" s="130" t="s">
        <v>1487</v>
      </c>
      <c r="C1094" s="132" t="s">
        <v>150</v>
      </c>
      <c r="D1094" s="129">
        <v>1</v>
      </c>
      <c r="E1094" s="129">
        <v>55.881999999999998</v>
      </c>
      <c r="F1094" s="129">
        <v>55.881999999999998</v>
      </c>
      <c r="G1094" s="129">
        <v>189.83051</v>
      </c>
      <c r="H1094" s="129">
        <v>189.83051000000003</v>
      </c>
      <c r="I1094" s="131" t="s">
        <v>87</v>
      </c>
      <c r="J1094" s="132" t="s">
        <v>102</v>
      </c>
      <c r="K1094" s="130" t="s">
        <v>1678</v>
      </c>
      <c r="L1094" s="130" t="str">
        <f t="shared" si="17"/>
        <v>005-00000201</v>
      </c>
    </row>
    <row r="1095" spans="1:12" hidden="1" x14ac:dyDescent="0.25">
      <c r="A1095" s="130" t="s">
        <v>497</v>
      </c>
      <c r="B1095" s="130" t="s">
        <v>498</v>
      </c>
      <c r="C1095" s="132" t="s">
        <v>150</v>
      </c>
      <c r="D1095" s="129">
        <v>1</v>
      </c>
      <c r="E1095" s="129">
        <v>64.648803999999998</v>
      </c>
      <c r="F1095" s="129">
        <v>64.648804000000013</v>
      </c>
      <c r="G1095" s="129">
        <v>220</v>
      </c>
      <c r="H1095" s="129">
        <v>220</v>
      </c>
      <c r="I1095" s="131" t="s">
        <v>87</v>
      </c>
      <c r="J1095" s="132" t="s">
        <v>102</v>
      </c>
      <c r="K1095" s="130" t="s">
        <v>1678</v>
      </c>
      <c r="L1095" s="130" t="str">
        <f t="shared" si="17"/>
        <v>005-00000201</v>
      </c>
    </row>
    <row r="1096" spans="1:12" hidden="1" x14ac:dyDescent="0.25">
      <c r="A1096" s="130" t="s">
        <v>441</v>
      </c>
      <c r="B1096" s="130" t="s">
        <v>442</v>
      </c>
      <c r="C1096" s="132" t="s">
        <v>153</v>
      </c>
      <c r="D1096" s="129">
        <v>1</v>
      </c>
      <c r="E1096" s="129">
        <v>11.764699999999999</v>
      </c>
      <c r="F1096" s="129">
        <v>11.764699999999999</v>
      </c>
      <c r="G1096" s="129">
        <v>40</v>
      </c>
      <c r="H1096" s="129">
        <v>40</v>
      </c>
      <c r="I1096" s="131" t="s">
        <v>87</v>
      </c>
      <c r="J1096" s="132" t="s">
        <v>102</v>
      </c>
      <c r="K1096" s="130" t="s">
        <v>1679</v>
      </c>
      <c r="L1096" s="130" t="str">
        <f t="shared" si="17"/>
        <v>005-00000203</v>
      </c>
    </row>
    <row r="1097" spans="1:12" hidden="1" x14ac:dyDescent="0.25">
      <c r="A1097" s="130" t="s">
        <v>1482</v>
      </c>
      <c r="B1097" s="130" t="s">
        <v>1483</v>
      </c>
      <c r="C1097" s="132" t="s">
        <v>150</v>
      </c>
      <c r="D1097" s="129">
        <v>1</v>
      </c>
      <c r="E1097" s="129">
        <v>79.341797</v>
      </c>
      <c r="F1097" s="129">
        <v>79.341797</v>
      </c>
      <c r="G1097" s="129">
        <v>270</v>
      </c>
      <c r="H1097" s="129">
        <v>270</v>
      </c>
      <c r="I1097" s="131" t="s">
        <v>87</v>
      </c>
      <c r="J1097" s="132" t="s">
        <v>102</v>
      </c>
      <c r="K1097" s="130" t="s">
        <v>1680</v>
      </c>
      <c r="L1097" s="130" t="str">
        <f t="shared" si="17"/>
        <v>005-00000202</v>
      </c>
    </row>
    <row r="1098" spans="1:12" hidden="1" x14ac:dyDescent="0.25">
      <c r="A1098" s="130" t="s">
        <v>441</v>
      </c>
      <c r="B1098" s="130" t="s">
        <v>442</v>
      </c>
      <c r="C1098" s="132" t="s">
        <v>153</v>
      </c>
      <c r="D1098" s="129">
        <v>1</v>
      </c>
      <c r="E1098" s="129">
        <v>11.759499999999997</v>
      </c>
      <c r="F1098" s="129">
        <v>11.759499999999997</v>
      </c>
      <c r="G1098" s="129">
        <v>40</v>
      </c>
      <c r="H1098" s="129">
        <v>40</v>
      </c>
      <c r="I1098" s="131" t="s">
        <v>87</v>
      </c>
      <c r="J1098" s="132" t="s">
        <v>102</v>
      </c>
      <c r="K1098" s="130" t="s">
        <v>1680</v>
      </c>
      <c r="L1098" s="130" t="str">
        <f t="shared" si="17"/>
        <v>005-00000202</v>
      </c>
    </row>
    <row r="1099" spans="1:12" hidden="1" x14ac:dyDescent="0.25">
      <c r="A1099" s="130" t="s">
        <v>433</v>
      </c>
      <c r="B1099" s="130" t="s">
        <v>434</v>
      </c>
      <c r="C1099" s="132" t="s">
        <v>150</v>
      </c>
      <c r="D1099" s="129">
        <v>1</v>
      </c>
      <c r="E1099" s="129">
        <v>38.269199</v>
      </c>
      <c r="F1099" s="129">
        <v>38.269199</v>
      </c>
      <c r="G1099" s="129">
        <v>130</v>
      </c>
      <c r="H1099" s="129">
        <v>130</v>
      </c>
      <c r="I1099" s="131" t="s">
        <v>87</v>
      </c>
      <c r="J1099" s="132" t="s">
        <v>102</v>
      </c>
      <c r="K1099" s="130" t="s">
        <v>1679</v>
      </c>
      <c r="L1099" s="130" t="str">
        <f t="shared" si="17"/>
        <v>005-00000203</v>
      </c>
    </row>
    <row r="1100" spans="1:12" hidden="1" x14ac:dyDescent="0.25">
      <c r="A1100" s="130" t="s">
        <v>1632</v>
      </c>
      <c r="B1100" s="130" t="s">
        <v>1633</v>
      </c>
      <c r="C1100" s="132" t="s">
        <v>150</v>
      </c>
      <c r="D1100" s="129">
        <v>1</v>
      </c>
      <c r="E1100" s="129">
        <v>324.9631</v>
      </c>
      <c r="F1100" s="129">
        <v>324.9631</v>
      </c>
      <c r="G1100" s="129">
        <v>1100</v>
      </c>
      <c r="H1100" s="129">
        <v>1100</v>
      </c>
      <c r="I1100" s="131" t="s">
        <v>87</v>
      </c>
      <c r="J1100" s="132" t="s">
        <v>102</v>
      </c>
      <c r="K1100" s="130" t="s">
        <v>1555</v>
      </c>
      <c r="L1100" s="130" t="str">
        <f t="shared" si="17"/>
        <v>005-00000190</v>
      </c>
    </row>
    <row r="1101" spans="1:12" hidden="1" x14ac:dyDescent="0.25">
      <c r="A1101" s="130" t="s">
        <v>1634</v>
      </c>
      <c r="B1101" s="130" t="s">
        <v>1635</v>
      </c>
      <c r="C1101" s="132" t="s">
        <v>150</v>
      </c>
      <c r="D1101" s="129">
        <v>1</v>
      </c>
      <c r="E1101" s="129">
        <v>162.48150999999999</v>
      </c>
      <c r="F1101" s="129">
        <v>162.48150999999999</v>
      </c>
      <c r="G1101" s="129">
        <v>550</v>
      </c>
      <c r="H1101" s="129">
        <v>550</v>
      </c>
      <c r="I1101" s="131" t="s">
        <v>87</v>
      </c>
      <c r="J1101" s="132" t="s">
        <v>102</v>
      </c>
      <c r="K1101" s="130" t="s">
        <v>1555</v>
      </c>
      <c r="L1101" s="130" t="str">
        <f t="shared" si="17"/>
        <v>005-00000190</v>
      </c>
    </row>
    <row r="1102" spans="1:12" hidden="1" x14ac:dyDescent="0.25">
      <c r="A1102" s="130" t="s">
        <v>1681</v>
      </c>
      <c r="B1102" s="130" t="s">
        <v>1682</v>
      </c>
      <c r="C1102" s="132" t="s">
        <v>153</v>
      </c>
      <c r="D1102" s="129">
        <v>1</v>
      </c>
      <c r="E1102" s="129">
        <v>141.80208999999999</v>
      </c>
      <c r="F1102" s="129">
        <v>141.80209000000002</v>
      </c>
      <c r="G1102" s="129">
        <v>480</v>
      </c>
      <c r="H1102" s="129">
        <v>480</v>
      </c>
      <c r="I1102" s="131" t="s">
        <v>87</v>
      </c>
      <c r="J1102" s="132" t="s">
        <v>102</v>
      </c>
      <c r="K1102" s="130" t="s">
        <v>1555</v>
      </c>
      <c r="L1102" s="130" t="str">
        <f t="shared" si="17"/>
        <v>005-00000190</v>
      </c>
    </row>
    <row r="1103" spans="1:12" hidden="1" x14ac:dyDescent="0.25">
      <c r="A1103" s="130" t="s">
        <v>1683</v>
      </c>
      <c r="B1103" s="130" t="s">
        <v>1684</v>
      </c>
      <c r="C1103" s="132" t="s">
        <v>150</v>
      </c>
      <c r="D1103" s="129">
        <v>1</v>
      </c>
      <c r="E1103" s="129">
        <v>35.450499999999998</v>
      </c>
      <c r="F1103" s="129">
        <v>35.450499999999991</v>
      </c>
      <c r="G1103" s="129">
        <v>120</v>
      </c>
      <c r="H1103" s="129">
        <v>120</v>
      </c>
      <c r="I1103" s="131" t="s">
        <v>87</v>
      </c>
      <c r="J1103" s="132" t="s">
        <v>102</v>
      </c>
      <c r="K1103" s="130" t="s">
        <v>1555</v>
      </c>
      <c r="L1103" s="130" t="str">
        <f t="shared" si="17"/>
        <v>005-00000190</v>
      </c>
    </row>
    <row r="1104" spans="1:12" hidden="1" x14ac:dyDescent="0.25">
      <c r="A1104" s="130" t="s">
        <v>1482</v>
      </c>
      <c r="B1104" s="130" t="s">
        <v>1483</v>
      </c>
      <c r="C1104" s="132" t="s">
        <v>150</v>
      </c>
      <c r="D1104" s="129">
        <v>1</v>
      </c>
      <c r="E1104" s="129">
        <v>72.602699000000001</v>
      </c>
      <c r="F1104" s="129">
        <v>72.602698999999987</v>
      </c>
      <c r="G1104" s="129">
        <v>245.75998999999999</v>
      </c>
      <c r="H1104" s="129">
        <v>245.75998999999996</v>
      </c>
      <c r="I1104" s="131" t="s">
        <v>87</v>
      </c>
      <c r="J1104" s="132" t="s">
        <v>102</v>
      </c>
      <c r="K1104" s="130" t="s">
        <v>645</v>
      </c>
      <c r="L1104" s="130" t="str">
        <f t="shared" si="17"/>
        <v>005-00000056</v>
      </c>
    </row>
    <row r="1105" spans="1:12" hidden="1" x14ac:dyDescent="0.25">
      <c r="A1105" s="130" t="s">
        <v>392</v>
      </c>
      <c r="B1105" s="130" t="s">
        <v>393</v>
      </c>
      <c r="C1105" s="132" t="s">
        <v>150</v>
      </c>
      <c r="D1105" s="129">
        <v>1</v>
      </c>
      <c r="E1105" s="129">
        <v>11.816800000000001</v>
      </c>
      <c r="F1105" s="129">
        <v>11.816800000000001</v>
      </c>
      <c r="G1105" s="129">
        <v>40</v>
      </c>
      <c r="H1105" s="129">
        <v>40</v>
      </c>
      <c r="I1105" s="131" t="s">
        <v>87</v>
      </c>
      <c r="J1105" s="132" t="s">
        <v>102</v>
      </c>
      <c r="K1105" s="130" t="s">
        <v>645</v>
      </c>
      <c r="L1105" s="130" t="str">
        <f t="shared" si="17"/>
        <v>005-00000056</v>
      </c>
    </row>
    <row r="1106" spans="1:12" hidden="1" x14ac:dyDescent="0.25">
      <c r="A1106" s="130" t="s">
        <v>358</v>
      </c>
      <c r="B1106" s="130" t="s">
        <v>359</v>
      </c>
      <c r="C1106" s="132" t="s">
        <v>150</v>
      </c>
      <c r="D1106" s="129">
        <v>1</v>
      </c>
      <c r="E1106" s="129">
        <v>11.806400000000002</v>
      </c>
      <c r="F1106" s="129">
        <v>11.806400000000002</v>
      </c>
      <c r="G1106" s="129">
        <v>40</v>
      </c>
      <c r="H1106" s="129">
        <v>40</v>
      </c>
      <c r="I1106" s="131" t="s">
        <v>87</v>
      </c>
      <c r="J1106" s="132" t="s">
        <v>102</v>
      </c>
      <c r="K1106" s="130" t="s">
        <v>645</v>
      </c>
      <c r="L1106" s="130" t="str">
        <f t="shared" si="17"/>
        <v>005-00000056</v>
      </c>
    </row>
    <row r="1107" spans="1:12" hidden="1" x14ac:dyDescent="0.25">
      <c r="A1107" s="130" t="s">
        <v>449</v>
      </c>
      <c r="B1107" s="130" t="s">
        <v>450</v>
      </c>
      <c r="C1107" s="132" t="s">
        <v>150</v>
      </c>
      <c r="D1107" s="129">
        <v>1</v>
      </c>
      <c r="E1107" s="129">
        <v>38.404701000000003</v>
      </c>
      <c r="F1107" s="129">
        <v>38.404701000000003</v>
      </c>
      <c r="G1107" s="129">
        <v>130</v>
      </c>
      <c r="H1107" s="129">
        <v>130</v>
      </c>
      <c r="I1107" s="131" t="s">
        <v>87</v>
      </c>
      <c r="J1107" s="132" t="s">
        <v>102</v>
      </c>
      <c r="K1107" s="130" t="s">
        <v>645</v>
      </c>
      <c r="L1107" s="130" t="str">
        <f t="shared" si="17"/>
        <v>005-00000056</v>
      </c>
    </row>
    <row r="1108" spans="1:12" hidden="1" x14ac:dyDescent="0.25">
      <c r="A1108" s="130" t="s">
        <v>1488</v>
      </c>
      <c r="B1108" s="130" t="s">
        <v>1489</v>
      </c>
      <c r="C1108" s="132" t="s">
        <v>150</v>
      </c>
      <c r="D1108" s="129">
        <v>1</v>
      </c>
      <c r="E1108" s="129">
        <v>14.757999999999999</v>
      </c>
      <c r="F1108" s="129">
        <v>14.757999999999999</v>
      </c>
      <c r="G1108" s="129">
        <v>50</v>
      </c>
      <c r="H1108" s="129">
        <v>50</v>
      </c>
      <c r="I1108" s="131" t="s">
        <v>87</v>
      </c>
      <c r="J1108" s="132" t="s">
        <v>102</v>
      </c>
      <c r="K1108" s="130" t="s">
        <v>645</v>
      </c>
      <c r="L1108" s="130" t="str">
        <f t="shared" si="17"/>
        <v>005-00000056</v>
      </c>
    </row>
    <row r="1109" spans="1:12" hidden="1" x14ac:dyDescent="0.25">
      <c r="A1109" s="130" t="s">
        <v>567</v>
      </c>
      <c r="B1109" s="130" t="s">
        <v>568</v>
      </c>
      <c r="C1109" s="132" t="s">
        <v>150</v>
      </c>
      <c r="D1109" s="129">
        <v>1</v>
      </c>
      <c r="E1109" s="129">
        <v>11.802899999999999</v>
      </c>
      <c r="F1109" s="129">
        <v>11.802899999999999</v>
      </c>
      <c r="G1109" s="129">
        <v>40</v>
      </c>
      <c r="H1109" s="129">
        <v>40</v>
      </c>
      <c r="I1109" s="131" t="s">
        <v>87</v>
      </c>
      <c r="J1109" s="132" t="s">
        <v>102</v>
      </c>
      <c r="K1109" s="130" t="s">
        <v>645</v>
      </c>
      <c r="L1109" s="130" t="str">
        <f t="shared" si="17"/>
        <v>005-00000056</v>
      </c>
    </row>
    <row r="1110" spans="1:12" hidden="1" x14ac:dyDescent="0.25">
      <c r="A1110" s="130" t="s">
        <v>1490</v>
      </c>
      <c r="B1110" s="130" t="s">
        <v>1491</v>
      </c>
      <c r="C1110" s="132" t="s">
        <v>150</v>
      </c>
      <c r="D1110" s="129">
        <v>1</v>
      </c>
      <c r="E1110" s="129">
        <v>14.771000000000001</v>
      </c>
      <c r="F1110" s="129">
        <v>14.771000000000001</v>
      </c>
      <c r="G1110" s="129">
        <v>50</v>
      </c>
      <c r="H1110" s="129">
        <v>50</v>
      </c>
      <c r="I1110" s="131" t="s">
        <v>87</v>
      </c>
      <c r="J1110" s="132" t="s">
        <v>102</v>
      </c>
      <c r="K1110" s="130" t="s">
        <v>645</v>
      </c>
      <c r="L1110" s="130" t="str">
        <f t="shared" si="17"/>
        <v>005-00000056</v>
      </c>
    </row>
    <row r="1111" spans="1:12" hidden="1" x14ac:dyDescent="0.25">
      <c r="A1111" s="130" t="s">
        <v>1685</v>
      </c>
      <c r="B1111" s="130" t="s">
        <v>1686</v>
      </c>
      <c r="C1111" s="132" t="s">
        <v>150</v>
      </c>
      <c r="D1111" s="129">
        <v>1</v>
      </c>
      <c r="E1111" s="129">
        <v>50.070900000000002</v>
      </c>
      <c r="F1111" s="129">
        <v>50.070900000000002</v>
      </c>
      <c r="G1111" s="129">
        <v>169.49001000000001</v>
      </c>
      <c r="H1111" s="129">
        <v>169.49001000000001</v>
      </c>
      <c r="I1111" s="131" t="s">
        <v>87</v>
      </c>
      <c r="J1111" s="132" t="s">
        <v>102</v>
      </c>
      <c r="K1111" s="130" t="s">
        <v>645</v>
      </c>
      <c r="L1111" s="130" t="str">
        <f t="shared" si="17"/>
        <v>005-00000056</v>
      </c>
    </row>
    <row r="1112" spans="1:12" hidden="1" x14ac:dyDescent="0.25">
      <c r="A1112" s="130" t="s">
        <v>587</v>
      </c>
      <c r="B1112" s="130" t="s">
        <v>588</v>
      </c>
      <c r="C1112" s="132" t="s">
        <v>150</v>
      </c>
      <c r="D1112" s="129">
        <v>1</v>
      </c>
      <c r="E1112" s="129">
        <v>11.816800000000001</v>
      </c>
      <c r="F1112" s="129">
        <v>11.816800000000001</v>
      </c>
      <c r="G1112" s="129">
        <v>40</v>
      </c>
      <c r="H1112" s="129">
        <v>40</v>
      </c>
      <c r="I1112" s="131" t="s">
        <v>87</v>
      </c>
      <c r="J1112" s="132" t="s">
        <v>102</v>
      </c>
      <c r="K1112" s="130" t="s">
        <v>645</v>
      </c>
      <c r="L1112" s="130" t="str">
        <f t="shared" si="17"/>
        <v>005-00000056</v>
      </c>
    </row>
    <row r="1113" spans="1:12" hidden="1" x14ac:dyDescent="0.25">
      <c r="A1113" s="130" t="s">
        <v>437</v>
      </c>
      <c r="B1113" s="130" t="s">
        <v>438</v>
      </c>
      <c r="C1113" s="132" t="s">
        <v>150</v>
      </c>
      <c r="D1113" s="129">
        <v>1</v>
      </c>
      <c r="E1113" s="129">
        <v>11.816800000000001</v>
      </c>
      <c r="F1113" s="129">
        <v>11.816800000000001</v>
      </c>
      <c r="G1113" s="129">
        <v>40</v>
      </c>
      <c r="H1113" s="129">
        <v>40</v>
      </c>
      <c r="I1113" s="131" t="s">
        <v>87</v>
      </c>
      <c r="J1113" s="132" t="s">
        <v>102</v>
      </c>
      <c r="K1113" s="130" t="s">
        <v>645</v>
      </c>
      <c r="L1113" s="130" t="str">
        <f t="shared" si="17"/>
        <v>005-00000056</v>
      </c>
    </row>
    <row r="1114" spans="1:12" hidden="1" x14ac:dyDescent="0.25">
      <c r="A1114" s="130" t="s">
        <v>1687</v>
      </c>
      <c r="B1114" s="130" t="s">
        <v>1688</v>
      </c>
      <c r="C1114" s="132" t="s">
        <v>150</v>
      </c>
      <c r="D1114" s="129">
        <v>1</v>
      </c>
      <c r="E1114" s="129">
        <v>32.496299999999998</v>
      </c>
      <c r="F1114" s="129">
        <v>32.496299999999991</v>
      </c>
      <c r="G1114" s="129">
        <v>110</v>
      </c>
      <c r="H1114" s="129">
        <v>110</v>
      </c>
      <c r="I1114" s="131" t="s">
        <v>87</v>
      </c>
      <c r="J1114" s="132" t="s">
        <v>102</v>
      </c>
      <c r="K1114" s="130" t="s">
        <v>645</v>
      </c>
      <c r="L1114" s="130" t="str">
        <f t="shared" si="17"/>
        <v>005-00000056</v>
      </c>
    </row>
    <row r="1115" spans="1:12" hidden="1" x14ac:dyDescent="0.25">
      <c r="A1115" s="130" t="s">
        <v>1538</v>
      </c>
      <c r="B1115" s="130" t="s">
        <v>1539</v>
      </c>
      <c r="C1115" s="132" t="s">
        <v>150</v>
      </c>
      <c r="D1115" s="129">
        <v>1</v>
      </c>
      <c r="E1115" s="129">
        <v>48.818297999999999</v>
      </c>
      <c r="F1115" s="129">
        <v>48.818297999999999</v>
      </c>
      <c r="G1115" s="129">
        <v>165.25</v>
      </c>
      <c r="H1115" s="129">
        <v>165.25</v>
      </c>
      <c r="I1115" s="131" t="s">
        <v>87</v>
      </c>
      <c r="J1115" s="132" t="s">
        <v>102</v>
      </c>
      <c r="K1115" s="130" t="s">
        <v>645</v>
      </c>
      <c r="L1115" s="130" t="str">
        <f t="shared" si="17"/>
        <v>005-00000056</v>
      </c>
    </row>
    <row r="1116" spans="1:12" hidden="1" x14ac:dyDescent="0.25">
      <c r="A1116" s="130" t="s">
        <v>1090</v>
      </c>
      <c r="B1116" s="130" t="s">
        <v>1091</v>
      </c>
      <c r="C1116" s="132" t="s">
        <v>150</v>
      </c>
      <c r="D1116" s="129">
        <v>1</v>
      </c>
      <c r="E1116" s="129">
        <v>62.038398999999998</v>
      </c>
      <c r="F1116" s="129">
        <v>62.038398999999991</v>
      </c>
      <c r="G1116" s="129">
        <v>210</v>
      </c>
      <c r="H1116" s="129">
        <v>210</v>
      </c>
      <c r="I1116" s="131" t="s">
        <v>87</v>
      </c>
      <c r="J1116" s="132" t="s">
        <v>102</v>
      </c>
      <c r="K1116" s="130" t="s">
        <v>645</v>
      </c>
      <c r="L1116" s="130" t="str">
        <f t="shared" si="17"/>
        <v>005-00000056</v>
      </c>
    </row>
    <row r="1117" spans="1:12" hidden="1" x14ac:dyDescent="0.25">
      <c r="A1117" s="130" t="s">
        <v>443</v>
      </c>
      <c r="B1117" s="130" t="s">
        <v>444</v>
      </c>
      <c r="C1117" s="132" t="s">
        <v>153</v>
      </c>
      <c r="D1117" s="129">
        <v>1</v>
      </c>
      <c r="E1117" s="129">
        <v>23.633699</v>
      </c>
      <c r="F1117" s="129">
        <v>23.633698999999996</v>
      </c>
      <c r="G1117" s="129">
        <v>80</v>
      </c>
      <c r="H1117" s="129">
        <v>80</v>
      </c>
      <c r="I1117" s="131" t="s">
        <v>87</v>
      </c>
      <c r="J1117" s="132" t="s">
        <v>102</v>
      </c>
      <c r="K1117" s="130" t="s">
        <v>645</v>
      </c>
      <c r="L1117" s="130" t="str">
        <f t="shared" si="17"/>
        <v>005-00000056</v>
      </c>
    </row>
    <row r="1118" spans="1:12" hidden="1" x14ac:dyDescent="0.25">
      <c r="A1118" s="130" t="s">
        <v>1488</v>
      </c>
      <c r="B1118" s="130" t="s">
        <v>1489</v>
      </c>
      <c r="C1118" s="132" t="s">
        <v>150</v>
      </c>
      <c r="D1118" s="129">
        <v>1</v>
      </c>
      <c r="E1118" s="129">
        <v>23.581399999999999</v>
      </c>
      <c r="F1118" s="129">
        <v>23.581399999999995</v>
      </c>
      <c r="G1118" s="129">
        <v>80</v>
      </c>
      <c r="H1118" s="129">
        <v>80</v>
      </c>
      <c r="I1118" s="131" t="s">
        <v>87</v>
      </c>
      <c r="J1118" s="132" t="s">
        <v>102</v>
      </c>
      <c r="K1118" s="130" t="s">
        <v>1689</v>
      </c>
      <c r="L1118" s="130" t="str">
        <f t="shared" si="17"/>
        <v>005-00000182</v>
      </c>
    </row>
    <row r="1119" spans="1:12" hidden="1" x14ac:dyDescent="0.25">
      <c r="A1119" s="130" t="s">
        <v>1490</v>
      </c>
      <c r="B1119" s="130" t="s">
        <v>1491</v>
      </c>
      <c r="C1119" s="132" t="s">
        <v>150</v>
      </c>
      <c r="D1119" s="129">
        <v>1</v>
      </c>
      <c r="E1119" s="129">
        <v>23.570999</v>
      </c>
      <c r="F1119" s="129">
        <v>23.570999000000008</v>
      </c>
      <c r="G1119" s="129">
        <v>80</v>
      </c>
      <c r="H1119" s="129">
        <v>80</v>
      </c>
      <c r="I1119" s="131" t="s">
        <v>87</v>
      </c>
      <c r="J1119" s="132" t="s">
        <v>102</v>
      </c>
      <c r="K1119" s="130" t="s">
        <v>1689</v>
      </c>
      <c r="L1119" s="130" t="str">
        <f t="shared" si="17"/>
        <v>005-00000182</v>
      </c>
    </row>
    <row r="1120" spans="1:12" hidden="1" x14ac:dyDescent="0.25">
      <c r="A1120" s="130" t="s">
        <v>1690</v>
      </c>
      <c r="B1120" s="130" t="s">
        <v>1691</v>
      </c>
      <c r="C1120" s="132" t="s">
        <v>150</v>
      </c>
      <c r="D1120" s="129">
        <v>1</v>
      </c>
      <c r="E1120" s="129">
        <v>10.3123</v>
      </c>
      <c r="F1120" s="129">
        <v>10.312300000000002</v>
      </c>
      <c r="G1120" s="129">
        <v>35</v>
      </c>
      <c r="H1120" s="129">
        <v>35</v>
      </c>
      <c r="I1120" s="131" t="s">
        <v>87</v>
      </c>
      <c r="J1120" s="132" t="s">
        <v>102</v>
      </c>
      <c r="K1120" s="130" t="s">
        <v>1554</v>
      </c>
      <c r="L1120" s="130" t="str">
        <f t="shared" si="17"/>
        <v>005-00000196</v>
      </c>
    </row>
    <row r="1121" spans="1:12" hidden="1" x14ac:dyDescent="0.25">
      <c r="A1121" s="130" t="s">
        <v>1488</v>
      </c>
      <c r="B1121" s="130" t="s">
        <v>1489</v>
      </c>
      <c r="C1121" s="132" t="s">
        <v>150</v>
      </c>
      <c r="D1121" s="129">
        <v>1</v>
      </c>
      <c r="E1121" s="129">
        <v>20.633800999999998</v>
      </c>
      <c r="F1121" s="129">
        <v>20.633800999999998</v>
      </c>
      <c r="G1121" s="129">
        <v>70</v>
      </c>
      <c r="H1121" s="129">
        <v>70</v>
      </c>
      <c r="I1121" s="131" t="s">
        <v>87</v>
      </c>
      <c r="J1121" s="132" t="s">
        <v>102</v>
      </c>
      <c r="K1121" s="130" t="s">
        <v>1554</v>
      </c>
      <c r="L1121" s="130" t="str">
        <f t="shared" si="17"/>
        <v>005-00000196</v>
      </c>
    </row>
    <row r="1122" spans="1:12" hidden="1" x14ac:dyDescent="0.25">
      <c r="A1122" s="130" t="s">
        <v>1490</v>
      </c>
      <c r="B1122" s="130" t="s">
        <v>1491</v>
      </c>
      <c r="C1122" s="132" t="s">
        <v>150</v>
      </c>
      <c r="D1122" s="129">
        <v>1</v>
      </c>
      <c r="E1122" s="129">
        <v>20.624599</v>
      </c>
      <c r="F1122" s="129">
        <v>20.624599</v>
      </c>
      <c r="G1122" s="129">
        <v>70</v>
      </c>
      <c r="H1122" s="129">
        <v>70</v>
      </c>
      <c r="I1122" s="131" t="s">
        <v>87</v>
      </c>
      <c r="J1122" s="132" t="s">
        <v>102</v>
      </c>
      <c r="K1122" s="130" t="s">
        <v>1554</v>
      </c>
      <c r="L1122" s="130" t="str">
        <f t="shared" si="17"/>
        <v>005-00000196</v>
      </c>
    </row>
    <row r="1123" spans="1:12" hidden="1" x14ac:dyDescent="0.25">
      <c r="A1123" s="130" t="s">
        <v>567</v>
      </c>
      <c r="B1123" s="130" t="s">
        <v>568</v>
      </c>
      <c r="C1123" s="132" t="s">
        <v>150</v>
      </c>
      <c r="D1123" s="129">
        <v>1</v>
      </c>
      <c r="E1123" s="129">
        <v>11.7971</v>
      </c>
      <c r="F1123" s="129">
        <v>11.7971</v>
      </c>
      <c r="G1123" s="129">
        <v>40</v>
      </c>
      <c r="H1123" s="129">
        <v>40</v>
      </c>
      <c r="I1123" s="131" t="s">
        <v>87</v>
      </c>
      <c r="J1123" s="132" t="s">
        <v>102</v>
      </c>
      <c r="K1123" s="130" t="s">
        <v>1554</v>
      </c>
      <c r="L1123" s="130" t="str">
        <f t="shared" si="17"/>
        <v>005-00000196</v>
      </c>
    </row>
    <row r="1124" spans="1:12" hidden="1" x14ac:dyDescent="0.25">
      <c r="A1124" s="130" t="s">
        <v>1463</v>
      </c>
      <c r="B1124" s="130" t="s">
        <v>1464</v>
      </c>
      <c r="C1124" s="132" t="s">
        <v>150</v>
      </c>
      <c r="D1124" s="129">
        <v>1</v>
      </c>
      <c r="E1124" s="129">
        <v>14.290460000000001</v>
      </c>
      <c r="F1124" s="129">
        <v>14.290460000000001</v>
      </c>
      <c r="G1124" s="129">
        <v>48.587569999999999</v>
      </c>
      <c r="H1124" s="129">
        <v>48.587570000000007</v>
      </c>
      <c r="I1124" s="131" t="s">
        <v>87</v>
      </c>
      <c r="J1124" s="132" t="s">
        <v>102</v>
      </c>
      <c r="K1124" s="130" t="s">
        <v>698</v>
      </c>
      <c r="L1124" s="130" t="str">
        <f t="shared" si="17"/>
        <v>005-00000167</v>
      </c>
    </row>
    <row r="1125" spans="1:12" hidden="1" x14ac:dyDescent="0.25">
      <c r="A1125" s="130" t="s">
        <v>1692</v>
      </c>
      <c r="B1125" s="130" t="s">
        <v>1693</v>
      </c>
      <c r="C1125" s="132" t="s">
        <v>150</v>
      </c>
      <c r="D1125" s="129">
        <v>1</v>
      </c>
      <c r="E1125" s="129">
        <v>11.7994</v>
      </c>
      <c r="F1125" s="129">
        <v>11.799400000000002</v>
      </c>
      <c r="G1125" s="129">
        <v>40</v>
      </c>
      <c r="H1125" s="129">
        <v>40</v>
      </c>
      <c r="I1125" s="131" t="s">
        <v>87</v>
      </c>
      <c r="J1125" s="132" t="s">
        <v>102</v>
      </c>
      <c r="K1125" s="130" t="s">
        <v>699</v>
      </c>
      <c r="L1125" s="130" t="str">
        <f t="shared" si="17"/>
        <v>005-00000166</v>
      </c>
    </row>
    <row r="1126" spans="1:12" hidden="1" x14ac:dyDescent="0.25">
      <c r="A1126" s="130" t="s">
        <v>441</v>
      </c>
      <c r="B1126" s="130" t="s">
        <v>442</v>
      </c>
      <c r="C1126" s="132" t="s">
        <v>153</v>
      </c>
      <c r="D1126" s="129">
        <v>1</v>
      </c>
      <c r="E1126" s="129">
        <v>11.772500000000001</v>
      </c>
      <c r="F1126" s="129">
        <v>11.772500000000001</v>
      </c>
      <c r="G1126" s="129">
        <v>40</v>
      </c>
      <c r="H1126" s="129">
        <v>40</v>
      </c>
      <c r="I1126" s="131" t="s">
        <v>87</v>
      </c>
      <c r="J1126" s="132" t="s">
        <v>102</v>
      </c>
      <c r="K1126" s="130" t="s">
        <v>1555</v>
      </c>
      <c r="L1126" s="130" t="str">
        <f t="shared" si="17"/>
        <v>005-00000190</v>
      </c>
    </row>
    <row r="1127" spans="1:12" hidden="1" x14ac:dyDescent="0.25">
      <c r="A1127" s="130" t="s">
        <v>587</v>
      </c>
      <c r="B1127" s="130" t="s">
        <v>588</v>
      </c>
      <c r="C1127" s="132" t="s">
        <v>150</v>
      </c>
      <c r="D1127" s="129">
        <v>1</v>
      </c>
      <c r="E1127" s="129">
        <v>16.205099000000001</v>
      </c>
      <c r="F1127" s="129">
        <v>16.205099000000001</v>
      </c>
      <c r="G1127" s="129">
        <v>55</v>
      </c>
      <c r="H1127" s="129">
        <v>55</v>
      </c>
      <c r="I1127" s="131" t="s">
        <v>87</v>
      </c>
      <c r="J1127" s="132" t="s">
        <v>102</v>
      </c>
      <c r="K1127" s="130" t="s">
        <v>1555</v>
      </c>
      <c r="L1127" s="130" t="str">
        <f t="shared" si="17"/>
        <v>005-00000190</v>
      </c>
    </row>
    <row r="1128" spans="1:12" hidden="1" x14ac:dyDescent="0.25">
      <c r="A1128" s="130" t="s">
        <v>451</v>
      </c>
      <c r="B1128" s="130" t="s">
        <v>452</v>
      </c>
      <c r="C1128" s="132" t="s">
        <v>150</v>
      </c>
      <c r="D1128" s="129">
        <v>1</v>
      </c>
      <c r="E1128" s="129">
        <v>11.790699999999999</v>
      </c>
      <c r="F1128" s="129">
        <v>11.790699999999998</v>
      </c>
      <c r="G1128" s="129">
        <v>40</v>
      </c>
      <c r="H1128" s="129">
        <v>40</v>
      </c>
      <c r="I1128" s="131" t="s">
        <v>87</v>
      </c>
      <c r="J1128" s="132" t="s">
        <v>102</v>
      </c>
      <c r="K1128" s="130" t="s">
        <v>1555</v>
      </c>
      <c r="L1128" s="130" t="str">
        <f t="shared" si="17"/>
        <v>005-00000190</v>
      </c>
    </row>
    <row r="1129" spans="1:12" hidden="1" x14ac:dyDescent="0.25">
      <c r="A1129" s="130" t="s">
        <v>1694</v>
      </c>
      <c r="B1129" s="130" t="s">
        <v>1695</v>
      </c>
      <c r="C1129" s="132" t="s">
        <v>150</v>
      </c>
      <c r="D1129" s="129">
        <v>1</v>
      </c>
      <c r="E1129" s="129">
        <v>8.8390999000000008</v>
      </c>
      <c r="F1129" s="129">
        <v>8.8390999000000008</v>
      </c>
      <c r="G1129" s="129">
        <v>30</v>
      </c>
      <c r="H1129" s="129">
        <v>30</v>
      </c>
      <c r="I1129" s="131" t="s">
        <v>87</v>
      </c>
      <c r="J1129" s="132" t="s">
        <v>102</v>
      </c>
      <c r="K1129" s="130" t="s">
        <v>1555</v>
      </c>
      <c r="L1129" s="130" t="str">
        <f t="shared" si="17"/>
        <v>005-00000190</v>
      </c>
    </row>
    <row r="1130" spans="1:12" hidden="1" x14ac:dyDescent="0.25">
      <c r="A1130" s="130" t="s">
        <v>1696</v>
      </c>
      <c r="B1130" s="130" t="s">
        <v>1697</v>
      </c>
      <c r="C1130" s="132" t="s">
        <v>150</v>
      </c>
      <c r="D1130" s="129">
        <v>1</v>
      </c>
      <c r="E1130" s="129">
        <v>94.283996999999999</v>
      </c>
      <c r="F1130" s="129">
        <v>94.283996999999999</v>
      </c>
      <c r="G1130" s="129">
        <v>320</v>
      </c>
      <c r="H1130" s="129">
        <v>320</v>
      </c>
      <c r="I1130" s="131" t="s">
        <v>87</v>
      </c>
      <c r="J1130" s="132" t="s">
        <v>102</v>
      </c>
      <c r="K1130" s="130" t="s">
        <v>1555</v>
      </c>
      <c r="L1130" s="130" t="str">
        <f t="shared" si="17"/>
        <v>005-00000190</v>
      </c>
    </row>
    <row r="1131" spans="1:12" hidden="1" x14ac:dyDescent="0.25">
      <c r="A1131" s="130" t="s">
        <v>433</v>
      </c>
      <c r="B1131" s="130" t="s">
        <v>434</v>
      </c>
      <c r="C1131" s="132" t="s">
        <v>150</v>
      </c>
      <c r="D1131" s="129">
        <v>1</v>
      </c>
      <c r="E1131" s="129">
        <v>56.080298999999997</v>
      </c>
      <c r="F1131" s="129">
        <v>56.080299000000004</v>
      </c>
      <c r="G1131" s="129">
        <v>190</v>
      </c>
      <c r="H1131" s="129">
        <v>190</v>
      </c>
      <c r="I1131" s="131" t="s">
        <v>87</v>
      </c>
      <c r="J1131" s="132" t="s">
        <v>102</v>
      </c>
      <c r="K1131" s="130" t="s">
        <v>1553</v>
      </c>
      <c r="L1131" s="130" t="str">
        <f t="shared" si="17"/>
        <v>005-00000188</v>
      </c>
    </row>
    <row r="1132" spans="1:12" hidden="1" x14ac:dyDescent="0.25">
      <c r="A1132" s="130" t="s">
        <v>567</v>
      </c>
      <c r="B1132" s="130" t="s">
        <v>568</v>
      </c>
      <c r="C1132" s="132" t="s">
        <v>150</v>
      </c>
      <c r="D1132" s="129">
        <v>1</v>
      </c>
      <c r="E1132" s="129">
        <v>13.2783</v>
      </c>
      <c r="F1132" s="129">
        <v>13.2783</v>
      </c>
      <c r="G1132" s="129">
        <v>45</v>
      </c>
      <c r="H1132" s="129">
        <v>45</v>
      </c>
      <c r="I1132" s="131" t="s">
        <v>87</v>
      </c>
      <c r="J1132" s="132" t="s">
        <v>102</v>
      </c>
      <c r="K1132" s="130" t="s">
        <v>1553</v>
      </c>
      <c r="L1132" s="130" t="str">
        <f t="shared" si="17"/>
        <v>005-00000188</v>
      </c>
    </row>
    <row r="1133" spans="1:12" hidden="1" x14ac:dyDescent="0.25">
      <c r="A1133" s="130" t="s">
        <v>1067</v>
      </c>
      <c r="B1133" s="130" t="s">
        <v>1068</v>
      </c>
      <c r="C1133" s="132" t="s">
        <v>150</v>
      </c>
      <c r="D1133" s="129">
        <v>1</v>
      </c>
      <c r="E1133" s="129">
        <v>11.816800000000001</v>
      </c>
      <c r="F1133" s="129">
        <v>11.816800000000001</v>
      </c>
      <c r="G1133" s="129">
        <v>40</v>
      </c>
      <c r="H1133" s="129">
        <v>40</v>
      </c>
      <c r="I1133" s="131" t="s">
        <v>87</v>
      </c>
      <c r="J1133" s="132" t="s">
        <v>102</v>
      </c>
      <c r="K1133" s="130" t="s">
        <v>1553</v>
      </c>
      <c r="L1133" s="130" t="str">
        <f t="shared" si="17"/>
        <v>005-00000188</v>
      </c>
    </row>
    <row r="1134" spans="1:12" hidden="1" x14ac:dyDescent="0.25">
      <c r="A1134" s="130" t="s">
        <v>1069</v>
      </c>
      <c r="B1134" s="130" t="s">
        <v>1070</v>
      </c>
      <c r="C1134" s="132" t="s">
        <v>150</v>
      </c>
      <c r="D1134" s="129">
        <v>1</v>
      </c>
      <c r="E1134" s="129">
        <v>11.816800000000001</v>
      </c>
      <c r="F1134" s="129">
        <v>11.816800000000001</v>
      </c>
      <c r="G1134" s="129">
        <v>40</v>
      </c>
      <c r="H1134" s="129">
        <v>40</v>
      </c>
      <c r="I1134" s="131" t="s">
        <v>87</v>
      </c>
      <c r="J1134" s="132" t="s">
        <v>102</v>
      </c>
      <c r="K1134" s="130" t="s">
        <v>1553</v>
      </c>
      <c r="L1134" s="130" t="str">
        <f t="shared" si="17"/>
        <v>005-00000188</v>
      </c>
    </row>
    <row r="1135" spans="1:12" hidden="1" x14ac:dyDescent="0.25">
      <c r="A1135" s="130" t="s">
        <v>1488</v>
      </c>
      <c r="B1135" s="130" t="s">
        <v>1489</v>
      </c>
      <c r="C1135" s="132" t="s">
        <v>150</v>
      </c>
      <c r="D1135" s="129">
        <v>1</v>
      </c>
      <c r="E1135" s="129">
        <v>14.757999999999999</v>
      </c>
      <c r="F1135" s="129">
        <v>14.757999999999999</v>
      </c>
      <c r="G1135" s="129">
        <v>50</v>
      </c>
      <c r="H1135" s="129">
        <v>50</v>
      </c>
      <c r="I1135" s="131" t="s">
        <v>87</v>
      </c>
      <c r="J1135" s="132" t="s">
        <v>102</v>
      </c>
      <c r="K1135" s="130" t="s">
        <v>1553</v>
      </c>
      <c r="L1135" s="130" t="str">
        <f t="shared" si="17"/>
        <v>005-00000188</v>
      </c>
    </row>
    <row r="1136" spans="1:12" hidden="1" x14ac:dyDescent="0.25">
      <c r="A1136" s="130" t="s">
        <v>1490</v>
      </c>
      <c r="B1136" s="130" t="s">
        <v>1491</v>
      </c>
      <c r="C1136" s="132" t="s">
        <v>150</v>
      </c>
      <c r="D1136" s="129">
        <v>1</v>
      </c>
      <c r="E1136" s="129">
        <v>14.771000000000001</v>
      </c>
      <c r="F1136" s="129">
        <v>14.771000000000001</v>
      </c>
      <c r="G1136" s="129">
        <v>50</v>
      </c>
      <c r="H1136" s="129">
        <v>50</v>
      </c>
      <c r="I1136" s="131" t="s">
        <v>87</v>
      </c>
      <c r="J1136" s="132" t="s">
        <v>102</v>
      </c>
      <c r="K1136" s="130" t="s">
        <v>1553</v>
      </c>
      <c r="L1136" s="130" t="str">
        <f t="shared" si="17"/>
        <v>005-00000188</v>
      </c>
    </row>
    <row r="1137" spans="1:12" hidden="1" x14ac:dyDescent="0.25">
      <c r="A1137" s="130" t="s">
        <v>1538</v>
      </c>
      <c r="B1137" s="130" t="s">
        <v>1539</v>
      </c>
      <c r="C1137" s="132" t="s">
        <v>150</v>
      </c>
      <c r="D1137" s="129">
        <v>1</v>
      </c>
      <c r="E1137" s="129">
        <v>58.823501999999998</v>
      </c>
      <c r="F1137" s="129">
        <v>58.823501999999998</v>
      </c>
      <c r="G1137" s="129">
        <v>200</v>
      </c>
      <c r="H1137" s="129">
        <v>200</v>
      </c>
      <c r="I1137" s="131" t="s">
        <v>87</v>
      </c>
      <c r="J1137" s="132" t="s">
        <v>102</v>
      </c>
      <c r="K1137" s="130" t="s">
        <v>1558</v>
      </c>
      <c r="L1137" s="130" t="str">
        <f t="shared" si="17"/>
        <v>005-00000198</v>
      </c>
    </row>
    <row r="1138" spans="1:12" hidden="1" x14ac:dyDescent="0.25">
      <c r="A1138" s="130" t="s">
        <v>1486</v>
      </c>
      <c r="B1138" s="130" t="s">
        <v>1487</v>
      </c>
      <c r="C1138" s="132" t="s">
        <v>150</v>
      </c>
      <c r="D1138" s="129">
        <v>1</v>
      </c>
      <c r="E1138" s="129">
        <v>64.791702000000001</v>
      </c>
      <c r="F1138" s="129">
        <v>64.791702000000001</v>
      </c>
      <c r="G1138" s="129">
        <v>220</v>
      </c>
      <c r="H1138" s="129">
        <v>220</v>
      </c>
      <c r="I1138" s="131" t="s">
        <v>87</v>
      </c>
      <c r="J1138" s="132" t="s">
        <v>102</v>
      </c>
      <c r="K1138" s="130" t="s">
        <v>1558</v>
      </c>
      <c r="L1138" s="130" t="str">
        <f t="shared" si="17"/>
        <v>005-00000198</v>
      </c>
    </row>
    <row r="1139" spans="1:12" hidden="1" x14ac:dyDescent="0.25">
      <c r="A1139" s="130" t="s">
        <v>1484</v>
      </c>
      <c r="B1139" s="130" t="s">
        <v>1485</v>
      </c>
      <c r="C1139" s="132" t="s">
        <v>150</v>
      </c>
      <c r="D1139" s="129">
        <v>1</v>
      </c>
      <c r="E1139" s="129">
        <v>64.705901999999995</v>
      </c>
      <c r="F1139" s="129">
        <v>64.70590199999998</v>
      </c>
      <c r="G1139" s="129">
        <v>220</v>
      </c>
      <c r="H1139" s="129">
        <v>220</v>
      </c>
      <c r="I1139" s="131" t="s">
        <v>87</v>
      </c>
      <c r="J1139" s="132" t="s">
        <v>102</v>
      </c>
      <c r="K1139" s="130" t="s">
        <v>1558</v>
      </c>
      <c r="L1139" s="130" t="str">
        <f t="shared" si="17"/>
        <v>005-00000198</v>
      </c>
    </row>
    <row r="1140" spans="1:12" hidden="1" x14ac:dyDescent="0.25">
      <c r="A1140" s="130" t="s">
        <v>433</v>
      </c>
      <c r="B1140" s="130" t="s">
        <v>434</v>
      </c>
      <c r="C1140" s="132" t="s">
        <v>150</v>
      </c>
      <c r="D1140" s="129">
        <v>1</v>
      </c>
      <c r="E1140" s="129">
        <v>61.846699000000001</v>
      </c>
      <c r="F1140" s="129">
        <v>61.846699000000001</v>
      </c>
      <c r="G1140" s="129">
        <v>210</v>
      </c>
      <c r="H1140" s="129">
        <v>210</v>
      </c>
      <c r="I1140" s="131" t="s">
        <v>87</v>
      </c>
      <c r="J1140" s="132" t="s">
        <v>102</v>
      </c>
      <c r="K1140" s="130" t="s">
        <v>1558</v>
      </c>
      <c r="L1140" s="130" t="str">
        <f t="shared" si="17"/>
        <v>005-00000198</v>
      </c>
    </row>
    <row r="1141" spans="1:12" hidden="1" x14ac:dyDescent="0.25">
      <c r="A1141" s="130" t="s">
        <v>718</v>
      </c>
      <c r="B1141" s="130" t="s">
        <v>719</v>
      </c>
      <c r="C1141" s="132" t="s">
        <v>150</v>
      </c>
      <c r="D1141" s="129">
        <v>2</v>
      </c>
      <c r="E1141" s="129">
        <v>6.6175999999999995</v>
      </c>
      <c r="F1141" s="129">
        <v>13.235200000000003</v>
      </c>
      <c r="G1141" s="129">
        <v>22.5</v>
      </c>
      <c r="H1141" s="129">
        <v>45</v>
      </c>
      <c r="I1141" s="131" t="s">
        <v>87</v>
      </c>
      <c r="J1141" s="132" t="s">
        <v>102</v>
      </c>
      <c r="K1141" s="130" t="s">
        <v>1558</v>
      </c>
      <c r="L1141" s="130" t="str">
        <f t="shared" si="17"/>
        <v>005-00000198</v>
      </c>
    </row>
    <row r="1142" spans="1:12" hidden="1" x14ac:dyDescent="0.25">
      <c r="A1142" s="130" t="s">
        <v>1103</v>
      </c>
      <c r="B1142" s="130" t="s">
        <v>1104</v>
      </c>
      <c r="C1142" s="132" t="s">
        <v>150</v>
      </c>
      <c r="D1142" s="129">
        <v>1</v>
      </c>
      <c r="E1142" s="129">
        <v>20.588200000000001</v>
      </c>
      <c r="F1142" s="129">
        <v>20.588199999999997</v>
      </c>
      <c r="G1142" s="129">
        <v>70</v>
      </c>
      <c r="H1142" s="129">
        <v>70</v>
      </c>
      <c r="I1142" s="131" t="s">
        <v>87</v>
      </c>
      <c r="J1142" s="132" t="s">
        <v>102</v>
      </c>
      <c r="K1142" s="130" t="s">
        <v>1558</v>
      </c>
      <c r="L1142" s="130" t="str">
        <f t="shared" si="17"/>
        <v>005-00000198</v>
      </c>
    </row>
    <row r="1143" spans="1:12" hidden="1" x14ac:dyDescent="0.25">
      <c r="A1143" s="130" t="s">
        <v>437</v>
      </c>
      <c r="B1143" s="130" t="s">
        <v>438</v>
      </c>
      <c r="C1143" s="132" t="s">
        <v>150</v>
      </c>
      <c r="D1143" s="129">
        <v>1</v>
      </c>
      <c r="E1143" s="129">
        <v>17.647099999999998</v>
      </c>
      <c r="F1143" s="129">
        <v>17.647099999999998</v>
      </c>
      <c r="G1143" s="129">
        <v>60</v>
      </c>
      <c r="H1143" s="129">
        <v>60</v>
      </c>
      <c r="I1143" s="131" t="s">
        <v>87</v>
      </c>
      <c r="J1143" s="132" t="s">
        <v>102</v>
      </c>
      <c r="K1143" s="130" t="s">
        <v>1561</v>
      </c>
      <c r="L1143" s="130" t="str">
        <f t="shared" si="17"/>
        <v>005-00000197</v>
      </c>
    </row>
    <row r="1144" spans="1:12" hidden="1" x14ac:dyDescent="0.25">
      <c r="A1144" s="130" t="s">
        <v>587</v>
      </c>
      <c r="B1144" s="130" t="s">
        <v>588</v>
      </c>
      <c r="C1144" s="132" t="s">
        <v>150</v>
      </c>
      <c r="D1144" s="129">
        <v>1</v>
      </c>
      <c r="E1144" s="129">
        <v>17.647099999999998</v>
      </c>
      <c r="F1144" s="129">
        <v>17.647099999999998</v>
      </c>
      <c r="G1144" s="129">
        <v>60</v>
      </c>
      <c r="H1144" s="129">
        <v>60</v>
      </c>
      <c r="I1144" s="131" t="s">
        <v>87</v>
      </c>
      <c r="J1144" s="132" t="s">
        <v>102</v>
      </c>
      <c r="K1144" s="130" t="s">
        <v>1561</v>
      </c>
      <c r="L1144" s="130" t="str">
        <f t="shared" si="17"/>
        <v>005-00000197</v>
      </c>
    </row>
    <row r="1145" spans="1:12" hidden="1" x14ac:dyDescent="0.25">
      <c r="A1145" s="130" t="s">
        <v>1103</v>
      </c>
      <c r="B1145" s="130" t="s">
        <v>1104</v>
      </c>
      <c r="C1145" s="132" t="s">
        <v>150</v>
      </c>
      <c r="D1145" s="129">
        <v>1</v>
      </c>
      <c r="E1145" s="129">
        <v>11.764699999999999</v>
      </c>
      <c r="F1145" s="129">
        <v>11.764699999999999</v>
      </c>
      <c r="G1145" s="129">
        <v>40</v>
      </c>
      <c r="H1145" s="129">
        <v>40</v>
      </c>
      <c r="I1145" s="131" t="s">
        <v>87</v>
      </c>
      <c r="J1145" s="132" t="s">
        <v>102</v>
      </c>
      <c r="K1145" s="130" t="s">
        <v>1561</v>
      </c>
      <c r="L1145" s="130" t="str">
        <f t="shared" si="17"/>
        <v>005-00000197</v>
      </c>
    </row>
    <row r="1146" spans="1:12" hidden="1" x14ac:dyDescent="0.25">
      <c r="A1146" s="130" t="s">
        <v>433</v>
      </c>
      <c r="B1146" s="130" t="s">
        <v>434</v>
      </c>
      <c r="C1146" s="132" t="s">
        <v>150</v>
      </c>
      <c r="D1146" s="129">
        <v>1</v>
      </c>
      <c r="E1146" s="129">
        <v>53.011398</v>
      </c>
      <c r="F1146" s="129">
        <v>53.011398</v>
      </c>
      <c r="G1146" s="129">
        <v>180</v>
      </c>
      <c r="H1146" s="129">
        <v>180</v>
      </c>
      <c r="I1146" s="131" t="s">
        <v>87</v>
      </c>
      <c r="J1146" s="132" t="s">
        <v>102</v>
      </c>
      <c r="K1146" s="130" t="s">
        <v>1561</v>
      </c>
      <c r="L1146" s="130" t="str">
        <f t="shared" si="17"/>
        <v>005-00000197</v>
      </c>
    </row>
    <row r="1147" spans="1:12" hidden="1" x14ac:dyDescent="0.25">
      <c r="A1147" s="130" t="s">
        <v>718</v>
      </c>
      <c r="B1147" s="130" t="s">
        <v>719</v>
      </c>
      <c r="C1147" s="132" t="s">
        <v>150</v>
      </c>
      <c r="D1147" s="129">
        <v>1</v>
      </c>
      <c r="E1147" s="129">
        <v>20.588200000000001</v>
      </c>
      <c r="F1147" s="129">
        <v>20.588199999999997</v>
      </c>
      <c r="G1147" s="129">
        <v>70</v>
      </c>
      <c r="H1147" s="129">
        <v>70</v>
      </c>
      <c r="I1147" s="131" t="s">
        <v>87</v>
      </c>
      <c r="J1147" s="132" t="s">
        <v>102</v>
      </c>
      <c r="K1147" s="130" t="s">
        <v>1561</v>
      </c>
      <c r="L1147" s="130" t="str">
        <f t="shared" si="17"/>
        <v>005-00000197</v>
      </c>
    </row>
    <row r="1148" spans="1:12" hidden="1" x14ac:dyDescent="0.25">
      <c r="A1148" s="130" t="s">
        <v>243</v>
      </c>
      <c r="B1148" s="130" t="s">
        <v>244</v>
      </c>
      <c r="C1148" s="132" t="s">
        <v>150</v>
      </c>
      <c r="D1148" s="129">
        <v>1</v>
      </c>
      <c r="E1148" s="129">
        <v>10.011200000000001</v>
      </c>
      <c r="F1148" s="129">
        <v>10.011199999999999</v>
      </c>
      <c r="G1148" s="129">
        <v>33.897998999999999</v>
      </c>
      <c r="H1148" s="129">
        <v>33.897998999999999</v>
      </c>
      <c r="I1148" s="131" t="s">
        <v>87</v>
      </c>
      <c r="J1148" s="132" t="s">
        <v>102</v>
      </c>
      <c r="K1148" s="130" t="s">
        <v>1558</v>
      </c>
      <c r="L1148" s="129" t="str">
        <f t="shared" si="17"/>
        <v>005-00000198</v>
      </c>
    </row>
    <row r="1149" spans="1:12" hidden="1" x14ac:dyDescent="0.25">
      <c r="A1149" s="130" t="s">
        <v>222</v>
      </c>
      <c r="B1149" s="130" t="s">
        <v>223</v>
      </c>
      <c r="C1149" s="132" t="s">
        <v>150</v>
      </c>
      <c r="D1149" s="129">
        <v>1</v>
      </c>
      <c r="E1149" s="129">
        <v>12.514099999999999</v>
      </c>
      <c r="F1149" s="129">
        <v>12.514099999999999</v>
      </c>
      <c r="G1149" s="129">
        <v>42.372897999999992</v>
      </c>
      <c r="H1149" s="129">
        <v>42.372897999999985</v>
      </c>
      <c r="I1149" s="131" t="s">
        <v>87</v>
      </c>
      <c r="J1149" s="132" t="s">
        <v>102</v>
      </c>
      <c r="K1149" s="130" t="s">
        <v>1558</v>
      </c>
      <c r="L1149" s="129" t="str">
        <f t="shared" si="17"/>
        <v>005-00000198</v>
      </c>
    </row>
    <row r="1150" spans="1:12" hidden="1" x14ac:dyDescent="0.25">
      <c r="A1150" s="130" t="s">
        <v>1081</v>
      </c>
      <c r="B1150" s="130" t="s">
        <v>1010</v>
      </c>
      <c r="C1150" s="132" t="s">
        <v>153</v>
      </c>
      <c r="D1150" s="129">
        <v>1</v>
      </c>
      <c r="E1150" s="129">
        <v>65.073502000000005</v>
      </c>
      <c r="F1150" s="129">
        <v>65.073502000000005</v>
      </c>
      <c r="G1150" s="129">
        <v>220.33900000000003</v>
      </c>
      <c r="H1150" s="129">
        <v>220.33900000000006</v>
      </c>
      <c r="I1150" s="131" t="s">
        <v>87</v>
      </c>
      <c r="J1150" s="132" t="s">
        <v>102</v>
      </c>
      <c r="K1150" s="130" t="s">
        <v>1558</v>
      </c>
      <c r="L1150" s="129" t="str">
        <f t="shared" si="17"/>
        <v>005-00000198</v>
      </c>
    </row>
    <row r="1151" spans="1:12" hidden="1" x14ac:dyDescent="0.25">
      <c r="A1151" s="130" t="s">
        <v>368</v>
      </c>
      <c r="B1151" s="130" t="s">
        <v>369</v>
      </c>
      <c r="C1151" s="132" t="s">
        <v>150</v>
      </c>
      <c r="D1151" s="129">
        <v>1</v>
      </c>
      <c r="E1151" s="129">
        <v>3.7543001</v>
      </c>
      <c r="F1151" s="129">
        <v>3.7543001</v>
      </c>
      <c r="G1151" s="129">
        <v>12.7119</v>
      </c>
      <c r="H1151" s="129">
        <v>12.711900000000004</v>
      </c>
      <c r="I1151" s="131" t="s">
        <v>87</v>
      </c>
      <c r="J1151" s="132" t="s">
        <v>102</v>
      </c>
      <c r="K1151" s="130" t="s">
        <v>625</v>
      </c>
      <c r="L1151" s="129" t="str">
        <f t="shared" si="17"/>
        <v>005-00000106</v>
      </c>
    </row>
    <row r="1152" spans="1:12" hidden="1" x14ac:dyDescent="0.25">
      <c r="A1152" s="130" t="s">
        <v>1044</v>
      </c>
      <c r="B1152" s="130" t="s">
        <v>1045</v>
      </c>
      <c r="C1152" s="132" t="s">
        <v>153</v>
      </c>
      <c r="D1152" s="129">
        <v>1</v>
      </c>
      <c r="E1152" s="129">
        <v>10.019399999999999</v>
      </c>
      <c r="F1152" s="129">
        <v>10.019399999999999</v>
      </c>
      <c r="G1152" s="129">
        <v>33.897998999999999</v>
      </c>
      <c r="H1152" s="129">
        <v>33.897998999999999</v>
      </c>
      <c r="I1152" s="131" t="s">
        <v>87</v>
      </c>
      <c r="J1152" s="132" t="s">
        <v>102</v>
      </c>
      <c r="K1152" s="130" t="s">
        <v>625</v>
      </c>
      <c r="L1152" s="129" t="str">
        <f t="shared" si="17"/>
        <v>005-00000106</v>
      </c>
    </row>
    <row r="1153" spans="1:12" hidden="1" x14ac:dyDescent="0.25">
      <c r="A1153" s="130" t="s">
        <v>1030</v>
      </c>
      <c r="B1153" s="130" t="s">
        <v>1031</v>
      </c>
      <c r="C1153" s="132" t="s">
        <v>150</v>
      </c>
      <c r="D1153" s="129">
        <v>1</v>
      </c>
      <c r="E1153" s="129">
        <v>2.0106001</v>
      </c>
      <c r="F1153" s="129">
        <v>2.0106001</v>
      </c>
      <c r="G1153" s="129">
        <v>6.7796998000000004</v>
      </c>
      <c r="H1153" s="129">
        <v>6.7796998000000022</v>
      </c>
      <c r="I1153" s="131" t="s">
        <v>87</v>
      </c>
      <c r="J1153" s="132" t="s">
        <v>102</v>
      </c>
      <c r="K1153" s="130" t="s">
        <v>625</v>
      </c>
      <c r="L1153" s="129" t="str">
        <f t="shared" si="17"/>
        <v>005-00000106</v>
      </c>
    </row>
    <row r="1154" spans="1:12" hidden="1" x14ac:dyDescent="0.25">
      <c r="A1154" s="130" t="s">
        <v>1028</v>
      </c>
      <c r="B1154" s="130" t="s">
        <v>1029</v>
      </c>
      <c r="C1154" s="132" t="s">
        <v>150</v>
      </c>
      <c r="D1154" s="129">
        <v>1</v>
      </c>
      <c r="E1154" s="129">
        <v>1.5079</v>
      </c>
      <c r="F1154" s="129">
        <v>1.5078999999999996</v>
      </c>
      <c r="G1154" s="129">
        <v>5.0847001000000001</v>
      </c>
      <c r="H1154" s="129">
        <v>5.0847001000000001</v>
      </c>
      <c r="I1154" s="131" t="s">
        <v>87</v>
      </c>
      <c r="J1154" s="132" t="s">
        <v>102</v>
      </c>
      <c r="K1154" s="130" t="s">
        <v>625</v>
      </c>
      <c r="L1154" s="129" t="str">
        <f t="shared" si="17"/>
        <v>005-00000106</v>
      </c>
    </row>
    <row r="1155" spans="1:12" hidden="1" x14ac:dyDescent="0.25">
      <c r="A1155" s="130" t="s">
        <v>1466</v>
      </c>
      <c r="B1155" s="130" t="s">
        <v>1467</v>
      </c>
      <c r="C1155" s="132" t="s">
        <v>88</v>
      </c>
      <c r="D1155" s="129">
        <v>1</v>
      </c>
      <c r="E1155" s="129">
        <v>9.2980003</v>
      </c>
      <c r="F1155" s="129">
        <v>9.2980002999999982</v>
      </c>
      <c r="G1155" s="129">
        <v>31.138999999999999</v>
      </c>
      <c r="H1155" s="129">
        <v>31.138999999999996</v>
      </c>
      <c r="I1155" s="131" t="s">
        <v>87</v>
      </c>
      <c r="J1155" s="132" t="s">
        <v>102</v>
      </c>
      <c r="K1155" s="130" t="s">
        <v>625</v>
      </c>
      <c r="L1155" s="129" t="str">
        <f t="shared" si="17"/>
        <v>005-00000106</v>
      </c>
    </row>
    <row r="1156" spans="1:12" hidden="1" x14ac:dyDescent="0.25">
      <c r="A1156" s="130" t="s">
        <v>1034</v>
      </c>
      <c r="B1156" s="130" t="s">
        <v>1035</v>
      </c>
      <c r="C1156" s="132" t="s">
        <v>88</v>
      </c>
      <c r="D1156" s="129">
        <v>1</v>
      </c>
      <c r="E1156" s="129">
        <v>10.5677</v>
      </c>
      <c r="F1156" s="129">
        <v>10.567700000000002</v>
      </c>
      <c r="G1156" s="129">
        <v>35.745998</v>
      </c>
      <c r="H1156" s="129">
        <v>35.745998</v>
      </c>
      <c r="I1156" s="131" t="s">
        <v>87</v>
      </c>
      <c r="J1156" s="132" t="s">
        <v>102</v>
      </c>
      <c r="K1156" s="130" t="s">
        <v>625</v>
      </c>
      <c r="L1156" s="129" t="str">
        <f t="shared" si="17"/>
        <v>005-00000106</v>
      </c>
    </row>
    <row r="1157" spans="1:12" hidden="1" x14ac:dyDescent="0.25">
      <c r="A1157" s="130" t="s">
        <v>409</v>
      </c>
      <c r="B1157" s="130" t="s">
        <v>408</v>
      </c>
      <c r="C1157" s="132" t="s">
        <v>150</v>
      </c>
      <c r="D1157" s="129">
        <v>4</v>
      </c>
      <c r="E1157" s="129">
        <v>1.4915</v>
      </c>
      <c r="F1157" s="129">
        <v>5.9659999999999993</v>
      </c>
      <c r="G1157" s="129">
        <v>6.1016002</v>
      </c>
      <c r="H1157" s="129">
        <v>24.406400800000007</v>
      </c>
      <c r="I1157" s="131" t="s">
        <v>87</v>
      </c>
      <c r="J1157" s="132" t="s">
        <v>102</v>
      </c>
      <c r="K1157" s="130" t="s">
        <v>625</v>
      </c>
      <c r="L1157" s="129" t="str">
        <f t="shared" ref="L1157:L1220" si="18">CONCATENATE(J1157,"-",K1157)</f>
        <v>005-00000106</v>
      </c>
    </row>
    <row r="1158" spans="1:12" hidden="1" x14ac:dyDescent="0.25">
      <c r="A1158" s="130" t="s">
        <v>227</v>
      </c>
      <c r="B1158" s="130" t="s">
        <v>194</v>
      </c>
      <c r="C1158" s="132" t="s">
        <v>88</v>
      </c>
      <c r="D1158" s="129">
        <v>1</v>
      </c>
      <c r="E1158" s="129">
        <v>1.6415</v>
      </c>
      <c r="F1158" s="129">
        <v>1.6414999999999997</v>
      </c>
      <c r="G1158" s="129">
        <v>5.4759001999999999</v>
      </c>
      <c r="H1158" s="129">
        <v>5.4759001999999999</v>
      </c>
      <c r="I1158" s="131" t="s">
        <v>87</v>
      </c>
      <c r="J1158" s="132" t="s">
        <v>102</v>
      </c>
      <c r="K1158" s="130" t="s">
        <v>625</v>
      </c>
      <c r="L1158" s="129" t="str">
        <f t="shared" si="18"/>
        <v>005-00000106</v>
      </c>
    </row>
    <row r="1159" spans="1:12" hidden="1" x14ac:dyDescent="0.25">
      <c r="A1159" s="130" t="s">
        <v>544</v>
      </c>
      <c r="B1159" s="130" t="s">
        <v>545</v>
      </c>
      <c r="C1159" s="132" t="s">
        <v>150</v>
      </c>
      <c r="D1159" s="129">
        <v>1</v>
      </c>
      <c r="E1159" s="129">
        <v>2.5007999000000001</v>
      </c>
      <c r="F1159" s="129">
        <v>2.5007999000000005</v>
      </c>
      <c r="G1159" s="129">
        <v>8.4745998</v>
      </c>
      <c r="H1159" s="129">
        <v>8.4745998</v>
      </c>
      <c r="I1159" s="131" t="s">
        <v>87</v>
      </c>
      <c r="J1159" s="132" t="s">
        <v>102</v>
      </c>
      <c r="K1159" s="130" t="s">
        <v>625</v>
      </c>
      <c r="L1159" s="129" t="str">
        <f t="shared" si="18"/>
        <v>005-00000106</v>
      </c>
    </row>
    <row r="1160" spans="1:12" hidden="1" x14ac:dyDescent="0.25">
      <c r="A1160" s="130" t="s">
        <v>342</v>
      </c>
      <c r="B1160" s="130" t="s">
        <v>343</v>
      </c>
      <c r="C1160" s="132" t="s">
        <v>150</v>
      </c>
      <c r="D1160" s="129">
        <v>4</v>
      </c>
      <c r="E1160" s="129">
        <v>8.7999999999999995E-2</v>
      </c>
      <c r="F1160" s="129">
        <v>0.35199999999999987</v>
      </c>
      <c r="G1160" s="129">
        <v>0.29660001000000003</v>
      </c>
      <c r="H1160" s="129">
        <v>1.1864000400000001</v>
      </c>
      <c r="I1160" s="131" t="s">
        <v>87</v>
      </c>
      <c r="J1160" s="132" t="s">
        <v>102</v>
      </c>
      <c r="K1160" s="130" t="s">
        <v>625</v>
      </c>
      <c r="L1160" s="129" t="str">
        <f t="shared" si="18"/>
        <v>005-00000106</v>
      </c>
    </row>
    <row r="1161" spans="1:12" hidden="1" x14ac:dyDescent="0.25">
      <c r="A1161" s="130" t="s">
        <v>360</v>
      </c>
      <c r="B1161" s="130" t="s">
        <v>361</v>
      </c>
      <c r="C1161" s="132" t="s">
        <v>150</v>
      </c>
      <c r="D1161" s="129">
        <v>4</v>
      </c>
      <c r="E1161" s="129">
        <v>0.12590000000000001</v>
      </c>
      <c r="F1161" s="129">
        <v>0.50360000000000005</v>
      </c>
      <c r="G1161" s="129">
        <v>0.42370000000000002</v>
      </c>
      <c r="H1161" s="129">
        <v>1.6948000000000001</v>
      </c>
      <c r="I1161" s="131" t="s">
        <v>87</v>
      </c>
      <c r="J1161" s="132" t="s">
        <v>102</v>
      </c>
      <c r="K1161" s="130" t="s">
        <v>625</v>
      </c>
      <c r="L1161" s="129" t="str">
        <f t="shared" si="18"/>
        <v>005-00000106</v>
      </c>
    </row>
    <row r="1162" spans="1:12" hidden="1" x14ac:dyDescent="0.25">
      <c r="A1162" s="130" t="s">
        <v>232</v>
      </c>
      <c r="B1162" s="130" t="s">
        <v>233</v>
      </c>
      <c r="C1162" s="132" t="s">
        <v>150</v>
      </c>
      <c r="D1162" s="129">
        <v>2</v>
      </c>
      <c r="E1162" s="129">
        <v>1.3925000000000001</v>
      </c>
      <c r="F1162" s="129">
        <v>2.7850000000000001</v>
      </c>
      <c r="G1162" s="129">
        <v>4.6609997999999999</v>
      </c>
      <c r="H1162" s="129">
        <v>9.3219995999999998</v>
      </c>
      <c r="I1162" s="131" t="s">
        <v>87</v>
      </c>
      <c r="J1162" s="132" t="s">
        <v>102</v>
      </c>
      <c r="K1162" s="130" t="s">
        <v>625</v>
      </c>
      <c r="L1162" s="129" t="str">
        <f t="shared" si="18"/>
        <v>005-00000106</v>
      </c>
    </row>
    <row r="1163" spans="1:12" hidden="1" x14ac:dyDescent="0.25">
      <c r="A1163" s="130" t="s">
        <v>1092</v>
      </c>
      <c r="B1163" s="130" t="s">
        <v>1093</v>
      </c>
      <c r="C1163" s="132" t="s">
        <v>226</v>
      </c>
      <c r="D1163" s="129">
        <v>1</v>
      </c>
      <c r="E1163" s="129">
        <v>77.587699999999998</v>
      </c>
      <c r="F1163" s="129">
        <v>77.587699999999998</v>
      </c>
      <c r="G1163" s="129">
        <v>262.71190999999999</v>
      </c>
      <c r="H1163" s="129">
        <v>262.71191000000005</v>
      </c>
      <c r="I1163" s="131" t="s">
        <v>87</v>
      </c>
      <c r="J1163" s="132" t="s">
        <v>102</v>
      </c>
      <c r="K1163" s="130" t="s">
        <v>2029</v>
      </c>
      <c r="L1163" s="129" t="str">
        <f t="shared" si="18"/>
        <v>005-00000236</v>
      </c>
    </row>
    <row r="1164" spans="1:12" hidden="1" x14ac:dyDescent="0.25">
      <c r="A1164" s="130" t="s">
        <v>731</v>
      </c>
      <c r="B1164" s="130" t="s">
        <v>732</v>
      </c>
      <c r="C1164" s="132" t="s">
        <v>153</v>
      </c>
      <c r="D1164" s="129">
        <v>1</v>
      </c>
      <c r="E1164" s="129">
        <v>80.090500000000006</v>
      </c>
      <c r="F1164" s="129">
        <v>80.090499999999992</v>
      </c>
      <c r="G1164" s="129">
        <v>271.18639999999999</v>
      </c>
      <c r="H1164" s="129">
        <v>271.18639999999999</v>
      </c>
      <c r="I1164" s="131" t="s">
        <v>87</v>
      </c>
      <c r="J1164" s="132" t="s">
        <v>102</v>
      </c>
      <c r="K1164" s="130" t="s">
        <v>2029</v>
      </c>
      <c r="L1164" s="129" t="str">
        <f t="shared" si="18"/>
        <v>005-00000236</v>
      </c>
    </row>
    <row r="1165" spans="1:12" hidden="1" x14ac:dyDescent="0.25">
      <c r="A1165" s="130" t="s">
        <v>415</v>
      </c>
      <c r="B1165" s="130" t="s">
        <v>416</v>
      </c>
      <c r="C1165" s="132" t="s">
        <v>153</v>
      </c>
      <c r="D1165" s="129">
        <v>1</v>
      </c>
      <c r="E1165" s="129">
        <v>22.525499</v>
      </c>
      <c r="F1165" s="129">
        <v>22.525499</v>
      </c>
      <c r="G1165" s="129">
        <v>76.271202000000002</v>
      </c>
      <c r="H1165" s="129">
        <v>76.271202000000002</v>
      </c>
      <c r="I1165" s="131" t="s">
        <v>87</v>
      </c>
      <c r="J1165" s="132" t="s">
        <v>102</v>
      </c>
      <c r="K1165" s="130" t="s">
        <v>2029</v>
      </c>
      <c r="L1165" s="129" t="str">
        <f t="shared" si="18"/>
        <v>005-00000236</v>
      </c>
    </row>
    <row r="1166" spans="1:12" hidden="1" x14ac:dyDescent="0.25">
      <c r="A1166" s="130" t="s">
        <v>1101</v>
      </c>
      <c r="B1166" s="130" t="s">
        <v>1102</v>
      </c>
      <c r="C1166" s="132" t="s">
        <v>226</v>
      </c>
      <c r="D1166" s="129">
        <v>1</v>
      </c>
      <c r="E1166" s="129">
        <v>63.821602000000006</v>
      </c>
      <c r="F1166" s="129">
        <v>63.821602000000013</v>
      </c>
      <c r="G1166" s="129">
        <v>216.10001</v>
      </c>
      <c r="H1166" s="129">
        <v>216.10001</v>
      </c>
      <c r="I1166" s="131" t="s">
        <v>87</v>
      </c>
      <c r="J1166" s="132" t="s">
        <v>102</v>
      </c>
      <c r="K1166" s="130" t="s">
        <v>1555</v>
      </c>
      <c r="L1166" s="129" t="str">
        <f t="shared" si="18"/>
        <v>005-00000190</v>
      </c>
    </row>
    <row r="1167" spans="1:12" hidden="1" x14ac:dyDescent="0.25">
      <c r="A1167" s="130" t="s">
        <v>368</v>
      </c>
      <c r="B1167" s="130" t="s">
        <v>369</v>
      </c>
      <c r="C1167" s="132" t="s">
        <v>150</v>
      </c>
      <c r="D1167" s="129">
        <v>1</v>
      </c>
      <c r="E1167" s="129">
        <v>3.0034000999999999</v>
      </c>
      <c r="F1167" s="129">
        <v>3.0034001000000008</v>
      </c>
      <c r="G1167" s="129">
        <v>10.169499999999999</v>
      </c>
      <c r="H1167" s="129">
        <v>10.169499999999998</v>
      </c>
      <c r="I1167" s="131" t="s">
        <v>87</v>
      </c>
      <c r="J1167" s="132" t="s">
        <v>102</v>
      </c>
      <c r="K1167" s="130" t="s">
        <v>1679</v>
      </c>
      <c r="L1167" s="129" t="str">
        <f t="shared" si="18"/>
        <v>005-00000203</v>
      </c>
    </row>
    <row r="1168" spans="1:12" hidden="1" x14ac:dyDescent="0.25">
      <c r="A1168" s="130" t="s">
        <v>1073</v>
      </c>
      <c r="B1168" s="130" t="s">
        <v>1074</v>
      </c>
      <c r="C1168" s="132" t="s">
        <v>153</v>
      </c>
      <c r="D1168" s="129">
        <v>1</v>
      </c>
      <c r="E1168" s="129">
        <v>17.5198</v>
      </c>
      <c r="F1168" s="129">
        <v>17.519800000000004</v>
      </c>
      <c r="G1168" s="129">
        <v>59.321998999999998</v>
      </c>
      <c r="H1168" s="129">
        <v>59.321998999999998</v>
      </c>
      <c r="I1168" s="131" t="s">
        <v>87</v>
      </c>
      <c r="J1168" s="132" t="s">
        <v>102</v>
      </c>
      <c r="K1168" s="130" t="s">
        <v>1679</v>
      </c>
      <c r="L1168" s="129" t="str">
        <f t="shared" si="18"/>
        <v>005-00000203</v>
      </c>
    </row>
    <row r="1169" spans="1:12" hidden="1" x14ac:dyDescent="0.25">
      <c r="A1169" s="130" t="s">
        <v>1535</v>
      </c>
      <c r="B1169" s="130" t="s">
        <v>1536</v>
      </c>
      <c r="C1169" s="132" t="s">
        <v>150</v>
      </c>
      <c r="D1169" s="129">
        <v>1</v>
      </c>
      <c r="E1169" s="129">
        <v>3.7543001</v>
      </c>
      <c r="F1169" s="129">
        <v>3.7543001</v>
      </c>
      <c r="G1169" s="129">
        <v>12.7119</v>
      </c>
      <c r="H1169" s="129">
        <v>12.711900000000004</v>
      </c>
      <c r="I1169" s="131" t="s">
        <v>87</v>
      </c>
      <c r="J1169" s="132" t="s">
        <v>102</v>
      </c>
      <c r="K1169" s="130" t="s">
        <v>1679</v>
      </c>
      <c r="L1169" s="129" t="str">
        <f t="shared" si="18"/>
        <v>005-00000203</v>
      </c>
    </row>
    <row r="1170" spans="1:12" hidden="1" x14ac:dyDescent="0.25">
      <c r="A1170" s="130" t="s">
        <v>1081</v>
      </c>
      <c r="B1170" s="130" t="s">
        <v>1010</v>
      </c>
      <c r="C1170" s="132" t="s">
        <v>153</v>
      </c>
      <c r="D1170" s="129">
        <v>1</v>
      </c>
      <c r="E1170" s="129">
        <v>35.0396</v>
      </c>
      <c r="F1170" s="129">
        <v>35.039600000000007</v>
      </c>
      <c r="G1170" s="129">
        <v>118.64409999999999</v>
      </c>
      <c r="H1170" s="129">
        <v>118.64410000000002</v>
      </c>
      <c r="I1170" s="131" t="s">
        <v>87</v>
      </c>
      <c r="J1170" s="132" t="s">
        <v>102</v>
      </c>
      <c r="K1170" s="130" t="s">
        <v>1679</v>
      </c>
      <c r="L1170" s="129" t="str">
        <f t="shared" si="18"/>
        <v>005-00000203</v>
      </c>
    </row>
    <row r="1171" spans="1:12" hidden="1" x14ac:dyDescent="0.25">
      <c r="A1171" s="130" t="s">
        <v>399</v>
      </c>
      <c r="B1171" s="130" t="s">
        <v>400</v>
      </c>
      <c r="C1171" s="132" t="s">
        <v>153</v>
      </c>
      <c r="D1171" s="129">
        <v>1</v>
      </c>
      <c r="E1171" s="129">
        <v>42.548099999999998</v>
      </c>
      <c r="F1171" s="129">
        <v>42.548100000000005</v>
      </c>
      <c r="G1171" s="129">
        <v>144.06779</v>
      </c>
      <c r="H1171" s="129">
        <v>144.06779</v>
      </c>
      <c r="I1171" s="131" t="s">
        <v>87</v>
      </c>
      <c r="J1171" s="132" t="s">
        <v>102</v>
      </c>
      <c r="K1171" s="130" t="s">
        <v>1679</v>
      </c>
      <c r="L1171" s="129" t="str">
        <f t="shared" si="18"/>
        <v>005-00000203</v>
      </c>
    </row>
    <row r="1172" spans="1:12" hidden="1" x14ac:dyDescent="0.25">
      <c r="A1172" s="130" t="s">
        <v>2030</v>
      </c>
      <c r="B1172" s="130" t="s">
        <v>2031</v>
      </c>
      <c r="C1172" s="132" t="s">
        <v>150</v>
      </c>
      <c r="D1172" s="129">
        <v>1</v>
      </c>
      <c r="E1172" s="129">
        <v>2.5028000000000001</v>
      </c>
      <c r="F1172" s="129">
        <v>2.5027999999999997</v>
      </c>
      <c r="G1172" s="129">
        <v>8.4745998</v>
      </c>
      <c r="H1172" s="129">
        <v>8.4745998</v>
      </c>
      <c r="I1172" s="131" t="s">
        <v>87</v>
      </c>
      <c r="J1172" s="132" t="s">
        <v>102</v>
      </c>
      <c r="K1172" s="130" t="s">
        <v>1679</v>
      </c>
      <c r="L1172" s="129" t="str">
        <f t="shared" si="18"/>
        <v>005-00000203</v>
      </c>
    </row>
    <row r="1173" spans="1:12" hidden="1" x14ac:dyDescent="0.25">
      <c r="A1173" s="130" t="s">
        <v>304</v>
      </c>
      <c r="B1173" s="130" t="s">
        <v>305</v>
      </c>
      <c r="C1173" s="132" t="s">
        <v>150</v>
      </c>
      <c r="D1173" s="129">
        <v>1</v>
      </c>
      <c r="E1173" s="129">
        <v>8.7599000999999994</v>
      </c>
      <c r="F1173" s="129">
        <v>8.7599000999999994</v>
      </c>
      <c r="G1173" s="129">
        <v>29.660999</v>
      </c>
      <c r="H1173" s="129">
        <v>29.660999000000007</v>
      </c>
      <c r="I1173" s="131" t="s">
        <v>87</v>
      </c>
      <c r="J1173" s="132" t="s">
        <v>102</v>
      </c>
      <c r="K1173" s="130" t="s">
        <v>1679</v>
      </c>
      <c r="L1173" s="129" t="str">
        <f t="shared" si="18"/>
        <v>005-00000203</v>
      </c>
    </row>
    <row r="1174" spans="1:12" hidden="1" x14ac:dyDescent="0.25">
      <c r="A1174" s="130" t="s">
        <v>306</v>
      </c>
      <c r="B1174" s="130" t="s">
        <v>307</v>
      </c>
      <c r="C1174" s="132" t="s">
        <v>150</v>
      </c>
      <c r="D1174" s="129">
        <v>1</v>
      </c>
      <c r="E1174" s="129">
        <v>7.5085001</v>
      </c>
      <c r="F1174" s="129">
        <v>7.5085001</v>
      </c>
      <c r="G1174" s="129">
        <v>25.4237</v>
      </c>
      <c r="H1174" s="129">
        <v>25.423700000000004</v>
      </c>
      <c r="I1174" s="131" t="s">
        <v>87</v>
      </c>
      <c r="J1174" s="132" t="s">
        <v>102</v>
      </c>
      <c r="K1174" s="130" t="s">
        <v>1679</v>
      </c>
      <c r="L1174" s="129" t="str">
        <f t="shared" si="18"/>
        <v>005-00000203</v>
      </c>
    </row>
    <row r="1175" spans="1:12" hidden="1" x14ac:dyDescent="0.25">
      <c r="A1175" s="130" t="s">
        <v>546</v>
      </c>
      <c r="B1175" s="130" t="s">
        <v>547</v>
      </c>
      <c r="C1175" s="132" t="s">
        <v>153</v>
      </c>
      <c r="D1175" s="129">
        <v>1</v>
      </c>
      <c r="E1175" s="129">
        <v>20.040400000000002</v>
      </c>
      <c r="F1175" s="129">
        <v>20.040399999999998</v>
      </c>
      <c r="G1175" s="129">
        <v>67.796599999999998</v>
      </c>
      <c r="H1175" s="129">
        <v>67.796599999999998</v>
      </c>
      <c r="I1175" s="131" t="s">
        <v>87</v>
      </c>
      <c r="J1175" s="132" t="s">
        <v>102</v>
      </c>
      <c r="K1175" s="130" t="s">
        <v>1679</v>
      </c>
      <c r="L1175" s="129" t="str">
        <f t="shared" si="18"/>
        <v>005-00000203</v>
      </c>
    </row>
    <row r="1176" spans="1:12" hidden="1" x14ac:dyDescent="0.25">
      <c r="A1176" s="130" t="s">
        <v>241</v>
      </c>
      <c r="B1176" s="130" t="s">
        <v>242</v>
      </c>
      <c r="C1176" s="132" t="s">
        <v>150</v>
      </c>
      <c r="D1176" s="129">
        <v>1</v>
      </c>
      <c r="E1176" s="129">
        <v>7.5085001</v>
      </c>
      <c r="F1176" s="129">
        <v>7.5085001</v>
      </c>
      <c r="G1176" s="129">
        <v>25.4237</v>
      </c>
      <c r="H1176" s="129">
        <v>25.423700000000004</v>
      </c>
      <c r="I1176" s="131" t="s">
        <v>87</v>
      </c>
      <c r="J1176" s="132" t="s">
        <v>102</v>
      </c>
      <c r="K1176" s="130" t="s">
        <v>1679</v>
      </c>
      <c r="L1176" s="129" t="str">
        <f t="shared" si="18"/>
        <v>005-00000203</v>
      </c>
    </row>
    <row r="1177" spans="1:12" hidden="1" x14ac:dyDescent="0.25">
      <c r="A1177" s="130" t="s">
        <v>445</v>
      </c>
      <c r="B1177" s="130" t="s">
        <v>446</v>
      </c>
      <c r="C1177" s="132" t="s">
        <v>150</v>
      </c>
      <c r="D1177" s="129">
        <v>1</v>
      </c>
      <c r="E1177" s="129">
        <v>28.782499000000001</v>
      </c>
      <c r="F1177" s="129">
        <v>28.782499000000001</v>
      </c>
      <c r="G1177" s="129">
        <v>97.457603000000006</v>
      </c>
      <c r="H1177" s="129">
        <v>97.457603000000006</v>
      </c>
      <c r="I1177" s="131" t="s">
        <v>87</v>
      </c>
      <c r="J1177" s="132" t="s">
        <v>102</v>
      </c>
      <c r="K1177" s="130" t="s">
        <v>1679</v>
      </c>
      <c r="L1177" s="129" t="str">
        <f t="shared" si="18"/>
        <v>005-00000203</v>
      </c>
    </row>
    <row r="1178" spans="1:12" hidden="1" x14ac:dyDescent="0.25">
      <c r="A1178" s="130" t="s">
        <v>2032</v>
      </c>
      <c r="B1178" s="130" t="s">
        <v>2033</v>
      </c>
      <c r="C1178" s="132" t="s">
        <v>150</v>
      </c>
      <c r="D1178" s="129">
        <v>1</v>
      </c>
      <c r="E1178" s="129">
        <v>18.7712</v>
      </c>
      <c r="F1178" s="129">
        <v>18.7712</v>
      </c>
      <c r="G1178" s="129">
        <v>63.559299000000003</v>
      </c>
      <c r="H1178" s="129">
        <v>63.559298999999989</v>
      </c>
      <c r="I1178" s="131" t="s">
        <v>87</v>
      </c>
      <c r="J1178" s="132" t="s">
        <v>102</v>
      </c>
      <c r="K1178" s="130" t="s">
        <v>1679</v>
      </c>
      <c r="L1178" s="129" t="str">
        <f t="shared" si="18"/>
        <v>005-00000203</v>
      </c>
    </row>
    <row r="1179" spans="1:12" hidden="1" x14ac:dyDescent="0.25">
      <c r="A1179" s="130" t="s">
        <v>2034</v>
      </c>
      <c r="B1179" s="130" t="s">
        <v>2035</v>
      </c>
      <c r="C1179" s="132" t="s">
        <v>150</v>
      </c>
      <c r="D1179" s="129">
        <v>1</v>
      </c>
      <c r="E1179" s="129">
        <v>28.782499000000001</v>
      </c>
      <c r="F1179" s="129">
        <v>28.782499000000001</v>
      </c>
      <c r="G1179" s="129">
        <v>97.457603000000006</v>
      </c>
      <c r="H1179" s="129">
        <v>97.457603000000006</v>
      </c>
      <c r="I1179" s="131" t="s">
        <v>87</v>
      </c>
      <c r="J1179" s="132" t="s">
        <v>102</v>
      </c>
      <c r="K1179" s="130" t="s">
        <v>1678</v>
      </c>
      <c r="L1179" s="129" t="str">
        <f t="shared" si="18"/>
        <v>005-00000201</v>
      </c>
    </row>
    <row r="1180" spans="1:12" hidden="1" x14ac:dyDescent="0.25">
      <c r="A1180" s="130" t="s">
        <v>1109</v>
      </c>
      <c r="B1180" s="130" t="s">
        <v>1110</v>
      </c>
      <c r="C1180" s="132" t="s">
        <v>153</v>
      </c>
      <c r="D1180" s="129">
        <v>1</v>
      </c>
      <c r="E1180" s="129">
        <v>35.0396</v>
      </c>
      <c r="F1180" s="129">
        <v>35.039600000000007</v>
      </c>
      <c r="G1180" s="129">
        <v>118.64409999999999</v>
      </c>
      <c r="H1180" s="129">
        <v>118.64410000000002</v>
      </c>
      <c r="I1180" s="131" t="s">
        <v>87</v>
      </c>
      <c r="J1180" s="132" t="s">
        <v>102</v>
      </c>
      <c r="K1180" s="130" t="s">
        <v>1678</v>
      </c>
      <c r="L1180" s="129" t="str">
        <f t="shared" si="18"/>
        <v>005-00000201</v>
      </c>
    </row>
    <row r="1181" spans="1:12" hidden="1" x14ac:dyDescent="0.25">
      <c r="A1181" s="130" t="s">
        <v>399</v>
      </c>
      <c r="B1181" s="130" t="s">
        <v>400</v>
      </c>
      <c r="C1181" s="132" t="s">
        <v>153</v>
      </c>
      <c r="D1181" s="129">
        <v>1</v>
      </c>
      <c r="E1181" s="129">
        <v>42.548099999999998</v>
      </c>
      <c r="F1181" s="129">
        <v>42.548100000000005</v>
      </c>
      <c r="G1181" s="129">
        <v>144.06779</v>
      </c>
      <c r="H1181" s="129">
        <v>144.06779</v>
      </c>
      <c r="I1181" s="131" t="s">
        <v>87</v>
      </c>
      <c r="J1181" s="132" t="s">
        <v>102</v>
      </c>
      <c r="K1181" s="130" t="s">
        <v>1678</v>
      </c>
      <c r="L1181" s="129" t="str">
        <f t="shared" si="18"/>
        <v>005-00000201</v>
      </c>
    </row>
    <row r="1182" spans="1:12" hidden="1" x14ac:dyDescent="0.25">
      <c r="A1182" s="130" t="s">
        <v>546</v>
      </c>
      <c r="B1182" s="130" t="s">
        <v>547</v>
      </c>
      <c r="C1182" s="132" t="s">
        <v>153</v>
      </c>
      <c r="D1182" s="129">
        <v>1</v>
      </c>
      <c r="E1182" s="129">
        <v>20.031500000000001</v>
      </c>
      <c r="F1182" s="129">
        <v>20.031500000000005</v>
      </c>
      <c r="G1182" s="129">
        <v>67.796599999999998</v>
      </c>
      <c r="H1182" s="129">
        <v>67.796599999999998</v>
      </c>
      <c r="I1182" s="131" t="s">
        <v>87</v>
      </c>
      <c r="J1182" s="132" t="s">
        <v>102</v>
      </c>
      <c r="K1182" s="130" t="s">
        <v>1678</v>
      </c>
      <c r="L1182" s="129" t="str">
        <f t="shared" si="18"/>
        <v>005-00000201</v>
      </c>
    </row>
    <row r="1183" spans="1:12" hidden="1" x14ac:dyDescent="0.25">
      <c r="A1183" s="130" t="s">
        <v>1073</v>
      </c>
      <c r="B1183" s="130" t="s">
        <v>1074</v>
      </c>
      <c r="C1183" s="132" t="s">
        <v>153</v>
      </c>
      <c r="D1183" s="129">
        <v>1</v>
      </c>
      <c r="E1183" s="129">
        <v>17.5198</v>
      </c>
      <c r="F1183" s="129">
        <v>17.519800000000004</v>
      </c>
      <c r="G1183" s="129">
        <v>59.321998999999998</v>
      </c>
      <c r="H1183" s="129">
        <v>59.321998999999998</v>
      </c>
      <c r="I1183" s="131" t="s">
        <v>87</v>
      </c>
      <c r="J1183" s="132" t="s">
        <v>102</v>
      </c>
      <c r="K1183" s="130" t="s">
        <v>1678</v>
      </c>
      <c r="L1183" s="129" t="str">
        <f t="shared" si="18"/>
        <v>005-00000201</v>
      </c>
    </row>
    <row r="1184" spans="1:12" hidden="1" x14ac:dyDescent="0.25">
      <c r="A1184" s="130" t="s">
        <v>716</v>
      </c>
      <c r="B1184" s="130" t="s">
        <v>717</v>
      </c>
      <c r="C1184" s="132" t="s">
        <v>153</v>
      </c>
      <c r="D1184" s="129">
        <v>1</v>
      </c>
      <c r="E1184" s="129">
        <v>15.017000000000001</v>
      </c>
      <c r="F1184" s="129">
        <v>15.016999999999998</v>
      </c>
      <c r="G1184" s="129">
        <v>50.847499999999997</v>
      </c>
      <c r="H1184" s="129">
        <v>50.847499999999997</v>
      </c>
      <c r="I1184" s="131" t="s">
        <v>87</v>
      </c>
      <c r="J1184" s="132" t="s">
        <v>102</v>
      </c>
      <c r="K1184" s="130" t="s">
        <v>1678</v>
      </c>
      <c r="L1184" s="129" t="str">
        <f t="shared" si="18"/>
        <v>005-00000201</v>
      </c>
    </row>
    <row r="1185" spans="1:12" hidden="1" x14ac:dyDescent="0.25">
      <c r="A1185" s="130" t="s">
        <v>725</v>
      </c>
      <c r="B1185" s="130" t="s">
        <v>726</v>
      </c>
      <c r="C1185" s="132" t="s">
        <v>150</v>
      </c>
      <c r="D1185" s="129">
        <v>2</v>
      </c>
      <c r="E1185" s="129">
        <v>11.262700000000001</v>
      </c>
      <c r="F1185" s="129">
        <v>22.525400000000005</v>
      </c>
      <c r="G1185" s="129">
        <v>38.135601000000001</v>
      </c>
      <c r="H1185" s="129">
        <v>76.271202000000002</v>
      </c>
      <c r="I1185" s="131" t="s">
        <v>87</v>
      </c>
      <c r="J1185" s="132" t="s">
        <v>102</v>
      </c>
      <c r="K1185" s="130" t="s">
        <v>1678</v>
      </c>
      <c r="L1185" s="129" t="str">
        <f t="shared" si="18"/>
        <v>005-00000201</v>
      </c>
    </row>
    <row r="1186" spans="1:12" hidden="1" x14ac:dyDescent="0.25">
      <c r="A1186" s="130" t="s">
        <v>1551</v>
      </c>
      <c r="B1186" s="130" t="s">
        <v>1552</v>
      </c>
      <c r="C1186" s="132" t="s">
        <v>153</v>
      </c>
      <c r="D1186" s="129">
        <v>1</v>
      </c>
      <c r="E1186" s="129">
        <v>30.033899000000002</v>
      </c>
      <c r="F1186" s="129">
        <v>30.033899000000002</v>
      </c>
      <c r="G1186" s="129">
        <v>101.6949</v>
      </c>
      <c r="H1186" s="129">
        <v>101.69489999999998</v>
      </c>
      <c r="I1186" s="131" t="s">
        <v>87</v>
      </c>
      <c r="J1186" s="132" t="s">
        <v>102</v>
      </c>
      <c r="K1186" s="130" t="s">
        <v>1678</v>
      </c>
      <c r="L1186" s="129" t="str">
        <f t="shared" si="18"/>
        <v>005-00000201</v>
      </c>
    </row>
    <row r="1187" spans="1:12" hidden="1" x14ac:dyDescent="0.25">
      <c r="A1187" s="130" t="s">
        <v>554</v>
      </c>
      <c r="B1187" s="130" t="s">
        <v>555</v>
      </c>
      <c r="C1187" s="132" t="s">
        <v>150</v>
      </c>
      <c r="D1187" s="129">
        <v>2</v>
      </c>
      <c r="E1187" s="129">
        <v>10.511900000000001</v>
      </c>
      <c r="F1187" s="129">
        <v>21.023800000000005</v>
      </c>
      <c r="G1187" s="129">
        <v>35.593201000000001</v>
      </c>
      <c r="H1187" s="129">
        <v>71.186402000000001</v>
      </c>
      <c r="I1187" s="131" t="s">
        <v>87</v>
      </c>
      <c r="J1187" s="132" t="s">
        <v>102</v>
      </c>
      <c r="K1187" s="130" t="s">
        <v>1678</v>
      </c>
      <c r="L1187" s="129" t="str">
        <f t="shared" si="18"/>
        <v>005-00000201</v>
      </c>
    </row>
    <row r="1188" spans="1:12" hidden="1" x14ac:dyDescent="0.25">
      <c r="A1188" s="130" t="s">
        <v>304</v>
      </c>
      <c r="B1188" s="130" t="s">
        <v>305</v>
      </c>
      <c r="C1188" s="132" t="s">
        <v>150</v>
      </c>
      <c r="D1188" s="129">
        <v>1</v>
      </c>
      <c r="E1188" s="129">
        <v>8.7599000999999994</v>
      </c>
      <c r="F1188" s="129">
        <v>8.7599000999999994</v>
      </c>
      <c r="G1188" s="129">
        <v>29.660999</v>
      </c>
      <c r="H1188" s="129">
        <v>29.660999000000007</v>
      </c>
      <c r="I1188" s="131" t="s">
        <v>87</v>
      </c>
      <c r="J1188" s="132" t="s">
        <v>102</v>
      </c>
      <c r="K1188" s="130" t="s">
        <v>1678</v>
      </c>
      <c r="L1188" s="129" t="str">
        <f t="shared" si="18"/>
        <v>005-00000201</v>
      </c>
    </row>
    <row r="1189" spans="1:12" hidden="1" x14ac:dyDescent="0.25">
      <c r="A1189" s="130" t="s">
        <v>306</v>
      </c>
      <c r="B1189" s="130" t="s">
        <v>307</v>
      </c>
      <c r="C1189" s="132" t="s">
        <v>150</v>
      </c>
      <c r="D1189" s="129">
        <v>1</v>
      </c>
      <c r="E1189" s="129">
        <v>7.5085001</v>
      </c>
      <c r="F1189" s="129">
        <v>7.5085001</v>
      </c>
      <c r="G1189" s="129">
        <v>25.4237</v>
      </c>
      <c r="H1189" s="129">
        <v>25.423700000000004</v>
      </c>
      <c r="I1189" s="131" t="s">
        <v>87</v>
      </c>
      <c r="J1189" s="132" t="s">
        <v>102</v>
      </c>
      <c r="K1189" s="130" t="s">
        <v>1678</v>
      </c>
      <c r="L1189" s="129" t="str">
        <f t="shared" si="18"/>
        <v>005-00000201</v>
      </c>
    </row>
    <row r="1190" spans="1:12" hidden="1" x14ac:dyDescent="0.25">
      <c r="A1190" s="130" t="s">
        <v>241</v>
      </c>
      <c r="B1190" s="130" t="s">
        <v>242</v>
      </c>
      <c r="C1190" s="132" t="s">
        <v>150</v>
      </c>
      <c r="D1190" s="129">
        <v>1</v>
      </c>
      <c r="E1190" s="129">
        <v>7.5085001</v>
      </c>
      <c r="F1190" s="129">
        <v>7.5085001</v>
      </c>
      <c r="G1190" s="129">
        <v>25.4237</v>
      </c>
      <c r="H1190" s="129">
        <v>25.423700000000004</v>
      </c>
      <c r="I1190" s="131" t="s">
        <v>87</v>
      </c>
      <c r="J1190" s="132" t="s">
        <v>102</v>
      </c>
      <c r="K1190" s="130" t="s">
        <v>1678</v>
      </c>
      <c r="L1190" s="129" t="str">
        <f t="shared" si="18"/>
        <v>005-00000201</v>
      </c>
    </row>
    <row r="1191" spans="1:12" hidden="1" x14ac:dyDescent="0.25">
      <c r="A1191" s="130" t="s">
        <v>566</v>
      </c>
      <c r="B1191" s="130" t="s">
        <v>410</v>
      </c>
      <c r="C1191" s="132" t="s">
        <v>150</v>
      </c>
      <c r="D1191" s="129">
        <v>1</v>
      </c>
      <c r="E1191" s="129">
        <v>27.531098999999998</v>
      </c>
      <c r="F1191" s="129">
        <v>27.531098999999994</v>
      </c>
      <c r="G1191" s="129">
        <v>93.220298999999997</v>
      </c>
      <c r="H1191" s="129">
        <v>93.220298999999997</v>
      </c>
      <c r="I1191" s="131" t="s">
        <v>87</v>
      </c>
      <c r="J1191" s="132" t="s">
        <v>102</v>
      </c>
      <c r="K1191" s="130" t="s">
        <v>1678</v>
      </c>
      <c r="L1191" s="129" t="str">
        <f t="shared" si="18"/>
        <v>005-00000201</v>
      </c>
    </row>
    <row r="1192" spans="1:12" hidden="1" x14ac:dyDescent="0.25">
      <c r="A1192" s="130" t="s">
        <v>2036</v>
      </c>
      <c r="B1192" s="130" t="s">
        <v>2037</v>
      </c>
      <c r="C1192" s="132" t="s">
        <v>150</v>
      </c>
      <c r="D1192" s="129">
        <v>1</v>
      </c>
      <c r="E1192" s="129">
        <v>25.028299000000001</v>
      </c>
      <c r="F1192" s="129">
        <v>25.028299000000001</v>
      </c>
      <c r="G1192" s="129">
        <v>84.745795999999984</v>
      </c>
      <c r="H1192" s="129">
        <v>84.74579599999997</v>
      </c>
      <c r="I1192" s="131" t="s">
        <v>87</v>
      </c>
      <c r="J1192" s="132" t="s">
        <v>102</v>
      </c>
      <c r="K1192" s="130" t="s">
        <v>1678</v>
      </c>
      <c r="L1192" s="129" t="str">
        <f t="shared" si="18"/>
        <v>005-00000201</v>
      </c>
    </row>
    <row r="1193" spans="1:12" hidden="1" x14ac:dyDescent="0.25">
      <c r="A1193" s="130" t="s">
        <v>384</v>
      </c>
      <c r="B1193" s="130" t="s">
        <v>385</v>
      </c>
      <c r="C1193" s="132" t="s">
        <v>150</v>
      </c>
      <c r="D1193" s="129">
        <v>1</v>
      </c>
      <c r="E1193" s="129">
        <v>3.7565</v>
      </c>
      <c r="F1193" s="129">
        <v>3.7565000000000004</v>
      </c>
      <c r="G1193" s="129">
        <v>12.7119</v>
      </c>
      <c r="H1193" s="129">
        <v>12.711900000000004</v>
      </c>
      <c r="I1193" s="131" t="s">
        <v>87</v>
      </c>
      <c r="J1193" s="132" t="s">
        <v>102</v>
      </c>
      <c r="K1193" s="130" t="s">
        <v>1678</v>
      </c>
      <c r="L1193" s="129" t="str">
        <f t="shared" si="18"/>
        <v>005-00000201</v>
      </c>
    </row>
    <row r="1194" spans="1:12" hidden="1" x14ac:dyDescent="0.25">
      <c r="A1194" s="130" t="s">
        <v>2038</v>
      </c>
      <c r="B1194" s="130" t="s">
        <v>2039</v>
      </c>
      <c r="C1194" s="132" t="s">
        <v>150</v>
      </c>
      <c r="D1194" s="129">
        <v>1</v>
      </c>
      <c r="E1194" s="129">
        <v>16.2684</v>
      </c>
      <c r="F1194" s="129">
        <v>16.2684</v>
      </c>
      <c r="G1194" s="129">
        <v>55.084702</v>
      </c>
      <c r="H1194" s="129">
        <v>55.084702</v>
      </c>
      <c r="I1194" s="131" t="s">
        <v>87</v>
      </c>
      <c r="J1194" s="132" t="s">
        <v>102</v>
      </c>
      <c r="K1194" s="130" t="s">
        <v>1678</v>
      </c>
      <c r="L1194" s="129" t="str">
        <f t="shared" si="18"/>
        <v>005-00000201</v>
      </c>
    </row>
    <row r="1195" spans="1:12" hidden="1" x14ac:dyDescent="0.25">
      <c r="A1195" s="130" t="s">
        <v>1468</v>
      </c>
      <c r="B1195" s="130" t="s">
        <v>1469</v>
      </c>
      <c r="C1195" s="132" t="s">
        <v>150</v>
      </c>
      <c r="D1195" s="129">
        <v>1</v>
      </c>
      <c r="E1195" s="129">
        <v>15.017000000000001</v>
      </c>
      <c r="F1195" s="129">
        <v>15.016999999999998</v>
      </c>
      <c r="G1195" s="129">
        <v>50.847499999999997</v>
      </c>
      <c r="H1195" s="129">
        <v>50.847499999999997</v>
      </c>
      <c r="I1195" s="131" t="s">
        <v>87</v>
      </c>
      <c r="J1195" s="132" t="s">
        <v>102</v>
      </c>
      <c r="K1195" s="130" t="s">
        <v>1678</v>
      </c>
      <c r="L1195" s="129" t="str">
        <f t="shared" si="18"/>
        <v>005-00000201</v>
      </c>
    </row>
    <row r="1196" spans="1:12" hidden="1" x14ac:dyDescent="0.25">
      <c r="A1196" s="130" t="s">
        <v>1109</v>
      </c>
      <c r="B1196" s="130" t="s">
        <v>1110</v>
      </c>
      <c r="C1196" s="132" t="s">
        <v>153</v>
      </c>
      <c r="D1196" s="129">
        <v>1</v>
      </c>
      <c r="E1196" s="129">
        <v>35.0396</v>
      </c>
      <c r="F1196" s="129">
        <v>35.039600000000007</v>
      </c>
      <c r="G1196" s="129">
        <v>118.64409999999999</v>
      </c>
      <c r="H1196" s="129">
        <v>118.64410000000002</v>
      </c>
      <c r="I1196" s="131" t="s">
        <v>87</v>
      </c>
      <c r="J1196" s="132" t="s">
        <v>102</v>
      </c>
      <c r="K1196" s="130" t="s">
        <v>1680</v>
      </c>
      <c r="L1196" s="129" t="str">
        <f t="shared" si="18"/>
        <v>005-00000202</v>
      </c>
    </row>
    <row r="1197" spans="1:12" hidden="1" x14ac:dyDescent="0.25">
      <c r="A1197" s="130" t="s">
        <v>1073</v>
      </c>
      <c r="B1197" s="130" t="s">
        <v>1074</v>
      </c>
      <c r="C1197" s="132" t="s">
        <v>153</v>
      </c>
      <c r="D1197" s="129">
        <v>1</v>
      </c>
      <c r="E1197" s="129">
        <v>17.5198</v>
      </c>
      <c r="F1197" s="129">
        <v>17.519800000000004</v>
      </c>
      <c r="G1197" s="129">
        <v>59.321998999999998</v>
      </c>
      <c r="H1197" s="129">
        <v>59.321998999999998</v>
      </c>
      <c r="I1197" s="131" t="s">
        <v>87</v>
      </c>
      <c r="J1197" s="132" t="s">
        <v>102</v>
      </c>
      <c r="K1197" s="130" t="s">
        <v>1680</v>
      </c>
      <c r="L1197" s="129" t="str">
        <f t="shared" si="18"/>
        <v>005-00000202</v>
      </c>
    </row>
    <row r="1198" spans="1:12" hidden="1" x14ac:dyDescent="0.25">
      <c r="A1198" s="130" t="s">
        <v>546</v>
      </c>
      <c r="B1198" s="130" t="s">
        <v>547</v>
      </c>
      <c r="C1198" s="132" t="s">
        <v>153</v>
      </c>
      <c r="D1198" s="129">
        <v>1</v>
      </c>
      <c r="E1198" s="129">
        <v>20.027100000000001</v>
      </c>
      <c r="F1198" s="129">
        <v>20.027100000000001</v>
      </c>
      <c r="G1198" s="129">
        <v>67.796599999999998</v>
      </c>
      <c r="H1198" s="129">
        <v>67.796599999999998</v>
      </c>
      <c r="I1198" s="131" t="s">
        <v>87</v>
      </c>
      <c r="J1198" s="132" t="s">
        <v>102</v>
      </c>
      <c r="K1198" s="130" t="s">
        <v>1680</v>
      </c>
      <c r="L1198" s="129" t="str">
        <f t="shared" si="18"/>
        <v>005-00000202</v>
      </c>
    </row>
    <row r="1199" spans="1:12" hidden="1" x14ac:dyDescent="0.25">
      <c r="A1199" s="130" t="s">
        <v>554</v>
      </c>
      <c r="B1199" s="130" t="s">
        <v>555</v>
      </c>
      <c r="C1199" s="132" t="s">
        <v>150</v>
      </c>
      <c r="D1199" s="129">
        <v>2</v>
      </c>
      <c r="E1199" s="129">
        <v>10.511900000000001</v>
      </c>
      <c r="F1199" s="129">
        <v>21.023800000000005</v>
      </c>
      <c r="G1199" s="129">
        <v>35.593201000000001</v>
      </c>
      <c r="H1199" s="129">
        <v>71.186402000000001</v>
      </c>
      <c r="I1199" s="131" t="s">
        <v>87</v>
      </c>
      <c r="J1199" s="132" t="s">
        <v>102</v>
      </c>
      <c r="K1199" s="130" t="s">
        <v>1680</v>
      </c>
      <c r="L1199" s="129" t="str">
        <f t="shared" si="18"/>
        <v>005-00000202</v>
      </c>
    </row>
    <row r="1200" spans="1:12" hidden="1" x14ac:dyDescent="0.25">
      <c r="A1200" s="130" t="s">
        <v>1063</v>
      </c>
      <c r="B1200" s="130" t="s">
        <v>1064</v>
      </c>
      <c r="C1200" s="132" t="s">
        <v>153</v>
      </c>
      <c r="D1200" s="129">
        <v>1</v>
      </c>
      <c r="E1200" s="129">
        <v>8.4464997999999998</v>
      </c>
      <c r="F1200" s="129">
        <v>8.4464997999999998</v>
      </c>
      <c r="G1200" s="129">
        <v>28.6</v>
      </c>
      <c r="H1200" s="129">
        <v>28.6</v>
      </c>
      <c r="I1200" s="131" t="s">
        <v>87</v>
      </c>
      <c r="J1200" s="132" t="s">
        <v>102</v>
      </c>
      <c r="K1200" s="130" t="s">
        <v>1679</v>
      </c>
      <c r="L1200" s="129" t="str">
        <f t="shared" si="18"/>
        <v>005-00000203</v>
      </c>
    </row>
    <row r="1201" spans="1:12" hidden="1" x14ac:dyDescent="0.25">
      <c r="A1201" s="130" t="s">
        <v>1065</v>
      </c>
      <c r="B1201" s="130" t="s">
        <v>1066</v>
      </c>
      <c r="C1201" s="132" t="s">
        <v>153</v>
      </c>
      <c r="D1201" s="129">
        <v>1</v>
      </c>
      <c r="E1201" s="129">
        <v>9.6988000999999997</v>
      </c>
      <c r="F1201" s="129">
        <v>9.6988000999999979</v>
      </c>
      <c r="G1201" s="129">
        <v>32.840000000000003</v>
      </c>
      <c r="H1201" s="129">
        <v>32.840000000000003</v>
      </c>
      <c r="I1201" s="131" t="s">
        <v>87</v>
      </c>
      <c r="J1201" s="132" t="s">
        <v>102</v>
      </c>
      <c r="K1201" s="130" t="s">
        <v>1679</v>
      </c>
      <c r="L1201" s="129" t="str">
        <f t="shared" si="18"/>
        <v>005-00000203</v>
      </c>
    </row>
    <row r="1202" spans="1:12" hidden="1" x14ac:dyDescent="0.25">
      <c r="A1202" s="130" t="s">
        <v>1063</v>
      </c>
      <c r="B1202" s="130" t="s">
        <v>1064</v>
      </c>
      <c r="C1202" s="132" t="s">
        <v>153</v>
      </c>
      <c r="D1202" s="129">
        <v>1</v>
      </c>
      <c r="E1202" s="129">
        <v>8.4464997999999998</v>
      </c>
      <c r="F1202" s="129">
        <v>8.4464997999999998</v>
      </c>
      <c r="G1202" s="129">
        <v>28.6</v>
      </c>
      <c r="H1202" s="129">
        <v>28.6</v>
      </c>
      <c r="I1202" s="131" t="s">
        <v>87</v>
      </c>
      <c r="J1202" s="132" t="s">
        <v>102</v>
      </c>
      <c r="K1202" s="130" t="s">
        <v>1680</v>
      </c>
      <c r="L1202" s="129" t="str">
        <f t="shared" si="18"/>
        <v>005-00000202</v>
      </c>
    </row>
    <row r="1203" spans="1:12" hidden="1" x14ac:dyDescent="0.25">
      <c r="A1203" s="130" t="s">
        <v>1063</v>
      </c>
      <c r="B1203" s="130" t="s">
        <v>1064</v>
      </c>
      <c r="C1203" s="132" t="s">
        <v>153</v>
      </c>
      <c r="D1203" s="129">
        <v>1</v>
      </c>
      <c r="E1203" s="129">
        <v>8.4464997999999998</v>
      </c>
      <c r="F1203" s="129">
        <v>8.4464997999999998</v>
      </c>
      <c r="G1203" s="129">
        <v>28.6</v>
      </c>
      <c r="H1203" s="129">
        <v>28.6</v>
      </c>
      <c r="I1203" s="131" t="s">
        <v>87</v>
      </c>
      <c r="J1203" s="132" t="s">
        <v>102</v>
      </c>
      <c r="K1203" s="130" t="s">
        <v>1678</v>
      </c>
      <c r="L1203" s="129" t="str">
        <f t="shared" si="18"/>
        <v>005-00000201</v>
      </c>
    </row>
    <row r="1204" spans="1:12" hidden="1" x14ac:dyDescent="0.25">
      <c r="A1204" s="130" t="s">
        <v>1065</v>
      </c>
      <c r="B1204" s="130" t="s">
        <v>1066</v>
      </c>
      <c r="C1204" s="132" t="s">
        <v>153</v>
      </c>
      <c r="D1204" s="129">
        <v>1</v>
      </c>
      <c r="E1204" s="129">
        <v>9.6988000999999997</v>
      </c>
      <c r="F1204" s="129">
        <v>9.6988000999999979</v>
      </c>
      <c r="G1204" s="129">
        <v>32.840000000000003</v>
      </c>
      <c r="H1204" s="129">
        <v>32.840000000000003</v>
      </c>
      <c r="I1204" s="131" t="s">
        <v>87</v>
      </c>
      <c r="J1204" s="132" t="s">
        <v>102</v>
      </c>
      <c r="K1204" s="130" t="s">
        <v>1678</v>
      </c>
      <c r="L1204" s="129" t="str">
        <f t="shared" si="18"/>
        <v>005-00000201</v>
      </c>
    </row>
    <row r="1205" spans="1:12" hidden="1" x14ac:dyDescent="0.25">
      <c r="A1205" s="130" t="s">
        <v>214</v>
      </c>
      <c r="B1205" s="130" t="s">
        <v>215</v>
      </c>
      <c r="C1205" s="132" t="s">
        <v>150</v>
      </c>
      <c r="D1205" s="129">
        <v>1</v>
      </c>
      <c r="E1205" s="129">
        <v>57.651600000000002</v>
      </c>
      <c r="F1205" s="129">
        <v>57.651600000000002</v>
      </c>
      <c r="G1205" s="129">
        <v>194.92</v>
      </c>
      <c r="H1205" s="129">
        <v>194.92</v>
      </c>
      <c r="I1205" s="131" t="s">
        <v>87</v>
      </c>
      <c r="J1205" s="132" t="s">
        <v>102</v>
      </c>
      <c r="K1205" s="130" t="s">
        <v>1678</v>
      </c>
      <c r="L1205" s="129" t="str">
        <f t="shared" si="18"/>
        <v>005-00000201</v>
      </c>
    </row>
    <row r="1206" spans="1:12" hidden="1" x14ac:dyDescent="0.25">
      <c r="A1206" s="130" t="s">
        <v>390</v>
      </c>
      <c r="B1206" s="130" t="s">
        <v>391</v>
      </c>
      <c r="C1206" s="132" t="s">
        <v>150</v>
      </c>
      <c r="D1206" s="129">
        <v>1</v>
      </c>
      <c r="E1206" s="129">
        <v>20.058201</v>
      </c>
      <c r="F1206" s="129">
        <v>20.058201</v>
      </c>
      <c r="G1206" s="129">
        <v>67.796599999999998</v>
      </c>
      <c r="H1206" s="129">
        <v>67.796599999999998</v>
      </c>
      <c r="I1206" s="131" t="s">
        <v>87</v>
      </c>
      <c r="J1206" s="132" t="s">
        <v>102</v>
      </c>
      <c r="K1206" s="130" t="s">
        <v>1680</v>
      </c>
      <c r="L1206" s="129" t="str">
        <f t="shared" si="18"/>
        <v>005-00000202</v>
      </c>
    </row>
    <row r="1207" spans="1:12" hidden="1" x14ac:dyDescent="0.25">
      <c r="A1207" s="130" t="s">
        <v>1590</v>
      </c>
      <c r="B1207" s="130" t="s">
        <v>1591</v>
      </c>
      <c r="C1207" s="132" t="s">
        <v>153</v>
      </c>
      <c r="D1207" s="129">
        <v>1</v>
      </c>
      <c r="E1207" s="129">
        <v>40.116298999999998</v>
      </c>
      <c r="F1207" s="129">
        <v>40.116298999999998</v>
      </c>
      <c r="G1207" s="129">
        <v>135.5932</v>
      </c>
      <c r="H1207" s="129">
        <v>135.5932</v>
      </c>
      <c r="I1207" s="131" t="s">
        <v>87</v>
      </c>
      <c r="J1207" s="132" t="s">
        <v>102</v>
      </c>
      <c r="K1207" s="130" t="s">
        <v>1680</v>
      </c>
      <c r="L1207" s="129" t="str">
        <f t="shared" si="18"/>
        <v>005-00000202</v>
      </c>
    </row>
    <row r="1208" spans="1:12" hidden="1" x14ac:dyDescent="0.25">
      <c r="A1208" s="130" t="s">
        <v>390</v>
      </c>
      <c r="B1208" s="130" t="s">
        <v>391</v>
      </c>
      <c r="C1208" s="132" t="s">
        <v>150</v>
      </c>
      <c r="D1208" s="129">
        <v>1</v>
      </c>
      <c r="E1208" s="129">
        <v>20.058201</v>
      </c>
      <c r="F1208" s="129">
        <v>20.058201</v>
      </c>
      <c r="G1208" s="129">
        <v>67.796599999999998</v>
      </c>
      <c r="H1208" s="129">
        <v>67.796599999999998</v>
      </c>
      <c r="I1208" s="131" t="s">
        <v>87</v>
      </c>
      <c r="J1208" s="132" t="s">
        <v>102</v>
      </c>
      <c r="K1208" s="130" t="s">
        <v>1679</v>
      </c>
      <c r="L1208" s="129" t="str">
        <f t="shared" si="18"/>
        <v>005-00000203</v>
      </c>
    </row>
    <row r="1209" spans="1:12" hidden="1" x14ac:dyDescent="0.25">
      <c r="A1209" s="130" t="s">
        <v>2040</v>
      </c>
      <c r="B1209" s="130" t="s">
        <v>2041</v>
      </c>
      <c r="C1209" s="132" t="s">
        <v>150</v>
      </c>
      <c r="D1209" s="129">
        <v>1</v>
      </c>
      <c r="E1209" s="129">
        <v>23.819099000000001</v>
      </c>
      <c r="F1209" s="129">
        <v>23.819099000000001</v>
      </c>
      <c r="G1209" s="129">
        <v>80.508499</v>
      </c>
      <c r="H1209" s="129">
        <v>80.508499</v>
      </c>
      <c r="I1209" s="131" t="s">
        <v>87</v>
      </c>
      <c r="J1209" s="132" t="s">
        <v>102</v>
      </c>
      <c r="K1209" s="130" t="s">
        <v>1679</v>
      </c>
      <c r="L1209" s="129" t="str">
        <f t="shared" si="18"/>
        <v>005-00000203</v>
      </c>
    </row>
    <row r="1210" spans="1:12" hidden="1" x14ac:dyDescent="0.25">
      <c r="A1210" s="130" t="s">
        <v>1482</v>
      </c>
      <c r="B1210" s="130" t="s">
        <v>1483</v>
      </c>
      <c r="C1210" s="132" t="s">
        <v>150</v>
      </c>
      <c r="D1210" s="129">
        <v>1</v>
      </c>
      <c r="E1210" s="129">
        <v>79.881698999999998</v>
      </c>
      <c r="F1210" s="129">
        <v>79.881698999999998</v>
      </c>
      <c r="G1210" s="129">
        <v>270</v>
      </c>
      <c r="H1210" s="129">
        <v>270</v>
      </c>
      <c r="I1210" s="131" t="s">
        <v>87</v>
      </c>
      <c r="J1210" s="132" t="s">
        <v>102</v>
      </c>
      <c r="K1210" s="130" t="s">
        <v>1679</v>
      </c>
      <c r="L1210" s="129" t="str">
        <f t="shared" si="18"/>
        <v>005-00000203</v>
      </c>
    </row>
    <row r="1211" spans="1:12" hidden="1" x14ac:dyDescent="0.25">
      <c r="A1211" s="130" t="s">
        <v>1472</v>
      </c>
      <c r="B1211" s="130" t="s">
        <v>1473</v>
      </c>
      <c r="C1211" s="132" t="s">
        <v>150</v>
      </c>
      <c r="D1211" s="129">
        <v>1</v>
      </c>
      <c r="E1211" s="129">
        <v>23.819099000000001</v>
      </c>
      <c r="F1211" s="129">
        <v>23.819099000000001</v>
      </c>
      <c r="G1211" s="129">
        <v>80.508499</v>
      </c>
      <c r="H1211" s="129">
        <v>80.508499</v>
      </c>
      <c r="I1211" s="131" t="s">
        <v>87</v>
      </c>
      <c r="J1211" s="132" t="s">
        <v>102</v>
      </c>
      <c r="K1211" s="130" t="s">
        <v>2042</v>
      </c>
      <c r="L1211" s="129" t="str">
        <f t="shared" si="18"/>
        <v>005-00000244</v>
      </c>
    </row>
    <row r="1212" spans="1:12" hidden="1" x14ac:dyDescent="0.25">
      <c r="A1212" s="130" t="s">
        <v>1470</v>
      </c>
      <c r="B1212" s="130" t="s">
        <v>1471</v>
      </c>
      <c r="C1212" s="132" t="s">
        <v>150</v>
      </c>
      <c r="D1212" s="129">
        <v>1</v>
      </c>
      <c r="E1212" s="129">
        <v>20.058201</v>
      </c>
      <c r="F1212" s="129">
        <v>20.058201</v>
      </c>
      <c r="G1212" s="129">
        <v>67.796599999999998</v>
      </c>
      <c r="H1212" s="129">
        <v>67.796599999999998</v>
      </c>
      <c r="I1212" s="131" t="s">
        <v>87</v>
      </c>
      <c r="J1212" s="132" t="s">
        <v>102</v>
      </c>
      <c r="K1212" s="130" t="s">
        <v>1678</v>
      </c>
      <c r="L1212" s="129" t="str">
        <f t="shared" si="18"/>
        <v>005-00000201</v>
      </c>
    </row>
    <row r="1213" spans="1:12" hidden="1" x14ac:dyDescent="0.25">
      <c r="A1213" s="130" t="s">
        <v>1592</v>
      </c>
      <c r="B1213" s="130" t="s">
        <v>1593</v>
      </c>
      <c r="C1213" s="132" t="s">
        <v>150</v>
      </c>
      <c r="D1213" s="129">
        <v>1</v>
      </c>
      <c r="E1213" s="129">
        <v>25.073999000000001</v>
      </c>
      <c r="F1213" s="129">
        <v>25.073999000000001</v>
      </c>
      <c r="G1213" s="129">
        <v>84.75</v>
      </c>
      <c r="H1213" s="129">
        <v>84.75</v>
      </c>
      <c r="I1213" s="131" t="s">
        <v>87</v>
      </c>
      <c r="J1213" s="132" t="s">
        <v>102</v>
      </c>
      <c r="K1213" s="130" t="s">
        <v>1678</v>
      </c>
      <c r="L1213" s="129" t="str">
        <f t="shared" si="18"/>
        <v>005-00000201</v>
      </c>
    </row>
    <row r="1214" spans="1:12" hidden="1" x14ac:dyDescent="0.25">
      <c r="A1214" s="130" t="s">
        <v>1081</v>
      </c>
      <c r="B1214" s="130" t="s">
        <v>1010</v>
      </c>
      <c r="C1214" s="132" t="s">
        <v>153</v>
      </c>
      <c r="D1214" s="129">
        <v>1</v>
      </c>
      <c r="E1214" s="129">
        <v>65.189102000000005</v>
      </c>
      <c r="F1214" s="129">
        <v>65.189102000000005</v>
      </c>
      <c r="G1214" s="129">
        <v>220.33900000000003</v>
      </c>
      <c r="H1214" s="129">
        <v>220.33900000000006</v>
      </c>
      <c r="I1214" s="131" t="s">
        <v>87</v>
      </c>
      <c r="J1214" s="132" t="s">
        <v>102</v>
      </c>
      <c r="K1214" s="130" t="s">
        <v>1561</v>
      </c>
      <c r="L1214" s="129" t="str">
        <f t="shared" si="18"/>
        <v>005-00000197</v>
      </c>
    </row>
    <row r="1215" spans="1:12" hidden="1" x14ac:dyDescent="0.25">
      <c r="A1215" s="130" t="s">
        <v>346</v>
      </c>
      <c r="B1215" s="130" t="s">
        <v>347</v>
      </c>
      <c r="C1215" s="132" t="s">
        <v>150</v>
      </c>
      <c r="D1215" s="129">
        <v>4</v>
      </c>
      <c r="E1215" s="129">
        <v>5.0145001000000002</v>
      </c>
      <c r="F1215" s="129">
        <v>20.058000400000001</v>
      </c>
      <c r="G1215" s="129">
        <v>16.949200000000001</v>
      </c>
      <c r="H1215" s="129">
        <v>67.796800000000005</v>
      </c>
      <c r="I1215" s="131" t="s">
        <v>87</v>
      </c>
      <c r="J1215" s="132" t="s">
        <v>102</v>
      </c>
      <c r="K1215" s="130" t="s">
        <v>1561</v>
      </c>
      <c r="L1215" s="129" t="str">
        <f t="shared" si="18"/>
        <v>005-00000197</v>
      </c>
    </row>
    <row r="1216" spans="1:12" hidden="1" x14ac:dyDescent="0.25">
      <c r="A1216" s="130" t="s">
        <v>573</v>
      </c>
      <c r="B1216" s="130" t="s">
        <v>574</v>
      </c>
      <c r="C1216" s="132" t="s">
        <v>150</v>
      </c>
      <c r="D1216" s="129">
        <v>1</v>
      </c>
      <c r="E1216" s="129">
        <v>55.16</v>
      </c>
      <c r="F1216" s="129">
        <v>55.16</v>
      </c>
      <c r="G1216" s="129">
        <v>186.44069999999999</v>
      </c>
      <c r="H1216" s="129">
        <v>186.44070000000002</v>
      </c>
      <c r="I1216" s="131" t="s">
        <v>87</v>
      </c>
      <c r="J1216" s="132" t="s">
        <v>102</v>
      </c>
      <c r="K1216" s="130" t="s">
        <v>1561</v>
      </c>
      <c r="L1216" s="129" t="str">
        <f t="shared" si="18"/>
        <v>005-00000197</v>
      </c>
    </row>
    <row r="1217" spans="1:12" hidden="1" x14ac:dyDescent="0.25">
      <c r="A1217" s="130" t="s">
        <v>2043</v>
      </c>
      <c r="B1217" s="130" t="s">
        <v>2044</v>
      </c>
      <c r="C1217" s="132" t="s">
        <v>150</v>
      </c>
      <c r="D1217" s="129">
        <v>1</v>
      </c>
      <c r="E1217" s="129">
        <v>27.58</v>
      </c>
      <c r="F1217" s="129">
        <v>27.58</v>
      </c>
      <c r="G1217" s="129">
        <v>93.220298999999997</v>
      </c>
      <c r="H1217" s="129">
        <v>93.220298999999997</v>
      </c>
      <c r="I1217" s="131" t="s">
        <v>87</v>
      </c>
      <c r="J1217" s="132" t="s">
        <v>102</v>
      </c>
      <c r="K1217" s="130" t="s">
        <v>1561</v>
      </c>
      <c r="L1217" s="129" t="str">
        <f t="shared" si="18"/>
        <v>005-00000197</v>
      </c>
    </row>
    <row r="1218" spans="1:12" hidden="1" x14ac:dyDescent="0.25">
      <c r="A1218" s="130" t="s">
        <v>2045</v>
      </c>
      <c r="B1218" s="130" t="s">
        <v>2046</v>
      </c>
      <c r="C1218" s="132" t="s">
        <v>150</v>
      </c>
      <c r="D1218" s="129">
        <v>2</v>
      </c>
      <c r="E1218" s="129">
        <v>11.2827</v>
      </c>
      <c r="F1218" s="129">
        <v>22.565400000000004</v>
      </c>
      <c r="G1218" s="129">
        <v>38.135601000000001</v>
      </c>
      <c r="H1218" s="129">
        <v>76.271202000000002</v>
      </c>
      <c r="I1218" s="131" t="s">
        <v>87</v>
      </c>
      <c r="J1218" s="132" t="s">
        <v>102</v>
      </c>
      <c r="K1218" s="130" t="s">
        <v>1561</v>
      </c>
      <c r="L1218" s="129" t="str">
        <f t="shared" si="18"/>
        <v>005-00000197</v>
      </c>
    </row>
    <row r="1219" spans="1:12" hidden="1" x14ac:dyDescent="0.25">
      <c r="A1219" s="130" t="s">
        <v>564</v>
      </c>
      <c r="B1219" s="130" t="s">
        <v>565</v>
      </c>
      <c r="C1219" s="132" t="s">
        <v>150</v>
      </c>
      <c r="D1219" s="129">
        <v>1</v>
      </c>
      <c r="E1219" s="129">
        <v>27.58</v>
      </c>
      <c r="F1219" s="129">
        <v>27.58</v>
      </c>
      <c r="G1219" s="129">
        <v>93.220298999999997</v>
      </c>
      <c r="H1219" s="129">
        <v>93.220298999999997</v>
      </c>
      <c r="I1219" s="131" t="s">
        <v>87</v>
      </c>
      <c r="J1219" s="132" t="s">
        <v>102</v>
      </c>
      <c r="K1219" s="130" t="s">
        <v>1561</v>
      </c>
      <c r="L1219" s="129" t="str">
        <f t="shared" si="18"/>
        <v>005-00000197</v>
      </c>
    </row>
    <row r="1220" spans="1:12" hidden="1" x14ac:dyDescent="0.25">
      <c r="A1220" s="130" t="s">
        <v>2047</v>
      </c>
      <c r="B1220" s="130" t="s">
        <v>2048</v>
      </c>
      <c r="C1220" s="132" t="s">
        <v>150</v>
      </c>
      <c r="D1220" s="129">
        <v>1</v>
      </c>
      <c r="E1220" s="129">
        <v>10.0291</v>
      </c>
      <c r="F1220" s="129">
        <v>10.029099999999998</v>
      </c>
      <c r="G1220" s="129">
        <v>33.898299999999999</v>
      </c>
      <c r="H1220" s="129">
        <v>33.898299999999999</v>
      </c>
      <c r="I1220" s="131" t="s">
        <v>87</v>
      </c>
      <c r="J1220" s="132" t="s">
        <v>102</v>
      </c>
      <c r="K1220" s="130" t="s">
        <v>1561</v>
      </c>
      <c r="L1220" s="129" t="str">
        <f t="shared" si="18"/>
        <v>005-00000197</v>
      </c>
    </row>
    <row r="1221" spans="1:12" hidden="1" x14ac:dyDescent="0.25">
      <c r="A1221" s="130" t="s">
        <v>2049</v>
      </c>
      <c r="B1221" s="130" t="s">
        <v>2050</v>
      </c>
      <c r="C1221" s="132" t="s">
        <v>150</v>
      </c>
      <c r="D1221" s="129">
        <v>1</v>
      </c>
      <c r="E1221" s="129">
        <v>11.284000000000001</v>
      </c>
      <c r="F1221" s="129">
        <v>11.284000000000002</v>
      </c>
      <c r="G1221" s="129">
        <v>38.139999000000003</v>
      </c>
      <c r="H1221" s="129">
        <v>38.139999000000003</v>
      </c>
      <c r="I1221" s="131" t="s">
        <v>87</v>
      </c>
      <c r="J1221" s="132" t="s">
        <v>102</v>
      </c>
      <c r="K1221" s="130" t="s">
        <v>623</v>
      </c>
      <c r="L1221" s="129" t="str">
        <f t="shared" ref="L1221:L1284" si="19">CONCATENATE(J1221,"-",K1221)</f>
        <v>005-00000108</v>
      </c>
    </row>
    <row r="1222" spans="1:12" hidden="1" x14ac:dyDescent="0.25">
      <c r="A1222" s="130" t="s">
        <v>1055</v>
      </c>
      <c r="B1222" s="130" t="s">
        <v>1056</v>
      </c>
      <c r="C1222" s="132" t="s">
        <v>150</v>
      </c>
      <c r="D1222" s="129">
        <v>1</v>
      </c>
      <c r="E1222" s="129">
        <v>1.5107999999999999</v>
      </c>
      <c r="F1222" s="129">
        <v>1.5108000000000001</v>
      </c>
      <c r="G1222" s="129">
        <v>5.0847001000000001</v>
      </c>
      <c r="H1222" s="129">
        <v>5.0847001000000001</v>
      </c>
      <c r="I1222" s="131" t="s">
        <v>87</v>
      </c>
      <c r="J1222" s="132" t="s">
        <v>102</v>
      </c>
      <c r="K1222" s="130" t="s">
        <v>623</v>
      </c>
      <c r="L1222" s="129" t="str">
        <f t="shared" si="19"/>
        <v>005-00000108</v>
      </c>
    </row>
    <row r="1223" spans="1:12" hidden="1" x14ac:dyDescent="0.25">
      <c r="A1223" s="130" t="s">
        <v>1466</v>
      </c>
      <c r="B1223" s="130" t="s">
        <v>1467</v>
      </c>
      <c r="C1223" s="132" t="s">
        <v>88</v>
      </c>
      <c r="D1223" s="129">
        <v>1</v>
      </c>
      <c r="E1223" s="129">
        <v>9.2980003</v>
      </c>
      <c r="F1223" s="129">
        <v>9.2980002999999982</v>
      </c>
      <c r="G1223" s="129">
        <v>31.138999999999999</v>
      </c>
      <c r="H1223" s="129">
        <v>31.138999999999996</v>
      </c>
      <c r="I1223" s="131" t="s">
        <v>87</v>
      </c>
      <c r="J1223" s="132" t="s">
        <v>102</v>
      </c>
      <c r="K1223" s="130" t="s">
        <v>623</v>
      </c>
      <c r="L1223" s="129" t="str">
        <f t="shared" si="19"/>
        <v>005-00000108</v>
      </c>
    </row>
    <row r="1224" spans="1:12" hidden="1" x14ac:dyDescent="0.25">
      <c r="A1224" s="130" t="s">
        <v>1034</v>
      </c>
      <c r="B1224" s="130" t="s">
        <v>1035</v>
      </c>
      <c r="C1224" s="132" t="s">
        <v>88</v>
      </c>
      <c r="D1224" s="129">
        <v>1</v>
      </c>
      <c r="E1224" s="129">
        <v>10.5677</v>
      </c>
      <c r="F1224" s="129">
        <v>10.567700000000002</v>
      </c>
      <c r="G1224" s="129">
        <v>35.745998</v>
      </c>
      <c r="H1224" s="129">
        <v>35.745998</v>
      </c>
      <c r="I1224" s="131" t="s">
        <v>87</v>
      </c>
      <c r="J1224" s="132" t="s">
        <v>102</v>
      </c>
      <c r="K1224" s="130" t="s">
        <v>623</v>
      </c>
      <c r="L1224" s="129" t="str">
        <f t="shared" si="19"/>
        <v>005-00000108</v>
      </c>
    </row>
    <row r="1225" spans="1:12" hidden="1" x14ac:dyDescent="0.25">
      <c r="A1225" s="130" t="s">
        <v>227</v>
      </c>
      <c r="B1225" s="130" t="s">
        <v>194</v>
      </c>
      <c r="C1225" s="132" t="s">
        <v>88</v>
      </c>
      <c r="D1225" s="129">
        <v>1</v>
      </c>
      <c r="E1225" s="129">
        <v>1.6415</v>
      </c>
      <c r="F1225" s="129">
        <v>1.6414999999999997</v>
      </c>
      <c r="G1225" s="129">
        <v>5.4759001999999999</v>
      </c>
      <c r="H1225" s="129">
        <v>5.4759001999999999</v>
      </c>
      <c r="I1225" s="131" t="s">
        <v>87</v>
      </c>
      <c r="J1225" s="132" t="s">
        <v>102</v>
      </c>
      <c r="K1225" s="130" t="s">
        <v>623</v>
      </c>
      <c r="L1225" s="129" t="str">
        <f t="shared" si="19"/>
        <v>005-00000108</v>
      </c>
    </row>
    <row r="1226" spans="1:12" hidden="1" x14ac:dyDescent="0.25">
      <c r="A1226" s="130" t="s">
        <v>544</v>
      </c>
      <c r="B1226" s="130" t="s">
        <v>545</v>
      </c>
      <c r="C1226" s="132" t="s">
        <v>150</v>
      </c>
      <c r="D1226" s="129">
        <v>1</v>
      </c>
      <c r="E1226" s="129">
        <v>2.4985000999999998</v>
      </c>
      <c r="F1226" s="129">
        <v>2.4985000999999998</v>
      </c>
      <c r="G1226" s="129">
        <v>8.4745998</v>
      </c>
      <c r="H1226" s="129">
        <v>8.4745998</v>
      </c>
      <c r="I1226" s="131" t="s">
        <v>87</v>
      </c>
      <c r="J1226" s="132" t="s">
        <v>102</v>
      </c>
      <c r="K1226" s="130" t="s">
        <v>623</v>
      </c>
      <c r="L1226" s="129" t="str">
        <f t="shared" si="19"/>
        <v>005-00000108</v>
      </c>
    </row>
    <row r="1227" spans="1:12" hidden="1" x14ac:dyDescent="0.25">
      <c r="A1227" s="130" t="s">
        <v>1658</v>
      </c>
      <c r="B1227" s="130" t="s">
        <v>1659</v>
      </c>
      <c r="C1227" s="132" t="s">
        <v>150</v>
      </c>
      <c r="D1227" s="129">
        <v>1</v>
      </c>
      <c r="E1227" s="129">
        <v>3.5088999000000003</v>
      </c>
      <c r="F1227" s="129">
        <v>3.5088999000000007</v>
      </c>
      <c r="G1227" s="129">
        <v>11.86</v>
      </c>
      <c r="H1227" s="129">
        <v>11.86</v>
      </c>
      <c r="I1227" s="131" t="s">
        <v>87</v>
      </c>
      <c r="J1227" s="132" t="s">
        <v>102</v>
      </c>
      <c r="K1227" s="130" t="s">
        <v>1561</v>
      </c>
      <c r="L1227" s="129" t="str">
        <f t="shared" si="19"/>
        <v>005-00000197</v>
      </c>
    </row>
    <row r="1228" spans="1:12" hidden="1" x14ac:dyDescent="0.25">
      <c r="A1228" s="130" t="s">
        <v>1055</v>
      </c>
      <c r="B1228" s="130" t="s">
        <v>1056</v>
      </c>
      <c r="C1228" s="132" t="s">
        <v>150</v>
      </c>
      <c r="D1228" s="129">
        <v>1</v>
      </c>
      <c r="E1228" s="129">
        <v>1.5107999999999999</v>
      </c>
      <c r="F1228" s="129">
        <v>1.5108000000000001</v>
      </c>
      <c r="G1228" s="129">
        <v>5.0847001000000001</v>
      </c>
      <c r="H1228" s="129">
        <v>5.0847001000000001</v>
      </c>
      <c r="I1228" s="131" t="s">
        <v>87</v>
      </c>
      <c r="J1228" s="132" t="s">
        <v>102</v>
      </c>
      <c r="K1228" s="130" t="s">
        <v>1561</v>
      </c>
      <c r="L1228" s="129" t="str">
        <f t="shared" si="19"/>
        <v>005-00000197</v>
      </c>
    </row>
    <row r="1229" spans="1:12" hidden="1" x14ac:dyDescent="0.25">
      <c r="A1229" s="130" t="s">
        <v>1034</v>
      </c>
      <c r="B1229" s="130" t="s">
        <v>1035</v>
      </c>
      <c r="C1229" s="132" t="s">
        <v>88</v>
      </c>
      <c r="D1229" s="129">
        <v>1</v>
      </c>
      <c r="E1229" s="129">
        <v>10.5677</v>
      </c>
      <c r="F1229" s="129">
        <v>10.567700000000002</v>
      </c>
      <c r="G1229" s="129">
        <v>35.745998</v>
      </c>
      <c r="H1229" s="129">
        <v>35.745998</v>
      </c>
      <c r="I1229" s="131" t="s">
        <v>87</v>
      </c>
      <c r="J1229" s="132" t="s">
        <v>102</v>
      </c>
      <c r="K1229" s="130" t="s">
        <v>1561</v>
      </c>
      <c r="L1229" s="129" t="str">
        <f t="shared" si="19"/>
        <v>005-00000197</v>
      </c>
    </row>
    <row r="1230" spans="1:12" hidden="1" x14ac:dyDescent="0.25">
      <c r="A1230" s="130" t="s">
        <v>1675</v>
      </c>
      <c r="B1230" s="130" t="s">
        <v>408</v>
      </c>
      <c r="C1230" s="132" t="s">
        <v>150</v>
      </c>
      <c r="D1230" s="129">
        <v>4</v>
      </c>
      <c r="E1230" s="129">
        <v>1.2966</v>
      </c>
      <c r="F1230" s="129">
        <v>5.186399999999999</v>
      </c>
      <c r="G1230" s="129">
        <v>4.3629999000000002</v>
      </c>
      <c r="H1230" s="129">
        <v>17.451999600000001</v>
      </c>
      <c r="I1230" s="131" t="s">
        <v>87</v>
      </c>
      <c r="J1230" s="132" t="s">
        <v>102</v>
      </c>
      <c r="K1230" s="130" t="s">
        <v>1561</v>
      </c>
      <c r="L1230" s="129" t="str">
        <f t="shared" si="19"/>
        <v>005-00000197</v>
      </c>
    </row>
    <row r="1231" spans="1:12" hidden="1" x14ac:dyDescent="0.25">
      <c r="A1231" s="130" t="s">
        <v>1466</v>
      </c>
      <c r="B1231" s="130" t="s">
        <v>1467</v>
      </c>
      <c r="C1231" s="132" t="s">
        <v>88</v>
      </c>
      <c r="D1231" s="129">
        <v>1</v>
      </c>
      <c r="E1231" s="129">
        <v>9.2980003</v>
      </c>
      <c r="F1231" s="129">
        <v>9.2980002999999982</v>
      </c>
      <c r="G1231" s="129">
        <v>31.138999999999999</v>
      </c>
      <c r="H1231" s="129">
        <v>31.138999999999996</v>
      </c>
      <c r="I1231" s="131" t="s">
        <v>87</v>
      </c>
      <c r="J1231" s="132" t="s">
        <v>102</v>
      </c>
      <c r="K1231" s="130" t="s">
        <v>1561</v>
      </c>
      <c r="L1231" s="129" t="str">
        <f t="shared" si="19"/>
        <v>005-00000197</v>
      </c>
    </row>
    <row r="1232" spans="1:12" hidden="1" x14ac:dyDescent="0.25">
      <c r="A1232" s="130" t="s">
        <v>1465</v>
      </c>
      <c r="B1232" s="130" t="s">
        <v>160</v>
      </c>
      <c r="C1232" s="132" t="s">
        <v>150</v>
      </c>
      <c r="D1232" s="129">
        <v>2</v>
      </c>
      <c r="E1232" s="129">
        <v>1.2092000000000001</v>
      </c>
      <c r="F1232" s="129">
        <v>2.4184000000000001</v>
      </c>
      <c r="G1232" s="129">
        <v>4.0678000000000001</v>
      </c>
      <c r="H1232" s="129">
        <v>8.1356000000000002</v>
      </c>
      <c r="I1232" s="131" t="s">
        <v>87</v>
      </c>
      <c r="J1232" s="132" t="s">
        <v>102</v>
      </c>
      <c r="K1232" s="130" t="s">
        <v>1561</v>
      </c>
      <c r="L1232" s="129" t="str">
        <f t="shared" si="19"/>
        <v>005-00000197</v>
      </c>
    </row>
    <row r="1233" spans="1:12" hidden="1" x14ac:dyDescent="0.25">
      <c r="A1233" s="130" t="s">
        <v>227</v>
      </c>
      <c r="B1233" s="130" t="s">
        <v>194</v>
      </c>
      <c r="C1233" s="132" t="s">
        <v>88</v>
      </c>
      <c r="D1233" s="129">
        <v>1</v>
      </c>
      <c r="E1233" s="129">
        <v>1.6415</v>
      </c>
      <c r="F1233" s="129">
        <v>1.6414999999999997</v>
      </c>
      <c r="G1233" s="129">
        <v>5.4759001999999999</v>
      </c>
      <c r="H1233" s="129">
        <v>5.4759001999999999</v>
      </c>
      <c r="I1233" s="131" t="s">
        <v>87</v>
      </c>
      <c r="J1233" s="132" t="s">
        <v>102</v>
      </c>
      <c r="K1233" s="130" t="s">
        <v>1561</v>
      </c>
      <c r="L1233" s="129" t="str">
        <f t="shared" si="19"/>
        <v>005-00000197</v>
      </c>
    </row>
    <row r="1234" spans="1:12" hidden="1" x14ac:dyDescent="0.25">
      <c r="A1234" s="130" t="s">
        <v>544</v>
      </c>
      <c r="B1234" s="130" t="s">
        <v>545</v>
      </c>
      <c r="C1234" s="132" t="s">
        <v>150</v>
      </c>
      <c r="D1234" s="129">
        <v>1</v>
      </c>
      <c r="E1234" s="129">
        <v>2.4985000999999998</v>
      </c>
      <c r="F1234" s="129">
        <v>2.4985000999999998</v>
      </c>
      <c r="G1234" s="129">
        <v>8.4745998</v>
      </c>
      <c r="H1234" s="129">
        <v>8.4745998</v>
      </c>
      <c r="I1234" s="131" t="s">
        <v>87</v>
      </c>
      <c r="J1234" s="132" t="s">
        <v>102</v>
      </c>
      <c r="K1234" s="130" t="s">
        <v>1561</v>
      </c>
      <c r="L1234" s="129" t="str">
        <f t="shared" si="19"/>
        <v>005-00000197</v>
      </c>
    </row>
    <row r="1235" spans="1:12" hidden="1" x14ac:dyDescent="0.25">
      <c r="A1235" s="130" t="s">
        <v>1476</v>
      </c>
      <c r="B1235" s="130" t="s">
        <v>1477</v>
      </c>
      <c r="C1235" s="132" t="s">
        <v>150</v>
      </c>
      <c r="D1235" s="129">
        <v>1</v>
      </c>
      <c r="E1235" s="129">
        <v>4.5212002</v>
      </c>
      <c r="F1235" s="129">
        <v>4.5212002</v>
      </c>
      <c r="G1235" s="129">
        <v>15.25</v>
      </c>
      <c r="H1235" s="129">
        <v>15.25</v>
      </c>
      <c r="I1235" s="131" t="s">
        <v>87</v>
      </c>
      <c r="J1235" s="132" t="s">
        <v>102</v>
      </c>
      <c r="K1235" s="130" t="s">
        <v>1561</v>
      </c>
      <c r="L1235" s="129" t="str">
        <f t="shared" si="19"/>
        <v>005-00000197</v>
      </c>
    </row>
    <row r="1236" spans="1:12" hidden="1" x14ac:dyDescent="0.25">
      <c r="A1236" s="130" t="s">
        <v>1044</v>
      </c>
      <c r="B1236" s="130" t="s">
        <v>1045</v>
      </c>
      <c r="C1236" s="132" t="s">
        <v>153</v>
      </c>
      <c r="D1236" s="129">
        <v>1</v>
      </c>
      <c r="E1236" s="129">
        <v>10.019399999999999</v>
      </c>
      <c r="F1236" s="129">
        <v>10.019399999999999</v>
      </c>
      <c r="G1236" s="129">
        <v>33.897998999999999</v>
      </c>
      <c r="H1236" s="129">
        <v>33.897998999999999</v>
      </c>
      <c r="I1236" s="131" t="s">
        <v>87</v>
      </c>
      <c r="J1236" s="132" t="s">
        <v>102</v>
      </c>
      <c r="K1236" s="130" t="s">
        <v>1553</v>
      </c>
      <c r="L1236" s="129" t="str">
        <f t="shared" si="19"/>
        <v>005-00000188</v>
      </c>
    </row>
    <row r="1237" spans="1:12" hidden="1" x14ac:dyDescent="0.25">
      <c r="A1237" s="130" t="s">
        <v>1034</v>
      </c>
      <c r="B1237" s="130" t="s">
        <v>1035</v>
      </c>
      <c r="C1237" s="132" t="s">
        <v>88</v>
      </c>
      <c r="D1237" s="129">
        <v>1</v>
      </c>
      <c r="E1237" s="129">
        <v>10.5677</v>
      </c>
      <c r="F1237" s="129">
        <v>10.567700000000002</v>
      </c>
      <c r="G1237" s="129">
        <v>35.745998</v>
      </c>
      <c r="H1237" s="129">
        <v>35.745998</v>
      </c>
      <c r="I1237" s="131" t="s">
        <v>87</v>
      </c>
      <c r="J1237" s="132" t="s">
        <v>102</v>
      </c>
      <c r="K1237" s="130" t="s">
        <v>1553</v>
      </c>
      <c r="L1237" s="129" t="str">
        <f t="shared" si="19"/>
        <v>005-00000188</v>
      </c>
    </row>
    <row r="1238" spans="1:12" hidden="1" x14ac:dyDescent="0.25">
      <c r="A1238" s="130" t="s">
        <v>1466</v>
      </c>
      <c r="B1238" s="130" t="s">
        <v>1467</v>
      </c>
      <c r="C1238" s="132" t="s">
        <v>88</v>
      </c>
      <c r="D1238" s="129">
        <v>1</v>
      </c>
      <c r="E1238" s="129">
        <v>9.2980003</v>
      </c>
      <c r="F1238" s="129">
        <v>9.2980002999999982</v>
      </c>
      <c r="G1238" s="129">
        <v>31.138999999999999</v>
      </c>
      <c r="H1238" s="129">
        <v>31.138999999999996</v>
      </c>
      <c r="I1238" s="131" t="s">
        <v>87</v>
      </c>
      <c r="J1238" s="132" t="s">
        <v>102</v>
      </c>
      <c r="K1238" s="130" t="s">
        <v>1553</v>
      </c>
      <c r="L1238" s="129" t="str">
        <f t="shared" si="19"/>
        <v>005-00000188</v>
      </c>
    </row>
    <row r="1239" spans="1:12" hidden="1" x14ac:dyDescent="0.25">
      <c r="A1239" s="130" t="s">
        <v>227</v>
      </c>
      <c r="B1239" s="130" t="s">
        <v>194</v>
      </c>
      <c r="C1239" s="132" t="s">
        <v>88</v>
      </c>
      <c r="D1239" s="129">
        <v>1</v>
      </c>
      <c r="E1239" s="129">
        <v>1.6415</v>
      </c>
      <c r="F1239" s="129">
        <v>1.6414999999999997</v>
      </c>
      <c r="G1239" s="129">
        <v>5.4759001999999999</v>
      </c>
      <c r="H1239" s="129">
        <v>5.4759001999999999</v>
      </c>
      <c r="I1239" s="131" t="s">
        <v>87</v>
      </c>
      <c r="J1239" s="132" t="s">
        <v>102</v>
      </c>
      <c r="K1239" s="130" t="s">
        <v>1553</v>
      </c>
      <c r="L1239" s="129" t="str">
        <f t="shared" si="19"/>
        <v>005-00000188</v>
      </c>
    </row>
    <row r="1240" spans="1:12" hidden="1" x14ac:dyDescent="0.25">
      <c r="A1240" s="130" t="s">
        <v>329</v>
      </c>
      <c r="B1240" s="130" t="s">
        <v>330</v>
      </c>
      <c r="C1240" s="132" t="s">
        <v>150</v>
      </c>
      <c r="D1240" s="129">
        <v>1</v>
      </c>
      <c r="E1240" s="129">
        <v>2.7613001000000001</v>
      </c>
      <c r="F1240" s="129">
        <v>2.7613001000000001</v>
      </c>
      <c r="G1240" s="129">
        <v>9.3219995000000004</v>
      </c>
      <c r="H1240" s="129">
        <v>9.3219995000000004</v>
      </c>
      <c r="I1240" s="131" t="s">
        <v>87</v>
      </c>
      <c r="J1240" s="132" t="s">
        <v>102</v>
      </c>
      <c r="K1240" s="130" t="s">
        <v>1553</v>
      </c>
      <c r="L1240" s="129" t="str">
        <f t="shared" si="19"/>
        <v>005-00000188</v>
      </c>
    </row>
    <row r="1241" spans="1:12" hidden="1" x14ac:dyDescent="0.25">
      <c r="A1241" s="130" t="s">
        <v>331</v>
      </c>
      <c r="B1241" s="130" t="s">
        <v>332</v>
      </c>
      <c r="C1241" s="132" t="s">
        <v>150</v>
      </c>
      <c r="D1241" s="129">
        <v>1</v>
      </c>
      <c r="E1241" s="129">
        <v>1.0668</v>
      </c>
      <c r="F1241" s="129">
        <v>1.0668</v>
      </c>
      <c r="G1241" s="129">
        <v>3.6015999000000001</v>
      </c>
      <c r="H1241" s="129">
        <v>3.6015999000000005</v>
      </c>
      <c r="I1241" s="131" t="s">
        <v>87</v>
      </c>
      <c r="J1241" s="132" t="s">
        <v>102</v>
      </c>
      <c r="K1241" s="130" t="s">
        <v>1553</v>
      </c>
      <c r="L1241" s="129" t="str">
        <f t="shared" si="19"/>
        <v>005-00000188</v>
      </c>
    </row>
    <row r="1242" spans="1:12" hidden="1" x14ac:dyDescent="0.25">
      <c r="A1242" s="130" t="s">
        <v>1044</v>
      </c>
      <c r="B1242" s="130" t="s">
        <v>1045</v>
      </c>
      <c r="C1242" s="132" t="s">
        <v>153</v>
      </c>
      <c r="D1242" s="129">
        <v>1</v>
      </c>
      <c r="E1242" s="129">
        <v>10.019399999999999</v>
      </c>
      <c r="F1242" s="129">
        <v>10.019399999999999</v>
      </c>
      <c r="G1242" s="129">
        <v>33.897998999999999</v>
      </c>
      <c r="H1242" s="129">
        <v>33.897998999999999</v>
      </c>
      <c r="I1242" s="131" t="s">
        <v>87</v>
      </c>
      <c r="J1242" s="132" t="s">
        <v>102</v>
      </c>
      <c r="K1242" s="130" t="s">
        <v>1554</v>
      </c>
      <c r="L1242" s="129" t="str">
        <f t="shared" si="19"/>
        <v>005-00000196</v>
      </c>
    </row>
    <row r="1243" spans="1:12" hidden="1" x14ac:dyDescent="0.25">
      <c r="A1243" s="130" t="s">
        <v>329</v>
      </c>
      <c r="B1243" s="130" t="s">
        <v>330</v>
      </c>
      <c r="C1243" s="132" t="s">
        <v>150</v>
      </c>
      <c r="D1243" s="129">
        <v>1</v>
      </c>
      <c r="E1243" s="129">
        <v>2.7613001000000001</v>
      </c>
      <c r="F1243" s="129">
        <v>2.7613001000000001</v>
      </c>
      <c r="G1243" s="129">
        <v>9.3219995000000004</v>
      </c>
      <c r="H1243" s="129">
        <v>9.3219995000000004</v>
      </c>
      <c r="I1243" s="131" t="s">
        <v>87</v>
      </c>
      <c r="J1243" s="132" t="s">
        <v>102</v>
      </c>
      <c r="K1243" s="130" t="s">
        <v>1554</v>
      </c>
      <c r="L1243" s="129" t="str">
        <f t="shared" si="19"/>
        <v>005-00000196</v>
      </c>
    </row>
    <row r="1244" spans="1:12" hidden="1" x14ac:dyDescent="0.25">
      <c r="A1244" s="130" t="s">
        <v>331</v>
      </c>
      <c r="B1244" s="130" t="s">
        <v>332</v>
      </c>
      <c r="C1244" s="132" t="s">
        <v>150</v>
      </c>
      <c r="D1244" s="129">
        <v>1</v>
      </c>
      <c r="E1244" s="129">
        <v>1.0668</v>
      </c>
      <c r="F1244" s="129">
        <v>1.0668</v>
      </c>
      <c r="G1244" s="129">
        <v>3.6015999000000001</v>
      </c>
      <c r="H1244" s="129">
        <v>3.6015999000000005</v>
      </c>
      <c r="I1244" s="131" t="s">
        <v>87</v>
      </c>
      <c r="J1244" s="132" t="s">
        <v>102</v>
      </c>
      <c r="K1244" s="130" t="s">
        <v>1554</v>
      </c>
      <c r="L1244" s="129" t="str">
        <f t="shared" si="19"/>
        <v>005-00000196</v>
      </c>
    </row>
    <row r="1245" spans="1:12" hidden="1" x14ac:dyDescent="0.25">
      <c r="A1245" s="130" t="s">
        <v>342</v>
      </c>
      <c r="B1245" s="130" t="s">
        <v>343</v>
      </c>
      <c r="C1245" s="132" t="s">
        <v>150</v>
      </c>
      <c r="D1245" s="129">
        <v>4</v>
      </c>
      <c r="E1245" s="129">
        <v>8.7999999999999995E-2</v>
      </c>
      <c r="F1245" s="129">
        <v>0.35199999999999987</v>
      </c>
      <c r="G1245" s="129">
        <v>0.29660001000000003</v>
      </c>
      <c r="H1245" s="129">
        <v>1.1864000400000001</v>
      </c>
      <c r="I1245" s="131" t="s">
        <v>87</v>
      </c>
      <c r="J1245" s="132" t="s">
        <v>102</v>
      </c>
      <c r="K1245" s="130" t="s">
        <v>1554</v>
      </c>
      <c r="L1245" s="129" t="str">
        <f t="shared" si="19"/>
        <v>005-00000196</v>
      </c>
    </row>
    <row r="1246" spans="1:12" hidden="1" x14ac:dyDescent="0.25">
      <c r="A1246" s="130" t="s">
        <v>360</v>
      </c>
      <c r="B1246" s="130" t="s">
        <v>361</v>
      </c>
      <c r="C1246" s="132" t="s">
        <v>150</v>
      </c>
      <c r="D1246" s="129">
        <v>4</v>
      </c>
      <c r="E1246" s="129">
        <v>0.12590000000000001</v>
      </c>
      <c r="F1246" s="129">
        <v>0.50360000000000005</v>
      </c>
      <c r="G1246" s="129">
        <v>0.42370000000000002</v>
      </c>
      <c r="H1246" s="129">
        <v>1.6948000000000001</v>
      </c>
      <c r="I1246" s="131" t="s">
        <v>87</v>
      </c>
      <c r="J1246" s="132" t="s">
        <v>102</v>
      </c>
      <c r="K1246" s="130" t="s">
        <v>1554</v>
      </c>
      <c r="L1246" s="129" t="str">
        <f t="shared" si="19"/>
        <v>005-00000196</v>
      </c>
    </row>
    <row r="1247" spans="1:12" hidden="1" x14ac:dyDescent="0.25">
      <c r="A1247" s="130" t="s">
        <v>2051</v>
      </c>
      <c r="B1247" s="130" t="s">
        <v>2052</v>
      </c>
      <c r="C1247" s="132" t="s">
        <v>150</v>
      </c>
      <c r="D1247" s="129">
        <v>3</v>
      </c>
      <c r="E1247" s="129">
        <v>20.022600000000001</v>
      </c>
      <c r="F1247" s="129">
        <v>60.067799999999998</v>
      </c>
      <c r="G1247" s="129">
        <v>67.796599999999998</v>
      </c>
      <c r="H1247" s="129">
        <v>203.38980000000001</v>
      </c>
      <c r="I1247" s="131" t="s">
        <v>87</v>
      </c>
      <c r="J1247" s="132" t="s">
        <v>102</v>
      </c>
      <c r="K1247" s="130" t="s">
        <v>2029</v>
      </c>
      <c r="L1247" s="129" t="str">
        <f t="shared" si="19"/>
        <v>005-00000236</v>
      </c>
    </row>
    <row r="1248" spans="1:12" hidden="1" x14ac:dyDescent="0.25">
      <c r="A1248" s="130" t="s">
        <v>1092</v>
      </c>
      <c r="B1248" s="130" t="s">
        <v>1093</v>
      </c>
      <c r="C1248" s="132" t="s">
        <v>226</v>
      </c>
      <c r="D1248" s="129">
        <v>1</v>
      </c>
      <c r="E1248" s="129">
        <v>65.324898000000005</v>
      </c>
      <c r="F1248" s="129">
        <v>65.32489799999999</v>
      </c>
      <c r="G1248" s="129">
        <v>221.19</v>
      </c>
      <c r="H1248" s="129">
        <v>221.19</v>
      </c>
      <c r="I1248" s="131" t="s">
        <v>87</v>
      </c>
      <c r="J1248" s="132" t="s">
        <v>102</v>
      </c>
      <c r="K1248" s="130" t="s">
        <v>1558</v>
      </c>
      <c r="L1248" s="129" t="str">
        <f t="shared" si="19"/>
        <v>005-00000198</v>
      </c>
    </row>
    <row r="1249" spans="1:12" hidden="1" x14ac:dyDescent="0.25">
      <c r="A1249" s="130" t="s">
        <v>208</v>
      </c>
      <c r="B1249" s="130" t="s">
        <v>209</v>
      </c>
      <c r="C1249" s="132" t="s">
        <v>150</v>
      </c>
      <c r="D1249" s="129">
        <v>1</v>
      </c>
      <c r="E1249" s="129">
        <v>2.4902999000000001</v>
      </c>
      <c r="F1249" s="129">
        <v>2.4902999000000001</v>
      </c>
      <c r="G1249" s="129">
        <v>8.4745998</v>
      </c>
      <c r="H1249" s="129">
        <v>8.4745998</v>
      </c>
      <c r="I1249" s="131" t="s">
        <v>87</v>
      </c>
      <c r="J1249" s="132" t="s">
        <v>102</v>
      </c>
      <c r="K1249" s="130" t="s">
        <v>1558</v>
      </c>
      <c r="L1249" s="129" t="str">
        <f t="shared" si="19"/>
        <v>005-00000198</v>
      </c>
    </row>
    <row r="1250" spans="1:12" hidden="1" x14ac:dyDescent="0.25">
      <c r="A1250" s="130" t="s">
        <v>304</v>
      </c>
      <c r="B1250" s="130" t="s">
        <v>305</v>
      </c>
      <c r="C1250" s="132" t="s">
        <v>150</v>
      </c>
      <c r="D1250" s="129">
        <v>1</v>
      </c>
      <c r="E1250" s="129">
        <v>3.9844999000000003</v>
      </c>
      <c r="F1250" s="129">
        <v>3.9844999000000003</v>
      </c>
      <c r="G1250" s="129">
        <v>13.5593</v>
      </c>
      <c r="H1250" s="129">
        <v>13.5593</v>
      </c>
      <c r="I1250" s="131" t="s">
        <v>87</v>
      </c>
      <c r="J1250" s="132" t="s">
        <v>102</v>
      </c>
      <c r="K1250" s="130" t="s">
        <v>1558</v>
      </c>
      <c r="L1250" s="129" t="str">
        <f t="shared" si="19"/>
        <v>005-00000198</v>
      </c>
    </row>
    <row r="1251" spans="1:12" hidden="1" x14ac:dyDescent="0.25">
      <c r="A1251" s="130" t="s">
        <v>306</v>
      </c>
      <c r="B1251" s="130" t="s">
        <v>307</v>
      </c>
      <c r="C1251" s="132" t="s">
        <v>150</v>
      </c>
      <c r="D1251" s="129">
        <v>1</v>
      </c>
      <c r="E1251" s="129">
        <v>5.7277002000000001</v>
      </c>
      <c r="F1251" s="129">
        <v>5.7277001999999992</v>
      </c>
      <c r="G1251" s="129">
        <v>19.491501</v>
      </c>
      <c r="H1251" s="129">
        <v>19.491501</v>
      </c>
      <c r="I1251" s="131" t="s">
        <v>87</v>
      </c>
      <c r="J1251" s="132" t="s">
        <v>102</v>
      </c>
      <c r="K1251" s="130" t="s">
        <v>1558</v>
      </c>
      <c r="L1251" s="129" t="str">
        <f t="shared" si="19"/>
        <v>005-00000198</v>
      </c>
    </row>
    <row r="1252" spans="1:12" hidden="1" x14ac:dyDescent="0.25">
      <c r="A1252" s="130" t="s">
        <v>725</v>
      </c>
      <c r="B1252" s="130" t="s">
        <v>726</v>
      </c>
      <c r="C1252" s="132" t="s">
        <v>150</v>
      </c>
      <c r="D1252" s="129">
        <v>2</v>
      </c>
      <c r="E1252" s="129">
        <v>10.2103</v>
      </c>
      <c r="F1252" s="129">
        <v>20.4206</v>
      </c>
      <c r="G1252" s="129">
        <v>34.745800000000003</v>
      </c>
      <c r="H1252" s="129">
        <v>69.491600000000005</v>
      </c>
      <c r="I1252" s="131" t="s">
        <v>87</v>
      </c>
      <c r="J1252" s="132" t="s">
        <v>102</v>
      </c>
      <c r="K1252" s="130" t="s">
        <v>1558</v>
      </c>
      <c r="L1252" s="129" t="str">
        <f t="shared" si="19"/>
        <v>005-00000198</v>
      </c>
    </row>
    <row r="1253" spans="1:12" hidden="1" x14ac:dyDescent="0.25">
      <c r="A1253" s="130" t="s">
        <v>1073</v>
      </c>
      <c r="B1253" s="130" t="s">
        <v>1074</v>
      </c>
      <c r="C1253" s="132" t="s">
        <v>150</v>
      </c>
      <c r="D1253" s="129">
        <v>1</v>
      </c>
      <c r="E1253" s="129">
        <v>9.4631995999999994</v>
      </c>
      <c r="F1253" s="129">
        <v>9.4631995999999976</v>
      </c>
      <c r="G1253" s="129">
        <v>32.203400000000002</v>
      </c>
      <c r="H1253" s="129">
        <v>32.203400000000002</v>
      </c>
      <c r="I1253" s="131" t="s">
        <v>87</v>
      </c>
      <c r="J1253" s="132" t="s">
        <v>102</v>
      </c>
      <c r="K1253" s="130" t="s">
        <v>1558</v>
      </c>
      <c r="L1253" s="129" t="str">
        <f t="shared" si="19"/>
        <v>005-00000198</v>
      </c>
    </row>
    <row r="1254" spans="1:12" hidden="1" x14ac:dyDescent="0.25">
      <c r="A1254" s="130" t="s">
        <v>1468</v>
      </c>
      <c r="B1254" s="130" t="s">
        <v>1469</v>
      </c>
      <c r="C1254" s="132" t="s">
        <v>150</v>
      </c>
      <c r="D1254" s="129">
        <v>1</v>
      </c>
      <c r="E1254" s="129">
        <v>26.240601000000002</v>
      </c>
      <c r="F1254" s="129">
        <v>26.240601000000002</v>
      </c>
      <c r="G1254" s="129">
        <v>89.296599999999998</v>
      </c>
      <c r="H1254" s="129">
        <v>89.296600000000012</v>
      </c>
      <c r="I1254" s="131" t="s">
        <v>87</v>
      </c>
      <c r="J1254" s="132" t="s">
        <v>102</v>
      </c>
      <c r="K1254" s="130" t="s">
        <v>1558</v>
      </c>
      <c r="L1254" s="129" t="str">
        <f t="shared" si="19"/>
        <v>005-00000198</v>
      </c>
    </row>
    <row r="1255" spans="1:12" hidden="1" x14ac:dyDescent="0.25">
      <c r="A1255" s="130" t="s">
        <v>714</v>
      </c>
      <c r="B1255" s="130" t="s">
        <v>715</v>
      </c>
      <c r="C1255" s="132" t="s">
        <v>150</v>
      </c>
      <c r="D1255" s="129">
        <v>1</v>
      </c>
      <c r="E1255" s="129">
        <v>24.654199999999999</v>
      </c>
      <c r="F1255" s="129">
        <v>24.654199999999999</v>
      </c>
      <c r="G1255" s="129">
        <v>83.898300000000006</v>
      </c>
      <c r="H1255" s="129">
        <v>83.898300000000006</v>
      </c>
      <c r="I1255" s="131" t="s">
        <v>87</v>
      </c>
      <c r="J1255" s="132" t="s">
        <v>102</v>
      </c>
      <c r="K1255" s="130" t="s">
        <v>1558</v>
      </c>
      <c r="L1255" s="129" t="str">
        <f t="shared" si="19"/>
        <v>005-00000198</v>
      </c>
    </row>
    <row r="1256" spans="1:12" hidden="1" x14ac:dyDescent="0.25">
      <c r="A1256" s="130" t="s">
        <v>1099</v>
      </c>
      <c r="B1256" s="130" t="s">
        <v>1100</v>
      </c>
      <c r="C1256" s="132" t="s">
        <v>153</v>
      </c>
      <c r="D1256" s="129">
        <v>1</v>
      </c>
      <c r="E1256" s="129">
        <v>26.895499999999998</v>
      </c>
      <c r="F1256" s="129">
        <v>26.895499999999991</v>
      </c>
      <c r="G1256" s="129">
        <v>91.525397999999981</v>
      </c>
      <c r="H1256" s="129">
        <v>91.525397999999981</v>
      </c>
      <c r="I1256" s="131" t="s">
        <v>87</v>
      </c>
      <c r="J1256" s="132" t="s">
        <v>102</v>
      </c>
      <c r="K1256" s="130" t="s">
        <v>1558</v>
      </c>
      <c r="L1256" s="129" t="str">
        <f t="shared" si="19"/>
        <v>005-00000198</v>
      </c>
    </row>
    <row r="1257" spans="1:12" hidden="1" x14ac:dyDescent="0.25">
      <c r="A1257" s="130" t="s">
        <v>397</v>
      </c>
      <c r="B1257" s="130" t="s">
        <v>398</v>
      </c>
      <c r="C1257" s="132" t="s">
        <v>150</v>
      </c>
      <c r="D1257" s="129">
        <v>1</v>
      </c>
      <c r="E1257" s="129">
        <v>2.7393999000000004</v>
      </c>
      <c r="F1257" s="129">
        <v>2.7393999000000004</v>
      </c>
      <c r="G1257" s="129">
        <v>9.3219995000000004</v>
      </c>
      <c r="H1257" s="129">
        <v>9.3219995000000004</v>
      </c>
      <c r="I1257" s="131" t="s">
        <v>87</v>
      </c>
      <c r="J1257" s="132" t="s">
        <v>102</v>
      </c>
      <c r="K1257" s="130" t="s">
        <v>1561</v>
      </c>
      <c r="L1257" s="129" t="str">
        <f t="shared" si="19"/>
        <v>005-00000197</v>
      </c>
    </row>
    <row r="1258" spans="1:12" hidden="1" x14ac:dyDescent="0.25">
      <c r="A1258" s="130" t="s">
        <v>2053</v>
      </c>
      <c r="B1258" s="130" t="s">
        <v>2054</v>
      </c>
      <c r="C1258" s="132" t="s">
        <v>153</v>
      </c>
      <c r="D1258" s="129">
        <v>1</v>
      </c>
      <c r="E1258" s="129">
        <v>49.308399000000001</v>
      </c>
      <c r="F1258" s="129">
        <v>49.308398999999987</v>
      </c>
      <c r="G1258" s="129">
        <v>167.79660000000001</v>
      </c>
      <c r="H1258" s="129">
        <v>167.79660000000001</v>
      </c>
      <c r="I1258" s="131" t="s">
        <v>87</v>
      </c>
      <c r="J1258" s="132" t="s">
        <v>102</v>
      </c>
      <c r="K1258" s="130" t="s">
        <v>1561</v>
      </c>
      <c r="L1258" s="129" t="str">
        <f t="shared" si="19"/>
        <v>005-00000197</v>
      </c>
    </row>
    <row r="1259" spans="1:12" hidden="1" x14ac:dyDescent="0.25">
      <c r="A1259" s="130" t="s">
        <v>546</v>
      </c>
      <c r="B1259" s="130" t="s">
        <v>547</v>
      </c>
      <c r="C1259" s="132" t="s">
        <v>153</v>
      </c>
      <c r="D1259" s="129">
        <v>1</v>
      </c>
      <c r="E1259" s="129">
        <v>20.450800000000001</v>
      </c>
      <c r="F1259" s="129">
        <v>20.450800000000001</v>
      </c>
      <c r="G1259" s="129">
        <v>69.491501</v>
      </c>
      <c r="H1259" s="129">
        <v>69.491500999999985</v>
      </c>
      <c r="I1259" s="131" t="s">
        <v>87</v>
      </c>
      <c r="J1259" s="132" t="s">
        <v>102</v>
      </c>
      <c r="K1259" s="130" t="s">
        <v>1561</v>
      </c>
      <c r="L1259" s="129" t="str">
        <f t="shared" si="19"/>
        <v>005-00000197</v>
      </c>
    </row>
    <row r="1260" spans="1:12" hidden="1" x14ac:dyDescent="0.25">
      <c r="A1260" s="130" t="s">
        <v>1073</v>
      </c>
      <c r="B1260" s="130" t="s">
        <v>1074</v>
      </c>
      <c r="C1260" s="132" t="s">
        <v>153</v>
      </c>
      <c r="D1260" s="129">
        <v>1</v>
      </c>
      <c r="E1260" s="129">
        <v>18.926500000000001</v>
      </c>
      <c r="F1260" s="129">
        <v>18.926500000000004</v>
      </c>
      <c r="G1260" s="129">
        <v>64.406799000000007</v>
      </c>
      <c r="H1260" s="129">
        <v>64.406799000000021</v>
      </c>
      <c r="I1260" s="131" t="s">
        <v>87</v>
      </c>
      <c r="J1260" s="132" t="s">
        <v>102</v>
      </c>
      <c r="K1260" s="130" t="s">
        <v>1561</v>
      </c>
      <c r="L1260" s="129" t="str">
        <f t="shared" si="19"/>
        <v>005-00000197</v>
      </c>
    </row>
    <row r="1261" spans="1:12" hidden="1" x14ac:dyDescent="0.25">
      <c r="A1261" s="130" t="s">
        <v>725</v>
      </c>
      <c r="B1261" s="130" t="s">
        <v>726</v>
      </c>
      <c r="C1261" s="132" t="s">
        <v>150</v>
      </c>
      <c r="D1261" s="129">
        <v>2</v>
      </c>
      <c r="E1261" s="129">
        <v>10.2103</v>
      </c>
      <c r="F1261" s="129">
        <v>20.4206</v>
      </c>
      <c r="G1261" s="129">
        <v>34.745800000000003</v>
      </c>
      <c r="H1261" s="129">
        <v>69.491600000000005</v>
      </c>
      <c r="I1261" s="131" t="s">
        <v>87</v>
      </c>
      <c r="J1261" s="132" t="s">
        <v>102</v>
      </c>
      <c r="K1261" s="130" t="s">
        <v>1561</v>
      </c>
      <c r="L1261" s="129" t="str">
        <f t="shared" si="19"/>
        <v>005-00000197</v>
      </c>
    </row>
    <row r="1262" spans="1:12" hidden="1" x14ac:dyDescent="0.25">
      <c r="A1262" s="130" t="s">
        <v>566</v>
      </c>
      <c r="B1262" s="130" t="s">
        <v>410</v>
      </c>
      <c r="C1262" s="132" t="s">
        <v>150</v>
      </c>
      <c r="D1262" s="129">
        <v>1</v>
      </c>
      <c r="E1262" s="129">
        <v>11.2065</v>
      </c>
      <c r="F1262" s="129">
        <v>11.206500000000004</v>
      </c>
      <c r="G1262" s="129">
        <v>38.135601000000001</v>
      </c>
      <c r="H1262" s="129">
        <v>38.135601000000001</v>
      </c>
      <c r="I1262" s="131" t="s">
        <v>87</v>
      </c>
      <c r="J1262" s="132" t="s">
        <v>102</v>
      </c>
      <c r="K1262" s="130" t="s">
        <v>1561</v>
      </c>
      <c r="L1262" s="129" t="str">
        <f t="shared" si="19"/>
        <v>005-00000197</v>
      </c>
    </row>
    <row r="1263" spans="1:12" hidden="1" x14ac:dyDescent="0.25">
      <c r="A1263" s="130" t="s">
        <v>2038</v>
      </c>
      <c r="B1263" s="130" t="s">
        <v>2039</v>
      </c>
      <c r="C1263" s="132" t="s">
        <v>150</v>
      </c>
      <c r="D1263" s="129">
        <v>1</v>
      </c>
      <c r="E1263" s="129">
        <v>13.447800000000003</v>
      </c>
      <c r="F1263" s="129">
        <v>13.447800000000004</v>
      </c>
      <c r="G1263" s="129">
        <v>45.762698999999991</v>
      </c>
      <c r="H1263" s="129">
        <v>45.762698999999991</v>
      </c>
      <c r="I1263" s="131" t="s">
        <v>87</v>
      </c>
      <c r="J1263" s="132" t="s">
        <v>102</v>
      </c>
      <c r="K1263" s="130" t="s">
        <v>1561</v>
      </c>
      <c r="L1263" s="129" t="str">
        <f t="shared" si="19"/>
        <v>005-00000197</v>
      </c>
    </row>
    <row r="1264" spans="1:12" hidden="1" x14ac:dyDescent="0.25">
      <c r="A1264" s="130" t="s">
        <v>1092</v>
      </c>
      <c r="B1264" s="130" t="s">
        <v>1093</v>
      </c>
      <c r="C1264" s="132" t="s">
        <v>226</v>
      </c>
      <c r="D1264" s="129">
        <v>1</v>
      </c>
      <c r="E1264" s="129">
        <v>64.995598000000001</v>
      </c>
      <c r="F1264" s="129">
        <v>64.995597999999987</v>
      </c>
      <c r="G1264" s="129">
        <v>221.17999</v>
      </c>
      <c r="H1264" s="129">
        <v>221.17998999999998</v>
      </c>
      <c r="I1264" s="131" t="s">
        <v>87</v>
      </c>
      <c r="J1264" s="132" t="s">
        <v>102</v>
      </c>
      <c r="K1264" s="130" t="s">
        <v>1561</v>
      </c>
      <c r="L1264" s="129" t="str">
        <f t="shared" si="19"/>
        <v>005-00000197</v>
      </c>
    </row>
    <row r="1265" spans="1:12" hidden="1" x14ac:dyDescent="0.25">
      <c r="A1265" s="130" t="s">
        <v>243</v>
      </c>
      <c r="B1265" s="130" t="s">
        <v>244</v>
      </c>
      <c r="C1265" s="132" t="s">
        <v>150</v>
      </c>
      <c r="D1265" s="129">
        <v>1</v>
      </c>
      <c r="E1265" s="129">
        <v>5.0131000999999999</v>
      </c>
      <c r="F1265" s="129">
        <v>5.0131000999999991</v>
      </c>
      <c r="G1265" s="129">
        <v>16.949200000000001</v>
      </c>
      <c r="H1265" s="129">
        <v>16.949200000000001</v>
      </c>
      <c r="I1265" s="131" t="s">
        <v>87</v>
      </c>
      <c r="J1265" s="132" t="s">
        <v>102</v>
      </c>
      <c r="K1265" s="130" t="s">
        <v>2042</v>
      </c>
      <c r="L1265" s="129" t="str">
        <f t="shared" si="19"/>
        <v>005-00000244</v>
      </c>
    </row>
    <row r="1266" spans="1:12" hidden="1" x14ac:dyDescent="0.25">
      <c r="A1266" s="130" t="s">
        <v>554</v>
      </c>
      <c r="B1266" s="130" t="s">
        <v>555</v>
      </c>
      <c r="C1266" s="132" t="s">
        <v>150</v>
      </c>
      <c r="D1266" s="129">
        <v>2</v>
      </c>
      <c r="E1266" s="129">
        <v>11.279400000000001</v>
      </c>
      <c r="F1266" s="129">
        <v>22.558800000000005</v>
      </c>
      <c r="G1266" s="129">
        <v>38.135601000000001</v>
      </c>
      <c r="H1266" s="129">
        <v>76.271202000000002</v>
      </c>
      <c r="I1266" s="131" t="s">
        <v>87</v>
      </c>
      <c r="J1266" s="132" t="s">
        <v>102</v>
      </c>
      <c r="K1266" s="130" t="s">
        <v>2042</v>
      </c>
      <c r="L1266" s="129" t="str">
        <f t="shared" si="19"/>
        <v>005-00000244</v>
      </c>
    </row>
    <row r="1267" spans="1:12" hidden="1" x14ac:dyDescent="0.25">
      <c r="A1267" s="130" t="s">
        <v>1098</v>
      </c>
      <c r="B1267" s="130" t="s">
        <v>255</v>
      </c>
      <c r="C1267" s="132" t="s">
        <v>150</v>
      </c>
      <c r="D1267" s="129">
        <v>1</v>
      </c>
      <c r="E1267" s="129">
        <v>38.782501000000003</v>
      </c>
      <c r="F1267" s="129">
        <v>38.782501000000003</v>
      </c>
      <c r="G1267" s="129">
        <v>131.35589999999999</v>
      </c>
      <c r="H1267" s="129">
        <v>131.35589999999996</v>
      </c>
      <c r="I1267" s="131" t="s">
        <v>87</v>
      </c>
      <c r="J1267" s="132" t="s">
        <v>102</v>
      </c>
      <c r="K1267" s="130" t="s">
        <v>2042</v>
      </c>
      <c r="L1267" s="129" t="str">
        <f t="shared" si="19"/>
        <v>005-00000244</v>
      </c>
    </row>
    <row r="1268" spans="1:12" hidden="1" x14ac:dyDescent="0.25">
      <c r="A1268" s="130" t="s">
        <v>2055</v>
      </c>
      <c r="B1268" s="130" t="s">
        <v>2056</v>
      </c>
      <c r="C1268" s="132" t="s">
        <v>150</v>
      </c>
      <c r="D1268" s="129">
        <v>1</v>
      </c>
      <c r="E1268" s="129">
        <v>5.0131000999999999</v>
      </c>
      <c r="F1268" s="129">
        <v>5.0131000999999991</v>
      </c>
      <c r="G1268" s="129">
        <v>16.949200000000001</v>
      </c>
      <c r="H1268" s="129">
        <v>16.949200000000001</v>
      </c>
      <c r="I1268" s="131" t="s">
        <v>87</v>
      </c>
      <c r="J1268" s="132" t="s">
        <v>102</v>
      </c>
      <c r="K1268" s="130" t="s">
        <v>2042</v>
      </c>
      <c r="L1268" s="129" t="str">
        <f t="shared" si="19"/>
        <v>005-00000244</v>
      </c>
    </row>
    <row r="1269" spans="1:12" hidden="1" x14ac:dyDescent="0.25">
      <c r="A1269" s="130" t="s">
        <v>1640</v>
      </c>
      <c r="B1269" s="130" t="s">
        <v>1641</v>
      </c>
      <c r="C1269" s="132" t="s">
        <v>150</v>
      </c>
      <c r="D1269" s="129">
        <v>1</v>
      </c>
      <c r="E1269" s="129">
        <v>87.754501000000005</v>
      </c>
      <c r="F1269" s="129">
        <v>87.754501000000005</v>
      </c>
      <c r="G1269" s="129">
        <v>296.61020000000002</v>
      </c>
      <c r="H1269" s="129">
        <v>296.61020000000002</v>
      </c>
      <c r="I1269" s="131" t="s">
        <v>87</v>
      </c>
      <c r="J1269" s="132" t="s">
        <v>102</v>
      </c>
      <c r="K1269" s="130" t="s">
        <v>645</v>
      </c>
      <c r="L1269" s="129" t="str">
        <f t="shared" si="19"/>
        <v>005-00000056</v>
      </c>
    </row>
    <row r="1270" spans="1:12" hidden="1" x14ac:dyDescent="0.25">
      <c r="A1270" s="130" t="s">
        <v>2057</v>
      </c>
      <c r="B1270" s="130" t="s">
        <v>2058</v>
      </c>
      <c r="C1270" s="132" t="s">
        <v>150</v>
      </c>
      <c r="D1270" s="129">
        <v>1</v>
      </c>
      <c r="E1270" s="129">
        <v>30.087199999999999</v>
      </c>
      <c r="F1270" s="129">
        <v>30.087199999999992</v>
      </c>
      <c r="G1270" s="129">
        <v>101.6949</v>
      </c>
      <c r="H1270" s="129">
        <v>101.69489999999998</v>
      </c>
      <c r="I1270" s="131" t="s">
        <v>87</v>
      </c>
      <c r="J1270" s="132" t="s">
        <v>102</v>
      </c>
      <c r="K1270" s="130" t="s">
        <v>645</v>
      </c>
      <c r="L1270" s="129" t="str">
        <f t="shared" si="19"/>
        <v>005-00000056</v>
      </c>
    </row>
    <row r="1271" spans="1:12" hidden="1" x14ac:dyDescent="0.25">
      <c r="A1271" s="130" t="s">
        <v>2059</v>
      </c>
      <c r="B1271" s="130" t="s">
        <v>2060</v>
      </c>
      <c r="C1271" s="132" t="s">
        <v>150</v>
      </c>
      <c r="D1271" s="129">
        <v>1</v>
      </c>
      <c r="E1271" s="129">
        <v>7.5217999999999998</v>
      </c>
      <c r="F1271" s="129">
        <v>7.521799999999998</v>
      </c>
      <c r="G1271" s="129">
        <v>25.4237</v>
      </c>
      <c r="H1271" s="129">
        <v>25.423700000000004</v>
      </c>
      <c r="I1271" s="131" t="s">
        <v>87</v>
      </c>
      <c r="J1271" s="132" t="s">
        <v>102</v>
      </c>
      <c r="K1271" s="130" t="s">
        <v>645</v>
      </c>
      <c r="L1271" s="129" t="str">
        <f t="shared" si="19"/>
        <v>005-00000056</v>
      </c>
    </row>
    <row r="1272" spans="1:12" hidden="1" x14ac:dyDescent="0.25">
      <c r="A1272" s="130" t="s">
        <v>2061</v>
      </c>
      <c r="B1272" s="130" t="s">
        <v>2062</v>
      </c>
      <c r="C1272" s="132" t="s">
        <v>150</v>
      </c>
      <c r="D1272" s="129">
        <v>1</v>
      </c>
      <c r="E1272" s="129">
        <v>7.5217999999999998</v>
      </c>
      <c r="F1272" s="129">
        <v>7.521799999999998</v>
      </c>
      <c r="G1272" s="129">
        <v>25.4237</v>
      </c>
      <c r="H1272" s="129">
        <v>25.423700000000004</v>
      </c>
      <c r="I1272" s="131" t="s">
        <v>87</v>
      </c>
      <c r="J1272" s="132" t="s">
        <v>102</v>
      </c>
      <c r="K1272" s="130" t="s">
        <v>645</v>
      </c>
      <c r="L1272" s="129" t="str">
        <f t="shared" si="19"/>
        <v>005-00000056</v>
      </c>
    </row>
    <row r="1273" spans="1:12" hidden="1" x14ac:dyDescent="0.25">
      <c r="A1273" s="130" t="s">
        <v>2063</v>
      </c>
      <c r="B1273" s="130" t="s">
        <v>2064</v>
      </c>
      <c r="C1273" s="132" t="s">
        <v>150</v>
      </c>
      <c r="D1273" s="129">
        <v>4</v>
      </c>
      <c r="E1273" s="129">
        <v>0.50139999000000002</v>
      </c>
      <c r="F1273" s="129">
        <v>2.0055999600000005</v>
      </c>
      <c r="G1273" s="129">
        <v>1.6949000000000001</v>
      </c>
      <c r="H1273" s="129">
        <v>6.7796000000000003</v>
      </c>
      <c r="I1273" s="131" t="s">
        <v>87</v>
      </c>
      <c r="J1273" s="132" t="s">
        <v>102</v>
      </c>
      <c r="K1273" s="130" t="s">
        <v>625</v>
      </c>
      <c r="L1273" s="129" t="str">
        <f t="shared" si="19"/>
        <v>005-00000106</v>
      </c>
    </row>
    <row r="1274" spans="1:12" hidden="1" x14ac:dyDescent="0.25">
      <c r="A1274" s="130" t="s">
        <v>358</v>
      </c>
      <c r="B1274" s="130" t="s">
        <v>359</v>
      </c>
      <c r="C1274" s="132" t="s">
        <v>150</v>
      </c>
      <c r="D1274" s="129">
        <v>1</v>
      </c>
      <c r="E1274" s="129">
        <v>6.3724999000000002</v>
      </c>
      <c r="F1274" s="129">
        <v>6.3724999000000011</v>
      </c>
      <c r="G1274" s="129">
        <v>21.59</v>
      </c>
      <c r="H1274" s="129">
        <v>21.59</v>
      </c>
      <c r="I1274" s="131" t="s">
        <v>87</v>
      </c>
      <c r="J1274" s="132" t="s">
        <v>102</v>
      </c>
      <c r="K1274" s="130" t="s">
        <v>2065</v>
      </c>
      <c r="L1274" s="129" t="str">
        <f t="shared" si="19"/>
        <v>005-00000242</v>
      </c>
    </row>
    <row r="1275" spans="1:12" hidden="1" x14ac:dyDescent="0.25">
      <c r="A1275" s="130" t="s">
        <v>451</v>
      </c>
      <c r="B1275" s="130" t="s">
        <v>452</v>
      </c>
      <c r="C1275" s="132" t="s">
        <v>150</v>
      </c>
      <c r="D1275" s="129">
        <v>1</v>
      </c>
      <c r="E1275" s="129">
        <v>7.5157999999999996</v>
      </c>
      <c r="F1275" s="129">
        <v>7.5157999999999996</v>
      </c>
      <c r="G1275" s="129">
        <v>24.465</v>
      </c>
      <c r="H1275" s="129">
        <v>24.465</v>
      </c>
      <c r="I1275" s="131" t="s">
        <v>87</v>
      </c>
      <c r="J1275" s="132" t="s">
        <v>102</v>
      </c>
      <c r="K1275" s="130" t="s">
        <v>2065</v>
      </c>
      <c r="L1275" s="129" t="str">
        <f t="shared" si="19"/>
        <v>005-00000242</v>
      </c>
    </row>
    <row r="1276" spans="1:12" hidden="1" x14ac:dyDescent="0.25">
      <c r="A1276" s="130" t="s">
        <v>376</v>
      </c>
      <c r="B1276" s="130" t="s">
        <v>377</v>
      </c>
      <c r="C1276" s="132" t="s">
        <v>153</v>
      </c>
      <c r="D1276" s="129">
        <v>1</v>
      </c>
      <c r="E1276" s="129">
        <v>47.639099000000009</v>
      </c>
      <c r="F1276" s="129">
        <v>47.639099000000016</v>
      </c>
      <c r="G1276" s="129">
        <v>161.02000000000001</v>
      </c>
      <c r="H1276" s="129">
        <v>161.02000000000001</v>
      </c>
      <c r="I1276" s="131" t="s">
        <v>87</v>
      </c>
      <c r="J1276" s="132" t="s">
        <v>102</v>
      </c>
      <c r="K1276" s="130" t="s">
        <v>2066</v>
      </c>
      <c r="L1276" s="129" t="str">
        <f t="shared" si="19"/>
        <v>005-00000248</v>
      </c>
    </row>
    <row r="1277" spans="1:12" hidden="1" x14ac:dyDescent="0.25">
      <c r="A1277" s="130" t="s">
        <v>419</v>
      </c>
      <c r="B1277" s="130" t="s">
        <v>420</v>
      </c>
      <c r="C1277" s="132" t="s">
        <v>153</v>
      </c>
      <c r="D1277" s="129">
        <v>1</v>
      </c>
      <c r="E1277" s="129">
        <v>27.474198999999999</v>
      </c>
      <c r="F1277" s="129">
        <v>27.474199000000002</v>
      </c>
      <c r="G1277" s="129">
        <v>93.220000999999996</v>
      </c>
      <c r="H1277" s="129">
        <v>93.220000999999968</v>
      </c>
      <c r="I1277" s="131" t="s">
        <v>87</v>
      </c>
      <c r="J1277" s="132" t="s">
        <v>102</v>
      </c>
      <c r="K1277" s="130" t="s">
        <v>2066</v>
      </c>
      <c r="L1277" s="129" t="str">
        <f t="shared" si="19"/>
        <v>005-00000248</v>
      </c>
    </row>
    <row r="1278" spans="1:12" hidden="1" x14ac:dyDescent="0.25">
      <c r="A1278" s="130" t="s">
        <v>2067</v>
      </c>
      <c r="B1278" s="130" t="s">
        <v>2068</v>
      </c>
      <c r="C1278" s="132" t="s">
        <v>150</v>
      </c>
      <c r="D1278" s="129">
        <v>1</v>
      </c>
      <c r="E1278" s="129">
        <v>13.789899999999999</v>
      </c>
      <c r="F1278" s="129">
        <v>13.789899999999998</v>
      </c>
      <c r="G1278" s="129">
        <v>46.61000099999999</v>
      </c>
      <c r="H1278" s="129">
        <v>46.610001000000004</v>
      </c>
      <c r="I1278" s="131" t="s">
        <v>87</v>
      </c>
      <c r="J1278" s="132" t="s">
        <v>102</v>
      </c>
      <c r="K1278" s="130" t="s">
        <v>2029</v>
      </c>
      <c r="L1278" s="129" t="str">
        <f t="shared" si="19"/>
        <v>005-00000236</v>
      </c>
    </row>
    <row r="1279" spans="1:12" hidden="1" x14ac:dyDescent="0.25">
      <c r="A1279" s="130" t="s">
        <v>401</v>
      </c>
      <c r="B1279" s="130" t="s">
        <v>402</v>
      </c>
      <c r="C1279" s="132" t="s">
        <v>150</v>
      </c>
      <c r="D1279" s="129">
        <v>1</v>
      </c>
      <c r="E1279" s="129">
        <v>5.0049000000000001</v>
      </c>
      <c r="F1279" s="129">
        <v>5.0049000000000001</v>
      </c>
      <c r="G1279" s="129">
        <v>16.949200000000001</v>
      </c>
      <c r="H1279" s="129">
        <v>16.949200000000001</v>
      </c>
      <c r="I1279" s="131" t="s">
        <v>87</v>
      </c>
      <c r="J1279" s="132" t="s">
        <v>102</v>
      </c>
      <c r="K1279" s="130" t="s">
        <v>1561</v>
      </c>
      <c r="L1279" s="129" t="str">
        <f t="shared" si="19"/>
        <v>005-00000197</v>
      </c>
    </row>
    <row r="1280" spans="1:12" hidden="1" x14ac:dyDescent="0.25">
      <c r="A1280" s="130" t="s">
        <v>222</v>
      </c>
      <c r="B1280" s="130" t="s">
        <v>223</v>
      </c>
      <c r="C1280" s="132" t="s">
        <v>150</v>
      </c>
      <c r="D1280" s="129">
        <v>1</v>
      </c>
      <c r="E1280" s="129">
        <v>6.2681998999999999</v>
      </c>
      <c r="F1280" s="129">
        <v>6.2681998999999999</v>
      </c>
      <c r="G1280" s="129">
        <v>21.186399000000002</v>
      </c>
      <c r="H1280" s="129">
        <v>21.186399000000002</v>
      </c>
      <c r="I1280" s="131" t="s">
        <v>87</v>
      </c>
      <c r="J1280" s="132" t="s">
        <v>102</v>
      </c>
      <c r="K1280" s="130" t="s">
        <v>1561</v>
      </c>
      <c r="L1280" s="129" t="str">
        <f t="shared" si="19"/>
        <v>005-00000197</v>
      </c>
    </row>
    <row r="1281" spans="1:12" hidden="1" x14ac:dyDescent="0.25">
      <c r="A1281" s="130" t="s">
        <v>222</v>
      </c>
      <c r="B1281" s="130" t="s">
        <v>223</v>
      </c>
      <c r="C1281" s="132" t="s">
        <v>150</v>
      </c>
      <c r="D1281" s="129">
        <v>1</v>
      </c>
      <c r="E1281" s="129">
        <v>12.488300000000002</v>
      </c>
      <c r="F1281" s="129">
        <v>12.488299999999999</v>
      </c>
      <c r="G1281" s="129">
        <v>42.372897999999992</v>
      </c>
      <c r="H1281" s="129">
        <v>42.372897999999985</v>
      </c>
      <c r="I1281" s="131" t="s">
        <v>87</v>
      </c>
      <c r="J1281" s="132" t="s">
        <v>102</v>
      </c>
      <c r="K1281" s="130" t="s">
        <v>1560</v>
      </c>
      <c r="L1281" s="129" t="str">
        <f t="shared" si="19"/>
        <v>005-00000194</v>
      </c>
    </row>
    <row r="1282" spans="1:12" hidden="1" x14ac:dyDescent="0.25">
      <c r="A1282" s="130" t="s">
        <v>401</v>
      </c>
      <c r="B1282" s="130" t="s">
        <v>402</v>
      </c>
      <c r="C1282" s="132" t="s">
        <v>150</v>
      </c>
      <c r="D1282" s="129">
        <v>1</v>
      </c>
      <c r="E1282" s="129">
        <v>6.2442001999999999</v>
      </c>
      <c r="F1282" s="129">
        <v>6.2442001999999999</v>
      </c>
      <c r="G1282" s="129">
        <v>21.186399000000002</v>
      </c>
      <c r="H1282" s="129">
        <v>21.186399000000002</v>
      </c>
      <c r="I1282" s="131" t="s">
        <v>87</v>
      </c>
      <c r="J1282" s="132" t="s">
        <v>102</v>
      </c>
      <c r="K1282" s="130" t="s">
        <v>1560</v>
      </c>
      <c r="L1282" s="129" t="str">
        <f t="shared" si="19"/>
        <v>005-00000194</v>
      </c>
    </row>
    <row r="1283" spans="1:12" hidden="1" x14ac:dyDescent="0.25">
      <c r="A1283" s="130" t="s">
        <v>735</v>
      </c>
      <c r="B1283" s="130" t="s">
        <v>736</v>
      </c>
      <c r="C1283" s="132" t="s">
        <v>150</v>
      </c>
      <c r="D1283" s="129">
        <v>1</v>
      </c>
      <c r="E1283" s="129">
        <v>5.4937000000000005</v>
      </c>
      <c r="F1283" s="129">
        <v>5.4936999999999987</v>
      </c>
      <c r="G1283" s="129">
        <v>18.639999</v>
      </c>
      <c r="H1283" s="129">
        <v>18.639999</v>
      </c>
      <c r="I1283" s="131" t="s">
        <v>87</v>
      </c>
      <c r="J1283" s="132" t="s">
        <v>102</v>
      </c>
      <c r="K1283" s="130" t="s">
        <v>2029</v>
      </c>
      <c r="L1283" s="129" t="str">
        <f t="shared" si="19"/>
        <v>005-00000236</v>
      </c>
    </row>
    <row r="1284" spans="1:12" hidden="1" x14ac:dyDescent="0.25">
      <c r="A1284" s="130" t="s">
        <v>1613</v>
      </c>
      <c r="B1284" s="130" t="s">
        <v>1614</v>
      </c>
      <c r="C1284" s="132" t="s">
        <v>153</v>
      </c>
      <c r="D1284" s="129">
        <v>1</v>
      </c>
      <c r="E1284" s="129">
        <v>24.976601000000002</v>
      </c>
      <c r="F1284" s="129">
        <v>24.976601000000006</v>
      </c>
      <c r="G1284" s="129">
        <v>84.745795999999984</v>
      </c>
      <c r="H1284" s="129">
        <v>84.74579599999997</v>
      </c>
      <c r="I1284" s="131" t="s">
        <v>87</v>
      </c>
      <c r="J1284" s="132" t="s">
        <v>102</v>
      </c>
      <c r="K1284" s="130" t="s">
        <v>2069</v>
      </c>
      <c r="L1284" s="129" t="str">
        <f t="shared" si="19"/>
        <v>005-00000207</v>
      </c>
    </row>
    <row r="1285" spans="1:12" hidden="1" x14ac:dyDescent="0.25">
      <c r="A1285" s="130" t="s">
        <v>2070</v>
      </c>
      <c r="B1285" s="130" t="s">
        <v>2071</v>
      </c>
      <c r="C1285" s="132" t="s">
        <v>153</v>
      </c>
      <c r="D1285" s="129">
        <v>1</v>
      </c>
      <c r="E1285" s="129">
        <v>79.925301000000005</v>
      </c>
      <c r="F1285" s="129">
        <v>79.925301000000005</v>
      </c>
      <c r="G1285" s="129">
        <v>271.18639999999999</v>
      </c>
      <c r="H1285" s="129">
        <v>271.18639999999999</v>
      </c>
      <c r="I1285" s="131" t="s">
        <v>87</v>
      </c>
      <c r="J1285" s="132" t="s">
        <v>102</v>
      </c>
      <c r="K1285" s="130" t="s">
        <v>2069</v>
      </c>
      <c r="L1285" s="129" t="str">
        <f t="shared" ref="L1285:L1348" si="20">CONCATENATE(J1285,"-",K1285)</f>
        <v>005-00000207</v>
      </c>
    </row>
    <row r="1286" spans="1:12" hidden="1" x14ac:dyDescent="0.25">
      <c r="A1286" s="130" t="s">
        <v>1618</v>
      </c>
      <c r="B1286" s="130" t="s">
        <v>1619</v>
      </c>
      <c r="C1286" s="132" t="s">
        <v>226</v>
      </c>
      <c r="D1286" s="129">
        <v>1</v>
      </c>
      <c r="E1286" s="129">
        <v>69.934601000000001</v>
      </c>
      <c r="F1286" s="129">
        <v>69.934601000000001</v>
      </c>
      <c r="G1286" s="129">
        <v>237.28809999999999</v>
      </c>
      <c r="H1286" s="129">
        <v>237.28809999999999</v>
      </c>
      <c r="I1286" s="131" t="s">
        <v>87</v>
      </c>
      <c r="J1286" s="132" t="s">
        <v>102</v>
      </c>
      <c r="K1286" s="130" t="s">
        <v>2069</v>
      </c>
      <c r="L1286" s="129" t="str">
        <f t="shared" si="20"/>
        <v>005-00000207</v>
      </c>
    </row>
    <row r="1287" spans="1:12" hidden="1" x14ac:dyDescent="0.25">
      <c r="A1287" s="130" t="s">
        <v>1620</v>
      </c>
      <c r="B1287" s="130" t="s">
        <v>1621</v>
      </c>
      <c r="C1287" s="132" t="s">
        <v>153</v>
      </c>
      <c r="D1287" s="129">
        <v>1</v>
      </c>
      <c r="E1287" s="129">
        <v>74.929901000000001</v>
      </c>
      <c r="F1287" s="129">
        <v>74.929900999999987</v>
      </c>
      <c r="G1287" s="129">
        <v>254.2373</v>
      </c>
      <c r="H1287" s="129">
        <v>254.23729999999995</v>
      </c>
      <c r="I1287" s="131" t="s">
        <v>87</v>
      </c>
      <c r="J1287" s="132" t="s">
        <v>102</v>
      </c>
      <c r="K1287" s="130" t="s">
        <v>2069</v>
      </c>
      <c r="L1287" s="129" t="str">
        <f t="shared" si="20"/>
        <v>005-00000207</v>
      </c>
    </row>
    <row r="1288" spans="1:12" hidden="1" x14ac:dyDescent="0.25">
      <c r="A1288" s="130" t="s">
        <v>1626</v>
      </c>
      <c r="B1288" s="130" t="s">
        <v>1627</v>
      </c>
      <c r="C1288" s="132" t="s">
        <v>153</v>
      </c>
      <c r="D1288" s="129">
        <v>1</v>
      </c>
      <c r="E1288" s="129">
        <v>17.483699999999999</v>
      </c>
      <c r="F1288" s="129">
        <v>17.483699999999999</v>
      </c>
      <c r="G1288" s="129">
        <v>59.321998999999998</v>
      </c>
      <c r="H1288" s="129">
        <v>59.321998999999998</v>
      </c>
      <c r="I1288" s="131" t="s">
        <v>87</v>
      </c>
      <c r="J1288" s="132" t="s">
        <v>102</v>
      </c>
      <c r="K1288" s="130" t="s">
        <v>2069</v>
      </c>
      <c r="L1288" s="129" t="str">
        <f t="shared" si="20"/>
        <v>005-00000207</v>
      </c>
    </row>
    <row r="1289" spans="1:12" hidden="1" x14ac:dyDescent="0.25">
      <c r="A1289" s="130" t="s">
        <v>1624</v>
      </c>
      <c r="B1289" s="130" t="s">
        <v>1625</v>
      </c>
      <c r="C1289" s="132" t="s">
        <v>153</v>
      </c>
      <c r="D1289" s="129">
        <v>1</v>
      </c>
      <c r="E1289" s="129">
        <v>23.727799999999998</v>
      </c>
      <c r="F1289" s="129">
        <v>23.727800000000002</v>
      </c>
      <c r="G1289" s="129">
        <v>80.508499</v>
      </c>
      <c r="H1289" s="129">
        <v>80.508499</v>
      </c>
      <c r="I1289" s="131" t="s">
        <v>87</v>
      </c>
      <c r="J1289" s="132" t="s">
        <v>102</v>
      </c>
      <c r="K1289" s="130" t="s">
        <v>2069</v>
      </c>
      <c r="L1289" s="129" t="str">
        <f t="shared" si="20"/>
        <v>005-00000207</v>
      </c>
    </row>
    <row r="1290" spans="1:12" hidden="1" x14ac:dyDescent="0.25">
      <c r="A1290" s="130" t="s">
        <v>1628</v>
      </c>
      <c r="B1290" s="130" t="s">
        <v>1629</v>
      </c>
      <c r="C1290" s="132" t="s">
        <v>153</v>
      </c>
      <c r="D1290" s="129">
        <v>1</v>
      </c>
      <c r="E1290" s="129">
        <v>7.4930000000000003</v>
      </c>
      <c r="F1290" s="129">
        <v>7.4930000000000003</v>
      </c>
      <c r="G1290" s="129">
        <v>25.4237</v>
      </c>
      <c r="H1290" s="129">
        <v>25.423700000000004</v>
      </c>
      <c r="I1290" s="131" t="s">
        <v>87</v>
      </c>
      <c r="J1290" s="132" t="s">
        <v>102</v>
      </c>
      <c r="K1290" s="130" t="s">
        <v>2069</v>
      </c>
      <c r="L1290" s="129" t="str">
        <f t="shared" si="20"/>
        <v>005-00000207</v>
      </c>
    </row>
    <row r="1291" spans="1:12" hidden="1" x14ac:dyDescent="0.25">
      <c r="A1291" s="130" t="s">
        <v>1604</v>
      </c>
      <c r="B1291" s="130" t="s">
        <v>1605</v>
      </c>
      <c r="C1291" s="132" t="s">
        <v>153</v>
      </c>
      <c r="D1291" s="129">
        <v>1</v>
      </c>
      <c r="E1291" s="129">
        <v>32.469600999999997</v>
      </c>
      <c r="F1291" s="129">
        <v>32.469600999999997</v>
      </c>
      <c r="G1291" s="129">
        <v>110.16950000000001</v>
      </c>
      <c r="H1291" s="129">
        <v>110.16950000000003</v>
      </c>
      <c r="I1291" s="131" t="s">
        <v>87</v>
      </c>
      <c r="J1291" s="132" t="s">
        <v>102</v>
      </c>
      <c r="K1291" s="130" t="s">
        <v>2069</v>
      </c>
      <c r="L1291" s="129" t="str">
        <f t="shared" si="20"/>
        <v>005-00000207</v>
      </c>
    </row>
    <row r="1292" spans="1:12" hidden="1" x14ac:dyDescent="0.25">
      <c r="A1292" s="130" t="s">
        <v>1622</v>
      </c>
      <c r="B1292" s="130" t="s">
        <v>1623</v>
      </c>
      <c r="C1292" s="132" t="s">
        <v>153</v>
      </c>
      <c r="D1292" s="129">
        <v>1</v>
      </c>
      <c r="E1292" s="129">
        <v>47.455601000000009</v>
      </c>
      <c r="F1292" s="129">
        <v>47.455601000000016</v>
      </c>
      <c r="G1292" s="129">
        <v>161.01691</v>
      </c>
      <c r="H1292" s="129">
        <v>161.01691</v>
      </c>
      <c r="I1292" s="131" t="s">
        <v>87</v>
      </c>
      <c r="J1292" s="132" t="s">
        <v>102</v>
      </c>
      <c r="K1292" s="130" t="s">
        <v>2069</v>
      </c>
      <c r="L1292" s="129" t="str">
        <f t="shared" si="20"/>
        <v>005-00000207</v>
      </c>
    </row>
    <row r="1293" spans="1:12" hidden="1" x14ac:dyDescent="0.25">
      <c r="A1293" s="130" t="s">
        <v>1611</v>
      </c>
      <c r="B1293" s="130" t="s">
        <v>1612</v>
      </c>
      <c r="C1293" s="132" t="s">
        <v>150</v>
      </c>
      <c r="D1293" s="129">
        <v>1</v>
      </c>
      <c r="E1293" s="129">
        <v>874.18280000000004</v>
      </c>
      <c r="F1293" s="129">
        <v>874.18280000000016</v>
      </c>
      <c r="G1293" s="129">
        <v>2966.1021000000001</v>
      </c>
      <c r="H1293" s="129">
        <v>2966.1020999999996</v>
      </c>
      <c r="I1293" s="131" t="s">
        <v>87</v>
      </c>
      <c r="J1293" s="132" t="s">
        <v>102</v>
      </c>
      <c r="K1293" s="130" t="s">
        <v>2069</v>
      </c>
      <c r="L1293" s="129" t="str">
        <f t="shared" si="20"/>
        <v>005-00000207</v>
      </c>
    </row>
    <row r="1294" spans="1:12" hidden="1" x14ac:dyDescent="0.25">
      <c r="A1294" s="130" t="s">
        <v>1468</v>
      </c>
      <c r="B1294" s="130" t="s">
        <v>1469</v>
      </c>
      <c r="C1294" s="132" t="s">
        <v>150</v>
      </c>
      <c r="D1294" s="129">
        <v>1</v>
      </c>
      <c r="E1294" s="129">
        <v>47.455601000000009</v>
      </c>
      <c r="F1294" s="129">
        <v>47.455601000000016</v>
      </c>
      <c r="G1294" s="129">
        <v>161.01691</v>
      </c>
      <c r="H1294" s="129">
        <v>161.01691</v>
      </c>
      <c r="I1294" s="131" t="s">
        <v>87</v>
      </c>
      <c r="J1294" s="132" t="s">
        <v>102</v>
      </c>
      <c r="K1294" s="130" t="s">
        <v>2069</v>
      </c>
      <c r="L1294" s="129" t="str">
        <f t="shared" si="20"/>
        <v>005-00000207</v>
      </c>
    </row>
    <row r="1295" spans="1:12" hidden="1" x14ac:dyDescent="0.25">
      <c r="A1295" s="130" t="s">
        <v>241</v>
      </c>
      <c r="B1295" s="130" t="s">
        <v>242</v>
      </c>
      <c r="C1295" s="132" t="s">
        <v>150</v>
      </c>
      <c r="D1295" s="129">
        <v>1</v>
      </c>
      <c r="E1295" s="129">
        <v>16.2348</v>
      </c>
      <c r="F1295" s="129">
        <v>16.234800000000003</v>
      </c>
      <c r="G1295" s="129">
        <v>55.084702</v>
      </c>
      <c r="H1295" s="129">
        <v>55.084702</v>
      </c>
      <c r="I1295" s="131" t="s">
        <v>87</v>
      </c>
      <c r="J1295" s="132" t="s">
        <v>102</v>
      </c>
      <c r="K1295" s="130" t="s">
        <v>2069</v>
      </c>
      <c r="L1295" s="129" t="str">
        <f t="shared" si="20"/>
        <v>005-00000207</v>
      </c>
    </row>
    <row r="1296" spans="1:12" hidden="1" x14ac:dyDescent="0.25">
      <c r="A1296" s="130" t="s">
        <v>2063</v>
      </c>
      <c r="B1296" s="130" t="s">
        <v>2064</v>
      </c>
      <c r="C1296" s="132" t="s">
        <v>150</v>
      </c>
      <c r="D1296" s="129">
        <v>1</v>
      </c>
      <c r="E1296" s="129">
        <v>1.2533000000000001</v>
      </c>
      <c r="F1296" s="129">
        <v>1.2533000000000003</v>
      </c>
      <c r="G1296" s="129">
        <v>4.2399997999999997</v>
      </c>
      <c r="H1296" s="129">
        <v>4.2399997999999997</v>
      </c>
      <c r="I1296" s="131" t="s">
        <v>87</v>
      </c>
      <c r="J1296" s="132" t="s">
        <v>102</v>
      </c>
      <c r="K1296" s="130" t="s">
        <v>1554</v>
      </c>
      <c r="L1296" s="129" t="str">
        <f t="shared" si="20"/>
        <v>005-00000196</v>
      </c>
    </row>
    <row r="1297" spans="1:12" hidden="1" x14ac:dyDescent="0.25">
      <c r="A1297" s="130" t="s">
        <v>309</v>
      </c>
      <c r="B1297" s="130" t="s">
        <v>310</v>
      </c>
      <c r="C1297" s="132" t="s">
        <v>150</v>
      </c>
      <c r="D1297" s="129">
        <v>2</v>
      </c>
      <c r="E1297" s="129">
        <v>1.5031000000000001</v>
      </c>
      <c r="F1297" s="129">
        <v>3.0062000000000006</v>
      </c>
      <c r="G1297" s="129">
        <v>5.085</v>
      </c>
      <c r="H1297" s="129">
        <v>10.17</v>
      </c>
      <c r="I1297" s="131" t="s">
        <v>87</v>
      </c>
      <c r="J1297" s="132" t="s">
        <v>102</v>
      </c>
      <c r="K1297" s="130" t="s">
        <v>2042</v>
      </c>
      <c r="L1297" s="129" t="str">
        <f t="shared" si="20"/>
        <v>005-00000244</v>
      </c>
    </row>
    <row r="1298" spans="1:12" hidden="1" x14ac:dyDescent="0.25">
      <c r="A1298" s="130" t="s">
        <v>309</v>
      </c>
      <c r="B1298" s="130" t="s">
        <v>310</v>
      </c>
      <c r="C1298" s="132" t="s">
        <v>150</v>
      </c>
      <c r="D1298" s="129">
        <v>1</v>
      </c>
      <c r="E1298" s="129">
        <v>1.4987000000000001</v>
      </c>
      <c r="F1298" s="129">
        <v>1.4987000000000001</v>
      </c>
      <c r="G1298" s="129">
        <v>5.085</v>
      </c>
      <c r="H1298" s="129">
        <v>5.085</v>
      </c>
      <c r="I1298" s="131" t="s">
        <v>87</v>
      </c>
      <c r="J1298" s="132" t="s">
        <v>102</v>
      </c>
      <c r="K1298" s="130" t="s">
        <v>2066</v>
      </c>
      <c r="L1298" s="129" t="str">
        <f t="shared" si="20"/>
        <v>005-00000248</v>
      </c>
    </row>
    <row r="1299" spans="1:12" hidden="1" x14ac:dyDescent="0.25">
      <c r="A1299" s="130" t="s">
        <v>309</v>
      </c>
      <c r="B1299" s="130" t="s">
        <v>310</v>
      </c>
      <c r="C1299" s="132" t="s">
        <v>150</v>
      </c>
      <c r="D1299" s="129">
        <v>1</v>
      </c>
      <c r="E1299" s="129">
        <v>1.4987000000000001</v>
      </c>
      <c r="F1299" s="129">
        <v>1.4987000000000001</v>
      </c>
      <c r="G1299" s="129">
        <v>5.085</v>
      </c>
      <c r="H1299" s="129">
        <v>5.085</v>
      </c>
      <c r="I1299" s="131" t="s">
        <v>87</v>
      </c>
      <c r="J1299" s="132" t="s">
        <v>102</v>
      </c>
      <c r="K1299" s="130" t="s">
        <v>1560</v>
      </c>
      <c r="L1299" s="129" t="str">
        <f t="shared" si="20"/>
        <v>005-00000194</v>
      </c>
    </row>
    <row r="1300" spans="1:12" hidden="1" x14ac:dyDescent="0.25">
      <c r="A1300" s="130" t="s">
        <v>1640</v>
      </c>
      <c r="B1300" s="130" t="s">
        <v>1641</v>
      </c>
      <c r="C1300" s="132" t="s">
        <v>150</v>
      </c>
      <c r="D1300" s="129">
        <v>1</v>
      </c>
      <c r="E1300" s="129">
        <v>19.982299999999999</v>
      </c>
      <c r="F1300" s="129">
        <v>19.982299999999995</v>
      </c>
      <c r="G1300" s="129">
        <v>67.800003000000004</v>
      </c>
      <c r="H1300" s="129">
        <v>67.800003000000004</v>
      </c>
      <c r="I1300" s="131" t="s">
        <v>87</v>
      </c>
      <c r="J1300" s="132" t="s">
        <v>102</v>
      </c>
      <c r="K1300" s="130" t="s">
        <v>1560</v>
      </c>
      <c r="L1300" s="129" t="str">
        <f t="shared" si="20"/>
        <v>005-00000194</v>
      </c>
    </row>
    <row r="1301" spans="1:12" hidden="1" x14ac:dyDescent="0.25">
      <c r="A1301" s="130" t="s">
        <v>1638</v>
      </c>
      <c r="B1301" s="130" t="s">
        <v>1639</v>
      </c>
      <c r="C1301" s="132" t="s">
        <v>150</v>
      </c>
      <c r="D1301" s="129">
        <v>1</v>
      </c>
      <c r="E1301" s="129">
        <v>0.75249999999999995</v>
      </c>
      <c r="F1301" s="129">
        <v>0.75249999999999995</v>
      </c>
      <c r="G1301" s="129">
        <v>2.5432999000000001</v>
      </c>
      <c r="H1301" s="129">
        <v>2.5432999000000005</v>
      </c>
      <c r="I1301" s="131" t="s">
        <v>87</v>
      </c>
      <c r="J1301" s="132" t="s">
        <v>102</v>
      </c>
      <c r="K1301" s="130" t="s">
        <v>1554</v>
      </c>
      <c r="L1301" s="129" t="str">
        <f t="shared" si="20"/>
        <v>005-00000196</v>
      </c>
    </row>
    <row r="1302" spans="1:12" hidden="1" x14ac:dyDescent="0.25">
      <c r="A1302" s="130" t="s">
        <v>1638</v>
      </c>
      <c r="B1302" s="130" t="s">
        <v>1639</v>
      </c>
      <c r="C1302" s="132" t="s">
        <v>150</v>
      </c>
      <c r="D1302" s="129">
        <v>1</v>
      </c>
      <c r="E1302" s="129">
        <v>0.59939998000000005</v>
      </c>
      <c r="F1302" s="129">
        <v>0.59939998000000005</v>
      </c>
      <c r="G1302" s="129">
        <v>2.0339</v>
      </c>
      <c r="H1302" s="129">
        <v>2.0339</v>
      </c>
      <c r="I1302" s="131" t="s">
        <v>87</v>
      </c>
      <c r="J1302" s="132" t="s">
        <v>102</v>
      </c>
      <c r="K1302" s="130" t="s">
        <v>1560</v>
      </c>
      <c r="L1302" s="129" t="str">
        <f t="shared" si="20"/>
        <v>005-00000194</v>
      </c>
    </row>
    <row r="1303" spans="1:12" hidden="1" x14ac:dyDescent="0.25">
      <c r="A1303" s="130" t="s">
        <v>1638</v>
      </c>
      <c r="B1303" s="130" t="s">
        <v>1639</v>
      </c>
      <c r="C1303" s="132" t="s">
        <v>150</v>
      </c>
      <c r="D1303" s="129">
        <v>1</v>
      </c>
      <c r="E1303" s="129">
        <v>0.59939998000000005</v>
      </c>
      <c r="F1303" s="129">
        <v>0.59939998000000005</v>
      </c>
      <c r="G1303" s="129">
        <v>2.0339</v>
      </c>
      <c r="H1303" s="129">
        <v>2.0339</v>
      </c>
      <c r="I1303" s="131" t="s">
        <v>87</v>
      </c>
      <c r="J1303" s="132" t="s">
        <v>102</v>
      </c>
      <c r="K1303" s="130" t="s">
        <v>631</v>
      </c>
      <c r="L1303" s="129" t="str">
        <f t="shared" si="20"/>
        <v>005-00000079</v>
      </c>
    </row>
    <row r="1304" spans="1:12" hidden="1" x14ac:dyDescent="0.25">
      <c r="A1304" s="130" t="s">
        <v>1044</v>
      </c>
      <c r="B1304" s="130" t="s">
        <v>1045</v>
      </c>
      <c r="C1304" s="132" t="s">
        <v>153</v>
      </c>
      <c r="D1304" s="129">
        <v>1</v>
      </c>
      <c r="E1304" s="129">
        <v>10.019399999999999</v>
      </c>
      <c r="F1304" s="129">
        <v>10.019399999999999</v>
      </c>
      <c r="G1304" s="129">
        <v>33.897998999999999</v>
      </c>
      <c r="H1304" s="129">
        <v>33.897998999999999</v>
      </c>
      <c r="I1304" s="131" t="s">
        <v>87</v>
      </c>
      <c r="J1304" s="132" t="s">
        <v>102</v>
      </c>
      <c r="K1304" s="130" t="s">
        <v>1560</v>
      </c>
      <c r="L1304" s="129" t="str">
        <f t="shared" si="20"/>
        <v>005-00000194</v>
      </c>
    </row>
    <row r="1305" spans="1:12" hidden="1" x14ac:dyDescent="0.25">
      <c r="A1305" s="130" t="s">
        <v>1028</v>
      </c>
      <c r="B1305" s="130" t="s">
        <v>1029</v>
      </c>
      <c r="C1305" s="132" t="s">
        <v>150</v>
      </c>
      <c r="D1305" s="129">
        <v>1</v>
      </c>
      <c r="E1305" s="129">
        <v>1.5079</v>
      </c>
      <c r="F1305" s="129">
        <v>1.5078999999999996</v>
      </c>
      <c r="G1305" s="129">
        <v>5.0847001000000001</v>
      </c>
      <c r="H1305" s="129">
        <v>5.0847001000000001</v>
      </c>
      <c r="I1305" s="131" t="s">
        <v>87</v>
      </c>
      <c r="J1305" s="132" t="s">
        <v>102</v>
      </c>
      <c r="K1305" s="130" t="s">
        <v>1560</v>
      </c>
      <c r="L1305" s="129" t="str">
        <f t="shared" si="20"/>
        <v>005-00000194</v>
      </c>
    </row>
    <row r="1306" spans="1:12" hidden="1" x14ac:dyDescent="0.25">
      <c r="A1306" s="130" t="s">
        <v>1030</v>
      </c>
      <c r="B1306" s="130" t="s">
        <v>1031</v>
      </c>
      <c r="C1306" s="132" t="s">
        <v>150</v>
      </c>
      <c r="D1306" s="129">
        <v>1</v>
      </c>
      <c r="E1306" s="129">
        <v>2.0106001</v>
      </c>
      <c r="F1306" s="129">
        <v>2.0106001</v>
      </c>
      <c r="G1306" s="129">
        <v>6.7796998000000004</v>
      </c>
      <c r="H1306" s="129">
        <v>6.7796998000000022</v>
      </c>
      <c r="I1306" s="131" t="s">
        <v>87</v>
      </c>
      <c r="J1306" s="132" t="s">
        <v>102</v>
      </c>
      <c r="K1306" s="130" t="s">
        <v>1560</v>
      </c>
      <c r="L1306" s="129" t="str">
        <f t="shared" si="20"/>
        <v>005-00000194</v>
      </c>
    </row>
    <row r="1307" spans="1:12" hidden="1" x14ac:dyDescent="0.25">
      <c r="A1307" s="130" t="s">
        <v>1034</v>
      </c>
      <c r="B1307" s="130" t="s">
        <v>1035</v>
      </c>
      <c r="C1307" s="132" t="s">
        <v>88</v>
      </c>
      <c r="D1307" s="129">
        <v>1</v>
      </c>
      <c r="E1307" s="129">
        <v>10.5677</v>
      </c>
      <c r="F1307" s="129">
        <v>10.567700000000002</v>
      </c>
      <c r="G1307" s="129">
        <v>35.745998</v>
      </c>
      <c r="H1307" s="129">
        <v>35.745998</v>
      </c>
      <c r="I1307" s="131" t="s">
        <v>87</v>
      </c>
      <c r="J1307" s="132" t="s">
        <v>102</v>
      </c>
      <c r="K1307" s="130" t="s">
        <v>1560</v>
      </c>
      <c r="L1307" s="129" t="str">
        <f t="shared" si="20"/>
        <v>005-00000194</v>
      </c>
    </row>
    <row r="1308" spans="1:12" hidden="1" x14ac:dyDescent="0.25">
      <c r="A1308" s="130" t="s">
        <v>1466</v>
      </c>
      <c r="B1308" s="130" t="s">
        <v>1467</v>
      </c>
      <c r="C1308" s="132" t="s">
        <v>88</v>
      </c>
      <c r="D1308" s="129">
        <v>1</v>
      </c>
      <c r="E1308" s="129">
        <v>9.2980003</v>
      </c>
      <c r="F1308" s="129">
        <v>9.2980002999999982</v>
      </c>
      <c r="G1308" s="129">
        <v>31.138999999999999</v>
      </c>
      <c r="H1308" s="129">
        <v>31.138999999999996</v>
      </c>
      <c r="I1308" s="131" t="s">
        <v>87</v>
      </c>
      <c r="J1308" s="132" t="s">
        <v>102</v>
      </c>
      <c r="K1308" s="130" t="s">
        <v>1560</v>
      </c>
      <c r="L1308" s="129" t="str">
        <f t="shared" si="20"/>
        <v>005-00000194</v>
      </c>
    </row>
    <row r="1309" spans="1:12" hidden="1" x14ac:dyDescent="0.25">
      <c r="A1309" s="130" t="s">
        <v>409</v>
      </c>
      <c r="B1309" s="130" t="s">
        <v>408</v>
      </c>
      <c r="C1309" s="132" t="s">
        <v>150</v>
      </c>
      <c r="D1309" s="129">
        <v>4</v>
      </c>
      <c r="E1309" s="129">
        <v>1.4915</v>
      </c>
      <c r="F1309" s="129">
        <v>5.9659999999999993</v>
      </c>
      <c r="G1309" s="129">
        <v>6.1016002</v>
      </c>
      <c r="H1309" s="129">
        <v>24.406400800000007</v>
      </c>
      <c r="I1309" s="131" t="s">
        <v>87</v>
      </c>
      <c r="J1309" s="132" t="s">
        <v>102</v>
      </c>
      <c r="K1309" s="130" t="s">
        <v>1560</v>
      </c>
      <c r="L1309" s="129" t="str">
        <f t="shared" si="20"/>
        <v>005-00000194</v>
      </c>
    </row>
    <row r="1310" spans="1:12" hidden="1" x14ac:dyDescent="0.25">
      <c r="A1310" s="130" t="s">
        <v>1586</v>
      </c>
      <c r="B1310" s="130" t="s">
        <v>1587</v>
      </c>
      <c r="C1310" s="132" t="s">
        <v>153</v>
      </c>
      <c r="D1310" s="129">
        <v>1</v>
      </c>
      <c r="E1310" s="129">
        <v>6.2625999000000006</v>
      </c>
      <c r="F1310" s="129">
        <v>6.2625999000000006</v>
      </c>
      <c r="G1310" s="129">
        <v>21.186399000000002</v>
      </c>
      <c r="H1310" s="129">
        <v>21.186399000000002</v>
      </c>
      <c r="I1310" s="131" t="s">
        <v>87</v>
      </c>
      <c r="J1310" s="132" t="s">
        <v>102</v>
      </c>
      <c r="K1310" s="130" t="s">
        <v>1560</v>
      </c>
      <c r="L1310" s="129" t="str">
        <f t="shared" si="20"/>
        <v>005-00000194</v>
      </c>
    </row>
    <row r="1311" spans="1:12" hidden="1" x14ac:dyDescent="0.25">
      <c r="A1311" s="130" t="s">
        <v>227</v>
      </c>
      <c r="B1311" s="130" t="s">
        <v>194</v>
      </c>
      <c r="C1311" s="132" t="s">
        <v>88</v>
      </c>
      <c r="D1311" s="129">
        <v>1</v>
      </c>
      <c r="E1311" s="129">
        <v>1.6415</v>
      </c>
      <c r="F1311" s="129">
        <v>1.6414999999999997</v>
      </c>
      <c r="G1311" s="129">
        <v>5.4759001999999999</v>
      </c>
      <c r="H1311" s="129">
        <v>5.4759001999999999</v>
      </c>
      <c r="I1311" s="131" t="s">
        <v>87</v>
      </c>
      <c r="J1311" s="132" t="s">
        <v>102</v>
      </c>
      <c r="K1311" s="130" t="s">
        <v>1560</v>
      </c>
      <c r="L1311" s="129" t="str">
        <f t="shared" si="20"/>
        <v>005-00000194</v>
      </c>
    </row>
    <row r="1312" spans="1:12" hidden="1" x14ac:dyDescent="0.25">
      <c r="A1312" s="130" t="s">
        <v>544</v>
      </c>
      <c r="B1312" s="130" t="s">
        <v>545</v>
      </c>
      <c r="C1312" s="132" t="s">
        <v>150</v>
      </c>
      <c r="D1312" s="129">
        <v>1</v>
      </c>
      <c r="E1312" s="129">
        <v>2.5007999000000001</v>
      </c>
      <c r="F1312" s="129">
        <v>2.5007999000000005</v>
      </c>
      <c r="G1312" s="129">
        <v>8.4745998</v>
      </c>
      <c r="H1312" s="129">
        <v>8.4745998</v>
      </c>
      <c r="I1312" s="131" t="s">
        <v>87</v>
      </c>
      <c r="J1312" s="132" t="s">
        <v>102</v>
      </c>
      <c r="K1312" s="130" t="s">
        <v>1560</v>
      </c>
      <c r="L1312" s="129" t="str">
        <f t="shared" si="20"/>
        <v>005-00000194</v>
      </c>
    </row>
    <row r="1313" spans="1:12" hidden="1" x14ac:dyDescent="0.25">
      <c r="A1313" s="130" t="s">
        <v>1044</v>
      </c>
      <c r="B1313" s="130" t="s">
        <v>1045</v>
      </c>
      <c r="C1313" s="132" t="s">
        <v>153</v>
      </c>
      <c r="D1313" s="129">
        <v>1</v>
      </c>
      <c r="E1313" s="129">
        <v>10.019399999999999</v>
      </c>
      <c r="F1313" s="129">
        <v>10.019399999999999</v>
      </c>
      <c r="G1313" s="129">
        <v>33.897998999999999</v>
      </c>
      <c r="H1313" s="129">
        <v>33.897998999999999</v>
      </c>
      <c r="I1313" s="131" t="s">
        <v>87</v>
      </c>
      <c r="J1313" s="132" t="s">
        <v>102</v>
      </c>
      <c r="K1313" s="130" t="s">
        <v>1559</v>
      </c>
      <c r="L1313" s="129" t="str">
        <f t="shared" si="20"/>
        <v>005-00000195</v>
      </c>
    </row>
    <row r="1314" spans="1:12" hidden="1" x14ac:dyDescent="0.25">
      <c r="A1314" s="130" t="s">
        <v>329</v>
      </c>
      <c r="B1314" s="130" t="s">
        <v>330</v>
      </c>
      <c r="C1314" s="132" t="s">
        <v>150</v>
      </c>
      <c r="D1314" s="129">
        <v>1</v>
      </c>
      <c r="E1314" s="129">
        <v>2.7613001000000001</v>
      </c>
      <c r="F1314" s="129">
        <v>2.7613001000000001</v>
      </c>
      <c r="G1314" s="129">
        <v>9.3219995000000004</v>
      </c>
      <c r="H1314" s="129">
        <v>9.3219995000000004</v>
      </c>
      <c r="I1314" s="131" t="s">
        <v>87</v>
      </c>
      <c r="J1314" s="132" t="s">
        <v>102</v>
      </c>
      <c r="K1314" s="130" t="s">
        <v>647</v>
      </c>
      <c r="L1314" s="129" t="str">
        <f t="shared" si="20"/>
        <v>005-00000054</v>
      </c>
    </row>
    <row r="1315" spans="1:12" hidden="1" x14ac:dyDescent="0.25">
      <c r="A1315" s="130" t="s">
        <v>1463</v>
      </c>
      <c r="B1315" s="130" t="s">
        <v>1464</v>
      </c>
      <c r="C1315" s="132" t="s">
        <v>150</v>
      </c>
      <c r="D1315" s="129">
        <v>1</v>
      </c>
      <c r="E1315" s="129">
        <v>10.7622</v>
      </c>
      <c r="F1315" s="129">
        <v>10.7622</v>
      </c>
      <c r="G1315" s="129">
        <v>36.440700999999997</v>
      </c>
      <c r="H1315" s="129">
        <v>36.440701000000004</v>
      </c>
      <c r="I1315" s="131" t="s">
        <v>87</v>
      </c>
      <c r="J1315" s="132" t="s">
        <v>102</v>
      </c>
      <c r="K1315" s="130" t="s">
        <v>1561</v>
      </c>
      <c r="L1315" s="129" t="str">
        <f t="shared" si="20"/>
        <v>005-00000197</v>
      </c>
    </row>
    <row r="1316" spans="1:12" hidden="1" x14ac:dyDescent="0.25">
      <c r="A1316" s="130" t="s">
        <v>232</v>
      </c>
      <c r="B1316" s="130" t="s">
        <v>233</v>
      </c>
      <c r="C1316" s="132" t="s">
        <v>150</v>
      </c>
      <c r="D1316" s="129">
        <v>2</v>
      </c>
      <c r="E1316" s="129">
        <v>1.3925000000000001</v>
      </c>
      <c r="F1316" s="129">
        <v>2.7850000000000001</v>
      </c>
      <c r="G1316" s="129">
        <v>4.6609997999999999</v>
      </c>
      <c r="H1316" s="129">
        <v>9.3219995999999998</v>
      </c>
      <c r="I1316" s="131" t="s">
        <v>87</v>
      </c>
      <c r="J1316" s="132" t="s">
        <v>102</v>
      </c>
      <c r="K1316" s="130" t="s">
        <v>1561</v>
      </c>
      <c r="L1316" s="129" t="str">
        <f t="shared" si="20"/>
        <v>005-00000197</v>
      </c>
    </row>
    <row r="1317" spans="1:12" hidden="1" x14ac:dyDescent="0.25">
      <c r="A1317" s="130" t="s">
        <v>227</v>
      </c>
      <c r="B1317" s="130" t="s">
        <v>194</v>
      </c>
      <c r="C1317" s="132" t="s">
        <v>88</v>
      </c>
      <c r="D1317" s="129">
        <v>1</v>
      </c>
      <c r="E1317" s="129">
        <v>1.6415</v>
      </c>
      <c r="F1317" s="129">
        <v>1.6414999999999997</v>
      </c>
      <c r="G1317" s="129">
        <v>5.4759001999999999</v>
      </c>
      <c r="H1317" s="129">
        <v>5.4759001999999999</v>
      </c>
      <c r="I1317" s="131" t="s">
        <v>87</v>
      </c>
      <c r="J1317" s="132" t="s">
        <v>102</v>
      </c>
      <c r="K1317" s="130" t="s">
        <v>1853</v>
      </c>
      <c r="L1317" s="129" t="str">
        <f t="shared" si="20"/>
        <v>005-00000094</v>
      </c>
    </row>
    <row r="1318" spans="1:12" hidden="1" x14ac:dyDescent="0.25">
      <c r="A1318" s="130" t="s">
        <v>1482</v>
      </c>
      <c r="B1318" s="130" t="s">
        <v>1483</v>
      </c>
      <c r="C1318" s="132" t="s">
        <v>150</v>
      </c>
      <c r="D1318" s="129">
        <v>1</v>
      </c>
      <c r="E1318" s="129">
        <v>67.786597999999998</v>
      </c>
      <c r="F1318" s="129">
        <v>67.786597999999998</v>
      </c>
      <c r="G1318" s="129">
        <v>230</v>
      </c>
      <c r="H1318" s="129">
        <v>230</v>
      </c>
      <c r="I1318" s="131" t="s">
        <v>87</v>
      </c>
      <c r="J1318" s="132" t="s">
        <v>102</v>
      </c>
      <c r="K1318" s="130" t="s">
        <v>1678</v>
      </c>
      <c r="L1318" s="129" t="str">
        <f t="shared" si="20"/>
        <v>005-00000201</v>
      </c>
    </row>
    <row r="1319" spans="1:12" hidden="1" x14ac:dyDescent="0.25">
      <c r="A1319" s="130" t="s">
        <v>1538</v>
      </c>
      <c r="B1319" s="130" t="s">
        <v>1539</v>
      </c>
      <c r="C1319" s="132" t="s">
        <v>150</v>
      </c>
      <c r="D1319" s="129">
        <v>1</v>
      </c>
      <c r="E1319" s="129">
        <v>35.366900999999999</v>
      </c>
      <c r="F1319" s="129">
        <v>35.366900999999999</v>
      </c>
      <c r="G1319" s="129">
        <v>120</v>
      </c>
      <c r="H1319" s="129">
        <v>120</v>
      </c>
      <c r="I1319" s="131" t="s">
        <v>87</v>
      </c>
      <c r="J1319" s="132" t="s">
        <v>102</v>
      </c>
      <c r="K1319" s="130" t="s">
        <v>1678</v>
      </c>
      <c r="L1319" s="129" t="str">
        <f t="shared" si="20"/>
        <v>005-00000201</v>
      </c>
    </row>
    <row r="1320" spans="1:12" hidden="1" x14ac:dyDescent="0.25">
      <c r="A1320" s="130" t="s">
        <v>2072</v>
      </c>
      <c r="B1320" s="130" t="s">
        <v>2073</v>
      </c>
      <c r="C1320" s="132" t="s">
        <v>150</v>
      </c>
      <c r="D1320" s="129">
        <v>2</v>
      </c>
      <c r="E1320" s="129">
        <v>13.262599999999999</v>
      </c>
      <c r="F1320" s="129">
        <v>26.525199999999998</v>
      </c>
      <c r="G1320" s="129">
        <v>45</v>
      </c>
      <c r="H1320" s="129">
        <v>90</v>
      </c>
      <c r="I1320" s="131" t="s">
        <v>87</v>
      </c>
      <c r="J1320" s="132" t="s">
        <v>102</v>
      </c>
      <c r="K1320" s="130" t="s">
        <v>2074</v>
      </c>
      <c r="L1320" s="129" t="str">
        <f t="shared" si="20"/>
        <v>005-00000213</v>
      </c>
    </row>
    <row r="1321" spans="1:12" hidden="1" x14ac:dyDescent="0.25">
      <c r="A1321" s="130" t="s">
        <v>1484</v>
      </c>
      <c r="B1321" s="130" t="s">
        <v>1485</v>
      </c>
      <c r="C1321" s="132" t="s">
        <v>150</v>
      </c>
      <c r="D1321" s="129">
        <v>1</v>
      </c>
      <c r="E1321" s="129">
        <v>67.786597999999998</v>
      </c>
      <c r="F1321" s="129">
        <v>67.786597999999998</v>
      </c>
      <c r="G1321" s="129">
        <v>230</v>
      </c>
      <c r="H1321" s="129">
        <v>230</v>
      </c>
      <c r="I1321" s="131" t="s">
        <v>87</v>
      </c>
      <c r="J1321" s="132" t="s">
        <v>102</v>
      </c>
      <c r="K1321" s="130" t="s">
        <v>1555</v>
      </c>
      <c r="L1321" s="129" t="str">
        <f t="shared" si="20"/>
        <v>005-00000190</v>
      </c>
    </row>
    <row r="1322" spans="1:12" hidden="1" x14ac:dyDescent="0.25">
      <c r="A1322" s="130" t="s">
        <v>1486</v>
      </c>
      <c r="B1322" s="130" t="s">
        <v>1487</v>
      </c>
      <c r="C1322" s="132" t="s">
        <v>150</v>
      </c>
      <c r="D1322" s="129">
        <v>1</v>
      </c>
      <c r="E1322" s="129">
        <v>76.628403000000006</v>
      </c>
      <c r="F1322" s="129">
        <v>76.628402999999992</v>
      </c>
      <c r="G1322" s="129">
        <v>260</v>
      </c>
      <c r="H1322" s="129">
        <v>260</v>
      </c>
      <c r="I1322" s="131" t="s">
        <v>87</v>
      </c>
      <c r="J1322" s="132" t="s">
        <v>102</v>
      </c>
      <c r="K1322" s="130" t="s">
        <v>2075</v>
      </c>
      <c r="L1322" s="129" t="str">
        <f t="shared" si="20"/>
        <v>005-00000243</v>
      </c>
    </row>
    <row r="1323" spans="1:12" hidden="1" x14ac:dyDescent="0.25">
      <c r="A1323" s="130" t="s">
        <v>2076</v>
      </c>
      <c r="B1323" s="130" t="s">
        <v>2077</v>
      </c>
      <c r="C1323" s="132" t="s">
        <v>150</v>
      </c>
      <c r="D1323" s="129">
        <v>1</v>
      </c>
      <c r="E1323" s="129">
        <v>27.998800000000003</v>
      </c>
      <c r="F1323" s="129">
        <v>27.998800000000006</v>
      </c>
      <c r="G1323" s="129">
        <v>95</v>
      </c>
      <c r="H1323" s="129">
        <v>95</v>
      </c>
      <c r="I1323" s="131" t="s">
        <v>87</v>
      </c>
      <c r="J1323" s="132" t="s">
        <v>102</v>
      </c>
      <c r="K1323" s="130" t="s">
        <v>2075</v>
      </c>
      <c r="L1323" s="129" t="str">
        <f t="shared" si="20"/>
        <v>005-00000243</v>
      </c>
    </row>
    <row r="1324" spans="1:12" hidden="1" x14ac:dyDescent="0.25">
      <c r="A1324" s="130" t="s">
        <v>1690</v>
      </c>
      <c r="B1324" s="130" t="s">
        <v>1691</v>
      </c>
      <c r="C1324" s="132" t="s">
        <v>150</v>
      </c>
      <c r="D1324" s="129">
        <v>1</v>
      </c>
      <c r="E1324" s="129">
        <v>11.788999999999998</v>
      </c>
      <c r="F1324" s="129">
        <v>11.788999999999996</v>
      </c>
      <c r="G1324" s="129">
        <v>40</v>
      </c>
      <c r="H1324" s="129">
        <v>40</v>
      </c>
      <c r="I1324" s="131" t="s">
        <v>87</v>
      </c>
      <c r="J1324" s="132" t="s">
        <v>102</v>
      </c>
      <c r="K1324" s="130" t="s">
        <v>1679</v>
      </c>
      <c r="L1324" s="129" t="str">
        <f t="shared" si="20"/>
        <v>005-00000203</v>
      </c>
    </row>
    <row r="1325" spans="1:12" hidden="1" x14ac:dyDescent="0.25">
      <c r="A1325" s="130" t="s">
        <v>2078</v>
      </c>
      <c r="B1325" s="130" t="s">
        <v>2079</v>
      </c>
      <c r="C1325" s="132" t="s">
        <v>150</v>
      </c>
      <c r="D1325" s="129">
        <v>1</v>
      </c>
      <c r="E1325" s="129">
        <v>26.277598999999999</v>
      </c>
      <c r="F1325" s="129">
        <v>26.277599000000006</v>
      </c>
      <c r="G1325" s="129">
        <v>89.160004000000015</v>
      </c>
      <c r="H1325" s="129">
        <v>89.160004000000029</v>
      </c>
      <c r="I1325" s="131" t="s">
        <v>87</v>
      </c>
      <c r="J1325" s="132" t="s">
        <v>102</v>
      </c>
      <c r="K1325" s="130" t="s">
        <v>631</v>
      </c>
      <c r="L1325" s="129" t="str">
        <f t="shared" si="20"/>
        <v>005-00000079</v>
      </c>
    </row>
    <row r="1326" spans="1:12" hidden="1" x14ac:dyDescent="0.25">
      <c r="A1326" s="130" t="s">
        <v>309</v>
      </c>
      <c r="B1326" s="130" t="s">
        <v>310</v>
      </c>
      <c r="C1326" s="132" t="s">
        <v>150</v>
      </c>
      <c r="D1326" s="129">
        <v>2</v>
      </c>
      <c r="E1326" s="129">
        <v>1.4987000000000001</v>
      </c>
      <c r="F1326" s="129">
        <v>2.9974000000000003</v>
      </c>
      <c r="G1326" s="129">
        <v>5.085</v>
      </c>
      <c r="H1326" s="129">
        <v>10.17</v>
      </c>
      <c r="I1326" s="131" t="s">
        <v>87</v>
      </c>
      <c r="J1326" s="132" t="s">
        <v>102</v>
      </c>
      <c r="K1326" s="130" t="s">
        <v>631</v>
      </c>
      <c r="L1326" s="129" t="str">
        <f t="shared" si="20"/>
        <v>005-00000079</v>
      </c>
    </row>
    <row r="1327" spans="1:12" hidden="1" x14ac:dyDescent="0.25">
      <c r="A1327" s="130" t="s">
        <v>1044</v>
      </c>
      <c r="B1327" s="130" t="s">
        <v>1045</v>
      </c>
      <c r="C1327" s="132" t="s">
        <v>153</v>
      </c>
      <c r="D1327" s="129">
        <v>1</v>
      </c>
      <c r="E1327" s="129">
        <v>10.019399999999999</v>
      </c>
      <c r="F1327" s="129">
        <v>10.019399999999999</v>
      </c>
      <c r="G1327" s="129">
        <v>33.897998999999999</v>
      </c>
      <c r="H1327" s="129">
        <v>33.897998999999999</v>
      </c>
      <c r="I1327" s="131" t="s">
        <v>87</v>
      </c>
      <c r="J1327" s="132" t="s">
        <v>102</v>
      </c>
      <c r="K1327" s="130" t="s">
        <v>631</v>
      </c>
      <c r="L1327" s="129" t="str">
        <f t="shared" si="20"/>
        <v>005-00000079</v>
      </c>
    </row>
    <row r="1328" spans="1:12" hidden="1" x14ac:dyDescent="0.25">
      <c r="A1328" s="130" t="s">
        <v>2080</v>
      </c>
      <c r="B1328" s="130" t="s">
        <v>2081</v>
      </c>
      <c r="C1328" s="132" t="s">
        <v>150</v>
      </c>
      <c r="D1328" s="129">
        <v>1</v>
      </c>
      <c r="E1328" s="129">
        <v>8.4251003000000004</v>
      </c>
      <c r="F1328" s="129">
        <v>8.4251002999999987</v>
      </c>
      <c r="G1328" s="129">
        <v>28.476998999999999</v>
      </c>
      <c r="H1328" s="129">
        <v>28.476998999999996</v>
      </c>
      <c r="I1328" s="131" t="s">
        <v>87</v>
      </c>
      <c r="J1328" s="132" t="s">
        <v>102</v>
      </c>
      <c r="K1328" s="130" t="s">
        <v>2075</v>
      </c>
      <c r="L1328" s="129" t="str">
        <f t="shared" si="20"/>
        <v>005-00000243</v>
      </c>
    </row>
    <row r="1329" spans="1:12" hidden="1" x14ac:dyDescent="0.25">
      <c r="A1329" s="130" t="s">
        <v>2082</v>
      </c>
      <c r="B1329" s="130" t="s">
        <v>2083</v>
      </c>
      <c r="C1329" s="132" t="s">
        <v>150</v>
      </c>
      <c r="D1329" s="129">
        <v>1</v>
      </c>
      <c r="E1329" s="129">
        <v>8.4251003000000004</v>
      </c>
      <c r="F1329" s="129">
        <v>8.4251002999999987</v>
      </c>
      <c r="G1329" s="129">
        <v>28.476998999999999</v>
      </c>
      <c r="H1329" s="129">
        <v>28.476998999999996</v>
      </c>
      <c r="I1329" s="131" t="s">
        <v>87</v>
      </c>
      <c r="J1329" s="132" t="s">
        <v>102</v>
      </c>
      <c r="K1329" s="130" t="s">
        <v>2075</v>
      </c>
      <c r="L1329" s="129" t="str">
        <f t="shared" si="20"/>
        <v>005-00000243</v>
      </c>
    </row>
    <row r="1330" spans="1:12" hidden="1" x14ac:dyDescent="0.25">
      <c r="A1330" s="130" t="s">
        <v>1490</v>
      </c>
      <c r="B1330" s="130" t="s">
        <v>1491</v>
      </c>
      <c r="C1330" s="132" t="s">
        <v>150</v>
      </c>
      <c r="D1330" s="129">
        <v>1</v>
      </c>
      <c r="E1330" s="129">
        <v>10.773699999999998</v>
      </c>
      <c r="F1330" s="129">
        <v>10.773699999999998</v>
      </c>
      <c r="G1330" s="129">
        <v>36.415000999999997</v>
      </c>
      <c r="H1330" s="129">
        <v>36.41500099999999</v>
      </c>
      <c r="I1330" s="131" t="s">
        <v>87</v>
      </c>
      <c r="J1330" s="132" t="s">
        <v>102</v>
      </c>
      <c r="K1330" s="130" t="s">
        <v>2075</v>
      </c>
      <c r="L1330" s="129" t="str">
        <f t="shared" si="20"/>
        <v>005-00000243</v>
      </c>
    </row>
    <row r="1331" spans="1:12" hidden="1" x14ac:dyDescent="0.25">
      <c r="A1331" s="130" t="s">
        <v>1488</v>
      </c>
      <c r="B1331" s="130" t="s">
        <v>1489</v>
      </c>
      <c r="C1331" s="132" t="s">
        <v>150</v>
      </c>
      <c r="D1331" s="129">
        <v>1</v>
      </c>
      <c r="E1331" s="129">
        <v>10.753</v>
      </c>
      <c r="F1331" s="129">
        <v>10.753</v>
      </c>
      <c r="G1331" s="129">
        <v>36.415000999999997</v>
      </c>
      <c r="H1331" s="129">
        <v>36.41500099999999</v>
      </c>
      <c r="I1331" s="131" t="s">
        <v>87</v>
      </c>
      <c r="J1331" s="132" t="s">
        <v>102</v>
      </c>
      <c r="K1331" s="130" t="s">
        <v>2075</v>
      </c>
      <c r="L1331" s="129" t="str">
        <f t="shared" si="20"/>
        <v>005-00000243</v>
      </c>
    </row>
    <row r="1332" spans="1:12" hidden="1" x14ac:dyDescent="0.25">
      <c r="A1332" s="130" t="s">
        <v>2084</v>
      </c>
      <c r="B1332" s="130" t="s">
        <v>2085</v>
      </c>
      <c r="C1332" s="132" t="s">
        <v>150</v>
      </c>
      <c r="D1332" s="129">
        <v>1</v>
      </c>
      <c r="E1332" s="129">
        <v>13.9663</v>
      </c>
      <c r="F1332" s="129">
        <v>13.9663</v>
      </c>
      <c r="G1332" s="129">
        <v>47.206000999999993</v>
      </c>
      <c r="H1332" s="129">
        <v>47.206000999999993</v>
      </c>
      <c r="I1332" s="131" t="s">
        <v>87</v>
      </c>
      <c r="J1332" s="132" t="s">
        <v>102</v>
      </c>
      <c r="K1332" s="130" t="s">
        <v>2075</v>
      </c>
      <c r="L1332" s="129" t="str">
        <f t="shared" si="20"/>
        <v>005-00000243</v>
      </c>
    </row>
    <row r="1333" spans="1:12" hidden="1" x14ac:dyDescent="0.25">
      <c r="A1333" s="130" t="s">
        <v>2086</v>
      </c>
      <c r="B1333" s="130" t="s">
        <v>2087</v>
      </c>
      <c r="C1333" s="132" t="s">
        <v>150</v>
      </c>
      <c r="D1333" s="129">
        <v>1</v>
      </c>
      <c r="E1333" s="129">
        <v>10.944100000000001</v>
      </c>
      <c r="F1333" s="129">
        <v>10.944099999999999</v>
      </c>
      <c r="G1333" s="129">
        <v>36.991000999999997</v>
      </c>
      <c r="H1333" s="129">
        <v>36.991000999999997</v>
      </c>
      <c r="I1333" s="131" t="s">
        <v>87</v>
      </c>
      <c r="J1333" s="132" t="s">
        <v>102</v>
      </c>
      <c r="K1333" s="130" t="s">
        <v>2075</v>
      </c>
      <c r="L1333" s="129" t="str">
        <f t="shared" si="20"/>
        <v>005-00000243</v>
      </c>
    </row>
    <row r="1334" spans="1:12" hidden="1" x14ac:dyDescent="0.25">
      <c r="A1334" s="130" t="s">
        <v>1687</v>
      </c>
      <c r="B1334" s="130" t="s">
        <v>1688</v>
      </c>
      <c r="C1334" s="132" t="s">
        <v>150</v>
      </c>
      <c r="D1334" s="129">
        <v>1</v>
      </c>
      <c r="E1334" s="129">
        <v>22.322500000000002</v>
      </c>
      <c r="F1334" s="129">
        <v>22.322500000000002</v>
      </c>
      <c r="G1334" s="129">
        <v>75.449996999999996</v>
      </c>
      <c r="H1334" s="129">
        <v>75.449996999999996</v>
      </c>
      <c r="I1334" s="131" t="s">
        <v>87</v>
      </c>
      <c r="J1334" s="132" t="s">
        <v>102</v>
      </c>
      <c r="K1334" s="130" t="s">
        <v>2075</v>
      </c>
      <c r="L1334" s="129" t="str">
        <f t="shared" si="20"/>
        <v>005-00000243</v>
      </c>
    </row>
    <row r="1335" spans="1:12" hidden="1" x14ac:dyDescent="0.25">
      <c r="A1335" s="130" t="s">
        <v>2088</v>
      </c>
      <c r="B1335" s="130" t="s">
        <v>2089</v>
      </c>
      <c r="C1335" s="132" t="s">
        <v>150</v>
      </c>
      <c r="D1335" s="129">
        <v>1</v>
      </c>
      <c r="E1335" s="129">
        <v>5.5201998000000003</v>
      </c>
      <c r="F1335" s="129">
        <v>5.5201998000000003</v>
      </c>
      <c r="G1335" s="129">
        <v>18.73</v>
      </c>
      <c r="H1335" s="129">
        <v>18.73</v>
      </c>
      <c r="I1335" s="131" t="s">
        <v>87</v>
      </c>
      <c r="J1335" s="132" t="s">
        <v>102</v>
      </c>
      <c r="K1335" s="130" t="s">
        <v>2065</v>
      </c>
      <c r="L1335" s="129" t="str">
        <f t="shared" si="20"/>
        <v>005-00000242</v>
      </c>
    </row>
    <row r="1336" spans="1:12" hidden="1" x14ac:dyDescent="0.25">
      <c r="A1336" s="130" t="s">
        <v>384</v>
      </c>
      <c r="B1336" s="130" t="s">
        <v>385</v>
      </c>
      <c r="C1336" s="132" t="s">
        <v>150</v>
      </c>
      <c r="D1336" s="129">
        <v>1</v>
      </c>
      <c r="E1336" s="129">
        <v>2.5208001000000002</v>
      </c>
      <c r="F1336" s="129">
        <v>2.5208001000000002</v>
      </c>
      <c r="G1336" s="129">
        <v>8.4700003000000006</v>
      </c>
      <c r="H1336" s="129">
        <v>8.4700003000000006</v>
      </c>
      <c r="I1336" s="131" t="s">
        <v>87</v>
      </c>
      <c r="J1336" s="132" t="s">
        <v>102</v>
      </c>
      <c r="K1336" s="130" t="s">
        <v>1558</v>
      </c>
      <c r="L1336" s="129" t="str">
        <f t="shared" si="20"/>
        <v>005-00000198</v>
      </c>
    </row>
    <row r="1337" spans="1:12" hidden="1" x14ac:dyDescent="0.25">
      <c r="A1337" s="130" t="s">
        <v>1658</v>
      </c>
      <c r="B1337" s="130" t="s">
        <v>1659</v>
      </c>
      <c r="C1337" s="132" t="s">
        <v>150</v>
      </c>
      <c r="D1337" s="129">
        <v>1</v>
      </c>
      <c r="E1337" s="129">
        <v>3.7827001</v>
      </c>
      <c r="F1337" s="129">
        <v>3.7827000999999996</v>
      </c>
      <c r="G1337" s="129">
        <v>12.71</v>
      </c>
      <c r="H1337" s="129">
        <v>12.71</v>
      </c>
      <c r="I1337" s="131" t="s">
        <v>87</v>
      </c>
      <c r="J1337" s="132" t="s">
        <v>102</v>
      </c>
      <c r="K1337" s="130" t="s">
        <v>1558</v>
      </c>
      <c r="L1337" s="129" t="str">
        <f t="shared" si="20"/>
        <v>005-00000198</v>
      </c>
    </row>
    <row r="1338" spans="1:12" hidden="1" x14ac:dyDescent="0.25">
      <c r="A1338" s="130" t="s">
        <v>368</v>
      </c>
      <c r="B1338" s="130" t="s">
        <v>369</v>
      </c>
      <c r="C1338" s="132" t="s">
        <v>150</v>
      </c>
      <c r="D1338" s="129">
        <v>1</v>
      </c>
      <c r="E1338" s="129">
        <v>3.7827001</v>
      </c>
      <c r="F1338" s="129">
        <v>3.7827000999999996</v>
      </c>
      <c r="G1338" s="129">
        <v>12.71</v>
      </c>
      <c r="H1338" s="129">
        <v>12.71</v>
      </c>
      <c r="I1338" s="131" t="s">
        <v>87</v>
      </c>
      <c r="J1338" s="132" t="s">
        <v>102</v>
      </c>
      <c r="K1338" s="130" t="s">
        <v>1680</v>
      </c>
      <c r="L1338" s="129" t="str">
        <f t="shared" si="20"/>
        <v>005-00000202</v>
      </c>
    </row>
    <row r="1339" spans="1:12" hidden="1" x14ac:dyDescent="0.25">
      <c r="A1339" s="130" t="s">
        <v>243</v>
      </c>
      <c r="B1339" s="130" t="s">
        <v>244</v>
      </c>
      <c r="C1339" s="132" t="s">
        <v>150</v>
      </c>
      <c r="D1339" s="129">
        <v>1</v>
      </c>
      <c r="E1339" s="129">
        <v>7.5654998000000004</v>
      </c>
      <c r="F1339" s="129">
        <v>7.5654998000000013</v>
      </c>
      <c r="G1339" s="129">
        <v>25.42</v>
      </c>
      <c r="H1339" s="129">
        <v>25.42</v>
      </c>
      <c r="I1339" s="131" t="s">
        <v>87</v>
      </c>
      <c r="J1339" s="132" t="s">
        <v>102</v>
      </c>
      <c r="K1339" s="130" t="s">
        <v>1559</v>
      </c>
      <c r="L1339" s="129" t="str">
        <f t="shared" si="20"/>
        <v>005-00000195</v>
      </c>
    </row>
    <row r="1340" spans="1:12" hidden="1" x14ac:dyDescent="0.25">
      <c r="A1340" s="130" t="s">
        <v>1470</v>
      </c>
      <c r="B1340" s="130" t="s">
        <v>1471</v>
      </c>
      <c r="C1340" s="132" t="s">
        <v>150</v>
      </c>
      <c r="D1340" s="129">
        <v>1</v>
      </c>
      <c r="E1340" s="129">
        <v>21.4727</v>
      </c>
      <c r="F1340" s="129">
        <v>21.4727</v>
      </c>
      <c r="G1340" s="129">
        <v>72.029999000000004</v>
      </c>
      <c r="H1340" s="129">
        <v>72.029999000000018</v>
      </c>
      <c r="I1340" s="131" t="s">
        <v>87</v>
      </c>
      <c r="J1340" s="132" t="s">
        <v>102</v>
      </c>
      <c r="K1340" s="130" t="s">
        <v>1558</v>
      </c>
      <c r="L1340" s="129" t="str">
        <f t="shared" si="20"/>
        <v>005-00000198</v>
      </c>
    </row>
    <row r="1341" spans="1:12" hidden="1" x14ac:dyDescent="0.25">
      <c r="A1341" s="130" t="s">
        <v>238</v>
      </c>
      <c r="B1341" s="130" t="s">
        <v>239</v>
      </c>
      <c r="C1341" s="132" t="s">
        <v>150</v>
      </c>
      <c r="D1341" s="129">
        <v>1</v>
      </c>
      <c r="E1341" s="129">
        <v>5.5475998000000004</v>
      </c>
      <c r="F1341" s="129">
        <v>5.5475998000000013</v>
      </c>
      <c r="G1341" s="129">
        <v>18.639999</v>
      </c>
      <c r="H1341" s="129">
        <v>18.639999</v>
      </c>
      <c r="I1341" s="131" t="s">
        <v>87</v>
      </c>
      <c r="J1341" s="132" t="s">
        <v>102</v>
      </c>
      <c r="K1341" s="130" t="s">
        <v>2090</v>
      </c>
      <c r="L1341" s="129" t="str">
        <f t="shared" si="20"/>
        <v>005-00000252</v>
      </c>
    </row>
    <row r="1342" spans="1:12" hidden="1" x14ac:dyDescent="0.25">
      <c r="A1342" s="130" t="s">
        <v>397</v>
      </c>
      <c r="B1342" s="130" t="s">
        <v>398</v>
      </c>
      <c r="C1342" s="132" t="s">
        <v>150</v>
      </c>
      <c r="D1342" s="129">
        <v>1</v>
      </c>
      <c r="E1342" s="129">
        <v>12.611000000000001</v>
      </c>
      <c r="F1342" s="129">
        <v>12.611000000000001</v>
      </c>
      <c r="G1342" s="129">
        <v>42.372897999999992</v>
      </c>
      <c r="H1342" s="129">
        <v>42.372897999999985</v>
      </c>
      <c r="I1342" s="131" t="s">
        <v>87</v>
      </c>
      <c r="J1342" s="132" t="s">
        <v>102</v>
      </c>
      <c r="K1342" s="130" t="s">
        <v>1555</v>
      </c>
      <c r="L1342" s="129" t="str">
        <f t="shared" si="20"/>
        <v>005-00000190</v>
      </c>
    </row>
    <row r="1343" spans="1:12" hidden="1" x14ac:dyDescent="0.25">
      <c r="A1343" s="130" t="s">
        <v>1474</v>
      </c>
      <c r="B1343" s="130" t="s">
        <v>1475</v>
      </c>
      <c r="C1343" s="132" t="s">
        <v>150</v>
      </c>
      <c r="D1343" s="129">
        <v>1</v>
      </c>
      <c r="E1343" s="129">
        <v>3.7827001</v>
      </c>
      <c r="F1343" s="129">
        <v>3.7827000999999996</v>
      </c>
      <c r="G1343" s="129">
        <v>12.71</v>
      </c>
      <c r="H1343" s="129">
        <v>12.71</v>
      </c>
      <c r="I1343" s="131" t="s">
        <v>87</v>
      </c>
      <c r="J1343" s="132" t="s">
        <v>102</v>
      </c>
      <c r="K1343" s="130" t="s">
        <v>1559</v>
      </c>
      <c r="L1343" s="129" t="str">
        <f t="shared" si="20"/>
        <v>005-00000195</v>
      </c>
    </row>
    <row r="1344" spans="1:12" hidden="1" x14ac:dyDescent="0.25">
      <c r="A1344" s="130" t="s">
        <v>566</v>
      </c>
      <c r="B1344" s="130" t="s">
        <v>410</v>
      </c>
      <c r="C1344" s="132" t="s">
        <v>150</v>
      </c>
      <c r="D1344" s="129">
        <v>1</v>
      </c>
      <c r="E1344" s="129">
        <v>42.877997999999998</v>
      </c>
      <c r="F1344" s="129">
        <v>42.877997999999998</v>
      </c>
      <c r="G1344" s="129">
        <v>144.07001</v>
      </c>
      <c r="H1344" s="129">
        <v>144.07001000000002</v>
      </c>
      <c r="I1344" s="131" t="s">
        <v>87</v>
      </c>
      <c r="J1344" s="132" t="s">
        <v>102</v>
      </c>
      <c r="K1344" s="130" t="s">
        <v>1555</v>
      </c>
      <c r="L1344" s="129" t="str">
        <f t="shared" si="20"/>
        <v>005-00000190</v>
      </c>
    </row>
    <row r="1345" spans="1:12" hidden="1" x14ac:dyDescent="0.25">
      <c r="A1345" s="130" t="s">
        <v>249</v>
      </c>
      <c r="B1345" s="130" t="s">
        <v>250</v>
      </c>
      <c r="C1345" s="132" t="s">
        <v>153</v>
      </c>
      <c r="D1345" s="129">
        <v>1</v>
      </c>
      <c r="E1345" s="129">
        <v>14.955399999999999</v>
      </c>
      <c r="F1345" s="129">
        <v>14.955399999999999</v>
      </c>
      <c r="G1345" s="129">
        <v>50.25</v>
      </c>
      <c r="H1345" s="129">
        <v>50.25</v>
      </c>
      <c r="I1345" s="131" t="s">
        <v>87</v>
      </c>
      <c r="J1345" s="132" t="s">
        <v>102</v>
      </c>
      <c r="K1345" s="130" t="s">
        <v>2091</v>
      </c>
      <c r="L1345" s="129" t="str">
        <f t="shared" si="20"/>
        <v>005-00000216</v>
      </c>
    </row>
    <row r="1346" spans="1:12" hidden="1" x14ac:dyDescent="0.25">
      <c r="A1346" s="130" t="s">
        <v>1065</v>
      </c>
      <c r="B1346" s="130" t="s">
        <v>1066</v>
      </c>
      <c r="C1346" s="132" t="s">
        <v>153</v>
      </c>
      <c r="D1346" s="129">
        <v>1</v>
      </c>
      <c r="E1346" s="129">
        <v>9.6393003000000004</v>
      </c>
      <c r="F1346" s="129">
        <v>9.6393003000000004</v>
      </c>
      <c r="G1346" s="129">
        <v>32.459999000000003</v>
      </c>
      <c r="H1346" s="129">
        <v>32.459999000000003</v>
      </c>
      <c r="I1346" s="131" t="s">
        <v>87</v>
      </c>
      <c r="J1346" s="132" t="s">
        <v>102</v>
      </c>
      <c r="K1346" s="130" t="s">
        <v>2091</v>
      </c>
      <c r="L1346" s="129" t="str">
        <f t="shared" si="20"/>
        <v>005-00000216</v>
      </c>
    </row>
    <row r="1347" spans="1:12" hidden="1" x14ac:dyDescent="0.25">
      <c r="A1347" s="130" t="s">
        <v>419</v>
      </c>
      <c r="B1347" s="130" t="s">
        <v>420</v>
      </c>
      <c r="C1347" s="132" t="s">
        <v>153</v>
      </c>
      <c r="D1347" s="129">
        <v>1</v>
      </c>
      <c r="E1347" s="129">
        <v>24.0625</v>
      </c>
      <c r="F1347" s="129">
        <v>24.0625</v>
      </c>
      <c r="G1347" s="129">
        <v>80.849997999999999</v>
      </c>
      <c r="H1347" s="129">
        <v>80.849997999999999</v>
      </c>
      <c r="I1347" s="131" t="s">
        <v>87</v>
      </c>
      <c r="J1347" s="132" t="s">
        <v>102</v>
      </c>
      <c r="K1347" s="130" t="s">
        <v>2090</v>
      </c>
      <c r="L1347" s="129" t="str">
        <f t="shared" si="20"/>
        <v>005-00000252</v>
      </c>
    </row>
    <row r="1348" spans="1:12" hidden="1" x14ac:dyDescent="0.25">
      <c r="A1348" s="130" t="s">
        <v>2092</v>
      </c>
      <c r="B1348" s="130" t="s">
        <v>2093</v>
      </c>
      <c r="C1348" s="132" t="s">
        <v>153</v>
      </c>
      <c r="D1348" s="129">
        <v>1</v>
      </c>
      <c r="E1348" s="129">
        <v>14.931500000000002</v>
      </c>
      <c r="F1348" s="129">
        <v>14.931500000000003</v>
      </c>
      <c r="G1348" s="129">
        <v>50.169997999999993</v>
      </c>
      <c r="H1348" s="129">
        <v>50.169998000000007</v>
      </c>
      <c r="I1348" s="131" t="s">
        <v>87</v>
      </c>
      <c r="J1348" s="132" t="s">
        <v>102</v>
      </c>
      <c r="K1348" s="130" t="s">
        <v>2090</v>
      </c>
      <c r="L1348" s="129" t="str">
        <f t="shared" si="20"/>
        <v>005-00000252</v>
      </c>
    </row>
    <row r="1349" spans="1:12" hidden="1" x14ac:dyDescent="0.25">
      <c r="A1349" s="130" t="s">
        <v>1065</v>
      </c>
      <c r="B1349" s="130" t="s">
        <v>1066</v>
      </c>
      <c r="C1349" s="132" t="s">
        <v>153</v>
      </c>
      <c r="D1349" s="129">
        <v>1</v>
      </c>
      <c r="E1349" s="129">
        <v>9.6393003000000004</v>
      </c>
      <c r="F1349" s="129">
        <v>9.6393003000000004</v>
      </c>
      <c r="G1349" s="129">
        <v>32.459999000000003</v>
      </c>
      <c r="H1349" s="129">
        <v>32.459999000000003</v>
      </c>
      <c r="I1349" s="131" t="s">
        <v>87</v>
      </c>
      <c r="J1349" s="132" t="s">
        <v>102</v>
      </c>
      <c r="K1349" s="130" t="s">
        <v>2094</v>
      </c>
      <c r="L1349" s="129" t="str">
        <f t="shared" ref="L1349:L1412" si="21">CONCATENATE(J1349,"-",K1349)</f>
        <v>005-00000233</v>
      </c>
    </row>
    <row r="1350" spans="1:12" hidden="1" x14ac:dyDescent="0.25">
      <c r="A1350" s="130" t="s">
        <v>1063</v>
      </c>
      <c r="B1350" s="130" t="s">
        <v>1064</v>
      </c>
      <c r="C1350" s="132" t="s">
        <v>153</v>
      </c>
      <c r="D1350" s="129">
        <v>1</v>
      </c>
      <c r="E1350" s="129">
        <v>8.5625</v>
      </c>
      <c r="F1350" s="129">
        <v>8.5625</v>
      </c>
      <c r="G1350" s="129">
        <v>28.77</v>
      </c>
      <c r="H1350" s="129">
        <v>28.77</v>
      </c>
      <c r="I1350" s="131" t="s">
        <v>87</v>
      </c>
      <c r="J1350" s="132" t="s">
        <v>102</v>
      </c>
      <c r="K1350" s="130" t="s">
        <v>2095</v>
      </c>
      <c r="L1350" s="129" t="str">
        <f t="shared" si="21"/>
        <v>005-00000228</v>
      </c>
    </row>
    <row r="1351" spans="1:12" hidden="1" x14ac:dyDescent="0.25">
      <c r="A1351" s="130" t="s">
        <v>1065</v>
      </c>
      <c r="B1351" s="130" t="s">
        <v>1066</v>
      </c>
      <c r="C1351" s="132" t="s">
        <v>153</v>
      </c>
      <c r="D1351" s="129">
        <v>1</v>
      </c>
      <c r="E1351" s="129">
        <v>9.6393003000000004</v>
      </c>
      <c r="F1351" s="129">
        <v>9.6393003000000004</v>
      </c>
      <c r="G1351" s="129">
        <v>32.459999000000003</v>
      </c>
      <c r="H1351" s="129">
        <v>32.459999000000003</v>
      </c>
      <c r="I1351" s="131" t="s">
        <v>87</v>
      </c>
      <c r="J1351" s="132" t="s">
        <v>102</v>
      </c>
      <c r="K1351" s="130" t="s">
        <v>2095</v>
      </c>
      <c r="L1351" s="129" t="str">
        <f t="shared" si="21"/>
        <v>005-00000228</v>
      </c>
    </row>
    <row r="1352" spans="1:12" hidden="1" x14ac:dyDescent="0.25">
      <c r="A1352" s="130" t="s">
        <v>214</v>
      </c>
      <c r="B1352" s="130" t="s">
        <v>215</v>
      </c>
      <c r="C1352" s="132" t="s">
        <v>150</v>
      </c>
      <c r="D1352" s="129">
        <v>1</v>
      </c>
      <c r="E1352" s="129">
        <v>74.404799999999994</v>
      </c>
      <c r="F1352" s="129">
        <v>74.404799999999994</v>
      </c>
      <c r="G1352" s="129">
        <v>250</v>
      </c>
      <c r="H1352" s="129">
        <v>250</v>
      </c>
      <c r="I1352" s="131" t="s">
        <v>87</v>
      </c>
      <c r="J1352" s="132" t="s">
        <v>102</v>
      </c>
      <c r="K1352" s="130" t="s">
        <v>2095</v>
      </c>
      <c r="L1352" s="129" t="str">
        <f t="shared" si="21"/>
        <v>005-00000228</v>
      </c>
    </row>
    <row r="1353" spans="1:12" hidden="1" x14ac:dyDescent="0.25">
      <c r="A1353" s="130" t="s">
        <v>214</v>
      </c>
      <c r="B1353" s="130" t="s">
        <v>215</v>
      </c>
      <c r="C1353" s="132" t="s">
        <v>150</v>
      </c>
      <c r="D1353" s="129">
        <v>1</v>
      </c>
      <c r="E1353" s="129">
        <v>83.232101</v>
      </c>
      <c r="F1353" s="129">
        <v>83.232101000000014</v>
      </c>
      <c r="G1353" s="129">
        <v>279.66000000000003</v>
      </c>
      <c r="H1353" s="129">
        <v>279.66000000000003</v>
      </c>
      <c r="I1353" s="131" t="s">
        <v>87</v>
      </c>
      <c r="J1353" s="132" t="s">
        <v>102</v>
      </c>
      <c r="K1353" s="130" t="s">
        <v>2091</v>
      </c>
      <c r="L1353" s="129" t="str">
        <f t="shared" si="21"/>
        <v>005-00000216</v>
      </c>
    </row>
    <row r="1354" spans="1:12" hidden="1" x14ac:dyDescent="0.25">
      <c r="A1354" s="130" t="s">
        <v>368</v>
      </c>
      <c r="B1354" s="130" t="s">
        <v>369</v>
      </c>
      <c r="C1354" s="132" t="s">
        <v>150</v>
      </c>
      <c r="D1354" s="129">
        <v>1</v>
      </c>
      <c r="E1354" s="129">
        <v>3.0316000000000001</v>
      </c>
      <c r="F1354" s="129">
        <v>3.0316000000000001</v>
      </c>
      <c r="G1354" s="129">
        <v>10.169499999999999</v>
      </c>
      <c r="H1354" s="129">
        <v>10.169499999999998</v>
      </c>
      <c r="I1354" s="131" t="s">
        <v>87</v>
      </c>
      <c r="J1354" s="132" t="s">
        <v>102</v>
      </c>
      <c r="K1354" s="130" t="s">
        <v>2095</v>
      </c>
      <c r="L1354" s="129" t="str">
        <f t="shared" si="21"/>
        <v>005-00000228</v>
      </c>
    </row>
    <row r="1355" spans="1:12" hidden="1" x14ac:dyDescent="0.25">
      <c r="A1355" s="130" t="s">
        <v>401</v>
      </c>
      <c r="B1355" s="130" t="s">
        <v>402</v>
      </c>
      <c r="C1355" s="132" t="s">
        <v>150</v>
      </c>
      <c r="D1355" s="129">
        <v>1</v>
      </c>
      <c r="E1355" s="129">
        <v>5.5579000000000001</v>
      </c>
      <c r="F1355" s="129">
        <v>5.5579000000000001</v>
      </c>
      <c r="G1355" s="129">
        <v>18.644100000000002</v>
      </c>
      <c r="H1355" s="129">
        <v>18.644099999999998</v>
      </c>
      <c r="I1355" s="131" t="s">
        <v>87</v>
      </c>
      <c r="J1355" s="132" t="s">
        <v>102</v>
      </c>
      <c r="K1355" s="130" t="s">
        <v>2095</v>
      </c>
      <c r="L1355" s="129" t="str">
        <f t="shared" si="21"/>
        <v>005-00000228</v>
      </c>
    </row>
    <row r="1356" spans="1:12" hidden="1" x14ac:dyDescent="0.25">
      <c r="A1356" s="130" t="s">
        <v>1468</v>
      </c>
      <c r="B1356" s="130" t="s">
        <v>1469</v>
      </c>
      <c r="C1356" s="132" t="s">
        <v>150</v>
      </c>
      <c r="D1356" s="129">
        <v>1</v>
      </c>
      <c r="E1356" s="129">
        <v>15.157999999999999</v>
      </c>
      <c r="F1356" s="129">
        <v>15.157999999999999</v>
      </c>
      <c r="G1356" s="129">
        <v>50.847499999999997</v>
      </c>
      <c r="H1356" s="129">
        <v>50.847499999999997</v>
      </c>
      <c r="I1356" s="131" t="s">
        <v>87</v>
      </c>
      <c r="J1356" s="132" t="s">
        <v>102</v>
      </c>
      <c r="K1356" s="130" t="s">
        <v>2095</v>
      </c>
      <c r="L1356" s="129" t="str">
        <f t="shared" si="21"/>
        <v>005-00000228</v>
      </c>
    </row>
    <row r="1357" spans="1:12" hidden="1" x14ac:dyDescent="0.25">
      <c r="A1357" s="130" t="s">
        <v>399</v>
      </c>
      <c r="B1357" s="130" t="s">
        <v>400</v>
      </c>
      <c r="C1357" s="132" t="s">
        <v>153</v>
      </c>
      <c r="D1357" s="129">
        <v>1</v>
      </c>
      <c r="E1357" s="129">
        <v>42.877299999999998</v>
      </c>
      <c r="F1357" s="129">
        <v>42.877299999999998</v>
      </c>
      <c r="G1357" s="129">
        <v>144.06779</v>
      </c>
      <c r="H1357" s="129">
        <v>144.06779</v>
      </c>
      <c r="I1357" s="131" t="s">
        <v>87</v>
      </c>
      <c r="J1357" s="132" t="s">
        <v>102</v>
      </c>
      <c r="K1357" s="130" t="s">
        <v>2095</v>
      </c>
      <c r="L1357" s="129" t="str">
        <f t="shared" si="21"/>
        <v>005-00000228</v>
      </c>
    </row>
    <row r="1358" spans="1:12" hidden="1" x14ac:dyDescent="0.25">
      <c r="A1358" s="130" t="s">
        <v>1109</v>
      </c>
      <c r="B1358" s="130" t="s">
        <v>1110</v>
      </c>
      <c r="C1358" s="132" t="s">
        <v>153</v>
      </c>
      <c r="D1358" s="129">
        <v>1</v>
      </c>
      <c r="E1358" s="129">
        <v>35.310699</v>
      </c>
      <c r="F1358" s="129">
        <v>35.310699</v>
      </c>
      <c r="G1358" s="129">
        <v>118.64409999999999</v>
      </c>
      <c r="H1358" s="129">
        <v>118.64410000000002</v>
      </c>
      <c r="I1358" s="131" t="s">
        <v>87</v>
      </c>
      <c r="J1358" s="132" t="s">
        <v>102</v>
      </c>
      <c r="K1358" s="130" t="s">
        <v>2095</v>
      </c>
      <c r="L1358" s="129" t="str">
        <f t="shared" si="21"/>
        <v>005-00000228</v>
      </c>
    </row>
    <row r="1359" spans="1:12" hidden="1" x14ac:dyDescent="0.25">
      <c r="A1359" s="130" t="s">
        <v>1073</v>
      </c>
      <c r="B1359" s="130" t="s">
        <v>1074</v>
      </c>
      <c r="C1359" s="132" t="s">
        <v>153</v>
      </c>
      <c r="D1359" s="129">
        <v>1</v>
      </c>
      <c r="E1359" s="129">
        <v>17.684401000000001</v>
      </c>
      <c r="F1359" s="129">
        <v>17.684400999999998</v>
      </c>
      <c r="G1359" s="129">
        <v>59.321998999999998</v>
      </c>
      <c r="H1359" s="129">
        <v>59.321998999999998</v>
      </c>
      <c r="I1359" s="131" t="s">
        <v>87</v>
      </c>
      <c r="J1359" s="132" t="s">
        <v>102</v>
      </c>
      <c r="K1359" s="130" t="s">
        <v>2095</v>
      </c>
      <c r="L1359" s="129" t="str">
        <f t="shared" si="21"/>
        <v>005-00000228</v>
      </c>
    </row>
    <row r="1360" spans="1:12" hidden="1" x14ac:dyDescent="0.25">
      <c r="A1360" s="130" t="s">
        <v>546</v>
      </c>
      <c r="B1360" s="130" t="s">
        <v>547</v>
      </c>
      <c r="C1360" s="132" t="s">
        <v>153</v>
      </c>
      <c r="D1360" s="129">
        <v>1</v>
      </c>
      <c r="E1360" s="129">
        <v>20.210699000000002</v>
      </c>
      <c r="F1360" s="129">
        <v>20.210699000000002</v>
      </c>
      <c r="G1360" s="129">
        <v>67.796599999999998</v>
      </c>
      <c r="H1360" s="129">
        <v>67.796599999999998</v>
      </c>
      <c r="I1360" s="131" t="s">
        <v>87</v>
      </c>
      <c r="J1360" s="132" t="s">
        <v>102</v>
      </c>
      <c r="K1360" s="130" t="s">
        <v>2095</v>
      </c>
      <c r="L1360" s="129" t="str">
        <f t="shared" si="21"/>
        <v>005-00000228</v>
      </c>
    </row>
    <row r="1361" spans="1:12" hidden="1" x14ac:dyDescent="0.25">
      <c r="A1361" s="130" t="s">
        <v>1470</v>
      </c>
      <c r="B1361" s="130" t="s">
        <v>1471</v>
      </c>
      <c r="C1361" s="132" t="s">
        <v>150</v>
      </c>
      <c r="D1361" s="129">
        <v>1</v>
      </c>
      <c r="E1361" s="129">
        <v>30.315999999999999</v>
      </c>
      <c r="F1361" s="129">
        <v>30.315999999999999</v>
      </c>
      <c r="G1361" s="129">
        <v>101.6949</v>
      </c>
      <c r="H1361" s="129">
        <v>101.69489999999998</v>
      </c>
      <c r="I1361" s="131" t="s">
        <v>87</v>
      </c>
      <c r="J1361" s="132" t="s">
        <v>102</v>
      </c>
      <c r="K1361" s="130" t="s">
        <v>2095</v>
      </c>
      <c r="L1361" s="129" t="str">
        <f t="shared" si="21"/>
        <v>005-00000228</v>
      </c>
    </row>
    <row r="1362" spans="1:12" hidden="1" x14ac:dyDescent="0.25">
      <c r="A1362" s="130" t="s">
        <v>241</v>
      </c>
      <c r="B1362" s="130" t="s">
        <v>242</v>
      </c>
      <c r="C1362" s="132" t="s">
        <v>150</v>
      </c>
      <c r="D1362" s="129">
        <v>1</v>
      </c>
      <c r="E1362" s="129">
        <v>7.5654998000000004</v>
      </c>
      <c r="F1362" s="129">
        <v>7.5654998000000013</v>
      </c>
      <c r="G1362" s="129">
        <v>25.42</v>
      </c>
      <c r="H1362" s="129">
        <v>25.42</v>
      </c>
      <c r="I1362" s="131" t="s">
        <v>87</v>
      </c>
      <c r="J1362" s="132" t="s">
        <v>102</v>
      </c>
      <c r="K1362" s="130" t="s">
        <v>2095</v>
      </c>
      <c r="L1362" s="129" t="str">
        <f t="shared" si="21"/>
        <v>005-00000228</v>
      </c>
    </row>
    <row r="1363" spans="1:12" hidden="1" x14ac:dyDescent="0.25">
      <c r="A1363" s="130" t="s">
        <v>1098</v>
      </c>
      <c r="B1363" s="130" t="s">
        <v>255</v>
      </c>
      <c r="C1363" s="132" t="s">
        <v>150</v>
      </c>
      <c r="D1363" s="129">
        <v>1</v>
      </c>
      <c r="E1363" s="129">
        <v>38.938301000000003</v>
      </c>
      <c r="F1363" s="129">
        <v>38.938301000000003</v>
      </c>
      <c r="G1363" s="129">
        <v>131.35589999999999</v>
      </c>
      <c r="H1363" s="129">
        <v>131.35589999999996</v>
      </c>
      <c r="I1363" s="131" t="s">
        <v>87</v>
      </c>
      <c r="J1363" s="132" t="s">
        <v>102</v>
      </c>
      <c r="K1363" s="130" t="s">
        <v>2094</v>
      </c>
      <c r="L1363" s="129" t="str">
        <f t="shared" si="21"/>
        <v>005-00000233</v>
      </c>
    </row>
    <row r="1364" spans="1:12" hidden="1" x14ac:dyDescent="0.25">
      <c r="A1364" s="130" t="s">
        <v>241</v>
      </c>
      <c r="B1364" s="130" t="s">
        <v>242</v>
      </c>
      <c r="C1364" s="132" t="s">
        <v>150</v>
      </c>
      <c r="D1364" s="129">
        <v>1</v>
      </c>
      <c r="E1364" s="129">
        <v>7.5654998000000004</v>
      </c>
      <c r="F1364" s="129">
        <v>7.5654998000000013</v>
      </c>
      <c r="G1364" s="129">
        <v>25.42</v>
      </c>
      <c r="H1364" s="129">
        <v>25.42</v>
      </c>
      <c r="I1364" s="131" t="s">
        <v>87</v>
      </c>
      <c r="J1364" s="132" t="s">
        <v>102</v>
      </c>
      <c r="K1364" s="130" t="s">
        <v>2094</v>
      </c>
      <c r="L1364" s="129" t="str">
        <f t="shared" si="21"/>
        <v>005-00000233</v>
      </c>
    </row>
    <row r="1365" spans="1:12" hidden="1" x14ac:dyDescent="0.25">
      <c r="A1365" s="130" t="s">
        <v>1109</v>
      </c>
      <c r="B1365" s="130" t="s">
        <v>1110</v>
      </c>
      <c r="C1365" s="132" t="s">
        <v>153</v>
      </c>
      <c r="D1365" s="129">
        <v>1</v>
      </c>
      <c r="E1365" s="129">
        <v>35.310699</v>
      </c>
      <c r="F1365" s="129">
        <v>35.310699</v>
      </c>
      <c r="G1365" s="129">
        <v>118.64409999999999</v>
      </c>
      <c r="H1365" s="129">
        <v>118.64410000000002</v>
      </c>
      <c r="I1365" s="131" t="s">
        <v>87</v>
      </c>
      <c r="J1365" s="132" t="s">
        <v>102</v>
      </c>
      <c r="K1365" s="130" t="s">
        <v>2094</v>
      </c>
      <c r="L1365" s="129" t="str">
        <f t="shared" si="21"/>
        <v>005-00000233</v>
      </c>
    </row>
    <row r="1366" spans="1:12" hidden="1" x14ac:dyDescent="0.25">
      <c r="A1366" s="130" t="s">
        <v>399</v>
      </c>
      <c r="B1366" s="130" t="s">
        <v>400</v>
      </c>
      <c r="C1366" s="132" t="s">
        <v>153</v>
      </c>
      <c r="D1366" s="129">
        <v>1</v>
      </c>
      <c r="E1366" s="129">
        <v>42.877299999999998</v>
      </c>
      <c r="F1366" s="129">
        <v>42.877299999999998</v>
      </c>
      <c r="G1366" s="129">
        <v>144.06779</v>
      </c>
      <c r="H1366" s="129">
        <v>144.06779</v>
      </c>
      <c r="I1366" s="131" t="s">
        <v>87</v>
      </c>
      <c r="J1366" s="132" t="s">
        <v>102</v>
      </c>
      <c r="K1366" s="130" t="s">
        <v>2094</v>
      </c>
      <c r="L1366" s="129" t="str">
        <f t="shared" si="21"/>
        <v>005-00000233</v>
      </c>
    </row>
    <row r="1367" spans="1:12" hidden="1" x14ac:dyDescent="0.25">
      <c r="A1367" s="130" t="s">
        <v>2096</v>
      </c>
      <c r="B1367" s="130" t="s">
        <v>2097</v>
      </c>
      <c r="C1367" s="132" t="s">
        <v>150</v>
      </c>
      <c r="D1367" s="129">
        <v>1</v>
      </c>
      <c r="E1367" s="129">
        <v>12.611000000000001</v>
      </c>
      <c r="F1367" s="129">
        <v>12.611000000000001</v>
      </c>
      <c r="G1367" s="129">
        <v>42.372897999999992</v>
      </c>
      <c r="H1367" s="129">
        <v>42.372897999999985</v>
      </c>
      <c r="I1367" s="131" t="s">
        <v>87</v>
      </c>
      <c r="J1367" s="132" t="s">
        <v>102</v>
      </c>
      <c r="K1367" s="130" t="s">
        <v>2094</v>
      </c>
      <c r="L1367" s="129" t="str">
        <f t="shared" si="21"/>
        <v>005-00000233</v>
      </c>
    </row>
    <row r="1368" spans="1:12" hidden="1" x14ac:dyDescent="0.25">
      <c r="A1368" s="130" t="s">
        <v>401</v>
      </c>
      <c r="B1368" s="130" t="s">
        <v>402</v>
      </c>
      <c r="C1368" s="132" t="s">
        <v>150</v>
      </c>
      <c r="D1368" s="129">
        <v>1</v>
      </c>
      <c r="E1368" s="129">
        <v>5.5533999999999999</v>
      </c>
      <c r="F1368" s="129">
        <v>5.5533999999999999</v>
      </c>
      <c r="G1368" s="129">
        <v>18.644100000000002</v>
      </c>
      <c r="H1368" s="129">
        <v>18.644099999999998</v>
      </c>
      <c r="I1368" s="131" t="s">
        <v>87</v>
      </c>
      <c r="J1368" s="132" t="s">
        <v>102</v>
      </c>
      <c r="K1368" s="130" t="s">
        <v>2094</v>
      </c>
      <c r="L1368" s="129" t="str">
        <f t="shared" si="21"/>
        <v>005-00000233</v>
      </c>
    </row>
    <row r="1369" spans="1:12" hidden="1" x14ac:dyDescent="0.25">
      <c r="A1369" s="130" t="s">
        <v>1470</v>
      </c>
      <c r="B1369" s="130" t="s">
        <v>1471</v>
      </c>
      <c r="C1369" s="132" t="s">
        <v>150</v>
      </c>
      <c r="D1369" s="129">
        <v>1</v>
      </c>
      <c r="E1369" s="129">
        <v>30.291201000000001</v>
      </c>
      <c r="F1369" s="129">
        <v>30.291201000000001</v>
      </c>
      <c r="G1369" s="129">
        <v>101.6949</v>
      </c>
      <c r="H1369" s="129">
        <v>101.69489999999998</v>
      </c>
      <c r="I1369" s="131" t="s">
        <v>87</v>
      </c>
      <c r="J1369" s="132" t="s">
        <v>102</v>
      </c>
      <c r="K1369" s="130" t="s">
        <v>2094</v>
      </c>
      <c r="L1369" s="129" t="str">
        <f t="shared" si="21"/>
        <v>005-00000233</v>
      </c>
    </row>
    <row r="1370" spans="1:12" hidden="1" x14ac:dyDescent="0.25">
      <c r="A1370" s="130" t="s">
        <v>2098</v>
      </c>
      <c r="B1370" s="130" t="s">
        <v>2099</v>
      </c>
      <c r="C1370" s="132" t="s">
        <v>150</v>
      </c>
      <c r="D1370" s="129">
        <v>1</v>
      </c>
      <c r="E1370" s="129">
        <v>36.571800000000003</v>
      </c>
      <c r="F1370" s="129">
        <v>36.571800000000003</v>
      </c>
      <c r="G1370" s="129">
        <v>122.8813</v>
      </c>
      <c r="H1370" s="129">
        <v>122.88129999999997</v>
      </c>
      <c r="I1370" s="131" t="s">
        <v>87</v>
      </c>
      <c r="J1370" s="132" t="s">
        <v>102</v>
      </c>
      <c r="K1370" s="130" t="s">
        <v>2094</v>
      </c>
      <c r="L1370" s="129" t="str">
        <f t="shared" si="21"/>
        <v>005-00000233</v>
      </c>
    </row>
    <row r="1371" spans="1:12" hidden="1" x14ac:dyDescent="0.25">
      <c r="A1371" s="130" t="s">
        <v>1109</v>
      </c>
      <c r="B1371" s="130" t="s">
        <v>1110</v>
      </c>
      <c r="C1371" s="132" t="s">
        <v>153</v>
      </c>
      <c r="D1371" s="129">
        <v>1</v>
      </c>
      <c r="E1371" s="129">
        <v>42.877997999999998</v>
      </c>
      <c r="F1371" s="129">
        <v>42.877997999999998</v>
      </c>
      <c r="G1371" s="129">
        <v>144.07001</v>
      </c>
      <c r="H1371" s="129">
        <v>144.07001000000002</v>
      </c>
      <c r="I1371" s="131" t="s">
        <v>87</v>
      </c>
      <c r="J1371" s="132" t="s">
        <v>102</v>
      </c>
      <c r="K1371" s="130" t="s">
        <v>2091</v>
      </c>
      <c r="L1371" s="129" t="str">
        <f t="shared" si="21"/>
        <v>005-00000216</v>
      </c>
    </row>
    <row r="1372" spans="1:12" hidden="1" x14ac:dyDescent="0.25">
      <c r="A1372" s="130" t="s">
        <v>2100</v>
      </c>
      <c r="B1372" s="130" t="s">
        <v>2101</v>
      </c>
      <c r="C1372" s="132" t="s">
        <v>88</v>
      </c>
      <c r="D1372" s="129">
        <v>1.5</v>
      </c>
      <c r="E1372" s="129">
        <v>42.359299</v>
      </c>
      <c r="F1372" s="129">
        <v>63.538948499999989</v>
      </c>
      <c r="G1372" s="129">
        <v>143.72501</v>
      </c>
      <c r="H1372" s="129">
        <v>215.58751500000002</v>
      </c>
      <c r="I1372" s="131" t="s">
        <v>87</v>
      </c>
      <c r="J1372" s="132" t="s">
        <v>102</v>
      </c>
      <c r="K1372" s="130" t="s">
        <v>2069</v>
      </c>
      <c r="L1372" s="129" t="str">
        <f t="shared" si="21"/>
        <v>005-00000207</v>
      </c>
    </row>
    <row r="1373" spans="1:12" hidden="1" x14ac:dyDescent="0.25">
      <c r="A1373" s="130" t="s">
        <v>1490</v>
      </c>
      <c r="B1373" s="130" t="s">
        <v>1491</v>
      </c>
      <c r="C1373" s="132" t="s">
        <v>150</v>
      </c>
      <c r="D1373" s="129">
        <v>1</v>
      </c>
      <c r="E1373" s="129">
        <v>12.5624</v>
      </c>
      <c r="F1373" s="129">
        <v>12.562399999999998</v>
      </c>
      <c r="G1373" s="129">
        <v>42.372897999999992</v>
      </c>
      <c r="H1373" s="129">
        <v>42.372897999999985</v>
      </c>
      <c r="I1373" s="131" t="s">
        <v>87</v>
      </c>
      <c r="J1373" s="132" t="s">
        <v>102</v>
      </c>
      <c r="K1373" s="130" t="s">
        <v>2029</v>
      </c>
      <c r="L1373" s="129" t="str">
        <f t="shared" si="21"/>
        <v>005-00000236</v>
      </c>
    </row>
    <row r="1374" spans="1:12" hidden="1" x14ac:dyDescent="0.25">
      <c r="A1374" s="130" t="s">
        <v>495</v>
      </c>
      <c r="B1374" s="130" t="s">
        <v>496</v>
      </c>
      <c r="C1374" s="132" t="s">
        <v>150</v>
      </c>
      <c r="D1374" s="129">
        <v>1</v>
      </c>
      <c r="E1374" s="129">
        <v>27.134701</v>
      </c>
      <c r="F1374" s="129">
        <v>27.134701</v>
      </c>
      <c r="G1374" s="129">
        <v>91.525397999999981</v>
      </c>
      <c r="H1374" s="129">
        <v>91.525397999999981</v>
      </c>
      <c r="I1374" s="131" t="s">
        <v>87</v>
      </c>
      <c r="J1374" s="132" t="s">
        <v>102</v>
      </c>
      <c r="K1374" s="130" t="s">
        <v>2029</v>
      </c>
      <c r="L1374" s="129" t="str">
        <f t="shared" si="21"/>
        <v>005-00000236</v>
      </c>
    </row>
    <row r="1375" spans="1:12" hidden="1" x14ac:dyDescent="0.25">
      <c r="A1375" s="130" t="s">
        <v>2102</v>
      </c>
      <c r="B1375" s="130" t="s">
        <v>2103</v>
      </c>
      <c r="C1375" s="132" t="s">
        <v>150</v>
      </c>
      <c r="D1375" s="129">
        <v>1</v>
      </c>
      <c r="E1375" s="129">
        <v>68.324898000000005</v>
      </c>
      <c r="F1375" s="129">
        <v>68.32489799999999</v>
      </c>
      <c r="G1375" s="129">
        <v>228.82001</v>
      </c>
      <c r="H1375" s="129">
        <v>228.82001</v>
      </c>
      <c r="I1375" s="131" t="s">
        <v>87</v>
      </c>
      <c r="J1375" s="132" t="s">
        <v>102</v>
      </c>
      <c r="K1375" s="130" t="s">
        <v>2069</v>
      </c>
      <c r="L1375" s="129" t="str">
        <f t="shared" si="21"/>
        <v>005-00000207</v>
      </c>
    </row>
    <row r="1376" spans="1:12" hidden="1" x14ac:dyDescent="0.25">
      <c r="A1376" s="130" t="s">
        <v>1082</v>
      </c>
      <c r="B1376" s="130" t="s">
        <v>1083</v>
      </c>
      <c r="C1376" s="132" t="s">
        <v>150</v>
      </c>
      <c r="D1376" s="129">
        <v>1</v>
      </c>
      <c r="E1376" s="129">
        <v>54.334000000000003</v>
      </c>
      <c r="F1376" s="129">
        <v>54.334000000000003</v>
      </c>
      <c r="G1376" s="129">
        <v>182.20339999999999</v>
      </c>
      <c r="H1376" s="129">
        <v>182.20339999999996</v>
      </c>
      <c r="I1376" s="131" t="s">
        <v>87</v>
      </c>
      <c r="J1376" s="132" t="s">
        <v>102</v>
      </c>
      <c r="K1376" s="130" t="s">
        <v>2095</v>
      </c>
      <c r="L1376" s="129" t="str">
        <f t="shared" si="21"/>
        <v>005-00000228</v>
      </c>
    </row>
    <row r="1377" spans="1:12" hidden="1" x14ac:dyDescent="0.25">
      <c r="A1377" s="130" t="s">
        <v>1082</v>
      </c>
      <c r="B1377" s="130" t="s">
        <v>1083</v>
      </c>
      <c r="C1377" s="132" t="s">
        <v>150</v>
      </c>
      <c r="D1377" s="129">
        <v>1</v>
      </c>
      <c r="E1377" s="129">
        <v>54.334000000000003</v>
      </c>
      <c r="F1377" s="129">
        <v>54.334000000000003</v>
      </c>
      <c r="G1377" s="129">
        <v>182.20339999999999</v>
      </c>
      <c r="H1377" s="129">
        <v>182.20339999999996</v>
      </c>
      <c r="I1377" s="131" t="s">
        <v>87</v>
      </c>
      <c r="J1377" s="132" t="s">
        <v>102</v>
      </c>
      <c r="K1377" s="130" t="s">
        <v>2094</v>
      </c>
      <c r="L1377" s="129" t="str">
        <f t="shared" si="21"/>
        <v>005-00000233</v>
      </c>
    </row>
    <row r="1378" spans="1:12" hidden="1" x14ac:dyDescent="0.25">
      <c r="A1378" s="130" t="s">
        <v>1082</v>
      </c>
      <c r="B1378" s="130" t="s">
        <v>1083</v>
      </c>
      <c r="C1378" s="132" t="s">
        <v>150</v>
      </c>
      <c r="D1378" s="129">
        <v>1</v>
      </c>
      <c r="E1378" s="129">
        <v>54.334000000000003</v>
      </c>
      <c r="F1378" s="129">
        <v>54.334000000000003</v>
      </c>
      <c r="G1378" s="129">
        <v>182.20339999999999</v>
      </c>
      <c r="H1378" s="129">
        <v>182.20339999999996</v>
      </c>
      <c r="I1378" s="131" t="s">
        <v>87</v>
      </c>
      <c r="J1378" s="132" t="s">
        <v>102</v>
      </c>
      <c r="K1378" s="130" t="s">
        <v>1678</v>
      </c>
      <c r="L1378" s="129" t="str">
        <f t="shared" si="21"/>
        <v>005-00000201</v>
      </c>
    </row>
    <row r="1379" spans="1:12" hidden="1" x14ac:dyDescent="0.25">
      <c r="A1379" s="130" t="s">
        <v>1082</v>
      </c>
      <c r="B1379" s="130" t="s">
        <v>1083</v>
      </c>
      <c r="C1379" s="132" t="s">
        <v>150</v>
      </c>
      <c r="D1379" s="129">
        <v>1</v>
      </c>
      <c r="E1379" s="129">
        <v>54.334000000000003</v>
      </c>
      <c r="F1379" s="129">
        <v>54.334000000000003</v>
      </c>
      <c r="G1379" s="129">
        <v>182.20339999999999</v>
      </c>
      <c r="H1379" s="129">
        <v>182.20339999999996</v>
      </c>
      <c r="I1379" s="131" t="s">
        <v>87</v>
      </c>
      <c r="J1379" s="132" t="s">
        <v>102</v>
      </c>
      <c r="K1379" s="130" t="s">
        <v>1680</v>
      </c>
      <c r="L1379" s="129" t="str">
        <f t="shared" si="21"/>
        <v>005-00000202</v>
      </c>
    </row>
    <row r="1380" spans="1:12" hidden="1" x14ac:dyDescent="0.25">
      <c r="A1380" s="130" t="s">
        <v>1082</v>
      </c>
      <c r="B1380" s="130" t="s">
        <v>1083</v>
      </c>
      <c r="C1380" s="132" t="s">
        <v>150</v>
      </c>
      <c r="D1380" s="129">
        <v>1</v>
      </c>
      <c r="E1380" s="129">
        <v>54.334000000000003</v>
      </c>
      <c r="F1380" s="129">
        <v>54.334000000000003</v>
      </c>
      <c r="G1380" s="129">
        <v>182.20339999999999</v>
      </c>
      <c r="H1380" s="129">
        <v>182.20339999999996</v>
      </c>
      <c r="I1380" s="131" t="s">
        <v>87</v>
      </c>
      <c r="J1380" s="132" t="s">
        <v>102</v>
      </c>
      <c r="K1380" s="130" t="s">
        <v>1679</v>
      </c>
      <c r="L1380" s="129" t="str">
        <f t="shared" si="21"/>
        <v>005-00000203</v>
      </c>
    </row>
    <row r="1381" spans="1:12" hidden="1" x14ac:dyDescent="0.25">
      <c r="A1381" s="130" t="s">
        <v>1082</v>
      </c>
      <c r="B1381" s="130" t="s">
        <v>1083</v>
      </c>
      <c r="C1381" s="132" t="s">
        <v>150</v>
      </c>
      <c r="D1381" s="129">
        <v>1</v>
      </c>
      <c r="E1381" s="129">
        <v>54.334000000000003</v>
      </c>
      <c r="F1381" s="129">
        <v>54.334000000000003</v>
      </c>
      <c r="G1381" s="129">
        <v>182.20339999999999</v>
      </c>
      <c r="H1381" s="129">
        <v>182.20339999999996</v>
      </c>
      <c r="I1381" s="131" t="s">
        <v>87</v>
      </c>
      <c r="J1381" s="132" t="s">
        <v>102</v>
      </c>
      <c r="K1381" s="130" t="s">
        <v>2091</v>
      </c>
      <c r="L1381" s="129" t="str">
        <f t="shared" si="21"/>
        <v>005-00000216</v>
      </c>
    </row>
    <row r="1382" spans="1:12" hidden="1" x14ac:dyDescent="0.25">
      <c r="A1382" s="130" t="s">
        <v>2104</v>
      </c>
      <c r="B1382" s="130" t="s">
        <v>2105</v>
      </c>
      <c r="C1382" s="132" t="s">
        <v>150</v>
      </c>
      <c r="D1382" s="129">
        <v>1</v>
      </c>
      <c r="E1382" s="129">
        <v>32.779201999999998</v>
      </c>
      <c r="F1382" s="129">
        <v>32.779201999999998</v>
      </c>
      <c r="G1382" s="129">
        <v>110.16950000000001</v>
      </c>
      <c r="H1382" s="129">
        <v>110.16950000000003</v>
      </c>
      <c r="I1382" s="131" t="s">
        <v>87</v>
      </c>
      <c r="J1382" s="132" t="s">
        <v>102</v>
      </c>
      <c r="K1382" s="130" t="s">
        <v>1559</v>
      </c>
      <c r="L1382" s="129" t="str">
        <f t="shared" si="21"/>
        <v>005-00000195</v>
      </c>
    </row>
    <row r="1383" spans="1:12" hidden="1" x14ac:dyDescent="0.25">
      <c r="A1383" s="130" t="s">
        <v>1646</v>
      </c>
      <c r="B1383" s="130" t="s">
        <v>1647</v>
      </c>
      <c r="C1383" s="132" t="s">
        <v>150</v>
      </c>
      <c r="D1383" s="129">
        <v>2</v>
      </c>
      <c r="E1383" s="129">
        <v>5.0251998999999996</v>
      </c>
      <c r="F1383" s="129">
        <v>10.050399799999999</v>
      </c>
      <c r="G1383" s="129">
        <v>16.950001</v>
      </c>
      <c r="H1383" s="129">
        <v>33.900002000000001</v>
      </c>
      <c r="I1383" s="131" t="s">
        <v>87</v>
      </c>
      <c r="J1383" s="132" t="s">
        <v>102</v>
      </c>
      <c r="K1383" s="130" t="s">
        <v>1559</v>
      </c>
      <c r="L1383" s="129" t="str">
        <f t="shared" si="21"/>
        <v>005-00000195</v>
      </c>
    </row>
    <row r="1384" spans="1:12" hidden="1" x14ac:dyDescent="0.25">
      <c r="A1384" s="130" t="s">
        <v>222</v>
      </c>
      <c r="B1384" s="130" t="s">
        <v>223</v>
      </c>
      <c r="C1384" s="132" t="s">
        <v>150</v>
      </c>
      <c r="D1384" s="129">
        <v>1</v>
      </c>
      <c r="E1384" s="129">
        <v>12.570399999999999</v>
      </c>
      <c r="F1384" s="129">
        <v>12.570399999999999</v>
      </c>
      <c r="G1384" s="129">
        <v>42.372897999999992</v>
      </c>
      <c r="H1384" s="129">
        <v>42.372897999999985</v>
      </c>
      <c r="I1384" s="131" t="s">
        <v>87</v>
      </c>
      <c r="J1384" s="132" t="s">
        <v>102</v>
      </c>
      <c r="K1384" s="130" t="s">
        <v>1559</v>
      </c>
      <c r="L1384" s="129" t="str">
        <f t="shared" si="21"/>
        <v>005-00000195</v>
      </c>
    </row>
    <row r="1385" spans="1:12" hidden="1" x14ac:dyDescent="0.25">
      <c r="A1385" s="130" t="s">
        <v>401</v>
      </c>
      <c r="B1385" s="130" t="s">
        <v>402</v>
      </c>
      <c r="C1385" s="132" t="s">
        <v>150</v>
      </c>
      <c r="D1385" s="129">
        <v>1</v>
      </c>
      <c r="E1385" s="129">
        <v>6.3262</v>
      </c>
      <c r="F1385" s="129">
        <v>6.3261999999999992</v>
      </c>
      <c r="G1385" s="129">
        <v>21.186399000000002</v>
      </c>
      <c r="H1385" s="129">
        <v>21.186399000000002</v>
      </c>
      <c r="I1385" s="131" t="s">
        <v>87</v>
      </c>
      <c r="J1385" s="132" t="s">
        <v>102</v>
      </c>
      <c r="K1385" s="130" t="s">
        <v>1559</v>
      </c>
      <c r="L1385" s="129" t="str">
        <f t="shared" si="21"/>
        <v>005-00000195</v>
      </c>
    </row>
    <row r="1386" spans="1:12" hidden="1" x14ac:dyDescent="0.25">
      <c r="A1386" s="130" t="s">
        <v>583</v>
      </c>
      <c r="B1386" s="130" t="s">
        <v>584</v>
      </c>
      <c r="C1386" s="132" t="s">
        <v>88</v>
      </c>
      <c r="D1386" s="129">
        <v>1</v>
      </c>
      <c r="E1386" s="129">
        <v>20.3444</v>
      </c>
      <c r="F1386" s="129">
        <v>20.344400000000004</v>
      </c>
      <c r="G1386" s="129">
        <v>68.438598999999996</v>
      </c>
      <c r="H1386" s="129">
        <v>68.438598999999996</v>
      </c>
      <c r="I1386" s="131" t="s">
        <v>87</v>
      </c>
      <c r="J1386" s="132" t="s">
        <v>102</v>
      </c>
      <c r="K1386" s="130" t="s">
        <v>2106</v>
      </c>
      <c r="L1386" s="129" t="str">
        <f t="shared" si="21"/>
        <v>005-00000262</v>
      </c>
    </row>
    <row r="1387" spans="1:12" hidden="1" x14ac:dyDescent="0.25">
      <c r="A1387" s="130" t="s">
        <v>2107</v>
      </c>
      <c r="B1387" s="130" t="s">
        <v>2108</v>
      </c>
      <c r="C1387" s="132" t="s">
        <v>150</v>
      </c>
      <c r="D1387" s="129">
        <v>1</v>
      </c>
      <c r="E1387" s="129">
        <v>2.4017998999999999</v>
      </c>
      <c r="F1387" s="129">
        <v>2.4017998999999999</v>
      </c>
      <c r="G1387" s="129">
        <v>8.0818995999999999</v>
      </c>
      <c r="H1387" s="129">
        <v>8.0818995999999999</v>
      </c>
      <c r="I1387" s="131" t="s">
        <v>87</v>
      </c>
      <c r="J1387" s="132" t="s">
        <v>102</v>
      </c>
      <c r="K1387" s="130" t="s">
        <v>2106</v>
      </c>
      <c r="L1387" s="129" t="str">
        <f t="shared" si="21"/>
        <v>005-00000262</v>
      </c>
    </row>
    <row r="1388" spans="1:12" hidden="1" x14ac:dyDescent="0.25">
      <c r="A1388" s="130" t="s">
        <v>1034</v>
      </c>
      <c r="B1388" s="130" t="s">
        <v>1035</v>
      </c>
      <c r="C1388" s="132" t="s">
        <v>88</v>
      </c>
      <c r="D1388" s="129">
        <v>1</v>
      </c>
      <c r="E1388" s="129">
        <v>10.5677</v>
      </c>
      <c r="F1388" s="129">
        <v>10.567700000000002</v>
      </c>
      <c r="G1388" s="129">
        <v>35.745998</v>
      </c>
      <c r="H1388" s="129">
        <v>35.745998</v>
      </c>
      <c r="I1388" s="131" t="s">
        <v>87</v>
      </c>
      <c r="J1388" s="132" t="s">
        <v>102</v>
      </c>
      <c r="K1388" s="130" t="s">
        <v>2090</v>
      </c>
      <c r="L1388" s="129" t="str">
        <f t="shared" si="21"/>
        <v>005-00000252</v>
      </c>
    </row>
    <row r="1389" spans="1:12" hidden="1" x14ac:dyDescent="0.25">
      <c r="A1389" s="130" t="s">
        <v>1028</v>
      </c>
      <c r="B1389" s="130" t="s">
        <v>1029</v>
      </c>
      <c r="C1389" s="132" t="s">
        <v>150</v>
      </c>
      <c r="D1389" s="129">
        <v>1</v>
      </c>
      <c r="E1389" s="129">
        <v>1.5079</v>
      </c>
      <c r="F1389" s="129">
        <v>1.5078999999999996</v>
      </c>
      <c r="G1389" s="129">
        <v>5.0847001000000001</v>
      </c>
      <c r="H1389" s="129">
        <v>5.0847001000000001</v>
      </c>
      <c r="I1389" s="131" t="s">
        <v>87</v>
      </c>
      <c r="J1389" s="132" t="s">
        <v>102</v>
      </c>
      <c r="K1389" s="130" t="s">
        <v>2090</v>
      </c>
      <c r="L1389" s="129" t="str">
        <f t="shared" si="21"/>
        <v>005-00000252</v>
      </c>
    </row>
    <row r="1390" spans="1:12" hidden="1" x14ac:dyDescent="0.25">
      <c r="A1390" s="130" t="s">
        <v>1466</v>
      </c>
      <c r="B1390" s="130" t="s">
        <v>1467</v>
      </c>
      <c r="C1390" s="132" t="s">
        <v>88</v>
      </c>
      <c r="D1390" s="129">
        <v>1</v>
      </c>
      <c r="E1390" s="129">
        <v>9.2980003</v>
      </c>
      <c r="F1390" s="129">
        <v>9.2980002999999982</v>
      </c>
      <c r="G1390" s="129">
        <v>31.138999999999999</v>
      </c>
      <c r="H1390" s="129">
        <v>31.138999999999996</v>
      </c>
      <c r="I1390" s="131" t="s">
        <v>87</v>
      </c>
      <c r="J1390" s="132" t="s">
        <v>102</v>
      </c>
      <c r="K1390" s="130" t="s">
        <v>2090</v>
      </c>
      <c r="L1390" s="129" t="str">
        <f t="shared" si="21"/>
        <v>005-00000252</v>
      </c>
    </row>
    <row r="1391" spans="1:12" hidden="1" x14ac:dyDescent="0.25">
      <c r="A1391" s="130" t="s">
        <v>1465</v>
      </c>
      <c r="B1391" s="130" t="s">
        <v>160</v>
      </c>
      <c r="C1391" s="132" t="s">
        <v>150</v>
      </c>
      <c r="D1391" s="129">
        <v>2</v>
      </c>
      <c r="E1391" s="129">
        <v>1.3818999999999999</v>
      </c>
      <c r="F1391" s="129">
        <v>2.7638000000000007</v>
      </c>
      <c r="G1391" s="129">
        <v>4.6609997999999999</v>
      </c>
      <c r="H1391" s="129">
        <v>9.3219995999999998</v>
      </c>
      <c r="I1391" s="131" t="s">
        <v>87</v>
      </c>
      <c r="J1391" s="132" t="s">
        <v>102</v>
      </c>
      <c r="K1391" s="130" t="s">
        <v>1680</v>
      </c>
      <c r="L1391" s="129" t="str">
        <f t="shared" si="21"/>
        <v>005-00000202</v>
      </c>
    </row>
    <row r="1392" spans="1:12" hidden="1" x14ac:dyDescent="0.25">
      <c r="A1392" s="130" t="s">
        <v>342</v>
      </c>
      <c r="B1392" s="130" t="s">
        <v>343</v>
      </c>
      <c r="C1392" s="132" t="s">
        <v>150</v>
      </c>
      <c r="D1392" s="129">
        <v>4</v>
      </c>
      <c r="E1392" s="129">
        <v>0.30039999000000001</v>
      </c>
      <c r="F1392" s="129">
        <v>1.2015999600000002</v>
      </c>
      <c r="G1392" s="129">
        <v>1.0168999000000001</v>
      </c>
      <c r="H1392" s="129">
        <v>4.0675996000000003</v>
      </c>
      <c r="I1392" s="131" t="s">
        <v>87</v>
      </c>
      <c r="J1392" s="132" t="s">
        <v>102</v>
      </c>
      <c r="K1392" s="130" t="s">
        <v>1680</v>
      </c>
      <c r="L1392" s="129" t="str">
        <f t="shared" si="21"/>
        <v>005-00000202</v>
      </c>
    </row>
    <row r="1393" spans="1:12" hidden="1" x14ac:dyDescent="0.25">
      <c r="A1393" s="130" t="s">
        <v>360</v>
      </c>
      <c r="B1393" s="130" t="s">
        <v>361</v>
      </c>
      <c r="C1393" s="132" t="s">
        <v>150</v>
      </c>
      <c r="D1393" s="129">
        <v>4</v>
      </c>
      <c r="E1393" s="129">
        <v>0.12590000000000001</v>
      </c>
      <c r="F1393" s="129">
        <v>0.50360000000000005</v>
      </c>
      <c r="G1393" s="129">
        <v>0.42370000000000002</v>
      </c>
      <c r="H1393" s="129">
        <v>1.6948000000000001</v>
      </c>
      <c r="I1393" s="131" t="s">
        <v>87</v>
      </c>
      <c r="J1393" s="132" t="s">
        <v>102</v>
      </c>
      <c r="K1393" s="130" t="s">
        <v>1680</v>
      </c>
      <c r="L1393" s="129" t="str">
        <f t="shared" si="21"/>
        <v>005-00000202</v>
      </c>
    </row>
    <row r="1394" spans="1:12" hidden="1" x14ac:dyDescent="0.25">
      <c r="A1394" s="130" t="s">
        <v>331</v>
      </c>
      <c r="B1394" s="130" t="s">
        <v>332</v>
      </c>
      <c r="C1394" s="132" t="s">
        <v>150</v>
      </c>
      <c r="D1394" s="129">
        <v>1</v>
      </c>
      <c r="E1394" s="129">
        <v>1.0668</v>
      </c>
      <c r="F1394" s="129">
        <v>1.0668</v>
      </c>
      <c r="G1394" s="129">
        <v>3.6015999000000001</v>
      </c>
      <c r="H1394" s="129">
        <v>3.6015999000000005</v>
      </c>
      <c r="I1394" s="131" t="s">
        <v>87</v>
      </c>
      <c r="J1394" s="132" t="s">
        <v>102</v>
      </c>
      <c r="K1394" s="130" t="s">
        <v>1561</v>
      </c>
      <c r="L1394" s="129" t="str">
        <f t="shared" si="21"/>
        <v>005-00000197</v>
      </c>
    </row>
    <row r="1395" spans="1:12" hidden="1" x14ac:dyDescent="0.25">
      <c r="A1395" s="130" t="s">
        <v>329</v>
      </c>
      <c r="B1395" s="130" t="s">
        <v>330</v>
      </c>
      <c r="C1395" s="132" t="s">
        <v>150</v>
      </c>
      <c r="D1395" s="129">
        <v>1</v>
      </c>
      <c r="E1395" s="129">
        <v>2.7613001000000001</v>
      </c>
      <c r="F1395" s="129">
        <v>2.7613001000000001</v>
      </c>
      <c r="G1395" s="129">
        <v>9.3219995000000004</v>
      </c>
      <c r="H1395" s="129">
        <v>9.3219995000000004</v>
      </c>
      <c r="I1395" s="131" t="s">
        <v>87</v>
      </c>
      <c r="J1395" s="132" t="s">
        <v>102</v>
      </c>
      <c r="K1395" s="130" t="s">
        <v>1561</v>
      </c>
      <c r="L1395" s="129" t="str">
        <f t="shared" si="21"/>
        <v>005-00000197</v>
      </c>
    </row>
    <row r="1396" spans="1:12" hidden="1" x14ac:dyDescent="0.25">
      <c r="A1396" s="130" t="s">
        <v>342</v>
      </c>
      <c r="B1396" s="130" t="s">
        <v>343</v>
      </c>
      <c r="C1396" s="132" t="s">
        <v>150</v>
      </c>
      <c r="D1396" s="129">
        <v>4</v>
      </c>
      <c r="E1396" s="129">
        <v>0.30039999000000001</v>
      </c>
      <c r="F1396" s="129">
        <v>1.2015999600000002</v>
      </c>
      <c r="G1396" s="129">
        <v>1.0168999000000001</v>
      </c>
      <c r="H1396" s="129">
        <v>4.0675996000000003</v>
      </c>
      <c r="I1396" s="131" t="s">
        <v>87</v>
      </c>
      <c r="J1396" s="132" t="s">
        <v>102</v>
      </c>
      <c r="K1396" s="130" t="s">
        <v>1561</v>
      </c>
      <c r="L1396" s="129" t="str">
        <f t="shared" si="21"/>
        <v>005-00000197</v>
      </c>
    </row>
    <row r="1397" spans="1:12" hidden="1" x14ac:dyDescent="0.25">
      <c r="A1397" s="130" t="s">
        <v>360</v>
      </c>
      <c r="B1397" s="130" t="s">
        <v>361</v>
      </c>
      <c r="C1397" s="132" t="s">
        <v>150</v>
      </c>
      <c r="D1397" s="129">
        <v>4</v>
      </c>
      <c r="E1397" s="129">
        <v>0.12590000000000001</v>
      </c>
      <c r="F1397" s="129">
        <v>0.50360000000000005</v>
      </c>
      <c r="G1397" s="129">
        <v>0.42370000000000002</v>
      </c>
      <c r="H1397" s="129">
        <v>1.6948000000000001</v>
      </c>
      <c r="I1397" s="131" t="s">
        <v>87</v>
      </c>
      <c r="J1397" s="132" t="s">
        <v>102</v>
      </c>
      <c r="K1397" s="130" t="s">
        <v>1561</v>
      </c>
      <c r="L1397" s="129" t="str">
        <f t="shared" si="21"/>
        <v>005-00000197</v>
      </c>
    </row>
    <row r="1398" spans="1:12" hidden="1" x14ac:dyDescent="0.25">
      <c r="A1398" s="130" t="s">
        <v>1030</v>
      </c>
      <c r="B1398" s="130" t="s">
        <v>1031</v>
      </c>
      <c r="C1398" s="132" t="s">
        <v>150</v>
      </c>
      <c r="D1398" s="129">
        <v>1</v>
      </c>
      <c r="E1398" s="129">
        <v>2.0106001</v>
      </c>
      <c r="F1398" s="129">
        <v>2.0106001</v>
      </c>
      <c r="G1398" s="129">
        <v>6.7796998000000004</v>
      </c>
      <c r="H1398" s="129">
        <v>6.7796998000000022</v>
      </c>
      <c r="I1398" s="131" t="s">
        <v>87</v>
      </c>
      <c r="J1398" s="132" t="s">
        <v>102</v>
      </c>
      <c r="K1398" s="130" t="s">
        <v>1559</v>
      </c>
      <c r="L1398" s="129" t="str">
        <f t="shared" si="21"/>
        <v>005-00000195</v>
      </c>
    </row>
    <row r="1399" spans="1:12" hidden="1" x14ac:dyDescent="0.25">
      <c r="A1399" s="130" t="s">
        <v>409</v>
      </c>
      <c r="B1399" s="130" t="s">
        <v>408</v>
      </c>
      <c r="C1399" s="132" t="s">
        <v>150</v>
      </c>
      <c r="D1399" s="129">
        <v>4</v>
      </c>
      <c r="E1399" s="129">
        <v>1.4915</v>
      </c>
      <c r="F1399" s="129">
        <v>5.9659999999999993</v>
      </c>
      <c r="G1399" s="129">
        <v>6.1016002</v>
      </c>
      <c r="H1399" s="129">
        <v>24.406400800000007</v>
      </c>
      <c r="I1399" s="131" t="s">
        <v>87</v>
      </c>
      <c r="J1399" s="132" t="s">
        <v>102</v>
      </c>
      <c r="K1399" s="130" t="s">
        <v>1559</v>
      </c>
      <c r="L1399" s="129" t="str">
        <f t="shared" si="21"/>
        <v>005-00000195</v>
      </c>
    </row>
    <row r="1400" spans="1:12" hidden="1" x14ac:dyDescent="0.25">
      <c r="A1400" s="130" t="s">
        <v>1466</v>
      </c>
      <c r="B1400" s="130" t="s">
        <v>1467</v>
      </c>
      <c r="C1400" s="132" t="s">
        <v>88</v>
      </c>
      <c r="D1400" s="129">
        <v>1</v>
      </c>
      <c r="E1400" s="129">
        <v>9.2980003</v>
      </c>
      <c r="F1400" s="129">
        <v>9.2980002999999982</v>
      </c>
      <c r="G1400" s="129">
        <v>31.138999999999999</v>
      </c>
      <c r="H1400" s="129">
        <v>31.138999999999996</v>
      </c>
      <c r="I1400" s="131" t="s">
        <v>87</v>
      </c>
      <c r="J1400" s="132" t="s">
        <v>102</v>
      </c>
      <c r="K1400" s="130" t="s">
        <v>1559</v>
      </c>
      <c r="L1400" s="129" t="str">
        <f t="shared" si="21"/>
        <v>005-00000195</v>
      </c>
    </row>
    <row r="1401" spans="1:12" hidden="1" x14ac:dyDescent="0.25">
      <c r="A1401" s="130" t="s">
        <v>1034</v>
      </c>
      <c r="B1401" s="130" t="s">
        <v>1035</v>
      </c>
      <c r="C1401" s="132" t="s">
        <v>88</v>
      </c>
      <c r="D1401" s="129">
        <v>1</v>
      </c>
      <c r="E1401" s="129">
        <v>10.5677</v>
      </c>
      <c r="F1401" s="129">
        <v>10.567700000000002</v>
      </c>
      <c r="G1401" s="129">
        <v>35.745998</v>
      </c>
      <c r="H1401" s="129">
        <v>35.745998</v>
      </c>
      <c r="I1401" s="131" t="s">
        <v>87</v>
      </c>
      <c r="J1401" s="132" t="s">
        <v>102</v>
      </c>
      <c r="K1401" s="130" t="s">
        <v>1559</v>
      </c>
      <c r="L1401" s="129" t="str">
        <f t="shared" si="21"/>
        <v>005-00000195</v>
      </c>
    </row>
    <row r="1402" spans="1:12" hidden="1" x14ac:dyDescent="0.25">
      <c r="A1402" s="130" t="s">
        <v>1586</v>
      </c>
      <c r="B1402" s="130" t="s">
        <v>1587</v>
      </c>
      <c r="C1402" s="132" t="s">
        <v>153</v>
      </c>
      <c r="D1402" s="129">
        <v>1</v>
      </c>
      <c r="E1402" s="129">
        <v>6.2625999000000006</v>
      </c>
      <c r="F1402" s="129">
        <v>6.2625999000000006</v>
      </c>
      <c r="G1402" s="129">
        <v>21.186399000000002</v>
      </c>
      <c r="H1402" s="129">
        <v>21.186399000000002</v>
      </c>
      <c r="I1402" s="131" t="s">
        <v>87</v>
      </c>
      <c r="J1402" s="132" t="s">
        <v>102</v>
      </c>
      <c r="K1402" s="130" t="s">
        <v>1559</v>
      </c>
      <c r="L1402" s="129" t="str">
        <f t="shared" si="21"/>
        <v>005-00000195</v>
      </c>
    </row>
    <row r="1403" spans="1:12" hidden="1" x14ac:dyDescent="0.25">
      <c r="A1403" s="130" t="s">
        <v>227</v>
      </c>
      <c r="B1403" s="130" t="s">
        <v>194</v>
      </c>
      <c r="C1403" s="132" t="s">
        <v>88</v>
      </c>
      <c r="D1403" s="129">
        <v>1</v>
      </c>
      <c r="E1403" s="129">
        <v>1.6415</v>
      </c>
      <c r="F1403" s="129">
        <v>1.6414999999999997</v>
      </c>
      <c r="G1403" s="129">
        <v>5.4759001999999999</v>
      </c>
      <c r="H1403" s="129">
        <v>5.4759001999999999</v>
      </c>
      <c r="I1403" s="131" t="s">
        <v>87</v>
      </c>
      <c r="J1403" s="132" t="s">
        <v>102</v>
      </c>
      <c r="K1403" s="130" t="s">
        <v>1559</v>
      </c>
      <c r="L1403" s="129" t="str">
        <f t="shared" si="21"/>
        <v>005-00000195</v>
      </c>
    </row>
    <row r="1404" spans="1:12" hidden="1" x14ac:dyDescent="0.25">
      <c r="A1404" s="130" t="s">
        <v>544</v>
      </c>
      <c r="B1404" s="130" t="s">
        <v>545</v>
      </c>
      <c r="C1404" s="132" t="s">
        <v>150</v>
      </c>
      <c r="D1404" s="129">
        <v>1</v>
      </c>
      <c r="E1404" s="129">
        <v>2.5007999000000001</v>
      </c>
      <c r="F1404" s="129">
        <v>2.5007999000000005</v>
      </c>
      <c r="G1404" s="129">
        <v>8.4745998</v>
      </c>
      <c r="H1404" s="129">
        <v>8.4745998</v>
      </c>
      <c r="I1404" s="131" t="s">
        <v>87</v>
      </c>
      <c r="J1404" s="132" t="s">
        <v>102</v>
      </c>
      <c r="K1404" s="130" t="s">
        <v>1559</v>
      </c>
      <c r="L1404" s="129" t="str">
        <f t="shared" si="21"/>
        <v>005-00000195</v>
      </c>
    </row>
    <row r="1405" spans="1:12" hidden="1" x14ac:dyDescent="0.25">
      <c r="A1405" s="130" t="s">
        <v>360</v>
      </c>
      <c r="B1405" s="130" t="s">
        <v>361</v>
      </c>
      <c r="C1405" s="132" t="s">
        <v>150</v>
      </c>
      <c r="D1405" s="129">
        <v>4</v>
      </c>
      <c r="E1405" s="129">
        <v>0.12590000000000001</v>
      </c>
      <c r="F1405" s="129">
        <v>0.50360000000000005</v>
      </c>
      <c r="G1405" s="129">
        <v>0.42370000000000002</v>
      </c>
      <c r="H1405" s="129">
        <v>1.6948000000000001</v>
      </c>
      <c r="I1405" s="131" t="s">
        <v>87</v>
      </c>
      <c r="J1405" s="132" t="s">
        <v>102</v>
      </c>
      <c r="K1405" s="130" t="s">
        <v>1559</v>
      </c>
      <c r="L1405" s="129" t="str">
        <f t="shared" si="21"/>
        <v>005-00000195</v>
      </c>
    </row>
    <row r="1406" spans="1:12" hidden="1" x14ac:dyDescent="0.25">
      <c r="A1406" s="130" t="s">
        <v>342</v>
      </c>
      <c r="B1406" s="130" t="s">
        <v>343</v>
      </c>
      <c r="C1406" s="132" t="s">
        <v>150</v>
      </c>
      <c r="D1406" s="129">
        <v>4</v>
      </c>
      <c r="E1406" s="129">
        <v>0.30039999000000001</v>
      </c>
      <c r="F1406" s="129">
        <v>1.2015999600000002</v>
      </c>
      <c r="G1406" s="129">
        <v>1.0168999000000001</v>
      </c>
      <c r="H1406" s="129">
        <v>4.0675996000000003</v>
      </c>
      <c r="I1406" s="131" t="s">
        <v>87</v>
      </c>
      <c r="J1406" s="132" t="s">
        <v>102</v>
      </c>
      <c r="K1406" s="130" t="s">
        <v>1559</v>
      </c>
      <c r="L1406" s="129" t="str">
        <f t="shared" si="21"/>
        <v>005-00000195</v>
      </c>
    </row>
    <row r="1407" spans="1:12" hidden="1" x14ac:dyDescent="0.25">
      <c r="A1407" s="130" t="s">
        <v>1465</v>
      </c>
      <c r="B1407" s="130" t="s">
        <v>160</v>
      </c>
      <c r="C1407" s="132" t="s">
        <v>150</v>
      </c>
      <c r="D1407" s="129">
        <v>2</v>
      </c>
      <c r="E1407" s="129">
        <v>1.3818999999999999</v>
      </c>
      <c r="F1407" s="129">
        <v>2.7638000000000007</v>
      </c>
      <c r="G1407" s="129">
        <v>4.6609997999999999</v>
      </c>
      <c r="H1407" s="129">
        <v>9.3219995999999998</v>
      </c>
      <c r="I1407" s="131" t="s">
        <v>87</v>
      </c>
      <c r="J1407" s="132" t="s">
        <v>102</v>
      </c>
      <c r="K1407" s="130" t="s">
        <v>1559</v>
      </c>
      <c r="L1407" s="129" t="str">
        <f t="shared" si="21"/>
        <v>005-00000195</v>
      </c>
    </row>
    <row r="1408" spans="1:12" hidden="1" x14ac:dyDescent="0.25">
      <c r="A1408" s="130" t="s">
        <v>208</v>
      </c>
      <c r="B1408" s="130" t="s">
        <v>209</v>
      </c>
      <c r="C1408" s="132" t="s">
        <v>150</v>
      </c>
      <c r="D1408" s="129">
        <v>1</v>
      </c>
      <c r="E1408" s="129">
        <v>2.5104001</v>
      </c>
      <c r="F1408" s="129">
        <v>2.5104001</v>
      </c>
      <c r="G1408" s="129">
        <v>8.4745998</v>
      </c>
      <c r="H1408" s="129">
        <v>8.4745998</v>
      </c>
      <c r="I1408" s="131" t="s">
        <v>87</v>
      </c>
      <c r="J1408" s="132" t="s">
        <v>102</v>
      </c>
      <c r="K1408" s="130" t="s">
        <v>1561</v>
      </c>
      <c r="L1408" s="129" t="str">
        <f t="shared" si="21"/>
        <v>005-00000197</v>
      </c>
    </row>
    <row r="1409" spans="1:13" hidden="1" x14ac:dyDescent="0.25">
      <c r="A1409" s="130" t="s">
        <v>397</v>
      </c>
      <c r="B1409" s="130" t="s">
        <v>398</v>
      </c>
      <c r="C1409" s="132" t="s">
        <v>150</v>
      </c>
      <c r="D1409" s="129">
        <v>1</v>
      </c>
      <c r="E1409" s="129">
        <v>4.5535997999999998</v>
      </c>
      <c r="F1409" s="129">
        <v>4.5535997999999998</v>
      </c>
      <c r="G1409" s="129">
        <v>15.25</v>
      </c>
      <c r="H1409" s="129">
        <v>15.25</v>
      </c>
      <c r="I1409" s="131" t="s">
        <v>87</v>
      </c>
      <c r="J1409" s="132" t="s">
        <v>102</v>
      </c>
      <c r="K1409" s="130" t="s">
        <v>1558</v>
      </c>
      <c r="L1409" s="129" t="str">
        <f t="shared" si="21"/>
        <v>005-00000198</v>
      </c>
    </row>
    <row r="1410" spans="1:13" hidden="1" x14ac:dyDescent="0.25">
      <c r="A1410" s="130" t="s">
        <v>1476</v>
      </c>
      <c r="B1410" s="130" t="s">
        <v>1477</v>
      </c>
      <c r="C1410" s="132" t="s">
        <v>150</v>
      </c>
      <c r="D1410" s="129">
        <v>1</v>
      </c>
      <c r="E1410" s="129">
        <v>4.5535997999999998</v>
      </c>
      <c r="F1410" s="129">
        <v>4.5535997999999998</v>
      </c>
      <c r="G1410" s="129">
        <v>15.25</v>
      </c>
      <c r="H1410" s="129">
        <v>15.25</v>
      </c>
      <c r="I1410" s="131" t="s">
        <v>87</v>
      </c>
      <c r="J1410" s="132" t="s">
        <v>102</v>
      </c>
      <c r="K1410" s="130" t="s">
        <v>1555</v>
      </c>
      <c r="L1410" s="129" t="str">
        <f t="shared" si="21"/>
        <v>005-00000190</v>
      </c>
    </row>
    <row r="1411" spans="1:13" hidden="1" x14ac:dyDescent="0.25">
      <c r="A1411" s="130" t="s">
        <v>2109</v>
      </c>
      <c r="B1411" s="130" t="s">
        <v>2110</v>
      </c>
      <c r="C1411" s="132" t="s">
        <v>153</v>
      </c>
      <c r="D1411" s="129">
        <v>1</v>
      </c>
      <c r="E1411" s="129">
        <v>27.835300000000004</v>
      </c>
      <c r="F1411" s="129">
        <v>27.835300000000004</v>
      </c>
      <c r="G1411" s="129">
        <v>93.220298999999997</v>
      </c>
      <c r="H1411" s="129">
        <v>93.220298999999997</v>
      </c>
      <c r="I1411" s="131" t="s">
        <v>87</v>
      </c>
      <c r="J1411" s="132" t="s">
        <v>102</v>
      </c>
      <c r="K1411" s="130" t="s">
        <v>645</v>
      </c>
      <c r="L1411" s="129" t="str">
        <f t="shared" si="21"/>
        <v>005-00000056</v>
      </c>
    </row>
    <row r="1412" spans="1:13" hidden="1" x14ac:dyDescent="0.25">
      <c r="A1412" s="130" t="s">
        <v>2111</v>
      </c>
      <c r="B1412" s="130" t="s">
        <v>2112</v>
      </c>
      <c r="C1412" s="132" t="s">
        <v>150</v>
      </c>
      <c r="D1412" s="129">
        <v>1</v>
      </c>
      <c r="E1412" s="129">
        <v>7.5914001000000004</v>
      </c>
      <c r="F1412" s="129">
        <v>7.5914001000000004</v>
      </c>
      <c r="G1412" s="129">
        <v>25.4237</v>
      </c>
      <c r="H1412" s="129">
        <v>25.423700000000004</v>
      </c>
      <c r="I1412" s="131" t="s">
        <v>87</v>
      </c>
      <c r="J1412" s="132" t="s">
        <v>102</v>
      </c>
      <c r="K1412" s="130" t="s">
        <v>645</v>
      </c>
      <c r="L1412" s="129" t="str">
        <f t="shared" si="21"/>
        <v>005-00000056</v>
      </c>
    </row>
    <row r="1413" spans="1:13" hidden="1" x14ac:dyDescent="0.25">
      <c r="A1413" s="130" t="s">
        <v>1604</v>
      </c>
      <c r="B1413" s="130" t="s">
        <v>1605</v>
      </c>
      <c r="C1413" s="132" t="s">
        <v>153</v>
      </c>
      <c r="D1413" s="129">
        <v>1</v>
      </c>
      <c r="E1413" s="129">
        <v>27.835300000000004</v>
      </c>
      <c r="F1413" s="129">
        <v>27.835300000000004</v>
      </c>
      <c r="G1413" s="129">
        <v>93.220298999999997</v>
      </c>
      <c r="H1413" s="129">
        <v>93.220298999999997</v>
      </c>
      <c r="I1413" s="131" t="s">
        <v>87</v>
      </c>
      <c r="J1413" s="132" t="s">
        <v>102</v>
      </c>
      <c r="K1413" s="130" t="s">
        <v>645</v>
      </c>
      <c r="L1413" s="129" t="str">
        <f t="shared" ref="L1413:L1476" si="22">CONCATENATE(J1413,"-",K1413)</f>
        <v>005-00000056</v>
      </c>
    </row>
    <row r="1414" spans="1:13" hidden="1" x14ac:dyDescent="0.25">
      <c r="A1414" s="130" t="s">
        <v>1628</v>
      </c>
      <c r="B1414" s="130" t="s">
        <v>1629</v>
      </c>
      <c r="C1414" s="132" t="s">
        <v>153</v>
      </c>
      <c r="D1414" s="129">
        <v>1</v>
      </c>
      <c r="E1414" s="129">
        <v>6.3262</v>
      </c>
      <c r="F1414" s="129">
        <v>6.3261999999999992</v>
      </c>
      <c r="G1414" s="129">
        <v>21.186399000000002</v>
      </c>
      <c r="H1414" s="129">
        <v>21.186399000000002</v>
      </c>
      <c r="I1414" s="131" t="s">
        <v>87</v>
      </c>
      <c r="J1414" s="132" t="s">
        <v>102</v>
      </c>
      <c r="K1414" s="130" t="s">
        <v>645</v>
      </c>
      <c r="L1414" s="129" t="str">
        <f t="shared" si="22"/>
        <v>005-00000056</v>
      </c>
    </row>
    <row r="1415" spans="1:13" hidden="1" x14ac:dyDescent="0.25">
      <c r="A1415" s="130" t="s">
        <v>1626</v>
      </c>
      <c r="B1415" s="130" t="s">
        <v>1627</v>
      </c>
      <c r="C1415" s="132" t="s">
        <v>153</v>
      </c>
      <c r="D1415" s="129">
        <v>1</v>
      </c>
      <c r="E1415" s="129">
        <v>10.1219</v>
      </c>
      <c r="F1415" s="129">
        <v>10.1219</v>
      </c>
      <c r="G1415" s="129">
        <v>33.898299999999999</v>
      </c>
      <c r="H1415" s="129">
        <v>33.898299999999999</v>
      </c>
      <c r="I1415" s="131" t="s">
        <v>87</v>
      </c>
      <c r="J1415" s="132" t="s">
        <v>102</v>
      </c>
      <c r="K1415" s="130" t="s">
        <v>645</v>
      </c>
      <c r="L1415" s="129" t="str">
        <f t="shared" si="22"/>
        <v>005-00000056</v>
      </c>
    </row>
    <row r="1416" spans="1:13" hidden="1" x14ac:dyDescent="0.25">
      <c r="A1416" s="130" t="s">
        <v>1624</v>
      </c>
      <c r="B1416" s="130" t="s">
        <v>1625</v>
      </c>
      <c r="C1416" s="132" t="s">
        <v>153</v>
      </c>
      <c r="D1416" s="129">
        <v>1</v>
      </c>
      <c r="E1416" s="129">
        <v>16.448098999999999</v>
      </c>
      <c r="F1416" s="129">
        <v>16.448098999999999</v>
      </c>
      <c r="G1416" s="129">
        <v>55.084702</v>
      </c>
      <c r="H1416" s="129">
        <v>55.084702</v>
      </c>
      <c r="I1416" s="131" t="s">
        <v>87</v>
      </c>
      <c r="J1416" s="132" t="s">
        <v>102</v>
      </c>
      <c r="K1416" s="130" t="s">
        <v>645</v>
      </c>
      <c r="L1416" s="129" t="str">
        <f t="shared" si="22"/>
        <v>005-00000056</v>
      </c>
      <c r="M1416" s="102"/>
    </row>
    <row r="1417" spans="1:13" hidden="1" x14ac:dyDescent="0.25">
      <c r="A1417" s="130" t="s">
        <v>1620</v>
      </c>
      <c r="B1417" s="130" t="s">
        <v>1621</v>
      </c>
      <c r="C1417" s="132" t="s">
        <v>153</v>
      </c>
      <c r="D1417" s="129">
        <v>1</v>
      </c>
      <c r="E1417" s="129">
        <v>60.731499000000007</v>
      </c>
      <c r="F1417" s="129">
        <v>60.731499000000007</v>
      </c>
      <c r="G1417" s="129">
        <v>203.38980000000001</v>
      </c>
      <c r="H1417" s="129">
        <v>203.38979999999995</v>
      </c>
      <c r="I1417" s="131" t="s">
        <v>87</v>
      </c>
      <c r="J1417" s="132" t="s">
        <v>102</v>
      </c>
      <c r="K1417" s="130" t="s">
        <v>645</v>
      </c>
      <c r="L1417" s="129" t="str">
        <f t="shared" si="22"/>
        <v>005-00000056</v>
      </c>
      <c r="M1417" s="101"/>
    </row>
    <row r="1418" spans="1:13" hidden="1" x14ac:dyDescent="0.25">
      <c r="A1418" s="130" t="s">
        <v>1618</v>
      </c>
      <c r="B1418" s="130" t="s">
        <v>1619</v>
      </c>
      <c r="C1418" s="132" t="s">
        <v>226</v>
      </c>
      <c r="D1418" s="129">
        <v>1</v>
      </c>
      <c r="E1418" s="129">
        <v>39.981602000000002</v>
      </c>
      <c r="F1418" s="129">
        <v>39.981602000000002</v>
      </c>
      <c r="G1418" s="129">
        <v>133.89830000000001</v>
      </c>
      <c r="H1418" s="129">
        <v>133.89830000000001</v>
      </c>
      <c r="I1418" s="131" t="s">
        <v>87</v>
      </c>
      <c r="J1418" s="132" t="s">
        <v>102</v>
      </c>
      <c r="K1418" s="130" t="s">
        <v>645</v>
      </c>
      <c r="L1418" s="129" t="str">
        <f t="shared" si="22"/>
        <v>005-00000056</v>
      </c>
    </row>
    <row r="1419" spans="1:13" hidden="1" x14ac:dyDescent="0.25">
      <c r="A1419" s="130" t="s">
        <v>2070</v>
      </c>
      <c r="B1419" s="130" t="s">
        <v>2071</v>
      </c>
      <c r="C1419" s="132" t="s">
        <v>153</v>
      </c>
      <c r="D1419" s="129">
        <v>1</v>
      </c>
      <c r="E1419" s="129">
        <v>65.792502999999996</v>
      </c>
      <c r="F1419" s="129">
        <v>65.792502999999996</v>
      </c>
      <c r="G1419" s="129">
        <v>220.33900000000003</v>
      </c>
      <c r="H1419" s="129">
        <v>220.33900000000006</v>
      </c>
      <c r="I1419" s="131" t="s">
        <v>87</v>
      </c>
      <c r="J1419" s="132" t="s">
        <v>102</v>
      </c>
      <c r="K1419" s="130" t="s">
        <v>645</v>
      </c>
      <c r="L1419" s="129" t="str">
        <f t="shared" si="22"/>
        <v>005-00000056</v>
      </c>
    </row>
    <row r="1420" spans="1:13" hidden="1" x14ac:dyDescent="0.25">
      <c r="A1420" s="130" t="s">
        <v>1613</v>
      </c>
      <c r="B1420" s="130" t="s">
        <v>1614</v>
      </c>
      <c r="C1420" s="132" t="s">
        <v>153</v>
      </c>
      <c r="D1420" s="129">
        <v>1</v>
      </c>
      <c r="E1420" s="129">
        <v>20.243798999999999</v>
      </c>
      <c r="F1420" s="129">
        <v>20.243798999999999</v>
      </c>
      <c r="G1420" s="129">
        <v>67.796599999999998</v>
      </c>
      <c r="H1420" s="129">
        <v>67.796599999999998</v>
      </c>
      <c r="I1420" s="131" t="s">
        <v>87</v>
      </c>
      <c r="J1420" s="132" t="s">
        <v>102</v>
      </c>
      <c r="K1420" s="130" t="s">
        <v>645</v>
      </c>
      <c r="L1420" s="129" t="str">
        <f t="shared" si="22"/>
        <v>005-00000056</v>
      </c>
    </row>
    <row r="1421" spans="1:13" hidden="1" x14ac:dyDescent="0.25">
      <c r="A1421" s="130" t="s">
        <v>2113</v>
      </c>
      <c r="B1421" s="130" t="s">
        <v>2114</v>
      </c>
      <c r="C1421" s="132" t="s">
        <v>150</v>
      </c>
      <c r="D1421" s="129">
        <v>1</v>
      </c>
      <c r="E1421" s="129">
        <v>11.3872</v>
      </c>
      <c r="F1421" s="129">
        <v>11.3872</v>
      </c>
      <c r="G1421" s="129">
        <v>38.135601000000001</v>
      </c>
      <c r="H1421" s="129">
        <v>38.135601000000001</v>
      </c>
      <c r="I1421" s="131" t="s">
        <v>87</v>
      </c>
      <c r="J1421" s="132" t="s">
        <v>102</v>
      </c>
      <c r="K1421" s="130" t="s">
        <v>645</v>
      </c>
      <c r="L1421" s="129" t="str">
        <f t="shared" si="22"/>
        <v>005-00000056</v>
      </c>
    </row>
    <row r="1422" spans="1:13" hidden="1" x14ac:dyDescent="0.25">
      <c r="A1422" s="130" t="s">
        <v>2115</v>
      </c>
      <c r="B1422" s="130" t="s">
        <v>2116</v>
      </c>
      <c r="C1422" s="132" t="s">
        <v>150</v>
      </c>
      <c r="D1422" s="129">
        <v>1</v>
      </c>
      <c r="E1422" s="129">
        <v>11.3872</v>
      </c>
      <c r="F1422" s="129">
        <v>11.3872</v>
      </c>
      <c r="G1422" s="129">
        <v>38.135601000000001</v>
      </c>
      <c r="H1422" s="129">
        <v>38.135601000000001</v>
      </c>
      <c r="I1422" s="131" t="s">
        <v>87</v>
      </c>
      <c r="J1422" s="132" t="s">
        <v>102</v>
      </c>
      <c r="K1422" s="130" t="s">
        <v>645</v>
      </c>
      <c r="L1422" s="129" t="str">
        <f t="shared" si="22"/>
        <v>005-00000056</v>
      </c>
    </row>
    <row r="1423" spans="1:13" hidden="1" x14ac:dyDescent="0.25">
      <c r="A1423" s="130" t="s">
        <v>2117</v>
      </c>
      <c r="B1423" s="130" t="s">
        <v>2118</v>
      </c>
      <c r="C1423" s="132" t="s">
        <v>150</v>
      </c>
      <c r="D1423" s="129">
        <v>1</v>
      </c>
      <c r="E1423" s="129">
        <v>17.7134</v>
      </c>
      <c r="F1423" s="129">
        <v>17.7134</v>
      </c>
      <c r="G1423" s="129">
        <v>59.321998999999998</v>
      </c>
      <c r="H1423" s="129">
        <v>59.321998999999998</v>
      </c>
      <c r="I1423" s="131" t="s">
        <v>87</v>
      </c>
      <c r="J1423" s="132" t="s">
        <v>102</v>
      </c>
      <c r="K1423" s="130" t="s">
        <v>645</v>
      </c>
      <c r="L1423" s="129" t="str">
        <f t="shared" si="22"/>
        <v>005-00000056</v>
      </c>
    </row>
    <row r="1424" spans="1:13" hidden="1" x14ac:dyDescent="0.25">
      <c r="A1424" s="130" t="s">
        <v>1468</v>
      </c>
      <c r="B1424" s="130" t="s">
        <v>1469</v>
      </c>
      <c r="C1424" s="132" t="s">
        <v>150</v>
      </c>
      <c r="D1424" s="129">
        <v>1</v>
      </c>
      <c r="E1424" s="129">
        <v>35.426701000000001</v>
      </c>
      <c r="F1424" s="129">
        <v>35.426701000000008</v>
      </c>
      <c r="G1424" s="129">
        <v>118.64409999999999</v>
      </c>
      <c r="H1424" s="129">
        <v>118.64410000000002</v>
      </c>
      <c r="I1424" s="131" t="s">
        <v>87</v>
      </c>
      <c r="J1424" s="132" t="s">
        <v>102</v>
      </c>
      <c r="K1424" s="130" t="s">
        <v>645</v>
      </c>
      <c r="L1424" s="129" t="str">
        <f t="shared" si="22"/>
        <v>005-00000056</v>
      </c>
    </row>
    <row r="1425" spans="1:12" hidden="1" x14ac:dyDescent="0.25">
      <c r="A1425" s="130" t="s">
        <v>1611</v>
      </c>
      <c r="B1425" s="130" t="s">
        <v>1612</v>
      </c>
      <c r="C1425" s="132" t="s">
        <v>150</v>
      </c>
      <c r="D1425" s="129">
        <v>1</v>
      </c>
      <c r="E1425" s="129">
        <v>70.853401000000005</v>
      </c>
      <c r="F1425" s="129">
        <v>70.853401000000005</v>
      </c>
      <c r="G1425" s="129">
        <v>237.28809999999999</v>
      </c>
      <c r="H1425" s="129">
        <v>237.28809999999999</v>
      </c>
      <c r="I1425" s="131" t="s">
        <v>87</v>
      </c>
      <c r="J1425" s="132" t="s">
        <v>102</v>
      </c>
      <c r="K1425" s="130" t="s">
        <v>645</v>
      </c>
      <c r="L1425" s="129" t="str">
        <f t="shared" si="22"/>
        <v>005-00000056</v>
      </c>
    </row>
    <row r="1426" spans="1:12" hidden="1" x14ac:dyDescent="0.25">
      <c r="A1426" s="130" t="s">
        <v>2119</v>
      </c>
      <c r="B1426" s="130" t="s">
        <v>2120</v>
      </c>
      <c r="C1426" s="132" t="s">
        <v>226</v>
      </c>
      <c r="D1426" s="129">
        <v>1</v>
      </c>
      <c r="E1426" s="129">
        <v>70.853401000000005</v>
      </c>
      <c r="F1426" s="129">
        <v>70.853401000000005</v>
      </c>
      <c r="G1426" s="129">
        <v>237.28809999999999</v>
      </c>
      <c r="H1426" s="129">
        <v>237.28809999999999</v>
      </c>
      <c r="I1426" s="131" t="s">
        <v>87</v>
      </c>
      <c r="J1426" s="132" t="s">
        <v>102</v>
      </c>
      <c r="K1426" s="130" t="s">
        <v>645</v>
      </c>
      <c r="L1426" s="129" t="str">
        <f t="shared" si="22"/>
        <v>005-00000056</v>
      </c>
    </row>
    <row r="1427" spans="1:12" hidden="1" x14ac:dyDescent="0.25">
      <c r="A1427" s="130" t="s">
        <v>1061</v>
      </c>
      <c r="B1427" s="130" t="s">
        <v>1062</v>
      </c>
      <c r="C1427" s="132" t="s">
        <v>226</v>
      </c>
      <c r="D1427" s="129">
        <v>1</v>
      </c>
      <c r="E1427" s="129">
        <v>61.45999900000001</v>
      </c>
      <c r="F1427" s="129">
        <v>61.459999000000018</v>
      </c>
      <c r="G1427" s="129">
        <v>206.86211</v>
      </c>
      <c r="H1427" s="129">
        <v>206.86210999999994</v>
      </c>
      <c r="I1427" s="131" t="s">
        <v>87</v>
      </c>
      <c r="J1427" s="132" t="s">
        <v>102</v>
      </c>
      <c r="K1427" s="130" t="s">
        <v>2095</v>
      </c>
      <c r="L1427" s="129" t="str">
        <f t="shared" si="22"/>
        <v>005-00000228</v>
      </c>
    </row>
    <row r="1428" spans="1:12" hidden="1" x14ac:dyDescent="0.25">
      <c r="A1428" s="130" t="s">
        <v>1061</v>
      </c>
      <c r="B1428" s="130" t="s">
        <v>1062</v>
      </c>
      <c r="C1428" s="132" t="s">
        <v>226</v>
      </c>
      <c r="D1428" s="129">
        <v>1</v>
      </c>
      <c r="E1428" s="129">
        <v>61.45999900000001</v>
      </c>
      <c r="F1428" s="129">
        <v>61.459999000000018</v>
      </c>
      <c r="G1428" s="129">
        <v>206.86211</v>
      </c>
      <c r="H1428" s="129">
        <v>206.86210999999994</v>
      </c>
      <c r="I1428" s="131" t="s">
        <v>87</v>
      </c>
      <c r="J1428" s="132" t="s">
        <v>102</v>
      </c>
      <c r="K1428" s="130" t="s">
        <v>2094</v>
      </c>
      <c r="L1428" s="129" t="str">
        <f t="shared" si="22"/>
        <v>005-00000233</v>
      </c>
    </row>
    <row r="1429" spans="1:12" hidden="1" x14ac:dyDescent="0.25">
      <c r="A1429" s="130" t="s">
        <v>1061</v>
      </c>
      <c r="B1429" s="130" t="s">
        <v>1062</v>
      </c>
      <c r="C1429" s="132" t="s">
        <v>226</v>
      </c>
      <c r="D1429" s="129">
        <v>1</v>
      </c>
      <c r="E1429" s="129">
        <v>61.45999900000001</v>
      </c>
      <c r="F1429" s="129">
        <v>61.459999000000018</v>
      </c>
      <c r="G1429" s="129">
        <v>206.86211</v>
      </c>
      <c r="H1429" s="129">
        <v>206.86210999999994</v>
      </c>
      <c r="I1429" s="131" t="s">
        <v>87</v>
      </c>
      <c r="J1429" s="132" t="s">
        <v>102</v>
      </c>
      <c r="K1429" s="130" t="s">
        <v>1680</v>
      </c>
      <c r="L1429" s="129" t="str">
        <f t="shared" si="22"/>
        <v>005-00000202</v>
      </c>
    </row>
    <row r="1430" spans="1:12" hidden="1" x14ac:dyDescent="0.25">
      <c r="A1430" s="130" t="s">
        <v>1041</v>
      </c>
      <c r="B1430" s="130" t="s">
        <v>1042</v>
      </c>
      <c r="C1430" s="132" t="s">
        <v>150</v>
      </c>
      <c r="D1430" s="129">
        <v>1</v>
      </c>
      <c r="E1430" s="129">
        <v>1.5099</v>
      </c>
      <c r="F1430" s="129">
        <v>1.5099</v>
      </c>
      <c r="G1430" s="129">
        <v>5.0847001000000001</v>
      </c>
      <c r="H1430" s="129">
        <v>5.0847001000000001</v>
      </c>
      <c r="I1430" s="131" t="s">
        <v>87</v>
      </c>
      <c r="J1430" s="132" t="s">
        <v>102</v>
      </c>
      <c r="K1430" s="130" t="s">
        <v>1606</v>
      </c>
      <c r="L1430" s="129" t="str">
        <f t="shared" si="22"/>
        <v>005-00000191</v>
      </c>
    </row>
    <row r="1431" spans="1:12" hidden="1" x14ac:dyDescent="0.25">
      <c r="A1431" s="130" t="s">
        <v>1034</v>
      </c>
      <c r="B1431" s="130" t="s">
        <v>1035</v>
      </c>
      <c r="C1431" s="132" t="s">
        <v>88</v>
      </c>
      <c r="D1431" s="129">
        <v>1</v>
      </c>
      <c r="E1431" s="129">
        <v>10.5677</v>
      </c>
      <c r="F1431" s="129">
        <v>10.567700000000002</v>
      </c>
      <c r="G1431" s="129">
        <v>35.745998</v>
      </c>
      <c r="H1431" s="129">
        <v>35.745998</v>
      </c>
      <c r="I1431" s="131" t="s">
        <v>87</v>
      </c>
      <c r="J1431" s="132" t="s">
        <v>102</v>
      </c>
      <c r="K1431" s="130" t="s">
        <v>1606</v>
      </c>
      <c r="L1431" s="129" t="str">
        <f t="shared" si="22"/>
        <v>005-00000191</v>
      </c>
    </row>
    <row r="1432" spans="1:12" hidden="1" x14ac:dyDescent="0.25">
      <c r="A1432" s="130" t="s">
        <v>342</v>
      </c>
      <c r="B1432" s="130" t="s">
        <v>343</v>
      </c>
      <c r="C1432" s="132" t="s">
        <v>150</v>
      </c>
      <c r="D1432" s="129">
        <v>4</v>
      </c>
      <c r="E1432" s="129">
        <v>0.18979999</v>
      </c>
      <c r="F1432" s="129">
        <v>0.75919996000000012</v>
      </c>
      <c r="G1432" s="129">
        <v>0.63559997000000001</v>
      </c>
      <c r="H1432" s="129">
        <v>2.5423998800000001</v>
      </c>
      <c r="I1432" s="131" t="s">
        <v>87</v>
      </c>
      <c r="J1432" s="132" t="s">
        <v>102</v>
      </c>
      <c r="K1432" s="130" t="s">
        <v>623</v>
      </c>
      <c r="L1432" s="129" t="str">
        <f t="shared" si="22"/>
        <v>005-00000108</v>
      </c>
    </row>
    <row r="1433" spans="1:12" hidden="1" x14ac:dyDescent="0.25">
      <c r="A1433" s="130" t="s">
        <v>232</v>
      </c>
      <c r="B1433" s="130" t="s">
        <v>233</v>
      </c>
      <c r="C1433" s="132" t="s">
        <v>150</v>
      </c>
      <c r="D1433" s="129">
        <v>1</v>
      </c>
      <c r="E1433" s="129">
        <v>1.3925000000000001</v>
      </c>
      <c r="F1433" s="129">
        <v>1.3925000000000001</v>
      </c>
      <c r="G1433" s="129">
        <v>4.6609997999999999</v>
      </c>
      <c r="H1433" s="129">
        <v>4.6609997999999999</v>
      </c>
      <c r="I1433" s="131" t="s">
        <v>87</v>
      </c>
      <c r="J1433" s="132" t="s">
        <v>102</v>
      </c>
      <c r="K1433" s="130" t="s">
        <v>623</v>
      </c>
      <c r="L1433" s="129" t="str">
        <f t="shared" si="22"/>
        <v>005-00000108</v>
      </c>
    </row>
    <row r="1434" spans="1:12" hidden="1" x14ac:dyDescent="0.25">
      <c r="A1434" s="130" t="s">
        <v>1463</v>
      </c>
      <c r="B1434" s="130" t="s">
        <v>1464</v>
      </c>
      <c r="C1434" s="132" t="s">
        <v>150</v>
      </c>
      <c r="D1434" s="129">
        <v>1</v>
      </c>
      <c r="E1434" s="129">
        <v>10.7622</v>
      </c>
      <c r="F1434" s="129">
        <v>10.7622</v>
      </c>
      <c r="G1434" s="129">
        <v>36.440700999999997</v>
      </c>
      <c r="H1434" s="129">
        <v>36.440701000000004</v>
      </c>
      <c r="I1434" s="131" t="s">
        <v>87</v>
      </c>
      <c r="J1434" s="132" t="s">
        <v>102</v>
      </c>
      <c r="K1434" s="130" t="s">
        <v>623</v>
      </c>
      <c r="L1434" s="129" t="str">
        <f t="shared" si="22"/>
        <v>005-00000108</v>
      </c>
    </row>
    <row r="1435" spans="1:12" hidden="1" x14ac:dyDescent="0.25">
      <c r="A1435" s="130" t="s">
        <v>1061</v>
      </c>
      <c r="B1435" s="130" t="s">
        <v>1062</v>
      </c>
      <c r="C1435" s="132" t="s">
        <v>226</v>
      </c>
      <c r="D1435" s="129">
        <v>1</v>
      </c>
      <c r="E1435" s="129">
        <v>61.45999900000001</v>
      </c>
      <c r="F1435" s="129">
        <v>61.459999000000018</v>
      </c>
      <c r="G1435" s="129">
        <v>206.86211</v>
      </c>
      <c r="H1435" s="129">
        <v>206.86210999999994</v>
      </c>
      <c r="I1435" s="131" t="s">
        <v>87</v>
      </c>
      <c r="J1435" s="132" t="s">
        <v>102</v>
      </c>
      <c r="K1435" s="130" t="s">
        <v>622</v>
      </c>
      <c r="L1435" s="129" t="str">
        <f t="shared" si="22"/>
        <v>005-00000109</v>
      </c>
    </row>
    <row r="1436" spans="1:12" hidden="1" x14ac:dyDescent="0.25">
      <c r="A1436" s="130" t="s">
        <v>409</v>
      </c>
      <c r="B1436" s="130" t="s">
        <v>408</v>
      </c>
      <c r="C1436" s="132" t="s">
        <v>150</v>
      </c>
      <c r="D1436" s="129">
        <v>4</v>
      </c>
      <c r="E1436" s="129">
        <v>1.4915</v>
      </c>
      <c r="F1436" s="129">
        <v>5.9659999999999993</v>
      </c>
      <c r="G1436" s="129">
        <v>6.1016002</v>
      </c>
      <c r="H1436" s="129">
        <v>24.406400800000007</v>
      </c>
      <c r="I1436" s="131" t="s">
        <v>87</v>
      </c>
      <c r="J1436" s="132" t="s">
        <v>102</v>
      </c>
      <c r="K1436" s="130" t="s">
        <v>622</v>
      </c>
      <c r="L1436" s="129" t="str">
        <f t="shared" si="22"/>
        <v>005-00000109</v>
      </c>
    </row>
    <row r="1437" spans="1:12" hidden="1" x14ac:dyDescent="0.25">
      <c r="A1437" s="130" t="s">
        <v>1030</v>
      </c>
      <c r="B1437" s="130" t="s">
        <v>1031</v>
      </c>
      <c r="C1437" s="132" t="s">
        <v>150</v>
      </c>
      <c r="D1437" s="129">
        <v>1</v>
      </c>
      <c r="E1437" s="129">
        <v>2.0106001</v>
      </c>
      <c r="F1437" s="129">
        <v>2.0106001</v>
      </c>
      <c r="G1437" s="129">
        <v>6.7796998000000004</v>
      </c>
      <c r="H1437" s="129">
        <v>6.7796998000000022</v>
      </c>
      <c r="I1437" s="131" t="s">
        <v>87</v>
      </c>
      <c r="J1437" s="132" t="s">
        <v>102</v>
      </c>
      <c r="K1437" s="130" t="s">
        <v>622</v>
      </c>
      <c r="L1437" s="129" t="str">
        <f t="shared" si="22"/>
        <v>005-00000109</v>
      </c>
    </row>
    <row r="1438" spans="1:12" hidden="1" x14ac:dyDescent="0.25">
      <c r="A1438" s="130" t="s">
        <v>227</v>
      </c>
      <c r="B1438" s="130" t="s">
        <v>194</v>
      </c>
      <c r="C1438" s="132" t="s">
        <v>88</v>
      </c>
      <c r="D1438" s="129">
        <v>1</v>
      </c>
      <c r="E1438" s="129">
        <v>1.6415</v>
      </c>
      <c r="F1438" s="129">
        <v>1.6414999999999997</v>
      </c>
      <c r="G1438" s="129">
        <v>5.4759001999999999</v>
      </c>
      <c r="H1438" s="129">
        <v>5.4759001999999999</v>
      </c>
      <c r="I1438" s="131" t="s">
        <v>87</v>
      </c>
      <c r="J1438" s="132" t="s">
        <v>102</v>
      </c>
      <c r="K1438" s="130" t="s">
        <v>699</v>
      </c>
      <c r="L1438" s="129" t="str">
        <f t="shared" si="22"/>
        <v>005-00000166</v>
      </c>
    </row>
    <row r="1439" spans="1:12" hidden="1" x14ac:dyDescent="0.25">
      <c r="A1439" s="130" t="s">
        <v>222</v>
      </c>
      <c r="B1439" s="130" t="s">
        <v>223</v>
      </c>
      <c r="C1439" s="132" t="s">
        <v>150</v>
      </c>
      <c r="D1439" s="129">
        <v>1</v>
      </c>
      <c r="E1439" s="129">
        <v>12.570399999999999</v>
      </c>
      <c r="F1439" s="129">
        <v>12.570399999999999</v>
      </c>
      <c r="G1439" s="129">
        <v>42.372897999999992</v>
      </c>
      <c r="H1439" s="129">
        <v>42.372897999999985</v>
      </c>
      <c r="I1439" s="131" t="s">
        <v>87</v>
      </c>
      <c r="J1439" s="132" t="s">
        <v>102</v>
      </c>
      <c r="K1439" s="130" t="s">
        <v>699</v>
      </c>
      <c r="L1439" s="129" t="str">
        <f t="shared" si="22"/>
        <v>005-00000166</v>
      </c>
    </row>
    <row r="1440" spans="1:12" hidden="1" x14ac:dyDescent="0.25">
      <c r="A1440" s="130" t="s">
        <v>562</v>
      </c>
      <c r="B1440" s="130" t="s">
        <v>563</v>
      </c>
      <c r="C1440" s="132" t="s">
        <v>150</v>
      </c>
      <c r="D1440" s="129">
        <v>1</v>
      </c>
      <c r="E1440" s="129">
        <v>19.969601000000001</v>
      </c>
      <c r="F1440" s="129">
        <v>19.969601000000001</v>
      </c>
      <c r="G1440" s="129">
        <v>67.796599999999998</v>
      </c>
      <c r="H1440" s="129">
        <v>67.796599999999998</v>
      </c>
      <c r="I1440" s="131" t="s">
        <v>87</v>
      </c>
      <c r="J1440" s="132" t="s">
        <v>102</v>
      </c>
      <c r="K1440" s="130" t="s">
        <v>699</v>
      </c>
      <c r="L1440" s="129" t="str">
        <f t="shared" si="22"/>
        <v>005-00000166</v>
      </c>
    </row>
    <row r="1441" spans="1:12" hidden="1" x14ac:dyDescent="0.25">
      <c r="A1441" s="130" t="s">
        <v>542</v>
      </c>
      <c r="B1441" s="130" t="s">
        <v>543</v>
      </c>
      <c r="C1441" s="132" t="s">
        <v>153</v>
      </c>
      <c r="D1441" s="129">
        <v>1</v>
      </c>
      <c r="E1441" s="129">
        <v>1.5112999999999999</v>
      </c>
      <c r="F1441" s="129">
        <v>1.5112999999999999</v>
      </c>
      <c r="G1441" s="129">
        <v>5.0840000999999999</v>
      </c>
      <c r="H1441" s="129">
        <v>5.0840000999999999</v>
      </c>
      <c r="I1441" s="131" t="s">
        <v>87</v>
      </c>
      <c r="J1441" s="132" t="s">
        <v>102</v>
      </c>
      <c r="K1441" s="130" t="s">
        <v>699</v>
      </c>
      <c r="L1441" s="129" t="str">
        <f t="shared" si="22"/>
        <v>005-00000166</v>
      </c>
    </row>
    <row r="1442" spans="1:12" hidden="1" x14ac:dyDescent="0.25">
      <c r="A1442" s="130" t="s">
        <v>1598</v>
      </c>
      <c r="B1442" s="130" t="s">
        <v>1599</v>
      </c>
      <c r="C1442" s="132" t="s">
        <v>150</v>
      </c>
      <c r="D1442" s="129">
        <v>1</v>
      </c>
      <c r="E1442" s="129">
        <v>11.2601</v>
      </c>
      <c r="F1442" s="129">
        <v>11.2601</v>
      </c>
      <c r="G1442" s="129">
        <v>38.135601000000001</v>
      </c>
      <c r="H1442" s="129">
        <v>38.135601000000001</v>
      </c>
      <c r="I1442" s="131" t="s">
        <v>87</v>
      </c>
      <c r="J1442" s="132" t="s">
        <v>102</v>
      </c>
      <c r="K1442" s="130" t="s">
        <v>699</v>
      </c>
      <c r="L1442" s="129" t="str">
        <f t="shared" si="22"/>
        <v>005-00000166</v>
      </c>
    </row>
    <row r="1443" spans="1:12" hidden="1" x14ac:dyDescent="0.25">
      <c r="A1443" s="130" t="s">
        <v>309</v>
      </c>
      <c r="B1443" s="130" t="s">
        <v>310</v>
      </c>
      <c r="C1443" s="132" t="s">
        <v>150</v>
      </c>
      <c r="D1443" s="129">
        <v>1</v>
      </c>
      <c r="E1443" s="129">
        <v>1.4987000000000001</v>
      </c>
      <c r="F1443" s="129">
        <v>1.4987000000000001</v>
      </c>
      <c r="G1443" s="129">
        <v>5.085</v>
      </c>
      <c r="H1443" s="129">
        <v>5.085</v>
      </c>
      <c r="I1443" s="131" t="s">
        <v>87</v>
      </c>
      <c r="J1443" s="132" t="s">
        <v>102</v>
      </c>
      <c r="K1443" s="130" t="s">
        <v>699</v>
      </c>
      <c r="L1443" s="129" t="str">
        <f t="shared" si="22"/>
        <v>005-00000166</v>
      </c>
    </row>
    <row r="1444" spans="1:12" hidden="1" x14ac:dyDescent="0.25">
      <c r="A1444" s="130" t="s">
        <v>342</v>
      </c>
      <c r="B1444" s="130" t="s">
        <v>343</v>
      </c>
      <c r="C1444" s="132" t="s">
        <v>150</v>
      </c>
      <c r="D1444" s="129">
        <v>4</v>
      </c>
      <c r="E1444" s="129">
        <v>0.18979999</v>
      </c>
      <c r="F1444" s="129">
        <v>0.75919996000000012</v>
      </c>
      <c r="G1444" s="129">
        <v>0.63559997000000001</v>
      </c>
      <c r="H1444" s="129">
        <v>2.5423998800000001</v>
      </c>
      <c r="I1444" s="131" t="s">
        <v>87</v>
      </c>
      <c r="J1444" s="132" t="s">
        <v>102</v>
      </c>
      <c r="K1444" s="130" t="s">
        <v>699</v>
      </c>
      <c r="L1444" s="129" t="str">
        <f t="shared" si="22"/>
        <v>005-00000166</v>
      </c>
    </row>
    <row r="1445" spans="1:12" hidden="1" x14ac:dyDescent="0.25">
      <c r="A1445" s="130" t="s">
        <v>227</v>
      </c>
      <c r="B1445" s="130" t="s">
        <v>194</v>
      </c>
      <c r="C1445" s="132" t="s">
        <v>88</v>
      </c>
      <c r="D1445" s="129">
        <v>1</v>
      </c>
      <c r="E1445" s="129">
        <v>1.6415</v>
      </c>
      <c r="F1445" s="129">
        <v>1.6414999999999997</v>
      </c>
      <c r="G1445" s="129">
        <v>5.4759001999999999</v>
      </c>
      <c r="H1445" s="129">
        <v>5.4759001999999999</v>
      </c>
      <c r="I1445" s="131" t="s">
        <v>87</v>
      </c>
      <c r="J1445" s="132" t="s">
        <v>102</v>
      </c>
      <c r="K1445" s="130" t="s">
        <v>698</v>
      </c>
      <c r="L1445" s="129" t="str">
        <f t="shared" si="22"/>
        <v>005-00000167</v>
      </c>
    </row>
    <row r="1446" spans="1:12" hidden="1" x14ac:dyDescent="0.25">
      <c r="A1446" s="130" t="s">
        <v>1099</v>
      </c>
      <c r="B1446" s="130" t="s">
        <v>1100</v>
      </c>
      <c r="C1446" s="132" t="s">
        <v>153</v>
      </c>
      <c r="D1446" s="129">
        <v>1</v>
      </c>
      <c r="E1446" s="129">
        <v>26.895499999999998</v>
      </c>
      <c r="F1446" s="129">
        <v>26.895499999999991</v>
      </c>
      <c r="G1446" s="129">
        <v>91.525397999999981</v>
      </c>
      <c r="H1446" s="129">
        <v>91.525397999999981</v>
      </c>
      <c r="I1446" s="131" t="s">
        <v>87</v>
      </c>
      <c r="J1446" s="132" t="s">
        <v>102</v>
      </c>
      <c r="K1446" s="130" t="s">
        <v>698</v>
      </c>
      <c r="L1446" s="129" t="str">
        <f t="shared" si="22"/>
        <v>005-00000167</v>
      </c>
    </row>
    <row r="1447" spans="1:12" hidden="1" x14ac:dyDescent="0.25">
      <c r="A1447" s="130" t="s">
        <v>585</v>
      </c>
      <c r="B1447" s="130" t="s">
        <v>586</v>
      </c>
      <c r="C1447" s="132" t="s">
        <v>150</v>
      </c>
      <c r="D1447" s="129">
        <v>1</v>
      </c>
      <c r="E1447" s="129">
        <v>7.5994000000000002</v>
      </c>
      <c r="F1447" s="129">
        <v>7.5994000000000002</v>
      </c>
      <c r="G1447" s="129">
        <v>25.42</v>
      </c>
      <c r="H1447" s="129">
        <v>25.42</v>
      </c>
      <c r="I1447" s="131" t="s">
        <v>87</v>
      </c>
      <c r="J1447" s="132" t="s">
        <v>102</v>
      </c>
      <c r="K1447" s="130" t="s">
        <v>698</v>
      </c>
      <c r="L1447" s="129" t="str">
        <f t="shared" si="22"/>
        <v>005-00000167</v>
      </c>
    </row>
    <row r="1448" spans="1:12" hidden="1" x14ac:dyDescent="0.25">
      <c r="A1448" s="130" t="s">
        <v>1034</v>
      </c>
      <c r="B1448" s="130" t="s">
        <v>1035</v>
      </c>
      <c r="C1448" s="132" t="s">
        <v>88</v>
      </c>
      <c r="D1448" s="129">
        <v>1</v>
      </c>
      <c r="E1448" s="129">
        <v>10.5677</v>
      </c>
      <c r="F1448" s="129">
        <v>10.567700000000002</v>
      </c>
      <c r="G1448" s="129">
        <v>35.745998</v>
      </c>
      <c r="H1448" s="129">
        <v>35.745998</v>
      </c>
      <c r="I1448" s="131" t="s">
        <v>87</v>
      </c>
      <c r="J1448" s="132" t="s">
        <v>102</v>
      </c>
      <c r="K1448" s="130" t="s">
        <v>2095</v>
      </c>
      <c r="L1448" s="129" t="str">
        <f t="shared" si="22"/>
        <v>005-00000228</v>
      </c>
    </row>
    <row r="1449" spans="1:12" hidden="1" x14ac:dyDescent="0.25">
      <c r="A1449" s="130" t="s">
        <v>1030</v>
      </c>
      <c r="B1449" s="130" t="s">
        <v>1031</v>
      </c>
      <c r="C1449" s="132" t="s">
        <v>150</v>
      </c>
      <c r="D1449" s="129">
        <v>1</v>
      </c>
      <c r="E1449" s="129">
        <v>2.0106001</v>
      </c>
      <c r="F1449" s="129">
        <v>2.0106001</v>
      </c>
      <c r="G1449" s="129">
        <v>6.7796998000000004</v>
      </c>
      <c r="H1449" s="129">
        <v>6.7796998000000022</v>
      </c>
      <c r="I1449" s="131" t="s">
        <v>87</v>
      </c>
      <c r="J1449" s="132" t="s">
        <v>102</v>
      </c>
      <c r="K1449" s="130" t="s">
        <v>2095</v>
      </c>
      <c r="L1449" s="129" t="str">
        <f t="shared" si="22"/>
        <v>005-00000228</v>
      </c>
    </row>
    <row r="1450" spans="1:12" hidden="1" x14ac:dyDescent="0.25">
      <c r="A1450" s="130" t="s">
        <v>409</v>
      </c>
      <c r="B1450" s="130" t="s">
        <v>408</v>
      </c>
      <c r="C1450" s="132" t="s">
        <v>150</v>
      </c>
      <c r="D1450" s="129">
        <v>4</v>
      </c>
      <c r="E1450" s="129">
        <v>1.4915</v>
      </c>
      <c r="F1450" s="129">
        <v>5.9659999999999993</v>
      </c>
      <c r="G1450" s="129">
        <v>6.1016002</v>
      </c>
      <c r="H1450" s="129">
        <v>24.406400800000007</v>
      </c>
      <c r="I1450" s="131" t="s">
        <v>87</v>
      </c>
      <c r="J1450" s="132" t="s">
        <v>102</v>
      </c>
      <c r="K1450" s="130" t="s">
        <v>2095</v>
      </c>
      <c r="L1450" s="129" t="str">
        <f t="shared" si="22"/>
        <v>005-00000228</v>
      </c>
    </row>
    <row r="1451" spans="1:12" hidden="1" x14ac:dyDescent="0.25">
      <c r="A1451" s="130" t="s">
        <v>227</v>
      </c>
      <c r="B1451" s="130" t="s">
        <v>194</v>
      </c>
      <c r="C1451" s="132" t="s">
        <v>88</v>
      </c>
      <c r="D1451" s="129">
        <v>1</v>
      </c>
      <c r="E1451" s="129">
        <v>1.6415</v>
      </c>
      <c r="F1451" s="129">
        <v>1.6414999999999997</v>
      </c>
      <c r="G1451" s="129">
        <v>5.4759001999999999</v>
      </c>
      <c r="H1451" s="129">
        <v>5.4759001999999999</v>
      </c>
      <c r="I1451" s="131" t="s">
        <v>87</v>
      </c>
      <c r="J1451" s="132" t="s">
        <v>102</v>
      </c>
      <c r="K1451" s="130" t="s">
        <v>2095</v>
      </c>
      <c r="L1451" s="129" t="str">
        <f t="shared" si="22"/>
        <v>005-00000228</v>
      </c>
    </row>
    <row r="1452" spans="1:12" hidden="1" x14ac:dyDescent="0.25">
      <c r="A1452" s="130" t="s">
        <v>544</v>
      </c>
      <c r="B1452" s="130" t="s">
        <v>545</v>
      </c>
      <c r="C1452" s="132" t="s">
        <v>150</v>
      </c>
      <c r="D1452" s="129">
        <v>1</v>
      </c>
      <c r="E1452" s="129">
        <v>2.5007999000000001</v>
      </c>
      <c r="F1452" s="129">
        <v>2.5007999000000005</v>
      </c>
      <c r="G1452" s="129">
        <v>8.4745998</v>
      </c>
      <c r="H1452" s="129">
        <v>8.4745998</v>
      </c>
      <c r="I1452" s="131" t="s">
        <v>87</v>
      </c>
      <c r="J1452" s="132" t="s">
        <v>102</v>
      </c>
      <c r="K1452" s="130" t="s">
        <v>2095</v>
      </c>
      <c r="L1452" s="129" t="str">
        <f t="shared" si="22"/>
        <v>005-00000228</v>
      </c>
    </row>
    <row r="1453" spans="1:12" hidden="1" x14ac:dyDescent="0.25">
      <c r="A1453" s="130" t="s">
        <v>1465</v>
      </c>
      <c r="B1453" s="130" t="s">
        <v>160</v>
      </c>
      <c r="C1453" s="132" t="s">
        <v>150</v>
      </c>
      <c r="D1453" s="129">
        <v>2</v>
      </c>
      <c r="E1453" s="129">
        <v>1.3818999999999999</v>
      </c>
      <c r="F1453" s="129">
        <v>2.7638000000000007</v>
      </c>
      <c r="G1453" s="129">
        <v>4.6609997999999999</v>
      </c>
      <c r="H1453" s="129">
        <v>9.3219995999999998</v>
      </c>
      <c r="I1453" s="131" t="s">
        <v>87</v>
      </c>
      <c r="J1453" s="132" t="s">
        <v>102</v>
      </c>
      <c r="K1453" s="130" t="s">
        <v>2095</v>
      </c>
      <c r="L1453" s="129" t="str">
        <f t="shared" si="22"/>
        <v>005-00000228</v>
      </c>
    </row>
    <row r="1454" spans="1:12" hidden="1" x14ac:dyDescent="0.25">
      <c r="A1454" s="130" t="s">
        <v>1055</v>
      </c>
      <c r="B1454" s="130" t="s">
        <v>1056</v>
      </c>
      <c r="C1454" s="132" t="s">
        <v>150</v>
      </c>
      <c r="D1454" s="129">
        <v>1</v>
      </c>
      <c r="E1454" s="129">
        <v>1.5107999999999999</v>
      </c>
      <c r="F1454" s="129">
        <v>1.5108000000000001</v>
      </c>
      <c r="G1454" s="129">
        <v>5.0847001000000001</v>
      </c>
      <c r="H1454" s="129">
        <v>5.0847001000000001</v>
      </c>
      <c r="I1454" s="131" t="s">
        <v>87</v>
      </c>
      <c r="J1454" s="132" t="s">
        <v>102</v>
      </c>
      <c r="K1454" s="130" t="s">
        <v>1558</v>
      </c>
      <c r="L1454" s="129" t="str">
        <f t="shared" si="22"/>
        <v>005-00000198</v>
      </c>
    </row>
    <row r="1455" spans="1:12" hidden="1" x14ac:dyDescent="0.25">
      <c r="A1455" s="130" t="s">
        <v>2121</v>
      </c>
      <c r="B1455" s="130" t="s">
        <v>408</v>
      </c>
      <c r="C1455" s="132" t="s">
        <v>150</v>
      </c>
      <c r="D1455" s="129">
        <v>4</v>
      </c>
      <c r="E1455" s="129">
        <v>1.3140000000000001</v>
      </c>
      <c r="F1455" s="129">
        <v>5.2559999999999993</v>
      </c>
      <c r="G1455" s="129">
        <v>4.4215999000000004</v>
      </c>
      <c r="H1455" s="129">
        <v>17.686399600000001</v>
      </c>
      <c r="I1455" s="131" t="s">
        <v>87</v>
      </c>
      <c r="J1455" s="132" t="s">
        <v>102</v>
      </c>
      <c r="K1455" s="130" t="s">
        <v>1558</v>
      </c>
      <c r="L1455" s="129" t="str">
        <f t="shared" si="22"/>
        <v>005-00000198</v>
      </c>
    </row>
    <row r="1456" spans="1:12" hidden="1" x14ac:dyDescent="0.25">
      <c r="A1456" s="130" t="s">
        <v>1466</v>
      </c>
      <c r="B1456" s="130" t="s">
        <v>1467</v>
      </c>
      <c r="C1456" s="132" t="s">
        <v>88</v>
      </c>
      <c r="D1456" s="129">
        <v>1</v>
      </c>
      <c r="E1456" s="129">
        <v>9.2980003</v>
      </c>
      <c r="F1456" s="129">
        <v>9.2980002999999982</v>
      </c>
      <c r="G1456" s="129">
        <v>31.138999999999999</v>
      </c>
      <c r="H1456" s="129">
        <v>31.138999999999996</v>
      </c>
      <c r="I1456" s="131" t="s">
        <v>87</v>
      </c>
      <c r="J1456" s="132" t="s">
        <v>102</v>
      </c>
      <c r="K1456" s="130" t="s">
        <v>1558</v>
      </c>
      <c r="L1456" s="129" t="str">
        <f t="shared" si="22"/>
        <v>005-00000198</v>
      </c>
    </row>
    <row r="1457" spans="1:12" hidden="1" x14ac:dyDescent="0.25">
      <c r="A1457" s="130" t="s">
        <v>1034</v>
      </c>
      <c r="B1457" s="130" t="s">
        <v>1035</v>
      </c>
      <c r="C1457" s="132" t="s">
        <v>88</v>
      </c>
      <c r="D1457" s="129">
        <v>1</v>
      </c>
      <c r="E1457" s="129">
        <v>10.5677</v>
      </c>
      <c r="F1457" s="129">
        <v>10.567700000000002</v>
      </c>
      <c r="G1457" s="129">
        <v>35.745998</v>
      </c>
      <c r="H1457" s="129">
        <v>35.745998</v>
      </c>
      <c r="I1457" s="131" t="s">
        <v>87</v>
      </c>
      <c r="J1457" s="132" t="s">
        <v>102</v>
      </c>
      <c r="K1457" s="130" t="s">
        <v>1558</v>
      </c>
      <c r="L1457" s="129" t="str">
        <f t="shared" si="22"/>
        <v>005-00000198</v>
      </c>
    </row>
    <row r="1458" spans="1:12" hidden="1" x14ac:dyDescent="0.25">
      <c r="A1458" s="130" t="s">
        <v>1465</v>
      </c>
      <c r="B1458" s="130" t="s">
        <v>160</v>
      </c>
      <c r="C1458" s="132" t="s">
        <v>150</v>
      </c>
      <c r="D1458" s="129">
        <v>2</v>
      </c>
      <c r="E1458" s="129">
        <v>1.3818999999999999</v>
      </c>
      <c r="F1458" s="129">
        <v>2.7638000000000007</v>
      </c>
      <c r="G1458" s="129">
        <v>4.6609997999999999</v>
      </c>
      <c r="H1458" s="129">
        <v>9.3219995999999998</v>
      </c>
      <c r="I1458" s="131" t="s">
        <v>87</v>
      </c>
      <c r="J1458" s="132" t="s">
        <v>102</v>
      </c>
      <c r="K1458" s="130" t="s">
        <v>1558</v>
      </c>
      <c r="L1458" s="129" t="str">
        <f t="shared" si="22"/>
        <v>005-00000198</v>
      </c>
    </row>
    <row r="1459" spans="1:12" hidden="1" x14ac:dyDescent="0.25">
      <c r="A1459" s="130" t="s">
        <v>227</v>
      </c>
      <c r="B1459" s="130" t="s">
        <v>194</v>
      </c>
      <c r="C1459" s="132" t="s">
        <v>88</v>
      </c>
      <c r="D1459" s="129">
        <v>1</v>
      </c>
      <c r="E1459" s="129">
        <v>1.6415</v>
      </c>
      <c r="F1459" s="129">
        <v>1.6414999999999997</v>
      </c>
      <c r="G1459" s="129">
        <v>5.4759001999999999</v>
      </c>
      <c r="H1459" s="129">
        <v>5.4759001999999999</v>
      </c>
      <c r="I1459" s="131" t="s">
        <v>87</v>
      </c>
      <c r="J1459" s="132" t="s">
        <v>102</v>
      </c>
      <c r="K1459" s="130" t="s">
        <v>1558</v>
      </c>
      <c r="L1459" s="129" t="str">
        <f t="shared" si="22"/>
        <v>005-00000198</v>
      </c>
    </row>
    <row r="1460" spans="1:12" hidden="1" x14ac:dyDescent="0.25">
      <c r="A1460" s="130" t="s">
        <v>544</v>
      </c>
      <c r="B1460" s="130" t="s">
        <v>545</v>
      </c>
      <c r="C1460" s="132" t="s">
        <v>150</v>
      </c>
      <c r="D1460" s="129">
        <v>1</v>
      </c>
      <c r="E1460" s="129">
        <v>2.5007999000000001</v>
      </c>
      <c r="F1460" s="129">
        <v>2.5007999000000005</v>
      </c>
      <c r="G1460" s="129">
        <v>8.4745998</v>
      </c>
      <c r="H1460" s="129">
        <v>8.4745998</v>
      </c>
      <c r="I1460" s="131" t="s">
        <v>87</v>
      </c>
      <c r="J1460" s="132" t="s">
        <v>102</v>
      </c>
      <c r="K1460" s="130" t="s">
        <v>1558</v>
      </c>
      <c r="L1460" s="129" t="str">
        <f t="shared" si="22"/>
        <v>005-00000198</v>
      </c>
    </row>
    <row r="1461" spans="1:12" hidden="1" x14ac:dyDescent="0.25">
      <c r="A1461" s="130" t="s">
        <v>227</v>
      </c>
      <c r="B1461" s="130" t="s">
        <v>194</v>
      </c>
      <c r="C1461" s="132" t="s">
        <v>88</v>
      </c>
      <c r="D1461" s="129">
        <v>1</v>
      </c>
      <c r="E1461" s="129">
        <v>1.6415</v>
      </c>
      <c r="F1461" s="129">
        <v>1.6414999999999997</v>
      </c>
      <c r="G1461" s="129">
        <v>5.4759001999999999</v>
      </c>
      <c r="H1461" s="129">
        <v>5.4759001999999999</v>
      </c>
      <c r="I1461" s="131" t="s">
        <v>87</v>
      </c>
      <c r="J1461" s="132" t="s">
        <v>102</v>
      </c>
      <c r="K1461" s="130" t="s">
        <v>1555</v>
      </c>
      <c r="L1461" s="129" t="str">
        <f t="shared" si="22"/>
        <v>005-00000190</v>
      </c>
    </row>
    <row r="1462" spans="1:12" hidden="1" x14ac:dyDescent="0.25">
      <c r="A1462" s="130" t="s">
        <v>1071</v>
      </c>
      <c r="B1462" s="130" t="s">
        <v>1072</v>
      </c>
      <c r="C1462" s="132" t="s">
        <v>150</v>
      </c>
      <c r="D1462" s="129">
        <v>1</v>
      </c>
      <c r="E1462" s="129">
        <v>2.2618999</v>
      </c>
      <c r="F1462" s="129">
        <v>2.2618998999999995</v>
      </c>
      <c r="G1462" s="129">
        <v>7.6271000000000004</v>
      </c>
      <c r="H1462" s="129">
        <v>7.6271000000000004</v>
      </c>
      <c r="I1462" s="131" t="s">
        <v>87</v>
      </c>
      <c r="J1462" s="132" t="s">
        <v>102</v>
      </c>
      <c r="K1462" s="130" t="s">
        <v>1555</v>
      </c>
      <c r="L1462" s="129" t="str">
        <f t="shared" si="22"/>
        <v>005-00000190</v>
      </c>
    </row>
    <row r="1463" spans="1:12" hidden="1" x14ac:dyDescent="0.25">
      <c r="A1463" s="130" t="s">
        <v>1028</v>
      </c>
      <c r="B1463" s="130" t="s">
        <v>1029</v>
      </c>
      <c r="C1463" s="132" t="s">
        <v>150</v>
      </c>
      <c r="D1463" s="129">
        <v>1</v>
      </c>
      <c r="E1463" s="129">
        <v>1.5079</v>
      </c>
      <c r="F1463" s="129">
        <v>1.5078999999999996</v>
      </c>
      <c r="G1463" s="129">
        <v>5.0847001000000001</v>
      </c>
      <c r="H1463" s="129">
        <v>5.0847001000000001</v>
      </c>
      <c r="I1463" s="131" t="s">
        <v>87</v>
      </c>
      <c r="J1463" s="132" t="s">
        <v>102</v>
      </c>
      <c r="K1463" s="130" t="s">
        <v>1555</v>
      </c>
      <c r="L1463" s="129" t="str">
        <f t="shared" si="22"/>
        <v>005-00000190</v>
      </c>
    </row>
    <row r="1464" spans="1:12" hidden="1" x14ac:dyDescent="0.25">
      <c r="A1464" s="130" t="s">
        <v>1466</v>
      </c>
      <c r="B1464" s="130" t="s">
        <v>1467</v>
      </c>
      <c r="C1464" s="132" t="s">
        <v>88</v>
      </c>
      <c r="D1464" s="129">
        <v>0.75</v>
      </c>
      <c r="E1464" s="129">
        <v>9.2980003</v>
      </c>
      <c r="F1464" s="129">
        <v>6.9735002249999987</v>
      </c>
      <c r="G1464" s="129">
        <v>31.138999999999999</v>
      </c>
      <c r="H1464" s="129">
        <v>23.354249999999997</v>
      </c>
      <c r="I1464" s="131" t="s">
        <v>87</v>
      </c>
      <c r="J1464" s="132" t="s">
        <v>102</v>
      </c>
      <c r="K1464" s="130" t="s">
        <v>1555</v>
      </c>
      <c r="L1464" s="129" t="str">
        <f t="shared" si="22"/>
        <v>005-00000190</v>
      </c>
    </row>
    <row r="1465" spans="1:12" hidden="1" x14ac:dyDescent="0.25">
      <c r="A1465" s="130" t="s">
        <v>1034</v>
      </c>
      <c r="B1465" s="130" t="s">
        <v>1035</v>
      </c>
      <c r="C1465" s="132" t="s">
        <v>88</v>
      </c>
      <c r="D1465" s="129">
        <v>1</v>
      </c>
      <c r="E1465" s="129">
        <v>10.5677</v>
      </c>
      <c r="F1465" s="129">
        <v>10.567700000000002</v>
      </c>
      <c r="G1465" s="129">
        <v>35.745998</v>
      </c>
      <c r="H1465" s="129">
        <v>35.745998</v>
      </c>
      <c r="I1465" s="131" t="s">
        <v>87</v>
      </c>
      <c r="J1465" s="132" t="s">
        <v>102</v>
      </c>
      <c r="K1465" s="130" t="s">
        <v>1555</v>
      </c>
      <c r="L1465" s="129" t="str">
        <f t="shared" si="22"/>
        <v>005-00000190</v>
      </c>
    </row>
    <row r="1466" spans="1:12" hidden="1" x14ac:dyDescent="0.25">
      <c r="A1466" s="130" t="s">
        <v>1465</v>
      </c>
      <c r="B1466" s="130" t="s">
        <v>160</v>
      </c>
      <c r="C1466" s="132" t="s">
        <v>150</v>
      </c>
      <c r="D1466" s="129">
        <v>2</v>
      </c>
      <c r="E1466" s="129">
        <v>1.3818999999999999</v>
      </c>
      <c r="F1466" s="129">
        <v>2.7638000000000007</v>
      </c>
      <c r="G1466" s="129">
        <v>4.6609997999999999</v>
      </c>
      <c r="H1466" s="129">
        <v>9.3219995999999998</v>
      </c>
      <c r="I1466" s="131" t="s">
        <v>87</v>
      </c>
      <c r="J1466" s="132" t="s">
        <v>102</v>
      </c>
      <c r="K1466" s="130" t="s">
        <v>1555</v>
      </c>
      <c r="L1466" s="129" t="str">
        <f t="shared" si="22"/>
        <v>005-00000190</v>
      </c>
    </row>
    <row r="1467" spans="1:12" hidden="1" x14ac:dyDescent="0.25">
      <c r="A1467" s="130" t="s">
        <v>554</v>
      </c>
      <c r="B1467" s="130" t="s">
        <v>555</v>
      </c>
      <c r="C1467" s="132" t="s">
        <v>150</v>
      </c>
      <c r="D1467" s="129">
        <v>1</v>
      </c>
      <c r="E1467" s="129">
        <v>11.279400000000001</v>
      </c>
      <c r="F1467" s="129">
        <v>11.279400000000003</v>
      </c>
      <c r="G1467" s="129">
        <v>38.135601000000001</v>
      </c>
      <c r="H1467" s="129">
        <v>38.135601000000001</v>
      </c>
      <c r="I1467" s="131" t="s">
        <v>87</v>
      </c>
      <c r="J1467" s="132" t="s">
        <v>102</v>
      </c>
      <c r="K1467" s="130" t="s">
        <v>1560</v>
      </c>
      <c r="L1467" s="129" t="str">
        <f t="shared" si="22"/>
        <v>005-00000194</v>
      </c>
    </row>
    <row r="1468" spans="1:12" hidden="1" x14ac:dyDescent="0.25">
      <c r="A1468" s="130" t="s">
        <v>1590</v>
      </c>
      <c r="B1468" s="130" t="s">
        <v>1591</v>
      </c>
      <c r="C1468" s="132" t="s">
        <v>153</v>
      </c>
      <c r="D1468" s="129">
        <v>1</v>
      </c>
      <c r="E1468" s="129">
        <v>40.116298999999998</v>
      </c>
      <c r="F1468" s="129">
        <v>40.116298999999998</v>
      </c>
      <c r="G1468" s="129">
        <v>135.5932</v>
      </c>
      <c r="H1468" s="129">
        <v>135.5932</v>
      </c>
      <c r="I1468" s="131" t="s">
        <v>87</v>
      </c>
      <c r="J1468" s="132" t="s">
        <v>102</v>
      </c>
      <c r="K1468" s="130" t="s">
        <v>1678</v>
      </c>
      <c r="L1468" s="129" t="str">
        <f t="shared" si="22"/>
        <v>005-00000201</v>
      </c>
    </row>
    <row r="1469" spans="1:12" hidden="1" x14ac:dyDescent="0.25">
      <c r="A1469" s="130" t="s">
        <v>2122</v>
      </c>
      <c r="B1469" s="130" t="s">
        <v>2123</v>
      </c>
      <c r="C1469" s="132" t="s">
        <v>150</v>
      </c>
      <c r="D1469" s="129">
        <v>1</v>
      </c>
      <c r="E1469" s="129">
        <v>11.262700000000001</v>
      </c>
      <c r="F1469" s="129">
        <v>11.262700000000002</v>
      </c>
      <c r="G1469" s="129">
        <v>38.135601000000001</v>
      </c>
      <c r="H1469" s="129">
        <v>38.135601000000001</v>
      </c>
      <c r="I1469" s="131" t="s">
        <v>87</v>
      </c>
      <c r="J1469" s="132" t="s">
        <v>102</v>
      </c>
      <c r="K1469" s="130" t="s">
        <v>1678</v>
      </c>
      <c r="L1469" s="129" t="str">
        <f t="shared" si="22"/>
        <v>005-00000201</v>
      </c>
    </row>
    <row r="1470" spans="1:12" hidden="1" x14ac:dyDescent="0.25">
      <c r="A1470" s="130" t="s">
        <v>396</v>
      </c>
      <c r="B1470" s="130" t="s">
        <v>198</v>
      </c>
      <c r="C1470" s="132" t="s">
        <v>150</v>
      </c>
      <c r="D1470" s="129">
        <v>1</v>
      </c>
      <c r="E1470" s="129">
        <v>3.8076999000000002</v>
      </c>
      <c r="F1470" s="129">
        <v>3.8076999000000002</v>
      </c>
      <c r="G1470" s="129">
        <v>12.71</v>
      </c>
      <c r="H1470" s="129">
        <v>12.71</v>
      </c>
      <c r="I1470" s="131" t="s">
        <v>87</v>
      </c>
      <c r="J1470" s="132" t="s">
        <v>102</v>
      </c>
      <c r="K1470" s="130" t="s">
        <v>2095</v>
      </c>
      <c r="L1470" s="129" t="str">
        <f t="shared" si="22"/>
        <v>005-00000228</v>
      </c>
    </row>
    <row r="1471" spans="1:12" hidden="1" x14ac:dyDescent="0.25">
      <c r="A1471" s="130" t="s">
        <v>1099</v>
      </c>
      <c r="B1471" s="130" t="s">
        <v>1100</v>
      </c>
      <c r="C1471" s="132" t="s">
        <v>153</v>
      </c>
      <c r="D1471" s="129">
        <v>1</v>
      </c>
      <c r="E1471" s="129">
        <v>30.365801000000001</v>
      </c>
      <c r="F1471" s="129">
        <v>30.365801000000005</v>
      </c>
      <c r="G1471" s="129">
        <v>101.6949</v>
      </c>
      <c r="H1471" s="129">
        <v>101.69489999999998</v>
      </c>
      <c r="I1471" s="131" t="s">
        <v>87</v>
      </c>
      <c r="J1471" s="132" t="s">
        <v>102</v>
      </c>
      <c r="K1471" s="130" t="s">
        <v>2091</v>
      </c>
      <c r="L1471" s="129" t="str">
        <f t="shared" si="22"/>
        <v>005-00000216</v>
      </c>
    </row>
    <row r="1472" spans="1:12" hidden="1" x14ac:dyDescent="0.25">
      <c r="A1472" s="130" t="s">
        <v>222</v>
      </c>
      <c r="B1472" s="130" t="s">
        <v>223</v>
      </c>
      <c r="C1472" s="132" t="s">
        <v>150</v>
      </c>
      <c r="D1472" s="129">
        <v>1</v>
      </c>
      <c r="E1472" s="129">
        <v>11.3872</v>
      </c>
      <c r="F1472" s="129">
        <v>11.3872</v>
      </c>
      <c r="G1472" s="129">
        <v>38.135601000000001</v>
      </c>
      <c r="H1472" s="129">
        <v>38.135601000000001</v>
      </c>
      <c r="I1472" s="131" t="s">
        <v>87</v>
      </c>
      <c r="J1472" s="132" t="s">
        <v>102</v>
      </c>
      <c r="K1472" s="130" t="s">
        <v>2091</v>
      </c>
      <c r="L1472" s="129" t="str">
        <f t="shared" si="22"/>
        <v>005-00000216</v>
      </c>
    </row>
    <row r="1473" spans="1:12" hidden="1" x14ac:dyDescent="0.25">
      <c r="A1473" s="130" t="s">
        <v>725</v>
      </c>
      <c r="B1473" s="130" t="s">
        <v>726</v>
      </c>
      <c r="C1473" s="132" t="s">
        <v>153</v>
      </c>
      <c r="D1473" s="129">
        <v>1</v>
      </c>
      <c r="E1473" s="129">
        <v>20.244800999999999</v>
      </c>
      <c r="F1473" s="129">
        <v>20.244800999999999</v>
      </c>
      <c r="G1473" s="129">
        <v>67.800003000000004</v>
      </c>
      <c r="H1473" s="129">
        <v>67.800003000000004</v>
      </c>
      <c r="I1473" s="131" t="s">
        <v>87</v>
      </c>
      <c r="J1473" s="132" t="s">
        <v>102</v>
      </c>
      <c r="K1473" s="130" t="s">
        <v>2095</v>
      </c>
      <c r="L1473" s="129" t="str">
        <f t="shared" si="22"/>
        <v>005-00000228</v>
      </c>
    </row>
    <row r="1474" spans="1:12" hidden="1" x14ac:dyDescent="0.25">
      <c r="A1474" s="130" t="s">
        <v>346</v>
      </c>
      <c r="B1474" s="130" t="s">
        <v>347</v>
      </c>
      <c r="C1474" s="132" t="s">
        <v>150</v>
      </c>
      <c r="D1474" s="129">
        <v>2</v>
      </c>
      <c r="E1474" s="129">
        <v>5.0454998</v>
      </c>
      <c r="F1474" s="129">
        <v>10.0909996</v>
      </c>
      <c r="G1474" s="129">
        <v>16.949200000000001</v>
      </c>
      <c r="H1474" s="129">
        <v>33.898400000000002</v>
      </c>
      <c r="I1474" s="131" t="s">
        <v>87</v>
      </c>
      <c r="J1474" s="132" t="s">
        <v>102</v>
      </c>
      <c r="K1474" s="130" t="s">
        <v>2124</v>
      </c>
      <c r="L1474" s="129" t="str">
        <f t="shared" si="22"/>
        <v>005-00000275</v>
      </c>
    </row>
    <row r="1475" spans="1:12" hidden="1" x14ac:dyDescent="0.25">
      <c r="A1475" s="130" t="s">
        <v>247</v>
      </c>
      <c r="B1475" s="130" t="s">
        <v>248</v>
      </c>
      <c r="C1475" s="132" t="s">
        <v>150</v>
      </c>
      <c r="D1475" s="129">
        <v>4</v>
      </c>
      <c r="E1475" s="129">
        <v>1.2665999999999999</v>
      </c>
      <c r="F1475" s="129">
        <v>5.0664000000000007</v>
      </c>
      <c r="G1475" s="129">
        <v>4.2372999</v>
      </c>
      <c r="H1475" s="129">
        <v>16.9491996</v>
      </c>
      <c r="I1475" s="131" t="s">
        <v>87</v>
      </c>
      <c r="J1475" s="132" t="s">
        <v>102</v>
      </c>
      <c r="K1475" s="130" t="s">
        <v>2124</v>
      </c>
      <c r="L1475" s="129" t="str">
        <f t="shared" si="22"/>
        <v>005-00000275</v>
      </c>
    </row>
    <row r="1476" spans="1:12" hidden="1" x14ac:dyDescent="0.25">
      <c r="A1476" s="130" t="s">
        <v>731</v>
      </c>
      <c r="B1476" s="130" t="s">
        <v>732</v>
      </c>
      <c r="C1476" s="132" t="s">
        <v>150</v>
      </c>
      <c r="D1476" s="129">
        <v>1</v>
      </c>
      <c r="E1476" s="129">
        <v>27.835300000000004</v>
      </c>
      <c r="F1476" s="129">
        <v>27.835300000000004</v>
      </c>
      <c r="G1476" s="129">
        <v>93.220298999999997</v>
      </c>
      <c r="H1476" s="129">
        <v>93.220298999999997</v>
      </c>
      <c r="I1476" s="131" t="s">
        <v>87</v>
      </c>
      <c r="J1476" s="132" t="s">
        <v>102</v>
      </c>
      <c r="K1476" s="99" t="s">
        <v>1558</v>
      </c>
      <c r="L1476" s="129" t="str">
        <f t="shared" si="22"/>
        <v>005-00000198</v>
      </c>
    </row>
    <row r="1477" spans="1:12" hidden="1" x14ac:dyDescent="0.25">
      <c r="A1477" s="130" t="s">
        <v>445</v>
      </c>
      <c r="B1477" s="130" t="s">
        <v>446</v>
      </c>
      <c r="C1477" s="132" t="s">
        <v>150</v>
      </c>
      <c r="D1477" s="129">
        <v>1</v>
      </c>
      <c r="E1477" s="129">
        <v>25.3048</v>
      </c>
      <c r="F1477" s="129">
        <v>25.304799999999997</v>
      </c>
      <c r="G1477" s="129">
        <v>84.745795999999984</v>
      </c>
      <c r="H1477" s="129">
        <v>84.74579599999997</v>
      </c>
      <c r="I1477" s="131" t="s">
        <v>87</v>
      </c>
      <c r="J1477" s="132" t="s">
        <v>102</v>
      </c>
      <c r="K1477" s="99" t="s">
        <v>1558</v>
      </c>
      <c r="L1477" s="129" t="str">
        <f t="shared" ref="L1477:L1540" si="23">CONCATENATE(J1477,"-",K1477)</f>
        <v>005-00000198</v>
      </c>
    </row>
    <row r="1478" spans="1:12" hidden="1" x14ac:dyDescent="0.25">
      <c r="A1478" s="130" t="s">
        <v>401</v>
      </c>
      <c r="B1478" s="130" t="s">
        <v>402</v>
      </c>
      <c r="C1478" s="132" t="s">
        <v>150</v>
      </c>
      <c r="D1478" s="129">
        <v>1</v>
      </c>
      <c r="E1478" s="129">
        <v>6.9587998000000004</v>
      </c>
      <c r="F1478" s="129">
        <v>6.9587998000000004</v>
      </c>
      <c r="G1478" s="129">
        <v>25.4237</v>
      </c>
      <c r="H1478" s="129">
        <v>25.423700000000004</v>
      </c>
      <c r="I1478" s="131" t="s">
        <v>87</v>
      </c>
      <c r="J1478" s="132" t="s">
        <v>102</v>
      </c>
      <c r="K1478" s="130" t="s">
        <v>2124</v>
      </c>
      <c r="L1478" s="129" t="str">
        <f t="shared" si="23"/>
        <v>005-00000275</v>
      </c>
    </row>
    <row r="1479" spans="1:12" hidden="1" x14ac:dyDescent="0.25">
      <c r="A1479" s="130" t="s">
        <v>346</v>
      </c>
      <c r="B1479" s="130" t="s">
        <v>347</v>
      </c>
      <c r="C1479" s="132" t="s">
        <v>150</v>
      </c>
      <c r="D1479" s="129">
        <v>1</v>
      </c>
      <c r="E1479" s="129">
        <v>10.1386</v>
      </c>
      <c r="F1479" s="129">
        <v>10.1386</v>
      </c>
      <c r="G1479" s="129">
        <v>33.898299999999999</v>
      </c>
      <c r="H1479" s="129">
        <v>33.898299999999999</v>
      </c>
      <c r="I1479" s="131" t="s">
        <v>87</v>
      </c>
      <c r="J1479" s="132" t="s">
        <v>102</v>
      </c>
      <c r="K1479" s="130" t="s">
        <v>2094</v>
      </c>
      <c r="L1479" s="129" t="str">
        <f t="shared" si="23"/>
        <v>005-00000233</v>
      </c>
    </row>
    <row r="1480" spans="1:12" hidden="1" x14ac:dyDescent="0.25">
      <c r="A1480" s="130" t="s">
        <v>390</v>
      </c>
      <c r="B1480" s="130" t="s">
        <v>391</v>
      </c>
      <c r="C1480" s="132" t="s">
        <v>150</v>
      </c>
      <c r="D1480" s="129">
        <v>1</v>
      </c>
      <c r="E1480" s="129">
        <v>19.009899000000001</v>
      </c>
      <c r="F1480" s="129">
        <v>19.009899000000004</v>
      </c>
      <c r="G1480" s="129">
        <v>63.559299000000003</v>
      </c>
      <c r="H1480" s="129">
        <v>63.559298999999989</v>
      </c>
      <c r="I1480" s="131" t="s">
        <v>87</v>
      </c>
      <c r="J1480" s="132" t="s">
        <v>102</v>
      </c>
      <c r="K1480" s="130" t="s">
        <v>2094</v>
      </c>
      <c r="L1480" s="129" t="str">
        <f t="shared" si="23"/>
        <v>005-00000233</v>
      </c>
    </row>
    <row r="1481" spans="1:12" hidden="1" x14ac:dyDescent="0.25">
      <c r="A1481" s="130" t="s">
        <v>2125</v>
      </c>
      <c r="B1481" s="130" t="s">
        <v>2126</v>
      </c>
      <c r="C1481" s="132" t="s">
        <v>150</v>
      </c>
      <c r="D1481" s="129">
        <v>1</v>
      </c>
      <c r="E1481" s="129">
        <v>10.1219</v>
      </c>
      <c r="F1481" s="129">
        <v>10.1219</v>
      </c>
      <c r="G1481" s="129">
        <v>33.898299999999999</v>
      </c>
      <c r="H1481" s="129">
        <v>33.898299999999999</v>
      </c>
      <c r="I1481" s="131" t="s">
        <v>87</v>
      </c>
      <c r="J1481" s="132" t="s">
        <v>102</v>
      </c>
      <c r="K1481" s="130" t="s">
        <v>2094</v>
      </c>
      <c r="L1481" s="129" t="str">
        <f t="shared" si="23"/>
        <v>005-00000233</v>
      </c>
    </row>
    <row r="1482" spans="1:12" hidden="1" x14ac:dyDescent="0.25">
      <c r="A1482" s="130" t="s">
        <v>306</v>
      </c>
      <c r="B1482" s="130" t="s">
        <v>307</v>
      </c>
      <c r="C1482" s="132" t="s">
        <v>150</v>
      </c>
      <c r="D1482" s="129">
        <v>1</v>
      </c>
      <c r="E1482" s="129">
        <v>8.8566999000000006</v>
      </c>
      <c r="F1482" s="129">
        <v>8.8566999000000024</v>
      </c>
      <c r="G1482" s="129">
        <v>29.660999</v>
      </c>
      <c r="H1482" s="129">
        <v>29.660999000000007</v>
      </c>
      <c r="I1482" s="131" t="s">
        <v>87</v>
      </c>
      <c r="J1482" s="132" t="s">
        <v>102</v>
      </c>
      <c r="K1482" s="130" t="s">
        <v>2094</v>
      </c>
      <c r="L1482" s="129" t="str">
        <f t="shared" si="23"/>
        <v>005-00000233</v>
      </c>
    </row>
    <row r="1483" spans="1:12" hidden="1" x14ac:dyDescent="0.25">
      <c r="A1483" s="130" t="s">
        <v>304</v>
      </c>
      <c r="B1483" s="130" t="s">
        <v>305</v>
      </c>
      <c r="C1483" s="132" t="s">
        <v>150</v>
      </c>
      <c r="D1483" s="129">
        <v>1</v>
      </c>
      <c r="E1483" s="129">
        <v>7.6038999999999994</v>
      </c>
      <c r="F1483" s="129">
        <v>7.6038999999999985</v>
      </c>
      <c r="G1483" s="129">
        <v>25.4237</v>
      </c>
      <c r="H1483" s="129">
        <v>25.423700000000004</v>
      </c>
      <c r="I1483" s="131" t="s">
        <v>87</v>
      </c>
      <c r="J1483" s="132" t="s">
        <v>102</v>
      </c>
      <c r="K1483" s="130" t="s">
        <v>2094</v>
      </c>
      <c r="L1483" s="129" t="str">
        <f t="shared" si="23"/>
        <v>005-00000233</v>
      </c>
    </row>
    <row r="1484" spans="1:12" hidden="1" x14ac:dyDescent="0.25">
      <c r="A1484" s="130" t="s">
        <v>1535</v>
      </c>
      <c r="B1484" s="130" t="s">
        <v>1536</v>
      </c>
      <c r="C1484" s="132" t="s">
        <v>150</v>
      </c>
      <c r="D1484" s="129">
        <v>1</v>
      </c>
      <c r="E1484" s="129">
        <v>3.7957000999999995</v>
      </c>
      <c r="F1484" s="129">
        <v>3.795700099999999</v>
      </c>
      <c r="G1484" s="129">
        <v>12.7119</v>
      </c>
      <c r="H1484" s="129">
        <v>12.711900000000004</v>
      </c>
      <c r="I1484" s="131" t="s">
        <v>87</v>
      </c>
      <c r="J1484" s="132" t="s">
        <v>102</v>
      </c>
      <c r="K1484" s="130" t="s">
        <v>2094</v>
      </c>
      <c r="L1484" s="129" t="str">
        <f t="shared" si="23"/>
        <v>005-00000233</v>
      </c>
    </row>
    <row r="1485" spans="1:12" hidden="1" x14ac:dyDescent="0.25">
      <c r="A1485" s="130" t="s">
        <v>222</v>
      </c>
      <c r="B1485" s="130" t="s">
        <v>223</v>
      </c>
      <c r="C1485" s="132" t="s">
        <v>150</v>
      </c>
      <c r="D1485" s="129">
        <v>1</v>
      </c>
      <c r="E1485" s="129">
        <v>10.1219</v>
      </c>
      <c r="F1485" s="129">
        <v>10.1219</v>
      </c>
      <c r="G1485" s="129">
        <v>33.898299999999999</v>
      </c>
      <c r="H1485" s="129">
        <v>33.898299999999999</v>
      </c>
      <c r="I1485" s="131" t="s">
        <v>87</v>
      </c>
      <c r="J1485" s="132" t="s">
        <v>102</v>
      </c>
      <c r="K1485" s="130" t="s">
        <v>2094</v>
      </c>
      <c r="L1485" s="129" t="str">
        <f t="shared" si="23"/>
        <v>005-00000233</v>
      </c>
    </row>
    <row r="1486" spans="1:12" hidden="1" x14ac:dyDescent="0.25">
      <c r="A1486" s="130" t="s">
        <v>533</v>
      </c>
      <c r="B1486" s="130" t="s">
        <v>534</v>
      </c>
      <c r="C1486" s="132" t="s">
        <v>150</v>
      </c>
      <c r="D1486" s="129">
        <v>1</v>
      </c>
      <c r="E1486" s="129">
        <v>48.079102000000006</v>
      </c>
      <c r="F1486" s="129">
        <v>48.079102000000013</v>
      </c>
      <c r="G1486" s="129">
        <v>161.01691</v>
      </c>
      <c r="H1486" s="129">
        <v>161.01691</v>
      </c>
      <c r="I1486" s="131" t="s">
        <v>87</v>
      </c>
      <c r="J1486" s="132" t="s">
        <v>102</v>
      </c>
      <c r="K1486" s="130" t="s">
        <v>2094</v>
      </c>
      <c r="L1486" s="129" t="str">
        <f t="shared" si="23"/>
        <v>005-00000233</v>
      </c>
    </row>
    <row r="1487" spans="1:12" hidden="1" x14ac:dyDescent="0.25">
      <c r="A1487" s="130" t="s">
        <v>344</v>
      </c>
      <c r="B1487" s="130" t="s">
        <v>345</v>
      </c>
      <c r="C1487" s="132" t="s">
        <v>150</v>
      </c>
      <c r="D1487" s="129">
        <v>1</v>
      </c>
      <c r="E1487" s="129">
        <v>26.873698999999998</v>
      </c>
      <c r="F1487" s="129">
        <v>26.873698999999998</v>
      </c>
      <c r="G1487" s="129">
        <v>90</v>
      </c>
      <c r="H1487" s="129">
        <v>90</v>
      </c>
      <c r="I1487" s="131" t="s">
        <v>87</v>
      </c>
      <c r="J1487" s="132" t="s">
        <v>102</v>
      </c>
      <c r="K1487" s="130" t="s">
        <v>2094</v>
      </c>
      <c r="L1487" s="129" t="str">
        <f t="shared" si="23"/>
        <v>005-00000233</v>
      </c>
    </row>
    <row r="1488" spans="1:12" hidden="1" x14ac:dyDescent="0.25">
      <c r="A1488" s="130" t="s">
        <v>441</v>
      </c>
      <c r="B1488" s="130" t="s">
        <v>442</v>
      </c>
      <c r="C1488" s="132" t="s">
        <v>153</v>
      </c>
      <c r="D1488" s="129">
        <v>2</v>
      </c>
      <c r="E1488" s="129">
        <v>10.462400000000001</v>
      </c>
      <c r="F1488" s="129">
        <v>20.924799999999994</v>
      </c>
      <c r="G1488" s="129">
        <v>35</v>
      </c>
      <c r="H1488" s="129">
        <v>70</v>
      </c>
      <c r="I1488" s="131" t="s">
        <v>87</v>
      </c>
      <c r="J1488" s="132" t="s">
        <v>102</v>
      </c>
      <c r="K1488" s="130" t="s">
        <v>2094</v>
      </c>
      <c r="L1488" s="129" t="str">
        <f t="shared" si="23"/>
        <v>005-00000233</v>
      </c>
    </row>
    <row r="1489" spans="1:12" hidden="1" x14ac:dyDescent="0.25">
      <c r="A1489" s="130" t="s">
        <v>1486</v>
      </c>
      <c r="B1489" s="130" t="s">
        <v>1487</v>
      </c>
      <c r="C1489" s="132" t="s">
        <v>150</v>
      </c>
      <c r="D1489" s="129">
        <v>1</v>
      </c>
      <c r="E1489" s="129">
        <v>56.826801000000003</v>
      </c>
      <c r="F1489" s="129">
        <v>56.826801000000003</v>
      </c>
      <c r="G1489" s="129">
        <v>190</v>
      </c>
      <c r="H1489" s="129">
        <v>190</v>
      </c>
      <c r="I1489" s="131" t="s">
        <v>87</v>
      </c>
      <c r="J1489" s="132" t="s">
        <v>102</v>
      </c>
      <c r="K1489" s="130" t="s">
        <v>2094</v>
      </c>
      <c r="L1489" s="129" t="str">
        <f t="shared" si="23"/>
        <v>005-00000233</v>
      </c>
    </row>
    <row r="1490" spans="1:12" hidden="1" x14ac:dyDescent="0.25">
      <c r="A1490" s="130" t="s">
        <v>433</v>
      </c>
      <c r="B1490" s="130" t="s">
        <v>434</v>
      </c>
      <c r="C1490" s="132" t="s">
        <v>150</v>
      </c>
      <c r="D1490" s="129">
        <v>1</v>
      </c>
      <c r="E1490" s="129">
        <v>44.863300000000002</v>
      </c>
      <c r="F1490" s="129">
        <v>44.86330000000001</v>
      </c>
      <c r="G1490" s="129">
        <v>150</v>
      </c>
      <c r="H1490" s="129">
        <v>150</v>
      </c>
      <c r="I1490" s="131" t="s">
        <v>87</v>
      </c>
      <c r="J1490" s="132" t="s">
        <v>102</v>
      </c>
      <c r="K1490" s="130" t="s">
        <v>2094</v>
      </c>
      <c r="L1490" s="129" t="str">
        <f t="shared" si="23"/>
        <v>005-00000233</v>
      </c>
    </row>
    <row r="1491" spans="1:12" hidden="1" x14ac:dyDescent="0.25">
      <c r="A1491" s="130" t="s">
        <v>461</v>
      </c>
      <c r="B1491" s="130" t="s">
        <v>462</v>
      </c>
      <c r="C1491" s="132" t="s">
        <v>150</v>
      </c>
      <c r="D1491" s="129">
        <v>1</v>
      </c>
      <c r="E1491" s="129">
        <v>44.789501000000001</v>
      </c>
      <c r="F1491" s="129">
        <v>44.789501000000008</v>
      </c>
      <c r="G1491" s="129">
        <v>150</v>
      </c>
      <c r="H1491" s="129">
        <v>150</v>
      </c>
      <c r="I1491" s="131" t="s">
        <v>87</v>
      </c>
      <c r="J1491" s="132" t="s">
        <v>102</v>
      </c>
      <c r="K1491" s="130" t="s">
        <v>2094</v>
      </c>
      <c r="L1491" s="129" t="str">
        <f t="shared" si="23"/>
        <v>005-00000233</v>
      </c>
    </row>
    <row r="1492" spans="1:12" hidden="1" x14ac:dyDescent="0.25">
      <c r="A1492" s="130" t="s">
        <v>449</v>
      </c>
      <c r="B1492" s="130" t="s">
        <v>450</v>
      </c>
      <c r="C1492" s="132" t="s">
        <v>150</v>
      </c>
      <c r="D1492" s="129">
        <v>1</v>
      </c>
      <c r="E1492" s="129">
        <v>73.383904000000001</v>
      </c>
      <c r="F1492" s="129">
        <v>73.383904000000001</v>
      </c>
      <c r="G1492" s="129">
        <v>245.7627</v>
      </c>
      <c r="H1492" s="129">
        <v>245.7627</v>
      </c>
      <c r="I1492" s="131" t="s">
        <v>87</v>
      </c>
      <c r="J1492" s="132" t="s">
        <v>102</v>
      </c>
      <c r="K1492" s="130" t="s">
        <v>2094</v>
      </c>
      <c r="L1492" s="129" t="str">
        <f t="shared" si="23"/>
        <v>005-00000233</v>
      </c>
    </row>
    <row r="1493" spans="1:12" hidden="1" x14ac:dyDescent="0.25">
      <c r="A1493" s="130" t="s">
        <v>212</v>
      </c>
      <c r="B1493" s="130" t="s">
        <v>213</v>
      </c>
      <c r="C1493" s="132" t="s">
        <v>153</v>
      </c>
      <c r="D1493" s="129">
        <v>1</v>
      </c>
      <c r="E1493" s="129">
        <v>10.450900000000001</v>
      </c>
      <c r="F1493" s="129">
        <v>10.450900000000001</v>
      </c>
      <c r="G1493" s="129">
        <v>35</v>
      </c>
      <c r="H1493" s="129">
        <v>35</v>
      </c>
      <c r="I1493" s="131" t="s">
        <v>87</v>
      </c>
      <c r="J1493" s="132" t="s">
        <v>102</v>
      </c>
      <c r="K1493" s="130" t="s">
        <v>2094</v>
      </c>
      <c r="L1493" s="129" t="str">
        <f t="shared" si="23"/>
        <v>005-00000233</v>
      </c>
    </row>
    <row r="1494" spans="1:12" hidden="1" x14ac:dyDescent="0.25">
      <c r="A1494" s="130" t="s">
        <v>399</v>
      </c>
      <c r="B1494" s="130" t="s">
        <v>400</v>
      </c>
      <c r="C1494" s="132" t="s">
        <v>153</v>
      </c>
      <c r="D1494" s="129">
        <v>1</v>
      </c>
      <c r="E1494" s="129">
        <v>93.879997000000003</v>
      </c>
      <c r="F1494" s="129">
        <v>93.879997000000003</v>
      </c>
      <c r="G1494" s="129">
        <v>313.55930000000001</v>
      </c>
      <c r="H1494" s="129">
        <v>313.55930000000006</v>
      </c>
      <c r="I1494" s="131" t="s">
        <v>87</v>
      </c>
      <c r="J1494" s="132" t="s">
        <v>102</v>
      </c>
      <c r="K1494" s="130" t="s">
        <v>2127</v>
      </c>
      <c r="L1494" s="129" t="str">
        <f t="shared" si="23"/>
        <v>005-00000273</v>
      </c>
    </row>
    <row r="1495" spans="1:12" hidden="1" x14ac:dyDescent="0.25">
      <c r="A1495" s="130" t="s">
        <v>2128</v>
      </c>
      <c r="B1495" s="130" t="s">
        <v>2129</v>
      </c>
      <c r="C1495" s="132" t="s">
        <v>153</v>
      </c>
      <c r="D1495" s="129">
        <v>1</v>
      </c>
      <c r="E1495" s="129">
        <v>67.238403000000005</v>
      </c>
      <c r="F1495" s="129">
        <v>67.238403000000005</v>
      </c>
      <c r="G1495" s="129">
        <v>224.57629</v>
      </c>
      <c r="H1495" s="129">
        <v>224.57629</v>
      </c>
      <c r="I1495" s="131" t="s">
        <v>87</v>
      </c>
      <c r="J1495" s="132" t="s">
        <v>102</v>
      </c>
      <c r="K1495" s="130" t="s">
        <v>2127</v>
      </c>
      <c r="L1495" s="129" t="str">
        <f t="shared" si="23"/>
        <v>005-00000273</v>
      </c>
    </row>
    <row r="1496" spans="1:12" hidden="1" x14ac:dyDescent="0.25">
      <c r="A1496" s="130" t="s">
        <v>1081</v>
      </c>
      <c r="B1496" s="130" t="s">
        <v>1010</v>
      </c>
      <c r="C1496" s="132" t="s">
        <v>153</v>
      </c>
      <c r="D1496" s="129">
        <v>1</v>
      </c>
      <c r="E1496" s="129">
        <v>93.879997000000003</v>
      </c>
      <c r="F1496" s="129">
        <v>93.879997000000003</v>
      </c>
      <c r="G1496" s="129">
        <v>313.55930000000001</v>
      </c>
      <c r="H1496" s="129">
        <v>313.55930000000006</v>
      </c>
      <c r="I1496" s="131" t="s">
        <v>87</v>
      </c>
      <c r="J1496" s="132" t="s">
        <v>102</v>
      </c>
      <c r="K1496" s="130" t="s">
        <v>2127</v>
      </c>
      <c r="L1496" s="129" t="str">
        <f t="shared" si="23"/>
        <v>005-00000273</v>
      </c>
    </row>
    <row r="1497" spans="1:12" hidden="1" x14ac:dyDescent="0.25">
      <c r="A1497" s="130" t="s">
        <v>1465</v>
      </c>
      <c r="B1497" s="130" t="s">
        <v>160</v>
      </c>
      <c r="C1497" s="132" t="s">
        <v>150</v>
      </c>
      <c r="D1497" s="129">
        <v>3</v>
      </c>
      <c r="E1497" s="129">
        <v>1.3818999999999999</v>
      </c>
      <c r="F1497" s="129">
        <v>4.1457000000000006</v>
      </c>
      <c r="G1497" s="129">
        <v>4.6609997999999999</v>
      </c>
      <c r="H1497" s="129">
        <v>13.982999399999999</v>
      </c>
      <c r="I1497" s="131" t="s">
        <v>87</v>
      </c>
      <c r="J1497" s="132" t="s">
        <v>102</v>
      </c>
      <c r="K1497" s="130" t="s">
        <v>2127</v>
      </c>
      <c r="L1497" s="129" t="str">
        <f t="shared" si="23"/>
        <v>005-00000273</v>
      </c>
    </row>
    <row r="1498" spans="1:12" hidden="1" x14ac:dyDescent="0.25">
      <c r="A1498" s="130" t="s">
        <v>495</v>
      </c>
      <c r="B1498" s="130" t="s">
        <v>496</v>
      </c>
      <c r="C1498" s="132" t="s">
        <v>150</v>
      </c>
      <c r="D1498" s="129">
        <v>1</v>
      </c>
      <c r="E1498" s="129">
        <v>8.8802003999999997</v>
      </c>
      <c r="F1498" s="129">
        <v>8.8802003999999997</v>
      </c>
      <c r="G1498" s="129">
        <v>29.66</v>
      </c>
      <c r="H1498" s="129">
        <v>29.66</v>
      </c>
      <c r="I1498" s="131" t="s">
        <v>87</v>
      </c>
      <c r="J1498" s="132" t="s">
        <v>102</v>
      </c>
      <c r="K1498" s="130" t="s">
        <v>2124</v>
      </c>
      <c r="L1498" s="129" t="str">
        <f t="shared" si="23"/>
        <v>005-00000275</v>
      </c>
    </row>
    <row r="1499" spans="1:12" hidden="1" x14ac:dyDescent="0.25">
      <c r="A1499" s="130" t="s">
        <v>2130</v>
      </c>
      <c r="B1499" s="130" t="s">
        <v>2131</v>
      </c>
      <c r="C1499" s="132" t="s">
        <v>150</v>
      </c>
      <c r="D1499" s="129">
        <v>1</v>
      </c>
      <c r="E1499" s="129">
        <v>10.1219</v>
      </c>
      <c r="F1499" s="129">
        <v>10.1219</v>
      </c>
      <c r="G1499" s="129">
        <v>33.898299999999999</v>
      </c>
      <c r="H1499" s="129">
        <v>33.898299999999999</v>
      </c>
      <c r="I1499" s="131" t="s">
        <v>87</v>
      </c>
      <c r="J1499" s="132" t="s">
        <v>102</v>
      </c>
      <c r="K1499" s="130" t="s">
        <v>623</v>
      </c>
      <c r="L1499" s="129" t="str">
        <f t="shared" si="23"/>
        <v>005-00000108</v>
      </c>
    </row>
    <row r="1500" spans="1:12" hidden="1" x14ac:dyDescent="0.25">
      <c r="A1500" s="130" t="s">
        <v>2132</v>
      </c>
      <c r="B1500" s="130" t="s">
        <v>2133</v>
      </c>
      <c r="C1500" s="132" t="s">
        <v>150</v>
      </c>
      <c r="D1500" s="129">
        <v>1</v>
      </c>
      <c r="E1500" s="129">
        <v>10.1219</v>
      </c>
      <c r="F1500" s="129">
        <v>10.1219</v>
      </c>
      <c r="G1500" s="129">
        <v>33.898299999999999</v>
      </c>
      <c r="H1500" s="129">
        <v>33.898299999999999</v>
      </c>
      <c r="I1500" s="131" t="s">
        <v>87</v>
      </c>
      <c r="J1500" s="132" t="s">
        <v>102</v>
      </c>
      <c r="K1500" s="130" t="s">
        <v>623</v>
      </c>
      <c r="L1500" s="129" t="str">
        <f t="shared" si="23"/>
        <v>005-00000108</v>
      </c>
    </row>
    <row r="1501" spans="1:12" hidden="1" x14ac:dyDescent="0.25">
      <c r="A1501" s="130" t="s">
        <v>544</v>
      </c>
      <c r="B1501" s="130" t="s">
        <v>545</v>
      </c>
      <c r="C1501" s="132" t="s">
        <v>150</v>
      </c>
      <c r="D1501" s="129">
        <v>1</v>
      </c>
      <c r="E1501" s="129">
        <v>2.5007999000000001</v>
      </c>
      <c r="F1501" s="129">
        <v>2.5007999000000005</v>
      </c>
      <c r="G1501" s="129">
        <v>8.4745998</v>
      </c>
      <c r="H1501" s="129">
        <v>8.4745998</v>
      </c>
      <c r="I1501" s="131" t="s">
        <v>87</v>
      </c>
      <c r="J1501" s="132" t="s">
        <v>102</v>
      </c>
      <c r="K1501" s="130" t="s">
        <v>623</v>
      </c>
      <c r="L1501" s="129" t="str">
        <f t="shared" si="23"/>
        <v>005-00000108</v>
      </c>
    </row>
    <row r="1502" spans="1:12" hidden="1" x14ac:dyDescent="0.25">
      <c r="A1502" s="130" t="s">
        <v>2134</v>
      </c>
      <c r="B1502" s="130" t="s">
        <v>349</v>
      </c>
      <c r="C1502" s="132" t="s">
        <v>150</v>
      </c>
      <c r="D1502" s="129">
        <v>2</v>
      </c>
      <c r="E1502" s="129">
        <v>3.7957000999999995</v>
      </c>
      <c r="F1502" s="129">
        <v>7.591400199999998</v>
      </c>
      <c r="G1502" s="129">
        <v>12.7119</v>
      </c>
      <c r="H1502" s="129">
        <v>25.423800000000007</v>
      </c>
      <c r="I1502" s="131" t="s">
        <v>87</v>
      </c>
      <c r="J1502" s="132" t="s">
        <v>102</v>
      </c>
      <c r="K1502" s="130" t="s">
        <v>623</v>
      </c>
      <c r="L1502" s="129" t="str">
        <f t="shared" si="23"/>
        <v>005-00000108</v>
      </c>
    </row>
    <row r="1503" spans="1:12" hidden="1" x14ac:dyDescent="0.25">
      <c r="A1503" s="130" t="s">
        <v>2135</v>
      </c>
      <c r="B1503" s="130" t="s">
        <v>2136</v>
      </c>
      <c r="C1503" s="132" t="s">
        <v>150</v>
      </c>
      <c r="D1503" s="129">
        <v>1</v>
      </c>
      <c r="E1503" s="129">
        <v>114.7983</v>
      </c>
      <c r="F1503" s="129">
        <v>114.7983</v>
      </c>
      <c r="G1503" s="129">
        <v>381.35998999999998</v>
      </c>
      <c r="H1503" s="129">
        <v>381.35999000000004</v>
      </c>
      <c r="I1503" s="131" t="s">
        <v>87</v>
      </c>
      <c r="J1503" s="132" t="s">
        <v>102</v>
      </c>
      <c r="K1503" s="130" t="s">
        <v>2075</v>
      </c>
      <c r="L1503" s="129" t="str">
        <f t="shared" si="23"/>
        <v>005-00000243</v>
      </c>
    </row>
    <row r="1504" spans="1:12" hidden="1" x14ac:dyDescent="0.25">
      <c r="A1504" s="130" t="s">
        <v>2137</v>
      </c>
      <c r="B1504" s="130" t="s">
        <v>2138</v>
      </c>
      <c r="C1504" s="132" t="s">
        <v>150</v>
      </c>
      <c r="D1504" s="129">
        <v>1</v>
      </c>
      <c r="E1504" s="129">
        <v>5.1020998999999998</v>
      </c>
      <c r="F1504" s="129">
        <v>5.1020998999999998</v>
      </c>
      <c r="G1504" s="129">
        <v>16.949200000000001</v>
      </c>
      <c r="H1504" s="129">
        <v>16.949200000000001</v>
      </c>
      <c r="I1504" s="131" t="s">
        <v>87</v>
      </c>
      <c r="J1504" s="132" t="s">
        <v>102</v>
      </c>
      <c r="K1504" s="130" t="s">
        <v>1679</v>
      </c>
      <c r="L1504" s="129" t="str">
        <f t="shared" si="23"/>
        <v>005-00000203</v>
      </c>
    </row>
    <row r="1505" spans="1:12" hidden="1" x14ac:dyDescent="0.25">
      <c r="A1505" s="130" t="s">
        <v>2139</v>
      </c>
      <c r="B1505" s="130" t="s">
        <v>2140</v>
      </c>
      <c r="C1505" s="132" t="s">
        <v>150</v>
      </c>
      <c r="D1505" s="129">
        <v>1</v>
      </c>
      <c r="E1505" s="129">
        <v>12.7552</v>
      </c>
      <c r="F1505" s="129">
        <v>12.755200000000002</v>
      </c>
      <c r="G1505" s="129">
        <v>42.372897999999992</v>
      </c>
      <c r="H1505" s="129">
        <v>42.372897999999985</v>
      </c>
      <c r="I1505" s="131" t="s">
        <v>87</v>
      </c>
      <c r="J1505" s="132" t="s">
        <v>102</v>
      </c>
      <c r="K1505" s="130" t="s">
        <v>1679</v>
      </c>
      <c r="L1505" s="129" t="str">
        <f t="shared" si="23"/>
        <v>005-00000203</v>
      </c>
    </row>
    <row r="1506" spans="1:12" hidden="1" x14ac:dyDescent="0.25">
      <c r="A1506" s="130" t="s">
        <v>2141</v>
      </c>
      <c r="B1506" s="130" t="s">
        <v>2142</v>
      </c>
      <c r="C1506" s="132" t="s">
        <v>150</v>
      </c>
      <c r="D1506" s="129">
        <v>1</v>
      </c>
      <c r="E1506" s="129">
        <v>8.9283999999999999</v>
      </c>
      <c r="F1506" s="129">
        <v>8.9283999999999999</v>
      </c>
      <c r="G1506" s="129">
        <v>29.66</v>
      </c>
      <c r="H1506" s="129">
        <v>29.66</v>
      </c>
      <c r="I1506" s="131" t="s">
        <v>87</v>
      </c>
      <c r="J1506" s="132" t="s">
        <v>102</v>
      </c>
      <c r="K1506" s="130" t="s">
        <v>2069</v>
      </c>
      <c r="L1506" s="129" t="str">
        <f t="shared" si="23"/>
        <v>005-00000207</v>
      </c>
    </row>
    <row r="1507" spans="1:12" hidden="1" x14ac:dyDescent="0.25">
      <c r="A1507" s="130" t="s">
        <v>729</v>
      </c>
      <c r="B1507" s="130" t="s">
        <v>408</v>
      </c>
      <c r="C1507" s="132" t="s">
        <v>150</v>
      </c>
      <c r="D1507" s="129">
        <v>4</v>
      </c>
      <c r="E1507" s="129">
        <v>1.8134999999999999</v>
      </c>
      <c r="F1507" s="129">
        <v>7.2539999999999996</v>
      </c>
      <c r="G1507" s="129">
        <v>6.1023997999999997</v>
      </c>
      <c r="H1507" s="129">
        <v>24.409599199999992</v>
      </c>
      <c r="I1507" s="131" t="s">
        <v>87</v>
      </c>
      <c r="J1507" s="132" t="s">
        <v>102</v>
      </c>
      <c r="K1507" s="130" t="s">
        <v>2069</v>
      </c>
      <c r="L1507" s="129" t="str">
        <f t="shared" si="23"/>
        <v>005-00000207</v>
      </c>
    </row>
    <row r="1508" spans="1:12" hidden="1" x14ac:dyDescent="0.25">
      <c r="A1508" s="130" t="s">
        <v>168</v>
      </c>
      <c r="B1508" s="130" t="s">
        <v>167</v>
      </c>
      <c r="C1508" s="132" t="s">
        <v>150</v>
      </c>
      <c r="D1508" s="129">
        <v>1</v>
      </c>
      <c r="E1508" s="129">
        <v>6.5415001000000004</v>
      </c>
      <c r="F1508" s="129">
        <v>6.5415001000000021</v>
      </c>
      <c r="G1508" s="129">
        <v>22.011998999999999</v>
      </c>
      <c r="H1508" s="129">
        <v>22.011998999999996</v>
      </c>
      <c r="I1508" s="131" t="s">
        <v>87</v>
      </c>
      <c r="J1508" s="132" t="s">
        <v>102</v>
      </c>
      <c r="K1508" s="130" t="s">
        <v>2069</v>
      </c>
      <c r="L1508" s="129" t="str">
        <f t="shared" si="23"/>
        <v>005-00000207</v>
      </c>
    </row>
    <row r="1509" spans="1:12" hidden="1" x14ac:dyDescent="0.25">
      <c r="A1509" s="130" t="s">
        <v>2141</v>
      </c>
      <c r="B1509" s="130" t="s">
        <v>2142</v>
      </c>
      <c r="C1509" s="132" t="s">
        <v>150</v>
      </c>
      <c r="D1509" s="129">
        <v>1</v>
      </c>
      <c r="E1509" s="129">
        <v>6.3786997999999997</v>
      </c>
      <c r="F1509" s="129">
        <v>6.3786997999999997</v>
      </c>
      <c r="G1509" s="129">
        <v>21.190000999999999</v>
      </c>
      <c r="H1509" s="129">
        <v>21.190000999999992</v>
      </c>
      <c r="I1509" s="131" t="s">
        <v>87</v>
      </c>
      <c r="J1509" s="132" t="s">
        <v>102</v>
      </c>
      <c r="K1509" s="130" t="s">
        <v>2143</v>
      </c>
      <c r="L1509" s="129" t="str">
        <f t="shared" si="23"/>
        <v>005-00000295</v>
      </c>
    </row>
    <row r="1510" spans="1:12" hidden="1" x14ac:dyDescent="0.25">
      <c r="A1510" s="130" t="s">
        <v>1041</v>
      </c>
      <c r="B1510" s="130" t="s">
        <v>1042</v>
      </c>
      <c r="C1510" s="132" t="s">
        <v>150</v>
      </c>
      <c r="D1510" s="129">
        <v>1</v>
      </c>
      <c r="E1510" s="129">
        <v>1.5099</v>
      </c>
      <c r="F1510" s="129">
        <v>1.5099</v>
      </c>
      <c r="G1510" s="129">
        <v>5.0847001000000001</v>
      </c>
      <c r="H1510" s="129">
        <v>5.0847001000000001</v>
      </c>
      <c r="I1510" s="131" t="s">
        <v>87</v>
      </c>
      <c r="J1510" s="132" t="s">
        <v>102</v>
      </c>
      <c r="K1510" s="130" t="s">
        <v>2143</v>
      </c>
      <c r="L1510" s="129" t="str">
        <f t="shared" si="23"/>
        <v>005-00000295</v>
      </c>
    </row>
    <row r="1511" spans="1:12" hidden="1" x14ac:dyDescent="0.25">
      <c r="A1511" s="130" t="s">
        <v>729</v>
      </c>
      <c r="B1511" s="130" t="s">
        <v>408</v>
      </c>
      <c r="C1511" s="132" t="s">
        <v>150</v>
      </c>
      <c r="D1511" s="129">
        <v>4</v>
      </c>
      <c r="E1511" s="129">
        <v>1.8134999999999999</v>
      </c>
      <c r="F1511" s="129">
        <v>7.2539999999999996</v>
      </c>
      <c r="G1511" s="129">
        <v>6.1023997999999997</v>
      </c>
      <c r="H1511" s="129">
        <v>24.409599199999992</v>
      </c>
      <c r="I1511" s="131" t="s">
        <v>87</v>
      </c>
      <c r="J1511" s="132" t="s">
        <v>102</v>
      </c>
      <c r="K1511" s="130" t="s">
        <v>2143</v>
      </c>
      <c r="L1511" s="129" t="str">
        <f t="shared" si="23"/>
        <v>005-00000295</v>
      </c>
    </row>
    <row r="1512" spans="1:12" hidden="1" x14ac:dyDescent="0.25">
      <c r="A1512" s="130" t="s">
        <v>529</v>
      </c>
      <c r="B1512" s="130" t="s">
        <v>530</v>
      </c>
      <c r="C1512" s="132" t="s">
        <v>88</v>
      </c>
      <c r="D1512" s="129">
        <v>1.5</v>
      </c>
      <c r="E1512" s="129">
        <v>14.7882</v>
      </c>
      <c r="F1512" s="129">
        <v>22.182299999999994</v>
      </c>
      <c r="G1512" s="129">
        <v>49.75519899999999</v>
      </c>
      <c r="H1512" s="129">
        <v>74.632798499999993</v>
      </c>
      <c r="I1512" s="131" t="s">
        <v>87</v>
      </c>
      <c r="J1512" s="132" t="s">
        <v>102</v>
      </c>
      <c r="K1512" s="130" t="s">
        <v>2143</v>
      </c>
      <c r="L1512" s="129" t="str">
        <f t="shared" si="23"/>
        <v>005-00000295</v>
      </c>
    </row>
    <row r="1513" spans="1:12" hidden="1" x14ac:dyDescent="0.25">
      <c r="A1513" s="130" t="s">
        <v>2144</v>
      </c>
      <c r="B1513" s="130" t="s">
        <v>460</v>
      </c>
      <c r="C1513" s="132" t="s">
        <v>150</v>
      </c>
      <c r="D1513" s="129">
        <v>1</v>
      </c>
      <c r="E1513" s="129">
        <v>8.9283999999999999</v>
      </c>
      <c r="F1513" s="129">
        <v>8.9283999999999999</v>
      </c>
      <c r="G1513" s="129">
        <v>29.66</v>
      </c>
      <c r="H1513" s="129">
        <v>29.66</v>
      </c>
      <c r="I1513" s="131" t="s">
        <v>87</v>
      </c>
      <c r="J1513" s="132" t="s">
        <v>102</v>
      </c>
      <c r="K1513" s="130" t="s">
        <v>1679</v>
      </c>
      <c r="L1513" s="129" t="str">
        <f t="shared" si="23"/>
        <v>005-00000203</v>
      </c>
    </row>
    <row r="1514" spans="1:12" hidden="1" x14ac:dyDescent="0.25">
      <c r="A1514" s="130" t="s">
        <v>2137</v>
      </c>
      <c r="B1514" s="130" t="s">
        <v>2138</v>
      </c>
      <c r="C1514" s="132" t="s">
        <v>150</v>
      </c>
      <c r="D1514" s="129">
        <v>1</v>
      </c>
      <c r="E1514" s="129">
        <v>6.3834</v>
      </c>
      <c r="F1514" s="129">
        <v>6.3834</v>
      </c>
      <c r="G1514" s="129">
        <v>21.186399000000002</v>
      </c>
      <c r="H1514" s="129">
        <v>21.186399000000002</v>
      </c>
      <c r="I1514" s="131" t="s">
        <v>87</v>
      </c>
      <c r="J1514" s="132" t="s">
        <v>102</v>
      </c>
      <c r="K1514" s="130" t="s">
        <v>1575</v>
      </c>
      <c r="L1514" s="129" t="str">
        <f t="shared" si="23"/>
        <v>005-00000186</v>
      </c>
    </row>
    <row r="1515" spans="1:12" hidden="1" x14ac:dyDescent="0.25">
      <c r="A1515" s="130" t="s">
        <v>2139</v>
      </c>
      <c r="B1515" s="130" t="s">
        <v>2140</v>
      </c>
      <c r="C1515" s="132" t="s">
        <v>150</v>
      </c>
      <c r="D1515" s="129">
        <v>1</v>
      </c>
      <c r="E1515" s="129">
        <v>12.7668</v>
      </c>
      <c r="F1515" s="129">
        <v>12.7668</v>
      </c>
      <c r="G1515" s="129">
        <v>42.372897999999992</v>
      </c>
      <c r="H1515" s="129">
        <v>42.372897999999985</v>
      </c>
      <c r="I1515" s="131" t="s">
        <v>87</v>
      </c>
      <c r="J1515" s="132" t="s">
        <v>102</v>
      </c>
      <c r="K1515" s="130" t="s">
        <v>1575</v>
      </c>
      <c r="L1515" s="129" t="str">
        <f t="shared" si="23"/>
        <v>005-00000186</v>
      </c>
    </row>
    <row r="1516" spans="1:12" hidden="1" x14ac:dyDescent="0.25">
      <c r="A1516" s="130" t="s">
        <v>2145</v>
      </c>
      <c r="B1516" s="130" t="s">
        <v>2146</v>
      </c>
      <c r="C1516" s="132" t="s">
        <v>150</v>
      </c>
      <c r="D1516" s="129">
        <v>1</v>
      </c>
      <c r="E1516" s="129">
        <v>33.193600000000004</v>
      </c>
      <c r="F1516" s="129">
        <v>33.193600000000004</v>
      </c>
      <c r="G1516" s="129">
        <v>110.16950000000001</v>
      </c>
      <c r="H1516" s="129">
        <v>110.16950000000003</v>
      </c>
      <c r="I1516" s="131" t="s">
        <v>87</v>
      </c>
      <c r="J1516" s="132" t="s">
        <v>102</v>
      </c>
      <c r="K1516" s="130" t="s">
        <v>1678</v>
      </c>
      <c r="L1516" s="129" t="str">
        <f t="shared" si="23"/>
        <v>005-00000201</v>
      </c>
    </row>
    <row r="1517" spans="1:12" hidden="1" x14ac:dyDescent="0.25">
      <c r="A1517" s="130" t="s">
        <v>2137</v>
      </c>
      <c r="B1517" s="130" t="s">
        <v>2138</v>
      </c>
      <c r="C1517" s="132" t="s">
        <v>150</v>
      </c>
      <c r="D1517" s="129">
        <v>1</v>
      </c>
      <c r="E1517" s="129">
        <v>5.1066998999999997</v>
      </c>
      <c r="F1517" s="129">
        <v>5.1066999000000006</v>
      </c>
      <c r="G1517" s="129">
        <v>16.949200000000001</v>
      </c>
      <c r="H1517" s="129">
        <v>16.949200000000001</v>
      </c>
      <c r="I1517" s="131" t="s">
        <v>87</v>
      </c>
      <c r="J1517" s="132" t="s">
        <v>102</v>
      </c>
      <c r="K1517" s="130" t="s">
        <v>1678</v>
      </c>
      <c r="L1517" s="129" t="str">
        <f t="shared" si="23"/>
        <v>005-00000201</v>
      </c>
    </row>
    <row r="1518" spans="1:12" hidden="1" x14ac:dyDescent="0.25">
      <c r="A1518" s="130" t="s">
        <v>2139</v>
      </c>
      <c r="B1518" s="130" t="s">
        <v>2140</v>
      </c>
      <c r="C1518" s="132" t="s">
        <v>150</v>
      </c>
      <c r="D1518" s="129">
        <v>1</v>
      </c>
      <c r="E1518" s="129">
        <v>12.7668</v>
      </c>
      <c r="F1518" s="129">
        <v>12.7668</v>
      </c>
      <c r="G1518" s="129">
        <v>42.372897999999992</v>
      </c>
      <c r="H1518" s="129">
        <v>42.372897999999985</v>
      </c>
      <c r="I1518" s="131" t="s">
        <v>87</v>
      </c>
      <c r="J1518" s="132" t="s">
        <v>102</v>
      </c>
      <c r="K1518" s="130" t="s">
        <v>1678</v>
      </c>
      <c r="L1518" s="129" t="str">
        <f t="shared" si="23"/>
        <v>005-00000201</v>
      </c>
    </row>
    <row r="1519" spans="1:12" hidden="1" x14ac:dyDescent="0.25">
      <c r="A1519" s="130" t="s">
        <v>1030</v>
      </c>
      <c r="B1519" s="130" t="s">
        <v>1031</v>
      </c>
      <c r="C1519" s="132" t="s">
        <v>150</v>
      </c>
      <c r="D1519" s="129">
        <v>1</v>
      </c>
      <c r="E1519" s="129">
        <v>2.0106001</v>
      </c>
      <c r="F1519" s="129">
        <v>2.0106001</v>
      </c>
      <c r="G1519" s="129">
        <v>6.7796998000000004</v>
      </c>
      <c r="H1519" s="129">
        <v>6.7796998000000022</v>
      </c>
      <c r="I1519" s="131" t="s">
        <v>87</v>
      </c>
      <c r="J1519" s="132" t="s">
        <v>102</v>
      </c>
      <c r="K1519" s="130" t="s">
        <v>1678</v>
      </c>
      <c r="L1519" s="129" t="str">
        <f t="shared" si="23"/>
        <v>005-00000201</v>
      </c>
    </row>
    <row r="1520" spans="1:12" hidden="1" x14ac:dyDescent="0.25">
      <c r="A1520" s="130" t="s">
        <v>2147</v>
      </c>
      <c r="B1520" s="130" t="s">
        <v>2148</v>
      </c>
      <c r="C1520" s="132" t="s">
        <v>150</v>
      </c>
      <c r="D1520" s="129">
        <v>1</v>
      </c>
      <c r="E1520" s="129">
        <v>3.8294999999999999</v>
      </c>
      <c r="F1520" s="129">
        <v>3.8294999999999999</v>
      </c>
      <c r="G1520" s="129">
        <v>12.71</v>
      </c>
      <c r="H1520" s="129">
        <v>12.71</v>
      </c>
      <c r="I1520" s="131" t="s">
        <v>87</v>
      </c>
      <c r="J1520" s="132" t="s">
        <v>102</v>
      </c>
      <c r="K1520" s="130" t="s">
        <v>1678</v>
      </c>
      <c r="L1520" s="129" t="str">
        <f t="shared" si="23"/>
        <v>005-00000201</v>
      </c>
    </row>
    <row r="1521" spans="1:12" hidden="1" x14ac:dyDescent="0.25">
      <c r="A1521" s="130" t="s">
        <v>1034</v>
      </c>
      <c r="B1521" s="130" t="s">
        <v>1035</v>
      </c>
      <c r="C1521" s="132" t="s">
        <v>88</v>
      </c>
      <c r="D1521" s="129">
        <v>1</v>
      </c>
      <c r="E1521" s="129">
        <v>10.5677</v>
      </c>
      <c r="F1521" s="129">
        <v>10.567700000000002</v>
      </c>
      <c r="G1521" s="129">
        <v>35.745998</v>
      </c>
      <c r="H1521" s="129">
        <v>35.745998</v>
      </c>
      <c r="I1521" s="131" t="s">
        <v>87</v>
      </c>
      <c r="J1521" s="132" t="s">
        <v>102</v>
      </c>
      <c r="K1521" s="130" t="s">
        <v>1678</v>
      </c>
      <c r="L1521" s="129" t="str">
        <f t="shared" si="23"/>
        <v>005-00000201</v>
      </c>
    </row>
    <row r="1522" spans="1:12" hidden="1" x14ac:dyDescent="0.25">
      <c r="A1522" s="130" t="s">
        <v>1465</v>
      </c>
      <c r="B1522" s="130" t="s">
        <v>160</v>
      </c>
      <c r="C1522" s="132" t="s">
        <v>150</v>
      </c>
      <c r="D1522" s="129">
        <v>2</v>
      </c>
      <c r="E1522" s="129">
        <v>1.3818999999999999</v>
      </c>
      <c r="F1522" s="129">
        <v>2.7638000000000007</v>
      </c>
      <c r="G1522" s="129">
        <v>4.6609997999999999</v>
      </c>
      <c r="H1522" s="129">
        <v>9.3219995999999998</v>
      </c>
      <c r="I1522" s="131" t="s">
        <v>87</v>
      </c>
      <c r="J1522" s="132" t="s">
        <v>102</v>
      </c>
      <c r="K1522" s="130" t="s">
        <v>1678</v>
      </c>
      <c r="L1522" s="129" t="str">
        <f t="shared" si="23"/>
        <v>005-00000201</v>
      </c>
    </row>
    <row r="1523" spans="1:12" hidden="1" x14ac:dyDescent="0.25">
      <c r="A1523" s="130" t="s">
        <v>227</v>
      </c>
      <c r="B1523" s="130" t="s">
        <v>194</v>
      </c>
      <c r="C1523" s="132" t="s">
        <v>88</v>
      </c>
      <c r="D1523" s="129">
        <v>1</v>
      </c>
      <c r="E1523" s="129">
        <v>1.6415</v>
      </c>
      <c r="F1523" s="129">
        <v>1.6414999999999997</v>
      </c>
      <c r="G1523" s="129">
        <v>5.4759001999999999</v>
      </c>
      <c r="H1523" s="129">
        <v>5.4759001999999999</v>
      </c>
      <c r="I1523" s="131" t="s">
        <v>87</v>
      </c>
      <c r="J1523" s="132" t="s">
        <v>102</v>
      </c>
      <c r="K1523" s="130" t="s">
        <v>1678</v>
      </c>
      <c r="L1523" s="129" t="str">
        <f t="shared" si="23"/>
        <v>005-00000201</v>
      </c>
    </row>
    <row r="1524" spans="1:12" hidden="1" x14ac:dyDescent="0.25">
      <c r="A1524" s="130" t="s">
        <v>544</v>
      </c>
      <c r="B1524" s="130" t="s">
        <v>545</v>
      </c>
      <c r="C1524" s="132" t="s">
        <v>150</v>
      </c>
      <c r="D1524" s="129">
        <v>2</v>
      </c>
      <c r="E1524" s="129">
        <v>2.5007999000000001</v>
      </c>
      <c r="F1524" s="129">
        <v>5.001599800000001</v>
      </c>
      <c r="G1524" s="129">
        <v>8.4745998</v>
      </c>
      <c r="H1524" s="129">
        <v>16.9491996</v>
      </c>
      <c r="I1524" s="131" t="s">
        <v>87</v>
      </c>
      <c r="J1524" s="132" t="s">
        <v>102</v>
      </c>
      <c r="K1524" s="130" t="s">
        <v>1678</v>
      </c>
      <c r="L1524" s="129" t="str">
        <f t="shared" si="23"/>
        <v>005-00000201</v>
      </c>
    </row>
    <row r="1525" spans="1:12" hidden="1" x14ac:dyDescent="0.25">
      <c r="A1525" s="130" t="s">
        <v>409</v>
      </c>
      <c r="B1525" s="130" t="s">
        <v>408</v>
      </c>
      <c r="C1525" s="132" t="s">
        <v>150</v>
      </c>
      <c r="D1525" s="129">
        <v>2</v>
      </c>
      <c r="E1525" s="129">
        <v>1.4915</v>
      </c>
      <c r="F1525" s="129">
        <v>2.9829999999999997</v>
      </c>
      <c r="G1525" s="129">
        <v>6.1016002</v>
      </c>
      <c r="H1525" s="129">
        <v>12.203200400000004</v>
      </c>
      <c r="I1525" s="131" t="s">
        <v>87</v>
      </c>
      <c r="J1525" s="132" t="s">
        <v>102</v>
      </c>
      <c r="K1525" s="130" t="s">
        <v>1678</v>
      </c>
      <c r="L1525" s="129" t="str">
        <f t="shared" si="23"/>
        <v>005-00000201</v>
      </c>
    </row>
    <row r="1526" spans="1:12" hidden="1" x14ac:dyDescent="0.25">
      <c r="A1526" s="130" t="s">
        <v>2144</v>
      </c>
      <c r="B1526" s="130" t="s">
        <v>460</v>
      </c>
      <c r="C1526" s="132" t="s">
        <v>150</v>
      </c>
      <c r="D1526" s="129">
        <v>1</v>
      </c>
      <c r="E1526" s="129">
        <v>8.9364004000000001</v>
      </c>
      <c r="F1526" s="129">
        <v>8.9364004000000019</v>
      </c>
      <c r="G1526" s="129">
        <v>29.66</v>
      </c>
      <c r="H1526" s="129">
        <v>29.66</v>
      </c>
      <c r="I1526" s="131" t="s">
        <v>87</v>
      </c>
      <c r="J1526" s="132" t="s">
        <v>102</v>
      </c>
      <c r="K1526" s="130" t="s">
        <v>2095</v>
      </c>
      <c r="L1526" s="129" t="str">
        <f t="shared" si="23"/>
        <v>005-00000228</v>
      </c>
    </row>
    <row r="1527" spans="1:12" hidden="1" x14ac:dyDescent="0.25">
      <c r="A1527" s="130" t="s">
        <v>2149</v>
      </c>
      <c r="B1527" s="130" t="s">
        <v>2150</v>
      </c>
      <c r="C1527" s="132" t="s">
        <v>150</v>
      </c>
      <c r="D1527" s="129">
        <v>1</v>
      </c>
      <c r="E1527" s="129">
        <v>22.979799</v>
      </c>
      <c r="F1527" s="129">
        <v>22.979799</v>
      </c>
      <c r="G1527" s="129">
        <v>76.269997000000004</v>
      </c>
      <c r="H1527" s="129">
        <v>76.269997000000004</v>
      </c>
      <c r="I1527" s="131" t="s">
        <v>87</v>
      </c>
      <c r="J1527" s="132" t="s">
        <v>102</v>
      </c>
      <c r="K1527" s="130" t="s">
        <v>2095</v>
      </c>
      <c r="L1527" s="129" t="str">
        <f t="shared" si="23"/>
        <v>005-00000228</v>
      </c>
    </row>
    <row r="1528" spans="1:12" hidden="1" x14ac:dyDescent="0.25">
      <c r="A1528" s="130" t="s">
        <v>2151</v>
      </c>
      <c r="B1528" s="130" t="s">
        <v>2152</v>
      </c>
      <c r="C1528" s="132" t="s">
        <v>153</v>
      </c>
      <c r="D1528" s="129">
        <v>1</v>
      </c>
      <c r="E1528" s="129">
        <v>45.918800000000005</v>
      </c>
      <c r="F1528" s="129">
        <v>45.918800000000005</v>
      </c>
      <c r="G1528" s="129">
        <v>152.54239999999999</v>
      </c>
      <c r="H1528" s="129">
        <v>152.54239999999999</v>
      </c>
      <c r="I1528" s="131" t="s">
        <v>87</v>
      </c>
      <c r="J1528" s="132" t="s">
        <v>102</v>
      </c>
      <c r="K1528" s="99" t="s">
        <v>1558</v>
      </c>
      <c r="L1528" s="129" t="str">
        <f t="shared" si="23"/>
        <v>005-00000198</v>
      </c>
    </row>
    <row r="1529" spans="1:12" hidden="1" x14ac:dyDescent="0.25">
      <c r="A1529" s="130" t="s">
        <v>2153</v>
      </c>
      <c r="B1529" s="130" t="s">
        <v>2154</v>
      </c>
      <c r="C1529" s="132" t="s">
        <v>150</v>
      </c>
      <c r="D1529" s="129">
        <v>1</v>
      </c>
      <c r="E1529" s="129">
        <v>2.5510001</v>
      </c>
      <c r="F1529" s="129">
        <v>2.5510001</v>
      </c>
      <c r="G1529" s="129">
        <v>8.4745998</v>
      </c>
      <c r="H1529" s="129">
        <v>8.4745998</v>
      </c>
      <c r="I1529" s="131" t="s">
        <v>87</v>
      </c>
      <c r="J1529" s="132" t="s">
        <v>102</v>
      </c>
      <c r="K1529" s="130" t="s">
        <v>2124</v>
      </c>
      <c r="L1529" s="129" t="str">
        <f t="shared" si="23"/>
        <v>005-00000275</v>
      </c>
    </row>
    <row r="1530" spans="1:12" hidden="1" x14ac:dyDescent="0.25">
      <c r="A1530" s="130" t="s">
        <v>2147</v>
      </c>
      <c r="B1530" s="130" t="s">
        <v>2148</v>
      </c>
      <c r="C1530" s="132" t="s">
        <v>150</v>
      </c>
      <c r="D1530" s="129">
        <v>1</v>
      </c>
      <c r="E1530" s="129">
        <v>3.8294999999999999</v>
      </c>
      <c r="F1530" s="129">
        <v>3.8294999999999999</v>
      </c>
      <c r="G1530" s="129">
        <v>12.71</v>
      </c>
      <c r="H1530" s="129">
        <v>12.71</v>
      </c>
      <c r="I1530" s="131" t="s">
        <v>87</v>
      </c>
      <c r="J1530" s="132" t="s">
        <v>102</v>
      </c>
      <c r="K1530" s="130" t="s">
        <v>1517</v>
      </c>
      <c r="L1530" s="129" t="str">
        <f t="shared" si="23"/>
        <v>005-00000178</v>
      </c>
    </row>
    <row r="1531" spans="1:12" hidden="1" x14ac:dyDescent="0.25">
      <c r="A1531" s="130" t="s">
        <v>2155</v>
      </c>
      <c r="B1531" s="130" t="s">
        <v>2156</v>
      </c>
      <c r="C1531" s="132" t="s">
        <v>150</v>
      </c>
      <c r="D1531" s="129">
        <v>1</v>
      </c>
      <c r="E1531" s="129">
        <v>7.6600999999999999</v>
      </c>
      <c r="F1531" s="129">
        <v>7.6601000000000008</v>
      </c>
      <c r="G1531" s="129">
        <v>25.4237</v>
      </c>
      <c r="H1531" s="129">
        <v>25.423700000000004</v>
      </c>
      <c r="I1531" s="131" t="s">
        <v>87</v>
      </c>
      <c r="J1531" s="132" t="s">
        <v>102</v>
      </c>
      <c r="K1531" s="130" t="s">
        <v>1517</v>
      </c>
      <c r="L1531" s="129" t="str">
        <f t="shared" si="23"/>
        <v>005-00000178</v>
      </c>
    </row>
    <row r="1532" spans="1:12" hidden="1" x14ac:dyDescent="0.25">
      <c r="A1532" s="130" t="s">
        <v>2157</v>
      </c>
      <c r="B1532" s="130" t="s">
        <v>2158</v>
      </c>
      <c r="C1532" s="132" t="s">
        <v>150</v>
      </c>
      <c r="D1532" s="129">
        <v>1</v>
      </c>
      <c r="E1532" s="129">
        <v>6.3834</v>
      </c>
      <c r="F1532" s="129">
        <v>6.3834</v>
      </c>
      <c r="G1532" s="129">
        <v>21.186399000000002</v>
      </c>
      <c r="H1532" s="129">
        <v>21.186399000000002</v>
      </c>
      <c r="I1532" s="131" t="s">
        <v>87</v>
      </c>
      <c r="J1532" s="132" t="s">
        <v>102</v>
      </c>
      <c r="K1532" s="130" t="s">
        <v>1517</v>
      </c>
      <c r="L1532" s="129" t="str">
        <f t="shared" si="23"/>
        <v>005-00000178</v>
      </c>
    </row>
    <row r="1533" spans="1:12" hidden="1" x14ac:dyDescent="0.25">
      <c r="A1533" s="130" t="s">
        <v>2139</v>
      </c>
      <c r="B1533" s="130" t="s">
        <v>2140</v>
      </c>
      <c r="C1533" s="132" t="s">
        <v>150</v>
      </c>
      <c r="D1533" s="129">
        <v>1</v>
      </c>
      <c r="E1533" s="129">
        <v>12.7668</v>
      </c>
      <c r="F1533" s="129">
        <v>12.7668</v>
      </c>
      <c r="G1533" s="129">
        <v>42.372897999999992</v>
      </c>
      <c r="H1533" s="129">
        <v>42.372897999999985</v>
      </c>
      <c r="I1533" s="131" t="s">
        <v>87</v>
      </c>
      <c r="J1533" s="132" t="s">
        <v>102</v>
      </c>
      <c r="K1533" s="130" t="s">
        <v>1517</v>
      </c>
      <c r="L1533" s="129" t="str">
        <f t="shared" si="23"/>
        <v>005-00000178</v>
      </c>
    </row>
    <row r="1534" spans="1:12" hidden="1" x14ac:dyDescent="0.25">
      <c r="A1534" s="130" t="s">
        <v>2137</v>
      </c>
      <c r="B1534" s="130" t="s">
        <v>2138</v>
      </c>
      <c r="C1534" s="132" t="s">
        <v>150</v>
      </c>
      <c r="D1534" s="129">
        <v>1</v>
      </c>
      <c r="E1534" s="129">
        <v>6.3834</v>
      </c>
      <c r="F1534" s="129">
        <v>6.3834</v>
      </c>
      <c r="G1534" s="129">
        <v>21.186399000000002</v>
      </c>
      <c r="H1534" s="129">
        <v>21.186399000000002</v>
      </c>
      <c r="I1534" s="131" t="s">
        <v>87</v>
      </c>
      <c r="J1534" s="132" t="s">
        <v>102</v>
      </c>
      <c r="K1534" s="130" t="s">
        <v>1517</v>
      </c>
      <c r="L1534" s="129" t="str">
        <f t="shared" si="23"/>
        <v>005-00000178</v>
      </c>
    </row>
    <row r="1535" spans="1:12" hidden="1" x14ac:dyDescent="0.25">
      <c r="A1535" s="130" t="s">
        <v>2145</v>
      </c>
      <c r="B1535" s="130" t="s">
        <v>2146</v>
      </c>
      <c r="C1535" s="132" t="s">
        <v>150</v>
      </c>
      <c r="D1535" s="129">
        <v>1</v>
      </c>
      <c r="E1535" s="129">
        <v>30.6402</v>
      </c>
      <c r="F1535" s="129">
        <v>30.6402</v>
      </c>
      <c r="G1535" s="129">
        <v>101.6949</v>
      </c>
      <c r="H1535" s="129">
        <v>101.69489999999998</v>
      </c>
      <c r="I1535" s="131" t="s">
        <v>87</v>
      </c>
      <c r="J1535" s="132" t="s">
        <v>102</v>
      </c>
      <c r="K1535" s="130" t="s">
        <v>1517</v>
      </c>
      <c r="L1535" s="129" t="str">
        <f t="shared" si="23"/>
        <v>005-00000178</v>
      </c>
    </row>
    <row r="1536" spans="1:12" hidden="1" x14ac:dyDescent="0.25">
      <c r="A1536" s="130" t="s">
        <v>2159</v>
      </c>
      <c r="B1536" s="130" t="s">
        <v>2160</v>
      </c>
      <c r="C1536" s="132" t="s">
        <v>150</v>
      </c>
      <c r="D1536" s="129">
        <v>1</v>
      </c>
      <c r="E1536" s="129">
        <v>30.6402</v>
      </c>
      <c r="F1536" s="129">
        <v>30.6402</v>
      </c>
      <c r="G1536" s="129">
        <v>101.6949</v>
      </c>
      <c r="H1536" s="129">
        <v>101.69489999999998</v>
      </c>
      <c r="I1536" s="131" t="s">
        <v>87</v>
      </c>
      <c r="J1536" s="132" t="s">
        <v>102</v>
      </c>
      <c r="K1536" s="130" t="s">
        <v>1517</v>
      </c>
      <c r="L1536" s="129" t="str">
        <f t="shared" si="23"/>
        <v>005-00000178</v>
      </c>
    </row>
    <row r="1537" spans="1:12" hidden="1" x14ac:dyDescent="0.25">
      <c r="A1537" s="130" t="s">
        <v>2144</v>
      </c>
      <c r="B1537" s="130" t="s">
        <v>460</v>
      </c>
      <c r="C1537" s="132" t="s">
        <v>150</v>
      </c>
      <c r="D1537" s="129">
        <v>1</v>
      </c>
      <c r="E1537" s="129">
        <v>8.9364004000000001</v>
      </c>
      <c r="F1537" s="129">
        <v>8.9364004000000019</v>
      </c>
      <c r="G1537" s="129">
        <v>29.66</v>
      </c>
      <c r="H1537" s="129">
        <v>29.66</v>
      </c>
      <c r="I1537" s="131" t="s">
        <v>87</v>
      </c>
      <c r="J1537" s="132" t="s">
        <v>102</v>
      </c>
      <c r="K1537" s="130" t="s">
        <v>1517</v>
      </c>
      <c r="L1537" s="129" t="str">
        <f t="shared" si="23"/>
        <v>005-00000178</v>
      </c>
    </row>
    <row r="1538" spans="1:12" hidden="1" x14ac:dyDescent="0.25">
      <c r="A1538" s="130" t="s">
        <v>2161</v>
      </c>
      <c r="B1538" s="130" t="s">
        <v>2162</v>
      </c>
      <c r="C1538" s="132" t="s">
        <v>150</v>
      </c>
      <c r="D1538" s="129">
        <v>1</v>
      </c>
      <c r="E1538" s="129">
        <v>11.491400000000001</v>
      </c>
      <c r="F1538" s="129">
        <v>11.491400000000001</v>
      </c>
      <c r="G1538" s="129">
        <v>38.139999000000003</v>
      </c>
      <c r="H1538" s="129">
        <v>38.139999000000003</v>
      </c>
      <c r="I1538" s="131" t="s">
        <v>87</v>
      </c>
      <c r="J1538" s="132" t="s">
        <v>102</v>
      </c>
      <c r="K1538" s="130" t="s">
        <v>1517</v>
      </c>
      <c r="L1538" s="129" t="str">
        <f t="shared" si="23"/>
        <v>005-00000178</v>
      </c>
    </row>
    <row r="1539" spans="1:12" hidden="1" x14ac:dyDescent="0.25">
      <c r="A1539" s="130" t="s">
        <v>2163</v>
      </c>
      <c r="B1539" s="130" t="s">
        <v>2164</v>
      </c>
      <c r="C1539" s="132" t="s">
        <v>150</v>
      </c>
      <c r="D1539" s="129">
        <v>1</v>
      </c>
      <c r="E1539" s="129">
        <v>26.873698999999998</v>
      </c>
      <c r="F1539" s="129">
        <v>26.873698999999998</v>
      </c>
      <c r="G1539" s="129">
        <v>90</v>
      </c>
      <c r="H1539" s="129">
        <v>90</v>
      </c>
      <c r="I1539" s="131" t="s">
        <v>87</v>
      </c>
      <c r="J1539" s="132" t="s">
        <v>102</v>
      </c>
      <c r="K1539" s="130" t="s">
        <v>2094</v>
      </c>
      <c r="L1539" s="129" t="str">
        <f t="shared" si="23"/>
        <v>005-00000233</v>
      </c>
    </row>
    <row r="1540" spans="1:12" hidden="1" x14ac:dyDescent="0.25">
      <c r="A1540" s="130" t="s">
        <v>2165</v>
      </c>
      <c r="B1540" s="130" t="s">
        <v>2166</v>
      </c>
      <c r="C1540" s="132" t="s">
        <v>153</v>
      </c>
      <c r="D1540" s="129">
        <v>2</v>
      </c>
      <c r="E1540" s="129">
        <v>10.450900000000001</v>
      </c>
      <c r="F1540" s="129">
        <v>20.901800000000001</v>
      </c>
      <c r="G1540" s="129">
        <v>35</v>
      </c>
      <c r="H1540" s="129">
        <v>70</v>
      </c>
      <c r="I1540" s="131" t="s">
        <v>87</v>
      </c>
      <c r="J1540" s="132" t="s">
        <v>102</v>
      </c>
      <c r="K1540" s="130" t="s">
        <v>2094</v>
      </c>
      <c r="L1540" s="129" t="str">
        <f t="shared" si="23"/>
        <v>005-00000233</v>
      </c>
    </row>
    <row r="1541" spans="1:12" hidden="1" x14ac:dyDescent="0.25">
      <c r="A1541" s="130" t="s">
        <v>2167</v>
      </c>
      <c r="B1541" s="130" t="s">
        <v>2168</v>
      </c>
      <c r="C1541" s="132" t="s">
        <v>150</v>
      </c>
      <c r="D1541" s="129">
        <v>1</v>
      </c>
      <c r="E1541" s="129">
        <v>56.733397999999994</v>
      </c>
      <c r="F1541" s="129">
        <v>56.733398000000008</v>
      </c>
      <c r="G1541" s="129">
        <v>190</v>
      </c>
      <c r="H1541" s="129">
        <v>190</v>
      </c>
      <c r="I1541" s="131" t="s">
        <v>87</v>
      </c>
      <c r="J1541" s="132" t="s">
        <v>102</v>
      </c>
      <c r="K1541" s="130" t="s">
        <v>2094</v>
      </c>
      <c r="L1541" s="129" t="str">
        <f t="shared" ref="L1541:L1604" si="24">CONCATENATE(J1541,"-",K1541)</f>
        <v>005-00000233</v>
      </c>
    </row>
    <row r="1542" spans="1:12" hidden="1" x14ac:dyDescent="0.25">
      <c r="A1542" s="130" t="s">
        <v>2169</v>
      </c>
      <c r="B1542" s="130" t="s">
        <v>2170</v>
      </c>
      <c r="C1542" s="132" t="s">
        <v>150</v>
      </c>
      <c r="D1542" s="129">
        <v>1</v>
      </c>
      <c r="E1542" s="129">
        <v>44.789501000000001</v>
      </c>
      <c r="F1542" s="129">
        <v>44.789501000000008</v>
      </c>
      <c r="G1542" s="129">
        <v>150</v>
      </c>
      <c r="H1542" s="129">
        <v>150</v>
      </c>
      <c r="I1542" s="131" t="s">
        <v>87</v>
      </c>
      <c r="J1542" s="132" t="s">
        <v>102</v>
      </c>
      <c r="K1542" s="130" t="s">
        <v>2094</v>
      </c>
      <c r="L1542" s="129" t="str">
        <f t="shared" si="24"/>
        <v>005-00000233</v>
      </c>
    </row>
    <row r="1543" spans="1:12" hidden="1" x14ac:dyDescent="0.25">
      <c r="A1543" s="130" t="s">
        <v>2171</v>
      </c>
      <c r="B1543" s="130" t="s">
        <v>2172</v>
      </c>
      <c r="C1543" s="132" t="s">
        <v>150</v>
      </c>
      <c r="D1543" s="129">
        <v>1</v>
      </c>
      <c r="E1543" s="129">
        <v>44.789501000000001</v>
      </c>
      <c r="F1543" s="129">
        <v>44.789501000000008</v>
      </c>
      <c r="G1543" s="129">
        <v>150</v>
      </c>
      <c r="H1543" s="129">
        <v>150</v>
      </c>
      <c r="I1543" s="131" t="s">
        <v>87</v>
      </c>
      <c r="J1543" s="132" t="s">
        <v>102</v>
      </c>
      <c r="K1543" s="130" t="s">
        <v>2094</v>
      </c>
      <c r="L1543" s="129" t="str">
        <f t="shared" si="24"/>
        <v>005-00000233</v>
      </c>
    </row>
    <row r="1544" spans="1:12" hidden="1" x14ac:dyDescent="0.25">
      <c r="A1544" s="130" t="s">
        <v>2173</v>
      </c>
      <c r="B1544" s="130" t="s">
        <v>2174</v>
      </c>
      <c r="C1544" s="132" t="s">
        <v>150</v>
      </c>
      <c r="D1544" s="129">
        <v>1</v>
      </c>
      <c r="E1544" s="129">
        <v>73.383904000000001</v>
      </c>
      <c r="F1544" s="129">
        <v>73.383904000000001</v>
      </c>
      <c r="G1544" s="129">
        <v>245.7627</v>
      </c>
      <c r="H1544" s="129">
        <v>245.7627</v>
      </c>
      <c r="I1544" s="131" t="s">
        <v>87</v>
      </c>
      <c r="J1544" s="132" t="s">
        <v>102</v>
      </c>
      <c r="K1544" s="130" t="s">
        <v>2094</v>
      </c>
      <c r="L1544" s="129" t="str">
        <f t="shared" si="24"/>
        <v>005-00000233</v>
      </c>
    </row>
    <row r="1545" spans="1:12" hidden="1" x14ac:dyDescent="0.25">
      <c r="A1545" s="130" t="s">
        <v>2175</v>
      </c>
      <c r="B1545" s="130" t="s">
        <v>2176</v>
      </c>
      <c r="C1545" s="132" t="s">
        <v>153</v>
      </c>
      <c r="D1545" s="129">
        <v>2</v>
      </c>
      <c r="E1545" s="129">
        <v>10.450900000000001</v>
      </c>
      <c r="F1545" s="129">
        <v>20.901800000000001</v>
      </c>
      <c r="G1545" s="129">
        <v>35</v>
      </c>
      <c r="H1545" s="129">
        <v>70</v>
      </c>
      <c r="I1545" s="131" t="s">
        <v>87</v>
      </c>
      <c r="J1545" s="132" t="s">
        <v>102</v>
      </c>
      <c r="K1545" s="130" t="s">
        <v>2094</v>
      </c>
      <c r="L1545" s="129" t="str">
        <f t="shared" si="24"/>
        <v>005-00000233</v>
      </c>
    </row>
    <row r="1546" spans="1:12" hidden="1" x14ac:dyDescent="0.25">
      <c r="A1546" s="130" t="s">
        <v>2177</v>
      </c>
      <c r="B1546" s="130" t="s">
        <v>2178</v>
      </c>
      <c r="C1546" s="132" t="s">
        <v>150</v>
      </c>
      <c r="D1546" s="129">
        <v>1</v>
      </c>
      <c r="E1546" s="129">
        <v>11.943899999999999</v>
      </c>
      <c r="F1546" s="129">
        <v>11.943900000000001</v>
      </c>
      <c r="G1546" s="129">
        <v>40</v>
      </c>
      <c r="H1546" s="129">
        <v>40</v>
      </c>
      <c r="I1546" s="131" t="s">
        <v>87</v>
      </c>
      <c r="J1546" s="132" t="s">
        <v>102</v>
      </c>
      <c r="K1546" s="130" t="s">
        <v>2095</v>
      </c>
      <c r="L1546" s="129" t="str">
        <f t="shared" si="24"/>
        <v>005-00000228</v>
      </c>
    </row>
    <row r="1547" spans="1:12" hidden="1" x14ac:dyDescent="0.25">
      <c r="A1547" s="130" t="s">
        <v>2165</v>
      </c>
      <c r="B1547" s="130" t="s">
        <v>2166</v>
      </c>
      <c r="C1547" s="132" t="s">
        <v>153</v>
      </c>
      <c r="D1547" s="129">
        <v>2</v>
      </c>
      <c r="E1547" s="129">
        <v>10.450900000000001</v>
      </c>
      <c r="F1547" s="129">
        <v>20.901800000000001</v>
      </c>
      <c r="G1547" s="129">
        <v>35</v>
      </c>
      <c r="H1547" s="129">
        <v>70</v>
      </c>
      <c r="I1547" s="131" t="s">
        <v>87</v>
      </c>
      <c r="J1547" s="132" t="s">
        <v>102</v>
      </c>
      <c r="K1547" s="130" t="s">
        <v>2095</v>
      </c>
      <c r="L1547" s="129" t="str">
        <f t="shared" si="24"/>
        <v>005-00000228</v>
      </c>
    </row>
    <row r="1548" spans="1:12" hidden="1" x14ac:dyDescent="0.25">
      <c r="A1548" s="130" t="s">
        <v>2179</v>
      </c>
      <c r="B1548" s="130" t="s">
        <v>2180</v>
      </c>
      <c r="C1548" s="132" t="s">
        <v>150</v>
      </c>
      <c r="D1548" s="129">
        <v>1</v>
      </c>
      <c r="E1548" s="129">
        <v>69.588202999999993</v>
      </c>
      <c r="F1548" s="129">
        <v>69.588202999999993</v>
      </c>
      <c r="G1548" s="129">
        <v>233.05080000000001</v>
      </c>
      <c r="H1548" s="129">
        <v>233.05080000000001</v>
      </c>
      <c r="I1548" s="131" t="s">
        <v>87</v>
      </c>
      <c r="J1548" s="132" t="s">
        <v>102</v>
      </c>
      <c r="K1548" s="130" t="s">
        <v>2095</v>
      </c>
      <c r="L1548" s="129" t="str">
        <f t="shared" si="24"/>
        <v>005-00000228</v>
      </c>
    </row>
    <row r="1549" spans="1:12" hidden="1" x14ac:dyDescent="0.25">
      <c r="A1549" s="130" t="s">
        <v>2181</v>
      </c>
      <c r="B1549" s="130" t="s">
        <v>2182</v>
      </c>
      <c r="C1549" s="132" t="s">
        <v>150</v>
      </c>
      <c r="D1549" s="129">
        <v>1</v>
      </c>
      <c r="E1549" s="129">
        <v>44.789501000000001</v>
      </c>
      <c r="F1549" s="129">
        <v>44.789501000000008</v>
      </c>
      <c r="G1549" s="129">
        <v>150</v>
      </c>
      <c r="H1549" s="129">
        <v>150</v>
      </c>
      <c r="I1549" s="131" t="s">
        <v>87</v>
      </c>
      <c r="J1549" s="132" t="s">
        <v>102</v>
      </c>
      <c r="K1549" s="130" t="s">
        <v>2095</v>
      </c>
      <c r="L1549" s="129" t="str">
        <f t="shared" si="24"/>
        <v>005-00000228</v>
      </c>
    </row>
    <row r="1550" spans="1:12" hidden="1" x14ac:dyDescent="0.25">
      <c r="A1550" s="130" t="s">
        <v>2169</v>
      </c>
      <c r="B1550" s="130" t="s">
        <v>2170</v>
      </c>
      <c r="C1550" s="132" t="s">
        <v>150</v>
      </c>
      <c r="D1550" s="129">
        <v>1</v>
      </c>
      <c r="E1550" s="129">
        <v>44.789501000000001</v>
      </c>
      <c r="F1550" s="129">
        <v>44.789501000000008</v>
      </c>
      <c r="G1550" s="129">
        <v>150</v>
      </c>
      <c r="H1550" s="129">
        <v>150</v>
      </c>
      <c r="I1550" s="131" t="s">
        <v>87</v>
      </c>
      <c r="J1550" s="132" t="s">
        <v>102</v>
      </c>
      <c r="K1550" s="130" t="s">
        <v>2095</v>
      </c>
      <c r="L1550" s="129" t="str">
        <f t="shared" si="24"/>
        <v>005-00000228</v>
      </c>
    </row>
    <row r="1551" spans="1:12" hidden="1" x14ac:dyDescent="0.25">
      <c r="A1551" s="130" t="s">
        <v>2183</v>
      </c>
      <c r="B1551" s="130" t="s">
        <v>2184</v>
      </c>
      <c r="C1551" s="132" t="s">
        <v>150</v>
      </c>
      <c r="D1551" s="129">
        <v>1</v>
      </c>
      <c r="E1551" s="129">
        <v>20.243798999999999</v>
      </c>
      <c r="F1551" s="129">
        <v>20.243798999999999</v>
      </c>
      <c r="G1551" s="129">
        <v>67.796599999999998</v>
      </c>
      <c r="H1551" s="129">
        <v>67.796599999999998</v>
      </c>
      <c r="I1551" s="131" t="s">
        <v>87</v>
      </c>
      <c r="J1551" s="132" t="s">
        <v>102</v>
      </c>
      <c r="K1551" s="130" t="s">
        <v>2095</v>
      </c>
      <c r="L1551" s="129" t="str">
        <f t="shared" si="24"/>
        <v>005-00000228</v>
      </c>
    </row>
    <row r="1552" spans="1:12" hidden="1" x14ac:dyDescent="0.25">
      <c r="A1552" s="130" t="s">
        <v>2100</v>
      </c>
      <c r="B1552" s="130" t="s">
        <v>2101</v>
      </c>
      <c r="C1552" s="132" t="s">
        <v>88</v>
      </c>
      <c r="D1552" s="129">
        <v>0.5</v>
      </c>
      <c r="E1552" s="129">
        <v>56.173499999999997</v>
      </c>
      <c r="F1552" s="129">
        <v>28.086749999999991</v>
      </c>
      <c r="G1552" s="129">
        <v>186.44</v>
      </c>
      <c r="H1552" s="129">
        <v>93.22</v>
      </c>
      <c r="I1552" s="131" t="s">
        <v>87</v>
      </c>
      <c r="J1552" s="132" t="s">
        <v>102</v>
      </c>
      <c r="K1552" s="130" t="s">
        <v>2127</v>
      </c>
      <c r="L1552" s="129" t="str">
        <f t="shared" si="24"/>
        <v>005-00000273</v>
      </c>
    </row>
    <row r="1553" spans="1:12" hidden="1" x14ac:dyDescent="0.25">
      <c r="A1553" s="130" t="s">
        <v>2141</v>
      </c>
      <c r="B1553" s="130" t="s">
        <v>2142</v>
      </c>
      <c r="C1553" s="132" t="s">
        <v>150</v>
      </c>
      <c r="D1553" s="129">
        <v>1</v>
      </c>
      <c r="E1553" s="129">
        <v>7.6588998000000004</v>
      </c>
      <c r="F1553" s="129">
        <v>7.6588997999999995</v>
      </c>
      <c r="G1553" s="129">
        <v>25.42</v>
      </c>
      <c r="H1553" s="129">
        <v>25.42</v>
      </c>
      <c r="I1553" s="131" t="s">
        <v>87</v>
      </c>
      <c r="J1553" s="132" t="s">
        <v>102</v>
      </c>
      <c r="K1553" s="130" t="s">
        <v>2185</v>
      </c>
      <c r="L1553" s="129" t="str">
        <f t="shared" si="24"/>
        <v>005-00000288</v>
      </c>
    </row>
    <row r="1554" spans="1:12" hidden="1" x14ac:dyDescent="0.25">
      <c r="A1554" s="130" t="s">
        <v>583</v>
      </c>
      <c r="B1554" s="130" t="s">
        <v>584</v>
      </c>
      <c r="C1554" s="132" t="s">
        <v>88</v>
      </c>
      <c r="D1554" s="129">
        <v>2</v>
      </c>
      <c r="E1554" s="129">
        <v>20.3444</v>
      </c>
      <c r="F1554" s="129">
        <v>40.688800000000008</v>
      </c>
      <c r="G1554" s="129">
        <v>68.438598999999996</v>
      </c>
      <c r="H1554" s="129">
        <v>136.87719799999999</v>
      </c>
      <c r="I1554" s="131" t="s">
        <v>87</v>
      </c>
      <c r="J1554" s="132" t="s">
        <v>102</v>
      </c>
      <c r="K1554" s="130" t="s">
        <v>2185</v>
      </c>
      <c r="L1554" s="129" t="str">
        <f t="shared" si="24"/>
        <v>005-00000288</v>
      </c>
    </row>
    <row r="1555" spans="1:12" hidden="1" x14ac:dyDescent="0.25">
      <c r="A1555" s="130" t="s">
        <v>2186</v>
      </c>
      <c r="B1555" s="130" t="s">
        <v>2187</v>
      </c>
      <c r="C1555" s="132" t="s">
        <v>150</v>
      </c>
      <c r="D1555" s="129">
        <v>4</v>
      </c>
      <c r="E1555" s="129">
        <v>31.916900999999999</v>
      </c>
      <c r="F1555" s="129">
        <v>127.667604</v>
      </c>
      <c r="G1555" s="129">
        <v>105.93219999999999</v>
      </c>
      <c r="H1555" s="129">
        <v>423.72879999999998</v>
      </c>
      <c r="I1555" s="131" t="s">
        <v>87</v>
      </c>
      <c r="J1555" s="132" t="s">
        <v>102</v>
      </c>
      <c r="K1555" s="130" t="s">
        <v>2095</v>
      </c>
      <c r="L1555" s="129" t="str">
        <f t="shared" si="24"/>
        <v>005-00000228</v>
      </c>
    </row>
    <row r="1556" spans="1:12" hidden="1" x14ac:dyDescent="0.25">
      <c r="A1556" s="130" t="s">
        <v>2188</v>
      </c>
      <c r="B1556" s="130" t="s">
        <v>2189</v>
      </c>
      <c r="C1556" s="132" t="s">
        <v>150</v>
      </c>
      <c r="D1556" s="129">
        <v>2</v>
      </c>
      <c r="E1556" s="129">
        <v>33.193600000000004</v>
      </c>
      <c r="F1556" s="129">
        <v>66.387200000000007</v>
      </c>
      <c r="G1556" s="129">
        <v>110.16950000000001</v>
      </c>
      <c r="H1556" s="129">
        <v>220.33900000000006</v>
      </c>
      <c r="I1556" s="131" t="s">
        <v>87</v>
      </c>
      <c r="J1556" s="132" t="s">
        <v>102</v>
      </c>
      <c r="K1556" s="130" t="s">
        <v>2094</v>
      </c>
      <c r="L1556" s="129" t="str">
        <f t="shared" si="24"/>
        <v>005-00000233</v>
      </c>
    </row>
    <row r="1557" spans="1:12" hidden="1" x14ac:dyDescent="0.25">
      <c r="A1557" s="130" t="s">
        <v>2190</v>
      </c>
      <c r="B1557" s="130" t="s">
        <v>2191</v>
      </c>
      <c r="C1557" s="132" t="s">
        <v>150</v>
      </c>
      <c r="D1557" s="129">
        <v>1</v>
      </c>
      <c r="E1557" s="129">
        <v>12.7668</v>
      </c>
      <c r="F1557" s="129">
        <v>12.7668</v>
      </c>
      <c r="G1557" s="129">
        <v>42.372897999999992</v>
      </c>
      <c r="H1557" s="129">
        <v>42.372897999999985</v>
      </c>
      <c r="I1557" s="131" t="s">
        <v>87</v>
      </c>
      <c r="J1557" s="132" t="s">
        <v>102</v>
      </c>
      <c r="K1557" s="130" t="s">
        <v>2094</v>
      </c>
      <c r="L1557" s="129" t="str">
        <f t="shared" si="24"/>
        <v>005-00000233</v>
      </c>
    </row>
    <row r="1558" spans="1:12" hidden="1" x14ac:dyDescent="0.25">
      <c r="A1558" s="130" t="s">
        <v>2192</v>
      </c>
      <c r="B1558" s="130" t="s">
        <v>2193</v>
      </c>
      <c r="C1558" s="132" t="s">
        <v>150</v>
      </c>
      <c r="D1558" s="129">
        <v>4</v>
      </c>
      <c r="E1558" s="129">
        <v>33.193600000000004</v>
      </c>
      <c r="F1558" s="129">
        <v>132.77440000000001</v>
      </c>
      <c r="G1558" s="129">
        <v>110.16950000000001</v>
      </c>
      <c r="H1558" s="129">
        <v>440.67800000000011</v>
      </c>
      <c r="I1558" s="131" t="s">
        <v>87</v>
      </c>
      <c r="J1558" s="132" t="s">
        <v>102</v>
      </c>
      <c r="K1558" s="130" t="s">
        <v>1678</v>
      </c>
      <c r="L1558" s="129" t="str">
        <f t="shared" si="24"/>
        <v>005-00000201</v>
      </c>
    </row>
    <row r="1559" spans="1:12" hidden="1" x14ac:dyDescent="0.25">
      <c r="A1559" s="130" t="s">
        <v>2190</v>
      </c>
      <c r="B1559" s="130" t="s">
        <v>2191</v>
      </c>
      <c r="C1559" s="132" t="s">
        <v>150</v>
      </c>
      <c r="D1559" s="129">
        <v>4</v>
      </c>
      <c r="E1559" s="129">
        <v>12.7668</v>
      </c>
      <c r="F1559" s="129">
        <v>51.0672</v>
      </c>
      <c r="G1559" s="129">
        <v>42.372897999999992</v>
      </c>
      <c r="H1559" s="129">
        <v>169.49159199999994</v>
      </c>
      <c r="I1559" s="131" t="s">
        <v>87</v>
      </c>
      <c r="J1559" s="132" t="s">
        <v>102</v>
      </c>
      <c r="K1559" s="130" t="s">
        <v>1678</v>
      </c>
      <c r="L1559" s="129" t="str">
        <f t="shared" si="24"/>
        <v>005-00000201</v>
      </c>
    </row>
    <row r="1560" spans="1:12" hidden="1" x14ac:dyDescent="0.25">
      <c r="A1560" s="130" t="s">
        <v>342</v>
      </c>
      <c r="B1560" s="130" t="s">
        <v>343</v>
      </c>
      <c r="C1560" s="132" t="s">
        <v>150</v>
      </c>
      <c r="D1560" s="129">
        <v>4</v>
      </c>
      <c r="E1560" s="129">
        <v>0.18979999</v>
      </c>
      <c r="F1560" s="129">
        <v>0.75919996000000012</v>
      </c>
      <c r="G1560" s="129">
        <v>0.63559997000000001</v>
      </c>
      <c r="H1560" s="129">
        <v>2.5423998800000001</v>
      </c>
      <c r="I1560" s="131" t="s">
        <v>87</v>
      </c>
      <c r="J1560" s="132" t="s">
        <v>102</v>
      </c>
      <c r="K1560" s="130" t="s">
        <v>1678</v>
      </c>
      <c r="L1560" s="129" t="str">
        <f t="shared" si="24"/>
        <v>005-00000201</v>
      </c>
    </row>
    <row r="1561" spans="1:12" hidden="1" x14ac:dyDescent="0.25">
      <c r="A1561" s="130" t="s">
        <v>1638</v>
      </c>
      <c r="B1561" s="130" t="s">
        <v>1639</v>
      </c>
      <c r="C1561" s="132" t="s">
        <v>150</v>
      </c>
      <c r="D1561" s="129">
        <v>2</v>
      </c>
      <c r="E1561" s="129">
        <v>0.59939998000000005</v>
      </c>
      <c r="F1561" s="129">
        <v>1.1987999600000001</v>
      </c>
      <c r="G1561" s="129">
        <v>2.0339</v>
      </c>
      <c r="H1561" s="129">
        <v>4.0678000000000001</v>
      </c>
      <c r="I1561" s="131" t="s">
        <v>87</v>
      </c>
      <c r="J1561" s="132" t="s">
        <v>102</v>
      </c>
      <c r="K1561" s="130" t="s">
        <v>1678</v>
      </c>
      <c r="L1561" s="129" t="str">
        <f t="shared" si="24"/>
        <v>005-00000201</v>
      </c>
    </row>
    <row r="1562" spans="1:12" hidden="1" x14ac:dyDescent="0.25">
      <c r="A1562" s="130" t="s">
        <v>309</v>
      </c>
      <c r="B1562" s="130" t="s">
        <v>310</v>
      </c>
      <c r="C1562" s="132" t="s">
        <v>150</v>
      </c>
      <c r="D1562" s="129">
        <v>2</v>
      </c>
      <c r="E1562" s="129">
        <v>1.4987000000000001</v>
      </c>
      <c r="F1562" s="129">
        <v>2.9974000000000003</v>
      </c>
      <c r="G1562" s="129">
        <v>5.085</v>
      </c>
      <c r="H1562" s="129">
        <v>10.17</v>
      </c>
      <c r="I1562" s="131" t="s">
        <v>87</v>
      </c>
      <c r="J1562" s="132" t="s">
        <v>102</v>
      </c>
      <c r="K1562" s="130" t="s">
        <v>1678</v>
      </c>
      <c r="L1562" s="129" t="str">
        <f t="shared" si="24"/>
        <v>005-00000201</v>
      </c>
    </row>
    <row r="1563" spans="1:12" hidden="1" x14ac:dyDescent="0.25">
      <c r="A1563" s="130" t="s">
        <v>2194</v>
      </c>
      <c r="B1563" s="130" t="s">
        <v>2195</v>
      </c>
      <c r="C1563" s="132" t="s">
        <v>150</v>
      </c>
      <c r="D1563" s="129">
        <v>4</v>
      </c>
      <c r="E1563" s="129">
        <v>30.6402</v>
      </c>
      <c r="F1563" s="129">
        <v>122.5608</v>
      </c>
      <c r="G1563" s="129">
        <v>101.6949</v>
      </c>
      <c r="H1563" s="129">
        <v>406.7795999999999</v>
      </c>
      <c r="I1563" s="131" t="s">
        <v>87</v>
      </c>
      <c r="J1563" s="132" t="s">
        <v>102</v>
      </c>
      <c r="K1563" s="130" t="s">
        <v>1680</v>
      </c>
      <c r="L1563" s="129" t="str">
        <f t="shared" si="24"/>
        <v>005-00000202</v>
      </c>
    </row>
    <row r="1564" spans="1:12" hidden="1" x14ac:dyDescent="0.25">
      <c r="A1564" s="130" t="s">
        <v>2190</v>
      </c>
      <c r="B1564" s="130" t="s">
        <v>2191</v>
      </c>
      <c r="C1564" s="132" t="s">
        <v>150</v>
      </c>
      <c r="D1564" s="129">
        <v>1</v>
      </c>
      <c r="E1564" s="129">
        <v>12.7668</v>
      </c>
      <c r="F1564" s="129">
        <v>12.7668</v>
      </c>
      <c r="G1564" s="129">
        <v>42.372897999999992</v>
      </c>
      <c r="H1564" s="129">
        <v>42.372897999999985</v>
      </c>
      <c r="I1564" s="131" t="s">
        <v>87</v>
      </c>
      <c r="J1564" s="132" t="s">
        <v>102</v>
      </c>
      <c r="K1564" s="130" t="s">
        <v>1680</v>
      </c>
      <c r="L1564" s="129" t="str">
        <f t="shared" si="24"/>
        <v>005-00000202</v>
      </c>
    </row>
    <row r="1565" spans="1:12" hidden="1" x14ac:dyDescent="0.25">
      <c r="A1565" s="130" t="s">
        <v>2192</v>
      </c>
      <c r="B1565" s="130" t="s">
        <v>2193</v>
      </c>
      <c r="C1565" s="132" t="s">
        <v>150</v>
      </c>
      <c r="D1565" s="129">
        <v>4</v>
      </c>
      <c r="E1565" s="129">
        <v>33.193600000000004</v>
      </c>
      <c r="F1565" s="129">
        <v>132.77440000000001</v>
      </c>
      <c r="G1565" s="129">
        <v>110.16950000000001</v>
      </c>
      <c r="H1565" s="129">
        <v>440.67800000000011</v>
      </c>
      <c r="I1565" s="131" t="s">
        <v>87</v>
      </c>
      <c r="J1565" s="132" t="s">
        <v>102</v>
      </c>
      <c r="K1565" s="130" t="s">
        <v>1679</v>
      </c>
      <c r="L1565" s="129" t="str">
        <f t="shared" si="24"/>
        <v>005-00000203</v>
      </c>
    </row>
    <row r="1566" spans="1:12" hidden="1" x14ac:dyDescent="0.25">
      <c r="A1566" s="130" t="s">
        <v>2190</v>
      </c>
      <c r="B1566" s="130" t="s">
        <v>2191</v>
      </c>
      <c r="C1566" s="132" t="s">
        <v>150</v>
      </c>
      <c r="D1566" s="129">
        <v>1</v>
      </c>
      <c r="E1566" s="129">
        <v>12.7668</v>
      </c>
      <c r="F1566" s="129">
        <v>12.7668</v>
      </c>
      <c r="G1566" s="129">
        <v>42.372897999999992</v>
      </c>
      <c r="H1566" s="129">
        <v>42.372897999999985</v>
      </c>
      <c r="I1566" s="131" t="s">
        <v>87</v>
      </c>
      <c r="J1566" s="132" t="s">
        <v>102</v>
      </c>
      <c r="K1566" s="130" t="s">
        <v>1679</v>
      </c>
      <c r="L1566" s="129" t="str">
        <f t="shared" si="24"/>
        <v>005-00000203</v>
      </c>
    </row>
    <row r="1567" spans="1:12" hidden="1" x14ac:dyDescent="0.25">
      <c r="A1567" s="130" t="s">
        <v>2186</v>
      </c>
      <c r="B1567" s="130" t="s">
        <v>2187</v>
      </c>
      <c r="C1567" s="132" t="s">
        <v>150</v>
      </c>
      <c r="D1567" s="129">
        <v>5</v>
      </c>
      <c r="E1567" s="129">
        <v>31.916900999999999</v>
      </c>
      <c r="F1567" s="129">
        <v>159.58450499999998</v>
      </c>
      <c r="G1567" s="129">
        <v>105.93219999999999</v>
      </c>
      <c r="H1567" s="129">
        <v>529.66099999999994</v>
      </c>
      <c r="I1567" s="131" t="s">
        <v>87</v>
      </c>
      <c r="J1567" s="132" t="s">
        <v>102</v>
      </c>
      <c r="K1567" s="130" t="s">
        <v>2091</v>
      </c>
      <c r="L1567" s="129" t="str">
        <f t="shared" si="24"/>
        <v>005-00000216</v>
      </c>
    </row>
    <row r="1568" spans="1:12" hidden="1" x14ac:dyDescent="0.25">
      <c r="A1568" s="130" t="s">
        <v>2190</v>
      </c>
      <c r="B1568" s="130" t="s">
        <v>2191</v>
      </c>
      <c r="C1568" s="132" t="s">
        <v>150</v>
      </c>
      <c r="D1568" s="129">
        <v>1</v>
      </c>
      <c r="E1568" s="129">
        <v>12.7668</v>
      </c>
      <c r="F1568" s="129">
        <v>12.7668</v>
      </c>
      <c r="G1568" s="129">
        <v>42.372897999999992</v>
      </c>
      <c r="H1568" s="129">
        <v>42.372897999999985</v>
      </c>
      <c r="I1568" s="131" t="s">
        <v>87</v>
      </c>
      <c r="J1568" s="132" t="s">
        <v>102</v>
      </c>
      <c r="K1568" s="130" t="s">
        <v>2091</v>
      </c>
      <c r="L1568" s="129" t="str">
        <f t="shared" si="24"/>
        <v>005-00000216</v>
      </c>
    </row>
    <row r="1569" spans="1:12" hidden="1" x14ac:dyDescent="0.25">
      <c r="A1569" s="130" t="s">
        <v>2196</v>
      </c>
      <c r="B1569" s="130" t="s">
        <v>2197</v>
      </c>
      <c r="C1569" s="132" t="s">
        <v>150</v>
      </c>
      <c r="D1569" s="129">
        <v>1</v>
      </c>
      <c r="E1569" s="129">
        <v>30.552799</v>
      </c>
      <c r="F1569" s="129">
        <v>30.552798999999997</v>
      </c>
      <c r="G1569" s="129">
        <v>101.98539999999998</v>
      </c>
      <c r="H1569" s="129">
        <v>101.98539999999998</v>
      </c>
      <c r="I1569" s="131" t="s">
        <v>87</v>
      </c>
      <c r="J1569" s="132" t="s">
        <v>102</v>
      </c>
      <c r="K1569" s="130" t="s">
        <v>2198</v>
      </c>
      <c r="L1569" s="129" t="str">
        <f t="shared" si="24"/>
        <v>005-00000278</v>
      </c>
    </row>
    <row r="1570" spans="1:12" hidden="1" x14ac:dyDescent="0.25">
      <c r="A1570" s="130" t="s">
        <v>2199</v>
      </c>
      <c r="B1570" s="130" t="s">
        <v>255</v>
      </c>
      <c r="C1570" s="132" t="s">
        <v>150</v>
      </c>
      <c r="D1570" s="129">
        <v>1</v>
      </c>
      <c r="E1570" s="129">
        <v>114.24679999999998</v>
      </c>
      <c r="F1570" s="129">
        <v>114.24679999999998</v>
      </c>
      <c r="G1570" s="129">
        <v>381.35590000000002</v>
      </c>
      <c r="H1570" s="129">
        <v>381.35589999999996</v>
      </c>
      <c r="I1570" s="131" t="s">
        <v>87</v>
      </c>
      <c r="J1570" s="132" t="s">
        <v>102</v>
      </c>
      <c r="K1570" s="130" t="s">
        <v>2198</v>
      </c>
      <c r="L1570" s="129" t="str">
        <f t="shared" si="24"/>
        <v>005-00000278</v>
      </c>
    </row>
    <row r="1571" spans="1:12" hidden="1" x14ac:dyDescent="0.25">
      <c r="A1571" s="130" t="s">
        <v>2200</v>
      </c>
      <c r="B1571" s="130" t="s">
        <v>2201</v>
      </c>
      <c r="C1571" s="132" t="s">
        <v>150</v>
      </c>
      <c r="D1571" s="129">
        <v>2</v>
      </c>
      <c r="E1571" s="129">
        <v>17.771699999999999</v>
      </c>
      <c r="F1571" s="129">
        <v>35.543399999999998</v>
      </c>
      <c r="G1571" s="129">
        <v>59.321998999999998</v>
      </c>
      <c r="H1571" s="129">
        <v>118.643998</v>
      </c>
      <c r="I1571" s="131" t="s">
        <v>87</v>
      </c>
      <c r="J1571" s="132" t="s">
        <v>102</v>
      </c>
      <c r="K1571" s="130" t="s">
        <v>2198</v>
      </c>
      <c r="L1571" s="129" t="str">
        <f t="shared" si="24"/>
        <v>005-00000278</v>
      </c>
    </row>
    <row r="1572" spans="1:12" hidden="1" x14ac:dyDescent="0.25">
      <c r="A1572" s="130" t="s">
        <v>2202</v>
      </c>
      <c r="B1572" s="130" t="s">
        <v>2203</v>
      </c>
      <c r="C1572" s="132" t="s">
        <v>150</v>
      </c>
      <c r="D1572" s="129">
        <v>2</v>
      </c>
      <c r="E1572" s="129">
        <v>15.3194</v>
      </c>
      <c r="F1572" s="129">
        <v>30.638800000000007</v>
      </c>
      <c r="G1572" s="129">
        <v>50.845001000000003</v>
      </c>
      <c r="H1572" s="129">
        <v>101.69000200000001</v>
      </c>
      <c r="I1572" s="131" t="s">
        <v>87</v>
      </c>
      <c r="J1572" s="132" t="s">
        <v>102</v>
      </c>
      <c r="K1572" s="130" t="s">
        <v>2095</v>
      </c>
      <c r="L1572" s="129" t="str">
        <f t="shared" si="24"/>
        <v>005-00000228</v>
      </c>
    </row>
    <row r="1573" spans="1:12" hidden="1" x14ac:dyDescent="0.25">
      <c r="A1573" s="130" t="s">
        <v>2204</v>
      </c>
      <c r="B1573" s="130" t="s">
        <v>2205</v>
      </c>
      <c r="C1573" s="132" t="s">
        <v>150</v>
      </c>
      <c r="D1573" s="129">
        <v>1</v>
      </c>
      <c r="E1573" s="129">
        <v>12.7668</v>
      </c>
      <c r="F1573" s="129">
        <v>12.7668</v>
      </c>
      <c r="G1573" s="129">
        <v>42.372897999999992</v>
      </c>
      <c r="H1573" s="129">
        <v>42.372897999999985</v>
      </c>
      <c r="I1573" s="131" t="s">
        <v>87</v>
      </c>
      <c r="J1573" s="132" t="s">
        <v>102</v>
      </c>
      <c r="K1573" s="130" t="s">
        <v>2124</v>
      </c>
      <c r="L1573" s="129" t="str">
        <f t="shared" si="24"/>
        <v>005-00000275</v>
      </c>
    </row>
    <row r="1574" spans="1:12" hidden="1" x14ac:dyDescent="0.25">
      <c r="A1574" s="130" t="s">
        <v>2206</v>
      </c>
      <c r="B1574" s="130" t="s">
        <v>2207</v>
      </c>
      <c r="C1574" s="132" t="s">
        <v>150</v>
      </c>
      <c r="D1574" s="129">
        <v>1</v>
      </c>
      <c r="E1574" s="129">
        <v>12.7668</v>
      </c>
      <c r="F1574" s="129">
        <v>12.7668</v>
      </c>
      <c r="G1574" s="129">
        <v>42.372897999999992</v>
      </c>
      <c r="H1574" s="129">
        <v>42.372897999999985</v>
      </c>
      <c r="I1574" s="131" t="s">
        <v>87</v>
      </c>
      <c r="J1574" s="132" t="s">
        <v>102</v>
      </c>
      <c r="K1574" s="130" t="s">
        <v>2124</v>
      </c>
      <c r="L1574" s="129" t="str">
        <f t="shared" si="24"/>
        <v>005-00000275</v>
      </c>
    </row>
    <row r="1575" spans="1:12" hidden="1" x14ac:dyDescent="0.25">
      <c r="A1575" s="130" t="s">
        <v>2208</v>
      </c>
      <c r="B1575" s="130" t="s">
        <v>2209</v>
      </c>
      <c r="C1575" s="132" t="s">
        <v>150</v>
      </c>
      <c r="D1575" s="129">
        <v>1</v>
      </c>
      <c r="E1575" s="129">
        <v>5.8727001999999997</v>
      </c>
      <c r="F1575" s="129">
        <v>5.8727001999999997</v>
      </c>
      <c r="G1575" s="129">
        <v>19.491501</v>
      </c>
      <c r="H1575" s="129">
        <v>19.491501</v>
      </c>
      <c r="I1575" s="131" t="s">
        <v>87</v>
      </c>
      <c r="J1575" s="132" t="s">
        <v>102</v>
      </c>
      <c r="K1575" s="130" t="s">
        <v>2124</v>
      </c>
      <c r="L1575" s="129" t="str">
        <f t="shared" si="24"/>
        <v>005-00000275</v>
      </c>
    </row>
    <row r="1576" spans="1:12" hidden="1" x14ac:dyDescent="0.25">
      <c r="A1576" s="130" t="s">
        <v>2210</v>
      </c>
      <c r="B1576" s="130" t="s">
        <v>2211</v>
      </c>
      <c r="C1576" s="132" t="s">
        <v>150</v>
      </c>
      <c r="D1576" s="129">
        <v>1</v>
      </c>
      <c r="E1576" s="129">
        <v>4.5960001999999998</v>
      </c>
      <c r="F1576" s="129">
        <v>4.5960002000000006</v>
      </c>
      <c r="G1576" s="129">
        <v>15.254200000000001</v>
      </c>
      <c r="H1576" s="129">
        <v>15.254200000000001</v>
      </c>
      <c r="I1576" s="131" t="s">
        <v>87</v>
      </c>
      <c r="J1576" s="132" t="s">
        <v>102</v>
      </c>
      <c r="K1576" s="130" t="s">
        <v>2124</v>
      </c>
      <c r="L1576" s="129" t="str">
        <f t="shared" si="24"/>
        <v>005-00000275</v>
      </c>
    </row>
    <row r="1577" spans="1:12" hidden="1" x14ac:dyDescent="0.25">
      <c r="A1577" s="130" t="s">
        <v>2212</v>
      </c>
      <c r="B1577" s="130" t="s">
        <v>2213</v>
      </c>
      <c r="C1577" s="132" t="s">
        <v>150</v>
      </c>
      <c r="D1577" s="129">
        <v>1</v>
      </c>
      <c r="E1577" s="129">
        <v>4.5960001999999998</v>
      </c>
      <c r="F1577" s="129">
        <v>4.5960002000000006</v>
      </c>
      <c r="G1577" s="129">
        <v>15.254200000000001</v>
      </c>
      <c r="H1577" s="129">
        <v>15.254200000000001</v>
      </c>
      <c r="I1577" s="131" t="s">
        <v>87</v>
      </c>
      <c r="J1577" s="132" t="s">
        <v>102</v>
      </c>
      <c r="K1577" s="130" t="s">
        <v>2124</v>
      </c>
      <c r="L1577" s="129" t="str">
        <f t="shared" si="24"/>
        <v>005-00000275</v>
      </c>
    </row>
    <row r="1578" spans="1:12" hidden="1" x14ac:dyDescent="0.25">
      <c r="A1578" s="130" t="s">
        <v>2214</v>
      </c>
      <c r="B1578" s="130" t="s">
        <v>2215</v>
      </c>
      <c r="C1578" s="132" t="s">
        <v>153</v>
      </c>
      <c r="D1578" s="129">
        <v>1</v>
      </c>
      <c r="E1578" s="129">
        <v>24.512198999999999</v>
      </c>
      <c r="F1578" s="129">
        <v>24.512198999999999</v>
      </c>
      <c r="G1578" s="129">
        <v>81.355903999999995</v>
      </c>
      <c r="H1578" s="129">
        <v>81.355903999999995</v>
      </c>
      <c r="I1578" s="131" t="s">
        <v>87</v>
      </c>
      <c r="J1578" s="132" t="s">
        <v>102</v>
      </c>
      <c r="K1578" s="130" t="s">
        <v>2216</v>
      </c>
      <c r="L1578" s="129" t="str">
        <f t="shared" si="24"/>
        <v>005-00000258</v>
      </c>
    </row>
    <row r="1579" spans="1:12" hidden="1" x14ac:dyDescent="0.25">
      <c r="A1579" s="130" t="s">
        <v>2217</v>
      </c>
      <c r="B1579" s="130" t="s">
        <v>2218</v>
      </c>
      <c r="C1579" s="132" t="s">
        <v>153</v>
      </c>
      <c r="D1579" s="129">
        <v>1</v>
      </c>
      <c r="E1579" s="129">
        <v>22.9802</v>
      </c>
      <c r="F1579" s="129">
        <v>22.9802</v>
      </c>
      <c r="G1579" s="129">
        <v>76.271202000000002</v>
      </c>
      <c r="H1579" s="129">
        <v>76.271202000000002</v>
      </c>
      <c r="I1579" s="131" t="s">
        <v>87</v>
      </c>
      <c r="J1579" s="132" t="s">
        <v>102</v>
      </c>
      <c r="K1579" s="130" t="s">
        <v>2216</v>
      </c>
      <c r="L1579" s="129" t="str">
        <f t="shared" si="24"/>
        <v>005-00000258</v>
      </c>
    </row>
    <row r="1580" spans="1:12" hidden="1" x14ac:dyDescent="0.25">
      <c r="A1580" s="130" t="s">
        <v>2219</v>
      </c>
      <c r="B1580" s="130" t="s">
        <v>1599</v>
      </c>
      <c r="C1580" s="132" t="s">
        <v>153</v>
      </c>
      <c r="D1580" s="129">
        <v>1</v>
      </c>
      <c r="E1580" s="129">
        <v>22.9802</v>
      </c>
      <c r="F1580" s="129">
        <v>22.9802</v>
      </c>
      <c r="G1580" s="129">
        <v>76.271202000000002</v>
      </c>
      <c r="H1580" s="129">
        <v>76.271202000000002</v>
      </c>
      <c r="I1580" s="131" t="s">
        <v>87</v>
      </c>
      <c r="J1580" s="132" t="s">
        <v>102</v>
      </c>
      <c r="K1580" s="130" t="s">
        <v>2216</v>
      </c>
      <c r="L1580" s="129" t="str">
        <f t="shared" si="24"/>
        <v>005-00000258</v>
      </c>
    </row>
    <row r="1581" spans="1:12" hidden="1" x14ac:dyDescent="0.25">
      <c r="A1581" s="130" t="s">
        <v>2220</v>
      </c>
      <c r="B1581" s="130" t="s">
        <v>2221</v>
      </c>
      <c r="C1581" s="132" t="s">
        <v>153</v>
      </c>
      <c r="D1581" s="129">
        <v>1</v>
      </c>
      <c r="E1581" s="129">
        <v>22.979799</v>
      </c>
      <c r="F1581" s="129">
        <v>22.979799</v>
      </c>
      <c r="G1581" s="129">
        <v>76.269997000000004</v>
      </c>
      <c r="H1581" s="129">
        <v>76.269997000000004</v>
      </c>
      <c r="I1581" s="131" t="s">
        <v>87</v>
      </c>
      <c r="J1581" s="132" t="s">
        <v>102</v>
      </c>
      <c r="K1581" s="130" t="s">
        <v>2216</v>
      </c>
      <c r="L1581" s="129" t="str">
        <f t="shared" si="24"/>
        <v>005-00000258</v>
      </c>
    </row>
    <row r="1582" spans="1:12" hidden="1" x14ac:dyDescent="0.25">
      <c r="A1582" s="130" t="s">
        <v>1073</v>
      </c>
      <c r="B1582" s="130" t="s">
        <v>1074</v>
      </c>
      <c r="C1582" s="132" t="s">
        <v>153</v>
      </c>
      <c r="D1582" s="129">
        <v>1</v>
      </c>
      <c r="E1582" s="129">
        <v>17.873501000000001</v>
      </c>
      <c r="F1582" s="129">
        <v>17.873501000000005</v>
      </c>
      <c r="G1582" s="129">
        <v>59.321998999999998</v>
      </c>
      <c r="H1582" s="129">
        <v>59.321998999999998</v>
      </c>
      <c r="I1582" s="131" t="s">
        <v>87</v>
      </c>
      <c r="J1582" s="132" t="s">
        <v>102</v>
      </c>
      <c r="K1582" s="130" t="s">
        <v>2216</v>
      </c>
      <c r="L1582" s="129" t="str">
        <f t="shared" si="24"/>
        <v>005-00000258</v>
      </c>
    </row>
    <row r="1583" spans="1:12" hidden="1" x14ac:dyDescent="0.25">
      <c r="A1583" s="130" t="s">
        <v>546</v>
      </c>
      <c r="B1583" s="130" t="s">
        <v>547</v>
      </c>
      <c r="C1583" s="132" t="s">
        <v>153</v>
      </c>
      <c r="D1583" s="129">
        <v>1</v>
      </c>
      <c r="E1583" s="129">
        <v>20.4268</v>
      </c>
      <c r="F1583" s="129">
        <v>20.4268</v>
      </c>
      <c r="G1583" s="129">
        <v>67.796599999999998</v>
      </c>
      <c r="H1583" s="129">
        <v>67.796599999999998</v>
      </c>
      <c r="I1583" s="131" t="s">
        <v>87</v>
      </c>
      <c r="J1583" s="132" t="s">
        <v>102</v>
      </c>
      <c r="K1583" s="130" t="s">
        <v>2216</v>
      </c>
      <c r="L1583" s="129" t="str">
        <f t="shared" si="24"/>
        <v>005-00000258</v>
      </c>
    </row>
    <row r="1584" spans="1:12" hidden="1" x14ac:dyDescent="0.25">
      <c r="A1584" s="130" t="s">
        <v>2222</v>
      </c>
      <c r="B1584" s="130" t="s">
        <v>2223</v>
      </c>
      <c r="C1584" s="132" t="s">
        <v>153</v>
      </c>
      <c r="D1584" s="129">
        <v>1</v>
      </c>
      <c r="E1584" s="129">
        <v>15.3201</v>
      </c>
      <c r="F1584" s="129">
        <v>15.3201</v>
      </c>
      <c r="G1584" s="129">
        <v>50.847499999999997</v>
      </c>
      <c r="H1584" s="129">
        <v>50.847499999999997</v>
      </c>
      <c r="I1584" s="131" t="s">
        <v>87</v>
      </c>
      <c r="J1584" s="132" t="s">
        <v>102</v>
      </c>
      <c r="K1584" s="130" t="s">
        <v>2216</v>
      </c>
      <c r="L1584" s="129" t="str">
        <f t="shared" si="24"/>
        <v>005-00000258</v>
      </c>
    </row>
    <row r="1585" spans="1:12" hidden="1" x14ac:dyDescent="0.25">
      <c r="A1585" s="130" t="s">
        <v>2139</v>
      </c>
      <c r="B1585" s="130" t="s">
        <v>2140</v>
      </c>
      <c r="C1585" s="132" t="s">
        <v>150</v>
      </c>
      <c r="D1585" s="129">
        <v>1</v>
      </c>
      <c r="E1585" s="129">
        <v>7.6600999999999999</v>
      </c>
      <c r="F1585" s="129">
        <v>7.6601000000000008</v>
      </c>
      <c r="G1585" s="129">
        <v>25.4237</v>
      </c>
      <c r="H1585" s="129">
        <v>25.423700000000004</v>
      </c>
      <c r="I1585" s="131" t="s">
        <v>87</v>
      </c>
      <c r="J1585" s="132" t="s">
        <v>102</v>
      </c>
      <c r="K1585" s="130" t="s">
        <v>2216</v>
      </c>
      <c r="L1585" s="129" t="str">
        <f t="shared" si="24"/>
        <v>005-00000258</v>
      </c>
    </row>
    <row r="1586" spans="1:12" hidden="1" x14ac:dyDescent="0.25">
      <c r="A1586" s="130" t="s">
        <v>566</v>
      </c>
      <c r="B1586" s="130" t="s">
        <v>410</v>
      </c>
      <c r="C1586" s="132" t="s">
        <v>150</v>
      </c>
      <c r="D1586" s="129">
        <v>1</v>
      </c>
      <c r="E1586" s="129">
        <v>25.533501000000001</v>
      </c>
      <c r="F1586" s="129">
        <v>25.533500999999998</v>
      </c>
      <c r="G1586" s="129">
        <v>84.745795999999984</v>
      </c>
      <c r="H1586" s="129">
        <v>84.74579599999997</v>
      </c>
      <c r="I1586" s="131" t="s">
        <v>87</v>
      </c>
      <c r="J1586" s="132" t="s">
        <v>102</v>
      </c>
      <c r="K1586" s="130" t="s">
        <v>2216</v>
      </c>
      <c r="L1586" s="129" t="str">
        <f t="shared" si="24"/>
        <v>005-00000258</v>
      </c>
    </row>
    <row r="1587" spans="1:12" hidden="1" x14ac:dyDescent="0.25">
      <c r="A1587" s="130" t="s">
        <v>2036</v>
      </c>
      <c r="B1587" s="130" t="s">
        <v>2037</v>
      </c>
      <c r="C1587" s="132" t="s">
        <v>150</v>
      </c>
      <c r="D1587" s="129">
        <v>1</v>
      </c>
      <c r="E1587" s="129">
        <v>25.533501000000001</v>
      </c>
      <c r="F1587" s="129">
        <v>25.533500999999998</v>
      </c>
      <c r="G1587" s="129">
        <v>84.745795999999984</v>
      </c>
      <c r="H1587" s="129">
        <v>84.74579599999997</v>
      </c>
      <c r="I1587" s="131" t="s">
        <v>87</v>
      </c>
      <c r="J1587" s="132" t="s">
        <v>102</v>
      </c>
      <c r="K1587" s="130" t="s">
        <v>2216</v>
      </c>
      <c r="L1587" s="129" t="str">
        <f t="shared" si="24"/>
        <v>005-00000258</v>
      </c>
    </row>
    <row r="1588" spans="1:12" hidden="1" x14ac:dyDescent="0.25">
      <c r="A1588" s="130" t="s">
        <v>1613</v>
      </c>
      <c r="B1588" s="130" t="s">
        <v>1614</v>
      </c>
      <c r="C1588" s="132" t="s">
        <v>153</v>
      </c>
      <c r="D1588" s="129">
        <v>1</v>
      </c>
      <c r="E1588" s="129">
        <v>20.4268</v>
      </c>
      <c r="F1588" s="129">
        <v>20.4268</v>
      </c>
      <c r="G1588" s="129">
        <v>67.796599999999998</v>
      </c>
      <c r="H1588" s="129">
        <v>67.796599999999998</v>
      </c>
      <c r="I1588" s="131" t="s">
        <v>87</v>
      </c>
      <c r="J1588" s="132" t="s">
        <v>102</v>
      </c>
      <c r="K1588" s="130" t="s">
        <v>2224</v>
      </c>
      <c r="L1588" s="129" t="str">
        <f t="shared" si="24"/>
        <v>005-00000272</v>
      </c>
    </row>
    <row r="1589" spans="1:12" hidden="1" x14ac:dyDescent="0.25">
      <c r="A1589" s="130" t="s">
        <v>2070</v>
      </c>
      <c r="B1589" s="130" t="s">
        <v>2071</v>
      </c>
      <c r="C1589" s="132" t="s">
        <v>153</v>
      </c>
      <c r="D1589" s="129">
        <v>1</v>
      </c>
      <c r="E1589" s="129">
        <v>47.236999999999995</v>
      </c>
      <c r="F1589" s="129">
        <v>47.236999999999995</v>
      </c>
      <c r="G1589" s="129">
        <v>156.77968999999999</v>
      </c>
      <c r="H1589" s="129">
        <v>156.77968999999996</v>
      </c>
      <c r="I1589" s="131" t="s">
        <v>87</v>
      </c>
      <c r="J1589" s="132" t="s">
        <v>102</v>
      </c>
      <c r="K1589" s="130" t="s">
        <v>2224</v>
      </c>
      <c r="L1589" s="129" t="str">
        <f t="shared" si="24"/>
        <v>005-00000272</v>
      </c>
    </row>
    <row r="1590" spans="1:12" hidden="1" x14ac:dyDescent="0.25">
      <c r="A1590" s="130" t="s">
        <v>1618</v>
      </c>
      <c r="B1590" s="130" t="s">
        <v>1619</v>
      </c>
      <c r="C1590" s="132" t="s">
        <v>226</v>
      </c>
      <c r="D1590" s="129">
        <v>1</v>
      </c>
      <c r="E1590" s="129">
        <v>38.300300999999997</v>
      </c>
      <c r="F1590" s="129">
        <v>38.300300999999997</v>
      </c>
      <c r="G1590" s="129">
        <v>127.1186</v>
      </c>
      <c r="H1590" s="129">
        <v>127.1186</v>
      </c>
      <c r="I1590" s="131" t="s">
        <v>87</v>
      </c>
      <c r="J1590" s="132" t="s">
        <v>102</v>
      </c>
      <c r="K1590" s="130" t="s">
        <v>2224</v>
      </c>
      <c r="L1590" s="129" t="str">
        <f t="shared" si="24"/>
        <v>005-00000272</v>
      </c>
    </row>
    <row r="1591" spans="1:12" hidden="1" x14ac:dyDescent="0.25">
      <c r="A1591" s="130" t="s">
        <v>1620</v>
      </c>
      <c r="B1591" s="130" t="s">
        <v>1621</v>
      </c>
      <c r="C1591" s="132" t="s">
        <v>153</v>
      </c>
      <c r="D1591" s="129">
        <v>1</v>
      </c>
      <c r="E1591" s="129">
        <v>45.960299999999997</v>
      </c>
      <c r="F1591" s="129">
        <v>45.960299999999989</v>
      </c>
      <c r="G1591" s="129">
        <v>152.54239999999999</v>
      </c>
      <c r="H1591" s="129">
        <v>152.54239999999999</v>
      </c>
      <c r="I1591" s="131" t="s">
        <v>87</v>
      </c>
      <c r="J1591" s="132" t="s">
        <v>102</v>
      </c>
      <c r="K1591" s="130" t="s">
        <v>2224</v>
      </c>
      <c r="L1591" s="129" t="str">
        <f t="shared" si="24"/>
        <v>005-00000272</v>
      </c>
    </row>
    <row r="1592" spans="1:12" hidden="1" x14ac:dyDescent="0.25">
      <c r="A1592" s="130" t="s">
        <v>1624</v>
      </c>
      <c r="B1592" s="130" t="s">
        <v>1625</v>
      </c>
      <c r="C1592" s="132" t="s">
        <v>153</v>
      </c>
      <c r="D1592" s="129">
        <v>1</v>
      </c>
      <c r="E1592" s="129">
        <v>10.2134</v>
      </c>
      <c r="F1592" s="129">
        <v>10.2134</v>
      </c>
      <c r="G1592" s="129">
        <v>33.898299999999999</v>
      </c>
      <c r="H1592" s="129">
        <v>33.898299999999999</v>
      </c>
      <c r="I1592" s="131" t="s">
        <v>87</v>
      </c>
      <c r="J1592" s="132" t="s">
        <v>102</v>
      </c>
      <c r="K1592" s="130" t="s">
        <v>2224</v>
      </c>
      <c r="L1592" s="129" t="str">
        <f t="shared" si="24"/>
        <v>005-00000272</v>
      </c>
    </row>
    <row r="1593" spans="1:12" hidden="1" x14ac:dyDescent="0.25">
      <c r="A1593" s="130" t="s">
        <v>1626</v>
      </c>
      <c r="B1593" s="130" t="s">
        <v>1627</v>
      </c>
      <c r="C1593" s="132" t="s">
        <v>153</v>
      </c>
      <c r="D1593" s="129">
        <v>1</v>
      </c>
      <c r="E1593" s="129">
        <v>16.596800000000002</v>
      </c>
      <c r="F1593" s="129">
        <v>16.596800000000002</v>
      </c>
      <c r="G1593" s="129">
        <v>55.084702</v>
      </c>
      <c r="H1593" s="129">
        <v>55.084702</v>
      </c>
      <c r="I1593" s="131" t="s">
        <v>87</v>
      </c>
      <c r="J1593" s="132" t="s">
        <v>102</v>
      </c>
      <c r="K1593" s="130" t="s">
        <v>2224</v>
      </c>
      <c r="L1593" s="129" t="str">
        <f t="shared" si="24"/>
        <v>005-00000272</v>
      </c>
    </row>
    <row r="1594" spans="1:12" hidden="1" x14ac:dyDescent="0.25">
      <c r="A1594" s="130" t="s">
        <v>1628</v>
      </c>
      <c r="B1594" s="130" t="s">
        <v>1629</v>
      </c>
      <c r="C1594" s="132" t="s">
        <v>153</v>
      </c>
      <c r="D1594" s="129">
        <v>1</v>
      </c>
      <c r="E1594" s="129">
        <v>6.3834</v>
      </c>
      <c r="F1594" s="129">
        <v>6.3834</v>
      </c>
      <c r="G1594" s="129">
        <v>21.186399000000002</v>
      </c>
      <c r="H1594" s="129">
        <v>21.186399000000002</v>
      </c>
      <c r="I1594" s="131" t="s">
        <v>87</v>
      </c>
      <c r="J1594" s="132" t="s">
        <v>102</v>
      </c>
      <c r="K1594" s="130" t="s">
        <v>2224</v>
      </c>
      <c r="L1594" s="129" t="str">
        <f t="shared" si="24"/>
        <v>005-00000272</v>
      </c>
    </row>
    <row r="1595" spans="1:12" hidden="1" x14ac:dyDescent="0.25">
      <c r="A1595" s="130" t="s">
        <v>1604</v>
      </c>
      <c r="B1595" s="130" t="s">
        <v>1605</v>
      </c>
      <c r="C1595" s="132" t="s">
        <v>153</v>
      </c>
      <c r="D1595" s="129">
        <v>1</v>
      </c>
      <c r="E1595" s="129">
        <v>30.6402</v>
      </c>
      <c r="F1595" s="129">
        <v>30.6402</v>
      </c>
      <c r="G1595" s="129">
        <v>101.6949</v>
      </c>
      <c r="H1595" s="129">
        <v>101.69489999999998</v>
      </c>
      <c r="I1595" s="131" t="s">
        <v>87</v>
      </c>
      <c r="J1595" s="132" t="s">
        <v>102</v>
      </c>
      <c r="K1595" s="130" t="s">
        <v>2224</v>
      </c>
      <c r="L1595" s="129" t="str">
        <f t="shared" si="24"/>
        <v>005-00000272</v>
      </c>
    </row>
    <row r="1596" spans="1:12" hidden="1" x14ac:dyDescent="0.25">
      <c r="A1596" s="130" t="s">
        <v>2225</v>
      </c>
      <c r="B1596" s="130" t="s">
        <v>2226</v>
      </c>
      <c r="C1596" s="132" t="s">
        <v>153</v>
      </c>
      <c r="D1596" s="129">
        <v>1</v>
      </c>
      <c r="E1596" s="129">
        <v>14.043399999999998</v>
      </c>
      <c r="F1596" s="129">
        <v>14.043399999999998</v>
      </c>
      <c r="G1596" s="129">
        <v>46.610199000000001</v>
      </c>
      <c r="H1596" s="129">
        <v>46.610198999999994</v>
      </c>
      <c r="I1596" s="131" t="s">
        <v>87</v>
      </c>
      <c r="J1596" s="132" t="s">
        <v>102</v>
      </c>
      <c r="K1596" s="130" t="s">
        <v>2224</v>
      </c>
      <c r="L1596" s="129" t="str">
        <f t="shared" si="24"/>
        <v>005-00000272</v>
      </c>
    </row>
    <row r="1597" spans="1:12" hidden="1" x14ac:dyDescent="0.25">
      <c r="A1597" s="130" t="s">
        <v>2109</v>
      </c>
      <c r="B1597" s="130" t="s">
        <v>2110</v>
      </c>
      <c r="C1597" s="132" t="s">
        <v>153</v>
      </c>
      <c r="D1597" s="129">
        <v>1</v>
      </c>
      <c r="E1597" s="129">
        <v>28.086901000000001</v>
      </c>
      <c r="F1597" s="129">
        <v>28.086900999999997</v>
      </c>
      <c r="G1597" s="129">
        <v>93.220298999999997</v>
      </c>
      <c r="H1597" s="129">
        <v>93.220298999999997</v>
      </c>
      <c r="I1597" s="131" t="s">
        <v>87</v>
      </c>
      <c r="J1597" s="132" t="s">
        <v>102</v>
      </c>
      <c r="K1597" s="130" t="s">
        <v>2224</v>
      </c>
      <c r="L1597" s="129" t="str">
        <f t="shared" si="24"/>
        <v>005-00000272</v>
      </c>
    </row>
    <row r="1598" spans="1:12" hidden="1" x14ac:dyDescent="0.25">
      <c r="A1598" s="130" t="s">
        <v>2111</v>
      </c>
      <c r="B1598" s="130" t="s">
        <v>2112</v>
      </c>
      <c r="C1598" s="132" t="s">
        <v>150</v>
      </c>
      <c r="D1598" s="129">
        <v>1</v>
      </c>
      <c r="E1598" s="129">
        <v>5.1066998999999997</v>
      </c>
      <c r="F1598" s="129">
        <v>5.1066999000000006</v>
      </c>
      <c r="G1598" s="129">
        <v>16.949200000000001</v>
      </c>
      <c r="H1598" s="129">
        <v>16.949200000000001</v>
      </c>
      <c r="I1598" s="131" t="s">
        <v>87</v>
      </c>
      <c r="J1598" s="132" t="s">
        <v>102</v>
      </c>
      <c r="K1598" s="130" t="s">
        <v>2224</v>
      </c>
      <c r="L1598" s="129" t="str">
        <f t="shared" si="24"/>
        <v>005-00000272</v>
      </c>
    </row>
    <row r="1599" spans="1:12" hidden="1" x14ac:dyDescent="0.25">
      <c r="A1599" s="130" t="s">
        <v>1609</v>
      </c>
      <c r="B1599" s="130" t="s">
        <v>1610</v>
      </c>
      <c r="C1599" s="132" t="s">
        <v>153</v>
      </c>
      <c r="D1599" s="129">
        <v>1</v>
      </c>
      <c r="E1599" s="129">
        <v>75.323898</v>
      </c>
      <c r="F1599" s="129">
        <v>75.323898</v>
      </c>
      <c r="G1599" s="129">
        <v>250</v>
      </c>
      <c r="H1599" s="129">
        <v>250</v>
      </c>
      <c r="I1599" s="131" t="s">
        <v>87</v>
      </c>
      <c r="J1599" s="132" t="s">
        <v>102</v>
      </c>
      <c r="K1599" s="130" t="s">
        <v>2224</v>
      </c>
      <c r="L1599" s="129" t="str">
        <f t="shared" si="24"/>
        <v>005-00000272</v>
      </c>
    </row>
    <row r="1600" spans="1:12" hidden="1" x14ac:dyDescent="0.25">
      <c r="A1600" s="130" t="s">
        <v>1611</v>
      </c>
      <c r="B1600" s="130" t="s">
        <v>1612</v>
      </c>
      <c r="C1600" s="132" t="s">
        <v>150</v>
      </c>
      <c r="D1600" s="129">
        <v>1</v>
      </c>
      <c r="E1600" s="129">
        <v>76.600600999999997</v>
      </c>
      <c r="F1600" s="129">
        <v>76.600600999999983</v>
      </c>
      <c r="G1600" s="129">
        <v>254.2373</v>
      </c>
      <c r="H1600" s="129">
        <v>254.23729999999995</v>
      </c>
      <c r="I1600" s="131" t="s">
        <v>87</v>
      </c>
      <c r="J1600" s="132" t="s">
        <v>102</v>
      </c>
      <c r="K1600" s="130" t="s">
        <v>2224</v>
      </c>
      <c r="L1600" s="129" t="str">
        <f t="shared" si="24"/>
        <v>005-00000272</v>
      </c>
    </row>
    <row r="1601" spans="1:12" hidden="1" x14ac:dyDescent="0.25">
      <c r="A1601" s="130" t="s">
        <v>1468</v>
      </c>
      <c r="B1601" s="130" t="s">
        <v>1469</v>
      </c>
      <c r="C1601" s="132" t="s">
        <v>150</v>
      </c>
      <c r="D1601" s="129">
        <v>1</v>
      </c>
      <c r="E1601" s="129">
        <v>31.916900999999999</v>
      </c>
      <c r="F1601" s="129">
        <v>31.916900999999999</v>
      </c>
      <c r="G1601" s="129">
        <v>105.93219999999999</v>
      </c>
      <c r="H1601" s="129">
        <v>105.93219999999999</v>
      </c>
      <c r="I1601" s="131" t="s">
        <v>87</v>
      </c>
      <c r="J1601" s="132" t="s">
        <v>102</v>
      </c>
      <c r="K1601" s="130" t="s">
        <v>2224</v>
      </c>
      <c r="L1601" s="129" t="str">
        <f t="shared" si="24"/>
        <v>005-00000272</v>
      </c>
    </row>
    <row r="1602" spans="1:12" hidden="1" x14ac:dyDescent="0.25">
      <c r="A1602" s="130" t="s">
        <v>1607</v>
      </c>
      <c r="B1602" s="130" t="s">
        <v>1608</v>
      </c>
      <c r="C1602" s="132" t="s">
        <v>153</v>
      </c>
      <c r="D1602" s="129">
        <v>1</v>
      </c>
      <c r="E1602" s="129">
        <v>5.1066998999999997</v>
      </c>
      <c r="F1602" s="129">
        <v>5.1066999000000006</v>
      </c>
      <c r="G1602" s="129">
        <v>16.949200000000001</v>
      </c>
      <c r="H1602" s="129">
        <v>16.949200000000001</v>
      </c>
      <c r="I1602" s="131" t="s">
        <v>87</v>
      </c>
      <c r="J1602" s="132" t="s">
        <v>102</v>
      </c>
      <c r="K1602" s="130" t="s">
        <v>2224</v>
      </c>
      <c r="L1602" s="129" t="str">
        <f t="shared" si="24"/>
        <v>005-00000272</v>
      </c>
    </row>
    <row r="1603" spans="1:12" hidden="1" x14ac:dyDescent="0.25">
      <c r="A1603" s="130" t="s">
        <v>2161</v>
      </c>
      <c r="B1603" s="130" t="s">
        <v>2162</v>
      </c>
      <c r="C1603" s="132" t="s">
        <v>150</v>
      </c>
      <c r="D1603" s="129">
        <v>1</v>
      </c>
      <c r="E1603" s="129">
        <v>12.7668</v>
      </c>
      <c r="F1603" s="129">
        <v>12.7668</v>
      </c>
      <c r="G1603" s="129">
        <v>42.372897999999992</v>
      </c>
      <c r="H1603" s="129">
        <v>42.372897999999985</v>
      </c>
      <c r="I1603" s="131" t="s">
        <v>87</v>
      </c>
      <c r="J1603" s="132" t="s">
        <v>102</v>
      </c>
      <c r="K1603" s="130" t="s">
        <v>2224</v>
      </c>
      <c r="L1603" s="129" t="str">
        <f t="shared" si="24"/>
        <v>005-00000272</v>
      </c>
    </row>
    <row r="1604" spans="1:12" hidden="1" x14ac:dyDescent="0.25">
      <c r="A1604" s="130" t="s">
        <v>2219</v>
      </c>
      <c r="B1604" s="130" t="s">
        <v>1599</v>
      </c>
      <c r="C1604" s="132" t="s">
        <v>153</v>
      </c>
      <c r="D1604" s="129">
        <v>1</v>
      </c>
      <c r="E1604" s="129">
        <v>61.225200999999998</v>
      </c>
      <c r="F1604" s="129">
        <v>61.225201000000006</v>
      </c>
      <c r="G1604" s="129">
        <v>203.39</v>
      </c>
      <c r="H1604" s="129">
        <v>203.39</v>
      </c>
      <c r="I1604" s="131" t="s">
        <v>87</v>
      </c>
      <c r="J1604" s="132" t="s">
        <v>102</v>
      </c>
      <c r="K1604" s="130" t="s">
        <v>2127</v>
      </c>
      <c r="L1604" s="129" t="str">
        <f t="shared" si="24"/>
        <v>005-00000273</v>
      </c>
    </row>
    <row r="1605" spans="1:12" hidden="1" x14ac:dyDescent="0.25">
      <c r="A1605" s="130" t="s">
        <v>168</v>
      </c>
      <c r="B1605" s="130" t="s">
        <v>167</v>
      </c>
      <c r="C1605" s="132" t="s">
        <v>150</v>
      </c>
      <c r="D1605" s="129">
        <v>1</v>
      </c>
      <c r="E1605" s="129">
        <v>6.5415001000000004</v>
      </c>
      <c r="F1605" s="129">
        <v>6.5415001000000021</v>
      </c>
      <c r="G1605" s="129">
        <v>22.011998999999999</v>
      </c>
      <c r="H1605" s="129">
        <v>22.011998999999996</v>
      </c>
      <c r="I1605" s="131" t="s">
        <v>87</v>
      </c>
      <c r="J1605" s="132" t="s">
        <v>102</v>
      </c>
      <c r="K1605" s="130" t="s">
        <v>2069</v>
      </c>
      <c r="L1605" s="129" t="str">
        <f>CONCATENATE(J1605,"-",K1605)</f>
        <v>005-00000207</v>
      </c>
    </row>
    <row r="1606" spans="1:12" hidden="1" x14ac:dyDescent="0.25">
      <c r="A1606" s="130" t="s">
        <v>2227</v>
      </c>
      <c r="B1606" s="130" t="s">
        <v>2228</v>
      </c>
      <c r="C1606" s="132" t="s">
        <v>150</v>
      </c>
      <c r="D1606" s="129">
        <v>1</v>
      </c>
      <c r="E1606" s="129">
        <v>14.617699999999999</v>
      </c>
      <c r="F1606" s="129">
        <v>14.617700000000003</v>
      </c>
      <c r="G1606" s="129">
        <v>48.560001</v>
      </c>
      <c r="H1606" s="129">
        <v>48.560001</v>
      </c>
      <c r="I1606" s="131" t="s">
        <v>87</v>
      </c>
      <c r="J1606" s="132" t="s">
        <v>102</v>
      </c>
      <c r="K1606" s="130" t="s">
        <v>2069</v>
      </c>
      <c r="L1606" s="129" t="str">
        <f t="shared" ref="L1606:L1669" si="25">CONCATENATE(J1606,"-",K1606)</f>
        <v>005-00000207</v>
      </c>
    </row>
    <row r="1607" spans="1:12" hidden="1" x14ac:dyDescent="0.25">
      <c r="A1607" s="130" t="s">
        <v>1041</v>
      </c>
      <c r="B1607" s="130" t="s">
        <v>1042</v>
      </c>
      <c r="C1607" s="132" t="s">
        <v>150</v>
      </c>
      <c r="D1607" s="129">
        <v>1</v>
      </c>
      <c r="E1607" s="129">
        <v>1.5099</v>
      </c>
      <c r="F1607" s="129">
        <v>1.5099</v>
      </c>
      <c r="G1607" s="129">
        <v>5.0847001000000001</v>
      </c>
      <c r="H1607" s="129">
        <v>5.0847001000000001</v>
      </c>
      <c r="I1607" s="131" t="s">
        <v>87</v>
      </c>
      <c r="J1607" s="132" t="s">
        <v>102</v>
      </c>
      <c r="K1607" s="130" t="s">
        <v>2069</v>
      </c>
      <c r="L1607" s="129" t="str">
        <f t="shared" si="25"/>
        <v>005-00000207</v>
      </c>
    </row>
    <row r="1608" spans="1:12" hidden="1" x14ac:dyDescent="0.25">
      <c r="A1608" s="130" t="s">
        <v>529</v>
      </c>
      <c r="B1608" s="130" t="s">
        <v>530</v>
      </c>
      <c r="C1608" s="132" t="s">
        <v>88</v>
      </c>
      <c r="D1608" s="129">
        <v>1.5</v>
      </c>
      <c r="E1608" s="129">
        <v>14.7882</v>
      </c>
      <c r="F1608" s="129">
        <v>22.182299999999994</v>
      </c>
      <c r="G1608" s="129">
        <v>49.75519899999999</v>
      </c>
      <c r="H1608" s="129">
        <v>74.632798499999993</v>
      </c>
      <c r="I1608" s="131" t="s">
        <v>87</v>
      </c>
      <c r="J1608" s="132" t="s">
        <v>102</v>
      </c>
      <c r="K1608" s="130" t="s">
        <v>2069</v>
      </c>
      <c r="L1608" s="129" t="str">
        <f t="shared" si="25"/>
        <v>005-00000207</v>
      </c>
    </row>
    <row r="1609" spans="1:12" hidden="1" x14ac:dyDescent="0.25">
      <c r="A1609" s="130" t="s">
        <v>1692</v>
      </c>
      <c r="B1609" s="130" t="s">
        <v>1693</v>
      </c>
      <c r="C1609" s="132" t="s">
        <v>150</v>
      </c>
      <c r="D1609" s="129">
        <v>1</v>
      </c>
      <c r="E1609" s="129">
        <v>10.460599999999999</v>
      </c>
      <c r="F1609" s="129">
        <v>10.460600000000001</v>
      </c>
      <c r="G1609" s="129">
        <v>34.75</v>
      </c>
      <c r="H1609" s="129">
        <v>34.75</v>
      </c>
      <c r="I1609" s="131" t="s">
        <v>87</v>
      </c>
      <c r="J1609" s="132" t="s">
        <v>102</v>
      </c>
      <c r="K1609" s="130" t="s">
        <v>2124</v>
      </c>
      <c r="L1609" s="129" t="str">
        <f t="shared" si="25"/>
        <v>005-00000275</v>
      </c>
    </row>
    <row r="1610" spans="1:12" hidden="1" x14ac:dyDescent="0.25">
      <c r="A1610" s="130" t="s">
        <v>2229</v>
      </c>
      <c r="B1610" s="130" t="s">
        <v>2230</v>
      </c>
      <c r="C1610" s="132" t="s">
        <v>88</v>
      </c>
      <c r="D1610" s="129">
        <v>1</v>
      </c>
      <c r="E1610" s="129">
        <v>17.835799999999999</v>
      </c>
      <c r="F1610" s="129">
        <v>17.835799999999999</v>
      </c>
      <c r="G1610" s="129">
        <v>59.321998999999998</v>
      </c>
      <c r="H1610" s="129">
        <v>59.321998999999998</v>
      </c>
      <c r="I1610" s="131" t="s">
        <v>87</v>
      </c>
      <c r="J1610" s="132" t="s">
        <v>102</v>
      </c>
      <c r="K1610" s="130" t="s">
        <v>2231</v>
      </c>
      <c r="L1610" s="129" t="str">
        <f t="shared" si="25"/>
        <v>005-00000285</v>
      </c>
    </row>
    <row r="1611" spans="1:12" hidden="1" x14ac:dyDescent="0.25">
      <c r="A1611" s="130" t="s">
        <v>2232</v>
      </c>
      <c r="B1611" s="130" t="s">
        <v>2233</v>
      </c>
      <c r="C1611" s="132" t="s">
        <v>150</v>
      </c>
      <c r="D1611" s="129">
        <v>1</v>
      </c>
      <c r="E1611" s="129">
        <v>4.5925998999999997</v>
      </c>
      <c r="F1611" s="129">
        <v>4.5925998999999997</v>
      </c>
      <c r="G1611" s="129">
        <v>15.254200000000001</v>
      </c>
      <c r="H1611" s="129">
        <v>15.254200000000001</v>
      </c>
      <c r="I1611" s="131" t="s">
        <v>87</v>
      </c>
      <c r="J1611" s="132" t="s">
        <v>102</v>
      </c>
      <c r="K1611" s="130" t="s">
        <v>2231</v>
      </c>
      <c r="L1611" s="129" t="str">
        <f t="shared" si="25"/>
        <v>005-00000285</v>
      </c>
    </row>
    <row r="1612" spans="1:12" hidden="1" x14ac:dyDescent="0.25">
      <c r="A1612" s="130" t="s">
        <v>2100</v>
      </c>
      <c r="B1612" s="130" t="s">
        <v>2101</v>
      </c>
      <c r="C1612" s="132" t="s">
        <v>88</v>
      </c>
      <c r="D1612" s="129">
        <v>0.25</v>
      </c>
      <c r="E1612" s="129">
        <v>56.122799000000008</v>
      </c>
      <c r="F1612" s="129">
        <v>14.030699750000002</v>
      </c>
      <c r="G1612" s="129">
        <v>186.44</v>
      </c>
      <c r="H1612" s="129">
        <v>46.61</v>
      </c>
      <c r="I1612" s="131" t="s">
        <v>87</v>
      </c>
      <c r="J1612" s="132" t="s">
        <v>102</v>
      </c>
      <c r="K1612" s="130" t="s">
        <v>2127</v>
      </c>
      <c r="L1612" s="129" t="str">
        <f t="shared" si="25"/>
        <v>005-00000273</v>
      </c>
    </row>
    <row r="1613" spans="1:12" hidden="1" x14ac:dyDescent="0.25">
      <c r="A1613" s="130" t="s">
        <v>2234</v>
      </c>
      <c r="B1613" s="130" t="s">
        <v>2235</v>
      </c>
      <c r="C1613" s="132" t="s">
        <v>150</v>
      </c>
      <c r="D1613" s="129">
        <v>1</v>
      </c>
      <c r="E1613" s="129">
        <v>9.1976004000000007</v>
      </c>
      <c r="F1613" s="129">
        <v>9.1976004000000007</v>
      </c>
      <c r="G1613" s="129">
        <v>30.508499</v>
      </c>
      <c r="H1613" s="129">
        <v>30.508499000000008</v>
      </c>
      <c r="I1613" s="131" t="s">
        <v>87</v>
      </c>
      <c r="J1613" s="132" t="s">
        <v>102</v>
      </c>
      <c r="K1613" s="130" t="s">
        <v>2124</v>
      </c>
      <c r="L1613" s="129" t="str">
        <f t="shared" si="25"/>
        <v>005-00000275</v>
      </c>
    </row>
    <row r="1614" spans="1:12" hidden="1" x14ac:dyDescent="0.25">
      <c r="A1614" s="130" t="s">
        <v>431</v>
      </c>
      <c r="B1614" s="130" t="s">
        <v>432</v>
      </c>
      <c r="C1614" s="132" t="s">
        <v>150</v>
      </c>
      <c r="D1614" s="129">
        <v>1</v>
      </c>
      <c r="E1614" s="129">
        <v>10.475099999999999</v>
      </c>
      <c r="F1614" s="129">
        <v>10.475099999999999</v>
      </c>
      <c r="G1614" s="129">
        <v>34.745800000000003</v>
      </c>
      <c r="H1614" s="129">
        <v>34.745800000000003</v>
      </c>
      <c r="I1614" s="131" t="s">
        <v>87</v>
      </c>
      <c r="J1614" s="132" t="s">
        <v>102</v>
      </c>
      <c r="K1614" s="130" t="s">
        <v>2124</v>
      </c>
      <c r="L1614" s="129" t="str">
        <f t="shared" si="25"/>
        <v>005-00000275</v>
      </c>
    </row>
    <row r="1615" spans="1:12" hidden="1" x14ac:dyDescent="0.25">
      <c r="A1615" s="130" t="s">
        <v>1562</v>
      </c>
      <c r="B1615" s="130" t="s">
        <v>1563</v>
      </c>
      <c r="C1615" s="132" t="s">
        <v>150</v>
      </c>
      <c r="D1615" s="129">
        <v>1</v>
      </c>
      <c r="E1615" s="129">
        <v>38.220100000000002</v>
      </c>
      <c r="F1615" s="129">
        <v>38.220100000000002</v>
      </c>
      <c r="G1615" s="129">
        <v>127.12</v>
      </c>
      <c r="H1615" s="129">
        <v>127.12</v>
      </c>
      <c r="I1615" s="131" t="s">
        <v>87</v>
      </c>
      <c r="J1615" s="132" t="s">
        <v>102</v>
      </c>
      <c r="K1615" s="130" t="s">
        <v>2236</v>
      </c>
      <c r="L1615" s="129" t="str">
        <f t="shared" si="25"/>
        <v>005-00000276</v>
      </c>
    </row>
    <row r="1616" spans="1:12" hidden="1" x14ac:dyDescent="0.25">
      <c r="A1616" s="130" t="s">
        <v>2237</v>
      </c>
      <c r="B1616" s="130" t="s">
        <v>2238</v>
      </c>
      <c r="C1616" s="132" t="s">
        <v>150</v>
      </c>
      <c r="D1616" s="129">
        <v>1</v>
      </c>
      <c r="E1616" s="129">
        <v>7.6427999</v>
      </c>
      <c r="F1616" s="129">
        <v>7.6427999</v>
      </c>
      <c r="G1616" s="129">
        <v>25.42</v>
      </c>
      <c r="H1616" s="129">
        <v>25.42</v>
      </c>
      <c r="I1616" s="131" t="s">
        <v>87</v>
      </c>
      <c r="J1616" s="132" t="s">
        <v>102</v>
      </c>
      <c r="K1616" s="130" t="s">
        <v>2236</v>
      </c>
      <c r="L1616" s="129" t="str">
        <f t="shared" si="25"/>
        <v>005-00000276</v>
      </c>
    </row>
    <row r="1617" spans="1:12" hidden="1" x14ac:dyDescent="0.25">
      <c r="A1617" s="130" t="s">
        <v>1564</v>
      </c>
      <c r="B1617" s="130" t="s">
        <v>1565</v>
      </c>
      <c r="C1617" s="132" t="s">
        <v>150</v>
      </c>
      <c r="D1617" s="129">
        <v>1</v>
      </c>
      <c r="E1617" s="129">
        <v>38.220100000000002</v>
      </c>
      <c r="F1617" s="129">
        <v>38.220100000000002</v>
      </c>
      <c r="G1617" s="129">
        <v>127.12</v>
      </c>
      <c r="H1617" s="129">
        <v>127.12</v>
      </c>
      <c r="I1617" s="131" t="s">
        <v>87</v>
      </c>
      <c r="J1617" s="132" t="s">
        <v>102</v>
      </c>
      <c r="K1617" s="99" t="s">
        <v>1558</v>
      </c>
      <c r="L1617" s="129" t="str">
        <f t="shared" si="25"/>
        <v>005-00000198</v>
      </c>
    </row>
    <row r="1618" spans="1:12" hidden="1" x14ac:dyDescent="0.25">
      <c r="A1618" s="130" t="s">
        <v>1562</v>
      </c>
      <c r="B1618" s="130" t="s">
        <v>1563</v>
      </c>
      <c r="C1618" s="132" t="s">
        <v>150</v>
      </c>
      <c r="D1618" s="129">
        <v>1</v>
      </c>
      <c r="E1618" s="129">
        <v>38.220100000000002</v>
      </c>
      <c r="F1618" s="129">
        <v>38.220100000000002</v>
      </c>
      <c r="G1618" s="129">
        <v>127.12</v>
      </c>
      <c r="H1618" s="129">
        <v>127.12</v>
      </c>
      <c r="I1618" s="131" t="s">
        <v>87</v>
      </c>
      <c r="J1618" s="132" t="s">
        <v>102</v>
      </c>
      <c r="K1618" s="99" t="s">
        <v>1558</v>
      </c>
      <c r="L1618" s="129" t="str">
        <f t="shared" si="25"/>
        <v>005-00000198</v>
      </c>
    </row>
    <row r="1619" spans="1:12" hidden="1" x14ac:dyDescent="0.25">
      <c r="A1619" s="130" t="s">
        <v>1564</v>
      </c>
      <c r="B1619" s="130" t="s">
        <v>1565</v>
      </c>
      <c r="C1619" s="132" t="s">
        <v>150</v>
      </c>
      <c r="D1619" s="129">
        <v>1</v>
      </c>
      <c r="E1619" s="129">
        <v>38.220100000000002</v>
      </c>
      <c r="F1619" s="129">
        <v>38.220100000000002</v>
      </c>
      <c r="G1619" s="129">
        <v>127.12</v>
      </c>
      <c r="H1619" s="129">
        <v>127.12</v>
      </c>
      <c r="I1619" s="131" t="s">
        <v>87</v>
      </c>
      <c r="J1619" s="132" t="s">
        <v>102</v>
      </c>
      <c r="K1619" s="130" t="s">
        <v>1559</v>
      </c>
      <c r="L1619" s="129" t="str">
        <f t="shared" si="25"/>
        <v>005-00000195</v>
      </c>
    </row>
    <row r="1620" spans="1:12" hidden="1" x14ac:dyDescent="0.25">
      <c r="A1620" s="130" t="s">
        <v>1562</v>
      </c>
      <c r="B1620" s="130" t="s">
        <v>1563</v>
      </c>
      <c r="C1620" s="132" t="s">
        <v>150</v>
      </c>
      <c r="D1620" s="129">
        <v>1</v>
      </c>
      <c r="E1620" s="129">
        <v>38.220100000000002</v>
      </c>
      <c r="F1620" s="129">
        <v>38.220100000000002</v>
      </c>
      <c r="G1620" s="129">
        <v>127.12</v>
      </c>
      <c r="H1620" s="129">
        <v>127.12</v>
      </c>
      <c r="I1620" s="131" t="s">
        <v>87</v>
      </c>
      <c r="J1620" s="132" t="s">
        <v>102</v>
      </c>
      <c r="K1620" s="130" t="s">
        <v>1559</v>
      </c>
      <c r="L1620" s="129" t="str">
        <f t="shared" si="25"/>
        <v>005-00000195</v>
      </c>
    </row>
    <row r="1621" spans="1:12" hidden="1" x14ac:dyDescent="0.25">
      <c r="A1621" s="130" t="s">
        <v>1564</v>
      </c>
      <c r="B1621" s="130" t="s">
        <v>1565</v>
      </c>
      <c r="C1621" s="132" t="s">
        <v>150</v>
      </c>
      <c r="D1621" s="129">
        <v>1</v>
      </c>
      <c r="E1621" s="129">
        <v>38.220100000000002</v>
      </c>
      <c r="F1621" s="129">
        <v>38.220100000000002</v>
      </c>
      <c r="G1621" s="129">
        <v>127.12</v>
      </c>
      <c r="H1621" s="129">
        <v>127.12</v>
      </c>
      <c r="I1621" s="131" t="s">
        <v>87</v>
      </c>
      <c r="J1621" s="132" t="s">
        <v>102</v>
      </c>
      <c r="K1621" s="130" t="s">
        <v>2094</v>
      </c>
      <c r="L1621" s="129" t="str">
        <f t="shared" si="25"/>
        <v>005-00000233</v>
      </c>
    </row>
    <row r="1622" spans="1:12" hidden="1" x14ac:dyDescent="0.25">
      <c r="A1622" s="130" t="s">
        <v>1562</v>
      </c>
      <c r="B1622" s="130" t="s">
        <v>1563</v>
      </c>
      <c r="C1622" s="132" t="s">
        <v>150</v>
      </c>
      <c r="D1622" s="129">
        <v>1</v>
      </c>
      <c r="E1622" s="129">
        <v>38.220100000000002</v>
      </c>
      <c r="F1622" s="129">
        <v>38.220100000000002</v>
      </c>
      <c r="G1622" s="129">
        <v>127.12</v>
      </c>
      <c r="H1622" s="129">
        <v>127.12</v>
      </c>
      <c r="I1622" s="131" t="s">
        <v>87</v>
      </c>
      <c r="J1622" s="132" t="s">
        <v>102</v>
      </c>
      <c r="K1622" s="130" t="s">
        <v>2094</v>
      </c>
      <c r="L1622" s="129" t="str">
        <f t="shared" si="25"/>
        <v>005-00000233</v>
      </c>
    </row>
    <row r="1623" spans="1:12" hidden="1" x14ac:dyDescent="0.25">
      <c r="A1623" s="130" t="s">
        <v>1463</v>
      </c>
      <c r="B1623" s="130" t="s">
        <v>1464</v>
      </c>
      <c r="C1623" s="132" t="s">
        <v>150</v>
      </c>
      <c r="D1623" s="129">
        <v>1</v>
      </c>
      <c r="E1623" s="129">
        <v>10.7622</v>
      </c>
      <c r="F1623" s="129">
        <v>10.7622</v>
      </c>
      <c r="G1623" s="129">
        <v>36.440700999999997</v>
      </c>
      <c r="H1623" s="129">
        <v>36.440701000000004</v>
      </c>
      <c r="I1623" s="131" t="s">
        <v>87</v>
      </c>
      <c r="J1623" s="132" t="s">
        <v>102</v>
      </c>
      <c r="K1623" s="130" t="s">
        <v>1558</v>
      </c>
      <c r="L1623" s="129" t="str">
        <f t="shared" si="25"/>
        <v>005-00000198</v>
      </c>
    </row>
    <row r="1624" spans="1:12" hidden="1" x14ac:dyDescent="0.25">
      <c r="A1624" s="130" t="s">
        <v>544</v>
      </c>
      <c r="B1624" s="130" t="s">
        <v>545</v>
      </c>
      <c r="C1624" s="132" t="s">
        <v>150</v>
      </c>
      <c r="D1624" s="129">
        <v>2</v>
      </c>
      <c r="E1624" s="129">
        <v>2.5007999000000001</v>
      </c>
      <c r="F1624" s="129">
        <v>5.001599800000001</v>
      </c>
      <c r="G1624" s="129">
        <v>8.4745998</v>
      </c>
      <c r="H1624" s="129">
        <v>16.9491996</v>
      </c>
      <c r="I1624" s="131" t="s">
        <v>87</v>
      </c>
      <c r="J1624" s="132" t="s">
        <v>102</v>
      </c>
      <c r="K1624" s="130" t="s">
        <v>1558</v>
      </c>
      <c r="L1624" s="129" t="str">
        <f t="shared" si="25"/>
        <v>005-00000198</v>
      </c>
    </row>
    <row r="1625" spans="1:12" hidden="1" x14ac:dyDescent="0.25">
      <c r="A1625" s="130" t="s">
        <v>1466</v>
      </c>
      <c r="B1625" s="130" t="s">
        <v>1467</v>
      </c>
      <c r="C1625" s="132" t="s">
        <v>88</v>
      </c>
      <c r="D1625" s="129">
        <v>0.75</v>
      </c>
      <c r="E1625" s="129">
        <v>9.2980003</v>
      </c>
      <c r="F1625" s="129">
        <v>6.9735002249999987</v>
      </c>
      <c r="G1625" s="129">
        <v>31.138999999999999</v>
      </c>
      <c r="H1625" s="129">
        <v>23.354249999999997</v>
      </c>
      <c r="I1625" s="131" t="s">
        <v>87</v>
      </c>
      <c r="J1625" s="132" t="s">
        <v>102</v>
      </c>
      <c r="K1625" s="130" t="s">
        <v>1558</v>
      </c>
      <c r="L1625" s="129" t="str">
        <f t="shared" si="25"/>
        <v>005-00000198</v>
      </c>
    </row>
    <row r="1626" spans="1:12" hidden="1" x14ac:dyDescent="0.25">
      <c r="A1626" s="130" t="s">
        <v>1034</v>
      </c>
      <c r="B1626" s="130" t="s">
        <v>1035</v>
      </c>
      <c r="C1626" s="132" t="s">
        <v>88</v>
      </c>
      <c r="D1626" s="129">
        <v>1</v>
      </c>
      <c r="E1626" s="129">
        <v>10.5677</v>
      </c>
      <c r="F1626" s="129">
        <v>10.567700000000002</v>
      </c>
      <c r="G1626" s="129">
        <v>35.745998</v>
      </c>
      <c r="H1626" s="129">
        <v>35.745998</v>
      </c>
      <c r="I1626" s="131" t="s">
        <v>87</v>
      </c>
      <c r="J1626" s="132" t="s">
        <v>102</v>
      </c>
      <c r="K1626" s="130" t="s">
        <v>1558</v>
      </c>
      <c r="L1626" s="129" t="str">
        <f t="shared" si="25"/>
        <v>005-00000198</v>
      </c>
    </row>
    <row r="1627" spans="1:12" hidden="1" x14ac:dyDescent="0.25">
      <c r="A1627" s="130" t="s">
        <v>1675</v>
      </c>
      <c r="B1627" s="130" t="s">
        <v>408</v>
      </c>
      <c r="C1627" s="132" t="s">
        <v>150</v>
      </c>
      <c r="D1627" s="129">
        <v>4</v>
      </c>
      <c r="E1627" s="129">
        <v>1.2966</v>
      </c>
      <c r="F1627" s="129">
        <v>5.186399999999999</v>
      </c>
      <c r="G1627" s="129">
        <v>4.3629999000000002</v>
      </c>
      <c r="H1627" s="129">
        <v>17.451999600000001</v>
      </c>
      <c r="I1627" s="131" t="s">
        <v>87</v>
      </c>
      <c r="J1627" s="132" t="s">
        <v>102</v>
      </c>
      <c r="K1627" s="130" t="s">
        <v>1558</v>
      </c>
      <c r="L1627" s="129" t="str">
        <f t="shared" si="25"/>
        <v>005-00000198</v>
      </c>
    </row>
    <row r="1628" spans="1:12" hidden="1" x14ac:dyDescent="0.25">
      <c r="A1628" s="130" t="s">
        <v>2107</v>
      </c>
      <c r="B1628" s="130" t="s">
        <v>2108</v>
      </c>
      <c r="C1628" s="132" t="s">
        <v>150</v>
      </c>
      <c r="D1628" s="129">
        <v>1</v>
      </c>
      <c r="E1628" s="129">
        <v>2.4017998999999999</v>
      </c>
      <c r="F1628" s="129">
        <v>2.4017998999999999</v>
      </c>
      <c r="G1628" s="129">
        <v>8.0818995999999999</v>
      </c>
      <c r="H1628" s="129">
        <v>8.0818995999999999</v>
      </c>
      <c r="I1628" s="131" t="s">
        <v>87</v>
      </c>
      <c r="J1628" s="132" t="s">
        <v>102</v>
      </c>
      <c r="K1628" s="130" t="s">
        <v>1558</v>
      </c>
      <c r="L1628" s="129" t="str">
        <f t="shared" si="25"/>
        <v>005-00000198</v>
      </c>
    </row>
    <row r="1629" spans="1:12" hidden="1" x14ac:dyDescent="0.25">
      <c r="A1629" s="130" t="s">
        <v>1465</v>
      </c>
      <c r="B1629" s="130" t="s">
        <v>160</v>
      </c>
      <c r="C1629" s="132" t="s">
        <v>150</v>
      </c>
      <c r="D1629" s="129">
        <v>1</v>
      </c>
      <c r="E1629" s="129">
        <v>1.3818999999999999</v>
      </c>
      <c r="F1629" s="129">
        <v>1.3819000000000004</v>
      </c>
      <c r="G1629" s="129">
        <v>4.6609997999999999</v>
      </c>
      <c r="H1629" s="129">
        <v>4.6609997999999999</v>
      </c>
      <c r="I1629" s="131" t="s">
        <v>87</v>
      </c>
      <c r="J1629" s="132" t="s">
        <v>102</v>
      </c>
      <c r="K1629" s="130" t="s">
        <v>1558</v>
      </c>
      <c r="L1629" s="129" t="str">
        <f t="shared" si="25"/>
        <v>005-00000198</v>
      </c>
    </row>
    <row r="1630" spans="1:12" hidden="1" x14ac:dyDescent="0.25">
      <c r="A1630" s="130" t="s">
        <v>227</v>
      </c>
      <c r="B1630" s="130" t="s">
        <v>194</v>
      </c>
      <c r="C1630" s="132" t="s">
        <v>88</v>
      </c>
      <c r="D1630" s="129">
        <v>1</v>
      </c>
      <c r="E1630" s="129">
        <v>1.6415</v>
      </c>
      <c r="F1630" s="129">
        <v>1.6414999999999997</v>
      </c>
      <c r="G1630" s="129">
        <v>5.4759001999999999</v>
      </c>
      <c r="H1630" s="129">
        <v>5.4759001999999999</v>
      </c>
      <c r="I1630" s="131" t="s">
        <v>87</v>
      </c>
      <c r="J1630" s="132" t="s">
        <v>102</v>
      </c>
      <c r="K1630" s="130" t="s">
        <v>1558</v>
      </c>
      <c r="L1630" s="129" t="str">
        <f t="shared" si="25"/>
        <v>005-00000198</v>
      </c>
    </row>
    <row r="1631" spans="1:12" hidden="1" x14ac:dyDescent="0.25">
      <c r="A1631" s="130" t="s">
        <v>451</v>
      </c>
      <c r="B1631" s="130" t="s">
        <v>452</v>
      </c>
      <c r="C1631" s="132" t="s">
        <v>150</v>
      </c>
      <c r="D1631" s="129">
        <v>1</v>
      </c>
      <c r="E1631" s="129">
        <v>7.5157999999999996</v>
      </c>
      <c r="F1631" s="129">
        <v>7.5157999999999996</v>
      </c>
      <c r="G1631" s="129">
        <v>24.465</v>
      </c>
      <c r="H1631" s="129">
        <v>24.465</v>
      </c>
      <c r="I1631" s="131" t="s">
        <v>87</v>
      </c>
      <c r="J1631" s="132" t="s">
        <v>102</v>
      </c>
      <c r="K1631" s="130" t="s">
        <v>1679</v>
      </c>
      <c r="L1631" s="129" t="str">
        <f t="shared" si="25"/>
        <v>005-00000203</v>
      </c>
    </row>
    <row r="1632" spans="1:12" hidden="1" x14ac:dyDescent="0.25">
      <c r="A1632" s="130" t="s">
        <v>2088</v>
      </c>
      <c r="B1632" s="130" t="s">
        <v>2089</v>
      </c>
      <c r="C1632" s="132" t="s">
        <v>150</v>
      </c>
      <c r="D1632" s="129">
        <v>1</v>
      </c>
      <c r="E1632" s="129">
        <v>5.5201998000000003</v>
      </c>
      <c r="F1632" s="129">
        <v>5.5201998000000003</v>
      </c>
      <c r="G1632" s="129">
        <v>18.73</v>
      </c>
      <c r="H1632" s="129">
        <v>18.73</v>
      </c>
      <c r="I1632" s="131" t="s">
        <v>87</v>
      </c>
      <c r="J1632" s="132" t="s">
        <v>102</v>
      </c>
      <c r="K1632" s="130" t="s">
        <v>1679</v>
      </c>
      <c r="L1632" s="129" t="str">
        <f t="shared" si="25"/>
        <v>005-00000203</v>
      </c>
    </row>
    <row r="1633" spans="1:12" hidden="1" x14ac:dyDescent="0.25">
      <c r="A1633" s="130" t="s">
        <v>1030</v>
      </c>
      <c r="B1633" s="130" t="s">
        <v>1031</v>
      </c>
      <c r="C1633" s="132" t="s">
        <v>150</v>
      </c>
      <c r="D1633" s="129">
        <v>1</v>
      </c>
      <c r="E1633" s="129">
        <v>2.0106001</v>
      </c>
      <c r="F1633" s="129">
        <v>2.0106001</v>
      </c>
      <c r="G1633" s="129">
        <v>6.7796998000000004</v>
      </c>
      <c r="H1633" s="129">
        <v>6.7796998000000022</v>
      </c>
      <c r="I1633" s="131" t="s">
        <v>87</v>
      </c>
      <c r="J1633" s="132" t="s">
        <v>102</v>
      </c>
      <c r="K1633" s="130" t="s">
        <v>1517</v>
      </c>
      <c r="L1633" s="129" t="str">
        <f t="shared" si="25"/>
        <v>005-00000178</v>
      </c>
    </row>
    <row r="1634" spans="1:12" hidden="1" x14ac:dyDescent="0.25">
      <c r="A1634" s="130" t="s">
        <v>1028</v>
      </c>
      <c r="B1634" s="130" t="s">
        <v>1029</v>
      </c>
      <c r="C1634" s="132" t="s">
        <v>150</v>
      </c>
      <c r="D1634" s="129">
        <v>1</v>
      </c>
      <c r="E1634" s="129">
        <v>1.5079</v>
      </c>
      <c r="F1634" s="129">
        <v>1.5078999999999996</v>
      </c>
      <c r="G1634" s="129">
        <v>5.0847001000000001</v>
      </c>
      <c r="H1634" s="129">
        <v>5.0847001000000001</v>
      </c>
      <c r="I1634" s="131" t="s">
        <v>87</v>
      </c>
      <c r="J1634" s="132" t="s">
        <v>102</v>
      </c>
      <c r="K1634" s="130" t="s">
        <v>1517</v>
      </c>
      <c r="L1634" s="129" t="str">
        <f t="shared" si="25"/>
        <v>005-00000178</v>
      </c>
    </row>
    <row r="1635" spans="1:12" hidden="1" x14ac:dyDescent="0.25">
      <c r="A1635" s="130" t="s">
        <v>1034</v>
      </c>
      <c r="B1635" s="130" t="s">
        <v>1035</v>
      </c>
      <c r="C1635" s="132" t="s">
        <v>88</v>
      </c>
      <c r="D1635" s="129">
        <v>1</v>
      </c>
      <c r="E1635" s="129">
        <v>10.5677</v>
      </c>
      <c r="F1635" s="129">
        <v>10.567700000000002</v>
      </c>
      <c r="G1635" s="129">
        <v>35.745998</v>
      </c>
      <c r="H1635" s="129">
        <v>35.745998</v>
      </c>
      <c r="I1635" s="131" t="s">
        <v>87</v>
      </c>
      <c r="J1635" s="132" t="s">
        <v>102</v>
      </c>
      <c r="K1635" s="130" t="s">
        <v>1517</v>
      </c>
      <c r="L1635" s="129" t="str">
        <f t="shared" si="25"/>
        <v>005-00000178</v>
      </c>
    </row>
    <row r="1636" spans="1:12" hidden="1" x14ac:dyDescent="0.25">
      <c r="A1636" s="130" t="s">
        <v>409</v>
      </c>
      <c r="B1636" s="130" t="s">
        <v>408</v>
      </c>
      <c r="C1636" s="132" t="s">
        <v>150</v>
      </c>
      <c r="D1636" s="129">
        <v>4</v>
      </c>
      <c r="E1636" s="129">
        <v>1.4915</v>
      </c>
      <c r="F1636" s="129">
        <v>5.9659999999999993</v>
      </c>
      <c r="G1636" s="129">
        <v>6.1016002</v>
      </c>
      <c r="H1636" s="129">
        <v>24.406400800000007</v>
      </c>
      <c r="I1636" s="131" t="s">
        <v>87</v>
      </c>
      <c r="J1636" s="132" t="s">
        <v>102</v>
      </c>
      <c r="K1636" s="130" t="s">
        <v>1517</v>
      </c>
      <c r="L1636" s="129" t="str">
        <f t="shared" si="25"/>
        <v>005-00000178</v>
      </c>
    </row>
    <row r="1637" spans="1:12" hidden="1" x14ac:dyDescent="0.25">
      <c r="A1637" s="130" t="s">
        <v>1063</v>
      </c>
      <c r="B1637" s="130" t="s">
        <v>1064</v>
      </c>
      <c r="C1637" s="132" t="s">
        <v>153</v>
      </c>
      <c r="D1637" s="129">
        <v>1</v>
      </c>
      <c r="E1637" s="129">
        <v>8.6712998999999993</v>
      </c>
      <c r="F1637" s="129">
        <v>8.6712998999999993</v>
      </c>
      <c r="G1637" s="129">
        <v>28.780000999999999</v>
      </c>
      <c r="H1637" s="129">
        <v>28.780000999999992</v>
      </c>
      <c r="I1637" s="131" t="s">
        <v>87</v>
      </c>
      <c r="J1637" s="132" t="s">
        <v>102</v>
      </c>
      <c r="K1637" s="130" t="s">
        <v>1517</v>
      </c>
      <c r="L1637" s="129" t="str">
        <f t="shared" si="25"/>
        <v>005-00000178</v>
      </c>
    </row>
    <row r="1638" spans="1:12" hidden="1" x14ac:dyDescent="0.25">
      <c r="A1638" s="130" t="s">
        <v>1065</v>
      </c>
      <c r="B1638" s="130" t="s">
        <v>1066</v>
      </c>
      <c r="C1638" s="132" t="s">
        <v>153</v>
      </c>
      <c r="D1638" s="129">
        <v>1</v>
      </c>
      <c r="E1638" s="129">
        <v>9.6393003000000004</v>
      </c>
      <c r="F1638" s="129">
        <v>9.6393003000000004</v>
      </c>
      <c r="G1638" s="129">
        <v>32.459999000000003</v>
      </c>
      <c r="H1638" s="129">
        <v>32.459999000000003</v>
      </c>
      <c r="I1638" s="131" t="s">
        <v>87</v>
      </c>
      <c r="J1638" s="132" t="s">
        <v>102</v>
      </c>
      <c r="K1638" s="130" t="s">
        <v>1517</v>
      </c>
      <c r="L1638" s="129" t="str">
        <f t="shared" si="25"/>
        <v>005-00000178</v>
      </c>
    </row>
    <row r="1639" spans="1:12" hidden="1" x14ac:dyDescent="0.25">
      <c r="A1639" s="130" t="s">
        <v>227</v>
      </c>
      <c r="B1639" s="130" t="s">
        <v>194</v>
      </c>
      <c r="C1639" s="132" t="s">
        <v>88</v>
      </c>
      <c r="D1639" s="129">
        <v>1</v>
      </c>
      <c r="E1639" s="129">
        <v>1.6415</v>
      </c>
      <c r="F1639" s="129">
        <v>1.6414999999999997</v>
      </c>
      <c r="G1639" s="129">
        <v>5.4759001999999999</v>
      </c>
      <c r="H1639" s="129">
        <v>5.4759001999999999</v>
      </c>
      <c r="I1639" s="131" t="s">
        <v>87</v>
      </c>
      <c r="J1639" s="132" t="s">
        <v>102</v>
      </c>
      <c r="K1639" s="130" t="s">
        <v>1517</v>
      </c>
      <c r="L1639" s="129" t="str">
        <f t="shared" si="25"/>
        <v>005-00000178</v>
      </c>
    </row>
    <row r="1640" spans="1:12" hidden="1" x14ac:dyDescent="0.25">
      <c r="A1640" s="130" t="s">
        <v>544</v>
      </c>
      <c r="B1640" s="130" t="s">
        <v>545</v>
      </c>
      <c r="C1640" s="132" t="s">
        <v>150</v>
      </c>
      <c r="D1640" s="129">
        <v>2</v>
      </c>
      <c r="E1640" s="129">
        <v>2.5007999000000001</v>
      </c>
      <c r="F1640" s="129">
        <v>5.001599800000001</v>
      </c>
      <c r="G1640" s="129">
        <v>8.4745998</v>
      </c>
      <c r="H1640" s="129">
        <v>16.9491996</v>
      </c>
      <c r="I1640" s="131" t="s">
        <v>87</v>
      </c>
      <c r="J1640" s="132" t="s">
        <v>102</v>
      </c>
      <c r="K1640" s="130" t="s">
        <v>1517</v>
      </c>
      <c r="L1640" s="129" t="str">
        <f t="shared" si="25"/>
        <v>005-00000178</v>
      </c>
    </row>
    <row r="1641" spans="1:12" hidden="1" x14ac:dyDescent="0.25">
      <c r="A1641" s="130" t="s">
        <v>1046</v>
      </c>
      <c r="B1641" s="130" t="s">
        <v>1047</v>
      </c>
      <c r="C1641" s="132" t="s">
        <v>150</v>
      </c>
      <c r="D1641" s="129">
        <v>1</v>
      </c>
      <c r="E1641" s="129">
        <v>2.3491000999999998</v>
      </c>
      <c r="F1641" s="129">
        <v>2.3491000999999994</v>
      </c>
      <c r="G1641" s="129">
        <v>7.8814000999999996</v>
      </c>
      <c r="H1641" s="129">
        <v>7.8814000999999996</v>
      </c>
      <c r="I1641" s="131" t="s">
        <v>87</v>
      </c>
      <c r="J1641" s="132" t="s">
        <v>102</v>
      </c>
      <c r="K1641" s="130" t="s">
        <v>2091</v>
      </c>
      <c r="L1641" s="129" t="str">
        <f t="shared" si="25"/>
        <v>005-00000216</v>
      </c>
    </row>
    <row r="1642" spans="1:12" hidden="1" x14ac:dyDescent="0.25">
      <c r="A1642" s="130" t="s">
        <v>1034</v>
      </c>
      <c r="B1642" s="130" t="s">
        <v>1035</v>
      </c>
      <c r="C1642" s="132" t="s">
        <v>88</v>
      </c>
      <c r="D1642" s="129">
        <v>1</v>
      </c>
      <c r="E1642" s="129">
        <v>10.5677</v>
      </c>
      <c r="F1642" s="129">
        <v>10.567700000000002</v>
      </c>
      <c r="G1642" s="129">
        <v>35.745998</v>
      </c>
      <c r="H1642" s="129">
        <v>35.745998</v>
      </c>
      <c r="I1642" s="131" t="s">
        <v>87</v>
      </c>
      <c r="J1642" s="132" t="s">
        <v>102</v>
      </c>
      <c r="K1642" s="130" t="s">
        <v>2091</v>
      </c>
      <c r="L1642" s="129" t="str">
        <f t="shared" si="25"/>
        <v>005-00000216</v>
      </c>
    </row>
    <row r="1643" spans="1:12" hidden="1" x14ac:dyDescent="0.25">
      <c r="A1643" s="130" t="s">
        <v>227</v>
      </c>
      <c r="B1643" s="130" t="s">
        <v>194</v>
      </c>
      <c r="C1643" s="132" t="s">
        <v>88</v>
      </c>
      <c r="D1643" s="129">
        <v>1</v>
      </c>
      <c r="E1643" s="129">
        <v>1.6415</v>
      </c>
      <c r="F1643" s="129">
        <v>1.6414999999999997</v>
      </c>
      <c r="G1643" s="129">
        <v>5.4759001999999999</v>
      </c>
      <c r="H1643" s="129">
        <v>5.4759001999999999</v>
      </c>
      <c r="I1643" s="131" t="s">
        <v>87</v>
      </c>
      <c r="J1643" s="132" t="s">
        <v>102</v>
      </c>
      <c r="K1643" s="130" t="s">
        <v>2091</v>
      </c>
      <c r="L1643" s="129" t="str">
        <f t="shared" si="25"/>
        <v>005-00000216</v>
      </c>
    </row>
    <row r="1644" spans="1:12" hidden="1" x14ac:dyDescent="0.25">
      <c r="A1644" s="130" t="s">
        <v>544</v>
      </c>
      <c r="B1644" s="130" t="s">
        <v>545</v>
      </c>
      <c r="C1644" s="132" t="s">
        <v>150</v>
      </c>
      <c r="D1644" s="129">
        <v>1</v>
      </c>
      <c r="E1644" s="129">
        <v>2.5007999000000001</v>
      </c>
      <c r="F1644" s="129">
        <v>2.5007999000000005</v>
      </c>
      <c r="G1644" s="129">
        <v>8.4745998</v>
      </c>
      <c r="H1644" s="129">
        <v>8.4745998</v>
      </c>
      <c r="I1644" s="131" t="s">
        <v>87</v>
      </c>
      <c r="J1644" s="132" t="s">
        <v>102</v>
      </c>
      <c r="K1644" s="130" t="s">
        <v>2091</v>
      </c>
      <c r="L1644" s="129" t="str">
        <f t="shared" si="25"/>
        <v>005-00000216</v>
      </c>
    </row>
    <row r="1645" spans="1:12" hidden="1" x14ac:dyDescent="0.25">
      <c r="A1645" s="130" t="s">
        <v>1030</v>
      </c>
      <c r="B1645" s="130" t="s">
        <v>1031</v>
      </c>
      <c r="C1645" s="132" t="s">
        <v>150</v>
      </c>
      <c r="D1645" s="129">
        <v>1</v>
      </c>
      <c r="E1645" s="129">
        <v>2.0106001</v>
      </c>
      <c r="F1645" s="129">
        <v>2.0106001</v>
      </c>
      <c r="G1645" s="129">
        <v>6.7796998000000004</v>
      </c>
      <c r="H1645" s="129">
        <v>6.7796998000000022</v>
      </c>
      <c r="I1645" s="131" t="s">
        <v>87</v>
      </c>
      <c r="J1645" s="132" t="s">
        <v>102</v>
      </c>
      <c r="K1645" s="130" t="s">
        <v>2095</v>
      </c>
      <c r="L1645" s="129" t="str">
        <f t="shared" si="25"/>
        <v>005-00000228</v>
      </c>
    </row>
    <row r="1646" spans="1:12" hidden="1" x14ac:dyDescent="0.25">
      <c r="A1646" s="130" t="s">
        <v>544</v>
      </c>
      <c r="B1646" s="130" t="s">
        <v>545</v>
      </c>
      <c r="C1646" s="132" t="s">
        <v>150</v>
      </c>
      <c r="D1646" s="129">
        <v>2</v>
      </c>
      <c r="E1646" s="129">
        <v>2.5007999000000001</v>
      </c>
      <c r="F1646" s="129">
        <v>5.001599800000001</v>
      </c>
      <c r="G1646" s="129">
        <v>8.4745998</v>
      </c>
      <c r="H1646" s="129">
        <v>16.9491996</v>
      </c>
      <c r="I1646" s="131" t="s">
        <v>87</v>
      </c>
      <c r="J1646" s="132" t="s">
        <v>102</v>
      </c>
      <c r="K1646" s="130" t="s">
        <v>2095</v>
      </c>
      <c r="L1646" s="129" t="str">
        <f t="shared" si="25"/>
        <v>005-00000228</v>
      </c>
    </row>
    <row r="1647" spans="1:12" hidden="1" x14ac:dyDescent="0.25">
      <c r="A1647" s="130" t="s">
        <v>1082</v>
      </c>
      <c r="B1647" s="130" t="s">
        <v>1083</v>
      </c>
      <c r="C1647" s="132" t="s">
        <v>150</v>
      </c>
      <c r="D1647" s="129">
        <v>1</v>
      </c>
      <c r="E1647" s="129">
        <v>54.334000000000003</v>
      </c>
      <c r="F1647" s="129">
        <v>54.334000000000003</v>
      </c>
      <c r="G1647" s="129">
        <v>182.20339999999999</v>
      </c>
      <c r="H1647" s="129">
        <v>182.20339999999996</v>
      </c>
      <c r="I1647" s="131" t="s">
        <v>87</v>
      </c>
      <c r="J1647" s="132" t="s">
        <v>102</v>
      </c>
      <c r="K1647" s="130" t="s">
        <v>2094</v>
      </c>
      <c r="L1647" s="129" t="str">
        <f t="shared" si="25"/>
        <v>005-00000233</v>
      </c>
    </row>
    <row r="1648" spans="1:12" hidden="1" x14ac:dyDescent="0.25">
      <c r="A1648" s="130" t="s">
        <v>1030</v>
      </c>
      <c r="B1648" s="130" t="s">
        <v>1031</v>
      </c>
      <c r="C1648" s="132" t="s">
        <v>150</v>
      </c>
      <c r="D1648" s="129">
        <v>1</v>
      </c>
      <c r="E1648" s="129">
        <v>2.0106001</v>
      </c>
      <c r="F1648" s="129">
        <v>2.0106001</v>
      </c>
      <c r="G1648" s="129">
        <v>6.7796998000000004</v>
      </c>
      <c r="H1648" s="129">
        <v>6.7796998000000022</v>
      </c>
      <c r="I1648" s="131" t="s">
        <v>87</v>
      </c>
      <c r="J1648" s="132" t="s">
        <v>102</v>
      </c>
      <c r="K1648" s="130" t="s">
        <v>2094</v>
      </c>
      <c r="L1648" s="129" t="str">
        <f t="shared" si="25"/>
        <v>005-00000233</v>
      </c>
    </row>
    <row r="1649" spans="1:12" hidden="1" x14ac:dyDescent="0.25">
      <c r="A1649" s="130" t="s">
        <v>1028</v>
      </c>
      <c r="B1649" s="130" t="s">
        <v>1029</v>
      </c>
      <c r="C1649" s="132" t="s">
        <v>150</v>
      </c>
      <c r="D1649" s="129">
        <v>1</v>
      </c>
      <c r="E1649" s="129">
        <v>1.5079</v>
      </c>
      <c r="F1649" s="129">
        <v>1.5078999999999996</v>
      </c>
      <c r="G1649" s="129">
        <v>5.0847001000000001</v>
      </c>
      <c r="H1649" s="129">
        <v>5.0847001000000001</v>
      </c>
      <c r="I1649" s="131" t="s">
        <v>87</v>
      </c>
      <c r="J1649" s="132" t="s">
        <v>102</v>
      </c>
      <c r="K1649" s="130" t="s">
        <v>2094</v>
      </c>
      <c r="L1649" s="129" t="str">
        <f t="shared" si="25"/>
        <v>005-00000233</v>
      </c>
    </row>
    <row r="1650" spans="1:12" hidden="1" x14ac:dyDescent="0.25">
      <c r="A1650" s="130" t="s">
        <v>1034</v>
      </c>
      <c r="B1650" s="130" t="s">
        <v>1035</v>
      </c>
      <c r="C1650" s="132" t="s">
        <v>88</v>
      </c>
      <c r="D1650" s="129">
        <v>1</v>
      </c>
      <c r="E1650" s="129">
        <v>10.5677</v>
      </c>
      <c r="F1650" s="129">
        <v>10.567700000000002</v>
      </c>
      <c r="G1650" s="129">
        <v>35.745998</v>
      </c>
      <c r="H1650" s="129">
        <v>35.745998</v>
      </c>
      <c r="I1650" s="131" t="s">
        <v>87</v>
      </c>
      <c r="J1650" s="132" t="s">
        <v>102</v>
      </c>
      <c r="K1650" s="130" t="s">
        <v>2094</v>
      </c>
      <c r="L1650" s="129" t="str">
        <f t="shared" si="25"/>
        <v>005-00000233</v>
      </c>
    </row>
    <row r="1651" spans="1:12" hidden="1" x14ac:dyDescent="0.25">
      <c r="A1651" s="130" t="s">
        <v>227</v>
      </c>
      <c r="B1651" s="130" t="s">
        <v>194</v>
      </c>
      <c r="C1651" s="132" t="s">
        <v>88</v>
      </c>
      <c r="D1651" s="129">
        <v>1</v>
      </c>
      <c r="E1651" s="129">
        <v>1.6415</v>
      </c>
      <c r="F1651" s="129">
        <v>1.6414999999999997</v>
      </c>
      <c r="G1651" s="129">
        <v>5.4759001999999999</v>
      </c>
      <c r="H1651" s="129">
        <v>5.4759001999999999</v>
      </c>
      <c r="I1651" s="131" t="s">
        <v>87</v>
      </c>
      <c r="J1651" s="132" t="s">
        <v>102</v>
      </c>
      <c r="K1651" s="130" t="s">
        <v>2094</v>
      </c>
      <c r="L1651" s="129" t="str">
        <f t="shared" si="25"/>
        <v>005-00000233</v>
      </c>
    </row>
    <row r="1652" spans="1:12" hidden="1" x14ac:dyDescent="0.25">
      <c r="A1652" s="130" t="s">
        <v>529</v>
      </c>
      <c r="B1652" s="130" t="s">
        <v>530</v>
      </c>
      <c r="C1652" s="132" t="s">
        <v>88</v>
      </c>
      <c r="D1652" s="129">
        <v>0.25</v>
      </c>
      <c r="E1652" s="129">
        <v>14.7882</v>
      </c>
      <c r="F1652" s="129">
        <v>3.6970499999999991</v>
      </c>
      <c r="G1652" s="129">
        <v>49.75519899999999</v>
      </c>
      <c r="H1652" s="129">
        <v>12.438799749999998</v>
      </c>
      <c r="I1652" s="131" t="s">
        <v>87</v>
      </c>
      <c r="J1652" s="132" t="s">
        <v>102</v>
      </c>
      <c r="K1652" s="130" t="s">
        <v>2069</v>
      </c>
      <c r="L1652" s="129" t="str">
        <f t="shared" si="25"/>
        <v>005-00000207</v>
      </c>
    </row>
    <row r="1653" spans="1:12" hidden="1" x14ac:dyDescent="0.25">
      <c r="A1653" s="130" t="s">
        <v>1030</v>
      </c>
      <c r="B1653" s="130" t="s">
        <v>1031</v>
      </c>
      <c r="C1653" s="132" t="s">
        <v>150</v>
      </c>
      <c r="D1653" s="129">
        <v>1</v>
      </c>
      <c r="E1653" s="129">
        <v>2.0106001</v>
      </c>
      <c r="F1653" s="129">
        <v>2.0106001</v>
      </c>
      <c r="G1653" s="129">
        <v>6.7796998000000004</v>
      </c>
      <c r="H1653" s="129">
        <v>6.7796998000000022</v>
      </c>
      <c r="I1653" s="131" t="s">
        <v>87</v>
      </c>
      <c r="J1653" s="132" t="s">
        <v>102</v>
      </c>
      <c r="K1653" s="130" t="s">
        <v>1679</v>
      </c>
      <c r="L1653" s="129" t="str">
        <f t="shared" si="25"/>
        <v>005-00000203</v>
      </c>
    </row>
    <row r="1654" spans="1:12" hidden="1" x14ac:dyDescent="0.25">
      <c r="A1654" s="130" t="s">
        <v>331</v>
      </c>
      <c r="B1654" s="130" t="s">
        <v>332</v>
      </c>
      <c r="C1654" s="132" t="s">
        <v>150</v>
      </c>
      <c r="D1654" s="129">
        <v>1</v>
      </c>
      <c r="E1654" s="129">
        <v>1.0753999999999999</v>
      </c>
      <c r="F1654" s="129">
        <v>1.0754000000000001</v>
      </c>
      <c r="G1654" s="129">
        <v>3.6015999000000001</v>
      </c>
      <c r="H1654" s="129">
        <v>3.6015999000000005</v>
      </c>
      <c r="I1654" s="131" t="s">
        <v>87</v>
      </c>
      <c r="J1654" s="132" t="s">
        <v>102</v>
      </c>
      <c r="K1654" s="130" t="s">
        <v>1679</v>
      </c>
      <c r="L1654" s="129" t="str">
        <f t="shared" si="25"/>
        <v>005-00000203</v>
      </c>
    </row>
    <row r="1655" spans="1:12" hidden="1" x14ac:dyDescent="0.25">
      <c r="A1655" s="130" t="s">
        <v>329</v>
      </c>
      <c r="B1655" s="130" t="s">
        <v>330</v>
      </c>
      <c r="C1655" s="132" t="s">
        <v>150</v>
      </c>
      <c r="D1655" s="129">
        <v>1</v>
      </c>
      <c r="E1655" s="129">
        <v>1.2652000000000001</v>
      </c>
      <c r="F1655" s="129">
        <v>1.2652000000000003</v>
      </c>
      <c r="G1655" s="129">
        <v>4.2372999</v>
      </c>
      <c r="H1655" s="129">
        <v>4.2372999</v>
      </c>
      <c r="I1655" s="131" t="s">
        <v>87</v>
      </c>
      <c r="J1655" s="132" t="s">
        <v>102</v>
      </c>
      <c r="K1655" s="130" t="s">
        <v>1679</v>
      </c>
      <c r="L1655" s="129" t="str">
        <f t="shared" si="25"/>
        <v>005-00000203</v>
      </c>
    </row>
    <row r="1656" spans="1:12" hidden="1" x14ac:dyDescent="0.25">
      <c r="A1656" s="130" t="s">
        <v>1028</v>
      </c>
      <c r="B1656" s="130" t="s">
        <v>1029</v>
      </c>
      <c r="C1656" s="132" t="s">
        <v>150</v>
      </c>
      <c r="D1656" s="129">
        <v>1</v>
      </c>
      <c r="E1656" s="129">
        <v>1.5079</v>
      </c>
      <c r="F1656" s="129">
        <v>1.5078999999999996</v>
      </c>
      <c r="G1656" s="129">
        <v>5.0847001000000001</v>
      </c>
      <c r="H1656" s="129">
        <v>5.0847001000000001</v>
      </c>
      <c r="I1656" s="131" t="s">
        <v>87</v>
      </c>
      <c r="J1656" s="132" t="s">
        <v>102</v>
      </c>
      <c r="K1656" s="130" t="s">
        <v>1679</v>
      </c>
      <c r="L1656" s="129" t="str">
        <f t="shared" si="25"/>
        <v>005-00000203</v>
      </c>
    </row>
    <row r="1657" spans="1:12" hidden="1" x14ac:dyDescent="0.25">
      <c r="A1657" s="130" t="s">
        <v>1034</v>
      </c>
      <c r="B1657" s="130" t="s">
        <v>1035</v>
      </c>
      <c r="C1657" s="132" t="s">
        <v>88</v>
      </c>
      <c r="D1657" s="129">
        <v>1</v>
      </c>
      <c r="E1657" s="129">
        <v>10.5677</v>
      </c>
      <c r="F1657" s="129">
        <v>10.567700000000002</v>
      </c>
      <c r="G1657" s="129">
        <v>35.745998</v>
      </c>
      <c r="H1657" s="129">
        <v>35.745998</v>
      </c>
      <c r="I1657" s="131" t="s">
        <v>87</v>
      </c>
      <c r="J1657" s="132" t="s">
        <v>102</v>
      </c>
      <c r="K1657" s="130" t="s">
        <v>1679</v>
      </c>
      <c r="L1657" s="129" t="str">
        <f t="shared" si="25"/>
        <v>005-00000203</v>
      </c>
    </row>
    <row r="1658" spans="1:12" hidden="1" x14ac:dyDescent="0.25">
      <c r="A1658" s="130" t="s">
        <v>544</v>
      </c>
      <c r="B1658" s="130" t="s">
        <v>545</v>
      </c>
      <c r="C1658" s="132" t="s">
        <v>150</v>
      </c>
      <c r="D1658" s="129">
        <v>2</v>
      </c>
      <c r="E1658" s="129">
        <v>2.5007999000000001</v>
      </c>
      <c r="F1658" s="129">
        <v>5.001599800000001</v>
      </c>
      <c r="G1658" s="129">
        <v>8.4745998</v>
      </c>
      <c r="H1658" s="129">
        <v>16.9491996</v>
      </c>
      <c r="I1658" s="131" t="s">
        <v>87</v>
      </c>
      <c r="J1658" s="132" t="s">
        <v>102</v>
      </c>
      <c r="K1658" s="130" t="s">
        <v>1679</v>
      </c>
      <c r="L1658" s="129" t="str">
        <f t="shared" si="25"/>
        <v>005-00000203</v>
      </c>
    </row>
    <row r="1659" spans="1:12" hidden="1" x14ac:dyDescent="0.25">
      <c r="A1659" s="130" t="s">
        <v>227</v>
      </c>
      <c r="B1659" s="130" t="s">
        <v>194</v>
      </c>
      <c r="C1659" s="132" t="s">
        <v>88</v>
      </c>
      <c r="D1659" s="129">
        <v>1</v>
      </c>
      <c r="E1659" s="129">
        <v>1.6415</v>
      </c>
      <c r="F1659" s="129">
        <v>1.6414999999999997</v>
      </c>
      <c r="G1659" s="129">
        <v>5.4759001999999999</v>
      </c>
      <c r="H1659" s="129">
        <v>5.4759001999999999</v>
      </c>
      <c r="I1659" s="131" t="s">
        <v>87</v>
      </c>
      <c r="J1659" s="132" t="s">
        <v>102</v>
      </c>
      <c r="K1659" s="130" t="s">
        <v>1679</v>
      </c>
      <c r="L1659" s="129" t="str">
        <f t="shared" si="25"/>
        <v>005-00000203</v>
      </c>
    </row>
    <row r="1660" spans="1:12" hidden="1" x14ac:dyDescent="0.25">
      <c r="A1660" s="130" t="s">
        <v>1030</v>
      </c>
      <c r="B1660" s="130" t="s">
        <v>1031</v>
      </c>
      <c r="C1660" s="132" t="s">
        <v>150</v>
      </c>
      <c r="D1660" s="129">
        <v>1</v>
      </c>
      <c r="E1660" s="129">
        <v>2.0106001</v>
      </c>
      <c r="F1660" s="129">
        <v>2.0106001</v>
      </c>
      <c r="G1660" s="129">
        <v>6.7796998000000004</v>
      </c>
      <c r="H1660" s="129">
        <v>6.7796998000000022</v>
      </c>
      <c r="I1660" s="131" t="s">
        <v>87</v>
      </c>
      <c r="J1660" s="132" t="s">
        <v>102</v>
      </c>
      <c r="K1660" s="130" t="s">
        <v>1680</v>
      </c>
      <c r="L1660" s="129" t="str">
        <f t="shared" si="25"/>
        <v>005-00000202</v>
      </c>
    </row>
    <row r="1661" spans="1:12" hidden="1" x14ac:dyDescent="0.25">
      <c r="A1661" s="130" t="s">
        <v>1028</v>
      </c>
      <c r="B1661" s="130" t="s">
        <v>1029</v>
      </c>
      <c r="C1661" s="132" t="s">
        <v>150</v>
      </c>
      <c r="D1661" s="129">
        <v>1</v>
      </c>
      <c r="E1661" s="129">
        <v>1.5079</v>
      </c>
      <c r="F1661" s="129">
        <v>1.5078999999999996</v>
      </c>
      <c r="G1661" s="129">
        <v>5.0847001000000001</v>
      </c>
      <c r="H1661" s="129">
        <v>5.0847001000000001</v>
      </c>
      <c r="I1661" s="131" t="s">
        <v>87</v>
      </c>
      <c r="J1661" s="132" t="s">
        <v>102</v>
      </c>
      <c r="K1661" s="130" t="s">
        <v>1680</v>
      </c>
      <c r="L1661" s="129" t="str">
        <f t="shared" si="25"/>
        <v>005-00000202</v>
      </c>
    </row>
    <row r="1662" spans="1:12" hidden="1" x14ac:dyDescent="0.25">
      <c r="A1662" s="130" t="s">
        <v>1034</v>
      </c>
      <c r="B1662" s="130" t="s">
        <v>1035</v>
      </c>
      <c r="C1662" s="132" t="s">
        <v>88</v>
      </c>
      <c r="D1662" s="129">
        <v>1</v>
      </c>
      <c r="E1662" s="129">
        <v>10.5677</v>
      </c>
      <c r="F1662" s="129">
        <v>10.567700000000002</v>
      </c>
      <c r="G1662" s="129">
        <v>35.745998</v>
      </c>
      <c r="H1662" s="129">
        <v>35.745998</v>
      </c>
      <c r="I1662" s="131" t="s">
        <v>87</v>
      </c>
      <c r="J1662" s="132" t="s">
        <v>102</v>
      </c>
      <c r="K1662" s="130" t="s">
        <v>1680</v>
      </c>
      <c r="L1662" s="129" t="str">
        <f t="shared" si="25"/>
        <v>005-00000202</v>
      </c>
    </row>
    <row r="1663" spans="1:12" hidden="1" x14ac:dyDescent="0.25">
      <c r="A1663" s="130" t="s">
        <v>544</v>
      </c>
      <c r="B1663" s="130" t="s">
        <v>545</v>
      </c>
      <c r="C1663" s="132" t="s">
        <v>150</v>
      </c>
      <c r="D1663" s="129">
        <v>1</v>
      </c>
      <c r="E1663" s="129">
        <v>2.5007999000000001</v>
      </c>
      <c r="F1663" s="129">
        <v>2.5007999000000005</v>
      </c>
      <c r="G1663" s="129">
        <v>8.4745998</v>
      </c>
      <c r="H1663" s="129">
        <v>8.4745998</v>
      </c>
      <c r="I1663" s="131" t="s">
        <v>87</v>
      </c>
      <c r="J1663" s="132" t="s">
        <v>102</v>
      </c>
      <c r="K1663" s="130" t="s">
        <v>1680</v>
      </c>
      <c r="L1663" s="129" t="str">
        <f t="shared" si="25"/>
        <v>005-00000202</v>
      </c>
    </row>
    <row r="1664" spans="1:12" hidden="1" x14ac:dyDescent="0.25">
      <c r="A1664" s="130" t="s">
        <v>331</v>
      </c>
      <c r="B1664" s="130" t="s">
        <v>332</v>
      </c>
      <c r="C1664" s="132" t="s">
        <v>150</v>
      </c>
      <c r="D1664" s="129">
        <v>1</v>
      </c>
      <c r="E1664" s="129">
        <v>1.0753999999999999</v>
      </c>
      <c r="F1664" s="129">
        <v>1.0754000000000001</v>
      </c>
      <c r="G1664" s="129">
        <v>3.6015999000000001</v>
      </c>
      <c r="H1664" s="129">
        <v>3.6015999000000005</v>
      </c>
      <c r="I1664" s="131" t="s">
        <v>87</v>
      </c>
      <c r="J1664" s="132" t="s">
        <v>102</v>
      </c>
      <c r="K1664" s="130" t="s">
        <v>1678</v>
      </c>
      <c r="L1664" s="129" t="str">
        <f t="shared" si="25"/>
        <v>005-00000201</v>
      </c>
    </row>
    <row r="1665" spans="1:12" hidden="1" x14ac:dyDescent="0.25">
      <c r="A1665" s="130" t="s">
        <v>329</v>
      </c>
      <c r="B1665" s="130" t="s">
        <v>330</v>
      </c>
      <c r="C1665" s="132" t="s">
        <v>150</v>
      </c>
      <c r="D1665" s="129">
        <v>1</v>
      </c>
      <c r="E1665" s="129">
        <v>1.2652000000000001</v>
      </c>
      <c r="F1665" s="129">
        <v>1.2652000000000003</v>
      </c>
      <c r="G1665" s="129">
        <v>4.2372999</v>
      </c>
      <c r="H1665" s="129">
        <v>4.2372999</v>
      </c>
      <c r="I1665" s="131" t="s">
        <v>87</v>
      </c>
      <c r="J1665" s="132" t="s">
        <v>102</v>
      </c>
      <c r="K1665" s="130" t="s">
        <v>1678</v>
      </c>
      <c r="L1665" s="129" t="str">
        <f t="shared" si="25"/>
        <v>005-00000201</v>
      </c>
    </row>
    <row r="1666" spans="1:12" hidden="1" x14ac:dyDescent="0.25">
      <c r="A1666" s="130" t="s">
        <v>1082</v>
      </c>
      <c r="B1666" s="130" t="s">
        <v>1083</v>
      </c>
      <c r="C1666" s="132" t="s">
        <v>150</v>
      </c>
      <c r="D1666" s="129">
        <v>1</v>
      </c>
      <c r="E1666" s="129">
        <v>54.863998000000002</v>
      </c>
      <c r="F1666" s="129">
        <v>54.863997999999995</v>
      </c>
      <c r="G1666" s="129">
        <v>182.20339999999999</v>
      </c>
      <c r="H1666" s="129">
        <v>182.20339999999996</v>
      </c>
      <c r="I1666" s="131" t="s">
        <v>87</v>
      </c>
      <c r="J1666" s="132" t="s">
        <v>102</v>
      </c>
      <c r="K1666" s="130" t="s">
        <v>2239</v>
      </c>
      <c r="L1666" s="129" t="str">
        <f t="shared" si="25"/>
        <v>005-00000308</v>
      </c>
    </row>
    <row r="1667" spans="1:12" hidden="1" x14ac:dyDescent="0.25">
      <c r="A1667" s="130" t="s">
        <v>1082</v>
      </c>
      <c r="B1667" s="130" t="s">
        <v>1083</v>
      </c>
      <c r="C1667" s="132" t="s">
        <v>150</v>
      </c>
      <c r="D1667" s="129">
        <v>1</v>
      </c>
      <c r="E1667" s="129">
        <v>54.863998000000002</v>
      </c>
      <c r="F1667" s="129">
        <v>54.863997999999995</v>
      </c>
      <c r="G1667" s="129">
        <v>182.20339999999999</v>
      </c>
      <c r="H1667" s="129">
        <v>182.20339999999996</v>
      </c>
      <c r="I1667" s="131" t="s">
        <v>87</v>
      </c>
      <c r="J1667" s="132" t="s">
        <v>102</v>
      </c>
      <c r="K1667" s="130" t="s">
        <v>2240</v>
      </c>
      <c r="L1667" s="129" t="str">
        <f t="shared" si="25"/>
        <v>005-00000306</v>
      </c>
    </row>
    <row r="1668" spans="1:12" hidden="1" x14ac:dyDescent="0.25">
      <c r="A1668" s="130" t="s">
        <v>1082</v>
      </c>
      <c r="B1668" s="130" t="s">
        <v>1083</v>
      </c>
      <c r="C1668" s="132" t="s">
        <v>150</v>
      </c>
      <c r="D1668" s="129">
        <v>1</v>
      </c>
      <c r="E1668" s="129">
        <v>54.863998000000002</v>
      </c>
      <c r="F1668" s="129">
        <v>54.863997999999995</v>
      </c>
      <c r="G1668" s="129">
        <v>182.20339999999999</v>
      </c>
      <c r="H1668" s="129">
        <v>182.20339999999996</v>
      </c>
      <c r="I1668" s="131" t="s">
        <v>87</v>
      </c>
      <c r="J1668" s="132" t="s">
        <v>102</v>
      </c>
      <c r="K1668" s="130" t="s">
        <v>2216</v>
      </c>
      <c r="L1668" s="129" t="str">
        <f t="shared" si="25"/>
        <v>005-00000258</v>
      </c>
    </row>
    <row r="1669" spans="1:12" hidden="1" x14ac:dyDescent="0.25">
      <c r="A1669" s="130" t="s">
        <v>1082</v>
      </c>
      <c r="B1669" s="130" t="s">
        <v>1083</v>
      </c>
      <c r="C1669" s="132" t="s">
        <v>150</v>
      </c>
      <c r="D1669" s="129">
        <v>1</v>
      </c>
      <c r="E1669" s="129">
        <v>54.863998000000002</v>
      </c>
      <c r="F1669" s="129">
        <v>54.863997999999995</v>
      </c>
      <c r="G1669" s="129">
        <v>182.20339999999999</v>
      </c>
      <c r="H1669" s="129">
        <v>182.20339999999996</v>
      </c>
      <c r="I1669" s="131" t="s">
        <v>87</v>
      </c>
      <c r="J1669" s="132" t="s">
        <v>102</v>
      </c>
      <c r="K1669" s="130" t="s">
        <v>2241</v>
      </c>
      <c r="L1669" s="129" t="str">
        <f t="shared" si="25"/>
        <v>005-00000249</v>
      </c>
    </row>
    <row r="1670" spans="1:12" hidden="1" x14ac:dyDescent="0.25">
      <c r="A1670" s="130" t="s">
        <v>2169</v>
      </c>
      <c r="B1670" s="130" t="s">
        <v>2170</v>
      </c>
      <c r="C1670" s="132" t="s">
        <v>150</v>
      </c>
      <c r="D1670" s="129">
        <v>1</v>
      </c>
      <c r="E1670" s="129">
        <v>66.245102000000003</v>
      </c>
      <c r="F1670" s="129">
        <v>66.245102000000003</v>
      </c>
      <c r="G1670" s="129">
        <v>220</v>
      </c>
      <c r="H1670" s="129">
        <v>220</v>
      </c>
      <c r="I1670" s="131" t="s">
        <v>87</v>
      </c>
      <c r="J1670" s="132" t="s">
        <v>102</v>
      </c>
      <c r="K1670" s="130" t="s">
        <v>2239</v>
      </c>
      <c r="L1670" s="129" t="str">
        <f t="shared" ref="L1670:L1733" si="26">CONCATENATE(J1670,"-",K1670)</f>
        <v>005-00000308</v>
      </c>
    </row>
    <row r="1671" spans="1:12" hidden="1" x14ac:dyDescent="0.25">
      <c r="A1671" s="130" t="s">
        <v>2242</v>
      </c>
      <c r="B1671" s="130" t="s">
        <v>2243</v>
      </c>
      <c r="C1671" s="132" t="s">
        <v>150</v>
      </c>
      <c r="D1671" s="129">
        <v>1</v>
      </c>
      <c r="E1671" s="129">
        <v>7.6476002000000003</v>
      </c>
      <c r="F1671" s="129">
        <v>7.6476002000000003</v>
      </c>
      <c r="G1671" s="129">
        <v>25.389999</v>
      </c>
      <c r="H1671" s="129">
        <v>25.389999000000003</v>
      </c>
      <c r="I1671" s="131" t="s">
        <v>87</v>
      </c>
      <c r="J1671" s="132" t="s">
        <v>102</v>
      </c>
      <c r="K1671" s="130" t="s">
        <v>2244</v>
      </c>
      <c r="L1671" s="129" t="str">
        <f t="shared" si="26"/>
        <v>005-00000322</v>
      </c>
    </row>
    <row r="1672" spans="1:12" hidden="1" x14ac:dyDescent="0.25">
      <c r="A1672" s="130" t="s">
        <v>2245</v>
      </c>
      <c r="B1672" s="130" t="s">
        <v>2246</v>
      </c>
      <c r="C1672" s="132" t="s">
        <v>150</v>
      </c>
      <c r="D1672" s="129">
        <v>1</v>
      </c>
      <c r="E1672" s="129">
        <v>14.421699999999998</v>
      </c>
      <c r="F1672" s="129">
        <v>14.421699999999998</v>
      </c>
      <c r="G1672" s="129">
        <v>47.880001</v>
      </c>
      <c r="H1672" s="129">
        <v>47.880001</v>
      </c>
      <c r="I1672" s="131" t="s">
        <v>87</v>
      </c>
      <c r="J1672" s="132" t="s">
        <v>102</v>
      </c>
      <c r="K1672" s="130" t="s">
        <v>2244</v>
      </c>
      <c r="L1672" s="129" t="str">
        <f t="shared" si="26"/>
        <v>005-00000322</v>
      </c>
    </row>
    <row r="1673" spans="1:12" hidden="1" x14ac:dyDescent="0.25">
      <c r="A1673" s="130" t="s">
        <v>2247</v>
      </c>
      <c r="B1673" s="130" t="s">
        <v>2248</v>
      </c>
      <c r="C1673" s="132" t="s">
        <v>150</v>
      </c>
      <c r="D1673" s="129">
        <v>4</v>
      </c>
      <c r="E1673" s="129">
        <v>11.518099999999999</v>
      </c>
      <c r="F1673" s="129">
        <v>46.072400000000009</v>
      </c>
      <c r="G1673" s="129">
        <v>38.240001999999997</v>
      </c>
      <c r="H1673" s="129">
        <v>152.96000799999999</v>
      </c>
      <c r="I1673" s="131" t="s">
        <v>87</v>
      </c>
      <c r="J1673" s="132" t="s">
        <v>102</v>
      </c>
      <c r="K1673" s="130" t="s">
        <v>2244</v>
      </c>
      <c r="L1673" s="129" t="str">
        <f t="shared" si="26"/>
        <v>005-00000322</v>
      </c>
    </row>
    <row r="1674" spans="1:12" hidden="1" x14ac:dyDescent="0.25">
      <c r="A1674" s="130" t="s">
        <v>529</v>
      </c>
      <c r="B1674" s="130" t="s">
        <v>530</v>
      </c>
      <c r="C1674" s="132" t="s">
        <v>88</v>
      </c>
      <c r="D1674" s="129">
        <v>1.25</v>
      </c>
      <c r="E1674" s="129">
        <v>14.7882</v>
      </c>
      <c r="F1674" s="129">
        <v>18.485249999999997</v>
      </c>
      <c r="G1674" s="129">
        <v>49.75519899999999</v>
      </c>
      <c r="H1674" s="129">
        <v>62.193998749999992</v>
      </c>
      <c r="I1674" s="131" t="s">
        <v>87</v>
      </c>
      <c r="J1674" s="132" t="s">
        <v>102</v>
      </c>
      <c r="K1674" s="130" t="s">
        <v>2244</v>
      </c>
      <c r="L1674" s="129" t="str">
        <f t="shared" si="26"/>
        <v>005-00000322</v>
      </c>
    </row>
    <row r="1675" spans="1:12" hidden="1" x14ac:dyDescent="0.25">
      <c r="A1675" s="130" t="s">
        <v>2249</v>
      </c>
      <c r="B1675" s="130" t="s">
        <v>2250</v>
      </c>
      <c r="C1675" s="132" t="s">
        <v>150</v>
      </c>
      <c r="D1675" s="129">
        <v>1</v>
      </c>
      <c r="E1675" s="129">
        <v>5.8705001000000001</v>
      </c>
      <c r="F1675" s="129">
        <v>5.8705000999999992</v>
      </c>
      <c r="G1675" s="129">
        <v>19.489999999999998</v>
      </c>
      <c r="H1675" s="129">
        <v>19.489999999999998</v>
      </c>
      <c r="I1675" s="131" t="s">
        <v>87</v>
      </c>
      <c r="J1675" s="132" t="s">
        <v>102</v>
      </c>
      <c r="K1675" s="130" t="s">
        <v>2094</v>
      </c>
      <c r="L1675" s="129" t="str">
        <f t="shared" si="26"/>
        <v>005-00000233</v>
      </c>
    </row>
    <row r="1676" spans="1:12" hidden="1" x14ac:dyDescent="0.25">
      <c r="A1676" s="130" t="s">
        <v>1061</v>
      </c>
      <c r="B1676" s="130" t="s">
        <v>1062</v>
      </c>
      <c r="C1676" s="132" t="s">
        <v>226</v>
      </c>
      <c r="D1676" s="129">
        <v>1</v>
      </c>
      <c r="E1676" s="129">
        <v>61.45999900000001</v>
      </c>
      <c r="F1676" s="129">
        <v>61.459999000000018</v>
      </c>
      <c r="G1676" s="129">
        <v>205.27229</v>
      </c>
      <c r="H1676" s="129">
        <v>205.27229000000003</v>
      </c>
      <c r="I1676" s="131" t="s">
        <v>87</v>
      </c>
      <c r="J1676" s="132" t="s">
        <v>102</v>
      </c>
      <c r="K1676" s="130" t="s">
        <v>1679</v>
      </c>
      <c r="L1676" s="129" t="str">
        <f t="shared" si="26"/>
        <v>005-00000203</v>
      </c>
    </row>
    <row r="1677" spans="1:12" hidden="1" x14ac:dyDescent="0.25">
      <c r="A1677" s="130" t="s">
        <v>1061</v>
      </c>
      <c r="B1677" s="130" t="s">
        <v>1062</v>
      </c>
      <c r="C1677" s="132" t="s">
        <v>226</v>
      </c>
      <c r="D1677" s="129">
        <v>1</v>
      </c>
      <c r="E1677" s="129">
        <v>61.45999900000001</v>
      </c>
      <c r="F1677" s="129">
        <v>61.459999000000018</v>
      </c>
      <c r="G1677" s="129">
        <v>205.27229</v>
      </c>
      <c r="H1677" s="129">
        <v>205.27229000000003</v>
      </c>
      <c r="I1677" s="131" t="s">
        <v>87</v>
      </c>
      <c r="J1677" s="132" t="s">
        <v>102</v>
      </c>
      <c r="K1677" s="130" t="s">
        <v>1517</v>
      </c>
      <c r="L1677" s="129" t="str">
        <f t="shared" si="26"/>
        <v>005-00000178</v>
      </c>
    </row>
    <row r="1678" spans="1:12" hidden="1" x14ac:dyDescent="0.25">
      <c r="A1678" s="130" t="s">
        <v>2251</v>
      </c>
      <c r="B1678" s="130" t="s">
        <v>2252</v>
      </c>
      <c r="C1678" s="132" t="s">
        <v>150</v>
      </c>
      <c r="D1678" s="129">
        <v>2</v>
      </c>
      <c r="E1678" s="129">
        <v>38.208599</v>
      </c>
      <c r="F1678" s="129">
        <v>76.417197999999985</v>
      </c>
      <c r="G1678" s="129">
        <v>127.12</v>
      </c>
      <c r="H1678" s="129">
        <v>254.24</v>
      </c>
      <c r="I1678" s="131" t="s">
        <v>87</v>
      </c>
      <c r="J1678" s="132" t="s">
        <v>102</v>
      </c>
      <c r="K1678" s="130" t="s">
        <v>2091</v>
      </c>
      <c r="L1678" s="129" t="str">
        <f t="shared" si="26"/>
        <v>005-00000216</v>
      </c>
    </row>
    <row r="1679" spans="1:12" hidden="1" x14ac:dyDescent="0.25">
      <c r="A1679" s="130" t="s">
        <v>1476</v>
      </c>
      <c r="B1679" s="130" t="s">
        <v>1477</v>
      </c>
      <c r="C1679" s="132" t="s">
        <v>150</v>
      </c>
      <c r="D1679" s="129">
        <v>1</v>
      </c>
      <c r="E1679" s="129">
        <v>3.4384999000000001</v>
      </c>
      <c r="F1679" s="129">
        <v>3.4384998999999992</v>
      </c>
      <c r="G1679" s="129">
        <v>11.44</v>
      </c>
      <c r="H1679" s="129">
        <v>11.44</v>
      </c>
      <c r="I1679" s="131" t="s">
        <v>87</v>
      </c>
      <c r="J1679" s="132" t="s">
        <v>102</v>
      </c>
      <c r="K1679" s="130" t="s">
        <v>1575</v>
      </c>
      <c r="L1679" s="129" t="str">
        <f t="shared" si="26"/>
        <v>005-00000186</v>
      </c>
    </row>
    <row r="1680" spans="1:12" hidden="1" x14ac:dyDescent="0.25">
      <c r="A1680" s="130" t="s">
        <v>1592</v>
      </c>
      <c r="B1680" s="130" t="s">
        <v>1593</v>
      </c>
      <c r="C1680" s="132" t="s">
        <v>150</v>
      </c>
      <c r="D1680" s="129">
        <v>1</v>
      </c>
      <c r="E1680" s="129">
        <v>22.924600999999999</v>
      </c>
      <c r="F1680" s="129">
        <v>22.924600999999999</v>
      </c>
      <c r="G1680" s="129">
        <v>76.269997000000004</v>
      </c>
      <c r="H1680" s="129">
        <v>76.269997000000004</v>
      </c>
      <c r="I1680" s="131" t="s">
        <v>87</v>
      </c>
      <c r="J1680" s="132" t="s">
        <v>102</v>
      </c>
      <c r="K1680" s="130" t="s">
        <v>1575</v>
      </c>
      <c r="L1680" s="129" t="str">
        <f t="shared" si="26"/>
        <v>005-00000186</v>
      </c>
    </row>
    <row r="1681" spans="1:12" hidden="1" x14ac:dyDescent="0.25">
      <c r="A1681" s="130" t="s">
        <v>1592</v>
      </c>
      <c r="B1681" s="130" t="s">
        <v>1593</v>
      </c>
      <c r="C1681" s="132" t="s">
        <v>150</v>
      </c>
      <c r="D1681" s="129">
        <v>1</v>
      </c>
      <c r="E1681" s="129">
        <v>22.924600999999999</v>
      </c>
      <c r="F1681" s="129">
        <v>22.924600999999999</v>
      </c>
      <c r="G1681" s="129">
        <v>76.269997000000004</v>
      </c>
      <c r="H1681" s="129">
        <v>76.269997000000004</v>
      </c>
      <c r="I1681" s="131" t="s">
        <v>87</v>
      </c>
      <c r="J1681" s="132" t="s">
        <v>102</v>
      </c>
      <c r="K1681" s="130" t="s">
        <v>2216</v>
      </c>
      <c r="L1681" s="129" t="str">
        <f t="shared" si="26"/>
        <v>005-00000258</v>
      </c>
    </row>
    <row r="1682" spans="1:12" hidden="1" x14ac:dyDescent="0.25">
      <c r="A1682" s="130" t="s">
        <v>2141</v>
      </c>
      <c r="B1682" s="130" t="s">
        <v>2142</v>
      </c>
      <c r="C1682" s="132" t="s">
        <v>150</v>
      </c>
      <c r="D1682" s="129">
        <v>1</v>
      </c>
      <c r="E1682" s="129">
        <v>3.8203000999999999</v>
      </c>
      <c r="F1682" s="129">
        <v>3.8203000999999994</v>
      </c>
      <c r="G1682" s="129">
        <v>12.71</v>
      </c>
      <c r="H1682" s="129">
        <v>12.71</v>
      </c>
      <c r="I1682" s="131" t="s">
        <v>87</v>
      </c>
      <c r="J1682" s="132" t="s">
        <v>102</v>
      </c>
      <c r="K1682" s="130" t="s">
        <v>2253</v>
      </c>
      <c r="L1682" s="129" t="str">
        <f t="shared" si="26"/>
        <v>005-00000309</v>
      </c>
    </row>
    <row r="1683" spans="1:12" hidden="1" x14ac:dyDescent="0.25">
      <c r="A1683" s="130" t="s">
        <v>1055</v>
      </c>
      <c r="B1683" s="130" t="s">
        <v>1056</v>
      </c>
      <c r="C1683" s="132" t="s">
        <v>150</v>
      </c>
      <c r="D1683" s="129">
        <v>1</v>
      </c>
      <c r="E1683" s="129">
        <v>1.5107999999999999</v>
      </c>
      <c r="F1683" s="129">
        <v>1.5108000000000001</v>
      </c>
      <c r="G1683" s="129">
        <v>5.0847001000000001</v>
      </c>
      <c r="H1683" s="129">
        <v>5.0847001000000001</v>
      </c>
      <c r="I1683" s="131" t="s">
        <v>87</v>
      </c>
      <c r="J1683" s="132" t="s">
        <v>102</v>
      </c>
      <c r="K1683" s="130" t="s">
        <v>2253</v>
      </c>
      <c r="L1683" s="129" t="str">
        <f t="shared" si="26"/>
        <v>005-00000309</v>
      </c>
    </row>
    <row r="1684" spans="1:12" hidden="1" x14ac:dyDescent="0.25">
      <c r="A1684" s="130" t="s">
        <v>1034</v>
      </c>
      <c r="B1684" s="130" t="s">
        <v>1035</v>
      </c>
      <c r="C1684" s="132" t="s">
        <v>88</v>
      </c>
      <c r="D1684" s="129">
        <v>1</v>
      </c>
      <c r="E1684" s="129">
        <v>10.5677</v>
      </c>
      <c r="F1684" s="129">
        <v>10.567700000000002</v>
      </c>
      <c r="G1684" s="129">
        <v>35.745998</v>
      </c>
      <c r="H1684" s="129">
        <v>35.745998</v>
      </c>
      <c r="I1684" s="131" t="s">
        <v>87</v>
      </c>
      <c r="J1684" s="132" t="s">
        <v>102</v>
      </c>
      <c r="K1684" s="130" t="s">
        <v>2253</v>
      </c>
      <c r="L1684" s="129" t="str">
        <f t="shared" si="26"/>
        <v>005-00000309</v>
      </c>
    </row>
    <row r="1685" spans="1:12" hidden="1" x14ac:dyDescent="0.25">
      <c r="A1685" s="130" t="s">
        <v>227</v>
      </c>
      <c r="B1685" s="130" t="s">
        <v>194</v>
      </c>
      <c r="C1685" s="132" t="s">
        <v>88</v>
      </c>
      <c r="D1685" s="129">
        <v>1</v>
      </c>
      <c r="E1685" s="129">
        <v>1.6415</v>
      </c>
      <c r="F1685" s="129">
        <v>1.6414999999999997</v>
      </c>
      <c r="G1685" s="129">
        <v>5.4759001999999999</v>
      </c>
      <c r="H1685" s="129">
        <v>5.4759001999999999</v>
      </c>
      <c r="I1685" s="131" t="s">
        <v>87</v>
      </c>
      <c r="J1685" s="132" t="s">
        <v>102</v>
      </c>
      <c r="K1685" s="130" t="s">
        <v>2253</v>
      </c>
      <c r="L1685" s="129" t="str">
        <f t="shared" si="26"/>
        <v>005-00000309</v>
      </c>
    </row>
    <row r="1686" spans="1:12" hidden="1" x14ac:dyDescent="0.25">
      <c r="A1686" s="130" t="s">
        <v>227</v>
      </c>
      <c r="B1686" s="130" t="s">
        <v>194</v>
      </c>
      <c r="C1686" s="132" t="s">
        <v>88</v>
      </c>
      <c r="D1686" s="129">
        <v>1</v>
      </c>
      <c r="E1686" s="129">
        <v>1.6415</v>
      </c>
      <c r="F1686" s="129">
        <v>1.6414999999999997</v>
      </c>
      <c r="G1686" s="129">
        <v>5.4759001999999999</v>
      </c>
      <c r="H1686" s="129">
        <v>5.4759001999999999</v>
      </c>
      <c r="I1686" s="131" t="s">
        <v>87</v>
      </c>
      <c r="J1686" s="132" t="s">
        <v>102</v>
      </c>
      <c r="K1686" s="130" t="s">
        <v>1830</v>
      </c>
      <c r="L1686" s="129" t="str">
        <f t="shared" si="26"/>
        <v>005-00000114</v>
      </c>
    </row>
    <row r="1687" spans="1:12" hidden="1" x14ac:dyDescent="0.25">
      <c r="A1687" s="130" t="s">
        <v>227</v>
      </c>
      <c r="B1687" s="130" t="s">
        <v>194</v>
      </c>
      <c r="C1687" s="132" t="s">
        <v>88</v>
      </c>
      <c r="D1687" s="129">
        <v>1</v>
      </c>
      <c r="E1687" s="129">
        <v>1.6415</v>
      </c>
      <c r="F1687" s="129">
        <v>1.6414999999999997</v>
      </c>
      <c r="G1687" s="129">
        <v>5.4759001999999999</v>
      </c>
      <c r="H1687" s="129">
        <v>5.4759001999999999</v>
      </c>
      <c r="I1687" s="131" t="s">
        <v>87</v>
      </c>
      <c r="J1687" s="132" t="s">
        <v>102</v>
      </c>
      <c r="K1687" s="130" t="s">
        <v>2254</v>
      </c>
      <c r="L1687" s="129" t="str">
        <f t="shared" si="26"/>
        <v>005-00000301</v>
      </c>
    </row>
    <row r="1688" spans="1:12" hidden="1" x14ac:dyDescent="0.25">
      <c r="A1688" s="130" t="s">
        <v>415</v>
      </c>
      <c r="B1688" s="130" t="s">
        <v>416</v>
      </c>
      <c r="C1688" s="132" t="s">
        <v>153</v>
      </c>
      <c r="D1688" s="129">
        <v>1</v>
      </c>
      <c r="E1688" s="129">
        <v>9.6794004000000005</v>
      </c>
      <c r="F1688" s="129">
        <v>9.6794003999999987</v>
      </c>
      <c r="G1688" s="129">
        <v>32.203400000000002</v>
      </c>
      <c r="H1688" s="129">
        <v>32.203400000000002</v>
      </c>
      <c r="I1688" s="131" t="s">
        <v>87</v>
      </c>
      <c r="J1688" s="132" t="s">
        <v>102</v>
      </c>
      <c r="K1688" s="130" t="s">
        <v>2240</v>
      </c>
      <c r="L1688" s="129" t="str">
        <f t="shared" si="26"/>
        <v>005-00000306</v>
      </c>
    </row>
    <row r="1689" spans="1:12" hidden="1" x14ac:dyDescent="0.25">
      <c r="A1689" s="130" t="s">
        <v>2255</v>
      </c>
      <c r="B1689" s="130" t="s">
        <v>2256</v>
      </c>
      <c r="C1689" s="132" t="s">
        <v>153</v>
      </c>
      <c r="D1689" s="129">
        <v>1</v>
      </c>
      <c r="E1689" s="129">
        <v>8.9152001999999992</v>
      </c>
      <c r="F1689" s="129">
        <v>8.9152001999999992</v>
      </c>
      <c r="G1689" s="129">
        <v>29.660999</v>
      </c>
      <c r="H1689" s="129">
        <v>29.660999000000007</v>
      </c>
      <c r="I1689" s="131" t="s">
        <v>87</v>
      </c>
      <c r="J1689" s="132" t="s">
        <v>102</v>
      </c>
      <c r="K1689" s="130" t="s">
        <v>2240</v>
      </c>
      <c r="L1689" s="129" t="str">
        <f t="shared" si="26"/>
        <v>005-00000306</v>
      </c>
    </row>
    <row r="1690" spans="1:12" hidden="1" x14ac:dyDescent="0.25">
      <c r="A1690" s="130" t="s">
        <v>2157</v>
      </c>
      <c r="B1690" s="130" t="s">
        <v>2158</v>
      </c>
      <c r="C1690" s="132" t="s">
        <v>150</v>
      </c>
      <c r="D1690" s="129">
        <v>1</v>
      </c>
      <c r="E1690" s="129">
        <v>6.3680000000000003</v>
      </c>
      <c r="F1690" s="129">
        <v>6.3680000000000003</v>
      </c>
      <c r="G1690" s="129">
        <v>21.186399000000002</v>
      </c>
      <c r="H1690" s="129">
        <v>21.186399000000002</v>
      </c>
      <c r="I1690" s="131" t="s">
        <v>87</v>
      </c>
      <c r="J1690" s="132" t="s">
        <v>102</v>
      </c>
      <c r="K1690" s="130" t="s">
        <v>2240</v>
      </c>
      <c r="L1690" s="129" t="str">
        <f t="shared" si="26"/>
        <v>005-00000306</v>
      </c>
    </row>
    <row r="1691" spans="1:12" hidden="1" x14ac:dyDescent="0.25">
      <c r="A1691" s="130" t="s">
        <v>2141</v>
      </c>
      <c r="B1691" s="130" t="s">
        <v>2142</v>
      </c>
      <c r="C1691" s="132" t="s">
        <v>150</v>
      </c>
      <c r="D1691" s="129">
        <v>1</v>
      </c>
      <c r="E1691" s="129">
        <v>3.8203000999999999</v>
      </c>
      <c r="F1691" s="129">
        <v>3.8203000999999994</v>
      </c>
      <c r="G1691" s="129">
        <v>12.71</v>
      </c>
      <c r="H1691" s="129">
        <v>12.71</v>
      </c>
      <c r="I1691" s="131" t="s">
        <v>87</v>
      </c>
      <c r="J1691" s="132" t="s">
        <v>102</v>
      </c>
      <c r="K1691" s="130" t="s">
        <v>2240</v>
      </c>
      <c r="L1691" s="129" t="str">
        <f t="shared" si="26"/>
        <v>005-00000306</v>
      </c>
    </row>
    <row r="1692" spans="1:12" hidden="1" x14ac:dyDescent="0.25">
      <c r="A1692" s="130" t="s">
        <v>2141</v>
      </c>
      <c r="B1692" s="130" t="s">
        <v>2142</v>
      </c>
      <c r="C1692" s="132" t="s">
        <v>150</v>
      </c>
      <c r="D1692" s="129">
        <v>1</v>
      </c>
      <c r="E1692" s="129">
        <v>3.8203000999999999</v>
      </c>
      <c r="F1692" s="129">
        <v>3.8203000999999994</v>
      </c>
      <c r="G1692" s="129">
        <v>12.71</v>
      </c>
      <c r="H1692" s="129">
        <v>12.71</v>
      </c>
      <c r="I1692" s="131" t="s">
        <v>87</v>
      </c>
      <c r="J1692" s="132" t="s">
        <v>102</v>
      </c>
      <c r="K1692" s="130" t="s">
        <v>2257</v>
      </c>
      <c r="L1692" s="129" t="str">
        <f t="shared" si="26"/>
        <v>005-00000307</v>
      </c>
    </row>
    <row r="1693" spans="1:12" hidden="1" x14ac:dyDescent="0.25">
      <c r="A1693" s="130" t="s">
        <v>390</v>
      </c>
      <c r="B1693" s="130" t="s">
        <v>391</v>
      </c>
      <c r="C1693" s="132" t="s">
        <v>150</v>
      </c>
      <c r="D1693" s="129">
        <v>1</v>
      </c>
      <c r="E1693" s="129">
        <v>19.127099999999999</v>
      </c>
      <c r="F1693" s="129">
        <v>19.127099999999999</v>
      </c>
      <c r="G1693" s="129">
        <v>63.559299000000003</v>
      </c>
      <c r="H1693" s="129">
        <v>63.559298999999989</v>
      </c>
      <c r="I1693" s="131" t="s">
        <v>87</v>
      </c>
      <c r="J1693" s="132" t="s">
        <v>102</v>
      </c>
      <c r="K1693" s="130" t="s">
        <v>2258</v>
      </c>
      <c r="L1693" s="129" t="str">
        <f t="shared" si="26"/>
        <v>005-00000310</v>
      </c>
    </row>
    <row r="1694" spans="1:12" hidden="1" x14ac:dyDescent="0.25">
      <c r="A1694" s="130" t="s">
        <v>2159</v>
      </c>
      <c r="B1694" s="130" t="s">
        <v>2160</v>
      </c>
      <c r="C1694" s="132" t="s">
        <v>150</v>
      </c>
      <c r="D1694" s="129">
        <v>1</v>
      </c>
      <c r="E1694" s="129">
        <v>33.153599</v>
      </c>
      <c r="F1694" s="129">
        <v>33.153598999999993</v>
      </c>
      <c r="G1694" s="129">
        <v>110.16950000000001</v>
      </c>
      <c r="H1694" s="129">
        <v>110.16950000000003</v>
      </c>
      <c r="I1694" s="131" t="s">
        <v>87</v>
      </c>
      <c r="J1694" s="132" t="s">
        <v>102</v>
      </c>
      <c r="K1694" s="130" t="s">
        <v>2258</v>
      </c>
      <c r="L1694" s="129" t="str">
        <f t="shared" si="26"/>
        <v>005-00000310</v>
      </c>
    </row>
    <row r="1695" spans="1:12" hidden="1" x14ac:dyDescent="0.25">
      <c r="A1695" s="130" t="s">
        <v>2147</v>
      </c>
      <c r="B1695" s="130" t="s">
        <v>2148</v>
      </c>
      <c r="C1695" s="132" t="s">
        <v>150</v>
      </c>
      <c r="D1695" s="129">
        <v>1</v>
      </c>
      <c r="E1695" s="129">
        <v>3.8248999000000001</v>
      </c>
      <c r="F1695" s="129">
        <v>3.8248999000000001</v>
      </c>
      <c r="G1695" s="129">
        <v>12.71</v>
      </c>
      <c r="H1695" s="129">
        <v>12.71</v>
      </c>
      <c r="I1695" s="131" t="s">
        <v>87</v>
      </c>
      <c r="J1695" s="132" t="s">
        <v>102</v>
      </c>
      <c r="K1695" s="130" t="s">
        <v>2241</v>
      </c>
      <c r="L1695" s="129" t="str">
        <f t="shared" si="26"/>
        <v>005-00000249</v>
      </c>
    </row>
    <row r="1696" spans="1:12" hidden="1" x14ac:dyDescent="0.25">
      <c r="A1696" s="130" t="s">
        <v>2137</v>
      </c>
      <c r="B1696" s="130" t="s">
        <v>2138</v>
      </c>
      <c r="C1696" s="132" t="s">
        <v>150</v>
      </c>
      <c r="D1696" s="129">
        <v>1</v>
      </c>
      <c r="E1696" s="129">
        <v>12.7514</v>
      </c>
      <c r="F1696" s="129">
        <v>12.7514</v>
      </c>
      <c r="G1696" s="129">
        <v>42.372897999999992</v>
      </c>
      <c r="H1696" s="129">
        <v>42.372897999999985</v>
      </c>
      <c r="I1696" s="131" t="s">
        <v>87</v>
      </c>
      <c r="J1696" s="132" t="s">
        <v>102</v>
      </c>
      <c r="K1696" s="130" t="s">
        <v>2241</v>
      </c>
      <c r="L1696" s="129" t="str">
        <f t="shared" si="26"/>
        <v>005-00000249</v>
      </c>
    </row>
    <row r="1697" spans="1:12" hidden="1" x14ac:dyDescent="0.25">
      <c r="A1697" s="130" t="s">
        <v>2220</v>
      </c>
      <c r="B1697" s="130" t="s">
        <v>2221</v>
      </c>
      <c r="C1697" s="132" t="s">
        <v>153</v>
      </c>
      <c r="D1697" s="129">
        <v>1</v>
      </c>
      <c r="E1697" s="129">
        <v>48.455298999999997</v>
      </c>
      <c r="F1697" s="129">
        <v>48.455299000000004</v>
      </c>
      <c r="G1697" s="129">
        <v>161.01691</v>
      </c>
      <c r="H1697" s="129">
        <v>161.01691</v>
      </c>
      <c r="I1697" s="131" t="s">
        <v>87</v>
      </c>
      <c r="J1697" s="132" t="s">
        <v>102</v>
      </c>
      <c r="K1697" s="130" t="s">
        <v>1575</v>
      </c>
      <c r="L1697" s="129" t="str">
        <f t="shared" si="26"/>
        <v>005-00000186</v>
      </c>
    </row>
    <row r="1698" spans="1:12" hidden="1" x14ac:dyDescent="0.25">
      <c r="A1698" s="130" t="s">
        <v>2144</v>
      </c>
      <c r="B1698" s="130" t="s">
        <v>460</v>
      </c>
      <c r="C1698" s="132" t="s">
        <v>150</v>
      </c>
      <c r="D1698" s="129">
        <v>1</v>
      </c>
      <c r="E1698" s="129">
        <v>6.3776001999999998</v>
      </c>
      <c r="F1698" s="129">
        <v>6.3776002000000007</v>
      </c>
      <c r="G1698" s="129">
        <v>21.186399000000002</v>
      </c>
      <c r="H1698" s="129">
        <v>21.186399000000002</v>
      </c>
      <c r="I1698" s="131" t="s">
        <v>87</v>
      </c>
      <c r="J1698" s="132" t="s">
        <v>102</v>
      </c>
      <c r="K1698" s="130" t="s">
        <v>1575</v>
      </c>
      <c r="L1698" s="129" t="str">
        <f t="shared" si="26"/>
        <v>005-00000186</v>
      </c>
    </row>
    <row r="1699" spans="1:12" hidden="1" x14ac:dyDescent="0.25">
      <c r="A1699" s="130" t="s">
        <v>2147</v>
      </c>
      <c r="B1699" s="130" t="s">
        <v>2148</v>
      </c>
      <c r="C1699" s="132" t="s">
        <v>150</v>
      </c>
      <c r="D1699" s="129">
        <v>1</v>
      </c>
      <c r="E1699" s="129">
        <v>3.8248999000000001</v>
      </c>
      <c r="F1699" s="129">
        <v>3.8248999000000001</v>
      </c>
      <c r="G1699" s="129">
        <v>12.71</v>
      </c>
      <c r="H1699" s="129">
        <v>12.71</v>
      </c>
      <c r="I1699" s="131" t="s">
        <v>87</v>
      </c>
      <c r="J1699" s="132" t="s">
        <v>102</v>
      </c>
      <c r="K1699" s="130" t="s">
        <v>1575</v>
      </c>
      <c r="L1699" s="129" t="str">
        <f t="shared" si="26"/>
        <v>005-00000186</v>
      </c>
    </row>
    <row r="1700" spans="1:12" hidden="1" x14ac:dyDescent="0.25">
      <c r="A1700" s="130" t="s">
        <v>2208</v>
      </c>
      <c r="B1700" s="130" t="s">
        <v>2209</v>
      </c>
      <c r="C1700" s="132" t="s">
        <v>150</v>
      </c>
      <c r="D1700" s="129">
        <v>1</v>
      </c>
      <c r="E1700" s="129">
        <v>20.402201000000002</v>
      </c>
      <c r="F1700" s="129">
        <v>20.402201000000002</v>
      </c>
      <c r="G1700" s="129">
        <v>67.796599999999998</v>
      </c>
      <c r="H1700" s="129">
        <v>67.796599999999998</v>
      </c>
      <c r="I1700" s="131" t="s">
        <v>87</v>
      </c>
      <c r="J1700" s="132" t="s">
        <v>102</v>
      </c>
      <c r="K1700" s="130" t="s">
        <v>1575</v>
      </c>
      <c r="L1700" s="129" t="str">
        <f t="shared" si="26"/>
        <v>005-00000186</v>
      </c>
    </row>
    <row r="1701" spans="1:12" hidden="1" x14ac:dyDescent="0.25">
      <c r="A1701" s="130" t="s">
        <v>241</v>
      </c>
      <c r="B1701" s="130" t="s">
        <v>242</v>
      </c>
      <c r="C1701" s="132" t="s">
        <v>150</v>
      </c>
      <c r="D1701" s="129">
        <v>1</v>
      </c>
      <c r="E1701" s="129">
        <v>14.0265</v>
      </c>
      <c r="F1701" s="129">
        <v>14.026500000000004</v>
      </c>
      <c r="G1701" s="129">
        <v>46.610199000000001</v>
      </c>
      <c r="H1701" s="129">
        <v>46.610198999999994</v>
      </c>
      <c r="I1701" s="131" t="s">
        <v>87</v>
      </c>
      <c r="J1701" s="132" t="s">
        <v>102</v>
      </c>
      <c r="K1701" s="130" t="s">
        <v>1575</v>
      </c>
      <c r="L1701" s="129" t="str">
        <f t="shared" si="26"/>
        <v>005-00000186</v>
      </c>
    </row>
    <row r="1702" spans="1:12" hidden="1" x14ac:dyDescent="0.25">
      <c r="A1702" s="130" t="s">
        <v>2214</v>
      </c>
      <c r="B1702" s="130" t="s">
        <v>2215</v>
      </c>
      <c r="C1702" s="132" t="s">
        <v>153</v>
      </c>
      <c r="D1702" s="129">
        <v>1</v>
      </c>
      <c r="E1702" s="129">
        <v>56.108897999999996</v>
      </c>
      <c r="F1702" s="129">
        <v>56.108897999999996</v>
      </c>
      <c r="G1702" s="129">
        <v>186.45</v>
      </c>
      <c r="H1702" s="129">
        <v>186.45</v>
      </c>
      <c r="I1702" s="131" t="s">
        <v>87</v>
      </c>
      <c r="J1702" s="132" t="s">
        <v>102</v>
      </c>
      <c r="K1702" s="130" t="s">
        <v>1575</v>
      </c>
      <c r="L1702" s="129" t="str">
        <f t="shared" si="26"/>
        <v>005-00000186</v>
      </c>
    </row>
    <row r="1703" spans="1:12" hidden="1" x14ac:dyDescent="0.25">
      <c r="A1703" s="130" t="s">
        <v>1030</v>
      </c>
      <c r="B1703" s="130" t="s">
        <v>1031</v>
      </c>
      <c r="C1703" s="132" t="s">
        <v>150</v>
      </c>
      <c r="D1703" s="129">
        <v>1</v>
      </c>
      <c r="E1703" s="129">
        <v>2.0106001</v>
      </c>
      <c r="F1703" s="129">
        <v>2.0106001</v>
      </c>
      <c r="G1703" s="129">
        <v>6.7796998000000004</v>
      </c>
      <c r="H1703" s="129">
        <v>6.7796998000000022</v>
      </c>
      <c r="I1703" s="131" t="s">
        <v>87</v>
      </c>
      <c r="J1703" s="132" t="s">
        <v>102</v>
      </c>
      <c r="K1703" s="130" t="s">
        <v>1575</v>
      </c>
      <c r="L1703" s="129" t="str">
        <f t="shared" si="26"/>
        <v>005-00000186</v>
      </c>
    </row>
    <row r="1704" spans="1:12" hidden="1" x14ac:dyDescent="0.25">
      <c r="A1704" s="130" t="s">
        <v>1028</v>
      </c>
      <c r="B1704" s="130" t="s">
        <v>1029</v>
      </c>
      <c r="C1704" s="132" t="s">
        <v>150</v>
      </c>
      <c r="D1704" s="129">
        <v>1</v>
      </c>
      <c r="E1704" s="129">
        <v>1.5079</v>
      </c>
      <c r="F1704" s="129">
        <v>1.5078999999999996</v>
      </c>
      <c r="G1704" s="129">
        <v>5.0847001000000001</v>
      </c>
      <c r="H1704" s="129">
        <v>5.0847001000000001</v>
      </c>
      <c r="I1704" s="131" t="s">
        <v>87</v>
      </c>
      <c r="J1704" s="132" t="s">
        <v>102</v>
      </c>
      <c r="K1704" s="130" t="s">
        <v>1575</v>
      </c>
      <c r="L1704" s="129" t="str">
        <f t="shared" si="26"/>
        <v>005-00000186</v>
      </c>
    </row>
    <row r="1705" spans="1:12" hidden="1" x14ac:dyDescent="0.25">
      <c r="A1705" s="130" t="s">
        <v>1034</v>
      </c>
      <c r="B1705" s="130" t="s">
        <v>1035</v>
      </c>
      <c r="C1705" s="132" t="s">
        <v>88</v>
      </c>
      <c r="D1705" s="129">
        <v>1</v>
      </c>
      <c r="E1705" s="129">
        <v>10.5677</v>
      </c>
      <c r="F1705" s="129">
        <v>10.567700000000002</v>
      </c>
      <c r="G1705" s="129">
        <v>35.745998</v>
      </c>
      <c r="H1705" s="129">
        <v>35.745998</v>
      </c>
      <c r="I1705" s="131" t="s">
        <v>87</v>
      </c>
      <c r="J1705" s="132" t="s">
        <v>102</v>
      </c>
      <c r="K1705" s="130" t="s">
        <v>1575</v>
      </c>
      <c r="L1705" s="129" t="str">
        <f t="shared" si="26"/>
        <v>005-00000186</v>
      </c>
    </row>
    <row r="1706" spans="1:12" hidden="1" x14ac:dyDescent="0.25">
      <c r="A1706" s="130" t="s">
        <v>544</v>
      </c>
      <c r="B1706" s="130" t="s">
        <v>545</v>
      </c>
      <c r="C1706" s="132" t="s">
        <v>150</v>
      </c>
      <c r="D1706" s="129">
        <v>2</v>
      </c>
      <c r="E1706" s="129">
        <v>2.5007999000000001</v>
      </c>
      <c r="F1706" s="129">
        <v>5.001599800000001</v>
      </c>
      <c r="G1706" s="129">
        <v>8.4745998</v>
      </c>
      <c r="H1706" s="129">
        <v>16.9491996</v>
      </c>
      <c r="I1706" s="131" t="s">
        <v>87</v>
      </c>
      <c r="J1706" s="132" t="s">
        <v>102</v>
      </c>
      <c r="K1706" s="130" t="s">
        <v>1575</v>
      </c>
      <c r="L1706" s="129" t="str">
        <f t="shared" si="26"/>
        <v>005-00000186</v>
      </c>
    </row>
    <row r="1707" spans="1:12" hidden="1" x14ac:dyDescent="0.25">
      <c r="A1707" s="130" t="s">
        <v>1465</v>
      </c>
      <c r="B1707" s="130" t="s">
        <v>160</v>
      </c>
      <c r="C1707" s="132" t="s">
        <v>150</v>
      </c>
      <c r="D1707" s="129">
        <v>2</v>
      </c>
      <c r="E1707" s="129">
        <v>1.4021999999999999</v>
      </c>
      <c r="F1707" s="129">
        <v>2.8043999999999998</v>
      </c>
      <c r="G1707" s="129">
        <v>4.6609997999999999</v>
      </c>
      <c r="H1707" s="129">
        <v>9.3219995999999998</v>
      </c>
      <c r="I1707" s="131" t="s">
        <v>87</v>
      </c>
      <c r="J1707" s="132" t="s">
        <v>102</v>
      </c>
      <c r="K1707" s="130" t="s">
        <v>1575</v>
      </c>
      <c r="L1707" s="129" t="str">
        <f t="shared" si="26"/>
        <v>005-00000186</v>
      </c>
    </row>
    <row r="1708" spans="1:12" hidden="1" x14ac:dyDescent="0.25">
      <c r="A1708" s="130" t="s">
        <v>227</v>
      </c>
      <c r="B1708" s="130" t="s">
        <v>194</v>
      </c>
      <c r="C1708" s="132" t="s">
        <v>88</v>
      </c>
      <c r="D1708" s="129">
        <v>1</v>
      </c>
      <c r="E1708" s="129">
        <v>1.6415</v>
      </c>
      <c r="F1708" s="129">
        <v>1.6414999999999997</v>
      </c>
      <c r="G1708" s="129">
        <v>5.4759001999999999</v>
      </c>
      <c r="H1708" s="129">
        <v>5.4759001999999999</v>
      </c>
      <c r="I1708" s="131" t="s">
        <v>87</v>
      </c>
      <c r="J1708" s="132" t="s">
        <v>102</v>
      </c>
      <c r="K1708" s="130" t="s">
        <v>1575</v>
      </c>
      <c r="L1708" s="129" t="str">
        <f t="shared" si="26"/>
        <v>005-00000186</v>
      </c>
    </row>
    <row r="1709" spans="1:12" hidden="1" x14ac:dyDescent="0.25">
      <c r="A1709" s="130" t="s">
        <v>409</v>
      </c>
      <c r="B1709" s="130" t="s">
        <v>408</v>
      </c>
      <c r="C1709" s="132" t="s">
        <v>150</v>
      </c>
      <c r="D1709" s="129">
        <v>4</v>
      </c>
      <c r="E1709" s="129">
        <v>1.8340000000000001</v>
      </c>
      <c r="F1709" s="129">
        <v>7.3359999999999994</v>
      </c>
      <c r="G1709" s="129">
        <v>6.1016002</v>
      </c>
      <c r="H1709" s="129">
        <v>24.406400800000007</v>
      </c>
      <c r="I1709" s="131" t="s">
        <v>87</v>
      </c>
      <c r="J1709" s="132" t="s">
        <v>102</v>
      </c>
      <c r="K1709" s="130" t="s">
        <v>1575</v>
      </c>
      <c r="L1709" s="129" t="str">
        <f t="shared" si="26"/>
        <v>005-00000186</v>
      </c>
    </row>
    <row r="1710" spans="1:12" hidden="1" x14ac:dyDescent="0.25">
      <c r="A1710" s="130" t="s">
        <v>1482</v>
      </c>
      <c r="B1710" s="130" t="s">
        <v>1483</v>
      </c>
      <c r="C1710" s="132" t="s">
        <v>150</v>
      </c>
      <c r="D1710" s="129">
        <v>1</v>
      </c>
      <c r="E1710" s="129">
        <v>81.855698000000004</v>
      </c>
      <c r="F1710" s="129">
        <v>81.855698000000004</v>
      </c>
      <c r="G1710" s="129">
        <v>271.18639999999999</v>
      </c>
      <c r="H1710" s="129">
        <v>271.18639999999999</v>
      </c>
      <c r="I1710" s="131" t="s">
        <v>87</v>
      </c>
      <c r="J1710" s="132" t="s">
        <v>102</v>
      </c>
      <c r="K1710" s="130" t="s">
        <v>2241</v>
      </c>
      <c r="L1710" s="129" t="str">
        <f t="shared" si="26"/>
        <v>005-00000249</v>
      </c>
    </row>
    <row r="1711" spans="1:12" hidden="1" x14ac:dyDescent="0.25">
      <c r="A1711" s="130" t="s">
        <v>2167</v>
      </c>
      <c r="B1711" s="130" t="s">
        <v>2168</v>
      </c>
      <c r="C1711" s="132" t="s">
        <v>150</v>
      </c>
      <c r="D1711" s="129">
        <v>1</v>
      </c>
      <c r="E1711" s="129">
        <v>64.104202000000001</v>
      </c>
      <c r="F1711" s="129">
        <v>64.104202000000001</v>
      </c>
      <c r="G1711" s="129">
        <v>211.86439999999999</v>
      </c>
      <c r="H1711" s="129">
        <v>211.86439999999999</v>
      </c>
      <c r="I1711" s="131" t="s">
        <v>87</v>
      </c>
      <c r="J1711" s="132" t="s">
        <v>102</v>
      </c>
      <c r="K1711" s="130" t="s">
        <v>2259</v>
      </c>
      <c r="L1711" s="129" t="str">
        <f t="shared" si="26"/>
        <v>005-00000294</v>
      </c>
    </row>
    <row r="1712" spans="1:12" hidden="1" x14ac:dyDescent="0.25">
      <c r="A1712" s="130" t="s">
        <v>2204</v>
      </c>
      <c r="B1712" s="130" t="s">
        <v>2205</v>
      </c>
      <c r="C1712" s="132" t="s">
        <v>150</v>
      </c>
      <c r="D1712" s="129">
        <v>1</v>
      </c>
      <c r="E1712" s="129">
        <v>24.3596</v>
      </c>
      <c r="F1712" s="129">
        <v>24.359600000000004</v>
      </c>
      <c r="G1712" s="129">
        <v>80.508499</v>
      </c>
      <c r="H1712" s="129">
        <v>80.508499</v>
      </c>
      <c r="I1712" s="131" t="s">
        <v>87</v>
      </c>
      <c r="J1712" s="132" t="s">
        <v>102</v>
      </c>
      <c r="K1712" s="130" t="s">
        <v>2259</v>
      </c>
      <c r="L1712" s="129" t="str">
        <f t="shared" si="26"/>
        <v>005-00000294</v>
      </c>
    </row>
    <row r="1713" spans="1:12" hidden="1" x14ac:dyDescent="0.25">
      <c r="A1713" s="130" t="s">
        <v>2260</v>
      </c>
      <c r="B1713" s="130" t="s">
        <v>2261</v>
      </c>
      <c r="C1713" s="132" t="s">
        <v>150</v>
      </c>
      <c r="D1713" s="129">
        <v>1</v>
      </c>
      <c r="E1713" s="129">
        <v>117.9517</v>
      </c>
      <c r="F1713" s="129">
        <v>117.95169999999999</v>
      </c>
      <c r="G1713" s="129">
        <v>389.83051</v>
      </c>
      <c r="H1713" s="129">
        <v>389.83051</v>
      </c>
      <c r="I1713" s="131" t="s">
        <v>87</v>
      </c>
      <c r="J1713" s="132" t="s">
        <v>102</v>
      </c>
      <c r="K1713" s="130" t="s">
        <v>2259</v>
      </c>
      <c r="L1713" s="129" t="str">
        <f t="shared" si="26"/>
        <v>005-00000294</v>
      </c>
    </row>
    <row r="1714" spans="1:12" hidden="1" x14ac:dyDescent="0.25">
      <c r="A1714" s="130" t="s">
        <v>2262</v>
      </c>
      <c r="B1714" s="130" t="s">
        <v>2263</v>
      </c>
      <c r="C1714" s="132" t="s">
        <v>150</v>
      </c>
      <c r="D1714" s="129">
        <v>1</v>
      </c>
      <c r="E1714" s="129">
        <v>196.15890999999999</v>
      </c>
      <c r="F1714" s="129">
        <v>196.15890999999999</v>
      </c>
      <c r="G1714" s="129">
        <v>648.30511000000001</v>
      </c>
      <c r="H1714" s="129">
        <v>648.30511000000001</v>
      </c>
      <c r="I1714" s="131" t="s">
        <v>87</v>
      </c>
      <c r="J1714" s="132" t="s">
        <v>102</v>
      </c>
      <c r="K1714" s="130" t="s">
        <v>2259</v>
      </c>
      <c r="L1714" s="129" t="str">
        <f t="shared" si="26"/>
        <v>005-00000294</v>
      </c>
    </row>
    <row r="1715" spans="1:12" hidden="1" x14ac:dyDescent="0.25">
      <c r="A1715" s="130" t="s">
        <v>2141</v>
      </c>
      <c r="B1715" s="130" t="s">
        <v>2142</v>
      </c>
      <c r="C1715" s="132" t="s">
        <v>150</v>
      </c>
      <c r="D1715" s="129">
        <v>1</v>
      </c>
      <c r="E1715" s="129">
        <v>7.5506000999999996</v>
      </c>
      <c r="F1715" s="129">
        <v>7.5506001000000005</v>
      </c>
      <c r="G1715" s="129">
        <v>25</v>
      </c>
      <c r="H1715" s="129">
        <v>25</v>
      </c>
      <c r="I1715" s="131" t="s">
        <v>87</v>
      </c>
      <c r="J1715" s="132" t="s">
        <v>102</v>
      </c>
      <c r="K1715" s="130" t="s">
        <v>2259</v>
      </c>
      <c r="L1715" s="129" t="str">
        <f t="shared" si="26"/>
        <v>005-00000294</v>
      </c>
    </row>
    <row r="1716" spans="1:12" hidden="1" x14ac:dyDescent="0.25">
      <c r="A1716" s="130" t="s">
        <v>2264</v>
      </c>
      <c r="B1716" s="130" t="s">
        <v>2265</v>
      </c>
      <c r="C1716" s="132" t="s">
        <v>153</v>
      </c>
      <c r="D1716" s="129">
        <v>1</v>
      </c>
      <c r="E1716" s="129">
        <v>28.154699000000001</v>
      </c>
      <c r="F1716" s="129">
        <v>28.154699000000001</v>
      </c>
      <c r="G1716" s="129">
        <v>93.220298999999997</v>
      </c>
      <c r="H1716" s="129">
        <v>93.220298999999997</v>
      </c>
      <c r="I1716" s="131" t="s">
        <v>87</v>
      </c>
      <c r="J1716" s="132" t="s">
        <v>102</v>
      </c>
      <c r="K1716" s="130" t="s">
        <v>2259</v>
      </c>
      <c r="L1716" s="129" t="str">
        <f t="shared" si="26"/>
        <v>005-00000294</v>
      </c>
    </row>
    <row r="1717" spans="1:12" hidden="1" x14ac:dyDescent="0.25">
      <c r="A1717" s="130" t="s">
        <v>1472</v>
      </c>
      <c r="B1717" s="130" t="s">
        <v>1473</v>
      </c>
      <c r="C1717" s="132" t="s">
        <v>153</v>
      </c>
      <c r="D1717" s="129">
        <v>1</v>
      </c>
      <c r="E1717" s="129">
        <v>46.071399999999997</v>
      </c>
      <c r="F1717" s="129">
        <v>46.071399999999997</v>
      </c>
      <c r="G1717" s="129">
        <v>152.54239999999999</v>
      </c>
      <c r="H1717" s="129">
        <v>152.54239999999999</v>
      </c>
      <c r="I1717" s="131" t="s">
        <v>87</v>
      </c>
      <c r="J1717" s="132" t="s">
        <v>102</v>
      </c>
      <c r="K1717" s="130" t="s">
        <v>2259</v>
      </c>
      <c r="L1717" s="129" t="str">
        <f t="shared" si="26"/>
        <v>005-00000294</v>
      </c>
    </row>
    <row r="1718" spans="1:12" hidden="1" x14ac:dyDescent="0.25">
      <c r="A1718" s="130" t="s">
        <v>2059</v>
      </c>
      <c r="B1718" s="130" t="s">
        <v>2060</v>
      </c>
      <c r="C1718" s="132" t="s">
        <v>150</v>
      </c>
      <c r="D1718" s="129">
        <v>1</v>
      </c>
      <c r="E1718" s="129">
        <v>18.121400999999999</v>
      </c>
      <c r="F1718" s="129">
        <v>18.121400999999995</v>
      </c>
      <c r="G1718" s="129">
        <v>60</v>
      </c>
      <c r="H1718" s="129">
        <v>60</v>
      </c>
      <c r="I1718" s="131" t="s">
        <v>87</v>
      </c>
      <c r="J1718" s="132" t="s">
        <v>102</v>
      </c>
      <c r="K1718" s="130" t="s">
        <v>2259</v>
      </c>
      <c r="L1718" s="129" t="str">
        <f t="shared" si="26"/>
        <v>005-00000294</v>
      </c>
    </row>
    <row r="1719" spans="1:12" hidden="1" x14ac:dyDescent="0.25">
      <c r="A1719" s="130" t="s">
        <v>2130</v>
      </c>
      <c r="B1719" s="130" t="s">
        <v>2131</v>
      </c>
      <c r="C1719" s="132" t="s">
        <v>150</v>
      </c>
      <c r="D1719" s="129">
        <v>1</v>
      </c>
      <c r="E1719" s="129">
        <v>8.3184003999999998</v>
      </c>
      <c r="F1719" s="129">
        <v>8.3184003999999998</v>
      </c>
      <c r="G1719" s="129">
        <v>27.542400000000001</v>
      </c>
      <c r="H1719" s="129">
        <v>27.542399999999997</v>
      </c>
      <c r="I1719" s="131" t="s">
        <v>87</v>
      </c>
      <c r="J1719" s="132" t="s">
        <v>102</v>
      </c>
      <c r="K1719" s="130" t="s">
        <v>2259</v>
      </c>
      <c r="L1719" s="129" t="str">
        <f t="shared" si="26"/>
        <v>005-00000294</v>
      </c>
    </row>
    <row r="1720" spans="1:12" hidden="1" x14ac:dyDescent="0.25">
      <c r="A1720" s="130" t="s">
        <v>2132</v>
      </c>
      <c r="B1720" s="130" t="s">
        <v>2133</v>
      </c>
      <c r="C1720" s="132" t="s">
        <v>150</v>
      </c>
      <c r="D1720" s="129">
        <v>1</v>
      </c>
      <c r="E1720" s="129">
        <v>8.3184003999999998</v>
      </c>
      <c r="F1720" s="129">
        <v>8.3184003999999998</v>
      </c>
      <c r="G1720" s="129">
        <v>27.542400000000001</v>
      </c>
      <c r="H1720" s="129">
        <v>27.542399999999997</v>
      </c>
      <c r="I1720" s="131" t="s">
        <v>87</v>
      </c>
      <c r="J1720" s="132" t="s">
        <v>102</v>
      </c>
      <c r="K1720" s="130" t="s">
        <v>2259</v>
      </c>
      <c r="L1720" s="129" t="str">
        <f t="shared" si="26"/>
        <v>005-00000294</v>
      </c>
    </row>
    <row r="1721" spans="1:12" hidden="1" x14ac:dyDescent="0.25">
      <c r="A1721" s="130" t="s">
        <v>2266</v>
      </c>
      <c r="B1721" s="130" t="s">
        <v>2267</v>
      </c>
      <c r="C1721" s="132" t="s">
        <v>153</v>
      </c>
      <c r="D1721" s="129">
        <v>1</v>
      </c>
      <c r="E1721" s="129">
        <v>51.190398999999999</v>
      </c>
      <c r="F1721" s="129">
        <v>51.190398999999999</v>
      </c>
      <c r="G1721" s="129">
        <v>169.4915</v>
      </c>
      <c r="H1721" s="129">
        <v>169.49150000000006</v>
      </c>
      <c r="I1721" s="131" t="s">
        <v>87</v>
      </c>
      <c r="J1721" s="132" t="s">
        <v>102</v>
      </c>
      <c r="K1721" s="130" t="s">
        <v>2259</v>
      </c>
      <c r="L1721" s="129" t="str">
        <f t="shared" si="26"/>
        <v>005-00000294</v>
      </c>
    </row>
    <row r="1722" spans="1:12" hidden="1" x14ac:dyDescent="0.25">
      <c r="A1722" s="130" t="s">
        <v>2268</v>
      </c>
      <c r="B1722" s="130" t="s">
        <v>2269</v>
      </c>
      <c r="C1722" s="132" t="s">
        <v>153</v>
      </c>
      <c r="D1722" s="129">
        <v>1</v>
      </c>
      <c r="E1722" s="129">
        <v>51.190398999999999</v>
      </c>
      <c r="F1722" s="129">
        <v>51.190398999999999</v>
      </c>
      <c r="G1722" s="129">
        <v>169.4915</v>
      </c>
      <c r="H1722" s="129">
        <v>169.49150000000006</v>
      </c>
      <c r="I1722" s="131" t="s">
        <v>87</v>
      </c>
      <c r="J1722" s="132" t="s">
        <v>102</v>
      </c>
      <c r="K1722" s="130" t="s">
        <v>2259</v>
      </c>
      <c r="L1722" s="129" t="str">
        <f t="shared" si="26"/>
        <v>005-00000294</v>
      </c>
    </row>
    <row r="1723" spans="1:12" hidden="1" x14ac:dyDescent="0.25">
      <c r="A1723" s="130" t="s">
        <v>251</v>
      </c>
      <c r="B1723" s="130" t="s">
        <v>252</v>
      </c>
      <c r="C1723" s="132" t="s">
        <v>153</v>
      </c>
      <c r="D1723" s="129">
        <v>1</v>
      </c>
      <c r="E1723" s="129">
        <v>23.032301000000004</v>
      </c>
      <c r="F1723" s="129">
        <v>23.032301000000004</v>
      </c>
      <c r="G1723" s="129">
        <v>76.260002</v>
      </c>
      <c r="H1723" s="129">
        <v>76.260002000000014</v>
      </c>
      <c r="I1723" s="131" t="s">
        <v>87</v>
      </c>
      <c r="J1723" s="132" t="s">
        <v>102</v>
      </c>
      <c r="K1723" s="130" t="s">
        <v>2259</v>
      </c>
      <c r="L1723" s="129" t="str">
        <f t="shared" si="26"/>
        <v>005-00000294</v>
      </c>
    </row>
    <row r="1724" spans="1:12" hidden="1" x14ac:dyDescent="0.25">
      <c r="A1724" s="130" t="s">
        <v>2130</v>
      </c>
      <c r="B1724" s="130" t="s">
        <v>2131</v>
      </c>
      <c r="C1724" s="132" t="s">
        <v>150</v>
      </c>
      <c r="D1724" s="129">
        <v>1</v>
      </c>
      <c r="E1724" s="129">
        <v>6.4099997999999996</v>
      </c>
      <c r="F1724" s="129">
        <v>6.4099997999999996</v>
      </c>
      <c r="G1724" s="129">
        <v>21.184999000000001</v>
      </c>
      <c r="H1724" s="129">
        <v>21.184999000000001</v>
      </c>
      <c r="I1724" s="131" t="s">
        <v>87</v>
      </c>
      <c r="J1724" s="132" t="s">
        <v>102</v>
      </c>
      <c r="K1724" s="130" t="s">
        <v>645</v>
      </c>
      <c r="L1724" s="129" t="str">
        <f t="shared" si="26"/>
        <v>005-00000056</v>
      </c>
    </row>
    <row r="1725" spans="1:12" hidden="1" x14ac:dyDescent="0.25">
      <c r="A1725" s="130" t="s">
        <v>2132</v>
      </c>
      <c r="B1725" s="130" t="s">
        <v>2133</v>
      </c>
      <c r="C1725" s="132" t="s">
        <v>150</v>
      </c>
      <c r="D1725" s="129">
        <v>1</v>
      </c>
      <c r="E1725" s="129">
        <v>6.4099997999999996</v>
      </c>
      <c r="F1725" s="129">
        <v>6.4099997999999996</v>
      </c>
      <c r="G1725" s="129">
        <v>21.184999000000001</v>
      </c>
      <c r="H1725" s="129">
        <v>21.184999000000001</v>
      </c>
      <c r="I1725" s="131" t="s">
        <v>87</v>
      </c>
      <c r="J1725" s="132" t="s">
        <v>102</v>
      </c>
      <c r="K1725" s="130" t="s">
        <v>645</v>
      </c>
      <c r="L1725" s="129" t="str">
        <f t="shared" si="26"/>
        <v>005-00000056</v>
      </c>
    </row>
    <row r="1726" spans="1:12" hidden="1" x14ac:dyDescent="0.25">
      <c r="A1726" s="130" t="s">
        <v>390</v>
      </c>
      <c r="B1726" s="130" t="s">
        <v>391</v>
      </c>
      <c r="C1726" s="132" t="s">
        <v>150</v>
      </c>
      <c r="D1726" s="129">
        <v>1</v>
      </c>
      <c r="E1726" s="129">
        <v>19.196400000000001</v>
      </c>
      <c r="F1726" s="129">
        <v>19.196400000000001</v>
      </c>
      <c r="G1726" s="129">
        <v>63.559299000000003</v>
      </c>
      <c r="H1726" s="129">
        <v>63.559298999999989</v>
      </c>
      <c r="I1726" s="131" t="s">
        <v>87</v>
      </c>
      <c r="J1726" s="132" t="s">
        <v>102</v>
      </c>
      <c r="K1726" s="130" t="s">
        <v>2216</v>
      </c>
      <c r="L1726" s="129" t="str">
        <f t="shared" si="26"/>
        <v>005-00000258</v>
      </c>
    </row>
    <row r="1727" spans="1:12" hidden="1" x14ac:dyDescent="0.25">
      <c r="A1727" s="130" t="s">
        <v>2137</v>
      </c>
      <c r="B1727" s="130" t="s">
        <v>2138</v>
      </c>
      <c r="C1727" s="132" t="s">
        <v>150</v>
      </c>
      <c r="D1727" s="129">
        <v>1</v>
      </c>
      <c r="E1727" s="129">
        <v>10.238099999999999</v>
      </c>
      <c r="F1727" s="129">
        <v>10.238099999999999</v>
      </c>
      <c r="G1727" s="129">
        <v>33.898299999999999</v>
      </c>
      <c r="H1727" s="129">
        <v>33.898299999999999</v>
      </c>
      <c r="I1727" s="131" t="s">
        <v>87</v>
      </c>
      <c r="J1727" s="132" t="s">
        <v>102</v>
      </c>
      <c r="K1727" s="130" t="s">
        <v>2216</v>
      </c>
      <c r="L1727" s="129" t="str">
        <f t="shared" si="26"/>
        <v>005-00000258</v>
      </c>
    </row>
    <row r="1728" spans="1:12" hidden="1" x14ac:dyDescent="0.25">
      <c r="A1728" s="130" t="s">
        <v>2159</v>
      </c>
      <c r="B1728" s="130" t="s">
        <v>2160</v>
      </c>
      <c r="C1728" s="132" t="s">
        <v>150</v>
      </c>
      <c r="D1728" s="129">
        <v>1</v>
      </c>
      <c r="E1728" s="129">
        <v>31.993998999999999</v>
      </c>
      <c r="F1728" s="129">
        <v>31.993998999999999</v>
      </c>
      <c r="G1728" s="129">
        <v>105.93219999999999</v>
      </c>
      <c r="H1728" s="129">
        <v>105.93219999999999</v>
      </c>
      <c r="I1728" s="131" t="s">
        <v>87</v>
      </c>
      <c r="J1728" s="132" t="s">
        <v>102</v>
      </c>
      <c r="K1728" s="130" t="s">
        <v>2216</v>
      </c>
      <c r="L1728" s="129" t="str">
        <f t="shared" si="26"/>
        <v>005-00000258</v>
      </c>
    </row>
    <row r="1729" spans="1:12" hidden="1" x14ac:dyDescent="0.25">
      <c r="A1729" s="130" t="s">
        <v>2147</v>
      </c>
      <c r="B1729" s="130" t="s">
        <v>2148</v>
      </c>
      <c r="C1729" s="132" t="s">
        <v>150</v>
      </c>
      <c r="D1729" s="129">
        <v>1</v>
      </c>
      <c r="E1729" s="129">
        <v>3.8387000999999996</v>
      </c>
      <c r="F1729" s="129">
        <v>3.8387001000000005</v>
      </c>
      <c r="G1729" s="129">
        <v>12.71</v>
      </c>
      <c r="H1729" s="129">
        <v>12.71</v>
      </c>
      <c r="I1729" s="131" t="s">
        <v>87</v>
      </c>
      <c r="J1729" s="132" t="s">
        <v>102</v>
      </c>
      <c r="K1729" s="130" t="s">
        <v>2216</v>
      </c>
      <c r="L1729" s="129" t="str">
        <f t="shared" si="26"/>
        <v>005-00000258</v>
      </c>
    </row>
    <row r="1730" spans="1:12" hidden="1" x14ac:dyDescent="0.25">
      <c r="A1730" s="130" t="s">
        <v>1028</v>
      </c>
      <c r="B1730" s="130" t="s">
        <v>1029</v>
      </c>
      <c r="C1730" s="132" t="s">
        <v>150</v>
      </c>
      <c r="D1730" s="129">
        <v>1</v>
      </c>
      <c r="E1730" s="129">
        <v>1.5079</v>
      </c>
      <c r="F1730" s="129">
        <v>1.5078999999999996</v>
      </c>
      <c r="G1730" s="129">
        <v>5.0847001000000001</v>
      </c>
      <c r="H1730" s="129">
        <v>5.0847001000000001</v>
      </c>
      <c r="I1730" s="131" t="s">
        <v>87</v>
      </c>
      <c r="J1730" s="132" t="s">
        <v>102</v>
      </c>
      <c r="K1730" s="130" t="s">
        <v>2216</v>
      </c>
      <c r="L1730" s="129" t="str">
        <f t="shared" si="26"/>
        <v>005-00000258</v>
      </c>
    </row>
    <row r="1731" spans="1:12" hidden="1" x14ac:dyDescent="0.25">
      <c r="A1731" s="130" t="s">
        <v>1034</v>
      </c>
      <c r="B1731" s="130" t="s">
        <v>1035</v>
      </c>
      <c r="C1731" s="132" t="s">
        <v>88</v>
      </c>
      <c r="D1731" s="129">
        <v>1</v>
      </c>
      <c r="E1731" s="129">
        <v>10.5677</v>
      </c>
      <c r="F1731" s="129">
        <v>10.567700000000002</v>
      </c>
      <c r="G1731" s="129">
        <v>35.745998</v>
      </c>
      <c r="H1731" s="129">
        <v>35.745998</v>
      </c>
      <c r="I1731" s="131" t="s">
        <v>87</v>
      </c>
      <c r="J1731" s="132" t="s">
        <v>102</v>
      </c>
      <c r="K1731" s="130" t="s">
        <v>2216</v>
      </c>
      <c r="L1731" s="129" t="str">
        <f t="shared" si="26"/>
        <v>005-00000258</v>
      </c>
    </row>
    <row r="1732" spans="1:12" hidden="1" x14ac:dyDescent="0.25">
      <c r="A1732" s="130" t="s">
        <v>409</v>
      </c>
      <c r="B1732" s="130" t="s">
        <v>408</v>
      </c>
      <c r="C1732" s="132" t="s">
        <v>150</v>
      </c>
      <c r="D1732" s="129">
        <v>4</v>
      </c>
      <c r="E1732" s="129">
        <v>1.8340000000000001</v>
      </c>
      <c r="F1732" s="129">
        <v>7.3359999999999994</v>
      </c>
      <c r="G1732" s="129">
        <v>6.1016002</v>
      </c>
      <c r="H1732" s="129">
        <v>24.406400800000007</v>
      </c>
      <c r="I1732" s="131" t="s">
        <v>87</v>
      </c>
      <c r="J1732" s="132" t="s">
        <v>102</v>
      </c>
      <c r="K1732" s="130" t="s">
        <v>2216</v>
      </c>
      <c r="L1732" s="129" t="str">
        <f t="shared" si="26"/>
        <v>005-00000258</v>
      </c>
    </row>
    <row r="1733" spans="1:12" hidden="1" x14ac:dyDescent="0.25">
      <c r="A1733" s="130" t="s">
        <v>331</v>
      </c>
      <c r="B1733" s="130" t="s">
        <v>332</v>
      </c>
      <c r="C1733" s="132" t="s">
        <v>150</v>
      </c>
      <c r="D1733" s="129">
        <v>1</v>
      </c>
      <c r="E1733" s="129">
        <v>1.0753999999999999</v>
      </c>
      <c r="F1733" s="129">
        <v>1.0754000000000001</v>
      </c>
      <c r="G1733" s="129">
        <v>3.6015999000000001</v>
      </c>
      <c r="H1733" s="129">
        <v>3.6015999000000005</v>
      </c>
      <c r="I1733" s="131" t="s">
        <v>87</v>
      </c>
      <c r="J1733" s="132" t="s">
        <v>102</v>
      </c>
      <c r="K1733" s="130" t="s">
        <v>2216</v>
      </c>
      <c r="L1733" s="129" t="str">
        <f t="shared" si="26"/>
        <v>005-00000258</v>
      </c>
    </row>
    <row r="1734" spans="1:12" hidden="1" x14ac:dyDescent="0.25">
      <c r="A1734" s="130" t="s">
        <v>329</v>
      </c>
      <c r="B1734" s="130" t="s">
        <v>330</v>
      </c>
      <c r="C1734" s="132" t="s">
        <v>150</v>
      </c>
      <c r="D1734" s="129">
        <v>1</v>
      </c>
      <c r="E1734" s="129">
        <v>1.2652000000000001</v>
      </c>
      <c r="F1734" s="129">
        <v>1.2652000000000003</v>
      </c>
      <c r="G1734" s="129">
        <v>4.2372999</v>
      </c>
      <c r="H1734" s="129">
        <v>4.2372999</v>
      </c>
      <c r="I1734" s="131" t="s">
        <v>87</v>
      </c>
      <c r="J1734" s="132" t="s">
        <v>102</v>
      </c>
      <c r="K1734" s="130" t="s">
        <v>2216</v>
      </c>
      <c r="L1734" s="129" t="str">
        <f t="shared" ref="L1734:L1797" si="27">CONCATENATE(J1734,"-",K1734)</f>
        <v>005-00000258</v>
      </c>
    </row>
    <row r="1735" spans="1:12" hidden="1" x14ac:dyDescent="0.25">
      <c r="A1735" s="130" t="s">
        <v>1465</v>
      </c>
      <c r="B1735" s="130" t="s">
        <v>160</v>
      </c>
      <c r="C1735" s="132" t="s">
        <v>150</v>
      </c>
      <c r="D1735" s="129">
        <v>2</v>
      </c>
      <c r="E1735" s="129">
        <v>1.4021999999999999</v>
      </c>
      <c r="F1735" s="129">
        <v>2.8043999999999998</v>
      </c>
      <c r="G1735" s="129">
        <v>4.6609997999999999</v>
      </c>
      <c r="H1735" s="129">
        <v>9.3219995999999998</v>
      </c>
      <c r="I1735" s="131" t="s">
        <v>87</v>
      </c>
      <c r="J1735" s="132" t="s">
        <v>102</v>
      </c>
      <c r="K1735" s="130" t="s">
        <v>2216</v>
      </c>
      <c r="L1735" s="129" t="str">
        <f t="shared" si="27"/>
        <v>005-00000258</v>
      </c>
    </row>
    <row r="1736" spans="1:12" hidden="1" x14ac:dyDescent="0.25">
      <c r="A1736" s="130" t="s">
        <v>227</v>
      </c>
      <c r="B1736" s="130" t="s">
        <v>194</v>
      </c>
      <c r="C1736" s="132" t="s">
        <v>88</v>
      </c>
      <c r="D1736" s="129">
        <v>1</v>
      </c>
      <c r="E1736" s="129">
        <v>1.6415</v>
      </c>
      <c r="F1736" s="129">
        <v>1.6414999999999997</v>
      </c>
      <c r="G1736" s="129">
        <v>5.4759001999999999</v>
      </c>
      <c r="H1736" s="129">
        <v>5.4759001999999999</v>
      </c>
      <c r="I1736" s="131" t="s">
        <v>87</v>
      </c>
      <c r="J1736" s="132" t="s">
        <v>102</v>
      </c>
      <c r="K1736" s="130" t="s">
        <v>2216</v>
      </c>
      <c r="L1736" s="129" t="str">
        <f t="shared" si="27"/>
        <v>005-00000258</v>
      </c>
    </row>
    <row r="1737" spans="1:12" hidden="1" x14ac:dyDescent="0.25">
      <c r="A1737" s="130" t="s">
        <v>544</v>
      </c>
      <c r="B1737" s="130" t="s">
        <v>545</v>
      </c>
      <c r="C1737" s="132" t="s">
        <v>150</v>
      </c>
      <c r="D1737" s="129">
        <v>2</v>
      </c>
      <c r="E1737" s="129">
        <v>2.5007999000000001</v>
      </c>
      <c r="F1737" s="129">
        <v>5.001599800000001</v>
      </c>
      <c r="G1737" s="129">
        <v>8.4745998</v>
      </c>
      <c r="H1737" s="129">
        <v>16.9491996</v>
      </c>
      <c r="I1737" s="131" t="s">
        <v>87</v>
      </c>
      <c r="J1737" s="132" t="s">
        <v>102</v>
      </c>
      <c r="K1737" s="130" t="s">
        <v>2216</v>
      </c>
      <c r="L1737" s="129" t="str">
        <f t="shared" si="27"/>
        <v>005-00000258</v>
      </c>
    </row>
    <row r="1738" spans="1:12" hidden="1" x14ac:dyDescent="0.25">
      <c r="A1738" s="130" t="s">
        <v>342</v>
      </c>
      <c r="B1738" s="130" t="s">
        <v>343</v>
      </c>
      <c r="C1738" s="132" t="s">
        <v>150</v>
      </c>
      <c r="D1738" s="129">
        <v>4</v>
      </c>
      <c r="E1738" s="129">
        <v>0.153</v>
      </c>
      <c r="F1738" s="129">
        <v>0.61199999999999988</v>
      </c>
      <c r="G1738" s="129">
        <v>0.50849997999999996</v>
      </c>
      <c r="H1738" s="129">
        <v>2.0339999199999999</v>
      </c>
      <c r="I1738" s="131" t="s">
        <v>87</v>
      </c>
      <c r="J1738" s="132" t="s">
        <v>102</v>
      </c>
      <c r="K1738" s="130" t="s">
        <v>2216</v>
      </c>
      <c r="L1738" s="129" t="str">
        <f t="shared" si="27"/>
        <v>005-00000258</v>
      </c>
    </row>
    <row r="1739" spans="1:12" hidden="1" x14ac:dyDescent="0.25">
      <c r="A1739" s="130" t="s">
        <v>1571</v>
      </c>
      <c r="B1739" s="130" t="s">
        <v>1572</v>
      </c>
      <c r="C1739" s="132" t="s">
        <v>150</v>
      </c>
      <c r="D1739" s="129">
        <v>2</v>
      </c>
      <c r="E1739" s="129">
        <v>0.22930001</v>
      </c>
      <c r="F1739" s="129">
        <v>0.45860002</v>
      </c>
      <c r="G1739" s="129">
        <v>0.76270002000000003</v>
      </c>
      <c r="H1739" s="129">
        <v>1.5254000400000003</v>
      </c>
      <c r="I1739" s="131" t="s">
        <v>87</v>
      </c>
      <c r="J1739" s="132" t="s">
        <v>102</v>
      </c>
      <c r="K1739" s="130" t="s">
        <v>2216</v>
      </c>
      <c r="L1739" s="129" t="str">
        <f t="shared" si="27"/>
        <v>005-00000258</v>
      </c>
    </row>
    <row r="1740" spans="1:12" hidden="1" x14ac:dyDescent="0.25">
      <c r="A1740" s="130" t="s">
        <v>2159</v>
      </c>
      <c r="B1740" s="130" t="s">
        <v>2160</v>
      </c>
      <c r="C1740" s="132" t="s">
        <v>150</v>
      </c>
      <c r="D1740" s="129">
        <v>1</v>
      </c>
      <c r="E1740" s="129">
        <v>33.273800000000001</v>
      </c>
      <c r="F1740" s="129">
        <v>33.273800000000008</v>
      </c>
      <c r="G1740" s="129">
        <v>110.16950000000001</v>
      </c>
      <c r="H1740" s="129">
        <v>110.16950000000003</v>
      </c>
      <c r="I1740" s="131" t="s">
        <v>87</v>
      </c>
      <c r="J1740" s="132" t="s">
        <v>102</v>
      </c>
      <c r="K1740" s="130" t="s">
        <v>1679</v>
      </c>
      <c r="L1740" s="129" t="str">
        <f t="shared" si="27"/>
        <v>005-00000203</v>
      </c>
    </row>
    <row r="1741" spans="1:12" hidden="1" x14ac:dyDescent="0.25">
      <c r="A1741" s="130" t="s">
        <v>2270</v>
      </c>
      <c r="B1741" s="130" t="s">
        <v>2271</v>
      </c>
      <c r="C1741" s="132" t="s">
        <v>150</v>
      </c>
      <c r="D1741" s="129">
        <v>1</v>
      </c>
      <c r="E1741" s="129">
        <v>12.797599999999999</v>
      </c>
      <c r="F1741" s="129">
        <v>12.797599999999999</v>
      </c>
      <c r="G1741" s="129">
        <v>42.372897999999992</v>
      </c>
      <c r="H1741" s="129">
        <v>42.372897999999985</v>
      </c>
      <c r="I1741" s="131" t="s">
        <v>87</v>
      </c>
      <c r="J1741" s="132" t="s">
        <v>102</v>
      </c>
      <c r="K1741" s="130" t="s">
        <v>1679</v>
      </c>
      <c r="L1741" s="129" t="str">
        <f t="shared" si="27"/>
        <v>005-00000203</v>
      </c>
    </row>
    <row r="1742" spans="1:12" hidden="1" x14ac:dyDescent="0.25">
      <c r="A1742" s="130" t="s">
        <v>2272</v>
      </c>
      <c r="B1742" s="130" t="s">
        <v>2273</v>
      </c>
      <c r="C1742" s="132" t="s">
        <v>150</v>
      </c>
      <c r="D1742" s="129">
        <v>1</v>
      </c>
      <c r="E1742" s="129">
        <v>5.1191000999999998</v>
      </c>
      <c r="F1742" s="129">
        <v>5.1191000999999998</v>
      </c>
      <c r="G1742" s="129">
        <v>16.949200000000001</v>
      </c>
      <c r="H1742" s="129">
        <v>16.949200000000001</v>
      </c>
      <c r="I1742" s="131" t="s">
        <v>87</v>
      </c>
      <c r="J1742" s="132" t="s">
        <v>102</v>
      </c>
      <c r="K1742" s="130" t="s">
        <v>1517</v>
      </c>
      <c r="L1742" s="129" t="str">
        <f t="shared" si="27"/>
        <v>005-00000178</v>
      </c>
    </row>
    <row r="1743" spans="1:12" hidden="1" x14ac:dyDescent="0.25">
      <c r="A1743" s="130" t="s">
        <v>2274</v>
      </c>
      <c r="B1743" s="130" t="s">
        <v>2275</v>
      </c>
      <c r="C1743" s="132" t="s">
        <v>150</v>
      </c>
      <c r="D1743" s="129">
        <v>1</v>
      </c>
      <c r="E1743" s="129">
        <v>12.797599999999999</v>
      </c>
      <c r="F1743" s="129">
        <v>12.797599999999999</v>
      </c>
      <c r="G1743" s="129">
        <v>42.372897999999992</v>
      </c>
      <c r="H1743" s="129">
        <v>42.372897999999985</v>
      </c>
      <c r="I1743" s="131" t="s">
        <v>87</v>
      </c>
      <c r="J1743" s="132" t="s">
        <v>102</v>
      </c>
      <c r="K1743" s="130" t="s">
        <v>1517</v>
      </c>
      <c r="L1743" s="129" t="str">
        <f t="shared" si="27"/>
        <v>005-00000178</v>
      </c>
    </row>
    <row r="1744" spans="1:12" hidden="1" x14ac:dyDescent="0.25">
      <c r="A1744" s="130" t="s">
        <v>2276</v>
      </c>
      <c r="B1744" s="130" t="s">
        <v>2277</v>
      </c>
      <c r="C1744" s="132" t="s">
        <v>150</v>
      </c>
      <c r="D1744" s="129">
        <v>1</v>
      </c>
      <c r="E1744" s="129">
        <v>12.797599999999999</v>
      </c>
      <c r="F1744" s="129">
        <v>12.797599999999999</v>
      </c>
      <c r="G1744" s="129">
        <v>42.372897999999992</v>
      </c>
      <c r="H1744" s="129">
        <v>42.372897999999985</v>
      </c>
      <c r="I1744" s="131" t="s">
        <v>87</v>
      </c>
      <c r="J1744" s="132" t="s">
        <v>102</v>
      </c>
      <c r="K1744" s="130" t="s">
        <v>1517</v>
      </c>
      <c r="L1744" s="129" t="str">
        <f t="shared" si="27"/>
        <v>005-00000178</v>
      </c>
    </row>
    <row r="1745" spans="1:12" hidden="1" x14ac:dyDescent="0.25">
      <c r="A1745" s="130" t="s">
        <v>731</v>
      </c>
      <c r="B1745" s="130" t="s">
        <v>732</v>
      </c>
      <c r="C1745" s="132" t="s">
        <v>150</v>
      </c>
      <c r="D1745" s="129">
        <v>2</v>
      </c>
      <c r="E1745" s="129">
        <v>33.334201999999998</v>
      </c>
      <c r="F1745" s="129">
        <v>66.668403999999995</v>
      </c>
      <c r="G1745" s="129">
        <v>110.16950000000001</v>
      </c>
      <c r="H1745" s="129">
        <v>220.33900000000006</v>
      </c>
      <c r="I1745" s="131" t="s">
        <v>87</v>
      </c>
      <c r="J1745" s="132" t="s">
        <v>102</v>
      </c>
      <c r="K1745" s="130" t="s">
        <v>2278</v>
      </c>
      <c r="L1745" s="129" t="str">
        <f t="shared" si="27"/>
        <v>005-00000299</v>
      </c>
    </row>
    <row r="1746" spans="1:12" hidden="1" x14ac:dyDescent="0.25">
      <c r="A1746" s="130" t="s">
        <v>2137</v>
      </c>
      <c r="B1746" s="130" t="s">
        <v>2138</v>
      </c>
      <c r="C1746" s="132" t="s">
        <v>150</v>
      </c>
      <c r="D1746" s="129">
        <v>1</v>
      </c>
      <c r="E1746" s="129">
        <v>11.538800000000002</v>
      </c>
      <c r="F1746" s="129">
        <v>11.538800000000002</v>
      </c>
      <c r="G1746" s="129">
        <v>38.135601000000001</v>
      </c>
      <c r="H1746" s="129">
        <v>38.135601000000001</v>
      </c>
      <c r="I1746" s="131" t="s">
        <v>87</v>
      </c>
      <c r="J1746" s="132" t="s">
        <v>102</v>
      </c>
      <c r="K1746" s="130" t="s">
        <v>2278</v>
      </c>
      <c r="L1746" s="129" t="str">
        <f t="shared" si="27"/>
        <v>005-00000299</v>
      </c>
    </row>
    <row r="1747" spans="1:12" hidden="1" x14ac:dyDescent="0.25">
      <c r="A1747" s="130" t="s">
        <v>2279</v>
      </c>
      <c r="B1747" s="130" t="s">
        <v>2280</v>
      </c>
      <c r="C1747" s="132" t="s">
        <v>150</v>
      </c>
      <c r="D1747" s="129">
        <v>1</v>
      </c>
      <c r="E1747" s="129">
        <v>7.1164999</v>
      </c>
      <c r="F1747" s="129">
        <v>7.1164998999999991</v>
      </c>
      <c r="G1747" s="129">
        <v>23.52</v>
      </c>
      <c r="H1747" s="129">
        <v>23.52</v>
      </c>
      <c r="I1747" s="131" t="s">
        <v>87</v>
      </c>
      <c r="J1747" s="132" t="s">
        <v>102</v>
      </c>
      <c r="K1747" s="130" t="s">
        <v>2281</v>
      </c>
      <c r="L1747" s="129" t="str">
        <f t="shared" si="27"/>
        <v>005-00000293</v>
      </c>
    </row>
    <row r="1748" spans="1:12" hidden="1" x14ac:dyDescent="0.25">
      <c r="A1748" s="130" t="s">
        <v>2282</v>
      </c>
      <c r="B1748" s="130" t="s">
        <v>2283</v>
      </c>
      <c r="C1748" s="132" t="s">
        <v>150</v>
      </c>
      <c r="D1748" s="129">
        <v>1</v>
      </c>
      <c r="E1748" s="129">
        <v>7.0862002000000004</v>
      </c>
      <c r="F1748" s="129">
        <v>7.0862002000000022</v>
      </c>
      <c r="G1748" s="129">
        <v>23.42</v>
      </c>
      <c r="H1748" s="129">
        <v>23.42</v>
      </c>
      <c r="I1748" s="131" t="s">
        <v>87</v>
      </c>
      <c r="J1748" s="132" t="s">
        <v>102</v>
      </c>
      <c r="K1748" s="130" t="s">
        <v>2281</v>
      </c>
      <c r="L1748" s="129" t="str">
        <f t="shared" si="27"/>
        <v>005-00000293</v>
      </c>
    </row>
    <row r="1749" spans="1:12" hidden="1" x14ac:dyDescent="0.25">
      <c r="A1749" s="130" t="s">
        <v>2232</v>
      </c>
      <c r="B1749" s="130" t="s">
        <v>2233</v>
      </c>
      <c r="C1749" s="132" t="s">
        <v>150</v>
      </c>
      <c r="D1749" s="129">
        <v>1</v>
      </c>
      <c r="E1749" s="129">
        <v>3.8329000000000004</v>
      </c>
      <c r="F1749" s="129">
        <v>3.8328999999999995</v>
      </c>
      <c r="G1749" s="129">
        <v>12.71</v>
      </c>
      <c r="H1749" s="129">
        <v>12.71</v>
      </c>
      <c r="I1749" s="131" t="s">
        <v>87</v>
      </c>
      <c r="J1749" s="132" t="s">
        <v>102</v>
      </c>
      <c r="K1749" s="130" t="s">
        <v>2091</v>
      </c>
      <c r="L1749" s="129" t="str">
        <f t="shared" si="27"/>
        <v>005-00000216</v>
      </c>
    </row>
    <row r="1750" spans="1:12" hidden="1" x14ac:dyDescent="0.25">
      <c r="A1750" s="130" t="s">
        <v>2125</v>
      </c>
      <c r="B1750" s="130" t="s">
        <v>2126</v>
      </c>
      <c r="C1750" s="132" t="s">
        <v>150</v>
      </c>
      <c r="D1750" s="129">
        <v>1</v>
      </c>
      <c r="E1750" s="129">
        <v>7.6774000999999998</v>
      </c>
      <c r="F1750" s="129">
        <v>7.6774000999999998</v>
      </c>
      <c r="G1750" s="129">
        <v>25.42</v>
      </c>
      <c r="H1750" s="129">
        <v>25.42</v>
      </c>
      <c r="I1750" s="131" t="s">
        <v>87</v>
      </c>
      <c r="J1750" s="132" t="s">
        <v>102</v>
      </c>
      <c r="K1750" s="130" t="s">
        <v>645</v>
      </c>
      <c r="L1750" s="129" t="str">
        <f t="shared" si="27"/>
        <v>005-00000056</v>
      </c>
    </row>
    <row r="1751" spans="1:12" hidden="1" x14ac:dyDescent="0.25">
      <c r="A1751" s="130" t="s">
        <v>1562</v>
      </c>
      <c r="B1751" s="130" t="s">
        <v>1563</v>
      </c>
      <c r="C1751" s="132" t="s">
        <v>150</v>
      </c>
      <c r="D1751" s="129">
        <v>1</v>
      </c>
      <c r="E1751" s="129">
        <v>38.174197999999997</v>
      </c>
      <c r="F1751" s="129">
        <v>38.174197999999997</v>
      </c>
      <c r="G1751" s="129">
        <v>127.12</v>
      </c>
      <c r="H1751" s="129">
        <v>127.12</v>
      </c>
      <c r="I1751" s="131" t="s">
        <v>87</v>
      </c>
      <c r="J1751" s="132" t="s">
        <v>102</v>
      </c>
      <c r="K1751" s="130" t="s">
        <v>1517</v>
      </c>
      <c r="L1751" s="129" t="str">
        <f t="shared" si="27"/>
        <v>005-00000178</v>
      </c>
    </row>
    <row r="1752" spans="1:12" hidden="1" x14ac:dyDescent="0.25">
      <c r="A1752" s="130" t="s">
        <v>1564</v>
      </c>
      <c r="B1752" s="130" t="s">
        <v>1565</v>
      </c>
      <c r="C1752" s="132" t="s">
        <v>150</v>
      </c>
      <c r="D1752" s="129">
        <v>1</v>
      </c>
      <c r="E1752" s="129">
        <v>31.531500000000001</v>
      </c>
      <c r="F1752" s="129">
        <v>31.531499999999998</v>
      </c>
      <c r="G1752" s="129">
        <v>105</v>
      </c>
      <c r="H1752" s="129">
        <v>105</v>
      </c>
      <c r="I1752" s="131" t="s">
        <v>87</v>
      </c>
      <c r="J1752" s="132" t="s">
        <v>102</v>
      </c>
      <c r="K1752" s="130" t="s">
        <v>1517</v>
      </c>
      <c r="L1752" s="129" t="str">
        <f t="shared" si="27"/>
        <v>005-00000178</v>
      </c>
    </row>
    <row r="1753" spans="1:12" hidden="1" x14ac:dyDescent="0.25">
      <c r="A1753" s="130" t="s">
        <v>1562</v>
      </c>
      <c r="B1753" s="130" t="s">
        <v>1563</v>
      </c>
      <c r="C1753" s="132" t="s">
        <v>150</v>
      </c>
      <c r="D1753" s="129">
        <v>1</v>
      </c>
      <c r="E1753" s="129">
        <v>38.174197999999997</v>
      </c>
      <c r="F1753" s="129">
        <v>38.174197999999997</v>
      </c>
      <c r="G1753" s="129">
        <v>127.12</v>
      </c>
      <c r="H1753" s="129">
        <v>127.12</v>
      </c>
      <c r="I1753" s="131" t="s">
        <v>87</v>
      </c>
      <c r="J1753" s="132" t="s">
        <v>102</v>
      </c>
      <c r="K1753" s="130" t="s">
        <v>2240</v>
      </c>
      <c r="L1753" s="129" t="str">
        <f t="shared" si="27"/>
        <v>005-00000306</v>
      </c>
    </row>
    <row r="1754" spans="1:12" hidden="1" x14ac:dyDescent="0.25">
      <c r="A1754" s="130" t="s">
        <v>1564</v>
      </c>
      <c r="B1754" s="130" t="s">
        <v>1565</v>
      </c>
      <c r="C1754" s="132" t="s">
        <v>150</v>
      </c>
      <c r="D1754" s="129">
        <v>1</v>
      </c>
      <c r="E1754" s="129">
        <v>38.174197999999997</v>
      </c>
      <c r="F1754" s="129">
        <v>38.174197999999997</v>
      </c>
      <c r="G1754" s="129">
        <v>127.12</v>
      </c>
      <c r="H1754" s="129">
        <v>127.12</v>
      </c>
      <c r="I1754" s="131" t="s">
        <v>87</v>
      </c>
      <c r="J1754" s="132" t="s">
        <v>102</v>
      </c>
      <c r="K1754" s="130" t="s">
        <v>2240</v>
      </c>
      <c r="L1754" s="129" t="str">
        <f t="shared" si="27"/>
        <v>005-00000306</v>
      </c>
    </row>
    <row r="1755" spans="1:12" hidden="1" x14ac:dyDescent="0.25">
      <c r="A1755" s="130" t="s">
        <v>2387</v>
      </c>
      <c r="B1755" s="130" t="s">
        <v>2388</v>
      </c>
      <c r="C1755" s="132" t="s">
        <v>150</v>
      </c>
      <c r="D1755" s="129">
        <v>1</v>
      </c>
      <c r="E1755" s="129">
        <v>34.387402000000002</v>
      </c>
      <c r="F1755" s="129">
        <v>34.387402000000002</v>
      </c>
      <c r="G1755" s="129">
        <v>114.4068</v>
      </c>
      <c r="H1755" s="129">
        <v>114.4068</v>
      </c>
      <c r="I1755" s="131" t="s">
        <v>87</v>
      </c>
      <c r="J1755" s="132" t="s">
        <v>102</v>
      </c>
      <c r="K1755" s="130" t="s">
        <v>2240</v>
      </c>
      <c r="L1755" s="129" t="str">
        <f t="shared" si="27"/>
        <v>005-00000306</v>
      </c>
    </row>
    <row r="1756" spans="1:12" hidden="1" x14ac:dyDescent="0.25">
      <c r="A1756" s="130" t="s">
        <v>2192</v>
      </c>
      <c r="B1756" s="130" t="s">
        <v>2193</v>
      </c>
      <c r="C1756" s="132" t="s">
        <v>150</v>
      </c>
      <c r="D1756" s="129">
        <v>4</v>
      </c>
      <c r="E1756" s="129">
        <v>34.387402000000002</v>
      </c>
      <c r="F1756" s="129">
        <v>137.54960800000001</v>
      </c>
      <c r="G1756" s="129">
        <v>114.4068</v>
      </c>
      <c r="H1756" s="129">
        <v>457.62720000000002</v>
      </c>
      <c r="I1756" s="131" t="s">
        <v>87</v>
      </c>
      <c r="J1756" s="132" t="s">
        <v>102</v>
      </c>
      <c r="K1756" s="130" t="s">
        <v>2389</v>
      </c>
      <c r="L1756" s="129" t="str">
        <f t="shared" si="27"/>
        <v>005-00000311</v>
      </c>
    </row>
    <row r="1757" spans="1:12" hidden="1" x14ac:dyDescent="0.25">
      <c r="A1757" s="130" t="s">
        <v>2192</v>
      </c>
      <c r="B1757" s="130" t="s">
        <v>2193</v>
      </c>
      <c r="C1757" s="132" t="s">
        <v>150</v>
      </c>
      <c r="D1757" s="129">
        <v>4</v>
      </c>
      <c r="E1757" s="129">
        <v>34.387402000000002</v>
      </c>
      <c r="F1757" s="129">
        <v>137.54960800000001</v>
      </c>
      <c r="G1757" s="129">
        <v>114.4068</v>
      </c>
      <c r="H1757" s="129">
        <v>457.62720000000002</v>
      </c>
      <c r="I1757" s="131" t="s">
        <v>87</v>
      </c>
      <c r="J1757" s="132" t="s">
        <v>102</v>
      </c>
      <c r="K1757" s="130" t="s">
        <v>2258</v>
      </c>
      <c r="L1757" s="129" t="str">
        <f t="shared" si="27"/>
        <v>005-00000310</v>
      </c>
    </row>
    <row r="1758" spans="1:12" hidden="1" x14ac:dyDescent="0.25">
      <c r="A1758" s="130" t="s">
        <v>2192</v>
      </c>
      <c r="B1758" s="130" t="s">
        <v>2193</v>
      </c>
      <c r="C1758" s="132" t="s">
        <v>150</v>
      </c>
      <c r="D1758" s="129">
        <v>4</v>
      </c>
      <c r="E1758" s="129">
        <v>34.387402000000002</v>
      </c>
      <c r="F1758" s="129">
        <v>137.54960800000001</v>
      </c>
      <c r="G1758" s="129">
        <v>114.4068</v>
      </c>
      <c r="H1758" s="129">
        <v>457.62720000000002</v>
      </c>
      <c r="I1758" s="131" t="s">
        <v>87</v>
      </c>
      <c r="J1758" s="132" t="s">
        <v>102</v>
      </c>
      <c r="K1758" s="130" t="s">
        <v>2390</v>
      </c>
      <c r="L1758" s="129" t="str">
        <f t="shared" si="27"/>
        <v>005-00000313</v>
      </c>
    </row>
    <row r="1759" spans="1:12" hidden="1" x14ac:dyDescent="0.25">
      <c r="A1759" s="130" t="s">
        <v>2391</v>
      </c>
      <c r="B1759" s="130" t="s">
        <v>2392</v>
      </c>
      <c r="C1759" s="132" t="s">
        <v>150</v>
      </c>
      <c r="D1759" s="129">
        <v>1</v>
      </c>
      <c r="E1759" s="129">
        <v>5.0900998</v>
      </c>
      <c r="F1759" s="129">
        <v>5.0900998</v>
      </c>
      <c r="G1759" s="129">
        <v>16.950001</v>
      </c>
      <c r="H1759" s="129">
        <v>16.950001</v>
      </c>
      <c r="I1759" s="131" t="s">
        <v>87</v>
      </c>
      <c r="J1759" s="132" t="s">
        <v>102</v>
      </c>
      <c r="K1759" s="130" t="s">
        <v>2389</v>
      </c>
      <c r="L1759" s="129" t="str">
        <f t="shared" si="27"/>
        <v>005-00000311</v>
      </c>
    </row>
    <row r="1760" spans="1:12" hidden="1" x14ac:dyDescent="0.25">
      <c r="A1760" s="130" t="s">
        <v>1061</v>
      </c>
      <c r="B1760" s="130" t="s">
        <v>1062</v>
      </c>
      <c r="C1760" s="132" t="s">
        <v>226</v>
      </c>
      <c r="D1760" s="129">
        <v>1</v>
      </c>
      <c r="E1760" s="129">
        <v>61.45999900000001</v>
      </c>
      <c r="F1760" s="129">
        <v>61.459999000000018</v>
      </c>
      <c r="G1760" s="129">
        <v>204.78390999999999</v>
      </c>
      <c r="H1760" s="129">
        <v>204.78390999999999</v>
      </c>
      <c r="I1760" s="131" t="s">
        <v>87</v>
      </c>
      <c r="J1760" s="132" t="s">
        <v>102</v>
      </c>
      <c r="K1760" s="130" t="s">
        <v>2241</v>
      </c>
      <c r="L1760" s="129" t="str">
        <f t="shared" si="27"/>
        <v>005-00000249</v>
      </c>
    </row>
    <row r="1761" spans="1:12" hidden="1" x14ac:dyDescent="0.25">
      <c r="A1761" s="130" t="s">
        <v>1061</v>
      </c>
      <c r="B1761" s="130" t="s">
        <v>1062</v>
      </c>
      <c r="C1761" s="132" t="s">
        <v>226</v>
      </c>
      <c r="D1761" s="129">
        <v>1</v>
      </c>
      <c r="E1761" s="129">
        <v>61.45999900000001</v>
      </c>
      <c r="F1761" s="129">
        <v>61.459999000000018</v>
      </c>
      <c r="G1761" s="129">
        <v>204.78390999999999</v>
      </c>
      <c r="H1761" s="129">
        <v>204.78390999999999</v>
      </c>
      <c r="I1761" s="131" t="s">
        <v>87</v>
      </c>
      <c r="J1761" s="132" t="s">
        <v>102</v>
      </c>
      <c r="K1761" s="130" t="s">
        <v>2390</v>
      </c>
      <c r="L1761" s="129" t="str">
        <f t="shared" si="27"/>
        <v>005-00000313</v>
      </c>
    </row>
    <row r="1762" spans="1:12" hidden="1" x14ac:dyDescent="0.25">
      <c r="A1762" s="130" t="s">
        <v>1061</v>
      </c>
      <c r="B1762" s="130" t="s">
        <v>1062</v>
      </c>
      <c r="C1762" s="132" t="s">
        <v>226</v>
      </c>
      <c r="D1762" s="129">
        <v>1</v>
      </c>
      <c r="E1762" s="129">
        <v>61.45999900000001</v>
      </c>
      <c r="F1762" s="129">
        <v>61.459999000000018</v>
      </c>
      <c r="G1762" s="129">
        <v>204.78390999999999</v>
      </c>
      <c r="H1762" s="129">
        <v>204.78390999999999</v>
      </c>
      <c r="I1762" s="131" t="s">
        <v>87</v>
      </c>
      <c r="J1762" s="132" t="s">
        <v>102</v>
      </c>
      <c r="K1762" s="130" t="s">
        <v>2258</v>
      </c>
      <c r="L1762" s="129" t="str">
        <f t="shared" si="27"/>
        <v>005-00000310</v>
      </c>
    </row>
    <row r="1763" spans="1:12" hidden="1" x14ac:dyDescent="0.25">
      <c r="A1763" s="130" t="s">
        <v>1061</v>
      </c>
      <c r="B1763" s="130" t="s">
        <v>1062</v>
      </c>
      <c r="C1763" s="132" t="s">
        <v>226</v>
      </c>
      <c r="D1763" s="129">
        <v>1</v>
      </c>
      <c r="E1763" s="129">
        <v>61.45999900000001</v>
      </c>
      <c r="F1763" s="129">
        <v>61.459999000000018</v>
      </c>
      <c r="G1763" s="129">
        <v>204.78390999999999</v>
      </c>
      <c r="H1763" s="129">
        <v>204.78390999999999</v>
      </c>
      <c r="I1763" s="131" t="s">
        <v>87</v>
      </c>
      <c r="J1763" s="132" t="s">
        <v>102</v>
      </c>
      <c r="K1763" s="130" t="s">
        <v>2389</v>
      </c>
      <c r="L1763" s="129" t="str">
        <f t="shared" si="27"/>
        <v>005-00000311</v>
      </c>
    </row>
    <row r="1764" spans="1:12" hidden="1" x14ac:dyDescent="0.25">
      <c r="A1764" s="130" t="s">
        <v>546</v>
      </c>
      <c r="B1764" s="130" t="s">
        <v>547</v>
      </c>
      <c r="C1764" s="132" t="s">
        <v>153</v>
      </c>
      <c r="D1764" s="129">
        <v>1</v>
      </c>
      <c r="E1764" s="129">
        <v>25.472099</v>
      </c>
      <c r="F1764" s="129">
        <v>25.472099</v>
      </c>
      <c r="G1764" s="129">
        <v>84.745795999999984</v>
      </c>
      <c r="H1764" s="129">
        <v>84.74579599999997</v>
      </c>
      <c r="I1764" s="131" t="s">
        <v>87</v>
      </c>
      <c r="J1764" s="132" t="s">
        <v>102</v>
      </c>
      <c r="K1764" s="130" t="s">
        <v>2389</v>
      </c>
      <c r="L1764" s="129" t="str">
        <f t="shared" si="27"/>
        <v>005-00000311</v>
      </c>
    </row>
    <row r="1765" spans="1:12" hidden="1" x14ac:dyDescent="0.25">
      <c r="A1765" s="130" t="s">
        <v>1073</v>
      </c>
      <c r="B1765" s="130" t="s">
        <v>1074</v>
      </c>
      <c r="C1765" s="132" t="s">
        <v>153</v>
      </c>
      <c r="D1765" s="129">
        <v>1</v>
      </c>
      <c r="E1765" s="129">
        <v>28.019300000000001</v>
      </c>
      <c r="F1765" s="129">
        <v>28.019300000000001</v>
      </c>
      <c r="G1765" s="129">
        <v>93.220298999999997</v>
      </c>
      <c r="H1765" s="129">
        <v>93.220298999999997</v>
      </c>
      <c r="I1765" s="131" t="s">
        <v>87</v>
      </c>
      <c r="J1765" s="132" t="s">
        <v>102</v>
      </c>
      <c r="K1765" s="130" t="s">
        <v>2389</v>
      </c>
      <c r="L1765" s="129" t="str">
        <f t="shared" si="27"/>
        <v>005-00000311</v>
      </c>
    </row>
    <row r="1766" spans="1:12" hidden="1" x14ac:dyDescent="0.25">
      <c r="A1766" s="130" t="s">
        <v>2222</v>
      </c>
      <c r="B1766" s="130" t="s">
        <v>2223</v>
      </c>
      <c r="C1766" s="132" t="s">
        <v>153</v>
      </c>
      <c r="D1766" s="129">
        <v>1</v>
      </c>
      <c r="E1766" s="129">
        <v>28.019300000000001</v>
      </c>
      <c r="F1766" s="129">
        <v>28.019300000000001</v>
      </c>
      <c r="G1766" s="129">
        <v>93.220298999999997</v>
      </c>
      <c r="H1766" s="129">
        <v>93.220298999999997</v>
      </c>
      <c r="I1766" s="131" t="s">
        <v>87</v>
      </c>
      <c r="J1766" s="132" t="s">
        <v>102</v>
      </c>
      <c r="K1766" s="130" t="s">
        <v>2389</v>
      </c>
      <c r="L1766" s="129" t="str">
        <f t="shared" si="27"/>
        <v>005-00000311</v>
      </c>
    </row>
    <row r="1767" spans="1:12" hidden="1" x14ac:dyDescent="0.25">
      <c r="A1767" s="130" t="s">
        <v>1533</v>
      </c>
      <c r="B1767" s="130" t="s">
        <v>1534</v>
      </c>
      <c r="C1767" s="132" t="s">
        <v>153</v>
      </c>
      <c r="D1767" s="129">
        <v>1</v>
      </c>
      <c r="E1767" s="129">
        <v>17.830500000000001</v>
      </c>
      <c r="F1767" s="129">
        <v>17.830500000000001</v>
      </c>
      <c r="G1767" s="129">
        <v>59.321998999999998</v>
      </c>
      <c r="H1767" s="129">
        <v>59.321998999999998</v>
      </c>
      <c r="I1767" s="131" t="s">
        <v>87</v>
      </c>
      <c r="J1767" s="132" t="s">
        <v>102</v>
      </c>
      <c r="K1767" s="130" t="s">
        <v>2389</v>
      </c>
      <c r="L1767" s="129" t="str">
        <f t="shared" si="27"/>
        <v>005-00000311</v>
      </c>
    </row>
    <row r="1768" spans="1:12" hidden="1" x14ac:dyDescent="0.25">
      <c r="A1768" s="130" t="s">
        <v>2214</v>
      </c>
      <c r="B1768" s="130" t="s">
        <v>2215</v>
      </c>
      <c r="C1768" s="132" t="s">
        <v>153</v>
      </c>
      <c r="D1768" s="129">
        <v>1</v>
      </c>
      <c r="E1768" s="129">
        <v>40.755401999999997</v>
      </c>
      <c r="F1768" s="129">
        <v>40.755401999999997</v>
      </c>
      <c r="G1768" s="129">
        <v>135.5932</v>
      </c>
      <c r="H1768" s="129">
        <v>135.5932</v>
      </c>
      <c r="I1768" s="131" t="s">
        <v>87</v>
      </c>
      <c r="J1768" s="132" t="s">
        <v>102</v>
      </c>
      <c r="K1768" s="130" t="s">
        <v>2389</v>
      </c>
      <c r="L1768" s="129" t="str">
        <f t="shared" si="27"/>
        <v>005-00000311</v>
      </c>
    </row>
    <row r="1769" spans="1:12" hidden="1" x14ac:dyDescent="0.25">
      <c r="A1769" s="130" t="s">
        <v>2214</v>
      </c>
      <c r="B1769" s="130" t="s">
        <v>2215</v>
      </c>
      <c r="C1769" s="132" t="s">
        <v>153</v>
      </c>
      <c r="D1769" s="129">
        <v>1</v>
      </c>
      <c r="E1769" s="129">
        <v>40.718699999999998</v>
      </c>
      <c r="F1769" s="129">
        <v>40.718700000000005</v>
      </c>
      <c r="G1769" s="129">
        <v>135.5932</v>
      </c>
      <c r="H1769" s="129">
        <v>135.5932</v>
      </c>
      <c r="I1769" s="131" t="s">
        <v>87</v>
      </c>
      <c r="J1769" s="132" t="s">
        <v>102</v>
      </c>
      <c r="K1769" s="130" t="s">
        <v>2390</v>
      </c>
      <c r="L1769" s="129" t="str">
        <f t="shared" si="27"/>
        <v>005-00000313</v>
      </c>
    </row>
    <row r="1770" spans="1:12" hidden="1" x14ac:dyDescent="0.25">
      <c r="A1770" s="130" t="s">
        <v>581</v>
      </c>
      <c r="B1770" s="130" t="s">
        <v>582</v>
      </c>
      <c r="C1770" s="132" t="s">
        <v>150</v>
      </c>
      <c r="D1770" s="129">
        <v>1</v>
      </c>
      <c r="E1770" s="129">
        <v>24.176701000000001</v>
      </c>
      <c r="F1770" s="129">
        <v>24.176701000000008</v>
      </c>
      <c r="G1770" s="129">
        <v>80.508499</v>
      </c>
      <c r="H1770" s="129">
        <v>80.508499</v>
      </c>
      <c r="I1770" s="131" t="s">
        <v>87</v>
      </c>
      <c r="J1770" s="132" t="s">
        <v>102</v>
      </c>
      <c r="K1770" s="130" t="s">
        <v>2390</v>
      </c>
      <c r="L1770" s="129" t="str">
        <f t="shared" si="27"/>
        <v>005-00000313</v>
      </c>
    </row>
    <row r="1771" spans="1:12" hidden="1" x14ac:dyDescent="0.25">
      <c r="A1771" s="130" t="s">
        <v>1533</v>
      </c>
      <c r="B1771" s="130" t="s">
        <v>1534</v>
      </c>
      <c r="C1771" s="132" t="s">
        <v>153</v>
      </c>
      <c r="D1771" s="129">
        <v>1</v>
      </c>
      <c r="E1771" s="129">
        <v>17.814399999999999</v>
      </c>
      <c r="F1771" s="129">
        <v>17.814399999999996</v>
      </c>
      <c r="G1771" s="129">
        <v>59.321998999999998</v>
      </c>
      <c r="H1771" s="129">
        <v>59.321998999999998</v>
      </c>
      <c r="I1771" s="131" t="s">
        <v>87</v>
      </c>
      <c r="J1771" s="132" t="s">
        <v>102</v>
      </c>
      <c r="K1771" s="130" t="s">
        <v>2390</v>
      </c>
      <c r="L1771" s="129" t="str">
        <f t="shared" si="27"/>
        <v>005-00000313</v>
      </c>
    </row>
    <row r="1772" spans="1:12" hidden="1" x14ac:dyDescent="0.25">
      <c r="A1772" s="130" t="s">
        <v>241</v>
      </c>
      <c r="B1772" s="130" t="s">
        <v>242</v>
      </c>
      <c r="C1772" s="132" t="s">
        <v>150</v>
      </c>
      <c r="D1772" s="129">
        <v>1</v>
      </c>
      <c r="E1772" s="129">
        <v>14.0167</v>
      </c>
      <c r="F1772" s="129">
        <v>14.0167</v>
      </c>
      <c r="G1772" s="129">
        <v>46.610199000000001</v>
      </c>
      <c r="H1772" s="129">
        <v>46.610198999999994</v>
      </c>
      <c r="I1772" s="131" t="s">
        <v>87</v>
      </c>
      <c r="J1772" s="132" t="s">
        <v>102</v>
      </c>
      <c r="K1772" s="130" t="s">
        <v>2390</v>
      </c>
      <c r="L1772" s="129" t="str">
        <f t="shared" si="27"/>
        <v>005-00000313</v>
      </c>
    </row>
    <row r="1773" spans="1:12" hidden="1" x14ac:dyDescent="0.25">
      <c r="A1773" s="130" t="s">
        <v>384</v>
      </c>
      <c r="B1773" s="130" t="s">
        <v>385</v>
      </c>
      <c r="C1773" s="132" t="s">
        <v>150</v>
      </c>
      <c r="D1773" s="129">
        <v>1</v>
      </c>
      <c r="E1773" s="129">
        <v>7.6392999000000001</v>
      </c>
      <c r="F1773" s="129">
        <v>7.6392999000000001</v>
      </c>
      <c r="G1773" s="129">
        <v>25.4237</v>
      </c>
      <c r="H1773" s="129">
        <v>25.423700000000004</v>
      </c>
      <c r="I1773" s="131" t="s">
        <v>87</v>
      </c>
      <c r="J1773" s="132" t="s">
        <v>102</v>
      </c>
      <c r="K1773" s="130" t="s">
        <v>2390</v>
      </c>
      <c r="L1773" s="129" t="str">
        <f t="shared" si="27"/>
        <v>005-00000313</v>
      </c>
    </row>
    <row r="1774" spans="1:12" hidden="1" x14ac:dyDescent="0.25">
      <c r="A1774" s="130" t="s">
        <v>2159</v>
      </c>
      <c r="B1774" s="130" t="s">
        <v>2160</v>
      </c>
      <c r="C1774" s="132" t="s">
        <v>150</v>
      </c>
      <c r="D1774" s="129">
        <v>1</v>
      </c>
      <c r="E1774" s="129">
        <v>33.177399000000001</v>
      </c>
      <c r="F1774" s="129">
        <v>33.177399000000001</v>
      </c>
      <c r="G1774" s="129">
        <v>110.1648</v>
      </c>
      <c r="H1774" s="129">
        <v>110.16480000000001</v>
      </c>
      <c r="I1774" s="131" t="s">
        <v>87</v>
      </c>
      <c r="J1774" s="132" t="s">
        <v>102</v>
      </c>
      <c r="K1774" s="130" t="s">
        <v>2390</v>
      </c>
      <c r="L1774" s="129" t="str">
        <f t="shared" si="27"/>
        <v>005-00000313</v>
      </c>
    </row>
    <row r="1775" spans="1:12" hidden="1" x14ac:dyDescent="0.25">
      <c r="A1775" s="130" t="s">
        <v>2393</v>
      </c>
      <c r="B1775" s="130" t="s">
        <v>2394</v>
      </c>
      <c r="C1775" s="132" t="s">
        <v>150</v>
      </c>
      <c r="D1775" s="129">
        <v>1</v>
      </c>
      <c r="E1775" s="129">
        <v>44.598700999999998</v>
      </c>
      <c r="F1775" s="129">
        <v>44.598700999999998</v>
      </c>
      <c r="G1775" s="129">
        <v>148.38</v>
      </c>
      <c r="H1775" s="129">
        <v>148.38</v>
      </c>
      <c r="I1775" s="131" t="s">
        <v>87</v>
      </c>
      <c r="J1775" s="132" t="s">
        <v>102</v>
      </c>
      <c r="K1775" s="130" t="s">
        <v>645</v>
      </c>
      <c r="L1775" s="129" t="str">
        <f t="shared" si="27"/>
        <v>005-00000056</v>
      </c>
    </row>
    <row r="1776" spans="1:12" hidden="1" x14ac:dyDescent="0.25">
      <c r="A1776" s="130" t="s">
        <v>2141</v>
      </c>
      <c r="B1776" s="130" t="s">
        <v>2142</v>
      </c>
      <c r="C1776" s="132" t="s">
        <v>150</v>
      </c>
      <c r="D1776" s="129">
        <v>1</v>
      </c>
      <c r="E1776" s="129">
        <v>3.8237000000000001</v>
      </c>
      <c r="F1776" s="129">
        <v>3.8237000000000005</v>
      </c>
      <c r="G1776" s="129">
        <v>12.71</v>
      </c>
      <c r="H1776" s="129">
        <v>12.71</v>
      </c>
      <c r="I1776" s="131" t="s">
        <v>87</v>
      </c>
      <c r="J1776" s="132" t="s">
        <v>102</v>
      </c>
      <c r="K1776" s="130" t="s">
        <v>2395</v>
      </c>
      <c r="L1776" s="129" t="str">
        <f t="shared" si="27"/>
        <v>005-00000314</v>
      </c>
    </row>
    <row r="1777" spans="1:12" hidden="1" x14ac:dyDescent="0.25">
      <c r="A1777" s="130" t="s">
        <v>1082</v>
      </c>
      <c r="B1777" s="130" t="s">
        <v>1083</v>
      </c>
      <c r="C1777" s="132" t="s">
        <v>150</v>
      </c>
      <c r="D1777" s="129">
        <v>1</v>
      </c>
      <c r="E1777" s="129">
        <v>54.863998000000002</v>
      </c>
      <c r="F1777" s="129">
        <v>54.863997999999995</v>
      </c>
      <c r="G1777" s="129">
        <v>182.20339999999999</v>
      </c>
      <c r="H1777" s="129">
        <v>182.20339999999996</v>
      </c>
      <c r="I1777" s="131" t="s">
        <v>87</v>
      </c>
      <c r="J1777" s="132" t="s">
        <v>102</v>
      </c>
      <c r="K1777" s="130" t="s">
        <v>2395</v>
      </c>
      <c r="L1777" s="129" t="str">
        <f t="shared" si="27"/>
        <v>005-00000314</v>
      </c>
    </row>
    <row r="1778" spans="1:12" hidden="1" x14ac:dyDescent="0.25">
      <c r="A1778" s="130" t="s">
        <v>1055</v>
      </c>
      <c r="B1778" s="130" t="s">
        <v>1056</v>
      </c>
      <c r="C1778" s="132" t="s">
        <v>150</v>
      </c>
      <c r="D1778" s="129">
        <v>1</v>
      </c>
      <c r="E1778" s="129">
        <v>1.5253000000000001</v>
      </c>
      <c r="F1778" s="129">
        <v>1.5252999999999997</v>
      </c>
      <c r="G1778" s="129">
        <v>5.0847001000000001</v>
      </c>
      <c r="H1778" s="129">
        <v>5.0847001000000001</v>
      </c>
      <c r="I1778" s="131" t="s">
        <v>87</v>
      </c>
      <c r="J1778" s="132" t="s">
        <v>102</v>
      </c>
      <c r="K1778" s="130" t="s">
        <v>2395</v>
      </c>
      <c r="L1778" s="129" t="str">
        <f t="shared" si="27"/>
        <v>005-00000314</v>
      </c>
    </row>
    <row r="1779" spans="1:12" hidden="1" x14ac:dyDescent="0.25">
      <c r="A1779" s="130" t="s">
        <v>1034</v>
      </c>
      <c r="B1779" s="130" t="s">
        <v>1035</v>
      </c>
      <c r="C1779" s="132" t="s">
        <v>88</v>
      </c>
      <c r="D1779" s="129">
        <v>1</v>
      </c>
      <c r="E1779" s="129">
        <v>10.5677</v>
      </c>
      <c r="F1779" s="129">
        <v>10.567700000000002</v>
      </c>
      <c r="G1779" s="129">
        <v>35.745998</v>
      </c>
      <c r="H1779" s="129">
        <v>35.745998</v>
      </c>
      <c r="I1779" s="131" t="s">
        <v>87</v>
      </c>
      <c r="J1779" s="132" t="s">
        <v>102</v>
      </c>
      <c r="K1779" s="130" t="s">
        <v>2395</v>
      </c>
      <c r="L1779" s="129" t="str">
        <f t="shared" si="27"/>
        <v>005-00000314</v>
      </c>
    </row>
    <row r="1780" spans="1:12" hidden="1" x14ac:dyDescent="0.25">
      <c r="A1780" s="130" t="s">
        <v>2121</v>
      </c>
      <c r="B1780" s="130" t="s">
        <v>408</v>
      </c>
      <c r="C1780" s="132" t="s">
        <v>150</v>
      </c>
      <c r="D1780" s="129">
        <v>4</v>
      </c>
      <c r="E1780" s="129">
        <v>1.4</v>
      </c>
      <c r="F1780" s="129">
        <v>5.6</v>
      </c>
      <c r="G1780" s="129">
        <v>4.6609997999999999</v>
      </c>
      <c r="H1780" s="129">
        <v>18.6439992</v>
      </c>
      <c r="I1780" s="131" t="s">
        <v>87</v>
      </c>
      <c r="J1780" s="132" t="s">
        <v>102</v>
      </c>
      <c r="K1780" s="130" t="s">
        <v>2395</v>
      </c>
      <c r="L1780" s="129" t="str">
        <f t="shared" si="27"/>
        <v>005-00000314</v>
      </c>
    </row>
    <row r="1781" spans="1:12" hidden="1" x14ac:dyDescent="0.25">
      <c r="A1781" s="130" t="s">
        <v>227</v>
      </c>
      <c r="B1781" s="130" t="s">
        <v>194</v>
      </c>
      <c r="C1781" s="132" t="s">
        <v>88</v>
      </c>
      <c r="D1781" s="129">
        <v>1</v>
      </c>
      <c r="E1781" s="129">
        <v>1.6415</v>
      </c>
      <c r="F1781" s="129">
        <v>1.6414999999999997</v>
      </c>
      <c r="G1781" s="129">
        <v>5.4759001999999999</v>
      </c>
      <c r="H1781" s="129">
        <v>5.4759001999999999</v>
      </c>
      <c r="I1781" s="131" t="s">
        <v>87</v>
      </c>
      <c r="J1781" s="132" t="s">
        <v>102</v>
      </c>
      <c r="K1781" s="130" t="s">
        <v>2395</v>
      </c>
      <c r="L1781" s="129" t="str">
        <f t="shared" si="27"/>
        <v>005-00000314</v>
      </c>
    </row>
    <row r="1782" spans="1:12" hidden="1" x14ac:dyDescent="0.25">
      <c r="A1782" s="130" t="s">
        <v>1466</v>
      </c>
      <c r="B1782" s="130" t="s">
        <v>1467</v>
      </c>
      <c r="C1782" s="132" t="s">
        <v>88</v>
      </c>
      <c r="D1782" s="129">
        <v>0.75</v>
      </c>
      <c r="E1782" s="129">
        <v>9.2980003</v>
      </c>
      <c r="F1782" s="129">
        <v>6.9735002249999987</v>
      </c>
      <c r="G1782" s="129">
        <v>30.900199999999998</v>
      </c>
      <c r="H1782" s="129">
        <v>23.175149999999999</v>
      </c>
      <c r="I1782" s="131" t="s">
        <v>87</v>
      </c>
      <c r="J1782" s="132" t="s">
        <v>102</v>
      </c>
      <c r="K1782" s="130" t="s">
        <v>2395</v>
      </c>
      <c r="L1782" s="129" t="str">
        <f t="shared" si="27"/>
        <v>005-00000314</v>
      </c>
    </row>
    <row r="1783" spans="1:12" hidden="1" x14ac:dyDescent="0.25">
      <c r="A1783" s="130" t="s">
        <v>1613</v>
      </c>
      <c r="B1783" s="130" t="s">
        <v>1614</v>
      </c>
      <c r="C1783" s="132" t="s">
        <v>153</v>
      </c>
      <c r="D1783" s="129">
        <v>1</v>
      </c>
      <c r="E1783" s="129">
        <v>21.657800999999999</v>
      </c>
      <c r="F1783" s="129">
        <v>21.657800999999999</v>
      </c>
      <c r="G1783" s="129">
        <v>72.033896999999996</v>
      </c>
      <c r="H1783" s="129">
        <v>72.033896999999996</v>
      </c>
      <c r="I1783" s="131" t="s">
        <v>87</v>
      </c>
      <c r="J1783" s="132" t="s">
        <v>102</v>
      </c>
      <c r="K1783" s="130" t="s">
        <v>2095</v>
      </c>
      <c r="L1783" s="129" t="str">
        <f t="shared" si="27"/>
        <v>005-00000228</v>
      </c>
    </row>
    <row r="1784" spans="1:12" hidden="1" x14ac:dyDescent="0.25">
      <c r="A1784" s="130" t="s">
        <v>2396</v>
      </c>
      <c r="B1784" s="130" t="s">
        <v>2397</v>
      </c>
      <c r="C1784" s="132" t="s">
        <v>153</v>
      </c>
      <c r="D1784" s="129">
        <v>1</v>
      </c>
      <c r="E1784" s="129">
        <v>15.2879</v>
      </c>
      <c r="F1784" s="129">
        <v>15.2879</v>
      </c>
      <c r="G1784" s="129">
        <v>50.847499999999997</v>
      </c>
      <c r="H1784" s="129">
        <v>50.847499999999997</v>
      </c>
      <c r="I1784" s="131" t="s">
        <v>87</v>
      </c>
      <c r="J1784" s="132" t="s">
        <v>102</v>
      </c>
      <c r="K1784" s="130" t="s">
        <v>2095</v>
      </c>
      <c r="L1784" s="129" t="str">
        <f t="shared" si="27"/>
        <v>005-00000228</v>
      </c>
    </row>
    <row r="1785" spans="1:12" hidden="1" x14ac:dyDescent="0.25">
      <c r="A1785" s="130" t="s">
        <v>2398</v>
      </c>
      <c r="B1785" s="130" t="s">
        <v>2399</v>
      </c>
      <c r="C1785" s="132" t="s">
        <v>150</v>
      </c>
      <c r="D1785" s="129">
        <v>1</v>
      </c>
      <c r="E1785" s="129">
        <v>204.55968999999996</v>
      </c>
      <c r="F1785" s="129">
        <v>204.55968999999996</v>
      </c>
      <c r="G1785" s="129">
        <v>680.57001000000002</v>
      </c>
      <c r="H1785" s="129">
        <v>680.57000999999991</v>
      </c>
      <c r="I1785" s="131" t="s">
        <v>87</v>
      </c>
      <c r="J1785" s="132" t="s">
        <v>102</v>
      </c>
      <c r="K1785" s="130" t="s">
        <v>2244</v>
      </c>
      <c r="L1785" s="129" t="str">
        <f t="shared" si="27"/>
        <v>005-00000322</v>
      </c>
    </row>
    <row r="1786" spans="1:12" hidden="1" x14ac:dyDescent="0.25">
      <c r="A1786" s="130" t="s">
        <v>1466</v>
      </c>
      <c r="B1786" s="130" t="s">
        <v>1467</v>
      </c>
      <c r="C1786" s="132" t="s">
        <v>88</v>
      </c>
      <c r="D1786" s="129">
        <v>1</v>
      </c>
      <c r="E1786" s="129">
        <v>9.2980003</v>
      </c>
      <c r="F1786" s="129">
        <v>9.2980002999999982</v>
      </c>
      <c r="G1786" s="129">
        <v>30.900199999999998</v>
      </c>
      <c r="H1786" s="129">
        <v>30.900199999999998</v>
      </c>
      <c r="I1786" s="131" t="s">
        <v>87</v>
      </c>
      <c r="J1786" s="132" t="s">
        <v>102</v>
      </c>
      <c r="K1786" s="130" t="s">
        <v>2244</v>
      </c>
      <c r="L1786" s="129" t="str">
        <f t="shared" si="27"/>
        <v>005-00000322</v>
      </c>
    </row>
    <row r="1787" spans="1:12" hidden="1" x14ac:dyDescent="0.25">
      <c r="A1787" s="130" t="s">
        <v>2396</v>
      </c>
      <c r="B1787" s="130" t="s">
        <v>2397</v>
      </c>
      <c r="C1787" s="132" t="s">
        <v>153</v>
      </c>
      <c r="D1787" s="129">
        <v>1</v>
      </c>
      <c r="E1787" s="129">
        <v>10.188800000000001</v>
      </c>
      <c r="F1787" s="129">
        <v>10.188800000000001</v>
      </c>
      <c r="G1787" s="129">
        <v>33.898299999999999</v>
      </c>
      <c r="H1787" s="129">
        <v>33.898299999999999</v>
      </c>
      <c r="I1787" s="131" t="s">
        <v>87</v>
      </c>
      <c r="J1787" s="132" t="s">
        <v>102</v>
      </c>
      <c r="K1787" s="130" t="s">
        <v>2124</v>
      </c>
      <c r="L1787" s="129" t="str">
        <f t="shared" si="27"/>
        <v>005-00000275</v>
      </c>
    </row>
    <row r="1788" spans="1:12" hidden="1" x14ac:dyDescent="0.25">
      <c r="A1788" s="130" t="s">
        <v>1613</v>
      </c>
      <c r="B1788" s="130" t="s">
        <v>1614</v>
      </c>
      <c r="C1788" s="132" t="s">
        <v>153</v>
      </c>
      <c r="D1788" s="129">
        <v>1</v>
      </c>
      <c r="E1788" s="129">
        <v>18.339898999999999</v>
      </c>
      <c r="F1788" s="129">
        <v>18.339898999999996</v>
      </c>
      <c r="G1788" s="129">
        <v>61.016998000000001</v>
      </c>
      <c r="H1788" s="129">
        <v>61.016998000000015</v>
      </c>
      <c r="I1788" s="131" t="s">
        <v>87</v>
      </c>
      <c r="J1788" s="132" t="s">
        <v>102</v>
      </c>
      <c r="K1788" s="130" t="s">
        <v>2124</v>
      </c>
      <c r="L1788" s="129" t="str">
        <f t="shared" si="27"/>
        <v>005-00000275</v>
      </c>
    </row>
    <row r="1789" spans="1:12" hidden="1" x14ac:dyDescent="0.25">
      <c r="A1789" s="130" t="s">
        <v>1028</v>
      </c>
      <c r="B1789" s="130" t="s">
        <v>1029</v>
      </c>
      <c r="C1789" s="132" t="s">
        <v>150</v>
      </c>
      <c r="D1789" s="129">
        <v>1</v>
      </c>
      <c r="E1789" s="129">
        <v>1.5276999</v>
      </c>
      <c r="F1789" s="129">
        <v>1.5276999</v>
      </c>
      <c r="G1789" s="129">
        <v>5.0847001000000001</v>
      </c>
      <c r="H1789" s="129">
        <v>5.0847001000000001</v>
      </c>
      <c r="I1789" s="131" t="s">
        <v>87</v>
      </c>
      <c r="J1789" s="132" t="s">
        <v>102</v>
      </c>
      <c r="K1789" s="130" t="s">
        <v>2389</v>
      </c>
      <c r="L1789" s="129" t="str">
        <f t="shared" si="27"/>
        <v>005-00000311</v>
      </c>
    </row>
    <row r="1790" spans="1:12" hidden="1" x14ac:dyDescent="0.25">
      <c r="A1790" s="130" t="s">
        <v>1034</v>
      </c>
      <c r="B1790" s="130" t="s">
        <v>1035</v>
      </c>
      <c r="C1790" s="132" t="s">
        <v>88</v>
      </c>
      <c r="D1790" s="129">
        <v>1</v>
      </c>
      <c r="E1790" s="129">
        <v>10.5677</v>
      </c>
      <c r="F1790" s="129">
        <v>10.567700000000002</v>
      </c>
      <c r="G1790" s="129">
        <v>35.745998</v>
      </c>
      <c r="H1790" s="129">
        <v>35.745998</v>
      </c>
      <c r="I1790" s="131" t="s">
        <v>87</v>
      </c>
      <c r="J1790" s="132" t="s">
        <v>102</v>
      </c>
      <c r="K1790" s="130" t="s">
        <v>2389</v>
      </c>
      <c r="L1790" s="129" t="str">
        <f t="shared" si="27"/>
        <v>005-00000311</v>
      </c>
    </row>
    <row r="1791" spans="1:12" hidden="1" x14ac:dyDescent="0.25">
      <c r="A1791" s="130" t="s">
        <v>1466</v>
      </c>
      <c r="B1791" s="130" t="s">
        <v>1467</v>
      </c>
      <c r="C1791" s="132" t="s">
        <v>88</v>
      </c>
      <c r="D1791" s="129">
        <v>0.75</v>
      </c>
      <c r="E1791" s="129">
        <v>9.2980003</v>
      </c>
      <c r="F1791" s="129">
        <v>6.9735002249999987</v>
      </c>
      <c r="G1791" s="129">
        <v>30.900199999999998</v>
      </c>
      <c r="H1791" s="129">
        <v>23.175149999999999</v>
      </c>
      <c r="I1791" s="131" t="s">
        <v>87</v>
      </c>
      <c r="J1791" s="132" t="s">
        <v>102</v>
      </c>
      <c r="K1791" s="130" t="s">
        <v>2389</v>
      </c>
      <c r="L1791" s="129" t="str">
        <f t="shared" si="27"/>
        <v>005-00000311</v>
      </c>
    </row>
    <row r="1792" spans="1:12" hidden="1" x14ac:dyDescent="0.25">
      <c r="A1792" s="130" t="s">
        <v>409</v>
      </c>
      <c r="B1792" s="130" t="s">
        <v>408</v>
      </c>
      <c r="C1792" s="132" t="s">
        <v>150</v>
      </c>
      <c r="D1792" s="129">
        <v>4</v>
      </c>
      <c r="E1792" s="129">
        <v>1.8340000000000001</v>
      </c>
      <c r="F1792" s="129">
        <v>7.3359999999999994</v>
      </c>
      <c r="G1792" s="129">
        <v>6.1016002</v>
      </c>
      <c r="H1792" s="129">
        <v>24.406400800000007</v>
      </c>
      <c r="I1792" s="131" t="s">
        <v>87</v>
      </c>
      <c r="J1792" s="132" t="s">
        <v>102</v>
      </c>
      <c r="K1792" s="130" t="s">
        <v>2389</v>
      </c>
      <c r="L1792" s="129" t="str">
        <f t="shared" si="27"/>
        <v>005-00000311</v>
      </c>
    </row>
    <row r="1793" spans="1:12" hidden="1" x14ac:dyDescent="0.25">
      <c r="A1793" s="130" t="s">
        <v>1028</v>
      </c>
      <c r="B1793" s="130" t="s">
        <v>1029</v>
      </c>
      <c r="C1793" s="132" t="s">
        <v>150</v>
      </c>
      <c r="D1793" s="129">
        <v>1</v>
      </c>
      <c r="E1793" s="129">
        <v>1.5276999</v>
      </c>
      <c r="F1793" s="129">
        <v>1.5276999</v>
      </c>
      <c r="G1793" s="129">
        <v>5.0847001000000001</v>
      </c>
      <c r="H1793" s="129">
        <v>5.0847001000000001</v>
      </c>
      <c r="I1793" s="131" t="s">
        <v>87</v>
      </c>
      <c r="J1793" s="132" t="s">
        <v>102</v>
      </c>
      <c r="K1793" s="130" t="s">
        <v>2390</v>
      </c>
      <c r="L1793" s="129" t="str">
        <f t="shared" si="27"/>
        <v>005-00000313</v>
      </c>
    </row>
    <row r="1794" spans="1:12" hidden="1" x14ac:dyDescent="0.25">
      <c r="A1794" s="130" t="s">
        <v>1034</v>
      </c>
      <c r="B1794" s="130" t="s">
        <v>1035</v>
      </c>
      <c r="C1794" s="132" t="s">
        <v>88</v>
      </c>
      <c r="D1794" s="129">
        <v>1</v>
      </c>
      <c r="E1794" s="129">
        <v>10.5677</v>
      </c>
      <c r="F1794" s="129">
        <v>10.567700000000002</v>
      </c>
      <c r="G1794" s="129">
        <v>35.745998</v>
      </c>
      <c r="H1794" s="129">
        <v>35.745998</v>
      </c>
      <c r="I1794" s="131" t="s">
        <v>87</v>
      </c>
      <c r="J1794" s="132" t="s">
        <v>102</v>
      </c>
      <c r="K1794" s="130" t="s">
        <v>2390</v>
      </c>
      <c r="L1794" s="129" t="str">
        <f t="shared" si="27"/>
        <v>005-00000313</v>
      </c>
    </row>
    <row r="1795" spans="1:12" hidden="1" x14ac:dyDescent="0.25">
      <c r="A1795" s="130" t="s">
        <v>1466</v>
      </c>
      <c r="B1795" s="130" t="s">
        <v>1467</v>
      </c>
      <c r="C1795" s="132" t="s">
        <v>88</v>
      </c>
      <c r="D1795" s="129">
        <v>0.75</v>
      </c>
      <c r="E1795" s="129">
        <v>9.2980003</v>
      </c>
      <c r="F1795" s="129">
        <v>6.9735002249999987</v>
      </c>
      <c r="G1795" s="129">
        <v>30.900199999999998</v>
      </c>
      <c r="H1795" s="129">
        <v>23.175149999999999</v>
      </c>
      <c r="I1795" s="131" t="s">
        <v>87</v>
      </c>
      <c r="J1795" s="132" t="s">
        <v>102</v>
      </c>
      <c r="K1795" s="130" t="s">
        <v>2390</v>
      </c>
      <c r="L1795" s="129" t="str">
        <f t="shared" si="27"/>
        <v>005-00000313</v>
      </c>
    </row>
    <row r="1796" spans="1:12" hidden="1" x14ac:dyDescent="0.25">
      <c r="A1796" s="130" t="s">
        <v>409</v>
      </c>
      <c r="B1796" s="130" t="s">
        <v>408</v>
      </c>
      <c r="C1796" s="132" t="s">
        <v>150</v>
      </c>
      <c r="D1796" s="129">
        <v>4</v>
      </c>
      <c r="E1796" s="129">
        <v>1.8340000000000001</v>
      </c>
      <c r="F1796" s="129">
        <v>7.3359999999999994</v>
      </c>
      <c r="G1796" s="129">
        <v>6.1016002</v>
      </c>
      <c r="H1796" s="129">
        <v>24.406400800000007</v>
      </c>
      <c r="I1796" s="131" t="s">
        <v>87</v>
      </c>
      <c r="J1796" s="132" t="s">
        <v>102</v>
      </c>
      <c r="K1796" s="130" t="s">
        <v>2390</v>
      </c>
      <c r="L1796" s="129" t="str">
        <f t="shared" si="27"/>
        <v>005-00000313</v>
      </c>
    </row>
    <row r="1797" spans="1:12" hidden="1" x14ac:dyDescent="0.25">
      <c r="A1797" s="130" t="s">
        <v>2183</v>
      </c>
      <c r="B1797" s="130" t="s">
        <v>2184</v>
      </c>
      <c r="C1797" s="132" t="s">
        <v>150</v>
      </c>
      <c r="D1797" s="129">
        <v>1</v>
      </c>
      <c r="E1797" s="129">
        <v>19.3414</v>
      </c>
      <c r="F1797" s="129">
        <v>19.3414</v>
      </c>
      <c r="G1797" s="129">
        <v>64.406799000000007</v>
      </c>
      <c r="H1797" s="129">
        <v>64.406799000000021</v>
      </c>
      <c r="I1797" s="131" t="s">
        <v>87</v>
      </c>
      <c r="J1797" s="132" t="s">
        <v>102</v>
      </c>
      <c r="K1797" s="130" t="s">
        <v>2400</v>
      </c>
      <c r="L1797" s="129" t="str">
        <f t="shared" si="27"/>
        <v>005-00000312</v>
      </c>
    </row>
    <row r="1798" spans="1:12" hidden="1" x14ac:dyDescent="0.25">
      <c r="A1798" s="130" t="s">
        <v>2401</v>
      </c>
      <c r="B1798" s="130" t="s">
        <v>2402</v>
      </c>
      <c r="C1798" s="132" t="s">
        <v>150</v>
      </c>
      <c r="D1798" s="129">
        <v>1</v>
      </c>
      <c r="E1798" s="129">
        <v>19.3414</v>
      </c>
      <c r="F1798" s="129">
        <v>19.3414</v>
      </c>
      <c r="G1798" s="129">
        <v>64.406799000000007</v>
      </c>
      <c r="H1798" s="129">
        <v>64.406799000000021</v>
      </c>
      <c r="I1798" s="131" t="s">
        <v>87</v>
      </c>
      <c r="J1798" s="132" t="s">
        <v>102</v>
      </c>
      <c r="K1798" s="130" t="s">
        <v>2400</v>
      </c>
      <c r="L1798" s="129" t="str">
        <f t="shared" ref="L1798:L1861" si="28">CONCATENATE(J1798,"-",K1798)</f>
        <v>005-00000312</v>
      </c>
    </row>
    <row r="1799" spans="1:12" hidden="1" x14ac:dyDescent="0.25">
      <c r="A1799" s="130" t="s">
        <v>1028</v>
      </c>
      <c r="B1799" s="130" t="s">
        <v>1029</v>
      </c>
      <c r="C1799" s="132" t="s">
        <v>150</v>
      </c>
      <c r="D1799" s="129">
        <v>1</v>
      </c>
      <c r="E1799" s="129">
        <v>1.5276999</v>
      </c>
      <c r="F1799" s="129">
        <v>1.5276999</v>
      </c>
      <c r="G1799" s="129">
        <v>5.0847001000000001</v>
      </c>
      <c r="H1799" s="129">
        <v>5.0847001000000001</v>
      </c>
      <c r="I1799" s="131" t="s">
        <v>87</v>
      </c>
      <c r="J1799" s="132" t="s">
        <v>102</v>
      </c>
      <c r="K1799" s="130" t="s">
        <v>2400</v>
      </c>
      <c r="L1799" s="129" t="str">
        <f t="shared" si="28"/>
        <v>005-00000312</v>
      </c>
    </row>
    <row r="1800" spans="1:12" hidden="1" x14ac:dyDescent="0.25">
      <c r="A1800" s="130" t="s">
        <v>1034</v>
      </c>
      <c r="B1800" s="130" t="s">
        <v>1035</v>
      </c>
      <c r="C1800" s="132" t="s">
        <v>88</v>
      </c>
      <c r="D1800" s="129">
        <v>1</v>
      </c>
      <c r="E1800" s="129">
        <v>10.5677</v>
      </c>
      <c r="F1800" s="129">
        <v>10.567700000000002</v>
      </c>
      <c r="G1800" s="129">
        <v>35.745998</v>
      </c>
      <c r="H1800" s="129">
        <v>35.745998</v>
      </c>
      <c r="I1800" s="131" t="s">
        <v>87</v>
      </c>
      <c r="J1800" s="132" t="s">
        <v>102</v>
      </c>
      <c r="K1800" s="130" t="s">
        <v>2400</v>
      </c>
      <c r="L1800" s="129" t="str">
        <f t="shared" si="28"/>
        <v>005-00000312</v>
      </c>
    </row>
    <row r="1801" spans="1:12" hidden="1" x14ac:dyDescent="0.25">
      <c r="A1801" s="130" t="s">
        <v>1466</v>
      </c>
      <c r="B1801" s="130" t="s">
        <v>1467</v>
      </c>
      <c r="C1801" s="132" t="s">
        <v>88</v>
      </c>
      <c r="D1801" s="129">
        <v>0.75</v>
      </c>
      <c r="E1801" s="129">
        <v>9.2980003</v>
      </c>
      <c r="F1801" s="129">
        <v>6.9735002249999987</v>
      </c>
      <c r="G1801" s="129">
        <v>30.900199999999998</v>
      </c>
      <c r="H1801" s="129">
        <v>23.175149999999999</v>
      </c>
      <c r="I1801" s="131" t="s">
        <v>87</v>
      </c>
      <c r="J1801" s="132" t="s">
        <v>102</v>
      </c>
      <c r="K1801" s="130" t="s">
        <v>2400</v>
      </c>
      <c r="L1801" s="129" t="str">
        <f t="shared" si="28"/>
        <v>005-00000312</v>
      </c>
    </row>
    <row r="1802" spans="1:12" hidden="1" x14ac:dyDescent="0.25">
      <c r="A1802" s="130" t="s">
        <v>409</v>
      </c>
      <c r="B1802" s="130" t="s">
        <v>408</v>
      </c>
      <c r="C1802" s="132" t="s">
        <v>150</v>
      </c>
      <c r="D1802" s="129">
        <v>4</v>
      </c>
      <c r="E1802" s="129">
        <v>1.8340000000000001</v>
      </c>
      <c r="F1802" s="129">
        <v>7.3359999999999994</v>
      </c>
      <c r="G1802" s="129">
        <v>6.1016002</v>
      </c>
      <c r="H1802" s="129">
        <v>24.406400800000007</v>
      </c>
      <c r="I1802" s="131" t="s">
        <v>87</v>
      </c>
      <c r="J1802" s="132" t="s">
        <v>102</v>
      </c>
      <c r="K1802" s="130" t="s">
        <v>2400</v>
      </c>
      <c r="L1802" s="129" t="str">
        <f t="shared" si="28"/>
        <v>005-00000312</v>
      </c>
    </row>
    <row r="1803" spans="1:12" hidden="1" x14ac:dyDescent="0.25">
      <c r="A1803" s="130" t="s">
        <v>1465</v>
      </c>
      <c r="B1803" s="130" t="s">
        <v>160</v>
      </c>
      <c r="C1803" s="132" t="s">
        <v>150</v>
      </c>
      <c r="D1803" s="129">
        <v>1</v>
      </c>
      <c r="E1803" s="129">
        <v>1.4021999999999999</v>
      </c>
      <c r="F1803" s="129">
        <v>1.4021999999999999</v>
      </c>
      <c r="G1803" s="129">
        <v>4.6609997999999999</v>
      </c>
      <c r="H1803" s="129">
        <v>4.6609997999999999</v>
      </c>
      <c r="I1803" s="131" t="s">
        <v>87</v>
      </c>
      <c r="J1803" s="132" t="s">
        <v>102</v>
      </c>
      <c r="K1803" s="130" t="s">
        <v>2400</v>
      </c>
      <c r="L1803" s="129" t="str">
        <f t="shared" si="28"/>
        <v>005-00000312</v>
      </c>
    </row>
    <row r="1804" spans="1:12" hidden="1" x14ac:dyDescent="0.25">
      <c r="A1804" s="130" t="s">
        <v>544</v>
      </c>
      <c r="B1804" s="130" t="s">
        <v>545</v>
      </c>
      <c r="C1804" s="132" t="s">
        <v>150</v>
      </c>
      <c r="D1804" s="129">
        <v>1</v>
      </c>
      <c r="E1804" s="129">
        <v>2.5007999000000001</v>
      </c>
      <c r="F1804" s="129">
        <v>2.5007999000000005</v>
      </c>
      <c r="G1804" s="129">
        <v>8.4745998</v>
      </c>
      <c r="H1804" s="129">
        <v>8.4745998</v>
      </c>
      <c r="I1804" s="131" t="s">
        <v>87</v>
      </c>
      <c r="J1804" s="132" t="s">
        <v>102</v>
      </c>
      <c r="K1804" s="130" t="s">
        <v>2400</v>
      </c>
      <c r="L1804" s="129" t="str">
        <f t="shared" si="28"/>
        <v>005-00000312</v>
      </c>
    </row>
    <row r="1805" spans="1:12" hidden="1" x14ac:dyDescent="0.25">
      <c r="A1805" s="130" t="s">
        <v>342</v>
      </c>
      <c r="B1805" s="130" t="s">
        <v>343</v>
      </c>
      <c r="C1805" s="132" t="s">
        <v>150</v>
      </c>
      <c r="D1805" s="129">
        <v>3</v>
      </c>
      <c r="E1805" s="129">
        <v>0.153</v>
      </c>
      <c r="F1805" s="129">
        <v>0.45899999999999991</v>
      </c>
      <c r="G1805" s="129">
        <v>0.50849997999999996</v>
      </c>
      <c r="H1805" s="129">
        <v>1.52549994</v>
      </c>
      <c r="I1805" s="131" t="s">
        <v>87</v>
      </c>
      <c r="J1805" s="132" t="s">
        <v>102</v>
      </c>
      <c r="K1805" s="130" t="s">
        <v>2400</v>
      </c>
      <c r="L1805" s="129" t="str">
        <f t="shared" si="28"/>
        <v>005-00000312</v>
      </c>
    </row>
    <row r="1806" spans="1:12" hidden="1" x14ac:dyDescent="0.25">
      <c r="A1806" s="130" t="s">
        <v>227</v>
      </c>
      <c r="B1806" s="130" t="s">
        <v>194</v>
      </c>
      <c r="C1806" s="132" t="s">
        <v>88</v>
      </c>
      <c r="D1806" s="129">
        <v>1</v>
      </c>
      <c r="E1806" s="129">
        <v>1.6415</v>
      </c>
      <c r="F1806" s="129">
        <v>1.6414999999999997</v>
      </c>
      <c r="G1806" s="129">
        <v>5.4759001999999999</v>
      </c>
      <c r="H1806" s="129">
        <v>5.4759001999999999</v>
      </c>
      <c r="I1806" s="131" t="s">
        <v>87</v>
      </c>
      <c r="J1806" s="132" t="s">
        <v>102</v>
      </c>
      <c r="K1806" s="130" t="s">
        <v>2400</v>
      </c>
      <c r="L1806" s="129" t="str">
        <f t="shared" si="28"/>
        <v>005-00000312</v>
      </c>
    </row>
    <row r="1807" spans="1:12" hidden="1" x14ac:dyDescent="0.25">
      <c r="A1807" s="130" t="s">
        <v>1082</v>
      </c>
      <c r="B1807" s="130" t="s">
        <v>1083</v>
      </c>
      <c r="C1807" s="132" t="s">
        <v>150</v>
      </c>
      <c r="D1807" s="129">
        <v>1</v>
      </c>
      <c r="E1807" s="129">
        <v>54.863998000000002</v>
      </c>
      <c r="F1807" s="129">
        <v>54.863997999999995</v>
      </c>
      <c r="G1807" s="129">
        <v>182.20339999999999</v>
      </c>
      <c r="H1807" s="129">
        <v>182.20339999999996</v>
      </c>
      <c r="I1807" s="131" t="s">
        <v>87</v>
      </c>
      <c r="J1807" s="132" t="s">
        <v>102</v>
      </c>
      <c r="K1807" s="130" t="s">
        <v>2400</v>
      </c>
      <c r="L1807" s="129" t="str">
        <f t="shared" si="28"/>
        <v>005-00000312</v>
      </c>
    </row>
    <row r="1808" spans="1:12" hidden="1" x14ac:dyDescent="0.25">
      <c r="A1808" s="130" t="s">
        <v>441</v>
      </c>
      <c r="B1808" s="130" t="s">
        <v>442</v>
      </c>
      <c r="C1808" s="132" t="s">
        <v>153</v>
      </c>
      <c r="D1808" s="129">
        <v>1</v>
      </c>
      <c r="E1808" s="129">
        <v>12.019200000000001</v>
      </c>
      <c r="F1808" s="129">
        <v>12.019200000000001</v>
      </c>
      <c r="G1808" s="129">
        <v>40</v>
      </c>
      <c r="H1808" s="129">
        <v>40</v>
      </c>
      <c r="I1808" s="131" t="s">
        <v>87</v>
      </c>
      <c r="J1808" s="132" t="s">
        <v>102</v>
      </c>
      <c r="K1808" s="130" t="s">
        <v>2258</v>
      </c>
      <c r="L1808" s="129" t="str">
        <f t="shared" si="28"/>
        <v>005-00000310</v>
      </c>
    </row>
    <row r="1809" spans="1:12" hidden="1" x14ac:dyDescent="0.25">
      <c r="A1809" s="130" t="s">
        <v>441</v>
      </c>
      <c r="B1809" s="130" t="s">
        <v>442</v>
      </c>
      <c r="C1809" s="132" t="s">
        <v>153</v>
      </c>
      <c r="D1809" s="129">
        <v>1</v>
      </c>
      <c r="E1809" s="129">
        <v>12.015599999999999</v>
      </c>
      <c r="F1809" s="129">
        <v>12.015600000000001</v>
      </c>
      <c r="G1809" s="129">
        <v>40</v>
      </c>
      <c r="H1809" s="129">
        <v>40</v>
      </c>
      <c r="I1809" s="131" t="s">
        <v>87</v>
      </c>
      <c r="J1809" s="132" t="s">
        <v>102</v>
      </c>
      <c r="K1809" s="130" t="s">
        <v>2395</v>
      </c>
      <c r="L1809" s="129" t="str">
        <f t="shared" si="28"/>
        <v>005-00000314</v>
      </c>
    </row>
    <row r="1810" spans="1:12" hidden="1" x14ac:dyDescent="0.25">
      <c r="A1810" s="130" t="s">
        <v>2167</v>
      </c>
      <c r="B1810" s="130" t="s">
        <v>2168</v>
      </c>
      <c r="C1810" s="132" t="s">
        <v>150</v>
      </c>
      <c r="D1810" s="129">
        <v>1</v>
      </c>
      <c r="E1810" s="129">
        <v>55.988200999999997</v>
      </c>
      <c r="F1810" s="129">
        <v>55.988200999999997</v>
      </c>
      <c r="G1810" s="129">
        <v>186.44069999999999</v>
      </c>
      <c r="H1810" s="129">
        <v>186.44070000000002</v>
      </c>
      <c r="I1810" s="131" t="s">
        <v>87</v>
      </c>
      <c r="J1810" s="132" t="s">
        <v>102</v>
      </c>
      <c r="K1810" s="130" t="s">
        <v>2390</v>
      </c>
      <c r="L1810" s="129" t="str">
        <f t="shared" si="28"/>
        <v>005-00000313</v>
      </c>
    </row>
    <row r="1811" spans="1:12" hidden="1" x14ac:dyDescent="0.25">
      <c r="A1811" s="130" t="s">
        <v>1482</v>
      </c>
      <c r="B1811" s="130" t="s">
        <v>1483</v>
      </c>
      <c r="C1811" s="132" t="s">
        <v>150</v>
      </c>
      <c r="D1811" s="129">
        <v>1</v>
      </c>
      <c r="E1811" s="129">
        <v>82.7761</v>
      </c>
      <c r="F1811" s="129">
        <v>82.7761</v>
      </c>
      <c r="G1811" s="129">
        <v>275.42371000000003</v>
      </c>
      <c r="H1811" s="129">
        <v>275.42370999999997</v>
      </c>
      <c r="I1811" s="131" t="s">
        <v>87</v>
      </c>
      <c r="J1811" s="132" t="s">
        <v>102</v>
      </c>
      <c r="K1811" s="130" t="s">
        <v>2390</v>
      </c>
      <c r="L1811" s="129" t="str">
        <f t="shared" si="28"/>
        <v>005-00000313</v>
      </c>
    </row>
    <row r="1812" spans="1:12" hidden="1" x14ac:dyDescent="0.25">
      <c r="A1812" s="130" t="s">
        <v>441</v>
      </c>
      <c r="B1812" s="130" t="s">
        <v>442</v>
      </c>
      <c r="C1812" s="132" t="s">
        <v>153</v>
      </c>
      <c r="D1812" s="129">
        <v>2</v>
      </c>
      <c r="E1812" s="129">
        <v>12.013199999999999</v>
      </c>
      <c r="F1812" s="129">
        <v>24.026399999999995</v>
      </c>
      <c r="G1812" s="129">
        <v>40</v>
      </c>
      <c r="H1812" s="129">
        <v>80</v>
      </c>
      <c r="I1812" s="131" t="s">
        <v>87</v>
      </c>
      <c r="J1812" s="132" t="s">
        <v>102</v>
      </c>
      <c r="K1812" s="130" t="s">
        <v>2390</v>
      </c>
      <c r="L1812" s="129" t="str">
        <f t="shared" si="28"/>
        <v>005-00000313</v>
      </c>
    </row>
    <row r="1813" spans="1:12" hidden="1" x14ac:dyDescent="0.25">
      <c r="A1813" s="130" t="s">
        <v>2401</v>
      </c>
      <c r="B1813" s="130" t="s">
        <v>2402</v>
      </c>
      <c r="C1813" s="132" t="s">
        <v>150</v>
      </c>
      <c r="D1813" s="129">
        <v>1</v>
      </c>
      <c r="E1813" s="129">
        <v>19.3414</v>
      </c>
      <c r="F1813" s="129">
        <v>19.3414</v>
      </c>
      <c r="G1813" s="129">
        <v>64.406799000000007</v>
      </c>
      <c r="H1813" s="129">
        <v>64.406799000000021</v>
      </c>
      <c r="I1813" s="131" t="s">
        <v>87</v>
      </c>
      <c r="J1813" s="132" t="s">
        <v>102</v>
      </c>
      <c r="K1813" s="130" t="s">
        <v>2390</v>
      </c>
      <c r="L1813" s="129" t="str">
        <f t="shared" si="28"/>
        <v>005-00000313</v>
      </c>
    </row>
    <row r="1814" spans="1:12" hidden="1" x14ac:dyDescent="0.25">
      <c r="A1814" s="130" t="s">
        <v>2173</v>
      </c>
      <c r="B1814" s="130" t="s">
        <v>2174</v>
      </c>
      <c r="C1814" s="132" t="s">
        <v>150</v>
      </c>
      <c r="D1814" s="129">
        <v>1</v>
      </c>
      <c r="E1814" s="129">
        <v>76.347504000000001</v>
      </c>
      <c r="F1814" s="129">
        <v>76.347504000000001</v>
      </c>
      <c r="G1814" s="129">
        <v>254.2373</v>
      </c>
      <c r="H1814" s="129">
        <v>254.23729999999995</v>
      </c>
      <c r="I1814" s="131" t="s">
        <v>87</v>
      </c>
      <c r="J1814" s="132" t="s">
        <v>102</v>
      </c>
      <c r="K1814" s="130" t="s">
        <v>2390</v>
      </c>
      <c r="L1814" s="129" t="str">
        <f t="shared" si="28"/>
        <v>005-00000313</v>
      </c>
    </row>
    <row r="1815" spans="1:12" hidden="1" x14ac:dyDescent="0.25">
      <c r="A1815" s="130" t="s">
        <v>1482</v>
      </c>
      <c r="B1815" s="130" t="s">
        <v>1483</v>
      </c>
      <c r="C1815" s="132" t="s">
        <v>150</v>
      </c>
      <c r="D1815" s="129">
        <v>1</v>
      </c>
      <c r="E1815" s="129">
        <v>73.861801</v>
      </c>
      <c r="F1815" s="129">
        <v>73.861801</v>
      </c>
      <c r="G1815" s="129">
        <v>245.7627</v>
      </c>
      <c r="H1815" s="129">
        <v>245.7627</v>
      </c>
      <c r="I1815" s="131" t="s">
        <v>87</v>
      </c>
      <c r="J1815" s="132" t="s">
        <v>102</v>
      </c>
      <c r="K1815" s="130" t="s">
        <v>2389</v>
      </c>
      <c r="L1815" s="129" t="str">
        <f t="shared" si="28"/>
        <v>005-00000311</v>
      </c>
    </row>
    <row r="1816" spans="1:12" hidden="1" x14ac:dyDescent="0.25">
      <c r="A1816" s="130" t="s">
        <v>441</v>
      </c>
      <c r="B1816" s="130" t="s">
        <v>442</v>
      </c>
      <c r="C1816" s="132" t="s">
        <v>153</v>
      </c>
      <c r="D1816" s="129">
        <v>2</v>
      </c>
      <c r="E1816" s="129">
        <v>12.0124</v>
      </c>
      <c r="F1816" s="129">
        <v>24.024799999999995</v>
      </c>
      <c r="G1816" s="129">
        <v>40</v>
      </c>
      <c r="H1816" s="129">
        <v>80</v>
      </c>
      <c r="I1816" s="131" t="s">
        <v>87</v>
      </c>
      <c r="J1816" s="132" t="s">
        <v>102</v>
      </c>
      <c r="K1816" s="130" t="s">
        <v>2389</v>
      </c>
      <c r="L1816" s="129" t="str">
        <f t="shared" si="28"/>
        <v>005-00000311</v>
      </c>
    </row>
    <row r="1817" spans="1:12" hidden="1" x14ac:dyDescent="0.25">
      <c r="A1817" s="130" t="s">
        <v>451</v>
      </c>
      <c r="B1817" s="130" t="s">
        <v>452</v>
      </c>
      <c r="C1817" s="132" t="s">
        <v>150</v>
      </c>
      <c r="D1817" s="129">
        <v>1</v>
      </c>
      <c r="E1817" s="129">
        <v>30.539000000000001</v>
      </c>
      <c r="F1817" s="129">
        <v>30.538999999999998</v>
      </c>
      <c r="G1817" s="129">
        <v>101.6949</v>
      </c>
      <c r="H1817" s="129">
        <v>101.69489999999998</v>
      </c>
      <c r="I1817" s="131" t="s">
        <v>87</v>
      </c>
      <c r="J1817" s="132" t="s">
        <v>102</v>
      </c>
      <c r="K1817" s="130" t="s">
        <v>2389</v>
      </c>
      <c r="L1817" s="129" t="str">
        <f t="shared" si="28"/>
        <v>005-00000311</v>
      </c>
    </row>
    <row r="1818" spans="1:12" hidden="1" x14ac:dyDescent="0.25">
      <c r="A1818" s="130" t="s">
        <v>2177</v>
      </c>
      <c r="B1818" s="130" t="s">
        <v>2178</v>
      </c>
      <c r="C1818" s="132" t="s">
        <v>150</v>
      </c>
      <c r="D1818" s="129">
        <v>1</v>
      </c>
      <c r="E1818" s="129">
        <v>12.036</v>
      </c>
      <c r="F1818" s="129">
        <v>12.036000000000001</v>
      </c>
      <c r="G1818" s="129">
        <v>40.080002</v>
      </c>
      <c r="H1818" s="129">
        <v>40.080002</v>
      </c>
      <c r="I1818" s="131" t="s">
        <v>87</v>
      </c>
      <c r="J1818" s="132" t="s">
        <v>102</v>
      </c>
      <c r="K1818" s="130" t="s">
        <v>2389</v>
      </c>
      <c r="L1818" s="129" t="str">
        <f t="shared" si="28"/>
        <v>005-00000311</v>
      </c>
    </row>
    <row r="1819" spans="1:12" hidden="1" x14ac:dyDescent="0.25">
      <c r="A1819" s="130" t="s">
        <v>2403</v>
      </c>
      <c r="B1819" s="130" t="s">
        <v>2404</v>
      </c>
      <c r="C1819" s="132" t="s">
        <v>150</v>
      </c>
      <c r="D1819" s="129">
        <v>1</v>
      </c>
      <c r="E1819" s="129">
        <v>25.449200000000001</v>
      </c>
      <c r="F1819" s="129">
        <v>25.449200000000001</v>
      </c>
      <c r="G1819" s="129">
        <v>84.745795999999984</v>
      </c>
      <c r="H1819" s="129">
        <v>84.74579599999997</v>
      </c>
      <c r="I1819" s="131" t="s">
        <v>87</v>
      </c>
      <c r="J1819" s="132" t="s">
        <v>102</v>
      </c>
      <c r="K1819" s="130" t="s">
        <v>2389</v>
      </c>
      <c r="L1819" s="129" t="str">
        <f t="shared" si="28"/>
        <v>005-00000311</v>
      </c>
    </row>
    <row r="1820" spans="1:12" hidden="1" x14ac:dyDescent="0.25">
      <c r="A1820" s="130" t="s">
        <v>1573</v>
      </c>
      <c r="B1820" s="130" t="s">
        <v>1574</v>
      </c>
      <c r="C1820" s="132" t="s">
        <v>153</v>
      </c>
      <c r="D1820" s="129">
        <v>1</v>
      </c>
      <c r="E1820" s="129">
        <v>20.377700999999998</v>
      </c>
      <c r="F1820" s="129">
        <v>20.377700999999998</v>
      </c>
      <c r="G1820" s="129">
        <v>67.796599999999998</v>
      </c>
      <c r="H1820" s="129">
        <v>67.796599999999998</v>
      </c>
      <c r="I1820" s="131" t="s">
        <v>87</v>
      </c>
      <c r="J1820" s="132" t="s">
        <v>102</v>
      </c>
      <c r="K1820" s="130" t="s">
        <v>2389</v>
      </c>
      <c r="L1820" s="129" t="str">
        <f t="shared" si="28"/>
        <v>005-00000311</v>
      </c>
    </row>
    <row r="1821" spans="1:12" hidden="1" x14ac:dyDescent="0.25">
      <c r="A1821" s="130" t="s">
        <v>1573</v>
      </c>
      <c r="B1821" s="130" t="s">
        <v>1574</v>
      </c>
      <c r="C1821" s="132" t="s">
        <v>153</v>
      </c>
      <c r="D1821" s="129">
        <v>1</v>
      </c>
      <c r="E1821" s="129">
        <v>20.377700999999998</v>
      </c>
      <c r="F1821" s="129">
        <v>20.377700999999998</v>
      </c>
      <c r="G1821" s="129">
        <v>67.796599999999998</v>
      </c>
      <c r="H1821" s="129">
        <v>67.796599999999998</v>
      </c>
      <c r="I1821" s="131" t="s">
        <v>87</v>
      </c>
      <c r="J1821" s="132" t="s">
        <v>102</v>
      </c>
      <c r="K1821" s="130" t="s">
        <v>2390</v>
      </c>
      <c r="L1821" s="129" t="str">
        <f t="shared" si="28"/>
        <v>005-00000313</v>
      </c>
    </row>
    <row r="1822" spans="1:12" hidden="1" x14ac:dyDescent="0.25">
      <c r="A1822" s="130" t="s">
        <v>1073</v>
      </c>
      <c r="B1822" s="130" t="s">
        <v>1074</v>
      </c>
      <c r="C1822" s="132" t="s">
        <v>153</v>
      </c>
      <c r="D1822" s="129">
        <v>1</v>
      </c>
      <c r="E1822" s="129">
        <v>22.9284</v>
      </c>
      <c r="F1822" s="129">
        <v>22.9284</v>
      </c>
      <c r="G1822" s="129">
        <v>76.271202000000002</v>
      </c>
      <c r="H1822" s="129">
        <v>76.271202000000002</v>
      </c>
      <c r="I1822" s="131" t="s">
        <v>87</v>
      </c>
      <c r="J1822" s="132" t="s">
        <v>102</v>
      </c>
      <c r="K1822" s="130" t="s">
        <v>2390</v>
      </c>
      <c r="L1822" s="129" t="str">
        <f t="shared" si="28"/>
        <v>005-00000313</v>
      </c>
    </row>
    <row r="1823" spans="1:12" hidden="1" x14ac:dyDescent="0.25">
      <c r="A1823" s="130" t="s">
        <v>2196</v>
      </c>
      <c r="B1823" s="130" t="s">
        <v>2197</v>
      </c>
      <c r="C1823" s="132" t="s">
        <v>150</v>
      </c>
      <c r="D1823" s="129">
        <v>1</v>
      </c>
      <c r="E1823" s="129">
        <v>208.85789</v>
      </c>
      <c r="F1823" s="129">
        <v>208.85789</v>
      </c>
      <c r="G1823" s="129">
        <v>696.75</v>
      </c>
      <c r="H1823" s="129">
        <v>696.75</v>
      </c>
      <c r="I1823" s="131" t="s">
        <v>87</v>
      </c>
      <c r="J1823" s="132" t="s">
        <v>102</v>
      </c>
      <c r="K1823" s="130" t="s">
        <v>2244</v>
      </c>
      <c r="L1823" s="129" t="str">
        <f t="shared" si="28"/>
        <v>005-00000322</v>
      </c>
    </row>
    <row r="1824" spans="1:12" hidden="1" x14ac:dyDescent="0.25">
      <c r="A1824" s="130" t="s">
        <v>2391</v>
      </c>
      <c r="B1824" s="130" t="s">
        <v>2392</v>
      </c>
      <c r="C1824" s="132" t="s">
        <v>150</v>
      </c>
      <c r="D1824" s="129">
        <v>1</v>
      </c>
      <c r="E1824" s="129">
        <v>40.797401000000001</v>
      </c>
      <c r="F1824" s="129">
        <v>40.797401000000008</v>
      </c>
      <c r="G1824" s="129">
        <v>136.10001</v>
      </c>
      <c r="H1824" s="129">
        <v>136.10001000000003</v>
      </c>
      <c r="I1824" s="131" t="s">
        <v>87</v>
      </c>
      <c r="J1824" s="132" t="s">
        <v>102</v>
      </c>
      <c r="K1824" s="130" t="s">
        <v>2244</v>
      </c>
      <c r="L1824" s="129" t="str">
        <f t="shared" si="28"/>
        <v>005-00000322</v>
      </c>
    </row>
    <row r="1825" spans="1:12" hidden="1" x14ac:dyDescent="0.25">
      <c r="A1825" s="130" t="s">
        <v>2030</v>
      </c>
      <c r="B1825" s="130" t="s">
        <v>2031</v>
      </c>
      <c r="C1825" s="132" t="s">
        <v>150</v>
      </c>
      <c r="D1825" s="129">
        <v>1</v>
      </c>
      <c r="E1825" s="129">
        <v>40.293799999999997</v>
      </c>
      <c r="F1825" s="129">
        <v>40.29379999999999</v>
      </c>
      <c r="G1825" s="129">
        <v>134.41999999999999</v>
      </c>
      <c r="H1825" s="129">
        <v>134.41999999999999</v>
      </c>
      <c r="I1825" s="131" t="s">
        <v>87</v>
      </c>
      <c r="J1825" s="132" t="s">
        <v>102</v>
      </c>
      <c r="K1825" s="130" t="s">
        <v>2244</v>
      </c>
      <c r="L1825" s="129" t="str">
        <f t="shared" si="28"/>
        <v>005-00000322</v>
      </c>
    </row>
    <row r="1826" spans="1:12" hidden="1" x14ac:dyDescent="0.25">
      <c r="A1826" s="130" t="s">
        <v>1082</v>
      </c>
      <c r="B1826" s="130" t="s">
        <v>1083</v>
      </c>
      <c r="C1826" s="132" t="s">
        <v>150</v>
      </c>
      <c r="D1826" s="129">
        <v>1</v>
      </c>
      <c r="E1826" s="129">
        <v>54.775002000000001</v>
      </c>
      <c r="F1826" s="129">
        <v>54.775002000000015</v>
      </c>
      <c r="G1826" s="129">
        <v>182.20339999999999</v>
      </c>
      <c r="H1826" s="129">
        <v>182.20339999999996</v>
      </c>
      <c r="I1826" s="131" t="s">
        <v>87</v>
      </c>
      <c r="J1826" s="132" t="s">
        <v>102</v>
      </c>
      <c r="K1826" s="130" t="s">
        <v>1575</v>
      </c>
      <c r="L1826" s="129" t="str">
        <f t="shared" si="28"/>
        <v>005-00000186</v>
      </c>
    </row>
    <row r="1827" spans="1:12" hidden="1" x14ac:dyDescent="0.25">
      <c r="A1827" s="130" t="s">
        <v>1082</v>
      </c>
      <c r="B1827" s="130" t="s">
        <v>1083</v>
      </c>
      <c r="C1827" s="132" t="s">
        <v>150</v>
      </c>
      <c r="D1827" s="129">
        <v>1</v>
      </c>
      <c r="E1827" s="129">
        <v>54.775002000000001</v>
      </c>
      <c r="F1827" s="129">
        <v>54.775002000000015</v>
      </c>
      <c r="G1827" s="129">
        <v>182.20339999999999</v>
      </c>
      <c r="H1827" s="129">
        <v>182.20339999999996</v>
      </c>
      <c r="I1827" s="131" t="s">
        <v>87</v>
      </c>
      <c r="J1827" s="132" t="s">
        <v>102</v>
      </c>
      <c r="K1827" s="130" t="s">
        <v>2400</v>
      </c>
      <c r="L1827" s="129" t="str">
        <f t="shared" si="28"/>
        <v>005-00000312</v>
      </c>
    </row>
    <row r="1828" spans="1:12" hidden="1" x14ac:dyDescent="0.25">
      <c r="A1828" s="130" t="s">
        <v>421</v>
      </c>
      <c r="B1828" s="130" t="s">
        <v>422</v>
      </c>
      <c r="C1828" s="132" t="s">
        <v>150</v>
      </c>
      <c r="D1828" s="129">
        <v>1</v>
      </c>
      <c r="E1828" s="129">
        <v>50.898299999999999</v>
      </c>
      <c r="F1828" s="129">
        <v>50.898300000000006</v>
      </c>
      <c r="G1828" s="129">
        <v>169.4915</v>
      </c>
      <c r="H1828" s="129">
        <v>169.49150000000006</v>
      </c>
      <c r="I1828" s="131" t="s">
        <v>87</v>
      </c>
      <c r="J1828" s="132" t="s">
        <v>102</v>
      </c>
      <c r="K1828" s="130" t="s">
        <v>2395</v>
      </c>
      <c r="L1828" s="129" t="str">
        <f t="shared" si="28"/>
        <v>005-00000314</v>
      </c>
    </row>
    <row r="1829" spans="1:12" hidden="1" x14ac:dyDescent="0.25">
      <c r="A1829" s="130" t="s">
        <v>1082</v>
      </c>
      <c r="B1829" s="130" t="s">
        <v>1083</v>
      </c>
      <c r="C1829" s="132" t="s">
        <v>150</v>
      </c>
      <c r="D1829" s="129">
        <v>1</v>
      </c>
      <c r="E1829" s="129">
        <v>54.775002000000001</v>
      </c>
      <c r="F1829" s="129">
        <v>54.775002000000015</v>
      </c>
      <c r="G1829" s="129">
        <v>182.20339999999999</v>
      </c>
      <c r="H1829" s="129">
        <v>182.20339999999996</v>
      </c>
      <c r="I1829" s="131" t="s">
        <v>87</v>
      </c>
      <c r="J1829" s="132" t="s">
        <v>102</v>
      </c>
      <c r="K1829" s="130" t="s">
        <v>2389</v>
      </c>
      <c r="L1829" s="129" t="str">
        <f t="shared" si="28"/>
        <v>005-00000311</v>
      </c>
    </row>
    <row r="1830" spans="1:12" hidden="1" x14ac:dyDescent="0.25">
      <c r="A1830" s="130" t="s">
        <v>2405</v>
      </c>
      <c r="B1830" s="130" t="s">
        <v>2406</v>
      </c>
      <c r="C1830" s="132" t="s">
        <v>150</v>
      </c>
      <c r="D1830" s="129">
        <v>1</v>
      </c>
      <c r="E1830" s="129">
        <v>66.307602000000003</v>
      </c>
      <c r="F1830" s="129">
        <v>66.307602000000003</v>
      </c>
      <c r="G1830" s="129">
        <v>220.34</v>
      </c>
      <c r="H1830" s="129">
        <v>220.34</v>
      </c>
      <c r="I1830" s="131" t="s">
        <v>87</v>
      </c>
      <c r="J1830" s="132" t="s">
        <v>102</v>
      </c>
      <c r="K1830" s="130" t="s">
        <v>645</v>
      </c>
      <c r="L1830" s="129" t="str">
        <f t="shared" si="28"/>
        <v>005-00000056</v>
      </c>
    </row>
    <row r="1831" spans="1:12" hidden="1" x14ac:dyDescent="0.25">
      <c r="A1831" s="130" t="s">
        <v>2407</v>
      </c>
      <c r="B1831" s="130" t="s">
        <v>2408</v>
      </c>
      <c r="C1831" s="132" t="s">
        <v>150</v>
      </c>
      <c r="D1831" s="129">
        <v>1</v>
      </c>
      <c r="E1831" s="129">
        <v>24.220800000000001</v>
      </c>
      <c r="F1831" s="129">
        <v>24.220800000000001</v>
      </c>
      <c r="G1831" s="129">
        <v>80.510002</v>
      </c>
      <c r="H1831" s="129">
        <v>80.510002000000014</v>
      </c>
      <c r="I1831" s="131" t="s">
        <v>87</v>
      </c>
      <c r="J1831" s="132" t="s">
        <v>102</v>
      </c>
      <c r="K1831" s="130" t="s">
        <v>2409</v>
      </c>
      <c r="L1831" s="129" t="str">
        <f t="shared" si="28"/>
        <v>005-00000333</v>
      </c>
    </row>
    <row r="1832" spans="1:12" hidden="1" x14ac:dyDescent="0.25">
      <c r="A1832" s="130" t="s">
        <v>399</v>
      </c>
      <c r="B1832" s="130" t="s">
        <v>400</v>
      </c>
      <c r="C1832" s="132" t="s">
        <v>153</v>
      </c>
      <c r="D1832" s="129">
        <v>1</v>
      </c>
      <c r="E1832" s="129">
        <v>122.3399</v>
      </c>
      <c r="F1832" s="129">
        <v>122.33989999999999</v>
      </c>
      <c r="G1832" s="129">
        <v>406.78</v>
      </c>
      <c r="H1832" s="129">
        <v>406.78</v>
      </c>
      <c r="I1832" s="131" t="s">
        <v>87</v>
      </c>
      <c r="J1832" s="132" t="s">
        <v>102</v>
      </c>
      <c r="K1832" s="130" t="s">
        <v>2409</v>
      </c>
      <c r="L1832" s="129" t="str">
        <f t="shared" si="28"/>
        <v>005-00000333</v>
      </c>
    </row>
    <row r="1833" spans="1:12" hidden="1" x14ac:dyDescent="0.25">
      <c r="A1833" s="130" t="s">
        <v>2410</v>
      </c>
      <c r="B1833" s="130" t="s">
        <v>2411</v>
      </c>
      <c r="C1833" s="132" t="s">
        <v>150</v>
      </c>
      <c r="D1833" s="129">
        <v>1</v>
      </c>
      <c r="E1833" s="129">
        <v>5.0992999000000001</v>
      </c>
      <c r="F1833" s="129">
        <v>5.0992999000000001</v>
      </c>
      <c r="G1833" s="129">
        <v>16.950001</v>
      </c>
      <c r="H1833" s="129">
        <v>16.950001</v>
      </c>
      <c r="I1833" s="131" t="s">
        <v>87</v>
      </c>
      <c r="J1833" s="132" t="s">
        <v>102</v>
      </c>
      <c r="K1833" s="130" t="s">
        <v>2409</v>
      </c>
      <c r="L1833" s="129" t="str">
        <f t="shared" si="28"/>
        <v>005-00000333</v>
      </c>
    </row>
    <row r="1834" spans="1:12" hidden="1" x14ac:dyDescent="0.25">
      <c r="A1834" s="130" t="s">
        <v>1576</v>
      </c>
      <c r="B1834" s="130" t="s">
        <v>1577</v>
      </c>
      <c r="C1834" s="132" t="s">
        <v>153</v>
      </c>
      <c r="D1834" s="129">
        <v>1</v>
      </c>
      <c r="E1834" s="129">
        <v>45.890498999999998</v>
      </c>
      <c r="F1834" s="129">
        <v>45.890499000000005</v>
      </c>
      <c r="G1834" s="129">
        <v>152.53998999999999</v>
      </c>
      <c r="H1834" s="129">
        <v>152.53999000000002</v>
      </c>
      <c r="I1834" s="131" t="s">
        <v>87</v>
      </c>
      <c r="J1834" s="132" t="s">
        <v>102</v>
      </c>
      <c r="K1834" s="130" t="s">
        <v>2409</v>
      </c>
      <c r="L1834" s="129" t="str">
        <f t="shared" si="28"/>
        <v>005-00000333</v>
      </c>
    </row>
    <row r="1835" spans="1:12" hidden="1" x14ac:dyDescent="0.25">
      <c r="A1835" s="130" t="s">
        <v>2219</v>
      </c>
      <c r="B1835" s="130" t="s">
        <v>1599</v>
      </c>
      <c r="C1835" s="132" t="s">
        <v>153</v>
      </c>
      <c r="D1835" s="129">
        <v>2</v>
      </c>
      <c r="E1835" s="129">
        <v>45.890498999999998</v>
      </c>
      <c r="F1835" s="129">
        <v>91.780998000000011</v>
      </c>
      <c r="G1835" s="129">
        <v>152.53998999999999</v>
      </c>
      <c r="H1835" s="129">
        <v>305.07998000000003</v>
      </c>
      <c r="I1835" s="131" t="s">
        <v>87</v>
      </c>
      <c r="J1835" s="132" t="s">
        <v>102</v>
      </c>
      <c r="K1835" s="130" t="s">
        <v>2409</v>
      </c>
      <c r="L1835" s="129" t="str">
        <f t="shared" si="28"/>
        <v>005-00000333</v>
      </c>
    </row>
    <row r="1836" spans="1:12" hidden="1" x14ac:dyDescent="0.25">
      <c r="A1836" s="130" t="s">
        <v>2412</v>
      </c>
      <c r="B1836" s="130" t="s">
        <v>2413</v>
      </c>
      <c r="C1836" s="132" t="s">
        <v>150</v>
      </c>
      <c r="D1836" s="129">
        <v>1</v>
      </c>
      <c r="E1836" s="129">
        <v>147.87299999999999</v>
      </c>
      <c r="F1836" s="129">
        <v>147.87300000000002</v>
      </c>
      <c r="G1836" s="129">
        <v>491.53</v>
      </c>
      <c r="H1836" s="129">
        <v>491.53</v>
      </c>
      <c r="I1836" s="131" t="s">
        <v>87</v>
      </c>
      <c r="J1836" s="132" t="s">
        <v>102</v>
      </c>
      <c r="K1836" s="130" t="s">
        <v>2409</v>
      </c>
      <c r="L1836" s="129" t="str">
        <f t="shared" si="28"/>
        <v>005-00000333</v>
      </c>
    </row>
    <row r="1837" spans="1:12" hidden="1" x14ac:dyDescent="0.25">
      <c r="A1837" s="130" t="s">
        <v>1063</v>
      </c>
      <c r="B1837" s="130" t="s">
        <v>1064</v>
      </c>
      <c r="C1837" s="132" t="s">
        <v>153</v>
      </c>
      <c r="D1837" s="129">
        <v>1</v>
      </c>
      <c r="E1837" s="129">
        <v>8.6217003000000005</v>
      </c>
      <c r="F1837" s="129">
        <v>8.6217003000000005</v>
      </c>
      <c r="G1837" s="129">
        <v>28.68</v>
      </c>
      <c r="H1837" s="129">
        <v>28.68</v>
      </c>
      <c r="I1837" s="131" t="s">
        <v>87</v>
      </c>
      <c r="J1837" s="132" t="s">
        <v>102</v>
      </c>
      <c r="K1837" s="130" t="s">
        <v>2241</v>
      </c>
      <c r="L1837" s="129" t="str">
        <f t="shared" si="28"/>
        <v>005-00000249</v>
      </c>
    </row>
    <row r="1838" spans="1:12" hidden="1" x14ac:dyDescent="0.25">
      <c r="A1838" s="130" t="s">
        <v>1065</v>
      </c>
      <c r="B1838" s="130" t="s">
        <v>1066</v>
      </c>
      <c r="C1838" s="132" t="s">
        <v>153</v>
      </c>
      <c r="D1838" s="129">
        <v>1</v>
      </c>
      <c r="E1838" s="129">
        <v>9.7002001</v>
      </c>
      <c r="F1838" s="129">
        <v>9.7002001</v>
      </c>
      <c r="G1838" s="129">
        <v>32.270000000000003</v>
      </c>
      <c r="H1838" s="129">
        <v>32.270000000000003</v>
      </c>
      <c r="I1838" s="131" t="s">
        <v>87</v>
      </c>
      <c r="J1838" s="132" t="s">
        <v>102</v>
      </c>
      <c r="K1838" s="130" t="s">
        <v>2241</v>
      </c>
      <c r="L1838" s="129" t="str">
        <f t="shared" si="28"/>
        <v>005-00000249</v>
      </c>
    </row>
    <row r="1839" spans="1:12" hidden="1" x14ac:dyDescent="0.25">
      <c r="A1839" s="130" t="s">
        <v>1063</v>
      </c>
      <c r="B1839" s="130" t="s">
        <v>1064</v>
      </c>
      <c r="C1839" s="132" t="s">
        <v>153</v>
      </c>
      <c r="D1839" s="129">
        <v>1</v>
      </c>
      <c r="E1839" s="129">
        <v>8.6217003000000005</v>
      </c>
      <c r="F1839" s="129">
        <v>8.6217003000000005</v>
      </c>
      <c r="G1839" s="129">
        <v>28.68</v>
      </c>
      <c r="H1839" s="129">
        <v>28.68</v>
      </c>
      <c r="I1839" s="131" t="s">
        <v>87</v>
      </c>
      <c r="J1839" s="132" t="s">
        <v>102</v>
      </c>
      <c r="K1839" s="130" t="s">
        <v>2390</v>
      </c>
      <c r="L1839" s="129" t="str">
        <f t="shared" si="28"/>
        <v>005-00000313</v>
      </c>
    </row>
    <row r="1840" spans="1:12" hidden="1" x14ac:dyDescent="0.25">
      <c r="A1840" s="130" t="s">
        <v>1065</v>
      </c>
      <c r="B1840" s="130" t="s">
        <v>1066</v>
      </c>
      <c r="C1840" s="132" t="s">
        <v>153</v>
      </c>
      <c r="D1840" s="129">
        <v>1</v>
      </c>
      <c r="E1840" s="129">
        <v>9.7002001</v>
      </c>
      <c r="F1840" s="129">
        <v>9.7002001</v>
      </c>
      <c r="G1840" s="129">
        <v>32.270000000000003</v>
      </c>
      <c r="H1840" s="129">
        <v>32.270000000000003</v>
      </c>
      <c r="I1840" s="131" t="s">
        <v>87</v>
      </c>
      <c r="J1840" s="132" t="s">
        <v>102</v>
      </c>
      <c r="K1840" s="130" t="s">
        <v>2390</v>
      </c>
      <c r="L1840" s="129" t="str">
        <f t="shared" si="28"/>
        <v>005-00000313</v>
      </c>
    </row>
    <row r="1841" spans="1:12" hidden="1" x14ac:dyDescent="0.25">
      <c r="A1841" s="130" t="s">
        <v>1063</v>
      </c>
      <c r="B1841" s="130" t="s">
        <v>1064</v>
      </c>
      <c r="C1841" s="132" t="s">
        <v>153</v>
      </c>
      <c r="D1841" s="129">
        <v>1</v>
      </c>
      <c r="E1841" s="129">
        <v>8.6217003000000005</v>
      </c>
      <c r="F1841" s="129">
        <v>8.6217003000000005</v>
      </c>
      <c r="G1841" s="129">
        <v>28.68</v>
      </c>
      <c r="H1841" s="129">
        <v>28.68</v>
      </c>
      <c r="I1841" s="131" t="s">
        <v>87</v>
      </c>
      <c r="J1841" s="132" t="s">
        <v>102</v>
      </c>
      <c r="K1841" s="130" t="s">
        <v>2258</v>
      </c>
      <c r="L1841" s="129" t="str">
        <f t="shared" si="28"/>
        <v>005-00000310</v>
      </c>
    </row>
    <row r="1842" spans="1:12" hidden="1" x14ac:dyDescent="0.25">
      <c r="A1842" s="130" t="s">
        <v>1065</v>
      </c>
      <c r="B1842" s="130" t="s">
        <v>1066</v>
      </c>
      <c r="C1842" s="132" t="s">
        <v>153</v>
      </c>
      <c r="D1842" s="129">
        <v>1</v>
      </c>
      <c r="E1842" s="129">
        <v>9.7002001</v>
      </c>
      <c r="F1842" s="129">
        <v>9.7002001</v>
      </c>
      <c r="G1842" s="129">
        <v>32.270000000000003</v>
      </c>
      <c r="H1842" s="129">
        <v>32.270000000000003</v>
      </c>
      <c r="I1842" s="131" t="s">
        <v>87</v>
      </c>
      <c r="J1842" s="132" t="s">
        <v>102</v>
      </c>
      <c r="K1842" s="130" t="s">
        <v>2258</v>
      </c>
      <c r="L1842" s="129" t="str">
        <f t="shared" si="28"/>
        <v>005-00000310</v>
      </c>
    </row>
    <row r="1843" spans="1:12" hidden="1" x14ac:dyDescent="0.25">
      <c r="A1843" s="130" t="s">
        <v>1063</v>
      </c>
      <c r="B1843" s="130" t="s">
        <v>1064</v>
      </c>
      <c r="C1843" s="132" t="s">
        <v>153</v>
      </c>
      <c r="D1843" s="129">
        <v>1</v>
      </c>
      <c r="E1843" s="129">
        <v>8.6217003000000005</v>
      </c>
      <c r="F1843" s="129">
        <v>8.6217003000000005</v>
      </c>
      <c r="G1843" s="129">
        <v>28.68</v>
      </c>
      <c r="H1843" s="129">
        <v>28.68</v>
      </c>
      <c r="I1843" s="131" t="s">
        <v>87</v>
      </c>
      <c r="J1843" s="132" t="s">
        <v>102</v>
      </c>
      <c r="K1843" s="130" t="s">
        <v>2389</v>
      </c>
      <c r="L1843" s="129" t="str">
        <f t="shared" si="28"/>
        <v>005-00000311</v>
      </c>
    </row>
    <row r="1844" spans="1:12" hidden="1" x14ac:dyDescent="0.25">
      <c r="A1844" s="130" t="s">
        <v>2177</v>
      </c>
      <c r="B1844" s="130" t="s">
        <v>2178</v>
      </c>
      <c r="C1844" s="132" t="s">
        <v>150</v>
      </c>
      <c r="D1844" s="129">
        <v>1</v>
      </c>
      <c r="E1844" s="129">
        <v>3.5565000000000002</v>
      </c>
      <c r="F1844" s="129">
        <v>3.5565000000000002</v>
      </c>
      <c r="G1844" s="129">
        <v>11.8644</v>
      </c>
      <c r="H1844" s="129">
        <v>11.864400000000003</v>
      </c>
      <c r="I1844" s="131" t="s">
        <v>87</v>
      </c>
      <c r="J1844" s="132" t="s">
        <v>102</v>
      </c>
      <c r="K1844" s="130" t="s">
        <v>2395</v>
      </c>
      <c r="L1844" s="129" t="str">
        <f t="shared" si="28"/>
        <v>005-00000314</v>
      </c>
    </row>
    <row r="1845" spans="1:12" hidden="1" x14ac:dyDescent="0.25">
      <c r="A1845" s="130" t="s">
        <v>2181</v>
      </c>
      <c r="B1845" s="130" t="s">
        <v>2182</v>
      </c>
      <c r="C1845" s="132" t="s">
        <v>150</v>
      </c>
      <c r="D1845" s="129">
        <v>1</v>
      </c>
      <c r="E1845" s="129">
        <v>27.435699</v>
      </c>
      <c r="F1845" s="129">
        <v>27.435699</v>
      </c>
      <c r="G1845" s="129">
        <v>91.525397999999981</v>
      </c>
      <c r="H1845" s="129">
        <v>91.525397999999981</v>
      </c>
      <c r="I1845" s="131" t="s">
        <v>87</v>
      </c>
      <c r="J1845" s="132" t="s">
        <v>102</v>
      </c>
      <c r="K1845" s="130" t="s">
        <v>2395</v>
      </c>
      <c r="L1845" s="129" t="str">
        <f t="shared" si="28"/>
        <v>005-00000314</v>
      </c>
    </row>
    <row r="1846" spans="1:12" hidden="1" x14ac:dyDescent="0.25">
      <c r="A1846" s="130" t="s">
        <v>2204</v>
      </c>
      <c r="B1846" s="130" t="s">
        <v>2205</v>
      </c>
      <c r="C1846" s="132" t="s">
        <v>150</v>
      </c>
      <c r="D1846" s="129">
        <v>1</v>
      </c>
      <c r="E1846" s="129">
        <v>18.121400999999999</v>
      </c>
      <c r="F1846" s="129">
        <v>18.121400999999995</v>
      </c>
      <c r="G1846" s="129">
        <v>60</v>
      </c>
      <c r="H1846" s="129">
        <v>60</v>
      </c>
      <c r="I1846" s="131" t="s">
        <v>87</v>
      </c>
      <c r="J1846" s="132" t="s">
        <v>102</v>
      </c>
      <c r="K1846" s="130" t="s">
        <v>1678</v>
      </c>
      <c r="L1846" s="129" t="str">
        <f t="shared" si="28"/>
        <v>005-00000201</v>
      </c>
    </row>
    <row r="1847" spans="1:12" hidden="1" x14ac:dyDescent="0.25">
      <c r="A1847" s="130" t="s">
        <v>2206</v>
      </c>
      <c r="B1847" s="130" t="s">
        <v>2207</v>
      </c>
      <c r="C1847" s="132" t="s">
        <v>150</v>
      </c>
      <c r="D1847" s="129">
        <v>1</v>
      </c>
      <c r="E1847" s="129">
        <v>18.121400999999999</v>
      </c>
      <c r="F1847" s="129">
        <v>18.121400999999995</v>
      </c>
      <c r="G1847" s="129">
        <v>60</v>
      </c>
      <c r="H1847" s="129">
        <v>60</v>
      </c>
      <c r="I1847" s="131" t="s">
        <v>87</v>
      </c>
      <c r="J1847" s="132" t="s">
        <v>102</v>
      </c>
      <c r="K1847" s="130" t="s">
        <v>1678</v>
      </c>
      <c r="L1847" s="129" t="str">
        <f t="shared" si="28"/>
        <v>005-00000201</v>
      </c>
    </row>
    <row r="1848" spans="1:12" hidden="1" x14ac:dyDescent="0.25">
      <c r="A1848" s="130" t="s">
        <v>2204</v>
      </c>
      <c r="B1848" s="130" t="s">
        <v>2205</v>
      </c>
      <c r="C1848" s="132" t="s">
        <v>150</v>
      </c>
      <c r="D1848" s="129">
        <v>1</v>
      </c>
      <c r="E1848" s="129">
        <v>18.056000000000001</v>
      </c>
      <c r="F1848" s="129">
        <v>18.056000000000001</v>
      </c>
      <c r="G1848" s="129">
        <v>60</v>
      </c>
      <c r="H1848" s="129">
        <v>60</v>
      </c>
      <c r="I1848" s="131" t="s">
        <v>87</v>
      </c>
      <c r="J1848" s="132" t="s">
        <v>102</v>
      </c>
      <c r="K1848" s="130" t="s">
        <v>2241</v>
      </c>
      <c r="L1848" s="129" t="str">
        <f t="shared" si="28"/>
        <v>005-00000249</v>
      </c>
    </row>
    <row r="1849" spans="1:12" hidden="1" x14ac:dyDescent="0.25">
      <c r="A1849" s="130" t="s">
        <v>2206</v>
      </c>
      <c r="B1849" s="130" t="s">
        <v>2207</v>
      </c>
      <c r="C1849" s="132" t="s">
        <v>150</v>
      </c>
      <c r="D1849" s="129">
        <v>1</v>
      </c>
      <c r="E1849" s="129">
        <v>18.056000000000001</v>
      </c>
      <c r="F1849" s="129">
        <v>18.056000000000001</v>
      </c>
      <c r="G1849" s="129">
        <v>60</v>
      </c>
      <c r="H1849" s="129">
        <v>60</v>
      </c>
      <c r="I1849" s="131" t="s">
        <v>87</v>
      </c>
      <c r="J1849" s="132" t="s">
        <v>102</v>
      </c>
      <c r="K1849" s="130" t="s">
        <v>2241</v>
      </c>
      <c r="L1849" s="129" t="str">
        <f t="shared" si="28"/>
        <v>005-00000249</v>
      </c>
    </row>
    <row r="1850" spans="1:12" hidden="1" x14ac:dyDescent="0.25">
      <c r="A1850" s="130" t="s">
        <v>2204</v>
      </c>
      <c r="B1850" s="130" t="s">
        <v>2205</v>
      </c>
      <c r="C1850" s="132" t="s">
        <v>150</v>
      </c>
      <c r="D1850" s="129">
        <v>1</v>
      </c>
      <c r="E1850" s="129">
        <v>18.121400999999999</v>
      </c>
      <c r="F1850" s="129">
        <v>18.121400999999995</v>
      </c>
      <c r="G1850" s="129">
        <v>60</v>
      </c>
      <c r="H1850" s="129">
        <v>60</v>
      </c>
      <c r="I1850" s="131" t="s">
        <v>87</v>
      </c>
      <c r="J1850" s="132" t="s">
        <v>102</v>
      </c>
      <c r="K1850" s="130" t="s">
        <v>1679</v>
      </c>
      <c r="L1850" s="129" t="str">
        <f t="shared" si="28"/>
        <v>005-00000203</v>
      </c>
    </row>
    <row r="1851" spans="1:12" hidden="1" x14ac:dyDescent="0.25">
      <c r="A1851" s="130" t="s">
        <v>2206</v>
      </c>
      <c r="B1851" s="130" t="s">
        <v>2207</v>
      </c>
      <c r="C1851" s="132" t="s">
        <v>150</v>
      </c>
      <c r="D1851" s="129">
        <v>1</v>
      </c>
      <c r="E1851" s="129">
        <v>18.121400999999999</v>
      </c>
      <c r="F1851" s="129">
        <v>18.121400999999995</v>
      </c>
      <c r="G1851" s="129">
        <v>60</v>
      </c>
      <c r="H1851" s="129">
        <v>60</v>
      </c>
      <c r="I1851" s="131" t="s">
        <v>87</v>
      </c>
      <c r="J1851" s="132" t="s">
        <v>102</v>
      </c>
      <c r="K1851" s="130" t="s">
        <v>1679</v>
      </c>
      <c r="L1851" s="129" t="str">
        <f t="shared" si="28"/>
        <v>005-00000203</v>
      </c>
    </row>
    <row r="1852" spans="1:12" hidden="1" x14ac:dyDescent="0.25">
      <c r="A1852" s="130" t="s">
        <v>2181</v>
      </c>
      <c r="B1852" s="130" t="s">
        <v>2182</v>
      </c>
      <c r="C1852" s="132" t="s">
        <v>150</v>
      </c>
      <c r="D1852" s="129">
        <v>1</v>
      </c>
      <c r="E1852" s="129">
        <v>60.186599999999999</v>
      </c>
      <c r="F1852" s="129">
        <v>60.186599999999999</v>
      </c>
      <c r="G1852" s="129">
        <v>200</v>
      </c>
      <c r="H1852" s="129">
        <v>200</v>
      </c>
      <c r="I1852" s="131" t="s">
        <v>87</v>
      </c>
      <c r="J1852" s="132" t="s">
        <v>102</v>
      </c>
      <c r="K1852" s="130" t="s">
        <v>2091</v>
      </c>
      <c r="L1852" s="129" t="str">
        <f t="shared" si="28"/>
        <v>005-00000216</v>
      </c>
    </row>
    <row r="1853" spans="1:12" hidden="1" x14ac:dyDescent="0.25">
      <c r="A1853" s="103" t="s">
        <v>2414</v>
      </c>
      <c r="B1853" s="103" t="s">
        <v>2415</v>
      </c>
      <c r="C1853" s="104" t="s">
        <v>150</v>
      </c>
      <c r="D1853" s="105">
        <v>1</v>
      </c>
      <c r="E1853" s="105">
        <v>12.7399</v>
      </c>
      <c r="F1853" s="105">
        <v>12.739899999999999</v>
      </c>
      <c r="G1853" s="105">
        <v>42.372897999999992</v>
      </c>
      <c r="H1853" s="105">
        <v>42.372897999999985</v>
      </c>
      <c r="I1853" s="106" t="s">
        <v>87</v>
      </c>
      <c r="J1853" s="104" t="s">
        <v>102</v>
      </c>
      <c r="K1853" s="103" t="s">
        <v>2124</v>
      </c>
      <c r="L1853" s="129" t="str">
        <f t="shared" si="28"/>
        <v>005-00000275</v>
      </c>
    </row>
    <row r="1854" spans="1:12" hidden="1" x14ac:dyDescent="0.25">
      <c r="A1854" s="103" t="s">
        <v>2416</v>
      </c>
      <c r="B1854" s="103" t="s">
        <v>2417</v>
      </c>
      <c r="C1854" s="104" t="s">
        <v>153</v>
      </c>
      <c r="D1854" s="105">
        <v>1</v>
      </c>
      <c r="E1854" s="105">
        <v>3.8220000000000001</v>
      </c>
      <c r="F1854" s="105">
        <v>3.8220000000000001</v>
      </c>
      <c r="G1854" s="105">
        <v>12.7119</v>
      </c>
      <c r="H1854" s="105">
        <v>12.711900000000004</v>
      </c>
      <c r="I1854" s="106" t="s">
        <v>87</v>
      </c>
      <c r="J1854" s="104" t="s">
        <v>102</v>
      </c>
      <c r="K1854" s="103" t="s">
        <v>2124</v>
      </c>
      <c r="L1854" s="129" t="str">
        <f t="shared" si="28"/>
        <v>005-00000275</v>
      </c>
    </row>
    <row r="1855" spans="1:12" hidden="1" x14ac:dyDescent="0.25">
      <c r="A1855" s="103" t="s">
        <v>2418</v>
      </c>
      <c r="B1855" s="103" t="s">
        <v>2419</v>
      </c>
      <c r="C1855" s="104" t="s">
        <v>150</v>
      </c>
      <c r="D1855" s="105">
        <v>1</v>
      </c>
      <c r="E1855" s="105">
        <v>8.9179001000000007</v>
      </c>
      <c r="F1855" s="105">
        <v>8.9179001000000007</v>
      </c>
      <c r="G1855" s="105">
        <v>29.660999</v>
      </c>
      <c r="H1855" s="105">
        <v>29.660999000000007</v>
      </c>
      <c r="I1855" s="106" t="s">
        <v>87</v>
      </c>
      <c r="J1855" s="104" t="s">
        <v>102</v>
      </c>
      <c r="K1855" s="103" t="s">
        <v>2095</v>
      </c>
      <c r="L1855" s="129" t="str">
        <f t="shared" si="28"/>
        <v>005-00000228</v>
      </c>
    </row>
    <row r="1856" spans="1:12" hidden="1" x14ac:dyDescent="0.25">
      <c r="A1856" s="103" t="s">
        <v>2157</v>
      </c>
      <c r="B1856" s="103" t="s">
        <v>2158</v>
      </c>
      <c r="C1856" s="104" t="s">
        <v>150</v>
      </c>
      <c r="D1856" s="105">
        <v>1</v>
      </c>
      <c r="E1856" s="105">
        <v>2.5457000999999999</v>
      </c>
      <c r="F1856" s="105">
        <v>2.5457000999999999</v>
      </c>
      <c r="G1856" s="105">
        <v>8.4670000000000005</v>
      </c>
      <c r="H1856" s="105">
        <v>8.4670000000000023</v>
      </c>
      <c r="I1856" s="106" t="s">
        <v>87</v>
      </c>
      <c r="J1856" s="104" t="s">
        <v>102</v>
      </c>
      <c r="K1856" s="103" t="s">
        <v>2095</v>
      </c>
      <c r="L1856" s="129" t="str">
        <f t="shared" si="28"/>
        <v>005-00000228</v>
      </c>
    </row>
    <row r="1857" spans="1:12" hidden="1" x14ac:dyDescent="0.25">
      <c r="A1857" s="103" t="s">
        <v>546</v>
      </c>
      <c r="B1857" s="103" t="s">
        <v>547</v>
      </c>
      <c r="C1857" s="104" t="s">
        <v>153</v>
      </c>
      <c r="D1857" s="105">
        <v>1</v>
      </c>
      <c r="E1857" s="105">
        <v>20.4207</v>
      </c>
      <c r="F1857" s="105">
        <v>20.420699999999997</v>
      </c>
      <c r="G1857" s="105">
        <v>67.796599999999998</v>
      </c>
      <c r="H1857" s="105">
        <v>67.796599999999998</v>
      </c>
      <c r="I1857" s="106" t="s">
        <v>87</v>
      </c>
      <c r="J1857" s="104" t="s">
        <v>102</v>
      </c>
      <c r="K1857" s="103" t="s">
        <v>2241</v>
      </c>
      <c r="L1857" s="129" t="str">
        <f t="shared" si="28"/>
        <v>005-00000249</v>
      </c>
    </row>
    <row r="1858" spans="1:12" hidden="1" x14ac:dyDescent="0.25">
      <c r="A1858" s="103" t="s">
        <v>2217</v>
      </c>
      <c r="B1858" s="103" t="s">
        <v>2218</v>
      </c>
      <c r="C1858" s="104" t="s">
        <v>153</v>
      </c>
      <c r="D1858" s="105">
        <v>1</v>
      </c>
      <c r="E1858" s="105">
        <v>22.973301000000003</v>
      </c>
      <c r="F1858" s="105">
        <v>22.973301000000006</v>
      </c>
      <c r="G1858" s="105">
        <v>76.271202000000002</v>
      </c>
      <c r="H1858" s="105">
        <v>76.271202000000002</v>
      </c>
      <c r="I1858" s="106" t="s">
        <v>87</v>
      </c>
      <c r="J1858" s="104" t="s">
        <v>102</v>
      </c>
      <c r="K1858" s="103" t="s">
        <v>2241</v>
      </c>
      <c r="L1858" s="129" t="str">
        <f t="shared" si="28"/>
        <v>005-00000249</v>
      </c>
    </row>
    <row r="1859" spans="1:12" hidden="1" x14ac:dyDescent="0.25">
      <c r="A1859" s="103" t="s">
        <v>2420</v>
      </c>
      <c r="B1859" s="103" t="s">
        <v>2421</v>
      </c>
      <c r="C1859" s="104" t="s">
        <v>153</v>
      </c>
      <c r="D1859" s="105">
        <v>1</v>
      </c>
      <c r="E1859" s="105">
        <v>22.973301000000003</v>
      </c>
      <c r="F1859" s="105">
        <v>22.973301000000006</v>
      </c>
      <c r="G1859" s="105">
        <v>76.271202000000002</v>
      </c>
      <c r="H1859" s="105">
        <v>76.271202000000002</v>
      </c>
      <c r="I1859" s="106" t="s">
        <v>87</v>
      </c>
      <c r="J1859" s="104" t="s">
        <v>102</v>
      </c>
      <c r="K1859" s="103" t="s">
        <v>2241</v>
      </c>
      <c r="L1859" s="129" t="str">
        <f t="shared" si="28"/>
        <v>005-00000249</v>
      </c>
    </row>
    <row r="1860" spans="1:12" hidden="1" x14ac:dyDescent="0.25">
      <c r="A1860" s="103" t="s">
        <v>2214</v>
      </c>
      <c r="B1860" s="103" t="s">
        <v>2215</v>
      </c>
      <c r="C1860" s="104" t="s">
        <v>150</v>
      </c>
      <c r="D1860" s="105">
        <v>1</v>
      </c>
      <c r="E1860" s="105">
        <v>10.720800000000002</v>
      </c>
      <c r="F1860" s="105">
        <v>10.720799999999999</v>
      </c>
      <c r="G1860" s="105">
        <v>35.593201000000001</v>
      </c>
      <c r="H1860" s="105">
        <v>35.593201000000001</v>
      </c>
      <c r="I1860" s="106" t="s">
        <v>87</v>
      </c>
      <c r="J1860" s="104" t="s">
        <v>102</v>
      </c>
      <c r="K1860" s="103" t="s">
        <v>2241</v>
      </c>
      <c r="L1860" s="129" t="str">
        <f t="shared" si="28"/>
        <v>005-00000249</v>
      </c>
    </row>
    <row r="1861" spans="1:12" hidden="1" x14ac:dyDescent="0.25">
      <c r="A1861" s="103" t="s">
        <v>2098</v>
      </c>
      <c r="B1861" s="103" t="s">
        <v>2099</v>
      </c>
      <c r="C1861" s="104" t="s">
        <v>150</v>
      </c>
      <c r="D1861" s="105">
        <v>1</v>
      </c>
      <c r="E1861" s="105">
        <v>40.841301000000001</v>
      </c>
      <c r="F1861" s="105">
        <v>40.841301000000001</v>
      </c>
      <c r="G1861" s="105">
        <v>135.5932</v>
      </c>
      <c r="H1861" s="105">
        <v>135.5932</v>
      </c>
      <c r="I1861" s="106" t="s">
        <v>87</v>
      </c>
      <c r="J1861" s="104" t="s">
        <v>102</v>
      </c>
      <c r="K1861" s="103" t="s">
        <v>2241</v>
      </c>
      <c r="L1861" s="129" t="str">
        <f t="shared" si="28"/>
        <v>005-00000249</v>
      </c>
    </row>
    <row r="1862" spans="1:12" hidden="1" x14ac:dyDescent="0.25">
      <c r="A1862" s="103" t="s">
        <v>1109</v>
      </c>
      <c r="B1862" s="103" t="s">
        <v>1110</v>
      </c>
      <c r="C1862" s="104" t="s">
        <v>153</v>
      </c>
      <c r="D1862" s="105">
        <v>1</v>
      </c>
      <c r="E1862" s="105">
        <v>35.726897999999998</v>
      </c>
      <c r="F1862" s="105">
        <v>35.726897999999998</v>
      </c>
      <c r="G1862" s="105">
        <v>118.64</v>
      </c>
      <c r="H1862" s="105">
        <v>118.64</v>
      </c>
      <c r="I1862" s="106" t="s">
        <v>87</v>
      </c>
      <c r="J1862" s="104" t="s">
        <v>102</v>
      </c>
      <c r="K1862" s="103" t="s">
        <v>2258</v>
      </c>
      <c r="L1862" s="129" t="str">
        <f t="shared" ref="L1862:L1925" si="29">CONCATENATE(J1862,"-",K1862)</f>
        <v>005-00000310</v>
      </c>
    </row>
    <row r="1863" spans="1:12" hidden="1" x14ac:dyDescent="0.25">
      <c r="A1863" s="103" t="s">
        <v>2422</v>
      </c>
      <c r="B1863" s="103" t="s">
        <v>2423</v>
      </c>
      <c r="C1863" s="104" t="s">
        <v>150</v>
      </c>
      <c r="D1863" s="105">
        <v>1</v>
      </c>
      <c r="E1863" s="105">
        <v>101.9192</v>
      </c>
      <c r="F1863" s="105">
        <v>101.91919999999999</v>
      </c>
      <c r="G1863" s="105">
        <v>338.98309</v>
      </c>
      <c r="H1863" s="105">
        <v>338.98309</v>
      </c>
      <c r="I1863" s="106" t="s">
        <v>87</v>
      </c>
      <c r="J1863" s="104" t="s">
        <v>102</v>
      </c>
      <c r="K1863" s="103" t="s">
        <v>2244</v>
      </c>
      <c r="L1863" s="129" t="str">
        <f t="shared" si="29"/>
        <v>005-00000322</v>
      </c>
    </row>
    <row r="1864" spans="1:12" hidden="1" x14ac:dyDescent="0.25">
      <c r="A1864" s="103" t="s">
        <v>2424</v>
      </c>
      <c r="B1864" s="103" t="s">
        <v>2425</v>
      </c>
      <c r="C1864" s="104" t="s">
        <v>150</v>
      </c>
      <c r="D1864" s="105">
        <v>1</v>
      </c>
      <c r="E1864" s="105">
        <v>140.13879</v>
      </c>
      <c r="F1864" s="105">
        <v>140.13879</v>
      </c>
      <c r="G1864" s="105">
        <v>466.10172</v>
      </c>
      <c r="H1864" s="105">
        <v>466.10171999999989</v>
      </c>
      <c r="I1864" s="106" t="s">
        <v>87</v>
      </c>
      <c r="J1864" s="104" t="s">
        <v>102</v>
      </c>
      <c r="K1864" s="103" t="s">
        <v>2244</v>
      </c>
      <c r="L1864" s="129" t="str">
        <f t="shared" si="29"/>
        <v>005-00000322</v>
      </c>
    </row>
    <row r="1865" spans="1:12" hidden="1" x14ac:dyDescent="0.25">
      <c r="A1865" s="103" t="s">
        <v>241</v>
      </c>
      <c r="B1865" s="103" t="s">
        <v>242</v>
      </c>
      <c r="C1865" s="104" t="s">
        <v>150</v>
      </c>
      <c r="D1865" s="105">
        <v>1</v>
      </c>
      <c r="E1865" s="105">
        <v>14.018599999999999</v>
      </c>
      <c r="F1865" s="105">
        <v>14.018599999999998</v>
      </c>
      <c r="G1865" s="105">
        <v>46.610199000000001</v>
      </c>
      <c r="H1865" s="105">
        <v>46.610198999999994</v>
      </c>
      <c r="I1865" s="106" t="s">
        <v>87</v>
      </c>
      <c r="J1865" s="104" t="s">
        <v>102</v>
      </c>
      <c r="K1865" s="103" t="s">
        <v>2241</v>
      </c>
      <c r="L1865" s="129" t="str">
        <f t="shared" si="29"/>
        <v>005-00000249</v>
      </c>
    </row>
    <row r="1866" spans="1:12" hidden="1" x14ac:dyDescent="0.25">
      <c r="A1866" s="103" t="s">
        <v>2132</v>
      </c>
      <c r="B1866" s="103" t="s">
        <v>2133</v>
      </c>
      <c r="C1866" s="104" t="s">
        <v>150</v>
      </c>
      <c r="D1866" s="105">
        <v>1</v>
      </c>
      <c r="E1866" s="105">
        <v>8.9287004000000003</v>
      </c>
      <c r="F1866" s="105">
        <v>8.9287004000000021</v>
      </c>
      <c r="G1866" s="105">
        <v>29.660999</v>
      </c>
      <c r="H1866" s="105">
        <v>29.660999000000007</v>
      </c>
      <c r="I1866" s="106" t="s">
        <v>87</v>
      </c>
      <c r="J1866" s="104" t="s">
        <v>102</v>
      </c>
      <c r="K1866" s="103" t="s">
        <v>2241</v>
      </c>
      <c r="L1866" s="129" t="str">
        <f t="shared" si="29"/>
        <v>005-00000249</v>
      </c>
    </row>
    <row r="1867" spans="1:12" hidden="1" x14ac:dyDescent="0.25">
      <c r="A1867" s="103" t="s">
        <v>2130</v>
      </c>
      <c r="B1867" s="103" t="s">
        <v>2131</v>
      </c>
      <c r="C1867" s="104" t="s">
        <v>150</v>
      </c>
      <c r="D1867" s="105">
        <v>1</v>
      </c>
      <c r="E1867" s="105">
        <v>7.6485000000000003</v>
      </c>
      <c r="F1867" s="105">
        <v>7.6484999999999994</v>
      </c>
      <c r="G1867" s="105">
        <v>25.4237</v>
      </c>
      <c r="H1867" s="105">
        <v>25.423700000000004</v>
      </c>
      <c r="I1867" s="106" t="s">
        <v>87</v>
      </c>
      <c r="J1867" s="104" t="s">
        <v>102</v>
      </c>
      <c r="K1867" s="103" t="s">
        <v>2241</v>
      </c>
      <c r="L1867" s="129" t="str">
        <f t="shared" si="29"/>
        <v>005-00000249</v>
      </c>
    </row>
    <row r="1868" spans="1:12" hidden="1" x14ac:dyDescent="0.25">
      <c r="A1868" s="103" t="s">
        <v>2141</v>
      </c>
      <c r="B1868" s="103" t="s">
        <v>2142</v>
      </c>
      <c r="C1868" s="104" t="s">
        <v>150</v>
      </c>
      <c r="D1868" s="105">
        <v>1</v>
      </c>
      <c r="E1868" s="105">
        <v>3.8260000000000001</v>
      </c>
      <c r="F1868" s="105">
        <v>3.826000000000001</v>
      </c>
      <c r="G1868" s="105">
        <v>12.71</v>
      </c>
      <c r="H1868" s="105">
        <v>12.71</v>
      </c>
      <c r="I1868" s="106" t="s">
        <v>87</v>
      </c>
      <c r="J1868" s="104" t="s">
        <v>102</v>
      </c>
      <c r="K1868" s="103" t="s">
        <v>2258</v>
      </c>
      <c r="L1868" s="129" t="str">
        <f t="shared" si="29"/>
        <v>005-00000310</v>
      </c>
    </row>
    <row r="1869" spans="1:12" hidden="1" x14ac:dyDescent="0.25">
      <c r="A1869" s="103" t="s">
        <v>2424</v>
      </c>
      <c r="B1869" s="103" t="s">
        <v>2425</v>
      </c>
      <c r="C1869" s="104" t="s">
        <v>150</v>
      </c>
      <c r="D1869" s="105">
        <v>1</v>
      </c>
      <c r="E1869" s="105">
        <v>35.703899</v>
      </c>
      <c r="F1869" s="105">
        <v>35.703899</v>
      </c>
      <c r="G1869" s="105">
        <v>118.64409999999999</v>
      </c>
      <c r="H1869" s="105">
        <v>118.64410000000002</v>
      </c>
      <c r="I1869" s="106" t="s">
        <v>87</v>
      </c>
      <c r="J1869" s="104" t="s">
        <v>102</v>
      </c>
      <c r="K1869" s="103" t="s">
        <v>2258</v>
      </c>
      <c r="L1869" s="129" t="str">
        <f t="shared" si="29"/>
        <v>005-00000310</v>
      </c>
    </row>
    <row r="1870" spans="1:12" hidden="1" x14ac:dyDescent="0.25">
      <c r="A1870" s="103" t="s">
        <v>241</v>
      </c>
      <c r="B1870" s="103" t="s">
        <v>242</v>
      </c>
      <c r="C1870" s="104" t="s">
        <v>150</v>
      </c>
      <c r="D1870" s="105">
        <v>1</v>
      </c>
      <c r="E1870" s="105">
        <v>14.0212</v>
      </c>
      <c r="F1870" s="105">
        <v>14.021199999999999</v>
      </c>
      <c r="G1870" s="105">
        <v>46.610199000000001</v>
      </c>
      <c r="H1870" s="105">
        <v>46.610198999999994</v>
      </c>
      <c r="I1870" s="106" t="s">
        <v>87</v>
      </c>
      <c r="J1870" s="104" t="s">
        <v>102</v>
      </c>
      <c r="K1870" s="103" t="s">
        <v>2258</v>
      </c>
      <c r="L1870" s="129" t="str">
        <f t="shared" si="29"/>
        <v>005-00000310</v>
      </c>
    </row>
    <row r="1871" spans="1:12" hidden="1" x14ac:dyDescent="0.25">
      <c r="A1871" s="103" t="s">
        <v>2137</v>
      </c>
      <c r="B1871" s="103" t="s">
        <v>2138</v>
      </c>
      <c r="C1871" s="104" t="s">
        <v>150</v>
      </c>
      <c r="D1871" s="105">
        <v>1</v>
      </c>
      <c r="E1871" s="105">
        <v>12.757200000000001</v>
      </c>
      <c r="F1871" s="105">
        <v>12.757200000000001</v>
      </c>
      <c r="G1871" s="105">
        <v>42.372897999999992</v>
      </c>
      <c r="H1871" s="105">
        <v>42.372897999999985</v>
      </c>
      <c r="I1871" s="106" t="s">
        <v>87</v>
      </c>
      <c r="J1871" s="104" t="s">
        <v>102</v>
      </c>
      <c r="K1871" s="103" t="s">
        <v>2258</v>
      </c>
      <c r="L1871" s="129" t="str">
        <f t="shared" si="29"/>
        <v>005-00000310</v>
      </c>
    </row>
    <row r="1872" spans="1:12" hidden="1" x14ac:dyDescent="0.25">
      <c r="A1872" s="103" t="s">
        <v>731</v>
      </c>
      <c r="B1872" s="103" t="s">
        <v>732</v>
      </c>
      <c r="C1872" s="104" t="s">
        <v>150</v>
      </c>
      <c r="D1872" s="105">
        <v>2</v>
      </c>
      <c r="E1872" s="105">
        <v>33.163601</v>
      </c>
      <c r="F1872" s="105">
        <v>66.327202</v>
      </c>
      <c r="G1872" s="105">
        <v>110.16950000000001</v>
      </c>
      <c r="H1872" s="105">
        <v>220.33900000000006</v>
      </c>
      <c r="I1872" s="106" t="s">
        <v>87</v>
      </c>
      <c r="J1872" s="104" t="s">
        <v>102</v>
      </c>
      <c r="K1872" s="103" t="s">
        <v>2258</v>
      </c>
      <c r="L1872" s="129" t="str">
        <f t="shared" si="29"/>
        <v>005-00000310</v>
      </c>
    </row>
    <row r="1873" spans="1:12" hidden="1" x14ac:dyDescent="0.25">
      <c r="A1873" s="103" t="s">
        <v>731</v>
      </c>
      <c r="B1873" s="103" t="s">
        <v>732</v>
      </c>
      <c r="C1873" s="104" t="s">
        <v>150</v>
      </c>
      <c r="D1873" s="105">
        <v>1</v>
      </c>
      <c r="E1873" s="105">
        <v>33.1586</v>
      </c>
      <c r="F1873" s="105">
        <v>33.1586</v>
      </c>
      <c r="G1873" s="105">
        <v>110.16950000000001</v>
      </c>
      <c r="H1873" s="105">
        <v>110.16950000000003</v>
      </c>
      <c r="I1873" s="106" t="s">
        <v>87</v>
      </c>
      <c r="J1873" s="104" t="s">
        <v>102</v>
      </c>
      <c r="K1873" s="103" t="s">
        <v>2389</v>
      </c>
      <c r="L1873" s="129" t="str">
        <f t="shared" si="29"/>
        <v>005-00000311</v>
      </c>
    </row>
    <row r="1874" spans="1:12" hidden="1" x14ac:dyDescent="0.25">
      <c r="A1874" s="103" t="s">
        <v>2424</v>
      </c>
      <c r="B1874" s="103" t="s">
        <v>2425</v>
      </c>
      <c r="C1874" s="104" t="s">
        <v>150</v>
      </c>
      <c r="D1874" s="105">
        <v>1</v>
      </c>
      <c r="E1874" s="105">
        <v>35.703899</v>
      </c>
      <c r="F1874" s="105">
        <v>35.703899</v>
      </c>
      <c r="G1874" s="105">
        <v>118.64409999999999</v>
      </c>
      <c r="H1874" s="105">
        <v>118.64410000000002</v>
      </c>
      <c r="I1874" s="106" t="s">
        <v>87</v>
      </c>
      <c r="J1874" s="104" t="s">
        <v>102</v>
      </c>
      <c r="K1874" s="103" t="s">
        <v>2241</v>
      </c>
      <c r="L1874" s="129" t="str">
        <f t="shared" si="29"/>
        <v>005-00000249</v>
      </c>
    </row>
    <row r="1875" spans="1:12" hidden="1" x14ac:dyDescent="0.25">
      <c r="A1875" s="103" t="s">
        <v>2426</v>
      </c>
      <c r="B1875" s="103" t="s">
        <v>2427</v>
      </c>
      <c r="C1875" s="104" t="s">
        <v>150</v>
      </c>
      <c r="D1875" s="105">
        <v>1</v>
      </c>
      <c r="E1875" s="105">
        <v>29.695801000000003</v>
      </c>
      <c r="F1875" s="105">
        <v>29.695801000000007</v>
      </c>
      <c r="G1875" s="105">
        <v>98.589995999999985</v>
      </c>
      <c r="H1875" s="105">
        <v>98.589996000000014</v>
      </c>
      <c r="I1875" s="106" t="s">
        <v>87</v>
      </c>
      <c r="J1875" s="104" t="s">
        <v>102</v>
      </c>
      <c r="K1875" s="103" t="s">
        <v>646</v>
      </c>
      <c r="L1875" s="129" t="str">
        <f t="shared" si="29"/>
        <v>005-00000055</v>
      </c>
    </row>
    <row r="1876" spans="1:12" hidden="1" x14ac:dyDescent="0.25">
      <c r="A1876" s="130" t="s">
        <v>2137</v>
      </c>
      <c r="B1876" s="130" t="s">
        <v>2138</v>
      </c>
      <c r="C1876" s="132" t="s">
        <v>150</v>
      </c>
      <c r="D1876" s="129">
        <v>1</v>
      </c>
      <c r="E1876" s="129">
        <v>10.2155</v>
      </c>
      <c r="F1876" s="129">
        <v>10.2155</v>
      </c>
      <c r="G1876" s="129">
        <v>33.900002000000001</v>
      </c>
      <c r="H1876" s="129">
        <v>33.900002000000001</v>
      </c>
      <c r="I1876" s="131" t="s">
        <v>87</v>
      </c>
      <c r="J1876" s="132" t="s">
        <v>102</v>
      </c>
      <c r="K1876" s="130" t="s">
        <v>2095</v>
      </c>
      <c r="L1876" s="129" t="str">
        <f t="shared" si="29"/>
        <v>005-00000228</v>
      </c>
    </row>
    <row r="1877" spans="1:12" hidden="1" x14ac:dyDescent="0.25">
      <c r="A1877" s="130" t="s">
        <v>384</v>
      </c>
      <c r="B1877" s="130" t="s">
        <v>385</v>
      </c>
      <c r="C1877" s="132" t="s">
        <v>150</v>
      </c>
      <c r="D1877" s="129">
        <v>1</v>
      </c>
      <c r="E1877" s="129">
        <v>3.8306</v>
      </c>
      <c r="F1877" s="129">
        <v>3.8305999999999996</v>
      </c>
      <c r="G1877" s="129">
        <v>12.71</v>
      </c>
      <c r="H1877" s="129">
        <v>12.71</v>
      </c>
      <c r="I1877" s="131" t="s">
        <v>87</v>
      </c>
      <c r="J1877" s="132" t="s">
        <v>102</v>
      </c>
      <c r="K1877" s="130" t="s">
        <v>2095</v>
      </c>
      <c r="L1877" s="129" t="str">
        <f t="shared" si="29"/>
        <v>005-00000228</v>
      </c>
    </row>
    <row r="1878" spans="1:12" hidden="1" x14ac:dyDescent="0.25">
      <c r="A1878" s="130" t="s">
        <v>2130</v>
      </c>
      <c r="B1878" s="130" t="s">
        <v>2131</v>
      </c>
      <c r="C1878" s="132" t="s">
        <v>150</v>
      </c>
      <c r="D1878" s="129">
        <v>1</v>
      </c>
      <c r="E1878" s="129">
        <v>7.6577000999999996</v>
      </c>
      <c r="F1878" s="129">
        <v>7.6577001000000005</v>
      </c>
      <c r="G1878" s="129">
        <v>25.4237</v>
      </c>
      <c r="H1878" s="129">
        <v>25.423700000000004</v>
      </c>
      <c r="I1878" s="131" t="s">
        <v>87</v>
      </c>
      <c r="J1878" s="132" t="s">
        <v>102</v>
      </c>
      <c r="K1878" s="130" t="s">
        <v>2095</v>
      </c>
      <c r="L1878" s="129" t="str">
        <f t="shared" si="29"/>
        <v>005-00000228</v>
      </c>
    </row>
    <row r="1879" spans="1:12" hidden="1" x14ac:dyDescent="0.25">
      <c r="A1879" s="130" t="s">
        <v>2132</v>
      </c>
      <c r="B1879" s="130" t="s">
        <v>2133</v>
      </c>
      <c r="C1879" s="132" t="s">
        <v>150</v>
      </c>
      <c r="D1879" s="129">
        <v>1</v>
      </c>
      <c r="E1879" s="129">
        <v>8.9314003</v>
      </c>
      <c r="F1879" s="129">
        <v>8.9314003</v>
      </c>
      <c r="G1879" s="129">
        <v>29.660999</v>
      </c>
      <c r="H1879" s="129">
        <v>29.660999000000007</v>
      </c>
      <c r="I1879" s="131" t="s">
        <v>87</v>
      </c>
      <c r="J1879" s="132" t="s">
        <v>102</v>
      </c>
      <c r="K1879" s="130" t="s">
        <v>2095</v>
      </c>
      <c r="L1879" s="129" t="str">
        <f t="shared" si="29"/>
        <v>005-00000228</v>
      </c>
    </row>
    <row r="1880" spans="1:12" hidden="1" x14ac:dyDescent="0.25">
      <c r="A1880" s="130" t="s">
        <v>390</v>
      </c>
      <c r="B1880" s="130" t="s">
        <v>391</v>
      </c>
      <c r="C1880" s="132" t="s">
        <v>150</v>
      </c>
      <c r="D1880" s="129">
        <v>1</v>
      </c>
      <c r="E1880" s="129">
        <v>19.170400999999998</v>
      </c>
      <c r="F1880" s="129">
        <v>19.170400999999998</v>
      </c>
      <c r="G1880" s="129">
        <v>63.559299000000003</v>
      </c>
      <c r="H1880" s="129">
        <v>63.559298999999989</v>
      </c>
      <c r="I1880" s="131" t="s">
        <v>87</v>
      </c>
      <c r="J1880" s="132" t="s">
        <v>102</v>
      </c>
      <c r="K1880" s="130" t="s">
        <v>2095</v>
      </c>
      <c r="L1880" s="129" t="str">
        <f t="shared" si="29"/>
        <v>005-00000228</v>
      </c>
    </row>
    <row r="1881" spans="1:12" hidden="1" x14ac:dyDescent="0.25">
      <c r="A1881" s="130" t="s">
        <v>2214</v>
      </c>
      <c r="B1881" s="130" t="s">
        <v>2215</v>
      </c>
      <c r="C1881" s="132" t="s">
        <v>153</v>
      </c>
      <c r="D1881" s="129">
        <v>1</v>
      </c>
      <c r="E1881" s="129">
        <v>45.946499000000003</v>
      </c>
      <c r="F1881" s="129">
        <v>45.946499000000003</v>
      </c>
      <c r="G1881" s="129">
        <v>152.54239999999999</v>
      </c>
      <c r="H1881" s="129">
        <v>152.54239999999999</v>
      </c>
      <c r="I1881" s="131" t="s">
        <v>87</v>
      </c>
      <c r="J1881" s="132" t="s">
        <v>102</v>
      </c>
      <c r="K1881" s="130" t="s">
        <v>2258</v>
      </c>
      <c r="L1881" s="129" t="str">
        <f t="shared" si="29"/>
        <v>005-00000310</v>
      </c>
    </row>
    <row r="1882" spans="1:12" hidden="1" x14ac:dyDescent="0.25">
      <c r="A1882" s="130" t="s">
        <v>2144</v>
      </c>
      <c r="B1882" s="130" t="s">
        <v>460</v>
      </c>
      <c r="C1882" s="132" t="s">
        <v>150</v>
      </c>
      <c r="D1882" s="129">
        <v>1</v>
      </c>
      <c r="E1882" s="129">
        <v>8.9380998999999992</v>
      </c>
      <c r="F1882" s="129">
        <v>8.938099900000001</v>
      </c>
      <c r="G1882" s="129">
        <v>59.32</v>
      </c>
      <c r="H1882" s="129">
        <v>59.32</v>
      </c>
      <c r="I1882" s="131" t="s">
        <v>87</v>
      </c>
      <c r="J1882" s="132" t="s">
        <v>102</v>
      </c>
      <c r="K1882" s="130" t="s">
        <v>2258</v>
      </c>
      <c r="L1882" s="129" t="str">
        <f t="shared" si="29"/>
        <v>005-00000310</v>
      </c>
    </row>
    <row r="1883" spans="1:12" hidden="1" x14ac:dyDescent="0.25">
      <c r="A1883" s="130" t="s">
        <v>2144</v>
      </c>
      <c r="B1883" s="130" t="s">
        <v>460</v>
      </c>
      <c r="C1883" s="132" t="s">
        <v>150</v>
      </c>
      <c r="D1883" s="129">
        <v>1</v>
      </c>
      <c r="E1883" s="129">
        <v>8.9360999999999997</v>
      </c>
      <c r="F1883" s="129">
        <v>8.9360999999999997</v>
      </c>
      <c r="G1883" s="129">
        <v>29.660999</v>
      </c>
      <c r="H1883" s="129">
        <v>29.660999000000007</v>
      </c>
      <c r="I1883" s="131" t="s">
        <v>87</v>
      </c>
      <c r="J1883" s="132" t="s">
        <v>102</v>
      </c>
      <c r="K1883" s="130" t="s">
        <v>2241</v>
      </c>
      <c r="L1883" s="129" t="str">
        <f t="shared" si="29"/>
        <v>005-00000249</v>
      </c>
    </row>
    <row r="1884" spans="1:12" hidden="1" x14ac:dyDescent="0.25">
      <c r="A1884" s="130" t="s">
        <v>495</v>
      </c>
      <c r="B1884" s="130" t="s">
        <v>496</v>
      </c>
      <c r="C1884" s="132" t="s">
        <v>150</v>
      </c>
      <c r="D1884" s="129">
        <v>1</v>
      </c>
      <c r="E1884" s="129">
        <v>10.2103</v>
      </c>
      <c r="F1884" s="129">
        <v>10.2103</v>
      </c>
      <c r="G1884" s="129">
        <v>33.898299999999999</v>
      </c>
      <c r="H1884" s="129">
        <v>33.898299999999999</v>
      </c>
      <c r="I1884" s="131" t="s">
        <v>87</v>
      </c>
      <c r="J1884" s="132" t="s">
        <v>102</v>
      </c>
      <c r="K1884" s="130" t="s">
        <v>2095</v>
      </c>
      <c r="L1884" s="129" t="str">
        <f t="shared" si="29"/>
        <v>005-00000228</v>
      </c>
    </row>
    <row r="1885" spans="1:12" hidden="1" x14ac:dyDescent="0.25">
      <c r="A1885" s="130" t="s">
        <v>2428</v>
      </c>
      <c r="B1885" s="130" t="s">
        <v>2429</v>
      </c>
      <c r="C1885" s="132" t="s">
        <v>150</v>
      </c>
      <c r="D1885" s="129">
        <v>1</v>
      </c>
      <c r="E1885" s="129">
        <v>24.249500000000001</v>
      </c>
      <c r="F1885" s="129">
        <v>24.249500000000001</v>
      </c>
      <c r="G1885" s="129">
        <v>80.508499</v>
      </c>
      <c r="H1885" s="129">
        <v>80.508499</v>
      </c>
      <c r="I1885" s="131" t="s">
        <v>87</v>
      </c>
      <c r="J1885" s="132" t="s">
        <v>102</v>
      </c>
      <c r="K1885" s="130" t="s">
        <v>2095</v>
      </c>
      <c r="L1885" s="129" t="str">
        <f t="shared" si="29"/>
        <v>005-00000228</v>
      </c>
    </row>
    <row r="1886" spans="1:12" hidden="1" x14ac:dyDescent="0.25">
      <c r="A1886" s="130" t="s">
        <v>241</v>
      </c>
      <c r="B1886" s="130" t="s">
        <v>242</v>
      </c>
      <c r="C1886" s="132" t="s">
        <v>150</v>
      </c>
      <c r="D1886" s="129">
        <v>1</v>
      </c>
      <c r="E1886" s="129">
        <v>8.9393996999999992</v>
      </c>
      <c r="F1886" s="129">
        <v>8.9393996999999992</v>
      </c>
      <c r="G1886" s="129">
        <v>29.660999</v>
      </c>
      <c r="H1886" s="129">
        <v>29.660999000000007</v>
      </c>
      <c r="I1886" s="131" t="s">
        <v>87</v>
      </c>
      <c r="J1886" s="132" t="s">
        <v>102</v>
      </c>
      <c r="K1886" s="130" t="s">
        <v>2124</v>
      </c>
      <c r="L1886" s="129" t="str">
        <f t="shared" si="29"/>
        <v>005-00000275</v>
      </c>
    </row>
    <row r="1887" spans="1:12" hidden="1" x14ac:dyDescent="0.25">
      <c r="A1887" s="130" t="s">
        <v>2430</v>
      </c>
      <c r="B1887" s="130" t="s">
        <v>2431</v>
      </c>
      <c r="C1887" s="132" t="s">
        <v>150</v>
      </c>
      <c r="D1887" s="129">
        <v>1</v>
      </c>
      <c r="E1887" s="129">
        <v>3.8289000999999998</v>
      </c>
      <c r="F1887" s="129">
        <v>3.8289001000000003</v>
      </c>
      <c r="G1887" s="129">
        <v>12.7119</v>
      </c>
      <c r="H1887" s="129">
        <v>12.711900000000004</v>
      </c>
      <c r="I1887" s="131" t="s">
        <v>87</v>
      </c>
      <c r="J1887" s="132" t="s">
        <v>102</v>
      </c>
      <c r="K1887" s="130" t="s">
        <v>2124</v>
      </c>
      <c r="L1887" s="129" t="str">
        <f t="shared" si="29"/>
        <v>005-00000275</v>
      </c>
    </row>
    <row r="1888" spans="1:12" hidden="1" x14ac:dyDescent="0.25">
      <c r="A1888" s="130" t="s">
        <v>1034</v>
      </c>
      <c r="B1888" s="130" t="s">
        <v>1035</v>
      </c>
      <c r="C1888" s="132" t="s">
        <v>88</v>
      </c>
      <c r="D1888" s="129">
        <v>1</v>
      </c>
      <c r="E1888" s="129">
        <v>10.5677</v>
      </c>
      <c r="F1888" s="129">
        <v>10.567700000000002</v>
      </c>
      <c r="G1888" s="129">
        <v>35.745998</v>
      </c>
      <c r="H1888" s="129">
        <v>35.745998</v>
      </c>
      <c r="I1888" s="131" t="s">
        <v>87</v>
      </c>
      <c r="J1888" s="132" t="s">
        <v>102</v>
      </c>
      <c r="K1888" s="130" t="s">
        <v>2124</v>
      </c>
      <c r="L1888" s="129" t="str">
        <f t="shared" si="29"/>
        <v>005-00000275</v>
      </c>
    </row>
    <row r="1889" spans="1:12" hidden="1" x14ac:dyDescent="0.25">
      <c r="A1889" s="130" t="s">
        <v>227</v>
      </c>
      <c r="B1889" s="130" t="s">
        <v>194</v>
      </c>
      <c r="C1889" s="132" t="s">
        <v>88</v>
      </c>
      <c r="D1889" s="129">
        <v>1</v>
      </c>
      <c r="E1889" s="129">
        <v>1.6415</v>
      </c>
      <c r="F1889" s="129">
        <v>1.6414999999999997</v>
      </c>
      <c r="G1889" s="129">
        <v>5.4759001999999999</v>
      </c>
      <c r="H1889" s="129">
        <v>5.4759001999999999</v>
      </c>
      <c r="I1889" s="131" t="s">
        <v>87</v>
      </c>
      <c r="J1889" s="132" t="s">
        <v>102</v>
      </c>
      <c r="K1889" s="130" t="s">
        <v>2124</v>
      </c>
      <c r="L1889" s="129" t="str">
        <f t="shared" si="29"/>
        <v>005-00000275</v>
      </c>
    </row>
    <row r="1890" spans="1:12" hidden="1" x14ac:dyDescent="0.25">
      <c r="A1890" s="130" t="s">
        <v>2137</v>
      </c>
      <c r="B1890" s="130" t="s">
        <v>2138</v>
      </c>
      <c r="C1890" s="132" t="s">
        <v>150</v>
      </c>
      <c r="D1890" s="129">
        <v>1</v>
      </c>
      <c r="E1890" s="129">
        <v>12.767799999999999</v>
      </c>
      <c r="F1890" s="129">
        <v>12.767799999999998</v>
      </c>
      <c r="G1890" s="129">
        <v>42.369999</v>
      </c>
      <c r="H1890" s="129">
        <v>42.369998999999986</v>
      </c>
      <c r="I1890" s="131" t="s">
        <v>87</v>
      </c>
      <c r="J1890" s="132" t="s">
        <v>102</v>
      </c>
      <c r="K1890" s="130" t="s">
        <v>2389</v>
      </c>
      <c r="L1890" s="129" t="str">
        <f t="shared" si="29"/>
        <v>005-00000311</v>
      </c>
    </row>
    <row r="1891" spans="1:12" hidden="1" x14ac:dyDescent="0.25">
      <c r="A1891" s="130" t="s">
        <v>2080</v>
      </c>
      <c r="B1891" s="130" t="s">
        <v>2081</v>
      </c>
      <c r="C1891" s="132" t="s">
        <v>150</v>
      </c>
      <c r="D1891" s="129">
        <v>1</v>
      </c>
      <c r="E1891" s="129">
        <v>3.4277000000000002</v>
      </c>
      <c r="F1891" s="129">
        <v>3.4276999999999997</v>
      </c>
      <c r="G1891" s="129">
        <v>11.38</v>
      </c>
      <c r="H1891" s="129">
        <v>11.38</v>
      </c>
      <c r="I1891" s="131" t="s">
        <v>87</v>
      </c>
      <c r="J1891" s="132" t="s">
        <v>102</v>
      </c>
      <c r="K1891" s="130" t="s">
        <v>2432</v>
      </c>
      <c r="L1891" s="129" t="str">
        <f t="shared" si="29"/>
        <v>005-00000338</v>
      </c>
    </row>
    <row r="1892" spans="1:12" hidden="1" x14ac:dyDescent="0.25">
      <c r="A1892" s="130" t="s">
        <v>2169</v>
      </c>
      <c r="B1892" s="130" t="s">
        <v>2170</v>
      </c>
      <c r="C1892" s="132" t="s">
        <v>150</v>
      </c>
      <c r="D1892" s="129">
        <v>1</v>
      </c>
      <c r="E1892" s="129">
        <v>82.5</v>
      </c>
      <c r="F1892" s="129">
        <v>82.5</v>
      </c>
      <c r="G1892" s="129">
        <v>273.89999</v>
      </c>
      <c r="H1892" s="129">
        <v>273.89998999999995</v>
      </c>
      <c r="I1892" s="131" t="s">
        <v>87</v>
      </c>
      <c r="J1892" s="132" t="s">
        <v>102</v>
      </c>
      <c r="K1892" s="130" t="s">
        <v>2432</v>
      </c>
      <c r="L1892" s="129" t="str">
        <f t="shared" si="29"/>
        <v>005-00000338</v>
      </c>
    </row>
    <row r="1893" spans="1:12" hidden="1" x14ac:dyDescent="0.25">
      <c r="A1893" s="130" t="s">
        <v>2433</v>
      </c>
      <c r="B1893" s="130" t="s">
        <v>2434</v>
      </c>
      <c r="C1893" s="132" t="s">
        <v>150</v>
      </c>
      <c r="D1893" s="129">
        <v>1</v>
      </c>
      <c r="E1893" s="129">
        <v>36.111899999999999</v>
      </c>
      <c r="F1893" s="129">
        <v>36.111899999999999</v>
      </c>
      <c r="G1893" s="129">
        <v>120</v>
      </c>
      <c r="H1893" s="129">
        <v>120</v>
      </c>
      <c r="I1893" s="131" t="s">
        <v>87</v>
      </c>
      <c r="J1893" s="132" t="s">
        <v>102</v>
      </c>
      <c r="K1893" s="130" t="s">
        <v>645</v>
      </c>
      <c r="L1893" s="129" t="str">
        <f t="shared" si="29"/>
        <v>005-00000056</v>
      </c>
    </row>
    <row r="1894" spans="1:12" hidden="1" x14ac:dyDescent="0.25">
      <c r="A1894" s="130" t="s">
        <v>2435</v>
      </c>
      <c r="B1894" s="130" t="s">
        <v>2436</v>
      </c>
      <c r="C1894" s="132" t="s">
        <v>150</v>
      </c>
      <c r="D1894" s="129">
        <v>1</v>
      </c>
      <c r="E1894" s="129">
        <v>36.111899999999999</v>
      </c>
      <c r="F1894" s="129">
        <v>36.111899999999999</v>
      </c>
      <c r="G1894" s="129">
        <v>120</v>
      </c>
      <c r="H1894" s="129">
        <v>120</v>
      </c>
      <c r="I1894" s="131" t="s">
        <v>87</v>
      </c>
      <c r="J1894" s="132" t="s">
        <v>102</v>
      </c>
      <c r="K1894" s="130" t="s">
        <v>645</v>
      </c>
      <c r="L1894" s="129" t="str">
        <f t="shared" si="29"/>
        <v>005-00000056</v>
      </c>
    </row>
    <row r="1895" spans="1:12" hidden="1" x14ac:dyDescent="0.25">
      <c r="A1895" s="130" t="s">
        <v>2437</v>
      </c>
      <c r="B1895" s="130" t="s">
        <v>2438</v>
      </c>
      <c r="C1895" s="132" t="s">
        <v>150</v>
      </c>
      <c r="D1895" s="129">
        <v>1</v>
      </c>
      <c r="E1895" s="129">
        <v>84.261200000000002</v>
      </c>
      <c r="F1895" s="129">
        <v>84.261200000000002</v>
      </c>
      <c r="G1895" s="129">
        <v>280</v>
      </c>
      <c r="H1895" s="129">
        <v>280</v>
      </c>
      <c r="I1895" s="131" t="s">
        <v>87</v>
      </c>
      <c r="J1895" s="132" t="s">
        <v>102</v>
      </c>
      <c r="K1895" s="130" t="s">
        <v>645</v>
      </c>
      <c r="L1895" s="129" t="str">
        <f t="shared" si="29"/>
        <v>005-00000056</v>
      </c>
    </row>
    <row r="1896" spans="1:12" hidden="1" x14ac:dyDescent="0.25">
      <c r="A1896" s="130" t="s">
        <v>1690</v>
      </c>
      <c r="B1896" s="130" t="s">
        <v>1691</v>
      </c>
      <c r="C1896" s="132" t="s">
        <v>150</v>
      </c>
      <c r="D1896" s="129">
        <v>1</v>
      </c>
      <c r="E1896" s="129">
        <v>10.5327</v>
      </c>
      <c r="F1896" s="129">
        <v>10.532700000000002</v>
      </c>
      <c r="G1896" s="129">
        <v>35</v>
      </c>
      <c r="H1896" s="129">
        <v>35</v>
      </c>
      <c r="I1896" s="131" t="s">
        <v>87</v>
      </c>
      <c r="J1896" s="132" t="s">
        <v>102</v>
      </c>
      <c r="K1896" s="130" t="s">
        <v>2390</v>
      </c>
      <c r="L1896" s="129" t="str">
        <f t="shared" si="29"/>
        <v>005-00000313</v>
      </c>
    </row>
    <row r="1897" spans="1:12" hidden="1" x14ac:dyDescent="0.25">
      <c r="A1897" s="130" t="s">
        <v>2169</v>
      </c>
      <c r="B1897" s="130" t="s">
        <v>2170</v>
      </c>
      <c r="C1897" s="132" t="s">
        <v>150</v>
      </c>
      <c r="D1897" s="129">
        <v>1</v>
      </c>
      <c r="E1897" s="129">
        <v>60.186599999999999</v>
      </c>
      <c r="F1897" s="129">
        <v>60.186599999999999</v>
      </c>
      <c r="G1897" s="129">
        <v>200</v>
      </c>
      <c r="H1897" s="129">
        <v>200</v>
      </c>
      <c r="I1897" s="131" t="s">
        <v>87</v>
      </c>
      <c r="J1897" s="132" t="s">
        <v>102</v>
      </c>
      <c r="K1897" s="130" t="s">
        <v>2390</v>
      </c>
      <c r="L1897" s="129" t="str">
        <f t="shared" si="29"/>
        <v>005-00000313</v>
      </c>
    </row>
    <row r="1898" spans="1:12" hidden="1" x14ac:dyDescent="0.25">
      <c r="A1898" s="130" t="s">
        <v>1488</v>
      </c>
      <c r="B1898" s="130" t="s">
        <v>1489</v>
      </c>
      <c r="C1898" s="132" t="s">
        <v>150</v>
      </c>
      <c r="D1898" s="129">
        <v>1</v>
      </c>
      <c r="E1898" s="129">
        <v>18.069599</v>
      </c>
      <c r="F1898" s="129">
        <v>18.069598999999997</v>
      </c>
      <c r="G1898" s="129">
        <v>60</v>
      </c>
      <c r="H1898" s="129">
        <v>60</v>
      </c>
      <c r="I1898" s="131" t="s">
        <v>87</v>
      </c>
      <c r="J1898" s="132" t="s">
        <v>102</v>
      </c>
      <c r="K1898" s="130" t="s">
        <v>2389</v>
      </c>
      <c r="L1898" s="129" t="str">
        <f t="shared" si="29"/>
        <v>005-00000311</v>
      </c>
    </row>
    <row r="1899" spans="1:12" hidden="1" x14ac:dyDescent="0.25">
      <c r="A1899" s="130" t="s">
        <v>212</v>
      </c>
      <c r="B1899" s="130" t="s">
        <v>213</v>
      </c>
      <c r="C1899" s="132" t="s">
        <v>153</v>
      </c>
      <c r="D1899" s="129">
        <v>1</v>
      </c>
      <c r="E1899" s="129">
        <v>12.0337</v>
      </c>
      <c r="F1899" s="129">
        <v>12.0337</v>
      </c>
      <c r="G1899" s="129">
        <v>40</v>
      </c>
      <c r="H1899" s="129">
        <v>40</v>
      </c>
      <c r="I1899" s="131" t="s">
        <v>87</v>
      </c>
      <c r="J1899" s="132" t="s">
        <v>102</v>
      </c>
      <c r="K1899" s="130" t="s">
        <v>2389</v>
      </c>
      <c r="L1899" s="129" t="str">
        <f t="shared" si="29"/>
        <v>005-00000311</v>
      </c>
    </row>
    <row r="1900" spans="1:12" hidden="1" x14ac:dyDescent="0.25">
      <c r="A1900" s="130" t="s">
        <v>1490</v>
      </c>
      <c r="B1900" s="130" t="s">
        <v>1491</v>
      </c>
      <c r="C1900" s="132" t="s">
        <v>150</v>
      </c>
      <c r="D1900" s="129">
        <v>1</v>
      </c>
      <c r="E1900" s="129">
        <v>18.069599</v>
      </c>
      <c r="F1900" s="129">
        <v>18.069598999999997</v>
      </c>
      <c r="G1900" s="129">
        <v>60</v>
      </c>
      <c r="H1900" s="129">
        <v>60</v>
      </c>
      <c r="I1900" s="131" t="s">
        <v>87</v>
      </c>
      <c r="J1900" s="132" t="s">
        <v>102</v>
      </c>
      <c r="K1900" s="130" t="s">
        <v>2389</v>
      </c>
      <c r="L1900" s="129" t="str">
        <f t="shared" si="29"/>
        <v>005-00000311</v>
      </c>
    </row>
    <row r="1901" spans="1:12" hidden="1" x14ac:dyDescent="0.25">
      <c r="A1901" s="130" t="s">
        <v>2181</v>
      </c>
      <c r="B1901" s="130" t="s">
        <v>2182</v>
      </c>
      <c r="C1901" s="132" t="s">
        <v>150</v>
      </c>
      <c r="D1901" s="129">
        <v>1</v>
      </c>
      <c r="E1901" s="129">
        <v>60.16849899999999</v>
      </c>
      <c r="F1901" s="129">
        <v>60.168499000000004</v>
      </c>
      <c r="G1901" s="129">
        <v>200</v>
      </c>
      <c r="H1901" s="129">
        <v>200</v>
      </c>
      <c r="I1901" s="131" t="s">
        <v>87</v>
      </c>
      <c r="J1901" s="132" t="s">
        <v>102</v>
      </c>
      <c r="K1901" s="130" t="s">
        <v>2258</v>
      </c>
      <c r="L1901" s="129" t="str">
        <f t="shared" si="29"/>
        <v>005-00000310</v>
      </c>
    </row>
    <row r="1902" spans="1:12" hidden="1" x14ac:dyDescent="0.25">
      <c r="A1902" s="130" t="s">
        <v>1488</v>
      </c>
      <c r="B1902" s="130" t="s">
        <v>1489</v>
      </c>
      <c r="C1902" s="132" t="s">
        <v>150</v>
      </c>
      <c r="D1902" s="129">
        <v>1</v>
      </c>
      <c r="E1902" s="129">
        <v>18.060101</v>
      </c>
      <c r="F1902" s="129">
        <v>18.060101000000003</v>
      </c>
      <c r="G1902" s="129">
        <v>60</v>
      </c>
      <c r="H1902" s="129">
        <v>60</v>
      </c>
      <c r="I1902" s="131" t="s">
        <v>87</v>
      </c>
      <c r="J1902" s="132" t="s">
        <v>102</v>
      </c>
      <c r="K1902" s="130" t="s">
        <v>2258</v>
      </c>
      <c r="L1902" s="129" t="str">
        <f t="shared" si="29"/>
        <v>005-00000310</v>
      </c>
    </row>
    <row r="1903" spans="1:12" hidden="1" x14ac:dyDescent="0.25">
      <c r="A1903" s="130" t="s">
        <v>212</v>
      </c>
      <c r="B1903" s="130" t="s">
        <v>213</v>
      </c>
      <c r="C1903" s="132" t="s">
        <v>153</v>
      </c>
      <c r="D1903" s="129">
        <v>2</v>
      </c>
      <c r="E1903" s="129">
        <v>12.0337</v>
      </c>
      <c r="F1903" s="129">
        <v>24.067399999999999</v>
      </c>
      <c r="G1903" s="129">
        <v>40</v>
      </c>
      <c r="H1903" s="129">
        <v>80</v>
      </c>
      <c r="I1903" s="131" t="s">
        <v>87</v>
      </c>
      <c r="J1903" s="132" t="s">
        <v>102</v>
      </c>
      <c r="K1903" s="130" t="s">
        <v>2258</v>
      </c>
      <c r="L1903" s="129" t="str">
        <f t="shared" si="29"/>
        <v>005-00000310</v>
      </c>
    </row>
    <row r="1904" spans="1:12" hidden="1" x14ac:dyDescent="0.25">
      <c r="A1904" s="130" t="s">
        <v>1490</v>
      </c>
      <c r="B1904" s="130" t="s">
        <v>1491</v>
      </c>
      <c r="C1904" s="132" t="s">
        <v>150</v>
      </c>
      <c r="D1904" s="129">
        <v>1</v>
      </c>
      <c r="E1904" s="129">
        <v>18.060101</v>
      </c>
      <c r="F1904" s="129">
        <v>18.060101000000003</v>
      </c>
      <c r="G1904" s="129">
        <v>60</v>
      </c>
      <c r="H1904" s="129">
        <v>60</v>
      </c>
      <c r="I1904" s="131" t="s">
        <v>87</v>
      </c>
      <c r="J1904" s="132" t="s">
        <v>102</v>
      </c>
      <c r="K1904" s="130" t="s">
        <v>2258</v>
      </c>
      <c r="L1904" s="129" t="str">
        <f t="shared" si="29"/>
        <v>005-00000310</v>
      </c>
    </row>
    <row r="1905" spans="1:12" hidden="1" x14ac:dyDescent="0.25">
      <c r="A1905" s="130" t="s">
        <v>2181</v>
      </c>
      <c r="B1905" s="130" t="s">
        <v>2182</v>
      </c>
      <c r="C1905" s="132" t="s">
        <v>150</v>
      </c>
      <c r="D1905" s="129">
        <v>1</v>
      </c>
      <c r="E1905" s="129">
        <v>60.16849899999999</v>
      </c>
      <c r="F1905" s="129">
        <v>60.168499000000004</v>
      </c>
      <c r="G1905" s="129">
        <v>200</v>
      </c>
      <c r="H1905" s="129">
        <v>200</v>
      </c>
      <c r="I1905" s="131" t="s">
        <v>87</v>
      </c>
      <c r="J1905" s="132" t="s">
        <v>102</v>
      </c>
      <c r="K1905" s="130" t="s">
        <v>2400</v>
      </c>
      <c r="L1905" s="129" t="str">
        <f t="shared" si="29"/>
        <v>005-00000312</v>
      </c>
    </row>
    <row r="1906" spans="1:12" hidden="1" x14ac:dyDescent="0.25">
      <c r="A1906" s="130" t="s">
        <v>1482</v>
      </c>
      <c r="B1906" s="130" t="s">
        <v>1483</v>
      </c>
      <c r="C1906" s="132" t="s">
        <v>150</v>
      </c>
      <c r="D1906" s="129">
        <v>1</v>
      </c>
      <c r="E1906" s="129">
        <v>81.398903000000004</v>
      </c>
      <c r="F1906" s="129">
        <v>81.39890299999999</v>
      </c>
      <c r="G1906" s="129">
        <v>270</v>
      </c>
      <c r="H1906" s="129">
        <v>270</v>
      </c>
      <c r="I1906" s="131" t="s">
        <v>87</v>
      </c>
      <c r="J1906" s="132" t="s">
        <v>102</v>
      </c>
      <c r="K1906" s="130" t="s">
        <v>2094</v>
      </c>
      <c r="L1906" s="129" t="str">
        <f t="shared" si="29"/>
        <v>005-00000233</v>
      </c>
    </row>
    <row r="1907" spans="1:12" hidden="1" x14ac:dyDescent="0.25">
      <c r="A1907" s="130" t="s">
        <v>1538</v>
      </c>
      <c r="B1907" s="130" t="s">
        <v>1539</v>
      </c>
      <c r="C1907" s="132" t="s">
        <v>150</v>
      </c>
      <c r="D1907" s="129">
        <v>1</v>
      </c>
      <c r="E1907" s="129">
        <v>33.162497999999999</v>
      </c>
      <c r="F1907" s="129">
        <v>33.162497999999999</v>
      </c>
      <c r="G1907" s="129">
        <v>110</v>
      </c>
      <c r="H1907" s="129">
        <v>110</v>
      </c>
      <c r="I1907" s="131" t="s">
        <v>87</v>
      </c>
      <c r="J1907" s="132" t="s">
        <v>102</v>
      </c>
      <c r="K1907" s="130" t="s">
        <v>2094</v>
      </c>
      <c r="L1907" s="129" t="str">
        <f t="shared" si="29"/>
        <v>005-00000233</v>
      </c>
    </row>
    <row r="1908" spans="1:12" hidden="1" x14ac:dyDescent="0.25">
      <c r="A1908" s="130" t="s">
        <v>2177</v>
      </c>
      <c r="B1908" s="130" t="s">
        <v>2178</v>
      </c>
      <c r="C1908" s="132" t="s">
        <v>150</v>
      </c>
      <c r="D1908" s="129">
        <v>1</v>
      </c>
      <c r="E1908" s="129">
        <v>12.059100000000001</v>
      </c>
      <c r="F1908" s="129">
        <v>12.059099999999999</v>
      </c>
      <c r="G1908" s="129">
        <v>40</v>
      </c>
      <c r="H1908" s="129">
        <v>40</v>
      </c>
      <c r="I1908" s="131" t="s">
        <v>87</v>
      </c>
      <c r="J1908" s="132" t="s">
        <v>102</v>
      </c>
      <c r="K1908" s="130" t="s">
        <v>2094</v>
      </c>
      <c r="L1908" s="129" t="str">
        <f t="shared" si="29"/>
        <v>005-00000233</v>
      </c>
    </row>
    <row r="1909" spans="1:12" x14ac:dyDescent="0.25">
      <c r="A1909" s="130" t="s">
        <v>2439</v>
      </c>
      <c r="B1909" s="130" t="s">
        <v>2440</v>
      </c>
      <c r="C1909" s="132" t="s">
        <v>150</v>
      </c>
      <c r="D1909" s="129">
        <v>1</v>
      </c>
      <c r="E1909" s="129">
        <v>18.0886</v>
      </c>
      <c r="F1909" s="129">
        <v>18.088599999999996</v>
      </c>
      <c r="G1909" s="129">
        <v>60</v>
      </c>
      <c r="H1909" s="129">
        <v>60</v>
      </c>
      <c r="I1909" s="131" t="s">
        <v>87</v>
      </c>
      <c r="J1909" s="132" t="s">
        <v>102</v>
      </c>
      <c r="K1909" s="130" t="s">
        <v>2094</v>
      </c>
      <c r="L1909" s="129" t="str">
        <f t="shared" si="29"/>
        <v>005-00000233</v>
      </c>
    </row>
    <row r="1910" spans="1:12" hidden="1" x14ac:dyDescent="0.25">
      <c r="A1910" s="130" t="s">
        <v>2183</v>
      </c>
      <c r="B1910" s="130" t="s">
        <v>2184</v>
      </c>
      <c r="C1910" s="132" t="s">
        <v>150</v>
      </c>
      <c r="D1910" s="129">
        <v>1</v>
      </c>
      <c r="E1910" s="129">
        <v>24.118200000000002</v>
      </c>
      <c r="F1910" s="129">
        <v>24.118199999999998</v>
      </c>
      <c r="G1910" s="129">
        <v>80</v>
      </c>
      <c r="H1910" s="129">
        <v>80</v>
      </c>
      <c r="I1910" s="131" t="s">
        <v>87</v>
      </c>
      <c r="J1910" s="132" t="s">
        <v>102</v>
      </c>
      <c r="K1910" s="130" t="s">
        <v>655</v>
      </c>
      <c r="L1910" s="129" t="str">
        <f t="shared" si="29"/>
        <v>005-00000046</v>
      </c>
    </row>
    <row r="1911" spans="1:12" hidden="1" x14ac:dyDescent="0.25">
      <c r="A1911" s="130" t="s">
        <v>2177</v>
      </c>
      <c r="B1911" s="130" t="s">
        <v>2178</v>
      </c>
      <c r="C1911" s="132" t="s">
        <v>150</v>
      </c>
      <c r="D1911" s="129">
        <v>1</v>
      </c>
      <c r="E1911" s="129">
        <v>13.566499999999998</v>
      </c>
      <c r="F1911" s="129">
        <v>13.566499999999996</v>
      </c>
      <c r="G1911" s="129">
        <v>45</v>
      </c>
      <c r="H1911" s="129">
        <v>45</v>
      </c>
      <c r="I1911" s="131" t="s">
        <v>87</v>
      </c>
      <c r="J1911" s="132" t="s">
        <v>102</v>
      </c>
      <c r="K1911" s="130" t="s">
        <v>1575</v>
      </c>
      <c r="L1911" s="129" t="str">
        <f t="shared" si="29"/>
        <v>005-00000186</v>
      </c>
    </row>
    <row r="1912" spans="1:12" hidden="1" x14ac:dyDescent="0.25">
      <c r="A1912" s="130" t="s">
        <v>1488</v>
      </c>
      <c r="B1912" s="130" t="s">
        <v>1489</v>
      </c>
      <c r="C1912" s="132" t="s">
        <v>150</v>
      </c>
      <c r="D1912" s="129">
        <v>1</v>
      </c>
      <c r="E1912" s="129">
        <v>22.610799999999998</v>
      </c>
      <c r="F1912" s="129">
        <v>22.610799999999998</v>
      </c>
      <c r="G1912" s="129">
        <v>75</v>
      </c>
      <c r="H1912" s="129">
        <v>75</v>
      </c>
      <c r="I1912" s="131" t="s">
        <v>87</v>
      </c>
      <c r="J1912" s="132" t="s">
        <v>102</v>
      </c>
      <c r="K1912" s="130" t="s">
        <v>1575</v>
      </c>
      <c r="L1912" s="129" t="str">
        <f t="shared" si="29"/>
        <v>005-00000186</v>
      </c>
    </row>
    <row r="1913" spans="1:12" hidden="1" x14ac:dyDescent="0.25">
      <c r="A1913" s="130" t="s">
        <v>1490</v>
      </c>
      <c r="B1913" s="130" t="s">
        <v>1491</v>
      </c>
      <c r="C1913" s="132" t="s">
        <v>150</v>
      </c>
      <c r="D1913" s="129">
        <v>1</v>
      </c>
      <c r="E1913" s="129">
        <v>22.610799999999998</v>
      </c>
      <c r="F1913" s="129">
        <v>22.610799999999998</v>
      </c>
      <c r="G1913" s="129">
        <v>75</v>
      </c>
      <c r="H1913" s="129">
        <v>75</v>
      </c>
      <c r="I1913" s="131" t="s">
        <v>87</v>
      </c>
      <c r="J1913" s="132" t="s">
        <v>102</v>
      </c>
      <c r="K1913" s="130" t="s">
        <v>1575</v>
      </c>
      <c r="L1913" s="129" t="str">
        <f t="shared" si="29"/>
        <v>005-00000186</v>
      </c>
    </row>
    <row r="1914" spans="1:12" x14ac:dyDescent="0.25">
      <c r="A1914" s="130" t="s">
        <v>2439</v>
      </c>
      <c r="B1914" s="130" t="s">
        <v>2440</v>
      </c>
      <c r="C1914" s="132" t="s">
        <v>150</v>
      </c>
      <c r="D1914" s="129">
        <v>1</v>
      </c>
      <c r="E1914" s="129">
        <v>21.103399</v>
      </c>
      <c r="F1914" s="129">
        <v>21.103399000000003</v>
      </c>
      <c r="G1914" s="129">
        <v>70</v>
      </c>
      <c r="H1914" s="129">
        <v>70</v>
      </c>
      <c r="I1914" s="131" t="s">
        <v>87</v>
      </c>
      <c r="J1914" s="132" t="s">
        <v>102</v>
      </c>
      <c r="K1914" s="130" t="s">
        <v>1575</v>
      </c>
      <c r="L1914" s="129" t="str">
        <f t="shared" si="29"/>
        <v>005-00000186</v>
      </c>
    </row>
    <row r="1915" spans="1:12" hidden="1" x14ac:dyDescent="0.25">
      <c r="A1915" s="130" t="s">
        <v>1482</v>
      </c>
      <c r="B1915" s="130" t="s">
        <v>1483</v>
      </c>
      <c r="C1915" s="132" t="s">
        <v>150</v>
      </c>
      <c r="D1915" s="129">
        <v>1</v>
      </c>
      <c r="E1915" s="129">
        <v>84.413596999999996</v>
      </c>
      <c r="F1915" s="129">
        <v>84.413596999999996</v>
      </c>
      <c r="G1915" s="129">
        <v>280</v>
      </c>
      <c r="H1915" s="129">
        <v>280</v>
      </c>
      <c r="I1915" s="131" t="s">
        <v>87</v>
      </c>
      <c r="J1915" s="132" t="s">
        <v>102</v>
      </c>
      <c r="K1915" s="130" t="s">
        <v>1560</v>
      </c>
      <c r="L1915" s="129" t="str">
        <f t="shared" si="29"/>
        <v>005-00000194</v>
      </c>
    </row>
    <row r="1916" spans="1:12" hidden="1" x14ac:dyDescent="0.25">
      <c r="A1916" s="130" t="s">
        <v>2179</v>
      </c>
      <c r="B1916" s="130" t="s">
        <v>2180</v>
      </c>
      <c r="C1916" s="132" t="s">
        <v>150</v>
      </c>
      <c r="D1916" s="129">
        <v>1</v>
      </c>
      <c r="E1916" s="129">
        <v>78.384101999999999</v>
      </c>
      <c r="F1916" s="129">
        <v>78.384102000000013</v>
      </c>
      <c r="G1916" s="129">
        <v>260</v>
      </c>
      <c r="H1916" s="129">
        <v>260</v>
      </c>
      <c r="I1916" s="131" t="s">
        <v>87</v>
      </c>
      <c r="J1916" s="132" t="s">
        <v>102</v>
      </c>
      <c r="K1916" s="130" t="s">
        <v>1560</v>
      </c>
      <c r="L1916" s="129" t="str">
        <f t="shared" si="29"/>
        <v>005-00000194</v>
      </c>
    </row>
    <row r="1917" spans="1:12" hidden="1" x14ac:dyDescent="0.25">
      <c r="A1917" s="130" t="s">
        <v>2177</v>
      </c>
      <c r="B1917" s="130" t="s">
        <v>2178</v>
      </c>
      <c r="C1917" s="132" t="s">
        <v>150</v>
      </c>
      <c r="D1917" s="129">
        <v>1</v>
      </c>
      <c r="E1917" s="129">
        <v>13.566499999999998</v>
      </c>
      <c r="F1917" s="129">
        <v>13.566499999999996</v>
      </c>
      <c r="G1917" s="129">
        <v>45</v>
      </c>
      <c r="H1917" s="129">
        <v>45</v>
      </c>
      <c r="I1917" s="131" t="s">
        <v>87</v>
      </c>
      <c r="J1917" s="132" t="s">
        <v>102</v>
      </c>
      <c r="K1917" s="130" t="s">
        <v>1560</v>
      </c>
      <c r="L1917" s="129" t="str">
        <f t="shared" si="29"/>
        <v>005-00000194</v>
      </c>
    </row>
    <row r="1918" spans="1:12" hidden="1" x14ac:dyDescent="0.25">
      <c r="A1918" s="130" t="s">
        <v>1482</v>
      </c>
      <c r="B1918" s="130" t="s">
        <v>1483</v>
      </c>
      <c r="C1918" s="132" t="s">
        <v>150</v>
      </c>
      <c r="D1918" s="129">
        <v>1</v>
      </c>
      <c r="E1918" s="129">
        <v>84.413596999999996</v>
      </c>
      <c r="F1918" s="129">
        <v>84.413596999999996</v>
      </c>
      <c r="G1918" s="129">
        <v>280</v>
      </c>
      <c r="H1918" s="129">
        <v>280</v>
      </c>
      <c r="I1918" s="131" t="s">
        <v>87</v>
      </c>
      <c r="J1918" s="132" t="s">
        <v>102</v>
      </c>
      <c r="K1918" s="130" t="s">
        <v>1559</v>
      </c>
      <c r="L1918" s="129" t="str">
        <f t="shared" si="29"/>
        <v>005-00000195</v>
      </c>
    </row>
    <row r="1919" spans="1:12" hidden="1" x14ac:dyDescent="0.25">
      <c r="A1919" s="130" t="s">
        <v>497</v>
      </c>
      <c r="B1919" s="130" t="s">
        <v>498</v>
      </c>
      <c r="C1919" s="132" t="s">
        <v>150</v>
      </c>
      <c r="D1919" s="129">
        <v>1</v>
      </c>
      <c r="E1919" s="129">
        <v>78.384101999999999</v>
      </c>
      <c r="F1919" s="129">
        <v>78.384102000000013</v>
      </c>
      <c r="G1919" s="129">
        <v>260</v>
      </c>
      <c r="H1919" s="129">
        <v>260</v>
      </c>
      <c r="I1919" s="131" t="s">
        <v>87</v>
      </c>
      <c r="J1919" s="132" t="s">
        <v>102</v>
      </c>
      <c r="K1919" s="130" t="s">
        <v>1559</v>
      </c>
      <c r="L1919" s="129" t="str">
        <f t="shared" si="29"/>
        <v>005-00000195</v>
      </c>
    </row>
    <row r="1920" spans="1:12" hidden="1" x14ac:dyDescent="0.25">
      <c r="A1920" s="130" t="s">
        <v>538</v>
      </c>
      <c r="B1920" s="130" t="s">
        <v>539</v>
      </c>
      <c r="C1920" s="132" t="s">
        <v>150</v>
      </c>
      <c r="D1920" s="129">
        <v>1</v>
      </c>
      <c r="E1920" s="129">
        <v>78.384101999999999</v>
      </c>
      <c r="F1920" s="129">
        <v>78.384102000000013</v>
      </c>
      <c r="G1920" s="129">
        <v>260</v>
      </c>
      <c r="H1920" s="129">
        <v>260</v>
      </c>
      <c r="I1920" s="131" t="s">
        <v>87</v>
      </c>
      <c r="J1920" s="132" t="s">
        <v>102</v>
      </c>
      <c r="K1920" s="130" t="s">
        <v>1559</v>
      </c>
      <c r="L1920" s="129" t="str">
        <f t="shared" si="29"/>
        <v>005-00000195</v>
      </c>
    </row>
    <row r="1921" spans="1:12" hidden="1" x14ac:dyDescent="0.25">
      <c r="A1921" s="130" t="s">
        <v>2169</v>
      </c>
      <c r="B1921" s="130" t="s">
        <v>2170</v>
      </c>
      <c r="C1921" s="132" t="s">
        <v>150</v>
      </c>
      <c r="D1921" s="129">
        <v>1</v>
      </c>
      <c r="E1921" s="129">
        <v>60.295399000000003</v>
      </c>
      <c r="F1921" s="129">
        <v>60.295398999999996</v>
      </c>
      <c r="G1921" s="129">
        <v>200</v>
      </c>
      <c r="H1921" s="129">
        <v>200</v>
      </c>
      <c r="I1921" s="131" t="s">
        <v>87</v>
      </c>
      <c r="J1921" s="132" t="s">
        <v>102</v>
      </c>
      <c r="K1921" s="130" t="s">
        <v>1559</v>
      </c>
      <c r="L1921" s="129" t="str">
        <f t="shared" si="29"/>
        <v>005-00000195</v>
      </c>
    </row>
    <row r="1922" spans="1:12" hidden="1" x14ac:dyDescent="0.25">
      <c r="A1922" s="130" t="s">
        <v>2199</v>
      </c>
      <c r="B1922" s="130" t="s">
        <v>255</v>
      </c>
      <c r="C1922" s="132" t="s">
        <v>150</v>
      </c>
      <c r="D1922" s="129">
        <v>1</v>
      </c>
      <c r="E1922" s="129">
        <v>45.153500000000001</v>
      </c>
      <c r="F1922" s="129">
        <v>45.153500000000015</v>
      </c>
      <c r="G1922" s="129">
        <v>150</v>
      </c>
      <c r="H1922" s="129">
        <v>150</v>
      </c>
      <c r="I1922" s="131" t="s">
        <v>87</v>
      </c>
      <c r="J1922" s="132" t="s">
        <v>102</v>
      </c>
      <c r="K1922" s="130" t="s">
        <v>1517</v>
      </c>
      <c r="L1922" s="129" t="str">
        <f t="shared" si="29"/>
        <v>005-00000178</v>
      </c>
    </row>
    <row r="1923" spans="1:12" hidden="1" x14ac:dyDescent="0.25">
      <c r="A1923" s="130" t="s">
        <v>2441</v>
      </c>
      <c r="B1923" s="130" t="s">
        <v>2442</v>
      </c>
      <c r="C1923" s="132" t="s">
        <v>150</v>
      </c>
      <c r="D1923" s="129">
        <v>1</v>
      </c>
      <c r="E1923" s="129">
        <v>75.252898999999999</v>
      </c>
      <c r="F1923" s="129">
        <v>75.252898999999999</v>
      </c>
      <c r="G1923" s="129">
        <v>249.99001000000001</v>
      </c>
      <c r="H1923" s="129">
        <v>249.99001000000001</v>
      </c>
      <c r="I1923" s="131" t="s">
        <v>87</v>
      </c>
      <c r="J1923" s="132" t="s">
        <v>102</v>
      </c>
      <c r="K1923" s="130" t="s">
        <v>2443</v>
      </c>
      <c r="L1923" s="129" t="str">
        <f t="shared" si="29"/>
        <v>005-00000351</v>
      </c>
    </row>
    <row r="1924" spans="1:12" hidden="1" x14ac:dyDescent="0.25">
      <c r="A1924" s="130" t="s">
        <v>2186</v>
      </c>
      <c r="B1924" s="130" t="s">
        <v>2187</v>
      </c>
      <c r="C1924" s="132" t="s">
        <v>150</v>
      </c>
      <c r="D1924" s="129">
        <v>2</v>
      </c>
      <c r="E1924" s="129">
        <v>33.2136</v>
      </c>
      <c r="F1924" s="129">
        <v>66.427199999999999</v>
      </c>
      <c r="G1924" s="129">
        <v>110.16950000000001</v>
      </c>
      <c r="H1924" s="129">
        <v>220.33900000000006</v>
      </c>
      <c r="I1924" s="131" t="s">
        <v>87</v>
      </c>
      <c r="J1924" s="132" t="s">
        <v>102</v>
      </c>
      <c r="K1924" s="130" t="s">
        <v>2259</v>
      </c>
      <c r="L1924" s="129" t="str">
        <f t="shared" si="29"/>
        <v>005-00000294</v>
      </c>
    </row>
    <row r="1925" spans="1:12" hidden="1" x14ac:dyDescent="0.25">
      <c r="A1925" s="130" t="s">
        <v>1061</v>
      </c>
      <c r="B1925" s="130" t="s">
        <v>1062</v>
      </c>
      <c r="C1925" s="132" t="s">
        <v>226</v>
      </c>
      <c r="D1925" s="129">
        <v>1</v>
      </c>
      <c r="E1925" s="129">
        <v>61.45999900000001</v>
      </c>
      <c r="F1925" s="129">
        <v>61.459999000000018</v>
      </c>
      <c r="G1925" s="129">
        <v>204.4769</v>
      </c>
      <c r="H1925" s="129">
        <v>204.4769</v>
      </c>
      <c r="I1925" s="131" t="s">
        <v>87</v>
      </c>
      <c r="J1925" s="132" t="s">
        <v>102</v>
      </c>
      <c r="K1925" s="130" t="s">
        <v>1678</v>
      </c>
      <c r="L1925" s="129" t="str">
        <f t="shared" si="29"/>
        <v>005-00000201</v>
      </c>
    </row>
    <row r="1926" spans="1:12" hidden="1" x14ac:dyDescent="0.25">
      <c r="A1926" s="130" t="s">
        <v>2444</v>
      </c>
      <c r="B1926" s="130" t="s">
        <v>2445</v>
      </c>
      <c r="C1926" s="132" t="s">
        <v>150</v>
      </c>
      <c r="D1926" s="129">
        <v>5</v>
      </c>
      <c r="E1926" s="129">
        <v>1.2774000000000001</v>
      </c>
      <c r="F1926" s="129">
        <v>6.3870000000000005</v>
      </c>
      <c r="G1926" s="129">
        <v>4.2370000000000001</v>
      </c>
      <c r="H1926" s="129">
        <v>21.184999999999999</v>
      </c>
      <c r="I1926" s="131" t="s">
        <v>87</v>
      </c>
      <c r="J1926" s="132" t="s">
        <v>102</v>
      </c>
      <c r="K1926" s="130" t="s">
        <v>2241</v>
      </c>
      <c r="L1926" s="129" t="str">
        <f t="shared" ref="L1926:L1989" si="30">CONCATENATE(J1926,"-",K1926)</f>
        <v>005-00000249</v>
      </c>
    </row>
    <row r="1927" spans="1:12" hidden="1" x14ac:dyDescent="0.25">
      <c r="A1927" s="130" t="s">
        <v>2444</v>
      </c>
      <c r="B1927" s="130" t="s">
        <v>2445</v>
      </c>
      <c r="C1927" s="132" t="s">
        <v>150</v>
      </c>
      <c r="D1927" s="129">
        <v>5</v>
      </c>
      <c r="E1927" s="129">
        <v>1.2774000000000001</v>
      </c>
      <c r="F1927" s="129">
        <v>6.3870000000000005</v>
      </c>
      <c r="G1927" s="129">
        <v>4.2370000000000001</v>
      </c>
      <c r="H1927" s="129">
        <v>21.184999999999999</v>
      </c>
      <c r="I1927" s="131" t="s">
        <v>87</v>
      </c>
      <c r="J1927" s="132" t="s">
        <v>102</v>
      </c>
      <c r="K1927" s="130" t="s">
        <v>2095</v>
      </c>
      <c r="L1927" s="129" t="str">
        <f t="shared" si="30"/>
        <v>005-00000228</v>
      </c>
    </row>
    <row r="1928" spans="1:12" hidden="1" x14ac:dyDescent="0.25">
      <c r="A1928" s="130" t="s">
        <v>495</v>
      </c>
      <c r="B1928" s="130" t="s">
        <v>496</v>
      </c>
      <c r="C1928" s="132" t="s">
        <v>150</v>
      </c>
      <c r="D1928" s="129">
        <v>1</v>
      </c>
      <c r="E1928" s="129">
        <v>10.2196</v>
      </c>
      <c r="F1928" s="129">
        <v>10.2196</v>
      </c>
      <c r="G1928" s="129">
        <v>33.898299999999999</v>
      </c>
      <c r="H1928" s="129">
        <v>33.898299999999999</v>
      </c>
      <c r="I1928" s="131" t="s">
        <v>87</v>
      </c>
      <c r="J1928" s="132" t="s">
        <v>102</v>
      </c>
      <c r="K1928" s="130" t="s">
        <v>2258</v>
      </c>
      <c r="L1928" s="129" t="str">
        <f t="shared" si="30"/>
        <v>005-00000310</v>
      </c>
    </row>
    <row r="1929" spans="1:12" hidden="1" x14ac:dyDescent="0.25">
      <c r="A1929" s="130" t="s">
        <v>2446</v>
      </c>
      <c r="B1929" s="130" t="s">
        <v>2447</v>
      </c>
      <c r="C1929" s="132" t="s">
        <v>150</v>
      </c>
      <c r="D1929" s="129">
        <v>1</v>
      </c>
      <c r="E1929" s="129">
        <v>3.8317999999999999</v>
      </c>
      <c r="F1929" s="129">
        <v>3.8317999999999999</v>
      </c>
      <c r="G1929" s="129">
        <v>12.71</v>
      </c>
      <c r="H1929" s="129">
        <v>12.71</v>
      </c>
      <c r="I1929" s="131" t="s">
        <v>87</v>
      </c>
      <c r="J1929" s="132" t="s">
        <v>102</v>
      </c>
      <c r="K1929" s="130" t="s">
        <v>645</v>
      </c>
      <c r="L1929" s="129" t="str">
        <f t="shared" si="30"/>
        <v>005-00000056</v>
      </c>
    </row>
    <row r="1930" spans="1:12" hidden="1" x14ac:dyDescent="0.25">
      <c r="A1930" s="130" t="s">
        <v>1466</v>
      </c>
      <c r="B1930" s="130" t="s">
        <v>1467</v>
      </c>
      <c r="C1930" s="132" t="s">
        <v>88</v>
      </c>
      <c r="D1930" s="129">
        <v>0.75</v>
      </c>
      <c r="E1930" s="129">
        <v>9.2980003</v>
      </c>
      <c r="F1930" s="129">
        <v>6.9735002249999987</v>
      </c>
      <c r="G1930" s="129">
        <v>30.900199999999998</v>
      </c>
      <c r="H1930" s="129">
        <v>23.175149999999999</v>
      </c>
      <c r="I1930" s="131" t="s">
        <v>87</v>
      </c>
      <c r="J1930" s="132" t="s">
        <v>102</v>
      </c>
      <c r="K1930" s="130" t="s">
        <v>1575</v>
      </c>
      <c r="L1930" s="129" t="str">
        <f t="shared" si="30"/>
        <v>005-00000186</v>
      </c>
    </row>
    <row r="1931" spans="1:12" hidden="1" x14ac:dyDescent="0.25">
      <c r="A1931" s="130" t="s">
        <v>544</v>
      </c>
      <c r="B1931" s="130" t="s">
        <v>545</v>
      </c>
      <c r="C1931" s="132" t="s">
        <v>150</v>
      </c>
      <c r="D1931" s="129">
        <v>2</v>
      </c>
      <c r="E1931" s="129">
        <v>2.5007999000000001</v>
      </c>
      <c r="F1931" s="129">
        <v>5.001599800000001</v>
      </c>
      <c r="G1931" s="129">
        <v>8.4745998</v>
      </c>
      <c r="H1931" s="129">
        <v>16.9491996</v>
      </c>
      <c r="I1931" s="131" t="s">
        <v>87</v>
      </c>
      <c r="J1931" s="132" t="s">
        <v>102</v>
      </c>
      <c r="K1931" s="130" t="s">
        <v>1575</v>
      </c>
      <c r="L1931" s="129" t="str">
        <f t="shared" si="30"/>
        <v>005-00000186</v>
      </c>
    </row>
    <row r="1932" spans="1:12" hidden="1" x14ac:dyDescent="0.25">
      <c r="A1932" s="130" t="s">
        <v>1028</v>
      </c>
      <c r="B1932" s="130" t="s">
        <v>1029</v>
      </c>
      <c r="C1932" s="132" t="s">
        <v>150</v>
      </c>
      <c r="D1932" s="129">
        <v>1</v>
      </c>
      <c r="E1932" s="129">
        <v>1.5276999</v>
      </c>
      <c r="F1932" s="129">
        <v>1.5276999</v>
      </c>
      <c r="G1932" s="129">
        <v>5.0847001000000001</v>
      </c>
      <c r="H1932" s="129">
        <v>5.0847001000000001</v>
      </c>
      <c r="I1932" s="131" t="s">
        <v>87</v>
      </c>
      <c r="J1932" s="132" t="s">
        <v>102</v>
      </c>
      <c r="K1932" s="130" t="s">
        <v>1575</v>
      </c>
      <c r="L1932" s="129" t="str">
        <f t="shared" si="30"/>
        <v>005-00000186</v>
      </c>
    </row>
    <row r="1933" spans="1:12" hidden="1" x14ac:dyDescent="0.25">
      <c r="A1933" s="130" t="s">
        <v>1034</v>
      </c>
      <c r="B1933" s="130" t="s">
        <v>1035</v>
      </c>
      <c r="C1933" s="132" t="s">
        <v>88</v>
      </c>
      <c r="D1933" s="129">
        <v>1</v>
      </c>
      <c r="E1933" s="129">
        <v>10.5677</v>
      </c>
      <c r="F1933" s="129">
        <v>10.567700000000002</v>
      </c>
      <c r="G1933" s="129">
        <v>35.745998</v>
      </c>
      <c r="H1933" s="129">
        <v>35.745998</v>
      </c>
      <c r="I1933" s="131" t="s">
        <v>87</v>
      </c>
      <c r="J1933" s="132" t="s">
        <v>102</v>
      </c>
      <c r="K1933" s="130" t="s">
        <v>1575</v>
      </c>
      <c r="L1933" s="129" t="str">
        <f t="shared" si="30"/>
        <v>005-00000186</v>
      </c>
    </row>
    <row r="1934" spans="1:12" hidden="1" x14ac:dyDescent="0.25">
      <c r="A1934" s="130" t="s">
        <v>331</v>
      </c>
      <c r="B1934" s="130" t="s">
        <v>332</v>
      </c>
      <c r="C1934" s="132" t="s">
        <v>150</v>
      </c>
      <c r="D1934" s="129">
        <v>1</v>
      </c>
      <c r="E1934" s="129">
        <v>1.5293999999999999</v>
      </c>
      <c r="F1934" s="129">
        <v>1.5294000000000003</v>
      </c>
      <c r="G1934" s="129">
        <v>5.0847001000000001</v>
      </c>
      <c r="H1934" s="129">
        <v>5.0847001000000001</v>
      </c>
      <c r="I1934" s="131" t="s">
        <v>87</v>
      </c>
      <c r="J1934" s="132" t="s">
        <v>102</v>
      </c>
      <c r="K1934" s="130" t="s">
        <v>1575</v>
      </c>
      <c r="L1934" s="129" t="str">
        <f t="shared" si="30"/>
        <v>005-00000186</v>
      </c>
    </row>
    <row r="1935" spans="1:12" hidden="1" x14ac:dyDescent="0.25">
      <c r="A1935" s="130" t="s">
        <v>329</v>
      </c>
      <c r="B1935" s="130" t="s">
        <v>330</v>
      </c>
      <c r="C1935" s="132" t="s">
        <v>150</v>
      </c>
      <c r="D1935" s="129">
        <v>1</v>
      </c>
      <c r="E1935" s="129">
        <v>1.9117</v>
      </c>
      <c r="F1935" s="129">
        <v>1.9116999999999995</v>
      </c>
      <c r="G1935" s="129">
        <v>6.3558998000000004</v>
      </c>
      <c r="H1935" s="129">
        <v>6.3558998000000004</v>
      </c>
      <c r="I1935" s="131" t="s">
        <v>87</v>
      </c>
      <c r="J1935" s="132" t="s">
        <v>102</v>
      </c>
      <c r="K1935" s="130" t="s">
        <v>1575</v>
      </c>
      <c r="L1935" s="129" t="str">
        <f t="shared" si="30"/>
        <v>005-00000186</v>
      </c>
    </row>
    <row r="1936" spans="1:12" hidden="1" x14ac:dyDescent="0.25">
      <c r="A1936" s="130" t="s">
        <v>342</v>
      </c>
      <c r="B1936" s="130" t="s">
        <v>343</v>
      </c>
      <c r="C1936" s="132" t="s">
        <v>150</v>
      </c>
      <c r="D1936" s="129">
        <v>4</v>
      </c>
      <c r="E1936" s="129">
        <v>0.153</v>
      </c>
      <c r="F1936" s="129">
        <v>0.61199999999999988</v>
      </c>
      <c r="G1936" s="129">
        <v>0.50849997999999996</v>
      </c>
      <c r="H1936" s="129">
        <v>2.0339999199999999</v>
      </c>
      <c r="I1936" s="131" t="s">
        <v>87</v>
      </c>
      <c r="J1936" s="132" t="s">
        <v>102</v>
      </c>
      <c r="K1936" s="130" t="s">
        <v>1575</v>
      </c>
      <c r="L1936" s="129" t="str">
        <f t="shared" si="30"/>
        <v>005-00000186</v>
      </c>
    </row>
    <row r="1937" spans="1:12" hidden="1" x14ac:dyDescent="0.25">
      <c r="A1937" s="130" t="s">
        <v>360</v>
      </c>
      <c r="B1937" s="130" t="s">
        <v>361</v>
      </c>
      <c r="C1937" s="132" t="s">
        <v>150</v>
      </c>
      <c r="D1937" s="129">
        <v>2</v>
      </c>
      <c r="E1937" s="129">
        <v>0.12590000000000001</v>
      </c>
      <c r="F1937" s="129">
        <v>0.25180000000000002</v>
      </c>
      <c r="G1937" s="129">
        <v>0.42370000000000002</v>
      </c>
      <c r="H1937" s="129">
        <v>0.84740000000000004</v>
      </c>
      <c r="I1937" s="131" t="s">
        <v>87</v>
      </c>
      <c r="J1937" s="132" t="s">
        <v>102</v>
      </c>
      <c r="K1937" s="130" t="s">
        <v>1575</v>
      </c>
      <c r="L1937" s="129" t="str">
        <f t="shared" si="30"/>
        <v>005-00000186</v>
      </c>
    </row>
    <row r="1938" spans="1:12" hidden="1" x14ac:dyDescent="0.25">
      <c r="A1938" s="130" t="s">
        <v>1055</v>
      </c>
      <c r="B1938" s="130" t="s">
        <v>1056</v>
      </c>
      <c r="C1938" s="132" t="s">
        <v>150</v>
      </c>
      <c r="D1938" s="129">
        <v>1</v>
      </c>
      <c r="E1938" s="129">
        <v>1.5253000000000001</v>
      </c>
      <c r="F1938" s="129">
        <v>1.5252999999999997</v>
      </c>
      <c r="G1938" s="129">
        <v>5.0847001000000001</v>
      </c>
      <c r="H1938" s="129">
        <v>5.0847001000000001</v>
      </c>
      <c r="I1938" s="131" t="s">
        <v>87</v>
      </c>
      <c r="J1938" s="132" t="s">
        <v>102</v>
      </c>
      <c r="K1938" s="130" t="s">
        <v>2257</v>
      </c>
      <c r="L1938" s="129" t="str">
        <f t="shared" si="30"/>
        <v>005-00000307</v>
      </c>
    </row>
    <row r="1939" spans="1:12" hidden="1" x14ac:dyDescent="0.25">
      <c r="A1939" s="130" t="s">
        <v>1034</v>
      </c>
      <c r="B1939" s="130" t="s">
        <v>1035</v>
      </c>
      <c r="C1939" s="132" t="s">
        <v>88</v>
      </c>
      <c r="D1939" s="129">
        <v>1</v>
      </c>
      <c r="E1939" s="129">
        <v>10.5677</v>
      </c>
      <c r="F1939" s="129">
        <v>10.567700000000002</v>
      </c>
      <c r="G1939" s="129">
        <v>35.745998</v>
      </c>
      <c r="H1939" s="129">
        <v>35.745998</v>
      </c>
      <c r="I1939" s="131" t="s">
        <v>87</v>
      </c>
      <c r="J1939" s="132" t="s">
        <v>102</v>
      </c>
      <c r="K1939" s="130" t="s">
        <v>2257</v>
      </c>
      <c r="L1939" s="129" t="str">
        <f t="shared" si="30"/>
        <v>005-00000307</v>
      </c>
    </row>
    <row r="1940" spans="1:12" hidden="1" x14ac:dyDescent="0.25">
      <c r="A1940" s="130" t="s">
        <v>2121</v>
      </c>
      <c r="B1940" s="130" t="s">
        <v>408</v>
      </c>
      <c r="C1940" s="132" t="s">
        <v>150</v>
      </c>
      <c r="D1940" s="129">
        <v>4</v>
      </c>
      <c r="E1940" s="129">
        <v>1.4</v>
      </c>
      <c r="F1940" s="129">
        <v>5.6</v>
      </c>
      <c r="G1940" s="129">
        <v>4.6609997999999999</v>
      </c>
      <c r="H1940" s="129">
        <v>18.6439992</v>
      </c>
      <c r="I1940" s="131" t="s">
        <v>87</v>
      </c>
      <c r="J1940" s="132" t="s">
        <v>102</v>
      </c>
      <c r="K1940" s="130" t="s">
        <v>2257</v>
      </c>
      <c r="L1940" s="129" t="str">
        <f t="shared" si="30"/>
        <v>005-00000307</v>
      </c>
    </row>
    <row r="1941" spans="1:12" hidden="1" x14ac:dyDescent="0.25">
      <c r="A1941" s="130" t="s">
        <v>342</v>
      </c>
      <c r="B1941" s="130" t="s">
        <v>343</v>
      </c>
      <c r="C1941" s="132" t="s">
        <v>150</v>
      </c>
      <c r="D1941" s="129">
        <v>4</v>
      </c>
      <c r="E1941" s="129">
        <v>0.153</v>
      </c>
      <c r="F1941" s="129">
        <v>0.61199999999999988</v>
      </c>
      <c r="G1941" s="129">
        <v>0.50849997999999996</v>
      </c>
      <c r="H1941" s="129">
        <v>2.0339999199999999</v>
      </c>
      <c r="I1941" s="131" t="s">
        <v>87</v>
      </c>
      <c r="J1941" s="132" t="s">
        <v>102</v>
      </c>
      <c r="K1941" s="130" t="s">
        <v>2257</v>
      </c>
      <c r="L1941" s="129" t="str">
        <f t="shared" si="30"/>
        <v>005-00000307</v>
      </c>
    </row>
    <row r="1942" spans="1:12" hidden="1" x14ac:dyDescent="0.25">
      <c r="A1942" s="130" t="s">
        <v>2121</v>
      </c>
      <c r="B1942" s="130" t="s">
        <v>408</v>
      </c>
      <c r="C1942" s="132" t="s">
        <v>150</v>
      </c>
      <c r="D1942" s="129">
        <v>4</v>
      </c>
      <c r="E1942" s="129">
        <v>1.4</v>
      </c>
      <c r="F1942" s="129">
        <v>5.6</v>
      </c>
      <c r="G1942" s="129">
        <v>4.6609997999999999</v>
      </c>
      <c r="H1942" s="129">
        <v>18.6439992</v>
      </c>
      <c r="I1942" s="131" t="s">
        <v>87</v>
      </c>
      <c r="J1942" s="132" t="s">
        <v>102</v>
      </c>
      <c r="K1942" s="130" t="s">
        <v>2253</v>
      </c>
      <c r="L1942" s="129" t="str">
        <f t="shared" si="30"/>
        <v>005-00000309</v>
      </c>
    </row>
    <row r="1943" spans="1:12" hidden="1" x14ac:dyDescent="0.25">
      <c r="A1943" s="130" t="s">
        <v>342</v>
      </c>
      <c r="B1943" s="130" t="s">
        <v>343</v>
      </c>
      <c r="C1943" s="132" t="s">
        <v>150</v>
      </c>
      <c r="D1943" s="129">
        <v>4</v>
      </c>
      <c r="E1943" s="129">
        <v>0.153</v>
      </c>
      <c r="F1943" s="129">
        <v>0.61199999999999988</v>
      </c>
      <c r="G1943" s="129">
        <v>0.50849997999999996</v>
      </c>
      <c r="H1943" s="129">
        <v>2.0339999199999999</v>
      </c>
      <c r="I1943" s="131" t="s">
        <v>87</v>
      </c>
      <c r="J1943" s="132" t="s">
        <v>102</v>
      </c>
      <c r="K1943" s="130" t="s">
        <v>1679</v>
      </c>
      <c r="L1943" s="129" t="str">
        <f t="shared" si="30"/>
        <v>005-00000203</v>
      </c>
    </row>
    <row r="1944" spans="1:12" hidden="1" x14ac:dyDescent="0.25">
      <c r="A1944" s="130" t="s">
        <v>1466</v>
      </c>
      <c r="B1944" s="130" t="s">
        <v>1467</v>
      </c>
      <c r="C1944" s="132" t="s">
        <v>88</v>
      </c>
      <c r="D1944" s="129">
        <v>0.75</v>
      </c>
      <c r="E1944" s="129">
        <v>9.2980003</v>
      </c>
      <c r="F1944" s="129">
        <v>6.9735002249999987</v>
      </c>
      <c r="G1944" s="129">
        <v>30.900199999999998</v>
      </c>
      <c r="H1944" s="129">
        <v>23.175149999999999</v>
      </c>
      <c r="I1944" s="131" t="s">
        <v>87</v>
      </c>
      <c r="J1944" s="132" t="s">
        <v>102</v>
      </c>
      <c r="K1944" s="130" t="s">
        <v>645</v>
      </c>
      <c r="L1944" s="129" t="str">
        <f t="shared" si="30"/>
        <v>005-00000056</v>
      </c>
    </row>
    <row r="1945" spans="1:12" hidden="1" x14ac:dyDescent="0.25">
      <c r="A1945" s="130" t="s">
        <v>1466</v>
      </c>
      <c r="B1945" s="130" t="s">
        <v>1467</v>
      </c>
      <c r="C1945" s="132" t="s">
        <v>88</v>
      </c>
      <c r="D1945" s="129">
        <v>0.75</v>
      </c>
      <c r="E1945" s="129">
        <v>9.2980003</v>
      </c>
      <c r="F1945" s="129">
        <v>6.9735002249999987</v>
      </c>
      <c r="G1945" s="129">
        <v>30.900199999999998</v>
      </c>
      <c r="H1945" s="129">
        <v>23.175149999999999</v>
      </c>
      <c r="I1945" s="131" t="s">
        <v>87</v>
      </c>
      <c r="J1945" s="132" t="s">
        <v>102</v>
      </c>
      <c r="K1945" s="130" t="s">
        <v>2216</v>
      </c>
      <c r="L1945" s="129" t="str">
        <f t="shared" si="30"/>
        <v>005-00000258</v>
      </c>
    </row>
    <row r="1946" spans="1:12" hidden="1" x14ac:dyDescent="0.25">
      <c r="A1946" s="130" t="s">
        <v>342</v>
      </c>
      <c r="B1946" s="130" t="s">
        <v>343</v>
      </c>
      <c r="C1946" s="132" t="s">
        <v>150</v>
      </c>
      <c r="D1946" s="129">
        <v>4</v>
      </c>
      <c r="E1946" s="129">
        <v>0.153</v>
      </c>
      <c r="F1946" s="129">
        <v>0.61199999999999988</v>
      </c>
      <c r="G1946" s="129">
        <v>0.50849997999999996</v>
      </c>
      <c r="H1946" s="129">
        <v>2.0339999199999999</v>
      </c>
      <c r="I1946" s="131" t="s">
        <v>87</v>
      </c>
      <c r="J1946" s="132" t="s">
        <v>102</v>
      </c>
      <c r="K1946" s="130" t="s">
        <v>2094</v>
      </c>
      <c r="L1946" s="129" t="str">
        <f t="shared" si="30"/>
        <v>005-00000233</v>
      </c>
    </row>
    <row r="1947" spans="1:12" hidden="1" x14ac:dyDescent="0.25">
      <c r="A1947" s="130" t="s">
        <v>360</v>
      </c>
      <c r="B1947" s="130" t="s">
        <v>361</v>
      </c>
      <c r="C1947" s="132" t="s">
        <v>150</v>
      </c>
      <c r="D1947" s="129">
        <v>4</v>
      </c>
      <c r="E1947" s="129">
        <v>0.12590000000000001</v>
      </c>
      <c r="F1947" s="129">
        <v>0.50360000000000005</v>
      </c>
      <c r="G1947" s="129">
        <v>0.42370000000000002</v>
      </c>
      <c r="H1947" s="129">
        <v>1.6948000000000001</v>
      </c>
      <c r="I1947" s="131" t="s">
        <v>87</v>
      </c>
      <c r="J1947" s="132" t="s">
        <v>102</v>
      </c>
      <c r="K1947" s="130" t="s">
        <v>2094</v>
      </c>
      <c r="L1947" s="129" t="str">
        <f t="shared" si="30"/>
        <v>005-00000233</v>
      </c>
    </row>
    <row r="1948" spans="1:12" hidden="1" x14ac:dyDescent="0.25">
      <c r="A1948" s="130" t="s">
        <v>309</v>
      </c>
      <c r="B1948" s="130" t="s">
        <v>310</v>
      </c>
      <c r="C1948" s="132" t="s">
        <v>150</v>
      </c>
      <c r="D1948" s="129">
        <v>2</v>
      </c>
      <c r="E1948" s="129">
        <v>0.89190000000000003</v>
      </c>
      <c r="F1948" s="129">
        <v>1.7838000000000001</v>
      </c>
      <c r="G1948" s="129">
        <v>2.9661</v>
      </c>
      <c r="H1948" s="129">
        <v>5.9322000000000017</v>
      </c>
      <c r="I1948" s="131" t="s">
        <v>87</v>
      </c>
      <c r="J1948" s="132" t="s">
        <v>102</v>
      </c>
      <c r="K1948" s="130" t="s">
        <v>2094</v>
      </c>
      <c r="L1948" s="129" t="str">
        <f t="shared" si="30"/>
        <v>005-00000233</v>
      </c>
    </row>
    <row r="1949" spans="1:12" hidden="1" x14ac:dyDescent="0.25">
      <c r="A1949" s="130" t="s">
        <v>1466</v>
      </c>
      <c r="B1949" s="130" t="s">
        <v>1467</v>
      </c>
      <c r="C1949" s="132" t="s">
        <v>88</v>
      </c>
      <c r="D1949" s="129">
        <v>0.75</v>
      </c>
      <c r="E1949" s="129">
        <v>9.2980003</v>
      </c>
      <c r="F1949" s="129">
        <v>6.9735002249999987</v>
      </c>
      <c r="G1949" s="129">
        <v>30.900199999999998</v>
      </c>
      <c r="H1949" s="129">
        <v>23.175149999999999</v>
      </c>
      <c r="I1949" s="131" t="s">
        <v>87</v>
      </c>
      <c r="J1949" s="132" t="s">
        <v>102</v>
      </c>
      <c r="K1949" s="130" t="s">
        <v>2094</v>
      </c>
      <c r="L1949" s="129" t="str">
        <f t="shared" si="30"/>
        <v>005-00000233</v>
      </c>
    </row>
    <row r="1950" spans="1:12" hidden="1" x14ac:dyDescent="0.25">
      <c r="A1950" s="130" t="s">
        <v>409</v>
      </c>
      <c r="B1950" s="130" t="s">
        <v>408</v>
      </c>
      <c r="C1950" s="132" t="s">
        <v>150</v>
      </c>
      <c r="D1950" s="129">
        <v>4</v>
      </c>
      <c r="E1950" s="129">
        <v>1.8340000000000001</v>
      </c>
      <c r="F1950" s="129">
        <v>7.3359999999999994</v>
      </c>
      <c r="G1950" s="129">
        <v>6.1016002</v>
      </c>
      <c r="H1950" s="129">
        <v>24.406400800000007</v>
      </c>
      <c r="I1950" s="131" t="s">
        <v>87</v>
      </c>
      <c r="J1950" s="132" t="s">
        <v>102</v>
      </c>
      <c r="K1950" s="130" t="s">
        <v>2094</v>
      </c>
      <c r="L1950" s="129" t="str">
        <f t="shared" si="30"/>
        <v>005-00000233</v>
      </c>
    </row>
    <row r="1951" spans="1:12" hidden="1" x14ac:dyDescent="0.25">
      <c r="A1951" s="130" t="s">
        <v>331</v>
      </c>
      <c r="B1951" s="130" t="s">
        <v>332</v>
      </c>
      <c r="C1951" s="132" t="s">
        <v>150</v>
      </c>
      <c r="D1951" s="129">
        <v>1</v>
      </c>
      <c r="E1951" s="129">
        <v>1.5293999999999999</v>
      </c>
      <c r="F1951" s="129">
        <v>1.5294000000000003</v>
      </c>
      <c r="G1951" s="129">
        <v>5.0847001000000001</v>
      </c>
      <c r="H1951" s="129">
        <v>5.0847001000000001</v>
      </c>
      <c r="I1951" s="131" t="s">
        <v>87</v>
      </c>
      <c r="J1951" s="132" t="s">
        <v>102</v>
      </c>
      <c r="K1951" s="130" t="s">
        <v>2094</v>
      </c>
      <c r="L1951" s="129" t="str">
        <f t="shared" si="30"/>
        <v>005-00000233</v>
      </c>
    </row>
    <row r="1952" spans="1:12" hidden="1" x14ac:dyDescent="0.25">
      <c r="A1952" s="130" t="s">
        <v>329</v>
      </c>
      <c r="B1952" s="130" t="s">
        <v>330</v>
      </c>
      <c r="C1952" s="132" t="s">
        <v>150</v>
      </c>
      <c r="D1952" s="129">
        <v>1</v>
      </c>
      <c r="E1952" s="129">
        <v>1.9117</v>
      </c>
      <c r="F1952" s="129">
        <v>1.9116999999999995</v>
      </c>
      <c r="G1952" s="129">
        <v>6.3558998000000004</v>
      </c>
      <c r="H1952" s="129">
        <v>6.3558998000000004</v>
      </c>
      <c r="I1952" s="131" t="s">
        <v>87</v>
      </c>
      <c r="J1952" s="132" t="s">
        <v>102</v>
      </c>
      <c r="K1952" s="130" t="s">
        <v>2094</v>
      </c>
      <c r="L1952" s="129" t="str">
        <f t="shared" si="30"/>
        <v>005-00000233</v>
      </c>
    </row>
    <row r="1953" spans="1:12" hidden="1" x14ac:dyDescent="0.25">
      <c r="A1953" s="130" t="s">
        <v>1465</v>
      </c>
      <c r="B1953" s="130" t="s">
        <v>160</v>
      </c>
      <c r="C1953" s="132" t="s">
        <v>150</v>
      </c>
      <c r="D1953" s="129">
        <v>2</v>
      </c>
      <c r="E1953" s="129">
        <v>1.4021999999999999</v>
      </c>
      <c r="F1953" s="129">
        <v>2.8043999999999998</v>
      </c>
      <c r="G1953" s="129">
        <v>4.6609997999999999</v>
      </c>
      <c r="H1953" s="129">
        <v>9.3219995999999998</v>
      </c>
      <c r="I1953" s="131" t="s">
        <v>87</v>
      </c>
      <c r="J1953" s="132" t="s">
        <v>102</v>
      </c>
      <c r="K1953" s="130" t="s">
        <v>2094</v>
      </c>
      <c r="L1953" s="129" t="str">
        <f t="shared" si="30"/>
        <v>005-00000233</v>
      </c>
    </row>
    <row r="1954" spans="1:12" hidden="1" x14ac:dyDescent="0.25">
      <c r="A1954" s="130" t="s">
        <v>544</v>
      </c>
      <c r="B1954" s="130" t="s">
        <v>545</v>
      </c>
      <c r="C1954" s="132" t="s">
        <v>150</v>
      </c>
      <c r="D1954" s="129">
        <v>1</v>
      </c>
      <c r="E1954" s="129">
        <v>2.5007999000000001</v>
      </c>
      <c r="F1954" s="129">
        <v>2.5007999000000005</v>
      </c>
      <c r="G1954" s="129">
        <v>8.4745998</v>
      </c>
      <c r="H1954" s="129">
        <v>8.4745998</v>
      </c>
      <c r="I1954" s="131" t="s">
        <v>87</v>
      </c>
      <c r="J1954" s="132" t="s">
        <v>102</v>
      </c>
      <c r="K1954" s="130" t="s">
        <v>2094</v>
      </c>
      <c r="L1954" s="129" t="str">
        <f t="shared" si="30"/>
        <v>005-00000233</v>
      </c>
    </row>
    <row r="1955" spans="1:12" hidden="1" x14ac:dyDescent="0.25">
      <c r="A1955" s="130" t="s">
        <v>1044</v>
      </c>
      <c r="B1955" s="130" t="s">
        <v>1045</v>
      </c>
      <c r="C1955" s="132" t="s">
        <v>153</v>
      </c>
      <c r="D1955" s="129">
        <v>1</v>
      </c>
      <c r="E1955" s="129">
        <v>10.019399999999999</v>
      </c>
      <c r="F1955" s="129">
        <v>10.019399999999999</v>
      </c>
      <c r="G1955" s="129">
        <v>33.897998999999999</v>
      </c>
      <c r="H1955" s="129">
        <v>33.897998999999999</v>
      </c>
      <c r="I1955" s="131" t="s">
        <v>87</v>
      </c>
      <c r="J1955" s="132" t="s">
        <v>102</v>
      </c>
      <c r="K1955" s="130" t="s">
        <v>2094</v>
      </c>
      <c r="L1955" s="129" t="str">
        <f t="shared" si="30"/>
        <v>005-00000233</v>
      </c>
    </row>
    <row r="1956" spans="1:12" hidden="1" x14ac:dyDescent="0.25">
      <c r="A1956" s="130" t="s">
        <v>2448</v>
      </c>
      <c r="B1956" s="130" t="s">
        <v>2449</v>
      </c>
      <c r="C1956" s="132" t="s">
        <v>150</v>
      </c>
      <c r="D1956" s="129">
        <v>1</v>
      </c>
      <c r="E1956" s="129">
        <v>8.8566999000000006</v>
      </c>
      <c r="F1956" s="129">
        <v>8.8566999000000024</v>
      </c>
      <c r="G1956" s="129">
        <v>29.660999</v>
      </c>
      <c r="H1956" s="129">
        <v>29.660999000000007</v>
      </c>
      <c r="I1956" s="131" t="s">
        <v>87</v>
      </c>
      <c r="J1956" s="132" t="s">
        <v>102</v>
      </c>
      <c r="K1956" s="130" t="s">
        <v>1575</v>
      </c>
      <c r="L1956" s="129" t="str">
        <f t="shared" si="30"/>
        <v>005-00000186</v>
      </c>
    </row>
    <row r="1957" spans="1:12" hidden="1" x14ac:dyDescent="0.25">
      <c r="A1957" s="130" t="s">
        <v>2448</v>
      </c>
      <c r="B1957" s="130" t="s">
        <v>2449</v>
      </c>
      <c r="C1957" s="132" t="s">
        <v>150</v>
      </c>
      <c r="D1957" s="129">
        <v>1</v>
      </c>
      <c r="E1957" s="129">
        <v>8.8566999000000006</v>
      </c>
      <c r="F1957" s="129">
        <v>8.8566999000000024</v>
      </c>
      <c r="G1957" s="129">
        <v>29.660999</v>
      </c>
      <c r="H1957" s="129">
        <v>29.660999000000007</v>
      </c>
      <c r="I1957" s="131" t="s">
        <v>87</v>
      </c>
      <c r="J1957" s="132" t="s">
        <v>102</v>
      </c>
      <c r="K1957" s="130" t="s">
        <v>2216</v>
      </c>
      <c r="L1957" s="129" t="str">
        <f t="shared" si="30"/>
        <v>005-00000258</v>
      </c>
    </row>
    <row r="1958" spans="1:12" hidden="1" x14ac:dyDescent="0.25">
      <c r="A1958" s="130" t="s">
        <v>2448</v>
      </c>
      <c r="B1958" s="130" t="s">
        <v>2449</v>
      </c>
      <c r="C1958" s="132" t="s">
        <v>150</v>
      </c>
      <c r="D1958" s="129">
        <v>1</v>
      </c>
      <c r="E1958" s="129">
        <v>8.8566999000000006</v>
      </c>
      <c r="F1958" s="129">
        <v>8.8566999000000024</v>
      </c>
      <c r="G1958" s="129">
        <v>29.660999</v>
      </c>
      <c r="H1958" s="129">
        <v>29.660999000000007</v>
      </c>
      <c r="I1958" s="131" t="s">
        <v>87</v>
      </c>
      <c r="J1958" s="132" t="s">
        <v>102</v>
      </c>
      <c r="K1958" s="130" t="s">
        <v>1678</v>
      </c>
      <c r="L1958" s="129" t="str">
        <f t="shared" si="30"/>
        <v>005-00000201</v>
      </c>
    </row>
    <row r="1959" spans="1:12" hidden="1" x14ac:dyDescent="0.25">
      <c r="A1959" s="130" t="s">
        <v>1034</v>
      </c>
      <c r="B1959" s="130" t="s">
        <v>1035</v>
      </c>
      <c r="C1959" s="132" t="s">
        <v>88</v>
      </c>
      <c r="D1959" s="129">
        <v>1</v>
      </c>
      <c r="E1959" s="129">
        <v>10.5677</v>
      </c>
      <c r="F1959" s="129">
        <v>10.567700000000002</v>
      </c>
      <c r="G1959" s="129">
        <v>35.745998</v>
      </c>
      <c r="H1959" s="129">
        <v>35.745998</v>
      </c>
      <c r="I1959" s="131" t="s">
        <v>87</v>
      </c>
      <c r="J1959" s="132" t="s">
        <v>102</v>
      </c>
      <c r="K1959" s="130" t="s">
        <v>2095</v>
      </c>
      <c r="L1959" s="129" t="str">
        <f t="shared" si="30"/>
        <v>005-00000228</v>
      </c>
    </row>
    <row r="1960" spans="1:12" hidden="1" x14ac:dyDescent="0.25">
      <c r="A1960" s="130" t="s">
        <v>227</v>
      </c>
      <c r="B1960" s="130" t="s">
        <v>194</v>
      </c>
      <c r="C1960" s="132" t="s">
        <v>88</v>
      </c>
      <c r="D1960" s="129">
        <v>1</v>
      </c>
      <c r="E1960" s="129">
        <v>1.6415</v>
      </c>
      <c r="F1960" s="129">
        <v>1.6414999999999997</v>
      </c>
      <c r="G1960" s="129">
        <v>5.4759001999999999</v>
      </c>
      <c r="H1960" s="129">
        <v>5.4759001999999999</v>
      </c>
      <c r="I1960" s="131" t="s">
        <v>87</v>
      </c>
      <c r="J1960" s="132" t="s">
        <v>102</v>
      </c>
      <c r="K1960" s="130" t="s">
        <v>2095</v>
      </c>
      <c r="L1960" s="129" t="str">
        <f t="shared" si="30"/>
        <v>005-00000228</v>
      </c>
    </row>
    <row r="1961" spans="1:12" hidden="1" x14ac:dyDescent="0.25">
      <c r="A1961" s="130" t="s">
        <v>2448</v>
      </c>
      <c r="B1961" s="130" t="s">
        <v>2449</v>
      </c>
      <c r="C1961" s="132" t="s">
        <v>150</v>
      </c>
      <c r="D1961" s="129">
        <v>1</v>
      </c>
      <c r="E1961" s="129">
        <v>8.8566999000000006</v>
      </c>
      <c r="F1961" s="129">
        <v>8.8566999000000024</v>
      </c>
      <c r="G1961" s="129">
        <v>29.660999</v>
      </c>
      <c r="H1961" s="129">
        <v>29.660999000000007</v>
      </c>
      <c r="I1961" s="131" t="s">
        <v>87</v>
      </c>
      <c r="J1961" s="132" t="s">
        <v>102</v>
      </c>
      <c r="K1961" s="130" t="s">
        <v>2095</v>
      </c>
      <c r="L1961" s="129" t="str">
        <f t="shared" si="30"/>
        <v>005-00000228</v>
      </c>
    </row>
    <row r="1962" spans="1:12" hidden="1" x14ac:dyDescent="0.25">
      <c r="A1962" s="130" t="s">
        <v>1466</v>
      </c>
      <c r="B1962" s="130" t="s">
        <v>1467</v>
      </c>
      <c r="C1962" s="132" t="s">
        <v>88</v>
      </c>
      <c r="D1962" s="129">
        <v>1.5</v>
      </c>
      <c r="E1962" s="129">
        <v>9.2980003</v>
      </c>
      <c r="F1962" s="129">
        <v>13.947000449999997</v>
      </c>
      <c r="G1962" s="129">
        <v>30.900199999999998</v>
      </c>
      <c r="H1962" s="129">
        <v>46.350299999999997</v>
      </c>
      <c r="I1962" s="131" t="s">
        <v>87</v>
      </c>
      <c r="J1962" s="132" t="s">
        <v>102</v>
      </c>
      <c r="K1962" s="130" t="s">
        <v>2095</v>
      </c>
      <c r="L1962" s="129" t="str">
        <f t="shared" si="30"/>
        <v>005-00000228</v>
      </c>
    </row>
    <row r="1963" spans="1:12" hidden="1" x14ac:dyDescent="0.25">
      <c r="A1963" s="130" t="s">
        <v>1638</v>
      </c>
      <c r="B1963" s="130" t="s">
        <v>1639</v>
      </c>
      <c r="C1963" s="132" t="s">
        <v>150</v>
      </c>
      <c r="D1963" s="129">
        <v>4</v>
      </c>
      <c r="E1963" s="129">
        <v>0.59939998000000005</v>
      </c>
      <c r="F1963" s="129">
        <v>2.3975999200000002</v>
      </c>
      <c r="G1963" s="129">
        <v>2.0339</v>
      </c>
      <c r="H1963" s="129">
        <v>8.1356000000000002</v>
      </c>
      <c r="I1963" s="131" t="s">
        <v>87</v>
      </c>
      <c r="J1963" s="132" t="s">
        <v>102</v>
      </c>
      <c r="K1963" s="130" t="s">
        <v>2095</v>
      </c>
      <c r="L1963" s="129" t="str">
        <f t="shared" si="30"/>
        <v>005-00000228</v>
      </c>
    </row>
    <row r="1964" spans="1:12" hidden="1" x14ac:dyDescent="0.25">
      <c r="A1964" s="130" t="s">
        <v>342</v>
      </c>
      <c r="B1964" s="130" t="s">
        <v>343</v>
      </c>
      <c r="C1964" s="132" t="s">
        <v>150</v>
      </c>
      <c r="D1964" s="129">
        <v>4</v>
      </c>
      <c r="E1964" s="129">
        <v>0.153</v>
      </c>
      <c r="F1964" s="129">
        <v>0.61199999999999988</v>
      </c>
      <c r="G1964" s="129">
        <v>0.50849997999999996</v>
      </c>
      <c r="H1964" s="129">
        <v>2.0339999199999999</v>
      </c>
      <c r="I1964" s="131" t="s">
        <v>87</v>
      </c>
      <c r="J1964" s="132" t="s">
        <v>102</v>
      </c>
      <c r="K1964" s="130" t="s">
        <v>2095</v>
      </c>
      <c r="L1964" s="129" t="str">
        <f t="shared" si="30"/>
        <v>005-00000228</v>
      </c>
    </row>
    <row r="1965" spans="1:12" hidden="1" x14ac:dyDescent="0.25">
      <c r="A1965" s="130" t="s">
        <v>331</v>
      </c>
      <c r="B1965" s="130" t="s">
        <v>332</v>
      </c>
      <c r="C1965" s="132" t="s">
        <v>150</v>
      </c>
      <c r="D1965" s="129">
        <v>1</v>
      </c>
      <c r="E1965" s="129">
        <v>1.5293999999999999</v>
      </c>
      <c r="F1965" s="129">
        <v>1.5294000000000003</v>
      </c>
      <c r="G1965" s="129">
        <v>5.0847001000000001</v>
      </c>
      <c r="H1965" s="129">
        <v>5.0847001000000001</v>
      </c>
      <c r="I1965" s="131" t="s">
        <v>87</v>
      </c>
      <c r="J1965" s="132" t="s">
        <v>102</v>
      </c>
      <c r="K1965" s="130" t="s">
        <v>2095</v>
      </c>
      <c r="L1965" s="129" t="str">
        <f t="shared" si="30"/>
        <v>005-00000228</v>
      </c>
    </row>
    <row r="1966" spans="1:12" hidden="1" x14ac:dyDescent="0.25">
      <c r="A1966" s="130" t="s">
        <v>2448</v>
      </c>
      <c r="B1966" s="130" t="s">
        <v>2449</v>
      </c>
      <c r="C1966" s="132" t="s">
        <v>150</v>
      </c>
      <c r="D1966" s="129">
        <v>1</v>
      </c>
      <c r="E1966" s="129">
        <v>8.8566999000000006</v>
      </c>
      <c r="F1966" s="129">
        <v>8.8566999000000024</v>
      </c>
      <c r="G1966" s="129">
        <v>29.660999</v>
      </c>
      <c r="H1966" s="129">
        <v>29.660999000000007</v>
      </c>
      <c r="I1966" s="131" t="s">
        <v>87</v>
      </c>
      <c r="J1966" s="132" t="s">
        <v>102</v>
      </c>
      <c r="K1966" s="130" t="s">
        <v>2091</v>
      </c>
      <c r="L1966" s="129" t="str">
        <f t="shared" si="30"/>
        <v>005-00000216</v>
      </c>
    </row>
    <row r="1967" spans="1:12" hidden="1" x14ac:dyDescent="0.25">
      <c r="A1967" s="130" t="s">
        <v>1466</v>
      </c>
      <c r="B1967" s="130" t="s">
        <v>1467</v>
      </c>
      <c r="C1967" s="132" t="s">
        <v>88</v>
      </c>
      <c r="D1967" s="129">
        <v>0.75</v>
      </c>
      <c r="E1967" s="129">
        <v>9.2980003</v>
      </c>
      <c r="F1967" s="129">
        <v>6.9735002249999987</v>
      </c>
      <c r="G1967" s="129">
        <v>30.900199999999998</v>
      </c>
      <c r="H1967" s="129">
        <v>23.175149999999999</v>
      </c>
      <c r="I1967" s="131" t="s">
        <v>87</v>
      </c>
      <c r="J1967" s="132" t="s">
        <v>102</v>
      </c>
      <c r="K1967" s="130" t="s">
        <v>2091</v>
      </c>
      <c r="L1967" s="129" t="str">
        <f t="shared" si="30"/>
        <v>005-00000216</v>
      </c>
    </row>
    <row r="1968" spans="1:12" hidden="1" x14ac:dyDescent="0.25">
      <c r="A1968" s="130" t="s">
        <v>1465</v>
      </c>
      <c r="B1968" s="130" t="s">
        <v>160</v>
      </c>
      <c r="C1968" s="132" t="s">
        <v>150</v>
      </c>
      <c r="D1968" s="129">
        <v>2</v>
      </c>
      <c r="E1968" s="129">
        <v>1.4021999999999999</v>
      </c>
      <c r="F1968" s="129">
        <v>2.8043999999999998</v>
      </c>
      <c r="G1968" s="129">
        <v>4.6609997999999999</v>
      </c>
      <c r="H1968" s="129">
        <v>9.3219995999999998</v>
      </c>
      <c r="I1968" s="131" t="s">
        <v>87</v>
      </c>
      <c r="J1968" s="132" t="s">
        <v>102</v>
      </c>
      <c r="K1968" s="130" t="s">
        <v>2091</v>
      </c>
      <c r="L1968" s="129" t="str">
        <f t="shared" si="30"/>
        <v>005-00000216</v>
      </c>
    </row>
    <row r="1969" spans="1:12" hidden="1" x14ac:dyDescent="0.25">
      <c r="A1969" s="130" t="s">
        <v>445</v>
      </c>
      <c r="B1969" s="130" t="s">
        <v>446</v>
      </c>
      <c r="C1969" s="132" t="s">
        <v>150</v>
      </c>
      <c r="D1969" s="129">
        <v>1</v>
      </c>
      <c r="E1969" s="129">
        <v>21.670900000000003</v>
      </c>
      <c r="F1969" s="129">
        <v>21.670900000000003</v>
      </c>
      <c r="G1969" s="129">
        <v>72.033896999999996</v>
      </c>
      <c r="H1969" s="129">
        <v>72.033896999999996</v>
      </c>
      <c r="I1969" s="131" t="s">
        <v>87</v>
      </c>
      <c r="J1969" s="132" t="s">
        <v>102</v>
      </c>
      <c r="K1969" s="130" t="s">
        <v>2259</v>
      </c>
      <c r="L1969" s="129" t="str">
        <f t="shared" si="30"/>
        <v>005-00000294</v>
      </c>
    </row>
    <row r="1970" spans="1:12" hidden="1" x14ac:dyDescent="0.25">
      <c r="A1970" s="130" t="s">
        <v>2450</v>
      </c>
      <c r="B1970" s="130" t="s">
        <v>2451</v>
      </c>
      <c r="C1970" s="132" t="s">
        <v>153</v>
      </c>
      <c r="D1970" s="129">
        <v>1</v>
      </c>
      <c r="E1970" s="129">
        <v>17.835799999999999</v>
      </c>
      <c r="F1970" s="129">
        <v>17.835799999999999</v>
      </c>
      <c r="G1970" s="129">
        <v>59.321998999999998</v>
      </c>
      <c r="H1970" s="129">
        <v>59.321998999999998</v>
      </c>
      <c r="I1970" s="131" t="s">
        <v>87</v>
      </c>
      <c r="J1970" s="132" t="s">
        <v>102</v>
      </c>
      <c r="K1970" s="130" t="s">
        <v>2259</v>
      </c>
      <c r="L1970" s="129" t="str">
        <f t="shared" si="30"/>
        <v>005-00000294</v>
      </c>
    </row>
    <row r="1971" spans="1:12" hidden="1" x14ac:dyDescent="0.25">
      <c r="A1971" s="130" t="s">
        <v>1513</v>
      </c>
      <c r="B1971" s="130" t="s">
        <v>1514</v>
      </c>
      <c r="C1971" s="132" t="s">
        <v>150</v>
      </c>
      <c r="D1971" s="129">
        <v>3</v>
      </c>
      <c r="E1971" s="129">
        <v>35.671700000000001</v>
      </c>
      <c r="F1971" s="129">
        <v>107.0151</v>
      </c>
      <c r="G1971" s="129">
        <v>118.64409999999999</v>
      </c>
      <c r="H1971" s="129">
        <v>355.93230000000005</v>
      </c>
      <c r="I1971" s="131" t="s">
        <v>87</v>
      </c>
      <c r="J1971" s="132" t="s">
        <v>102</v>
      </c>
      <c r="K1971" s="130" t="s">
        <v>2395</v>
      </c>
      <c r="L1971" s="129" t="str">
        <f t="shared" si="30"/>
        <v>005-00000314</v>
      </c>
    </row>
    <row r="1972" spans="1:12" hidden="1" x14ac:dyDescent="0.25">
      <c r="A1972" s="130" t="s">
        <v>2452</v>
      </c>
      <c r="B1972" s="130" t="s">
        <v>2453</v>
      </c>
      <c r="C1972" s="132" t="s">
        <v>153</v>
      </c>
      <c r="D1972" s="129">
        <v>5</v>
      </c>
      <c r="E1972" s="129">
        <v>1.6817</v>
      </c>
      <c r="F1972" s="129">
        <v>8.4084999999999983</v>
      </c>
      <c r="G1972" s="129">
        <v>5.5932002000000001</v>
      </c>
      <c r="H1972" s="129">
        <v>27.966001000000002</v>
      </c>
      <c r="I1972" s="131" t="s">
        <v>87</v>
      </c>
      <c r="J1972" s="132" t="s">
        <v>102</v>
      </c>
      <c r="K1972" s="130" t="s">
        <v>645</v>
      </c>
      <c r="L1972" s="129" t="str">
        <f t="shared" si="30"/>
        <v>005-00000056</v>
      </c>
    </row>
    <row r="1973" spans="1:12" hidden="1" x14ac:dyDescent="0.25">
      <c r="A1973" s="130" t="s">
        <v>2454</v>
      </c>
      <c r="B1973" s="130" t="s">
        <v>2455</v>
      </c>
      <c r="C1973" s="132" t="s">
        <v>150</v>
      </c>
      <c r="D1973" s="129">
        <v>16</v>
      </c>
      <c r="E1973" s="129">
        <v>0.50959997999999995</v>
      </c>
      <c r="F1973" s="129">
        <v>8.153599680000001</v>
      </c>
      <c r="G1973" s="129">
        <v>1.6949000000000001</v>
      </c>
      <c r="H1973" s="129">
        <v>27.118400000000001</v>
      </c>
      <c r="I1973" s="131" t="s">
        <v>87</v>
      </c>
      <c r="J1973" s="132" t="s">
        <v>102</v>
      </c>
      <c r="K1973" s="130" t="s">
        <v>2259</v>
      </c>
      <c r="L1973" s="129" t="str">
        <f t="shared" si="30"/>
        <v>005-00000294</v>
      </c>
    </row>
    <row r="1974" spans="1:12" hidden="1" x14ac:dyDescent="0.25">
      <c r="A1974" s="130" t="s">
        <v>2456</v>
      </c>
      <c r="B1974" s="130" t="s">
        <v>2457</v>
      </c>
      <c r="C1974" s="132" t="s">
        <v>150</v>
      </c>
      <c r="D1974" s="129">
        <v>1</v>
      </c>
      <c r="E1974" s="129">
        <v>6.3699002</v>
      </c>
      <c r="F1974" s="129">
        <v>6.3699002000000009</v>
      </c>
      <c r="G1974" s="129">
        <v>21.186399000000002</v>
      </c>
      <c r="H1974" s="129">
        <v>21.186399000000002</v>
      </c>
      <c r="I1974" s="131" t="s">
        <v>87</v>
      </c>
      <c r="J1974" s="132" t="s">
        <v>102</v>
      </c>
      <c r="K1974" s="130" t="s">
        <v>2259</v>
      </c>
      <c r="L1974" s="129" t="str">
        <f t="shared" si="30"/>
        <v>005-00000294</v>
      </c>
    </row>
    <row r="1975" spans="1:12" hidden="1" x14ac:dyDescent="0.25">
      <c r="A1975" s="130" t="s">
        <v>2161</v>
      </c>
      <c r="B1975" s="130" t="s">
        <v>2162</v>
      </c>
      <c r="C1975" s="132" t="s">
        <v>150</v>
      </c>
      <c r="D1975" s="129">
        <v>1</v>
      </c>
      <c r="E1975" s="129">
        <v>11.4659</v>
      </c>
      <c r="F1975" s="129">
        <v>11.4659</v>
      </c>
      <c r="G1975" s="129">
        <v>38.135601000000001</v>
      </c>
      <c r="H1975" s="129">
        <v>38.135601000000001</v>
      </c>
      <c r="I1975" s="131" t="s">
        <v>87</v>
      </c>
      <c r="J1975" s="132" t="s">
        <v>102</v>
      </c>
      <c r="K1975" s="130" t="s">
        <v>2259</v>
      </c>
      <c r="L1975" s="129" t="str">
        <f t="shared" si="30"/>
        <v>005-00000294</v>
      </c>
    </row>
    <row r="1976" spans="1:12" hidden="1" x14ac:dyDescent="0.25">
      <c r="A1976" s="130" t="s">
        <v>2458</v>
      </c>
      <c r="B1976" s="130" t="s">
        <v>2459</v>
      </c>
      <c r="C1976" s="132" t="s">
        <v>150</v>
      </c>
      <c r="D1976" s="129">
        <v>1</v>
      </c>
      <c r="E1976" s="129">
        <v>3.8322001000000001</v>
      </c>
      <c r="F1976" s="129">
        <v>3.8322001000000001</v>
      </c>
      <c r="G1976" s="129">
        <v>12.745799999999999</v>
      </c>
      <c r="H1976" s="129">
        <v>12.745799999999999</v>
      </c>
      <c r="I1976" s="131" t="s">
        <v>87</v>
      </c>
      <c r="J1976" s="132" t="s">
        <v>102</v>
      </c>
      <c r="K1976" s="130" t="s">
        <v>2259</v>
      </c>
      <c r="L1976" s="129" t="str">
        <f t="shared" si="30"/>
        <v>005-00000294</v>
      </c>
    </row>
    <row r="1977" spans="1:12" hidden="1" x14ac:dyDescent="0.25">
      <c r="A1977" s="130" t="s">
        <v>1034</v>
      </c>
      <c r="B1977" s="130" t="s">
        <v>1035</v>
      </c>
      <c r="C1977" s="132" t="s">
        <v>88</v>
      </c>
      <c r="D1977" s="129">
        <v>1</v>
      </c>
      <c r="E1977" s="129">
        <v>10.5677</v>
      </c>
      <c r="F1977" s="129">
        <v>10.567700000000002</v>
      </c>
      <c r="G1977" s="129">
        <v>35.745998</v>
      </c>
      <c r="H1977" s="129">
        <v>35.745998</v>
      </c>
      <c r="I1977" s="131" t="s">
        <v>87</v>
      </c>
      <c r="J1977" s="132" t="s">
        <v>102</v>
      </c>
      <c r="K1977" s="130" t="s">
        <v>2259</v>
      </c>
      <c r="L1977" s="129" t="str">
        <f t="shared" si="30"/>
        <v>005-00000294</v>
      </c>
    </row>
    <row r="1978" spans="1:12" hidden="1" x14ac:dyDescent="0.25">
      <c r="A1978" s="130" t="s">
        <v>1466</v>
      </c>
      <c r="B1978" s="130" t="s">
        <v>1467</v>
      </c>
      <c r="C1978" s="132" t="s">
        <v>88</v>
      </c>
      <c r="D1978" s="129">
        <v>0.75</v>
      </c>
      <c r="E1978" s="129">
        <v>9.2980003</v>
      </c>
      <c r="F1978" s="129">
        <v>6.9735002249999987</v>
      </c>
      <c r="G1978" s="129">
        <v>30.900199999999998</v>
      </c>
      <c r="H1978" s="129">
        <v>23.175149999999999</v>
      </c>
      <c r="I1978" s="131" t="s">
        <v>87</v>
      </c>
      <c r="J1978" s="132" t="s">
        <v>102</v>
      </c>
      <c r="K1978" s="130" t="s">
        <v>2259</v>
      </c>
      <c r="L1978" s="129" t="str">
        <f t="shared" si="30"/>
        <v>005-00000294</v>
      </c>
    </row>
    <row r="1979" spans="1:12" hidden="1" x14ac:dyDescent="0.25">
      <c r="A1979" s="130" t="s">
        <v>1465</v>
      </c>
      <c r="B1979" s="130" t="s">
        <v>160</v>
      </c>
      <c r="C1979" s="132" t="s">
        <v>150</v>
      </c>
      <c r="D1979" s="129">
        <v>2</v>
      </c>
      <c r="E1979" s="129">
        <v>1.4021999999999999</v>
      </c>
      <c r="F1979" s="129">
        <v>2.8043999999999998</v>
      </c>
      <c r="G1979" s="129">
        <v>4.6609997999999999</v>
      </c>
      <c r="H1979" s="129">
        <v>9.3219995999999998</v>
      </c>
      <c r="I1979" s="131" t="s">
        <v>87</v>
      </c>
      <c r="J1979" s="132" t="s">
        <v>102</v>
      </c>
      <c r="K1979" s="130" t="s">
        <v>2259</v>
      </c>
      <c r="L1979" s="129" t="str">
        <f t="shared" si="30"/>
        <v>005-00000294</v>
      </c>
    </row>
    <row r="1980" spans="1:12" hidden="1" x14ac:dyDescent="0.25">
      <c r="A1980" s="130" t="s">
        <v>227</v>
      </c>
      <c r="B1980" s="130" t="s">
        <v>194</v>
      </c>
      <c r="C1980" s="132" t="s">
        <v>88</v>
      </c>
      <c r="D1980" s="129">
        <v>1</v>
      </c>
      <c r="E1980" s="129">
        <v>1.6415</v>
      </c>
      <c r="F1980" s="129">
        <v>1.6414999999999997</v>
      </c>
      <c r="G1980" s="129">
        <v>5.4759001999999999</v>
      </c>
      <c r="H1980" s="129">
        <v>5.4759001999999999</v>
      </c>
      <c r="I1980" s="131" t="s">
        <v>87</v>
      </c>
      <c r="J1980" s="132" t="s">
        <v>102</v>
      </c>
      <c r="K1980" s="130" t="s">
        <v>2259</v>
      </c>
      <c r="L1980" s="129" t="str">
        <f t="shared" si="30"/>
        <v>005-00000294</v>
      </c>
    </row>
    <row r="1981" spans="1:12" hidden="1" x14ac:dyDescent="0.25">
      <c r="A1981" s="130" t="s">
        <v>331</v>
      </c>
      <c r="B1981" s="130" t="s">
        <v>332</v>
      </c>
      <c r="C1981" s="132" t="s">
        <v>150</v>
      </c>
      <c r="D1981" s="129">
        <v>1</v>
      </c>
      <c r="E1981" s="129">
        <v>1.5293999999999999</v>
      </c>
      <c r="F1981" s="129">
        <v>1.5294000000000003</v>
      </c>
      <c r="G1981" s="129">
        <v>5.0847001000000001</v>
      </c>
      <c r="H1981" s="129">
        <v>5.0847001000000001</v>
      </c>
      <c r="I1981" s="131" t="s">
        <v>87</v>
      </c>
      <c r="J1981" s="132" t="s">
        <v>102</v>
      </c>
      <c r="K1981" s="130" t="s">
        <v>2389</v>
      </c>
      <c r="L1981" s="129" t="str">
        <f t="shared" si="30"/>
        <v>005-00000311</v>
      </c>
    </row>
    <row r="1982" spans="1:12" hidden="1" x14ac:dyDescent="0.25">
      <c r="A1982" s="130" t="s">
        <v>329</v>
      </c>
      <c r="B1982" s="130" t="s">
        <v>330</v>
      </c>
      <c r="C1982" s="132" t="s">
        <v>150</v>
      </c>
      <c r="D1982" s="129">
        <v>1</v>
      </c>
      <c r="E1982" s="129">
        <v>1.9117</v>
      </c>
      <c r="F1982" s="129">
        <v>1.9116999999999995</v>
      </c>
      <c r="G1982" s="129">
        <v>6.3558998000000004</v>
      </c>
      <c r="H1982" s="129">
        <v>6.3558998000000004</v>
      </c>
      <c r="I1982" s="131" t="s">
        <v>87</v>
      </c>
      <c r="J1982" s="132" t="s">
        <v>102</v>
      </c>
      <c r="K1982" s="130" t="s">
        <v>2389</v>
      </c>
      <c r="L1982" s="129" t="str">
        <f t="shared" si="30"/>
        <v>005-00000311</v>
      </c>
    </row>
    <row r="1983" spans="1:12" hidden="1" x14ac:dyDescent="0.25">
      <c r="A1983" s="130" t="s">
        <v>1465</v>
      </c>
      <c r="B1983" s="130" t="s">
        <v>160</v>
      </c>
      <c r="C1983" s="132" t="s">
        <v>150</v>
      </c>
      <c r="D1983" s="129">
        <v>2</v>
      </c>
      <c r="E1983" s="129">
        <v>1.4021999999999999</v>
      </c>
      <c r="F1983" s="129">
        <v>2.8043999999999998</v>
      </c>
      <c r="G1983" s="129">
        <v>4.6609997999999999</v>
      </c>
      <c r="H1983" s="129">
        <v>9.3219995999999998</v>
      </c>
      <c r="I1983" s="131" t="s">
        <v>87</v>
      </c>
      <c r="J1983" s="132" t="s">
        <v>102</v>
      </c>
      <c r="K1983" s="130" t="s">
        <v>2389</v>
      </c>
      <c r="L1983" s="129" t="str">
        <f t="shared" si="30"/>
        <v>005-00000311</v>
      </c>
    </row>
    <row r="1984" spans="1:12" hidden="1" x14ac:dyDescent="0.25">
      <c r="A1984" s="130" t="s">
        <v>227</v>
      </c>
      <c r="B1984" s="130" t="s">
        <v>194</v>
      </c>
      <c r="C1984" s="132" t="s">
        <v>88</v>
      </c>
      <c r="D1984" s="129">
        <v>1</v>
      </c>
      <c r="E1984" s="129">
        <v>1.6415</v>
      </c>
      <c r="F1984" s="129">
        <v>1.6414999999999997</v>
      </c>
      <c r="G1984" s="129">
        <v>5.4759001999999999</v>
      </c>
      <c r="H1984" s="129">
        <v>5.4759001999999999</v>
      </c>
      <c r="I1984" s="131" t="s">
        <v>87</v>
      </c>
      <c r="J1984" s="132" t="s">
        <v>102</v>
      </c>
      <c r="K1984" s="130" t="s">
        <v>2389</v>
      </c>
      <c r="L1984" s="129" t="str">
        <f t="shared" si="30"/>
        <v>005-00000311</v>
      </c>
    </row>
    <row r="1985" spans="1:12" hidden="1" x14ac:dyDescent="0.25">
      <c r="A1985" s="130" t="s">
        <v>544</v>
      </c>
      <c r="B1985" s="130" t="s">
        <v>545</v>
      </c>
      <c r="C1985" s="132" t="s">
        <v>150</v>
      </c>
      <c r="D1985" s="129">
        <v>2</v>
      </c>
      <c r="E1985" s="129">
        <v>2.5007999000000001</v>
      </c>
      <c r="F1985" s="129">
        <v>5.001599800000001</v>
      </c>
      <c r="G1985" s="129">
        <v>8.4745998</v>
      </c>
      <c r="H1985" s="129">
        <v>16.9491996</v>
      </c>
      <c r="I1985" s="131" t="s">
        <v>87</v>
      </c>
      <c r="J1985" s="132" t="s">
        <v>102</v>
      </c>
      <c r="K1985" s="130" t="s">
        <v>2389</v>
      </c>
      <c r="L1985" s="129" t="str">
        <f t="shared" si="30"/>
        <v>005-00000311</v>
      </c>
    </row>
    <row r="1986" spans="1:12" hidden="1" x14ac:dyDescent="0.25">
      <c r="A1986" s="130" t="s">
        <v>309</v>
      </c>
      <c r="B1986" s="130" t="s">
        <v>310</v>
      </c>
      <c r="C1986" s="132" t="s">
        <v>150</v>
      </c>
      <c r="D1986" s="129">
        <v>2</v>
      </c>
      <c r="E1986" s="129">
        <v>0.89190000000000003</v>
      </c>
      <c r="F1986" s="129">
        <v>1.7838000000000001</v>
      </c>
      <c r="G1986" s="129">
        <v>2.9661</v>
      </c>
      <c r="H1986" s="129">
        <v>5.9322000000000017</v>
      </c>
      <c r="I1986" s="131" t="s">
        <v>87</v>
      </c>
      <c r="J1986" s="132" t="s">
        <v>102</v>
      </c>
      <c r="K1986" s="130" t="s">
        <v>2389</v>
      </c>
      <c r="L1986" s="129" t="str">
        <f t="shared" si="30"/>
        <v>005-00000311</v>
      </c>
    </row>
    <row r="1987" spans="1:12" hidden="1" x14ac:dyDescent="0.25">
      <c r="A1987" s="130" t="s">
        <v>342</v>
      </c>
      <c r="B1987" s="130" t="s">
        <v>343</v>
      </c>
      <c r="C1987" s="132" t="s">
        <v>150</v>
      </c>
      <c r="D1987" s="129">
        <v>4</v>
      </c>
      <c r="E1987" s="129">
        <v>0.153</v>
      </c>
      <c r="F1987" s="129">
        <v>0.61199999999999988</v>
      </c>
      <c r="G1987" s="129">
        <v>0.50849997999999996</v>
      </c>
      <c r="H1987" s="129">
        <v>2.0339999199999999</v>
      </c>
      <c r="I1987" s="131" t="s">
        <v>87</v>
      </c>
      <c r="J1987" s="132" t="s">
        <v>102</v>
      </c>
      <c r="K1987" s="130" t="s">
        <v>2389</v>
      </c>
      <c r="L1987" s="129" t="str">
        <f t="shared" si="30"/>
        <v>005-00000311</v>
      </c>
    </row>
    <row r="1988" spans="1:12" hidden="1" x14ac:dyDescent="0.25">
      <c r="A1988" s="130" t="s">
        <v>1638</v>
      </c>
      <c r="B1988" s="130" t="s">
        <v>1639</v>
      </c>
      <c r="C1988" s="132" t="s">
        <v>150</v>
      </c>
      <c r="D1988" s="129">
        <v>2</v>
      </c>
      <c r="E1988" s="129">
        <v>0.59939998000000005</v>
      </c>
      <c r="F1988" s="129">
        <v>1.1987999600000001</v>
      </c>
      <c r="G1988" s="129">
        <v>2.0339</v>
      </c>
      <c r="H1988" s="129">
        <v>4.0678000000000001</v>
      </c>
      <c r="I1988" s="131" t="s">
        <v>87</v>
      </c>
      <c r="J1988" s="132" t="s">
        <v>102</v>
      </c>
      <c r="K1988" s="130" t="s">
        <v>2389</v>
      </c>
      <c r="L1988" s="129" t="str">
        <f t="shared" si="30"/>
        <v>005-00000311</v>
      </c>
    </row>
    <row r="1989" spans="1:12" hidden="1" x14ac:dyDescent="0.25">
      <c r="A1989" s="130" t="s">
        <v>360</v>
      </c>
      <c r="B1989" s="130" t="s">
        <v>361</v>
      </c>
      <c r="C1989" s="132" t="s">
        <v>150</v>
      </c>
      <c r="D1989" s="129">
        <v>2</v>
      </c>
      <c r="E1989" s="129">
        <v>0.12590000000000001</v>
      </c>
      <c r="F1989" s="129">
        <v>0.25180000000000002</v>
      </c>
      <c r="G1989" s="129">
        <v>0.42370000000000002</v>
      </c>
      <c r="H1989" s="129">
        <v>0.84740000000000004</v>
      </c>
      <c r="I1989" s="131" t="s">
        <v>87</v>
      </c>
      <c r="J1989" s="132" t="s">
        <v>102</v>
      </c>
      <c r="K1989" s="130" t="s">
        <v>2389</v>
      </c>
      <c r="L1989" s="129" t="str">
        <f t="shared" si="30"/>
        <v>005-00000311</v>
      </c>
    </row>
    <row r="1990" spans="1:12" hidden="1" x14ac:dyDescent="0.25">
      <c r="A1990" s="130" t="s">
        <v>1028</v>
      </c>
      <c r="B1990" s="130" t="s">
        <v>1029</v>
      </c>
      <c r="C1990" s="132" t="s">
        <v>150</v>
      </c>
      <c r="D1990" s="129">
        <v>1</v>
      </c>
      <c r="E1990" s="129">
        <v>1.5276999</v>
      </c>
      <c r="F1990" s="129">
        <v>1.5276999</v>
      </c>
      <c r="G1990" s="129">
        <v>5.0847001000000001</v>
      </c>
      <c r="H1990" s="129">
        <v>5.0847001000000001</v>
      </c>
      <c r="I1990" s="131" t="s">
        <v>87</v>
      </c>
      <c r="J1990" s="132" t="s">
        <v>102</v>
      </c>
      <c r="K1990" s="130" t="s">
        <v>2258</v>
      </c>
      <c r="L1990" s="129" t="str">
        <f t="shared" ref="L1990:L2053" si="31">CONCATENATE(J1990,"-",K1990)</f>
        <v>005-00000310</v>
      </c>
    </row>
    <row r="1991" spans="1:12" hidden="1" x14ac:dyDescent="0.25">
      <c r="A1991" s="130" t="s">
        <v>1034</v>
      </c>
      <c r="B1991" s="130" t="s">
        <v>1035</v>
      </c>
      <c r="C1991" s="132" t="s">
        <v>88</v>
      </c>
      <c r="D1991" s="129">
        <v>1</v>
      </c>
      <c r="E1991" s="129">
        <v>10.5677</v>
      </c>
      <c r="F1991" s="129">
        <v>10.567700000000002</v>
      </c>
      <c r="G1991" s="129">
        <v>35.745998</v>
      </c>
      <c r="H1991" s="129">
        <v>35.745998</v>
      </c>
      <c r="I1991" s="131" t="s">
        <v>87</v>
      </c>
      <c r="J1991" s="132" t="s">
        <v>102</v>
      </c>
      <c r="K1991" s="130" t="s">
        <v>2258</v>
      </c>
      <c r="L1991" s="129" t="str">
        <f t="shared" si="31"/>
        <v>005-00000310</v>
      </c>
    </row>
    <row r="1992" spans="1:12" hidden="1" x14ac:dyDescent="0.25">
      <c r="A1992" s="130" t="s">
        <v>1466</v>
      </c>
      <c r="B1992" s="130" t="s">
        <v>1467</v>
      </c>
      <c r="C1992" s="132" t="s">
        <v>88</v>
      </c>
      <c r="D1992" s="129">
        <v>0.75</v>
      </c>
      <c r="E1992" s="129">
        <v>9.2980003</v>
      </c>
      <c r="F1992" s="129">
        <v>6.9735002249999987</v>
      </c>
      <c r="G1992" s="129">
        <v>30.900199999999998</v>
      </c>
      <c r="H1992" s="129">
        <v>23.175149999999999</v>
      </c>
      <c r="I1992" s="131" t="s">
        <v>87</v>
      </c>
      <c r="J1992" s="132" t="s">
        <v>102</v>
      </c>
      <c r="K1992" s="130" t="s">
        <v>2258</v>
      </c>
      <c r="L1992" s="129" t="str">
        <f t="shared" si="31"/>
        <v>005-00000310</v>
      </c>
    </row>
    <row r="1993" spans="1:12" hidden="1" x14ac:dyDescent="0.25">
      <c r="A1993" s="130" t="s">
        <v>409</v>
      </c>
      <c r="B1993" s="130" t="s">
        <v>408</v>
      </c>
      <c r="C1993" s="132" t="s">
        <v>150</v>
      </c>
      <c r="D1993" s="129">
        <v>4</v>
      </c>
      <c r="E1993" s="129">
        <v>1.8340000000000001</v>
      </c>
      <c r="F1993" s="129">
        <v>7.3359999999999994</v>
      </c>
      <c r="G1993" s="129">
        <v>6.1016002</v>
      </c>
      <c r="H1993" s="129">
        <v>24.406400800000007</v>
      </c>
      <c r="I1993" s="131" t="s">
        <v>87</v>
      </c>
      <c r="J1993" s="132" t="s">
        <v>102</v>
      </c>
      <c r="K1993" s="130" t="s">
        <v>2258</v>
      </c>
      <c r="L1993" s="129" t="str">
        <f t="shared" si="31"/>
        <v>005-00000310</v>
      </c>
    </row>
    <row r="1994" spans="1:12" hidden="1" x14ac:dyDescent="0.25">
      <c r="A1994" s="130" t="s">
        <v>331</v>
      </c>
      <c r="B1994" s="130" t="s">
        <v>332</v>
      </c>
      <c r="C1994" s="132" t="s">
        <v>150</v>
      </c>
      <c r="D1994" s="129">
        <v>1</v>
      </c>
      <c r="E1994" s="129">
        <v>1.5293999999999999</v>
      </c>
      <c r="F1994" s="129">
        <v>1.5294000000000003</v>
      </c>
      <c r="G1994" s="129">
        <v>5.0847001000000001</v>
      </c>
      <c r="H1994" s="129">
        <v>5.0847001000000001</v>
      </c>
      <c r="I1994" s="131" t="s">
        <v>87</v>
      </c>
      <c r="J1994" s="132" t="s">
        <v>102</v>
      </c>
      <c r="K1994" s="130" t="s">
        <v>2258</v>
      </c>
      <c r="L1994" s="129" t="str">
        <f t="shared" si="31"/>
        <v>005-00000310</v>
      </c>
    </row>
    <row r="1995" spans="1:12" hidden="1" x14ac:dyDescent="0.25">
      <c r="A1995" s="130" t="s">
        <v>329</v>
      </c>
      <c r="B1995" s="130" t="s">
        <v>330</v>
      </c>
      <c r="C1995" s="132" t="s">
        <v>150</v>
      </c>
      <c r="D1995" s="129">
        <v>1</v>
      </c>
      <c r="E1995" s="129">
        <v>1.9117</v>
      </c>
      <c r="F1995" s="129">
        <v>1.9116999999999995</v>
      </c>
      <c r="G1995" s="129">
        <v>6.3558998000000004</v>
      </c>
      <c r="H1995" s="129">
        <v>6.3558998000000004</v>
      </c>
      <c r="I1995" s="131" t="s">
        <v>87</v>
      </c>
      <c r="J1995" s="132" t="s">
        <v>102</v>
      </c>
      <c r="K1995" s="130" t="s">
        <v>2258</v>
      </c>
      <c r="L1995" s="129" t="str">
        <f t="shared" si="31"/>
        <v>005-00000310</v>
      </c>
    </row>
    <row r="1996" spans="1:12" hidden="1" x14ac:dyDescent="0.25">
      <c r="A1996" s="130" t="s">
        <v>1465</v>
      </c>
      <c r="B1996" s="130" t="s">
        <v>160</v>
      </c>
      <c r="C1996" s="132" t="s">
        <v>150</v>
      </c>
      <c r="D1996" s="129">
        <v>2</v>
      </c>
      <c r="E1996" s="129">
        <v>1.4021999999999999</v>
      </c>
      <c r="F1996" s="129">
        <v>2.8043999999999998</v>
      </c>
      <c r="G1996" s="129">
        <v>4.6609997999999999</v>
      </c>
      <c r="H1996" s="129">
        <v>9.3219995999999998</v>
      </c>
      <c r="I1996" s="131" t="s">
        <v>87</v>
      </c>
      <c r="J1996" s="132" t="s">
        <v>102</v>
      </c>
      <c r="K1996" s="130" t="s">
        <v>2258</v>
      </c>
      <c r="L1996" s="129" t="str">
        <f t="shared" si="31"/>
        <v>005-00000310</v>
      </c>
    </row>
    <row r="1997" spans="1:12" hidden="1" x14ac:dyDescent="0.25">
      <c r="A1997" s="130" t="s">
        <v>227</v>
      </c>
      <c r="B1997" s="130" t="s">
        <v>194</v>
      </c>
      <c r="C1997" s="132" t="s">
        <v>88</v>
      </c>
      <c r="D1997" s="129">
        <v>1</v>
      </c>
      <c r="E1997" s="129">
        <v>1.6415</v>
      </c>
      <c r="F1997" s="129">
        <v>1.6414999999999997</v>
      </c>
      <c r="G1997" s="129">
        <v>5.4759001999999999</v>
      </c>
      <c r="H1997" s="129">
        <v>5.4759001999999999</v>
      </c>
      <c r="I1997" s="131" t="s">
        <v>87</v>
      </c>
      <c r="J1997" s="132" t="s">
        <v>102</v>
      </c>
      <c r="K1997" s="130" t="s">
        <v>2258</v>
      </c>
      <c r="L1997" s="129" t="str">
        <f t="shared" si="31"/>
        <v>005-00000310</v>
      </c>
    </row>
    <row r="1998" spans="1:12" hidden="1" x14ac:dyDescent="0.25">
      <c r="A1998" s="130" t="s">
        <v>544</v>
      </c>
      <c r="B1998" s="130" t="s">
        <v>545</v>
      </c>
      <c r="C1998" s="132" t="s">
        <v>150</v>
      </c>
      <c r="D1998" s="129">
        <v>2</v>
      </c>
      <c r="E1998" s="129">
        <v>2.5007999000000001</v>
      </c>
      <c r="F1998" s="129">
        <v>5.001599800000001</v>
      </c>
      <c r="G1998" s="129">
        <v>8.4745998</v>
      </c>
      <c r="H1998" s="129">
        <v>16.9491996</v>
      </c>
      <c r="I1998" s="131" t="s">
        <v>87</v>
      </c>
      <c r="J1998" s="132" t="s">
        <v>102</v>
      </c>
      <c r="K1998" s="130" t="s">
        <v>2258</v>
      </c>
      <c r="L1998" s="129" t="str">
        <f t="shared" si="31"/>
        <v>005-00000310</v>
      </c>
    </row>
    <row r="1999" spans="1:12" hidden="1" x14ac:dyDescent="0.25">
      <c r="A1999" s="130" t="s">
        <v>2448</v>
      </c>
      <c r="B1999" s="130" t="s">
        <v>2449</v>
      </c>
      <c r="C1999" s="132" t="s">
        <v>150</v>
      </c>
      <c r="D1999" s="129">
        <v>1</v>
      </c>
      <c r="E1999" s="129">
        <v>8.8566999000000006</v>
      </c>
      <c r="F1999" s="129">
        <v>8.8566999000000024</v>
      </c>
      <c r="G1999" s="129">
        <v>29.660999</v>
      </c>
      <c r="H1999" s="129">
        <v>29.660999000000007</v>
      </c>
      <c r="I1999" s="131" t="s">
        <v>87</v>
      </c>
      <c r="J1999" s="132" t="s">
        <v>102</v>
      </c>
      <c r="K1999" s="130" t="s">
        <v>2400</v>
      </c>
      <c r="L1999" s="129" t="str">
        <f t="shared" si="31"/>
        <v>005-00000312</v>
      </c>
    </row>
    <row r="2000" spans="1:12" hidden="1" x14ac:dyDescent="0.25">
      <c r="A2000" s="130" t="s">
        <v>1028</v>
      </c>
      <c r="B2000" s="130" t="s">
        <v>1029</v>
      </c>
      <c r="C2000" s="132" t="s">
        <v>150</v>
      </c>
      <c r="D2000" s="129">
        <v>1</v>
      </c>
      <c r="E2000" s="129">
        <v>1.5276999</v>
      </c>
      <c r="F2000" s="129">
        <v>1.5276999</v>
      </c>
      <c r="G2000" s="129">
        <v>5.0847001000000001</v>
      </c>
      <c r="H2000" s="129">
        <v>5.0847001000000001</v>
      </c>
      <c r="I2000" s="131" t="s">
        <v>87</v>
      </c>
      <c r="J2000" s="132" t="s">
        <v>102</v>
      </c>
      <c r="K2000" s="130" t="s">
        <v>2239</v>
      </c>
      <c r="L2000" s="129" t="str">
        <f t="shared" si="31"/>
        <v>005-00000308</v>
      </c>
    </row>
    <row r="2001" spans="1:12" hidden="1" x14ac:dyDescent="0.25">
      <c r="A2001" s="130" t="s">
        <v>1034</v>
      </c>
      <c r="B2001" s="130" t="s">
        <v>1035</v>
      </c>
      <c r="C2001" s="132" t="s">
        <v>88</v>
      </c>
      <c r="D2001" s="129">
        <v>1</v>
      </c>
      <c r="E2001" s="129">
        <v>10.5677</v>
      </c>
      <c r="F2001" s="129">
        <v>10.567700000000002</v>
      </c>
      <c r="G2001" s="129">
        <v>35.745998</v>
      </c>
      <c r="H2001" s="129">
        <v>35.745998</v>
      </c>
      <c r="I2001" s="131" t="s">
        <v>87</v>
      </c>
      <c r="J2001" s="132" t="s">
        <v>102</v>
      </c>
      <c r="K2001" s="130" t="s">
        <v>2239</v>
      </c>
      <c r="L2001" s="129" t="str">
        <f t="shared" si="31"/>
        <v>005-00000308</v>
      </c>
    </row>
    <row r="2002" spans="1:12" hidden="1" x14ac:dyDescent="0.25">
      <c r="A2002" s="130" t="s">
        <v>342</v>
      </c>
      <c r="B2002" s="130" t="s">
        <v>343</v>
      </c>
      <c r="C2002" s="132" t="s">
        <v>150</v>
      </c>
      <c r="D2002" s="129">
        <v>4</v>
      </c>
      <c r="E2002" s="129">
        <v>0.153</v>
      </c>
      <c r="F2002" s="129">
        <v>0.61199999999999988</v>
      </c>
      <c r="G2002" s="129">
        <v>0.50849997999999996</v>
      </c>
      <c r="H2002" s="129">
        <v>2.0339999199999999</v>
      </c>
      <c r="I2002" s="131" t="s">
        <v>87</v>
      </c>
      <c r="J2002" s="132" t="s">
        <v>102</v>
      </c>
      <c r="K2002" s="130" t="s">
        <v>2239</v>
      </c>
      <c r="L2002" s="129" t="str">
        <f t="shared" si="31"/>
        <v>005-00000308</v>
      </c>
    </row>
    <row r="2003" spans="1:12" hidden="1" x14ac:dyDescent="0.25">
      <c r="A2003" s="130" t="s">
        <v>1055</v>
      </c>
      <c r="B2003" s="130" t="s">
        <v>1056</v>
      </c>
      <c r="C2003" s="132" t="s">
        <v>150</v>
      </c>
      <c r="D2003" s="129">
        <v>1</v>
      </c>
      <c r="E2003" s="129">
        <v>1.5253000000000001</v>
      </c>
      <c r="F2003" s="129">
        <v>1.5252999999999997</v>
      </c>
      <c r="G2003" s="129">
        <v>5.0847001000000001</v>
      </c>
      <c r="H2003" s="129">
        <v>5.0847001000000001</v>
      </c>
      <c r="I2003" s="131" t="s">
        <v>87</v>
      </c>
      <c r="J2003" s="132" t="s">
        <v>102</v>
      </c>
      <c r="K2003" s="130" t="s">
        <v>2240</v>
      </c>
      <c r="L2003" s="129" t="str">
        <f t="shared" si="31"/>
        <v>005-00000306</v>
      </c>
    </row>
    <row r="2004" spans="1:12" hidden="1" x14ac:dyDescent="0.25">
      <c r="A2004" s="130" t="s">
        <v>1034</v>
      </c>
      <c r="B2004" s="130" t="s">
        <v>1035</v>
      </c>
      <c r="C2004" s="132" t="s">
        <v>88</v>
      </c>
      <c r="D2004" s="129">
        <v>1</v>
      </c>
      <c r="E2004" s="129">
        <v>10.5677</v>
      </c>
      <c r="F2004" s="129">
        <v>10.567700000000002</v>
      </c>
      <c r="G2004" s="129">
        <v>35.745998</v>
      </c>
      <c r="H2004" s="129">
        <v>35.745998</v>
      </c>
      <c r="I2004" s="131" t="s">
        <v>87</v>
      </c>
      <c r="J2004" s="132" t="s">
        <v>102</v>
      </c>
      <c r="K2004" s="130" t="s">
        <v>2240</v>
      </c>
      <c r="L2004" s="129" t="str">
        <f t="shared" si="31"/>
        <v>005-00000306</v>
      </c>
    </row>
    <row r="2005" spans="1:12" hidden="1" x14ac:dyDescent="0.25">
      <c r="A2005" s="130" t="s">
        <v>1466</v>
      </c>
      <c r="B2005" s="130" t="s">
        <v>1467</v>
      </c>
      <c r="C2005" s="132" t="s">
        <v>88</v>
      </c>
      <c r="D2005" s="129">
        <v>0.75</v>
      </c>
      <c r="E2005" s="129">
        <v>9.2980003</v>
      </c>
      <c r="F2005" s="129">
        <v>6.9735002249999987</v>
      </c>
      <c r="G2005" s="129">
        <v>30.900199999999998</v>
      </c>
      <c r="H2005" s="129">
        <v>23.175149999999999</v>
      </c>
      <c r="I2005" s="131" t="s">
        <v>87</v>
      </c>
      <c r="J2005" s="132" t="s">
        <v>102</v>
      </c>
      <c r="K2005" s="130" t="s">
        <v>2240</v>
      </c>
      <c r="L2005" s="129" t="str">
        <f t="shared" si="31"/>
        <v>005-00000306</v>
      </c>
    </row>
    <row r="2006" spans="1:12" hidden="1" x14ac:dyDescent="0.25">
      <c r="A2006" s="130" t="s">
        <v>2121</v>
      </c>
      <c r="B2006" s="130" t="s">
        <v>408</v>
      </c>
      <c r="C2006" s="132" t="s">
        <v>150</v>
      </c>
      <c r="D2006" s="129">
        <v>4</v>
      </c>
      <c r="E2006" s="129">
        <v>1.4</v>
      </c>
      <c r="F2006" s="129">
        <v>5.6</v>
      </c>
      <c r="G2006" s="129">
        <v>4.6609997999999999</v>
      </c>
      <c r="H2006" s="129">
        <v>18.6439992</v>
      </c>
      <c r="I2006" s="131" t="s">
        <v>87</v>
      </c>
      <c r="J2006" s="132" t="s">
        <v>102</v>
      </c>
      <c r="K2006" s="130" t="s">
        <v>2240</v>
      </c>
      <c r="L2006" s="129" t="str">
        <f t="shared" si="31"/>
        <v>005-00000306</v>
      </c>
    </row>
    <row r="2007" spans="1:12" hidden="1" x14ac:dyDescent="0.25">
      <c r="A2007" s="130" t="s">
        <v>1465</v>
      </c>
      <c r="B2007" s="130" t="s">
        <v>160</v>
      </c>
      <c r="C2007" s="132" t="s">
        <v>150</v>
      </c>
      <c r="D2007" s="129">
        <v>2</v>
      </c>
      <c r="E2007" s="129">
        <v>1.4021999999999999</v>
      </c>
      <c r="F2007" s="129">
        <v>2.8043999999999998</v>
      </c>
      <c r="G2007" s="129">
        <v>4.6609997999999999</v>
      </c>
      <c r="H2007" s="129">
        <v>9.3219995999999998</v>
      </c>
      <c r="I2007" s="131" t="s">
        <v>87</v>
      </c>
      <c r="J2007" s="132" t="s">
        <v>102</v>
      </c>
      <c r="K2007" s="130" t="s">
        <v>2240</v>
      </c>
      <c r="L2007" s="129" t="str">
        <f t="shared" si="31"/>
        <v>005-00000306</v>
      </c>
    </row>
    <row r="2008" spans="1:12" hidden="1" x14ac:dyDescent="0.25">
      <c r="A2008" s="130" t="s">
        <v>227</v>
      </c>
      <c r="B2008" s="130" t="s">
        <v>194</v>
      </c>
      <c r="C2008" s="132" t="s">
        <v>88</v>
      </c>
      <c r="D2008" s="129">
        <v>1</v>
      </c>
      <c r="E2008" s="129">
        <v>1.6415</v>
      </c>
      <c r="F2008" s="129">
        <v>1.6414999999999997</v>
      </c>
      <c r="G2008" s="129">
        <v>5.4759001999999999</v>
      </c>
      <c r="H2008" s="129">
        <v>5.4759001999999999</v>
      </c>
      <c r="I2008" s="131" t="s">
        <v>87</v>
      </c>
      <c r="J2008" s="132" t="s">
        <v>102</v>
      </c>
      <c r="K2008" s="130" t="s">
        <v>2240</v>
      </c>
      <c r="L2008" s="129" t="str">
        <f t="shared" si="31"/>
        <v>005-00000306</v>
      </c>
    </row>
    <row r="2009" spans="1:12" hidden="1" x14ac:dyDescent="0.25">
      <c r="A2009" s="130" t="s">
        <v>544</v>
      </c>
      <c r="B2009" s="130" t="s">
        <v>545</v>
      </c>
      <c r="C2009" s="132" t="s">
        <v>150</v>
      </c>
      <c r="D2009" s="129">
        <v>2</v>
      </c>
      <c r="E2009" s="129">
        <v>2.5007999000000001</v>
      </c>
      <c r="F2009" s="129">
        <v>5.001599800000001</v>
      </c>
      <c r="G2009" s="129">
        <v>8.4745998</v>
      </c>
      <c r="H2009" s="129">
        <v>16.9491996</v>
      </c>
      <c r="I2009" s="131" t="s">
        <v>87</v>
      </c>
      <c r="J2009" s="132" t="s">
        <v>102</v>
      </c>
      <c r="K2009" s="130" t="s">
        <v>2240</v>
      </c>
      <c r="L2009" s="129" t="str">
        <f t="shared" si="31"/>
        <v>005-00000306</v>
      </c>
    </row>
    <row r="2010" spans="1:12" hidden="1" x14ac:dyDescent="0.25">
      <c r="A2010" s="130" t="s">
        <v>342</v>
      </c>
      <c r="B2010" s="130" t="s">
        <v>343</v>
      </c>
      <c r="C2010" s="132" t="s">
        <v>150</v>
      </c>
      <c r="D2010" s="129">
        <v>4</v>
      </c>
      <c r="E2010" s="129">
        <v>0.153</v>
      </c>
      <c r="F2010" s="129">
        <v>0.61199999999999988</v>
      </c>
      <c r="G2010" s="129">
        <v>0.50849997999999996</v>
      </c>
      <c r="H2010" s="129">
        <v>2.0339999199999999</v>
      </c>
      <c r="I2010" s="131" t="s">
        <v>87</v>
      </c>
      <c r="J2010" s="132" t="s">
        <v>102</v>
      </c>
      <c r="K2010" s="130" t="s">
        <v>2240</v>
      </c>
      <c r="L2010" s="129" t="str">
        <f t="shared" si="31"/>
        <v>005-00000306</v>
      </c>
    </row>
    <row r="2011" spans="1:12" hidden="1" x14ac:dyDescent="0.25">
      <c r="A2011" s="130" t="s">
        <v>309</v>
      </c>
      <c r="B2011" s="130" t="s">
        <v>310</v>
      </c>
      <c r="C2011" s="132" t="s">
        <v>150</v>
      </c>
      <c r="D2011" s="129">
        <v>2</v>
      </c>
      <c r="E2011" s="129">
        <v>0.89190000000000003</v>
      </c>
      <c r="F2011" s="129">
        <v>1.7838000000000001</v>
      </c>
      <c r="G2011" s="129">
        <v>2.9661</v>
      </c>
      <c r="H2011" s="129">
        <v>5.9322000000000017</v>
      </c>
      <c r="I2011" s="131" t="s">
        <v>87</v>
      </c>
      <c r="J2011" s="132" t="s">
        <v>102</v>
      </c>
      <c r="K2011" s="130" t="s">
        <v>2240</v>
      </c>
      <c r="L2011" s="129" t="str">
        <f t="shared" si="31"/>
        <v>005-00000306</v>
      </c>
    </row>
    <row r="2012" spans="1:12" hidden="1" x14ac:dyDescent="0.25">
      <c r="A2012" s="130" t="s">
        <v>1465</v>
      </c>
      <c r="B2012" s="130" t="s">
        <v>160</v>
      </c>
      <c r="C2012" s="132" t="s">
        <v>150</v>
      </c>
      <c r="D2012" s="129">
        <v>2</v>
      </c>
      <c r="E2012" s="129">
        <v>1.4021999999999999</v>
      </c>
      <c r="F2012" s="129">
        <v>2.8043999999999998</v>
      </c>
      <c r="G2012" s="129">
        <v>4.6609997999999999</v>
      </c>
      <c r="H2012" s="129">
        <v>9.3219995999999998</v>
      </c>
      <c r="I2012" s="131" t="s">
        <v>87</v>
      </c>
      <c r="J2012" s="132" t="s">
        <v>102</v>
      </c>
      <c r="K2012" s="130" t="s">
        <v>2241</v>
      </c>
      <c r="L2012" s="129" t="str">
        <f t="shared" si="31"/>
        <v>005-00000249</v>
      </c>
    </row>
    <row r="2013" spans="1:12" hidden="1" x14ac:dyDescent="0.25">
      <c r="A2013" s="130" t="s">
        <v>227</v>
      </c>
      <c r="B2013" s="130" t="s">
        <v>194</v>
      </c>
      <c r="C2013" s="132" t="s">
        <v>88</v>
      </c>
      <c r="D2013" s="129">
        <v>1</v>
      </c>
      <c r="E2013" s="129">
        <v>1.6415</v>
      </c>
      <c r="F2013" s="129">
        <v>1.6414999999999997</v>
      </c>
      <c r="G2013" s="129">
        <v>5.4759001999999999</v>
      </c>
      <c r="H2013" s="129">
        <v>5.4759001999999999</v>
      </c>
      <c r="I2013" s="131" t="s">
        <v>87</v>
      </c>
      <c r="J2013" s="132" t="s">
        <v>102</v>
      </c>
      <c r="K2013" s="130" t="s">
        <v>2241</v>
      </c>
      <c r="L2013" s="129" t="str">
        <f t="shared" si="31"/>
        <v>005-00000249</v>
      </c>
    </row>
    <row r="2014" spans="1:12" hidden="1" x14ac:dyDescent="0.25">
      <c r="A2014" s="130" t="s">
        <v>544</v>
      </c>
      <c r="B2014" s="130" t="s">
        <v>545</v>
      </c>
      <c r="C2014" s="132" t="s">
        <v>150</v>
      </c>
      <c r="D2014" s="129">
        <v>2</v>
      </c>
      <c r="E2014" s="129">
        <v>2.5007999000000001</v>
      </c>
      <c r="F2014" s="129">
        <v>5.001599800000001</v>
      </c>
      <c r="G2014" s="129">
        <v>8.4745998</v>
      </c>
      <c r="H2014" s="129">
        <v>16.9491996</v>
      </c>
      <c r="I2014" s="131" t="s">
        <v>87</v>
      </c>
      <c r="J2014" s="132" t="s">
        <v>102</v>
      </c>
      <c r="K2014" s="130" t="s">
        <v>2241</v>
      </c>
      <c r="L2014" s="129" t="str">
        <f t="shared" si="31"/>
        <v>005-00000249</v>
      </c>
    </row>
    <row r="2015" spans="1:12" hidden="1" x14ac:dyDescent="0.25">
      <c r="A2015" s="130" t="s">
        <v>1055</v>
      </c>
      <c r="B2015" s="130" t="s">
        <v>1056</v>
      </c>
      <c r="C2015" s="132" t="s">
        <v>150</v>
      </c>
      <c r="D2015" s="129">
        <v>1</v>
      </c>
      <c r="E2015" s="129">
        <v>1.5253000000000001</v>
      </c>
      <c r="F2015" s="129">
        <v>1.5252999999999997</v>
      </c>
      <c r="G2015" s="129">
        <v>5.0847001000000001</v>
      </c>
      <c r="H2015" s="129">
        <v>5.0847001000000001</v>
      </c>
      <c r="I2015" s="131" t="s">
        <v>87</v>
      </c>
      <c r="J2015" s="132" t="s">
        <v>102</v>
      </c>
      <c r="K2015" s="130" t="s">
        <v>2241</v>
      </c>
      <c r="L2015" s="129" t="str">
        <f t="shared" si="31"/>
        <v>005-00000249</v>
      </c>
    </row>
    <row r="2016" spans="1:12" hidden="1" x14ac:dyDescent="0.25">
      <c r="A2016" s="130" t="s">
        <v>1034</v>
      </c>
      <c r="B2016" s="130" t="s">
        <v>1035</v>
      </c>
      <c r="C2016" s="132" t="s">
        <v>88</v>
      </c>
      <c r="D2016" s="129">
        <v>1</v>
      </c>
      <c r="E2016" s="129">
        <v>10.5677</v>
      </c>
      <c r="F2016" s="129">
        <v>10.567700000000002</v>
      </c>
      <c r="G2016" s="129">
        <v>35.745998</v>
      </c>
      <c r="H2016" s="129">
        <v>35.745998</v>
      </c>
      <c r="I2016" s="131" t="s">
        <v>87</v>
      </c>
      <c r="J2016" s="132" t="s">
        <v>102</v>
      </c>
      <c r="K2016" s="130" t="s">
        <v>2241</v>
      </c>
      <c r="L2016" s="129" t="str">
        <f t="shared" si="31"/>
        <v>005-00000249</v>
      </c>
    </row>
    <row r="2017" spans="1:12" hidden="1" x14ac:dyDescent="0.25">
      <c r="A2017" s="130" t="s">
        <v>1466</v>
      </c>
      <c r="B2017" s="130" t="s">
        <v>1467</v>
      </c>
      <c r="C2017" s="132" t="s">
        <v>88</v>
      </c>
      <c r="D2017" s="129">
        <v>0.75</v>
      </c>
      <c r="E2017" s="129">
        <v>9.2980003</v>
      </c>
      <c r="F2017" s="129">
        <v>6.9735002249999987</v>
      </c>
      <c r="G2017" s="129">
        <v>30.900199999999998</v>
      </c>
      <c r="H2017" s="129">
        <v>23.175149999999999</v>
      </c>
      <c r="I2017" s="131" t="s">
        <v>87</v>
      </c>
      <c r="J2017" s="132" t="s">
        <v>102</v>
      </c>
      <c r="K2017" s="130" t="s">
        <v>2241</v>
      </c>
      <c r="L2017" s="129" t="str">
        <f t="shared" si="31"/>
        <v>005-00000249</v>
      </c>
    </row>
    <row r="2018" spans="1:12" hidden="1" x14ac:dyDescent="0.25">
      <c r="A2018" s="130" t="s">
        <v>409</v>
      </c>
      <c r="B2018" s="130" t="s">
        <v>408</v>
      </c>
      <c r="C2018" s="132" t="s">
        <v>150</v>
      </c>
      <c r="D2018" s="129">
        <v>2</v>
      </c>
      <c r="E2018" s="129">
        <v>1.8340000000000001</v>
      </c>
      <c r="F2018" s="129">
        <v>3.6679999999999997</v>
      </c>
      <c r="G2018" s="129">
        <v>6.1016002</v>
      </c>
      <c r="H2018" s="129">
        <v>12.203200400000004</v>
      </c>
      <c r="I2018" s="131" t="s">
        <v>87</v>
      </c>
      <c r="J2018" s="132" t="s">
        <v>102</v>
      </c>
      <c r="K2018" s="130" t="s">
        <v>2241</v>
      </c>
      <c r="L2018" s="129" t="str">
        <f t="shared" si="31"/>
        <v>005-00000249</v>
      </c>
    </row>
    <row r="2019" spans="1:12" hidden="1" x14ac:dyDescent="0.25">
      <c r="A2019" s="130" t="s">
        <v>2232</v>
      </c>
      <c r="B2019" s="130" t="s">
        <v>2233</v>
      </c>
      <c r="C2019" s="132" t="s">
        <v>150</v>
      </c>
      <c r="D2019" s="129">
        <v>1</v>
      </c>
      <c r="E2019" s="129">
        <v>2.5466001</v>
      </c>
      <c r="F2019" s="129">
        <v>2.5466001000000005</v>
      </c>
      <c r="G2019" s="129">
        <v>8.4700003000000006</v>
      </c>
      <c r="H2019" s="129">
        <v>8.4700003000000006</v>
      </c>
      <c r="I2019" s="131" t="s">
        <v>87</v>
      </c>
      <c r="J2019" s="132" t="s">
        <v>102</v>
      </c>
      <c r="K2019" s="130" t="s">
        <v>2259</v>
      </c>
      <c r="L2019" s="129" t="str">
        <f t="shared" si="31"/>
        <v>005-00000294</v>
      </c>
    </row>
    <row r="2020" spans="1:12" hidden="1" x14ac:dyDescent="0.25">
      <c r="A2020" s="130" t="s">
        <v>731</v>
      </c>
      <c r="B2020" s="130" t="s">
        <v>732</v>
      </c>
      <c r="C2020" s="132" t="s">
        <v>150</v>
      </c>
      <c r="D2020" s="129">
        <v>2</v>
      </c>
      <c r="E2020" s="129">
        <v>21.883899999999997</v>
      </c>
      <c r="F2020" s="129">
        <v>43.767799999999987</v>
      </c>
      <c r="G2020" s="129">
        <v>72.457603000000006</v>
      </c>
      <c r="H2020" s="129">
        <v>144.91520600000001</v>
      </c>
      <c r="I2020" s="131" t="s">
        <v>87</v>
      </c>
      <c r="J2020" s="132" t="s">
        <v>102</v>
      </c>
      <c r="K2020" s="99" t="s">
        <v>1558</v>
      </c>
      <c r="L2020" s="129" t="str">
        <f t="shared" si="31"/>
        <v>005-00000198</v>
      </c>
    </row>
    <row r="2021" spans="1:12" hidden="1" x14ac:dyDescent="0.25">
      <c r="A2021" s="130" t="s">
        <v>2161</v>
      </c>
      <c r="B2021" s="130" t="s">
        <v>2162</v>
      </c>
      <c r="C2021" s="132" t="s">
        <v>150</v>
      </c>
      <c r="D2021" s="129">
        <v>1</v>
      </c>
      <c r="E2021" s="129">
        <v>14.018000000000002</v>
      </c>
      <c r="F2021" s="129">
        <v>14.018000000000002</v>
      </c>
      <c r="G2021" s="129">
        <v>46.61000099999999</v>
      </c>
      <c r="H2021" s="129">
        <v>46.610001000000004</v>
      </c>
      <c r="I2021" s="131" t="s">
        <v>87</v>
      </c>
      <c r="J2021" s="132" t="s">
        <v>102</v>
      </c>
      <c r="K2021" s="130" t="s">
        <v>645</v>
      </c>
      <c r="L2021" s="129" t="str">
        <f t="shared" si="31"/>
        <v>005-00000056</v>
      </c>
    </row>
    <row r="2022" spans="1:12" hidden="1" x14ac:dyDescent="0.25">
      <c r="A2022" s="130" t="s">
        <v>2137</v>
      </c>
      <c r="B2022" s="130" t="s">
        <v>2138</v>
      </c>
      <c r="C2022" s="132" t="s">
        <v>150</v>
      </c>
      <c r="D2022" s="129">
        <v>1</v>
      </c>
      <c r="E2022" s="129">
        <v>15.261200000000001</v>
      </c>
      <c r="F2022" s="129">
        <v>15.261199999999999</v>
      </c>
      <c r="G2022" s="129">
        <v>50.849997999999999</v>
      </c>
      <c r="H2022" s="129">
        <v>50.849998000000006</v>
      </c>
      <c r="I2022" s="131" t="s">
        <v>87</v>
      </c>
      <c r="J2022" s="132" t="s">
        <v>102</v>
      </c>
      <c r="K2022" s="130" t="s">
        <v>645</v>
      </c>
      <c r="L2022" s="129" t="str">
        <f t="shared" si="31"/>
        <v>005-00000056</v>
      </c>
    </row>
    <row r="2023" spans="1:12" hidden="1" x14ac:dyDescent="0.25">
      <c r="A2023" s="130" t="s">
        <v>399</v>
      </c>
      <c r="B2023" s="130" t="s">
        <v>400</v>
      </c>
      <c r="C2023" s="132" t="s">
        <v>153</v>
      </c>
      <c r="D2023" s="129">
        <v>1</v>
      </c>
      <c r="E2023" s="129">
        <v>36.878898999999997</v>
      </c>
      <c r="F2023" s="129">
        <v>36.878898999999997</v>
      </c>
      <c r="G2023" s="129">
        <v>122.88</v>
      </c>
      <c r="H2023" s="129">
        <v>122.88</v>
      </c>
      <c r="I2023" s="131" t="s">
        <v>87</v>
      </c>
      <c r="J2023" s="132" t="s">
        <v>102</v>
      </c>
      <c r="K2023" s="130" t="s">
        <v>645</v>
      </c>
      <c r="L2023" s="129" t="str">
        <f t="shared" si="31"/>
        <v>005-00000056</v>
      </c>
    </row>
    <row r="2024" spans="1:12" hidden="1" x14ac:dyDescent="0.25">
      <c r="A2024" s="130" t="s">
        <v>1092</v>
      </c>
      <c r="B2024" s="130" t="s">
        <v>1093</v>
      </c>
      <c r="C2024" s="132" t="s">
        <v>226</v>
      </c>
      <c r="D2024" s="129">
        <v>1</v>
      </c>
      <c r="E2024" s="129">
        <v>55.837299000000002</v>
      </c>
      <c r="F2024" s="129">
        <v>55.837299000000009</v>
      </c>
      <c r="G2024" s="129">
        <v>186.44069999999999</v>
      </c>
      <c r="H2024" s="129">
        <v>186.44070000000002</v>
      </c>
      <c r="I2024" s="131" t="s">
        <v>87</v>
      </c>
      <c r="J2024" s="132" t="s">
        <v>102</v>
      </c>
      <c r="K2024" s="130" t="s">
        <v>2259</v>
      </c>
      <c r="L2024" s="129" t="str">
        <f t="shared" si="31"/>
        <v>005-00000294</v>
      </c>
    </row>
    <row r="2025" spans="1:12" hidden="1" x14ac:dyDescent="0.25">
      <c r="A2025" s="130" t="s">
        <v>2460</v>
      </c>
      <c r="B2025" s="130" t="s">
        <v>2461</v>
      </c>
      <c r="C2025" s="132" t="s">
        <v>150</v>
      </c>
      <c r="D2025" s="129">
        <v>1</v>
      </c>
      <c r="E2025" s="129">
        <v>21.573499999999999</v>
      </c>
      <c r="F2025" s="129">
        <v>21.573499999999999</v>
      </c>
      <c r="G2025" s="129">
        <v>72.033896999999996</v>
      </c>
      <c r="H2025" s="129">
        <v>72.033896999999996</v>
      </c>
      <c r="I2025" s="131" t="s">
        <v>87</v>
      </c>
      <c r="J2025" s="132" t="s">
        <v>102</v>
      </c>
      <c r="K2025" s="130" t="s">
        <v>2259</v>
      </c>
      <c r="L2025" s="129" t="str">
        <f t="shared" si="31"/>
        <v>005-00000294</v>
      </c>
    </row>
    <row r="2026" spans="1:12" hidden="1" x14ac:dyDescent="0.25">
      <c r="A2026" s="130" t="s">
        <v>731</v>
      </c>
      <c r="B2026" s="130" t="s">
        <v>732</v>
      </c>
      <c r="C2026" s="132" t="s">
        <v>150</v>
      </c>
      <c r="D2026" s="129">
        <v>1</v>
      </c>
      <c r="E2026" s="129">
        <v>30.456699</v>
      </c>
      <c r="F2026" s="129">
        <v>30.456699000000004</v>
      </c>
      <c r="G2026" s="129">
        <v>101.6949</v>
      </c>
      <c r="H2026" s="129">
        <v>101.69489999999998</v>
      </c>
      <c r="I2026" s="131" t="s">
        <v>87</v>
      </c>
      <c r="J2026" s="132" t="s">
        <v>102</v>
      </c>
      <c r="K2026" s="130" t="s">
        <v>2259</v>
      </c>
      <c r="L2026" s="129" t="str">
        <f t="shared" si="31"/>
        <v>005-00000294</v>
      </c>
    </row>
    <row r="2027" spans="1:12" hidden="1" x14ac:dyDescent="0.25">
      <c r="A2027" s="130" t="s">
        <v>1578</v>
      </c>
      <c r="B2027" s="130" t="s">
        <v>1579</v>
      </c>
      <c r="C2027" s="132" t="s">
        <v>150</v>
      </c>
      <c r="D2027" s="129">
        <v>1</v>
      </c>
      <c r="E2027" s="129">
        <v>63.450099999999999</v>
      </c>
      <c r="F2027" s="129">
        <v>63.450100000000013</v>
      </c>
      <c r="G2027" s="129">
        <v>211.86</v>
      </c>
      <c r="H2027" s="129">
        <v>211.86</v>
      </c>
      <c r="I2027" s="131" t="s">
        <v>87</v>
      </c>
      <c r="J2027" s="132" t="s">
        <v>102</v>
      </c>
      <c r="K2027" s="130" t="s">
        <v>2258</v>
      </c>
      <c r="L2027" s="129" t="str">
        <f t="shared" si="31"/>
        <v>005-00000310</v>
      </c>
    </row>
    <row r="2028" spans="1:12" hidden="1" x14ac:dyDescent="0.25">
      <c r="A2028" s="130" t="s">
        <v>2462</v>
      </c>
      <c r="B2028" s="130" t="s">
        <v>2463</v>
      </c>
      <c r="C2028" s="132" t="s">
        <v>150</v>
      </c>
      <c r="D2028" s="129">
        <v>2</v>
      </c>
      <c r="E2028" s="129">
        <v>12.225199999999999</v>
      </c>
      <c r="F2028" s="129">
        <v>24.450400000000005</v>
      </c>
      <c r="G2028" s="129">
        <v>40.82</v>
      </c>
      <c r="H2028" s="129">
        <v>81.64</v>
      </c>
      <c r="I2028" s="131" t="s">
        <v>87</v>
      </c>
      <c r="J2028" s="132" t="s">
        <v>102</v>
      </c>
      <c r="K2028" s="130" t="s">
        <v>1857</v>
      </c>
      <c r="L2028" s="129" t="str">
        <f t="shared" si="31"/>
        <v>005-00000093</v>
      </c>
    </row>
    <row r="2029" spans="1:12" hidden="1" x14ac:dyDescent="0.25">
      <c r="A2029" s="130" t="s">
        <v>2464</v>
      </c>
      <c r="B2029" s="130" t="s">
        <v>2465</v>
      </c>
      <c r="C2029" s="132" t="s">
        <v>150</v>
      </c>
      <c r="D2029" s="129">
        <v>1</v>
      </c>
      <c r="E2029" s="129">
        <v>23.084800999999999</v>
      </c>
      <c r="F2029" s="129">
        <v>23.084801000000002</v>
      </c>
      <c r="G2029" s="129">
        <v>77.080001999999993</v>
      </c>
      <c r="H2029" s="129">
        <v>77.080001999999979</v>
      </c>
      <c r="I2029" s="131" t="s">
        <v>87</v>
      </c>
      <c r="J2029" s="132" t="s">
        <v>102</v>
      </c>
      <c r="K2029" s="130" t="s">
        <v>1857</v>
      </c>
      <c r="L2029" s="129" t="str">
        <f t="shared" si="31"/>
        <v>005-00000093</v>
      </c>
    </row>
    <row r="2030" spans="1:12" hidden="1" x14ac:dyDescent="0.25">
      <c r="A2030" s="130" t="s">
        <v>2183</v>
      </c>
      <c r="B2030" s="130" t="s">
        <v>2184</v>
      </c>
      <c r="C2030" s="132" t="s">
        <v>150</v>
      </c>
      <c r="D2030" s="129">
        <v>1</v>
      </c>
      <c r="E2030" s="129">
        <v>22.503699999999998</v>
      </c>
      <c r="F2030" s="129">
        <v>22.503700000000002</v>
      </c>
      <c r="G2030" s="129">
        <v>75.139999000000003</v>
      </c>
      <c r="H2030" s="129">
        <v>75.139999000000017</v>
      </c>
      <c r="I2030" s="131" t="s">
        <v>87</v>
      </c>
      <c r="J2030" s="132" t="s">
        <v>102</v>
      </c>
      <c r="K2030" s="130" t="s">
        <v>1517</v>
      </c>
      <c r="L2030" s="129" t="str">
        <f t="shared" si="31"/>
        <v>005-00000178</v>
      </c>
    </row>
    <row r="2031" spans="1:12" hidden="1" x14ac:dyDescent="0.25">
      <c r="A2031" s="130" t="s">
        <v>1103</v>
      </c>
      <c r="B2031" s="130" t="s">
        <v>1104</v>
      </c>
      <c r="C2031" s="132" t="s">
        <v>150</v>
      </c>
      <c r="D2031" s="129">
        <v>1</v>
      </c>
      <c r="E2031" s="129">
        <v>5.1122999</v>
      </c>
      <c r="F2031" s="129">
        <v>5.1122999</v>
      </c>
      <c r="G2031" s="129">
        <v>17.07</v>
      </c>
      <c r="H2031" s="129">
        <v>17.07</v>
      </c>
      <c r="I2031" s="131" t="s">
        <v>87</v>
      </c>
      <c r="J2031" s="132" t="s">
        <v>102</v>
      </c>
      <c r="K2031" s="130" t="s">
        <v>2224</v>
      </c>
      <c r="L2031" s="129" t="str">
        <f t="shared" si="31"/>
        <v>005-00000272</v>
      </c>
    </row>
    <row r="2032" spans="1:12" hidden="1" x14ac:dyDescent="0.25">
      <c r="A2032" s="130" t="s">
        <v>2466</v>
      </c>
      <c r="B2032" s="130" t="s">
        <v>2467</v>
      </c>
      <c r="C2032" s="132" t="s">
        <v>150</v>
      </c>
      <c r="D2032" s="129">
        <v>1</v>
      </c>
      <c r="E2032" s="129">
        <v>0.43730000000000002</v>
      </c>
      <c r="F2032" s="129">
        <v>0.43730000000000013</v>
      </c>
      <c r="G2032" s="129">
        <v>1.46</v>
      </c>
      <c r="H2032" s="129">
        <v>1.46</v>
      </c>
      <c r="I2032" s="131" t="s">
        <v>87</v>
      </c>
      <c r="J2032" s="132" t="s">
        <v>102</v>
      </c>
      <c r="K2032" s="130" t="s">
        <v>2224</v>
      </c>
      <c r="L2032" s="129" t="str">
        <f t="shared" si="31"/>
        <v>005-00000272</v>
      </c>
    </row>
    <row r="2033" spans="1:12" hidden="1" x14ac:dyDescent="0.25">
      <c r="A2033" s="130" t="s">
        <v>2208</v>
      </c>
      <c r="B2033" s="130" t="s">
        <v>2209</v>
      </c>
      <c r="C2033" s="132" t="s">
        <v>150</v>
      </c>
      <c r="D2033" s="129">
        <v>1</v>
      </c>
      <c r="E2033" s="129">
        <v>9.2841997000000003</v>
      </c>
      <c r="F2033" s="129">
        <v>9.2841996999999985</v>
      </c>
      <c r="G2033" s="129">
        <v>31</v>
      </c>
      <c r="H2033" s="129">
        <v>31</v>
      </c>
      <c r="I2033" s="131" t="s">
        <v>87</v>
      </c>
      <c r="J2033" s="132" t="s">
        <v>102</v>
      </c>
      <c r="K2033" s="130" t="s">
        <v>2224</v>
      </c>
      <c r="L2033" s="129" t="str">
        <f t="shared" si="31"/>
        <v>005-00000272</v>
      </c>
    </row>
    <row r="2034" spans="1:12" hidden="1" x14ac:dyDescent="0.25">
      <c r="A2034" s="130" t="s">
        <v>2468</v>
      </c>
      <c r="B2034" s="130" t="s">
        <v>2469</v>
      </c>
      <c r="C2034" s="132" t="s">
        <v>150</v>
      </c>
      <c r="D2034" s="129">
        <v>1</v>
      </c>
      <c r="E2034" s="129">
        <v>20.943398999999999</v>
      </c>
      <c r="F2034" s="129">
        <v>20.943399000000003</v>
      </c>
      <c r="G2034" s="129">
        <v>69.930000000000007</v>
      </c>
      <c r="H2034" s="129">
        <v>69.930000000000007</v>
      </c>
      <c r="I2034" s="131" t="s">
        <v>87</v>
      </c>
      <c r="J2034" s="132" t="s">
        <v>102</v>
      </c>
      <c r="K2034" s="130" t="s">
        <v>1680</v>
      </c>
      <c r="L2034" s="129" t="str">
        <f t="shared" si="31"/>
        <v>005-00000202</v>
      </c>
    </row>
    <row r="2035" spans="1:12" hidden="1" x14ac:dyDescent="0.25">
      <c r="A2035" s="130" t="s">
        <v>1107</v>
      </c>
      <c r="B2035" s="130" t="s">
        <v>1108</v>
      </c>
      <c r="C2035" s="132" t="s">
        <v>150</v>
      </c>
      <c r="D2035" s="129">
        <v>1</v>
      </c>
      <c r="E2035" s="129">
        <v>15.2018</v>
      </c>
      <c r="F2035" s="129">
        <v>15.2018</v>
      </c>
      <c r="G2035" s="129">
        <v>50.849997999999999</v>
      </c>
      <c r="H2035" s="129">
        <v>50.849998000000006</v>
      </c>
      <c r="I2035" s="131" t="s">
        <v>87</v>
      </c>
      <c r="J2035" s="132" t="s">
        <v>102</v>
      </c>
      <c r="K2035" s="130" t="s">
        <v>2470</v>
      </c>
      <c r="L2035" s="129" t="str">
        <f t="shared" si="31"/>
        <v>005-00000370</v>
      </c>
    </row>
    <row r="2036" spans="1:12" hidden="1" x14ac:dyDescent="0.25">
      <c r="A2036" s="130" t="s">
        <v>583</v>
      </c>
      <c r="B2036" s="130" t="s">
        <v>584</v>
      </c>
      <c r="C2036" s="132" t="s">
        <v>88</v>
      </c>
      <c r="D2036" s="129">
        <v>2</v>
      </c>
      <c r="E2036" s="129">
        <v>20.3444</v>
      </c>
      <c r="F2036" s="129">
        <v>40.688800000000008</v>
      </c>
      <c r="G2036" s="129">
        <v>68.438598999999996</v>
      </c>
      <c r="H2036" s="129">
        <v>136.87719799999999</v>
      </c>
      <c r="I2036" s="131" t="s">
        <v>87</v>
      </c>
      <c r="J2036" s="132" t="s">
        <v>102</v>
      </c>
      <c r="K2036" s="130" t="s">
        <v>2470</v>
      </c>
      <c r="L2036" s="129" t="str">
        <f t="shared" si="31"/>
        <v>005-00000370</v>
      </c>
    </row>
    <row r="2037" spans="1:12" hidden="1" x14ac:dyDescent="0.25">
      <c r="A2037" s="130" t="s">
        <v>2401</v>
      </c>
      <c r="B2037" s="130" t="s">
        <v>2402</v>
      </c>
      <c r="C2037" s="132" t="s">
        <v>150</v>
      </c>
      <c r="D2037" s="129">
        <v>1</v>
      </c>
      <c r="E2037" s="129">
        <v>57.823100999999994</v>
      </c>
      <c r="F2037" s="129">
        <v>57.823100999999987</v>
      </c>
      <c r="G2037" s="129">
        <v>192.84</v>
      </c>
      <c r="H2037" s="129">
        <v>192.84</v>
      </c>
      <c r="I2037" s="131" t="s">
        <v>87</v>
      </c>
      <c r="J2037" s="132" t="s">
        <v>102</v>
      </c>
      <c r="K2037" s="130" t="s">
        <v>655</v>
      </c>
      <c r="L2037" s="129" t="str">
        <f t="shared" si="31"/>
        <v>005-00000046</v>
      </c>
    </row>
    <row r="2038" spans="1:12" hidden="1" x14ac:dyDescent="0.25">
      <c r="A2038" s="224" t="s">
        <v>2135</v>
      </c>
      <c r="B2038" s="224" t="s">
        <v>2136</v>
      </c>
      <c r="C2038" s="225" t="s">
        <v>150</v>
      </c>
      <c r="D2038" s="226">
        <v>1</v>
      </c>
      <c r="E2038" s="226">
        <v>114.21380000000001</v>
      </c>
      <c r="F2038" s="226">
        <v>114.21380000000003</v>
      </c>
      <c r="G2038" s="226">
        <v>381.35998999999998</v>
      </c>
      <c r="H2038" s="226">
        <v>381.35999000000004</v>
      </c>
      <c r="I2038" s="227" t="s">
        <v>87</v>
      </c>
      <c r="J2038" s="225" t="s">
        <v>102</v>
      </c>
      <c r="K2038" s="224" t="s">
        <v>645</v>
      </c>
      <c r="L2038" s="129" t="str">
        <f t="shared" si="31"/>
        <v>005-00000056</v>
      </c>
    </row>
    <row r="2039" spans="1:12" hidden="1" x14ac:dyDescent="0.25">
      <c r="A2039" s="224" t="s">
        <v>1476</v>
      </c>
      <c r="B2039" s="224" t="s">
        <v>1477</v>
      </c>
      <c r="C2039" s="225" t="s">
        <v>150</v>
      </c>
      <c r="D2039" s="226">
        <v>1</v>
      </c>
      <c r="E2039" s="226">
        <v>2.9189999000000002</v>
      </c>
      <c r="F2039" s="226">
        <v>2.9189999000000006</v>
      </c>
      <c r="G2039" s="226">
        <v>9.7467003000000005</v>
      </c>
      <c r="H2039" s="226">
        <v>9.7467003000000005</v>
      </c>
      <c r="I2039" s="227" t="s">
        <v>87</v>
      </c>
      <c r="J2039" s="225" t="s">
        <v>102</v>
      </c>
      <c r="K2039" s="224" t="s">
        <v>2390</v>
      </c>
      <c r="L2039" s="129" t="str">
        <f t="shared" si="31"/>
        <v>005-00000313</v>
      </c>
    </row>
    <row r="2040" spans="1:12" hidden="1" x14ac:dyDescent="0.25">
      <c r="A2040" s="224" t="s">
        <v>331</v>
      </c>
      <c r="B2040" s="224" t="s">
        <v>332</v>
      </c>
      <c r="C2040" s="225" t="s">
        <v>150</v>
      </c>
      <c r="D2040" s="226">
        <v>1</v>
      </c>
      <c r="E2040" s="226">
        <v>1.5293999999999999</v>
      </c>
      <c r="F2040" s="226">
        <v>1.5294000000000003</v>
      </c>
      <c r="G2040" s="226">
        <v>5.0847001000000001</v>
      </c>
      <c r="H2040" s="226">
        <v>5.0847001000000009</v>
      </c>
      <c r="I2040" s="227" t="s">
        <v>87</v>
      </c>
      <c r="J2040" s="225" t="s">
        <v>102</v>
      </c>
      <c r="K2040" s="224" t="s">
        <v>2241</v>
      </c>
      <c r="L2040" s="129" t="str">
        <f t="shared" si="31"/>
        <v>005-00000249</v>
      </c>
    </row>
    <row r="2041" spans="1:12" hidden="1" x14ac:dyDescent="0.25">
      <c r="A2041" s="224" t="s">
        <v>329</v>
      </c>
      <c r="B2041" s="224" t="s">
        <v>330</v>
      </c>
      <c r="C2041" s="225" t="s">
        <v>150</v>
      </c>
      <c r="D2041" s="226">
        <v>1</v>
      </c>
      <c r="E2041" s="226">
        <v>1.9117</v>
      </c>
      <c r="F2041" s="226">
        <v>1.9116999999999995</v>
      </c>
      <c r="G2041" s="226">
        <v>6.3558998000000004</v>
      </c>
      <c r="H2041" s="226">
        <v>6.3558998000000004</v>
      </c>
      <c r="I2041" s="227" t="s">
        <v>87</v>
      </c>
      <c r="J2041" s="225" t="s">
        <v>102</v>
      </c>
      <c r="K2041" s="224" t="s">
        <v>2241</v>
      </c>
      <c r="L2041" s="129" t="str">
        <f t="shared" si="31"/>
        <v>005-00000249</v>
      </c>
    </row>
    <row r="2042" spans="1:12" hidden="1" x14ac:dyDescent="0.25">
      <c r="A2042" s="224" t="s">
        <v>309</v>
      </c>
      <c r="B2042" s="224" t="s">
        <v>310</v>
      </c>
      <c r="C2042" s="225" t="s">
        <v>150</v>
      </c>
      <c r="D2042" s="226">
        <v>2</v>
      </c>
      <c r="E2042" s="226">
        <v>0.89190000000000003</v>
      </c>
      <c r="F2042" s="226">
        <v>1.7838000000000001</v>
      </c>
      <c r="G2042" s="226">
        <v>2.9661</v>
      </c>
      <c r="H2042" s="226">
        <v>5.9322000000000017</v>
      </c>
      <c r="I2042" s="227" t="s">
        <v>87</v>
      </c>
      <c r="J2042" s="225" t="s">
        <v>102</v>
      </c>
      <c r="K2042" s="224" t="s">
        <v>2241</v>
      </c>
      <c r="L2042" s="129" t="str">
        <f t="shared" si="31"/>
        <v>005-00000249</v>
      </c>
    </row>
    <row r="2043" spans="1:12" hidden="1" x14ac:dyDescent="0.25">
      <c r="A2043" s="224" t="s">
        <v>342</v>
      </c>
      <c r="B2043" s="224" t="s">
        <v>343</v>
      </c>
      <c r="C2043" s="225" t="s">
        <v>150</v>
      </c>
      <c r="D2043" s="226">
        <v>4</v>
      </c>
      <c r="E2043" s="226">
        <v>0.15310000000000001</v>
      </c>
      <c r="F2043" s="226">
        <v>0.61240000000000006</v>
      </c>
      <c r="G2043" s="226">
        <v>0.50849997999999996</v>
      </c>
      <c r="H2043" s="226">
        <v>2.0339999199999999</v>
      </c>
      <c r="I2043" s="227" t="s">
        <v>87</v>
      </c>
      <c r="J2043" s="225" t="s">
        <v>102</v>
      </c>
      <c r="K2043" s="224" t="s">
        <v>2241</v>
      </c>
      <c r="L2043" s="129" t="str">
        <f t="shared" si="31"/>
        <v>005-00000249</v>
      </c>
    </row>
    <row r="2044" spans="1:12" hidden="1" x14ac:dyDescent="0.25">
      <c r="A2044" s="224" t="s">
        <v>360</v>
      </c>
      <c r="B2044" s="224" t="s">
        <v>361</v>
      </c>
      <c r="C2044" s="225" t="s">
        <v>150</v>
      </c>
      <c r="D2044" s="226">
        <v>4</v>
      </c>
      <c r="E2044" s="226">
        <v>0.12590000000000001</v>
      </c>
      <c r="F2044" s="226">
        <v>0.50360000000000005</v>
      </c>
      <c r="G2044" s="226">
        <v>0.42370000000000002</v>
      </c>
      <c r="H2044" s="226">
        <v>1.6947999999999999</v>
      </c>
      <c r="I2044" s="227" t="s">
        <v>87</v>
      </c>
      <c r="J2044" s="225" t="s">
        <v>102</v>
      </c>
      <c r="K2044" s="224" t="s">
        <v>2241</v>
      </c>
      <c r="L2044" s="129" t="str">
        <f t="shared" si="31"/>
        <v>005-00000249</v>
      </c>
    </row>
    <row r="2045" spans="1:12" hidden="1" x14ac:dyDescent="0.25">
      <c r="A2045" s="224" t="s">
        <v>1638</v>
      </c>
      <c r="B2045" s="224" t="s">
        <v>1639</v>
      </c>
      <c r="C2045" s="225" t="s">
        <v>150</v>
      </c>
      <c r="D2045" s="226">
        <v>2</v>
      </c>
      <c r="E2045" s="226">
        <v>7.6099999000000002E-2</v>
      </c>
      <c r="F2045" s="226">
        <v>0.15219999800000003</v>
      </c>
      <c r="G2045" s="226">
        <v>0.25420000999999998</v>
      </c>
      <c r="H2045" s="226">
        <v>0.50840001999999995</v>
      </c>
      <c r="I2045" s="227" t="s">
        <v>87</v>
      </c>
      <c r="J2045" s="225" t="s">
        <v>102</v>
      </c>
      <c r="K2045" s="224" t="s">
        <v>2241</v>
      </c>
      <c r="L2045" s="129" t="str">
        <f t="shared" si="31"/>
        <v>005-00000249</v>
      </c>
    </row>
    <row r="2046" spans="1:12" hidden="1" x14ac:dyDescent="0.25">
      <c r="A2046" s="224" t="s">
        <v>360</v>
      </c>
      <c r="B2046" s="224" t="s">
        <v>361</v>
      </c>
      <c r="C2046" s="225" t="s">
        <v>150</v>
      </c>
      <c r="D2046" s="226">
        <v>4</v>
      </c>
      <c r="E2046" s="226">
        <v>0.12590000000000001</v>
      </c>
      <c r="F2046" s="226">
        <v>0.50360000000000005</v>
      </c>
      <c r="G2046" s="226">
        <v>0.42370000000000002</v>
      </c>
      <c r="H2046" s="226">
        <v>1.6947999999999999</v>
      </c>
      <c r="I2046" s="227" t="s">
        <v>87</v>
      </c>
      <c r="J2046" s="225" t="s">
        <v>102</v>
      </c>
      <c r="K2046" s="224" t="s">
        <v>2258</v>
      </c>
      <c r="L2046" s="129" t="str">
        <f t="shared" si="31"/>
        <v>005-00000310</v>
      </c>
    </row>
    <row r="2047" spans="1:12" hidden="1" x14ac:dyDescent="0.25">
      <c r="A2047" s="224" t="s">
        <v>1638</v>
      </c>
      <c r="B2047" s="224" t="s">
        <v>1639</v>
      </c>
      <c r="C2047" s="225" t="s">
        <v>150</v>
      </c>
      <c r="D2047" s="226">
        <v>4</v>
      </c>
      <c r="E2047" s="226">
        <v>7.6099999000000002E-2</v>
      </c>
      <c r="F2047" s="226">
        <v>0.30439999600000006</v>
      </c>
      <c r="G2047" s="226">
        <v>0.25420000999999998</v>
      </c>
      <c r="H2047" s="226">
        <v>1.0168000399999999</v>
      </c>
      <c r="I2047" s="227" t="s">
        <v>87</v>
      </c>
      <c r="J2047" s="225" t="s">
        <v>102</v>
      </c>
      <c r="K2047" s="224" t="s">
        <v>2258</v>
      </c>
      <c r="L2047" s="129" t="str">
        <f t="shared" si="31"/>
        <v>005-00000310</v>
      </c>
    </row>
    <row r="2048" spans="1:12" hidden="1" x14ac:dyDescent="0.25">
      <c r="A2048" s="224" t="s">
        <v>331</v>
      </c>
      <c r="B2048" s="224" t="s">
        <v>332</v>
      </c>
      <c r="C2048" s="225" t="s">
        <v>150</v>
      </c>
      <c r="D2048" s="226">
        <v>1</v>
      </c>
      <c r="E2048" s="226">
        <v>1.5293999999999999</v>
      </c>
      <c r="F2048" s="226">
        <v>1.5294000000000003</v>
      </c>
      <c r="G2048" s="226">
        <v>5.0847001000000001</v>
      </c>
      <c r="H2048" s="226">
        <v>5.0847001000000009</v>
      </c>
      <c r="I2048" s="227" t="s">
        <v>87</v>
      </c>
      <c r="J2048" s="225" t="s">
        <v>102</v>
      </c>
      <c r="K2048" s="224" t="s">
        <v>2390</v>
      </c>
      <c r="L2048" s="129" t="str">
        <f t="shared" si="31"/>
        <v>005-00000313</v>
      </c>
    </row>
    <row r="2049" spans="1:12" hidden="1" x14ac:dyDescent="0.25">
      <c r="A2049" s="224" t="s">
        <v>329</v>
      </c>
      <c r="B2049" s="224" t="s">
        <v>330</v>
      </c>
      <c r="C2049" s="225" t="s">
        <v>150</v>
      </c>
      <c r="D2049" s="226">
        <v>1</v>
      </c>
      <c r="E2049" s="226">
        <v>1.9117</v>
      </c>
      <c r="F2049" s="226">
        <v>1.9116999999999995</v>
      </c>
      <c r="G2049" s="226">
        <v>6.3558998000000004</v>
      </c>
      <c r="H2049" s="226">
        <v>6.3558998000000004</v>
      </c>
      <c r="I2049" s="227" t="s">
        <v>87</v>
      </c>
      <c r="J2049" s="225" t="s">
        <v>102</v>
      </c>
      <c r="K2049" s="224" t="s">
        <v>2390</v>
      </c>
      <c r="L2049" s="129" t="str">
        <f t="shared" si="31"/>
        <v>005-00000313</v>
      </c>
    </row>
    <row r="2050" spans="1:12" hidden="1" x14ac:dyDescent="0.25">
      <c r="A2050" s="224" t="s">
        <v>1465</v>
      </c>
      <c r="B2050" s="224" t="s">
        <v>160</v>
      </c>
      <c r="C2050" s="225" t="s">
        <v>150</v>
      </c>
      <c r="D2050" s="226">
        <v>2</v>
      </c>
      <c r="E2050" s="226">
        <v>1.4021999999999999</v>
      </c>
      <c r="F2050" s="226">
        <v>2.8043999999999998</v>
      </c>
      <c r="G2050" s="226">
        <v>4.6609997999999999</v>
      </c>
      <c r="H2050" s="226">
        <v>9.3219995999999981</v>
      </c>
      <c r="I2050" s="227" t="s">
        <v>87</v>
      </c>
      <c r="J2050" s="225" t="s">
        <v>102</v>
      </c>
      <c r="K2050" s="224" t="s">
        <v>2390</v>
      </c>
      <c r="L2050" s="129" t="str">
        <f t="shared" si="31"/>
        <v>005-00000313</v>
      </c>
    </row>
    <row r="2051" spans="1:12" hidden="1" x14ac:dyDescent="0.25">
      <c r="A2051" s="224" t="s">
        <v>544</v>
      </c>
      <c r="B2051" s="224" t="s">
        <v>545</v>
      </c>
      <c r="C2051" s="225" t="s">
        <v>150</v>
      </c>
      <c r="D2051" s="226">
        <v>2</v>
      </c>
      <c r="E2051" s="226">
        <v>2.5007999000000001</v>
      </c>
      <c r="F2051" s="226">
        <v>5.001599800000001</v>
      </c>
      <c r="G2051" s="226">
        <v>8.4745998</v>
      </c>
      <c r="H2051" s="226">
        <v>16.9491996</v>
      </c>
      <c r="I2051" s="227" t="s">
        <v>87</v>
      </c>
      <c r="J2051" s="225" t="s">
        <v>102</v>
      </c>
      <c r="K2051" s="224" t="s">
        <v>2390</v>
      </c>
      <c r="L2051" s="129" t="str">
        <f t="shared" si="31"/>
        <v>005-00000313</v>
      </c>
    </row>
    <row r="2052" spans="1:12" hidden="1" x14ac:dyDescent="0.25">
      <c r="A2052" s="224" t="s">
        <v>227</v>
      </c>
      <c r="B2052" s="224" t="s">
        <v>194</v>
      </c>
      <c r="C2052" s="225" t="s">
        <v>88</v>
      </c>
      <c r="D2052" s="226">
        <v>1</v>
      </c>
      <c r="E2052" s="226">
        <v>1.6415</v>
      </c>
      <c r="F2052" s="226">
        <v>1.6414999999999997</v>
      </c>
      <c r="G2052" s="226">
        <v>5.4759001999999999</v>
      </c>
      <c r="H2052" s="226">
        <v>5.4759001999999999</v>
      </c>
      <c r="I2052" s="227" t="s">
        <v>87</v>
      </c>
      <c r="J2052" s="225" t="s">
        <v>102</v>
      </c>
      <c r="K2052" s="224" t="s">
        <v>2390</v>
      </c>
      <c r="L2052" s="129" t="str">
        <f t="shared" si="31"/>
        <v>005-00000313</v>
      </c>
    </row>
    <row r="2053" spans="1:12" hidden="1" x14ac:dyDescent="0.25">
      <c r="A2053" s="224" t="s">
        <v>1103</v>
      </c>
      <c r="B2053" s="224" t="s">
        <v>1104</v>
      </c>
      <c r="C2053" s="225" t="s">
        <v>150</v>
      </c>
      <c r="D2053" s="226">
        <v>2</v>
      </c>
      <c r="E2053" s="226">
        <v>5.3228998000000001</v>
      </c>
      <c r="F2053" s="226">
        <v>10.6457996</v>
      </c>
      <c r="G2053" s="226">
        <v>17.969999000000001</v>
      </c>
      <c r="H2053" s="226">
        <v>35.93999800000001</v>
      </c>
      <c r="I2053" s="227" t="s">
        <v>87</v>
      </c>
      <c r="J2053" s="225" t="s">
        <v>102</v>
      </c>
      <c r="K2053" s="224" t="s">
        <v>2389</v>
      </c>
      <c r="L2053" s="129" t="str">
        <f t="shared" si="31"/>
        <v>005-00000311</v>
      </c>
    </row>
    <row r="2054" spans="1:12" hidden="1" x14ac:dyDescent="0.25">
      <c r="A2054" s="224" t="s">
        <v>2183</v>
      </c>
      <c r="B2054" s="224" t="s">
        <v>2184</v>
      </c>
      <c r="C2054" s="225" t="s">
        <v>150</v>
      </c>
      <c r="D2054" s="226">
        <v>1</v>
      </c>
      <c r="E2054" s="226">
        <v>7.4555997999999999</v>
      </c>
      <c r="F2054" s="226">
        <v>7.455599799999999</v>
      </c>
      <c r="G2054" s="226">
        <v>25.17</v>
      </c>
      <c r="H2054" s="226">
        <v>25.17</v>
      </c>
      <c r="I2054" s="227" t="s">
        <v>87</v>
      </c>
      <c r="J2054" s="225" t="s">
        <v>102</v>
      </c>
      <c r="K2054" s="224" t="s">
        <v>2389</v>
      </c>
      <c r="L2054" s="129" t="str">
        <f t="shared" ref="L2054" si="32">CONCATENATE(J2054,"-",K2054)</f>
        <v>005-00000311</v>
      </c>
    </row>
    <row r="2055" spans="1:12" hidden="1" x14ac:dyDescent="0.25">
      <c r="A2055" s="80" t="s">
        <v>227</v>
      </c>
      <c r="B2055" s="80" t="s">
        <v>194</v>
      </c>
      <c r="C2055" s="81" t="s">
        <v>88</v>
      </c>
      <c r="D2055" s="82">
        <v>1</v>
      </c>
      <c r="E2055" s="82">
        <v>1.6415</v>
      </c>
      <c r="F2055" s="82">
        <v>1.6414999999999997</v>
      </c>
      <c r="G2055" s="82">
        <v>5.4759001999999999</v>
      </c>
      <c r="H2055" s="82">
        <v>5.4759001999999999</v>
      </c>
      <c r="I2055" s="83" t="s">
        <v>87</v>
      </c>
      <c r="J2055" s="81" t="s">
        <v>102</v>
      </c>
      <c r="K2055" s="80" t="s">
        <v>3077</v>
      </c>
      <c r="L2055" s="129" t="str">
        <f>CONCATENATE(J2055,"-",K2055)</f>
        <v>005-00000354</v>
      </c>
    </row>
    <row r="2056" spans="1:12" hidden="1" x14ac:dyDescent="0.25">
      <c r="A2056" s="80" t="s">
        <v>168</v>
      </c>
      <c r="B2056" s="80" t="s">
        <v>167</v>
      </c>
      <c r="C2056" s="81" t="s">
        <v>150</v>
      </c>
      <c r="D2056" s="82">
        <v>1</v>
      </c>
      <c r="E2056" s="82">
        <v>6.5415001000000004</v>
      </c>
      <c r="F2056" s="82">
        <v>6.5415001000000021</v>
      </c>
      <c r="G2056" s="82">
        <v>22.011998999999999</v>
      </c>
      <c r="H2056" s="82">
        <v>22.011998999999996</v>
      </c>
      <c r="I2056" s="83" t="s">
        <v>87</v>
      </c>
      <c r="J2056" s="81" t="s">
        <v>102</v>
      </c>
      <c r="K2056" s="80" t="s">
        <v>3056</v>
      </c>
      <c r="L2056" s="129" t="str">
        <f>CONCATENATE(J2056,"-",K2056)</f>
        <v>005-00000373</v>
      </c>
    </row>
    <row r="2057" spans="1:12" hidden="1" x14ac:dyDescent="0.25">
      <c r="A2057" s="80" t="s">
        <v>331</v>
      </c>
      <c r="B2057" s="80" t="s">
        <v>332</v>
      </c>
      <c r="C2057" s="81" t="s">
        <v>150</v>
      </c>
      <c r="D2057" s="82">
        <v>1</v>
      </c>
      <c r="E2057" s="82">
        <v>1.5293999999999999</v>
      </c>
      <c r="F2057" s="82">
        <v>1.5294000000000003</v>
      </c>
      <c r="G2057" s="82">
        <v>5.0847001000000001</v>
      </c>
      <c r="H2057" s="82">
        <v>5.0847001000000001</v>
      </c>
      <c r="I2057" s="83" t="s">
        <v>87</v>
      </c>
      <c r="J2057" s="81" t="s">
        <v>102</v>
      </c>
      <c r="K2057" s="80" t="s">
        <v>2241</v>
      </c>
      <c r="L2057" s="129" t="str">
        <f t="shared" ref="L2057:L2120" si="33">CONCATENATE(J2057,"-",K2057)</f>
        <v>005-00000249</v>
      </c>
    </row>
    <row r="2058" spans="1:12" hidden="1" x14ac:dyDescent="0.25">
      <c r="A2058" s="80" t="s">
        <v>329</v>
      </c>
      <c r="B2058" s="80" t="s">
        <v>330</v>
      </c>
      <c r="C2058" s="81" t="s">
        <v>150</v>
      </c>
      <c r="D2058" s="82">
        <v>1</v>
      </c>
      <c r="E2058" s="82">
        <v>1.9117</v>
      </c>
      <c r="F2058" s="82">
        <v>1.9116999999999995</v>
      </c>
      <c r="G2058" s="82">
        <v>6.3558998000000004</v>
      </c>
      <c r="H2058" s="82">
        <v>6.3558998000000004</v>
      </c>
      <c r="I2058" s="83" t="s">
        <v>87</v>
      </c>
      <c r="J2058" s="81" t="s">
        <v>102</v>
      </c>
      <c r="K2058" s="80" t="s">
        <v>2241</v>
      </c>
      <c r="L2058" s="129" t="str">
        <f t="shared" si="33"/>
        <v>005-00000249</v>
      </c>
    </row>
    <row r="2059" spans="1:12" hidden="1" x14ac:dyDescent="0.25">
      <c r="A2059" s="80" t="s">
        <v>309</v>
      </c>
      <c r="B2059" s="80" t="s">
        <v>310</v>
      </c>
      <c r="C2059" s="81" t="s">
        <v>150</v>
      </c>
      <c r="D2059" s="82">
        <v>2</v>
      </c>
      <c r="E2059" s="82">
        <v>0.89190000000000003</v>
      </c>
      <c r="F2059" s="82">
        <v>1.7838000000000001</v>
      </c>
      <c r="G2059" s="82">
        <v>2.9661</v>
      </c>
      <c r="H2059" s="82">
        <v>5.9322000000000017</v>
      </c>
      <c r="I2059" s="83" t="s">
        <v>87</v>
      </c>
      <c r="J2059" s="81" t="s">
        <v>102</v>
      </c>
      <c r="K2059" s="80" t="s">
        <v>2241</v>
      </c>
      <c r="L2059" s="129" t="str">
        <f t="shared" si="33"/>
        <v>005-00000249</v>
      </c>
    </row>
    <row r="2060" spans="1:12" hidden="1" x14ac:dyDescent="0.25">
      <c r="A2060" s="80" t="s">
        <v>342</v>
      </c>
      <c r="B2060" s="80" t="s">
        <v>343</v>
      </c>
      <c r="C2060" s="81" t="s">
        <v>150</v>
      </c>
      <c r="D2060" s="82">
        <v>4</v>
      </c>
      <c r="E2060" s="82">
        <v>0.15310000000000001</v>
      </c>
      <c r="F2060" s="82">
        <v>0.61240000000000006</v>
      </c>
      <c r="G2060" s="82">
        <v>0.50849997999999996</v>
      </c>
      <c r="H2060" s="82">
        <v>2.0339999199999999</v>
      </c>
      <c r="I2060" s="83" t="s">
        <v>87</v>
      </c>
      <c r="J2060" s="81" t="s">
        <v>102</v>
      </c>
      <c r="K2060" s="80" t="s">
        <v>2241</v>
      </c>
      <c r="L2060" s="129" t="str">
        <f t="shared" si="33"/>
        <v>005-00000249</v>
      </c>
    </row>
    <row r="2061" spans="1:12" hidden="1" x14ac:dyDescent="0.25">
      <c r="A2061" s="80" t="s">
        <v>360</v>
      </c>
      <c r="B2061" s="80" t="s">
        <v>361</v>
      </c>
      <c r="C2061" s="81" t="s">
        <v>150</v>
      </c>
      <c r="D2061" s="82">
        <v>4</v>
      </c>
      <c r="E2061" s="82">
        <v>0.12590000000000001</v>
      </c>
      <c r="F2061" s="82">
        <v>0.50360000000000005</v>
      </c>
      <c r="G2061" s="82">
        <v>0.42370000000000002</v>
      </c>
      <c r="H2061" s="82">
        <v>1.6948000000000001</v>
      </c>
      <c r="I2061" s="83" t="s">
        <v>87</v>
      </c>
      <c r="J2061" s="81" t="s">
        <v>102</v>
      </c>
      <c r="K2061" s="80" t="s">
        <v>2241</v>
      </c>
      <c r="L2061" s="129" t="str">
        <f t="shared" si="33"/>
        <v>005-00000249</v>
      </c>
    </row>
    <row r="2062" spans="1:12" hidden="1" x14ac:dyDescent="0.25">
      <c r="A2062" s="80" t="s">
        <v>1638</v>
      </c>
      <c r="B2062" s="80" t="s">
        <v>1639</v>
      </c>
      <c r="C2062" s="81" t="s">
        <v>150</v>
      </c>
      <c r="D2062" s="82">
        <v>2</v>
      </c>
      <c r="E2062" s="82">
        <v>7.6099999000000002E-2</v>
      </c>
      <c r="F2062" s="82">
        <v>0.15219999800000003</v>
      </c>
      <c r="G2062" s="82">
        <v>0.25420000999999998</v>
      </c>
      <c r="H2062" s="82">
        <v>0.50840001999999995</v>
      </c>
      <c r="I2062" s="83" t="s">
        <v>87</v>
      </c>
      <c r="J2062" s="81" t="s">
        <v>102</v>
      </c>
      <c r="K2062" s="80" t="s">
        <v>2241</v>
      </c>
      <c r="L2062" s="129" t="str">
        <f t="shared" si="33"/>
        <v>005-00000249</v>
      </c>
    </row>
    <row r="2063" spans="1:12" hidden="1" x14ac:dyDescent="0.25">
      <c r="A2063" s="80" t="s">
        <v>360</v>
      </c>
      <c r="B2063" s="80" t="s">
        <v>361</v>
      </c>
      <c r="C2063" s="81" t="s">
        <v>150</v>
      </c>
      <c r="D2063" s="82">
        <v>4</v>
      </c>
      <c r="E2063" s="82">
        <v>0.12590000000000001</v>
      </c>
      <c r="F2063" s="82">
        <v>0.50360000000000005</v>
      </c>
      <c r="G2063" s="82">
        <v>0.42370000000000002</v>
      </c>
      <c r="H2063" s="82">
        <v>1.6948000000000001</v>
      </c>
      <c r="I2063" s="83" t="s">
        <v>87</v>
      </c>
      <c r="J2063" s="81" t="s">
        <v>102</v>
      </c>
      <c r="K2063" s="80" t="s">
        <v>2258</v>
      </c>
      <c r="L2063" s="129" t="str">
        <f t="shared" si="33"/>
        <v>005-00000310</v>
      </c>
    </row>
    <row r="2064" spans="1:12" hidden="1" x14ac:dyDescent="0.25">
      <c r="A2064" s="80" t="s">
        <v>1638</v>
      </c>
      <c r="B2064" s="80" t="s">
        <v>1639</v>
      </c>
      <c r="C2064" s="81" t="s">
        <v>150</v>
      </c>
      <c r="D2064" s="82">
        <v>4</v>
      </c>
      <c r="E2064" s="82">
        <v>7.6099999000000002E-2</v>
      </c>
      <c r="F2064" s="82">
        <v>0.30439999600000006</v>
      </c>
      <c r="G2064" s="82">
        <v>0.25420000999999998</v>
      </c>
      <c r="H2064" s="82">
        <v>1.0168000399999999</v>
      </c>
      <c r="I2064" s="83" t="s">
        <v>87</v>
      </c>
      <c r="J2064" s="81" t="s">
        <v>102</v>
      </c>
      <c r="K2064" s="80" t="s">
        <v>2258</v>
      </c>
      <c r="L2064" s="129" t="str">
        <f t="shared" si="33"/>
        <v>005-00000310</v>
      </c>
    </row>
    <row r="2065" spans="1:12" hidden="1" x14ac:dyDescent="0.25">
      <c r="A2065" s="80" t="s">
        <v>331</v>
      </c>
      <c r="B2065" s="80" t="s">
        <v>332</v>
      </c>
      <c r="C2065" s="81" t="s">
        <v>150</v>
      </c>
      <c r="D2065" s="82">
        <v>1</v>
      </c>
      <c r="E2065" s="82">
        <v>1.5293999999999999</v>
      </c>
      <c r="F2065" s="82">
        <v>1.5294000000000003</v>
      </c>
      <c r="G2065" s="82">
        <v>5.0847001000000001</v>
      </c>
      <c r="H2065" s="82">
        <v>5.0847001000000001</v>
      </c>
      <c r="I2065" s="83" t="s">
        <v>87</v>
      </c>
      <c r="J2065" s="81" t="s">
        <v>102</v>
      </c>
      <c r="K2065" s="80" t="s">
        <v>2390</v>
      </c>
      <c r="L2065" s="89" t="str">
        <f t="shared" si="33"/>
        <v>005-00000313</v>
      </c>
    </row>
    <row r="2066" spans="1:12" hidden="1" x14ac:dyDescent="0.25">
      <c r="A2066" s="80" t="s">
        <v>329</v>
      </c>
      <c r="B2066" s="80" t="s">
        <v>330</v>
      </c>
      <c r="C2066" s="81" t="s">
        <v>150</v>
      </c>
      <c r="D2066" s="82">
        <v>1</v>
      </c>
      <c r="E2066" s="82">
        <v>1.9117</v>
      </c>
      <c r="F2066" s="82">
        <v>1.9116999999999995</v>
      </c>
      <c r="G2066" s="82">
        <v>6.3558998000000004</v>
      </c>
      <c r="H2066" s="82">
        <v>6.3558998000000004</v>
      </c>
      <c r="I2066" s="83" t="s">
        <v>87</v>
      </c>
      <c r="J2066" s="81" t="s">
        <v>102</v>
      </c>
      <c r="K2066" s="80" t="s">
        <v>2390</v>
      </c>
      <c r="L2066" s="129" t="str">
        <f t="shared" si="33"/>
        <v>005-00000313</v>
      </c>
    </row>
    <row r="2067" spans="1:12" hidden="1" x14ac:dyDescent="0.25">
      <c r="A2067" s="80" t="s">
        <v>1465</v>
      </c>
      <c r="B2067" s="80" t="s">
        <v>160</v>
      </c>
      <c r="C2067" s="81" t="s">
        <v>150</v>
      </c>
      <c r="D2067" s="82">
        <v>2</v>
      </c>
      <c r="E2067" s="82">
        <v>1.4021999999999999</v>
      </c>
      <c r="F2067" s="82">
        <v>2.8043999999999998</v>
      </c>
      <c r="G2067" s="82">
        <v>4.6609997999999999</v>
      </c>
      <c r="H2067" s="82">
        <v>9.3219995999999998</v>
      </c>
      <c r="I2067" s="83" t="s">
        <v>87</v>
      </c>
      <c r="J2067" s="81" t="s">
        <v>102</v>
      </c>
      <c r="K2067" s="80" t="s">
        <v>2390</v>
      </c>
      <c r="L2067" s="129" t="str">
        <f t="shared" si="33"/>
        <v>005-00000313</v>
      </c>
    </row>
    <row r="2068" spans="1:12" hidden="1" x14ac:dyDescent="0.25">
      <c r="A2068" s="80" t="s">
        <v>544</v>
      </c>
      <c r="B2068" s="80" t="s">
        <v>545</v>
      </c>
      <c r="C2068" s="81" t="s">
        <v>150</v>
      </c>
      <c r="D2068" s="82">
        <v>2</v>
      </c>
      <c r="E2068" s="82">
        <v>2.5007999000000001</v>
      </c>
      <c r="F2068" s="82">
        <v>5.001599800000001</v>
      </c>
      <c r="G2068" s="82">
        <v>8.4745998</v>
      </c>
      <c r="H2068" s="82">
        <v>16.9491996</v>
      </c>
      <c r="I2068" s="83" t="s">
        <v>87</v>
      </c>
      <c r="J2068" s="81" t="s">
        <v>102</v>
      </c>
      <c r="K2068" s="80" t="s">
        <v>2390</v>
      </c>
      <c r="L2068" s="129" t="str">
        <f t="shared" si="33"/>
        <v>005-00000313</v>
      </c>
    </row>
    <row r="2069" spans="1:12" hidden="1" x14ac:dyDescent="0.25">
      <c r="A2069" s="80" t="s">
        <v>227</v>
      </c>
      <c r="B2069" s="80" t="s">
        <v>194</v>
      </c>
      <c r="C2069" s="81" t="s">
        <v>88</v>
      </c>
      <c r="D2069" s="82">
        <v>1</v>
      </c>
      <c r="E2069" s="82">
        <v>1.6415</v>
      </c>
      <c r="F2069" s="82">
        <v>1.6414999999999997</v>
      </c>
      <c r="G2069" s="82">
        <v>5.4759001999999999</v>
      </c>
      <c r="H2069" s="82">
        <v>5.4759001999999999</v>
      </c>
      <c r="I2069" s="83" t="s">
        <v>87</v>
      </c>
      <c r="J2069" s="81" t="s">
        <v>102</v>
      </c>
      <c r="K2069" s="80" t="s">
        <v>2390</v>
      </c>
      <c r="L2069" s="129" t="str">
        <f t="shared" si="33"/>
        <v>005-00000313</v>
      </c>
    </row>
    <row r="2070" spans="1:12" hidden="1" x14ac:dyDescent="0.25">
      <c r="A2070" s="80" t="s">
        <v>1103</v>
      </c>
      <c r="B2070" s="80" t="s">
        <v>1104</v>
      </c>
      <c r="C2070" s="81" t="s">
        <v>150</v>
      </c>
      <c r="D2070" s="82">
        <v>2</v>
      </c>
      <c r="E2070" s="82">
        <v>5.3228998000000001</v>
      </c>
      <c r="F2070" s="82">
        <v>10.6457996</v>
      </c>
      <c r="G2070" s="82">
        <v>17.969999000000001</v>
      </c>
      <c r="H2070" s="82">
        <v>35.93999800000001</v>
      </c>
      <c r="I2070" s="83" t="s">
        <v>87</v>
      </c>
      <c r="J2070" s="81" t="s">
        <v>102</v>
      </c>
      <c r="K2070" s="80" t="s">
        <v>2389</v>
      </c>
      <c r="L2070" s="129" t="str">
        <f t="shared" si="33"/>
        <v>005-00000311</v>
      </c>
    </row>
    <row r="2071" spans="1:12" hidden="1" x14ac:dyDescent="0.25">
      <c r="A2071" s="80" t="s">
        <v>2183</v>
      </c>
      <c r="B2071" s="80" t="s">
        <v>2184</v>
      </c>
      <c r="C2071" s="81" t="s">
        <v>150</v>
      </c>
      <c r="D2071" s="82">
        <v>1</v>
      </c>
      <c r="E2071" s="82">
        <v>7.4555997999999999</v>
      </c>
      <c r="F2071" s="82">
        <v>7.4555997999999999</v>
      </c>
      <c r="G2071" s="82">
        <v>25.17</v>
      </c>
      <c r="H2071" s="82">
        <v>25.17</v>
      </c>
      <c r="I2071" s="83" t="s">
        <v>87</v>
      </c>
      <c r="J2071" s="81" t="s">
        <v>102</v>
      </c>
      <c r="K2071" s="80" t="s">
        <v>2389</v>
      </c>
      <c r="L2071" s="129" t="str">
        <f t="shared" si="33"/>
        <v>005-00000311</v>
      </c>
    </row>
    <row r="2072" spans="1:12" hidden="1" x14ac:dyDescent="0.25">
      <c r="A2072" s="80" t="s">
        <v>529</v>
      </c>
      <c r="B2072" s="80" t="s">
        <v>530</v>
      </c>
      <c r="C2072" s="81" t="s">
        <v>88</v>
      </c>
      <c r="D2072" s="82">
        <v>1</v>
      </c>
      <c r="E2072" s="82">
        <v>14.7882</v>
      </c>
      <c r="F2072" s="82">
        <v>14.788199999999996</v>
      </c>
      <c r="G2072" s="82">
        <v>49.75519899999999</v>
      </c>
      <c r="H2072" s="82">
        <v>49.75519899999999</v>
      </c>
      <c r="I2072" s="83" t="s">
        <v>87</v>
      </c>
      <c r="J2072" s="81" t="s">
        <v>102</v>
      </c>
      <c r="K2072" s="80" t="s">
        <v>596</v>
      </c>
      <c r="L2072" s="129" t="str">
        <f t="shared" si="33"/>
        <v>005-00000003</v>
      </c>
    </row>
    <row r="2073" spans="1:12" hidden="1" x14ac:dyDescent="0.25">
      <c r="A2073" s="80" t="s">
        <v>1041</v>
      </c>
      <c r="B2073" s="80" t="s">
        <v>1042</v>
      </c>
      <c r="C2073" s="81" t="s">
        <v>150</v>
      </c>
      <c r="D2073" s="82">
        <v>1</v>
      </c>
      <c r="E2073" s="82">
        <v>1.524</v>
      </c>
      <c r="F2073" s="82">
        <v>1.5239999999999998</v>
      </c>
      <c r="G2073" s="82">
        <v>5.0847001000000001</v>
      </c>
      <c r="H2073" s="82">
        <v>5.0847001000000001</v>
      </c>
      <c r="I2073" s="83" t="s">
        <v>87</v>
      </c>
      <c r="J2073" s="81" t="s">
        <v>102</v>
      </c>
      <c r="K2073" s="80" t="s">
        <v>596</v>
      </c>
      <c r="L2073" s="129" t="str">
        <f t="shared" si="33"/>
        <v>005-00000003</v>
      </c>
    </row>
    <row r="2074" spans="1:12" hidden="1" x14ac:dyDescent="0.25">
      <c r="A2074" s="80" t="s">
        <v>2183</v>
      </c>
      <c r="B2074" s="80" t="s">
        <v>2184</v>
      </c>
      <c r="C2074" s="81" t="s">
        <v>150</v>
      </c>
      <c r="D2074" s="82">
        <v>1</v>
      </c>
      <c r="E2074" s="82">
        <v>7.5444998999999999</v>
      </c>
      <c r="F2074" s="82">
        <v>7.5444998999999999</v>
      </c>
      <c r="G2074" s="82">
        <v>25.5</v>
      </c>
      <c r="H2074" s="82">
        <v>25.5</v>
      </c>
      <c r="I2074" s="83" t="s">
        <v>87</v>
      </c>
      <c r="J2074" s="81" t="s">
        <v>102</v>
      </c>
      <c r="K2074" s="80" t="s">
        <v>1517</v>
      </c>
      <c r="L2074" s="129" t="str">
        <f t="shared" si="33"/>
        <v>005-00000178</v>
      </c>
    </row>
    <row r="2075" spans="1:12" hidden="1" x14ac:dyDescent="0.25">
      <c r="A2075" s="80" t="s">
        <v>1044</v>
      </c>
      <c r="B2075" s="80" t="s">
        <v>1045</v>
      </c>
      <c r="C2075" s="81" t="s">
        <v>153</v>
      </c>
      <c r="D2075" s="82">
        <v>1</v>
      </c>
      <c r="E2075" s="82">
        <v>11.311199999999999</v>
      </c>
      <c r="F2075" s="82">
        <v>11.311199999999999</v>
      </c>
      <c r="G2075" s="82">
        <v>38.130001</v>
      </c>
      <c r="H2075" s="82">
        <v>38.130001000000007</v>
      </c>
      <c r="I2075" s="83" t="s">
        <v>87</v>
      </c>
      <c r="J2075" s="81" t="s">
        <v>102</v>
      </c>
      <c r="K2075" s="80" t="s">
        <v>1517</v>
      </c>
      <c r="L2075" s="129" t="str">
        <f t="shared" si="33"/>
        <v>005-00000178</v>
      </c>
    </row>
    <row r="2076" spans="1:12" hidden="1" x14ac:dyDescent="0.25">
      <c r="A2076" s="80" t="s">
        <v>3152</v>
      </c>
      <c r="B2076" s="80" t="s">
        <v>3153</v>
      </c>
      <c r="C2076" s="81" t="s">
        <v>150</v>
      </c>
      <c r="D2076" s="82">
        <v>1</v>
      </c>
      <c r="E2076" s="82">
        <v>5.0282001000000003</v>
      </c>
      <c r="F2076" s="82">
        <v>5.0282001000000012</v>
      </c>
      <c r="G2076" s="82">
        <v>16.950001</v>
      </c>
      <c r="H2076" s="82">
        <v>16.950001</v>
      </c>
      <c r="I2076" s="83" t="s">
        <v>87</v>
      </c>
      <c r="J2076" s="81" t="s">
        <v>102</v>
      </c>
      <c r="K2076" s="80" t="s">
        <v>2124</v>
      </c>
      <c r="L2076" s="129" t="str">
        <f t="shared" si="33"/>
        <v>005-00000275</v>
      </c>
    </row>
    <row r="2077" spans="1:12" hidden="1" x14ac:dyDescent="0.25">
      <c r="A2077" s="80" t="s">
        <v>3154</v>
      </c>
      <c r="B2077" s="80" t="s">
        <v>164</v>
      </c>
      <c r="C2077" s="81" t="s">
        <v>150</v>
      </c>
      <c r="D2077" s="82">
        <v>1</v>
      </c>
      <c r="E2077" s="82">
        <v>3.2527001000000002</v>
      </c>
      <c r="F2077" s="82">
        <v>3.2527000999999998</v>
      </c>
      <c r="G2077" s="82">
        <v>11.02</v>
      </c>
      <c r="H2077" s="82">
        <v>11.02</v>
      </c>
      <c r="I2077" s="83" t="s">
        <v>87</v>
      </c>
      <c r="J2077" s="81" t="s">
        <v>102</v>
      </c>
      <c r="K2077" s="80" t="s">
        <v>3155</v>
      </c>
      <c r="L2077" s="129" t="str">
        <f t="shared" si="33"/>
        <v>005-00000388</v>
      </c>
    </row>
    <row r="2078" spans="1:12" hidden="1" x14ac:dyDescent="0.25">
      <c r="A2078" s="80" t="s">
        <v>1028</v>
      </c>
      <c r="B2078" s="80" t="s">
        <v>1029</v>
      </c>
      <c r="C2078" s="81" t="s">
        <v>150</v>
      </c>
      <c r="D2078" s="82">
        <v>1</v>
      </c>
      <c r="E2078" s="82">
        <v>1.5276999</v>
      </c>
      <c r="F2078" s="82">
        <v>1.5276999</v>
      </c>
      <c r="G2078" s="82">
        <v>5.0847001000000001</v>
      </c>
      <c r="H2078" s="82">
        <v>5.0847001000000001</v>
      </c>
      <c r="I2078" s="83" t="s">
        <v>87</v>
      </c>
      <c r="J2078" s="81" t="s">
        <v>102</v>
      </c>
      <c r="K2078" s="80" t="s">
        <v>3155</v>
      </c>
      <c r="L2078" s="129" t="str">
        <f t="shared" si="33"/>
        <v>005-00000388</v>
      </c>
    </row>
    <row r="2079" spans="1:12" hidden="1" x14ac:dyDescent="0.25">
      <c r="A2079" s="80" t="s">
        <v>529</v>
      </c>
      <c r="B2079" s="80" t="s">
        <v>530</v>
      </c>
      <c r="C2079" s="81" t="s">
        <v>88</v>
      </c>
      <c r="D2079" s="82">
        <v>1</v>
      </c>
      <c r="E2079" s="82">
        <v>14.7882</v>
      </c>
      <c r="F2079" s="82">
        <v>14.788199999999996</v>
      </c>
      <c r="G2079" s="82">
        <v>49.75519899999999</v>
      </c>
      <c r="H2079" s="82">
        <v>49.75519899999999</v>
      </c>
      <c r="I2079" s="83" t="s">
        <v>87</v>
      </c>
      <c r="J2079" s="81" t="s">
        <v>102</v>
      </c>
      <c r="K2079" s="80" t="s">
        <v>3155</v>
      </c>
      <c r="L2079" s="129" t="str">
        <f t="shared" si="33"/>
        <v>005-00000388</v>
      </c>
    </row>
    <row r="2080" spans="1:12" hidden="1" x14ac:dyDescent="0.25">
      <c r="A2080" s="80" t="s">
        <v>2412</v>
      </c>
      <c r="B2080" s="80" t="s">
        <v>2413</v>
      </c>
      <c r="C2080" s="81" t="s">
        <v>150</v>
      </c>
      <c r="D2080" s="82">
        <v>1</v>
      </c>
      <c r="E2080" s="82">
        <v>27.466100999999998</v>
      </c>
      <c r="F2080" s="82">
        <v>27.466100999999998</v>
      </c>
      <c r="G2080" s="82">
        <v>93.220000999999996</v>
      </c>
      <c r="H2080" s="82">
        <v>93.220000999999968</v>
      </c>
      <c r="I2080" s="83" t="s">
        <v>87</v>
      </c>
      <c r="J2080" s="81" t="s">
        <v>102</v>
      </c>
      <c r="K2080" s="80" t="s">
        <v>3155</v>
      </c>
      <c r="L2080" s="129" t="str">
        <f t="shared" si="33"/>
        <v>005-00000388</v>
      </c>
    </row>
    <row r="2081" spans="1:12" hidden="1" x14ac:dyDescent="0.25">
      <c r="A2081" s="80" t="s">
        <v>1620</v>
      </c>
      <c r="B2081" s="80" t="s">
        <v>1621</v>
      </c>
      <c r="C2081" s="81" t="s">
        <v>153</v>
      </c>
      <c r="D2081" s="82">
        <v>1</v>
      </c>
      <c r="E2081" s="82">
        <v>29.963100000000001</v>
      </c>
      <c r="F2081" s="82">
        <v>29.963099999999994</v>
      </c>
      <c r="G2081" s="82">
        <v>101.6949</v>
      </c>
      <c r="H2081" s="82">
        <v>101.69489999999998</v>
      </c>
      <c r="I2081" s="83" t="s">
        <v>87</v>
      </c>
      <c r="J2081" s="81" t="s">
        <v>102</v>
      </c>
      <c r="K2081" s="80" t="s">
        <v>2390</v>
      </c>
      <c r="L2081" s="129" t="str">
        <f t="shared" si="33"/>
        <v>005-00000313</v>
      </c>
    </row>
    <row r="2082" spans="1:12" hidden="1" x14ac:dyDescent="0.25">
      <c r="A2082" s="80" t="s">
        <v>1622</v>
      </c>
      <c r="B2082" s="80" t="s">
        <v>1623</v>
      </c>
      <c r="C2082" s="81" t="s">
        <v>153</v>
      </c>
      <c r="D2082" s="82">
        <v>1</v>
      </c>
      <c r="E2082" s="82">
        <v>27.466200000000001</v>
      </c>
      <c r="F2082" s="82">
        <v>27.466200000000004</v>
      </c>
      <c r="G2082" s="82">
        <v>93.220298999999997</v>
      </c>
      <c r="H2082" s="82">
        <v>93.220298999999997</v>
      </c>
      <c r="I2082" s="83" t="s">
        <v>87</v>
      </c>
      <c r="J2082" s="81" t="s">
        <v>102</v>
      </c>
      <c r="K2082" s="80" t="s">
        <v>2390</v>
      </c>
      <c r="L2082" s="129" t="str">
        <f t="shared" si="33"/>
        <v>005-00000313</v>
      </c>
    </row>
    <row r="2083" spans="1:12" hidden="1" x14ac:dyDescent="0.25">
      <c r="A2083" s="80" t="s">
        <v>1604</v>
      </c>
      <c r="B2083" s="80" t="s">
        <v>1605</v>
      </c>
      <c r="C2083" s="81" t="s">
        <v>153</v>
      </c>
      <c r="D2083" s="82">
        <v>1</v>
      </c>
      <c r="E2083" s="82">
        <v>34.957000999999998</v>
      </c>
      <c r="F2083" s="82">
        <v>34.957000999999998</v>
      </c>
      <c r="G2083" s="82">
        <v>118.64409999999999</v>
      </c>
      <c r="H2083" s="82">
        <v>118.64410000000002</v>
      </c>
      <c r="I2083" s="83" t="s">
        <v>87</v>
      </c>
      <c r="J2083" s="81" t="s">
        <v>102</v>
      </c>
      <c r="K2083" s="80" t="s">
        <v>2390</v>
      </c>
      <c r="L2083" s="129" t="str">
        <f t="shared" si="33"/>
        <v>005-00000313</v>
      </c>
    </row>
    <row r="2084" spans="1:12" hidden="1" x14ac:dyDescent="0.25">
      <c r="A2084" s="80" t="s">
        <v>1626</v>
      </c>
      <c r="B2084" s="80" t="s">
        <v>1627</v>
      </c>
      <c r="C2084" s="81" t="s">
        <v>153</v>
      </c>
      <c r="D2084" s="82">
        <v>1</v>
      </c>
      <c r="E2084" s="82">
        <v>7.4907998999999998</v>
      </c>
      <c r="F2084" s="82">
        <v>7.4907999000000007</v>
      </c>
      <c r="G2084" s="82">
        <v>25.4237</v>
      </c>
      <c r="H2084" s="82">
        <v>25.423700000000004</v>
      </c>
      <c r="I2084" s="83" t="s">
        <v>87</v>
      </c>
      <c r="J2084" s="81" t="s">
        <v>102</v>
      </c>
      <c r="K2084" s="80" t="s">
        <v>2390</v>
      </c>
      <c r="L2084" s="129" t="str">
        <f t="shared" si="33"/>
        <v>005-00000313</v>
      </c>
    </row>
    <row r="2085" spans="1:12" hidden="1" x14ac:dyDescent="0.25">
      <c r="A2085" s="80" t="s">
        <v>1624</v>
      </c>
      <c r="B2085" s="80" t="s">
        <v>1625</v>
      </c>
      <c r="C2085" s="81" t="s">
        <v>153</v>
      </c>
      <c r="D2085" s="82">
        <v>1</v>
      </c>
      <c r="E2085" s="82">
        <v>11.236200000000002</v>
      </c>
      <c r="F2085" s="82">
        <v>11.236199999999998</v>
      </c>
      <c r="G2085" s="82">
        <v>38.135601000000001</v>
      </c>
      <c r="H2085" s="82">
        <v>38.135601000000001</v>
      </c>
      <c r="I2085" s="83" t="s">
        <v>87</v>
      </c>
      <c r="J2085" s="81" t="s">
        <v>102</v>
      </c>
      <c r="K2085" s="80" t="s">
        <v>2390</v>
      </c>
      <c r="L2085" s="129" t="str">
        <f t="shared" si="33"/>
        <v>005-00000313</v>
      </c>
    </row>
    <row r="2086" spans="1:12" hidden="1" x14ac:dyDescent="0.25">
      <c r="A2086" s="80" t="s">
        <v>1628</v>
      </c>
      <c r="B2086" s="80" t="s">
        <v>1629</v>
      </c>
      <c r="C2086" s="81" t="s">
        <v>153</v>
      </c>
      <c r="D2086" s="82">
        <v>1</v>
      </c>
      <c r="E2086" s="82">
        <v>3.7454000000000001</v>
      </c>
      <c r="F2086" s="82">
        <v>3.7453999999999996</v>
      </c>
      <c r="G2086" s="82">
        <v>12.7119</v>
      </c>
      <c r="H2086" s="82">
        <v>12.711900000000004</v>
      </c>
      <c r="I2086" s="83" t="s">
        <v>87</v>
      </c>
      <c r="J2086" s="81" t="s">
        <v>102</v>
      </c>
      <c r="K2086" s="80" t="s">
        <v>2390</v>
      </c>
      <c r="L2086" s="129" t="str">
        <f t="shared" si="33"/>
        <v>005-00000313</v>
      </c>
    </row>
    <row r="2087" spans="1:12" hidden="1" x14ac:dyDescent="0.25">
      <c r="A2087" s="80" t="s">
        <v>2155</v>
      </c>
      <c r="B2087" s="80" t="s">
        <v>2156</v>
      </c>
      <c r="C2087" s="81" t="s">
        <v>150</v>
      </c>
      <c r="D2087" s="82">
        <v>1</v>
      </c>
      <c r="E2087" s="82">
        <v>11.9224</v>
      </c>
      <c r="F2087" s="82">
        <v>11.922399999999998</v>
      </c>
      <c r="G2087" s="82">
        <v>40.678001000000002</v>
      </c>
      <c r="H2087" s="82">
        <v>40.678001000000002</v>
      </c>
      <c r="I2087" s="83" t="s">
        <v>87</v>
      </c>
      <c r="J2087" s="81" t="s">
        <v>102</v>
      </c>
      <c r="K2087" s="80" t="s">
        <v>2390</v>
      </c>
      <c r="L2087" s="129" t="str">
        <f t="shared" si="33"/>
        <v>005-00000313</v>
      </c>
    </row>
    <row r="2088" spans="1:12" hidden="1" x14ac:dyDescent="0.25">
      <c r="A2088" s="80" t="s">
        <v>1613</v>
      </c>
      <c r="B2088" s="80" t="s">
        <v>1614</v>
      </c>
      <c r="C2088" s="81" t="s">
        <v>153</v>
      </c>
      <c r="D2088" s="82">
        <v>1</v>
      </c>
      <c r="E2088" s="82">
        <v>21.2239</v>
      </c>
      <c r="F2088" s="82">
        <v>21.223899999999993</v>
      </c>
      <c r="G2088" s="82">
        <v>72.033896999999996</v>
      </c>
      <c r="H2088" s="82">
        <v>72.033896999999996</v>
      </c>
      <c r="I2088" s="83" t="s">
        <v>87</v>
      </c>
      <c r="J2088" s="81" t="s">
        <v>102</v>
      </c>
      <c r="K2088" s="80" t="s">
        <v>2390</v>
      </c>
      <c r="L2088" s="129" t="str">
        <f t="shared" si="33"/>
        <v>005-00000313</v>
      </c>
    </row>
    <row r="2089" spans="1:12" hidden="1" x14ac:dyDescent="0.25">
      <c r="A2089" s="80" t="s">
        <v>2070</v>
      </c>
      <c r="B2089" s="80" t="s">
        <v>2071</v>
      </c>
      <c r="C2089" s="81" t="s">
        <v>153</v>
      </c>
      <c r="D2089" s="82">
        <v>1</v>
      </c>
      <c r="E2089" s="82">
        <v>36.205502000000003</v>
      </c>
      <c r="F2089" s="82">
        <v>36.205501999999996</v>
      </c>
      <c r="G2089" s="82">
        <v>122.8813</v>
      </c>
      <c r="H2089" s="82">
        <v>122.88129999999997</v>
      </c>
      <c r="I2089" s="83" t="s">
        <v>87</v>
      </c>
      <c r="J2089" s="81" t="s">
        <v>102</v>
      </c>
      <c r="K2089" s="80" t="s">
        <v>2390</v>
      </c>
      <c r="L2089" s="129" t="str">
        <f t="shared" si="33"/>
        <v>005-00000313</v>
      </c>
    </row>
    <row r="2090" spans="1:12" hidden="1" x14ac:dyDescent="0.25">
      <c r="A2090" s="80" t="s">
        <v>1611</v>
      </c>
      <c r="B2090" s="80" t="s">
        <v>1612</v>
      </c>
      <c r="C2090" s="81" t="s">
        <v>150</v>
      </c>
      <c r="D2090" s="82">
        <v>1</v>
      </c>
      <c r="E2090" s="82">
        <v>64.079498000000001</v>
      </c>
      <c r="F2090" s="82">
        <v>64.079498000000015</v>
      </c>
      <c r="G2090" s="82">
        <v>220.33900000000003</v>
      </c>
      <c r="H2090" s="82">
        <v>220.33900000000006</v>
      </c>
      <c r="I2090" s="83" t="s">
        <v>87</v>
      </c>
      <c r="J2090" s="81" t="s">
        <v>102</v>
      </c>
      <c r="K2090" s="80" t="s">
        <v>2390</v>
      </c>
      <c r="L2090" s="129" t="str">
        <f t="shared" si="33"/>
        <v>005-00000313</v>
      </c>
    </row>
    <row r="2091" spans="1:12" hidden="1" x14ac:dyDescent="0.25">
      <c r="A2091" s="80" t="s">
        <v>2119</v>
      </c>
      <c r="B2091" s="80" t="s">
        <v>2120</v>
      </c>
      <c r="C2091" s="81" t="s">
        <v>226</v>
      </c>
      <c r="D2091" s="82">
        <v>1</v>
      </c>
      <c r="E2091" s="82">
        <v>54.932400000000001</v>
      </c>
      <c r="F2091" s="82">
        <v>54.932400000000008</v>
      </c>
      <c r="G2091" s="82">
        <v>186.44069999999999</v>
      </c>
      <c r="H2091" s="82">
        <v>186.44070000000002</v>
      </c>
      <c r="I2091" s="83" t="s">
        <v>87</v>
      </c>
      <c r="J2091" s="81" t="s">
        <v>102</v>
      </c>
      <c r="K2091" s="80" t="s">
        <v>2390</v>
      </c>
      <c r="L2091" s="129" t="str">
        <f t="shared" si="33"/>
        <v>005-00000313</v>
      </c>
    </row>
    <row r="2092" spans="1:12" hidden="1" x14ac:dyDescent="0.25">
      <c r="A2092" s="80" t="s">
        <v>3239</v>
      </c>
      <c r="B2092" s="80" t="s">
        <v>3240</v>
      </c>
      <c r="C2092" s="81" t="s">
        <v>226</v>
      </c>
      <c r="D2092" s="82">
        <v>1</v>
      </c>
      <c r="E2092" s="82">
        <v>29.963100000000001</v>
      </c>
      <c r="F2092" s="82">
        <v>29.963099999999994</v>
      </c>
      <c r="G2092" s="82">
        <v>101.6949</v>
      </c>
      <c r="H2092" s="82">
        <v>101.69489999999998</v>
      </c>
      <c r="I2092" s="83" t="s">
        <v>87</v>
      </c>
      <c r="J2092" s="81" t="s">
        <v>102</v>
      </c>
      <c r="K2092" s="80" t="s">
        <v>2390</v>
      </c>
      <c r="L2092" s="129" t="str">
        <f t="shared" si="33"/>
        <v>005-00000313</v>
      </c>
    </row>
    <row r="2093" spans="1:12" hidden="1" x14ac:dyDescent="0.25">
      <c r="A2093" s="130" t="s">
        <v>1082</v>
      </c>
      <c r="B2093" s="130" t="s">
        <v>1083</v>
      </c>
      <c r="C2093" s="132" t="s">
        <v>150</v>
      </c>
      <c r="D2093" s="129">
        <v>1</v>
      </c>
      <c r="E2093" s="129">
        <v>55.938702000000006</v>
      </c>
      <c r="F2093" s="129">
        <v>55.938702000000006</v>
      </c>
      <c r="G2093" s="129">
        <v>190.67798999999999</v>
      </c>
      <c r="H2093" s="129">
        <v>190.67798999999999</v>
      </c>
      <c r="I2093" s="131" t="s">
        <v>87</v>
      </c>
      <c r="J2093" s="132" t="s">
        <v>102</v>
      </c>
      <c r="K2093" s="130" t="s">
        <v>3241</v>
      </c>
      <c r="L2093" s="129" t="str">
        <f t="shared" si="33"/>
        <v>005-00000427</v>
      </c>
    </row>
    <row r="2094" spans="1:12" hidden="1" x14ac:dyDescent="0.25">
      <c r="A2094" s="130" t="s">
        <v>1082</v>
      </c>
      <c r="B2094" s="130" t="s">
        <v>1083</v>
      </c>
      <c r="C2094" s="132" t="s">
        <v>150</v>
      </c>
      <c r="D2094" s="129">
        <v>1</v>
      </c>
      <c r="E2094" s="129">
        <v>55.938702000000006</v>
      </c>
      <c r="F2094" s="129">
        <v>55.938702000000006</v>
      </c>
      <c r="G2094" s="129">
        <v>190.67798999999999</v>
      </c>
      <c r="H2094" s="129">
        <v>190.67798999999999</v>
      </c>
      <c r="I2094" s="131" t="s">
        <v>87</v>
      </c>
      <c r="J2094" s="132" t="s">
        <v>102</v>
      </c>
      <c r="K2094" s="130" t="s">
        <v>3242</v>
      </c>
      <c r="L2094" s="129" t="str">
        <f t="shared" si="33"/>
        <v>005-00000428</v>
      </c>
    </row>
    <row r="2095" spans="1:12" hidden="1" x14ac:dyDescent="0.25">
      <c r="A2095" s="130" t="s">
        <v>1082</v>
      </c>
      <c r="B2095" s="130" t="s">
        <v>1083</v>
      </c>
      <c r="C2095" s="132" t="s">
        <v>150</v>
      </c>
      <c r="D2095" s="129">
        <v>1</v>
      </c>
      <c r="E2095" s="129">
        <v>55.938702000000006</v>
      </c>
      <c r="F2095" s="129">
        <v>55.938702000000006</v>
      </c>
      <c r="G2095" s="129">
        <v>190.67798999999999</v>
      </c>
      <c r="H2095" s="129">
        <v>190.67798999999999</v>
      </c>
      <c r="I2095" s="131" t="s">
        <v>87</v>
      </c>
      <c r="J2095" s="132" t="s">
        <v>102</v>
      </c>
      <c r="K2095" s="130" t="s">
        <v>3243</v>
      </c>
      <c r="L2095" s="129" t="str">
        <f t="shared" si="33"/>
        <v>005-00000452</v>
      </c>
    </row>
    <row r="2096" spans="1:12" hidden="1" x14ac:dyDescent="0.25">
      <c r="A2096" s="130" t="s">
        <v>1082</v>
      </c>
      <c r="B2096" s="130" t="s">
        <v>1083</v>
      </c>
      <c r="C2096" s="132" t="s">
        <v>150</v>
      </c>
      <c r="D2096" s="129">
        <v>1</v>
      </c>
      <c r="E2096" s="129">
        <v>55.938702000000006</v>
      </c>
      <c r="F2096" s="129">
        <v>55.938702000000006</v>
      </c>
      <c r="G2096" s="129">
        <v>190.67798999999999</v>
      </c>
      <c r="H2096" s="129">
        <v>190.67798999999999</v>
      </c>
      <c r="I2096" s="131" t="s">
        <v>87</v>
      </c>
      <c r="J2096" s="132" t="s">
        <v>102</v>
      </c>
      <c r="K2096" s="130" t="s">
        <v>3244</v>
      </c>
      <c r="L2096" s="129" t="str">
        <f t="shared" si="33"/>
        <v>005-00000426</v>
      </c>
    </row>
    <row r="2097" spans="1:12" hidden="1" x14ac:dyDescent="0.25">
      <c r="A2097" s="130" t="s">
        <v>1082</v>
      </c>
      <c r="B2097" s="130" t="s">
        <v>1083</v>
      </c>
      <c r="C2097" s="132" t="s">
        <v>150</v>
      </c>
      <c r="D2097" s="129">
        <v>1</v>
      </c>
      <c r="E2097" s="129">
        <v>55.938702000000006</v>
      </c>
      <c r="F2097" s="129">
        <v>55.938702000000006</v>
      </c>
      <c r="G2097" s="129">
        <v>190.67798999999999</v>
      </c>
      <c r="H2097" s="129">
        <v>190.67798999999999</v>
      </c>
      <c r="I2097" s="131" t="s">
        <v>87</v>
      </c>
      <c r="J2097" s="132" t="s">
        <v>102</v>
      </c>
      <c r="K2097" s="130" t="s">
        <v>3245</v>
      </c>
      <c r="L2097" s="129" t="str">
        <f t="shared" si="33"/>
        <v>005-00000435</v>
      </c>
    </row>
    <row r="2098" spans="1:12" hidden="1" x14ac:dyDescent="0.25">
      <c r="A2098" s="130" t="s">
        <v>1082</v>
      </c>
      <c r="B2098" s="130" t="s">
        <v>1083</v>
      </c>
      <c r="C2098" s="132" t="s">
        <v>150</v>
      </c>
      <c r="D2098" s="129">
        <v>1</v>
      </c>
      <c r="E2098" s="129">
        <v>55.938702000000006</v>
      </c>
      <c r="F2098" s="129">
        <v>55.938702000000006</v>
      </c>
      <c r="G2098" s="129">
        <v>190.67798999999999</v>
      </c>
      <c r="H2098" s="129">
        <v>190.67798999999999</v>
      </c>
      <c r="I2098" s="131" t="s">
        <v>87</v>
      </c>
      <c r="J2098" s="132" t="s">
        <v>102</v>
      </c>
      <c r="K2098" s="130" t="s">
        <v>3246</v>
      </c>
      <c r="L2098" s="129" t="str">
        <f t="shared" si="33"/>
        <v>005-00000429</v>
      </c>
    </row>
    <row r="2099" spans="1:12" hidden="1" x14ac:dyDescent="0.25">
      <c r="A2099" s="130" t="s">
        <v>1082</v>
      </c>
      <c r="B2099" s="130" t="s">
        <v>1083</v>
      </c>
      <c r="C2099" s="132" t="s">
        <v>150</v>
      </c>
      <c r="D2099" s="129">
        <v>1</v>
      </c>
      <c r="E2099" s="129">
        <v>55.938702000000006</v>
      </c>
      <c r="F2099" s="129">
        <v>55.938702000000006</v>
      </c>
      <c r="G2099" s="129">
        <v>190.67798999999999</v>
      </c>
      <c r="H2099" s="129">
        <v>190.67798999999999</v>
      </c>
      <c r="I2099" s="131" t="s">
        <v>87</v>
      </c>
      <c r="J2099" s="132" t="s">
        <v>102</v>
      </c>
      <c r="K2099" s="130" t="s">
        <v>3247</v>
      </c>
      <c r="L2099" s="129" t="str">
        <f t="shared" si="33"/>
        <v>005-00000432</v>
      </c>
    </row>
    <row r="2100" spans="1:12" hidden="1" x14ac:dyDescent="0.25">
      <c r="A2100" s="130" t="s">
        <v>1082</v>
      </c>
      <c r="B2100" s="130" t="s">
        <v>1083</v>
      </c>
      <c r="C2100" s="132" t="s">
        <v>150</v>
      </c>
      <c r="D2100" s="129">
        <v>1</v>
      </c>
      <c r="E2100" s="129">
        <v>55.938702000000006</v>
      </c>
      <c r="F2100" s="129">
        <v>55.938702000000006</v>
      </c>
      <c r="G2100" s="129">
        <v>190.67798999999999</v>
      </c>
      <c r="H2100" s="129">
        <v>190.67798999999999</v>
      </c>
      <c r="I2100" s="131" t="s">
        <v>87</v>
      </c>
      <c r="J2100" s="132" t="s">
        <v>102</v>
      </c>
      <c r="K2100" s="130" t="s">
        <v>3248</v>
      </c>
      <c r="L2100" s="129" t="str">
        <f t="shared" si="33"/>
        <v>005-00000453</v>
      </c>
    </row>
    <row r="2101" spans="1:12" hidden="1" x14ac:dyDescent="0.25">
      <c r="A2101" s="130" t="s">
        <v>577</v>
      </c>
      <c r="B2101" s="130" t="s">
        <v>578</v>
      </c>
      <c r="C2101" s="132" t="s">
        <v>150</v>
      </c>
      <c r="D2101" s="129">
        <v>1</v>
      </c>
      <c r="E2101" s="129">
        <v>73.270797999999999</v>
      </c>
      <c r="F2101" s="129">
        <v>73.270797999999999</v>
      </c>
      <c r="G2101" s="129">
        <v>250</v>
      </c>
      <c r="H2101" s="129">
        <v>250</v>
      </c>
      <c r="I2101" s="131" t="s">
        <v>87</v>
      </c>
      <c r="J2101" s="132" t="s">
        <v>102</v>
      </c>
      <c r="K2101" s="130" t="s">
        <v>3246</v>
      </c>
      <c r="L2101" s="129" t="str">
        <f t="shared" si="33"/>
        <v>005-00000429</v>
      </c>
    </row>
    <row r="2102" spans="1:12" hidden="1" x14ac:dyDescent="0.25">
      <c r="A2102" s="130" t="s">
        <v>577</v>
      </c>
      <c r="B2102" s="130" t="s">
        <v>578</v>
      </c>
      <c r="C2102" s="132" t="s">
        <v>150</v>
      </c>
      <c r="D2102" s="129">
        <v>1</v>
      </c>
      <c r="E2102" s="129">
        <v>64.578002999999995</v>
      </c>
      <c r="F2102" s="129">
        <v>64.578002999999995</v>
      </c>
      <c r="G2102" s="129">
        <v>220.34</v>
      </c>
      <c r="H2102" s="129">
        <v>220.34</v>
      </c>
      <c r="I2102" s="131" t="s">
        <v>87</v>
      </c>
      <c r="J2102" s="132" t="s">
        <v>102</v>
      </c>
      <c r="K2102" s="130" t="s">
        <v>3243</v>
      </c>
      <c r="L2102" s="129" t="str">
        <f t="shared" si="33"/>
        <v>005-00000452</v>
      </c>
    </row>
    <row r="2103" spans="1:12" hidden="1" x14ac:dyDescent="0.25">
      <c r="A2103" s="130" t="s">
        <v>1077</v>
      </c>
      <c r="B2103" s="130" t="s">
        <v>1078</v>
      </c>
      <c r="C2103" s="132" t="s">
        <v>153</v>
      </c>
      <c r="D2103" s="129">
        <v>1</v>
      </c>
      <c r="E2103" s="129">
        <v>9.2538003999999994</v>
      </c>
      <c r="F2103" s="129">
        <v>9.2538003999999994</v>
      </c>
      <c r="G2103" s="129">
        <v>31.5</v>
      </c>
      <c r="H2103" s="129">
        <v>31.5</v>
      </c>
      <c r="I2103" s="131" t="s">
        <v>87</v>
      </c>
      <c r="J2103" s="132" t="s">
        <v>102</v>
      </c>
      <c r="K2103" s="130" t="s">
        <v>3242</v>
      </c>
      <c r="L2103" s="129" t="str">
        <f t="shared" si="33"/>
        <v>005-00000428</v>
      </c>
    </row>
    <row r="2104" spans="1:12" hidden="1" x14ac:dyDescent="0.25">
      <c r="A2104" s="130" t="s">
        <v>1094</v>
      </c>
      <c r="B2104" s="130" t="s">
        <v>1095</v>
      </c>
      <c r="C2104" s="132" t="s">
        <v>153</v>
      </c>
      <c r="D2104" s="129">
        <v>1</v>
      </c>
      <c r="E2104" s="129">
        <v>11.5717</v>
      </c>
      <c r="F2104" s="129">
        <v>11.5717</v>
      </c>
      <c r="G2104" s="129">
        <v>39.389999000000003</v>
      </c>
      <c r="H2104" s="129">
        <v>39.389999000000003</v>
      </c>
      <c r="I2104" s="131" t="s">
        <v>87</v>
      </c>
      <c r="J2104" s="132" t="s">
        <v>102</v>
      </c>
      <c r="K2104" s="130" t="s">
        <v>3242</v>
      </c>
      <c r="L2104" s="129" t="str">
        <f t="shared" si="33"/>
        <v>005-00000428</v>
      </c>
    </row>
    <row r="2105" spans="1:12" hidden="1" x14ac:dyDescent="0.25">
      <c r="A2105" s="130" t="s">
        <v>1077</v>
      </c>
      <c r="B2105" s="130" t="s">
        <v>1078</v>
      </c>
      <c r="C2105" s="132" t="s">
        <v>153</v>
      </c>
      <c r="D2105" s="129">
        <v>1</v>
      </c>
      <c r="E2105" s="129">
        <v>9.2538003999999994</v>
      </c>
      <c r="F2105" s="129">
        <v>9.2538003999999994</v>
      </c>
      <c r="G2105" s="129">
        <v>31.5</v>
      </c>
      <c r="H2105" s="129">
        <v>31.5</v>
      </c>
      <c r="I2105" s="131" t="s">
        <v>87</v>
      </c>
      <c r="J2105" s="132" t="s">
        <v>102</v>
      </c>
      <c r="K2105" s="130" t="s">
        <v>3243</v>
      </c>
      <c r="L2105" s="129" t="str">
        <f t="shared" si="33"/>
        <v>005-00000452</v>
      </c>
    </row>
    <row r="2106" spans="1:12" hidden="1" x14ac:dyDescent="0.25">
      <c r="A2106" s="130" t="s">
        <v>1077</v>
      </c>
      <c r="B2106" s="130" t="s">
        <v>1078</v>
      </c>
      <c r="C2106" s="132" t="s">
        <v>153</v>
      </c>
      <c r="D2106" s="129">
        <v>1</v>
      </c>
      <c r="E2106" s="129">
        <v>9.2538003999999994</v>
      </c>
      <c r="F2106" s="129">
        <v>9.2538003999999994</v>
      </c>
      <c r="G2106" s="129">
        <v>31.5</v>
      </c>
      <c r="H2106" s="129">
        <v>31.5</v>
      </c>
      <c r="I2106" s="131" t="s">
        <v>87</v>
      </c>
      <c r="J2106" s="132" t="s">
        <v>102</v>
      </c>
      <c r="K2106" s="130" t="s">
        <v>3249</v>
      </c>
      <c r="L2106" s="129" t="str">
        <f t="shared" si="33"/>
        <v>005-00000459</v>
      </c>
    </row>
    <row r="2107" spans="1:12" hidden="1" x14ac:dyDescent="0.25">
      <c r="A2107" s="130" t="s">
        <v>1094</v>
      </c>
      <c r="B2107" s="130" t="s">
        <v>1095</v>
      </c>
      <c r="C2107" s="132" t="s">
        <v>153</v>
      </c>
      <c r="D2107" s="129">
        <v>1</v>
      </c>
      <c r="E2107" s="129">
        <v>11.5717</v>
      </c>
      <c r="F2107" s="129">
        <v>11.5717</v>
      </c>
      <c r="G2107" s="129">
        <v>39.389999000000003</v>
      </c>
      <c r="H2107" s="129">
        <v>39.389999000000003</v>
      </c>
      <c r="I2107" s="131" t="s">
        <v>87</v>
      </c>
      <c r="J2107" s="132" t="s">
        <v>102</v>
      </c>
      <c r="K2107" s="130" t="s">
        <v>3249</v>
      </c>
      <c r="L2107" s="129" t="str">
        <f t="shared" si="33"/>
        <v>005-00000459</v>
      </c>
    </row>
    <row r="2108" spans="1:12" hidden="1" x14ac:dyDescent="0.25">
      <c r="A2108" s="130" t="s">
        <v>1077</v>
      </c>
      <c r="B2108" s="130" t="s">
        <v>1078</v>
      </c>
      <c r="C2108" s="132" t="s">
        <v>153</v>
      </c>
      <c r="D2108" s="129">
        <v>1</v>
      </c>
      <c r="E2108" s="129">
        <v>9.2538003999999994</v>
      </c>
      <c r="F2108" s="129">
        <v>9.2538003999999994</v>
      </c>
      <c r="G2108" s="129">
        <v>31.5</v>
      </c>
      <c r="H2108" s="129">
        <v>31.5</v>
      </c>
      <c r="I2108" s="131" t="s">
        <v>87</v>
      </c>
      <c r="J2108" s="132" t="s">
        <v>102</v>
      </c>
      <c r="K2108" s="130" t="s">
        <v>3245</v>
      </c>
      <c r="L2108" s="129" t="str">
        <f t="shared" si="33"/>
        <v>005-00000435</v>
      </c>
    </row>
    <row r="2109" spans="1:12" hidden="1" x14ac:dyDescent="0.25">
      <c r="A2109" s="130" t="s">
        <v>1094</v>
      </c>
      <c r="B2109" s="130" t="s">
        <v>1095</v>
      </c>
      <c r="C2109" s="132" t="s">
        <v>153</v>
      </c>
      <c r="D2109" s="129">
        <v>1</v>
      </c>
      <c r="E2109" s="129">
        <v>11.5717</v>
      </c>
      <c r="F2109" s="129">
        <v>11.5717</v>
      </c>
      <c r="G2109" s="129">
        <v>39.389999000000003</v>
      </c>
      <c r="H2109" s="129">
        <v>39.389999000000003</v>
      </c>
      <c r="I2109" s="131" t="s">
        <v>87</v>
      </c>
      <c r="J2109" s="132" t="s">
        <v>102</v>
      </c>
      <c r="K2109" s="130" t="s">
        <v>3245</v>
      </c>
      <c r="L2109" s="129" t="str">
        <f t="shared" si="33"/>
        <v>005-00000435</v>
      </c>
    </row>
    <row r="2110" spans="1:12" hidden="1" x14ac:dyDescent="0.25">
      <c r="A2110" s="130" t="s">
        <v>1082</v>
      </c>
      <c r="B2110" s="130" t="s">
        <v>1083</v>
      </c>
      <c r="C2110" s="132" t="s">
        <v>150</v>
      </c>
      <c r="D2110" s="129">
        <v>1</v>
      </c>
      <c r="E2110" s="129">
        <v>55.938702000000006</v>
      </c>
      <c r="F2110" s="129">
        <v>55.938702000000006</v>
      </c>
      <c r="G2110" s="129">
        <v>190.67798999999999</v>
      </c>
      <c r="H2110" s="129">
        <v>190.67798999999999</v>
      </c>
      <c r="I2110" s="131" t="s">
        <v>87</v>
      </c>
      <c r="J2110" s="132" t="s">
        <v>102</v>
      </c>
      <c r="K2110" s="130" t="s">
        <v>3249</v>
      </c>
      <c r="L2110" s="129" t="str">
        <f t="shared" si="33"/>
        <v>005-00000459</v>
      </c>
    </row>
    <row r="2111" spans="1:12" hidden="1" x14ac:dyDescent="0.25">
      <c r="A2111" s="130" t="s">
        <v>1077</v>
      </c>
      <c r="B2111" s="130" t="s">
        <v>1078</v>
      </c>
      <c r="C2111" s="132" t="s">
        <v>153</v>
      </c>
      <c r="D2111" s="129">
        <v>1</v>
      </c>
      <c r="E2111" s="129">
        <v>9.2538003999999994</v>
      </c>
      <c r="F2111" s="129">
        <v>9.2538003999999994</v>
      </c>
      <c r="G2111" s="129">
        <v>31.5</v>
      </c>
      <c r="H2111" s="129">
        <v>31.5</v>
      </c>
      <c r="I2111" s="131" t="s">
        <v>87</v>
      </c>
      <c r="J2111" s="132" t="s">
        <v>102</v>
      </c>
      <c r="K2111" s="130" t="s">
        <v>3246</v>
      </c>
      <c r="L2111" s="129" t="str">
        <f t="shared" si="33"/>
        <v>005-00000429</v>
      </c>
    </row>
    <row r="2112" spans="1:12" hidden="1" x14ac:dyDescent="0.25">
      <c r="A2112" s="130" t="s">
        <v>1556</v>
      </c>
      <c r="B2112" s="130" t="s">
        <v>1557</v>
      </c>
      <c r="C2112" s="132" t="s">
        <v>153</v>
      </c>
      <c r="D2112" s="129">
        <v>1</v>
      </c>
      <c r="E2112" s="129">
        <v>22.494101000000001</v>
      </c>
      <c r="F2112" s="129">
        <v>22.494101000000004</v>
      </c>
      <c r="G2112" s="129">
        <v>76.569999999999993</v>
      </c>
      <c r="H2112" s="129">
        <v>76.569999999999993</v>
      </c>
      <c r="I2112" s="131" t="s">
        <v>87</v>
      </c>
      <c r="J2112" s="132" t="s">
        <v>102</v>
      </c>
      <c r="K2112" s="130" t="s">
        <v>3248</v>
      </c>
      <c r="L2112" s="129" t="str">
        <f t="shared" si="33"/>
        <v>005-00000453</v>
      </c>
    </row>
    <row r="2113" spans="1:12" hidden="1" x14ac:dyDescent="0.25">
      <c r="A2113" s="130" t="s">
        <v>1618</v>
      </c>
      <c r="B2113" s="130" t="s">
        <v>1619</v>
      </c>
      <c r="C2113" s="132" t="s">
        <v>226</v>
      </c>
      <c r="D2113" s="129">
        <v>1</v>
      </c>
      <c r="E2113" s="129">
        <v>49.79190100000001</v>
      </c>
      <c r="F2113" s="129">
        <v>49.791900999999996</v>
      </c>
      <c r="G2113" s="129">
        <v>169.4915</v>
      </c>
      <c r="H2113" s="129">
        <v>169.49150000000006</v>
      </c>
      <c r="I2113" s="131" t="s">
        <v>87</v>
      </c>
      <c r="J2113" s="132" t="s">
        <v>102</v>
      </c>
      <c r="K2113" s="130" t="s">
        <v>3250</v>
      </c>
      <c r="L2113" s="129" t="str">
        <f t="shared" si="33"/>
        <v>005-00000401</v>
      </c>
    </row>
    <row r="2114" spans="1:12" hidden="1" x14ac:dyDescent="0.25">
      <c r="A2114" s="130" t="s">
        <v>1620</v>
      </c>
      <c r="B2114" s="130" t="s">
        <v>1621</v>
      </c>
      <c r="C2114" s="132" t="s">
        <v>153</v>
      </c>
      <c r="D2114" s="129">
        <v>1</v>
      </c>
      <c r="E2114" s="129">
        <v>67.219002000000003</v>
      </c>
      <c r="F2114" s="129">
        <v>67.219002000000003</v>
      </c>
      <c r="G2114" s="129">
        <v>228.81360000000001</v>
      </c>
      <c r="H2114" s="129">
        <v>228.81360000000001</v>
      </c>
      <c r="I2114" s="131" t="s">
        <v>87</v>
      </c>
      <c r="J2114" s="132" t="s">
        <v>102</v>
      </c>
      <c r="K2114" s="130" t="s">
        <v>3250</v>
      </c>
      <c r="L2114" s="129" t="str">
        <f t="shared" si="33"/>
        <v>005-00000401</v>
      </c>
    </row>
    <row r="2115" spans="1:12" hidden="1" x14ac:dyDescent="0.25">
      <c r="A2115" s="130" t="s">
        <v>1604</v>
      </c>
      <c r="B2115" s="130" t="s">
        <v>1605</v>
      </c>
      <c r="C2115" s="132" t="s">
        <v>153</v>
      </c>
      <c r="D2115" s="129">
        <v>1</v>
      </c>
      <c r="E2115" s="129">
        <v>37.343899</v>
      </c>
      <c r="F2115" s="129">
        <v>37.343899</v>
      </c>
      <c r="G2115" s="129">
        <v>127.1186</v>
      </c>
      <c r="H2115" s="129">
        <v>127.1186</v>
      </c>
      <c r="I2115" s="131" t="s">
        <v>87</v>
      </c>
      <c r="J2115" s="132" t="s">
        <v>102</v>
      </c>
      <c r="K2115" s="130" t="s">
        <v>3250</v>
      </c>
      <c r="L2115" s="129" t="str">
        <f t="shared" si="33"/>
        <v>005-00000401</v>
      </c>
    </row>
    <row r="2116" spans="1:12" hidden="1" x14ac:dyDescent="0.25">
      <c r="A2116" s="130" t="s">
        <v>1626</v>
      </c>
      <c r="B2116" s="130" t="s">
        <v>1627</v>
      </c>
      <c r="C2116" s="132" t="s">
        <v>153</v>
      </c>
      <c r="D2116" s="129">
        <v>1</v>
      </c>
      <c r="E2116" s="129">
        <v>13.6928</v>
      </c>
      <c r="F2116" s="129">
        <v>13.692799999999998</v>
      </c>
      <c r="G2116" s="129">
        <v>46.610199000000001</v>
      </c>
      <c r="H2116" s="129">
        <v>46.610198999999994</v>
      </c>
      <c r="I2116" s="131" t="s">
        <v>87</v>
      </c>
      <c r="J2116" s="132" t="s">
        <v>102</v>
      </c>
      <c r="K2116" s="130" t="s">
        <v>3250</v>
      </c>
      <c r="L2116" s="129" t="str">
        <f t="shared" si="33"/>
        <v>005-00000401</v>
      </c>
    </row>
    <row r="2117" spans="1:12" hidden="1" x14ac:dyDescent="0.25">
      <c r="A2117" s="130" t="s">
        <v>1624</v>
      </c>
      <c r="B2117" s="130" t="s">
        <v>1625</v>
      </c>
      <c r="C2117" s="132" t="s">
        <v>153</v>
      </c>
      <c r="D2117" s="129">
        <v>1</v>
      </c>
      <c r="E2117" s="129">
        <v>16.179898999999999</v>
      </c>
      <c r="F2117" s="129">
        <v>16.179898999999995</v>
      </c>
      <c r="G2117" s="129">
        <v>55.076301999999998</v>
      </c>
      <c r="H2117" s="129">
        <v>55.076301999999998</v>
      </c>
      <c r="I2117" s="131" t="s">
        <v>87</v>
      </c>
      <c r="J2117" s="132" t="s">
        <v>102</v>
      </c>
      <c r="K2117" s="130" t="s">
        <v>3250</v>
      </c>
      <c r="L2117" s="129" t="str">
        <f t="shared" si="33"/>
        <v>005-00000401</v>
      </c>
    </row>
    <row r="2118" spans="1:12" hidden="1" x14ac:dyDescent="0.25">
      <c r="A2118" s="130" t="s">
        <v>1628</v>
      </c>
      <c r="B2118" s="130" t="s">
        <v>1629</v>
      </c>
      <c r="C2118" s="132" t="s">
        <v>153</v>
      </c>
      <c r="D2118" s="129">
        <v>1</v>
      </c>
      <c r="E2118" s="129">
        <v>8.7136002000000001</v>
      </c>
      <c r="F2118" s="129">
        <v>8.7136002000000001</v>
      </c>
      <c r="G2118" s="129">
        <v>29.660999</v>
      </c>
      <c r="H2118" s="129">
        <v>29.660999000000007</v>
      </c>
      <c r="I2118" s="131" t="s">
        <v>87</v>
      </c>
      <c r="J2118" s="132" t="s">
        <v>102</v>
      </c>
      <c r="K2118" s="130" t="s">
        <v>3250</v>
      </c>
      <c r="L2118" s="129" t="str">
        <f t="shared" si="33"/>
        <v>005-00000401</v>
      </c>
    </row>
    <row r="2119" spans="1:12" hidden="1" x14ac:dyDescent="0.25">
      <c r="A2119" s="130" t="s">
        <v>1622</v>
      </c>
      <c r="B2119" s="130" t="s">
        <v>1623</v>
      </c>
      <c r="C2119" s="132" t="s">
        <v>153</v>
      </c>
      <c r="D2119" s="129">
        <v>1</v>
      </c>
      <c r="E2119" s="129">
        <v>38.588698999999998</v>
      </c>
      <c r="F2119" s="129">
        <v>38.588698999999998</v>
      </c>
      <c r="G2119" s="129">
        <v>131.35589999999999</v>
      </c>
      <c r="H2119" s="129">
        <v>131.35589999999996</v>
      </c>
      <c r="I2119" s="131" t="s">
        <v>87</v>
      </c>
      <c r="J2119" s="132" t="s">
        <v>102</v>
      </c>
      <c r="K2119" s="130" t="s">
        <v>3250</v>
      </c>
      <c r="L2119" s="129" t="str">
        <f t="shared" si="33"/>
        <v>005-00000401</v>
      </c>
    </row>
    <row r="2120" spans="1:12" hidden="1" x14ac:dyDescent="0.25">
      <c r="A2120" s="130" t="s">
        <v>2424</v>
      </c>
      <c r="B2120" s="130" t="s">
        <v>2425</v>
      </c>
      <c r="C2120" s="132" t="s">
        <v>150</v>
      </c>
      <c r="D2120" s="129">
        <v>1</v>
      </c>
      <c r="E2120" s="129">
        <v>44.642798999999997</v>
      </c>
      <c r="F2120" s="129">
        <v>44.642799000000004</v>
      </c>
      <c r="G2120" s="129">
        <v>152.54239999999999</v>
      </c>
      <c r="H2120" s="129">
        <v>152.54239999999999</v>
      </c>
      <c r="I2120" s="131" t="s">
        <v>87</v>
      </c>
      <c r="J2120" s="132" t="s">
        <v>102</v>
      </c>
      <c r="K2120" s="130" t="s">
        <v>3250</v>
      </c>
      <c r="L2120" s="129" t="str">
        <f t="shared" si="33"/>
        <v>005-00000401</v>
      </c>
    </row>
    <row r="2121" spans="1:12" hidden="1" x14ac:dyDescent="0.25">
      <c r="A2121" s="130" t="s">
        <v>1611</v>
      </c>
      <c r="B2121" s="130" t="s">
        <v>1612</v>
      </c>
      <c r="C2121" s="132" t="s">
        <v>150</v>
      </c>
      <c r="D2121" s="129">
        <v>1</v>
      </c>
      <c r="E2121" s="129">
        <v>74.404701000000003</v>
      </c>
      <c r="F2121" s="129">
        <v>74.404701000000017</v>
      </c>
      <c r="G2121" s="129">
        <v>254.2373</v>
      </c>
      <c r="H2121" s="129">
        <v>254.23729999999995</v>
      </c>
      <c r="I2121" s="131" t="s">
        <v>87</v>
      </c>
      <c r="J2121" s="132" t="s">
        <v>102</v>
      </c>
      <c r="K2121" s="130" t="s">
        <v>3250</v>
      </c>
      <c r="L2121" s="129" t="str">
        <f t="shared" ref="L2121:L2143" si="34">CONCATENATE(J2121,"-",K2121)</f>
        <v>005-00000401</v>
      </c>
    </row>
    <row r="2122" spans="1:12" hidden="1" x14ac:dyDescent="0.25">
      <c r="A2122" s="130" t="s">
        <v>1518</v>
      </c>
      <c r="B2122" s="130" t="s">
        <v>1519</v>
      </c>
      <c r="C2122" s="132" t="s">
        <v>150</v>
      </c>
      <c r="D2122" s="129">
        <v>1</v>
      </c>
      <c r="E2122" s="129">
        <v>16.182400000000001</v>
      </c>
      <c r="F2122" s="129">
        <v>16.182400000000005</v>
      </c>
      <c r="G2122" s="129">
        <v>55.084702</v>
      </c>
      <c r="H2122" s="129">
        <v>55.084702</v>
      </c>
      <c r="I2122" s="131" t="s">
        <v>87</v>
      </c>
      <c r="J2122" s="132" t="s">
        <v>102</v>
      </c>
      <c r="K2122" s="130" t="s">
        <v>3250</v>
      </c>
      <c r="L2122" s="129" t="str">
        <f t="shared" si="34"/>
        <v>005-00000401</v>
      </c>
    </row>
    <row r="2123" spans="1:12" hidden="1" x14ac:dyDescent="0.25">
      <c r="A2123" s="130" t="s">
        <v>2119</v>
      </c>
      <c r="B2123" s="130" t="s">
        <v>2120</v>
      </c>
      <c r="C2123" s="132" t="s">
        <v>226</v>
      </c>
      <c r="D2123" s="129">
        <v>1</v>
      </c>
      <c r="E2123" s="129">
        <v>126.9693</v>
      </c>
      <c r="F2123" s="129">
        <v>126.9693</v>
      </c>
      <c r="G2123" s="129">
        <v>432.20339999999999</v>
      </c>
      <c r="H2123" s="129">
        <v>432.20339999999999</v>
      </c>
      <c r="I2123" s="131" t="s">
        <v>87</v>
      </c>
      <c r="J2123" s="132" t="s">
        <v>102</v>
      </c>
      <c r="K2123" s="130" t="s">
        <v>3250</v>
      </c>
      <c r="L2123" s="129" t="str">
        <f t="shared" si="34"/>
        <v>005-00000401</v>
      </c>
    </row>
    <row r="2124" spans="1:12" hidden="1" x14ac:dyDescent="0.25">
      <c r="A2124" s="130" t="s">
        <v>3251</v>
      </c>
      <c r="B2124" s="130" t="s">
        <v>3252</v>
      </c>
      <c r="C2124" s="132" t="s">
        <v>150</v>
      </c>
      <c r="D2124" s="129">
        <v>1</v>
      </c>
      <c r="E2124" s="129">
        <v>39.833500000000001</v>
      </c>
      <c r="F2124" s="129">
        <v>39.833500000000001</v>
      </c>
      <c r="G2124" s="129">
        <v>135.5932</v>
      </c>
      <c r="H2124" s="129">
        <v>135.5932</v>
      </c>
      <c r="I2124" s="131" t="s">
        <v>87</v>
      </c>
      <c r="J2124" s="132" t="s">
        <v>102</v>
      </c>
      <c r="K2124" s="130" t="s">
        <v>3250</v>
      </c>
      <c r="L2124" s="129" t="str">
        <f t="shared" si="34"/>
        <v>005-00000401</v>
      </c>
    </row>
    <row r="2125" spans="1:12" hidden="1" x14ac:dyDescent="0.25">
      <c r="A2125" s="130" t="s">
        <v>1607</v>
      </c>
      <c r="B2125" s="130" t="s">
        <v>1608</v>
      </c>
      <c r="C2125" s="132" t="s">
        <v>153</v>
      </c>
      <c r="D2125" s="129">
        <v>1</v>
      </c>
      <c r="E2125" s="129">
        <v>14.9376</v>
      </c>
      <c r="F2125" s="129">
        <v>14.9376</v>
      </c>
      <c r="G2125" s="129">
        <v>50.847499999999997</v>
      </c>
      <c r="H2125" s="129">
        <v>50.847499999999997</v>
      </c>
      <c r="I2125" s="131" t="s">
        <v>87</v>
      </c>
      <c r="J2125" s="132" t="s">
        <v>102</v>
      </c>
      <c r="K2125" s="130" t="s">
        <v>3250</v>
      </c>
      <c r="L2125" s="129" t="str">
        <f t="shared" si="34"/>
        <v>005-00000401</v>
      </c>
    </row>
    <row r="2126" spans="1:12" hidden="1" x14ac:dyDescent="0.25">
      <c r="A2126" s="130" t="s">
        <v>1075</v>
      </c>
      <c r="B2126" s="130" t="s">
        <v>1076</v>
      </c>
      <c r="C2126" s="132" t="s">
        <v>150</v>
      </c>
      <c r="D2126" s="129">
        <v>1</v>
      </c>
      <c r="E2126" s="129">
        <v>14.9376</v>
      </c>
      <c r="F2126" s="129">
        <v>14.9376</v>
      </c>
      <c r="G2126" s="129">
        <v>50.847499999999997</v>
      </c>
      <c r="H2126" s="129">
        <v>50.847499999999997</v>
      </c>
      <c r="I2126" s="131" t="s">
        <v>87</v>
      </c>
      <c r="J2126" s="132" t="s">
        <v>102</v>
      </c>
      <c r="K2126" s="130" t="s">
        <v>3250</v>
      </c>
      <c r="L2126" s="129" t="str">
        <f t="shared" si="34"/>
        <v>005-00000401</v>
      </c>
    </row>
    <row r="2127" spans="1:12" hidden="1" x14ac:dyDescent="0.25">
      <c r="A2127" s="130" t="s">
        <v>564</v>
      </c>
      <c r="B2127" s="130" t="s">
        <v>565</v>
      </c>
      <c r="C2127" s="132" t="s">
        <v>150</v>
      </c>
      <c r="D2127" s="129">
        <v>1</v>
      </c>
      <c r="E2127" s="129">
        <v>69.708602999999997</v>
      </c>
      <c r="F2127" s="129">
        <v>69.708602999999997</v>
      </c>
      <c r="G2127" s="129">
        <v>237.28809999999999</v>
      </c>
      <c r="H2127" s="129">
        <v>237.28809999999999</v>
      </c>
      <c r="I2127" s="131" t="s">
        <v>87</v>
      </c>
      <c r="J2127" s="132" t="s">
        <v>102</v>
      </c>
      <c r="K2127" s="130" t="s">
        <v>3250</v>
      </c>
      <c r="L2127" s="129" t="str">
        <f t="shared" si="34"/>
        <v>005-00000401</v>
      </c>
    </row>
    <row r="2128" spans="1:12" hidden="1" x14ac:dyDescent="0.25">
      <c r="A2128" s="130" t="s">
        <v>2458</v>
      </c>
      <c r="B2128" s="130" t="s">
        <v>2459</v>
      </c>
      <c r="C2128" s="132" t="s">
        <v>150</v>
      </c>
      <c r="D2128" s="129">
        <v>1</v>
      </c>
      <c r="E2128" s="129">
        <v>12.448</v>
      </c>
      <c r="F2128" s="129">
        <v>12.448</v>
      </c>
      <c r="G2128" s="129">
        <v>42.372897999999992</v>
      </c>
      <c r="H2128" s="129">
        <v>42.372897999999985</v>
      </c>
      <c r="I2128" s="131" t="s">
        <v>87</v>
      </c>
      <c r="J2128" s="132" t="s">
        <v>102</v>
      </c>
      <c r="K2128" s="130" t="s">
        <v>3250</v>
      </c>
      <c r="L2128" s="129" t="str">
        <f t="shared" si="34"/>
        <v>005-00000401</v>
      </c>
    </row>
    <row r="2129" spans="1:12" hidden="1" x14ac:dyDescent="0.25">
      <c r="A2129" s="130" t="s">
        <v>2070</v>
      </c>
      <c r="B2129" s="130" t="s">
        <v>2071</v>
      </c>
      <c r="C2129" s="132" t="s">
        <v>153</v>
      </c>
      <c r="D2129" s="129">
        <v>1</v>
      </c>
      <c r="E2129" s="129">
        <v>54.771099000000007</v>
      </c>
      <c r="F2129" s="129">
        <v>54.771098999999992</v>
      </c>
      <c r="G2129" s="129">
        <v>186.44069999999999</v>
      </c>
      <c r="H2129" s="129">
        <v>186.44070000000002</v>
      </c>
      <c r="I2129" s="131" t="s">
        <v>87</v>
      </c>
      <c r="J2129" s="132" t="s">
        <v>102</v>
      </c>
      <c r="K2129" s="130" t="s">
        <v>3250</v>
      </c>
      <c r="L2129" s="129" t="str">
        <f t="shared" si="34"/>
        <v>005-00000401</v>
      </c>
    </row>
    <row r="2130" spans="1:12" hidden="1" x14ac:dyDescent="0.25">
      <c r="A2130" s="130" t="s">
        <v>1613</v>
      </c>
      <c r="B2130" s="130" t="s">
        <v>1614</v>
      </c>
      <c r="C2130" s="132" t="s">
        <v>153</v>
      </c>
      <c r="D2130" s="129">
        <v>1</v>
      </c>
      <c r="E2130" s="129">
        <v>23.6511</v>
      </c>
      <c r="F2130" s="129">
        <v>23.6511</v>
      </c>
      <c r="G2130" s="129">
        <v>80.508499</v>
      </c>
      <c r="H2130" s="129">
        <v>80.508499</v>
      </c>
      <c r="I2130" s="131" t="s">
        <v>87</v>
      </c>
      <c r="J2130" s="132" t="s">
        <v>102</v>
      </c>
      <c r="K2130" s="130" t="s">
        <v>3250</v>
      </c>
      <c r="L2130" s="129" t="str">
        <f t="shared" si="34"/>
        <v>005-00000401</v>
      </c>
    </row>
    <row r="2131" spans="1:12" hidden="1" x14ac:dyDescent="0.25">
      <c r="A2131" s="130" t="s">
        <v>399</v>
      </c>
      <c r="B2131" s="130" t="s">
        <v>400</v>
      </c>
      <c r="C2131" s="132" t="s">
        <v>153</v>
      </c>
      <c r="D2131" s="129">
        <v>1</v>
      </c>
      <c r="E2131" s="129">
        <v>42.002299999999998</v>
      </c>
      <c r="F2131" s="129">
        <v>42.002299999999998</v>
      </c>
      <c r="G2131" s="129">
        <v>144.06779</v>
      </c>
      <c r="H2131" s="129">
        <v>144.06779</v>
      </c>
      <c r="I2131" s="131" t="s">
        <v>87</v>
      </c>
      <c r="J2131" s="132" t="s">
        <v>102</v>
      </c>
      <c r="K2131" s="130" t="s">
        <v>3249</v>
      </c>
      <c r="L2131" s="129" t="str">
        <f t="shared" si="34"/>
        <v>005-00000459</v>
      </c>
    </row>
    <row r="2132" spans="1:12" hidden="1" x14ac:dyDescent="0.25">
      <c r="A2132" s="130" t="s">
        <v>2157</v>
      </c>
      <c r="B2132" s="130" t="s">
        <v>2158</v>
      </c>
      <c r="C2132" s="132" t="s">
        <v>150</v>
      </c>
      <c r="D2132" s="129">
        <v>1</v>
      </c>
      <c r="E2132" s="129">
        <v>7.4122000000000003</v>
      </c>
      <c r="F2132" s="129">
        <v>7.4122000000000012</v>
      </c>
      <c r="G2132" s="129">
        <v>25.4237</v>
      </c>
      <c r="H2132" s="129">
        <v>25.423700000000004</v>
      </c>
      <c r="I2132" s="131" t="s">
        <v>87</v>
      </c>
      <c r="J2132" s="132" t="s">
        <v>102</v>
      </c>
      <c r="K2132" s="130" t="s">
        <v>3249</v>
      </c>
      <c r="L2132" s="129" t="str">
        <f t="shared" si="34"/>
        <v>005-00000459</v>
      </c>
    </row>
    <row r="2133" spans="1:12" hidden="1" x14ac:dyDescent="0.25">
      <c r="A2133" s="130" t="s">
        <v>2222</v>
      </c>
      <c r="B2133" s="130" t="s">
        <v>2223</v>
      </c>
      <c r="C2133" s="132" t="s">
        <v>153</v>
      </c>
      <c r="D2133" s="129">
        <v>1</v>
      </c>
      <c r="E2133" s="129">
        <v>19.765799999999999</v>
      </c>
      <c r="F2133" s="129">
        <v>19.765799999999999</v>
      </c>
      <c r="G2133" s="129">
        <v>67.796599999999998</v>
      </c>
      <c r="H2133" s="129">
        <v>67.796599999999998</v>
      </c>
      <c r="I2133" s="131" t="s">
        <v>87</v>
      </c>
      <c r="J2133" s="132" t="s">
        <v>102</v>
      </c>
      <c r="K2133" s="130" t="s">
        <v>3249</v>
      </c>
      <c r="L2133" s="129" t="str">
        <f t="shared" si="34"/>
        <v>005-00000459</v>
      </c>
    </row>
    <row r="2134" spans="1:12" hidden="1" x14ac:dyDescent="0.25">
      <c r="A2134" s="130" t="s">
        <v>562</v>
      </c>
      <c r="B2134" s="130" t="s">
        <v>563</v>
      </c>
      <c r="C2134" s="132" t="s">
        <v>150</v>
      </c>
      <c r="D2134" s="129">
        <v>1</v>
      </c>
      <c r="E2134" s="129">
        <v>22.236499999999999</v>
      </c>
      <c r="F2134" s="129">
        <v>22.236499999999996</v>
      </c>
      <c r="G2134" s="129">
        <v>76.271202000000002</v>
      </c>
      <c r="H2134" s="129">
        <v>76.271202000000002</v>
      </c>
      <c r="I2134" s="131" t="s">
        <v>87</v>
      </c>
      <c r="J2134" s="132" t="s">
        <v>102</v>
      </c>
      <c r="K2134" s="130" t="s">
        <v>3243</v>
      </c>
      <c r="L2134" s="129" t="str">
        <f t="shared" si="34"/>
        <v>005-00000452</v>
      </c>
    </row>
    <row r="2135" spans="1:12" hidden="1" x14ac:dyDescent="0.25">
      <c r="A2135" s="130" t="s">
        <v>1073</v>
      </c>
      <c r="B2135" s="130" t="s">
        <v>1074</v>
      </c>
      <c r="C2135" s="132" t="s">
        <v>153</v>
      </c>
      <c r="D2135" s="129">
        <v>1</v>
      </c>
      <c r="E2135" s="129">
        <v>22.236499999999999</v>
      </c>
      <c r="F2135" s="129">
        <v>22.236499999999996</v>
      </c>
      <c r="G2135" s="129">
        <v>76.271202000000002</v>
      </c>
      <c r="H2135" s="129">
        <v>76.271202000000002</v>
      </c>
      <c r="I2135" s="131" t="s">
        <v>87</v>
      </c>
      <c r="J2135" s="132" t="s">
        <v>102</v>
      </c>
      <c r="K2135" s="130" t="s">
        <v>3243</v>
      </c>
      <c r="L2135" s="129" t="str">
        <f t="shared" si="34"/>
        <v>005-00000452</v>
      </c>
    </row>
    <row r="2136" spans="1:12" hidden="1" x14ac:dyDescent="0.25">
      <c r="A2136" s="130" t="s">
        <v>2222</v>
      </c>
      <c r="B2136" s="130" t="s">
        <v>2223</v>
      </c>
      <c r="C2136" s="132" t="s">
        <v>153</v>
      </c>
      <c r="D2136" s="129">
        <v>1</v>
      </c>
      <c r="E2136" s="129">
        <v>19.765799999999999</v>
      </c>
      <c r="F2136" s="129">
        <v>19.765799999999999</v>
      </c>
      <c r="G2136" s="129">
        <v>67.796599999999998</v>
      </c>
      <c r="H2136" s="129">
        <v>67.796599999999998</v>
      </c>
      <c r="I2136" s="131" t="s">
        <v>87</v>
      </c>
      <c r="J2136" s="132" t="s">
        <v>102</v>
      </c>
      <c r="K2136" s="130" t="s">
        <v>3243</v>
      </c>
      <c r="L2136" s="129" t="str">
        <f t="shared" si="34"/>
        <v>005-00000452</v>
      </c>
    </row>
    <row r="2137" spans="1:12" hidden="1" x14ac:dyDescent="0.25">
      <c r="A2137" s="130" t="s">
        <v>1654</v>
      </c>
      <c r="B2137" s="130" t="s">
        <v>1655</v>
      </c>
      <c r="C2137" s="132" t="s">
        <v>150</v>
      </c>
      <c r="D2137" s="129">
        <v>1</v>
      </c>
      <c r="E2137" s="129">
        <v>22.236499999999999</v>
      </c>
      <c r="F2137" s="129">
        <v>22.236499999999996</v>
      </c>
      <c r="G2137" s="129">
        <v>76.271202000000002</v>
      </c>
      <c r="H2137" s="129">
        <v>76.271202000000002</v>
      </c>
      <c r="I2137" s="131" t="s">
        <v>87</v>
      </c>
      <c r="J2137" s="132" t="s">
        <v>102</v>
      </c>
      <c r="K2137" s="130" t="s">
        <v>3243</v>
      </c>
      <c r="L2137" s="129" t="str">
        <f t="shared" si="34"/>
        <v>005-00000452</v>
      </c>
    </row>
    <row r="2138" spans="1:12" hidden="1" x14ac:dyDescent="0.25">
      <c r="A2138" s="130" t="s">
        <v>495</v>
      </c>
      <c r="B2138" s="130" t="s">
        <v>496</v>
      </c>
      <c r="C2138" s="132" t="s">
        <v>150</v>
      </c>
      <c r="D2138" s="129">
        <v>1</v>
      </c>
      <c r="E2138" s="129">
        <v>9.8829001999999999</v>
      </c>
      <c r="F2138" s="129">
        <v>9.8829001999999999</v>
      </c>
      <c r="G2138" s="129">
        <v>33.898299999999999</v>
      </c>
      <c r="H2138" s="129">
        <v>33.898299999999999</v>
      </c>
      <c r="I2138" s="131" t="s">
        <v>87</v>
      </c>
      <c r="J2138" s="132" t="s">
        <v>102</v>
      </c>
      <c r="K2138" s="130" t="s">
        <v>3243</v>
      </c>
      <c r="L2138" s="129" t="str">
        <f t="shared" si="34"/>
        <v>005-00000452</v>
      </c>
    </row>
    <row r="2139" spans="1:12" hidden="1" x14ac:dyDescent="0.25">
      <c r="A2139" s="130" t="s">
        <v>546</v>
      </c>
      <c r="B2139" s="130" t="s">
        <v>547</v>
      </c>
      <c r="C2139" s="132" t="s">
        <v>153</v>
      </c>
      <c r="D2139" s="129">
        <v>1</v>
      </c>
      <c r="E2139" s="129">
        <v>22.236499999999999</v>
      </c>
      <c r="F2139" s="129">
        <v>22.236499999999996</v>
      </c>
      <c r="G2139" s="129">
        <v>76.271202000000002</v>
      </c>
      <c r="H2139" s="129">
        <v>76.271202000000002</v>
      </c>
      <c r="I2139" s="131" t="s">
        <v>87</v>
      </c>
      <c r="J2139" s="132" t="s">
        <v>102</v>
      </c>
      <c r="K2139" s="130" t="s">
        <v>3247</v>
      </c>
      <c r="L2139" s="129" t="str">
        <f t="shared" si="34"/>
        <v>005-00000432</v>
      </c>
    </row>
    <row r="2140" spans="1:12" hidden="1" x14ac:dyDescent="0.25">
      <c r="A2140" s="130" t="s">
        <v>1109</v>
      </c>
      <c r="B2140" s="130" t="s">
        <v>1110</v>
      </c>
      <c r="C2140" s="132" t="s">
        <v>153</v>
      </c>
      <c r="D2140" s="129">
        <v>1</v>
      </c>
      <c r="E2140" s="129">
        <v>39.531502000000003</v>
      </c>
      <c r="F2140" s="129">
        <v>39.531502000000003</v>
      </c>
      <c r="G2140" s="129">
        <v>135.5932</v>
      </c>
      <c r="H2140" s="129">
        <v>135.5932</v>
      </c>
      <c r="I2140" s="131" t="s">
        <v>87</v>
      </c>
      <c r="J2140" s="132" t="s">
        <v>102</v>
      </c>
      <c r="K2140" s="130" t="s">
        <v>3247</v>
      </c>
      <c r="L2140" s="129" t="str">
        <f t="shared" si="34"/>
        <v>005-00000432</v>
      </c>
    </row>
    <row r="2141" spans="1:12" hidden="1" x14ac:dyDescent="0.25">
      <c r="A2141" s="130" t="s">
        <v>2137</v>
      </c>
      <c r="B2141" s="130" t="s">
        <v>2138</v>
      </c>
      <c r="C2141" s="132" t="s">
        <v>150</v>
      </c>
      <c r="D2141" s="129">
        <v>1</v>
      </c>
      <c r="E2141" s="129">
        <v>8.6806002000000007</v>
      </c>
      <c r="F2141" s="129">
        <v>8.6806002000000024</v>
      </c>
      <c r="G2141" s="129">
        <v>29.660999</v>
      </c>
      <c r="H2141" s="129">
        <v>29.660999000000007</v>
      </c>
      <c r="I2141" s="131" t="s">
        <v>87</v>
      </c>
      <c r="J2141" s="132" t="s">
        <v>102</v>
      </c>
      <c r="K2141" s="130" t="s">
        <v>3246</v>
      </c>
      <c r="L2141" s="129" t="str">
        <f t="shared" si="34"/>
        <v>005-00000429</v>
      </c>
    </row>
    <row r="2142" spans="1:12" hidden="1" x14ac:dyDescent="0.25">
      <c r="A2142" s="130" t="s">
        <v>2157</v>
      </c>
      <c r="B2142" s="130" t="s">
        <v>2158</v>
      </c>
      <c r="C2142" s="132" t="s">
        <v>150</v>
      </c>
      <c r="D2142" s="129">
        <v>1</v>
      </c>
      <c r="E2142" s="129">
        <v>8.6915998000000005</v>
      </c>
      <c r="F2142" s="129">
        <v>8.6915997999999988</v>
      </c>
      <c r="G2142" s="129">
        <v>29.660999</v>
      </c>
      <c r="H2142" s="129">
        <v>29.660999000000007</v>
      </c>
      <c r="I2142" s="131" t="s">
        <v>87</v>
      </c>
      <c r="J2142" s="132" t="s">
        <v>102</v>
      </c>
      <c r="K2142" s="130" t="s">
        <v>3246</v>
      </c>
      <c r="L2142" s="129" t="str">
        <f t="shared" si="34"/>
        <v>005-00000429</v>
      </c>
    </row>
    <row r="2143" spans="1:12" hidden="1" x14ac:dyDescent="0.25">
      <c r="A2143" s="130" t="s">
        <v>2157</v>
      </c>
      <c r="B2143" s="130" t="s">
        <v>2158</v>
      </c>
      <c r="C2143" s="132" t="s">
        <v>150</v>
      </c>
      <c r="D2143" s="129">
        <v>1</v>
      </c>
      <c r="E2143" s="129">
        <v>8.6915998000000005</v>
      </c>
      <c r="F2143" s="129">
        <v>8.6915997999999988</v>
      </c>
      <c r="G2143" s="129">
        <v>29.660999</v>
      </c>
      <c r="H2143" s="129">
        <v>29.660999000000007</v>
      </c>
      <c r="I2143" s="131" t="s">
        <v>87</v>
      </c>
      <c r="J2143" s="132" t="s">
        <v>102</v>
      </c>
      <c r="K2143" s="130" t="s">
        <v>3245</v>
      </c>
      <c r="L2143" s="129" t="str">
        <f t="shared" si="34"/>
        <v>005-00000435</v>
      </c>
    </row>
    <row r="2144" spans="1:12" hidden="1" x14ac:dyDescent="0.25">
      <c r="A2144" s="130" t="s">
        <v>2192</v>
      </c>
      <c r="B2144" s="130" t="s">
        <v>2193</v>
      </c>
      <c r="C2144" s="132" t="s">
        <v>150</v>
      </c>
      <c r="D2144" s="129">
        <v>2</v>
      </c>
      <c r="E2144" s="129">
        <v>32.455502000000003</v>
      </c>
      <c r="F2144" s="129">
        <v>64.911003999999991</v>
      </c>
      <c r="G2144" s="129">
        <v>111.075</v>
      </c>
      <c r="H2144" s="129">
        <v>222.15</v>
      </c>
      <c r="I2144" s="131" t="s">
        <v>87</v>
      </c>
      <c r="J2144" s="132" t="s">
        <v>102</v>
      </c>
      <c r="K2144" s="130" t="s">
        <v>3241</v>
      </c>
      <c r="L2144" s="129" t="str">
        <f>CONCATENATE(J2144,"-",K2144)</f>
        <v>005-00000427</v>
      </c>
    </row>
    <row r="2145" spans="1:12" hidden="1" x14ac:dyDescent="0.25">
      <c r="A2145" s="130" t="s">
        <v>2190</v>
      </c>
      <c r="B2145" s="130" t="s">
        <v>2191</v>
      </c>
      <c r="C2145" s="132" t="s">
        <v>150</v>
      </c>
      <c r="D2145" s="129">
        <v>2</v>
      </c>
      <c r="E2145" s="129">
        <v>9.6155995999999995</v>
      </c>
      <c r="F2145" s="129">
        <v>19.231199199999999</v>
      </c>
      <c r="G2145" s="129">
        <v>32.909999999999997</v>
      </c>
      <c r="H2145" s="129">
        <v>65.819999999999993</v>
      </c>
      <c r="I2145" s="131" t="s">
        <v>87</v>
      </c>
      <c r="J2145" s="132" t="s">
        <v>102</v>
      </c>
      <c r="K2145" s="130" t="s">
        <v>3241</v>
      </c>
      <c r="L2145" s="129" t="str">
        <f t="shared" ref="L2145:L2208" si="35">CONCATENATE(J2145,"-",K2145)</f>
        <v>005-00000427</v>
      </c>
    </row>
    <row r="2146" spans="1:12" hidden="1" x14ac:dyDescent="0.25">
      <c r="A2146" s="130" t="s">
        <v>2387</v>
      </c>
      <c r="B2146" s="130" t="s">
        <v>2388</v>
      </c>
      <c r="C2146" s="132" t="s">
        <v>150</v>
      </c>
      <c r="D2146" s="129">
        <v>4</v>
      </c>
      <c r="E2146" s="129">
        <v>39.998199</v>
      </c>
      <c r="F2146" s="129">
        <v>159.992796</v>
      </c>
      <c r="G2146" s="129">
        <v>136.19399999999999</v>
      </c>
      <c r="H2146" s="129">
        <v>544.77599999999995</v>
      </c>
      <c r="I2146" s="131" t="s">
        <v>87</v>
      </c>
      <c r="J2146" s="132" t="s">
        <v>102</v>
      </c>
      <c r="K2146" s="130" t="s">
        <v>3242</v>
      </c>
      <c r="L2146" s="129" t="str">
        <f t="shared" si="35"/>
        <v>005-00000428</v>
      </c>
    </row>
    <row r="2147" spans="1:12" hidden="1" x14ac:dyDescent="0.25">
      <c r="A2147" s="130" t="s">
        <v>2192</v>
      </c>
      <c r="B2147" s="130" t="s">
        <v>2193</v>
      </c>
      <c r="C2147" s="132" t="s">
        <v>150</v>
      </c>
      <c r="D2147" s="129">
        <v>4</v>
      </c>
      <c r="E2147" s="129">
        <v>32.455502000000003</v>
      </c>
      <c r="F2147" s="129">
        <v>129.82200799999998</v>
      </c>
      <c r="G2147" s="129">
        <v>111.075</v>
      </c>
      <c r="H2147" s="129">
        <v>444.3</v>
      </c>
      <c r="I2147" s="131" t="s">
        <v>87</v>
      </c>
      <c r="J2147" s="132" t="s">
        <v>102</v>
      </c>
      <c r="K2147" s="130" t="s">
        <v>3243</v>
      </c>
      <c r="L2147" s="129" t="str">
        <f t="shared" si="35"/>
        <v>005-00000452</v>
      </c>
    </row>
    <row r="2148" spans="1:12" hidden="1" x14ac:dyDescent="0.25">
      <c r="A2148" s="130" t="s">
        <v>2190</v>
      </c>
      <c r="B2148" s="130" t="s">
        <v>2191</v>
      </c>
      <c r="C2148" s="132" t="s">
        <v>150</v>
      </c>
      <c r="D2148" s="129">
        <v>4</v>
      </c>
      <c r="E2148" s="129">
        <v>9.6155995999999995</v>
      </c>
      <c r="F2148" s="129">
        <v>38.462398399999998</v>
      </c>
      <c r="G2148" s="129">
        <v>32.909999999999997</v>
      </c>
      <c r="H2148" s="129">
        <v>131.63999999999999</v>
      </c>
      <c r="I2148" s="131" t="s">
        <v>87</v>
      </c>
      <c r="J2148" s="132" t="s">
        <v>102</v>
      </c>
      <c r="K2148" s="130" t="s">
        <v>3243</v>
      </c>
      <c r="L2148" s="129" t="str">
        <f t="shared" si="35"/>
        <v>005-00000452</v>
      </c>
    </row>
    <row r="2149" spans="1:12" hidden="1" x14ac:dyDescent="0.25">
      <c r="A2149" s="130" t="s">
        <v>2192</v>
      </c>
      <c r="B2149" s="130" t="s">
        <v>2193</v>
      </c>
      <c r="C2149" s="132" t="s">
        <v>150</v>
      </c>
      <c r="D2149" s="129">
        <v>4</v>
      </c>
      <c r="E2149" s="129">
        <v>32.455502000000003</v>
      </c>
      <c r="F2149" s="129">
        <v>129.82200799999998</v>
      </c>
      <c r="G2149" s="129">
        <v>111.075</v>
      </c>
      <c r="H2149" s="129">
        <v>444.3</v>
      </c>
      <c r="I2149" s="131" t="s">
        <v>87</v>
      </c>
      <c r="J2149" s="132" t="s">
        <v>102</v>
      </c>
      <c r="K2149" s="130" t="s">
        <v>3249</v>
      </c>
      <c r="L2149" s="129" t="str">
        <f t="shared" si="35"/>
        <v>005-00000459</v>
      </c>
    </row>
    <row r="2150" spans="1:12" hidden="1" x14ac:dyDescent="0.25">
      <c r="A2150" s="130" t="s">
        <v>2190</v>
      </c>
      <c r="B2150" s="130" t="s">
        <v>2191</v>
      </c>
      <c r="C2150" s="132" t="s">
        <v>150</v>
      </c>
      <c r="D2150" s="129">
        <v>2</v>
      </c>
      <c r="E2150" s="129">
        <v>9.6155995999999995</v>
      </c>
      <c r="F2150" s="129">
        <v>19.231199199999999</v>
      </c>
      <c r="G2150" s="129">
        <v>32.909999999999997</v>
      </c>
      <c r="H2150" s="129">
        <v>65.819999999999993</v>
      </c>
      <c r="I2150" s="131" t="s">
        <v>87</v>
      </c>
      <c r="J2150" s="132" t="s">
        <v>102</v>
      </c>
      <c r="K2150" s="130" t="s">
        <v>3249</v>
      </c>
      <c r="L2150" s="129" t="str">
        <f t="shared" si="35"/>
        <v>005-00000459</v>
      </c>
    </row>
    <row r="2151" spans="1:12" hidden="1" x14ac:dyDescent="0.25">
      <c r="A2151" s="130" t="s">
        <v>2192</v>
      </c>
      <c r="B2151" s="130" t="s">
        <v>2193</v>
      </c>
      <c r="C2151" s="132" t="s">
        <v>150</v>
      </c>
      <c r="D2151" s="129">
        <v>3</v>
      </c>
      <c r="E2151" s="129">
        <v>32.455502000000003</v>
      </c>
      <c r="F2151" s="129">
        <v>97.366505999999987</v>
      </c>
      <c r="G2151" s="129">
        <v>111.075</v>
      </c>
      <c r="H2151" s="129">
        <v>333.22500000000002</v>
      </c>
      <c r="I2151" s="131" t="s">
        <v>87</v>
      </c>
      <c r="J2151" s="132" t="s">
        <v>102</v>
      </c>
      <c r="K2151" s="130" t="s">
        <v>3245</v>
      </c>
      <c r="L2151" s="129" t="str">
        <f t="shared" si="35"/>
        <v>005-00000435</v>
      </c>
    </row>
    <row r="2152" spans="1:12" hidden="1" x14ac:dyDescent="0.25">
      <c r="A2152" s="130" t="s">
        <v>2192</v>
      </c>
      <c r="B2152" s="130" t="s">
        <v>2193</v>
      </c>
      <c r="C2152" s="132" t="s">
        <v>150</v>
      </c>
      <c r="D2152" s="129">
        <v>4</v>
      </c>
      <c r="E2152" s="129">
        <v>32.5383</v>
      </c>
      <c r="F2152" s="129">
        <v>130.1532</v>
      </c>
      <c r="G2152" s="129">
        <v>111.075</v>
      </c>
      <c r="H2152" s="129">
        <v>444.3</v>
      </c>
      <c r="I2152" s="131" t="s">
        <v>87</v>
      </c>
      <c r="J2152" s="132" t="s">
        <v>102</v>
      </c>
      <c r="K2152" s="130" t="s">
        <v>3246</v>
      </c>
      <c r="L2152" s="129" t="str">
        <f t="shared" si="35"/>
        <v>005-00000429</v>
      </c>
    </row>
    <row r="2153" spans="1:12" hidden="1" x14ac:dyDescent="0.25">
      <c r="A2153" s="130" t="s">
        <v>2192</v>
      </c>
      <c r="B2153" s="130" t="s">
        <v>2193</v>
      </c>
      <c r="C2153" s="132" t="s">
        <v>150</v>
      </c>
      <c r="D2153" s="129">
        <v>4</v>
      </c>
      <c r="E2153" s="129">
        <v>32.5383</v>
      </c>
      <c r="F2153" s="129">
        <v>130.1532</v>
      </c>
      <c r="G2153" s="129">
        <v>111.075</v>
      </c>
      <c r="H2153" s="129">
        <v>444.3</v>
      </c>
      <c r="I2153" s="131" t="s">
        <v>87</v>
      </c>
      <c r="J2153" s="132" t="s">
        <v>102</v>
      </c>
      <c r="K2153" s="130" t="s">
        <v>3247</v>
      </c>
      <c r="L2153" s="129" t="str">
        <f t="shared" si="35"/>
        <v>005-00000432</v>
      </c>
    </row>
    <row r="2154" spans="1:12" hidden="1" x14ac:dyDescent="0.25">
      <c r="A2154" s="130" t="s">
        <v>2190</v>
      </c>
      <c r="B2154" s="130" t="s">
        <v>2191</v>
      </c>
      <c r="C2154" s="132" t="s">
        <v>150</v>
      </c>
      <c r="D2154" s="129">
        <v>3</v>
      </c>
      <c r="E2154" s="129">
        <v>9.6375998999999997</v>
      </c>
      <c r="F2154" s="129">
        <v>28.912799700000001</v>
      </c>
      <c r="G2154" s="129">
        <v>32.909999999999997</v>
      </c>
      <c r="H2154" s="129">
        <v>98.729999999999976</v>
      </c>
      <c r="I2154" s="131" t="s">
        <v>87</v>
      </c>
      <c r="J2154" s="132" t="s">
        <v>102</v>
      </c>
      <c r="K2154" s="130" t="s">
        <v>3247</v>
      </c>
      <c r="L2154" s="129" t="str">
        <f t="shared" si="35"/>
        <v>005-00000432</v>
      </c>
    </row>
    <row r="2155" spans="1:12" hidden="1" x14ac:dyDescent="0.25">
      <c r="A2155" s="130" t="s">
        <v>1119</v>
      </c>
      <c r="B2155" s="130" t="s">
        <v>1120</v>
      </c>
      <c r="C2155" s="132" t="s">
        <v>150</v>
      </c>
      <c r="D2155" s="129">
        <v>4</v>
      </c>
      <c r="E2155" s="129">
        <v>39.791499999999999</v>
      </c>
      <c r="F2155" s="129">
        <v>159.166</v>
      </c>
      <c r="G2155" s="129">
        <v>135.49001000000001</v>
      </c>
      <c r="H2155" s="129">
        <v>541.96004000000005</v>
      </c>
      <c r="I2155" s="131" t="s">
        <v>87</v>
      </c>
      <c r="J2155" s="132" t="s">
        <v>102</v>
      </c>
      <c r="K2155" s="130" t="s">
        <v>3248</v>
      </c>
      <c r="L2155" s="129" t="str">
        <f t="shared" si="35"/>
        <v>005-00000453</v>
      </c>
    </row>
    <row r="2156" spans="1:12" hidden="1" x14ac:dyDescent="0.25">
      <c r="A2156" s="130" t="s">
        <v>2030</v>
      </c>
      <c r="B2156" s="130" t="s">
        <v>2031</v>
      </c>
      <c r="C2156" s="132" t="s">
        <v>150</v>
      </c>
      <c r="D2156" s="129">
        <v>1</v>
      </c>
      <c r="E2156" s="129">
        <v>2.46</v>
      </c>
      <c r="F2156" s="129">
        <v>2.46</v>
      </c>
      <c r="G2156" s="129">
        <v>8.4745998</v>
      </c>
      <c r="H2156" s="129">
        <v>8.4745998</v>
      </c>
      <c r="I2156" s="131" t="s">
        <v>87</v>
      </c>
      <c r="J2156" s="132" t="s">
        <v>102</v>
      </c>
      <c r="K2156" s="130" t="s">
        <v>3248</v>
      </c>
      <c r="L2156" s="129" t="str">
        <f t="shared" si="35"/>
        <v>005-00000453</v>
      </c>
    </row>
    <row r="2157" spans="1:12" hidden="1" x14ac:dyDescent="0.25">
      <c r="A2157" s="130" t="s">
        <v>2450</v>
      </c>
      <c r="B2157" s="130" t="s">
        <v>2451</v>
      </c>
      <c r="C2157" s="132" t="s">
        <v>153</v>
      </c>
      <c r="D2157" s="129">
        <v>1</v>
      </c>
      <c r="E2157" s="129">
        <v>20.663699999999999</v>
      </c>
      <c r="F2157" s="129">
        <v>20.663700000000002</v>
      </c>
      <c r="G2157" s="129">
        <v>71.186401000000004</v>
      </c>
      <c r="H2157" s="129">
        <v>71.186401000000004</v>
      </c>
      <c r="I2157" s="131" t="s">
        <v>87</v>
      </c>
      <c r="J2157" s="132" t="s">
        <v>102</v>
      </c>
      <c r="K2157" s="130" t="s">
        <v>3248</v>
      </c>
      <c r="L2157" s="129" t="str">
        <f t="shared" si="35"/>
        <v>005-00000453</v>
      </c>
    </row>
    <row r="2158" spans="1:12" hidden="1" x14ac:dyDescent="0.25">
      <c r="A2158" s="130" t="s">
        <v>1484</v>
      </c>
      <c r="B2158" s="130" t="s">
        <v>1485</v>
      </c>
      <c r="C2158" s="132" t="s">
        <v>150</v>
      </c>
      <c r="D2158" s="129">
        <v>1</v>
      </c>
      <c r="E2158" s="129">
        <v>33.209499000000001</v>
      </c>
      <c r="F2158" s="129">
        <v>33.209498999999994</v>
      </c>
      <c r="G2158" s="129">
        <v>114.4068</v>
      </c>
      <c r="H2158" s="129">
        <v>114.4068</v>
      </c>
      <c r="I2158" s="131" t="s">
        <v>87</v>
      </c>
      <c r="J2158" s="132" t="s">
        <v>102</v>
      </c>
      <c r="K2158" s="130" t="s">
        <v>3248</v>
      </c>
      <c r="L2158" s="129" t="str">
        <f t="shared" si="35"/>
        <v>005-00000453</v>
      </c>
    </row>
    <row r="2159" spans="1:12" hidden="1" x14ac:dyDescent="0.25">
      <c r="A2159" s="130" t="s">
        <v>2181</v>
      </c>
      <c r="B2159" s="130" t="s">
        <v>2182</v>
      </c>
      <c r="C2159" s="132" t="s">
        <v>150</v>
      </c>
      <c r="D2159" s="129">
        <v>1</v>
      </c>
      <c r="E2159" s="129">
        <v>27.059601000000001</v>
      </c>
      <c r="F2159" s="129">
        <v>27.059601000000001</v>
      </c>
      <c r="G2159" s="129">
        <v>93.220298999999997</v>
      </c>
      <c r="H2159" s="129">
        <v>93.220298999999997</v>
      </c>
      <c r="I2159" s="131" t="s">
        <v>87</v>
      </c>
      <c r="J2159" s="132" t="s">
        <v>102</v>
      </c>
      <c r="K2159" s="130" t="s">
        <v>3248</v>
      </c>
      <c r="L2159" s="129" t="str">
        <f t="shared" si="35"/>
        <v>005-00000453</v>
      </c>
    </row>
    <row r="2160" spans="1:12" hidden="1" x14ac:dyDescent="0.25">
      <c r="A2160" s="130" t="s">
        <v>2169</v>
      </c>
      <c r="B2160" s="130" t="s">
        <v>2170</v>
      </c>
      <c r="C2160" s="132" t="s">
        <v>150</v>
      </c>
      <c r="D2160" s="129">
        <v>1</v>
      </c>
      <c r="E2160" s="129">
        <v>27.059601000000001</v>
      </c>
      <c r="F2160" s="129">
        <v>27.059601000000001</v>
      </c>
      <c r="G2160" s="129">
        <v>93.220298999999997</v>
      </c>
      <c r="H2160" s="129">
        <v>93.220298999999997</v>
      </c>
      <c r="I2160" s="131" t="s">
        <v>87</v>
      </c>
      <c r="J2160" s="132" t="s">
        <v>102</v>
      </c>
      <c r="K2160" s="130" t="s">
        <v>3248</v>
      </c>
      <c r="L2160" s="129" t="str">
        <f t="shared" si="35"/>
        <v>005-00000453</v>
      </c>
    </row>
    <row r="2161" spans="1:12" hidden="1" x14ac:dyDescent="0.25">
      <c r="A2161" s="130" t="s">
        <v>2206</v>
      </c>
      <c r="B2161" s="130" t="s">
        <v>2207</v>
      </c>
      <c r="C2161" s="132" t="s">
        <v>150</v>
      </c>
      <c r="D2161" s="129">
        <v>1</v>
      </c>
      <c r="E2161" s="129">
        <v>13.5298</v>
      </c>
      <c r="F2161" s="129">
        <v>13.529800000000002</v>
      </c>
      <c r="G2161" s="129">
        <v>46.610199000000001</v>
      </c>
      <c r="H2161" s="129">
        <v>46.610198999999994</v>
      </c>
      <c r="I2161" s="131" t="s">
        <v>87</v>
      </c>
      <c r="J2161" s="132" t="s">
        <v>102</v>
      </c>
      <c r="K2161" s="130" t="s">
        <v>3248</v>
      </c>
      <c r="L2161" s="129" t="str">
        <f t="shared" si="35"/>
        <v>005-00000453</v>
      </c>
    </row>
    <row r="2162" spans="1:12" hidden="1" x14ac:dyDescent="0.25">
      <c r="A2162" s="130" t="s">
        <v>1075</v>
      </c>
      <c r="B2162" s="130" t="s">
        <v>1076</v>
      </c>
      <c r="C2162" s="132" t="s">
        <v>150</v>
      </c>
      <c r="D2162" s="129">
        <v>1</v>
      </c>
      <c r="E2162" s="129">
        <v>8.6930999999999994</v>
      </c>
      <c r="F2162" s="129">
        <v>8.6930999999999994</v>
      </c>
      <c r="G2162" s="129">
        <v>29.660999</v>
      </c>
      <c r="H2162" s="129">
        <v>29.660999000000007</v>
      </c>
      <c r="I2162" s="131" t="s">
        <v>87</v>
      </c>
      <c r="J2162" s="132" t="s">
        <v>102</v>
      </c>
      <c r="K2162" s="130" t="s">
        <v>3243</v>
      </c>
      <c r="L2162" s="129" t="str">
        <f t="shared" si="35"/>
        <v>005-00000452</v>
      </c>
    </row>
    <row r="2163" spans="1:12" hidden="1" x14ac:dyDescent="0.25">
      <c r="A2163" s="130" t="s">
        <v>441</v>
      </c>
      <c r="B2163" s="130" t="s">
        <v>442</v>
      </c>
      <c r="C2163" s="132" t="s">
        <v>153</v>
      </c>
      <c r="D2163" s="129">
        <v>2</v>
      </c>
      <c r="E2163" s="129">
        <v>10.199</v>
      </c>
      <c r="F2163" s="129">
        <v>20.398</v>
      </c>
      <c r="G2163" s="129">
        <v>35</v>
      </c>
      <c r="H2163" s="129">
        <v>70</v>
      </c>
      <c r="I2163" s="131" t="s">
        <v>87</v>
      </c>
      <c r="J2163" s="132" t="s">
        <v>102</v>
      </c>
      <c r="K2163" s="130" t="s">
        <v>3243</v>
      </c>
      <c r="L2163" s="129" t="str">
        <f t="shared" si="35"/>
        <v>005-00000452</v>
      </c>
    </row>
    <row r="2164" spans="1:12" hidden="1" x14ac:dyDescent="0.25">
      <c r="A2164" s="130" t="s">
        <v>1592</v>
      </c>
      <c r="B2164" s="130" t="s">
        <v>1593</v>
      </c>
      <c r="C2164" s="132" t="s">
        <v>150</v>
      </c>
      <c r="D2164" s="129">
        <v>1</v>
      </c>
      <c r="E2164" s="129">
        <v>22.3535</v>
      </c>
      <c r="F2164" s="129">
        <v>22.3535</v>
      </c>
      <c r="G2164" s="129">
        <v>76.269997000000004</v>
      </c>
      <c r="H2164" s="129">
        <v>76.269997000000004</v>
      </c>
      <c r="I2164" s="131" t="s">
        <v>87</v>
      </c>
      <c r="J2164" s="132" t="s">
        <v>102</v>
      </c>
      <c r="K2164" s="130" t="s">
        <v>3247</v>
      </c>
      <c r="L2164" s="129" t="str">
        <f t="shared" si="35"/>
        <v>005-00000432</v>
      </c>
    </row>
    <row r="2165" spans="1:12" hidden="1" x14ac:dyDescent="0.25">
      <c r="A2165" s="130" t="s">
        <v>1518</v>
      </c>
      <c r="B2165" s="130" t="s">
        <v>1519</v>
      </c>
      <c r="C2165" s="132" t="s">
        <v>150</v>
      </c>
      <c r="D2165" s="129">
        <v>1</v>
      </c>
      <c r="E2165" s="129">
        <v>13.660699999999999</v>
      </c>
      <c r="F2165" s="129">
        <v>13.660699999999997</v>
      </c>
      <c r="G2165" s="129">
        <v>46.610199000000001</v>
      </c>
      <c r="H2165" s="129">
        <v>46.610198999999994</v>
      </c>
      <c r="I2165" s="131" t="s">
        <v>87</v>
      </c>
      <c r="J2165" s="132" t="s">
        <v>102</v>
      </c>
      <c r="K2165" s="130" t="s">
        <v>3244</v>
      </c>
      <c r="L2165" s="129" t="str">
        <f t="shared" si="35"/>
        <v>005-00000426</v>
      </c>
    </row>
    <row r="2166" spans="1:12" hidden="1" x14ac:dyDescent="0.25">
      <c r="A2166" s="130" t="s">
        <v>1075</v>
      </c>
      <c r="B2166" s="130" t="s">
        <v>1076</v>
      </c>
      <c r="C2166" s="132" t="s">
        <v>150</v>
      </c>
      <c r="D2166" s="129">
        <v>1</v>
      </c>
      <c r="E2166" s="129">
        <v>8.6930999999999994</v>
      </c>
      <c r="F2166" s="129">
        <v>8.6930999999999994</v>
      </c>
      <c r="G2166" s="129">
        <v>29.660999</v>
      </c>
      <c r="H2166" s="129">
        <v>29.660999000000007</v>
      </c>
      <c r="I2166" s="131" t="s">
        <v>87</v>
      </c>
      <c r="J2166" s="132" t="s">
        <v>102</v>
      </c>
      <c r="K2166" s="130" t="s">
        <v>3244</v>
      </c>
      <c r="L2166" s="129" t="str">
        <f t="shared" si="35"/>
        <v>005-00000426</v>
      </c>
    </row>
    <row r="2167" spans="1:12" hidden="1" x14ac:dyDescent="0.25">
      <c r="A2167" s="130" t="s">
        <v>350</v>
      </c>
      <c r="B2167" s="130" t="s">
        <v>351</v>
      </c>
      <c r="C2167" s="132" t="s">
        <v>150</v>
      </c>
      <c r="D2167" s="129">
        <v>2</v>
      </c>
      <c r="E2167" s="129">
        <v>27.321300999999998</v>
      </c>
      <c r="F2167" s="129">
        <v>54.642601999999997</v>
      </c>
      <c r="G2167" s="129">
        <v>93.220298999999997</v>
      </c>
      <c r="H2167" s="129">
        <v>186.44059799999999</v>
      </c>
      <c r="I2167" s="131" t="s">
        <v>87</v>
      </c>
      <c r="J2167" s="132" t="s">
        <v>102</v>
      </c>
      <c r="K2167" s="130" t="s">
        <v>3244</v>
      </c>
      <c r="L2167" s="129" t="str">
        <f t="shared" si="35"/>
        <v>005-00000426</v>
      </c>
    </row>
    <row r="2168" spans="1:12" hidden="1" x14ac:dyDescent="0.25">
      <c r="A2168" s="130" t="s">
        <v>2147</v>
      </c>
      <c r="B2168" s="130" t="s">
        <v>2148</v>
      </c>
      <c r="C2168" s="132" t="s">
        <v>150</v>
      </c>
      <c r="D2168" s="129">
        <v>1</v>
      </c>
      <c r="E2168" s="129">
        <v>3.7250999999999999</v>
      </c>
      <c r="F2168" s="129">
        <v>3.7250999999999999</v>
      </c>
      <c r="G2168" s="129">
        <v>12.71</v>
      </c>
      <c r="H2168" s="129">
        <v>12.71</v>
      </c>
      <c r="I2168" s="131" t="s">
        <v>87</v>
      </c>
      <c r="J2168" s="132" t="s">
        <v>102</v>
      </c>
      <c r="K2168" s="130" t="s">
        <v>3247</v>
      </c>
      <c r="L2168" s="129" t="str">
        <f t="shared" si="35"/>
        <v>005-00000432</v>
      </c>
    </row>
    <row r="2169" spans="1:12" hidden="1" x14ac:dyDescent="0.25">
      <c r="A2169" s="130" t="s">
        <v>2145</v>
      </c>
      <c r="B2169" s="130" t="s">
        <v>2146</v>
      </c>
      <c r="C2169" s="132" t="s">
        <v>150</v>
      </c>
      <c r="D2169" s="129">
        <v>1</v>
      </c>
      <c r="E2169" s="129">
        <v>27.094601000000001</v>
      </c>
      <c r="F2169" s="129">
        <v>27.094601000000001</v>
      </c>
      <c r="G2169" s="129">
        <v>93.220298999999997</v>
      </c>
      <c r="H2169" s="129">
        <v>93.220298999999997</v>
      </c>
      <c r="I2169" s="131" t="s">
        <v>87</v>
      </c>
      <c r="J2169" s="132" t="s">
        <v>102</v>
      </c>
      <c r="K2169" s="130" t="s">
        <v>3247</v>
      </c>
      <c r="L2169" s="129" t="str">
        <f t="shared" si="35"/>
        <v>005-00000432</v>
      </c>
    </row>
    <row r="2170" spans="1:12" hidden="1" x14ac:dyDescent="0.25">
      <c r="A2170" s="130" t="s">
        <v>212</v>
      </c>
      <c r="B2170" s="130" t="s">
        <v>213</v>
      </c>
      <c r="C2170" s="132" t="s">
        <v>153</v>
      </c>
      <c r="D2170" s="129">
        <v>1</v>
      </c>
      <c r="E2170" s="129">
        <v>10.159649999999999</v>
      </c>
      <c r="F2170" s="129">
        <v>10.159650000000001</v>
      </c>
      <c r="G2170" s="129">
        <v>35</v>
      </c>
      <c r="H2170" s="129">
        <v>35</v>
      </c>
      <c r="I2170" s="131" t="s">
        <v>87</v>
      </c>
      <c r="J2170" s="132" t="s">
        <v>102</v>
      </c>
      <c r="K2170" s="130" t="s">
        <v>3245</v>
      </c>
      <c r="L2170" s="129" t="str">
        <f t="shared" si="35"/>
        <v>005-00000435</v>
      </c>
    </row>
    <row r="2171" spans="1:12" hidden="1" x14ac:dyDescent="0.25">
      <c r="A2171" s="130" t="s">
        <v>212</v>
      </c>
      <c r="B2171" s="130" t="s">
        <v>213</v>
      </c>
      <c r="C2171" s="132" t="s">
        <v>153</v>
      </c>
      <c r="D2171" s="129">
        <v>1</v>
      </c>
      <c r="E2171" s="129">
        <v>10.257899999999999</v>
      </c>
      <c r="F2171" s="129">
        <v>10.257899999999999</v>
      </c>
      <c r="G2171" s="129">
        <v>35</v>
      </c>
      <c r="H2171" s="129">
        <v>35</v>
      </c>
      <c r="I2171" s="131" t="s">
        <v>87</v>
      </c>
      <c r="J2171" s="132" t="s">
        <v>102</v>
      </c>
      <c r="K2171" s="130" t="s">
        <v>3246</v>
      </c>
      <c r="L2171" s="129" t="str">
        <f t="shared" si="35"/>
        <v>005-00000429</v>
      </c>
    </row>
    <row r="2172" spans="1:12" hidden="1" x14ac:dyDescent="0.25">
      <c r="A2172" s="130" t="s">
        <v>546</v>
      </c>
      <c r="B2172" s="130" t="s">
        <v>547</v>
      </c>
      <c r="C2172" s="132" t="s">
        <v>153</v>
      </c>
      <c r="D2172" s="129">
        <v>1</v>
      </c>
      <c r="E2172" s="129">
        <v>22.26</v>
      </c>
      <c r="F2172" s="129">
        <v>22.26</v>
      </c>
      <c r="G2172" s="129">
        <v>76.271202000000002</v>
      </c>
      <c r="H2172" s="129">
        <v>76.271202000000002</v>
      </c>
      <c r="I2172" s="131" t="s">
        <v>87</v>
      </c>
      <c r="J2172" s="132" t="s">
        <v>102</v>
      </c>
      <c r="K2172" s="130" t="s">
        <v>3243</v>
      </c>
      <c r="L2172" s="129" t="str">
        <f t="shared" si="35"/>
        <v>005-00000452</v>
      </c>
    </row>
    <row r="2173" spans="1:12" hidden="1" x14ac:dyDescent="0.25">
      <c r="A2173" s="130" t="s">
        <v>1101</v>
      </c>
      <c r="B2173" s="130" t="s">
        <v>1102</v>
      </c>
      <c r="C2173" s="132" t="s">
        <v>226</v>
      </c>
      <c r="D2173" s="129">
        <v>1</v>
      </c>
      <c r="E2173" s="129">
        <v>54.380001</v>
      </c>
      <c r="F2173" s="129">
        <v>54.380001</v>
      </c>
      <c r="G2173" s="129">
        <v>185.1095</v>
      </c>
      <c r="H2173" s="129">
        <v>185.10949999999997</v>
      </c>
      <c r="I2173" s="131" t="s">
        <v>87</v>
      </c>
      <c r="J2173" s="132" t="s">
        <v>102</v>
      </c>
      <c r="K2173" s="130" t="s">
        <v>3242</v>
      </c>
      <c r="L2173" s="129" t="str">
        <f t="shared" si="35"/>
        <v>005-00000428</v>
      </c>
    </row>
    <row r="2174" spans="1:12" hidden="1" x14ac:dyDescent="0.25">
      <c r="A2174" s="130" t="s">
        <v>1101</v>
      </c>
      <c r="B2174" s="130" t="s">
        <v>1102</v>
      </c>
      <c r="C2174" s="132" t="s">
        <v>226</v>
      </c>
      <c r="D2174" s="129">
        <v>1</v>
      </c>
      <c r="E2174" s="129">
        <v>54.380001</v>
      </c>
      <c r="F2174" s="129">
        <v>54.380001</v>
      </c>
      <c r="G2174" s="129">
        <v>185.1095</v>
      </c>
      <c r="H2174" s="129">
        <v>185.10949999999997</v>
      </c>
      <c r="I2174" s="131" t="s">
        <v>87</v>
      </c>
      <c r="J2174" s="132" t="s">
        <v>102</v>
      </c>
      <c r="K2174" s="130" t="s">
        <v>3243</v>
      </c>
      <c r="L2174" s="129" t="str">
        <f t="shared" si="35"/>
        <v>005-00000452</v>
      </c>
    </row>
    <row r="2175" spans="1:12" hidden="1" x14ac:dyDescent="0.25">
      <c r="A2175" s="130" t="s">
        <v>1101</v>
      </c>
      <c r="B2175" s="130" t="s">
        <v>1102</v>
      </c>
      <c r="C2175" s="132" t="s">
        <v>226</v>
      </c>
      <c r="D2175" s="129">
        <v>1</v>
      </c>
      <c r="E2175" s="129">
        <v>54.380001</v>
      </c>
      <c r="F2175" s="129">
        <v>54.380001</v>
      </c>
      <c r="G2175" s="129">
        <v>185.1095</v>
      </c>
      <c r="H2175" s="129">
        <v>185.10949999999997</v>
      </c>
      <c r="I2175" s="131" t="s">
        <v>87</v>
      </c>
      <c r="J2175" s="132" t="s">
        <v>102</v>
      </c>
      <c r="K2175" s="130" t="s">
        <v>3244</v>
      </c>
      <c r="L2175" s="129" t="str">
        <f t="shared" si="35"/>
        <v>005-00000426</v>
      </c>
    </row>
    <row r="2176" spans="1:12" hidden="1" x14ac:dyDescent="0.25">
      <c r="A2176" s="130" t="s">
        <v>1061</v>
      </c>
      <c r="B2176" s="130" t="s">
        <v>1062</v>
      </c>
      <c r="C2176" s="132" t="s">
        <v>226</v>
      </c>
      <c r="D2176" s="129">
        <v>1</v>
      </c>
      <c r="E2176" s="129">
        <v>61.54000099999999</v>
      </c>
      <c r="F2176" s="129">
        <v>61.540001000000004</v>
      </c>
      <c r="G2176" s="129">
        <v>209.29750000000001</v>
      </c>
      <c r="H2176" s="129">
        <v>209.29750000000001</v>
      </c>
      <c r="I2176" s="131" t="s">
        <v>87</v>
      </c>
      <c r="J2176" s="132" t="s">
        <v>102</v>
      </c>
      <c r="K2176" s="130" t="s">
        <v>3247</v>
      </c>
      <c r="L2176" s="129" t="str">
        <f t="shared" si="35"/>
        <v>005-00000432</v>
      </c>
    </row>
    <row r="2177" spans="1:12" hidden="1" x14ac:dyDescent="0.25">
      <c r="A2177" s="130" t="s">
        <v>1081</v>
      </c>
      <c r="B2177" s="130" t="s">
        <v>1010</v>
      </c>
      <c r="C2177" s="132" t="s">
        <v>153</v>
      </c>
      <c r="D2177" s="129">
        <v>1</v>
      </c>
      <c r="E2177" s="129">
        <v>49.414000999999999</v>
      </c>
      <c r="F2177" s="129">
        <v>49.414000999999992</v>
      </c>
      <c r="G2177" s="129">
        <v>169.49001000000001</v>
      </c>
      <c r="H2177" s="129">
        <v>169.49001000000001</v>
      </c>
      <c r="I2177" s="131" t="s">
        <v>87</v>
      </c>
      <c r="J2177" s="132" t="s">
        <v>102</v>
      </c>
      <c r="K2177" s="130" t="s">
        <v>3244</v>
      </c>
      <c r="L2177" s="129" t="str">
        <f t="shared" si="35"/>
        <v>005-00000426</v>
      </c>
    </row>
    <row r="2178" spans="1:12" hidden="1" x14ac:dyDescent="0.25">
      <c r="A2178" s="130" t="s">
        <v>2144</v>
      </c>
      <c r="B2178" s="130" t="s">
        <v>460</v>
      </c>
      <c r="C2178" s="132" t="s">
        <v>150</v>
      </c>
      <c r="D2178" s="129">
        <v>1</v>
      </c>
      <c r="E2178" s="129">
        <v>6.1599001999999992</v>
      </c>
      <c r="F2178" s="129">
        <v>6.1599002000000009</v>
      </c>
      <c r="G2178" s="129">
        <v>21.190000999999999</v>
      </c>
      <c r="H2178" s="129">
        <v>21.190000999999992</v>
      </c>
      <c r="I2178" s="131" t="s">
        <v>87</v>
      </c>
      <c r="J2178" s="132" t="s">
        <v>102</v>
      </c>
      <c r="K2178" s="130" t="s">
        <v>3247</v>
      </c>
      <c r="L2178" s="129" t="str">
        <f t="shared" si="35"/>
        <v>005-00000432</v>
      </c>
    </row>
    <row r="2179" spans="1:12" hidden="1" x14ac:dyDescent="0.25">
      <c r="A2179" s="130" t="s">
        <v>2251</v>
      </c>
      <c r="B2179" s="130" t="s">
        <v>2252</v>
      </c>
      <c r="C2179" s="132" t="s">
        <v>150</v>
      </c>
      <c r="D2179" s="129">
        <v>1</v>
      </c>
      <c r="E2179" s="129">
        <v>49.776797999999999</v>
      </c>
      <c r="F2179" s="129">
        <v>49.776798000000007</v>
      </c>
      <c r="G2179" s="129">
        <v>169.49001000000001</v>
      </c>
      <c r="H2179" s="129">
        <v>169.49001000000001</v>
      </c>
      <c r="I2179" s="131" t="s">
        <v>87</v>
      </c>
      <c r="J2179" s="132" t="s">
        <v>102</v>
      </c>
      <c r="K2179" s="130" t="s">
        <v>3246</v>
      </c>
      <c r="L2179" s="129" t="str">
        <f t="shared" si="35"/>
        <v>005-00000429</v>
      </c>
    </row>
    <row r="2180" spans="1:12" hidden="1" x14ac:dyDescent="0.25">
      <c r="A2180" s="130" t="s">
        <v>227</v>
      </c>
      <c r="B2180" s="130" t="s">
        <v>194</v>
      </c>
      <c r="C2180" s="132" t="s">
        <v>88</v>
      </c>
      <c r="D2180" s="129">
        <v>1</v>
      </c>
      <c r="E2180" s="129">
        <v>1.6415</v>
      </c>
      <c r="F2180" s="129">
        <v>1.6414999999999997</v>
      </c>
      <c r="G2180" s="129">
        <v>5.4759001999999999</v>
      </c>
      <c r="H2180" s="129">
        <v>5.4759001999999999</v>
      </c>
      <c r="I2180" s="131" t="s">
        <v>87</v>
      </c>
      <c r="J2180" s="132" t="s">
        <v>102</v>
      </c>
      <c r="K2180" s="130" t="s">
        <v>2390</v>
      </c>
      <c r="L2180" s="129" t="str">
        <f t="shared" si="35"/>
        <v>005-00000313</v>
      </c>
    </row>
    <row r="2181" spans="1:12" hidden="1" x14ac:dyDescent="0.25">
      <c r="A2181" s="130" t="s">
        <v>1034</v>
      </c>
      <c r="B2181" s="130" t="s">
        <v>1035</v>
      </c>
      <c r="C2181" s="132" t="s">
        <v>88</v>
      </c>
      <c r="D2181" s="129">
        <v>1</v>
      </c>
      <c r="E2181" s="129">
        <v>10.5677</v>
      </c>
      <c r="F2181" s="129">
        <v>10.567700000000002</v>
      </c>
      <c r="G2181" s="129">
        <v>35.745998</v>
      </c>
      <c r="H2181" s="129">
        <v>35.745998</v>
      </c>
      <c r="I2181" s="131" t="s">
        <v>87</v>
      </c>
      <c r="J2181" s="132" t="s">
        <v>102</v>
      </c>
      <c r="K2181" s="130" t="s">
        <v>2390</v>
      </c>
      <c r="L2181" s="129" t="str">
        <f t="shared" si="35"/>
        <v>005-00000313</v>
      </c>
    </row>
    <row r="2182" spans="1:12" hidden="1" x14ac:dyDescent="0.25">
      <c r="A2182" s="130" t="s">
        <v>1466</v>
      </c>
      <c r="B2182" s="130" t="s">
        <v>1467</v>
      </c>
      <c r="C2182" s="132" t="s">
        <v>88</v>
      </c>
      <c r="D2182" s="129">
        <v>0.75</v>
      </c>
      <c r="E2182" s="129">
        <v>9.2980003</v>
      </c>
      <c r="F2182" s="129">
        <v>6.9735002249999987</v>
      </c>
      <c r="G2182" s="129">
        <v>30.900199999999998</v>
      </c>
      <c r="H2182" s="129">
        <v>23.175149999999999</v>
      </c>
      <c r="I2182" s="131" t="s">
        <v>87</v>
      </c>
      <c r="J2182" s="132" t="s">
        <v>102</v>
      </c>
      <c r="K2182" s="130" t="s">
        <v>2390</v>
      </c>
      <c r="L2182" s="129" t="str">
        <f t="shared" si="35"/>
        <v>005-00000313</v>
      </c>
    </row>
    <row r="2183" spans="1:12" hidden="1" x14ac:dyDescent="0.25">
      <c r="A2183" s="130" t="s">
        <v>1028</v>
      </c>
      <c r="B2183" s="130" t="s">
        <v>1029</v>
      </c>
      <c r="C2183" s="132" t="s">
        <v>150</v>
      </c>
      <c r="D2183" s="129">
        <v>1</v>
      </c>
      <c r="E2183" s="129">
        <v>1.5276999</v>
      </c>
      <c r="F2183" s="129">
        <v>1.5276999</v>
      </c>
      <c r="G2183" s="129">
        <v>5.0847001000000001</v>
      </c>
      <c r="H2183" s="129">
        <v>5.0847001000000001</v>
      </c>
      <c r="I2183" s="131" t="s">
        <v>87</v>
      </c>
      <c r="J2183" s="132" t="s">
        <v>102</v>
      </c>
      <c r="K2183" s="130" t="s">
        <v>2390</v>
      </c>
      <c r="L2183" s="129" t="str">
        <f t="shared" si="35"/>
        <v>005-00000313</v>
      </c>
    </row>
    <row r="2184" spans="1:12" hidden="1" x14ac:dyDescent="0.25">
      <c r="A2184" s="130" t="s">
        <v>2225</v>
      </c>
      <c r="B2184" s="130" t="s">
        <v>2226</v>
      </c>
      <c r="C2184" s="132" t="s">
        <v>153</v>
      </c>
      <c r="D2184" s="129">
        <v>1</v>
      </c>
      <c r="E2184" s="129">
        <v>8.7110003999999996</v>
      </c>
      <c r="F2184" s="129">
        <v>8.7110003999999979</v>
      </c>
      <c r="G2184" s="129">
        <v>29.660999</v>
      </c>
      <c r="H2184" s="129">
        <v>29.660999000000007</v>
      </c>
      <c r="I2184" s="131" t="s">
        <v>87</v>
      </c>
      <c r="J2184" s="132" t="s">
        <v>102</v>
      </c>
      <c r="K2184" s="130" t="s">
        <v>2390</v>
      </c>
      <c r="L2184" s="129" t="str">
        <f t="shared" si="35"/>
        <v>005-00000313</v>
      </c>
    </row>
    <row r="2185" spans="1:12" hidden="1" x14ac:dyDescent="0.25">
      <c r="A2185" s="130" t="s">
        <v>2222</v>
      </c>
      <c r="B2185" s="130" t="s">
        <v>2223</v>
      </c>
      <c r="C2185" s="132" t="s">
        <v>153</v>
      </c>
      <c r="D2185" s="129">
        <v>1</v>
      </c>
      <c r="E2185" s="129">
        <v>22.399799000000002</v>
      </c>
      <c r="F2185" s="129">
        <v>22.399799000000002</v>
      </c>
      <c r="G2185" s="129">
        <v>76.271202000000002</v>
      </c>
      <c r="H2185" s="129">
        <v>76.271202000000002</v>
      </c>
      <c r="I2185" s="131" t="s">
        <v>87</v>
      </c>
      <c r="J2185" s="132" t="s">
        <v>102</v>
      </c>
      <c r="K2185" s="130" t="s">
        <v>3242</v>
      </c>
      <c r="L2185" s="129" t="str">
        <f t="shared" si="35"/>
        <v>005-00000428</v>
      </c>
    </row>
    <row r="2186" spans="1:12" hidden="1" x14ac:dyDescent="0.25">
      <c r="A2186" s="130" t="s">
        <v>546</v>
      </c>
      <c r="B2186" s="130" t="s">
        <v>547</v>
      </c>
      <c r="C2186" s="132" t="s">
        <v>153</v>
      </c>
      <c r="D2186" s="129">
        <v>1</v>
      </c>
      <c r="E2186" s="129">
        <v>22.255300999999999</v>
      </c>
      <c r="F2186" s="129">
        <v>22.255300999999999</v>
      </c>
      <c r="G2186" s="129">
        <v>76.271202000000002</v>
      </c>
      <c r="H2186" s="129">
        <v>76.271202000000002</v>
      </c>
      <c r="I2186" s="131" t="s">
        <v>87</v>
      </c>
      <c r="J2186" s="132" t="s">
        <v>102</v>
      </c>
      <c r="K2186" s="130" t="s">
        <v>3244</v>
      </c>
      <c r="L2186" s="129" t="str">
        <f t="shared" si="35"/>
        <v>005-00000426</v>
      </c>
    </row>
    <row r="2187" spans="1:12" hidden="1" x14ac:dyDescent="0.25">
      <c r="A2187" s="130" t="s">
        <v>2460</v>
      </c>
      <c r="B2187" s="130" t="s">
        <v>2461</v>
      </c>
      <c r="C2187" s="132" t="s">
        <v>150</v>
      </c>
      <c r="D2187" s="129">
        <v>1</v>
      </c>
      <c r="E2187" s="129">
        <v>20.873301000000001</v>
      </c>
      <c r="F2187" s="129">
        <v>20.873301000000005</v>
      </c>
      <c r="G2187" s="129">
        <v>72.033896999999996</v>
      </c>
      <c r="H2187" s="129">
        <v>72.033896999999996</v>
      </c>
      <c r="I2187" s="131" t="s">
        <v>87</v>
      </c>
      <c r="J2187" s="132" t="s">
        <v>102</v>
      </c>
      <c r="K2187" s="130" t="s">
        <v>3248</v>
      </c>
      <c r="L2187" s="129" t="str">
        <f t="shared" si="35"/>
        <v>005-00000453</v>
      </c>
    </row>
    <row r="2188" spans="1:12" hidden="1" x14ac:dyDescent="0.25">
      <c r="A2188" s="130" t="s">
        <v>2251</v>
      </c>
      <c r="B2188" s="130" t="s">
        <v>2252</v>
      </c>
      <c r="C2188" s="132" t="s">
        <v>150</v>
      </c>
      <c r="D2188" s="129">
        <v>1</v>
      </c>
      <c r="E2188" s="129">
        <v>49.113300000000002</v>
      </c>
      <c r="F2188" s="129">
        <v>49.11330000000001</v>
      </c>
      <c r="G2188" s="129">
        <v>169.49001000000001</v>
      </c>
      <c r="H2188" s="129">
        <v>169.49001000000001</v>
      </c>
      <c r="I2188" s="131" t="s">
        <v>87</v>
      </c>
      <c r="J2188" s="132" t="s">
        <v>102</v>
      </c>
      <c r="K2188" s="130" t="s">
        <v>3243</v>
      </c>
      <c r="L2188" s="129" t="str">
        <f t="shared" si="35"/>
        <v>005-00000452</v>
      </c>
    </row>
    <row r="2189" spans="1:12" hidden="1" x14ac:dyDescent="0.25">
      <c r="A2189" s="130" t="s">
        <v>227</v>
      </c>
      <c r="B2189" s="130" t="s">
        <v>194</v>
      </c>
      <c r="C2189" s="132" t="s">
        <v>88</v>
      </c>
      <c r="D2189" s="129">
        <v>1</v>
      </c>
      <c r="E2189" s="129">
        <v>1.6415</v>
      </c>
      <c r="F2189" s="129">
        <v>1.6414999999999997</v>
      </c>
      <c r="G2189" s="129">
        <v>5.4759001999999999</v>
      </c>
      <c r="H2189" s="129">
        <v>5.4759001999999999</v>
      </c>
      <c r="I2189" s="131" t="s">
        <v>87</v>
      </c>
      <c r="J2189" s="132" t="s">
        <v>102</v>
      </c>
      <c r="K2189" s="130" t="s">
        <v>3241</v>
      </c>
      <c r="L2189" s="129" t="str">
        <f t="shared" si="35"/>
        <v>005-00000427</v>
      </c>
    </row>
    <row r="2190" spans="1:12" hidden="1" x14ac:dyDescent="0.25">
      <c r="A2190" s="130" t="s">
        <v>1028</v>
      </c>
      <c r="B2190" s="130" t="s">
        <v>1029</v>
      </c>
      <c r="C2190" s="132" t="s">
        <v>150</v>
      </c>
      <c r="D2190" s="129">
        <v>1</v>
      </c>
      <c r="E2190" s="129">
        <v>1.5276999</v>
      </c>
      <c r="F2190" s="129">
        <v>1.5276999</v>
      </c>
      <c r="G2190" s="129">
        <v>5.0847001000000001</v>
      </c>
      <c r="H2190" s="129">
        <v>5.0847001000000001</v>
      </c>
      <c r="I2190" s="131" t="s">
        <v>87</v>
      </c>
      <c r="J2190" s="132" t="s">
        <v>102</v>
      </c>
      <c r="K2190" s="130" t="s">
        <v>3241</v>
      </c>
      <c r="L2190" s="129" t="str">
        <f t="shared" si="35"/>
        <v>005-00000427</v>
      </c>
    </row>
    <row r="2191" spans="1:12" hidden="1" x14ac:dyDescent="0.25">
      <c r="A2191" s="130" t="s">
        <v>1034</v>
      </c>
      <c r="B2191" s="130" t="s">
        <v>1035</v>
      </c>
      <c r="C2191" s="132" t="s">
        <v>88</v>
      </c>
      <c r="D2191" s="129">
        <v>1</v>
      </c>
      <c r="E2191" s="129">
        <v>10.5677</v>
      </c>
      <c r="F2191" s="129">
        <v>10.567700000000002</v>
      </c>
      <c r="G2191" s="129">
        <v>35.745998</v>
      </c>
      <c r="H2191" s="129">
        <v>35.745998</v>
      </c>
      <c r="I2191" s="131" t="s">
        <v>87</v>
      </c>
      <c r="J2191" s="132" t="s">
        <v>102</v>
      </c>
      <c r="K2191" s="130" t="s">
        <v>3241</v>
      </c>
      <c r="L2191" s="129" t="str">
        <f t="shared" si="35"/>
        <v>005-00000427</v>
      </c>
    </row>
    <row r="2192" spans="1:12" hidden="1" x14ac:dyDescent="0.25">
      <c r="A2192" s="130" t="s">
        <v>1466</v>
      </c>
      <c r="B2192" s="130" t="s">
        <v>1467</v>
      </c>
      <c r="C2192" s="132" t="s">
        <v>88</v>
      </c>
      <c r="D2192" s="129">
        <v>0.75</v>
      </c>
      <c r="E2192" s="129">
        <v>9.2980003</v>
      </c>
      <c r="F2192" s="129">
        <v>6.9735002249999987</v>
      </c>
      <c r="G2192" s="129">
        <v>30.900199999999998</v>
      </c>
      <c r="H2192" s="129">
        <v>23.175149999999999</v>
      </c>
      <c r="I2192" s="131" t="s">
        <v>87</v>
      </c>
      <c r="J2192" s="132" t="s">
        <v>102</v>
      </c>
      <c r="K2192" s="130" t="s">
        <v>3241</v>
      </c>
      <c r="L2192" s="129" t="str">
        <f t="shared" si="35"/>
        <v>005-00000427</v>
      </c>
    </row>
    <row r="2193" spans="1:12" hidden="1" x14ac:dyDescent="0.25">
      <c r="A2193" s="130" t="s">
        <v>1465</v>
      </c>
      <c r="B2193" s="130" t="s">
        <v>160</v>
      </c>
      <c r="C2193" s="132" t="s">
        <v>150</v>
      </c>
      <c r="D2193" s="129">
        <v>2</v>
      </c>
      <c r="E2193" s="129">
        <v>1.4021999999999999</v>
      </c>
      <c r="F2193" s="129">
        <v>2.8043999999999998</v>
      </c>
      <c r="G2193" s="129">
        <v>4.6609997999999999</v>
      </c>
      <c r="H2193" s="129">
        <v>9.3219995999999998</v>
      </c>
      <c r="I2193" s="131" t="s">
        <v>87</v>
      </c>
      <c r="J2193" s="132" t="s">
        <v>102</v>
      </c>
      <c r="K2193" s="130" t="s">
        <v>3241</v>
      </c>
      <c r="L2193" s="129" t="str">
        <f t="shared" si="35"/>
        <v>005-00000427</v>
      </c>
    </row>
    <row r="2194" spans="1:12" hidden="1" x14ac:dyDescent="0.25">
      <c r="A2194" s="130" t="s">
        <v>1041</v>
      </c>
      <c r="B2194" s="130" t="s">
        <v>1042</v>
      </c>
      <c r="C2194" s="132" t="s">
        <v>150</v>
      </c>
      <c r="D2194" s="129">
        <v>1</v>
      </c>
      <c r="E2194" s="129">
        <v>1.524</v>
      </c>
      <c r="F2194" s="129">
        <v>1.5239999999999998</v>
      </c>
      <c r="G2194" s="129">
        <v>5.0847001000000001</v>
      </c>
      <c r="H2194" s="129">
        <v>5.0847001000000001</v>
      </c>
      <c r="I2194" s="131" t="s">
        <v>87</v>
      </c>
      <c r="J2194" s="132" t="s">
        <v>102</v>
      </c>
      <c r="K2194" s="130" t="s">
        <v>3242</v>
      </c>
      <c r="L2194" s="129" t="str">
        <f t="shared" si="35"/>
        <v>005-00000428</v>
      </c>
    </row>
    <row r="2195" spans="1:12" hidden="1" x14ac:dyDescent="0.25">
      <c r="A2195" s="130" t="s">
        <v>1034</v>
      </c>
      <c r="B2195" s="130" t="s">
        <v>1035</v>
      </c>
      <c r="C2195" s="132" t="s">
        <v>88</v>
      </c>
      <c r="D2195" s="129">
        <v>1</v>
      </c>
      <c r="E2195" s="129">
        <v>10.5677</v>
      </c>
      <c r="F2195" s="129">
        <v>10.567700000000002</v>
      </c>
      <c r="G2195" s="129">
        <v>35.745998</v>
      </c>
      <c r="H2195" s="129">
        <v>35.745998</v>
      </c>
      <c r="I2195" s="131" t="s">
        <v>87</v>
      </c>
      <c r="J2195" s="132" t="s">
        <v>102</v>
      </c>
      <c r="K2195" s="130" t="s">
        <v>3242</v>
      </c>
      <c r="L2195" s="129" t="str">
        <f t="shared" si="35"/>
        <v>005-00000428</v>
      </c>
    </row>
    <row r="2196" spans="1:12" hidden="1" x14ac:dyDescent="0.25">
      <c r="A2196" s="130" t="s">
        <v>1466</v>
      </c>
      <c r="B2196" s="130" t="s">
        <v>1467</v>
      </c>
      <c r="C2196" s="132" t="s">
        <v>88</v>
      </c>
      <c r="D2196" s="129">
        <v>0.75</v>
      </c>
      <c r="E2196" s="129">
        <v>9.2980003</v>
      </c>
      <c r="F2196" s="129">
        <v>6.9735002249999987</v>
      </c>
      <c r="G2196" s="129">
        <v>30.900199999999998</v>
      </c>
      <c r="H2196" s="129">
        <v>23.175149999999999</v>
      </c>
      <c r="I2196" s="131" t="s">
        <v>87</v>
      </c>
      <c r="J2196" s="132" t="s">
        <v>102</v>
      </c>
      <c r="K2196" s="130" t="s">
        <v>3242</v>
      </c>
      <c r="L2196" s="129" t="str">
        <f t="shared" si="35"/>
        <v>005-00000428</v>
      </c>
    </row>
    <row r="2197" spans="1:12" hidden="1" x14ac:dyDescent="0.25">
      <c r="A2197" s="130" t="s">
        <v>1465</v>
      </c>
      <c r="B2197" s="130" t="s">
        <v>160</v>
      </c>
      <c r="C2197" s="132" t="s">
        <v>150</v>
      </c>
      <c r="D2197" s="129">
        <v>2</v>
      </c>
      <c r="E2197" s="129">
        <v>1.4021999999999999</v>
      </c>
      <c r="F2197" s="129">
        <v>2.8043999999999998</v>
      </c>
      <c r="G2197" s="129">
        <v>4.6609997999999999</v>
      </c>
      <c r="H2197" s="129">
        <v>9.3219995999999998</v>
      </c>
      <c r="I2197" s="131" t="s">
        <v>87</v>
      </c>
      <c r="J2197" s="132" t="s">
        <v>102</v>
      </c>
      <c r="K2197" s="130" t="s">
        <v>3242</v>
      </c>
      <c r="L2197" s="129" t="str">
        <f t="shared" si="35"/>
        <v>005-00000428</v>
      </c>
    </row>
    <row r="2198" spans="1:12" hidden="1" x14ac:dyDescent="0.25">
      <c r="A2198" s="130" t="s">
        <v>227</v>
      </c>
      <c r="B2198" s="130" t="s">
        <v>194</v>
      </c>
      <c r="C2198" s="132" t="s">
        <v>88</v>
      </c>
      <c r="D2198" s="129">
        <v>1</v>
      </c>
      <c r="E2198" s="129">
        <v>1.6415</v>
      </c>
      <c r="F2198" s="129">
        <v>1.6414999999999997</v>
      </c>
      <c r="G2198" s="129">
        <v>5.4759001999999999</v>
      </c>
      <c r="H2198" s="129">
        <v>5.4759001999999999</v>
      </c>
      <c r="I2198" s="131" t="s">
        <v>87</v>
      </c>
      <c r="J2198" s="132" t="s">
        <v>102</v>
      </c>
      <c r="K2198" s="130" t="s">
        <v>3242</v>
      </c>
      <c r="L2198" s="129" t="str">
        <f t="shared" si="35"/>
        <v>005-00000428</v>
      </c>
    </row>
    <row r="2199" spans="1:12" hidden="1" x14ac:dyDescent="0.25">
      <c r="A2199" s="130" t="s">
        <v>2222</v>
      </c>
      <c r="B2199" s="130" t="s">
        <v>2223</v>
      </c>
      <c r="C2199" s="132" t="s">
        <v>153</v>
      </c>
      <c r="D2199" s="129">
        <v>1</v>
      </c>
      <c r="E2199" s="129">
        <v>22.399799000000002</v>
      </c>
      <c r="F2199" s="129">
        <v>22.399799000000002</v>
      </c>
      <c r="G2199" s="129">
        <v>76.271202000000002</v>
      </c>
      <c r="H2199" s="129">
        <v>76.271202000000002</v>
      </c>
      <c r="I2199" s="131" t="s">
        <v>87</v>
      </c>
      <c r="J2199" s="132" t="s">
        <v>102</v>
      </c>
      <c r="K2199" s="130" t="s">
        <v>3244</v>
      </c>
      <c r="L2199" s="129" t="str">
        <f t="shared" si="35"/>
        <v>005-00000426</v>
      </c>
    </row>
    <row r="2200" spans="1:12" hidden="1" x14ac:dyDescent="0.25">
      <c r="A2200" s="130" t="s">
        <v>1654</v>
      </c>
      <c r="B2200" s="130" t="s">
        <v>1655</v>
      </c>
      <c r="C2200" s="132" t="s">
        <v>150</v>
      </c>
      <c r="D2200" s="129">
        <v>1</v>
      </c>
      <c r="E2200" s="129">
        <v>22.236499999999999</v>
      </c>
      <c r="F2200" s="129">
        <v>22.236499999999996</v>
      </c>
      <c r="G2200" s="129">
        <v>76.271202000000002</v>
      </c>
      <c r="H2200" s="129">
        <v>76.271202000000002</v>
      </c>
      <c r="I2200" s="131" t="s">
        <v>87</v>
      </c>
      <c r="J2200" s="132" t="s">
        <v>102</v>
      </c>
      <c r="K2200" s="130" t="s">
        <v>3244</v>
      </c>
      <c r="L2200" s="129" t="str">
        <f t="shared" si="35"/>
        <v>005-00000426</v>
      </c>
    </row>
    <row r="2201" spans="1:12" hidden="1" x14ac:dyDescent="0.25">
      <c r="A2201" s="130" t="s">
        <v>495</v>
      </c>
      <c r="B2201" s="130" t="s">
        <v>496</v>
      </c>
      <c r="C2201" s="132" t="s">
        <v>150</v>
      </c>
      <c r="D2201" s="129">
        <v>1</v>
      </c>
      <c r="E2201" s="129">
        <v>9.8829001999999999</v>
      </c>
      <c r="F2201" s="129">
        <v>9.8829001999999999</v>
      </c>
      <c r="G2201" s="129">
        <v>33.898299999999999</v>
      </c>
      <c r="H2201" s="129">
        <v>33.898299999999999</v>
      </c>
      <c r="I2201" s="131" t="s">
        <v>87</v>
      </c>
      <c r="J2201" s="132" t="s">
        <v>102</v>
      </c>
      <c r="K2201" s="130" t="s">
        <v>3244</v>
      </c>
      <c r="L2201" s="129" t="str">
        <f t="shared" si="35"/>
        <v>005-00000426</v>
      </c>
    </row>
    <row r="2202" spans="1:12" hidden="1" x14ac:dyDescent="0.25">
      <c r="A2202" s="130" t="s">
        <v>1071</v>
      </c>
      <c r="B2202" s="130" t="s">
        <v>1072</v>
      </c>
      <c r="C2202" s="132" t="s">
        <v>150</v>
      </c>
      <c r="D2202" s="129">
        <v>1</v>
      </c>
      <c r="E2202" s="129">
        <v>2.2618999</v>
      </c>
      <c r="F2202" s="129">
        <v>2.2618998999999995</v>
      </c>
      <c r="G2202" s="129">
        <v>7.6271000000000004</v>
      </c>
      <c r="H2202" s="129">
        <v>7.6271000000000004</v>
      </c>
      <c r="I2202" s="131" t="s">
        <v>87</v>
      </c>
      <c r="J2202" s="132" t="s">
        <v>102</v>
      </c>
      <c r="K2202" s="130" t="s">
        <v>3243</v>
      </c>
      <c r="L2202" s="129" t="str">
        <f t="shared" si="35"/>
        <v>005-00000452</v>
      </c>
    </row>
    <row r="2203" spans="1:12" hidden="1" x14ac:dyDescent="0.25">
      <c r="A2203" s="130" t="s">
        <v>1028</v>
      </c>
      <c r="B2203" s="130" t="s">
        <v>1029</v>
      </c>
      <c r="C2203" s="132" t="s">
        <v>150</v>
      </c>
      <c r="D2203" s="129">
        <v>1</v>
      </c>
      <c r="E2203" s="129">
        <v>1.5276999</v>
      </c>
      <c r="F2203" s="129">
        <v>1.5276999</v>
      </c>
      <c r="G2203" s="129">
        <v>5.0847001000000001</v>
      </c>
      <c r="H2203" s="129">
        <v>5.0847001000000001</v>
      </c>
      <c r="I2203" s="131" t="s">
        <v>87</v>
      </c>
      <c r="J2203" s="132" t="s">
        <v>102</v>
      </c>
      <c r="K2203" s="130" t="s">
        <v>3243</v>
      </c>
      <c r="L2203" s="129" t="str">
        <f t="shared" si="35"/>
        <v>005-00000452</v>
      </c>
    </row>
    <row r="2204" spans="1:12" hidden="1" x14ac:dyDescent="0.25">
      <c r="A2204" s="130" t="s">
        <v>1034</v>
      </c>
      <c r="B2204" s="130" t="s">
        <v>1035</v>
      </c>
      <c r="C2204" s="132" t="s">
        <v>88</v>
      </c>
      <c r="D2204" s="129">
        <v>1</v>
      </c>
      <c r="E2204" s="129">
        <v>10.5677</v>
      </c>
      <c r="F2204" s="129">
        <v>10.567700000000002</v>
      </c>
      <c r="G2204" s="129">
        <v>35.745998</v>
      </c>
      <c r="H2204" s="129">
        <v>35.745998</v>
      </c>
      <c r="I2204" s="131" t="s">
        <v>87</v>
      </c>
      <c r="J2204" s="132" t="s">
        <v>102</v>
      </c>
      <c r="K2204" s="130" t="s">
        <v>3243</v>
      </c>
      <c r="L2204" s="129" t="str">
        <f t="shared" si="35"/>
        <v>005-00000452</v>
      </c>
    </row>
    <row r="2205" spans="1:12" hidden="1" x14ac:dyDescent="0.25">
      <c r="A2205" s="130" t="s">
        <v>1466</v>
      </c>
      <c r="B2205" s="130" t="s">
        <v>1467</v>
      </c>
      <c r="C2205" s="132" t="s">
        <v>88</v>
      </c>
      <c r="D2205" s="129">
        <v>0.75</v>
      </c>
      <c r="E2205" s="129">
        <v>9.2980003</v>
      </c>
      <c r="F2205" s="129">
        <v>6.9735002249999987</v>
      </c>
      <c r="G2205" s="129">
        <v>30.900199999999998</v>
      </c>
      <c r="H2205" s="129">
        <v>23.175149999999999</v>
      </c>
      <c r="I2205" s="131" t="s">
        <v>87</v>
      </c>
      <c r="J2205" s="132" t="s">
        <v>102</v>
      </c>
      <c r="K2205" s="130" t="s">
        <v>3243</v>
      </c>
      <c r="L2205" s="129" t="str">
        <f t="shared" si="35"/>
        <v>005-00000452</v>
      </c>
    </row>
    <row r="2206" spans="1:12" hidden="1" x14ac:dyDescent="0.25">
      <c r="A2206" s="130" t="s">
        <v>1465</v>
      </c>
      <c r="B2206" s="130" t="s">
        <v>160</v>
      </c>
      <c r="C2206" s="132" t="s">
        <v>150</v>
      </c>
      <c r="D2206" s="129">
        <v>2</v>
      </c>
      <c r="E2206" s="129">
        <v>1.4021999999999999</v>
      </c>
      <c r="F2206" s="129">
        <v>2.8043999999999998</v>
      </c>
      <c r="G2206" s="129">
        <v>4.6609997999999999</v>
      </c>
      <c r="H2206" s="129">
        <v>9.3219995999999998</v>
      </c>
      <c r="I2206" s="131" t="s">
        <v>87</v>
      </c>
      <c r="J2206" s="132" t="s">
        <v>102</v>
      </c>
      <c r="K2206" s="130" t="s">
        <v>3243</v>
      </c>
      <c r="L2206" s="129" t="str">
        <f t="shared" si="35"/>
        <v>005-00000452</v>
      </c>
    </row>
    <row r="2207" spans="1:12" hidden="1" x14ac:dyDescent="0.25">
      <c r="A2207" s="130" t="s">
        <v>227</v>
      </c>
      <c r="B2207" s="130" t="s">
        <v>194</v>
      </c>
      <c r="C2207" s="132" t="s">
        <v>88</v>
      </c>
      <c r="D2207" s="129">
        <v>1</v>
      </c>
      <c r="E2207" s="129">
        <v>1.6415</v>
      </c>
      <c r="F2207" s="129">
        <v>1.6414999999999997</v>
      </c>
      <c r="G2207" s="129">
        <v>5.4759001999999999</v>
      </c>
      <c r="H2207" s="129">
        <v>5.4759001999999999</v>
      </c>
      <c r="I2207" s="131" t="s">
        <v>87</v>
      </c>
      <c r="J2207" s="132" t="s">
        <v>102</v>
      </c>
      <c r="K2207" s="130" t="s">
        <v>3243</v>
      </c>
      <c r="L2207" s="129" t="str">
        <f t="shared" si="35"/>
        <v>005-00000452</v>
      </c>
    </row>
    <row r="2208" spans="1:12" hidden="1" x14ac:dyDescent="0.25">
      <c r="A2208" s="130" t="s">
        <v>1465</v>
      </c>
      <c r="B2208" s="130" t="s">
        <v>160</v>
      </c>
      <c r="C2208" s="132" t="s">
        <v>150</v>
      </c>
      <c r="D2208" s="129">
        <v>1</v>
      </c>
      <c r="E2208" s="129">
        <v>1.4021999999999999</v>
      </c>
      <c r="F2208" s="129">
        <v>1.4021999999999999</v>
      </c>
      <c r="G2208" s="129">
        <v>4.6609997999999999</v>
      </c>
      <c r="H2208" s="129">
        <v>4.6609997999999999</v>
      </c>
      <c r="I2208" s="131" t="s">
        <v>87</v>
      </c>
      <c r="J2208" s="132" t="s">
        <v>102</v>
      </c>
      <c r="K2208" s="130" t="s">
        <v>3244</v>
      </c>
      <c r="L2208" s="129" t="str">
        <f t="shared" si="35"/>
        <v>005-00000426</v>
      </c>
    </row>
    <row r="2209" spans="1:12" hidden="1" x14ac:dyDescent="0.25">
      <c r="A2209" s="130" t="s">
        <v>1071</v>
      </c>
      <c r="B2209" s="130" t="s">
        <v>1072</v>
      </c>
      <c r="C2209" s="132" t="s">
        <v>150</v>
      </c>
      <c r="D2209" s="129">
        <v>1</v>
      </c>
      <c r="E2209" s="129">
        <v>2.2618999</v>
      </c>
      <c r="F2209" s="129">
        <v>2.2618998999999995</v>
      </c>
      <c r="G2209" s="129">
        <v>7.6271000000000004</v>
      </c>
      <c r="H2209" s="129">
        <v>7.6271000000000004</v>
      </c>
      <c r="I2209" s="131" t="s">
        <v>87</v>
      </c>
      <c r="J2209" s="132" t="s">
        <v>102</v>
      </c>
      <c r="K2209" s="130" t="s">
        <v>3244</v>
      </c>
      <c r="L2209" s="129" t="str">
        <f t="shared" ref="L2209:L2213" si="36">CONCATENATE(J2209,"-",K2209)</f>
        <v>005-00000426</v>
      </c>
    </row>
    <row r="2210" spans="1:12" hidden="1" x14ac:dyDescent="0.25">
      <c r="A2210" s="130" t="s">
        <v>1041</v>
      </c>
      <c r="B2210" s="130" t="s">
        <v>1042</v>
      </c>
      <c r="C2210" s="132" t="s">
        <v>150</v>
      </c>
      <c r="D2210" s="129">
        <v>1</v>
      </c>
      <c r="E2210" s="129">
        <v>1.524</v>
      </c>
      <c r="F2210" s="129">
        <v>1.5239999999999998</v>
      </c>
      <c r="G2210" s="129">
        <v>5.0847001000000001</v>
      </c>
      <c r="H2210" s="129">
        <v>5.0847001000000001</v>
      </c>
      <c r="I2210" s="131" t="s">
        <v>87</v>
      </c>
      <c r="J2210" s="132" t="s">
        <v>102</v>
      </c>
      <c r="K2210" s="130" t="s">
        <v>3244</v>
      </c>
      <c r="L2210" s="129" t="str">
        <f t="shared" si="36"/>
        <v>005-00000426</v>
      </c>
    </row>
    <row r="2211" spans="1:12" hidden="1" x14ac:dyDescent="0.25">
      <c r="A2211" s="130" t="s">
        <v>1034</v>
      </c>
      <c r="B2211" s="130" t="s">
        <v>1035</v>
      </c>
      <c r="C2211" s="132" t="s">
        <v>88</v>
      </c>
      <c r="D2211" s="129">
        <v>1</v>
      </c>
      <c r="E2211" s="129">
        <v>10.5677</v>
      </c>
      <c r="F2211" s="129">
        <v>10.567700000000002</v>
      </c>
      <c r="G2211" s="129">
        <v>35.745998</v>
      </c>
      <c r="H2211" s="129">
        <v>35.745998</v>
      </c>
      <c r="I2211" s="131" t="s">
        <v>87</v>
      </c>
      <c r="J2211" s="132" t="s">
        <v>102</v>
      </c>
      <c r="K2211" s="130" t="s">
        <v>3244</v>
      </c>
      <c r="L2211" s="129" t="str">
        <f t="shared" si="36"/>
        <v>005-00000426</v>
      </c>
    </row>
    <row r="2212" spans="1:12" hidden="1" x14ac:dyDescent="0.25">
      <c r="A2212" s="130" t="s">
        <v>1466</v>
      </c>
      <c r="B2212" s="130" t="s">
        <v>1467</v>
      </c>
      <c r="C2212" s="132" t="s">
        <v>88</v>
      </c>
      <c r="D2212" s="129">
        <v>0.75</v>
      </c>
      <c r="E2212" s="129">
        <v>9.2980003</v>
      </c>
      <c r="F2212" s="129">
        <v>6.9735002249999987</v>
      </c>
      <c r="G2212" s="129">
        <v>30.900199999999998</v>
      </c>
      <c r="H2212" s="129">
        <v>23.175149999999999</v>
      </c>
      <c r="I2212" s="131" t="s">
        <v>87</v>
      </c>
      <c r="J2212" s="132" t="s">
        <v>102</v>
      </c>
      <c r="K2212" s="130" t="s">
        <v>3244</v>
      </c>
      <c r="L2212" s="129" t="str">
        <f t="shared" si="36"/>
        <v>005-00000426</v>
      </c>
    </row>
    <row r="2213" spans="1:12" hidden="1" x14ac:dyDescent="0.25">
      <c r="A2213" s="130" t="s">
        <v>227</v>
      </c>
      <c r="B2213" s="130" t="s">
        <v>194</v>
      </c>
      <c r="C2213" s="132" t="s">
        <v>88</v>
      </c>
      <c r="D2213" s="129">
        <v>1</v>
      </c>
      <c r="E2213" s="129">
        <v>1.6415</v>
      </c>
      <c r="F2213" s="129">
        <v>1.6414999999999997</v>
      </c>
      <c r="G2213" s="129">
        <v>5.4759001999999999</v>
      </c>
      <c r="H2213" s="129">
        <v>5.4759001999999999</v>
      </c>
      <c r="I2213" s="131" t="s">
        <v>87</v>
      </c>
      <c r="J2213" s="132" t="s">
        <v>102</v>
      </c>
      <c r="K2213" s="130" t="s">
        <v>3244</v>
      </c>
      <c r="L2213" s="129" t="str">
        <f t="shared" si="36"/>
        <v>005-00000426</v>
      </c>
    </row>
    <row r="2214" spans="1:12" hidden="1" x14ac:dyDescent="0.25">
      <c r="A2214" s="6"/>
      <c r="B2214" s="6"/>
      <c r="C2214" s="11"/>
      <c r="D2214" s="13"/>
      <c r="E2214" s="13"/>
      <c r="F2214" s="13"/>
      <c r="G2214" s="13"/>
      <c r="H2214" s="13"/>
      <c r="I2214" s="10"/>
      <c r="J2214" s="11"/>
      <c r="K2214" s="6"/>
      <c r="L2214" s="13"/>
    </row>
    <row r="2215" spans="1:12" hidden="1" x14ac:dyDescent="0.25">
      <c r="A2215" s="6"/>
      <c r="B2215" s="6"/>
      <c r="C2215" s="11"/>
      <c r="D2215" s="13"/>
      <c r="E2215" s="13"/>
      <c r="F2215" s="13"/>
      <c r="G2215" s="13"/>
      <c r="H2215" s="13"/>
      <c r="I2215" s="10"/>
      <c r="J2215" s="11"/>
      <c r="K2215" s="6"/>
      <c r="L2215" s="13"/>
    </row>
    <row r="2216" spans="1:12" hidden="1" x14ac:dyDescent="0.25">
      <c r="A2216" s="6"/>
      <c r="B2216" s="6"/>
      <c r="C2216" s="11"/>
      <c r="D2216" s="13"/>
      <c r="E2216" s="13"/>
      <c r="F2216" s="13"/>
      <c r="G2216" s="13"/>
      <c r="H2216" s="13"/>
      <c r="I2216" s="10"/>
      <c r="J2216" s="11"/>
      <c r="K2216" s="6"/>
      <c r="L2216" s="13"/>
    </row>
    <row r="2217" spans="1:12" hidden="1" x14ac:dyDescent="0.25">
      <c r="A2217" s="6"/>
      <c r="B2217" s="6"/>
      <c r="C2217" s="11"/>
      <c r="D2217" s="13"/>
      <c r="E2217" s="13"/>
      <c r="F2217" s="13"/>
      <c r="G2217" s="13"/>
      <c r="H2217" s="13"/>
      <c r="I2217" s="10"/>
      <c r="J2217" s="11"/>
      <c r="K2217" s="6"/>
      <c r="L2217" s="13"/>
    </row>
    <row r="2218" spans="1:12" hidden="1" x14ac:dyDescent="0.25">
      <c r="A2218" s="6"/>
      <c r="B2218" s="6"/>
      <c r="C2218" s="11"/>
      <c r="D2218" s="13"/>
      <c r="E2218" s="13"/>
      <c r="F2218" s="13"/>
      <c r="G2218" s="13"/>
      <c r="H2218" s="13"/>
      <c r="I2218" s="10"/>
      <c r="J2218" s="11"/>
      <c r="K2218" s="6"/>
      <c r="L2218" s="13"/>
    </row>
    <row r="2219" spans="1:12" hidden="1" x14ac:dyDescent="0.25">
      <c r="A2219" s="6"/>
      <c r="B2219" s="6"/>
      <c r="C2219" s="11"/>
      <c r="D2219" s="13"/>
      <c r="E2219" s="13"/>
      <c r="F2219" s="13"/>
      <c r="G2219" s="13"/>
      <c r="H2219" s="13"/>
      <c r="I2219" s="10"/>
      <c r="J2219" s="11"/>
      <c r="K2219" s="6"/>
      <c r="L2219" s="13"/>
    </row>
    <row r="2220" spans="1:12" hidden="1" x14ac:dyDescent="0.25">
      <c r="A2220" s="6"/>
      <c r="B2220" s="6"/>
      <c r="C2220" s="11"/>
      <c r="D2220" s="13"/>
      <c r="E2220" s="13"/>
      <c r="F2220" s="13"/>
      <c r="G2220" s="13"/>
      <c r="H2220" s="13"/>
      <c r="I2220" s="10"/>
      <c r="J2220" s="11"/>
      <c r="K2220" s="6"/>
      <c r="L2220" s="13"/>
    </row>
    <row r="2221" spans="1:12" hidden="1" x14ac:dyDescent="0.25">
      <c r="A2221" s="6"/>
      <c r="B2221" s="6"/>
      <c r="C2221" s="11"/>
      <c r="D2221" s="13"/>
      <c r="E2221" s="13"/>
      <c r="F2221" s="13"/>
      <c r="G2221" s="13"/>
      <c r="H2221" s="13"/>
      <c r="I2221" s="10"/>
      <c r="J2221" s="11"/>
      <c r="K2221" s="6"/>
      <c r="L2221" s="13"/>
    </row>
    <row r="2222" spans="1:12" hidden="1" x14ac:dyDescent="0.25">
      <c r="A2222" s="6"/>
      <c r="B2222" s="6"/>
      <c r="C2222" s="11"/>
      <c r="D2222" s="13"/>
      <c r="E2222" s="13"/>
      <c r="F2222" s="13"/>
      <c r="G2222" s="13"/>
      <c r="H2222" s="13"/>
      <c r="I2222" s="10"/>
      <c r="J2222" s="11"/>
      <c r="K2222" s="6"/>
      <c r="L2222" s="13"/>
    </row>
    <row r="2223" spans="1:12" hidden="1" x14ac:dyDescent="0.25">
      <c r="A2223" s="6"/>
      <c r="B2223" s="6"/>
      <c r="C2223" s="11"/>
      <c r="D2223" s="13"/>
      <c r="E2223" s="13"/>
      <c r="F2223" s="13"/>
      <c r="G2223" s="13"/>
      <c r="H2223" s="13"/>
      <c r="I2223" s="10"/>
      <c r="J2223" s="11"/>
      <c r="K2223" s="6"/>
      <c r="L2223" s="13"/>
    </row>
    <row r="2224" spans="1:12" hidden="1" x14ac:dyDescent="0.25">
      <c r="A2224" s="6"/>
      <c r="B2224" s="6"/>
      <c r="C2224" s="11"/>
      <c r="D2224" s="13"/>
      <c r="E2224" s="13"/>
      <c r="F2224" s="13"/>
      <c r="G2224" s="13"/>
      <c r="H2224" s="13"/>
      <c r="I2224" s="10"/>
      <c r="J2224" s="11"/>
      <c r="K2224" s="6"/>
      <c r="L2224" s="13"/>
    </row>
    <row r="2225" spans="1:12" hidden="1" x14ac:dyDescent="0.25">
      <c r="A2225" s="6"/>
      <c r="B2225" s="6"/>
      <c r="C2225" s="11"/>
      <c r="D2225" s="13"/>
      <c r="E2225" s="13"/>
      <c r="F2225" s="13"/>
      <c r="G2225" s="13"/>
      <c r="H2225" s="13"/>
      <c r="I2225" s="10"/>
      <c r="J2225" s="11"/>
      <c r="K2225" s="6"/>
      <c r="L2225" s="13"/>
    </row>
    <row r="2226" spans="1:12" hidden="1" x14ac:dyDescent="0.25">
      <c r="A2226" s="6"/>
      <c r="B2226" s="6"/>
      <c r="C2226" s="11"/>
      <c r="D2226" s="13"/>
      <c r="E2226" s="13"/>
      <c r="F2226" s="13"/>
      <c r="G2226" s="13"/>
      <c r="H2226" s="13"/>
      <c r="I2226" s="10"/>
      <c r="J2226" s="11"/>
      <c r="K2226" s="6"/>
      <c r="L2226" s="13"/>
    </row>
    <row r="2227" spans="1:12" hidden="1" x14ac:dyDescent="0.25">
      <c r="A2227" s="6"/>
      <c r="B2227" s="6"/>
      <c r="C2227" s="11"/>
      <c r="D2227" s="13"/>
      <c r="E2227" s="13"/>
      <c r="F2227" s="13"/>
      <c r="G2227" s="13"/>
      <c r="H2227" s="13"/>
      <c r="I2227" s="10"/>
      <c r="J2227" s="11"/>
      <c r="K2227" s="6"/>
      <c r="L2227" s="13"/>
    </row>
    <row r="2228" spans="1:12" hidden="1" x14ac:dyDescent="0.25">
      <c r="A2228" s="6"/>
      <c r="B2228" s="6"/>
      <c r="C2228" s="11"/>
      <c r="D2228" s="13"/>
      <c r="E2228" s="13"/>
      <c r="F2228" s="13"/>
      <c r="G2228" s="13"/>
      <c r="H2228" s="13"/>
      <c r="I2228" s="10"/>
      <c r="J2228" s="11"/>
      <c r="K2228" s="6"/>
      <c r="L2228" s="13"/>
    </row>
    <row r="2229" spans="1:12" hidden="1" x14ac:dyDescent="0.25">
      <c r="A2229" s="6"/>
      <c r="B2229" s="6"/>
      <c r="C2229" s="11"/>
      <c r="D2229" s="13"/>
      <c r="E2229" s="13"/>
      <c r="F2229" s="13"/>
      <c r="G2229" s="13"/>
      <c r="H2229" s="13"/>
      <c r="I2229" s="10"/>
      <c r="J2229" s="11"/>
      <c r="K2229" s="6"/>
      <c r="L2229" s="13"/>
    </row>
    <row r="2230" spans="1:12" hidden="1" x14ac:dyDescent="0.25">
      <c r="A2230" s="6"/>
      <c r="B2230" s="6"/>
      <c r="C2230" s="11"/>
      <c r="D2230" s="13"/>
      <c r="E2230" s="13"/>
      <c r="F2230" s="13"/>
      <c r="G2230" s="13"/>
      <c r="H2230" s="13"/>
      <c r="I2230" s="10"/>
      <c r="J2230" s="11"/>
      <c r="K2230" s="6"/>
      <c r="L2230" s="13"/>
    </row>
    <row r="2231" spans="1:12" hidden="1" x14ac:dyDescent="0.25">
      <c r="A2231" s="6"/>
      <c r="B2231" s="6"/>
      <c r="C2231" s="11"/>
      <c r="D2231" s="13"/>
      <c r="E2231" s="13"/>
      <c r="F2231" s="13"/>
      <c r="G2231" s="13"/>
      <c r="H2231" s="13"/>
      <c r="I2231" s="10"/>
      <c r="J2231" s="11"/>
      <c r="K2231" s="6"/>
      <c r="L2231" s="13"/>
    </row>
    <row r="2232" spans="1:12" hidden="1" x14ac:dyDescent="0.25">
      <c r="A2232" s="6"/>
      <c r="B2232" s="6"/>
      <c r="C2232" s="11"/>
      <c r="D2232" s="13"/>
      <c r="E2232" s="13"/>
      <c r="F2232" s="13"/>
      <c r="G2232" s="13"/>
      <c r="H2232" s="13"/>
      <c r="I2232" s="10"/>
      <c r="J2232" s="11"/>
      <c r="K2232" s="6"/>
      <c r="L2232" s="13"/>
    </row>
    <row r="2233" spans="1:12" hidden="1" x14ac:dyDescent="0.25">
      <c r="A2233" s="6"/>
      <c r="B2233" s="6"/>
      <c r="C2233" s="11"/>
      <c r="D2233" s="13"/>
      <c r="E2233" s="13"/>
      <c r="F2233" s="13"/>
      <c r="G2233" s="13"/>
      <c r="H2233" s="13"/>
      <c r="I2233" s="10"/>
      <c r="J2233" s="11"/>
      <c r="K2233" s="6"/>
      <c r="L2233" s="13"/>
    </row>
    <row r="2234" spans="1:12" hidden="1" x14ac:dyDescent="0.25">
      <c r="A2234" s="6"/>
      <c r="B2234" s="6"/>
      <c r="C2234" s="11"/>
      <c r="D2234" s="13"/>
      <c r="E2234" s="13"/>
      <c r="F2234" s="13"/>
      <c r="G2234" s="13"/>
      <c r="H2234" s="13"/>
      <c r="I2234" s="10"/>
      <c r="J2234" s="11"/>
      <c r="K2234" s="6"/>
      <c r="L2234" s="13"/>
    </row>
    <row r="2235" spans="1:12" hidden="1" x14ac:dyDescent="0.25">
      <c r="A2235" s="6"/>
      <c r="B2235" s="6"/>
      <c r="C2235" s="11"/>
      <c r="D2235" s="13"/>
      <c r="E2235" s="13"/>
      <c r="F2235" s="13"/>
      <c r="G2235" s="13"/>
      <c r="H2235" s="13"/>
      <c r="I2235" s="10"/>
      <c r="J2235" s="11"/>
      <c r="K2235" s="6"/>
      <c r="L2235" s="13"/>
    </row>
    <row r="2236" spans="1:12" hidden="1" x14ac:dyDescent="0.25">
      <c r="A2236" s="6"/>
      <c r="B2236" s="6"/>
      <c r="C2236" s="11"/>
      <c r="D2236" s="13"/>
      <c r="E2236" s="13"/>
      <c r="F2236" s="13"/>
      <c r="G2236" s="13"/>
      <c r="H2236" s="13"/>
      <c r="I2236" s="10"/>
      <c r="J2236" s="11"/>
      <c r="K2236" s="6"/>
      <c r="L2236" s="13"/>
    </row>
    <row r="2237" spans="1:12" hidden="1" x14ac:dyDescent="0.25">
      <c r="A2237" s="6"/>
      <c r="B2237" s="6"/>
      <c r="C2237" s="11"/>
      <c r="D2237" s="13"/>
      <c r="E2237" s="13"/>
      <c r="F2237" s="13"/>
      <c r="G2237" s="13"/>
      <c r="H2237" s="13"/>
      <c r="I2237" s="10"/>
      <c r="J2237" s="11"/>
      <c r="K2237" s="6"/>
      <c r="L2237" s="13"/>
    </row>
    <row r="2238" spans="1:12" hidden="1" x14ac:dyDescent="0.25">
      <c r="A2238" s="6"/>
      <c r="B2238" s="6"/>
      <c r="C2238" s="11"/>
      <c r="D2238" s="13"/>
      <c r="E2238" s="13"/>
      <c r="F2238" s="13"/>
      <c r="G2238" s="13"/>
      <c r="H2238" s="13"/>
      <c r="I2238" s="10"/>
      <c r="J2238" s="11"/>
      <c r="K2238" s="6"/>
      <c r="L2238" s="13"/>
    </row>
    <row r="2239" spans="1:12" hidden="1" x14ac:dyDescent="0.25">
      <c r="A2239" s="6"/>
      <c r="B2239" s="6"/>
      <c r="C2239" s="11"/>
      <c r="D2239" s="13"/>
      <c r="E2239" s="13"/>
      <c r="F2239" s="13"/>
      <c r="G2239" s="13"/>
      <c r="H2239" s="13"/>
      <c r="I2239" s="10"/>
      <c r="J2239" s="11"/>
      <c r="K2239" s="6"/>
      <c r="L2239" s="13"/>
    </row>
    <row r="2240" spans="1:12" hidden="1" x14ac:dyDescent="0.25">
      <c r="A2240" s="6"/>
      <c r="B2240" s="6"/>
      <c r="C2240" s="11"/>
      <c r="D2240" s="13"/>
      <c r="E2240" s="13"/>
      <c r="F2240" s="13"/>
      <c r="G2240" s="13"/>
      <c r="H2240" s="13"/>
      <c r="I2240" s="10"/>
      <c r="J2240" s="11"/>
      <c r="K2240" s="6"/>
      <c r="L2240" s="13"/>
    </row>
    <row r="2241" spans="1:12" hidden="1" x14ac:dyDescent="0.25">
      <c r="A2241" s="6"/>
      <c r="B2241" s="6"/>
      <c r="C2241" s="11"/>
      <c r="D2241" s="13"/>
      <c r="E2241" s="13"/>
      <c r="F2241" s="13"/>
      <c r="G2241" s="13"/>
      <c r="H2241" s="13"/>
      <c r="I2241" s="10"/>
      <c r="J2241" s="11"/>
      <c r="K2241" s="6"/>
      <c r="L2241" s="13"/>
    </row>
    <row r="2242" spans="1:12" hidden="1" x14ac:dyDescent="0.25">
      <c r="A2242" s="6"/>
      <c r="B2242" s="6"/>
      <c r="C2242" s="11"/>
      <c r="D2242" s="13"/>
      <c r="E2242" s="13"/>
      <c r="F2242" s="13"/>
      <c r="G2242" s="13"/>
      <c r="H2242" s="13"/>
      <c r="I2242" s="10"/>
      <c r="J2242" s="11"/>
      <c r="K2242" s="6"/>
      <c r="L2242" s="13"/>
    </row>
    <row r="2243" spans="1:12" hidden="1" x14ac:dyDescent="0.25">
      <c r="A2243" s="6"/>
      <c r="B2243" s="6"/>
      <c r="C2243" s="11"/>
      <c r="D2243" s="13"/>
      <c r="E2243" s="13"/>
      <c r="F2243" s="13"/>
      <c r="G2243" s="13"/>
      <c r="H2243" s="13"/>
      <c r="I2243" s="10"/>
      <c r="J2243" s="11"/>
      <c r="K2243" s="6"/>
      <c r="L2243" s="13"/>
    </row>
    <row r="2244" spans="1:12" hidden="1" x14ac:dyDescent="0.25">
      <c r="A2244" s="6"/>
      <c r="B2244" s="6"/>
      <c r="C2244" s="11"/>
      <c r="D2244" s="13"/>
      <c r="E2244" s="13"/>
      <c r="F2244" s="13"/>
      <c r="G2244" s="13"/>
      <c r="H2244" s="13"/>
      <c r="I2244" s="10"/>
      <c r="J2244" s="11"/>
      <c r="K2244" s="6"/>
      <c r="L2244" s="13"/>
    </row>
    <row r="2245" spans="1:12" hidden="1" x14ac:dyDescent="0.25">
      <c r="A2245" s="6"/>
      <c r="B2245" s="6"/>
      <c r="C2245" s="11"/>
      <c r="D2245" s="13"/>
      <c r="E2245" s="13"/>
      <c r="F2245" s="13"/>
      <c r="G2245" s="13"/>
      <c r="H2245" s="13"/>
      <c r="I2245" s="10"/>
      <c r="J2245" s="11"/>
      <c r="K2245" s="6"/>
      <c r="L2245" s="13"/>
    </row>
    <row r="2246" spans="1:12" hidden="1" x14ac:dyDescent="0.25">
      <c r="A2246" s="6"/>
      <c r="B2246" s="6"/>
      <c r="C2246" s="11"/>
      <c r="D2246" s="13"/>
      <c r="E2246" s="13"/>
      <c r="F2246" s="13"/>
      <c r="G2246" s="13"/>
      <c r="H2246" s="13"/>
      <c r="I2246" s="10"/>
      <c r="J2246" s="11"/>
      <c r="K2246" s="6"/>
      <c r="L2246" s="13"/>
    </row>
    <row r="2247" spans="1:12" hidden="1" x14ac:dyDescent="0.25">
      <c r="A2247" s="6"/>
      <c r="B2247" s="6"/>
      <c r="C2247" s="11"/>
      <c r="D2247" s="13"/>
      <c r="E2247" s="13"/>
      <c r="F2247" s="13"/>
      <c r="G2247" s="13"/>
      <c r="H2247" s="13"/>
      <c r="I2247" s="10"/>
      <c r="J2247" s="11"/>
      <c r="K2247" s="6"/>
      <c r="L2247" s="13"/>
    </row>
    <row r="2248" spans="1:12" hidden="1" x14ac:dyDescent="0.25">
      <c r="A2248" s="6"/>
      <c r="B2248" s="6"/>
      <c r="C2248" s="11"/>
      <c r="D2248" s="13"/>
      <c r="E2248" s="13"/>
      <c r="F2248" s="13"/>
      <c r="G2248" s="13"/>
      <c r="H2248" s="13"/>
      <c r="I2248" s="10"/>
      <c r="J2248" s="11"/>
      <c r="K2248" s="6"/>
      <c r="L2248" s="13"/>
    </row>
    <row r="2249" spans="1:12" hidden="1" x14ac:dyDescent="0.25">
      <c r="A2249" s="6"/>
      <c r="B2249" s="6"/>
      <c r="C2249" s="11"/>
      <c r="D2249" s="13"/>
      <c r="E2249" s="13"/>
      <c r="F2249" s="13"/>
      <c r="G2249" s="13"/>
      <c r="H2249" s="13"/>
      <c r="I2249" s="10"/>
      <c r="J2249" s="11"/>
      <c r="K2249" s="6"/>
      <c r="L2249" s="13"/>
    </row>
    <row r="2250" spans="1:12" hidden="1" x14ac:dyDescent="0.25">
      <c r="A2250" s="6"/>
      <c r="B2250" s="6"/>
      <c r="C2250" s="11"/>
      <c r="D2250" s="13"/>
      <c r="E2250" s="13"/>
      <c r="F2250" s="13"/>
      <c r="G2250" s="13"/>
      <c r="H2250" s="13"/>
      <c r="I2250" s="10"/>
      <c r="J2250" s="11"/>
      <c r="K2250" s="6"/>
      <c r="L2250" s="13"/>
    </row>
    <row r="2251" spans="1:12" hidden="1" x14ac:dyDescent="0.25">
      <c r="A2251" s="6"/>
      <c r="B2251" s="6"/>
      <c r="C2251" s="11"/>
      <c r="D2251" s="13"/>
      <c r="E2251" s="13"/>
      <c r="F2251" s="13"/>
      <c r="G2251" s="13"/>
      <c r="H2251" s="13"/>
      <c r="I2251" s="10"/>
      <c r="J2251" s="11"/>
      <c r="K2251" s="6"/>
      <c r="L2251" s="13"/>
    </row>
    <row r="2252" spans="1:12" hidden="1" x14ac:dyDescent="0.25">
      <c r="A2252" s="6"/>
      <c r="B2252" s="6"/>
      <c r="C2252" s="11"/>
      <c r="D2252" s="13"/>
      <c r="E2252" s="13"/>
      <c r="F2252" s="13"/>
      <c r="G2252" s="13"/>
      <c r="H2252" s="13"/>
      <c r="I2252" s="10"/>
      <c r="J2252" s="11"/>
      <c r="K2252" s="6"/>
      <c r="L2252" s="13"/>
    </row>
    <row r="2253" spans="1:12" hidden="1" x14ac:dyDescent="0.25">
      <c r="A2253" s="6"/>
      <c r="B2253" s="6"/>
      <c r="C2253" s="11"/>
      <c r="D2253" s="13"/>
      <c r="E2253" s="13"/>
      <c r="F2253" s="13"/>
      <c r="G2253" s="13"/>
      <c r="H2253" s="13"/>
      <c r="I2253" s="10"/>
      <c r="J2253" s="11"/>
      <c r="K2253" s="6"/>
      <c r="L2253" s="13"/>
    </row>
    <row r="2254" spans="1:12" hidden="1" x14ac:dyDescent="0.25">
      <c r="A2254" s="6"/>
      <c r="B2254" s="6"/>
      <c r="C2254" s="11"/>
      <c r="D2254" s="13"/>
      <c r="E2254" s="13"/>
      <c r="F2254" s="13"/>
      <c r="G2254" s="13"/>
      <c r="H2254" s="13"/>
      <c r="I2254" s="10"/>
      <c r="J2254" s="11"/>
      <c r="K2254" s="6"/>
      <c r="L2254" s="13"/>
    </row>
    <row r="2255" spans="1:12" hidden="1" x14ac:dyDescent="0.25">
      <c r="A2255" s="6"/>
      <c r="B2255" s="6"/>
      <c r="C2255" s="11"/>
      <c r="D2255" s="13"/>
      <c r="E2255" s="13"/>
      <c r="F2255" s="13"/>
      <c r="G2255" s="13"/>
      <c r="H2255" s="13"/>
      <c r="I2255" s="10"/>
      <c r="J2255" s="11"/>
      <c r="K2255" s="6"/>
      <c r="L2255" s="13"/>
    </row>
    <row r="2256" spans="1:12" hidden="1" x14ac:dyDescent="0.25">
      <c r="A2256" s="6"/>
      <c r="B2256" s="6"/>
      <c r="C2256" s="11"/>
      <c r="D2256" s="13"/>
      <c r="E2256" s="13"/>
      <c r="F2256" s="13"/>
      <c r="G2256" s="13"/>
      <c r="H2256" s="13"/>
      <c r="I2256" s="10"/>
      <c r="J2256" s="11"/>
      <c r="K2256" s="6"/>
      <c r="L2256" s="13"/>
    </row>
    <row r="2257" spans="1:12" hidden="1" x14ac:dyDescent="0.25">
      <c r="A2257" s="6"/>
      <c r="B2257" s="6"/>
      <c r="C2257" s="11"/>
      <c r="D2257" s="13"/>
      <c r="E2257" s="13"/>
      <c r="F2257" s="13"/>
      <c r="G2257" s="13"/>
      <c r="H2257" s="13"/>
      <c r="I2257" s="10"/>
      <c r="J2257" s="11"/>
      <c r="K2257" s="6"/>
      <c r="L2257" s="13"/>
    </row>
    <row r="2258" spans="1:12" hidden="1" x14ac:dyDescent="0.25">
      <c r="A2258" s="6"/>
      <c r="B2258" s="6"/>
      <c r="C2258" s="11"/>
      <c r="D2258" s="13"/>
      <c r="E2258" s="13"/>
      <c r="F2258" s="13"/>
      <c r="G2258" s="13"/>
      <c r="H2258" s="13"/>
      <c r="I2258" s="10"/>
      <c r="J2258" s="11"/>
      <c r="K2258" s="6"/>
      <c r="L2258" s="13"/>
    </row>
    <row r="2259" spans="1:12" hidden="1" x14ac:dyDescent="0.25">
      <c r="A2259" s="6"/>
      <c r="B2259" s="6"/>
      <c r="C2259" s="11"/>
      <c r="D2259" s="13"/>
      <c r="E2259" s="13"/>
      <c r="F2259" s="13"/>
      <c r="G2259" s="13"/>
      <c r="H2259" s="13"/>
      <c r="I2259" s="10"/>
      <c r="J2259" s="11"/>
      <c r="K2259" s="6"/>
      <c r="L2259" s="13"/>
    </row>
    <row r="2260" spans="1:12" hidden="1" x14ac:dyDescent="0.25">
      <c r="A2260" s="6"/>
      <c r="B2260" s="6"/>
      <c r="C2260" s="11"/>
      <c r="D2260" s="13"/>
      <c r="E2260" s="13"/>
      <c r="F2260" s="13"/>
      <c r="G2260" s="13"/>
      <c r="H2260" s="13"/>
      <c r="I2260" s="10"/>
      <c r="J2260" s="11"/>
      <c r="K2260" s="6"/>
      <c r="L2260" s="13"/>
    </row>
    <row r="2261" spans="1:12" hidden="1" x14ac:dyDescent="0.25">
      <c r="A2261" s="6"/>
      <c r="B2261" s="6"/>
      <c r="C2261" s="11"/>
      <c r="D2261" s="13"/>
      <c r="E2261" s="13"/>
      <c r="F2261" s="13"/>
      <c r="G2261" s="13"/>
      <c r="H2261" s="13"/>
      <c r="I2261" s="10"/>
      <c r="J2261" s="11"/>
      <c r="K2261" s="6"/>
      <c r="L2261" s="13"/>
    </row>
    <row r="2262" spans="1:12" hidden="1" x14ac:dyDescent="0.25">
      <c r="A2262" s="6"/>
      <c r="B2262" s="6"/>
      <c r="C2262" s="11"/>
      <c r="D2262" s="13"/>
      <c r="E2262" s="13"/>
      <c r="F2262" s="13"/>
      <c r="G2262" s="13"/>
      <c r="H2262" s="13"/>
      <c r="I2262" s="10"/>
      <c r="J2262" s="11"/>
      <c r="K2262" s="6"/>
      <c r="L2262" s="13"/>
    </row>
    <row r="2263" spans="1:12" hidden="1" x14ac:dyDescent="0.25">
      <c r="A2263" s="6"/>
      <c r="B2263" s="6"/>
      <c r="C2263" s="11"/>
      <c r="D2263" s="13"/>
      <c r="E2263" s="13"/>
      <c r="F2263" s="13"/>
      <c r="G2263" s="13"/>
      <c r="H2263" s="13"/>
      <c r="I2263" s="10"/>
      <c r="J2263" s="11"/>
      <c r="K2263" s="6"/>
      <c r="L2263" s="13"/>
    </row>
    <row r="2264" spans="1:12" hidden="1" x14ac:dyDescent="0.25">
      <c r="A2264" s="6"/>
      <c r="B2264" s="6"/>
      <c r="C2264" s="11"/>
      <c r="D2264" s="13"/>
      <c r="E2264" s="13"/>
      <c r="F2264" s="13"/>
      <c r="G2264" s="13"/>
      <c r="H2264" s="13"/>
      <c r="I2264" s="10"/>
      <c r="J2264" s="11"/>
      <c r="K2264" s="6"/>
      <c r="L2264" s="13"/>
    </row>
    <row r="2265" spans="1:12" hidden="1" x14ac:dyDescent="0.25">
      <c r="A2265" s="6"/>
      <c r="B2265" s="6"/>
      <c r="C2265" s="11"/>
      <c r="D2265" s="13"/>
      <c r="E2265" s="13"/>
      <c r="F2265" s="13"/>
      <c r="G2265" s="13"/>
      <c r="H2265" s="13"/>
      <c r="I2265" s="10"/>
      <c r="J2265" s="11"/>
      <c r="K2265" s="6"/>
      <c r="L2265" s="13"/>
    </row>
    <row r="2266" spans="1:12" hidden="1" x14ac:dyDescent="0.25">
      <c r="A2266" s="6"/>
      <c r="B2266" s="6"/>
      <c r="C2266" s="11"/>
      <c r="D2266" s="13"/>
      <c r="E2266" s="13"/>
      <c r="F2266" s="13"/>
      <c r="G2266" s="13"/>
      <c r="H2266" s="13"/>
      <c r="I2266" s="10"/>
      <c r="J2266" s="11"/>
      <c r="K2266" s="6"/>
      <c r="L2266" s="13"/>
    </row>
    <row r="2267" spans="1:12" hidden="1" x14ac:dyDescent="0.25">
      <c r="A2267" s="6"/>
      <c r="B2267" s="6"/>
      <c r="C2267" s="11"/>
      <c r="D2267" s="13"/>
      <c r="E2267" s="13"/>
      <c r="F2267" s="13"/>
      <c r="G2267" s="13"/>
      <c r="H2267" s="13"/>
      <c r="I2267" s="10"/>
      <c r="J2267" s="11"/>
      <c r="K2267" s="6"/>
      <c r="L2267" s="13"/>
    </row>
    <row r="2268" spans="1:12" hidden="1" x14ac:dyDescent="0.25">
      <c r="A2268" s="6"/>
      <c r="B2268" s="6"/>
      <c r="C2268" s="11"/>
      <c r="D2268" s="13"/>
      <c r="E2268" s="13"/>
      <c r="F2268" s="13"/>
      <c r="G2268" s="13"/>
      <c r="H2268" s="13"/>
      <c r="I2268" s="10"/>
      <c r="J2268" s="11"/>
      <c r="K2268" s="6"/>
      <c r="L2268" s="13"/>
    </row>
    <row r="2269" spans="1:12" hidden="1" x14ac:dyDescent="0.25">
      <c r="A2269" s="6"/>
      <c r="B2269" s="6"/>
      <c r="C2269" s="11"/>
      <c r="D2269" s="13"/>
      <c r="E2269" s="13"/>
      <c r="F2269" s="13"/>
      <c r="G2269" s="13"/>
      <c r="H2269" s="13"/>
      <c r="I2269" s="10"/>
      <c r="J2269" s="11"/>
      <c r="K2269" s="6"/>
      <c r="L2269" s="13"/>
    </row>
    <row r="2270" spans="1:12" hidden="1" x14ac:dyDescent="0.25">
      <c r="A2270" s="6"/>
      <c r="B2270" s="6"/>
      <c r="C2270" s="11"/>
      <c r="D2270" s="13"/>
      <c r="E2270" s="13"/>
      <c r="F2270" s="13"/>
      <c r="G2270" s="13"/>
      <c r="H2270" s="13"/>
      <c r="I2270" s="10"/>
      <c r="J2270" s="11"/>
      <c r="K2270" s="6"/>
      <c r="L2270" s="13"/>
    </row>
    <row r="2271" spans="1:12" hidden="1" x14ac:dyDescent="0.25">
      <c r="A2271" s="6"/>
      <c r="B2271" s="6"/>
      <c r="C2271" s="11"/>
      <c r="D2271" s="13"/>
      <c r="E2271" s="13"/>
      <c r="F2271" s="13"/>
      <c r="G2271" s="13"/>
      <c r="H2271" s="13"/>
      <c r="I2271" s="10"/>
      <c r="J2271" s="11"/>
      <c r="K2271" s="6"/>
      <c r="L2271" s="13"/>
    </row>
    <row r="2272" spans="1:12" hidden="1" x14ac:dyDescent="0.25">
      <c r="A2272" s="6"/>
      <c r="B2272" s="6"/>
      <c r="C2272" s="11"/>
      <c r="D2272" s="13"/>
      <c r="E2272" s="13"/>
      <c r="F2272" s="13"/>
      <c r="G2272" s="13"/>
      <c r="H2272" s="13"/>
      <c r="I2272" s="10"/>
      <c r="J2272" s="11"/>
      <c r="K2272" s="6"/>
      <c r="L2272" s="13"/>
    </row>
    <row r="2273" spans="1:12" hidden="1" x14ac:dyDescent="0.25">
      <c r="A2273" s="6"/>
      <c r="B2273" s="6"/>
      <c r="C2273" s="11"/>
      <c r="D2273" s="13"/>
      <c r="E2273" s="13"/>
      <c r="F2273" s="13"/>
      <c r="G2273" s="13"/>
      <c r="H2273" s="13"/>
      <c r="I2273" s="10"/>
      <c r="J2273" s="11"/>
      <c r="K2273" s="6"/>
      <c r="L2273" s="13"/>
    </row>
    <row r="2274" spans="1:12" hidden="1" x14ac:dyDescent="0.25">
      <c r="A2274" s="6"/>
      <c r="B2274" s="6"/>
      <c r="C2274" s="11"/>
      <c r="D2274" s="13"/>
      <c r="E2274" s="13"/>
      <c r="F2274" s="13"/>
      <c r="G2274" s="13"/>
      <c r="H2274" s="13"/>
      <c r="I2274" s="10"/>
      <c r="J2274" s="11"/>
      <c r="K2274" s="6"/>
      <c r="L2274" s="13"/>
    </row>
    <row r="2275" spans="1:12" hidden="1" x14ac:dyDescent="0.25">
      <c r="A2275" s="6"/>
      <c r="B2275" s="6"/>
      <c r="C2275" s="11"/>
      <c r="D2275" s="13"/>
      <c r="E2275" s="13"/>
      <c r="F2275" s="13"/>
      <c r="G2275" s="13"/>
      <c r="H2275" s="13"/>
      <c r="I2275" s="10"/>
      <c r="J2275" s="11"/>
      <c r="K2275" s="6"/>
      <c r="L2275" s="13"/>
    </row>
    <row r="2276" spans="1:12" hidden="1" x14ac:dyDescent="0.25">
      <c r="A2276" s="6"/>
      <c r="B2276" s="6"/>
      <c r="C2276" s="11"/>
      <c r="D2276" s="13"/>
      <c r="E2276" s="13"/>
      <c r="F2276" s="13"/>
      <c r="G2276" s="13"/>
      <c r="H2276" s="13"/>
      <c r="I2276" s="10"/>
      <c r="J2276" s="11"/>
      <c r="K2276" s="6"/>
      <c r="L2276" s="13"/>
    </row>
    <row r="2277" spans="1:12" hidden="1" x14ac:dyDescent="0.25">
      <c r="A2277" s="6"/>
      <c r="B2277" s="6"/>
      <c r="C2277" s="11"/>
      <c r="D2277" s="13"/>
      <c r="E2277" s="13"/>
      <c r="F2277" s="13"/>
      <c r="G2277" s="13"/>
      <c r="H2277" s="13"/>
      <c r="I2277" s="10"/>
      <c r="J2277" s="11"/>
      <c r="K2277" s="6"/>
      <c r="L2277" s="13"/>
    </row>
    <row r="2278" spans="1:12" hidden="1" x14ac:dyDescent="0.25">
      <c r="A2278" s="6"/>
      <c r="B2278" s="6"/>
      <c r="C2278" s="11"/>
      <c r="D2278" s="13"/>
      <c r="E2278" s="13"/>
      <c r="F2278" s="13"/>
      <c r="G2278" s="13"/>
      <c r="H2278" s="13"/>
      <c r="I2278" s="10"/>
      <c r="J2278" s="11"/>
      <c r="K2278" s="6"/>
      <c r="L2278" s="13"/>
    </row>
    <row r="2279" spans="1:12" hidden="1" x14ac:dyDescent="0.25">
      <c r="A2279" s="6"/>
      <c r="B2279" s="6"/>
      <c r="C2279" s="11"/>
      <c r="D2279" s="13"/>
      <c r="E2279" s="13"/>
      <c r="F2279" s="13"/>
      <c r="G2279" s="13"/>
      <c r="H2279" s="13"/>
      <c r="I2279" s="10"/>
      <c r="J2279" s="11"/>
      <c r="K2279" s="6"/>
      <c r="L2279" s="13"/>
    </row>
    <row r="2280" spans="1:12" hidden="1" x14ac:dyDescent="0.25">
      <c r="A2280" s="6"/>
      <c r="B2280" s="6"/>
      <c r="C2280" s="11"/>
      <c r="D2280" s="13"/>
      <c r="E2280" s="13"/>
      <c r="F2280" s="13"/>
      <c r="G2280" s="13"/>
      <c r="H2280" s="13"/>
      <c r="I2280" s="10"/>
      <c r="J2280" s="11"/>
      <c r="K2280" s="6"/>
      <c r="L2280" s="13"/>
    </row>
    <row r="2281" spans="1:12" hidden="1" x14ac:dyDescent="0.25">
      <c r="A2281" s="6"/>
      <c r="B2281" s="6"/>
      <c r="C2281" s="11"/>
      <c r="D2281" s="13"/>
      <c r="E2281" s="13"/>
      <c r="F2281" s="13"/>
      <c r="G2281" s="13"/>
      <c r="H2281" s="13"/>
      <c r="I2281" s="10"/>
      <c r="J2281" s="11"/>
      <c r="K2281" s="6"/>
      <c r="L2281" s="13"/>
    </row>
    <row r="2282" spans="1:12" hidden="1" x14ac:dyDescent="0.25">
      <c r="A2282" s="6"/>
      <c r="B2282" s="6"/>
      <c r="C2282" s="11"/>
      <c r="D2282" s="13"/>
      <c r="E2282" s="13"/>
      <c r="F2282" s="13"/>
      <c r="G2282" s="13"/>
      <c r="H2282" s="13"/>
      <c r="I2282" s="10"/>
      <c r="J2282" s="11"/>
      <c r="K2282" s="6"/>
      <c r="L2282" s="13"/>
    </row>
    <row r="2283" spans="1:12" hidden="1" x14ac:dyDescent="0.25">
      <c r="A2283" s="6"/>
      <c r="B2283" s="6"/>
      <c r="C2283" s="11"/>
      <c r="D2283" s="13"/>
      <c r="E2283" s="13"/>
      <c r="F2283" s="13"/>
      <c r="G2283" s="13"/>
      <c r="H2283" s="13"/>
      <c r="I2283" s="10"/>
      <c r="J2283" s="11"/>
      <c r="K2283" s="6"/>
      <c r="L2283" s="13"/>
    </row>
    <row r="2284" spans="1:12" hidden="1" x14ac:dyDescent="0.25">
      <c r="A2284" s="6"/>
      <c r="B2284" s="6"/>
      <c r="C2284" s="11"/>
      <c r="D2284" s="13"/>
      <c r="E2284" s="13"/>
      <c r="F2284" s="13"/>
      <c r="G2284" s="13"/>
      <c r="H2284" s="13"/>
      <c r="I2284" s="10"/>
      <c r="J2284" s="11"/>
      <c r="K2284" s="6"/>
      <c r="L2284" s="13"/>
    </row>
    <row r="2285" spans="1:12" hidden="1" x14ac:dyDescent="0.25">
      <c r="A2285" s="6"/>
      <c r="B2285" s="6"/>
      <c r="C2285" s="11"/>
      <c r="D2285" s="13"/>
      <c r="E2285" s="13"/>
      <c r="F2285" s="13"/>
      <c r="G2285" s="13"/>
      <c r="H2285" s="13"/>
      <c r="I2285" s="10"/>
      <c r="J2285" s="11"/>
      <c r="K2285" s="6"/>
      <c r="L2285" s="13"/>
    </row>
    <row r="2286" spans="1:12" hidden="1" x14ac:dyDescent="0.25">
      <c r="A2286" s="6"/>
      <c r="B2286" s="6"/>
      <c r="C2286" s="11"/>
      <c r="D2286" s="13"/>
      <c r="E2286" s="13"/>
      <c r="F2286" s="13"/>
      <c r="G2286" s="13"/>
      <c r="H2286" s="13"/>
      <c r="I2286" s="10"/>
      <c r="J2286" s="11"/>
      <c r="K2286" s="6"/>
      <c r="L2286" s="13"/>
    </row>
    <row r="2287" spans="1:12" hidden="1" x14ac:dyDescent="0.25">
      <c r="A2287" s="6"/>
      <c r="B2287" s="6"/>
      <c r="C2287" s="11"/>
      <c r="D2287" s="13"/>
      <c r="E2287" s="13"/>
      <c r="F2287" s="13"/>
      <c r="G2287" s="13"/>
      <c r="H2287" s="13"/>
      <c r="I2287" s="10"/>
      <c r="J2287" s="11"/>
      <c r="K2287" s="6"/>
      <c r="L2287" s="13"/>
    </row>
    <row r="2288" spans="1:12" hidden="1" x14ac:dyDescent="0.25">
      <c r="A2288" s="6"/>
      <c r="B2288" s="6"/>
      <c r="C2288" s="11"/>
      <c r="D2288" s="13"/>
      <c r="E2288" s="13"/>
      <c r="F2288" s="13"/>
      <c r="G2288" s="13"/>
      <c r="H2288" s="13"/>
      <c r="I2288" s="10"/>
      <c r="J2288" s="11"/>
      <c r="K2288" s="6"/>
      <c r="L2288" s="13"/>
    </row>
    <row r="2289" spans="1:12" hidden="1" x14ac:dyDescent="0.25">
      <c r="A2289" s="6"/>
      <c r="B2289" s="6"/>
      <c r="C2289" s="11"/>
      <c r="D2289" s="13"/>
      <c r="E2289" s="13"/>
      <c r="F2289" s="13"/>
      <c r="G2289" s="13"/>
      <c r="H2289" s="13"/>
      <c r="I2289" s="10"/>
      <c r="J2289" s="11"/>
      <c r="K2289" s="6"/>
      <c r="L2289" s="13"/>
    </row>
    <row r="2290" spans="1:12" hidden="1" x14ac:dyDescent="0.25">
      <c r="A2290" s="6"/>
      <c r="B2290" s="6"/>
      <c r="C2290" s="11"/>
      <c r="D2290" s="13"/>
      <c r="E2290" s="13"/>
      <c r="F2290" s="13"/>
      <c r="G2290" s="13"/>
      <c r="H2290" s="13"/>
      <c r="I2290" s="10"/>
      <c r="J2290" s="11"/>
      <c r="K2290" s="6"/>
      <c r="L2290" s="13"/>
    </row>
    <row r="2291" spans="1:12" hidden="1" x14ac:dyDescent="0.25">
      <c r="A2291" s="6"/>
      <c r="B2291" s="6"/>
      <c r="C2291" s="11"/>
      <c r="D2291" s="13"/>
      <c r="E2291" s="13"/>
      <c r="F2291" s="13"/>
      <c r="G2291" s="13"/>
      <c r="H2291" s="13"/>
      <c r="I2291" s="10"/>
      <c r="J2291" s="11"/>
      <c r="K2291" s="6"/>
      <c r="L2291" s="13"/>
    </row>
    <row r="2292" spans="1:12" hidden="1" x14ac:dyDescent="0.25">
      <c r="A2292" s="6"/>
      <c r="B2292" s="6"/>
      <c r="C2292" s="11"/>
      <c r="D2292" s="13"/>
      <c r="E2292" s="13"/>
      <c r="F2292" s="13"/>
      <c r="G2292" s="13"/>
      <c r="H2292" s="13"/>
      <c r="I2292" s="10"/>
      <c r="J2292" s="11"/>
      <c r="K2292" s="6"/>
      <c r="L2292" s="13"/>
    </row>
    <row r="2293" spans="1:12" hidden="1" x14ac:dyDescent="0.25">
      <c r="A2293" s="6"/>
      <c r="B2293" s="6"/>
      <c r="C2293" s="11"/>
      <c r="D2293" s="13"/>
      <c r="E2293" s="13"/>
      <c r="F2293" s="13"/>
      <c r="G2293" s="13"/>
      <c r="H2293" s="13"/>
      <c r="I2293" s="10"/>
      <c r="J2293" s="11"/>
      <c r="K2293" s="6"/>
      <c r="L2293" s="13"/>
    </row>
    <row r="2294" spans="1:12" hidden="1" x14ac:dyDescent="0.25">
      <c r="A2294" s="6"/>
      <c r="B2294" s="6"/>
      <c r="C2294" s="11"/>
      <c r="D2294" s="13"/>
      <c r="E2294" s="13"/>
      <c r="F2294" s="13"/>
      <c r="G2294" s="13"/>
      <c r="H2294" s="13"/>
      <c r="I2294" s="10"/>
      <c r="J2294" s="11"/>
      <c r="K2294" s="6"/>
      <c r="L2294" s="13"/>
    </row>
    <row r="2295" spans="1:12" hidden="1" x14ac:dyDescent="0.25">
      <c r="A2295" s="6"/>
      <c r="B2295" s="6"/>
      <c r="C2295" s="11"/>
      <c r="D2295" s="13"/>
      <c r="E2295" s="13"/>
      <c r="F2295" s="13"/>
      <c r="G2295" s="13"/>
      <c r="H2295" s="13"/>
      <c r="I2295" s="10"/>
      <c r="J2295" s="11"/>
      <c r="K2295" s="6"/>
      <c r="L2295" s="13"/>
    </row>
    <row r="2296" spans="1:12" hidden="1" x14ac:dyDescent="0.25">
      <c r="A2296" s="6"/>
      <c r="B2296" s="6"/>
      <c r="C2296" s="11"/>
      <c r="D2296" s="13"/>
      <c r="E2296" s="13"/>
      <c r="F2296" s="13"/>
      <c r="G2296" s="13"/>
      <c r="H2296" s="13"/>
      <c r="I2296" s="10"/>
      <c r="J2296" s="11"/>
      <c r="K2296" s="6"/>
      <c r="L2296" s="13"/>
    </row>
    <row r="2297" spans="1:12" hidden="1" x14ac:dyDescent="0.25">
      <c r="A2297" s="6"/>
      <c r="B2297" s="6"/>
      <c r="C2297" s="11"/>
      <c r="D2297" s="13"/>
      <c r="E2297" s="13"/>
      <c r="F2297" s="13"/>
      <c r="G2297" s="13"/>
      <c r="H2297" s="13"/>
      <c r="I2297" s="10"/>
      <c r="J2297" s="11"/>
      <c r="K2297" s="6"/>
      <c r="L2297" s="13"/>
    </row>
    <row r="2298" spans="1:12" hidden="1" x14ac:dyDescent="0.25">
      <c r="A2298" s="6"/>
      <c r="B2298" s="6"/>
      <c r="C2298" s="11"/>
      <c r="D2298" s="13"/>
      <c r="E2298" s="13"/>
      <c r="F2298" s="13"/>
      <c r="G2298" s="13"/>
      <c r="H2298" s="13"/>
      <c r="I2298" s="10"/>
      <c r="J2298" s="11"/>
      <c r="K2298" s="6"/>
      <c r="L2298" s="13"/>
    </row>
    <row r="2299" spans="1:12" hidden="1" x14ac:dyDescent="0.25">
      <c r="A2299" s="6"/>
      <c r="B2299" s="6"/>
      <c r="C2299" s="11"/>
      <c r="D2299" s="13"/>
      <c r="E2299" s="13"/>
      <c r="F2299" s="13"/>
      <c r="G2299" s="13"/>
      <c r="H2299" s="13"/>
      <c r="I2299" s="10"/>
      <c r="J2299" s="11"/>
      <c r="K2299" s="6"/>
      <c r="L2299" s="13"/>
    </row>
    <row r="2300" spans="1:12" hidden="1" x14ac:dyDescent="0.25">
      <c r="A2300" s="6"/>
      <c r="B2300" s="6"/>
      <c r="C2300" s="11"/>
      <c r="D2300" s="13"/>
      <c r="E2300" s="13"/>
      <c r="F2300" s="13"/>
      <c r="G2300" s="13"/>
      <c r="H2300" s="13"/>
      <c r="I2300" s="10"/>
      <c r="J2300" s="11"/>
      <c r="K2300" s="6"/>
      <c r="L2300" s="13"/>
    </row>
    <row r="2301" spans="1:12" hidden="1" x14ac:dyDescent="0.25">
      <c r="A2301" s="6"/>
      <c r="B2301" s="6"/>
      <c r="C2301" s="11"/>
      <c r="D2301" s="13"/>
      <c r="E2301" s="13"/>
      <c r="F2301" s="13"/>
      <c r="G2301" s="13"/>
      <c r="H2301" s="13"/>
      <c r="I2301" s="10"/>
      <c r="J2301" s="11"/>
      <c r="K2301" s="6"/>
      <c r="L2301" s="13"/>
    </row>
    <row r="2302" spans="1:12" hidden="1" x14ac:dyDescent="0.25">
      <c r="A2302" s="6"/>
      <c r="B2302" s="6"/>
      <c r="C2302" s="11"/>
      <c r="D2302" s="13"/>
      <c r="E2302" s="13"/>
      <c r="F2302" s="13"/>
      <c r="G2302" s="13"/>
      <c r="H2302" s="13"/>
      <c r="I2302" s="10"/>
      <c r="J2302" s="11"/>
      <c r="K2302" s="6"/>
      <c r="L2302" s="13"/>
    </row>
    <row r="2303" spans="1:12" hidden="1" x14ac:dyDescent="0.25">
      <c r="A2303" s="6"/>
      <c r="B2303" s="6"/>
      <c r="C2303" s="11"/>
      <c r="D2303" s="13"/>
      <c r="E2303" s="13"/>
      <c r="F2303" s="13"/>
      <c r="G2303" s="13"/>
      <c r="H2303" s="13"/>
      <c r="I2303" s="10"/>
      <c r="J2303" s="11"/>
      <c r="K2303" s="6"/>
      <c r="L2303" s="13"/>
    </row>
    <row r="2304" spans="1:12" hidden="1" x14ac:dyDescent="0.25">
      <c r="A2304" s="6"/>
      <c r="B2304" s="6"/>
      <c r="C2304" s="11"/>
      <c r="D2304" s="13"/>
      <c r="E2304" s="13"/>
      <c r="F2304" s="13"/>
      <c r="G2304" s="13"/>
      <c r="H2304" s="13"/>
      <c r="I2304" s="10"/>
      <c r="J2304" s="11"/>
      <c r="K2304" s="6"/>
      <c r="L2304" s="13"/>
    </row>
    <row r="2305" spans="1:12" hidden="1" x14ac:dyDescent="0.25">
      <c r="A2305" s="6"/>
      <c r="B2305" s="6"/>
      <c r="C2305" s="11"/>
      <c r="D2305" s="13"/>
      <c r="E2305" s="13"/>
      <c r="F2305" s="13"/>
      <c r="G2305" s="13"/>
      <c r="H2305" s="13"/>
      <c r="I2305" s="10"/>
      <c r="J2305" s="11"/>
      <c r="K2305" s="6"/>
      <c r="L2305" s="13"/>
    </row>
    <row r="2306" spans="1:12" hidden="1" x14ac:dyDescent="0.25">
      <c r="A2306" s="6"/>
      <c r="B2306" s="6"/>
      <c r="C2306" s="11"/>
      <c r="D2306" s="13"/>
      <c r="E2306" s="13"/>
      <c r="F2306" s="13"/>
      <c r="G2306" s="13"/>
      <c r="H2306" s="13"/>
      <c r="I2306" s="10"/>
      <c r="J2306" s="11"/>
      <c r="K2306" s="6"/>
      <c r="L2306" s="13"/>
    </row>
    <row r="2307" spans="1:12" hidden="1" x14ac:dyDescent="0.25">
      <c r="A2307" s="6"/>
      <c r="B2307" s="6"/>
      <c r="C2307" s="11"/>
      <c r="D2307" s="13"/>
      <c r="E2307" s="13"/>
      <c r="F2307" s="13"/>
      <c r="G2307" s="13"/>
      <c r="H2307" s="13"/>
      <c r="I2307" s="10"/>
      <c r="J2307" s="11"/>
      <c r="K2307" s="6"/>
      <c r="L2307" s="13"/>
    </row>
    <row r="2308" spans="1:12" hidden="1" x14ac:dyDescent="0.25">
      <c r="A2308" s="6"/>
      <c r="B2308" s="6"/>
      <c r="C2308" s="11"/>
      <c r="D2308" s="13"/>
      <c r="E2308" s="13"/>
      <c r="F2308" s="13"/>
      <c r="G2308" s="13"/>
      <c r="H2308" s="13"/>
      <c r="I2308" s="10"/>
      <c r="J2308" s="11"/>
      <c r="K2308" s="6"/>
      <c r="L2308" s="13"/>
    </row>
    <row r="2309" spans="1:12" hidden="1" x14ac:dyDescent="0.25">
      <c r="A2309" s="6"/>
      <c r="B2309" s="6"/>
      <c r="C2309" s="11"/>
      <c r="D2309" s="13"/>
      <c r="E2309" s="13"/>
      <c r="F2309" s="13"/>
      <c r="G2309" s="13"/>
      <c r="H2309" s="13"/>
      <c r="I2309" s="10"/>
      <c r="J2309" s="11"/>
      <c r="K2309" s="6"/>
      <c r="L2309" s="13"/>
    </row>
    <row r="2310" spans="1:12" hidden="1" x14ac:dyDescent="0.25">
      <c r="A2310" s="6"/>
      <c r="B2310" s="6"/>
      <c r="C2310" s="11"/>
      <c r="D2310" s="13"/>
      <c r="E2310" s="13"/>
      <c r="F2310" s="13"/>
      <c r="G2310" s="13"/>
      <c r="H2310" s="13"/>
      <c r="I2310" s="10"/>
      <c r="J2310" s="11"/>
      <c r="K2310" s="6"/>
      <c r="L2310" s="13"/>
    </row>
    <row r="2311" spans="1:12" hidden="1" x14ac:dyDescent="0.25">
      <c r="A2311" s="6"/>
      <c r="B2311" s="6"/>
      <c r="C2311" s="11"/>
      <c r="D2311" s="13"/>
      <c r="E2311" s="13"/>
      <c r="F2311" s="13"/>
      <c r="G2311" s="13"/>
      <c r="H2311" s="13"/>
      <c r="I2311" s="10"/>
      <c r="J2311" s="11"/>
      <c r="K2311" s="6"/>
      <c r="L2311" s="13"/>
    </row>
    <row r="2312" spans="1:12" hidden="1" x14ac:dyDescent="0.25">
      <c r="A2312" s="6"/>
      <c r="B2312" s="6"/>
      <c r="C2312" s="11"/>
      <c r="D2312" s="13"/>
      <c r="E2312" s="13"/>
      <c r="F2312" s="13"/>
      <c r="G2312" s="13"/>
      <c r="H2312" s="13"/>
      <c r="I2312" s="10"/>
      <c r="J2312" s="11"/>
      <c r="K2312" s="6"/>
      <c r="L2312" s="13"/>
    </row>
    <row r="2313" spans="1:12" hidden="1" x14ac:dyDescent="0.25">
      <c r="A2313" s="6"/>
      <c r="B2313" s="6"/>
      <c r="C2313" s="11"/>
      <c r="D2313" s="13"/>
      <c r="E2313" s="13"/>
      <c r="F2313" s="13"/>
      <c r="G2313" s="13"/>
      <c r="H2313" s="13"/>
      <c r="I2313" s="10"/>
      <c r="J2313" s="11"/>
      <c r="K2313" s="6"/>
      <c r="L2313" s="13"/>
    </row>
    <row r="2314" spans="1:12" hidden="1" x14ac:dyDescent="0.25">
      <c r="A2314" s="6"/>
      <c r="B2314" s="6"/>
      <c r="C2314" s="11"/>
      <c r="D2314" s="13"/>
      <c r="E2314" s="13"/>
      <c r="F2314" s="13"/>
      <c r="G2314" s="13"/>
      <c r="H2314" s="13"/>
      <c r="I2314" s="10"/>
      <c r="J2314" s="11"/>
      <c r="K2314" s="6"/>
      <c r="L2314" s="13"/>
    </row>
    <row r="2315" spans="1:12" hidden="1" x14ac:dyDescent="0.25">
      <c r="A2315" s="6"/>
      <c r="B2315" s="6"/>
      <c r="C2315" s="11"/>
      <c r="D2315" s="13"/>
      <c r="E2315" s="13"/>
      <c r="F2315" s="13"/>
      <c r="G2315" s="13"/>
      <c r="H2315" s="13"/>
      <c r="I2315" s="10"/>
      <c r="J2315" s="11"/>
      <c r="K2315" s="6"/>
      <c r="L2315" s="13"/>
    </row>
    <row r="2316" spans="1:12" hidden="1" x14ac:dyDescent="0.25">
      <c r="A2316" s="6"/>
      <c r="B2316" s="6"/>
      <c r="C2316" s="11"/>
      <c r="D2316" s="13"/>
      <c r="E2316" s="13"/>
      <c r="F2316" s="13"/>
      <c r="G2316" s="13"/>
      <c r="H2316" s="13"/>
      <c r="I2316" s="10"/>
      <c r="J2316" s="11"/>
      <c r="K2316" s="6"/>
      <c r="L2316" s="13"/>
    </row>
    <row r="2317" spans="1:12" hidden="1" x14ac:dyDescent="0.25">
      <c r="A2317" s="6"/>
      <c r="B2317" s="6"/>
      <c r="C2317" s="11"/>
      <c r="D2317" s="13"/>
      <c r="E2317" s="13"/>
      <c r="F2317" s="13"/>
      <c r="G2317" s="13"/>
      <c r="H2317" s="13"/>
      <c r="I2317" s="10"/>
      <c r="J2317" s="11"/>
      <c r="K2317" s="6"/>
      <c r="L2317" s="13"/>
    </row>
    <row r="2318" spans="1:12" hidden="1" x14ac:dyDescent="0.25">
      <c r="A2318" s="6"/>
      <c r="B2318" s="6"/>
      <c r="C2318" s="11"/>
      <c r="D2318" s="13"/>
      <c r="E2318" s="13"/>
      <c r="F2318" s="13"/>
      <c r="G2318" s="13"/>
      <c r="H2318" s="13"/>
      <c r="I2318" s="10"/>
      <c r="J2318" s="11"/>
      <c r="K2318" s="6"/>
      <c r="L2318" s="13"/>
    </row>
    <row r="2319" spans="1:12" hidden="1" x14ac:dyDescent="0.25">
      <c r="A2319" s="6"/>
      <c r="B2319" s="6"/>
      <c r="C2319" s="11"/>
      <c r="D2319" s="13"/>
      <c r="E2319" s="13"/>
      <c r="F2319" s="13"/>
      <c r="G2319" s="13"/>
      <c r="H2319" s="13"/>
      <c r="I2319" s="10"/>
      <c r="J2319" s="11"/>
      <c r="K2319" s="6"/>
      <c r="L2319" s="13"/>
    </row>
    <row r="2320" spans="1:12" hidden="1" x14ac:dyDescent="0.25">
      <c r="A2320" s="6"/>
      <c r="B2320" s="6"/>
      <c r="C2320" s="11"/>
      <c r="D2320" s="13"/>
      <c r="E2320" s="13"/>
      <c r="F2320" s="13"/>
      <c r="G2320" s="13"/>
      <c r="H2320" s="13"/>
      <c r="I2320" s="10"/>
      <c r="J2320" s="11"/>
      <c r="K2320" s="6"/>
      <c r="L2320" s="13"/>
    </row>
    <row r="2321" spans="1:12" hidden="1" x14ac:dyDescent="0.25">
      <c r="A2321" s="6"/>
      <c r="B2321" s="6"/>
      <c r="C2321" s="11"/>
      <c r="D2321" s="13"/>
      <c r="E2321" s="13"/>
      <c r="F2321" s="13"/>
      <c r="G2321" s="13"/>
      <c r="H2321" s="13"/>
      <c r="I2321" s="10"/>
      <c r="J2321" s="11"/>
      <c r="K2321" s="6"/>
      <c r="L2321" s="13"/>
    </row>
    <row r="2322" spans="1:12" hidden="1" x14ac:dyDescent="0.25">
      <c r="A2322" s="6"/>
      <c r="B2322" s="6"/>
      <c r="C2322" s="11"/>
      <c r="D2322" s="13"/>
      <c r="E2322" s="13"/>
      <c r="F2322" s="13"/>
      <c r="G2322" s="13"/>
      <c r="H2322" s="13"/>
      <c r="I2322" s="10"/>
      <c r="J2322" s="11"/>
      <c r="K2322" s="6"/>
      <c r="L2322" s="13"/>
    </row>
    <row r="2323" spans="1:12" hidden="1" x14ac:dyDescent="0.25">
      <c r="A2323" s="6"/>
      <c r="B2323" s="6"/>
      <c r="C2323" s="11"/>
      <c r="D2323" s="13"/>
      <c r="E2323" s="13"/>
      <c r="F2323" s="13"/>
      <c r="G2323" s="13"/>
      <c r="H2323" s="13"/>
      <c r="I2323" s="10"/>
      <c r="J2323" s="11"/>
      <c r="K2323" s="6"/>
      <c r="L2323" s="13"/>
    </row>
    <row r="2324" spans="1:12" hidden="1" x14ac:dyDescent="0.25">
      <c r="A2324" s="6"/>
      <c r="B2324" s="6"/>
      <c r="C2324" s="11"/>
      <c r="D2324" s="13"/>
      <c r="E2324" s="13"/>
      <c r="F2324" s="13"/>
      <c r="G2324" s="13"/>
      <c r="H2324" s="13"/>
      <c r="I2324" s="10"/>
      <c r="J2324" s="11"/>
      <c r="K2324" s="6"/>
      <c r="L2324" s="13"/>
    </row>
    <row r="2325" spans="1:12" hidden="1" x14ac:dyDescent="0.25">
      <c r="A2325" s="6"/>
      <c r="B2325" s="6"/>
      <c r="C2325" s="11"/>
      <c r="D2325" s="13"/>
      <c r="E2325" s="13"/>
      <c r="F2325" s="13"/>
      <c r="G2325" s="13"/>
      <c r="H2325" s="13"/>
      <c r="I2325" s="10"/>
      <c r="J2325" s="11"/>
      <c r="K2325" s="6"/>
      <c r="L2325" s="13"/>
    </row>
    <row r="2326" spans="1:12" hidden="1" x14ac:dyDescent="0.25">
      <c r="A2326" s="6"/>
      <c r="B2326" s="6"/>
      <c r="C2326" s="11"/>
      <c r="D2326" s="13"/>
      <c r="E2326" s="13"/>
      <c r="F2326" s="13"/>
      <c r="G2326" s="13"/>
      <c r="H2326" s="13"/>
      <c r="I2326" s="10"/>
      <c r="J2326" s="11"/>
      <c r="K2326" s="6"/>
      <c r="L2326" s="13"/>
    </row>
    <row r="2327" spans="1:12" hidden="1" x14ac:dyDescent="0.25">
      <c r="A2327" s="6"/>
      <c r="B2327" s="6"/>
      <c r="C2327" s="11"/>
      <c r="D2327" s="13"/>
      <c r="E2327" s="13"/>
      <c r="F2327" s="13"/>
      <c r="G2327" s="13"/>
      <c r="H2327" s="13"/>
      <c r="I2327" s="10"/>
      <c r="J2327" s="11"/>
      <c r="K2327" s="6"/>
      <c r="L2327" s="13"/>
    </row>
    <row r="2328" spans="1:12" hidden="1" x14ac:dyDescent="0.25">
      <c r="A2328" s="6"/>
      <c r="B2328" s="6"/>
      <c r="C2328" s="11"/>
      <c r="D2328" s="13"/>
      <c r="E2328" s="13"/>
      <c r="F2328" s="13"/>
      <c r="G2328" s="13"/>
      <c r="H2328" s="13"/>
      <c r="I2328" s="10"/>
      <c r="J2328" s="11"/>
      <c r="K2328" s="6"/>
      <c r="L2328" s="13"/>
    </row>
    <row r="2329" spans="1:12" hidden="1" x14ac:dyDescent="0.25">
      <c r="A2329" s="6"/>
      <c r="B2329" s="6"/>
      <c r="C2329" s="11"/>
      <c r="D2329" s="13"/>
      <c r="E2329" s="13"/>
      <c r="F2329" s="13"/>
      <c r="G2329" s="13"/>
      <c r="H2329" s="13"/>
      <c r="I2329" s="10"/>
      <c r="J2329" s="11"/>
      <c r="K2329" s="6"/>
      <c r="L2329" s="13"/>
    </row>
    <row r="2330" spans="1:12" hidden="1" x14ac:dyDescent="0.25">
      <c r="A2330" s="6"/>
      <c r="B2330" s="6"/>
      <c r="C2330" s="11"/>
      <c r="D2330" s="13"/>
      <c r="E2330" s="13"/>
      <c r="F2330" s="13"/>
      <c r="G2330" s="13"/>
      <c r="H2330" s="13"/>
      <c r="I2330" s="10"/>
      <c r="J2330" s="11"/>
      <c r="K2330" s="6"/>
      <c r="L2330" s="13"/>
    </row>
    <row r="2331" spans="1:12" hidden="1" x14ac:dyDescent="0.25">
      <c r="A2331" s="6"/>
      <c r="B2331" s="6"/>
      <c r="C2331" s="11"/>
      <c r="D2331" s="13"/>
      <c r="E2331" s="13"/>
      <c r="F2331" s="13"/>
      <c r="G2331" s="13"/>
      <c r="H2331" s="13"/>
      <c r="I2331" s="10"/>
      <c r="J2331" s="11"/>
      <c r="K2331" s="6"/>
      <c r="L2331" s="13"/>
    </row>
    <row r="2332" spans="1:12" hidden="1" x14ac:dyDescent="0.25">
      <c r="A2332" s="6"/>
      <c r="B2332" s="6"/>
      <c r="C2332" s="11"/>
      <c r="D2332" s="13"/>
      <c r="E2332" s="13"/>
      <c r="F2332" s="13"/>
      <c r="G2332" s="13"/>
      <c r="H2332" s="13"/>
      <c r="I2332" s="10"/>
      <c r="J2332" s="11"/>
      <c r="K2332" s="6"/>
      <c r="L2332" s="13"/>
    </row>
    <row r="2333" spans="1:12" hidden="1" x14ac:dyDescent="0.25">
      <c r="A2333" s="6"/>
      <c r="B2333" s="6"/>
      <c r="C2333" s="11"/>
      <c r="D2333" s="13"/>
      <c r="E2333" s="13"/>
      <c r="F2333" s="13"/>
      <c r="G2333" s="13"/>
      <c r="H2333" s="13"/>
      <c r="I2333" s="10"/>
      <c r="J2333" s="11"/>
      <c r="K2333" s="6"/>
      <c r="L2333" s="13"/>
    </row>
    <row r="2334" spans="1:12" hidden="1" x14ac:dyDescent="0.25">
      <c r="A2334" s="6"/>
      <c r="B2334" s="6"/>
      <c r="C2334" s="11"/>
      <c r="D2334" s="13"/>
      <c r="E2334" s="13"/>
      <c r="F2334" s="13"/>
      <c r="G2334" s="13"/>
      <c r="H2334" s="13"/>
      <c r="I2334" s="10"/>
      <c r="J2334" s="11"/>
      <c r="K2334" s="6"/>
      <c r="L2334" s="13"/>
    </row>
    <row r="2335" spans="1:12" hidden="1" x14ac:dyDescent="0.25">
      <c r="A2335" s="6"/>
      <c r="B2335" s="6"/>
      <c r="C2335" s="11"/>
      <c r="D2335" s="13"/>
      <c r="E2335" s="13"/>
      <c r="F2335" s="13"/>
      <c r="G2335" s="13"/>
      <c r="H2335" s="13"/>
      <c r="I2335" s="10"/>
      <c r="J2335" s="11"/>
      <c r="K2335" s="6"/>
      <c r="L2335" s="13"/>
    </row>
    <row r="2336" spans="1:12" hidden="1" x14ac:dyDescent="0.25">
      <c r="A2336" s="6"/>
      <c r="B2336" s="6"/>
      <c r="C2336" s="11"/>
      <c r="D2336" s="13"/>
      <c r="E2336" s="13"/>
      <c r="F2336" s="13"/>
      <c r="G2336" s="13"/>
      <c r="H2336" s="13"/>
      <c r="I2336" s="10"/>
      <c r="J2336" s="11"/>
      <c r="K2336" s="6"/>
      <c r="L2336" s="13"/>
    </row>
    <row r="2337" spans="1:12" hidden="1" x14ac:dyDescent="0.25">
      <c r="A2337" s="6"/>
      <c r="B2337" s="6"/>
      <c r="C2337" s="11"/>
      <c r="D2337" s="13"/>
      <c r="E2337" s="13"/>
      <c r="F2337" s="13"/>
      <c r="G2337" s="13"/>
      <c r="H2337" s="13"/>
      <c r="I2337" s="10"/>
      <c r="J2337" s="11"/>
      <c r="K2337" s="6"/>
      <c r="L2337" s="13"/>
    </row>
    <row r="2338" spans="1:12" hidden="1" x14ac:dyDescent="0.25">
      <c r="A2338" s="6"/>
      <c r="B2338" s="6"/>
      <c r="C2338" s="11"/>
      <c r="D2338" s="13"/>
      <c r="E2338" s="13"/>
      <c r="F2338" s="13"/>
      <c r="G2338" s="13"/>
      <c r="H2338" s="13"/>
      <c r="I2338" s="10"/>
      <c r="J2338" s="11"/>
      <c r="K2338" s="6"/>
      <c r="L2338" s="13"/>
    </row>
    <row r="2339" spans="1:12" hidden="1" x14ac:dyDescent="0.25">
      <c r="A2339" s="6"/>
      <c r="B2339" s="6"/>
      <c r="C2339" s="11"/>
      <c r="D2339" s="13"/>
      <c r="E2339" s="13"/>
      <c r="F2339" s="13"/>
      <c r="G2339" s="13"/>
      <c r="H2339" s="13"/>
      <c r="I2339" s="10"/>
      <c r="J2339" s="11"/>
      <c r="K2339" s="6"/>
      <c r="L2339" s="13"/>
    </row>
    <row r="2340" spans="1:12" hidden="1" x14ac:dyDescent="0.25">
      <c r="A2340" s="6"/>
      <c r="B2340" s="6"/>
      <c r="C2340" s="11"/>
      <c r="D2340" s="13"/>
      <c r="E2340" s="13"/>
      <c r="F2340" s="13"/>
      <c r="G2340" s="13"/>
      <c r="H2340" s="13"/>
      <c r="I2340" s="10"/>
      <c r="J2340" s="11"/>
      <c r="K2340" s="6"/>
      <c r="L2340" s="13"/>
    </row>
    <row r="2341" spans="1:12" hidden="1" x14ac:dyDescent="0.25">
      <c r="A2341" s="6"/>
      <c r="B2341" s="6"/>
      <c r="C2341" s="11"/>
      <c r="D2341" s="13"/>
      <c r="E2341" s="13"/>
      <c r="F2341" s="13"/>
      <c r="G2341" s="13"/>
      <c r="H2341" s="13"/>
      <c r="I2341" s="10"/>
      <c r="J2341" s="11"/>
      <c r="K2341" s="6"/>
      <c r="L2341" s="13"/>
    </row>
    <row r="2342" spans="1:12" hidden="1" x14ac:dyDescent="0.25">
      <c r="A2342" s="6"/>
      <c r="B2342" s="6"/>
      <c r="C2342" s="11"/>
      <c r="D2342" s="13"/>
      <c r="E2342" s="13"/>
      <c r="F2342" s="13"/>
      <c r="G2342" s="13"/>
      <c r="H2342" s="13"/>
      <c r="I2342" s="10"/>
      <c r="J2342" s="11"/>
      <c r="K2342" s="6"/>
      <c r="L2342" s="13"/>
    </row>
    <row r="2343" spans="1:12" hidden="1" x14ac:dyDescent="0.25">
      <c r="A2343" s="6"/>
      <c r="B2343" s="6"/>
      <c r="C2343" s="11"/>
      <c r="D2343" s="13"/>
      <c r="E2343" s="13"/>
      <c r="F2343" s="13"/>
      <c r="G2343" s="13"/>
      <c r="H2343" s="13"/>
      <c r="I2343" s="10"/>
      <c r="J2343" s="11"/>
      <c r="K2343" s="6"/>
      <c r="L2343" s="13"/>
    </row>
    <row r="2344" spans="1:12" hidden="1" x14ac:dyDescent="0.25">
      <c r="A2344" s="6"/>
      <c r="B2344" s="6"/>
      <c r="C2344" s="11"/>
      <c r="D2344" s="13"/>
      <c r="E2344" s="13"/>
      <c r="F2344" s="13"/>
      <c r="G2344" s="13"/>
      <c r="H2344" s="13"/>
      <c r="I2344" s="10"/>
      <c r="J2344" s="11"/>
      <c r="K2344" s="6"/>
      <c r="L2344" s="13"/>
    </row>
    <row r="2345" spans="1:12" hidden="1" x14ac:dyDescent="0.25">
      <c r="A2345" s="6"/>
      <c r="B2345" s="6"/>
      <c r="C2345" s="11"/>
      <c r="D2345" s="13"/>
      <c r="E2345" s="13"/>
      <c r="F2345" s="13"/>
      <c r="G2345" s="13"/>
      <c r="H2345" s="13"/>
      <c r="I2345" s="10"/>
      <c r="J2345" s="11"/>
      <c r="K2345" s="6"/>
      <c r="L2345" s="13"/>
    </row>
    <row r="2346" spans="1:12" hidden="1" x14ac:dyDescent="0.25">
      <c r="A2346" s="6"/>
      <c r="B2346" s="6"/>
      <c r="C2346" s="11"/>
      <c r="D2346" s="13"/>
      <c r="E2346" s="13"/>
      <c r="F2346" s="13"/>
      <c r="G2346" s="13"/>
      <c r="H2346" s="13"/>
      <c r="I2346" s="10"/>
      <c r="J2346" s="11"/>
      <c r="K2346" s="6"/>
      <c r="L2346" s="13"/>
    </row>
    <row r="2347" spans="1:12" hidden="1" x14ac:dyDescent="0.25">
      <c r="A2347" s="6"/>
      <c r="B2347" s="6"/>
      <c r="C2347" s="11"/>
      <c r="D2347" s="13"/>
      <c r="E2347" s="13"/>
      <c r="F2347" s="13"/>
      <c r="G2347" s="13"/>
      <c r="H2347" s="13"/>
      <c r="I2347" s="10"/>
      <c r="J2347" s="11"/>
      <c r="K2347" s="6"/>
      <c r="L2347" s="13"/>
    </row>
    <row r="2348" spans="1:12" hidden="1" x14ac:dyDescent="0.25">
      <c r="A2348" s="6"/>
      <c r="B2348" s="6"/>
      <c r="C2348" s="11"/>
      <c r="D2348" s="13"/>
      <c r="E2348" s="13"/>
      <c r="F2348" s="13"/>
      <c r="G2348" s="13"/>
      <c r="H2348" s="13"/>
      <c r="I2348" s="10"/>
      <c r="J2348" s="11"/>
      <c r="K2348" s="6"/>
      <c r="L2348" s="13"/>
    </row>
    <row r="2349" spans="1:12" hidden="1" x14ac:dyDescent="0.25">
      <c r="A2349" s="6"/>
      <c r="B2349" s="6"/>
      <c r="C2349" s="11"/>
      <c r="D2349" s="13"/>
      <c r="E2349" s="13"/>
      <c r="F2349" s="13"/>
      <c r="G2349" s="13"/>
      <c r="H2349" s="13"/>
      <c r="I2349" s="10"/>
      <c r="J2349" s="11"/>
      <c r="K2349" s="6"/>
      <c r="L2349" s="13"/>
    </row>
    <row r="2350" spans="1:12" hidden="1" x14ac:dyDescent="0.25">
      <c r="A2350" s="6"/>
      <c r="B2350" s="6"/>
      <c r="C2350" s="11"/>
      <c r="D2350" s="13"/>
      <c r="E2350" s="13"/>
      <c r="F2350" s="13"/>
      <c r="G2350" s="13"/>
      <c r="H2350" s="13"/>
      <c r="I2350" s="10"/>
      <c r="J2350" s="11"/>
      <c r="K2350" s="6"/>
      <c r="L2350" s="13"/>
    </row>
    <row r="2351" spans="1:12" hidden="1" x14ac:dyDescent="0.25">
      <c r="A2351" s="6"/>
      <c r="B2351" s="6"/>
      <c r="C2351" s="11"/>
      <c r="D2351" s="13"/>
      <c r="E2351" s="13"/>
      <c r="F2351" s="13"/>
      <c r="G2351" s="13"/>
      <c r="H2351" s="13"/>
      <c r="I2351" s="10"/>
      <c r="J2351" s="11"/>
      <c r="K2351" s="6"/>
      <c r="L2351" s="13"/>
    </row>
    <row r="2352" spans="1:12" hidden="1" x14ac:dyDescent="0.25">
      <c r="A2352" s="6"/>
      <c r="B2352" s="6"/>
      <c r="C2352" s="11"/>
      <c r="D2352" s="13"/>
      <c r="E2352" s="13"/>
      <c r="F2352" s="13"/>
      <c r="G2352" s="13"/>
      <c r="H2352" s="13"/>
      <c r="I2352" s="10"/>
      <c r="J2352" s="11"/>
      <c r="K2352" s="6"/>
      <c r="L2352" s="13"/>
    </row>
    <row r="2353" spans="1:12" hidden="1" x14ac:dyDescent="0.25">
      <c r="A2353" s="6"/>
      <c r="B2353" s="6"/>
      <c r="C2353" s="11"/>
      <c r="D2353" s="13"/>
      <c r="E2353" s="13"/>
      <c r="F2353" s="13"/>
      <c r="G2353" s="13"/>
      <c r="H2353" s="13"/>
      <c r="I2353" s="10"/>
      <c r="J2353" s="11"/>
      <c r="K2353" s="6"/>
      <c r="L2353" s="13"/>
    </row>
    <row r="2354" spans="1:12" hidden="1" x14ac:dyDescent="0.25">
      <c r="A2354" s="6"/>
      <c r="B2354" s="6"/>
      <c r="C2354" s="11"/>
      <c r="D2354" s="13"/>
      <c r="E2354" s="13"/>
      <c r="F2354" s="13"/>
      <c r="G2354" s="13"/>
      <c r="H2354" s="13"/>
      <c r="I2354" s="10"/>
      <c r="J2354" s="11"/>
      <c r="K2354" s="6"/>
      <c r="L2354" s="13"/>
    </row>
    <row r="2355" spans="1:12" hidden="1" x14ac:dyDescent="0.25">
      <c r="A2355" s="6"/>
      <c r="B2355" s="6"/>
      <c r="C2355" s="11"/>
      <c r="D2355" s="13"/>
      <c r="E2355" s="13"/>
      <c r="F2355" s="13"/>
      <c r="G2355" s="13"/>
      <c r="H2355" s="13"/>
      <c r="I2355" s="10"/>
      <c r="J2355" s="11"/>
      <c r="K2355" s="6"/>
      <c r="L2355" s="13"/>
    </row>
    <row r="2356" spans="1:12" hidden="1" x14ac:dyDescent="0.25">
      <c r="A2356" s="6"/>
      <c r="B2356" s="6"/>
      <c r="C2356" s="11"/>
      <c r="D2356" s="13"/>
      <c r="E2356" s="13"/>
      <c r="F2356" s="13"/>
      <c r="G2356" s="13"/>
      <c r="H2356" s="13"/>
      <c r="I2356" s="10"/>
      <c r="J2356" s="11"/>
      <c r="K2356" s="6"/>
      <c r="L2356" s="13"/>
    </row>
    <row r="2357" spans="1:12" hidden="1" x14ac:dyDescent="0.25">
      <c r="A2357" s="6"/>
      <c r="B2357" s="6"/>
      <c r="C2357" s="11"/>
      <c r="D2357" s="13"/>
      <c r="E2357" s="13"/>
      <c r="F2357" s="13"/>
      <c r="G2357" s="13"/>
      <c r="H2357" s="13"/>
      <c r="I2357" s="10"/>
      <c r="J2357" s="11"/>
      <c r="K2357" s="6"/>
      <c r="L2357" s="13"/>
    </row>
    <row r="2358" spans="1:12" hidden="1" x14ac:dyDescent="0.25">
      <c r="A2358" s="6"/>
      <c r="B2358" s="6"/>
      <c r="C2358" s="11"/>
      <c r="D2358" s="13"/>
      <c r="E2358" s="13"/>
      <c r="F2358" s="13"/>
      <c r="G2358" s="13"/>
      <c r="H2358" s="13"/>
      <c r="I2358" s="10"/>
      <c r="J2358" s="11"/>
      <c r="K2358" s="6"/>
      <c r="L2358" s="13"/>
    </row>
    <row r="2359" spans="1:12" hidden="1" x14ac:dyDescent="0.25">
      <c r="A2359" s="6"/>
      <c r="B2359" s="6"/>
      <c r="C2359" s="11"/>
      <c r="D2359" s="13"/>
      <c r="E2359" s="13"/>
      <c r="F2359" s="13"/>
      <c r="G2359" s="13"/>
      <c r="H2359" s="13"/>
      <c r="I2359" s="10"/>
      <c r="J2359" s="11"/>
      <c r="K2359" s="6"/>
      <c r="L2359" s="13"/>
    </row>
    <row r="2360" spans="1:12" hidden="1" x14ac:dyDescent="0.25">
      <c r="A2360" s="6"/>
      <c r="B2360" s="6"/>
      <c r="C2360" s="11"/>
      <c r="D2360" s="13"/>
      <c r="E2360" s="13"/>
      <c r="F2360" s="13"/>
      <c r="G2360" s="13"/>
      <c r="H2360" s="13"/>
      <c r="I2360" s="10"/>
      <c r="J2360" s="11"/>
      <c r="K2360" s="6"/>
      <c r="L2360" s="13"/>
    </row>
    <row r="2361" spans="1:12" hidden="1" x14ac:dyDescent="0.25">
      <c r="A2361" s="6"/>
      <c r="B2361" s="6"/>
      <c r="C2361" s="11"/>
      <c r="D2361" s="13"/>
      <c r="E2361" s="13"/>
      <c r="F2361" s="13"/>
      <c r="G2361" s="13"/>
      <c r="H2361" s="13"/>
      <c r="I2361" s="10"/>
      <c r="J2361" s="11"/>
      <c r="K2361" s="6"/>
      <c r="L2361" s="13"/>
    </row>
    <row r="2362" spans="1:12" hidden="1" x14ac:dyDescent="0.25">
      <c r="A2362" s="6"/>
      <c r="B2362" s="6"/>
      <c r="C2362" s="11"/>
      <c r="D2362" s="13"/>
      <c r="E2362" s="13"/>
      <c r="F2362" s="13"/>
      <c r="G2362" s="13"/>
      <c r="H2362" s="13"/>
      <c r="I2362" s="10"/>
      <c r="J2362" s="11"/>
      <c r="K2362" s="6"/>
      <c r="L2362" s="13"/>
    </row>
    <row r="2363" spans="1:12" hidden="1" x14ac:dyDescent="0.25">
      <c r="A2363" s="6"/>
      <c r="B2363" s="6"/>
      <c r="C2363" s="11"/>
      <c r="D2363" s="13"/>
      <c r="E2363" s="13"/>
      <c r="F2363" s="13"/>
      <c r="G2363" s="13"/>
      <c r="H2363" s="13"/>
      <c r="I2363" s="10"/>
      <c r="J2363" s="11"/>
      <c r="K2363" s="6"/>
      <c r="L2363" s="13"/>
    </row>
    <row r="2364" spans="1:12" hidden="1" x14ac:dyDescent="0.25">
      <c r="A2364" s="6"/>
      <c r="B2364" s="6"/>
      <c r="C2364" s="11"/>
      <c r="D2364" s="13"/>
      <c r="E2364" s="13"/>
      <c r="F2364" s="13"/>
      <c r="G2364" s="13"/>
      <c r="H2364" s="13"/>
      <c r="I2364" s="10"/>
      <c r="J2364" s="11"/>
      <c r="K2364" s="6"/>
      <c r="L2364" s="13"/>
    </row>
    <row r="2365" spans="1:12" hidden="1" x14ac:dyDescent="0.25">
      <c r="A2365" s="6"/>
      <c r="B2365" s="6"/>
      <c r="C2365" s="11"/>
      <c r="D2365" s="13"/>
      <c r="E2365" s="13"/>
      <c r="F2365" s="13"/>
      <c r="G2365" s="13"/>
      <c r="H2365" s="13"/>
      <c r="I2365" s="10"/>
      <c r="J2365" s="11"/>
      <c r="K2365" s="6"/>
      <c r="L2365" s="13"/>
    </row>
    <row r="2366" spans="1:12" hidden="1" x14ac:dyDescent="0.25">
      <c r="A2366" s="6"/>
      <c r="B2366" s="6"/>
      <c r="C2366" s="11"/>
      <c r="D2366" s="13"/>
      <c r="E2366" s="13"/>
      <c r="F2366" s="13"/>
      <c r="G2366" s="13"/>
      <c r="H2366" s="13"/>
      <c r="I2366" s="10"/>
      <c r="J2366" s="11"/>
      <c r="K2366" s="6"/>
      <c r="L2366" s="13"/>
    </row>
    <row r="2367" spans="1:12" hidden="1" x14ac:dyDescent="0.25">
      <c r="A2367" s="6"/>
      <c r="B2367" s="6"/>
      <c r="C2367" s="11"/>
      <c r="D2367" s="13"/>
      <c r="E2367" s="13"/>
      <c r="F2367" s="13"/>
      <c r="G2367" s="13"/>
      <c r="H2367" s="13"/>
      <c r="I2367" s="10"/>
      <c r="J2367" s="11"/>
      <c r="K2367" s="6"/>
      <c r="L2367" s="13"/>
    </row>
    <row r="2368" spans="1:12" hidden="1" x14ac:dyDescent="0.25">
      <c r="A2368" s="6"/>
      <c r="B2368" s="6"/>
      <c r="C2368" s="11"/>
      <c r="D2368" s="13"/>
      <c r="E2368" s="13"/>
      <c r="F2368" s="13"/>
      <c r="G2368" s="13"/>
      <c r="H2368" s="13"/>
      <c r="I2368" s="10"/>
      <c r="J2368" s="11"/>
      <c r="K2368" s="6"/>
      <c r="L2368" s="13"/>
    </row>
    <row r="2369" spans="1:12" hidden="1" x14ac:dyDescent="0.25">
      <c r="A2369" s="6"/>
      <c r="B2369" s="6"/>
      <c r="C2369" s="11"/>
      <c r="D2369" s="13"/>
      <c r="E2369" s="13"/>
      <c r="F2369" s="13"/>
      <c r="G2369" s="13"/>
      <c r="H2369" s="13"/>
      <c r="I2369" s="10"/>
      <c r="J2369" s="11"/>
      <c r="K2369" s="6"/>
      <c r="L2369" s="13"/>
    </row>
    <row r="2370" spans="1:12" hidden="1" x14ac:dyDescent="0.25">
      <c r="A2370" s="6"/>
      <c r="B2370" s="6"/>
      <c r="C2370" s="11"/>
      <c r="D2370" s="13"/>
      <c r="E2370" s="13"/>
      <c r="F2370" s="13"/>
      <c r="G2370" s="13"/>
      <c r="H2370" s="13"/>
      <c r="I2370" s="10"/>
      <c r="J2370" s="11"/>
      <c r="K2370" s="6"/>
      <c r="L2370" s="13"/>
    </row>
    <row r="2371" spans="1:12" hidden="1" x14ac:dyDescent="0.25">
      <c r="A2371" s="6"/>
      <c r="B2371" s="6"/>
      <c r="C2371" s="11"/>
      <c r="D2371" s="13"/>
      <c r="E2371" s="13"/>
      <c r="F2371" s="13"/>
      <c r="G2371" s="13"/>
      <c r="H2371" s="13"/>
      <c r="I2371" s="10"/>
      <c r="J2371" s="11"/>
      <c r="K2371" s="6"/>
      <c r="L2371" s="13"/>
    </row>
    <row r="2372" spans="1:12" hidden="1" x14ac:dyDescent="0.25">
      <c r="A2372" s="6"/>
      <c r="B2372" s="6"/>
      <c r="C2372" s="11"/>
      <c r="D2372" s="13"/>
      <c r="E2372" s="13"/>
      <c r="F2372" s="13"/>
      <c r="G2372" s="13"/>
      <c r="H2372" s="13"/>
      <c r="I2372" s="10"/>
      <c r="J2372" s="11"/>
      <c r="K2372" s="6"/>
      <c r="L2372" s="13"/>
    </row>
    <row r="2373" spans="1:12" hidden="1" x14ac:dyDescent="0.25">
      <c r="A2373" s="6"/>
      <c r="B2373" s="6"/>
      <c r="C2373" s="11"/>
      <c r="D2373" s="13"/>
      <c r="E2373" s="13"/>
      <c r="F2373" s="13"/>
      <c r="G2373" s="13"/>
      <c r="H2373" s="13"/>
      <c r="I2373" s="10"/>
      <c r="J2373" s="11"/>
      <c r="K2373" s="6"/>
      <c r="L2373" s="13"/>
    </row>
    <row r="2374" spans="1:12" hidden="1" x14ac:dyDescent="0.25">
      <c r="A2374" s="6"/>
      <c r="B2374" s="6"/>
      <c r="C2374" s="11"/>
      <c r="D2374" s="13"/>
      <c r="E2374" s="13"/>
      <c r="F2374" s="13"/>
      <c r="G2374" s="13"/>
      <c r="H2374" s="13"/>
      <c r="I2374" s="10"/>
      <c r="J2374" s="11"/>
      <c r="K2374" s="6"/>
      <c r="L2374" s="13"/>
    </row>
    <row r="2375" spans="1:12" hidden="1" x14ac:dyDescent="0.25">
      <c r="A2375" s="6"/>
      <c r="B2375" s="6"/>
      <c r="C2375" s="11"/>
      <c r="D2375" s="13"/>
      <c r="E2375" s="13"/>
      <c r="F2375" s="13"/>
      <c r="G2375" s="13"/>
      <c r="H2375" s="13"/>
      <c r="I2375" s="10"/>
      <c r="J2375" s="11"/>
      <c r="K2375" s="6"/>
      <c r="L2375" s="13"/>
    </row>
    <row r="2376" spans="1:12" hidden="1" x14ac:dyDescent="0.25">
      <c r="A2376" s="6"/>
      <c r="B2376" s="6"/>
      <c r="C2376" s="11"/>
      <c r="D2376" s="13"/>
      <c r="E2376" s="13"/>
      <c r="F2376" s="13"/>
      <c r="G2376" s="13"/>
      <c r="H2376" s="13"/>
      <c r="I2376" s="10"/>
      <c r="J2376" s="11"/>
      <c r="K2376" s="6"/>
      <c r="L2376" s="13"/>
    </row>
    <row r="2377" spans="1:12" hidden="1" x14ac:dyDescent="0.25">
      <c r="A2377" s="6"/>
      <c r="B2377" s="6"/>
      <c r="C2377" s="11"/>
      <c r="D2377" s="13"/>
      <c r="E2377" s="13"/>
      <c r="F2377" s="13"/>
      <c r="G2377" s="13"/>
      <c r="H2377" s="13"/>
      <c r="I2377" s="10"/>
      <c r="J2377" s="11"/>
      <c r="K2377" s="6"/>
      <c r="L2377" s="13"/>
    </row>
    <row r="2378" spans="1:12" hidden="1" x14ac:dyDescent="0.25">
      <c r="A2378" s="6"/>
      <c r="B2378" s="6"/>
      <c r="C2378" s="11"/>
      <c r="D2378" s="13"/>
      <c r="E2378" s="13"/>
      <c r="F2378" s="13"/>
      <c r="G2378" s="13"/>
      <c r="H2378" s="13"/>
      <c r="I2378" s="10"/>
      <c r="J2378" s="11"/>
      <c r="K2378" s="6"/>
      <c r="L2378" s="13"/>
    </row>
    <row r="2379" spans="1:12" hidden="1" x14ac:dyDescent="0.25">
      <c r="A2379" s="6"/>
      <c r="B2379" s="6"/>
      <c r="C2379" s="11"/>
      <c r="D2379" s="13"/>
      <c r="E2379" s="13"/>
      <c r="F2379" s="13"/>
      <c r="G2379" s="13"/>
      <c r="H2379" s="13"/>
      <c r="I2379" s="10"/>
      <c r="J2379" s="11"/>
      <c r="K2379" s="6"/>
      <c r="L2379" s="13"/>
    </row>
    <row r="2380" spans="1:12" hidden="1" x14ac:dyDescent="0.25">
      <c r="A2380" s="6"/>
      <c r="B2380" s="6"/>
      <c r="C2380" s="11"/>
      <c r="D2380" s="13"/>
      <c r="E2380" s="13"/>
      <c r="F2380" s="13"/>
      <c r="G2380" s="13"/>
      <c r="H2380" s="13"/>
      <c r="I2380" s="10"/>
      <c r="J2380" s="11"/>
      <c r="K2380" s="6"/>
      <c r="L2380" s="13"/>
    </row>
    <row r="2381" spans="1:12" hidden="1" x14ac:dyDescent="0.25">
      <c r="A2381" s="6"/>
      <c r="B2381" s="6"/>
      <c r="C2381" s="11"/>
      <c r="D2381" s="13"/>
      <c r="E2381" s="13"/>
      <c r="F2381" s="13"/>
      <c r="G2381" s="13"/>
      <c r="H2381" s="13"/>
      <c r="I2381" s="10"/>
      <c r="J2381" s="11"/>
      <c r="K2381" s="6"/>
      <c r="L2381" s="13"/>
    </row>
    <row r="2382" spans="1:12" hidden="1" x14ac:dyDescent="0.25">
      <c r="A2382" s="6"/>
      <c r="B2382" s="6"/>
      <c r="C2382" s="11"/>
      <c r="D2382" s="13"/>
      <c r="E2382" s="13"/>
      <c r="F2382" s="13"/>
      <c r="G2382" s="13"/>
      <c r="H2382" s="13"/>
      <c r="I2382" s="10"/>
      <c r="J2382" s="11"/>
      <c r="K2382" s="6"/>
      <c r="L2382" s="13"/>
    </row>
    <row r="2383" spans="1:12" hidden="1" x14ac:dyDescent="0.25">
      <c r="A2383" s="6"/>
      <c r="B2383" s="6"/>
      <c r="C2383" s="11"/>
      <c r="D2383" s="13"/>
      <c r="E2383" s="13"/>
      <c r="F2383" s="13"/>
      <c r="G2383" s="13"/>
      <c r="H2383" s="13"/>
      <c r="I2383" s="10"/>
      <c r="J2383" s="11"/>
      <c r="K2383" s="6"/>
      <c r="L2383" s="13"/>
    </row>
    <row r="2384" spans="1:12" hidden="1" x14ac:dyDescent="0.25">
      <c r="A2384" s="6"/>
      <c r="B2384" s="6"/>
      <c r="C2384" s="11"/>
      <c r="D2384" s="13"/>
      <c r="E2384" s="13"/>
      <c r="F2384" s="13"/>
      <c r="G2384" s="13"/>
      <c r="H2384" s="13"/>
      <c r="I2384" s="10"/>
      <c r="J2384" s="11"/>
      <c r="K2384" s="6"/>
      <c r="L2384" s="13"/>
    </row>
    <row r="2385" spans="1:12" hidden="1" x14ac:dyDescent="0.25">
      <c r="A2385" s="6"/>
      <c r="B2385" s="6"/>
      <c r="C2385" s="11"/>
      <c r="D2385" s="13"/>
      <c r="E2385" s="13"/>
      <c r="F2385" s="13"/>
      <c r="G2385" s="13"/>
      <c r="H2385" s="13"/>
      <c r="I2385" s="10"/>
      <c r="J2385" s="11"/>
      <c r="K2385" s="6"/>
      <c r="L2385" s="13"/>
    </row>
    <row r="2386" spans="1:12" hidden="1" x14ac:dyDescent="0.25">
      <c r="A2386" s="6"/>
      <c r="B2386" s="6"/>
      <c r="C2386" s="11"/>
      <c r="D2386" s="13"/>
      <c r="E2386" s="13"/>
      <c r="F2386" s="13"/>
      <c r="G2386" s="13"/>
      <c r="H2386" s="13"/>
      <c r="I2386" s="10"/>
      <c r="J2386" s="11"/>
      <c r="K2386" s="6"/>
      <c r="L2386" s="13"/>
    </row>
    <row r="2387" spans="1:12" hidden="1" x14ac:dyDescent="0.25">
      <c r="A2387" s="6"/>
      <c r="B2387" s="6"/>
      <c r="C2387" s="11"/>
      <c r="D2387" s="13"/>
      <c r="E2387" s="13"/>
      <c r="F2387" s="13"/>
      <c r="G2387" s="13"/>
      <c r="H2387" s="13"/>
      <c r="I2387" s="10"/>
      <c r="J2387" s="11"/>
      <c r="K2387" s="6"/>
      <c r="L2387" s="13"/>
    </row>
    <row r="2388" spans="1:12" hidden="1" x14ac:dyDescent="0.25">
      <c r="A2388" s="6"/>
      <c r="B2388" s="6"/>
      <c r="C2388" s="11"/>
      <c r="D2388" s="13"/>
      <c r="E2388" s="13"/>
      <c r="F2388" s="13"/>
      <c r="G2388" s="13"/>
      <c r="H2388" s="13"/>
      <c r="I2388" s="10"/>
      <c r="J2388" s="11"/>
      <c r="K2388" s="6"/>
      <c r="L2388" s="13"/>
    </row>
    <row r="2389" spans="1:12" hidden="1" x14ac:dyDescent="0.25">
      <c r="A2389" s="6"/>
      <c r="B2389" s="6"/>
      <c r="C2389" s="11"/>
      <c r="D2389" s="13"/>
      <c r="E2389" s="13"/>
      <c r="F2389" s="13"/>
      <c r="G2389" s="13"/>
      <c r="H2389" s="13"/>
      <c r="I2389" s="10"/>
      <c r="J2389" s="11"/>
      <c r="K2389" s="6"/>
      <c r="L2389" s="13"/>
    </row>
    <row r="2390" spans="1:12" hidden="1" x14ac:dyDescent="0.25">
      <c r="A2390" s="6"/>
      <c r="B2390" s="6"/>
      <c r="C2390" s="11"/>
      <c r="D2390" s="13"/>
      <c r="E2390" s="13"/>
      <c r="F2390" s="13"/>
      <c r="G2390" s="13"/>
      <c r="H2390" s="13"/>
      <c r="I2390" s="10"/>
      <c r="J2390" s="11"/>
      <c r="K2390" s="6"/>
      <c r="L2390" s="13"/>
    </row>
    <row r="2391" spans="1:12" hidden="1" x14ac:dyDescent="0.25">
      <c r="A2391" s="6"/>
      <c r="B2391" s="6"/>
      <c r="C2391" s="11"/>
      <c r="D2391" s="13"/>
      <c r="E2391" s="13"/>
      <c r="F2391" s="13"/>
      <c r="G2391" s="13"/>
      <c r="H2391" s="13"/>
      <c r="I2391" s="10"/>
      <c r="J2391" s="11"/>
      <c r="K2391" s="6"/>
      <c r="L2391" s="13"/>
    </row>
    <row r="2392" spans="1:12" hidden="1" x14ac:dyDescent="0.25">
      <c r="A2392" s="6"/>
      <c r="B2392" s="6"/>
      <c r="C2392" s="11"/>
      <c r="D2392" s="13"/>
      <c r="E2392" s="13"/>
      <c r="F2392" s="13"/>
      <c r="G2392" s="13"/>
      <c r="H2392" s="13"/>
      <c r="I2392" s="10"/>
      <c r="J2392" s="11"/>
      <c r="K2392" s="6"/>
      <c r="L2392" s="13"/>
    </row>
    <row r="2393" spans="1:12" hidden="1" x14ac:dyDescent="0.25">
      <c r="A2393" s="6"/>
      <c r="B2393" s="6"/>
      <c r="C2393" s="11"/>
      <c r="D2393" s="13"/>
      <c r="E2393" s="13"/>
      <c r="F2393" s="13"/>
      <c r="G2393" s="13"/>
      <c r="H2393" s="13"/>
      <c r="I2393" s="10"/>
      <c r="J2393" s="11"/>
      <c r="K2393" s="6"/>
      <c r="L2393" s="13"/>
    </row>
    <row r="2394" spans="1:12" hidden="1" x14ac:dyDescent="0.25">
      <c r="A2394" s="6"/>
      <c r="B2394" s="6"/>
      <c r="C2394" s="11"/>
      <c r="D2394" s="13"/>
      <c r="E2394" s="13"/>
      <c r="F2394" s="13"/>
      <c r="G2394" s="13"/>
      <c r="H2394" s="13"/>
      <c r="I2394" s="10"/>
      <c r="J2394" s="11"/>
      <c r="K2394" s="6"/>
      <c r="L2394" s="13"/>
    </row>
    <row r="2395" spans="1:12" hidden="1" x14ac:dyDescent="0.25">
      <c r="A2395" s="6"/>
      <c r="B2395" s="6"/>
      <c r="C2395" s="11"/>
      <c r="D2395" s="13"/>
      <c r="E2395" s="13"/>
      <c r="F2395" s="13"/>
      <c r="G2395" s="13"/>
      <c r="H2395" s="13"/>
      <c r="I2395" s="10"/>
      <c r="J2395" s="11"/>
      <c r="K2395" s="6"/>
      <c r="L2395" s="13"/>
    </row>
    <row r="2396" spans="1:12" hidden="1" x14ac:dyDescent="0.25">
      <c r="A2396" s="6"/>
      <c r="B2396" s="6"/>
      <c r="C2396" s="11"/>
      <c r="D2396" s="13"/>
      <c r="E2396" s="13"/>
      <c r="F2396" s="13"/>
      <c r="G2396" s="13"/>
      <c r="H2396" s="13"/>
      <c r="I2396" s="10"/>
      <c r="J2396" s="11"/>
      <c r="K2396" s="6"/>
      <c r="L2396" s="13"/>
    </row>
    <row r="2397" spans="1:12" hidden="1" x14ac:dyDescent="0.25">
      <c r="A2397" s="6"/>
      <c r="B2397" s="6"/>
      <c r="C2397" s="11"/>
      <c r="D2397" s="13"/>
      <c r="E2397" s="13"/>
      <c r="F2397" s="13"/>
      <c r="G2397" s="13"/>
      <c r="H2397" s="13"/>
      <c r="I2397" s="10"/>
      <c r="J2397" s="11"/>
      <c r="K2397" s="6"/>
      <c r="L2397" s="13"/>
    </row>
    <row r="2398" spans="1:12" hidden="1" x14ac:dyDescent="0.25">
      <c r="A2398" s="6"/>
      <c r="B2398" s="6"/>
      <c r="C2398" s="11"/>
      <c r="D2398" s="13"/>
      <c r="E2398" s="13"/>
      <c r="F2398" s="13"/>
      <c r="G2398" s="13"/>
      <c r="H2398" s="13"/>
      <c r="I2398" s="10"/>
      <c r="J2398" s="11"/>
      <c r="K2398" s="6"/>
      <c r="L2398" s="13"/>
    </row>
    <row r="2399" spans="1:12" hidden="1" x14ac:dyDescent="0.25">
      <c r="A2399" s="6"/>
      <c r="B2399" s="6"/>
      <c r="C2399" s="11"/>
      <c r="D2399" s="13"/>
      <c r="E2399" s="13"/>
      <c r="F2399" s="13"/>
      <c r="G2399" s="13"/>
      <c r="H2399" s="13"/>
      <c r="I2399" s="10"/>
      <c r="J2399" s="11"/>
      <c r="K2399" s="6"/>
      <c r="L2399" s="13"/>
    </row>
    <row r="2400" spans="1:12" hidden="1" x14ac:dyDescent="0.25">
      <c r="A2400" s="6"/>
      <c r="B2400" s="6"/>
      <c r="C2400" s="11"/>
      <c r="D2400" s="13"/>
      <c r="E2400" s="13"/>
      <c r="F2400" s="13"/>
      <c r="G2400" s="13"/>
      <c r="H2400" s="13"/>
      <c r="I2400" s="10"/>
      <c r="J2400" s="11"/>
      <c r="K2400" s="6"/>
      <c r="L2400" s="13"/>
    </row>
    <row r="2401" spans="1:12" hidden="1" x14ac:dyDescent="0.25">
      <c r="A2401" s="6"/>
      <c r="B2401" s="6"/>
      <c r="C2401" s="11"/>
      <c r="D2401" s="13"/>
      <c r="E2401" s="13"/>
      <c r="F2401" s="13"/>
      <c r="G2401" s="13"/>
      <c r="H2401" s="13"/>
      <c r="I2401" s="10"/>
      <c r="J2401" s="11"/>
      <c r="K2401" s="6"/>
      <c r="L2401" s="13"/>
    </row>
    <row r="2402" spans="1:12" hidden="1" x14ac:dyDescent="0.25">
      <c r="A2402" s="6"/>
      <c r="B2402" s="6"/>
      <c r="C2402" s="11"/>
      <c r="D2402" s="13"/>
      <c r="E2402" s="13"/>
      <c r="F2402" s="13"/>
      <c r="G2402" s="13"/>
      <c r="H2402" s="13"/>
      <c r="I2402" s="10"/>
      <c r="J2402" s="11"/>
      <c r="K2402" s="6"/>
      <c r="L2402" s="13"/>
    </row>
    <row r="2403" spans="1:12" hidden="1" x14ac:dyDescent="0.25">
      <c r="A2403" s="6"/>
      <c r="B2403" s="6"/>
      <c r="C2403" s="11"/>
      <c r="D2403" s="13"/>
      <c r="E2403" s="13"/>
      <c r="F2403" s="13"/>
      <c r="G2403" s="13"/>
      <c r="H2403" s="13"/>
      <c r="I2403" s="10"/>
      <c r="J2403" s="11"/>
      <c r="K2403" s="6"/>
      <c r="L2403" s="13"/>
    </row>
    <row r="2404" spans="1:12" hidden="1" x14ac:dyDescent="0.25">
      <c r="A2404" s="6"/>
      <c r="B2404" s="6"/>
      <c r="C2404" s="11"/>
      <c r="D2404" s="13"/>
      <c r="E2404" s="13"/>
      <c r="F2404" s="13"/>
      <c r="G2404" s="13"/>
      <c r="H2404" s="13"/>
      <c r="I2404" s="10"/>
      <c r="J2404" s="11"/>
      <c r="K2404" s="6"/>
      <c r="L2404" s="13"/>
    </row>
    <row r="2405" spans="1:12" hidden="1" x14ac:dyDescent="0.25">
      <c r="A2405" s="6"/>
      <c r="B2405" s="6"/>
      <c r="C2405" s="11"/>
      <c r="D2405" s="13"/>
      <c r="E2405" s="13"/>
      <c r="F2405" s="13"/>
      <c r="G2405" s="13"/>
      <c r="H2405" s="13"/>
      <c r="I2405" s="10"/>
      <c r="J2405" s="11"/>
      <c r="K2405" s="6"/>
      <c r="L2405" s="13"/>
    </row>
    <row r="2406" spans="1:12" hidden="1" x14ac:dyDescent="0.25">
      <c r="A2406" s="6"/>
      <c r="B2406" s="6"/>
      <c r="C2406" s="11"/>
      <c r="D2406" s="13"/>
      <c r="E2406" s="13"/>
      <c r="F2406" s="13"/>
      <c r="G2406" s="13"/>
      <c r="H2406" s="13"/>
      <c r="I2406" s="10"/>
      <c r="J2406" s="11"/>
      <c r="K2406" s="6"/>
      <c r="L2406" s="13"/>
    </row>
    <row r="2407" spans="1:12" hidden="1" x14ac:dyDescent="0.25">
      <c r="A2407" s="6"/>
      <c r="B2407" s="6"/>
      <c r="C2407" s="11"/>
      <c r="D2407" s="13"/>
      <c r="E2407" s="13"/>
      <c r="F2407" s="13"/>
      <c r="G2407" s="13"/>
      <c r="H2407" s="13"/>
      <c r="I2407" s="10"/>
      <c r="J2407" s="11"/>
      <c r="K2407" s="6"/>
      <c r="L2407" s="13"/>
    </row>
    <row r="2408" spans="1:12" hidden="1" x14ac:dyDescent="0.25">
      <c r="A2408" s="6"/>
      <c r="B2408" s="6"/>
      <c r="C2408" s="11"/>
      <c r="D2408" s="13"/>
      <c r="E2408" s="13"/>
      <c r="F2408" s="13"/>
      <c r="G2408" s="13"/>
      <c r="H2408" s="13"/>
      <c r="I2408" s="10"/>
      <c r="J2408" s="11"/>
      <c r="K2408" s="6"/>
      <c r="L2408" s="13"/>
    </row>
    <row r="2409" spans="1:12" hidden="1" x14ac:dyDescent="0.25">
      <c r="A2409" s="6"/>
      <c r="B2409" s="6"/>
      <c r="C2409" s="11"/>
      <c r="D2409" s="13"/>
      <c r="E2409" s="13"/>
      <c r="F2409" s="13"/>
      <c r="G2409" s="13"/>
      <c r="H2409" s="13"/>
      <c r="I2409" s="10"/>
      <c r="J2409" s="11"/>
      <c r="K2409" s="6"/>
      <c r="L2409" s="13"/>
    </row>
    <row r="2410" spans="1:12" hidden="1" x14ac:dyDescent="0.25">
      <c r="A2410" s="6"/>
      <c r="B2410" s="6"/>
      <c r="C2410" s="11"/>
      <c r="D2410" s="13"/>
      <c r="E2410" s="13"/>
      <c r="F2410" s="13"/>
      <c r="G2410" s="13"/>
      <c r="H2410" s="13"/>
      <c r="I2410" s="10"/>
      <c r="J2410" s="11"/>
      <c r="K2410" s="6"/>
      <c r="L2410" s="13"/>
    </row>
    <row r="2411" spans="1:12" hidden="1" x14ac:dyDescent="0.25">
      <c r="A2411" s="6"/>
      <c r="B2411" s="6"/>
      <c r="C2411" s="11"/>
      <c r="D2411" s="13"/>
      <c r="E2411" s="13"/>
      <c r="F2411" s="13"/>
      <c r="G2411" s="13"/>
      <c r="H2411" s="13"/>
      <c r="I2411" s="10"/>
      <c r="J2411" s="11"/>
      <c r="K2411" s="6"/>
      <c r="L2411" s="13"/>
    </row>
    <row r="2412" spans="1:12" hidden="1" x14ac:dyDescent="0.25">
      <c r="A2412" s="6"/>
      <c r="B2412" s="6"/>
      <c r="C2412" s="11"/>
      <c r="D2412" s="13"/>
      <c r="E2412" s="13"/>
      <c r="F2412" s="13"/>
      <c r="G2412" s="13"/>
      <c r="H2412" s="13"/>
      <c r="I2412" s="10"/>
      <c r="J2412" s="11"/>
      <c r="K2412" s="6"/>
      <c r="L2412" s="13"/>
    </row>
    <row r="2413" spans="1:12" hidden="1" x14ac:dyDescent="0.25">
      <c r="A2413" s="6"/>
      <c r="B2413" s="6"/>
      <c r="C2413" s="11"/>
      <c r="D2413" s="13"/>
      <c r="E2413" s="13"/>
      <c r="F2413" s="13"/>
      <c r="G2413" s="13"/>
      <c r="H2413" s="13"/>
      <c r="I2413" s="10"/>
      <c r="J2413" s="11"/>
      <c r="K2413" s="6"/>
      <c r="L2413" s="13"/>
    </row>
    <row r="2414" spans="1:12" hidden="1" x14ac:dyDescent="0.25">
      <c r="A2414" s="6"/>
      <c r="B2414" s="6"/>
      <c r="C2414" s="11"/>
      <c r="D2414" s="13"/>
      <c r="E2414" s="13"/>
      <c r="F2414" s="13"/>
      <c r="G2414" s="13"/>
      <c r="H2414" s="13"/>
      <c r="I2414" s="10"/>
      <c r="J2414" s="11"/>
      <c r="K2414" s="6"/>
      <c r="L2414" s="13"/>
    </row>
    <row r="2415" spans="1:12" hidden="1" x14ac:dyDescent="0.25">
      <c r="A2415" s="6"/>
      <c r="B2415" s="6"/>
      <c r="C2415" s="11"/>
      <c r="D2415" s="13"/>
      <c r="E2415" s="13"/>
      <c r="F2415" s="13"/>
      <c r="G2415" s="13"/>
      <c r="H2415" s="13"/>
      <c r="I2415" s="10"/>
      <c r="J2415" s="11"/>
      <c r="K2415" s="6"/>
      <c r="L2415" s="13"/>
    </row>
    <row r="2416" spans="1:12" hidden="1" x14ac:dyDescent="0.25">
      <c r="A2416" s="6"/>
      <c r="B2416" s="6"/>
      <c r="C2416" s="11"/>
      <c r="D2416" s="13"/>
      <c r="E2416" s="13"/>
      <c r="F2416" s="13"/>
      <c r="G2416" s="13"/>
      <c r="H2416" s="13"/>
      <c r="I2416" s="10"/>
      <c r="J2416" s="11"/>
      <c r="K2416" s="6"/>
      <c r="L2416" s="13"/>
    </row>
    <row r="2417" spans="1:12" hidden="1" x14ac:dyDescent="0.25">
      <c r="A2417" s="6"/>
      <c r="B2417" s="6"/>
      <c r="C2417" s="11"/>
      <c r="D2417" s="13"/>
      <c r="E2417" s="13"/>
      <c r="F2417" s="13"/>
      <c r="G2417" s="13"/>
      <c r="H2417" s="13"/>
      <c r="I2417" s="10"/>
      <c r="J2417" s="11"/>
      <c r="K2417" s="6"/>
      <c r="L2417" s="13"/>
    </row>
    <row r="2418" spans="1:12" hidden="1" x14ac:dyDescent="0.25">
      <c r="A2418" s="6"/>
      <c r="B2418" s="6"/>
      <c r="C2418" s="11"/>
      <c r="D2418" s="13"/>
      <c r="E2418" s="13"/>
      <c r="F2418" s="13"/>
      <c r="G2418" s="13"/>
      <c r="H2418" s="13"/>
      <c r="I2418" s="10"/>
      <c r="J2418" s="11"/>
      <c r="K2418" s="6"/>
      <c r="L2418" s="13"/>
    </row>
    <row r="2419" spans="1:12" hidden="1" x14ac:dyDescent="0.25">
      <c r="A2419" s="6"/>
      <c r="B2419" s="6"/>
      <c r="C2419" s="11"/>
      <c r="D2419" s="13"/>
      <c r="E2419" s="13"/>
      <c r="F2419" s="13"/>
      <c r="G2419" s="13"/>
      <c r="H2419" s="13"/>
      <c r="I2419" s="10"/>
      <c r="J2419" s="11"/>
      <c r="K2419" s="6"/>
      <c r="L2419" s="13"/>
    </row>
    <row r="2420" spans="1:12" hidden="1" x14ac:dyDescent="0.25">
      <c r="A2420" s="6"/>
      <c r="B2420" s="6"/>
      <c r="C2420" s="11"/>
      <c r="D2420" s="13"/>
      <c r="E2420" s="13"/>
      <c r="F2420" s="13"/>
      <c r="G2420" s="13"/>
      <c r="H2420" s="13"/>
      <c r="I2420" s="10"/>
      <c r="J2420" s="11"/>
      <c r="K2420" s="6"/>
      <c r="L2420" s="13"/>
    </row>
    <row r="2421" spans="1:12" hidden="1" x14ac:dyDescent="0.25">
      <c r="A2421" s="6"/>
      <c r="B2421" s="6"/>
      <c r="C2421" s="11"/>
      <c r="D2421" s="13"/>
      <c r="E2421" s="13"/>
      <c r="F2421" s="13"/>
      <c r="G2421" s="13"/>
      <c r="H2421" s="13"/>
      <c r="I2421" s="10"/>
      <c r="J2421" s="11"/>
      <c r="K2421" s="6"/>
      <c r="L2421" s="13"/>
    </row>
    <row r="2422" spans="1:12" hidden="1" x14ac:dyDescent="0.25">
      <c r="A2422" s="6"/>
      <c r="B2422" s="6"/>
      <c r="C2422" s="11"/>
      <c r="D2422" s="13"/>
      <c r="E2422" s="13"/>
      <c r="F2422" s="13"/>
      <c r="G2422" s="13"/>
      <c r="H2422" s="13"/>
      <c r="I2422" s="10"/>
      <c r="J2422" s="11"/>
      <c r="K2422" s="6"/>
      <c r="L2422" s="13"/>
    </row>
    <row r="2423" spans="1:12" hidden="1" x14ac:dyDescent="0.25">
      <c r="A2423" s="6"/>
      <c r="B2423" s="6"/>
      <c r="C2423" s="11"/>
      <c r="D2423" s="13"/>
      <c r="E2423" s="13"/>
      <c r="F2423" s="13"/>
      <c r="G2423" s="13"/>
      <c r="H2423" s="13"/>
      <c r="I2423" s="10"/>
      <c r="J2423" s="11"/>
      <c r="K2423" s="6"/>
      <c r="L2423" s="13"/>
    </row>
    <row r="2424" spans="1:12" hidden="1" x14ac:dyDescent="0.25">
      <c r="A2424" s="6"/>
      <c r="B2424" s="6"/>
      <c r="C2424" s="11"/>
      <c r="D2424" s="13"/>
      <c r="E2424" s="13"/>
      <c r="F2424" s="13"/>
      <c r="G2424" s="13"/>
      <c r="H2424" s="13"/>
      <c r="I2424" s="10"/>
      <c r="J2424" s="11"/>
      <c r="K2424" s="6"/>
      <c r="L2424" s="13"/>
    </row>
    <row r="2425" spans="1:12" hidden="1" x14ac:dyDescent="0.25">
      <c r="A2425" s="6"/>
      <c r="B2425" s="6"/>
      <c r="C2425" s="11"/>
      <c r="D2425" s="13"/>
      <c r="E2425" s="13"/>
      <c r="F2425" s="13"/>
      <c r="G2425" s="13"/>
      <c r="H2425" s="13"/>
      <c r="I2425" s="10"/>
      <c r="J2425" s="11"/>
      <c r="K2425" s="6"/>
      <c r="L2425" s="13"/>
    </row>
    <row r="2426" spans="1:12" hidden="1" x14ac:dyDescent="0.25">
      <c r="A2426" s="6"/>
      <c r="B2426" s="6"/>
      <c r="C2426" s="11"/>
      <c r="D2426" s="13"/>
      <c r="E2426" s="13"/>
      <c r="F2426" s="13"/>
      <c r="G2426" s="13"/>
      <c r="H2426" s="13"/>
      <c r="I2426" s="10"/>
      <c r="J2426" s="11"/>
      <c r="K2426" s="6"/>
      <c r="L2426" s="13"/>
    </row>
    <row r="2427" spans="1:12" hidden="1" x14ac:dyDescent="0.25">
      <c r="A2427" s="6"/>
      <c r="B2427" s="6"/>
      <c r="C2427" s="11"/>
      <c r="D2427" s="13"/>
      <c r="E2427" s="13"/>
      <c r="F2427" s="13"/>
      <c r="G2427" s="13"/>
      <c r="H2427" s="13"/>
      <c r="I2427" s="10"/>
      <c r="J2427" s="11"/>
      <c r="K2427" s="6"/>
      <c r="L2427" s="13"/>
    </row>
    <row r="2428" spans="1:12" hidden="1" x14ac:dyDescent="0.25">
      <c r="A2428" s="6"/>
      <c r="B2428" s="6"/>
      <c r="C2428" s="11"/>
      <c r="D2428" s="13"/>
      <c r="E2428" s="13"/>
      <c r="F2428" s="13"/>
      <c r="G2428" s="13"/>
      <c r="H2428" s="13"/>
      <c r="I2428" s="10"/>
      <c r="J2428" s="11"/>
      <c r="K2428" s="6"/>
      <c r="L2428" s="13"/>
    </row>
    <row r="2429" spans="1:12" hidden="1" x14ac:dyDescent="0.25">
      <c r="A2429" s="6"/>
      <c r="B2429" s="6"/>
      <c r="C2429" s="11"/>
      <c r="D2429" s="13"/>
      <c r="E2429" s="13"/>
      <c r="F2429" s="13"/>
      <c r="G2429" s="13"/>
      <c r="H2429" s="13"/>
      <c r="I2429" s="10"/>
      <c r="J2429" s="11"/>
      <c r="K2429" s="6"/>
      <c r="L2429" s="13"/>
    </row>
    <row r="2430" spans="1:12" hidden="1" x14ac:dyDescent="0.25">
      <c r="A2430" s="6"/>
      <c r="B2430" s="6"/>
      <c r="C2430" s="11"/>
      <c r="D2430" s="13"/>
      <c r="E2430" s="13"/>
      <c r="F2430" s="13"/>
      <c r="G2430" s="13"/>
      <c r="H2430" s="13"/>
      <c r="I2430" s="10"/>
      <c r="J2430" s="11"/>
      <c r="K2430" s="6"/>
      <c r="L2430" s="13"/>
    </row>
    <row r="2431" spans="1:12" hidden="1" x14ac:dyDescent="0.25">
      <c r="A2431" s="6"/>
      <c r="B2431" s="6"/>
      <c r="C2431" s="11"/>
      <c r="D2431" s="13"/>
      <c r="E2431" s="13"/>
      <c r="F2431" s="13"/>
      <c r="G2431" s="13"/>
      <c r="H2431" s="13"/>
      <c r="I2431" s="10"/>
      <c r="J2431" s="11"/>
      <c r="K2431" s="6"/>
      <c r="L2431" s="13"/>
    </row>
    <row r="2432" spans="1:12" hidden="1" x14ac:dyDescent="0.25">
      <c r="A2432" s="6"/>
      <c r="B2432" s="6"/>
      <c r="C2432" s="11"/>
      <c r="D2432" s="13"/>
      <c r="E2432" s="13"/>
      <c r="F2432" s="13"/>
      <c r="G2432" s="13"/>
      <c r="H2432" s="13"/>
      <c r="I2432" s="10"/>
      <c r="J2432" s="11"/>
      <c r="K2432" s="6"/>
      <c r="L2432" s="13"/>
    </row>
    <row r="2433" spans="1:12" hidden="1" x14ac:dyDescent="0.25">
      <c r="A2433" s="6"/>
      <c r="B2433" s="6"/>
      <c r="C2433" s="11"/>
      <c r="D2433" s="13"/>
      <c r="E2433" s="13"/>
      <c r="F2433" s="13"/>
      <c r="G2433" s="13"/>
      <c r="H2433" s="13"/>
      <c r="I2433" s="10"/>
      <c r="J2433" s="11"/>
      <c r="K2433" s="6"/>
      <c r="L2433" s="13"/>
    </row>
    <row r="2434" spans="1:12" hidden="1" x14ac:dyDescent="0.25">
      <c r="A2434" s="6"/>
      <c r="B2434" s="6"/>
      <c r="C2434" s="11"/>
      <c r="D2434" s="13"/>
      <c r="E2434" s="13"/>
      <c r="F2434" s="13"/>
      <c r="G2434" s="13"/>
      <c r="H2434" s="13"/>
      <c r="I2434" s="10"/>
      <c r="J2434" s="11"/>
      <c r="K2434" s="6"/>
      <c r="L2434" s="13"/>
    </row>
    <row r="2435" spans="1:12" hidden="1" x14ac:dyDescent="0.25">
      <c r="A2435" s="6"/>
      <c r="B2435" s="6"/>
      <c r="C2435" s="11"/>
      <c r="D2435" s="13"/>
      <c r="E2435" s="13"/>
      <c r="F2435" s="13"/>
      <c r="G2435" s="13"/>
      <c r="H2435" s="13"/>
      <c r="I2435" s="10"/>
      <c r="J2435" s="11"/>
      <c r="K2435" s="6"/>
      <c r="L2435" s="13"/>
    </row>
    <row r="2436" spans="1:12" hidden="1" x14ac:dyDescent="0.25">
      <c r="A2436" s="6"/>
      <c r="B2436" s="6"/>
      <c r="C2436" s="11"/>
      <c r="D2436" s="13"/>
      <c r="E2436" s="13"/>
      <c r="F2436" s="13"/>
      <c r="G2436" s="13"/>
      <c r="H2436" s="13"/>
      <c r="I2436" s="10"/>
      <c r="J2436" s="11"/>
      <c r="K2436" s="6"/>
      <c r="L2436" s="13"/>
    </row>
    <row r="2437" spans="1:12" hidden="1" x14ac:dyDescent="0.25">
      <c r="A2437" s="6"/>
      <c r="B2437" s="6"/>
      <c r="C2437" s="11"/>
      <c r="D2437" s="13"/>
      <c r="E2437" s="13"/>
      <c r="F2437" s="13"/>
      <c r="G2437" s="13"/>
      <c r="H2437" s="13"/>
      <c r="I2437" s="10"/>
      <c r="J2437" s="11"/>
      <c r="K2437" s="6"/>
      <c r="L2437" s="13"/>
    </row>
    <row r="2438" spans="1:12" hidden="1" x14ac:dyDescent="0.25">
      <c r="A2438" s="6"/>
      <c r="B2438" s="6"/>
      <c r="C2438" s="11"/>
      <c r="D2438" s="13"/>
      <c r="E2438" s="13"/>
      <c r="F2438" s="13"/>
      <c r="G2438" s="13"/>
      <c r="H2438" s="13"/>
      <c r="I2438" s="10"/>
      <c r="J2438" s="11"/>
      <c r="K2438" s="6"/>
      <c r="L2438" s="13"/>
    </row>
    <row r="2439" spans="1:12" hidden="1" x14ac:dyDescent="0.25">
      <c r="A2439" s="6"/>
      <c r="B2439" s="6"/>
      <c r="C2439" s="11"/>
      <c r="D2439" s="13"/>
      <c r="E2439" s="13"/>
      <c r="F2439" s="13"/>
      <c r="G2439" s="13"/>
      <c r="H2439" s="13"/>
      <c r="I2439" s="10"/>
      <c r="J2439" s="11"/>
      <c r="K2439" s="6"/>
      <c r="L2439" s="13"/>
    </row>
    <row r="2440" spans="1:12" hidden="1" x14ac:dyDescent="0.25">
      <c r="A2440" s="6"/>
      <c r="B2440" s="6"/>
      <c r="C2440" s="11"/>
      <c r="D2440" s="13"/>
      <c r="E2440" s="13"/>
      <c r="F2440" s="13"/>
      <c r="G2440" s="13"/>
      <c r="H2440" s="13"/>
      <c r="I2440" s="10"/>
      <c r="J2440" s="11"/>
      <c r="K2440" s="6"/>
      <c r="L2440" s="13"/>
    </row>
    <row r="2441" spans="1:12" hidden="1" x14ac:dyDescent="0.25">
      <c r="A2441" s="6"/>
      <c r="B2441" s="6"/>
      <c r="C2441" s="11"/>
      <c r="D2441" s="13"/>
      <c r="E2441" s="13"/>
      <c r="F2441" s="13"/>
      <c r="G2441" s="13"/>
      <c r="H2441" s="13"/>
      <c r="I2441" s="10"/>
      <c r="J2441" s="11"/>
      <c r="K2441" s="6"/>
      <c r="L2441" s="13"/>
    </row>
    <row r="2442" spans="1:12" hidden="1" x14ac:dyDescent="0.25">
      <c r="A2442" s="6"/>
      <c r="B2442" s="6"/>
      <c r="C2442" s="11"/>
      <c r="D2442" s="13"/>
      <c r="E2442" s="13"/>
      <c r="F2442" s="13"/>
      <c r="G2442" s="13"/>
      <c r="H2442" s="13"/>
      <c r="I2442" s="10"/>
      <c r="J2442" s="11"/>
      <c r="K2442" s="6"/>
      <c r="L2442" s="13"/>
    </row>
    <row r="2443" spans="1:12" hidden="1" x14ac:dyDescent="0.25">
      <c r="A2443" s="6"/>
      <c r="B2443" s="6"/>
      <c r="C2443" s="11"/>
      <c r="D2443" s="13"/>
      <c r="E2443" s="13"/>
      <c r="F2443" s="13"/>
      <c r="G2443" s="13"/>
      <c r="H2443" s="13"/>
      <c r="I2443" s="10"/>
      <c r="J2443" s="11"/>
      <c r="K2443" s="6"/>
      <c r="L2443" s="13"/>
    </row>
    <row r="2444" spans="1:12" hidden="1" x14ac:dyDescent="0.25">
      <c r="A2444" s="6"/>
      <c r="B2444" s="6"/>
      <c r="C2444" s="11"/>
      <c r="D2444" s="13"/>
      <c r="E2444" s="13"/>
      <c r="F2444" s="13"/>
      <c r="G2444" s="13"/>
      <c r="H2444" s="13"/>
      <c r="I2444" s="10"/>
      <c r="J2444" s="11"/>
      <c r="K2444" s="6"/>
      <c r="L2444" s="13"/>
    </row>
    <row r="2445" spans="1:12" hidden="1" x14ac:dyDescent="0.25">
      <c r="A2445" s="6"/>
      <c r="B2445" s="6"/>
      <c r="C2445" s="11"/>
      <c r="D2445" s="13"/>
      <c r="E2445" s="13"/>
      <c r="F2445" s="13"/>
      <c r="G2445" s="13"/>
      <c r="H2445" s="13"/>
      <c r="I2445" s="10"/>
      <c r="J2445" s="11"/>
      <c r="K2445" s="6"/>
      <c r="L2445" s="13"/>
    </row>
    <row r="2446" spans="1:12" hidden="1" x14ac:dyDescent="0.25">
      <c r="A2446" s="6"/>
      <c r="B2446" s="6"/>
      <c r="C2446" s="11"/>
      <c r="D2446" s="13"/>
      <c r="E2446" s="13"/>
      <c r="F2446" s="13"/>
      <c r="G2446" s="13"/>
      <c r="H2446" s="13"/>
      <c r="I2446" s="10"/>
      <c r="J2446" s="11"/>
      <c r="K2446" s="6"/>
      <c r="L2446" s="13"/>
    </row>
    <row r="2447" spans="1:12" hidden="1" x14ac:dyDescent="0.25">
      <c r="A2447" s="6"/>
      <c r="B2447" s="6"/>
      <c r="C2447" s="11"/>
      <c r="D2447" s="13"/>
      <c r="E2447" s="13"/>
      <c r="F2447" s="13"/>
      <c r="G2447" s="13"/>
      <c r="H2447" s="13"/>
      <c r="I2447" s="10"/>
      <c r="J2447" s="11"/>
      <c r="K2447" s="6"/>
      <c r="L2447" s="13"/>
    </row>
    <row r="2448" spans="1:12" hidden="1" x14ac:dyDescent="0.25">
      <c r="A2448" s="6"/>
      <c r="B2448" s="6"/>
      <c r="C2448" s="11"/>
      <c r="D2448" s="13"/>
      <c r="E2448" s="13"/>
      <c r="F2448" s="13"/>
      <c r="G2448" s="13"/>
      <c r="H2448" s="13"/>
      <c r="I2448" s="10"/>
      <c r="J2448" s="11"/>
      <c r="K2448" s="6"/>
      <c r="L2448" s="13"/>
    </row>
    <row r="2449" spans="1:12" hidden="1" x14ac:dyDescent="0.25">
      <c r="A2449" s="6"/>
      <c r="B2449" s="6"/>
      <c r="C2449" s="11"/>
      <c r="D2449" s="13"/>
      <c r="E2449" s="13"/>
      <c r="F2449" s="13"/>
      <c r="G2449" s="13"/>
      <c r="H2449" s="13"/>
      <c r="I2449" s="10"/>
      <c r="J2449" s="11"/>
      <c r="K2449" s="6"/>
      <c r="L2449" s="13"/>
    </row>
    <row r="2450" spans="1:12" hidden="1" x14ac:dyDescent="0.25">
      <c r="A2450" s="6"/>
      <c r="B2450" s="6"/>
      <c r="C2450" s="11"/>
      <c r="D2450" s="13"/>
      <c r="E2450" s="13"/>
      <c r="F2450" s="13"/>
      <c r="G2450" s="13"/>
      <c r="H2450" s="13"/>
      <c r="I2450" s="10"/>
      <c r="J2450" s="11"/>
      <c r="K2450" s="6"/>
      <c r="L2450" s="13"/>
    </row>
    <row r="2451" spans="1:12" hidden="1" x14ac:dyDescent="0.25">
      <c r="A2451" s="6"/>
      <c r="B2451" s="6"/>
      <c r="C2451" s="11"/>
      <c r="D2451" s="13"/>
      <c r="E2451" s="13"/>
      <c r="F2451" s="13"/>
      <c r="G2451" s="13"/>
      <c r="H2451" s="13"/>
      <c r="I2451" s="10"/>
      <c r="J2451" s="11"/>
      <c r="K2451" s="6"/>
      <c r="L2451" s="13"/>
    </row>
    <row r="2452" spans="1:12" hidden="1" x14ac:dyDescent="0.25">
      <c r="A2452" s="6"/>
      <c r="B2452" s="6"/>
      <c r="C2452" s="11"/>
      <c r="D2452" s="13"/>
      <c r="E2452" s="13"/>
      <c r="F2452" s="13"/>
      <c r="G2452" s="13"/>
      <c r="H2452" s="13"/>
      <c r="I2452" s="10"/>
      <c r="J2452" s="11"/>
      <c r="K2452" s="6"/>
      <c r="L2452" s="13"/>
    </row>
    <row r="2453" spans="1:12" hidden="1" x14ac:dyDescent="0.25">
      <c r="A2453" s="6"/>
      <c r="B2453" s="6"/>
      <c r="C2453" s="11"/>
      <c r="D2453" s="13"/>
      <c r="E2453" s="13"/>
      <c r="F2453" s="13"/>
      <c r="G2453" s="13"/>
      <c r="H2453" s="13"/>
      <c r="I2453" s="10"/>
      <c r="J2453" s="11"/>
      <c r="K2453" s="6"/>
      <c r="L2453" s="13"/>
    </row>
    <row r="2454" spans="1:12" hidden="1" x14ac:dyDescent="0.25">
      <c r="A2454" s="6"/>
      <c r="B2454" s="6"/>
      <c r="C2454" s="11"/>
      <c r="D2454" s="13"/>
      <c r="E2454" s="13"/>
      <c r="F2454" s="13"/>
      <c r="G2454" s="13"/>
      <c r="H2454" s="13"/>
      <c r="I2454" s="10"/>
      <c r="J2454" s="11"/>
      <c r="K2454" s="6"/>
      <c r="L2454" s="13"/>
    </row>
    <row r="2455" spans="1:12" hidden="1" x14ac:dyDescent="0.25">
      <c r="A2455" s="6"/>
      <c r="B2455" s="6"/>
      <c r="C2455" s="11"/>
      <c r="D2455" s="13"/>
      <c r="E2455" s="13"/>
      <c r="F2455" s="13"/>
      <c r="G2455" s="13"/>
      <c r="H2455" s="13"/>
      <c r="I2455" s="10"/>
      <c r="J2455" s="11"/>
      <c r="K2455" s="6"/>
      <c r="L2455" s="13"/>
    </row>
    <row r="2456" spans="1:12" hidden="1" x14ac:dyDescent="0.25">
      <c r="A2456" s="6"/>
      <c r="B2456" s="6"/>
      <c r="C2456" s="11"/>
      <c r="D2456" s="13"/>
      <c r="E2456" s="13"/>
      <c r="F2456" s="13"/>
      <c r="G2456" s="13"/>
      <c r="H2456" s="13"/>
      <c r="I2456" s="10"/>
      <c r="J2456" s="11"/>
      <c r="K2456" s="6"/>
      <c r="L2456" s="13"/>
    </row>
    <row r="2457" spans="1:12" hidden="1" x14ac:dyDescent="0.25">
      <c r="A2457" s="6"/>
      <c r="B2457" s="6"/>
      <c r="C2457" s="11"/>
      <c r="D2457" s="13"/>
      <c r="E2457" s="13"/>
      <c r="F2457" s="13"/>
      <c r="G2457" s="13"/>
      <c r="H2457" s="13"/>
      <c r="I2457" s="10"/>
      <c r="J2457" s="11"/>
      <c r="K2457" s="6"/>
      <c r="L2457" s="13"/>
    </row>
    <row r="2458" spans="1:12" hidden="1" x14ac:dyDescent="0.25">
      <c r="A2458" s="6"/>
      <c r="B2458" s="6"/>
      <c r="C2458" s="11"/>
      <c r="D2458" s="13"/>
      <c r="E2458" s="13"/>
      <c r="F2458" s="13"/>
      <c r="G2458" s="13"/>
      <c r="H2458" s="13"/>
      <c r="I2458" s="10"/>
      <c r="J2458" s="11"/>
      <c r="K2458" s="6"/>
      <c r="L2458" s="13"/>
    </row>
    <row r="2459" spans="1:12" hidden="1" x14ac:dyDescent="0.25">
      <c r="A2459" s="6"/>
      <c r="B2459" s="6"/>
      <c r="C2459" s="11"/>
      <c r="D2459" s="13"/>
      <c r="E2459" s="13"/>
      <c r="F2459" s="13"/>
      <c r="G2459" s="13"/>
      <c r="H2459" s="13"/>
      <c r="I2459" s="10"/>
      <c r="J2459" s="11"/>
      <c r="K2459" s="6"/>
      <c r="L2459" s="13"/>
    </row>
    <row r="2460" spans="1:12" hidden="1" x14ac:dyDescent="0.25">
      <c r="A2460" s="6"/>
      <c r="B2460" s="6"/>
      <c r="C2460" s="11"/>
      <c r="D2460" s="13"/>
      <c r="E2460" s="13"/>
      <c r="F2460" s="13"/>
      <c r="G2460" s="13"/>
      <c r="H2460" s="13"/>
      <c r="I2460" s="10"/>
      <c r="J2460" s="11"/>
      <c r="K2460" s="6"/>
      <c r="L2460" s="13"/>
    </row>
    <row r="2461" spans="1:12" hidden="1" x14ac:dyDescent="0.25">
      <c r="A2461" s="6"/>
      <c r="B2461" s="6"/>
      <c r="C2461" s="11"/>
      <c r="D2461" s="13"/>
      <c r="E2461" s="13"/>
      <c r="F2461" s="13"/>
      <c r="G2461" s="13"/>
      <c r="H2461" s="13"/>
      <c r="I2461" s="10"/>
      <c r="J2461" s="11"/>
      <c r="K2461" s="6"/>
      <c r="L2461" s="13"/>
    </row>
    <row r="2462" spans="1:12" hidden="1" x14ac:dyDescent="0.25">
      <c r="A2462" s="6"/>
      <c r="B2462" s="6"/>
      <c r="C2462" s="11"/>
      <c r="D2462" s="13"/>
      <c r="E2462" s="13"/>
      <c r="F2462" s="13"/>
      <c r="G2462" s="13"/>
      <c r="H2462" s="13"/>
      <c r="I2462" s="10"/>
      <c r="J2462" s="11"/>
      <c r="K2462" s="6"/>
      <c r="L2462" s="13"/>
    </row>
    <row r="2463" spans="1:12" hidden="1" x14ac:dyDescent="0.25">
      <c r="A2463" s="6"/>
      <c r="B2463" s="6"/>
      <c r="C2463" s="11"/>
      <c r="D2463" s="13"/>
      <c r="E2463" s="13"/>
      <c r="F2463" s="13"/>
      <c r="G2463" s="13"/>
      <c r="H2463" s="13"/>
      <c r="I2463" s="10"/>
      <c r="J2463" s="11"/>
      <c r="K2463" s="6"/>
      <c r="L2463" s="13"/>
    </row>
    <row r="2464" spans="1:12" hidden="1" x14ac:dyDescent="0.25">
      <c r="A2464" s="6"/>
      <c r="B2464" s="6"/>
      <c r="C2464" s="11"/>
      <c r="D2464" s="13"/>
      <c r="E2464" s="13"/>
      <c r="F2464" s="13"/>
      <c r="G2464" s="13"/>
      <c r="H2464" s="13"/>
      <c r="I2464" s="10"/>
      <c r="J2464" s="11"/>
      <c r="K2464" s="6"/>
      <c r="L2464" s="13"/>
    </row>
    <row r="2465" spans="1:12" hidden="1" x14ac:dyDescent="0.25">
      <c r="A2465" s="6"/>
      <c r="B2465" s="6"/>
      <c r="C2465" s="11"/>
      <c r="D2465" s="13"/>
      <c r="E2465" s="13"/>
      <c r="F2465" s="13"/>
      <c r="G2465" s="13"/>
      <c r="H2465" s="13"/>
      <c r="I2465" s="10"/>
      <c r="J2465" s="11"/>
      <c r="K2465" s="6"/>
      <c r="L2465" s="13"/>
    </row>
    <row r="2466" spans="1:12" hidden="1" x14ac:dyDescent="0.25">
      <c r="A2466" s="6"/>
      <c r="B2466" s="6"/>
      <c r="C2466" s="11"/>
      <c r="D2466" s="13"/>
      <c r="E2466" s="13"/>
      <c r="F2466" s="13"/>
      <c r="G2466" s="13"/>
      <c r="H2466" s="13"/>
      <c r="I2466" s="10"/>
      <c r="J2466" s="11"/>
      <c r="K2466" s="6"/>
      <c r="L2466" s="13"/>
    </row>
    <row r="2467" spans="1:12" hidden="1" x14ac:dyDescent="0.25">
      <c r="A2467" s="6"/>
      <c r="B2467" s="6"/>
      <c r="C2467" s="11"/>
      <c r="D2467" s="13"/>
      <c r="E2467" s="13"/>
      <c r="F2467" s="13"/>
      <c r="G2467" s="13"/>
      <c r="H2467" s="13"/>
      <c r="I2467" s="10"/>
      <c r="J2467" s="11"/>
      <c r="K2467" s="6"/>
      <c r="L2467" s="13"/>
    </row>
    <row r="2468" spans="1:12" hidden="1" x14ac:dyDescent="0.25">
      <c r="A2468" s="6"/>
      <c r="B2468" s="6"/>
      <c r="C2468" s="11"/>
      <c r="D2468" s="13"/>
      <c r="E2468" s="13"/>
      <c r="F2468" s="13"/>
      <c r="G2468" s="13"/>
      <c r="H2468" s="13"/>
      <c r="I2468" s="10"/>
      <c r="J2468" s="11"/>
      <c r="K2468" s="6"/>
      <c r="L2468" s="13"/>
    </row>
    <row r="2469" spans="1:12" hidden="1" x14ac:dyDescent="0.25">
      <c r="A2469" s="6"/>
      <c r="B2469" s="6"/>
      <c r="C2469" s="11"/>
      <c r="D2469" s="13"/>
      <c r="E2469" s="13"/>
      <c r="F2469" s="13"/>
      <c r="G2469" s="13"/>
      <c r="H2469" s="13"/>
      <c r="I2469" s="10"/>
      <c r="J2469" s="11"/>
      <c r="K2469" s="6"/>
      <c r="L2469" s="13"/>
    </row>
    <row r="2470" spans="1:12" hidden="1" x14ac:dyDescent="0.25">
      <c r="A2470" s="6"/>
      <c r="B2470" s="6"/>
      <c r="C2470" s="11"/>
      <c r="D2470" s="13"/>
      <c r="E2470" s="13"/>
      <c r="F2470" s="13"/>
      <c r="G2470" s="13"/>
      <c r="H2470" s="13"/>
      <c r="I2470" s="10"/>
      <c r="J2470" s="11"/>
      <c r="K2470" s="6"/>
      <c r="L2470" s="13"/>
    </row>
    <row r="2471" spans="1:12" hidden="1" x14ac:dyDescent="0.25">
      <c r="A2471" s="6"/>
      <c r="B2471" s="6"/>
      <c r="C2471" s="11"/>
      <c r="D2471" s="13"/>
      <c r="E2471" s="13"/>
      <c r="F2471" s="13"/>
      <c r="G2471" s="13"/>
      <c r="H2471" s="13"/>
      <c r="I2471" s="10"/>
      <c r="J2471" s="11"/>
      <c r="K2471" s="6"/>
      <c r="L2471" s="13"/>
    </row>
    <row r="2472" spans="1:12" hidden="1" x14ac:dyDescent="0.25">
      <c r="A2472" s="6"/>
      <c r="B2472" s="6"/>
      <c r="C2472" s="11"/>
      <c r="D2472" s="13"/>
      <c r="E2472" s="13"/>
      <c r="F2472" s="13"/>
      <c r="G2472" s="13"/>
      <c r="H2472" s="13"/>
      <c r="I2472" s="10"/>
      <c r="J2472" s="11"/>
      <c r="K2472" s="6"/>
      <c r="L2472" s="13"/>
    </row>
    <row r="2473" spans="1:12" hidden="1" x14ac:dyDescent="0.25">
      <c r="A2473" s="6"/>
      <c r="B2473" s="6"/>
      <c r="C2473" s="11"/>
      <c r="D2473" s="13"/>
      <c r="E2473" s="13"/>
      <c r="F2473" s="13"/>
      <c r="G2473" s="13"/>
      <c r="H2473" s="13"/>
      <c r="I2473" s="10"/>
      <c r="J2473" s="11"/>
      <c r="K2473" s="6"/>
      <c r="L2473" s="13"/>
    </row>
    <row r="2474" spans="1:12" hidden="1" x14ac:dyDescent="0.25">
      <c r="A2474" s="6"/>
      <c r="B2474" s="6"/>
      <c r="C2474" s="11"/>
      <c r="D2474" s="13"/>
      <c r="E2474" s="13"/>
      <c r="F2474" s="13"/>
      <c r="G2474" s="13"/>
      <c r="H2474" s="13"/>
      <c r="I2474" s="10"/>
      <c r="J2474" s="11"/>
      <c r="K2474" s="6"/>
      <c r="L2474" s="13"/>
    </row>
    <row r="2475" spans="1:12" hidden="1" x14ac:dyDescent="0.25">
      <c r="A2475" s="6"/>
      <c r="B2475" s="6"/>
      <c r="C2475" s="11"/>
      <c r="D2475" s="13"/>
      <c r="E2475" s="13"/>
      <c r="F2475" s="13"/>
      <c r="G2475" s="13"/>
      <c r="H2475" s="13"/>
      <c r="I2475" s="10"/>
      <c r="J2475" s="11"/>
      <c r="K2475" s="6"/>
      <c r="L2475" s="13"/>
    </row>
    <row r="2476" spans="1:12" hidden="1" x14ac:dyDescent="0.25">
      <c r="A2476" s="6"/>
      <c r="B2476" s="6"/>
      <c r="C2476" s="11"/>
      <c r="D2476" s="13"/>
      <c r="E2476" s="13"/>
      <c r="F2476" s="13"/>
      <c r="G2476" s="13"/>
      <c r="H2476" s="13"/>
      <c r="I2476" s="10"/>
      <c r="J2476" s="11"/>
      <c r="K2476" s="6"/>
      <c r="L2476" s="13"/>
    </row>
    <row r="2477" spans="1:12" hidden="1" x14ac:dyDescent="0.25">
      <c r="A2477" s="6"/>
      <c r="B2477" s="6"/>
      <c r="C2477" s="11"/>
      <c r="D2477" s="13"/>
      <c r="E2477" s="13"/>
      <c r="F2477" s="13"/>
      <c r="G2477" s="13"/>
      <c r="H2477" s="13"/>
      <c r="I2477" s="10"/>
      <c r="J2477" s="11"/>
      <c r="K2477" s="6"/>
      <c r="L2477" s="13"/>
    </row>
    <row r="2478" spans="1:12" hidden="1" x14ac:dyDescent="0.25">
      <c r="A2478" s="6"/>
      <c r="B2478" s="6"/>
      <c r="C2478" s="11"/>
      <c r="D2478" s="13"/>
      <c r="E2478" s="13"/>
      <c r="F2478" s="13"/>
      <c r="G2478" s="13"/>
      <c r="H2478" s="13"/>
      <c r="I2478" s="10"/>
      <c r="J2478" s="11"/>
      <c r="K2478" s="6"/>
      <c r="L2478" s="13"/>
    </row>
    <row r="2479" spans="1:12" hidden="1" x14ac:dyDescent="0.25">
      <c r="A2479" s="6"/>
      <c r="B2479" s="6"/>
      <c r="C2479" s="11"/>
      <c r="D2479" s="13"/>
      <c r="E2479" s="13"/>
      <c r="F2479" s="13"/>
      <c r="G2479" s="13"/>
      <c r="H2479" s="13"/>
      <c r="I2479" s="10"/>
      <c r="J2479" s="11"/>
      <c r="K2479" s="6"/>
      <c r="L2479" s="13"/>
    </row>
    <row r="2480" spans="1:12" hidden="1" x14ac:dyDescent="0.25">
      <c r="A2480" s="6"/>
      <c r="B2480" s="6"/>
      <c r="C2480" s="11"/>
      <c r="D2480" s="13"/>
      <c r="E2480" s="13"/>
      <c r="F2480" s="13"/>
      <c r="G2480" s="13"/>
      <c r="H2480" s="13"/>
      <c r="I2480" s="10"/>
      <c r="J2480" s="11"/>
      <c r="K2480" s="6"/>
      <c r="L2480" s="13"/>
    </row>
    <row r="2481" spans="1:12" hidden="1" x14ac:dyDescent="0.25">
      <c r="A2481" s="6"/>
      <c r="B2481" s="6"/>
      <c r="C2481" s="11"/>
      <c r="D2481" s="13"/>
      <c r="E2481" s="13"/>
      <c r="F2481" s="13"/>
      <c r="G2481" s="13"/>
      <c r="H2481" s="13"/>
      <c r="I2481" s="10"/>
      <c r="J2481" s="11"/>
      <c r="K2481" s="6"/>
      <c r="L2481" s="13"/>
    </row>
    <row r="2482" spans="1:12" hidden="1" x14ac:dyDescent="0.25">
      <c r="A2482" s="6"/>
      <c r="B2482" s="6"/>
      <c r="C2482" s="11"/>
      <c r="D2482" s="13"/>
      <c r="E2482" s="13"/>
      <c r="F2482" s="13"/>
      <c r="G2482" s="13"/>
      <c r="H2482" s="13"/>
      <c r="I2482" s="10"/>
      <c r="J2482" s="11"/>
      <c r="K2482" s="6"/>
      <c r="L2482" s="13"/>
    </row>
    <row r="2483" spans="1:12" hidden="1" x14ac:dyDescent="0.25">
      <c r="A2483" s="6"/>
      <c r="B2483" s="6"/>
      <c r="C2483" s="11"/>
      <c r="D2483" s="13"/>
      <c r="E2483" s="13"/>
      <c r="F2483" s="13"/>
      <c r="G2483" s="13"/>
      <c r="H2483" s="13"/>
      <c r="I2483" s="10"/>
      <c r="J2483" s="11"/>
      <c r="K2483" s="6"/>
      <c r="L2483" s="13"/>
    </row>
    <row r="2484" spans="1:12" hidden="1" x14ac:dyDescent="0.25">
      <c r="A2484" s="6"/>
      <c r="B2484" s="6"/>
      <c r="C2484" s="11"/>
      <c r="D2484" s="13"/>
      <c r="E2484" s="13"/>
      <c r="F2484" s="13"/>
      <c r="G2484" s="13"/>
      <c r="H2484" s="13"/>
      <c r="I2484" s="10"/>
      <c r="J2484" s="11"/>
      <c r="K2484" s="6"/>
      <c r="L2484" s="13"/>
    </row>
    <row r="2485" spans="1:12" hidden="1" x14ac:dyDescent="0.25">
      <c r="A2485" s="6"/>
      <c r="B2485" s="6"/>
      <c r="C2485" s="11"/>
      <c r="D2485" s="13"/>
      <c r="E2485" s="13"/>
      <c r="F2485" s="13"/>
      <c r="G2485" s="13"/>
      <c r="H2485" s="13"/>
      <c r="I2485" s="10"/>
      <c r="J2485" s="11"/>
      <c r="K2485" s="6"/>
      <c r="L2485" s="13"/>
    </row>
    <row r="2486" spans="1:12" hidden="1" x14ac:dyDescent="0.25">
      <c r="A2486" s="6"/>
      <c r="B2486" s="6"/>
      <c r="C2486" s="11"/>
      <c r="D2486" s="13"/>
      <c r="E2486" s="13"/>
      <c r="F2486" s="13"/>
      <c r="G2486" s="13"/>
      <c r="H2486" s="13"/>
      <c r="I2486" s="10"/>
      <c r="J2486" s="11"/>
      <c r="K2486" s="6"/>
      <c r="L2486" s="13"/>
    </row>
    <row r="2487" spans="1:12" hidden="1" x14ac:dyDescent="0.25">
      <c r="A2487" s="6"/>
      <c r="B2487" s="6"/>
      <c r="C2487" s="11"/>
      <c r="D2487" s="13"/>
      <c r="E2487" s="13"/>
      <c r="F2487" s="13"/>
      <c r="G2487" s="13"/>
      <c r="H2487" s="13"/>
      <c r="I2487" s="10"/>
      <c r="J2487" s="11"/>
      <c r="K2487" s="6"/>
      <c r="L2487" s="13"/>
    </row>
    <row r="2488" spans="1:12" hidden="1" x14ac:dyDescent="0.25">
      <c r="A2488" s="6"/>
      <c r="B2488" s="6"/>
      <c r="C2488" s="11"/>
      <c r="D2488" s="13"/>
      <c r="E2488" s="13"/>
      <c r="F2488" s="13"/>
      <c r="G2488" s="13"/>
      <c r="H2488" s="13"/>
      <c r="I2488" s="10"/>
      <c r="J2488" s="11"/>
      <c r="K2488" s="6"/>
      <c r="L2488" s="13"/>
    </row>
    <row r="2489" spans="1:12" hidden="1" x14ac:dyDescent="0.25">
      <c r="A2489" s="6"/>
      <c r="B2489" s="6"/>
      <c r="C2489" s="11"/>
      <c r="D2489" s="13"/>
      <c r="E2489" s="13"/>
      <c r="F2489" s="13"/>
      <c r="G2489" s="13"/>
      <c r="H2489" s="13"/>
      <c r="I2489" s="10"/>
      <c r="J2489" s="11"/>
      <c r="K2489" s="6"/>
      <c r="L2489" s="13"/>
    </row>
    <row r="2490" spans="1:12" hidden="1" x14ac:dyDescent="0.25">
      <c r="A2490" s="6"/>
      <c r="B2490" s="6"/>
      <c r="C2490" s="11"/>
      <c r="D2490" s="13"/>
      <c r="E2490" s="13"/>
      <c r="F2490" s="13"/>
      <c r="G2490" s="13"/>
      <c r="H2490" s="13"/>
      <c r="I2490" s="10"/>
      <c r="J2490" s="11"/>
      <c r="K2490" s="6"/>
      <c r="L2490" s="13"/>
    </row>
    <row r="2491" spans="1:12" hidden="1" x14ac:dyDescent="0.25">
      <c r="A2491" s="6"/>
      <c r="B2491" s="6"/>
      <c r="C2491" s="11"/>
      <c r="D2491" s="13"/>
      <c r="E2491" s="13"/>
      <c r="F2491" s="13"/>
      <c r="G2491" s="13"/>
      <c r="H2491" s="13"/>
      <c r="I2491" s="10"/>
      <c r="J2491" s="11"/>
      <c r="K2491" s="6"/>
      <c r="L2491" s="13"/>
    </row>
    <row r="2492" spans="1:12" hidden="1" x14ac:dyDescent="0.25">
      <c r="A2492" s="6"/>
      <c r="B2492" s="6"/>
      <c r="C2492" s="11"/>
      <c r="D2492" s="13"/>
      <c r="E2492" s="13"/>
      <c r="F2492" s="13"/>
      <c r="G2492" s="13"/>
      <c r="H2492" s="13"/>
      <c r="I2492" s="10"/>
      <c r="J2492" s="11"/>
      <c r="K2492" s="6"/>
      <c r="L2492" s="13"/>
    </row>
    <row r="2493" spans="1:12" hidden="1" x14ac:dyDescent="0.25">
      <c r="A2493" s="6"/>
      <c r="B2493" s="6"/>
      <c r="C2493" s="11"/>
      <c r="D2493" s="13"/>
      <c r="E2493" s="13"/>
      <c r="F2493" s="13"/>
      <c r="G2493" s="13"/>
      <c r="H2493" s="13"/>
      <c r="I2493" s="10"/>
      <c r="J2493" s="11"/>
      <c r="K2493" s="6"/>
      <c r="L2493" s="13"/>
    </row>
    <row r="2494" spans="1:12" hidden="1" x14ac:dyDescent="0.25">
      <c r="A2494" s="6"/>
      <c r="B2494" s="6"/>
      <c r="C2494" s="11"/>
      <c r="D2494" s="13"/>
      <c r="E2494" s="13"/>
      <c r="F2494" s="13"/>
      <c r="G2494" s="13"/>
      <c r="H2494" s="13"/>
      <c r="I2494" s="10"/>
      <c r="J2494" s="11"/>
      <c r="K2494" s="6"/>
      <c r="L2494" s="13"/>
    </row>
    <row r="2495" spans="1:12" hidden="1" x14ac:dyDescent="0.25">
      <c r="A2495" s="6"/>
      <c r="B2495" s="6"/>
      <c r="C2495" s="11"/>
      <c r="D2495" s="13"/>
      <c r="E2495" s="13"/>
      <c r="F2495" s="13"/>
      <c r="G2495" s="13"/>
      <c r="H2495" s="13"/>
      <c r="I2495" s="10"/>
      <c r="J2495" s="11"/>
      <c r="K2495" s="6"/>
      <c r="L2495" s="13"/>
    </row>
    <row r="2496" spans="1:12" hidden="1" x14ac:dyDescent="0.25">
      <c r="A2496" s="6"/>
      <c r="B2496" s="6"/>
      <c r="C2496" s="11"/>
      <c r="D2496" s="13"/>
      <c r="E2496" s="13"/>
      <c r="F2496" s="13"/>
      <c r="G2496" s="13"/>
      <c r="H2496" s="13"/>
      <c r="I2496" s="10"/>
      <c r="J2496" s="11"/>
      <c r="K2496" s="6"/>
      <c r="L2496" s="13"/>
    </row>
    <row r="2497" spans="1:12" hidden="1" x14ac:dyDescent="0.25">
      <c r="A2497" s="6"/>
      <c r="B2497" s="6"/>
      <c r="C2497" s="11"/>
      <c r="D2497" s="13"/>
      <c r="E2497" s="13"/>
      <c r="F2497" s="13"/>
      <c r="G2497" s="13"/>
      <c r="H2497" s="13"/>
      <c r="I2497" s="10"/>
      <c r="J2497" s="11"/>
      <c r="K2497" s="6"/>
      <c r="L2497" s="13"/>
    </row>
    <row r="2498" spans="1:12" hidden="1" x14ac:dyDescent="0.25">
      <c r="A2498" s="6"/>
      <c r="B2498" s="6"/>
      <c r="C2498" s="11"/>
      <c r="D2498" s="13"/>
      <c r="E2498" s="13"/>
      <c r="F2498" s="13"/>
      <c r="G2498" s="13"/>
      <c r="H2498" s="13"/>
      <c r="I2498" s="10"/>
      <c r="J2498" s="11"/>
      <c r="K2498" s="6"/>
      <c r="L2498" s="13"/>
    </row>
    <row r="2499" spans="1:12" hidden="1" x14ac:dyDescent="0.25">
      <c r="A2499" s="6"/>
      <c r="B2499" s="6"/>
      <c r="C2499" s="11"/>
      <c r="D2499" s="13"/>
      <c r="E2499" s="13"/>
      <c r="F2499" s="13"/>
      <c r="G2499" s="13"/>
      <c r="H2499" s="13"/>
      <c r="I2499" s="10"/>
      <c r="J2499" s="11"/>
      <c r="K2499" s="6"/>
      <c r="L2499" s="13"/>
    </row>
    <row r="2500" spans="1:12" hidden="1" x14ac:dyDescent="0.25">
      <c r="A2500" s="6"/>
      <c r="B2500" s="6"/>
      <c r="C2500" s="11"/>
      <c r="D2500" s="13"/>
      <c r="E2500" s="13"/>
      <c r="F2500" s="13"/>
      <c r="G2500" s="13"/>
      <c r="H2500" s="13"/>
      <c r="I2500" s="10"/>
      <c r="J2500" s="11"/>
      <c r="K2500" s="6"/>
      <c r="L2500" s="13"/>
    </row>
    <row r="2501" spans="1:12" hidden="1" x14ac:dyDescent="0.25">
      <c r="A2501" s="6"/>
      <c r="B2501" s="6"/>
      <c r="C2501" s="11"/>
      <c r="D2501" s="13"/>
      <c r="E2501" s="13"/>
      <c r="F2501" s="13"/>
      <c r="G2501" s="13"/>
      <c r="H2501" s="13"/>
      <c r="I2501" s="10"/>
      <c r="J2501" s="11"/>
      <c r="K2501" s="6"/>
      <c r="L2501" s="13"/>
    </row>
    <row r="2502" spans="1:12" hidden="1" x14ac:dyDescent="0.25">
      <c r="A2502" s="6"/>
      <c r="B2502" s="6"/>
      <c r="C2502" s="11"/>
      <c r="D2502" s="13"/>
      <c r="E2502" s="13"/>
      <c r="F2502" s="13"/>
      <c r="G2502" s="13"/>
      <c r="H2502" s="13"/>
      <c r="I2502" s="10"/>
      <c r="J2502" s="11"/>
      <c r="K2502" s="6"/>
      <c r="L2502" s="13"/>
    </row>
    <row r="2503" spans="1:12" hidden="1" x14ac:dyDescent="0.25">
      <c r="A2503" s="6"/>
      <c r="B2503" s="6"/>
      <c r="C2503" s="11"/>
      <c r="D2503" s="13"/>
      <c r="E2503" s="13"/>
      <c r="F2503" s="13"/>
      <c r="G2503" s="13"/>
      <c r="H2503" s="13"/>
      <c r="I2503" s="10"/>
      <c r="J2503" s="11"/>
      <c r="K2503" s="6"/>
      <c r="L2503" s="13"/>
    </row>
    <row r="2504" spans="1:12" hidden="1" x14ac:dyDescent="0.25">
      <c r="A2504" s="6"/>
      <c r="B2504" s="6"/>
      <c r="C2504" s="11"/>
      <c r="D2504" s="13"/>
      <c r="E2504" s="13"/>
      <c r="F2504" s="13"/>
      <c r="G2504" s="13"/>
      <c r="H2504" s="13"/>
      <c r="I2504" s="10"/>
      <c r="J2504" s="11"/>
      <c r="K2504" s="6"/>
      <c r="L2504" s="13"/>
    </row>
    <row r="2505" spans="1:12" hidden="1" x14ac:dyDescent="0.25">
      <c r="A2505" s="6"/>
      <c r="B2505" s="6"/>
      <c r="C2505" s="11"/>
      <c r="D2505" s="13"/>
      <c r="E2505" s="13"/>
      <c r="F2505" s="13"/>
      <c r="G2505" s="13"/>
      <c r="H2505" s="13"/>
      <c r="I2505" s="10"/>
      <c r="J2505" s="11"/>
      <c r="K2505" s="6"/>
      <c r="L2505" s="13"/>
    </row>
    <row r="2506" spans="1:12" hidden="1" x14ac:dyDescent="0.25">
      <c r="A2506" s="6"/>
      <c r="B2506" s="6"/>
      <c r="C2506" s="11"/>
      <c r="D2506" s="13"/>
      <c r="E2506" s="13"/>
      <c r="F2506" s="13"/>
      <c r="G2506" s="13"/>
      <c r="H2506" s="13"/>
      <c r="I2506" s="10"/>
      <c r="J2506" s="11"/>
      <c r="K2506" s="6"/>
      <c r="L2506" s="13"/>
    </row>
    <row r="2507" spans="1:12" hidden="1" x14ac:dyDescent="0.25">
      <c r="A2507" s="6"/>
      <c r="B2507" s="6"/>
      <c r="C2507" s="11"/>
      <c r="D2507" s="13"/>
      <c r="E2507" s="13"/>
      <c r="F2507" s="13"/>
      <c r="G2507" s="13"/>
      <c r="H2507" s="13"/>
      <c r="I2507" s="10"/>
      <c r="J2507" s="11"/>
      <c r="K2507" s="6"/>
      <c r="L2507" s="13"/>
    </row>
    <row r="2508" spans="1:12" hidden="1" x14ac:dyDescent="0.25">
      <c r="A2508" s="6"/>
      <c r="B2508" s="6"/>
      <c r="C2508" s="11"/>
      <c r="D2508" s="13"/>
      <c r="E2508" s="13"/>
      <c r="F2508" s="13"/>
      <c r="G2508" s="13"/>
      <c r="H2508" s="13"/>
      <c r="I2508" s="10"/>
      <c r="J2508" s="11"/>
      <c r="K2508" s="6"/>
      <c r="L2508" s="13"/>
    </row>
    <row r="2509" spans="1:12" hidden="1" x14ac:dyDescent="0.25">
      <c r="A2509" s="6"/>
      <c r="B2509" s="6"/>
      <c r="C2509" s="11"/>
      <c r="D2509" s="13"/>
      <c r="E2509" s="13"/>
      <c r="F2509" s="13"/>
      <c r="G2509" s="13"/>
      <c r="H2509" s="13"/>
      <c r="I2509" s="10"/>
      <c r="J2509" s="11"/>
      <c r="K2509" s="6"/>
      <c r="L2509" s="13"/>
    </row>
    <row r="2510" spans="1:12" hidden="1" x14ac:dyDescent="0.25">
      <c r="A2510" s="6"/>
      <c r="B2510" s="6"/>
      <c r="C2510" s="11"/>
      <c r="D2510" s="13"/>
      <c r="E2510" s="13"/>
      <c r="F2510" s="13"/>
      <c r="G2510" s="13"/>
      <c r="H2510" s="13"/>
      <c r="I2510" s="10"/>
      <c r="J2510" s="11"/>
      <c r="K2510" s="6"/>
      <c r="L2510" s="13"/>
    </row>
    <row r="2511" spans="1:12" hidden="1" x14ac:dyDescent="0.25">
      <c r="A2511" s="6"/>
      <c r="B2511" s="6"/>
      <c r="C2511" s="11"/>
      <c r="D2511" s="13"/>
      <c r="E2511" s="13"/>
      <c r="F2511" s="13"/>
      <c r="G2511" s="13"/>
      <c r="H2511" s="13"/>
      <c r="I2511" s="10"/>
      <c r="J2511" s="11"/>
      <c r="K2511" s="6"/>
      <c r="L2511" s="13"/>
    </row>
    <row r="2512" spans="1:12" hidden="1" x14ac:dyDescent="0.25">
      <c r="A2512" s="6"/>
      <c r="B2512" s="6"/>
      <c r="C2512" s="11"/>
      <c r="D2512" s="13"/>
      <c r="E2512" s="13"/>
      <c r="F2512" s="13"/>
      <c r="G2512" s="13"/>
      <c r="H2512" s="13"/>
      <c r="I2512" s="10"/>
      <c r="J2512" s="11"/>
      <c r="K2512" s="6"/>
      <c r="L2512" s="13"/>
    </row>
    <row r="2513" spans="1:12" hidden="1" x14ac:dyDescent="0.25">
      <c r="A2513" s="6"/>
      <c r="B2513" s="6"/>
      <c r="C2513" s="11"/>
      <c r="D2513" s="13"/>
      <c r="E2513" s="13"/>
      <c r="F2513" s="13"/>
      <c r="G2513" s="13"/>
      <c r="H2513" s="13"/>
      <c r="I2513" s="10"/>
      <c r="J2513" s="11"/>
      <c r="K2513" s="6"/>
      <c r="L2513" s="13"/>
    </row>
    <row r="2514" spans="1:12" hidden="1" x14ac:dyDescent="0.25">
      <c r="A2514" s="6"/>
      <c r="B2514" s="6"/>
      <c r="C2514" s="11"/>
      <c r="D2514" s="13"/>
      <c r="E2514" s="13"/>
      <c r="F2514" s="13"/>
      <c r="G2514" s="13"/>
      <c r="H2514" s="13"/>
      <c r="I2514" s="10"/>
      <c r="J2514" s="11"/>
      <c r="K2514" s="6"/>
      <c r="L2514" s="13"/>
    </row>
    <row r="2515" spans="1:12" hidden="1" x14ac:dyDescent="0.25">
      <c r="A2515" s="6"/>
      <c r="B2515" s="6"/>
      <c r="C2515" s="11"/>
      <c r="D2515" s="13"/>
      <c r="E2515" s="13"/>
      <c r="F2515" s="13"/>
      <c r="G2515" s="13"/>
      <c r="H2515" s="13"/>
      <c r="I2515" s="10"/>
      <c r="J2515" s="11"/>
      <c r="K2515" s="6"/>
      <c r="L2515" s="13"/>
    </row>
    <row r="2516" spans="1:12" hidden="1" x14ac:dyDescent="0.25">
      <c r="A2516" s="6"/>
      <c r="B2516" s="6"/>
      <c r="C2516" s="11"/>
      <c r="D2516" s="13"/>
      <c r="E2516" s="13"/>
      <c r="F2516" s="13"/>
      <c r="G2516" s="13"/>
      <c r="H2516" s="13"/>
      <c r="I2516" s="10"/>
      <c r="J2516" s="11"/>
      <c r="K2516" s="6"/>
      <c r="L2516" s="13"/>
    </row>
    <row r="2517" spans="1:12" hidden="1" x14ac:dyDescent="0.25">
      <c r="A2517" s="6"/>
      <c r="B2517" s="6"/>
      <c r="C2517" s="11"/>
      <c r="D2517" s="13"/>
      <c r="E2517" s="13"/>
      <c r="F2517" s="13"/>
      <c r="G2517" s="13"/>
      <c r="H2517" s="13"/>
      <c r="I2517" s="10"/>
      <c r="J2517" s="11"/>
      <c r="K2517" s="6"/>
      <c r="L2517" s="13"/>
    </row>
    <row r="2518" spans="1:12" hidden="1" x14ac:dyDescent="0.25">
      <c r="A2518" s="6"/>
      <c r="B2518" s="6"/>
      <c r="C2518" s="11"/>
      <c r="D2518" s="13"/>
      <c r="E2518" s="13"/>
      <c r="F2518" s="13"/>
      <c r="G2518" s="13"/>
      <c r="H2518" s="13"/>
      <c r="I2518" s="10"/>
      <c r="J2518" s="11"/>
      <c r="K2518" s="6"/>
      <c r="L2518" s="13"/>
    </row>
    <row r="2519" spans="1:12" hidden="1" x14ac:dyDescent="0.25">
      <c r="A2519" s="6"/>
      <c r="B2519" s="6"/>
      <c r="C2519" s="11"/>
      <c r="D2519" s="13"/>
      <c r="E2519" s="13"/>
      <c r="F2519" s="13"/>
      <c r="G2519" s="13"/>
      <c r="H2519" s="13"/>
      <c r="I2519" s="10"/>
      <c r="J2519" s="11"/>
      <c r="K2519" s="6"/>
      <c r="L2519" s="13"/>
    </row>
    <row r="2520" spans="1:12" hidden="1" x14ac:dyDescent="0.25">
      <c r="A2520" s="6"/>
      <c r="B2520" s="6"/>
      <c r="C2520" s="11"/>
      <c r="D2520" s="13"/>
      <c r="E2520" s="13"/>
      <c r="F2520" s="13"/>
      <c r="G2520" s="13"/>
      <c r="H2520" s="13"/>
      <c r="I2520" s="10"/>
      <c r="J2520" s="11"/>
      <c r="K2520" s="6"/>
      <c r="L2520" s="13"/>
    </row>
    <row r="2521" spans="1:12" hidden="1" x14ac:dyDescent="0.25">
      <c r="A2521" s="6"/>
      <c r="B2521" s="6"/>
      <c r="C2521" s="11"/>
      <c r="D2521" s="13"/>
      <c r="E2521" s="13"/>
      <c r="F2521" s="13"/>
      <c r="G2521" s="13"/>
      <c r="H2521" s="13"/>
      <c r="I2521" s="10"/>
      <c r="J2521" s="11"/>
      <c r="K2521" s="6"/>
      <c r="L2521" s="13"/>
    </row>
    <row r="2522" spans="1:12" hidden="1" x14ac:dyDescent="0.25">
      <c r="A2522" s="6"/>
      <c r="B2522" s="6"/>
      <c r="C2522" s="11"/>
      <c r="D2522" s="13"/>
      <c r="E2522" s="13"/>
      <c r="F2522" s="13"/>
      <c r="G2522" s="13"/>
      <c r="H2522" s="13"/>
      <c r="I2522" s="10"/>
      <c r="J2522" s="11"/>
      <c r="K2522" s="6"/>
      <c r="L2522" s="13"/>
    </row>
    <row r="2523" spans="1:12" hidden="1" x14ac:dyDescent="0.25">
      <c r="A2523" s="6"/>
      <c r="B2523" s="6"/>
      <c r="C2523" s="11"/>
      <c r="D2523" s="13"/>
      <c r="E2523" s="13"/>
      <c r="F2523" s="13"/>
      <c r="G2523" s="13"/>
      <c r="H2523" s="13"/>
      <c r="I2523" s="10"/>
      <c r="J2523" s="11"/>
      <c r="K2523" s="6"/>
      <c r="L2523" s="13"/>
    </row>
    <row r="2524" spans="1:12" hidden="1" x14ac:dyDescent="0.25">
      <c r="A2524" s="6"/>
      <c r="B2524" s="6"/>
      <c r="C2524" s="11"/>
      <c r="D2524" s="13"/>
      <c r="E2524" s="13"/>
      <c r="F2524" s="13"/>
      <c r="G2524" s="13"/>
      <c r="H2524" s="13"/>
      <c r="I2524" s="10"/>
      <c r="J2524" s="11"/>
      <c r="K2524" s="6"/>
      <c r="L2524" s="13"/>
    </row>
    <row r="2525" spans="1:12" hidden="1" x14ac:dyDescent="0.25">
      <c r="A2525" s="6"/>
      <c r="B2525" s="6"/>
      <c r="C2525" s="11"/>
      <c r="D2525" s="13"/>
      <c r="E2525" s="13"/>
      <c r="F2525" s="13"/>
      <c r="G2525" s="13"/>
      <c r="H2525" s="13"/>
      <c r="I2525" s="10"/>
      <c r="J2525" s="11"/>
      <c r="K2525" s="6"/>
      <c r="L2525" s="13"/>
    </row>
    <row r="2526" spans="1:12" hidden="1" x14ac:dyDescent="0.25">
      <c r="A2526" s="6"/>
      <c r="B2526" s="6"/>
      <c r="C2526" s="11"/>
      <c r="D2526" s="13"/>
      <c r="E2526" s="13"/>
      <c r="F2526" s="13"/>
      <c r="G2526" s="13"/>
      <c r="H2526" s="13"/>
      <c r="I2526" s="10"/>
      <c r="J2526" s="11"/>
      <c r="K2526" s="6"/>
      <c r="L2526" s="13"/>
    </row>
    <row r="2527" spans="1:12" hidden="1" x14ac:dyDescent="0.25">
      <c r="A2527" s="6"/>
      <c r="B2527" s="6"/>
      <c r="C2527" s="11"/>
      <c r="D2527" s="13"/>
      <c r="E2527" s="13"/>
      <c r="F2527" s="13"/>
      <c r="G2527" s="13"/>
      <c r="H2527" s="13"/>
      <c r="I2527" s="10"/>
      <c r="J2527" s="11"/>
      <c r="K2527" s="6"/>
      <c r="L2527" s="13"/>
    </row>
    <row r="2528" spans="1:12" hidden="1" x14ac:dyDescent="0.25">
      <c r="A2528" s="6"/>
      <c r="B2528" s="6"/>
      <c r="C2528" s="11"/>
      <c r="D2528" s="13"/>
      <c r="E2528" s="13"/>
      <c r="F2528" s="13"/>
      <c r="G2528" s="13"/>
      <c r="H2528" s="13"/>
      <c r="I2528" s="10"/>
      <c r="J2528" s="11"/>
      <c r="K2528" s="6"/>
      <c r="L2528" s="13"/>
    </row>
    <row r="2529" spans="1:12" hidden="1" x14ac:dyDescent="0.25">
      <c r="A2529" s="6"/>
      <c r="B2529" s="6"/>
      <c r="C2529" s="11"/>
      <c r="D2529" s="13"/>
      <c r="E2529" s="13"/>
      <c r="F2529" s="13"/>
      <c r="G2529" s="13"/>
      <c r="H2529" s="13"/>
      <c r="I2529" s="10"/>
      <c r="J2529" s="11"/>
      <c r="K2529" s="6"/>
      <c r="L2529" s="13"/>
    </row>
    <row r="2530" spans="1:12" hidden="1" x14ac:dyDescent="0.25">
      <c r="A2530" s="6"/>
      <c r="B2530" s="6"/>
      <c r="C2530" s="11"/>
      <c r="D2530" s="13"/>
      <c r="E2530" s="13"/>
      <c r="F2530" s="13"/>
      <c r="G2530" s="13"/>
      <c r="H2530" s="13"/>
      <c r="I2530" s="10"/>
      <c r="J2530" s="11"/>
      <c r="K2530" s="6"/>
      <c r="L2530" s="13"/>
    </row>
    <row r="2531" spans="1:12" hidden="1" x14ac:dyDescent="0.25">
      <c r="A2531" s="6"/>
      <c r="B2531" s="6"/>
      <c r="C2531" s="11"/>
      <c r="D2531" s="13"/>
      <c r="E2531" s="13"/>
      <c r="F2531" s="13"/>
      <c r="G2531" s="13"/>
      <c r="H2531" s="13"/>
      <c r="I2531" s="10"/>
      <c r="J2531" s="11"/>
      <c r="K2531" s="6"/>
      <c r="L2531" s="13"/>
    </row>
    <row r="2532" spans="1:12" hidden="1" x14ac:dyDescent="0.25">
      <c r="A2532" s="6"/>
      <c r="B2532" s="6"/>
      <c r="C2532" s="11"/>
      <c r="D2532" s="13"/>
      <c r="E2532" s="13"/>
      <c r="F2532" s="13"/>
      <c r="G2532" s="13"/>
      <c r="H2532" s="13"/>
      <c r="I2532" s="10"/>
      <c r="J2532" s="11"/>
      <c r="K2532" s="6"/>
      <c r="L2532" s="13"/>
    </row>
    <row r="2533" spans="1:12" hidden="1" x14ac:dyDescent="0.25">
      <c r="A2533" s="6"/>
      <c r="B2533" s="6"/>
      <c r="C2533" s="11"/>
      <c r="D2533" s="13"/>
      <c r="E2533" s="13"/>
      <c r="F2533" s="13"/>
      <c r="G2533" s="13"/>
      <c r="H2533" s="13"/>
      <c r="I2533" s="10"/>
      <c r="J2533" s="11"/>
      <c r="K2533" s="6"/>
      <c r="L2533" s="13"/>
    </row>
    <row r="2534" spans="1:12" hidden="1" x14ac:dyDescent="0.25">
      <c r="A2534" s="6"/>
      <c r="B2534" s="6"/>
      <c r="C2534" s="11"/>
      <c r="D2534" s="13"/>
      <c r="E2534" s="13"/>
      <c r="F2534" s="13"/>
      <c r="G2534" s="13"/>
      <c r="H2534" s="13"/>
      <c r="I2534" s="10"/>
      <c r="J2534" s="11"/>
      <c r="K2534" s="6"/>
      <c r="L2534" s="13"/>
    </row>
    <row r="2535" spans="1:12" hidden="1" x14ac:dyDescent="0.25">
      <c r="A2535" s="6"/>
      <c r="B2535" s="6"/>
      <c r="C2535" s="11"/>
      <c r="D2535" s="13"/>
      <c r="E2535" s="13"/>
      <c r="F2535" s="13"/>
      <c r="G2535" s="13"/>
      <c r="H2535" s="13"/>
      <c r="I2535" s="10"/>
      <c r="J2535" s="11"/>
      <c r="K2535" s="6"/>
      <c r="L2535" s="13"/>
    </row>
    <row r="2536" spans="1:12" hidden="1" x14ac:dyDescent="0.25">
      <c r="A2536" s="6"/>
      <c r="B2536" s="6"/>
      <c r="C2536" s="11"/>
      <c r="D2536" s="13"/>
      <c r="E2536" s="13"/>
      <c r="F2536" s="13"/>
      <c r="G2536" s="13"/>
      <c r="H2536" s="13"/>
      <c r="I2536" s="10"/>
      <c r="J2536" s="11"/>
      <c r="K2536" s="6"/>
      <c r="L2536" s="13"/>
    </row>
    <row r="2537" spans="1:12" hidden="1" x14ac:dyDescent="0.25">
      <c r="A2537" s="6"/>
      <c r="B2537" s="6"/>
      <c r="C2537" s="11"/>
      <c r="D2537" s="13"/>
      <c r="E2537" s="13"/>
      <c r="F2537" s="13"/>
      <c r="G2537" s="13"/>
      <c r="H2537" s="13"/>
      <c r="I2537" s="10"/>
      <c r="J2537" s="11"/>
      <c r="K2537" s="6"/>
      <c r="L2537" s="13"/>
    </row>
    <row r="2538" spans="1:12" hidden="1" x14ac:dyDescent="0.25">
      <c r="A2538" s="6"/>
      <c r="B2538" s="6"/>
      <c r="C2538" s="11"/>
      <c r="D2538" s="13"/>
      <c r="E2538" s="13"/>
      <c r="F2538" s="13"/>
      <c r="G2538" s="13"/>
      <c r="H2538" s="13"/>
      <c r="I2538" s="10"/>
      <c r="J2538" s="11"/>
      <c r="K2538" s="6"/>
      <c r="L2538" s="13"/>
    </row>
    <row r="2539" spans="1:12" hidden="1" x14ac:dyDescent="0.25">
      <c r="A2539" s="6"/>
      <c r="B2539" s="6"/>
      <c r="C2539" s="11"/>
      <c r="D2539" s="13"/>
      <c r="E2539" s="13"/>
      <c r="F2539" s="13"/>
      <c r="G2539" s="13"/>
      <c r="H2539" s="13"/>
      <c r="I2539" s="10"/>
      <c r="J2539" s="11"/>
      <c r="K2539" s="6"/>
      <c r="L2539" s="13"/>
    </row>
    <row r="2540" spans="1:12" hidden="1" x14ac:dyDescent="0.25">
      <c r="A2540" s="6"/>
      <c r="B2540" s="6"/>
      <c r="C2540" s="11"/>
      <c r="D2540" s="13"/>
      <c r="E2540" s="13"/>
      <c r="F2540" s="13"/>
      <c r="G2540" s="13"/>
      <c r="H2540" s="13"/>
      <c r="I2540" s="10"/>
      <c r="J2540" s="11"/>
      <c r="K2540" s="6"/>
      <c r="L2540" s="13"/>
    </row>
    <row r="2541" spans="1:12" hidden="1" x14ac:dyDescent="0.25">
      <c r="A2541" s="6"/>
      <c r="B2541" s="6"/>
      <c r="C2541" s="11"/>
      <c r="D2541" s="13"/>
      <c r="E2541" s="13"/>
      <c r="F2541" s="13"/>
      <c r="G2541" s="13"/>
      <c r="H2541" s="13"/>
      <c r="I2541" s="10"/>
      <c r="J2541" s="11"/>
      <c r="K2541" s="6"/>
      <c r="L2541" s="13"/>
    </row>
    <row r="2542" spans="1:12" hidden="1" x14ac:dyDescent="0.25">
      <c r="A2542" s="6"/>
      <c r="B2542" s="6"/>
      <c r="C2542" s="11"/>
      <c r="D2542" s="13"/>
      <c r="E2542" s="13"/>
      <c r="F2542" s="13"/>
      <c r="G2542" s="13"/>
      <c r="H2542" s="13"/>
      <c r="I2542" s="10"/>
      <c r="J2542" s="11"/>
      <c r="K2542" s="6"/>
      <c r="L2542" s="13"/>
    </row>
    <row r="2543" spans="1:12" hidden="1" x14ac:dyDescent="0.25">
      <c r="A2543" s="6"/>
      <c r="B2543" s="6"/>
      <c r="C2543" s="11"/>
      <c r="D2543" s="13"/>
      <c r="E2543" s="13"/>
      <c r="F2543" s="13"/>
      <c r="G2543" s="13"/>
      <c r="H2543" s="13"/>
      <c r="I2543" s="10"/>
      <c r="J2543" s="11"/>
      <c r="K2543" s="6"/>
      <c r="L2543" s="13"/>
    </row>
    <row r="2544" spans="1:12" hidden="1" x14ac:dyDescent="0.25">
      <c r="A2544" s="6"/>
      <c r="B2544" s="6"/>
      <c r="C2544" s="11"/>
      <c r="D2544" s="13"/>
      <c r="E2544" s="13"/>
      <c r="F2544" s="13"/>
      <c r="G2544" s="13"/>
      <c r="H2544" s="13"/>
      <c r="I2544" s="10"/>
      <c r="J2544" s="11"/>
      <c r="K2544" s="6"/>
      <c r="L2544" s="13"/>
    </row>
    <row r="2545" spans="1:12" hidden="1" x14ac:dyDescent="0.25">
      <c r="A2545" s="6"/>
      <c r="B2545" s="6"/>
      <c r="C2545" s="11"/>
      <c r="D2545" s="13"/>
      <c r="E2545" s="13"/>
      <c r="F2545" s="13"/>
      <c r="G2545" s="13"/>
      <c r="H2545" s="13"/>
      <c r="I2545" s="10"/>
      <c r="J2545" s="11"/>
      <c r="K2545" s="6"/>
      <c r="L2545" s="13"/>
    </row>
    <row r="2546" spans="1:12" hidden="1" x14ac:dyDescent="0.25">
      <c r="A2546" s="6"/>
      <c r="B2546" s="6"/>
      <c r="C2546" s="11"/>
      <c r="D2546" s="13"/>
      <c r="E2546" s="13"/>
      <c r="F2546" s="13"/>
      <c r="G2546" s="13"/>
      <c r="H2546" s="13"/>
      <c r="I2546" s="10"/>
      <c r="J2546" s="11"/>
      <c r="K2546" s="6"/>
      <c r="L2546" s="13"/>
    </row>
    <row r="2547" spans="1:12" hidden="1" x14ac:dyDescent="0.25">
      <c r="A2547" s="6"/>
      <c r="B2547" s="6"/>
      <c r="C2547" s="11"/>
      <c r="D2547" s="13"/>
      <c r="E2547" s="13"/>
      <c r="F2547" s="13"/>
      <c r="G2547" s="13"/>
      <c r="H2547" s="13"/>
      <c r="I2547" s="10"/>
      <c r="J2547" s="11"/>
      <c r="K2547" s="6"/>
      <c r="L2547" s="13"/>
    </row>
    <row r="2548" spans="1:12" hidden="1" x14ac:dyDescent="0.25">
      <c r="A2548" s="6"/>
      <c r="B2548" s="6"/>
      <c r="C2548" s="11"/>
      <c r="D2548" s="13"/>
      <c r="E2548" s="13"/>
      <c r="F2548" s="13"/>
      <c r="G2548" s="13"/>
      <c r="H2548" s="13"/>
      <c r="I2548" s="10"/>
      <c r="J2548" s="11"/>
      <c r="K2548" s="6"/>
      <c r="L2548" s="13"/>
    </row>
    <row r="2549" spans="1:12" hidden="1" x14ac:dyDescent="0.25">
      <c r="A2549" s="6"/>
      <c r="B2549" s="6"/>
      <c r="C2549" s="11"/>
      <c r="D2549" s="13"/>
      <c r="E2549" s="13"/>
      <c r="F2549" s="13"/>
      <c r="G2549" s="13"/>
      <c r="H2549" s="13"/>
      <c r="I2549" s="10"/>
      <c r="J2549" s="11"/>
      <c r="K2549" s="6"/>
      <c r="L2549" s="13"/>
    </row>
    <row r="2550" spans="1:12" hidden="1" x14ac:dyDescent="0.25">
      <c r="A2550" s="6"/>
      <c r="B2550" s="6"/>
      <c r="C2550" s="11"/>
      <c r="D2550" s="13"/>
      <c r="E2550" s="13"/>
      <c r="F2550" s="13"/>
      <c r="G2550" s="13"/>
      <c r="H2550" s="13"/>
      <c r="I2550" s="10"/>
      <c r="J2550" s="11"/>
      <c r="K2550" s="6"/>
      <c r="L2550" s="13"/>
    </row>
    <row r="2551" spans="1:12" hidden="1" x14ac:dyDescent="0.25">
      <c r="A2551" s="6"/>
      <c r="B2551" s="6"/>
      <c r="C2551" s="11"/>
      <c r="D2551" s="13"/>
      <c r="E2551" s="13"/>
      <c r="F2551" s="13"/>
      <c r="G2551" s="13"/>
      <c r="H2551" s="13"/>
      <c r="I2551" s="10"/>
      <c r="J2551" s="11"/>
      <c r="K2551" s="6"/>
      <c r="L2551" s="13"/>
    </row>
    <row r="2552" spans="1:12" hidden="1" x14ac:dyDescent="0.25">
      <c r="A2552" s="6"/>
      <c r="B2552" s="6"/>
      <c r="C2552" s="11"/>
      <c r="D2552" s="13"/>
      <c r="E2552" s="13"/>
      <c r="F2552" s="13"/>
      <c r="G2552" s="13"/>
      <c r="H2552" s="13"/>
      <c r="I2552" s="10"/>
      <c r="J2552" s="11"/>
      <c r="K2552" s="6"/>
      <c r="L2552" s="13"/>
    </row>
    <row r="2553" spans="1:12" hidden="1" x14ac:dyDescent="0.25">
      <c r="A2553" s="6"/>
      <c r="B2553" s="6"/>
      <c r="C2553" s="11"/>
      <c r="D2553" s="13"/>
      <c r="E2553" s="13"/>
      <c r="F2553" s="13"/>
      <c r="G2553" s="13"/>
      <c r="H2553" s="13"/>
      <c r="I2553" s="10"/>
      <c r="J2553" s="11"/>
      <c r="K2553" s="6"/>
      <c r="L2553" s="13"/>
    </row>
    <row r="2554" spans="1:12" hidden="1" x14ac:dyDescent="0.25">
      <c r="A2554" s="6"/>
      <c r="B2554" s="6"/>
      <c r="C2554" s="11"/>
      <c r="D2554" s="13"/>
      <c r="E2554" s="13"/>
      <c r="F2554" s="13"/>
      <c r="G2554" s="13"/>
      <c r="H2554" s="13"/>
      <c r="I2554" s="10"/>
      <c r="J2554" s="11"/>
      <c r="K2554" s="6"/>
      <c r="L2554" s="13"/>
    </row>
    <row r="2555" spans="1:12" hidden="1" x14ac:dyDescent="0.25">
      <c r="A2555" s="6"/>
      <c r="B2555" s="6"/>
      <c r="C2555" s="11"/>
      <c r="D2555" s="13"/>
      <c r="E2555" s="13"/>
      <c r="F2555" s="13"/>
      <c r="G2555" s="13"/>
      <c r="H2555" s="13"/>
      <c r="I2555" s="10"/>
      <c r="J2555" s="11"/>
      <c r="K2555" s="6"/>
      <c r="L2555" s="13"/>
    </row>
    <row r="2556" spans="1:12" hidden="1" x14ac:dyDescent="0.25">
      <c r="A2556" s="6"/>
      <c r="B2556" s="6"/>
      <c r="C2556" s="11"/>
      <c r="D2556" s="13"/>
      <c r="E2556" s="13"/>
      <c r="F2556" s="13"/>
      <c r="G2556" s="13"/>
      <c r="H2556" s="13"/>
      <c r="I2556" s="10"/>
      <c r="J2556" s="11"/>
      <c r="K2556" s="6"/>
      <c r="L2556" s="13"/>
    </row>
    <row r="2557" spans="1:12" hidden="1" x14ac:dyDescent="0.25">
      <c r="A2557" s="6"/>
      <c r="B2557" s="6"/>
      <c r="C2557" s="11"/>
      <c r="D2557" s="13"/>
      <c r="E2557" s="13"/>
      <c r="F2557" s="13"/>
      <c r="G2557" s="13"/>
      <c r="H2557" s="13"/>
      <c r="I2557" s="10"/>
      <c r="J2557" s="11"/>
      <c r="K2557" s="6"/>
      <c r="L2557" s="13"/>
    </row>
    <row r="2558" spans="1:12" hidden="1" x14ac:dyDescent="0.25">
      <c r="A2558" s="6"/>
      <c r="B2558" s="6"/>
      <c r="C2558" s="11"/>
      <c r="D2558" s="13"/>
      <c r="E2558" s="13"/>
      <c r="F2558" s="13"/>
      <c r="G2558" s="13"/>
      <c r="H2558" s="13"/>
      <c r="I2558" s="10"/>
      <c r="J2558" s="11"/>
      <c r="K2558" s="6"/>
      <c r="L2558" s="13"/>
    </row>
    <row r="2559" spans="1:12" hidden="1" x14ac:dyDescent="0.25">
      <c r="A2559" s="6"/>
      <c r="B2559" s="6"/>
      <c r="C2559" s="11"/>
      <c r="D2559" s="13"/>
      <c r="E2559" s="13"/>
      <c r="F2559" s="13"/>
      <c r="G2559" s="13"/>
      <c r="H2559" s="13"/>
      <c r="I2559" s="10"/>
      <c r="J2559" s="11"/>
      <c r="K2559" s="6"/>
      <c r="L2559" s="13"/>
    </row>
    <row r="2560" spans="1:12" hidden="1" x14ac:dyDescent="0.25">
      <c r="A2560" s="6"/>
      <c r="B2560" s="6"/>
      <c r="C2560" s="11"/>
      <c r="D2560" s="13"/>
      <c r="E2560" s="13"/>
      <c r="F2560" s="13"/>
      <c r="G2560" s="13"/>
      <c r="H2560" s="13"/>
      <c r="I2560" s="10"/>
      <c r="J2560" s="11"/>
      <c r="K2560" s="6"/>
      <c r="L2560" s="13"/>
    </row>
    <row r="2561" spans="1:12" hidden="1" x14ac:dyDescent="0.25">
      <c r="A2561" s="6"/>
      <c r="B2561" s="6"/>
      <c r="C2561" s="11"/>
      <c r="D2561" s="13"/>
      <c r="E2561" s="13"/>
      <c r="F2561" s="13"/>
      <c r="G2561" s="13"/>
      <c r="H2561" s="13"/>
      <c r="I2561" s="10"/>
      <c r="J2561" s="11"/>
      <c r="K2561" s="6"/>
      <c r="L2561" s="13"/>
    </row>
    <row r="2562" spans="1:12" hidden="1" x14ac:dyDescent="0.25">
      <c r="A2562" s="6"/>
      <c r="B2562" s="6"/>
      <c r="C2562" s="11"/>
      <c r="D2562" s="13"/>
      <c r="E2562" s="13"/>
      <c r="F2562" s="13"/>
      <c r="G2562" s="13"/>
      <c r="H2562" s="13"/>
      <c r="I2562" s="10"/>
      <c r="J2562" s="11"/>
      <c r="K2562" s="6"/>
      <c r="L2562" s="13"/>
    </row>
    <row r="2563" spans="1:12" hidden="1" x14ac:dyDescent="0.25">
      <c r="A2563" s="6"/>
      <c r="B2563" s="6"/>
      <c r="C2563" s="11"/>
      <c r="D2563" s="13"/>
      <c r="E2563" s="13"/>
      <c r="F2563" s="13"/>
      <c r="G2563" s="13"/>
      <c r="H2563" s="13"/>
      <c r="I2563" s="10"/>
      <c r="J2563" s="11"/>
      <c r="K2563" s="6"/>
      <c r="L2563" s="13"/>
    </row>
    <row r="2564" spans="1:12" hidden="1" x14ac:dyDescent="0.25">
      <c r="A2564" s="6"/>
      <c r="B2564" s="6"/>
      <c r="C2564" s="11"/>
      <c r="D2564" s="13"/>
      <c r="E2564" s="13"/>
      <c r="F2564" s="13"/>
      <c r="G2564" s="13"/>
      <c r="H2564" s="13"/>
      <c r="I2564" s="10"/>
      <c r="J2564" s="11"/>
      <c r="K2564" s="6"/>
      <c r="L2564" s="13"/>
    </row>
    <row r="2565" spans="1:12" hidden="1" x14ac:dyDescent="0.25">
      <c r="A2565" s="6"/>
      <c r="B2565" s="6"/>
      <c r="C2565" s="11"/>
      <c r="D2565" s="13"/>
      <c r="E2565" s="13"/>
      <c r="F2565" s="13"/>
      <c r="G2565" s="13"/>
      <c r="H2565" s="13"/>
      <c r="I2565" s="10"/>
      <c r="J2565" s="11"/>
      <c r="K2565" s="6"/>
      <c r="L2565" s="13"/>
    </row>
    <row r="2566" spans="1:12" hidden="1" x14ac:dyDescent="0.25">
      <c r="A2566" s="6"/>
      <c r="B2566" s="6"/>
      <c r="C2566" s="11"/>
      <c r="D2566" s="13"/>
      <c r="E2566" s="13"/>
      <c r="F2566" s="13"/>
      <c r="G2566" s="13"/>
      <c r="H2566" s="13"/>
      <c r="I2566" s="10"/>
      <c r="J2566" s="11"/>
      <c r="K2566" s="6"/>
      <c r="L2566" s="13"/>
    </row>
    <row r="2567" spans="1:12" hidden="1" x14ac:dyDescent="0.25">
      <c r="A2567" s="6"/>
      <c r="B2567" s="6"/>
      <c r="C2567" s="11"/>
      <c r="D2567" s="13"/>
      <c r="E2567" s="13"/>
      <c r="F2567" s="13"/>
      <c r="G2567" s="13"/>
      <c r="H2567" s="13"/>
      <c r="I2567" s="10"/>
      <c r="J2567" s="11"/>
      <c r="K2567" s="6"/>
      <c r="L2567" s="13"/>
    </row>
    <row r="2568" spans="1:12" hidden="1" x14ac:dyDescent="0.25">
      <c r="A2568" s="6"/>
      <c r="B2568" s="6"/>
      <c r="C2568" s="11"/>
      <c r="D2568" s="13"/>
      <c r="E2568" s="13"/>
      <c r="F2568" s="13"/>
      <c r="G2568" s="13"/>
      <c r="H2568" s="13"/>
      <c r="I2568" s="10"/>
      <c r="J2568" s="11"/>
      <c r="K2568" s="6"/>
      <c r="L2568" s="13"/>
    </row>
    <row r="2569" spans="1:12" hidden="1" x14ac:dyDescent="0.25">
      <c r="A2569" s="6"/>
      <c r="B2569" s="6"/>
      <c r="C2569" s="11"/>
      <c r="D2569" s="13"/>
      <c r="E2569" s="13"/>
      <c r="F2569" s="13"/>
      <c r="G2569" s="13"/>
      <c r="H2569" s="13"/>
      <c r="I2569" s="10"/>
      <c r="J2569" s="11"/>
      <c r="K2569" s="6"/>
      <c r="L2569" s="13"/>
    </row>
    <row r="2570" spans="1:12" hidden="1" x14ac:dyDescent="0.25">
      <c r="A2570" s="6"/>
      <c r="B2570" s="6"/>
      <c r="C2570" s="11"/>
      <c r="D2570" s="13"/>
      <c r="E2570" s="13"/>
      <c r="F2570" s="13"/>
      <c r="G2570" s="13"/>
      <c r="H2570" s="13"/>
      <c r="I2570" s="10"/>
      <c r="J2570" s="11"/>
      <c r="K2570" s="6"/>
      <c r="L2570" s="13"/>
    </row>
    <row r="2571" spans="1:12" hidden="1" x14ac:dyDescent="0.25">
      <c r="A2571" s="6"/>
      <c r="B2571" s="6"/>
      <c r="C2571" s="11"/>
      <c r="D2571" s="13"/>
      <c r="E2571" s="13"/>
      <c r="F2571" s="13"/>
      <c r="G2571" s="13"/>
      <c r="H2571" s="13"/>
      <c r="I2571" s="10"/>
      <c r="J2571" s="11"/>
      <c r="K2571" s="6"/>
      <c r="L2571" s="13"/>
    </row>
    <row r="2572" spans="1:12" hidden="1" x14ac:dyDescent="0.25">
      <c r="A2572" s="6"/>
      <c r="B2572" s="6"/>
      <c r="C2572" s="11"/>
      <c r="D2572" s="13"/>
      <c r="E2572" s="13"/>
      <c r="F2572" s="13"/>
      <c r="G2572" s="13"/>
      <c r="H2572" s="13"/>
      <c r="I2572" s="10"/>
      <c r="J2572" s="11"/>
      <c r="K2572" s="6"/>
      <c r="L2572" s="13"/>
    </row>
    <row r="2573" spans="1:12" hidden="1" x14ac:dyDescent="0.25">
      <c r="A2573" s="6"/>
      <c r="B2573" s="6"/>
      <c r="C2573" s="11"/>
      <c r="D2573" s="13"/>
      <c r="E2573" s="13"/>
      <c r="F2573" s="13"/>
      <c r="G2573" s="13"/>
      <c r="H2573" s="13"/>
      <c r="I2573" s="10"/>
      <c r="J2573" s="11"/>
      <c r="K2573" s="6"/>
      <c r="L2573" s="13"/>
    </row>
    <row r="2574" spans="1:12" hidden="1" x14ac:dyDescent="0.25">
      <c r="A2574" s="6"/>
      <c r="B2574" s="6"/>
      <c r="C2574" s="11"/>
      <c r="D2574" s="13"/>
      <c r="E2574" s="13"/>
      <c r="F2574" s="13"/>
      <c r="G2574" s="13"/>
      <c r="H2574" s="13"/>
      <c r="I2574" s="10"/>
      <c r="J2574" s="11"/>
      <c r="K2574" s="6"/>
      <c r="L2574" s="13"/>
    </row>
    <row r="2575" spans="1:12" hidden="1" x14ac:dyDescent="0.25">
      <c r="A2575" s="6"/>
      <c r="B2575" s="6"/>
      <c r="C2575" s="11"/>
      <c r="D2575" s="13"/>
      <c r="E2575" s="13"/>
      <c r="F2575" s="13"/>
      <c r="G2575" s="13"/>
      <c r="H2575" s="13"/>
      <c r="I2575" s="10"/>
      <c r="J2575" s="11"/>
      <c r="K2575" s="6"/>
      <c r="L2575" s="13"/>
    </row>
    <row r="2576" spans="1:12" hidden="1" x14ac:dyDescent="0.25">
      <c r="A2576" s="6"/>
      <c r="B2576" s="6"/>
      <c r="C2576" s="11"/>
      <c r="D2576" s="13"/>
      <c r="E2576" s="13"/>
      <c r="F2576" s="13"/>
      <c r="G2576" s="13"/>
      <c r="H2576" s="13"/>
      <c r="I2576" s="10"/>
      <c r="J2576" s="11"/>
      <c r="K2576" s="6"/>
      <c r="L2576" s="13"/>
    </row>
    <row r="2577" spans="1:12" hidden="1" x14ac:dyDescent="0.25">
      <c r="A2577" s="6"/>
      <c r="B2577" s="6"/>
      <c r="C2577" s="11"/>
      <c r="D2577" s="13"/>
      <c r="E2577" s="13"/>
      <c r="F2577" s="13"/>
      <c r="G2577" s="13"/>
      <c r="H2577" s="13"/>
      <c r="I2577" s="10"/>
      <c r="J2577" s="11"/>
      <c r="K2577" s="6"/>
      <c r="L2577" s="13"/>
    </row>
    <row r="2578" spans="1:12" hidden="1" x14ac:dyDescent="0.25">
      <c r="A2578" s="6"/>
      <c r="B2578" s="6"/>
      <c r="C2578" s="11"/>
      <c r="D2578" s="13"/>
      <c r="E2578" s="13"/>
      <c r="F2578" s="13"/>
      <c r="G2578" s="13"/>
      <c r="H2578" s="13"/>
      <c r="I2578" s="10"/>
      <c r="J2578" s="11"/>
      <c r="K2578" s="6"/>
      <c r="L2578" s="13"/>
    </row>
    <row r="2579" spans="1:12" hidden="1" x14ac:dyDescent="0.25">
      <c r="A2579" s="6"/>
      <c r="B2579" s="6"/>
      <c r="C2579" s="11"/>
      <c r="D2579" s="13"/>
      <c r="E2579" s="13"/>
      <c r="F2579" s="13"/>
      <c r="G2579" s="13"/>
      <c r="H2579" s="13"/>
      <c r="I2579" s="10"/>
      <c r="J2579" s="11"/>
      <c r="K2579" s="6"/>
      <c r="L2579" s="13"/>
    </row>
    <row r="2580" spans="1:12" hidden="1" x14ac:dyDescent="0.25">
      <c r="A2580" s="6"/>
      <c r="B2580" s="6"/>
      <c r="C2580" s="11"/>
      <c r="D2580" s="13"/>
      <c r="E2580" s="13"/>
      <c r="F2580" s="13"/>
      <c r="G2580" s="13"/>
      <c r="H2580" s="13"/>
      <c r="I2580" s="10"/>
      <c r="J2580" s="11"/>
      <c r="K2580" s="6"/>
      <c r="L2580" s="13"/>
    </row>
    <row r="2581" spans="1:12" hidden="1" x14ac:dyDescent="0.25">
      <c r="A2581" s="6"/>
      <c r="B2581" s="6"/>
      <c r="C2581" s="11"/>
      <c r="D2581" s="13"/>
      <c r="E2581" s="13"/>
      <c r="F2581" s="13"/>
      <c r="G2581" s="13"/>
      <c r="H2581" s="13"/>
      <c r="I2581" s="10"/>
      <c r="J2581" s="11"/>
      <c r="K2581" s="6"/>
      <c r="L2581" s="13"/>
    </row>
    <row r="2582" spans="1:12" hidden="1" x14ac:dyDescent="0.25">
      <c r="A2582" s="6"/>
      <c r="B2582" s="6"/>
      <c r="C2582" s="11"/>
      <c r="D2582" s="13"/>
      <c r="E2582" s="13"/>
      <c r="F2582" s="13"/>
      <c r="G2582" s="13"/>
      <c r="H2582" s="13"/>
      <c r="I2582" s="10"/>
      <c r="J2582" s="11"/>
      <c r="K2582" s="6"/>
      <c r="L2582" s="13"/>
    </row>
    <row r="2583" spans="1:12" hidden="1" x14ac:dyDescent="0.25">
      <c r="A2583" s="6"/>
      <c r="B2583" s="6"/>
      <c r="C2583" s="11"/>
      <c r="D2583" s="13"/>
      <c r="E2583" s="13"/>
      <c r="F2583" s="13"/>
      <c r="G2583" s="13"/>
      <c r="H2583" s="13"/>
      <c r="I2583" s="10"/>
      <c r="J2583" s="11"/>
      <c r="K2583" s="6"/>
      <c r="L2583" s="13"/>
    </row>
    <row r="2584" spans="1:12" hidden="1" x14ac:dyDescent="0.25">
      <c r="A2584" s="6"/>
      <c r="B2584" s="6"/>
      <c r="C2584" s="11"/>
      <c r="D2584" s="13"/>
      <c r="E2584" s="13"/>
      <c r="F2584" s="13"/>
      <c r="G2584" s="13"/>
      <c r="H2584" s="13"/>
      <c r="I2584" s="10"/>
      <c r="J2584" s="11"/>
      <c r="K2584" s="6"/>
      <c r="L2584" s="13"/>
    </row>
    <row r="2585" spans="1:12" hidden="1" x14ac:dyDescent="0.25">
      <c r="A2585" s="6"/>
      <c r="B2585" s="6"/>
      <c r="C2585" s="11"/>
      <c r="D2585" s="13"/>
      <c r="E2585" s="13"/>
      <c r="F2585" s="13"/>
      <c r="G2585" s="13"/>
      <c r="H2585" s="13"/>
      <c r="I2585" s="10"/>
      <c r="J2585" s="11"/>
      <c r="K2585" s="6"/>
      <c r="L2585" s="13"/>
    </row>
    <row r="2586" spans="1:12" hidden="1" x14ac:dyDescent="0.25">
      <c r="A2586" s="6"/>
      <c r="B2586" s="6"/>
      <c r="C2586" s="11"/>
      <c r="D2586" s="13"/>
      <c r="E2586" s="13"/>
      <c r="F2586" s="13"/>
      <c r="G2586" s="13"/>
      <c r="H2586" s="13"/>
      <c r="I2586" s="10"/>
      <c r="J2586" s="11"/>
      <c r="K2586" s="6"/>
      <c r="L2586" s="13"/>
    </row>
    <row r="2587" spans="1:12" hidden="1" x14ac:dyDescent="0.25">
      <c r="A2587" s="6"/>
      <c r="B2587" s="6"/>
      <c r="C2587" s="11"/>
      <c r="D2587" s="13"/>
      <c r="E2587" s="13"/>
      <c r="F2587" s="13"/>
      <c r="G2587" s="13"/>
      <c r="H2587" s="13"/>
      <c r="I2587" s="10"/>
      <c r="J2587" s="11"/>
      <c r="K2587" s="6"/>
      <c r="L2587" s="13"/>
    </row>
    <row r="2588" spans="1:12" hidden="1" x14ac:dyDescent="0.25">
      <c r="A2588" s="6"/>
      <c r="B2588" s="6"/>
      <c r="C2588" s="11"/>
      <c r="D2588" s="13"/>
      <c r="E2588" s="13"/>
      <c r="F2588" s="13"/>
      <c r="G2588" s="13"/>
      <c r="H2588" s="13"/>
      <c r="I2588" s="10"/>
      <c r="J2588" s="11"/>
      <c r="K2588" s="6"/>
      <c r="L2588" s="13"/>
    </row>
    <row r="2589" spans="1:12" hidden="1" x14ac:dyDescent="0.25">
      <c r="A2589" s="6"/>
      <c r="B2589" s="6"/>
      <c r="C2589" s="11"/>
      <c r="D2589" s="13"/>
      <c r="E2589" s="13"/>
      <c r="F2589" s="13"/>
      <c r="G2589" s="13"/>
      <c r="H2589" s="13"/>
      <c r="I2589" s="10"/>
      <c r="J2589" s="11"/>
      <c r="K2589" s="6"/>
      <c r="L2589" s="13"/>
    </row>
    <row r="2590" spans="1:12" hidden="1" x14ac:dyDescent="0.25">
      <c r="A2590" s="6"/>
      <c r="B2590" s="6"/>
      <c r="C2590" s="11"/>
      <c r="D2590" s="13"/>
      <c r="E2590" s="13"/>
      <c r="F2590" s="13"/>
      <c r="G2590" s="13"/>
      <c r="H2590" s="13"/>
      <c r="I2590" s="10"/>
      <c r="J2590" s="11"/>
      <c r="K2590" s="6"/>
      <c r="L2590" s="13"/>
    </row>
    <row r="2591" spans="1:12" hidden="1" x14ac:dyDescent="0.25">
      <c r="A2591" s="6"/>
      <c r="B2591" s="6"/>
      <c r="C2591" s="11"/>
      <c r="D2591" s="13"/>
      <c r="E2591" s="13"/>
      <c r="F2591" s="13"/>
      <c r="G2591" s="13"/>
      <c r="H2591" s="13"/>
      <c r="I2591" s="10"/>
      <c r="J2591" s="11"/>
      <c r="K2591" s="6"/>
      <c r="L2591" s="13"/>
    </row>
    <row r="2592" spans="1:12" hidden="1" x14ac:dyDescent="0.25">
      <c r="A2592" s="6"/>
      <c r="B2592" s="6"/>
      <c r="C2592" s="11"/>
      <c r="D2592" s="13"/>
      <c r="E2592" s="13"/>
      <c r="F2592" s="13"/>
      <c r="G2592" s="13"/>
      <c r="H2592" s="13"/>
      <c r="I2592" s="10"/>
      <c r="J2592" s="11"/>
      <c r="K2592" s="6"/>
      <c r="L2592" s="13"/>
    </row>
    <row r="2593" spans="1:12" hidden="1" x14ac:dyDescent="0.25">
      <c r="A2593" s="6"/>
      <c r="B2593" s="6"/>
      <c r="C2593" s="11"/>
      <c r="D2593" s="13"/>
      <c r="E2593" s="13"/>
      <c r="F2593" s="13"/>
      <c r="G2593" s="13"/>
      <c r="H2593" s="13"/>
      <c r="I2593" s="10"/>
      <c r="J2593" s="11"/>
      <c r="K2593" s="6"/>
      <c r="L2593" s="13"/>
    </row>
    <row r="2594" spans="1:12" hidden="1" x14ac:dyDescent="0.25">
      <c r="A2594" s="6"/>
      <c r="B2594" s="6"/>
      <c r="C2594" s="11"/>
      <c r="D2594" s="13"/>
      <c r="E2594" s="13"/>
      <c r="F2594" s="13"/>
      <c r="G2594" s="13"/>
      <c r="H2594" s="13"/>
      <c r="I2594" s="10"/>
      <c r="J2594" s="11"/>
      <c r="K2594" s="6"/>
      <c r="L2594" s="13"/>
    </row>
    <row r="2595" spans="1:12" hidden="1" x14ac:dyDescent="0.25">
      <c r="A2595" s="6"/>
      <c r="B2595" s="6"/>
      <c r="C2595" s="11"/>
      <c r="D2595" s="13"/>
      <c r="E2595" s="13"/>
      <c r="F2595" s="13"/>
      <c r="G2595" s="13"/>
      <c r="H2595" s="13"/>
      <c r="I2595" s="10"/>
      <c r="J2595" s="11"/>
      <c r="K2595" s="6"/>
      <c r="L2595" s="13"/>
    </row>
    <row r="2596" spans="1:12" hidden="1" x14ac:dyDescent="0.25">
      <c r="A2596" s="6"/>
      <c r="B2596" s="6"/>
      <c r="C2596" s="11"/>
      <c r="D2596" s="13"/>
      <c r="E2596" s="13"/>
      <c r="F2596" s="13"/>
      <c r="G2596" s="13"/>
      <c r="H2596" s="13"/>
      <c r="I2596" s="10"/>
      <c r="J2596" s="11"/>
      <c r="K2596" s="6"/>
      <c r="L2596" s="13"/>
    </row>
    <row r="2597" spans="1:12" hidden="1" x14ac:dyDescent="0.25">
      <c r="A2597" s="6"/>
      <c r="B2597" s="6"/>
      <c r="C2597" s="11"/>
      <c r="D2597" s="13"/>
      <c r="E2597" s="13"/>
      <c r="F2597" s="13"/>
      <c r="G2597" s="13"/>
      <c r="H2597" s="13"/>
      <c r="I2597" s="10"/>
      <c r="J2597" s="11"/>
      <c r="K2597" s="6"/>
      <c r="L2597" s="13"/>
    </row>
    <row r="2598" spans="1:12" hidden="1" x14ac:dyDescent="0.25">
      <c r="A2598" s="6"/>
      <c r="B2598" s="6"/>
      <c r="C2598" s="11"/>
      <c r="D2598" s="13"/>
      <c r="E2598" s="13"/>
      <c r="F2598" s="13"/>
      <c r="G2598" s="13"/>
      <c r="H2598" s="13"/>
      <c r="I2598" s="10"/>
      <c r="J2598" s="11"/>
      <c r="K2598" s="6"/>
      <c r="L2598" s="13"/>
    </row>
    <row r="2599" spans="1:12" hidden="1" x14ac:dyDescent="0.25">
      <c r="A2599" s="6"/>
      <c r="B2599" s="6"/>
      <c r="C2599" s="11"/>
      <c r="D2599" s="13"/>
      <c r="E2599" s="13"/>
      <c r="F2599" s="13"/>
      <c r="G2599" s="13"/>
      <c r="H2599" s="13"/>
      <c r="I2599" s="10"/>
      <c r="J2599" s="11"/>
      <c r="K2599" s="6"/>
      <c r="L2599" s="13"/>
    </row>
    <row r="2600" spans="1:12" hidden="1" x14ac:dyDescent="0.25">
      <c r="A2600" s="6"/>
      <c r="B2600" s="6"/>
      <c r="C2600" s="11"/>
      <c r="D2600" s="13"/>
      <c r="E2600" s="13"/>
      <c r="F2600" s="13"/>
      <c r="G2600" s="13"/>
      <c r="H2600" s="13"/>
      <c r="I2600" s="10"/>
      <c r="J2600" s="11"/>
      <c r="K2600" s="6"/>
      <c r="L2600" s="13"/>
    </row>
    <row r="2601" spans="1:12" hidden="1" x14ac:dyDescent="0.25">
      <c r="A2601" s="6"/>
      <c r="B2601" s="6"/>
      <c r="C2601" s="11"/>
      <c r="D2601" s="13"/>
      <c r="E2601" s="13"/>
      <c r="F2601" s="13"/>
      <c r="G2601" s="13"/>
      <c r="H2601" s="13"/>
      <c r="I2601" s="10"/>
      <c r="J2601" s="11"/>
      <c r="K2601" s="6"/>
      <c r="L2601" s="13"/>
    </row>
    <row r="2602" spans="1:12" hidden="1" x14ac:dyDescent="0.25">
      <c r="A2602" s="6"/>
      <c r="B2602" s="6"/>
      <c r="C2602" s="11"/>
      <c r="D2602" s="13"/>
      <c r="E2602" s="13"/>
      <c r="F2602" s="13"/>
      <c r="G2602" s="13"/>
      <c r="H2602" s="13"/>
      <c r="I2602" s="10"/>
      <c r="J2602" s="11"/>
      <c r="K2602" s="6"/>
      <c r="L2602" s="13"/>
    </row>
    <row r="2603" spans="1:12" hidden="1" x14ac:dyDescent="0.25">
      <c r="A2603" s="6"/>
      <c r="B2603" s="6"/>
      <c r="C2603" s="11"/>
      <c r="D2603" s="13"/>
      <c r="E2603" s="13"/>
      <c r="F2603" s="13"/>
      <c r="G2603" s="13"/>
      <c r="H2603" s="13"/>
      <c r="I2603" s="10"/>
      <c r="J2603" s="11"/>
      <c r="K2603" s="6"/>
      <c r="L2603" s="13"/>
    </row>
    <row r="2604" spans="1:12" hidden="1" x14ac:dyDescent="0.25">
      <c r="A2604" s="6"/>
      <c r="B2604" s="6"/>
      <c r="C2604" s="11"/>
      <c r="D2604" s="13"/>
      <c r="E2604" s="13"/>
      <c r="F2604" s="13"/>
      <c r="G2604" s="13"/>
      <c r="H2604" s="13"/>
      <c r="I2604" s="10"/>
      <c r="J2604" s="11"/>
      <c r="K2604" s="6"/>
      <c r="L2604" s="13"/>
    </row>
    <row r="2605" spans="1:12" hidden="1" x14ac:dyDescent="0.25">
      <c r="A2605" s="6"/>
      <c r="B2605" s="6"/>
      <c r="C2605" s="11"/>
      <c r="D2605" s="13"/>
      <c r="E2605" s="13"/>
      <c r="F2605" s="13"/>
      <c r="G2605" s="13"/>
      <c r="H2605" s="13"/>
      <c r="I2605" s="10"/>
      <c r="J2605" s="11"/>
      <c r="K2605" s="6"/>
      <c r="L2605" s="13"/>
    </row>
    <row r="2606" spans="1:12" hidden="1" x14ac:dyDescent="0.25">
      <c r="A2606" s="6"/>
      <c r="B2606" s="6"/>
      <c r="C2606" s="11"/>
      <c r="D2606" s="13"/>
      <c r="E2606" s="13"/>
      <c r="F2606" s="13"/>
      <c r="G2606" s="13"/>
      <c r="H2606" s="13"/>
      <c r="I2606" s="10"/>
      <c r="J2606" s="11"/>
      <c r="K2606" s="6"/>
      <c r="L2606" s="13"/>
    </row>
    <row r="2607" spans="1:12" hidden="1" x14ac:dyDescent="0.25">
      <c r="A2607" s="6"/>
      <c r="B2607" s="6"/>
      <c r="C2607" s="11"/>
      <c r="D2607" s="13"/>
      <c r="E2607" s="13"/>
      <c r="F2607" s="13"/>
      <c r="G2607" s="13"/>
      <c r="H2607" s="13"/>
      <c r="I2607" s="10"/>
      <c r="J2607" s="11"/>
      <c r="K2607" s="6"/>
      <c r="L2607" s="13"/>
    </row>
    <row r="2608" spans="1:12" hidden="1" x14ac:dyDescent="0.25">
      <c r="A2608" s="6"/>
      <c r="B2608" s="6"/>
      <c r="C2608" s="11"/>
      <c r="D2608" s="13"/>
      <c r="E2608" s="13"/>
      <c r="F2608" s="13"/>
      <c r="G2608" s="13"/>
      <c r="H2608" s="13"/>
      <c r="I2608" s="10"/>
      <c r="J2608" s="11"/>
      <c r="K2608" s="6"/>
      <c r="L2608" s="13"/>
    </row>
    <row r="2609" spans="1:12" hidden="1" x14ac:dyDescent="0.25">
      <c r="A2609" s="6"/>
      <c r="B2609" s="6"/>
      <c r="C2609" s="11"/>
      <c r="D2609" s="13"/>
      <c r="E2609" s="13"/>
      <c r="F2609" s="13"/>
      <c r="G2609" s="13"/>
      <c r="H2609" s="13"/>
      <c r="I2609" s="10"/>
      <c r="J2609" s="11"/>
      <c r="K2609" s="6"/>
      <c r="L2609" s="13"/>
    </row>
    <row r="2610" spans="1:12" hidden="1" x14ac:dyDescent="0.25">
      <c r="A2610" s="6"/>
      <c r="B2610" s="6"/>
      <c r="C2610" s="11"/>
      <c r="D2610" s="13"/>
      <c r="E2610" s="13"/>
      <c r="F2610" s="13"/>
      <c r="G2610" s="13"/>
      <c r="H2610" s="13"/>
      <c r="I2610" s="10"/>
      <c r="J2610" s="11"/>
      <c r="K2610" s="6"/>
      <c r="L2610" s="13"/>
    </row>
    <row r="2611" spans="1:12" hidden="1" x14ac:dyDescent="0.25">
      <c r="A2611" s="6"/>
      <c r="B2611" s="6"/>
      <c r="C2611" s="11"/>
      <c r="D2611" s="13"/>
      <c r="E2611" s="13"/>
      <c r="F2611" s="13"/>
      <c r="G2611" s="13"/>
      <c r="H2611" s="13"/>
      <c r="I2611" s="10"/>
      <c r="J2611" s="11"/>
      <c r="K2611" s="6"/>
      <c r="L2611" s="13"/>
    </row>
    <row r="2612" spans="1:12" hidden="1" x14ac:dyDescent="0.25">
      <c r="A2612" s="6"/>
      <c r="B2612" s="6"/>
      <c r="C2612" s="11"/>
      <c r="D2612" s="13"/>
      <c r="E2612" s="13"/>
      <c r="F2612" s="13"/>
      <c r="G2612" s="13"/>
      <c r="H2612" s="13"/>
      <c r="I2612" s="10"/>
      <c r="J2612" s="11"/>
      <c r="K2612" s="6"/>
      <c r="L2612" s="13"/>
    </row>
    <row r="2613" spans="1:12" hidden="1" x14ac:dyDescent="0.25">
      <c r="A2613" s="6"/>
      <c r="B2613" s="6"/>
      <c r="C2613" s="11"/>
      <c r="D2613" s="13"/>
      <c r="E2613" s="13"/>
      <c r="F2613" s="13"/>
      <c r="G2613" s="13"/>
      <c r="H2613" s="13"/>
      <c r="I2613" s="10"/>
      <c r="J2613" s="11"/>
      <c r="K2613" s="6"/>
      <c r="L2613" s="13"/>
    </row>
    <row r="2614" spans="1:12" hidden="1" x14ac:dyDescent="0.25">
      <c r="A2614" s="6"/>
      <c r="B2614" s="6"/>
      <c r="C2614" s="11"/>
      <c r="D2614" s="13"/>
      <c r="E2614" s="13"/>
      <c r="F2614" s="13"/>
      <c r="G2614" s="13"/>
      <c r="H2614" s="13"/>
      <c r="I2614" s="10"/>
      <c r="J2614" s="11"/>
      <c r="K2614" s="6"/>
      <c r="L2614" s="13"/>
    </row>
    <row r="2615" spans="1:12" hidden="1" x14ac:dyDescent="0.25">
      <c r="A2615" s="6"/>
      <c r="B2615" s="6"/>
      <c r="C2615" s="11"/>
      <c r="D2615" s="13"/>
      <c r="E2615" s="13"/>
      <c r="F2615" s="13"/>
      <c r="G2615" s="13"/>
      <c r="H2615" s="13"/>
      <c r="I2615" s="10"/>
      <c r="J2615" s="11"/>
      <c r="K2615" s="6"/>
      <c r="L2615" s="13"/>
    </row>
    <row r="2616" spans="1:12" hidden="1" x14ac:dyDescent="0.25">
      <c r="A2616" s="6"/>
      <c r="B2616" s="6"/>
      <c r="C2616" s="11"/>
      <c r="D2616" s="13"/>
      <c r="E2616" s="13"/>
      <c r="F2616" s="13"/>
      <c r="G2616" s="13"/>
      <c r="H2616" s="13"/>
      <c r="I2616" s="10"/>
      <c r="J2616" s="11"/>
      <c r="K2616" s="6"/>
      <c r="L2616" s="13"/>
    </row>
    <row r="2617" spans="1:12" hidden="1" x14ac:dyDescent="0.25">
      <c r="A2617" s="6"/>
      <c r="B2617" s="6"/>
      <c r="C2617" s="11"/>
      <c r="D2617" s="13"/>
      <c r="E2617" s="13"/>
      <c r="F2617" s="13"/>
      <c r="G2617" s="13"/>
      <c r="H2617" s="13"/>
      <c r="I2617" s="10"/>
      <c r="J2617" s="11"/>
      <c r="K2617" s="6"/>
      <c r="L2617" s="13"/>
    </row>
    <row r="2618" spans="1:12" hidden="1" x14ac:dyDescent="0.25">
      <c r="A2618" s="6"/>
      <c r="B2618" s="6"/>
      <c r="C2618" s="11"/>
      <c r="D2618" s="13"/>
      <c r="E2618" s="13"/>
      <c r="F2618" s="13"/>
      <c r="G2618" s="13"/>
      <c r="H2618" s="13"/>
      <c r="I2618" s="10"/>
      <c r="J2618" s="11"/>
      <c r="K2618" s="6"/>
      <c r="L2618" s="13"/>
    </row>
    <row r="2619" spans="1:12" hidden="1" x14ac:dyDescent="0.25">
      <c r="A2619" s="6"/>
      <c r="B2619" s="6"/>
      <c r="C2619" s="11"/>
      <c r="D2619" s="13"/>
      <c r="E2619" s="13"/>
      <c r="F2619" s="13"/>
      <c r="G2619" s="13"/>
      <c r="H2619" s="13"/>
      <c r="I2619" s="10"/>
      <c r="J2619" s="11"/>
      <c r="K2619" s="6"/>
      <c r="L2619" s="13"/>
    </row>
    <row r="2620" spans="1:12" hidden="1" x14ac:dyDescent="0.25">
      <c r="A2620" s="6"/>
      <c r="B2620" s="6"/>
      <c r="C2620" s="11"/>
      <c r="D2620" s="13"/>
      <c r="E2620" s="13"/>
      <c r="F2620" s="13"/>
      <c r="G2620" s="13"/>
      <c r="H2620" s="13"/>
      <c r="I2620" s="10"/>
      <c r="J2620" s="11"/>
      <c r="K2620" s="6"/>
      <c r="L2620" s="13"/>
    </row>
    <row r="2621" spans="1:12" hidden="1" x14ac:dyDescent="0.25">
      <c r="A2621" s="6"/>
      <c r="B2621" s="6"/>
      <c r="C2621" s="11"/>
      <c r="D2621" s="13"/>
      <c r="E2621" s="13"/>
      <c r="F2621" s="13"/>
      <c r="G2621" s="13"/>
      <c r="H2621" s="13"/>
      <c r="I2621" s="10"/>
      <c r="J2621" s="11"/>
      <c r="K2621" s="6"/>
      <c r="L2621" s="13"/>
    </row>
    <row r="2622" spans="1:12" hidden="1" x14ac:dyDescent="0.25">
      <c r="A2622" s="6"/>
      <c r="B2622" s="6"/>
      <c r="C2622" s="11"/>
      <c r="D2622" s="13"/>
      <c r="E2622" s="13"/>
      <c r="F2622" s="13"/>
      <c r="G2622" s="13"/>
      <c r="H2622" s="13"/>
      <c r="I2622" s="10"/>
      <c r="J2622" s="11"/>
      <c r="K2622" s="6"/>
      <c r="L2622" s="13"/>
    </row>
    <row r="2623" spans="1:12" hidden="1" x14ac:dyDescent="0.25">
      <c r="A2623" s="6"/>
      <c r="B2623" s="6"/>
      <c r="C2623" s="11"/>
      <c r="D2623" s="13"/>
      <c r="E2623" s="13"/>
      <c r="F2623" s="13"/>
      <c r="G2623" s="13"/>
      <c r="H2623" s="13"/>
      <c r="I2623" s="10"/>
      <c r="J2623" s="11"/>
      <c r="K2623" s="6"/>
      <c r="L2623" s="13"/>
    </row>
    <row r="2624" spans="1:12" hidden="1" x14ac:dyDescent="0.25">
      <c r="A2624" s="6"/>
      <c r="B2624" s="6"/>
      <c r="C2624" s="11"/>
      <c r="D2624" s="13"/>
      <c r="E2624" s="13"/>
      <c r="F2624" s="13"/>
      <c r="G2624" s="13"/>
      <c r="H2624" s="13"/>
      <c r="I2624" s="10"/>
      <c r="J2624" s="11"/>
      <c r="K2624" s="6"/>
      <c r="L2624" s="13"/>
    </row>
    <row r="2625" spans="1:12" hidden="1" x14ac:dyDescent="0.25">
      <c r="A2625" s="6"/>
      <c r="B2625" s="6"/>
      <c r="C2625" s="11"/>
      <c r="D2625" s="13"/>
      <c r="E2625" s="13"/>
      <c r="F2625" s="13"/>
      <c r="G2625" s="13"/>
      <c r="H2625" s="13"/>
      <c r="I2625" s="10"/>
      <c r="J2625" s="11"/>
      <c r="K2625" s="6"/>
      <c r="L2625" s="13"/>
    </row>
    <row r="2626" spans="1:12" hidden="1" x14ac:dyDescent="0.25">
      <c r="A2626" s="6"/>
      <c r="B2626" s="6"/>
      <c r="C2626" s="11"/>
      <c r="D2626" s="13"/>
      <c r="E2626" s="13"/>
      <c r="F2626" s="13"/>
      <c r="G2626" s="13"/>
      <c r="H2626" s="13"/>
      <c r="I2626" s="10"/>
      <c r="J2626" s="11"/>
      <c r="K2626" s="6"/>
      <c r="L2626" s="13"/>
    </row>
    <row r="2627" spans="1:12" hidden="1" x14ac:dyDescent="0.25">
      <c r="A2627" s="6"/>
      <c r="B2627" s="6"/>
      <c r="C2627" s="11"/>
      <c r="D2627" s="13"/>
      <c r="E2627" s="13"/>
      <c r="F2627" s="13"/>
      <c r="G2627" s="13"/>
      <c r="H2627" s="13"/>
      <c r="I2627" s="10"/>
      <c r="J2627" s="11"/>
      <c r="K2627" s="6"/>
      <c r="L2627" s="13"/>
    </row>
    <row r="2628" spans="1:12" hidden="1" x14ac:dyDescent="0.25">
      <c r="A2628" s="6"/>
      <c r="B2628" s="6"/>
      <c r="C2628" s="11"/>
      <c r="D2628" s="13"/>
      <c r="E2628" s="13"/>
      <c r="F2628" s="13"/>
      <c r="G2628" s="13"/>
      <c r="H2628" s="13"/>
      <c r="I2628" s="10"/>
      <c r="J2628" s="11"/>
      <c r="K2628" s="6"/>
      <c r="L2628" s="13"/>
    </row>
    <row r="2629" spans="1:12" hidden="1" x14ac:dyDescent="0.25">
      <c r="A2629" s="6"/>
      <c r="B2629" s="6"/>
      <c r="C2629" s="11"/>
      <c r="D2629" s="13"/>
      <c r="E2629" s="13"/>
      <c r="F2629" s="13"/>
      <c r="G2629" s="13"/>
      <c r="H2629" s="13"/>
      <c r="I2629" s="10"/>
      <c r="J2629" s="11"/>
      <c r="K2629" s="6"/>
      <c r="L2629" s="13"/>
    </row>
    <row r="2630" spans="1:12" hidden="1" x14ac:dyDescent="0.25">
      <c r="A2630" s="6"/>
      <c r="B2630" s="6"/>
      <c r="C2630" s="11"/>
      <c r="D2630" s="13"/>
      <c r="E2630" s="13"/>
      <c r="F2630" s="13"/>
      <c r="G2630" s="13"/>
      <c r="H2630" s="13"/>
      <c r="I2630" s="10"/>
      <c r="J2630" s="11"/>
      <c r="K2630" s="6"/>
      <c r="L2630" s="13"/>
    </row>
    <row r="2631" spans="1:12" hidden="1" x14ac:dyDescent="0.25">
      <c r="A2631" s="6"/>
      <c r="B2631" s="6"/>
      <c r="C2631" s="11"/>
      <c r="D2631" s="13"/>
      <c r="E2631" s="13"/>
      <c r="F2631" s="13"/>
      <c r="G2631" s="13"/>
      <c r="H2631" s="13"/>
      <c r="I2631" s="10"/>
      <c r="J2631" s="11"/>
      <c r="K2631" s="6"/>
      <c r="L2631" s="13"/>
    </row>
    <row r="2632" spans="1:12" hidden="1" x14ac:dyDescent="0.25">
      <c r="A2632" s="6"/>
      <c r="B2632" s="6"/>
      <c r="C2632" s="11"/>
      <c r="D2632" s="13"/>
      <c r="E2632" s="13"/>
      <c r="F2632" s="13"/>
      <c r="G2632" s="13"/>
      <c r="H2632" s="13"/>
      <c r="I2632" s="10"/>
      <c r="J2632" s="11"/>
      <c r="K2632" s="6"/>
      <c r="L2632" s="13"/>
    </row>
    <row r="2633" spans="1:12" hidden="1" x14ac:dyDescent="0.25">
      <c r="A2633" s="6"/>
      <c r="B2633" s="6"/>
      <c r="C2633" s="11"/>
      <c r="D2633" s="13"/>
      <c r="E2633" s="13"/>
      <c r="F2633" s="13"/>
      <c r="G2633" s="13"/>
      <c r="H2633" s="13"/>
      <c r="I2633" s="10"/>
      <c r="J2633" s="11"/>
      <c r="K2633" s="6"/>
      <c r="L2633" s="13"/>
    </row>
    <row r="2634" spans="1:12" hidden="1" x14ac:dyDescent="0.25">
      <c r="A2634" s="6"/>
      <c r="B2634" s="6"/>
      <c r="C2634" s="11"/>
      <c r="D2634" s="13"/>
      <c r="E2634" s="13"/>
      <c r="F2634" s="13"/>
      <c r="G2634" s="13"/>
      <c r="H2634" s="13"/>
      <c r="I2634" s="10"/>
      <c r="J2634" s="11"/>
      <c r="K2634" s="6"/>
      <c r="L2634" s="13"/>
    </row>
    <row r="2635" spans="1:12" hidden="1" x14ac:dyDescent="0.25">
      <c r="A2635" s="6"/>
      <c r="B2635" s="6"/>
      <c r="C2635" s="11"/>
      <c r="D2635" s="13"/>
      <c r="E2635" s="13"/>
      <c r="F2635" s="13"/>
      <c r="G2635" s="13"/>
      <c r="H2635" s="13"/>
      <c r="I2635" s="10"/>
      <c r="J2635" s="11"/>
      <c r="K2635" s="6"/>
      <c r="L2635" s="13"/>
    </row>
    <row r="2636" spans="1:12" hidden="1" x14ac:dyDescent="0.25">
      <c r="A2636" s="6"/>
      <c r="B2636" s="6"/>
      <c r="C2636" s="11"/>
      <c r="D2636" s="13"/>
      <c r="E2636" s="13"/>
      <c r="F2636" s="13"/>
      <c r="G2636" s="13"/>
      <c r="H2636" s="13"/>
      <c r="I2636" s="10"/>
      <c r="J2636" s="11"/>
      <c r="K2636" s="6"/>
      <c r="L2636" s="13"/>
    </row>
    <row r="2637" spans="1:12" hidden="1" x14ac:dyDescent="0.25">
      <c r="A2637" s="6"/>
      <c r="B2637" s="6"/>
      <c r="C2637" s="11"/>
      <c r="D2637" s="13"/>
      <c r="E2637" s="13"/>
      <c r="F2637" s="13"/>
      <c r="G2637" s="13"/>
      <c r="H2637" s="13"/>
      <c r="I2637" s="10"/>
      <c r="J2637" s="11"/>
      <c r="K2637" s="6"/>
      <c r="L2637" s="13"/>
    </row>
    <row r="2638" spans="1:12" hidden="1" x14ac:dyDescent="0.25">
      <c r="A2638" s="6"/>
      <c r="B2638" s="6"/>
      <c r="C2638" s="11"/>
      <c r="D2638" s="13"/>
      <c r="E2638" s="13"/>
      <c r="F2638" s="13"/>
      <c r="G2638" s="13"/>
      <c r="H2638" s="13"/>
      <c r="I2638" s="10"/>
      <c r="J2638" s="11"/>
      <c r="K2638" s="6"/>
      <c r="L2638" s="13"/>
    </row>
    <row r="2639" spans="1:12" hidden="1" x14ac:dyDescent="0.25">
      <c r="A2639" s="6"/>
      <c r="B2639" s="6"/>
      <c r="C2639" s="11"/>
      <c r="D2639" s="13"/>
      <c r="E2639" s="13"/>
      <c r="F2639" s="13"/>
      <c r="G2639" s="13"/>
      <c r="H2639" s="13"/>
      <c r="I2639" s="10"/>
      <c r="J2639" s="11"/>
      <c r="K2639" s="6"/>
      <c r="L2639" s="13"/>
    </row>
    <row r="2640" spans="1:12" hidden="1" x14ac:dyDescent="0.25">
      <c r="A2640" s="6"/>
      <c r="B2640" s="6"/>
      <c r="C2640" s="11"/>
      <c r="D2640" s="13"/>
      <c r="E2640" s="13"/>
      <c r="F2640" s="13"/>
      <c r="G2640" s="13"/>
      <c r="H2640" s="13"/>
      <c r="I2640" s="10"/>
      <c r="J2640" s="11"/>
      <c r="K2640" s="6"/>
      <c r="L2640" s="13"/>
    </row>
    <row r="2641" spans="1:13" hidden="1" x14ac:dyDescent="0.25">
      <c r="A2641" s="6"/>
      <c r="B2641" s="6"/>
      <c r="C2641" s="11"/>
      <c r="D2641" s="13"/>
      <c r="E2641" s="13"/>
      <c r="F2641" s="13"/>
      <c r="G2641" s="13"/>
      <c r="H2641" s="13"/>
      <c r="I2641" s="10"/>
      <c r="J2641" s="11"/>
      <c r="K2641" s="6"/>
      <c r="L2641" s="13"/>
    </row>
    <row r="2642" spans="1:13" hidden="1" x14ac:dyDescent="0.25">
      <c r="A2642" s="6"/>
      <c r="B2642" s="6"/>
      <c r="C2642" s="11"/>
      <c r="D2642" s="13"/>
      <c r="E2642" s="13"/>
      <c r="F2642" s="13"/>
      <c r="G2642" s="13"/>
      <c r="H2642" s="13"/>
      <c r="I2642" s="10"/>
      <c r="J2642" s="11"/>
      <c r="K2642" s="6"/>
      <c r="L2642" s="13"/>
    </row>
    <row r="2643" spans="1:13" hidden="1" x14ac:dyDescent="0.25">
      <c r="A2643" s="6"/>
      <c r="B2643" s="6"/>
      <c r="C2643" s="11"/>
      <c r="D2643" s="13"/>
      <c r="E2643" s="13"/>
      <c r="F2643" s="13"/>
      <c r="G2643" s="13"/>
      <c r="H2643" s="13"/>
      <c r="I2643" s="10"/>
      <c r="J2643" s="11"/>
      <c r="K2643" s="6"/>
      <c r="L2643" s="13"/>
    </row>
    <row r="2644" spans="1:13" hidden="1" x14ac:dyDescent="0.25">
      <c r="A2644" s="6"/>
      <c r="B2644" s="6"/>
      <c r="C2644" s="11"/>
      <c r="D2644" s="13"/>
      <c r="E2644" s="13"/>
      <c r="F2644" s="13"/>
      <c r="G2644" s="13"/>
      <c r="H2644" s="13"/>
      <c r="I2644" s="10"/>
      <c r="J2644" s="11"/>
      <c r="K2644" s="6"/>
      <c r="L2644" s="13"/>
    </row>
    <row r="2645" spans="1:13" hidden="1" x14ac:dyDescent="0.25">
      <c r="A2645" s="6"/>
      <c r="B2645" s="6"/>
      <c r="C2645" s="11"/>
      <c r="D2645" s="13"/>
      <c r="E2645" s="13"/>
      <c r="F2645" s="13"/>
      <c r="G2645" s="13"/>
      <c r="H2645" s="13"/>
      <c r="I2645" s="10"/>
      <c r="J2645" s="11"/>
      <c r="K2645" s="6"/>
      <c r="L2645" s="13"/>
    </row>
    <row r="2646" spans="1:13" hidden="1" x14ac:dyDescent="0.25">
      <c r="A2646" s="6"/>
      <c r="B2646" s="6"/>
      <c r="C2646" s="11"/>
      <c r="D2646" s="13"/>
      <c r="E2646" s="13"/>
      <c r="F2646" s="13"/>
      <c r="G2646" s="13"/>
      <c r="H2646" s="13"/>
      <c r="I2646" s="10"/>
      <c r="J2646" s="11"/>
      <c r="K2646" s="6"/>
      <c r="L2646" s="13"/>
    </row>
    <row r="2647" spans="1:13" hidden="1" x14ac:dyDescent="0.25">
      <c r="A2647" s="6"/>
      <c r="B2647" s="6"/>
      <c r="C2647" s="11"/>
      <c r="D2647" s="13"/>
      <c r="E2647" s="13"/>
      <c r="F2647" s="13"/>
      <c r="G2647" s="13"/>
      <c r="H2647" s="13"/>
      <c r="I2647" s="10"/>
      <c r="J2647" s="11"/>
      <c r="K2647" s="6"/>
      <c r="L2647" s="13"/>
    </row>
    <row r="2648" spans="1:13" hidden="1" x14ac:dyDescent="0.25">
      <c r="A2648" s="6"/>
      <c r="B2648" s="6"/>
      <c r="C2648" s="11"/>
      <c r="D2648" s="13"/>
      <c r="E2648" s="13"/>
      <c r="F2648" s="13"/>
      <c r="G2648" s="13"/>
      <c r="H2648" s="13"/>
      <c r="I2648" s="10"/>
      <c r="J2648" s="11"/>
      <c r="K2648" s="6"/>
      <c r="L2648" s="13"/>
    </row>
    <row r="2649" spans="1:13" hidden="1" x14ac:dyDescent="0.25">
      <c r="A2649" s="6"/>
      <c r="B2649" s="6"/>
      <c r="C2649" s="11"/>
      <c r="D2649" s="13"/>
      <c r="E2649" s="13"/>
      <c r="F2649" s="13"/>
      <c r="G2649" s="13"/>
      <c r="H2649" s="13"/>
      <c r="I2649" s="10"/>
      <c r="J2649" s="11"/>
      <c r="K2649" s="6"/>
      <c r="L2649" s="13"/>
    </row>
    <row r="2650" spans="1:13" hidden="1" x14ac:dyDescent="0.25">
      <c r="A2650" s="6"/>
      <c r="B2650" s="6"/>
      <c r="C2650" s="11"/>
      <c r="D2650" s="13"/>
      <c r="E2650" s="13"/>
      <c r="F2650" s="13"/>
      <c r="G2650" s="13"/>
      <c r="H2650" s="13"/>
      <c r="I2650" s="10"/>
      <c r="J2650" s="11"/>
      <c r="K2650" s="6"/>
      <c r="L2650" s="13"/>
    </row>
    <row r="2651" spans="1:13" hidden="1" x14ac:dyDescent="0.25">
      <c r="A2651" s="6"/>
      <c r="B2651" s="6"/>
      <c r="C2651" s="11"/>
      <c r="D2651" s="13"/>
      <c r="E2651" s="13"/>
      <c r="F2651" s="13"/>
      <c r="G2651" s="13"/>
      <c r="H2651" s="13"/>
      <c r="I2651" s="10"/>
      <c r="J2651" s="11"/>
      <c r="K2651" s="6"/>
      <c r="L2651" s="13"/>
    </row>
    <row r="2652" spans="1:13" hidden="1" x14ac:dyDescent="0.25">
      <c r="A2652" s="6"/>
      <c r="B2652" s="6"/>
      <c r="C2652" s="11"/>
      <c r="D2652" s="13"/>
      <c r="E2652" s="13"/>
      <c r="F2652" s="13"/>
      <c r="G2652" s="13"/>
      <c r="H2652" s="13"/>
      <c r="I2652" s="10"/>
      <c r="J2652" s="11"/>
      <c r="K2652" s="6"/>
      <c r="L2652" s="13"/>
    </row>
    <row r="2653" spans="1:13" hidden="1" x14ac:dyDescent="0.25">
      <c r="A2653" s="6"/>
      <c r="B2653" s="6"/>
      <c r="C2653" s="11"/>
      <c r="D2653" s="13"/>
      <c r="E2653" s="13"/>
      <c r="F2653" s="13"/>
      <c r="G2653" s="13"/>
      <c r="H2653" s="13"/>
      <c r="I2653" s="10"/>
      <c r="J2653" s="11"/>
      <c r="K2653" s="6"/>
      <c r="L2653" s="13"/>
      <c r="M2653" s="101"/>
    </row>
    <row r="2654" spans="1:13" hidden="1" x14ac:dyDescent="0.25">
      <c r="A2654" s="6"/>
      <c r="B2654" s="6"/>
      <c r="C2654" s="11"/>
      <c r="D2654" s="13"/>
      <c r="E2654" s="13"/>
      <c r="F2654" s="13"/>
      <c r="G2654" s="13"/>
      <c r="H2654" s="13"/>
      <c r="I2654" s="10"/>
      <c r="J2654" s="11"/>
      <c r="K2654" s="6"/>
      <c r="L2654" s="13"/>
    </row>
    <row r="2655" spans="1:13" hidden="1" x14ac:dyDescent="0.25">
      <c r="A2655" s="6"/>
      <c r="B2655" s="6"/>
      <c r="C2655" s="11"/>
      <c r="D2655" s="13"/>
      <c r="E2655" s="13"/>
      <c r="F2655" s="13"/>
      <c r="G2655" s="13"/>
      <c r="H2655" s="13"/>
      <c r="I2655" s="10"/>
      <c r="J2655" s="11"/>
      <c r="K2655" s="6"/>
      <c r="L2655" s="13"/>
    </row>
    <row r="2656" spans="1:13" hidden="1" x14ac:dyDescent="0.25">
      <c r="A2656" s="6"/>
      <c r="B2656" s="6"/>
      <c r="C2656" s="11"/>
      <c r="D2656" s="13"/>
      <c r="E2656" s="13"/>
      <c r="F2656" s="13"/>
      <c r="G2656" s="13"/>
      <c r="H2656" s="13"/>
      <c r="I2656" s="10"/>
      <c r="J2656" s="11"/>
      <c r="K2656" s="6"/>
      <c r="L2656" s="13"/>
    </row>
    <row r="2657" spans="1:12" hidden="1" x14ac:dyDescent="0.25">
      <c r="A2657" s="6"/>
      <c r="B2657" s="6"/>
      <c r="C2657" s="11"/>
      <c r="D2657" s="13"/>
      <c r="E2657" s="13"/>
      <c r="F2657" s="13"/>
      <c r="G2657" s="13"/>
      <c r="H2657" s="13"/>
      <c r="I2657" s="10"/>
      <c r="J2657" s="11"/>
      <c r="K2657" s="6"/>
      <c r="L2657" s="13"/>
    </row>
    <row r="2658" spans="1:12" hidden="1" x14ac:dyDescent="0.25">
      <c r="A2658" s="6"/>
      <c r="B2658" s="6"/>
      <c r="C2658" s="11"/>
      <c r="D2658" s="13"/>
      <c r="E2658" s="13"/>
      <c r="F2658" s="13"/>
      <c r="G2658" s="13"/>
      <c r="H2658" s="13"/>
      <c r="I2658" s="10"/>
      <c r="J2658" s="11"/>
      <c r="K2658" s="6"/>
      <c r="L2658" s="13"/>
    </row>
    <row r="2659" spans="1:12" hidden="1" x14ac:dyDescent="0.25">
      <c r="A2659" s="6"/>
      <c r="B2659" s="6"/>
      <c r="C2659" s="11"/>
      <c r="D2659" s="13"/>
      <c r="E2659" s="13"/>
      <c r="F2659" s="13"/>
      <c r="G2659" s="13"/>
      <c r="H2659" s="13"/>
      <c r="I2659" s="10"/>
      <c r="J2659" s="11"/>
      <c r="K2659" s="6"/>
      <c r="L2659" s="13"/>
    </row>
    <row r="2660" spans="1:12" hidden="1" x14ac:dyDescent="0.25">
      <c r="A2660" s="6"/>
      <c r="B2660" s="6"/>
      <c r="C2660" s="11"/>
      <c r="D2660" s="13"/>
      <c r="E2660" s="13"/>
      <c r="F2660" s="13"/>
      <c r="G2660" s="13"/>
      <c r="H2660" s="13"/>
      <c r="I2660" s="10"/>
      <c r="J2660" s="11"/>
      <c r="K2660" s="6"/>
      <c r="L2660" s="13"/>
    </row>
    <row r="2661" spans="1:12" hidden="1" x14ac:dyDescent="0.25">
      <c r="A2661" s="6"/>
      <c r="B2661" s="6"/>
      <c r="C2661" s="11"/>
      <c r="D2661" s="13"/>
      <c r="E2661" s="13"/>
      <c r="F2661" s="13"/>
      <c r="G2661" s="13"/>
      <c r="H2661" s="13"/>
      <c r="I2661" s="10"/>
      <c r="J2661" s="11"/>
      <c r="K2661" s="6"/>
      <c r="L2661" s="13"/>
    </row>
    <row r="2662" spans="1:12" hidden="1" x14ac:dyDescent="0.25">
      <c r="A2662" s="6"/>
      <c r="B2662" s="6"/>
      <c r="C2662" s="11"/>
      <c r="D2662" s="13"/>
      <c r="E2662" s="13"/>
      <c r="F2662" s="13"/>
      <c r="G2662" s="13"/>
      <c r="H2662" s="13"/>
      <c r="I2662" s="10"/>
      <c r="J2662" s="11"/>
      <c r="K2662" s="6"/>
      <c r="L2662" s="13"/>
    </row>
    <row r="2663" spans="1:12" hidden="1" x14ac:dyDescent="0.25">
      <c r="A2663" s="6"/>
      <c r="B2663" s="6"/>
      <c r="C2663" s="11"/>
      <c r="D2663" s="13"/>
      <c r="E2663" s="13"/>
      <c r="F2663" s="13"/>
      <c r="G2663" s="13"/>
      <c r="H2663" s="13"/>
      <c r="I2663" s="10"/>
      <c r="J2663" s="11"/>
      <c r="K2663" s="6"/>
      <c r="L2663" s="13"/>
    </row>
    <row r="2664" spans="1:12" hidden="1" x14ac:dyDescent="0.25">
      <c r="A2664" s="6"/>
      <c r="B2664" s="6"/>
      <c r="C2664" s="11"/>
      <c r="D2664" s="13"/>
      <c r="E2664" s="13"/>
      <c r="F2664" s="13"/>
      <c r="G2664" s="13"/>
      <c r="H2664" s="13"/>
      <c r="I2664" s="10"/>
      <c r="J2664" s="11"/>
      <c r="K2664" s="6"/>
      <c r="L2664" s="13"/>
    </row>
    <row r="2665" spans="1:12" hidden="1" x14ac:dyDescent="0.25">
      <c r="A2665" s="6"/>
      <c r="B2665" s="6"/>
      <c r="C2665" s="11"/>
      <c r="D2665" s="13"/>
      <c r="E2665" s="13"/>
      <c r="F2665" s="13"/>
      <c r="G2665" s="13"/>
      <c r="H2665" s="13"/>
      <c r="I2665" s="10"/>
      <c r="J2665" s="11"/>
      <c r="K2665" s="6"/>
      <c r="L2665" s="13"/>
    </row>
    <row r="2666" spans="1:12" hidden="1" x14ac:dyDescent="0.25">
      <c r="A2666" s="6"/>
      <c r="B2666" s="6"/>
      <c r="C2666" s="11"/>
      <c r="D2666" s="13"/>
      <c r="E2666" s="13"/>
      <c r="F2666" s="13"/>
      <c r="G2666" s="13"/>
      <c r="H2666" s="13"/>
      <c r="I2666" s="10"/>
      <c r="J2666" s="11"/>
      <c r="K2666" s="6"/>
      <c r="L2666" s="13"/>
    </row>
    <row r="2667" spans="1:12" hidden="1" x14ac:dyDescent="0.25">
      <c r="A2667" s="6"/>
      <c r="B2667" s="6"/>
      <c r="C2667" s="11"/>
      <c r="D2667" s="13"/>
      <c r="E2667" s="13"/>
      <c r="F2667" s="13"/>
      <c r="G2667" s="13"/>
      <c r="H2667" s="13"/>
      <c r="I2667" s="10"/>
      <c r="J2667" s="11"/>
      <c r="K2667" s="6"/>
      <c r="L2667" s="13"/>
    </row>
    <row r="2668" spans="1:12" hidden="1" x14ac:dyDescent="0.25">
      <c r="A2668" s="6"/>
      <c r="B2668" s="6"/>
      <c r="C2668" s="11"/>
      <c r="D2668" s="13"/>
      <c r="E2668" s="13"/>
      <c r="F2668" s="13"/>
      <c r="G2668" s="13"/>
      <c r="H2668" s="13"/>
      <c r="I2668" s="10"/>
      <c r="J2668" s="11"/>
      <c r="K2668" s="6"/>
      <c r="L2668" s="13"/>
    </row>
    <row r="2669" spans="1:12" hidden="1" x14ac:dyDescent="0.25">
      <c r="A2669" s="6"/>
      <c r="B2669" s="6"/>
      <c r="C2669" s="11"/>
      <c r="D2669" s="13"/>
      <c r="E2669" s="13"/>
      <c r="F2669" s="13"/>
      <c r="G2669" s="13"/>
      <c r="H2669" s="13"/>
      <c r="I2669" s="10"/>
      <c r="J2669" s="11"/>
      <c r="K2669" s="6"/>
      <c r="L2669" s="13"/>
    </row>
    <row r="2670" spans="1:12" hidden="1" x14ac:dyDescent="0.25">
      <c r="A2670" s="6"/>
      <c r="B2670" s="6"/>
      <c r="C2670" s="11"/>
      <c r="D2670" s="13"/>
      <c r="E2670" s="13"/>
      <c r="F2670" s="13"/>
      <c r="G2670" s="13"/>
      <c r="H2670" s="13"/>
      <c r="I2670" s="10"/>
      <c r="J2670" s="11"/>
      <c r="K2670" s="6"/>
      <c r="L2670" s="13"/>
    </row>
    <row r="2671" spans="1:12" hidden="1" x14ac:dyDescent="0.25">
      <c r="A2671" s="6"/>
      <c r="B2671" s="6"/>
      <c r="C2671" s="11"/>
      <c r="D2671" s="13"/>
      <c r="E2671" s="13"/>
      <c r="F2671" s="13"/>
      <c r="G2671" s="13"/>
      <c r="H2671" s="13"/>
      <c r="I2671" s="10"/>
      <c r="J2671" s="11"/>
      <c r="K2671" s="6"/>
      <c r="L2671" s="13"/>
    </row>
    <row r="2672" spans="1:12" hidden="1" x14ac:dyDescent="0.25">
      <c r="A2672" s="6"/>
      <c r="B2672" s="6"/>
      <c r="C2672" s="11"/>
      <c r="D2672" s="13"/>
      <c r="E2672" s="13"/>
      <c r="F2672" s="13"/>
      <c r="G2672" s="13"/>
      <c r="H2672" s="13"/>
      <c r="I2672" s="10"/>
      <c r="J2672" s="11"/>
      <c r="K2672" s="6"/>
      <c r="L2672" s="13"/>
    </row>
    <row r="2673" spans="1:12" hidden="1" x14ac:dyDescent="0.25">
      <c r="A2673" s="6"/>
      <c r="B2673" s="6"/>
      <c r="C2673" s="11"/>
      <c r="D2673" s="13"/>
      <c r="E2673" s="13"/>
      <c r="F2673" s="13"/>
      <c r="G2673" s="13"/>
      <c r="H2673" s="13"/>
      <c r="I2673" s="10"/>
      <c r="J2673" s="11"/>
      <c r="K2673" s="6"/>
      <c r="L2673" s="13"/>
    </row>
    <row r="2674" spans="1:12" hidden="1" x14ac:dyDescent="0.25">
      <c r="A2674" s="6"/>
      <c r="B2674" s="6"/>
      <c r="C2674" s="11"/>
      <c r="D2674" s="13"/>
      <c r="E2674" s="13"/>
      <c r="F2674" s="13"/>
      <c r="G2674" s="13"/>
      <c r="H2674" s="13"/>
      <c r="I2674" s="10"/>
      <c r="J2674" s="11"/>
      <c r="K2674" s="6"/>
      <c r="L2674" s="13"/>
    </row>
    <row r="2675" spans="1:12" hidden="1" x14ac:dyDescent="0.25">
      <c r="A2675" s="6"/>
      <c r="B2675" s="6"/>
      <c r="C2675" s="11"/>
      <c r="D2675" s="13"/>
      <c r="E2675" s="13"/>
      <c r="F2675" s="13"/>
      <c r="G2675" s="13"/>
      <c r="H2675" s="13"/>
      <c r="I2675" s="10"/>
      <c r="J2675" s="11"/>
      <c r="K2675" s="6"/>
      <c r="L2675" s="13"/>
    </row>
    <row r="2676" spans="1:12" hidden="1" x14ac:dyDescent="0.25">
      <c r="A2676" s="6"/>
      <c r="B2676" s="6"/>
      <c r="C2676" s="11"/>
      <c r="D2676" s="13"/>
      <c r="E2676" s="13"/>
      <c r="F2676" s="13"/>
      <c r="G2676" s="13"/>
      <c r="H2676" s="13"/>
      <c r="I2676" s="10"/>
      <c r="J2676" s="11"/>
      <c r="K2676" s="6"/>
      <c r="L2676" s="13"/>
    </row>
    <row r="2677" spans="1:12" hidden="1" x14ac:dyDescent="0.25">
      <c r="A2677" s="6"/>
      <c r="B2677" s="6"/>
      <c r="C2677" s="11"/>
      <c r="D2677" s="13"/>
      <c r="E2677" s="13"/>
      <c r="F2677" s="13"/>
      <c r="G2677" s="13"/>
      <c r="H2677" s="13"/>
      <c r="I2677" s="10"/>
      <c r="J2677" s="11"/>
      <c r="K2677" s="6"/>
      <c r="L2677" s="13"/>
    </row>
    <row r="2678" spans="1:12" hidden="1" x14ac:dyDescent="0.25">
      <c r="A2678" s="6"/>
      <c r="B2678" s="6"/>
      <c r="C2678" s="11"/>
      <c r="D2678" s="13"/>
      <c r="E2678" s="13"/>
      <c r="F2678" s="13"/>
      <c r="G2678" s="13"/>
      <c r="H2678" s="13"/>
      <c r="I2678" s="10"/>
      <c r="J2678" s="11"/>
      <c r="K2678" s="6"/>
      <c r="L2678" s="13"/>
    </row>
    <row r="2679" spans="1:12" hidden="1" x14ac:dyDescent="0.25">
      <c r="A2679" s="6"/>
      <c r="B2679" s="6"/>
      <c r="C2679" s="11"/>
      <c r="D2679" s="13"/>
      <c r="E2679" s="13"/>
      <c r="F2679" s="13"/>
      <c r="G2679" s="13"/>
      <c r="H2679" s="13"/>
      <c r="I2679" s="10"/>
      <c r="J2679" s="11"/>
      <c r="K2679" s="6"/>
      <c r="L2679" s="13"/>
    </row>
    <row r="2680" spans="1:12" hidden="1" x14ac:dyDescent="0.25">
      <c r="A2680" s="6"/>
      <c r="B2680" s="6"/>
      <c r="C2680" s="11"/>
      <c r="D2680" s="13"/>
      <c r="E2680" s="13"/>
      <c r="F2680" s="13"/>
      <c r="G2680" s="13"/>
      <c r="H2680" s="13"/>
      <c r="I2680" s="10"/>
      <c r="J2680" s="11"/>
      <c r="K2680" s="6"/>
      <c r="L2680" s="13"/>
    </row>
    <row r="2681" spans="1:12" hidden="1" x14ac:dyDescent="0.25">
      <c r="A2681" s="6"/>
      <c r="B2681" s="6"/>
      <c r="C2681" s="11"/>
      <c r="D2681" s="13"/>
      <c r="E2681" s="13"/>
      <c r="F2681" s="13"/>
      <c r="G2681" s="13"/>
      <c r="H2681" s="13"/>
      <c r="I2681" s="10"/>
      <c r="J2681" s="11"/>
      <c r="K2681" s="6"/>
      <c r="L2681" s="13"/>
    </row>
    <row r="2682" spans="1:12" hidden="1" x14ac:dyDescent="0.25">
      <c r="A2682" s="6"/>
      <c r="B2682" s="6"/>
      <c r="C2682" s="11"/>
      <c r="D2682" s="13"/>
      <c r="E2682" s="13"/>
      <c r="F2682" s="13"/>
      <c r="G2682" s="13"/>
      <c r="H2682" s="13"/>
      <c r="I2682" s="10"/>
      <c r="J2682" s="11"/>
      <c r="K2682" s="6"/>
      <c r="L2682" s="13"/>
    </row>
    <row r="2683" spans="1:12" hidden="1" x14ac:dyDescent="0.25">
      <c r="A2683" s="6"/>
      <c r="B2683" s="6"/>
      <c r="C2683" s="11"/>
      <c r="D2683" s="13"/>
      <c r="E2683" s="13"/>
      <c r="F2683" s="13"/>
      <c r="G2683" s="13"/>
      <c r="H2683" s="13"/>
      <c r="I2683" s="10"/>
      <c r="J2683" s="11"/>
      <c r="K2683" s="6"/>
      <c r="L2683" s="13"/>
    </row>
    <row r="2684" spans="1:12" hidden="1" x14ac:dyDescent="0.25">
      <c r="A2684" s="6"/>
      <c r="B2684" s="6"/>
      <c r="C2684" s="11"/>
      <c r="D2684" s="13"/>
      <c r="E2684" s="13"/>
      <c r="F2684" s="13"/>
      <c r="G2684" s="13"/>
      <c r="H2684" s="13"/>
      <c r="I2684" s="10"/>
      <c r="J2684" s="11"/>
      <c r="K2684" s="6"/>
      <c r="L2684" s="13"/>
    </row>
    <row r="2685" spans="1:12" hidden="1" x14ac:dyDescent="0.25">
      <c r="A2685" s="6"/>
      <c r="B2685" s="6"/>
      <c r="C2685" s="11"/>
      <c r="D2685" s="13"/>
      <c r="E2685" s="13"/>
      <c r="F2685" s="13"/>
      <c r="G2685" s="13"/>
      <c r="H2685" s="13"/>
      <c r="I2685" s="10"/>
      <c r="J2685" s="11"/>
      <c r="K2685" s="6"/>
      <c r="L2685" s="13"/>
    </row>
    <row r="2686" spans="1:12" hidden="1" x14ac:dyDescent="0.25">
      <c r="A2686" s="6"/>
      <c r="B2686" s="6"/>
      <c r="C2686" s="11"/>
      <c r="D2686" s="13"/>
      <c r="E2686" s="13"/>
      <c r="F2686" s="13"/>
      <c r="G2686" s="13"/>
      <c r="H2686" s="13"/>
      <c r="I2686" s="10"/>
      <c r="J2686" s="11"/>
      <c r="K2686" s="6"/>
      <c r="L2686" s="13"/>
    </row>
    <row r="2687" spans="1:12" hidden="1" x14ac:dyDescent="0.25">
      <c r="A2687" s="6"/>
      <c r="B2687" s="6"/>
      <c r="C2687" s="11"/>
      <c r="D2687" s="13"/>
      <c r="E2687" s="13"/>
      <c r="F2687" s="13"/>
      <c r="G2687" s="13"/>
      <c r="H2687" s="13"/>
      <c r="I2687" s="10"/>
      <c r="J2687" s="11"/>
      <c r="K2687" s="6"/>
      <c r="L2687" s="13"/>
    </row>
    <row r="2688" spans="1:12" hidden="1" x14ac:dyDescent="0.25">
      <c r="A2688" s="6"/>
      <c r="B2688" s="6"/>
      <c r="C2688" s="11"/>
      <c r="D2688" s="13"/>
      <c r="E2688" s="13"/>
      <c r="F2688" s="13"/>
      <c r="G2688" s="13"/>
      <c r="H2688" s="13"/>
      <c r="I2688" s="10"/>
      <c r="J2688" s="11"/>
      <c r="K2688" s="6"/>
      <c r="L2688" s="13"/>
    </row>
    <row r="2689" spans="1:12" hidden="1" x14ac:dyDescent="0.25">
      <c r="A2689" s="6"/>
      <c r="B2689" s="6"/>
      <c r="C2689" s="11"/>
      <c r="D2689" s="13"/>
      <c r="E2689" s="13"/>
      <c r="F2689" s="13"/>
      <c r="G2689" s="13"/>
      <c r="H2689" s="13"/>
      <c r="I2689" s="10"/>
      <c r="J2689" s="11"/>
      <c r="K2689" s="6"/>
      <c r="L2689" s="13"/>
    </row>
    <row r="2690" spans="1:12" hidden="1" x14ac:dyDescent="0.25">
      <c r="A2690" s="6"/>
      <c r="B2690" s="6"/>
      <c r="C2690" s="11"/>
      <c r="D2690" s="13"/>
      <c r="E2690" s="13"/>
      <c r="F2690" s="13"/>
      <c r="G2690" s="13"/>
      <c r="H2690" s="13"/>
      <c r="I2690" s="10"/>
      <c r="J2690" s="11"/>
      <c r="K2690" s="6"/>
      <c r="L2690" s="13"/>
    </row>
    <row r="2691" spans="1:12" hidden="1" x14ac:dyDescent="0.25">
      <c r="A2691" s="6"/>
      <c r="B2691" s="6"/>
      <c r="C2691" s="11"/>
      <c r="D2691" s="13"/>
      <c r="E2691" s="13"/>
      <c r="F2691" s="13"/>
      <c r="G2691" s="13"/>
      <c r="H2691" s="13"/>
      <c r="I2691" s="10"/>
      <c r="J2691" s="11"/>
      <c r="K2691" s="6"/>
      <c r="L2691" s="13"/>
    </row>
    <row r="2692" spans="1:12" hidden="1" x14ac:dyDescent="0.25">
      <c r="A2692" s="6"/>
      <c r="B2692" s="6"/>
      <c r="C2692" s="11"/>
      <c r="D2692" s="13"/>
      <c r="E2692" s="13"/>
      <c r="F2692" s="13"/>
      <c r="G2692" s="13"/>
      <c r="H2692" s="13"/>
      <c r="I2692" s="10"/>
      <c r="J2692" s="11"/>
      <c r="K2692" s="6"/>
      <c r="L2692" s="13"/>
    </row>
    <row r="2693" spans="1:12" hidden="1" x14ac:dyDescent="0.25">
      <c r="A2693" s="6"/>
      <c r="B2693" s="6"/>
      <c r="C2693" s="11"/>
      <c r="D2693" s="13"/>
      <c r="E2693" s="13"/>
      <c r="F2693" s="13"/>
      <c r="G2693" s="13"/>
      <c r="H2693" s="13"/>
      <c r="I2693" s="10"/>
      <c r="J2693" s="11"/>
      <c r="K2693" s="6"/>
      <c r="L2693" s="13"/>
    </row>
    <row r="2694" spans="1:12" hidden="1" x14ac:dyDescent="0.25">
      <c r="A2694" s="6"/>
      <c r="B2694" s="6"/>
      <c r="C2694" s="11"/>
      <c r="D2694" s="13"/>
      <c r="E2694" s="13"/>
      <c r="F2694" s="13"/>
      <c r="G2694" s="13"/>
      <c r="H2694" s="13"/>
      <c r="I2694" s="10"/>
      <c r="J2694" s="11"/>
      <c r="K2694" s="6"/>
      <c r="L2694" s="13"/>
    </row>
    <row r="2695" spans="1:12" hidden="1" x14ac:dyDescent="0.25">
      <c r="A2695" s="6"/>
      <c r="B2695" s="6"/>
      <c r="C2695" s="11"/>
      <c r="D2695" s="13"/>
      <c r="E2695" s="13"/>
      <c r="F2695" s="13"/>
      <c r="G2695" s="13"/>
      <c r="H2695" s="13"/>
      <c r="I2695" s="10"/>
      <c r="J2695" s="11"/>
      <c r="K2695" s="6"/>
      <c r="L2695" s="13"/>
    </row>
    <row r="2696" spans="1:12" hidden="1" x14ac:dyDescent="0.25">
      <c r="A2696" s="6"/>
      <c r="B2696" s="6"/>
      <c r="C2696" s="11"/>
      <c r="D2696" s="13"/>
      <c r="E2696" s="13"/>
      <c r="F2696" s="13"/>
      <c r="G2696" s="13"/>
      <c r="H2696" s="13"/>
      <c r="I2696" s="10"/>
      <c r="J2696" s="11"/>
      <c r="K2696" s="6"/>
      <c r="L2696" s="13"/>
    </row>
    <row r="2697" spans="1:12" hidden="1" x14ac:dyDescent="0.25">
      <c r="A2697" s="6"/>
      <c r="B2697" s="6"/>
      <c r="C2697" s="11"/>
      <c r="D2697" s="13"/>
      <c r="E2697" s="13"/>
      <c r="F2697" s="13"/>
      <c r="G2697" s="13"/>
      <c r="H2697" s="13"/>
      <c r="I2697" s="10"/>
      <c r="J2697" s="11"/>
      <c r="K2697" s="6"/>
      <c r="L2697" s="13"/>
    </row>
    <row r="2698" spans="1:12" hidden="1" x14ac:dyDescent="0.25">
      <c r="A2698" s="6"/>
      <c r="B2698" s="6"/>
      <c r="C2698" s="11"/>
      <c r="D2698" s="13"/>
      <c r="E2698" s="13"/>
      <c r="F2698" s="13"/>
      <c r="G2698" s="13"/>
      <c r="H2698" s="13"/>
      <c r="I2698" s="10"/>
      <c r="J2698" s="11"/>
      <c r="K2698" s="6"/>
      <c r="L2698" s="13"/>
    </row>
    <row r="2699" spans="1:12" hidden="1" x14ac:dyDescent="0.25">
      <c r="A2699" s="6"/>
      <c r="B2699" s="6"/>
      <c r="C2699" s="11"/>
      <c r="D2699" s="13"/>
      <c r="E2699" s="13"/>
      <c r="F2699" s="13"/>
      <c r="G2699" s="13"/>
      <c r="H2699" s="13"/>
      <c r="I2699" s="10"/>
      <c r="J2699" s="11"/>
      <c r="K2699" s="6"/>
      <c r="L2699" s="13"/>
    </row>
    <row r="2700" spans="1:12" hidden="1" x14ac:dyDescent="0.25">
      <c r="A2700" s="6"/>
      <c r="B2700" s="6"/>
      <c r="C2700" s="11"/>
      <c r="D2700" s="13"/>
      <c r="E2700" s="13"/>
      <c r="F2700" s="13"/>
      <c r="G2700" s="13"/>
      <c r="H2700" s="13"/>
      <c r="I2700" s="10"/>
      <c r="J2700" s="11"/>
      <c r="K2700" s="6"/>
      <c r="L2700" s="13"/>
    </row>
    <row r="2701" spans="1:12" hidden="1" x14ac:dyDescent="0.25">
      <c r="A2701" s="6"/>
      <c r="B2701" s="6"/>
      <c r="C2701" s="11"/>
      <c r="D2701" s="13"/>
      <c r="E2701" s="13"/>
      <c r="F2701" s="13"/>
      <c r="G2701" s="13"/>
      <c r="H2701" s="13"/>
      <c r="I2701" s="10"/>
      <c r="J2701" s="11"/>
      <c r="K2701" s="6"/>
      <c r="L2701" s="13"/>
    </row>
    <row r="2702" spans="1:12" hidden="1" x14ac:dyDescent="0.25">
      <c r="A2702" s="6"/>
      <c r="B2702" s="6"/>
      <c r="C2702" s="11"/>
      <c r="D2702" s="13"/>
      <c r="E2702" s="13"/>
      <c r="F2702" s="13"/>
      <c r="G2702" s="13"/>
      <c r="H2702" s="13"/>
      <c r="I2702" s="10"/>
      <c r="J2702" s="11"/>
      <c r="K2702" s="6"/>
      <c r="L2702" s="13"/>
    </row>
    <row r="2703" spans="1:12" hidden="1" x14ac:dyDescent="0.25">
      <c r="A2703" s="6"/>
      <c r="B2703" s="6"/>
      <c r="C2703" s="11"/>
      <c r="D2703" s="13"/>
      <c r="E2703" s="13"/>
      <c r="F2703" s="13"/>
      <c r="G2703" s="13"/>
      <c r="H2703" s="13"/>
      <c r="I2703" s="10"/>
      <c r="J2703" s="11"/>
      <c r="K2703" s="6"/>
      <c r="L2703" s="13"/>
    </row>
    <row r="2704" spans="1:12" hidden="1" x14ac:dyDescent="0.25">
      <c r="A2704" s="6"/>
      <c r="B2704" s="6"/>
      <c r="C2704" s="11"/>
      <c r="D2704" s="13"/>
      <c r="E2704" s="13"/>
      <c r="F2704" s="13"/>
      <c r="G2704" s="13"/>
      <c r="H2704" s="13"/>
      <c r="I2704" s="10"/>
      <c r="J2704" s="11"/>
      <c r="K2704" s="6"/>
      <c r="L2704" s="13"/>
    </row>
    <row r="2705" spans="1:12" hidden="1" x14ac:dyDescent="0.25">
      <c r="A2705" s="6"/>
      <c r="B2705" s="6"/>
      <c r="C2705" s="11"/>
      <c r="D2705" s="13"/>
      <c r="E2705" s="13"/>
      <c r="F2705" s="13"/>
      <c r="G2705" s="13"/>
      <c r="H2705" s="13"/>
      <c r="I2705" s="10"/>
      <c r="J2705" s="11"/>
      <c r="K2705" s="6"/>
      <c r="L2705" s="13"/>
    </row>
    <row r="2706" spans="1:12" hidden="1" x14ac:dyDescent="0.25">
      <c r="A2706" s="6"/>
      <c r="B2706" s="6"/>
      <c r="C2706" s="11"/>
      <c r="D2706" s="13"/>
      <c r="E2706" s="13"/>
      <c r="F2706" s="13"/>
      <c r="G2706" s="13"/>
      <c r="H2706" s="13"/>
      <c r="I2706" s="10"/>
      <c r="J2706" s="11"/>
      <c r="K2706" s="6"/>
      <c r="L2706" s="13"/>
    </row>
    <row r="2707" spans="1:12" hidden="1" x14ac:dyDescent="0.25">
      <c r="A2707" s="6"/>
      <c r="B2707" s="6"/>
      <c r="C2707" s="11"/>
      <c r="D2707" s="13"/>
      <c r="E2707" s="13"/>
      <c r="F2707" s="13"/>
      <c r="G2707" s="13"/>
      <c r="H2707" s="13"/>
      <c r="I2707" s="10"/>
      <c r="J2707" s="11"/>
      <c r="K2707" s="6"/>
      <c r="L2707" s="13"/>
    </row>
    <row r="2708" spans="1:12" hidden="1" x14ac:dyDescent="0.25">
      <c r="A2708" s="6"/>
      <c r="B2708" s="6"/>
      <c r="C2708" s="11"/>
      <c r="D2708" s="13"/>
      <c r="E2708" s="13"/>
      <c r="F2708" s="13"/>
      <c r="G2708" s="13"/>
      <c r="H2708" s="13"/>
      <c r="I2708" s="10"/>
      <c r="J2708" s="11"/>
      <c r="K2708" s="6"/>
      <c r="L2708" s="13"/>
    </row>
    <row r="2709" spans="1:12" hidden="1" x14ac:dyDescent="0.25">
      <c r="A2709" s="6"/>
      <c r="B2709" s="6"/>
      <c r="C2709" s="11"/>
      <c r="D2709" s="13"/>
      <c r="E2709" s="13"/>
      <c r="F2709" s="13"/>
      <c r="G2709" s="13"/>
      <c r="H2709" s="13"/>
      <c r="I2709" s="10"/>
      <c r="J2709" s="11"/>
      <c r="K2709" s="6"/>
      <c r="L2709" s="13"/>
    </row>
    <row r="2710" spans="1:12" hidden="1" x14ac:dyDescent="0.25">
      <c r="A2710" s="6"/>
      <c r="B2710" s="6"/>
      <c r="C2710" s="11"/>
      <c r="D2710" s="13"/>
      <c r="E2710" s="13"/>
      <c r="F2710" s="13"/>
      <c r="G2710" s="13"/>
      <c r="H2710" s="13"/>
      <c r="I2710" s="10"/>
      <c r="J2710" s="11"/>
      <c r="K2710" s="6"/>
      <c r="L2710" s="13"/>
    </row>
    <row r="2711" spans="1:12" hidden="1" x14ac:dyDescent="0.25">
      <c r="A2711" s="6"/>
      <c r="B2711" s="6"/>
      <c r="C2711" s="11"/>
      <c r="D2711" s="13"/>
      <c r="E2711" s="13"/>
      <c r="F2711" s="13"/>
      <c r="G2711" s="13"/>
      <c r="H2711" s="13"/>
      <c r="I2711" s="10"/>
      <c r="J2711" s="11"/>
      <c r="K2711" s="6"/>
      <c r="L2711" s="13"/>
    </row>
    <row r="2712" spans="1:12" hidden="1" x14ac:dyDescent="0.25">
      <c r="A2712" s="6"/>
      <c r="B2712" s="6"/>
      <c r="C2712" s="11"/>
      <c r="D2712" s="13"/>
      <c r="E2712" s="13"/>
      <c r="F2712" s="13"/>
      <c r="G2712" s="13"/>
      <c r="H2712" s="13"/>
      <c r="I2712" s="10"/>
      <c r="J2712" s="11"/>
      <c r="K2712" s="6"/>
      <c r="L2712" s="13"/>
    </row>
    <row r="2713" spans="1:12" hidden="1" x14ac:dyDescent="0.25">
      <c r="A2713" s="6"/>
      <c r="B2713" s="6"/>
      <c r="C2713" s="11"/>
      <c r="D2713" s="13"/>
      <c r="E2713" s="13"/>
      <c r="F2713" s="13"/>
      <c r="G2713" s="13"/>
      <c r="H2713" s="13"/>
      <c r="I2713" s="10"/>
      <c r="J2713" s="11"/>
      <c r="K2713" s="6"/>
      <c r="L2713" s="13"/>
    </row>
    <row r="2714" spans="1:12" hidden="1" x14ac:dyDescent="0.25">
      <c r="A2714" s="6"/>
      <c r="B2714" s="6"/>
      <c r="C2714" s="11"/>
      <c r="D2714" s="13"/>
      <c r="E2714" s="13"/>
      <c r="F2714" s="13"/>
      <c r="G2714" s="13"/>
      <c r="H2714" s="13"/>
      <c r="I2714" s="10"/>
      <c r="J2714" s="11"/>
      <c r="K2714" s="6"/>
      <c r="L2714" s="13"/>
    </row>
    <row r="2715" spans="1:12" hidden="1" x14ac:dyDescent="0.25">
      <c r="A2715" s="6"/>
      <c r="B2715" s="6"/>
      <c r="C2715" s="11"/>
      <c r="D2715" s="13"/>
      <c r="E2715" s="13"/>
      <c r="F2715" s="13"/>
      <c r="G2715" s="13"/>
      <c r="H2715" s="13"/>
      <c r="I2715" s="10"/>
      <c r="J2715" s="11"/>
      <c r="K2715" s="6"/>
      <c r="L2715" s="13"/>
    </row>
    <row r="2716" spans="1:12" hidden="1" x14ac:dyDescent="0.25">
      <c r="A2716" s="6"/>
      <c r="B2716" s="6"/>
      <c r="C2716" s="11"/>
      <c r="D2716" s="13"/>
      <c r="E2716" s="13"/>
      <c r="F2716" s="13"/>
      <c r="G2716" s="13"/>
      <c r="H2716" s="13"/>
      <c r="I2716" s="10"/>
      <c r="J2716" s="11"/>
      <c r="K2716" s="6"/>
      <c r="L2716" s="13"/>
    </row>
    <row r="2717" spans="1:12" hidden="1" x14ac:dyDescent="0.25">
      <c r="A2717" s="6"/>
      <c r="B2717" s="6"/>
      <c r="C2717" s="11"/>
      <c r="D2717" s="13"/>
      <c r="E2717" s="13"/>
      <c r="F2717" s="13"/>
      <c r="G2717" s="13"/>
      <c r="H2717" s="13"/>
      <c r="I2717" s="10"/>
      <c r="J2717" s="11"/>
      <c r="K2717" s="6"/>
      <c r="L2717" s="13"/>
    </row>
    <row r="2718" spans="1:12" hidden="1" x14ac:dyDescent="0.25">
      <c r="A2718" s="6"/>
      <c r="B2718" s="6"/>
      <c r="C2718" s="11"/>
      <c r="D2718" s="13"/>
      <c r="E2718" s="13"/>
      <c r="F2718" s="13"/>
      <c r="G2718" s="13"/>
      <c r="H2718" s="13"/>
      <c r="I2718" s="10"/>
      <c r="J2718" s="11"/>
      <c r="K2718" s="6"/>
      <c r="L2718" s="13"/>
    </row>
    <row r="2719" spans="1:12" hidden="1" x14ac:dyDescent="0.25">
      <c r="A2719" s="6"/>
      <c r="B2719" s="6"/>
      <c r="C2719" s="11"/>
      <c r="D2719" s="13"/>
      <c r="E2719" s="13"/>
      <c r="F2719" s="13"/>
      <c r="G2719" s="13"/>
      <c r="H2719" s="13"/>
      <c r="I2719" s="10"/>
      <c r="J2719" s="11"/>
      <c r="K2719" s="6"/>
      <c r="L2719" s="13"/>
    </row>
    <row r="2720" spans="1:12" hidden="1" x14ac:dyDescent="0.25">
      <c r="A2720" s="6"/>
      <c r="B2720" s="6"/>
      <c r="C2720" s="11"/>
      <c r="D2720" s="13"/>
      <c r="E2720" s="13"/>
      <c r="F2720" s="13"/>
      <c r="G2720" s="13"/>
      <c r="H2720" s="13"/>
      <c r="I2720" s="10"/>
      <c r="J2720" s="11"/>
      <c r="K2720" s="6"/>
      <c r="L2720" s="13"/>
    </row>
    <row r="2721" spans="1:12" hidden="1" x14ac:dyDescent="0.25">
      <c r="A2721" s="6"/>
      <c r="B2721" s="6"/>
      <c r="C2721" s="11"/>
      <c r="D2721" s="13"/>
      <c r="E2721" s="13"/>
      <c r="F2721" s="13"/>
      <c r="G2721" s="13"/>
      <c r="H2721" s="13"/>
      <c r="I2721" s="10"/>
      <c r="J2721" s="11"/>
      <c r="K2721" s="6"/>
      <c r="L2721" s="13"/>
    </row>
    <row r="2722" spans="1:12" hidden="1" x14ac:dyDescent="0.25">
      <c r="A2722" s="6"/>
      <c r="B2722" s="6"/>
      <c r="C2722" s="11"/>
      <c r="D2722" s="13"/>
      <c r="E2722" s="13"/>
      <c r="F2722" s="13"/>
      <c r="G2722" s="13"/>
      <c r="H2722" s="13"/>
      <c r="I2722" s="10"/>
      <c r="J2722" s="11"/>
      <c r="K2722" s="6"/>
      <c r="L2722" s="13"/>
    </row>
    <row r="2723" spans="1:12" hidden="1" x14ac:dyDescent="0.25">
      <c r="A2723" s="6"/>
      <c r="B2723" s="6"/>
      <c r="C2723" s="11"/>
      <c r="D2723" s="13"/>
      <c r="E2723" s="13"/>
      <c r="F2723" s="13"/>
      <c r="G2723" s="13"/>
      <c r="H2723" s="13"/>
      <c r="I2723" s="10"/>
      <c r="J2723" s="11"/>
      <c r="K2723" s="6"/>
      <c r="L2723" s="13"/>
    </row>
    <row r="2724" spans="1:12" hidden="1" x14ac:dyDescent="0.25">
      <c r="A2724" s="6"/>
      <c r="B2724" s="6"/>
      <c r="C2724" s="11"/>
      <c r="D2724" s="13"/>
      <c r="E2724" s="13"/>
      <c r="F2724" s="13"/>
      <c r="G2724" s="13"/>
      <c r="H2724" s="13"/>
      <c r="I2724" s="10"/>
      <c r="J2724" s="11"/>
      <c r="K2724" s="6"/>
      <c r="L2724" s="13"/>
    </row>
    <row r="2725" spans="1:12" hidden="1" x14ac:dyDescent="0.25">
      <c r="A2725" s="6"/>
      <c r="B2725" s="6"/>
      <c r="C2725" s="11"/>
      <c r="D2725" s="13"/>
      <c r="E2725" s="13"/>
      <c r="F2725" s="13"/>
      <c r="G2725" s="13"/>
      <c r="H2725" s="13"/>
      <c r="I2725" s="10"/>
      <c r="J2725" s="11"/>
      <c r="K2725" s="6"/>
      <c r="L2725" s="13"/>
    </row>
    <row r="2726" spans="1:12" hidden="1" x14ac:dyDescent="0.25">
      <c r="A2726" s="6"/>
      <c r="B2726" s="6"/>
      <c r="C2726" s="11"/>
      <c r="D2726" s="13"/>
      <c r="E2726" s="13"/>
      <c r="F2726" s="13"/>
      <c r="G2726" s="13"/>
      <c r="H2726" s="13"/>
      <c r="I2726" s="10"/>
      <c r="J2726" s="11"/>
      <c r="K2726" s="6"/>
      <c r="L2726" s="13"/>
    </row>
    <row r="2727" spans="1:12" hidden="1" x14ac:dyDescent="0.25">
      <c r="A2727" s="6"/>
      <c r="B2727" s="6"/>
      <c r="C2727" s="11"/>
      <c r="D2727" s="13"/>
      <c r="E2727" s="13"/>
      <c r="F2727" s="13"/>
      <c r="G2727" s="13"/>
      <c r="H2727" s="13"/>
      <c r="I2727" s="10"/>
      <c r="J2727" s="11"/>
      <c r="K2727" s="6"/>
      <c r="L2727" s="13"/>
    </row>
    <row r="2728" spans="1:12" hidden="1" x14ac:dyDescent="0.25">
      <c r="A2728" s="6"/>
      <c r="B2728" s="6"/>
      <c r="C2728" s="11"/>
      <c r="D2728" s="13"/>
      <c r="E2728" s="13"/>
      <c r="F2728" s="13"/>
      <c r="G2728" s="13"/>
      <c r="H2728" s="13"/>
      <c r="I2728" s="10"/>
      <c r="J2728" s="11"/>
      <c r="K2728" s="6"/>
      <c r="L2728" s="13"/>
    </row>
    <row r="2729" spans="1:12" hidden="1" x14ac:dyDescent="0.25">
      <c r="A2729" s="6"/>
      <c r="B2729" s="6"/>
      <c r="C2729" s="11"/>
      <c r="D2729" s="13"/>
      <c r="E2729" s="13"/>
      <c r="F2729" s="13"/>
      <c r="G2729" s="13"/>
      <c r="H2729" s="13"/>
      <c r="I2729" s="10"/>
      <c r="J2729" s="11"/>
      <c r="K2729" s="6"/>
      <c r="L2729" s="13"/>
    </row>
    <row r="2730" spans="1:12" hidden="1" x14ac:dyDescent="0.25">
      <c r="A2730" s="6"/>
      <c r="B2730" s="6"/>
      <c r="C2730" s="11"/>
      <c r="D2730" s="13"/>
      <c r="E2730" s="13"/>
      <c r="F2730" s="13"/>
      <c r="G2730" s="13"/>
      <c r="H2730" s="13"/>
      <c r="I2730" s="10"/>
      <c r="J2730" s="11"/>
      <c r="K2730" s="6"/>
      <c r="L2730" s="13"/>
    </row>
    <row r="2731" spans="1:12" hidden="1" x14ac:dyDescent="0.25">
      <c r="A2731" s="6"/>
      <c r="B2731" s="6"/>
      <c r="C2731" s="11"/>
      <c r="D2731" s="13"/>
      <c r="E2731" s="13"/>
      <c r="F2731" s="13"/>
      <c r="G2731" s="13"/>
      <c r="H2731" s="13"/>
      <c r="I2731" s="10"/>
      <c r="J2731" s="11"/>
      <c r="K2731" s="6"/>
      <c r="L2731" s="13"/>
    </row>
    <row r="2732" spans="1:12" hidden="1" x14ac:dyDescent="0.25">
      <c r="A2732" s="6"/>
      <c r="B2732" s="6"/>
      <c r="C2732" s="11"/>
      <c r="D2732" s="13"/>
      <c r="E2732" s="13"/>
      <c r="F2732" s="13"/>
      <c r="G2732" s="13"/>
      <c r="H2732" s="13"/>
      <c r="I2732" s="10"/>
      <c r="J2732" s="11"/>
      <c r="K2732" s="6"/>
      <c r="L2732" s="13"/>
    </row>
    <row r="2733" spans="1:12" hidden="1" x14ac:dyDescent="0.25">
      <c r="A2733" s="6"/>
      <c r="B2733" s="6"/>
      <c r="C2733" s="11"/>
      <c r="D2733" s="13"/>
      <c r="E2733" s="13"/>
      <c r="F2733" s="13"/>
      <c r="G2733" s="13"/>
      <c r="H2733" s="13"/>
      <c r="I2733" s="10"/>
      <c r="J2733" s="11"/>
      <c r="K2733" s="6"/>
      <c r="L2733" s="13"/>
    </row>
    <row r="2734" spans="1:12" hidden="1" x14ac:dyDescent="0.25">
      <c r="A2734" s="6"/>
      <c r="B2734" s="6"/>
      <c r="C2734" s="11"/>
      <c r="D2734" s="13"/>
      <c r="E2734" s="13"/>
      <c r="F2734" s="13"/>
      <c r="G2734" s="13"/>
      <c r="H2734" s="13"/>
      <c r="I2734" s="10"/>
      <c r="J2734" s="11"/>
      <c r="K2734" s="6"/>
      <c r="L2734" s="13"/>
    </row>
    <row r="2735" spans="1:12" hidden="1" x14ac:dyDescent="0.25">
      <c r="A2735" s="6"/>
      <c r="B2735" s="6"/>
      <c r="C2735" s="11"/>
      <c r="D2735" s="13"/>
      <c r="E2735" s="13"/>
      <c r="F2735" s="13"/>
      <c r="G2735" s="13"/>
      <c r="H2735" s="13"/>
      <c r="I2735" s="10"/>
      <c r="J2735" s="11"/>
      <c r="K2735" s="6"/>
      <c r="L2735" s="13"/>
    </row>
    <row r="2736" spans="1:12" hidden="1" x14ac:dyDescent="0.25">
      <c r="A2736" s="6"/>
      <c r="B2736" s="6"/>
      <c r="C2736" s="11"/>
      <c r="D2736" s="13"/>
      <c r="E2736" s="13"/>
      <c r="F2736" s="13"/>
      <c r="G2736" s="13"/>
      <c r="H2736" s="13"/>
      <c r="I2736" s="10"/>
      <c r="J2736" s="11"/>
      <c r="K2736" s="6"/>
      <c r="L2736" s="13"/>
    </row>
    <row r="2737" spans="1:12" hidden="1" x14ac:dyDescent="0.25">
      <c r="A2737" s="6"/>
      <c r="B2737" s="6"/>
      <c r="C2737" s="11"/>
      <c r="D2737" s="13"/>
      <c r="E2737" s="13"/>
      <c r="F2737" s="13"/>
      <c r="G2737" s="13"/>
      <c r="H2737" s="13"/>
      <c r="I2737" s="10"/>
      <c r="J2737" s="11"/>
      <c r="K2737" s="6"/>
      <c r="L2737" s="13"/>
    </row>
    <row r="2738" spans="1:12" hidden="1" x14ac:dyDescent="0.25">
      <c r="A2738" s="6"/>
      <c r="B2738" s="6"/>
      <c r="C2738" s="11"/>
      <c r="D2738" s="13"/>
      <c r="E2738" s="13"/>
      <c r="F2738" s="13"/>
      <c r="G2738" s="13"/>
      <c r="H2738" s="13"/>
      <c r="I2738" s="10"/>
      <c r="J2738" s="11"/>
      <c r="K2738" s="6"/>
      <c r="L2738" s="13"/>
    </row>
    <row r="2739" spans="1:12" hidden="1" x14ac:dyDescent="0.25">
      <c r="A2739" s="6"/>
      <c r="B2739" s="6"/>
      <c r="C2739" s="11"/>
      <c r="D2739" s="13"/>
      <c r="E2739" s="13"/>
      <c r="F2739" s="13"/>
      <c r="G2739" s="13"/>
      <c r="H2739" s="13"/>
      <c r="I2739" s="10"/>
      <c r="J2739" s="11"/>
      <c r="K2739" s="6"/>
      <c r="L2739" s="13"/>
    </row>
    <row r="2740" spans="1:12" hidden="1" x14ac:dyDescent="0.25">
      <c r="A2740" s="6"/>
      <c r="B2740" s="6"/>
      <c r="C2740" s="11"/>
      <c r="D2740" s="13"/>
      <c r="E2740" s="13"/>
      <c r="F2740" s="13"/>
      <c r="G2740" s="13"/>
      <c r="H2740" s="13"/>
      <c r="I2740" s="10"/>
      <c r="J2740" s="11"/>
      <c r="K2740" s="6"/>
      <c r="L2740" s="13"/>
    </row>
    <row r="2741" spans="1:12" hidden="1" x14ac:dyDescent="0.25">
      <c r="A2741" s="6"/>
      <c r="B2741" s="6"/>
      <c r="C2741" s="11"/>
      <c r="D2741" s="13"/>
      <c r="E2741" s="13"/>
      <c r="F2741" s="13"/>
      <c r="G2741" s="13"/>
      <c r="H2741" s="13"/>
      <c r="I2741" s="10"/>
      <c r="J2741" s="11"/>
      <c r="K2741" s="6"/>
      <c r="L2741" s="13"/>
    </row>
    <row r="2742" spans="1:12" hidden="1" x14ac:dyDescent="0.25">
      <c r="A2742" s="6"/>
      <c r="B2742" s="6"/>
      <c r="C2742" s="11"/>
      <c r="D2742" s="13"/>
      <c r="E2742" s="13"/>
      <c r="F2742" s="13"/>
      <c r="G2742" s="13"/>
      <c r="H2742" s="13"/>
      <c r="I2742" s="10"/>
      <c r="J2742" s="11"/>
      <c r="K2742" s="6"/>
      <c r="L2742" s="13"/>
    </row>
    <row r="2743" spans="1:12" hidden="1" x14ac:dyDescent="0.25">
      <c r="A2743" s="6"/>
      <c r="B2743" s="6"/>
      <c r="C2743" s="11"/>
      <c r="D2743" s="13"/>
      <c r="E2743" s="13"/>
      <c r="F2743" s="13"/>
      <c r="G2743" s="13"/>
      <c r="H2743" s="13"/>
      <c r="I2743" s="10"/>
      <c r="J2743" s="11"/>
      <c r="K2743" s="6"/>
      <c r="L2743" s="13"/>
    </row>
    <row r="2744" spans="1:12" hidden="1" x14ac:dyDescent="0.25">
      <c r="A2744" s="6"/>
      <c r="B2744" s="6"/>
      <c r="C2744" s="11"/>
      <c r="D2744" s="13"/>
      <c r="E2744" s="13"/>
      <c r="F2744" s="13"/>
      <c r="G2744" s="13"/>
      <c r="H2744" s="13"/>
      <c r="I2744" s="10"/>
      <c r="J2744" s="11"/>
      <c r="K2744" s="6"/>
      <c r="L2744" s="13"/>
    </row>
    <row r="2745" spans="1:12" hidden="1" x14ac:dyDescent="0.25">
      <c r="A2745" s="6"/>
      <c r="B2745" s="6"/>
      <c r="C2745" s="11"/>
      <c r="D2745" s="13"/>
      <c r="E2745" s="13"/>
      <c r="F2745" s="13"/>
      <c r="G2745" s="13"/>
      <c r="H2745" s="13"/>
      <c r="I2745" s="10"/>
      <c r="J2745" s="11"/>
      <c r="K2745" s="6"/>
      <c r="L2745" s="13"/>
    </row>
    <row r="2746" spans="1:12" hidden="1" x14ac:dyDescent="0.25">
      <c r="A2746" s="6"/>
      <c r="B2746" s="6"/>
      <c r="C2746" s="11"/>
      <c r="D2746" s="13"/>
      <c r="E2746" s="13"/>
      <c r="F2746" s="13"/>
      <c r="G2746" s="13"/>
      <c r="H2746" s="13"/>
      <c r="I2746" s="10"/>
      <c r="J2746" s="11"/>
      <c r="K2746" s="6"/>
      <c r="L2746" s="13"/>
    </row>
    <row r="2747" spans="1:12" hidden="1" x14ac:dyDescent="0.25">
      <c r="A2747" s="6"/>
      <c r="B2747" s="6"/>
      <c r="C2747" s="11"/>
      <c r="D2747" s="13"/>
      <c r="E2747" s="13"/>
      <c r="F2747" s="13"/>
      <c r="G2747" s="13"/>
      <c r="H2747" s="13"/>
      <c r="I2747" s="10"/>
      <c r="J2747" s="11"/>
      <c r="K2747" s="6"/>
      <c r="L2747" s="13"/>
    </row>
    <row r="2748" spans="1:12" hidden="1" x14ac:dyDescent="0.25">
      <c r="A2748" s="6"/>
      <c r="B2748" s="6"/>
      <c r="C2748" s="11"/>
      <c r="D2748" s="13"/>
      <c r="E2748" s="13"/>
      <c r="F2748" s="13"/>
      <c r="G2748" s="13"/>
      <c r="H2748" s="13"/>
      <c r="I2748" s="10"/>
      <c r="J2748" s="11"/>
      <c r="K2748" s="6"/>
      <c r="L2748" s="13"/>
    </row>
    <row r="2749" spans="1:12" hidden="1" x14ac:dyDescent="0.25">
      <c r="A2749" s="6"/>
      <c r="B2749" s="6"/>
      <c r="C2749" s="11"/>
      <c r="D2749" s="13"/>
      <c r="E2749" s="13"/>
      <c r="F2749" s="13"/>
      <c r="G2749" s="13"/>
      <c r="H2749" s="13"/>
      <c r="I2749" s="10"/>
      <c r="J2749" s="11"/>
      <c r="K2749" s="6"/>
      <c r="L2749" s="13"/>
    </row>
    <row r="2750" spans="1:12" hidden="1" x14ac:dyDescent="0.25">
      <c r="A2750" s="6"/>
      <c r="B2750" s="6"/>
      <c r="C2750" s="11"/>
      <c r="D2750" s="13"/>
      <c r="E2750" s="13"/>
      <c r="F2750" s="13"/>
      <c r="G2750" s="13"/>
      <c r="H2750" s="13"/>
      <c r="I2750" s="10"/>
      <c r="J2750" s="11"/>
      <c r="K2750" s="6"/>
      <c r="L2750" s="13"/>
    </row>
    <row r="2751" spans="1:12" hidden="1" x14ac:dyDescent="0.25">
      <c r="A2751" s="6"/>
      <c r="B2751" s="6"/>
      <c r="C2751" s="11"/>
      <c r="D2751" s="13"/>
      <c r="E2751" s="13"/>
      <c r="F2751" s="13"/>
      <c r="G2751" s="13"/>
      <c r="H2751" s="13"/>
      <c r="I2751" s="10"/>
      <c r="J2751" s="11"/>
      <c r="K2751" s="6"/>
      <c r="L2751" s="13"/>
    </row>
    <row r="2752" spans="1:12" hidden="1" x14ac:dyDescent="0.25">
      <c r="A2752" s="6"/>
      <c r="B2752" s="6"/>
      <c r="C2752" s="11"/>
      <c r="D2752" s="13"/>
      <c r="E2752" s="13"/>
      <c r="F2752" s="13"/>
      <c r="G2752" s="13"/>
      <c r="H2752" s="13"/>
      <c r="I2752" s="10"/>
      <c r="J2752" s="11"/>
      <c r="K2752" s="6"/>
      <c r="L2752" s="13"/>
    </row>
    <row r="2753" spans="1:12" hidden="1" x14ac:dyDescent="0.25">
      <c r="A2753" s="6"/>
      <c r="B2753" s="6"/>
      <c r="C2753" s="11"/>
      <c r="D2753" s="13"/>
      <c r="E2753" s="13"/>
      <c r="F2753" s="13"/>
      <c r="G2753" s="13"/>
      <c r="H2753" s="13"/>
      <c r="I2753" s="10"/>
      <c r="J2753" s="11"/>
      <c r="K2753" s="6"/>
      <c r="L2753" s="13"/>
    </row>
    <row r="2754" spans="1:12" hidden="1" x14ac:dyDescent="0.25">
      <c r="A2754" s="6"/>
      <c r="B2754" s="6"/>
      <c r="C2754" s="11"/>
      <c r="D2754" s="13"/>
      <c r="E2754" s="13"/>
      <c r="F2754" s="13"/>
      <c r="G2754" s="13"/>
      <c r="H2754" s="13"/>
      <c r="I2754" s="10"/>
      <c r="J2754" s="11"/>
      <c r="K2754" s="6"/>
      <c r="L2754" s="13"/>
    </row>
    <row r="2755" spans="1:12" hidden="1" x14ac:dyDescent="0.25">
      <c r="A2755" s="6"/>
      <c r="B2755" s="6"/>
      <c r="C2755" s="11"/>
      <c r="D2755" s="13"/>
      <c r="E2755" s="13"/>
      <c r="F2755" s="13"/>
      <c r="G2755" s="13"/>
      <c r="H2755" s="13"/>
      <c r="I2755" s="10"/>
      <c r="J2755" s="11"/>
      <c r="K2755" s="6"/>
      <c r="L2755" s="13"/>
    </row>
    <row r="2756" spans="1:12" hidden="1" x14ac:dyDescent="0.25">
      <c r="A2756" s="6"/>
      <c r="B2756" s="6"/>
      <c r="C2756" s="11"/>
      <c r="D2756" s="13"/>
      <c r="E2756" s="13"/>
      <c r="F2756" s="13"/>
      <c r="G2756" s="13"/>
      <c r="H2756" s="13"/>
      <c r="I2756" s="10"/>
      <c r="J2756" s="11"/>
      <c r="K2756" s="6"/>
      <c r="L2756" s="13"/>
    </row>
    <row r="2757" spans="1:12" hidden="1" x14ac:dyDescent="0.25">
      <c r="A2757" s="6"/>
      <c r="B2757" s="6"/>
      <c r="C2757" s="11"/>
      <c r="D2757" s="13"/>
      <c r="E2757" s="13"/>
      <c r="F2757" s="13"/>
      <c r="G2757" s="13"/>
      <c r="H2757" s="13"/>
      <c r="I2757" s="10"/>
      <c r="J2757" s="11"/>
      <c r="K2757" s="6"/>
      <c r="L2757" s="13"/>
    </row>
    <row r="2758" spans="1:12" hidden="1" x14ac:dyDescent="0.25">
      <c r="A2758" s="6"/>
      <c r="B2758" s="6"/>
      <c r="C2758" s="11"/>
      <c r="D2758" s="13"/>
      <c r="E2758" s="13"/>
      <c r="F2758" s="13"/>
      <c r="G2758" s="13"/>
      <c r="H2758" s="13"/>
      <c r="I2758" s="10"/>
      <c r="J2758" s="11"/>
      <c r="K2758" s="6"/>
      <c r="L2758" s="13"/>
    </row>
    <row r="2759" spans="1:12" hidden="1" x14ac:dyDescent="0.25">
      <c r="A2759" s="6"/>
      <c r="B2759" s="6"/>
      <c r="C2759" s="11"/>
      <c r="D2759" s="13"/>
      <c r="E2759" s="13"/>
      <c r="F2759" s="13"/>
      <c r="G2759" s="13"/>
      <c r="H2759" s="13"/>
      <c r="I2759" s="10"/>
      <c r="J2759" s="11"/>
      <c r="K2759" s="6"/>
      <c r="L2759" s="13"/>
    </row>
    <row r="2760" spans="1:12" hidden="1" x14ac:dyDescent="0.25">
      <c r="A2760" s="6"/>
      <c r="B2760" s="6"/>
      <c r="C2760" s="11"/>
      <c r="D2760" s="13"/>
      <c r="E2760" s="13"/>
      <c r="F2760" s="13"/>
      <c r="G2760" s="13"/>
      <c r="H2760" s="13"/>
      <c r="I2760" s="10"/>
      <c r="J2760" s="11"/>
      <c r="K2760" s="6"/>
      <c r="L2760" s="13"/>
    </row>
    <row r="2761" spans="1:12" hidden="1" x14ac:dyDescent="0.25">
      <c r="A2761" s="6"/>
      <c r="B2761" s="6"/>
      <c r="C2761" s="11"/>
      <c r="D2761" s="13"/>
      <c r="E2761" s="13"/>
      <c r="F2761" s="13"/>
      <c r="G2761" s="13"/>
      <c r="H2761" s="13"/>
      <c r="I2761" s="10"/>
      <c r="J2761" s="11"/>
      <c r="K2761" s="6"/>
      <c r="L2761" s="13"/>
    </row>
    <row r="2762" spans="1:12" hidden="1" x14ac:dyDescent="0.25">
      <c r="A2762" s="6"/>
      <c r="B2762" s="6"/>
      <c r="C2762" s="11"/>
      <c r="D2762" s="13"/>
      <c r="E2762" s="13"/>
      <c r="F2762" s="13"/>
      <c r="G2762" s="13"/>
      <c r="H2762" s="13"/>
      <c r="I2762" s="10"/>
      <c r="J2762" s="11"/>
      <c r="K2762" s="6"/>
      <c r="L2762" s="13"/>
    </row>
    <row r="2763" spans="1:12" hidden="1" x14ac:dyDescent="0.25">
      <c r="A2763" s="6"/>
      <c r="B2763" s="6"/>
      <c r="C2763" s="11"/>
      <c r="D2763" s="13"/>
      <c r="E2763" s="13"/>
      <c r="F2763" s="13"/>
      <c r="G2763" s="13"/>
      <c r="H2763" s="13"/>
      <c r="I2763" s="10"/>
      <c r="J2763" s="11"/>
      <c r="K2763" s="6"/>
      <c r="L2763" s="13"/>
    </row>
    <row r="2764" spans="1:12" hidden="1" x14ac:dyDescent="0.25">
      <c r="A2764" s="6"/>
      <c r="B2764" s="6"/>
      <c r="C2764" s="11"/>
      <c r="D2764" s="13"/>
      <c r="E2764" s="13"/>
      <c r="F2764" s="13"/>
      <c r="G2764" s="13"/>
      <c r="H2764" s="13"/>
      <c r="I2764" s="10"/>
      <c r="J2764" s="11"/>
      <c r="K2764" s="6"/>
      <c r="L2764" s="13"/>
    </row>
    <row r="2765" spans="1:12" hidden="1" x14ac:dyDescent="0.25">
      <c r="A2765" s="6"/>
      <c r="B2765" s="6"/>
      <c r="C2765" s="11"/>
      <c r="D2765" s="13"/>
      <c r="E2765" s="13"/>
      <c r="F2765" s="13"/>
      <c r="G2765" s="13"/>
      <c r="H2765" s="13"/>
      <c r="I2765" s="10"/>
      <c r="J2765" s="11"/>
      <c r="K2765" s="6"/>
      <c r="L2765" s="13"/>
    </row>
    <row r="2766" spans="1:12" hidden="1" x14ac:dyDescent="0.25">
      <c r="A2766" s="6"/>
      <c r="B2766" s="6"/>
      <c r="C2766" s="11"/>
      <c r="D2766" s="13"/>
      <c r="E2766" s="13"/>
      <c r="F2766" s="13"/>
      <c r="G2766" s="13"/>
      <c r="H2766" s="13"/>
      <c r="I2766" s="10"/>
      <c r="J2766" s="11"/>
      <c r="K2766" s="6"/>
      <c r="L2766" s="13"/>
    </row>
    <row r="2767" spans="1:12" hidden="1" x14ac:dyDescent="0.25">
      <c r="A2767" s="6"/>
      <c r="B2767" s="6"/>
      <c r="C2767" s="11"/>
      <c r="D2767" s="13"/>
      <c r="E2767" s="13"/>
      <c r="F2767" s="13"/>
      <c r="G2767" s="13"/>
      <c r="H2767" s="13"/>
      <c r="I2767" s="10"/>
      <c r="J2767" s="11"/>
      <c r="K2767" s="6"/>
      <c r="L2767" s="13"/>
    </row>
    <row r="2768" spans="1:12" hidden="1" x14ac:dyDescent="0.25">
      <c r="A2768" s="6"/>
      <c r="B2768" s="6"/>
      <c r="C2768" s="11"/>
      <c r="D2768" s="13"/>
      <c r="E2768" s="13"/>
      <c r="F2768" s="13"/>
      <c r="G2768" s="13"/>
      <c r="H2768" s="13"/>
      <c r="I2768" s="10"/>
      <c r="J2768" s="11"/>
      <c r="K2768" s="6"/>
      <c r="L2768" s="13"/>
    </row>
    <row r="2769" spans="1:12" hidden="1" x14ac:dyDescent="0.25">
      <c r="A2769" s="6"/>
      <c r="B2769" s="6"/>
      <c r="C2769" s="11"/>
      <c r="D2769" s="13"/>
      <c r="E2769" s="13"/>
      <c r="F2769" s="13"/>
      <c r="G2769" s="13"/>
      <c r="H2769" s="13"/>
      <c r="I2769" s="10"/>
      <c r="J2769" s="11"/>
      <c r="K2769" s="6"/>
      <c r="L2769" s="13"/>
    </row>
    <row r="2770" spans="1:12" hidden="1" x14ac:dyDescent="0.25">
      <c r="A2770" s="6"/>
      <c r="B2770" s="6"/>
      <c r="C2770" s="11"/>
      <c r="D2770" s="13"/>
      <c r="E2770" s="13"/>
      <c r="F2770" s="13"/>
      <c r="G2770" s="13"/>
      <c r="H2770" s="13"/>
      <c r="I2770" s="10"/>
      <c r="J2770" s="11"/>
      <c r="K2770" s="6"/>
      <c r="L2770" s="13"/>
    </row>
    <row r="2771" spans="1:12" hidden="1" x14ac:dyDescent="0.25">
      <c r="A2771" s="103"/>
      <c r="B2771" s="103"/>
      <c r="C2771" s="104"/>
      <c r="D2771" s="105"/>
      <c r="E2771" s="105"/>
      <c r="F2771" s="105"/>
      <c r="G2771" s="105"/>
      <c r="H2771" s="105"/>
      <c r="I2771" s="106"/>
      <c r="J2771" s="104"/>
      <c r="K2771" s="103"/>
      <c r="L2771" s="13"/>
    </row>
    <row r="2772" spans="1:12" hidden="1" x14ac:dyDescent="0.25">
      <c r="A2772" s="103"/>
      <c r="B2772" s="103"/>
      <c r="C2772" s="104"/>
      <c r="D2772" s="105"/>
      <c r="E2772" s="105"/>
      <c r="F2772" s="105"/>
      <c r="G2772" s="105"/>
      <c r="H2772" s="105"/>
      <c r="I2772" s="106"/>
      <c r="J2772" s="104"/>
      <c r="K2772" s="103"/>
      <c r="L2772" s="13"/>
    </row>
    <row r="2773" spans="1:12" hidden="1" x14ac:dyDescent="0.25">
      <c r="A2773" s="103"/>
      <c r="B2773" s="103"/>
      <c r="C2773" s="104"/>
      <c r="D2773" s="105"/>
      <c r="E2773" s="105"/>
      <c r="F2773" s="105"/>
      <c r="G2773" s="105"/>
      <c r="H2773" s="105"/>
      <c r="I2773" s="106"/>
      <c r="J2773" s="104"/>
      <c r="K2773" s="103"/>
      <c r="L2773" s="13"/>
    </row>
    <row r="2774" spans="1:12" hidden="1" x14ac:dyDescent="0.25">
      <c r="A2774" s="103"/>
      <c r="B2774" s="103"/>
      <c r="C2774" s="104"/>
      <c r="D2774" s="105"/>
      <c r="E2774" s="105"/>
      <c r="F2774" s="105"/>
      <c r="G2774" s="105"/>
      <c r="H2774" s="105"/>
      <c r="I2774" s="106"/>
      <c r="J2774" s="104"/>
      <c r="K2774" s="103"/>
      <c r="L2774" s="13"/>
    </row>
    <row r="2775" spans="1:12" hidden="1" x14ac:dyDescent="0.25">
      <c r="A2775" s="103"/>
      <c r="B2775" s="103"/>
      <c r="C2775" s="104"/>
      <c r="D2775" s="105"/>
      <c r="E2775" s="105"/>
      <c r="F2775" s="105"/>
      <c r="G2775" s="105"/>
      <c r="H2775" s="105"/>
      <c r="I2775" s="106"/>
      <c r="J2775" s="104"/>
      <c r="K2775" s="103"/>
      <c r="L2775" s="13"/>
    </row>
    <row r="2776" spans="1:12" hidden="1" x14ac:dyDescent="0.25">
      <c r="A2776" s="103"/>
      <c r="B2776" s="103"/>
      <c r="C2776" s="104"/>
      <c r="D2776" s="105"/>
      <c r="E2776" s="105"/>
      <c r="F2776" s="105"/>
      <c r="G2776" s="105"/>
      <c r="H2776" s="105"/>
      <c r="I2776" s="106"/>
      <c r="J2776" s="104"/>
      <c r="K2776" s="103"/>
      <c r="L2776" s="13"/>
    </row>
    <row r="2777" spans="1:12" hidden="1" x14ac:dyDescent="0.25">
      <c r="A2777" s="103"/>
      <c r="B2777" s="103"/>
      <c r="C2777" s="104"/>
      <c r="D2777" s="105"/>
      <c r="E2777" s="105"/>
      <c r="F2777" s="105"/>
      <c r="G2777" s="105"/>
      <c r="H2777" s="105"/>
      <c r="I2777" s="106"/>
      <c r="J2777" s="104"/>
      <c r="K2777" s="103"/>
      <c r="L2777" s="13"/>
    </row>
    <row r="2778" spans="1:12" hidden="1" x14ac:dyDescent="0.25">
      <c r="A2778" s="103"/>
      <c r="B2778" s="103"/>
      <c r="C2778" s="104"/>
      <c r="D2778" s="105"/>
      <c r="E2778" s="105"/>
      <c r="F2778" s="105"/>
      <c r="G2778" s="105"/>
      <c r="H2778" s="105"/>
      <c r="I2778" s="106"/>
      <c r="J2778" s="104"/>
      <c r="K2778" s="103"/>
      <c r="L2778" s="13"/>
    </row>
    <row r="2779" spans="1:12" hidden="1" x14ac:dyDescent="0.25">
      <c r="A2779" s="103"/>
      <c r="B2779" s="103"/>
      <c r="C2779" s="104"/>
      <c r="D2779" s="105"/>
      <c r="E2779" s="105"/>
      <c r="F2779" s="105"/>
      <c r="G2779" s="105"/>
      <c r="H2779" s="105"/>
      <c r="I2779" s="106"/>
      <c r="J2779" s="104"/>
      <c r="K2779" s="103"/>
      <c r="L2779" s="13"/>
    </row>
    <row r="2780" spans="1:12" hidden="1" x14ac:dyDescent="0.25">
      <c r="A2780" s="103"/>
      <c r="B2780" s="103"/>
      <c r="C2780" s="104"/>
      <c r="D2780" s="105"/>
      <c r="E2780" s="105"/>
      <c r="F2780" s="105"/>
      <c r="G2780" s="105"/>
      <c r="H2780" s="105"/>
      <c r="I2780" s="106"/>
      <c r="J2780" s="104"/>
      <c r="K2780" s="103"/>
      <c r="L2780" s="13"/>
    </row>
    <row r="2781" spans="1:12" hidden="1" x14ac:dyDescent="0.25">
      <c r="A2781" s="103"/>
      <c r="B2781" s="103"/>
      <c r="C2781" s="104"/>
      <c r="D2781" s="105"/>
      <c r="E2781" s="105"/>
      <c r="F2781" s="105"/>
      <c r="G2781" s="105"/>
      <c r="H2781" s="105"/>
      <c r="I2781" s="106"/>
      <c r="J2781" s="104"/>
      <c r="K2781" s="103"/>
      <c r="L2781" s="13"/>
    </row>
    <row r="2782" spans="1:12" hidden="1" x14ac:dyDescent="0.25">
      <c r="A2782" s="103"/>
      <c r="B2782" s="103"/>
      <c r="C2782" s="104"/>
      <c r="D2782" s="105"/>
      <c r="E2782" s="105"/>
      <c r="F2782" s="105"/>
      <c r="G2782" s="105"/>
      <c r="H2782" s="105"/>
      <c r="I2782" s="106"/>
      <c r="J2782" s="104"/>
      <c r="K2782" s="103"/>
      <c r="L2782" s="13"/>
    </row>
    <row r="2783" spans="1:12" hidden="1" x14ac:dyDescent="0.25">
      <c r="A2783" s="103"/>
      <c r="B2783" s="103"/>
      <c r="C2783" s="104"/>
      <c r="D2783" s="105"/>
      <c r="E2783" s="105"/>
      <c r="F2783" s="105"/>
      <c r="G2783" s="105"/>
      <c r="H2783" s="105"/>
      <c r="I2783" s="106"/>
      <c r="J2783" s="104"/>
      <c r="K2783" s="103"/>
      <c r="L2783" s="13"/>
    </row>
    <row r="2784" spans="1:12" hidden="1" x14ac:dyDescent="0.25">
      <c r="A2784" s="103"/>
      <c r="B2784" s="103"/>
      <c r="C2784" s="104"/>
      <c r="D2784" s="105"/>
      <c r="E2784" s="105"/>
      <c r="F2784" s="105"/>
      <c r="G2784" s="105"/>
      <c r="H2784" s="105"/>
      <c r="I2784" s="106"/>
      <c r="J2784" s="104"/>
      <c r="K2784" s="103"/>
      <c r="L2784" s="13"/>
    </row>
    <row r="2785" spans="1:12" hidden="1" x14ac:dyDescent="0.25">
      <c r="A2785" s="103"/>
      <c r="B2785" s="103"/>
      <c r="C2785" s="104"/>
      <c r="D2785" s="105"/>
      <c r="E2785" s="105"/>
      <c r="F2785" s="105"/>
      <c r="G2785" s="105"/>
      <c r="H2785" s="105"/>
      <c r="I2785" s="106"/>
      <c r="J2785" s="104"/>
      <c r="K2785" s="103"/>
      <c r="L2785" s="13"/>
    </row>
    <row r="2786" spans="1:12" hidden="1" x14ac:dyDescent="0.25">
      <c r="A2786" s="103"/>
      <c r="B2786" s="103"/>
      <c r="C2786" s="104"/>
      <c r="D2786" s="105"/>
      <c r="E2786" s="105"/>
      <c r="F2786" s="105"/>
      <c r="G2786" s="105"/>
      <c r="H2786" s="105"/>
      <c r="I2786" s="106"/>
      <c r="J2786" s="104"/>
      <c r="K2786" s="103"/>
      <c r="L2786" s="13"/>
    </row>
    <row r="2787" spans="1:12" hidden="1" x14ac:dyDescent="0.25">
      <c r="A2787" s="103"/>
      <c r="B2787" s="103"/>
      <c r="C2787" s="104"/>
      <c r="D2787" s="105"/>
      <c r="E2787" s="105"/>
      <c r="F2787" s="105"/>
      <c r="G2787" s="105"/>
      <c r="H2787" s="105"/>
      <c r="I2787" s="106"/>
      <c r="J2787" s="104"/>
      <c r="K2787" s="103"/>
      <c r="L2787" s="13"/>
    </row>
    <row r="2788" spans="1:12" hidden="1" x14ac:dyDescent="0.25">
      <c r="A2788" s="103"/>
      <c r="B2788" s="103"/>
      <c r="C2788" s="104"/>
      <c r="D2788" s="105"/>
      <c r="E2788" s="105"/>
      <c r="F2788" s="105"/>
      <c r="G2788" s="105"/>
      <c r="H2788" s="105"/>
      <c r="I2788" s="106"/>
      <c r="J2788" s="104"/>
      <c r="K2788" s="103"/>
      <c r="L2788" s="13"/>
    </row>
    <row r="2789" spans="1:12" hidden="1" x14ac:dyDescent="0.25">
      <c r="A2789" s="103"/>
      <c r="B2789" s="103"/>
      <c r="C2789" s="104"/>
      <c r="D2789" s="105"/>
      <c r="E2789" s="105"/>
      <c r="F2789" s="105"/>
      <c r="G2789" s="105"/>
      <c r="H2789" s="105"/>
      <c r="I2789" s="106"/>
      <c r="J2789" s="104"/>
      <c r="K2789" s="103"/>
      <c r="L2789" s="13"/>
    </row>
    <row r="2790" spans="1:12" hidden="1" x14ac:dyDescent="0.25">
      <c r="A2790" s="103"/>
      <c r="B2790" s="103"/>
      <c r="C2790" s="104"/>
      <c r="D2790" s="105"/>
      <c r="E2790" s="105"/>
      <c r="F2790" s="105"/>
      <c r="G2790" s="105"/>
      <c r="H2790" s="105"/>
      <c r="I2790" s="106"/>
      <c r="J2790" s="104"/>
      <c r="K2790" s="103"/>
      <c r="L2790" s="13"/>
    </row>
    <row r="2791" spans="1:12" hidden="1" x14ac:dyDescent="0.25">
      <c r="A2791" s="103"/>
      <c r="B2791" s="103"/>
      <c r="C2791" s="104"/>
      <c r="D2791" s="105"/>
      <c r="E2791" s="105"/>
      <c r="F2791" s="105"/>
      <c r="G2791" s="105"/>
      <c r="H2791" s="105"/>
      <c r="I2791" s="106"/>
      <c r="J2791" s="104"/>
      <c r="K2791" s="103"/>
      <c r="L2791" s="13"/>
    </row>
    <row r="2792" spans="1:12" hidden="1" x14ac:dyDescent="0.25">
      <c r="A2792" s="103"/>
      <c r="B2792" s="103"/>
      <c r="C2792" s="104"/>
      <c r="D2792" s="105"/>
      <c r="E2792" s="105"/>
      <c r="F2792" s="105"/>
      <c r="G2792" s="105"/>
      <c r="H2792" s="105"/>
      <c r="I2792" s="106"/>
      <c r="J2792" s="104"/>
      <c r="K2792" s="103"/>
      <c r="L2792" s="13"/>
    </row>
    <row r="2793" spans="1:12" hidden="1" x14ac:dyDescent="0.25">
      <c r="A2793" s="103"/>
      <c r="B2793" s="103"/>
      <c r="C2793" s="104"/>
      <c r="D2793" s="105"/>
      <c r="E2793" s="105"/>
      <c r="F2793" s="105"/>
      <c r="G2793" s="105"/>
      <c r="H2793" s="105"/>
      <c r="I2793" s="106"/>
      <c r="J2793" s="104"/>
      <c r="K2793" s="103"/>
      <c r="L2793" s="13"/>
    </row>
    <row r="2794" spans="1:12" hidden="1" x14ac:dyDescent="0.25">
      <c r="A2794" s="103"/>
      <c r="B2794" s="103"/>
      <c r="C2794" s="104"/>
      <c r="D2794" s="105"/>
      <c r="E2794" s="105"/>
      <c r="F2794" s="105"/>
      <c r="G2794" s="105"/>
      <c r="H2794" s="105"/>
      <c r="I2794" s="106"/>
      <c r="J2794" s="104"/>
      <c r="K2794" s="103"/>
      <c r="L2794" s="13"/>
    </row>
    <row r="2795" spans="1:12" hidden="1" x14ac:dyDescent="0.25">
      <c r="A2795" s="103"/>
      <c r="B2795" s="103"/>
      <c r="C2795" s="104"/>
      <c r="D2795" s="105"/>
      <c r="E2795" s="105"/>
      <c r="F2795" s="105"/>
      <c r="G2795" s="105"/>
      <c r="H2795" s="105"/>
      <c r="I2795" s="106"/>
      <c r="J2795" s="104"/>
      <c r="K2795" s="103"/>
      <c r="L2795" s="13"/>
    </row>
    <row r="2796" spans="1:12" hidden="1" x14ac:dyDescent="0.25">
      <c r="A2796" s="103"/>
      <c r="B2796" s="103"/>
      <c r="C2796" s="104"/>
      <c r="D2796" s="105"/>
      <c r="E2796" s="105"/>
      <c r="F2796" s="105"/>
      <c r="G2796" s="105"/>
      <c r="H2796" s="105"/>
      <c r="I2796" s="106"/>
      <c r="J2796" s="104"/>
      <c r="K2796" s="103"/>
      <c r="L2796" s="13"/>
    </row>
    <row r="2797" spans="1:12" hidden="1" x14ac:dyDescent="0.25">
      <c r="A2797" s="103"/>
      <c r="B2797" s="103"/>
      <c r="C2797" s="104"/>
      <c r="D2797" s="105"/>
      <c r="E2797" s="105"/>
      <c r="F2797" s="105"/>
      <c r="G2797" s="105"/>
      <c r="H2797" s="105"/>
      <c r="I2797" s="106"/>
      <c r="J2797" s="104"/>
      <c r="K2797" s="103"/>
      <c r="L2797" s="13"/>
    </row>
    <row r="2798" spans="1:12" hidden="1" x14ac:dyDescent="0.25">
      <c r="A2798" s="103"/>
      <c r="B2798" s="103"/>
      <c r="C2798" s="104"/>
      <c r="D2798" s="105"/>
      <c r="E2798" s="105"/>
      <c r="F2798" s="105"/>
      <c r="G2798" s="105"/>
      <c r="H2798" s="105"/>
      <c r="I2798" s="106"/>
      <c r="J2798" s="104"/>
      <c r="K2798" s="103"/>
      <c r="L2798" s="13"/>
    </row>
    <row r="2799" spans="1:12" hidden="1" x14ac:dyDescent="0.25">
      <c r="A2799" s="103"/>
      <c r="B2799" s="103"/>
      <c r="C2799" s="104"/>
      <c r="D2799" s="105"/>
      <c r="E2799" s="105"/>
      <c r="F2799" s="105"/>
      <c r="G2799" s="105"/>
      <c r="H2799" s="105"/>
      <c r="I2799" s="106"/>
      <c r="J2799" s="104"/>
      <c r="K2799" s="103"/>
      <c r="L2799" s="13"/>
    </row>
    <row r="2800" spans="1:12" hidden="1" x14ac:dyDescent="0.25">
      <c r="A2800" s="103"/>
      <c r="B2800" s="103"/>
      <c r="C2800" s="104"/>
      <c r="D2800" s="105"/>
      <c r="E2800" s="105"/>
      <c r="F2800" s="105"/>
      <c r="G2800" s="105"/>
      <c r="H2800" s="105"/>
      <c r="I2800" s="106"/>
      <c r="J2800" s="104"/>
      <c r="K2800" s="103"/>
      <c r="L2800" s="13"/>
    </row>
    <row r="2801" spans="1:12" hidden="1" x14ac:dyDescent="0.25">
      <c r="A2801" s="103"/>
      <c r="B2801" s="103"/>
      <c r="C2801" s="104"/>
      <c r="D2801" s="105"/>
      <c r="E2801" s="105"/>
      <c r="F2801" s="105"/>
      <c r="G2801" s="105"/>
      <c r="H2801" s="105"/>
      <c r="I2801" s="106"/>
      <c r="J2801" s="104"/>
      <c r="K2801" s="103"/>
      <c r="L2801" s="13"/>
    </row>
    <row r="2802" spans="1:12" hidden="1" x14ac:dyDescent="0.25">
      <c r="A2802" s="103"/>
      <c r="B2802" s="103"/>
      <c r="C2802" s="104"/>
      <c r="D2802" s="105"/>
      <c r="E2802" s="105"/>
      <c r="F2802" s="105"/>
      <c r="G2802" s="105"/>
      <c r="H2802" s="105"/>
      <c r="I2802" s="106"/>
      <c r="J2802" s="104"/>
      <c r="K2802" s="103"/>
      <c r="L2802" s="13"/>
    </row>
    <row r="2803" spans="1:12" hidden="1" x14ac:dyDescent="0.25">
      <c r="A2803" s="103"/>
      <c r="B2803" s="103"/>
      <c r="C2803" s="104"/>
      <c r="D2803" s="105"/>
      <c r="E2803" s="105"/>
      <c r="F2803" s="105"/>
      <c r="G2803" s="105"/>
      <c r="H2803" s="105"/>
      <c r="I2803" s="106"/>
      <c r="J2803" s="104"/>
      <c r="K2803" s="103"/>
      <c r="L2803" s="13"/>
    </row>
    <row r="2804" spans="1:12" hidden="1" x14ac:dyDescent="0.25">
      <c r="A2804" s="103"/>
      <c r="B2804" s="103"/>
      <c r="C2804" s="104"/>
      <c r="D2804" s="105"/>
      <c r="E2804" s="105"/>
      <c r="F2804" s="105"/>
      <c r="G2804" s="105"/>
      <c r="H2804" s="105"/>
      <c r="I2804" s="106"/>
      <c r="J2804" s="104"/>
      <c r="K2804" s="103"/>
      <c r="L2804" s="13"/>
    </row>
    <row r="2805" spans="1:12" hidden="1" x14ac:dyDescent="0.25">
      <c r="A2805" s="103"/>
      <c r="B2805" s="103"/>
      <c r="C2805" s="104"/>
      <c r="D2805" s="105"/>
      <c r="E2805" s="105"/>
      <c r="F2805" s="105"/>
      <c r="G2805" s="105"/>
      <c r="H2805" s="105"/>
      <c r="I2805" s="106"/>
      <c r="J2805" s="104"/>
      <c r="K2805" s="103"/>
      <c r="L2805" s="13"/>
    </row>
    <row r="2806" spans="1:12" hidden="1" x14ac:dyDescent="0.25">
      <c r="A2806" s="103"/>
      <c r="B2806" s="103"/>
      <c r="C2806" s="104"/>
      <c r="D2806" s="105"/>
      <c r="E2806" s="105"/>
      <c r="F2806" s="105"/>
      <c r="G2806" s="105"/>
      <c r="H2806" s="105"/>
      <c r="I2806" s="106"/>
      <c r="J2806" s="104"/>
      <c r="K2806" s="103"/>
      <c r="L2806" s="13"/>
    </row>
    <row r="2807" spans="1:12" hidden="1" x14ac:dyDescent="0.25">
      <c r="A2807" s="103"/>
      <c r="B2807" s="103"/>
      <c r="C2807" s="104"/>
      <c r="D2807" s="105"/>
      <c r="E2807" s="105"/>
      <c r="F2807" s="105"/>
      <c r="G2807" s="105"/>
      <c r="H2807" s="105"/>
      <c r="I2807" s="106"/>
      <c r="J2807" s="104"/>
      <c r="K2807" s="103"/>
      <c r="L2807" s="13"/>
    </row>
    <row r="2808" spans="1:12" hidden="1" x14ac:dyDescent="0.25">
      <c r="A2808" s="103"/>
      <c r="B2808" s="103"/>
      <c r="C2808" s="104"/>
      <c r="D2808" s="105"/>
      <c r="E2808" s="105"/>
      <c r="F2808" s="105"/>
      <c r="G2808" s="105"/>
      <c r="H2808" s="105"/>
      <c r="I2808" s="106"/>
      <c r="J2808" s="104"/>
      <c r="K2808" s="103"/>
      <c r="L2808" s="13"/>
    </row>
    <row r="2809" spans="1:12" hidden="1" x14ac:dyDescent="0.25">
      <c r="A2809" s="103"/>
      <c r="B2809" s="103"/>
      <c r="C2809" s="104"/>
      <c r="D2809" s="105"/>
      <c r="E2809" s="105"/>
      <c r="F2809" s="105"/>
      <c r="G2809" s="105"/>
      <c r="H2809" s="105"/>
      <c r="I2809" s="106"/>
      <c r="J2809" s="104"/>
      <c r="K2809" s="103"/>
      <c r="L2809" s="13"/>
    </row>
    <row r="2810" spans="1:12" hidden="1" x14ac:dyDescent="0.25">
      <c r="A2810" s="103"/>
      <c r="B2810" s="103"/>
      <c r="C2810" s="104"/>
      <c r="D2810" s="105"/>
      <c r="E2810" s="105"/>
      <c r="F2810" s="105"/>
      <c r="G2810" s="105"/>
      <c r="H2810" s="105"/>
      <c r="I2810" s="106"/>
      <c r="J2810" s="104"/>
      <c r="K2810" s="103"/>
      <c r="L2810" s="13"/>
    </row>
    <row r="2811" spans="1:12" hidden="1" x14ac:dyDescent="0.25">
      <c r="A2811" s="103"/>
      <c r="B2811" s="103"/>
      <c r="C2811" s="104"/>
      <c r="D2811" s="105"/>
      <c r="E2811" s="105"/>
      <c r="F2811" s="105"/>
      <c r="G2811" s="105"/>
      <c r="H2811" s="105"/>
      <c r="I2811" s="106"/>
      <c r="J2811" s="104"/>
      <c r="K2811" s="103"/>
      <c r="L2811" s="13"/>
    </row>
    <row r="2812" spans="1:12" hidden="1" x14ac:dyDescent="0.25">
      <c r="A2812" s="103"/>
      <c r="B2812" s="103"/>
      <c r="C2812" s="104"/>
      <c r="D2812" s="105"/>
      <c r="E2812" s="105"/>
      <c r="F2812" s="105"/>
      <c r="G2812" s="105"/>
      <c r="H2812" s="105"/>
      <c r="I2812" s="106"/>
      <c r="J2812" s="104"/>
      <c r="K2812" s="103"/>
      <c r="L2812" s="13"/>
    </row>
    <row r="2813" spans="1:12" hidden="1" x14ac:dyDescent="0.25">
      <c r="A2813" s="103"/>
      <c r="B2813" s="103"/>
      <c r="C2813" s="104"/>
      <c r="D2813" s="105"/>
      <c r="E2813" s="105"/>
      <c r="F2813" s="105"/>
      <c r="G2813" s="105"/>
      <c r="H2813" s="105"/>
      <c r="I2813" s="106"/>
      <c r="J2813" s="104"/>
      <c r="K2813" s="103"/>
      <c r="L2813" s="13"/>
    </row>
    <row r="2814" spans="1:12" hidden="1" x14ac:dyDescent="0.25">
      <c r="A2814" s="103"/>
      <c r="B2814" s="103"/>
      <c r="C2814" s="104"/>
      <c r="D2814" s="105"/>
      <c r="E2814" s="105"/>
      <c r="F2814" s="105"/>
      <c r="G2814" s="105"/>
      <c r="H2814" s="105"/>
      <c r="I2814" s="106"/>
      <c r="J2814" s="104"/>
      <c r="K2814" s="103"/>
      <c r="L2814" s="13"/>
    </row>
    <row r="2815" spans="1:12" hidden="1" x14ac:dyDescent="0.25">
      <c r="A2815" s="103"/>
      <c r="B2815" s="103"/>
      <c r="C2815" s="104"/>
      <c r="D2815" s="105"/>
      <c r="E2815" s="105"/>
      <c r="F2815" s="105"/>
      <c r="G2815" s="105"/>
      <c r="H2815" s="105"/>
      <c r="I2815" s="106"/>
      <c r="J2815" s="104"/>
      <c r="K2815" s="103"/>
      <c r="L2815" s="13"/>
    </row>
    <row r="2816" spans="1:12" hidden="1" x14ac:dyDescent="0.25">
      <c r="A2816" s="103"/>
      <c r="B2816" s="103"/>
      <c r="C2816" s="104"/>
      <c r="D2816" s="105"/>
      <c r="E2816" s="105"/>
      <c r="F2816" s="105"/>
      <c r="G2816" s="105"/>
      <c r="H2816" s="105"/>
      <c r="I2816" s="106"/>
      <c r="J2816" s="104"/>
      <c r="K2816" s="103"/>
      <c r="L2816" s="13"/>
    </row>
    <row r="2817" spans="1:12" hidden="1" x14ac:dyDescent="0.25">
      <c r="A2817" s="103"/>
      <c r="B2817" s="103"/>
      <c r="C2817" s="104"/>
      <c r="D2817" s="105"/>
      <c r="E2817" s="105"/>
      <c r="F2817" s="105"/>
      <c r="G2817" s="105"/>
      <c r="H2817" s="105"/>
      <c r="I2817" s="106"/>
      <c r="J2817" s="104"/>
      <c r="K2817" s="103"/>
      <c r="L2817" s="13"/>
    </row>
    <row r="2818" spans="1:12" hidden="1" x14ac:dyDescent="0.25">
      <c r="A2818" s="103"/>
      <c r="B2818" s="103"/>
      <c r="C2818" s="104"/>
      <c r="D2818" s="105"/>
      <c r="E2818" s="105"/>
      <c r="F2818" s="105"/>
      <c r="G2818" s="105"/>
      <c r="H2818" s="105"/>
      <c r="I2818" s="106"/>
      <c r="J2818" s="104"/>
      <c r="K2818" s="103"/>
      <c r="L2818" s="13"/>
    </row>
    <row r="2819" spans="1:12" hidden="1" x14ac:dyDescent="0.25">
      <c r="A2819" s="6"/>
      <c r="B2819" s="6"/>
      <c r="C2819" s="11"/>
      <c r="D2819" s="13"/>
      <c r="E2819" s="13"/>
      <c r="F2819" s="13"/>
      <c r="G2819" s="13"/>
      <c r="H2819" s="13"/>
      <c r="I2819" s="10"/>
      <c r="J2819" s="11"/>
      <c r="K2819" s="6"/>
      <c r="L2819" s="13"/>
    </row>
    <row r="2820" spans="1:12" hidden="1" x14ac:dyDescent="0.25">
      <c r="A2820" s="6"/>
      <c r="B2820" s="6"/>
      <c r="C2820" s="11"/>
      <c r="D2820" s="13"/>
      <c r="E2820" s="13"/>
      <c r="F2820" s="13"/>
      <c r="G2820" s="13"/>
      <c r="H2820" s="13"/>
      <c r="I2820" s="10"/>
      <c r="J2820" s="11"/>
      <c r="K2820" s="6"/>
      <c r="L2820" s="13"/>
    </row>
    <row r="2821" spans="1:12" hidden="1" x14ac:dyDescent="0.25">
      <c r="A2821" s="6"/>
      <c r="B2821" s="6"/>
      <c r="C2821" s="11"/>
      <c r="D2821" s="13"/>
      <c r="E2821" s="13"/>
      <c r="F2821" s="13"/>
      <c r="G2821" s="13"/>
      <c r="H2821" s="13"/>
      <c r="I2821" s="10"/>
      <c r="J2821" s="11"/>
      <c r="K2821" s="6"/>
      <c r="L2821" s="13"/>
    </row>
    <row r="2822" spans="1:12" hidden="1" x14ac:dyDescent="0.25">
      <c r="A2822" s="6"/>
      <c r="B2822" s="6"/>
      <c r="C2822" s="11"/>
      <c r="D2822" s="13"/>
      <c r="E2822" s="13"/>
      <c r="F2822" s="13"/>
      <c r="G2822" s="13"/>
      <c r="H2822" s="13"/>
      <c r="I2822" s="10"/>
      <c r="J2822" s="11"/>
      <c r="K2822" s="6"/>
      <c r="L2822" s="13"/>
    </row>
    <row r="2823" spans="1:12" hidden="1" x14ac:dyDescent="0.25">
      <c r="A2823" s="6"/>
      <c r="B2823" s="6"/>
      <c r="C2823" s="11"/>
      <c r="D2823" s="13"/>
      <c r="E2823" s="13"/>
      <c r="F2823" s="13"/>
      <c r="G2823" s="13"/>
      <c r="H2823" s="13"/>
      <c r="I2823" s="10"/>
      <c r="J2823" s="11"/>
      <c r="K2823" s="6"/>
      <c r="L2823" s="13"/>
    </row>
    <row r="2824" spans="1:12" hidden="1" x14ac:dyDescent="0.25">
      <c r="A2824" s="6"/>
      <c r="B2824" s="6"/>
      <c r="C2824" s="11"/>
      <c r="D2824" s="13"/>
      <c r="E2824" s="13"/>
      <c r="F2824" s="13"/>
      <c r="G2824" s="13"/>
      <c r="H2824" s="13"/>
      <c r="I2824" s="10"/>
      <c r="J2824" s="11"/>
      <c r="K2824" s="6"/>
      <c r="L2824" s="13"/>
    </row>
    <row r="2825" spans="1:12" hidden="1" x14ac:dyDescent="0.25">
      <c r="A2825" s="6"/>
      <c r="B2825" s="6"/>
      <c r="C2825" s="11"/>
      <c r="D2825" s="13"/>
      <c r="E2825" s="13"/>
      <c r="F2825" s="13"/>
      <c r="G2825" s="13"/>
      <c r="H2825" s="13"/>
      <c r="I2825" s="10"/>
      <c r="J2825" s="11"/>
      <c r="K2825" s="6"/>
      <c r="L2825" s="13"/>
    </row>
    <row r="2826" spans="1:12" hidden="1" x14ac:dyDescent="0.25">
      <c r="A2826" s="6"/>
      <c r="B2826" s="6"/>
      <c r="C2826" s="11"/>
      <c r="D2826" s="13"/>
      <c r="E2826" s="13"/>
      <c r="F2826" s="13"/>
      <c r="G2826" s="13"/>
      <c r="H2826" s="13"/>
      <c r="I2826" s="10"/>
      <c r="J2826" s="11"/>
      <c r="K2826" s="6"/>
      <c r="L2826" s="13"/>
    </row>
    <row r="2827" spans="1:12" hidden="1" x14ac:dyDescent="0.25">
      <c r="A2827" s="6"/>
      <c r="B2827" s="6"/>
      <c r="C2827" s="11"/>
      <c r="D2827" s="13"/>
      <c r="E2827" s="13"/>
      <c r="F2827" s="13"/>
      <c r="G2827" s="13"/>
      <c r="H2827" s="13"/>
      <c r="I2827" s="10"/>
      <c r="J2827" s="11"/>
      <c r="K2827" s="6"/>
      <c r="L2827" s="13"/>
    </row>
    <row r="2828" spans="1:12" hidden="1" x14ac:dyDescent="0.25">
      <c r="A2828" s="6"/>
      <c r="B2828" s="6"/>
      <c r="C2828" s="11"/>
      <c r="D2828" s="13"/>
      <c r="E2828" s="13"/>
      <c r="F2828" s="13"/>
      <c r="G2828" s="13"/>
      <c r="H2828" s="13"/>
      <c r="I2828" s="10"/>
      <c r="J2828" s="11"/>
      <c r="K2828" s="6"/>
      <c r="L2828" s="13"/>
    </row>
    <row r="2829" spans="1:12" hidden="1" x14ac:dyDescent="0.25">
      <c r="A2829" s="6"/>
      <c r="B2829" s="6"/>
      <c r="C2829" s="11"/>
      <c r="D2829" s="13"/>
      <c r="E2829" s="13"/>
      <c r="F2829" s="13"/>
      <c r="G2829" s="13"/>
      <c r="H2829" s="13"/>
      <c r="I2829" s="10"/>
      <c r="J2829" s="11"/>
      <c r="K2829" s="6"/>
      <c r="L2829" s="13"/>
    </row>
    <row r="2830" spans="1:12" hidden="1" x14ac:dyDescent="0.25">
      <c r="A2830" s="6"/>
      <c r="B2830" s="6"/>
      <c r="C2830" s="11"/>
      <c r="D2830" s="13"/>
      <c r="E2830" s="13"/>
      <c r="F2830" s="13"/>
      <c r="G2830" s="13"/>
      <c r="H2830" s="13"/>
      <c r="I2830" s="10"/>
      <c r="J2830" s="11"/>
      <c r="K2830" s="6"/>
      <c r="L2830" s="13"/>
    </row>
    <row r="2831" spans="1:12" hidden="1" x14ac:dyDescent="0.25">
      <c r="A2831" s="6"/>
      <c r="B2831" s="6"/>
      <c r="C2831" s="11"/>
      <c r="D2831" s="13"/>
      <c r="E2831" s="13"/>
      <c r="F2831" s="13"/>
      <c r="G2831" s="13"/>
      <c r="H2831" s="13"/>
      <c r="I2831" s="10"/>
      <c r="J2831" s="11"/>
      <c r="K2831" s="6"/>
      <c r="L2831" s="13"/>
    </row>
    <row r="2832" spans="1:12" hidden="1" x14ac:dyDescent="0.25">
      <c r="A2832" s="6"/>
      <c r="B2832" s="6"/>
      <c r="C2832" s="11"/>
      <c r="D2832" s="13"/>
      <c r="E2832" s="13"/>
      <c r="F2832" s="13"/>
      <c r="G2832" s="13"/>
      <c r="H2832" s="13"/>
      <c r="I2832" s="10"/>
      <c r="J2832" s="11"/>
      <c r="K2832" s="6"/>
      <c r="L2832" s="13"/>
    </row>
    <row r="2833" spans="1:12" hidden="1" x14ac:dyDescent="0.25">
      <c r="A2833" s="6"/>
      <c r="B2833" s="6"/>
      <c r="C2833" s="11"/>
      <c r="D2833" s="13"/>
      <c r="E2833" s="13"/>
      <c r="F2833" s="13"/>
      <c r="G2833" s="13"/>
      <c r="H2833" s="13"/>
      <c r="I2833" s="10"/>
      <c r="J2833" s="11"/>
      <c r="K2833" s="6"/>
      <c r="L2833" s="13"/>
    </row>
    <row r="2834" spans="1:12" hidden="1" x14ac:dyDescent="0.25">
      <c r="A2834" s="6"/>
      <c r="B2834" s="6"/>
      <c r="C2834" s="11"/>
      <c r="D2834" s="13"/>
      <c r="E2834" s="13"/>
      <c r="F2834" s="13"/>
      <c r="G2834" s="13"/>
      <c r="H2834" s="13"/>
      <c r="I2834" s="10"/>
      <c r="J2834" s="11"/>
      <c r="K2834" s="6"/>
      <c r="L2834" s="13"/>
    </row>
    <row r="2835" spans="1:12" hidden="1" x14ac:dyDescent="0.25">
      <c r="A2835" s="6"/>
      <c r="B2835" s="6"/>
      <c r="C2835" s="11"/>
      <c r="D2835" s="13"/>
      <c r="E2835" s="13"/>
      <c r="F2835" s="13"/>
      <c r="G2835" s="13"/>
      <c r="H2835" s="13"/>
      <c r="I2835" s="10"/>
      <c r="J2835" s="11"/>
      <c r="K2835" s="6"/>
      <c r="L2835" s="13"/>
    </row>
    <row r="2836" spans="1:12" hidden="1" x14ac:dyDescent="0.25">
      <c r="A2836" s="6"/>
      <c r="B2836" s="6"/>
      <c r="C2836" s="11"/>
      <c r="D2836" s="13"/>
      <c r="E2836" s="13"/>
      <c r="F2836" s="13"/>
      <c r="G2836" s="13"/>
      <c r="H2836" s="13"/>
      <c r="I2836" s="10"/>
      <c r="J2836" s="11"/>
      <c r="K2836" s="6"/>
      <c r="L2836" s="13"/>
    </row>
    <row r="2837" spans="1:12" hidden="1" x14ac:dyDescent="0.25">
      <c r="A2837" s="6"/>
      <c r="B2837" s="6"/>
      <c r="C2837" s="11"/>
      <c r="D2837" s="13"/>
      <c r="E2837" s="13"/>
      <c r="F2837" s="13"/>
      <c r="G2837" s="13"/>
      <c r="H2837" s="13"/>
      <c r="I2837" s="10"/>
      <c r="J2837" s="11"/>
      <c r="K2837" s="6"/>
      <c r="L2837" s="13"/>
    </row>
    <row r="2838" spans="1:12" hidden="1" x14ac:dyDescent="0.25">
      <c r="A2838" s="6"/>
      <c r="B2838" s="6"/>
      <c r="C2838" s="11"/>
      <c r="D2838" s="13"/>
      <c r="E2838" s="13"/>
      <c r="F2838" s="13"/>
      <c r="G2838" s="13"/>
      <c r="H2838" s="13"/>
      <c r="I2838" s="10"/>
      <c r="J2838" s="11"/>
      <c r="K2838" s="6"/>
      <c r="L2838" s="13"/>
    </row>
    <row r="2839" spans="1:12" hidden="1" x14ac:dyDescent="0.25">
      <c r="A2839" s="6"/>
      <c r="B2839" s="6"/>
      <c r="C2839" s="11"/>
      <c r="D2839" s="13"/>
      <c r="E2839" s="13"/>
      <c r="F2839" s="13"/>
      <c r="G2839" s="13"/>
      <c r="H2839" s="13"/>
      <c r="I2839" s="10"/>
      <c r="J2839" s="11"/>
      <c r="K2839" s="6"/>
      <c r="L2839" s="13"/>
    </row>
    <row r="2840" spans="1:12" hidden="1" x14ac:dyDescent="0.25">
      <c r="A2840" s="6"/>
      <c r="B2840" s="6"/>
      <c r="C2840" s="11"/>
      <c r="D2840" s="13"/>
      <c r="E2840" s="13"/>
      <c r="F2840" s="13"/>
      <c r="G2840" s="13"/>
      <c r="H2840" s="13"/>
      <c r="I2840" s="10"/>
      <c r="J2840" s="11"/>
      <c r="K2840" s="6"/>
      <c r="L2840" s="13"/>
    </row>
    <row r="2841" spans="1:12" hidden="1" x14ac:dyDescent="0.25">
      <c r="A2841" s="6"/>
      <c r="B2841" s="6"/>
      <c r="C2841" s="11"/>
      <c r="D2841" s="13"/>
      <c r="E2841" s="13"/>
      <c r="F2841" s="13"/>
      <c r="G2841" s="13"/>
      <c r="H2841" s="13"/>
      <c r="I2841" s="10"/>
      <c r="J2841" s="11"/>
      <c r="K2841" s="6"/>
      <c r="L2841" s="13"/>
    </row>
    <row r="2842" spans="1:12" hidden="1" x14ac:dyDescent="0.25">
      <c r="A2842" s="6"/>
      <c r="B2842" s="6"/>
      <c r="C2842" s="11"/>
      <c r="D2842" s="13"/>
      <c r="E2842" s="13"/>
      <c r="F2842" s="13"/>
      <c r="G2842" s="13"/>
      <c r="H2842" s="13"/>
      <c r="I2842" s="10"/>
      <c r="J2842" s="11"/>
      <c r="K2842" s="6"/>
      <c r="L2842" s="13"/>
    </row>
    <row r="2843" spans="1:12" hidden="1" x14ac:dyDescent="0.25">
      <c r="A2843" s="6"/>
      <c r="B2843" s="6"/>
      <c r="C2843" s="11"/>
      <c r="D2843" s="13"/>
      <c r="E2843" s="13"/>
      <c r="F2843" s="13"/>
      <c r="G2843" s="13"/>
      <c r="H2843" s="13"/>
      <c r="I2843" s="10"/>
      <c r="J2843" s="11"/>
      <c r="K2843" s="6"/>
      <c r="L2843" s="13"/>
    </row>
    <row r="2844" spans="1:12" hidden="1" x14ac:dyDescent="0.25">
      <c r="A2844" s="6"/>
      <c r="B2844" s="6"/>
      <c r="C2844" s="11"/>
      <c r="D2844" s="13"/>
      <c r="E2844" s="13"/>
      <c r="F2844" s="13"/>
      <c r="G2844" s="13"/>
      <c r="H2844" s="13"/>
      <c r="I2844" s="10"/>
      <c r="J2844" s="11"/>
      <c r="K2844" s="6"/>
      <c r="L2844" s="13"/>
    </row>
    <row r="2845" spans="1:12" hidden="1" x14ac:dyDescent="0.25">
      <c r="A2845" s="6"/>
      <c r="B2845" s="6"/>
      <c r="C2845" s="11"/>
      <c r="D2845" s="13"/>
      <c r="E2845" s="13"/>
      <c r="F2845" s="13"/>
      <c r="G2845" s="13"/>
      <c r="H2845" s="13"/>
      <c r="I2845" s="10"/>
      <c r="J2845" s="11"/>
      <c r="K2845" s="6"/>
      <c r="L2845" s="13"/>
    </row>
    <row r="2846" spans="1:12" hidden="1" x14ac:dyDescent="0.25">
      <c r="A2846" s="6"/>
      <c r="B2846" s="6"/>
      <c r="C2846" s="11"/>
      <c r="D2846" s="13"/>
      <c r="E2846" s="13"/>
      <c r="F2846" s="13"/>
      <c r="G2846" s="13"/>
      <c r="H2846" s="13"/>
      <c r="I2846" s="10"/>
      <c r="J2846" s="11"/>
      <c r="K2846" s="6"/>
      <c r="L2846" s="13"/>
    </row>
    <row r="2847" spans="1:12" hidden="1" x14ac:dyDescent="0.25">
      <c r="A2847" s="6"/>
      <c r="B2847" s="6"/>
      <c r="C2847" s="11"/>
      <c r="D2847" s="13"/>
      <c r="E2847" s="13"/>
      <c r="F2847" s="13"/>
      <c r="G2847" s="13"/>
      <c r="H2847" s="13"/>
      <c r="I2847" s="10"/>
      <c r="J2847" s="11"/>
      <c r="K2847" s="6"/>
      <c r="L2847" s="13"/>
    </row>
    <row r="2848" spans="1:12" hidden="1" x14ac:dyDescent="0.25">
      <c r="A2848" s="6"/>
      <c r="B2848" s="6"/>
      <c r="C2848" s="11"/>
      <c r="D2848" s="13"/>
      <c r="E2848" s="13"/>
      <c r="F2848" s="13"/>
      <c r="G2848" s="13"/>
      <c r="H2848" s="13"/>
      <c r="I2848" s="10"/>
      <c r="J2848" s="11"/>
      <c r="K2848" s="6"/>
      <c r="L2848" s="13"/>
    </row>
    <row r="2849" spans="1:12" hidden="1" x14ac:dyDescent="0.25">
      <c r="A2849" s="6"/>
      <c r="B2849" s="6"/>
      <c r="C2849" s="11"/>
      <c r="D2849" s="13"/>
      <c r="E2849" s="13"/>
      <c r="F2849" s="13"/>
      <c r="G2849" s="13"/>
      <c r="H2849" s="13"/>
      <c r="I2849" s="10"/>
      <c r="J2849" s="11"/>
      <c r="K2849" s="6"/>
      <c r="L2849" s="13"/>
    </row>
    <row r="2850" spans="1:12" hidden="1" x14ac:dyDescent="0.25">
      <c r="A2850" s="6"/>
      <c r="B2850" s="6"/>
      <c r="C2850" s="11"/>
      <c r="D2850" s="13"/>
      <c r="E2850" s="13"/>
      <c r="F2850" s="13"/>
      <c r="G2850" s="13"/>
      <c r="H2850" s="13"/>
      <c r="I2850" s="10"/>
      <c r="J2850" s="11"/>
      <c r="K2850" s="6"/>
      <c r="L2850" s="13"/>
    </row>
    <row r="2851" spans="1:12" hidden="1" x14ac:dyDescent="0.25">
      <c r="A2851" s="6"/>
      <c r="B2851" s="6"/>
      <c r="C2851" s="11"/>
      <c r="D2851" s="13"/>
      <c r="E2851" s="13"/>
      <c r="F2851" s="13"/>
      <c r="G2851" s="13"/>
      <c r="H2851" s="13"/>
      <c r="I2851" s="10"/>
      <c r="J2851" s="11"/>
      <c r="K2851" s="6"/>
      <c r="L2851" s="13"/>
    </row>
    <row r="2852" spans="1:12" hidden="1" x14ac:dyDescent="0.25">
      <c r="A2852" s="6"/>
      <c r="B2852" s="6"/>
      <c r="C2852" s="11"/>
      <c r="D2852" s="13"/>
      <c r="E2852" s="13"/>
      <c r="F2852" s="13"/>
      <c r="G2852" s="13"/>
      <c r="H2852" s="13"/>
      <c r="I2852" s="10"/>
      <c r="J2852" s="11"/>
      <c r="K2852" s="6"/>
      <c r="L2852" s="13"/>
    </row>
    <row r="2853" spans="1:12" hidden="1" x14ac:dyDescent="0.25">
      <c r="A2853" s="6"/>
      <c r="B2853" s="6"/>
      <c r="C2853" s="11"/>
      <c r="D2853" s="13"/>
      <c r="E2853" s="13"/>
      <c r="F2853" s="13"/>
      <c r="G2853" s="13"/>
      <c r="H2853" s="13"/>
      <c r="I2853" s="10"/>
      <c r="J2853" s="11"/>
      <c r="K2853" s="6"/>
      <c r="L2853" s="13"/>
    </row>
    <row r="2854" spans="1:12" hidden="1" x14ac:dyDescent="0.25">
      <c r="A2854" s="6"/>
      <c r="B2854" s="6"/>
      <c r="C2854" s="11"/>
      <c r="D2854" s="13"/>
      <c r="E2854" s="13"/>
      <c r="F2854" s="13"/>
      <c r="G2854" s="13"/>
      <c r="H2854" s="13"/>
      <c r="I2854" s="10"/>
      <c r="J2854" s="11"/>
      <c r="K2854" s="6"/>
      <c r="L2854" s="13"/>
    </row>
    <row r="2855" spans="1:12" hidden="1" x14ac:dyDescent="0.25">
      <c r="A2855" s="6"/>
      <c r="B2855" s="6"/>
      <c r="C2855" s="11"/>
      <c r="D2855" s="13"/>
      <c r="E2855" s="13"/>
      <c r="F2855" s="13"/>
      <c r="G2855" s="13"/>
      <c r="H2855" s="13"/>
      <c r="I2855" s="10"/>
      <c r="J2855" s="11"/>
      <c r="K2855" s="6"/>
      <c r="L2855" s="13"/>
    </row>
    <row r="2856" spans="1:12" hidden="1" x14ac:dyDescent="0.25">
      <c r="A2856" s="6"/>
      <c r="B2856" s="6"/>
      <c r="C2856" s="11"/>
      <c r="D2856" s="13"/>
      <c r="E2856" s="13"/>
      <c r="F2856" s="13"/>
      <c r="G2856" s="13"/>
      <c r="H2856" s="13"/>
      <c r="I2856" s="10"/>
      <c r="J2856" s="11"/>
      <c r="K2856" s="6"/>
      <c r="L2856" s="13"/>
    </row>
    <row r="2857" spans="1:12" hidden="1" x14ac:dyDescent="0.25">
      <c r="A2857" s="6"/>
      <c r="B2857" s="6"/>
      <c r="C2857" s="11"/>
      <c r="D2857" s="13"/>
      <c r="E2857" s="13"/>
      <c r="F2857" s="13"/>
      <c r="G2857" s="13"/>
      <c r="H2857" s="13"/>
      <c r="I2857" s="10"/>
      <c r="J2857" s="11"/>
      <c r="K2857" s="6"/>
      <c r="L2857" s="13"/>
    </row>
    <row r="2858" spans="1:12" hidden="1" x14ac:dyDescent="0.25">
      <c r="A2858" s="6"/>
      <c r="B2858" s="6"/>
      <c r="C2858" s="11"/>
      <c r="D2858" s="13"/>
      <c r="E2858" s="13"/>
      <c r="F2858" s="13"/>
      <c r="G2858" s="13"/>
      <c r="H2858" s="13"/>
      <c r="I2858" s="10"/>
      <c r="J2858" s="11"/>
      <c r="K2858" s="6"/>
      <c r="L2858" s="13"/>
    </row>
    <row r="2859" spans="1:12" hidden="1" x14ac:dyDescent="0.25">
      <c r="A2859" s="6"/>
      <c r="B2859" s="6"/>
      <c r="C2859" s="11"/>
      <c r="D2859" s="13"/>
      <c r="E2859" s="13"/>
      <c r="F2859" s="13"/>
      <c r="G2859" s="13"/>
      <c r="H2859" s="13"/>
      <c r="I2859" s="10"/>
      <c r="J2859" s="11"/>
      <c r="K2859" s="6"/>
      <c r="L2859" s="13"/>
    </row>
    <row r="2860" spans="1:12" hidden="1" x14ac:dyDescent="0.25">
      <c r="A2860" s="6"/>
      <c r="B2860" s="6"/>
      <c r="C2860" s="11"/>
      <c r="D2860" s="13"/>
      <c r="E2860" s="13"/>
      <c r="F2860" s="13"/>
      <c r="G2860" s="13"/>
      <c r="H2860" s="13"/>
      <c r="I2860" s="10"/>
      <c r="J2860" s="11"/>
      <c r="K2860" s="6"/>
      <c r="L2860" s="13"/>
    </row>
    <row r="2861" spans="1:12" hidden="1" x14ac:dyDescent="0.25">
      <c r="A2861" s="6"/>
      <c r="B2861" s="6"/>
      <c r="C2861" s="11"/>
      <c r="D2861" s="13"/>
      <c r="E2861" s="13"/>
      <c r="F2861" s="13"/>
      <c r="G2861" s="13"/>
      <c r="H2861" s="13"/>
      <c r="I2861" s="10"/>
      <c r="J2861" s="11"/>
      <c r="K2861" s="6"/>
      <c r="L2861" s="13"/>
    </row>
    <row r="2862" spans="1:12" hidden="1" x14ac:dyDescent="0.25">
      <c r="A2862" s="6"/>
      <c r="B2862" s="6"/>
      <c r="C2862" s="11"/>
      <c r="D2862" s="13"/>
      <c r="E2862" s="13"/>
      <c r="F2862" s="13"/>
      <c r="G2862" s="13"/>
      <c r="H2862" s="13"/>
      <c r="I2862" s="10"/>
      <c r="J2862" s="11"/>
      <c r="K2862" s="6"/>
      <c r="L2862" s="13"/>
    </row>
    <row r="2863" spans="1:12" hidden="1" x14ac:dyDescent="0.25">
      <c r="A2863" s="6"/>
      <c r="B2863" s="6"/>
      <c r="C2863" s="11"/>
      <c r="D2863" s="13"/>
      <c r="E2863" s="13"/>
      <c r="F2863" s="13"/>
      <c r="G2863" s="13"/>
      <c r="H2863" s="13"/>
      <c r="I2863" s="10"/>
      <c r="J2863" s="11"/>
      <c r="K2863" s="6"/>
      <c r="L2863" s="13"/>
    </row>
    <row r="2864" spans="1:12" hidden="1" x14ac:dyDescent="0.25">
      <c r="A2864" s="6"/>
      <c r="B2864" s="6"/>
      <c r="C2864" s="11"/>
      <c r="D2864" s="13"/>
      <c r="E2864" s="13"/>
      <c r="F2864" s="13"/>
      <c r="G2864" s="13"/>
      <c r="H2864" s="13"/>
      <c r="I2864" s="10"/>
      <c r="J2864" s="11"/>
      <c r="K2864" s="6"/>
      <c r="L2864" s="13"/>
    </row>
    <row r="2865" spans="1:12" hidden="1" x14ac:dyDescent="0.25">
      <c r="A2865" s="6"/>
      <c r="B2865" s="6"/>
      <c r="C2865" s="11"/>
      <c r="D2865" s="13"/>
      <c r="E2865" s="13"/>
      <c r="F2865" s="13"/>
      <c r="G2865" s="13"/>
      <c r="H2865" s="13"/>
      <c r="I2865" s="10"/>
      <c r="J2865" s="11"/>
      <c r="K2865" s="6"/>
      <c r="L2865" s="13"/>
    </row>
    <row r="2866" spans="1:12" hidden="1" x14ac:dyDescent="0.25">
      <c r="A2866" s="6"/>
      <c r="B2866" s="6"/>
      <c r="C2866" s="11"/>
      <c r="D2866" s="13"/>
      <c r="E2866" s="13"/>
      <c r="F2866" s="13"/>
      <c r="G2866" s="13"/>
      <c r="H2866" s="13"/>
      <c r="I2866" s="10"/>
      <c r="J2866" s="11"/>
      <c r="K2866" s="6"/>
      <c r="L2866" s="13"/>
    </row>
    <row r="2867" spans="1:12" hidden="1" x14ac:dyDescent="0.25">
      <c r="A2867" s="6"/>
      <c r="B2867" s="6"/>
      <c r="C2867" s="11"/>
      <c r="D2867" s="13"/>
      <c r="E2867" s="13"/>
      <c r="F2867" s="13"/>
      <c r="G2867" s="13"/>
      <c r="H2867" s="13"/>
      <c r="I2867" s="10"/>
      <c r="J2867" s="11"/>
      <c r="K2867" s="6"/>
      <c r="L2867" s="13"/>
    </row>
    <row r="2868" spans="1:12" hidden="1" x14ac:dyDescent="0.25">
      <c r="A2868" s="6"/>
      <c r="B2868" s="6"/>
      <c r="C2868" s="11"/>
      <c r="D2868" s="13"/>
      <c r="E2868" s="13"/>
      <c r="F2868" s="13"/>
      <c r="G2868" s="13"/>
      <c r="H2868" s="13"/>
      <c r="I2868" s="10"/>
      <c r="J2868" s="11"/>
      <c r="K2868" s="6"/>
      <c r="L2868" s="13"/>
    </row>
    <row r="2869" spans="1:12" hidden="1" x14ac:dyDescent="0.25">
      <c r="A2869" s="6"/>
      <c r="B2869" s="6"/>
      <c r="C2869" s="11"/>
      <c r="D2869" s="13"/>
      <c r="E2869" s="13"/>
      <c r="F2869" s="13"/>
      <c r="G2869" s="13"/>
      <c r="H2869" s="13"/>
      <c r="I2869" s="10"/>
      <c r="J2869" s="11"/>
      <c r="K2869" s="6"/>
      <c r="L2869" s="13"/>
    </row>
    <row r="2870" spans="1:12" hidden="1" x14ac:dyDescent="0.25">
      <c r="A2870" s="6"/>
      <c r="B2870" s="6"/>
      <c r="C2870" s="11"/>
      <c r="D2870" s="13"/>
      <c r="E2870" s="13"/>
      <c r="F2870" s="13"/>
      <c r="G2870" s="13"/>
      <c r="H2870" s="13"/>
      <c r="I2870" s="10"/>
      <c r="J2870" s="11"/>
      <c r="K2870" s="6"/>
      <c r="L2870" s="13"/>
    </row>
    <row r="2871" spans="1:12" hidden="1" x14ac:dyDescent="0.25">
      <c r="A2871" s="6"/>
      <c r="B2871" s="6"/>
      <c r="C2871" s="11"/>
      <c r="D2871" s="13"/>
      <c r="E2871" s="13"/>
      <c r="F2871" s="13"/>
      <c r="G2871" s="13"/>
      <c r="H2871" s="13"/>
      <c r="I2871" s="10"/>
      <c r="J2871" s="11"/>
      <c r="K2871" s="6"/>
      <c r="L2871" s="13"/>
    </row>
    <row r="2872" spans="1:12" hidden="1" x14ac:dyDescent="0.25">
      <c r="A2872" s="6"/>
      <c r="B2872" s="6"/>
      <c r="C2872" s="11"/>
      <c r="D2872" s="13"/>
      <c r="E2872" s="13"/>
      <c r="F2872" s="13"/>
      <c r="G2872" s="13"/>
      <c r="H2872" s="13"/>
      <c r="I2872" s="10"/>
      <c r="J2872" s="11"/>
      <c r="K2872" s="6"/>
      <c r="L2872" s="13"/>
    </row>
    <row r="2873" spans="1:12" hidden="1" x14ac:dyDescent="0.25">
      <c r="A2873" s="6"/>
      <c r="B2873" s="6"/>
      <c r="C2873" s="11"/>
      <c r="D2873" s="13"/>
      <c r="E2873" s="13"/>
      <c r="F2873" s="13"/>
      <c r="G2873" s="13"/>
      <c r="H2873" s="13"/>
      <c r="I2873" s="10"/>
      <c r="J2873" s="11"/>
      <c r="K2873" s="6"/>
      <c r="L2873" s="13"/>
    </row>
    <row r="2874" spans="1:12" hidden="1" x14ac:dyDescent="0.25">
      <c r="A2874" s="6"/>
      <c r="B2874" s="6"/>
      <c r="C2874" s="11"/>
      <c r="D2874" s="13"/>
      <c r="E2874" s="13"/>
      <c r="F2874" s="13"/>
      <c r="G2874" s="13"/>
      <c r="H2874" s="13"/>
      <c r="I2874" s="10"/>
      <c r="J2874" s="11"/>
      <c r="K2874" s="6"/>
      <c r="L2874" s="13"/>
    </row>
    <row r="2875" spans="1:12" hidden="1" x14ac:dyDescent="0.25">
      <c r="A2875" s="6"/>
      <c r="B2875" s="6"/>
      <c r="C2875" s="11"/>
      <c r="D2875" s="13"/>
      <c r="E2875" s="13"/>
      <c r="F2875" s="13"/>
      <c r="G2875" s="13"/>
      <c r="H2875" s="13"/>
      <c r="I2875" s="10"/>
      <c r="J2875" s="11"/>
      <c r="K2875" s="6"/>
      <c r="L2875" s="13"/>
    </row>
    <row r="2876" spans="1:12" hidden="1" x14ac:dyDescent="0.25">
      <c r="A2876" s="6"/>
      <c r="B2876" s="6"/>
      <c r="C2876" s="11"/>
      <c r="D2876" s="13"/>
      <c r="E2876" s="13"/>
      <c r="F2876" s="13"/>
      <c r="G2876" s="13"/>
      <c r="H2876" s="13"/>
      <c r="I2876" s="10"/>
      <c r="J2876" s="11"/>
      <c r="K2876" s="6"/>
      <c r="L2876" s="13"/>
    </row>
    <row r="2877" spans="1:12" hidden="1" x14ac:dyDescent="0.25">
      <c r="A2877" s="6"/>
      <c r="B2877" s="6"/>
      <c r="C2877" s="11"/>
      <c r="D2877" s="13"/>
      <c r="E2877" s="13"/>
      <c r="F2877" s="13"/>
      <c r="G2877" s="13"/>
      <c r="H2877" s="13"/>
      <c r="I2877" s="10"/>
      <c r="J2877" s="11"/>
      <c r="K2877" s="6"/>
      <c r="L2877" s="13"/>
    </row>
    <row r="2878" spans="1:12" hidden="1" x14ac:dyDescent="0.25">
      <c r="A2878" s="6"/>
      <c r="B2878" s="6"/>
      <c r="C2878" s="11"/>
      <c r="D2878" s="13"/>
      <c r="E2878" s="13"/>
      <c r="F2878" s="13"/>
      <c r="G2878" s="13"/>
      <c r="H2878" s="13"/>
      <c r="I2878" s="10"/>
      <c r="J2878" s="11"/>
      <c r="K2878" s="6"/>
      <c r="L2878" s="13"/>
    </row>
    <row r="2879" spans="1:12" hidden="1" x14ac:dyDescent="0.25">
      <c r="A2879" s="6"/>
      <c r="B2879" s="6"/>
      <c r="C2879" s="11"/>
      <c r="D2879" s="13"/>
      <c r="E2879" s="13"/>
      <c r="F2879" s="13"/>
      <c r="G2879" s="13"/>
      <c r="H2879" s="13"/>
      <c r="I2879" s="10"/>
      <c r="J2879" s="11"/>
      <c r="K2879" s="6"/>
      <c r="L2879" s="13"/>
    </row>
    <row r="2880" spans="1:12" hidden="1" x14ac:dyDescent="0.25">
      <c r="A2880" s="6"/>
      <c r="B2880" s="6"/>
      <c r="C2880" s="11"/>
      <c r="D2880" s="13"/>
      <c r="E2880" s="13"/>
      <c r="F2880" s="13"/>
      <c r="G2880" s="13"/>
      <c r="H2880" s="13"/>
      <c r="I2880" s="10"/>
      <c r="J2880" s="11"/>
      <c r="K2880" s="6"/>
      <c r="L2880" s="13"/>
    </row>
    <row r="2881" spans="1:12" hidden="1" x14ac:dyDescent="0.25">
      <c r="A2881" s="6"/>
      <c r="B2881" s="6"/>
      <c r="C2881" s="11"/>
      <c r="D2881" s="13"/>
      <c r="E2881" s="13"/>
      <c r="F2881" s="13"/>
      <c r="G2881" s="13"/>
      <c r="H2881" s="13"/>
      <c r="I2881" s="10"/>
      <c r="J2881" s="11"/>
      <c r="K2881" s="6"/>
      <c r="L2881" s="13"/>
    </row>
    <row r="2882" spans="1:12" hidden="1" x14ac:dyDescent="0.25">
      <c r="A2882" s="6"/>
      <c r="B2882" s="6"/>
      <c r="C2882" s="11"/>
      <c r="D2882" s="13"/>
      <c r="E2882" s="13"/>
      <c r="F2882" s="13"/>
      <c r="G2882" s="13"/>
      <c r="H2882" s="13"/>
      <c r="I2882" s="10"/>
      <c r="J2882" s="11"/>
      <c r="K2882" s="6"/>
      <c r="L2882" s="13"/>
    </row>
    <row r="2883" spans="1:12" hidden="1" x14ac:dyDescent="0.25">
      <c r="A2883" s="6"/>
      <c r="B2883" s="6"/>
      <c r="C2883" s="11"/>
      <c r="D2883" s="13"/>
      <c r="E2883" s="13"/>
      <c r="F2883" s="13"/>
      <c r="G2883" s="13"/>
      <c r="H2883" s="13"/>
      <c r="I2883" s="10"/>
      <c r="J2883" s="11"/>
      <c r="K2883" s="6"/>
      <c r="L2883" s="13"/>
    </row>
    <row r="2884" spans="1:12" hidden="1" x14ac:dyDescent="0.25">
      <c r="A2884" s="6"/>
      <c r="B2884" s="6"/>
      <c r="C2884" s="11"/>
      <c r="D2884" s="13"/>
      <c r="E2884" s="13"/>
      <c r="F2884" s="13"/>
      <c r="G2884" s="13"/>
      <c r="H2884" s="13"/>
      <c r="I2884" s="10"/>
      <c r="J2884" s="11"/>
      <c r="K2884" s="6"/>
      <c r="L2884" s="13"/>
    </row>
    <row r="2885" spans="1:12" hidden="1" x14ac:dyDescent="0.25">
      <c r="A2885" s="6"/>
      <c r="B2885" s="6"/>
      <c r="C2885" s="11"/>
      <c r="D2885" s="13"/>
      <c r="E2885" s="13"/>
      <c r="F2885" s="13"/>
      <c r="G2885" s="13"/>
      <c r="H2885" s="13"/>
      <c r="I2885" s="10"/>
      <c r="J2885" s="11"/>
      <c r="K2885" s="6"/>
      <c r="L2885" s="13"/>
    </row>
    <row r="2886" spans="1:12" hidden="1" x14ac:dyDescent="0.25">
      <c r="A2886" s="6"/>
      <c r="B2886" s="6"/>
      <c r="C2886" s="11"/>
      <c r="D2886" s="13"/>
      <c r="E2886" s="13"/>
      <c r="F2886" s="13"/>
      <c r="G2886" s="13"/>
      <c r="H2886" s="13"/>
      <c r="I2886" s="10"/>
      <c r="J2886" s="11"/>
      <c r="K2886" s="6"/>
      <c r="L2886" s="13"/>
    </row>
    <row r="2887" spans="1:12" hidden="1" x14ac:dyDescent="0.25">
      <c r="A2887" s="6"/>
      <c r="B2887" s="6"/>
      <c r="C2887" s="11"/>
      <c r="D2887" s="13"/>
      <c r="E2887" s="13"/>
      <c r="F2887" s="13"/>
      <c r="G2887" s="13"/>
      <c r="H2887" s="13"/>
      <c r="I2887" s="10"/>
      <c r="J2887" s="11"/>
      <c r="K2887" s="6"/>
      <c r="L2887" s="13"/>
    </row>
    <row r="2888" spans="1:12" hidden="1" x14ac:dyDescent="0.25">
      <c r="A2888" s="6"/>
      <c r="B2888" s="6"/>
      <c r="C2888" s="11"/>
      <c r="D2888" s="13"/>
      <c r="E2888" s="13"/>
      <c r="F2888" s="13"/>
      <c r="G2888" s="13"/>
      <c r="H2888" s="13"/>
      <c r="I2888" s="10"/>
      <c r="J2888" s="11"/>
      <c r="K2888" s="6"/>
      <c r="L2888" s="13"/>
    </row>
    <row r="2889" spans="1:12" hidden="1" x14ac:dyDescent="0.25">
      <c r="A2889" s="6"/>
      <c r="B2889" s="6"/>
      <c r="C2889" s="11"/>
      <c r="D2889" s="13"/>
      <c r="E2889" s="13"/>
      <c r="F2889" s="13"/>
      <c r="G2889" s="13"/>
      <c r="H2889" s="13"/>
      <c r="I2889" s="10"/>
      <c r="J2889" s="11"/>
      <c r="K2889" s="6"/>
      <c r="L2889" s="13"/>
    </row>
    <row r="2890" spans="1:12" hidden="1" x14ac:dyDescent="0.25">
      <c r="A2890" s="6"/>
      <c r="B2890" s="6"/>
      <c r="C2890" s="11"/>
      <c r="D2890" s="13"/>
      <c r="E2890" s="13"/>
      <c r="F2890" s="13"/>
      <c r="G2890" s="13"/>
      <c r="H2890" s="13"/>
      <c r="I2890" s="10"/>
      <c r="J2890" s="11"/>
      <c r="K2890" s="6"/>
      <c r="L2890" s="13"/>
    </row>
    <row r="2891" spans="1:12" hidden="1" x14ac:dyDescent="0.25">
      <c r="A2891" s="6"/>
      <c r="B2891" s="6"/>
      <c r="C2891" s="11"/>
      <c r="D2891" s="13"/>
      <c r="E2891" s="13"/>
      <c r="F2891" s="13"/>
      <c r="G2891" s="13"/>
      <c r="H2891" s="13"/>
      <c r="I2891" s="10"/>
      <c r="J2891" s="11"/>
      <c r="K2891" s="6"/>
      <c r="L2891" s="13"/>
    </row>
    <row r="2892" spans="1:12" hidden="1" x14ac:dyDescent="0.25">
      <c r="A2892" s="6"/>
      <c r="B2892" s="6"/>
      <c r="C2892" s="11"/>
      <c r="D2892" s="13"/>
      <c r="E2892" s="13"/>
      <c r="F2892" s="13"/>
      <c r="G2892" s="13"/>
      <c r="H2892" s="13"/>
      <c r="I2892" s="10"/>
      <c r="J2892" s="11"/>
      <c r="K2892" s="6"/>
      <c r="L2892" s="13"/>
    </row>
    <row r="2893" spans="1:12" hidden="1" x14ac:dyDescent="0.25">
      <c r="A2893" s="6"/>
      <c r="B2893" s="6"/>
      <c r="C2893" s="11"/>
      <c r="D2893" s="13"/>
      <c r="E2893" s="13"/>
      <c r="F2893" s="13"/>
      <c r="G2893" s="13"/>
      <c r="H2893" s="13"/>
      <c r="I2893" s="10"/>
      <c r="J2893" s="11"/>
      <c r="K2893" s="6"/>
      <c r="L2893" s="13"/>
    </row>
    <row r="2894" spans="1:12" hidden="1" x14ac:dyDescent="0.25">
      <c r="A2894" s="6"/>
      <c r="B2894" s="6"/>
      <c r="C2894" s="11"/>
      <c r="D2894" s="13"/>
      <c r="E2894" s="13"/>
      <c r="F2894" s="13"/>
      <c r="G2894" s="13"/>
      <c r="H2894" s="13"/>
      <c r="I2894" s="10"/>
      <c r="J2894" s="11"/>
      <c r="K2894" s="6"/>
      <c r="L2894" s="13"/>
    </row>
    <row r="2895" spans="1:12" hidden="1" x14ac:dyDescent="0.25">
      <c r="A2895" s="6"/>
      <c r="B2895" s="6"/>
      <c r="C2895" s="11"/>
      <c r="D2895" s="13"/>
      <c r="E2895" s="13"/>
      <c r="F2895" s="13"/>
      <c r="G2895" s="13"/>
      <c r="H2895" s="13"/>
      <c r="I2895" s="10"/>
      <c r="J2895" s="11"/>
      <c r="K2895" s="6"/>
      <c r="L2895" s="13"/>
    </row>
    <row r="2896" spans="1:12" hidden="1" x14ac:dyDescent="0.25">
      <c r="A2896" s="6"/>
      <c r="B2896" s="6"/>
      <c r="C2896" s="11"/>
      <c r="D2896" s="13"/>
      <c r="E2896" s="13"/>
      <c r="F2896" s="13"/>
      <c r="G2896" s="13"/>
      <c r="H2896" s="13"/>
      <c r="I2896" s="10"/>
      <c r="J2896" s="11"/>
      <c r="K2896" s="6"/>
      <c r="L2896" s="13"/>
    </row>
    <row r="2897" spans="1:12" hidden="1" x14ac:dyDescent="0.25">
      <c r="A2897" s="6"/>
      <c r="B2897" s="6"/>
      <c r="C2897" s="11"/>
      <c r="D2897" s="13"/>
      <c r="E2897" s="13"/>
      <c r="F2897" s="13"/>
      <c r="G2897" s="13"/>
      <c r="H2897" s="13"/>
      <c r="I2897" s="10"/>
      <c r="J2897" s="11"/>
      <c r="K2897" s="6"/>
      <c r="L2897" s="13"/>
    </row>
    <row r="2898" spans="1:12" hidden="1" x14ac:dyDescent="0.25">
      <c r="A2898" s="6"/>
      <c r="B2898" s="6"/>
      <c r="C2898" s="11"/>
      <c r="D2898" s="13"/>
      <c r="E2898" s="13"/>
      <c r="F2898" s="13"/>
      <c r="G2898" s="13"/>
      <c r="H2898" s="13"/>
      <c r="I2898" s="10"/>
      <c r="J2898" s="11"/>
      <c r="K2898" s="6"/>
      <c r="L2898" s="13"/>
    </row>
    <row r="2899" spans="1:12" hidden="1" x14ac:dyDescent="0.25">
      <c r="A2899" s="6"/>
      <c r="B2899" s="6"/>
      <c r="C2899" s="11"/>
      <c r="D2899" s="13"/>
      <c r="E2899" s="13"/>
      <c r="F2899" s="13"/>
      <c r="G2899" s="13"/>
      <c r="H2899" s="13"/>
      <c r="I2899" s="10"/>
      <c r="J2899" s="11"/>
      <c r="K2899" s="6"/>
      <c r="L2899" s="13"/>
    </row>
    <row r="2900" spans="1:12" hidden="1" x14ac:dyDescent="0.25">
      <c r="A2900" s="6"/>
      <c r="B2900" s="6"/>
      <c r="C2900" s="11"/>
      <c r="D2900" s="13"/>
      <c r="E2900" s="13"/>
      <c r="F2900" s="13"/>
      <c r="G2900" s="13"/>
      <c r="H2900" s="13"/>
      <c r="I2900" s="10"/>
      <c r="J2900" s="11"/>
      <c r="K2900" s="6"/>
      <c r="L2900" s="13"/>
    </row>
    <row r="2901" spans="1:12" hidden="1" x14ac:dyDescent="0.25">
      <c r="A2901" s="6"/>
      <c r="B2901" s="6"/>
      <c r="C2901" s="11"/>
      <c r="D2901" s="13"/>
      <c r="E2901" s="13"/>
      <c r="F2901" s="13"/>
      <c r="G2901" s="13"/>
      <c r="H2901" s="13"/>
      <c r="I2901" s="10"/>
      <c r="J2901" s="11"/>
      <c r="K2901" s="6"/>
      <c r="L2901" s="13"/>
    </row>
    <row r="2902" spans="1:12" hidden="1" x14ac:dyDescent="0.25">
      <c r="A2902" s="6"/>
      <c r="B2902" s="6"/>
      <c r="C2902" s="11"/>
      <c r="D2902" s="13"/>
      <c r="E2902" s="13"/>
      <c r="F2902" s="13"/>
      <c r="G2902" s="13"/>
      <c r="H2902" s="13"/>
      <c r="I2902" s="10"/>
      <c r="J2902" s="11"/>
      <c r="K2902" s="6"/>
      <c r="L2902" s="13"/>
    </row>
    <row r="2903" spans="1:12" hidden="1" x14ac:dyDescent="0.25">
      <c r="A2903" s="6"/>
      <c r="B2903" s="6"/>
      <c r="C2903" s="11"/>
      <c r="D2903" s="13"/>
      <c r="E2903" s="13"/>
      <c r="F2903" s="13"/>
      <c r="G2903" s="13"/>
      <c r="H2903" s="13"/>
      <c r="I2903" s="10"/>
      <c r="J2903" s="11"/>
      <c r="K2903" s="6"/>
      <c r="L2903" s="13"/>
    </row>
    <row r="2904" spans="1:12" hidden="1" x14ac:dyDescent="0.25">
      <c r="A2904" s="6"/>
      <c r="B2904" s="6"/>
      <c r="C2904" s="11"/>
      <c r="D2904" s="13"/>
      <c r="E2904" s="13"/>
      <c r="F2904" s="13"/>
      <c r="G2904" s="13"/>
      <c r="H2904" s="13"/>
      <c r="I2904" s="10"/>
      <c r="J2904" s="11"/>
      <c r="K2904" s="6"/>
      <c r="L2904" s="13"/>
    </row>
    <row r="2905" spans="1:12" hidden="1" x14ac:dyDescent="0.25">
      <c r="A2905" s="6"/>
      <c r="B2905" s="6"/>
      <c r="C2905" s="11"/>
      <c r="D2905" s="13"/>
      <c r="E2905" s="13"/>
      <c r="F2905" s="13"/>
      <c r="G2905" s="13"/>
      <c r="H2905" s="13"/>
      <c r="I2905" s="10"/>
      <c r="J2905" s="11"/>
      <c r="K2905" s="6"/>
      <c r="L2905" s="13"/>
    </row>
    <row r="2906" spans="1:12" hidden="1" x14ac:dyDescent="0.25">
      <c r="A2906" s="6"/>
      <c r="B2906" s="6"/>
      <c r="C2906" s="11"/>
      <c r="D2906" s="13"/>
      <c r="E2906" s="13"/>
      <c r="F2906" s="13"/>
      <c r="G2906" s="13"/>
      <c r="H2906" s="13"/>
      <c r="I2906" s="10"/>
      <c r="J2906" s="11"/>
      <c r="K2906" s="6"/>
      <c r="L2906" s="13"/>
    </row>
    <row r="2907" spans="1:12" hidden="1" x14ac:dyDescent="0.25">
      <c r="A2907" s="6"/>
      <c r="B2907" s="6"/>
      <c r="C2907" s="11"/>
      <c r="D2907" s="13"/>
      <c r="E2907" s="13"/>
      <c r="F2907" s="13"/>
      <c r="G2907" s="13"/>
      <c r="H2907" s="13"/>
      <c r="I2907" s="10"/>
      <c r="J2907" s="11"/>
      <c r="K2907" s="6"/>
      <c r="L2907" s="13"/>
    </row>
    <row r="2908" spans="1:12" hidden="1" x14ac:dyDescent="0.25">
      <c r="A2908" s="6"/>
      <c r="B2908" s="6"/>
      <c r="C2908" s="11"/>
      <c r="D2908" s="13"/>
      <c r="E2908" s="13"/>
      <c r="F2908" s="13"/>
      <c r="G2908" s="13"/>
      <c r="H2908" s="13"/>
      <c r="I2908" s="10"/>
      <c r="J2908" s="11"/>
      <c r="K2908" s="6"/>
      <c r="L2908" s="13"/>
    </row>
    <row r="2909" spans="1:12" hidden="1" x14ac:dyDescent="0.25">
      <c r="A2909" s="6"/>
      <c r="B2909" s="6"/>
      <c r="C2909" s="11"/>
      <c r="D2909" s="13"/>
      <c r="E2909" s="13"/>
      <c r="F2909" s="13"/>
      <c r="G2909" s="13"/>
      <c r="H2909" s="13"/>
      <c r="I2909" s="10"/>
      <c r="J2909" s="11"/>
      <c r="K2909" s="6"/>
      <c r="L2909" s="13"/>
    </row>
    <row r="2910" spans="1:12" hidden="1" x14ac:dyDescent="0.25">
      <c r="A2910" s="6"/>
      <c r="B2910" s="6"/>
      <c r="C2910" s="11"/>
      <c r="D2910" s="13"/>
      <c r="E2910" s="13"/>
      <c r="F2910" s="13"/>
      <c r="G2910" s="13"/>
      <c r="H2910" s="13"/>
      <c r="I2910" s="10"/>
      <c r="J2910" s="11"/>
      <c r="K2910" s="6"/>
      <c r="L2910" s="13"/>
    </row>
    <row r="2911" spans="1:12" hidden="1" x14ac:dyDescent="0.25">
      <c r="A2911" s="6"/>
      <c r="B2911" s="6"/>
      <c r="C2911" s="11"/>
      <c r="D2911" s="13"/>
      <c r="E2911" s="13"/>
      <c r="F2911" s="13"/>
      <c r="G2911" s="13"/>
      <c r="H2911" s="13"/>
      <c r="I2911" s="10"/>
      <c r="J2911" s="11"/>
      <c r="K2911" s="6"/>
      <c r="L2911" s="13"/>
    </row>
    <row r="2912" spans="1:12" hidden="1" x14ac:dyDescent="0.25">
      <c r="A2912" s="6"/>
      <c r="B2912" s="6"/>
      <c r="C2912" s="11"/>
      <c r="D2912" s="13"/>
      <c r="E2912" s="13"/>
      <c r="F2912" s="13"/>
      <c r="G2912" s="13"/>
      <c r="H2912" s="13"/>
      <c r="I2912" s="10"/>
      <c r="J2912" s="11"/>
      <c r="K2912" s="6"/>
      <c r="L2912" s="13"/>
    </row>
    <row r="2913" spans="1:12" hidden="1" x14ac:dyDescent="0.25">
      <c r="A2913" s="6"/>
      <c r="B2913" s="6"/>
      <c r="C2913" s="11"/>
      <c r="D2913" s="13"/>
      <c r="E2913" s="13"/>
      <c r="F2913" s="13"/>
      <c r="G2913" s="13"/>
      <c r="H2913" s="13"/>
      <c r="I2913" s="10"/>
      <c r="J2913" s="11"/>
      <c r="K2913" s="6"/>
      <c r="L2913" s="13"/>
    </row>
    <row r="2914" spans="1:12" hidden="1" x14ac:dyDescent="0.25">
      <c r="A2914" s="6"/>
      <c r="B2914" s="6"/>
      <c r="C2914" s="11"/>
      <c r="D2914" s="13"/>
      <c r="E2914" s="13"/>
      <c r="F2914" s="13"/>
      <c r="G2914" s="13"/>
      <c r="H2914" s="13"/>
      <c r="I2914" s="10"/>
      <c r="J2914" s="11"/>
      <c r="K2914" s="6"/>
      <c r="L2914" s="13"/>
    </row>
    <row r="2915" spans="1:12" hidden="1" x14ac:dyDescent="0.25">
      <c r="A2915" s="6"/>
      <c r="B2915" s="6"/>
      <c r="C2915" s="11"/>
      <c r="D2915" s="13"/>
      <c r="E2915" s="13"/>
      <c r="F2915" s="13"/>
      <c r="G2915" s="13"/>
      <c r="H2915" s="13"/>
      <c r="I2915" s="10"/>
      <c r="J2915" s="11"/>
      <c r="K2915" s="6"/>
      <c r="L2915" s="13"/>
    </row>
    <row r="2916" spans="1:12" hidden="1" x14ac:dyDescent="0.25">
      <c r="A2916" s="6"/>
      <c r="B2916" s="6"/>
      <c r="C2916" s="11"/>
      <c r="D2916" s="13"/>
      <c r="E2916" s="13"/>
      <c r="F2916" s="13"/>
      <c r="G2916" s="13"/>
      <c r="H2916" s="13"/>
      <c r="I2916" s="10"/>
      <c r="J2916" s="11"/>
      <c r="K2916" s="6"/>
      <c r="L2916" s="13"/>
    </row>
    <row r="2917" spans="1:12" hidden="1" x14ac:dyDescent="0.25">
      <c r="A2917" s="6"/>
      <c r="B2917" s="6"/>
      <c r="C2917" s="11"/>
      <c r="D2917" s="13"/>
      <c r="E2917" s="13"/>
      <c r="F2917" s="13"/>
      <c r="G2917" s="13"/>
      <c r="H2917" s="13"/>
      <c r="I2917" s="10"/>
      <c r="J2917" s="11"/>
      <c r="K2917" s="6"/>
      <c r="L2917" s="13"/>
    </row>
    <row r="2918" spans="1:12" hidden="1" x14ac:dyDescent="0.25">
      <c r="A2918" s="6"/>
      <c r="B2918" s="6"/>
      <c r="C2918" s="11"/>
      <c r="D2918" s="13"/>
      <c r="E2918" s="13"/>
      <c r="F2918" s="13"/>
      <c r="G2918" s="13"/>
      <c r="H2918" s="13"/>
      <c r="I2918" s="10"/>
      <c r="J2918" s="11"/>
      <c r="K2918" s="6"/>
      <c r="L2918" s="13"/>
    </row>
    <row r="2919" spans="1:12" hidden="1" x14ac:dyDescent="0.25">
      <c r="A2919" s="6"/>
      <c r="B2919" s="6"/>
      <c r="C2919" s="11"/>
      <c r="D2919" s="13"/>
      <c r="E2919" s="13"/>
      <c r="F2919" s="13"/>
      <c r="G2919" s="13"/>
      <c r="H2919" s="13"/>
      <c r="I2919" s="10"/>
      <c r="J2919" s="11"/>
      <c r="K2919" s="6"/>
      <c r="L2919" s="13"/>
    </row>
    <row r="2920" spans="1:12" hidden="1" x14ac:dyDescent="0.25">
      <c r="A2920" s="6"/>
      <c r="B2920" s="6"/>
      <c r="C2920" s="11"/>
      <c r="D2920" s="13"/>
      <c r="E2920" s="13"/>
      <c r="F2920" s="13"/>
      <c r="G2920" s="13"/>
      <c r="H2920" s="13"/>
      <c r="I2920" s="10"/>
      <c r="J2920" s="11"/>
      <c r="K2920" s="6"/>
      <c r="L2920" s="13"/>
    </row>
    <row r="2921" spans="1:12" hidden="1" x14ac:dyDescent="0.25">
      <c r="A2921" s="6"/>
      <c r="B2921" s="6"/>
      <c r="C2921" s="11"/>
      <c r="D2921" s="13"/>
      <c r="E2921" s="13"/>
      <c r="F2921" s="13"/>
      <c r="G2921" s="13"/>
      <c r="H2921" s="13"/>
      <c r="I2921" s="10"/>
      <c r="J2921" s="11"/>
      <c r="K2921" s="6"/>
      <c r="L2921" s="13"/>
    </row>
    <row r="2922" spans="1:12" hidden="1" x14ac:dyDescent="0.25">
      <c r="A2922" s="6"/>
      <c r="B2922" s="6"/>
      <c r="C2922" s="11"/>
      <c r="D2922" s="13"/>
      <c r="E2922" s="13"/>
      <c r="F2922" s="13"/>
      <c r="G2922" s="13"/>
      <c r="H2922" s="13"/>
      <c r="I2922" s="10"/>
      <c r="J2922" s="11"/>
      <c r="K2922" s="6"/>
      <c r="L2922" s="13"/>
    </row>
    <row r="2923" spans="1:12" hidden="1" x14ac:dyDescent="0.25">
      <c r="A2923" s="6"/>
      <c r="B2923" s="6"/>
      <c r="C2923" s="11"/>
      <c r="D2923" s="13"/>
      <c r="E2923" s="13"/>
      <c r="F2923" s="13"/>
      <c r="G2923" s="13"/>
      <c r="H2923" s="13"/>
      <c r="I2923" s="10"/>
      <c r="J2923" s="11"/>
      <c r="K2923" s="6"/>
      <c r="L2923" s="13"/>
    </row>
    <row r="2924" spans="1:12" hidden="1" x14ac:dyDescent="0.25">
      <c r="A2924" s="6"/>
      <c r="B2924" s="6"/>
      <c r="C2924" s="11"/>
      <c r="D2924" s="13"/>
      <c r="E2924" s="13"/>
      <c r="F2924" s="13"/>
      <c r="G2924" s="13"/>
      <c r="H2924" s="13"/>
      <c r="I2924" s="10"/>
      <c r="J2924" s="11"/>
      <c r="K2924" s="6"/>
      <c r="L2924" s="13"/>
    </row>
    <row r="2925" spans="1:12" hidden="1" x14ac:dyDescent="0.25">
      <c r="A2925" s="6"/>
      <c r="B2925" s="6"/>
      <c r="C2925" s="11"/>
      <c r="D2925" s="13"/>
      <c r="E2925" s="13"/>
      <c r="F2925" s="13"/>
      <c r="G2925" s="13"/>
      <c r="H2925" s="13"/>
      <c r="I2925" s="10"/>
      <c r="J2925" s="11"/>
      <c r="K2925" s="6"/>
      <c r="L2925" s="13"/>
    </row>
    <row r="2926" spans="1:12" hidden="1" x14ac:dyDescent="0.25">
      <c r="A2926" s="6"/>
      <c r="B2926" s="6"/>
      <c r="C2926" s="11"/>
      <c r="D2926" s="13"/>
      <c r="E2926" s="13"/>
      <c r="F2926" s="13"/>
      <c r="G2926" s="13"/>
      <c r="H2926" s="13"/>
      <c r="I2926" s="10"/>
      <c r="J2926" s="11"/>
      <c r="K2926" s="6"/>
      <c r="L2926" s="13"/>
    </row>
    <row r="2927" spans="1:12" hidden="1" x14ac:dyDescent="0.25">
      <c r="A2927" s="6"/>
      <c r="B2927" s="6"/>
      <c r="C2927" s="11"/>
      <c r="D2927" s="13"/>
      <c r="E2927" s="13"/>
      <c r="F2927" s="13"/>
      <c r="G2927" s="13"/>
      <c r="H2927" s="13"/>
      <c r="I2927" s="10"/>
      <c r="J2927" s="11"/>
      <c r="K2927" s="6"/>
      <c r="L2927" s="13"/>
    </row>
    <row r="2928" spans="1:12" hidden="1" x14ac:dyDescent="0.25">
      <c r="A2928" s="6"/>
      <c r="B2928" s="6"/>
      <c r="C2928" s="11"/>
      <c r="D2928" s="13"/>
      <c r="E2928" s="13"/>
      <c r="F2928" s="13"/>
      <c r="G2928" s="13"/>
      <c r="H2928" s="13"/>
      <c r="I2928" s="10"/>
      <c r="J2928" s="11"/>
      <c r="K2928" s="6"/>
      <c r="L2928" s="13"/>
    </row>
    <row r="2929" spans="1:12" hidden="1" x14ac:dyDescent="0.25">
      <c r="A2929" s="6"/>
      <c r="B2929" s="6"/>
      <c r="C2929" s="11"/>
      <c r="D2929" s="13"/>
      <c r="E2929" s="13"/>
      <c r="F2929" s="13"/>
      <c r="G2929" s="13"/>
      <c r="H2929" s="13"/>
      <c r="I2929" s="10"/>
      <c r="J2929" s="11"/>
      <c r="K2929" s="6"/>
      <c r="L2929" s="13"/>
    </row>
    <row r="2930" spans="1:12" hidden="1" x14ac:dyDescent="0.25">
      <c r="A2930" s="6"/>
      <c r="B2930" s="6"/>
      <c r="C2930" s="11"/>
      <c r="D2930" s="13"/>
      <c r="E2930" s="13"/>
      <c r="F2930" s="13"/>
      <c r="G2930" s="13"/>
      <c r="H2930" s="13"/>
      <c r="I2930" s="10"/>
      <c r="J2930" s="11"/>
      <c r="K2930" s="6"/>
      <c r="L2930" s="13"/>
    </row>
    <row r="2931" spans="1:12" hidden="1" x14ac:dyDescent="0.25">
      <c r="A2931" s="6"/>
      <c r="B2931" s="6"/>
      <c r="C2931" s="11"/>
      <c r="D2931" s="13"/>
      <c r="E2931" s="13"/>
      <c r="F2931" s="13"/>
      <c r="G2931" s="13"/>
      <c r="H2931" s="13"/>
      <c r="I2931" s="10"/>
      <c r="J2931" s="11"/>
      <c r="K2931" s="6"/>
      <c r="L2931" s="13"/>
    </row>
    <row r="2932" spans="1:12" hidden="1" x14ac:dyDescent="0.25">
      <c r="A2932" s="6"/>
      <c r="B2932" s="6"/>
      <c r="C2932" s="11"/>
      <c r="D2932" s="13"/>
      <c r="E2932" s="13"/>
      <c r="F2932" s="13"/>
      <c r="G2932" s="13"/>
      <c r="H2932" s="13"/>
      <c r="I2932" s="10"/>
      <c r="J2932" s="11"/>
      <c r="K2932" s="6"/>
      <c r="L2932" s="13"/>
    </row>
    <row r="2933" spans="1:12" hidden="1" x14ac:dyDescent="0.25">
      <c r="A2933" s="6"/>
      <c r="B2933" s="6"/>
      <c r="C2933" s="11"/>
      <c r="D2933" s="13"/>
      <c r="E2933" s="13"/>
      <c r="F2933" s="13"/>
      <c r="G2933" s="13"/>
      <c r="H2933" s="13"/>
      <c r="I2933" s="10"/>
      <c r="J2933" s="11"/>
      <c r="K2933" s="6"/>
      <c r="L2933" s="13"/>
    </row>
    <row r="2934" spans="1:12" hidden="1" x14ac:dyDescent="0.25">
      <c r="A2934" s="6"/>
      <c r="B2934" s="6"/>
      <c r="C2934" s="11"/>
      <c r="D2934" s="13"/>
      <c r="E2934" s="13"/>
      <c r="F2934" s="13"/>
      <c r="G2934" s="13"/>
      <c r="H2934" s="13"/>
      <c r="I2934" s="10"/>
      <c r="J2934" s="11"/>
      <c r="K2934" s="6"/>
      <c r="L2934" s="13"/>
    </row>
    <row r="2935" spans="1:12" hidden="1" x14ac:dyDescent="0.25">
      <c r="A2935" s="6"/>
      <c r="B2935" s="6"/>
      <c r="C2935" s="11"/>
      <c r="D2935" s="13"/>
      <c r="E2935" s="13"/>
      <c r="F2935" s="13"/>
      <c r="G2935" s="13"/>
      <c r="H2935" s="13"/>
      <c r="I2935" s="10"/>
      <c r="J2935" s="11"/>
      <c r="K2935" s="6"/>
      <c r="L2935" s="13"/>
    </row>
    <row r="2936" spans="1:12" hidden="1" x14ac:dyDescent="0.25">
      <c r="A2936" s="6"/>
      <c r="B2936" s="6"/>
      <c r="C2936" s="11"/>
      <c r="D2936" s="13"/>
      <c r="E2936" s="13"/>
      <c r="F2936" s="13"/>
      <c r="G2936" s="13"/>
      <c r="H2936" s="13"/>
      <c r="I2936" s="10"/>
      <c r="J2936" s="11"/>
      <c r="K2936" s="6"/>
      <c r="L2936" s="13"/>
    </row>
    <row r="2937" spans="1:12" hidden="1" x14ac:dyDescent="0.25">
      <c r="A2937" s="6"/>
      <c r="B2937" s="6"/>
      <c r="C2937" s="11"/>
      <c r="D2937" s="13"/>
      <c r="E2937" s="13"/>
      <c r="F2937" s="13"/>
      <c r="G2937" s="13"/>
      <c r="H2937" s="13"/>
      <c r="I2937" s="10"/>
      <c r="J2937" s="11"/>
      <c r="K2937" s="6"/>
      <c r="L2937" s="13"/>
    </row>
    <row r="2938" spans="1:12" hidden="1" x14ac:dyDescent="0.25">
      <c r="A2938" s="6"/>
      <c r="B2938" s="6"/>
      <c r="C2938" s="11"/>
      <c r="D2938" s="13"/>
      <c r="E2938" s="13"/>
      <c r="F2938" s="13"/>
      <c r="G2938" s="13"/>
      <c r="H2938" s="13"/>
      <c r="I2938" s="10"/>
      <c r="J2938" s="11"/>
      <c r="K2938" s="6"/>
      <c r="L2938" s="13"/>
    </row>
    <row r="2939" spans="1:12" hidden="1" x14ac:dyDescent="0.25">
      <c r="A2939" s="6"/>
      <c r="B2939" s="6"/>
      <c r="C2939" s="11"/>
      <c r="D2939" s="13"/>
      <c r="E2939" s="13"/>
      <c r="F2939" s="13"/>
      <c r="G2939" s="13"/>
      <c r="H2939" s="13"/>
      <c r="I2939" s="10"/>
      <c r="J2939" s="11"/>
      <c r="K2939" s="6"/>
      <c r="L2939" s="13"/>
    </row>
    <row r="2940" spans="1:12" hidden="1" x14ac:dyDescent="0.25">
      <c r="A2940" s="6"/>
      <c r="B2940" s="6"/>
      <c r="C2940" s="11"/>
      <c r="D2940" s="13"/>
      <c r="E2940" s="13"/>
      <c r="F2940" s="13"/>
      <c r="G2940" s="13"/>
      <c r="H2940" s="13"/>
      <c r="I2940" s="10"/>
      <c r="J2940" s="11"/>
      <c r="K2940" s="6"/>
      <c r="L2940" s="13"/>
    </row>
    <row r="2941" spans="1:12" hidden="1" x14ac:dyDescent="0.25">
      <c r="A2941" s="6"/>
      <c r="B2941" s="6"/>
      <c r="C2941" s="11"/>
      <c r="D2941" s="13"/>
      <c r="E2941" s="13"/>
      <c r="F2941" s="13"/>
      <c r="G2941" s="13"/>
      <c r="H2941" s="13"/>
      <c r="I2941" s="10"/>
      <c r="J2941" s="11"/>
      <c r="K2941" s="6"/>
      <c r="L2941" s="13"/>
    </row>
    <row r="2942" spans="1:12" hidden="1" x14ac:dyDescent="0.25">
      <c r="A2942" s="6"/>
      <c r="B2942" s="6"/>
      <c r="C2942" s="11"/>
      <c r="D2942" s="13"/>
      <c r="E2942" s="13"/>
      <c r="F2942" s="13"/>
      <c r="G2942" s="13"/>
      <c r="H2942" s="13"/>
      <c r="I2942" s="10"/>
      <c r="J2942" s="11"/>
      <c r="K2942" s="6"/>
      <c r="L2942" s="13"/>
    </row>
    <row r="2943" spans="1:12" hidden="1" x14ac:dyDescent="0.25">
      <c r="A2943" s="6"/>
      <c r="B2943" s="6"/>
      <c r="C2943" s="11"/>
      <c r="D2943" s="13"/>
      <c r="E2943" s="13"/>
      <c r="F2943" s="13"/>
      <c r="G2943" s="13"/>
      <c r="H2943" s="13"/>
      <c r="I2943" s="10"/>
      <c r="J2943" s="11"/>
      <c r="K2943" s="6"/>
      <c r="L2943" s="13"/>
    </row>
    <row r="2944" spans="1:12" hidden="1" x14ac:dyDescent="0.25">
      <c r="A2944" s="6"/>
      <c r="B2944" s="6"/>
      <c r="C2944" s="11"/>
      <c r="D2944" s="13"/>
      <c r="E2944" s="13"/>
      <c r="F2944" s="13"/>
      <c r="G2944" s="13"/>
      <c r="H2944" s="13"/>
      <c r="I2944" s="10"/>
      <c r="J2944" s="11"/>
      <c r="K2944" s="6"/>
      <c r="L2944" s="13"/>
    </row>
    <row r="2945" spans="1:12" hidden="1" x14ac:dyDescent="0.25">
      <c r="A2945" s="6"/>
      <c r="B2945" s="6"/>
      <c r="C2945" s="11"/>
      <c r="D2945" s="13"/>
      <c r="E2945" s="13"/>
      <c r="F2945" s="13"/>
      <c r="G2945" s="13"/>
      <c r="H2945" s="13"/>
      <c r="I2945" s="10"/>
      <c r="J2945" s="11"/>
      <c r="K2945" s="6"/>
      <c r="L2945" s="13"/>
    </row>
    <row r="2946" spans="1:12" hidden="1" x14ac:dyDescent="0.25">
      <c r="A2946" s="6"/>
      <c r="B2946" s="6"/>
      <c r="C2946" s="11"/>
      <c r="D2946" s="13"/>
      <c r="E2946" s="13"/>
      <c r="F2946" s="13"/>
      <c r="G2946" s="13"/>
      <c r="H2946" s="13"/>
      <c r="I2946" s="10"/>
      <c r="J2946" s="11"/>
      <c r="K2946" s="6"/>
      <c r="L2946" s="13"/>
    </row>
    <row r="2947" spans="1:12" hidden="1" x14ac:dyDescent="0.25">
      <c r="A2947" s="6"/>
      <c r="B2947" s="6"/>
      <c r="C2947" s="11"/>
      <c r="D2947" s="13"/>
      <c r="E2947" s="13"/>
      <c r="F2947" s="13"/>
      <c r="G2947" s="13"/>
      <c r="H2947" s="13"/>
      <c r="I2947" s="10"/>
      <c r="J2947" s="11"/>
      <c r="K2947" s="6"/>
      <c r="L2947" s="13"/>
    </row>
    <row r="2948" spans="1:12" hidden="1" x14ac:dyDescent="0.25">
      <c r="A2948" s="6"/>
      <c r="B2948" s="6"/>
      <c r="C2948" s="11"/>
      <c r="D2948" s="13"/>
      <c r="E2948" s="13"/>
      <c r="F2948" s="13"/>
      <c r="G2948" s="13"/>
      <c r="H2948" s="13"/>
      <c r="I2948" s="10"/>
      <c r="J2948" s="11"/>
      <c r="K2948" s="6"/>
      <c r="L2948" s="13"/>
    </row>
    <row r="2949" spans="1:12" hidden="1" x14ac:dyDescent="0.25">
      <c r="A2949" s="6"/>
      <c r="B2949" s="6"/>
      <c r="C2949" s="11"/>
      <c r="D2949" s="13"/>
      <c r="E2949" s="13"/>
      <c r="F2949" s="13"/>
      <c r="G2949" s="13"/>
      <c r="H2949" s="13"/>
      <c r="I2949" s="10"/>
      <c r="J2949" s="11"/>
      <c r="K2949" s="6"/>
      <c r="L2949" s="13"/>
    </row>
    <row r="2950" spans="1:12" hidden="1" x14ac:dyDescent="0.25">
      <c r="A2950" s="6"/>
      <c r="B2950" s="6"/>
      <c r="C2950" s="11"/>
      <c r="D2950" s="13"/>
      <c r="E2950" s="13"/>
      <c r="F2950" s="13"/>
      <c r="G2950" s="13"/>
      <c r="H2950" s="13"/>
      <c r="I2950" s="10"/>
      <c r="J2950" s="11"/>
      <c r="K2950" s="6"/>
      <c r="L2950" s="13"/>
    </row>
    <row r="2951" spans="1:12" hidden="1" x14ac:dyDescent="0.25">
      <c r="A2951" s="6"/>
      <c r="B2951" s="6"/>
      <c r="C2951" s="11"/>
      <c r="D2951" s="13"/>
      <c r="E2951" s="13"/>
      <c r="F2951" s="13"/>
      <c r="G2951" s="13"/>
      <c r="H2951" s="13"/>
      <c r="I2951" s="10"/>
      <c r="J2951" s="11"/>
      <c r="K2951" s="6"/>
      <c r="L2951" s="13"/>
    </row>
    <row r="2952" spans="1:12" hidden="1" x14ac:dyDescent="0.25">
      <c r="A2952" s="6"/>
      <c r="B2952" s="6"/>
      <c r="C2952" s="11"/>
      <c r="D2952" s="13"/>
      <c r="E2952" s="13"/>
      <c r="F2952" s="13"/>
      <c r="G2952" s="13"/>
      <c r="H2952" s="13"/>
      <c r="I2952" s="10"/>
      <c r="J2952" s="11"/>
      <c r="K2952" s="6"/>
      <c r="L2952" s="13"/>
    </row>
    <row r="2953" spans="1:12" hidden="1" x14ac:dyDescent="0.25">
      <c r="A2953" s="6"/>
      <c r="B2953" s="6"/>
      <c r="C2953" s="11"/>
      <c r="D2953" s="13"/>
      <c r="E2953" s="13"/>
      <c r="F2953" s="13"/>
      <c r="G2953" s="13"/>
      <c r="H2953" s="13"/>
      <c r="I2953" s="10"/>
      <c r="J2953" s="11"/>
      <c r="K2953" s="6"/>
      <c r="L2953" s="13"/>
    </row>
    <row r="2954" spans="1:12" hidden="1" x14ac:dyDescent="0.25">
      <c r="A2954" s="6"/>
      <c r="B2954" s="6"/>
      <c r="C2954" s="11"/>
      <c r="D2954" s="13"/>
      <c r="E2954" s="13"/>
      <c r="F2954" s="13"/>
      <c r="G2954" s="13"/>
      <c r="H2954" s="13"/>
      <c r="I2954" s="10"/>
      <c r="J2954" s="11"/>
      <c r="K2954" s="6"/>
      <c r="L2954" s="13"/>
    </row>
    <row r="2955" spans="1:12" hidden="1" x14ac:dyDescent="0.25">
      <c r="A2955" s="6"/>
      <c r="B2955" s="6"/>
      <c r="C2955" s="11"/>
      <c r="D2955" s="13"/>
      <c r="E2955" s="13"/>
      <c r="F2955" s="13"/>
      <c r="G2955" s="13"/>
      <c r="H2955" s="13"/>
      <c r="I2955" s="10"/>
      <c r="J2955" s="11"/>
      <c r="K2955" s="6"/>
      <c r="L2955" s="13"/>
    </row>
    <row r="2956" spans="1:12" hidden="1" x14ac:dyDescent="0.25">
      <c r="A2956" s="6"/>
      <c r="B2956" s="6"/>
      <c r="C2956" s="11"/>
      <c r="D2956" s="13"/>
      <c r="E2956" s="13"/>
      <c r="F2956" s="13"/>
      <c r="G2956" s="13"/>
      <c r="H2956" s="13"/>
      <c r="I2956" s="10"/>
      <c r="J2956" s="11"/>
      <c r="K2956" s="6"/>
      <c r="L2956" s="13"/>
    </row>
    <row r="2957" spans="1:12" hidden="1" x14ac:dyDescent="0.25">
      <c r="A2957" s="6"/>
      <c r="B2957" s="6"/>
      <c r="C2957" s="11"/>
      <c r="D2957" s="13"/>
      <c r="E2957" s="13"/>
      <c r="F2957" s="13"/>
      <c r="G2957" s="13"/>
      <c r="H2957" s="13"/>
      <c r="I2957" s="10"/>
      <c r="J2957" s="11"/>
      <c r="K2957" s="6"/>
      <c r="L2957" s="13"/>
    </row>
    <row r="2958" spans="1:12" hidden="1" x14ac:dyDescent="0.25">
      <c r="A2958" s="6"/>
      <c r="B2958" s="6"/>
      <c r="C2958" s="11"/>
      <c r="D2958" s="13"/>
      <c r="E2958" s="13"/>
      <c r="F2958" s="13"/>
      <c r="G2958" s="13"/>
      <c r="H2958" s="13"/>
      <c r="I2958" s="10"/>
      <c r="J2958" s="11"/>
      <c r="K2958" s="6"/>
      <c r="L2958" s="13"/>
    </row>
    <row r="2959" spans="1:12" hidden="1" x14ac:dyDescent="0.25">
      <c r="A2959" s="6"/>
      <c r="B2959" s="6"/>
      <c r="C2959" s="11"/>
      <c r="D2959" s="13"/>
      <c r="E2959" s="13"/>
      <c r="F2959" s="13"/>
      <c r="G2959" s="13"/>
      <c r="H2959" s="13"/>
      <c r="I2959" s="10"/>
      <c r="J2959" s="11"/>
      <c r="K2959" s="6"/>
      <c r="L2959" s="13"/>
    </row>
    <row r="2960" spans="1:12" hidden="1" x14ac:dyDescent="0.25">
      <c r="A2960" s="6"/>
      <c r="B2960" s="6"/>
      <c r="C2960" s="11"/>
      <c r="D2960" s="13"/>
      <c r="E2960" s="13"/>
      <c r="F2960" s="13"/>
      <c r="G2960" s="13"/>
      <c r="H2960" s="13"/>
      <c r="I2960" s="10"/>
      <c r="J2960" s="11"/>
      <c r="K2960" s="6"/>
      <c r="L2960" s="13"/>
    </row>
    <row r="2961" spans="1:12" hidden="1" x14ac:dyDescent="0.25">
      <c r="A2961" s="6"/>
      <c r="B2961" s="6"/>
      <c r="C2961" s="11"/>
      <c r="D2961" s="13"/>
      <c r="E2961" s="13"/>
      <c r="F2961" s="13"/>
      <c r="G2961" s="13"/>
      <c r="H2961" s="13"/>
      <c r="I2961" s="10"/>
      <c r="J2961" s="11"/>
      <c r="K2961" s="6"/>
      <c r="L2961" s="13"/>
    </row>
    <row r="2962" spans="1:12" hidden="1" x14ac:dyDescent="0.25">
      <c r="A2962" s="6"/>
      <c r="B2962" s="6"/>
      <c r="C2962" s="11"/>
      <c r="D2962" s="13"/>
      <c r="E2962" s="13"/>
      <c r="F2962" s="13"/>
      <c r="G2962" s="13"/>
      <c r="H2962" s="13"/>
      <c r="I2962" s="10"/>
      <c r="J2962" s="11"/>
      <c r="K2962" s="6"/>
      <c r="L2962" s="13"/>
    </row>
    <row r="2963" spans="1:12" hidden="1" x14ac:dyDescent="0.25">
      <c r="A2963" s="6"/>
      <c r="B2963" s="6"/>
      <c r="C2963" s="11"/>
      <c r="D2963" s="13"/>
      <c r="E2963" s="13"/>
      <c r="F2963" s="13"/>
      <c r="G2963" s="13"/>
      <c r="H2963" s="13"/>
      <c r="I2963" s="10"/>
      <c r="J2963" s="11"/>
      <c r="K2963" s="6"/>
      <c r="L2963" s="13"/>
    </row>
    <row r="2964" spans="1:12" hidden="1" x14ac:dyDescent="0.25">
      <c r="A2964" s="6"/>
      <c r="B2964" s="6"/>
      <c r="C2964" s="11"/>
      <c r="D2964" s="13"/>
      <c r="E2964" s="13"/>
      <c r="F2964" s="13"/>
      <c r="G2964" s="13"/>
      <c r="H2964" s="13"/>
      <c r="I2964" s="10"/>
      <c r="J2964" s="11"/>
      <c r="K2964" s="6"/>
      <c r="L2964" s="13"/>
    </row>
    <row r="2965" spans="1:12" hidden="1" x14ac:dyDescent="0.25">
      <c r="A2965" s="6"/>
      <c r="B2965" s="6"/>
      <c r="C2965" s="11"/>
      <c r="D2965" s="13"/>
      <c r="E2965" s="13"/>
      <c r="F2965" s="13"/>
      <c r="G2965" s="13"/>
      <c r="H2965" s="13"/>
      <c r="I2965" s="10"/>
      <c r="J2965" s="11"/>
      <c r="K2965" s="6"/>
      <c r="L2965" s="13"/>
    </row>
    <row r="2966" spans="1:12" hidden="1" x14ac:dyDescent="0.25">
      <c r="A2966" s="6"/>
      <c r="B2966" s="6"/>
      <c r="C2966" s="11"/>
      <c r="D2966" s="13"/>
      <c r="E2966" s="13"/>
      <c r="F2966" s="13"/>
      <c r="G2966" s="13"/>
      <c r="H2966" s="13"/>
      <c r="I2966" s="10"/>
      <c r="J2966" s="11"/>
      <c r="K2966" s="6"/>
      <c r="L2966" s="13"/>
    </row>
    <row r="2967" spans="1:12" hidden="1" x14ac:dyDescent="0.25">
      <c r="A2967" s="6"/>
      <c r="B2967" s="6"/>
      <c r="C2967" s="11"/>
      <c r="D2967" s="13"/>
      <c r="E2967" s="13"/>
      <c r="F2967" s="13"/>
      <c r="G2967" s="13"/>
      <c r="H2967" s="13"/>
      <c r="I2967" s="10"/>
      <c r="J2967" s="11"/>
      <c r="K2967" s="6"/>
      <c r="L2967" s="13"/>
    </row>
    <row r="2968" spans="1:12" hidden="1" x14ac:dyDescent="0.25">
      <c r="A2968" s="6"/>
      <c r="B2968" s="6"/>
      <c r="C2968" s="11"/>
      <c r="D2968" s="13"/>
      <c r="E2968" s="13"/>
      <c r="F2968" s="13"/>
      <c r="G2968" s="13"/>
      <c r="H2968" s="13"/>
      <c r="I2968" s="10"/>
      <c r="J2968" s="11"/>
      <c r="K2968" s="6"/>
      <c r="L2968" s="13"/>
    </row>
    <row r="2969" spans="1:12" hidden="1" x14ac:dyDescent="0.25">
      <c r="A2969" s="6"/>
      <c r="B2969" s="6"/>
      <c r="C2969" s="11"/>
      <c r="D2969" s="13"/>
      <c r="E2969" s="13"/>
      <c r="F2969" s="13"/>
      <c r="G2969" s="13"/>
      <c r="H2969" s="13"/>
      <c r="I2969" s="10"/>
      <c r="J2969" s="11"/>
      <c r="K2969" s="6"/>
      <c r="L2969" s="13"/>
    </row>
    <row r="2970" spans="1:12" hidden="1" x14ac:dyDescent="0.25">
      <c r="A2970" s="6"/>
      <c r="B2970" s="6"/>
      <c r="C2970" s="11"/>
      <c r="D2970" s="13"/>
      <c r="E2970" s="13"/>
      <c r="F2970" s="13"/>
      <c r="G2970" s="13"/>
      <c r="H2970" s="13"/>
      <c r="I2970" s="10"/>
      <c r="J2970" s="11"/>
      <c r="K2970" s="6"/>
      <c r="L2970" s="13"/>
    </row>
    <row r="2971" spans="1:12" hidden="1" x14ac:dyDescent="0.25">
      <c r="A2971" s="6"/>
      <c r="B2971" s="6"/>
      <c r="C2971" s="11"/>
      <c r="D2971" s="13"/>
      <c r="E2971" s="13"/>
      <c r="F2971" s="13"/>
      <c r="G2971" s="13"/>
      <c r="H2971" s="13"/>
      <c r="I2971" s="10"/>
      <c r="J2971" s="11"/>
      <c r="K2971" s="6"/>
      <c r="L2971" s="13"/>
    </row>
    <row r="2972" spans="1:12" hidden="1" x14ac:dyDescent="0.25">
      <c r="A2972" s="6"/>
      <c r="B2972" s="6"/>
      <c r="C2972" s="11"/>
      <c r="D2972" s="13"/>
      <c r="E2972" s="13"/>
      <c r="F2972" s="13"/>
      <c r="G2972" s="13"/>
      <c r="H2972" s="13"/>
      <c r="I2972" s="10"/>
      <c r="J2972" s="11"/>
      <c r="K2972" s="6"/>
      <c r="L2972" s="13"/>
    </row>
    <row r="2973" spans="1:12" hidden="1" x14ac:dyDescent="0.25">
      <c r="A2973" s="6"/>
      <c r="B2973" s="6"/>
      <c r="C2973" s="11"/>
      <c r="D2973" s="13"/>
      <c r="E2973" s="13"/>
      <c r="F2973" s="13"/>
      <c r="G2973" s="13"/>
      <c r="H2973" s="13"/>
      <c r="I2973" s="10"/>
      <c r="J2973" s="11"/>
      <c r="K2973" s="6"/>
      <c r="L2973" s="13"/>
    </row>
    <row r="2974" spans="1:12" hidden="1" x14ac:dyDescent="0.25">
      <c r="A2974" s="6"/>
      <c r="B2974" s="6"/>
      <c r="C2974" s="11"/>
      <c r="D2974" s="13"/>
      <c r="E2974" s="13"/>
      <c r="F2974" s="13"/>
      <c r="G2974" s="13"/>
      <c r="H2974" s="13"/>
      <c r="I2974" s="10"/>
      <c r="J2974" s="11"/>
      <c r="K2974" s="6"/>
      <c r="L2974" s="13"/>
    </row>
    <row r="2975" spans="1:12" hidden="1" x14ac:dyDescent="0.25">
      <c r="A2975" s="6"/>
      <c r="B2975" s="6"/>
      <c r="C2975" s="11"/>
      <c r="D2975" s="13"/>
      <c r="E2975" s="13"/>
      <c r="F2975" s="13"/>
      <c r="G2975" s="13"/>
      <c r="H2975" s="13"/>
      <c r="I2975" s="10"/>
      <c r="J2975" s="11"/>
      <c r="K2975" s="6"/>
      <c r="L2975" s="13"/>
    </row>
    <row r="2976" spans="1:12" hidden="1" x14ac:dyDescent="0.25">
      <c r="A2976" s="6"/>
      <c r="B2976" s="6"/>
      <c r="C2976" s="11"/>
      <c r="D2976" s="13"/>
      <c r="E2976" s="13"/>
      <c r="F2976" s="13"/>
      <c r="G2976" s="13"/>
      <c r="H2976" s="13"/>
      <c r="I2976" s="10"/>
      <c r="J2976" s="11"/>
      <c r="K2976" s="6"/>
      <c r="L2976" s="13"/>
    </row>
    <row r="2977" spans="1:12" hidden="1" x14ac:dyDescent="0.25">
      <c r="A2977" s="6"/>
      <c r="B2977" s="6"/>
      <c r="C2977" s="11"/>
      <c r="D2977" s="13"/>
      <c r="E2977" s="13"/>
      <c r="F2977" s="13"/>
      <c r="G2977" s="13"/>
      <c r="H2977" s="13"/>
      <c r="I2977" s="10"/>
      <c r="J2977" s="11"/>
      <c r="K2977" s="6"/>
      <c r="L2977" s="13"/>
    </row>
    <row r="2978" spans="1:12" hidden="1" x14ac:dyDescent="0.25">
      <c r="A2978" s="6"/>
      <c r="B2978" s="6"/>
      <c r="C2978" s="11"/>
      <c r="D2978" s="13"/>
      <c r="E2978" s="13"/>
      <c r="F2978" s="13"/>
      <c r="G2978" s="13"/>
      <c r="H2978" s="13"/>
      <c r="I2978" s="10"/>
      <c r="J2978" s="11"/>
      <c r="K2978" s="6"/>
      <c r="L2978" s="13"/>
    </row>
    <row r="2979" spans="1:12" hidden="1" x14ac:dyDescent="0.25">
      <c r="A2979" s="6"/>
      <c r="B2979" s="6"/>
      <c r="C2979" s="11"/>
      <c r="D2979" s="13"/>
      <c r="E2979" s="13"/>
      <c r="F2979" s="13"/>
      <c r="G2979" s="13"/>
      <c r="H2979" s="13"/>
      <c r="I2979" s="10"/>
      <c r="J2979" s="11"/>
      <c r="K2979" s="6"/>
      <c r="L2979" s="13"/>
    </row>
    <row r="2980" spans="1:12" hidden="1" x14ac:dyDescent="0.25">
      <c r="A2980" s="6"/>
      <c r="B2980" s="6"/>
      <c r="C2980" s="11"/>
      <c r="D2980" s="13"/>
      <c r="E2980" s="13"/>
      <c r="F2980" s="13"/>
      <c r="G2980" s="13"/>
      <c r="H2980" s="13"/>
      <c r="I2980" s="10"/>
      <c r="J2980" s="11"/>
      <c r="K2980" s="6"/>
      <c r="L2980" s="13"/>
    </row>
    <row r="2981" spans="1:12" hidden="1" x14ac:dyDescent="0.25">
      <c r="A2981" s="6"/>
      <c r="B2981" s="6"/>
      <c r="C2981" s="11"/>
      <c r="D2981" s="13"/>
      <c r="E2981" s="13"/>
      <c r="F2981" s="13"/>
      <c r="G2981" s="13"/>
      <c r="H2981" s="13"/>
      <c r="I2981" s="10"/>
      <c r="J2981" s="11"/>
      <c r="K2981" s="6"/>
      <c r="L2981" s="13"/>
    </row>
    <row r="2982" spans="1:12" hidden="1" x14ac:dyDescent="0.25">
      <c r="A2982" s="6"/>
      <c r="B2982" s="6"/>
      <c r="C2982" s="11"/>
      <c r="D2982" s="13"/>
      <c r="E2982" s="13"/>
      <c r="F2982" s="13"/>
      <c r="G2982" s="13"/>
      <c r="H2982" s="13"/>
      <c r="I2982" s="10"/>
      <c r="J2982" s="11"/>
      <c r="K2982" s="6"/>
      <c r="L2982" s="13"/>
    </row>
    <row r="2983" spans="1:12" hidden="1" x14ac:dyDescent="0.25">
      <c r="A2983" s="6"/>
      <c r="B2983" s="6"/>
      <c r="C2983" s="11"/>
      <c r="D2983" s="13"/>
      <c r="E2983" s="13"/>
      <c r="F2983" s="13"/>
      <c r="G2983" s="13"/>
      <c r="H2983" s="13"/>
      <c r="I2983" s="10"/>
      <c r="J2983" s="11"/>
      <c r="K2983" s="6"/>
      <c r="L2983" s="13"/>
    </row>
    <row r="2984" spans="1:12" hidden="1" x14ac:dyDescent="0.25">
      <c r="A2984" s="6"/>
      <c r="B2984" s="6"/>
      <c r="C2984" s="11"/>
      <c r="D2984" s="13"/>
      <c r="E2984" s="13"/>
      <c r="F2984" s="13"/>
      <c r="G2984" s="13"/>
      <c r="H2984" s="13"/>
      <c r="I2984" s="10"/>
      <c r="J2984" s="11"/>
      <c r="K2984" s="6"/>
      <c r="L2984" s="13"/>
    </row>
    <row r="2985" spans="1:12" hidden="1" x14ac:dyDescent="0.25">
      <c r="A2985" s="6"/>
      <c r="B2985" s="6"/>
      <c r="C2985" s="11"/>
      <c r="D2985" s="13"/>
      <c r="E2985" s="13"/>
      <c r="F2985" s="13"/>
      <c r="G2985" s="13"/>
      <c r="H2985" s="13"/>
      <c r="I2985" s="10"/>
      <c r="J2985" s="11"/>
      <c r="K2985" s="6"/>
      <c r="L2985" s="13"/>
    </row>
    <row r="2986" spans="1:12" hidden="1" x14ac:dyDescent="0.25">
      <c r="A2986" s="6"/>
      <c r="B2986" s="6"/>
      <c r="C2986" s="11"/>
      <c r="D2986" s="13"/>
      <c r="E2986" s="13"/>
      <c r="F2986" s="13"/>
      <c r="G2986" s="13"/>
      <c r="H2986" s="13"/>
      <c r="I2986" s="10"/>
      <c r="J2986" s="11"/>
      <c r="K2986" s="6"/>
      <c r="L2986" s="13"/>
    </row>
    <row r="2987" spans="1:12" hidden="1" x14ac:dyDescent="0.25">
      <c r="A2987" s="6"/>
      <c r="B2987" s="6"/>
      <c r="C2987" s="11"/>
      <c r="D2987" s="13"/>
      <c r="E2987" s="13"/>
      <c r="F2987" s="13"/>
      <c r="G2987" s="13"/>
      <c r="H2987" s="13"/>
      <c r="I2987" s="10"/>
      <c r="J2987" s="11"/>
      <c r="K2987" s="6"/>
      <c r="L2987" s="13"/>
    </row>
    <row r="2988" spans="1:12" hidden="1" x14ac:dyDescent="0.25">
      <c r="A2988" s="6"/>
      <c r="B2988" s="6"/>
      <c r="C2988" s="11"/>
      <c r="D2988" s="13"/>
      <c r="E2988" s="13"/>
      <c r="F2988" s="13"/>
      <c r="G2988" s="13"/>
      <c r="H2988" s="13"/>
      <c r="I2988" s="10"/>
      <c r="J2988" s="11"/>
      <c r="K2988" s="6"/>
      <c r="L2988" s="13"/>
    </row>
    <row r="2989" spans="1:12" hidden="1" x14ac:dyDescent="0.25">
      <c r="A2989" s="6"/>
      <c r="B2989" s="6"/>
      <c r="C2989" s="11"/>
      <c r="D2989" s="13"/>
      <c r="E2989" s="13"/>
      <c r="F2989" s="13"/>
      <c r="G2989" s="13"/>
      <c r="H2989" s="13"/>
      <c r="I2989" s="10"/>
      <c r="J2989" s="11"/>
      <c r="K2989" s="6"/>
      <c r="L2989" s="13"/>
    </row>
    <row r="2990" spans="1:12" hidden="1" x14ac:dyDescent="0.25">
      <c r="A2990" s="6"/>
      <c r="B2990" s="6"/>
      <c r="C2990" s="11"/>
      <c r="D2990" s="13"/>
      <c r="E2990" s="13"/>
      <c r="F2990" s="13"/>
      <c r="G2990" s="13"/>
      <c r="H2990" s="13"/>
      <c r="I2990" s="10"/>
      <c r="J2990" s="11"/>
      <c r="K2990" s="6"/>
      <c r="L2990" s="13"/>
    </row>
    <row r="2991" spans="1:12" hidden="1" x14ac:dyDescent="0.25">
      <c r="A2991" s="6"/>
      <c r="B2991" s="6"/>
      <c r="C2991" s="11"/>
      <c r="D2991" s="13"/>
      <c r="E2991" s="13"/>
      <c r="F2991" s="13"/>
      <c r="G2991" s="13"/>
      <c r="H2991" s="13"/>
      <c r="I2991" s="10"/>
      <c r="J2991" s="11"/>
      <c r="K2991" s="6"/>
      <c r="L2991" s="13"/>
    </row>
    <row r="2992" spans="1:12" hidden="1" x14ac:dyDescent="0.25">
      <c r="A2992" s="6"/>
      <c r="B2992" s="6"/>
      <c r="C2992" s="11"/>
      <c r="D2992" s="13"/>
      <c r="E2992" s="13"/>
      <c r="F2992" s="13"/>
      <c r="G2992" s="13"/>
      <c r="H2992" s="13"/>
      <c r="I2992" s="10"/>
      <c r="J2992" s="11"/>
      <c r="K2992" s="6"/>
      <c r="L2992" s="13"/>
    </row>
    <row r="2993" spans="1:12" hidden="1" x14ac:dyDescent="0.25">
      <c r="A2993" s="6"/>
      <c r="B2993" s="6"/>
      <c r="C2993" s="11"/>
      <c r="D2993" s="13"/>
      <c r="E2993" s="13"/>
      <c r="F2993" s="13"/>
      <c r="G2993" s="13"/>
      <c r="H2993" s="13"/>
      <c r="I2993" s="10"/>
      <c r="J2993" s="11"/>
      <c r="K2993" s="6"/>
      <c r="L2993" s="13"/>
    </row>
    <row r="2994" spans="1:12" hidden="1" x14ac:dyDescent="0.25">
      <c r="A2994" s="6"/>
      <c r="B2994" s="6"/>
      <c r="C2994" s="11"/>
      <c r="D2994" s="13"/>
      <c r="E2994" s="13"/>
      <c r="F2994" s="13"/>
      <c r="G2994" s="13"/>
      <c r="H2994" s="13"/>
      <c r="I2994" s="10"/>
      <c r="J2994" s="11"/>
      <c r="K2994" s="6"/>
      <c r="L2994" s="13"/>
    </row>
    <row r="2995" spans="1:12" hidden="1" x14ac:dyDescent="0.25">
      <c r="A2995" s="6"/>
      <c r="B2995" s="6"/>
      <c r="C2995" s="11"/>
      <c r="D2995" s="13"/>
      <c r="E2995" s="13"/>
      <c r="F2995" s="13"/>
      <c r="G2995" s="13"/>
      <c r="H2995" s="13"/>
      <c r="I2995" s="10"/>
      <c r="J2995" s="11"/>
      <c r="K2995" s="6"/>
      <c r="L2995" s="13"/>
    </row>
    <row r="2996" spans="1:12" hidden="1" x14ac:dyDescent="0.25">
      <c r="A2996" s="6"/>
      <c r="B2996" s="6"/>
      <c r="C2996" s="11"/>
      <c r="D2996" s="13"/>
      <c r="E2996" s="13"/>
      <c r="F2996" s="13"/>
      <c r="G2996" s="13"/>
      <c r="H2996" s="13"/>
      <c r="I2996" s="10"/>
      <c r="J2996" s="11"/>
      <c r="K2996" s="6"/>
      <c r="L2996" s="13"/>
    </row>
    <row r="2997" spans="1:12" hidden="1" x14ac:dyDescent="0.25">
      <c r="A2997" s="6"/>
      <c r="B2997" s="6"/>
      <c r="C2997" s="11"/>
      <c r="D2997" s="13"/>
      <c r="E2997" s="13"/>
      <c r="F2997" s="13"/>
      <c r="G2997" s="13"/>
      <c r="H2997" s="13"/>
      <c r="I2997" s="10"/>
      <c r="J2997" s="11"/>
      <c r="K2997" s="6"/>
      <c r="L2997" s="13"/>
    </row>
    <row r="2998" spans="1:12" hidden="1" x14ac:dyDescent="0.25">
      <c r="A2998" s="6"/>
      <c r="B2998" s="6"/>
      <c r="C2998" s="11"/>
      <c r="D2998" s="13"/>
      <c r="E2998" s="13"/>
      <c r="F2998" s="13"/>
      <c r="G2998" s="13"/>
      <c r="H2998" s="13"/>
      <c r="I2998" s="10"/>
      <c r="J2998" s="11"/>
      <c r="K2998" s="6"/>
      <c r="L2998" s="13"/>
    </row>
    <row r="2999" spans="1:12" hidden="1" x14ac:dyDescent="0.25">
      <c r="A2999" s="6"/>
      <c r="B2999" s="6"/>
      <c r="C2999" s="11"/>
      <c r="D2999" s="13"/>
      <c r="E2999" s="13"/>
      <c r="F2999" s="13"/>
      <c r="G2999" s="13"/>
      <c r="H2999" s="13"/>
      <c r="I2999" s="10"/>
      <c r="J2999" s="11"/>
      <c r="K2999" s="6"/>
      <c r="L2999" s="13"/>
    </row>
    <row r="3000" spans="1:12" hidden="1" x14ac:dyDescent="0.25">
      <c r="A3000" s="6"/>
      <c r="B3000" s="6"/>
      <c r="C3000" s="11"/>
      <c r="D3000" s="13"/>
      <c r="E3000" s="13"/>
      <c r="F3000" s="13"/>
      <c r="G3000" s="13"/>
      <c r="H3000" s="13"/>
      <c r="I3000" s="10"/>
      <c r="J3000" s="11"/>
      <c r="K3000" s="6"/>
      <c r="L3000" s="13"/>
    </row>
    <row r="3001" spans="1:12" hidden="1" x14ac:dyDescent="0.25">
      <c r="A3001" s="6"/>
      <c r="B3001" s="6"/>
      <c r="C3001" s="11"/>
      <c r="D3001" s="13"/>
      <c r="E3001" s="13"/>
      <c r="F3001" s="13"/>
      <c r="G3001" s="13"/>
      <c r="H3001" s="13"/>
      <c r="I3001" s="10"/>
      <c r="J3001" s="11"/>
      <c r="K3001" s="6"/>
      <c r="L3001" s="13"/>
    </row>
    <row r="3002" spans="1:12" hidden="1" x14ac:dyDescent="0.25">
      <c r="A3002" s="6"/>
      <c r="B3002" s="6"/>
      <c r="C3002" s="11"/>
      <c r="D3002" s="13"/>
      <c r="E3002" s="13"/>
      <c r="F3002" s="13"/>
      <c r="G3002" s="13"/>
      <c r="H3002" s="13"/>
      <c r="I3002" s="10"/>
      <c r="J3002" s="11"/>
      <c r="K3002" s="6"/>
      <c r="L3002" s="13"/>
    </row>
    <row r="3003" spans="1:12" hidden="1" x14ac:dyDescent="0.25">
      <c r="A3003" s="6"/>
      <c r="B3003" s="6"/>
      <c r="C3003" s="11"/>
      <c r="D3003" s="13"/>
      <c r="E3003" s="13"/>
      <c r="F3003" s="13"/>
      <c r="G3003" s="13"/>
      <c r="H3003" s="13"/>
      <c r="I3003" s="10"/>
      <c r="J3003" s="11"/>
      <c r="K3003" s="6"/>
      <c r="L3003" s="13"/>
    </row>
    <row r="3004" spans="1:12" hidden="1" x14ac:dyDescent="0.25">
      <c r="A3004" s="6"/>
      <c r="B3004" s="6"/>
      <c r="C3004" s="11"/>
      <c r="D3004" s="13"/>
      <c r="E3004" s="13"/>
      <c r="F3004" s="13"/>
      <c r="G3004" s="13"/>
      <c r="H3004" s="13"/>
      <c r="I3004" s="10"/>
      <c r="J3004" s="11"/>
      <c r="K3004" s="6"/>
      <c r="L3004" s="13"/>
    </row>
    <row r="3005" spans="1:12" hidden="1" x14ac:dyDescent="0.25">
      <c r="A3005" s="6"/>
      <c r="B3005" s="6"/>
      <c r="C3005" s="11"/>
      <c r="D3005" s="13"/>
      <c r="E3005" s="13"/>
      <c r="F3005" s="13"/>
      <c r="G3005" s="13"/>
      <c r="H3005" s="13"/>
      <c r="I3005" s="10"/>
      <c r="J3005" s="11"/>
      <c r="K3005" s="6"/>
      <c r="L3005" s="13"/>
    </row>
    <row r="3006" spans="1:12" hidden="1" x14ac:dyDescent="0.25">
      <c r="A3006" s="6"/>
      <c r="B3006" s="6"/>
      <c r="C3006" s="11"/>
      <c r="D3006" s="13"/>
      <c r="E3006" s="13"/>
      <c r="F3006" s="13"/>
      <c r="G3006" s="13"/>
      <c r="H3006" s="13"/>
      <c r="I3006" s="10"/>
      <c r="J3006" s="11"/>
      <c r="K3006" s="6"/>
      <c r="L3006" s="13"/>
    </row>
    <row r="3007" spans="1:12" hidden="1" x14ac:dyDescent="0.25">
      <c r="A3007" s="6"/>
      <c r="B3007" s="6"/>
      <c r="C3007" s="11"/>
      <c r="D3007" s="13"/>
      <c r="E3007" s="13"/>
      <c r="F3007" s="13"/>
      <c r="G3007" s="13"/>
      <c r="H3007" s="13"/>
      <c r="I3007" s="10"/>
      <c r="J3007" s="11"/>
      <c r="K3007" s="6"/>
      <c r="L3007" s="13"/>
    </row>
    <row r="3008" spans="1:12" hidden="1" x14ac:dyDescent="0.25">
      <c r="A3008" s="6"/>
      <c r="B3008" s="6"/>
      <c r="C3008" s="11"/>
      <c r="D3008" s="13"/>
      <c r="E3008" s="13"/>
      <c r="F3008" s="13"/>
      <c r="G3008" s="13"/>
      <c r="H3008" s="13"/>
      <c r="I3008" s="10"/>
      <c r="J3008" s="11"/>
      <c r="K3008" s="6"/>
      <c r="L3008" s="13"/>
    </row>
    <row r="3009" spans="1:12" hidden="1" x14ac:dyDescent="0.25">
      <c r="A3009" s="6"/>
      <c r="B3009" s="6"/>
      <c r="C3009" s="11"/>
      <c r="D3009" s="13"/>
      <c r="E3009" s="13"/>
      <c r="F3009" s="13"/>
      <c r="G3009" s="13"/>
      <c r="H3009" s="13"/>
      <c r="I3009" s="10"/>
      <c r="J3009" s="11"/>
      <c r="K3009" s="6"/>
      <c r="L3009" s="13"/>
    </row>
    <row r="3010" spans="1:12" hidden="1" x14ac:dyDescent="0.25">
      <c r="A3010" s="6"/>
      <c r="B3010" s="6"/>
      <c r="C3010" s="11"/>
      <c r="D3010" s="13"/>
      <c r="E3010" s="13"/>
      <c r="F3010" s="13"/>
      <c r="G3010" s="13"/>
      <c r="H3010" s="13"/>
      <c r="I3010" s="10"/>
      <c r="J3010" s="11"/>
      <c r="K3010" s="6"/>
      <c r="L3010" s="13"/>
    </row>
    <row r="3011" spans="1:12" hidden="1" x14ac:dyDescent="0.25">
      <c r="A3011" s="6"/>
      <c r="B3011" s="6"/>
      <c r="C3011" s="11"/>
      <c r="D3011" s="13"/>
      <c r="E3011" s="13"/>
      <c r="F3011" s="13"/>
      <c r="G3011" s="13"/>
      <c r="H3011" s="13"/>
      <c r="I3011" s="10"/>
      <c r="J3011" s="11"/>
      <c r="K3011" s="6"/>
      <c r="L3011" s="13"/>
    </row>
    <row r="3012" spans="1:12" hidden="1" x14ac:dyDescent="0.25">
      <c r="A3012" s="6"/>
      <c r="B3012" s="6"/>
      <c r="C3012" s="11"/>
      <c r="D3012" s="13"/>
      <c r="E3012" s="13"/>
      <c r="F3012" s="13"/>
      <c r="G3012" s="13"/>
      <c r="H3012" s="13"/>
      <c r="I3012" s="10"/>
      <c r="J3012" s="11"/>
      <c r="K3012" s="6"/>
      <c r="L3012" s="13"/>
    </row>
    <row r="3013" spans="1:12" hidden="1" x14ac:dyDescent="0.25">
      <c r="A3013" s="6"/>
      <c r="B3013" s="6"/>
      <c r="C3013" s="11"/>
      <c r="D3013" s="13"/>
      <c r="E3013" s="13"/>
      <c r="F3013" s="13"/>
      <c r="G3013" s="13"/>
      <c r="H3013" s="13"/>
      <c r="I3013" s="10"/>
      <c r="J3013" s="11"/>
      <c r="K3013" s="6"/>
      <c r="L3013" s="13"/>
    </row>
    <row r="3014" spans="1:12" hidden="1" x14ac:dyDescent="0.25">
      <c r="A3014" s="6"/>
      <c r="B3014" s="6"/>
      <c r="C3014" s="11"/>
      <c r="D3014" s="13"/>
      <c r="E3014" s="13"/>
      <c r="F3014" s="13"/>
      <c r="G3014" s="13"/>
      <c r="H3014" s="13"/>
      <c r="I3014" s="10"/>
      <c r="J3014" s="11"/>
      <c r="K3014" s="6"/>
      <c r="L3014" s="13"/>
    </row>
    <row r="3015" spans="1:12" hidden="1" x14ac:dyDescent="0.25">
      <c r="A3015" s="6"/>
      <c r="B3015" s="6"/>
      <c r="C3015" s="11"/>
      <c r="D3015" s="13"/>
      <c r="E3015" s="13"/>
      <c r="F3015" s="13"/>
      <c r="G3015" s="13"/>
      <c r="H3015" s="13"/>
      <c r="I3015" s="10"/>
      <c r="J3015" s="11"/>
      <c r="K3015" s="6"/>
      <c r="L3015" s="13"/>
    </row>
    <row r="3016" spans="1:12" hidden="1" x14ac:dyDescent="0.25">
      <c r="A3016" s="6"/>
      <c r="B3016" s="6"/>
      <c r="C3016" s="11"/>
      <c r="D3016" s="13"/>
      <c r="E3016" s="13"/>
      <c r="F3016" s="13"/>
      <c r="G3016" s="13"/>
      <c r="H3016" s="13"/>
      <c r="I3016" s="10"/>
      <c r="J3016" s="11"/>
      <c r="K3016" s="6"/>
      <c r="L3016" s="13"/>
    </row>
    <row r="3017" spans="1:12" hidden="1" x14ac:dyDescent="0.25">
      <c r="A3017" s="6"/>
      <c r="B3017" s="6"/>
      <c r="C3017" s="11"/>
      <c r="D3017" s="13"/>
      <c r="E3017" s="13"/>
      <c r="F3017" s="13"/>
      <c r="G3017" s="13"/>
      <c r="H3017" s="13"/>
      <c r="I3017" s="10"/>
      <c r="J3017" s="11"/>
      <c r="K3017" s="6"/>
      <c r="L3017" s="13"/>
    </row>
    <row r="3018" spans="1:12" hidden="1" x14ac:dyDescent="0.25">
      <c r="A3018" s="6"/>
      <c r="B3018" s="6"/>
      <c r="C3018" s="11"/>
      <c r="D3018" s="13"/>
      <c r="E3018" s="13"/>
      <c r="F3018" s="13"/>
      <c r="G3018" s="13"/>
      <c r="H3018" s="13"/>
      <c r="I3018" s="10"/>
      <c r="J3018" s="11"/>
      <c r="K3018" s="6"/>
      <c r="L3018" s="13"/>
    </row>
    <row r="3019" spans="1:12" hidden="1" x14ac:dyDescent="0.25">
      <c r="A3019" s="6"/>
      <c r="B3019" s="6"/>
      <c r="C3019" s="11"/>
      <c r="D3019" s="13"/>
      <c r="E3019" s="13"/>
      <c r="F3019" s="13"/>
      <c r="G3019" s="13"/>
      <c r="H3019" s="13"/>
      <c r="I3019" s="10"/>
      <c r="J3019" s="11"/>
      <c r="K3019" s="6"/>
      <c r="L3019" s="13"/>
    </row>
    <row r="3020" spans="1:12" hidden="1" x14ac:dyDescent="0.25">
      <c r="A3020" s="6"/>
      <c r="B3020" s="6"/>
      <c r="C3020" s="11"/>
      <c r="D3020" s="13"/>
      <c r="E3020" s="13"/>
      <c r="F3020" s="13"/>
      <c r="G3020" s="13"/>
      <c r="H3020" s="13"/>
      <c r="I3020" s="10"/>
      <c r="J3020" s="11"/>
      <c r="K3020" s="6"/>
      <c r="L3020" s="13"/>
    </row>
    <row r="3021" spans="1:12" hidden="1" x14ac:dyDescent="0.25">
      <c r="A3021" s="6"/>
      <c r="B3021" s="6"/>
      <c r="C3021" s="11"/>
      <c r="D3021" s="13"/>
      <c r="E3021" s="13"/>
      <c r="F3021" s="13"/>
      <c r="G3021" s="13"/>
      <c r="H3021" s="13"/>
      <c r="I3021" s="10"/>
      <c r="J3021" s="11"/>
      <c r="K3021" s="6"/>
      <c r="L3021" s="13"/>
    </row>
    <row r="3022" spans="1:12" hidden="1" x14ac:dyDescent="0.25">
      <c r="A3022" s="6"/>
      <c r="B3022" s="6"/>
      <c r="C3022" s="11"/>
      <c r="D3022" s="13"/>
      <c r="E3022" s="13"/>
      <c r="F3022" s="13"/>
      <c r="G3022" s="13"/>
      <c r="H3022" s="13"/>
      <c r="I3022" s="10"/>
      <c r="J3022" s="11"/>
      <c r="K3022" s="6"/>
      <c r="L3022" s="13"/>
    </row>
    <row r="3023" spans="1:12" hidden="1" x14ac:dyDescent="0.25">
      <c r="A3023" s="6"/>
      <c r="B3023" s="6"/>
      <c r="C3023" s="11"/>
      <c r="D3023" s="13"/>
      <c r="E3023" s="13"/>
      <c r="F3023" s="13"/>
      <c r="G3023" s="13"/>
      <c r="H3023" s="13"/>
      <c r="I3023" s="10"/>
      <c r="J3023" s="11"/>
      <c r="K3023" s="6"/>
      <c r="L3023" s="13"/>
    </row>
    <row r="3024" spans="1:12" hidden="1" x14ac:dyDescent="0.25">
      <c r="A3024" s="6"/>
      <c r="B3024" s="6"/>
      <c r="C3024" s="11"/>
      <c r="D3024" s="13"/>
      <c r="E3024" s="13"/>
      <c r="F3024" s="13"/>
      <c r="G3024" s="13"/>
      <c r="H3024" s="13"/>
      <c r="I3024" s="10"/>
      <c r="J3024" s="11"/>
      <c r="K3024" s="6"/>
      <c r="L3024" s="13"/>
    </row>
    <row r="3025" spans="1:12" hidden="1" x14ac:dyDescent="0.25">
      <c r="A3025" s="6"/>
      <c r="B3025" s="6"/>
      <c r="C3025" s="11"/>
      <c r="D3025" s="13"/>
      <c r="E3025" s="13"/>
      <c r="F3025" s="13"/>
      <c r="G3025" s="13"/>
      <c r="H3025" s="13"/>
      <c r="I3025" s="10"/>
      <c r="J3025" s="11"/>
      <c r="K3025" s="6"/>
      <c r="L3025" s="13"/>
    </row>
    <row r="3026" spans="1:12" hidden="1" x14ac:dyDescent="0.25">
      <c r="A3026" s="6"/>
      <c r="B3026" s="6"/>
      <c r="C3026" s="11"/>
      <c r="D3026" s="13"/>
      <c r="E3026" s="13"/>
      <c r="F3026" s="13"/>
      <c r="G3026" s="13"/>
      <c r="H3026" s="13"/>
      <c r="I3026" s="10"/>
      <c r="J3026" s="11"/>
      <c r="K3026" s="6"/>
      <c r="L3026" s="13"/>
    </row>
    <row r="3027" spans="1:12" hidden="1" x14ac:dyDescent="0.25">
      <c r="A3027" s="6"/>
      <c r="B3027" s="6"/>
      <c r="C3027" s="11"/>
      <c r="D3027" s="13"/>
      <c r="E3027" s="13"/>
      <c r="F3027" s="13"/>
      <c r="G3027" s="13"/>
      <c r="H3027" s="13"/>
      <c r="I3027" s="10"/>
      <c r="J3027" s="11"/>
      <c r="K3027" s="6"/>
      <c r="L3027" s="13"/>
    </row>
    <row r="3028" spans="1:12" hidden="1" x14ac:dyDescent="0.25">
      <c r="A3028" s="6"/>
      <c r="B3028" s="6"/>
      <c r="C3028" s="11"/>
      <c r="D3028" s="13"/>
      <c r="E3028" s="13"/>
      <c r="F3028" s="13"/>
      <c r="G3028" s="13"/>
      <c r="H3028" s="13"/>
      <c r="I3028" s="10"/>
      <c r="J3028" s="11"/>
      <c r="K3028" s="6"/>
      <c r="L3028" s="13"/>
    </row>
    <row r="3029" spans="1:12" hidden="1" x14ac:dyDescent="0.25">
      <c r="A3029" s="6"/>
      <c r="B3029" s="6"/>
      <c r="C3029" s="11"/>
      <c r="D3029" s="13"/>
      <c r="E3029" s="13"/>
      <c r="F3029" s="13"/>
      <c r="G3029" s="13"/>
      <c r="H3029" s="13"/>
      <c r="I3029" s="10"/>
      <c r="J3029" s="11"/>
      <c r="K3029" s="6"/>
      <c r="L3029" s="13"/>
    </row>
    <row r="3030" spans="1:12" hidden="1" x14ac:dyDescent="0.25">
      <c r="A3030" s="6"/>
      <c r="B3030" s="6"/>
      <c r="C3030" s="11"/>
      <c r="D3030" s="13"/>
      <c r="E3030" s="13"/>
      <c r="F3030" s="13"/>
      <c r="G3030" s="13"/>
      <c r="H3030" s="13"/>
      <c r="I3030" s="10"/>
      <c r="J3030" s="11"/>
      <c r="K3030" s="6"/>
      <c r="L3030" s="13"/>
    </row>
    <row r="3031" spans="1:12" hidden="1" x14ac:dyDescent="0.25">
      <c r="A3031" s="6"/>
      <c r="B3031" s="6"/>
      <c r="C3031" s="11"/>
      <c r="D3031" s="13"/>
      <c r="E3031" s="13"/>
      <c r="F3031" s="13"/>
      <c r="G3031" s="13"/>
      <c r="H3031" s="13"/>
      <c r="I3031" s="10"/>
      <c r="J3031" s="11"/>
      <c r="K3031" s="6"/>
      <c r="L3031" s="13"/>
    </row>
    <row r="3032" spans="1:12" hidden="1" x14ac:dyDescent="0.25">
      <c r="A3032" s="6"/>
      <c r="B3032" s="6"/>
      <c r="C3032" s="11"/>
      <c r="D3032" s="13"/>
      <c r="E3032" s="13"/>
      <c r="F3032" s="13"/>
      <c r="G3032" s="13"/>
      <c r="H3032" s="13"/>
      <c r="I3032" s="10"/>
      <c r="J3032" s="11"/>
      <c r="K3032" s="6"/>
      <c r="L3032" s="13"/>
    </row>
    <row r="3033" spans="1:12" hidden="1" x14ac:dyDescent="0.25">
      <c r="A3033" s="6"/>
      <c r="B3033" s="6"/>
      <c r="C3033" s="11"/>
      <c r="D3033" s="13"/>
      <c r="E3033" s="13"/>
      <c r="F3033" s="13"/>
      <c r="G3033" s="13"/>
      <c r="H3033" s="13"/>
      <c r="I3033" s="10"/>
      <c r="J3033" s="11"/>
      <c r="K3033" s="6"/>
      <c r="L3033" s="13"/>
    </row>
    <row r="3034" spans="1:12" hidden="1" x14ac:dyDescent="0.25">
      <c r="A3034" s="6"/>
      <c r="B3034" s="6"/>
      <c r="C3034" s="11"/>
      <c r="D3034" s="13"/>
      <c r="E3034" s="13"/>
      <c r="F3034" s="13"/>
      <c r="G3034" s="13"/>
      <c r="H3034" s="13"/>
      <c r="I3034" s="10"/>
      <c r="J3034" s="11"/>
      <c r="K3034" s="6"/>
      <c r="L3034" s="13"/>
    </row>
    <row r="3035" spans="1:12" hidden="1" x14ac:dyDescent="0.25">
      <c r="A3035" s="6"/>
      <c r="B3035" s="6"/>
      <c r="C3035" s="11"/>
      <c r="D3035" s="13"/>
      <c r="E3035" s="13"/>
      <c r="F3035" s="13"/>
      <c r="G3035" s="13"/>
      <c r="H3035" s="13"/>
      <c r="I3035" s="10"/>
      <c r="J3035" s="11"/>
      <c r="K3035" s="6"/>
      <c r="L3035" s="13"/>
    </row>
    <row r="3036" spans="1:12" hidden="1" x14ac:dyDescent="0.25">
      <c r="A3036" s="6"/>
      <c r="B3036" s="6"/>
      <c r="C3036" s="11"/>
      <c r="D3036" s="13"/>
      <c r="E3036" s="13"/>
      <c r="F3036" s="13"/>
      <c r="G3036" s="13"/>
      <c r="H3036" s="13"/>
      <c r="I3036" s="10"/>
      <c r="J3036" s="11"/>
      <c r="K3036" s="6"/>
      <c r="L3036" s="13"/>
    </row>
    <row r="3037" spans="1:12" hidden="1" x14ac:dyDescent="0.25">
      <c r="A3037" s="6"/>
      <c r="B3037" s="6"/>
      <c r="C3037" s="11"/>
      <c r="D3037" s="13"/>
      <c r="E3037" s="13"/>
      <c r="F3037" s="13"/>
      <c r="G3037" s="13"/>
      <c r="H3037" s="13"/>
      <c r="I3037" s="10"/>
      <c r="J3037" s="11"/>
      <c r="K3037" s="6"/>
      <c r="L3037" s="13"/>
    </row>
    <row r="3038" spans="1:12" hidden="1" x14ac:dyDescent="0.25">
      <c r="A3038" s="6"/>
      <c r="B3038" s="6"/>
      <c r="C3038" s="11"/>
      <c r="D3038" s="13"/>
      <c r="E3038" s="13"/>
      <c r="F3038" s="13"/>
      <c r="G3038" s="13"/>
      <c r="H3038" s="13"/>
      <c r="I3038" s="10"/>
      <c r="J3038" s="11"/>
      <c r="K3038" s="6"/>
      <c r="L3038" s="13"/>
    </row>
    <row r="3039" spans="1:12" hidden="1" x14ac:dyDescent="0.25">
      <c r="A3039" s="6"/>
      <c r="B3039" s="6"/>
      <c r="C3039" s="11"/>
      <c r="D3039" s="13"/>
      <c r="E3039" s="13"/>
      <c r="F3039" s="13"/>
      <c r="G3039" s="13"/>
      <c r="H3039" s="13"/>
      <c r="I3039" s="10"/>
      <c r="J3039" s="11"/>
      <c r="K3039" s="6"/>
      <c r="L3039" s="13"/>
    </row>
    <row r="3040" spans="1:12" hidden="1" x14ac:dyDescent="0.25">
      <c r="A3040" s="6"/>
      <c r="B3040" s="6"/>
      <c r="C3040" s="11"/>
      <c r="D3040" s="13"/>
      <c r="E3040" s="13"/>
      <c r="F3040" s="13"/>
      <c r="G3040" s="13"/>
      <c r="H3040" s="13"/>
      <c r="I3040" s="10"/>
      <c r="J3040" s="11"/>
      <c r="K3040" s="6"/>
      <c r="L3040" s="13"/>
    </row>
    <row r="3041" spans="1:12" hidden="1" x14ac:dyDescent="0.25">
      <c r="A3041" s="6"/>
      <c r="B3041" s="6"/>
      <c r="C3041" s="11"/>
      <c r="D3041" s="13"/>
      <c r="E3041" s="13"/>
      <c r="F3041" s="13"/>
      <c r="G3041" s="13"/>
      <c r="H3041" s="13"/>
      <c r="I3041" s="10"/>
      <c r="J3041" s="11"/>
      <c r="K3041" s="6"/>
      <c r="L3041" s="13"/>
    </row>
    <row r="3042" spans="1:12" hidden="1" x14ac:dyDescent="0.25">
      <c r="A3042" s="6"/>
      <c r="B3042" s="6"/>
      <c r="C3042" s="11"/>
      <c r="D3042" s="13"/>
      <c r="E3042" s="13"/>
      <c r="F3042" s="13"/>
      <c r="G3042" s="13"/>
      <c r="H3042" s="13"/>
      <c r="I3042" s="10"/>
      <c r="J3042" s="11"/>
      <c r="K3042" s="6"/>
      <c r="L3042" s="13"/>
    </row>
    <row r="3043" spans="1:12" hidden="1" x14ac:dyDescent="0.25">
      <c r="A3043" s="6"/>
      <c r="B3043" s="6"/>
      <c r="C3043" s="11"/>
      <c r="D3043" s="13"/>
      <c r="E3043" s="13"/>
      <c r="F3043" s="13"/>
      <c r="G3043" s="13"/>
      <c r="H3043" s="13"/>
      <c r="I3043" s="10"/>
      <c r="J3043" s="11"/>
      <c r="K3043" s="6"/>
      <c r="L3043" s="13"/>
    </row>
    <row r="3044" spans="1:12" hidden="1" x14ac:dyDescent="0.25">
      <c r="A3044" s="6"/>
      <c r="B3044" s="6"/>
      <c r="C3044" s="11"/>
      <c r="D3044" s="13"/>
      <c r="E3044" s="13"/>
      <c r="F3044" s="13"/>
      <c r="G3044" s="13"/>
      <c r="H3044" s="13"/>
      <c r="I3044" s="10"/>
      <c r="J3044" s="11"/>
      <c r="K3044" s="6"/>
      <c r="L3044" s="13"/>
    </row>
    <row r="3045" spans="1:12" hidden="1" x14ac:dyDescent="0.25">
      <c r="A3045" s="6"/>
      <c r="B3045" s="6"/>
      <c r="C3045" s="11"/>
      <c r="D3045" s="13"/>
      <c r="E3045" s="13"/>
      <c r="F3045" s="13"/>
      <c r="G3045" s="13"/>
      <c r="H3045" s="13"/>
      <c r="I3045" s="10"/>
      <c r="J3045" s="11"/>
      <c r="K3045" s="6"/>
      <c r="L3045" s="13"/>
    </row>
    <row r="3046" spans="1:12" hidden="1" x14ac:dyDescent="0.25">
      <c r="A3046" s="6"/>
      <c r="B3046" s="6"/>
      <c r="C3046" s="11"/>
      <c r="D3046" s="13"/>
      <c r="E3046" s="13"/>
      <c r="F3046" s="13"/>
      <c r="G3046" s="13"/>
      <c r="H3046" s="13"/>
      <c r="I3046" s="10"/>
      <c r="J3046" s="11"/>
      <c r="K3046" s="6"/>
      <c r="L3046" s="13"/>
    </row>
    <row r="3047" spans="1:12" hidden="1" x14ac:dyDescent="0.25">
      <c r="A3047" s="6"/>
      <c r="B3047" s="6"/>
      <c r="C3047" s="11"/>
      <c r="D3047" s="13"/>
      <c r="E3047" s="13"/>
      <c r="F3047" s="13"/>
      <c r="G3047" s="13"/>
      <c r="H3047" s="13"/>
      <c r="I3047" s="10"/>
      <c r="J3047" s="11"/>
      <c r="K3047" s="6"/>
      <c r="L3047" s="13"/>
    </row>
    <row r="3048" spans="1:12" hidden="1" x14ac:dyDescent="0.25">
      <c r="A3048" s="6"/>
      <c r="B3048" s="6"/>
      <c r="C3048" s="11"/>
      <c r="D3048" s="13"/>
      <c r="E3048" s="13"/>
      <c r="F3048" s="13"/>
      <c r="G3048" s="13"/>
      <c r="H3048" s="13"/>
      <c r="I3048" s="10"/>
      <c r="J3048" s="11"/>
      <c r="K3048" s="6"/>
      <c r="L3048" s="13"/>
    </row>
    <row r="3049" spans="1:12" hidden="1" x14ac:dyDescent="0.25">
      <c r="A3049" s="6"/>
      <c r="B3049" s="6"/>
      <c r="C3049" s="11"/>
      <c r="D3049" s="13"/>
      <c r="E3049" s="13"/>
      <c r="F3049" s="13"/>
      <c r="G3049" s="13"/>
      <c r="H3049" s="13"/>
      <c r="I3049" s="10"/>
      <c r="J3049" s="11"/>
      <c r="K3049" s="6"/>
      <c r="L3049" s="13"/>
    </row>
    <row r="3050" spans="1:12" hidden="1" x14ac:dyDescent="0.25">
      <c r="A3050" s="6"/>
      <c r="B3050" s="6"/>
      <c r="C3050" s="11"/>
      <c r="D3050" s="13"/>
      <c r="E3050" s="13"/>
      <c r="F3050" s="13"/>
      <c r="G3050" s="13"/>
      <c r="H3050" s="13"/>
      <c r="I3050" s="10"/>
      <c r="J3050" s="11"/>
      <c r="K3050" s="6"/>
      <c r="L3050" s="13"/>
    </row>
    <row r="3051" spans="1:12" hidden="1" x14ac:dyDescent="0.25">
      <c r="A3051" s="6"/>
      <c r="B3051" s="6"/>
      <c r="C3051" s="11"/>
      <c r="D3051" s="13"/>
      <c r="E3051" s="13"/>
      <c r="F3051" s="13"/>
      <c r="G3051" s="13"/>
      <c r="H3051" s="13"/>
      <c r="I3051" s="10"/>
      <c r="J3051" s="11"/>
      <c r="K3051" s="6"/>
      <c r="L3051" s="13"/>
    </row>
    <row r="3052" spans="1:12" hidden="1" x14ac:dyDescent="0.25">
      <c r="A3052" s="6"/>
      <c r="B3052" s="6"/>
      <c r="C3052" s="11"/>
      <c r="D3052" s="13"/>
      <c r="E3052" s="13"/>
      <c r="F3052" s="13"/>
      <c r="G3052" s="13"/>
      <c r="H3052" s="13"/>
      <c r="I3052" s="10"/>
      <c r="J3052" s="11"/>
      <c r="K3052" s="6"/>
      <c r="L3052" s="13"/>
    </row>
    <row r="3053" spans="1:12" hidden="1" x14ac:dyDescent="0.25">
      <c r="A3053" s="6"/>
      <c r="B3053" s="6"/>
      <c r="C3053" s="11"/>
      <c r="D3053" s="13"/>
      <c r="E3053" s="13"/>
      <c r="F3053" s="13"/>
      <c r="G3053" s="13"/>
      <c r="H3053" s="13"/>
      <c r="I3053" s="10"/>
      <c r="J3053" s="11"/>
      <c r="K3053" s="6"/>
      <c r="L3053" s="13"/>
    </row>
    <row r="3054" spans="1:12" hidden="1" x14ac:dyDescent="0.25">
      <c r="A3054" s="6"/>
      <c r="B3054" s="6"/>
      <c r="C3054" s="11"/>
      <c r="D3054" s="13"/>
      <c r="E3054" s="13"/>
      <c r="F3054" s="13"/>
      <c r="G3054" s="13"/>
      <c r="H3054" s="13"/>
      <c r="I3054" s="10"/>
      <c r="J3054" s="11"/>
      <c r="K3054" s="6"/>
      <c r="L3054" s="13"/>
    </row>
    <row r="3055" spans="1:12" hidden="1" x14ac:dyDescent="0.25">
      <c r="A3055" s="6"/>
      <c r="B3055" s="6"/>
      <c r="C3055" s="11"/>
      <c r="D3055" s="13"/>
      <c r="E3055" s="13"/>
      <c r="F3055" s="13"/>
      <c r="G3055" s="13"/>
      <c r="H3055" s="13"/>
      <c r="I3055" s="10"/>
      <c r="J3055" s="11"/>
      <c r="K3055" s="6"/>
      <c r="L3055" s="13"/>
    </row>
    <row r="3056" spans="1:12" hidden="1" x14ac:dyDescent="0.25">
      <c r="A3056" s="6"/>
      <c r="B3056" s="6"/>
      <c r="C3056" s="11"/>
      <c r="D3056" s="13"/>
      <c r="E3056" s="13"/>
      <c r="F3056" s="13"/>
      <c r="G3056" s="13"/>
      <c r="H3056" s="13"/>
      <c r="I3056" s="10"/>
      <c r="J3056" s="11"/>
      <c r="K3056" s="6"/>
      <c r="L3056" s="13"/>
    </row>
    <row r="3057" spans="1:12" hidden="1" x14ac:dyDescent="0.25">
      <c r="A3057" s="6"/>
      <c r="B3057" s="6"/>
      <c r="C3057" s="11"/>
      <c r="D3057" s="13"/>
      <c r="E3057" s="13"/>
      <c r="F3057" s="13"/>
      <c r="G3057" s="13"/>
      <c r="H3057" s="13"/>
      <c r="I3057" s="10"/>
      <c r="J3057" s="11"/>
      <c r="K3057" s="6"/>
      <c r="L3057" s="13"/>
    </row>
    <row r="3058" spans="1:12" hidden="1" x14ac:dyDescent="0.25">
      <c r="A3058" s="6"/>
      <c r="B3058" s="6"/>
      <c r="C3058" s="11"/>
      <c r="D3058" s="13"/>
      <c r="E3058" s="13"/>
      <c r="F3058" s="13"/>
      <c r="G3058" s="13"/>
      <c r="H3058" s="13"/>
      <c r="I3058" s="10"/>
      <c r="J3058" s="11"/>
      <c r="K3058" s="6"/>
      <c r="L3058" s="13"/>
    </row>
    <row r="3059" spans="1:12" hidden="1" x14ac:dyDescent="0.25">
      <c r="A3059" s="6"/>
      <c r="B3059" s="6"/>
      <c r="C3059" s="11"/>
      <c r="D3059" s="13"/>
      <c r="E3059" s="13"/>
      <c r="F3059" s="13"/>
      <c r="G3059" s="13"/>
      <c r="H3059" s="13"/>
      <c r="I3059" s="10"/>
      <c r="J3059" s="11"/>
      <c r="K3059" s="6"/>
      <c r="L3059" s="13"/>
    </row>
    <row r="3060" spans="1:12" hidden="1" x14ac:dyDescent="0.25">
      <c r="A3060" s="6"/>
      <c r="B3060" s="6"/>
      <c r="C3060" s="11"/>
      <c r="D3060" s="13"/>
      <c r="E3060" s="13"/>
      <c r="F3060" s="13"/>
      <c r="G3060" s="13"/>
      <c r="H3060" s="13"/>
      <c r="I3060" s="10"/>
      <c r="J3060" s="11"/>
      <c r="K3060" s="6"/>
      <c r="L3060" s="13"/>
    </row>
    <row r="3061" spans="1:12" hidden="1" x14ac:dyDescent="0.25">
      <c r="A3061" s="6"/>
      <c r="B3061" s="6"/>
      <c r="C3061" s="11"/>
      <c r="D3061" s="13"/>
      <c r="E3061" s="13"/>
      <c r="F3061" s="13"/>
      <c r="G3061" s="13"/>
      <c r="H3061" s="13"/>
      <c r="I3061" s="10"/>
      <c r="J3061" s="11"/>
      <c r="K3061" s="6"/>
      <c r="L3061" s="13"/>
    </row>
    <row r="3062" spans="1:12" hidden="1" x14ac:dyDescent="0.25">
      <c r="A3062" s="6"/>
      <c r="B3062" s="6"/>
      <c r="C3062" s="11"/>
      <c r="D3062" s="13"/>
      <c r="E3062" s="13"/>
      <c r="F3062" s="13"/>
      <c r="G3062" s="13"/>
      <c r="H3062" s="13"/>
      <c r="I3062" s="10"/>
      <c r="J3062" s="11"/>
      <c r="K3062" s="6"/>
      <c r="L3062" s="13"/>
    </row>
    <row r="3063" spans="1:12" hidden="1" x14ac:dyDescent="0.25">
      <c r="A3063" s="6"/>
      <c r="B3063" s="6"/>
      <c r="C3063" s="11"/>
      <c r="D3063" s="13"/>
      <c r="E3063" s="13"/>
      <c r="F3063" s="13"/>
      <c r="G3063" s="13"/>
      <c r="H3063" s="13"/>
      <c r="I3063" s="10"/>
      <c r="J3063" s="11"/>
      <c r="K3063" s="6"/>
      <c r="L3063" s="13"/>
    </row>
    <row r="3064" spans="1:12" hidden="1" x14ac:dyDescent="0.25">
      <c r="A3064" s="6"/>
      <c r="B3064" s="6"/>
      <c r="C3064" s="11"/>
      <c r="D3064" s="13"/>
      <c r="E3064" s="13"/>
      <c r="F3064" s="13"/>
      <c r="G3064" s="13"/>
      <c r="H3064" s="13"/>
      <c r="I3064" s="10"/>
      <c r="J3064" s="11"/>
      <c r="K3064" s="6"/>
      <c r="L3064" s="13"/>
    </row>
    <row r="3065" spans="1:12" hidden="1" x14ac:dyDescent="0.25">
      <c r="A3065" s="6"/>
      <c r="B3065" s="6"/>
      <c r="C3065" s="11"/>
      <c r="D3065" s="13"/>
      <c r="E3065" s="13"/>
      <c r="F3065" s="13"/>
      <c r="G3065" s="13"/>
      <c r="H3065" s="13"/>
      <c r="I3065" s="10"/>
      <c r="J3065" s="11"/>
      <c r="K3065" s="6"/>
      <c r="L3065" s="13"/>
    </row>
    <row r="3066" spans="1:12" hidden="1" x14ac:dyDescent="0.25">
      <c r="A3066" s="6"/>
      <c r="B3066" s="6"/>
      <c r="C3066" s="11"/>
      <c r="D3066" s="13"/>
      <c r="E3066" s="13"/>
      <c r="F3066" s="13"/>
      <c r="G3066" s="13"/>
      <c r="H3066" s="13"/>
      <c r="I3066" s="10"/>
      <c r="J3066" s="11"/>
      <c r="K3066" s="6"/>
      <c r="L3066" s="13"/>
    </row>
    <row r="3067" spans="1:12" hidden="1" x14ac:dyDescent="0.25">
      <c r="A3067" s="6"/>
      <c r="B3067" s="6"/>
      <c r="C3067" s="11"/>
      <c r="D3067" s="13"/>
      <c r="E3067" s="13"/>
      <c r="F3067" s="13"/>
      <c r="G3067" s="13"/>
      <c r="H3067" s="13"/>
      <c r="I3067" s="10"/>
      <c r="J3067" s="11"/>
      <c r="K3067" s="6"/>
      <c r="L3067" s="13"/>
    </row>
    <row r="3068" spans="1:12" hidden="1" x14ac:dyDescent="0.25">
      <c r="A3068" s="6"/>
      <c r="B3068" s="6"/>
      <c r="C3068" s="11"/>
      <c r="D3068" s="13"/>
      <c r="E3068" s="13"/>
      <c r="F3068" s="13"/>
      <c r="G3068" s="13"/>
      <c r="H3068" s="13"/>
      <c r="I3068" s="10"/>
      <c r="J3068" s="11"/>
      <c r="K3068" s="6"/>
      <c r="L3068" s="13"/>
    </row>
    <row r="3069" spans="1:12" hidden="1" x14ac:dyDescent="0.25">
      <c r="A3069" s="6"/>
      <c r="B3069" s="6"/>
      <c r="C3069" s="11"/>
      <c r="D3069" s="13"/>
      <c r="E3069" s="13"/>
      <c r="F3069" s="13"/>
      <c r="G3069" s="13"/>
      <c r="H3069" s="13"/>
      <c r="I3069" s="10"/>
      <c r="J3069" s="11"/>
      <c r="K3069" s="6"/>
      <c r="L3069" s="13"/>
    </row>
    <row r="3070" spans="1:12" hidden="1" x14ac:dyDescent="0.25">
      <c r="A3070" s="6"/>
      <c r="B3070" s="6"/>
      <c r="C3070" s="11"/>
      <c r="D3070" s="13"/>
      <c r="E3070" s="13"/>
      <c r="F3070" s="13"/>
      <c r="G3070" s="13"/>
      <c r="H3070" s="13"/>
      <c r="I3070" s="10"/>
      <c r="J3070" s="11"/>
      <c r="K3070" s="6"/>
      <c r="L3070" s="13"/>
    </row>
    <row r="3071" spans="1:12" hidden="1" x14ac:dyDescent="0.25">
      <c r="A3071" s="6"/>
      <c r="B3071" s="6"/>
      <c r="C3071" s="11"/>
      <c r="D3071" s="13"/>
      <c r="E3071" s="13"/>
      <c r="F3071" s="13"/>
      <c r="G3071" s="13"/>
      <c r="H3071" s="13"/>
      <c r="I3071" s="10"/>
      <c r="J3071" s="11"/>
      <c r="K3071" s="6"/>
      <c r="L3071" s="13"/>
    </row>
    <row r="3072" spans="1:12" hidden="1" x14ac:dyDescent="0.25">
      <c r="A3072" s="6"/>
      <c r="B3072" s="6"/>
      <c r="C3072" s="11"/>
      <c r="D3072" s="13"/>
      <c r="E3072" s="13"/>
      <c r="F3072" s="13"/>
      <c r="G3072" s="13"/>
      <c r="H3072" s="13"/>
      <c r="I3072" s="10"/>
      <c r="J3072" s="11"/>
      <c r="K3072" s="6"/>
      <c r="L3072" s="13"/>
    </row>
    <row r="3073" spans="1:12" hidden="1" x14ac:dyDescent="0.25">
      <c r="A3073" s="6"/>
      <c r="B3073" s="6"/>
      <c r="C3073" s="11"/>
      <c r="D3073" s="13"/>
      <c r="E3073" s="13"/>
      <c r="F3073" s="13"/>
      <c r="G3073" s="13"/>
      <c r="H3073" s="13"/>
      <c r="I3073" s="10"/>
      <c r="J3073" s="11"/>
      <c r="K3073" s="6"/>
      <c r="L3073" s="13"/>
    </row>
    <row r="3074" spans="1:12" hidden="1" x14ac:dyDescent="0.25">
      <c r="A3074" s="6"/>
      <c r="B3074" s="6"/>
      <c r="C3074" s="11"/>
      <c r="D3074" s="13"/>
      <c r="E3074" s="13"/>
      <c r="F3074" s="13"/>
      <c r="G3074" s="13"/>
      <c r="H3074" s="13"/>
      <c r="I3074" s="10"/>
      <c r="J3074" s="11"/>
      <c r="K3074" s="6"/>
      <c r="L3074" s="13"/>
    </row>
    <row r="3075" spans="1:12" hidden="1" x14ac:dyDescent="0.25">
      <c r="A3075" s="6"/>
      <c r="B3075" s="6"/>
      <c r="C3075" s="11"/>
      <c r="D3075" s="13"/>
      <c r="E3075" s="13"/>
      <c r="F3075" s="13"/>
      <c r="G3075" s="13"/>
      <c r="H3075" s="13"/>
      <c r="I3075" s="10"/>
      <c r="J3075" s="11"/>
      <c r="K3075" s="6"/>
      <c r="L3075" s="13"/>
    </row>
    <row r="3076" spans="1:12" hidden="1" x14ac:dyDescent="0.25">
      <c r="A3076" s="6"/>
      <c r="B3076" s="6"/>
      <c r="C3076" s="11"/>
      <c r="D3076" s="13"/>
      <c r="E3076" s="13"/>
      <c r="F3076" s="13"/>
      <c r="G3076" s="13"/>
      <c r="H3076" s="13"/>
      <c r="I3076" s="10"/>
      <c r="J3076" s="11"/>
      <c r="K3076" s="6"/>
      <c r="L3076" s="13"/>
    </row>
    <row r="3077" spans="1:12" hidden="1" x14ac:dyDescent="0.25">
      <c r="A3077" s="6"/>
      <c r="B3077" s="6"/>
      <c r="C3077" s="11"/>
      <c r="D3077" s="13"/>
      <c r="E3077" s="13"/>
      <c r="F3077" s="13"/>
      <c r="G3077" s="13"/>
      <c r="H3077" s="13"/>
      <c r="I3077" s="10"/>
      <c r="J3077" s="11"/>
      <c r="K3077" s="6"/>
      <c r="L3077" s="13"/>
    </row>
    <row r="3078" spans="1:12" hidden="1" x14ac:dyDescent="0.25">
      <c r="A3078" s="6"/>
      <c r="B3078" s="6"/>
      <c r="C3078" s="11"/>
      <c r="D3078" s="13"/>
      <c r="E3078" s="13"/>
      <c r="F3078" s="13"/>
      <c r="G3078" s="13"/>
      <c r="H3078" s="13"/>
      <c r="I3078" s="10"/>
      <c r="J3078" s="11"/>
      <c r="K3078" s="6"/>
      <c r="L3078" s="13"/>
    </row>
    <row r="3079" spans="1:12" hidden="1" x14ac:dyDescent="0.25">
      <c r="A3079" s="6"/>
      <c r="B3079" s="6"/>
      <c r="C3079" s="11"/>
      <c r="D3079" s="13"/>
      <c r="E3079" s="13"/>
      <c r="F3079" s="13"/>
      <c r="G3079" s="13"/>
      <c r="H3079" s="13"/>
      <c r="I3079" s="10"/>
      <c r="J3079" s="11"/>
      <c r="K3079" s="6"/>
      <c r="L3079" s="13"/>
    </row>
    <row r="3080" spans="1:12" hidden="1" x14ac:dyDescent="0.25">
      <c r="A3080" s="6"/>
      <c r="B3080" s="6"/>
      <c r="C3080" s="11"/>
      <c r="D3080" s="13"/>
      <c r="E3080" s="13"/>
      <c r="F3080" s="13"/>
      <c r="G3080" s="13"/>
      <c r="H3080" s="13"/>
      <c r="I3080" s="10"/>
      <c r="J3080" s="11"/>
      <c r="K3080" s="6"/>
      <c r="L3080" s="13"/>
    </row>
    <row r="3081" spans="1:12" hidden="1" x14ac:dyDescent="0.25">
      <c r="A3081" s="6"/>
      <c r="B3081" s="6"/>
      <c r="C3081" s="11"/>
      <c r="D3081" s="13"/>
      <c r="E3081" s="13"/>
      <c r="F3081" s="13"/>
      <c r="G3081" s="13"/>
      <c r="H3081" s="13"/>
      <c r="I3081" s="10"/>
      <c r="J3081" s="11"/>
      <c r="K3081" s="6"/>
      <c r="L3081" s="13"/>
    </row>
    <row r="3082" spans="1:12" hidden="1" x14ac:dyDescent="0.25">
      <c r="A3082" s="6"/>
      <c r="B3082" s="6"/>
      <c r="C3082" s="11"/>
      <c r="D3082" s="13"/>
      <c r="E3082" s="13"/>
      <c r="F3082" s="13"/>
      <c r="G3082" s="13"/>
      <c r="H3082" s="13"/>
      <c r="I3082" s="10"/>
      <c r="J3082" s="11"/>
      <c r="K3082" s="6"/>
      <c r="L3082" s="13"/>
    </row>
    <row r="3083" spans="1:12" hidden="1" x14ac:dyDescent="0.25">
      <c r="A3083" s="6"/>
      <c r="B3083" s="6"/>
      <c r="C3083" s="11"/>
      <c r="D3083" s="13"/>
      <c r="E3083" s="13"/>
      <c r="F3083" s="13"/>
      <c r="G3083" s="13"/>
      <c r="H3083" s="13"/>
      <c r="I3083" s="10"/>
      <c r="J3083" s="11"/>
      <c r="K3083" s="6"/>
      <c r="L3083" s="13"/>
    </row>
    <row r="3084" spans="1:12" hidden="1" x14ac:dyDescent="0.25">
      <c r="A3084" s="6"/>
      <c r="B3084" s="6"/>
      <c r="C3084" s="11"/>
      <c r="D3084" s="13"/>
      <c r="E3084" s="13"/>
      <c r="F3084" s="13"/>
      <c r="G3084" s="13"/>
      <c r="H3084" s="13"/>
      <c r="I3084" s="10"/>
      <c r="J3084" s="11"/>
      <c r="K3084" s="6"/>
      <c r="L3084" s="13"/>
    </row>
    <row r="3085" spans="1:12" hidden="1" x14ac:dyDescent="0.25">
      <c r="A3085" s="6"/>
      <c r="B3085" s="6"/>
      <c r="C3085" s="11"/>
      <c r="D3085" s="13"/>
      <c r="E3085" s="13"/>
      <c r="F3085" s="13"/>
      <c r="G3085" s="13"/>
      <c r="H3085" s="13"/>
      <c r="I3085" s="10"/>
      <c r="J3085" s="11"/>
      <c r="K3085" s="6"/>
      <c r="L3085" s="13"/>
    </row>
    <row r="3086" spans="1:12" hidden="1" x14ac:dyDescent="0.25">
      <c r="A3086" s="6"/>
      <c r="B3086" s="6"/>
      <c r="C3086" s="11"/>
      <c r="D3086" s="13"/>
      <c r="E3086" s="13"/>
      <c r="F3086" s="13"/>
      <c r="G3086" s="13"/>
      <c r="H3086" s="13"/>
      <c r="I3086" s="10"/>
      <c r="J3086" s="11"/>
      <c r="K3086" s="6"/>
      <c r="L3086" s="13"/>
    </row>
    <row r="3087" spans="1:12" hidden="1" x14ac:dyDescent="0.25">
      <c r="A3087" s="6"/>
      <c r="B3087" s="6"/>
      <c r="C3087" s="11"/>
      <c r="D3087" s="13"/>
      <c r="E3087" s="13"/>
      <c r="F3087" s="13"/>
      <c r="G3087" s="13"/>
      <c r="H3087" s="13"/>
      <c r="I3087" s="10"/>
      <c r="J3087" s="11"/>
      <c r="K3087" s="6"/>
      <c r="L3087" s="13"/>
    </row>
    <row r="3088" spans="1:12" hidden="1" x14ac:dyDescent="0.25">
      <c r="A3088" s="6"/>
      <c r="B3088" s="6"/>
      <c r="C3088" s="11"/>
      <c r="D3088" s="13"/>
      <c r="E3088" s="13"/>
      <c r="F3088" s="13"/>
      <c r="G3088" s="13"/>
      <c r="H3088" s="13"/>
      <c r="I3088" s="10"/>
      <c r="J3088" s="11"/>
      <c r="K3088" s="6"/>
      <c r="L3088" s="13"/>
    </row>
    <row r="3089" spans="1:12" hidden="1" x14ac:dyDescent="0.25">
      <c r="A3089" s="6"/>
      <c r="B3089" s="6"/>
      <c r="C3089" s="11"/>
      <c r="D3089" s="13"/>
      <c r="E3089" s="13"/>
      <c r="F3089" s="13"/>
      <c r="G3089" s="13"/>
      <c r="H3089" s="13"/>
      <c r="I3089" s="10"/>
      <c r="J3089" s="11"/>
      <c r="K3089" s="6"/>
      <c r="L3089" s="13"/>
    </row>
    <row r="3090" spans="1:12" hidden="1" x14ac:dyDescent="0.25">
      <c r="A3090" s="6"/>
      <c r="B3090" s="6"/>
      <c r="C3090" s="11"/>
      <c r="D3090" s="13"/>
      <c r="E3090" s="13"/>
      <c r="F3090" s="13"/>
      <c r="G3090" s="13"/>
      <c r="H3090" s="13"/>
      <c r="I3090" s="10"/>
      <c r="J3090" s="11"/>
      <c r="K3090" s="6"/>
      <c r="L3090" s="13"/>
    </row>
    <row r="3091" spans="1:12" hidden="1" x14ac:dyDescent="0.25">
      <c r="A3091" s="6"/>
      <c r="B3091" s="6"/>
      <c r="C3091" s="11"/>
      <c r="D3091" s="13"/>
      <c r="E3091" s="13"/>
      <c r="F3091" s="13"/>
      <c r="G3091" s="13"/>
      <c r="H3091" s="13"/>
      <c r="I3091" s="10"/>
      <c r="J3091" s="11"/>
      <c r="K3091" s="6"/>
      <c r="L3091" s="13"/>
    </row>
    <row r="3092" spans="1:12" hidden="1" x14ac:dyDescent="0.25">
      <c r="A3092" s="6"/>
      <c r="B3092" s="6"/>
      <c r="C3092" s="11"/>
      <c r="D3092" s="13"/>
      <c r="E3092" s="13"/>
      <c r="F3092" s="13"/>
      <c r="G3092" s="13"/>
      <c r="H3092" s="13"/>
      <c r="I3092" s="10"/>
      <c r="J3092" s="11"/>
      <c r="K3092" s="6"/>
      <c r="L3092" s="13"/>
    </row>
    <row r="3093" spans="1:12" hidden="1" x14ac:dyDescent="0.25">
      <c r="A3093" s="6"/>
      <c r="B3093" s="6"/>
      <c r="C3093" s="11"/>
      <c r="D3093" s="13"/>
      <c r="E3093" s="13"/>
      <c r="F3093" s="13"/>
      <c r="G3093" s="13"/>
      <c r="H3093" s="13"/>
      <c r="I3093" s="10"/>
      <c r="J3093" s="11"/>
      <c r="K3093" s="6"/>
      <c r="L3093" s="13"/>
    </row>
    <row r="3094" spans="1:12" hidden="1" x14ac:dyDescent="0.25">
      <c r="A3094" s="6"/>
      <c r="B3094" s="6"/>
      <c r="C3094" s="11"/>
      <c r="D3094" s="13"/>
      <c r="E3094" s="13"/>
      <c r="F3094" s="13"/>
      <c r="G3094" s="13"/>
      <c r="H3094" s="13"/>
      <c r="I3094" s="10"/>
      <c r="J3094" s="11"/>
      <c r="K3094" s="6"/>
      <c r="L3094" s="13"/>
    </row>
    <row r="3095" spans="1:12" hidden="1" x14ac:dyDescent="0.25">
      <c r="A3095" s="6"/>
      <c r="B3095" s="6"/>
      <c r="C3095" s="11"/>
      <c r="D3095" s="13"/>
      <c r="E3095" s="13"/>
      <c r="F3095" s="13"/>
      <c r="G3095" s="13"/>
      <c r="H3095" s="13"/>
      <c r="I3095" s="10"/>
      <c r="J3095" s="11"/>
      <c r="K3095" s="6"/>
      <c r="L3095" s="13"/>
    </row>
    <row r="3096" spans="1:12" hidden="1" x14ac:dyDescent="0.25">
      <c r="A3096" s="6"/>
      <c r="B3096" s="6"/>
      <c r="C3096" s="11"/>
      <c r="D3096" s="13"/>
      <c r="E3096" s="13"/>
      <c r="F3096" s="13"/>
      <c r="G3096" s="13"/>
      <c r="H3096" s="13"/>
      <c r="I3096" s="10"/>
      <c r="J3096" s="11"/>
      <c r="K3096" s="6"/>
      <c r="L3096" s="13"/>
    </row>
    <row r="3097" spans="1:12" hidden="1" x14ac:dyDescent="0.25">
      <c r="A3097" s="6"/>
      <c r="B3097" s="6"/>
      <c r="C3097" s="11"/>
      <c r="D3097" s="13"/>
      <c r="E3097" s="13"/>
      <c r="F3097" s="13"/>
      <c r="G3097" s="13"/>
      <c r="H3097" s="13"/>
      <c r="I3097" s="10"/>
      <c r="J3097" s="11"/>
      <c r="K3097" s="6"/>
      <c r="L3097" s="13"/>
    </row>
    <row r="3098" spans="1:12" hidden="1" x14ac:dyDescent="0.25">
      <c r="A3098" s="6"/>
      <c r="B3098" s="6"/>
      <c r="C3098" s="11"/>
      <c r="D3098" s="13"/>
      <c r="E3098" s="13"/>
      <c r="F3098" s="13"/>
      <c r="G3098" s="13"/>
      <c r="H3098" s="13"/>
      <c r="I3098" s="10"/>
      <c r="J3098" s="11"/>
      <c r="K3098" s="6"/>
      <c r="L3098" s="13"/>
    </row>
    <row r="3099" spans="1:12" hidden="1" x14ac:dyDescent="0.25">
      <c r="A3099" s="6"/>
      <c r="B3099" s="6"/>
      <c r="C3099" s="11"/>
      <c r="D3099" s="13"/>
      <c r="E3099" s="13"/>
      <c r="F3099" s="13"/>
      <c r="G3099" s="13"/>
      <c r="H3099" s="13"/>
      <c r="I3099" s="10"/>
      <c r="J3099" s="11"/>
      <c r="K3099" s="6"/>
      <c r="L3099" s="13"/>
    </row>
    <row r="3100" spans="1:12" hidden="1" x14ac:dyDescent="0.25">
      <c r="A3100" s="6"/>
      <c r="B3100" s="6"/>
      <c r="C3100" s="11"/>
      <c r="D3100" s="13"/>
      <c r="E3100" s="13"/>
      <c r="F3100" s="13"/>
      <c r="G3100" s="13"/>
      <c r="H3100" s="13"/>
      <c r="I3100" s="10"/>
      <c r="J3100" s="11"/>
      <c r="K3100" s="6"/>
      <c r="L3100" s="13"/>
    </row>
    <row r="3101" spans="1:12" hidden="1" x14ac:dyDescent="0.25">
      <c r="A3101" s="6"/>
      <c r="B3101" s="6"/>
      <c r="C3101" s="11"/>
      <c r="D3101" s="13"/>
      <c r="E3101" s="13"/>
      <c r="F3101" s="13"/>
      <c r="G3101" s="13"/>
      <c r="H3101" s="13"/>
      <c r="I3101" s="10"/>
      <c r="J3101" s="11"/>
      <c r="K3101" s="6"/>
      <c r="L3101" s="13"/>
    </row>
    <row r="3102" spans="1:12" hidden="1" x14ac:dyDescent="0.25">
      <c r="A3102" s="6"/>
      <c r="B3102" s="6"/>
      <c r="C3102" s="11"/>
      <c r="D3102" s="13"/>
      <c r="E3102" s="13"/>
      <c r="F3102" s="13"/>
      <c r="G3102" s="13"/>
      <c r="H3102" s="13"/>
      <c r="I3102" s="10"/>
      <c r="J3102" s="11"/>
      <c r="K3102" s="6"/>
      <c r="L3102" s="13"/>
    </row>
    <row r="3103" spans="1:12" hidden="1" x14ac:dyDescent="0.25">
      <c r="A3103" s="6"/>
      <c r="B3103" s="6"/>
      <c r="C3103" s="11"/>
      <c r="D3103" s="13"/>
      <c r="E3103" s="13"/>
      <c r="F3103" s="13"/>
      <c r="G3103" s="13"/>
      <c r="H3103" s="13"/>
      <c r="I3103" s="10"/>
      <c r="J3103" s="11"/>
      <c r="K3103" s="6"/>
      <c r="L3103" s="13"/>
    </row>
    <row r="3104" spans="1:12" hidden="1" x14ac:dyDescent="0.25">
      <c r="A3104" s="6"/>
      <c r="B3104" s="6"/>
      <c r="C3104" s="11"/>
      <c r="D3104" s="13"/>
      <c r="E3104" s="13"/>
      <c r="F3104" s="13"/>
      <c r="G3104" s="13"/>
      <c r="H3104" s="13"/>
      <c r="I3104" s="10"/>
      <c r="J3104" s="11"/>
      <c r="K3104" s="6"/>
      <c r="L3104" s="13"/>
    </row>
    <row r="3105" spans="1:12" hidden="1" x14ac:dyDescent="0.25">
      <c r="A3105" s="6"/>
      <c r="B3105" s="6"/>
      <c r="C3105" s="11"/>
      <c r="D3105" s="13"/>
      <c r="E3105" s="13"/>
      <c r="F3105" s="13"/>
      <c r="G3105" s="13"/>
      <c r="H3105" s="13"/>
      <c r="I3105" s="10"/>
      <c r="J3105" s="11"/>
      <c r="K3105" s="6"/>
      <c r="L3105" s="13"/>
    </row>
    <row r="3106" spans="1:12" hidden="1" x14ac:dyDescent="0.25">
      <c r="A3106" s="6"/>
      <c r="B3106" s="6"/>
      <c r="C3106" s="11"/>
      <c r="D3106" s="13"/>
      <c r="E3106" s="13"/>
      <c r="F3106" s="13"/>
      <c r="G3106" s="13"/>
      <c r="H3106" s="13"/>
      <c r="I3106" s="10"/>
      <c r="J3106" s="11"/>
      <c r="K3106" s="6"/>
      <c r="L3106" s="13"/>
    </row>
    <row r="3107" spans="1:12" hidden="1" x14ac:dyDescent="0.25">
      <c r="A3107" s="6"/>
      <c r="B3107" s="6"/>
      <c r="C3107" s="11"/>
      <c r="D3107" s="13"/>
      <c r="E3107" s="13"/>
      <c r="F3107" s="13"/>
      <c r="G3107" s="13"/>
      <c r="H3107" s="13"/>
      <c r="I3107" s="10"/>
      <c r="J3107" s="11"/>
      <c r="K3107" s="6"/>
      <c r="L3107" s="13"/>
    </row>
    <row r="3108" spans="1:12" hidden="1" x14ac:dyDescent="0.25">
      <c r="A3108" s="6"/>
      <c r="B3108" s="6"/>
      <c r="C3108" s="11"/>
      <c r="D3108" s="13"/>
      <c r="E3108" s="13"/>
      <c r="F3108" s="13"/>
      <c r="G3108" s="13"/>
      <c r="H3108" s="13"/>
      <c r="I3108" s="10"/>
      <c r="J3108" s="11"/>
      <c r="K3108" s="6"/>
      <c r="L3108" s="13"/>
    </row>
    <row r="3109" spans="1:12" hidden="1" x14ac:dyDescent="0.25">
      <c r="A3109" s="6"/>
      <c r="B3109" s="6"/>
      <c r="C3109" s="11"/>
      <c r="D3109" s="13"/>
      <c r="E3109" s="13"/>
      <c r="F3109" s="13"/>
      <c r="G3109" s="13"/>
      <c r="H3109" s="13"/>
      <c r="I3109" s="10"/>
      <c r="J3109" s="11"/>
      <c r="K3109" s="6"/>
      <c r="L3109" s="13"/>
    </row>
    <row r="3110" spans="1:12" hidden="1" x14ac:dyDescent="0.25">
      <c r="A3110" s="6"/>
      <c r="B3110" s="6"/>
      <c r="C3110" s="11"/>
      <c r="D3110" s="13"/>
      <c r="E3110" s="13"/>
      <c r="F3110" s="13"/>
      <c r="G3110" s="13"/>
      <c r="H3110" s="13"/>
      <c r="I3110" s="10"/>
      <c r="J3110" s="11"/>
      <c r="K3110" s="6"/>
      <c r="L3110" s="13"/>
    </row>
    <row r="3111" spans="1:12" hidden="1" x14ac:dyDescent="0.25">
      <c r="A3111" s="6"/>
      <c r="B3111" s="6"/>
      <c r="C3111" s="11"/>
      <c r="D3111" s="13"/>
      <c r="E3111" s="13"/>
      <c r="F3111" s="13"/>
      <c r="G3111" s="13"/>
      <c r="H3111" s="13"/>
      <c r="I3111" s="10"/>
      <c r="J3111" s="11"/>
      <c r="K3111" s="6"/>
      <c r="L3111" s="13"/>
    </row>
    <row r="3112" spans="1:12" hidden="1" x14ac:dyDescent="0.25">
      <c r="A3112" s="6"/>
      <c r="B3112" s="6"/>
      <c r="C3112" s="11"/>
      <c r="D3112" s="13"/>
      <c r="E3112" s="13"/>
      <c r="F3112" s="13"/>
      <c r="G3112" s="13"/>
      <c r="H3112" s="13"/>
      <c r="I3112" s="10"/>
      <c r="J3112" s="11"/>
      <c r="K3112" s="6"/>
      <c r="L3112" s="13"/>
    </row>
    <row r="3113" spans="1:12" hidden="1" x14ac:dyDescent="0.25">
      <c r="A3113" s="6"/>
      <c r="B3113" s="6"/>
      <c r="C3113" s="11"/>
      <c r="D3113" s="13"/>
      <c r="E3113" s="13"/>
      <c r="F3113" s="13"/>
      <c r="G3113" s="13"/>
      <c r="H3113" s="13"/>
      <c r="I3113" s="10"/>
      <c r="J3113" s="11"/>
      <c r="K3113" s="6"/>
      <c r="L3113" s="13"/>
    </row>
    <row r="3114" spans="1:12" hidden="1" x14ac:dyDescent="0.25">
      <c r="A3114" s="6"/>
      <c r="B3114" s="6"/>
      <c r="C3114" s="11"/>
      <c r="D3114" s="13"/>
      <c r="E3114" s="13"/>
      <c r="F3114" s="13"/>
      <c r="G3114" s="13"/>
      <c r="H3114" s="13"/>
      <c r="I3114" s="10"/>
      <c r="J3114" s="11"/>
      <c r="K3114" s="6"/>
      <c r="L3114" s="13"/>
    </row>
    <row r="3115" spans="1:12" hidden="1" x14ac:dyDescent="0.25">
      <c r="A3115" s="6"/>
      <c r="B3115" s="6"/>
      <c r="C3115" s="11"/>
      <c r="D3115" s="13"/>
      <c r="E3115" s="13"/>
      <c r="F3115" s="13"/>
      <c r="G3115" s="13"/>
      <c r="H3115" s="13"/>
      <c r="I3115" s="10"/>
      <c r="J3115" s="11"/>
      <c r="K3115" s="6"/>
      <c r="L3115" s="13"/>
    </row>
    <row r="3116" spans="1:12" hidden="1" x14ac:dyDescent="0.25">
      <c r="A3116" s="6"/>
      <c r="B3116" s="6"/>
      <c r="C3116" s="11"/>
      <c r="D3116" s="13"/>
      <c r="E3116" s="13"/>
      <c r="F3116" s="13"/>
      <c r="G3116" s="13"/>
      <c r="H3116" s="13"/>
      <c r="I3116" s="10"/>
      <c r="J3116" s="11"/>
      <c r="K3116" s="6"/>
      <c r="L3116" s="13"/>
    </row>
    <row r="3117" spans="1:12" hidden="1" x14ac:dyDescent="0.25">
      <c r="A3117" s="6"/>
      <c r="B3117" s="6"/>
      <c r="C3117" s="11"/>
      <c r="D3117" s="13"/>
      <c r="E3117" s="13"/>
      <c r="F3117" s="13"/>
      <c r="G3117" s="13"/>
      <c r="H3117" s="13"/>
      <c r="I3117" s="10"/>
      <c r="J3117" s="11"/>
      <c r="K3117" s="6"/>
      <c r="L3117" s="13"/>
    </row>
    <row r="3118" spans="1:12" hidden="1" x14ac:dyDescent="0.25">
      <c r="A3118" s="6"/>
      <c r="B3118" s="6"/>
      <c r="C3118" s="11"/>
      <c r="D3118" s="13"/>
      <c r="E3118" s="13"/>
      <c r="F3118" s="13"/>
      <c r="G3118" s="13"/>
      <c r="H3118" s="13"/>
      <c r="I3118" s="10"/>
      <c r="J3118" s="11"/>
      <c r="K3118" s="6"/>
      <c r="L3118" s="13"/>
    </row>
    <row r="3119" spans="1:12" hidden="1" x14ac:dyDescent="0.25">
      <c r="A3119" s="6"/>
      <c r="B3119" s="6"/>
      <c r="C3119" s="11"/>
      <c r="D3119" s="13"/>
      <c r="E3119" s="13"/>
      <c r="F3119" s="13"/>
      <c r="G3119" s="13"/>
      <c r="H3119" s="13"/>
      <c r="I3119" s="10"/>
      <c r="J3119" s="11"/>
      <c r="K3119" s="6"/>
      <c r="L3119" s="13"/>
    </row>
    <row r="3120" spans="1:12" hidden="1" x14ac:dyDescent="0.25">
      <c r="A3120" s="6"/>
      <c r="B3120" s="6"/>
      <c r="C3120" s="11"/>
      <c r="D3120" s="13"/>
      <c r="E3120" s="13"/>
      <c r="F3120" s="13"/>
      <c r="G3120" s="13"/>
      <c r="H3120" s="13"/>
      <c r="I3120" s="10"/>
      <c r="J3120" s="11"/>
      <c r="K3120" s="6"/>
      <c r="L3120" s="13"/>
    </row>
    <row r="3121" spans="1:12" hidden="1" x14ac:dyDescent="0.25">
      <c r="A3121" s="6"/>
      <c r="B3121" s="6"/>
      <c r="C3121" s="11"/>
      <c r="D3121" s="13"/>
      <c r="E3121" s="13"/>
      <c r="F3121" s="13"/>
      <c r="G3121" s="13"/>
      <c r="H3121" s="13"/>
      <c r="I3121" s="10"/>
      <c r="J3121" s="11"/>
      <c r="K3121" s="6"/>
      <c r="L3121" s="13"/>
    </row>
    <row r="3122" spans="1:12" hidden="1" x14ac:dyDescent="0.25">
      <c r="A3122" s="6"/>
      <c r="B3122" s="6"/>
      <c r="C3122" s="11"/>
      <c r="D3122" s="13"/>
      <c r="E3122" s="13"/>
      <c r="F3122" s="13"/>
      <c r="G3122" s="13"/>
      <c r="H3122" s="13"/>
      <c r="I3122" s="10"/>
      <c r="J3122" s="11"/>
      <c r="K3122" s="6"/>
      <c r="L3122" s="13"/>
    </row>
    <row r="3123" spans="1:12" hidden="1" x14ac:dyDescent="0.25">
      <c r="A3123" s="6"/>
      <c r="B3123" s="6"/>
      <c r="C3123" s="11"/>
      <c r="D3123" s="13"/>
      <c r="E3123" s="13"/>
      <c r="F3123" s="13"/>
      <c r="G3123" s="13"/>
      <c r="H3123" s="13"/>
      <c r="I3123" s="10"/>
      <c r="J3123" s="11"/>
      <c r="K3123" s="6"/>
      <c r="L3123" s="13"/>
    </row>
    <row r="3124" spans="1:12" hidden="1" x14ac:dyDescent="0.25">
      <c r="A3124" s="6"/>
      <c r="B3124" s="6"/>
      <c r="C3124" s="11"/>
      <c r="D3124" s="13"/>
      <c r="E3124" s="13"/>
      <c r="F3124" s="13"/>
      <c r="G3124" s="13"/>
      <c r="H3124" s="13"/>
      <c r="I3124" s="10"/>
      <c r="J3124" s="11"/>
      <c r="K3124" s="6"/>
      <c r="L3124" s="13"/>
    </row>
    <row r="3125" spans="1:12" hidden="1" x14ac:dyDescent="0.25">
      <c r="A3125" s="6"/>
      <c r="B3125" s="6"/>
      <c r="C3125" s="11"/>
      <c r="D3125" s="13"/>
      <c r="E3125" s="13"/>
      <c r="F3125" s="13"/>
      <c r="G3125" s="13"/>
      <c r="H3125" s="13"/>
      <c r="I3125" s="10"/>
      <c r="J3125" s="11"/>
      <c r="K3125" s="6"/>
      <c r="L3125" s="13"/>
    </row>
    <row r="3126" spans="1:12" hidden="1" x14ac:dyDescent="0.25">
      <c r="A3126" s="6"/>
      <c r="B3126" s="6"/>
      <c r="C3126" s="11"/>
      <c r="D3126" s="13"/>
      <c r="E3126" s="13"/>
      <c r="F3126" s="13"/>
      <c r="G3126" s="13"/>
      <c r="H3126" s="13"/>
      <c r="I3126" s="10"/>
      <c r="J3126" s="11"/>
      <c r="K3126" s="6"/>
      <c r="L3126" s="13"/>
    </row>
    <row r="3127" spans="1:12" hidden="1" x14ac:dyDescent="0.25">
      <c r="A3127" s="6"/>
      <c r="B3127" s="6"/>
      <c r="C3127" s="11"/>
      <c r="D3127" s="13"/>
      <c r="E3127" s="13"/>
      <c r="F3127" s="13"/>
      <c r="G3127" s="13"/>
      <c r="H3127" s="13"/>
      <c r="I3127" s="10"/>
      <c r="J3127" s="11"/>
      <c r="K3127" s="6"/>
      <c r="L3127" s="13"/>
    </row>
    <row r="3128" spans="1:12" hidden="1" x14ac:dyDescent="0.25">
      <c r="A3128" s="6"/>
      <c r="B3128" s="6"/>
      <c r="C3128" s="11"/>
      <c r="D3128" s="13"/>
      <c r="E3128" s="13"/>
      <c r="F3128" s="13"/>
      <c r="G3128" s="13"/>
      <c r="H3128" s="13"/>
      <c r="I3128" s="10"/>
      <c r="J3128" s="11"/>
      <c r="K3128" s="6"/>
      <c r="L3128" s="13"/>
    </row>
    <row r="3129" spans="1:12" hidden="1" x14ac:dyDescent="0.25">
      <c r="A3129" s="6"/>
      <c r="B3129" s="6"/>
      <c r="C3129" s="11"/>
      <c r="D3129" s="13"/>
      <c r="E3129" s="13"/>
      <c r="F3129" s="13"/>
      <c r="G3129" s="13"/>
      <c r="H3129" s="13"/>
      <c r="I3129" s="10"/>
      <c r="J3129" s="11"/>
      <c r="K3129" s="6"/>
      <c r="L3129" s="13"/>
    </row>
    <row r="3130" spans="1:12" hidden="1" x14ac:dyDescent="0.25">
      <c r="A3130" s="6"/>
      <c r="B3130" s="6"/>
      <c r="C3130" s="11"/>
      <c r="D3130" s="13"/>
      <c r="E3130" s="13"/>
      <c r="F3130" s="13"/>
      <c r="G3130" s="13"/>
      <c r="H3130" s="13"/>
      <c r="I3130" s="10"/>
      <c r="J3130" s="11"/>
      <c r="K3130" s="6"/>
      <c r="L3130" s="13"/>
    </row>
    <row r="3131" spans="1:12" hidden="1" x14ac:dyDescent="0.25">
      <c r="A3131" s="6"/>
      <c r="B3131" s="6"/>
      <c r="C3131" s="11"/>
      <c r="D3131" s="13"/>
      <c r="E3131" s="13"/>
      <c r="F3131" s="13"/>
      <c r="G3131" s="13"/>
      <c r="H3131" s="13"/>
      <c r="I3131" s="10"/>
      <c r="J3131" s="11"/>
      <c r="K3131" s="6"/>
      <c r="L3131" s="13"/>
    </row>
    <row r="3132" spans="1:12" hidden="1" x14ac:dyDescent="0.25">
      <c r="A3132" s="6"/>
      <c r="B3132" s="6"/>
      <c r="C3132" s="11"/>
      <c r="D3132" s="13"/>
      <c r="E3132" s="13"/>
      <c r="F3132" s="13"/>
      <c r="G3132" s="13"/>
      <c r="H3132" s="13"/>
      <c r="I3132" s="10"/>
      <c r="J3132" s="11"/>
      <c r="K3132" s="6"/>
      <c r="L3132" s="13"/>
    </row>
    <row r="3133" spans="1:12" hidden="1" x14ac:dyDescent="0.25">
      <c r="A3133" s="6"/>
      <c r="B3133" s="6"/>
      <c r="C3133" s="11"/>
      <c r="D3133" s="13"/>
      <c r="E3133" s="13"/>
      <c r="F3133" s="13"/>
      <c r="G3133" s="13"/>
      <c r="H3133" s="13"/>
      <c r="I3133" s="10"/>
      <c r="J3133" s="11"/>
      <c r="K3133" s="6"/>
      <c r="L3133" s="13"/>
    </row>
    <row r="3134" spans="1:12" hidden="1" x14ac:dyDescent="0.25">
      <c r="A3134" s="6"/>
      <c r="B3134" s="6"/>
      <c r="C3134" s="11"/>
      <c r="D3134" s="13"/>
      <c r="E3134" s="13"/>
      <c r="F3134" s="13"/>
      <c r="G3134" s="13"/>
      <c r="H3134" s="13"/>
      <c r="I3134" s="10"/>
      <c r="J3134" s="11"/>
      <c r="K3134" s="6"/>
      <c r="L3134" s="13"/>
    </row>
    <row r="3135" spans="1:12" hidden="1" x14ac:dyDescent="0.25">
      <c r="A3135" s="6"/>
      <c r="B3135" s="6"/>
      <c r="C3135" s="11"/>
      <c r="D3135" s="13"/>
      <c r="E3135" s="13"/>
      <c r="F3135" s="13"/>
      <c r="G3135" s="13"/>
      <c r="H3135" s="13"/>
      <c r="I3135" s="10"/>
      <c r="J3135" s="11"/>
      <c r="K3135" s="6"/>
      <c r="L3135" s="13"/>
    </row>
    <row r="3136" spans="1:12" hidden="1" x14ac:dyDescent="0.25">
      <c r="A3136" s="6"/>
      <c r="B3136" s="6"/>
      <c r="C3136" s="11"/>
      <c r="D3136" s="13"/>
      <c r="E3136" s="13"/>
      <c r="F3136" s="13"/>
      <c r="G3136" s="13"/>
      <c r="H3136" s="13"/>
      <c r="I3136" s="10"/>
      <c r="J3136" s="11"/>
      <c r="K3136" s="6"/>
      <c r="L3136" s="13"/>
    </row>
    <row r="3137" spans="1:12" hidden="1" x14ac:dyDescent="0.25">
      <c r="A3137" s="6"/>
      <c r="B3137" s="6"/>
      <c r="C3137" s="11"/>
      <c r="D3137" s="13"/>
      <c r="E3137" s="13"/>
      <c r="F3137" s="13"/>
      <c r="G3137" s="13"/>
      <c r="H3137" s="13"/>
      <c r="I3137" s="10"/>
      <c r="J3137" s="11"/>
      <c r="K3137" s="6"/>
      <c r="L3137" s="13"/>
    </row>
    <row r="3138" spans="1:12" hidden="1" x14ac:dyDescent="0.25">
      <c r="A3138" s="6"/>
      <c r="B3138" s="6"/>
      <c r="C3138" s="11"/>
      <c r="D3138" s="13"/>
      <c r="E3138" s="13"/>
      <c r="F3138" s="13"/>
      <c r="G3138" s="13"/>
      <c r="H3138" s="13"/>
      <c r="I3138" s="10"/>
      <c r="J3138" s="11"/>
      <c r="K3138" s="6"/>
      <c r="L3138" s="13"/>
    </row>
    <row r="3139" spans="1:12" hidden="1" x14ac:dyDescent="0.25">
      <c r="A3139" s="6"/>
      <c r="B3139" s="6"/>
      <c r="C3139" s="11"/>
      <c r="D3139" s="13"/>
      <c r="E3139" s="13"/>
      <c r="F3139" s="13"/>
      <c r="G3139" s="13"/>
      <c r="H3139" s="13"/>
      <c r="I3139" s="10"/>
      <c r="J3139" s="11"/>
      <c r="K3139" s="6"/>
      <c r="L3139" s="13"/>
    </row>
    <row r="3140" spans="1:12" hidden="1" x14ac:dyDescent="0.25">
      <c r="A3140" s="6"/>
      <c r="B3140" s="6"/>
      <c r="C3140" s="11"/>
      <c r="D3140" s="13"/>
      <c r="E3140" s="13"/>
      <c r="F3140" s="13"/>
      <c r="G3140" s="13"/>
      <c r="H3140" s="13"/>
      <c r="I3140" s="10"/>
      <c r="J3140" s="11"/>
      <c r="K3140" s="6"/>
      <c r="L3140" s="13"/>
    </row>
    <row r="3141" spans="1:12" hidden="1" x14ac:dyDescent="0.25">
      <c r="A3141" s="6"/>
      <c r="B3141" s="6"/>
      <c r="C3141" s="11"/>
      <c r="D3141" s="13"/>
      <c r="E3141" s="13"/>
      <c r="F3141" s="13"/>
      <c r="G3141" s="13"/>
      <c r="H3141" s="13"/>
      <c r="I3141" s="10"/>
      <c r="J3141" s="11"/>
      <c r="K3141" s="6"/>
      <c r="L3141" s="13"/>
    </row>
    <row r="3142" spans="1:12" hidden="1" x14ac:dyDescent="0.25">
      <c r="A3142" s="6"/>
      <c r="B3142" s="6"/>
      <c r="C3142" s="11"/>
      <c r="D3142" s="13"/>
      <c r="E3142" s="13"/>
      <c r="F3142" s="13"/>
      <c r="G3142" s="13"/>
      <c r="H3142" s="13"/>
      <c r="I3142" s="10"/>
      <c r="J3142" s="11"/>
      <c r="K3142" s="6"/>
      <c r="L3142" s="13"/>
    </row>
    <row r="3143" spans="1:12" hidden="1" x14ac:dyDescent="0.25">
      <c r="A3143" s="6"/>
      <c r="B3143" s="6"/>
      <c r="C3143" s="11"/>
      <c r="D3143" s="13"/>
      <c r="E3143" s="13"/>
      <c r="F3143" s="13"/>
      <c r="G3143" s="13"/>
      <c r="H3143" s="13"/>
      <c r="I3143" s="10"/>
      <c r="J3143" s="11"/>
      <c r="K3143" s="6"/>
      <c r="L3143" s="13"/>
    </row>
    <row r="3144" spans="1:12" hidden="1" x14ac:dyDescent="0.25">
      <c r="A3144" s="6"/>
      <c r="B3144" s="6"/>
      <c r="C3144" s="11"/>
      <c r="D3144" s="13"/>
      <c r="E3144" s="13"/>
      <c r="F3144" s="13"/>
      <c r="G3144" s="13"/>
      <c r="H3144" s="13"/>
      <c r="I3144" s="10"/>
      <c r="J3144" s="11"/>
      <c r="K3144" s="6"/>
      <c r="L3144" s="13"/>
    </row>
    <row r="3145" spans="1:12" hidden="1" x14ac:dyDescent="0.25">
      <c r="A3145" s="6"/>
      <c r="B3145" s="6"/>
      <c r="C3145" s="11"/>
      <c r="D3145" s="13"/>
      <c r="E3145" s="13"/>
      <c r="F3145" s="13"/>
      <c r="G3145" s="13"/>
      <c r="H3145" s="13"/>
      <c r="I3145" s="10"/>
      <c r="J3145" s="11"/>
      <c r="K3145" s="6"/>
      <c r="L3145" s="13"/>
    </row>
    <row r="3146" spans="1:12" hidden="1" x14ac:dyDescent="0.25">
      <c r="A3146" s="6"/>
      <c r="B3146" s="6"/>
      <c r="C3146" s="11"/>
      <c r="D3146" s="13"/>
      <c r="E3146" s="13"/>
      <c r="F3146" s="13"/>
      <c r="G3146" s="13"/>
      <c r="H3146" s="13"/>
      <c r="I3146" s="10"/>
      <c r="J3146" s="11"/>
      <c r="K3146" s="6"/>
      <c r="L3146" s="13"/>
    </row>
    <row r="3147" spans="1:12" hidden="1" x14ac:dyDescent="0.25">
      <c r="A3147" s="6"/>
      <c r="B3147" s="6"/>
      <c r="C3147" s="11"/>
      <c r="D3147" s="13"/>
      <c r="E3147" s="13"/>
      <c r="F3147" s="13"/>
      <c r="G3147" s="13"/>
      <c r="H3147" s="13"/>
      <c r="I3147" s="10"/>
      <c r="J3147" s="11"/>
      <c r="K3147" s="6"/>
      <c r="L3147" s="13"/>
    </row>
    <row r="3148" spans="1:12" hidden="1" x14ac:dyDescent="0.25">
      <c r="A3148" s="6"/>
      <c r="B3148" s="6"/>
      <c r="C3148" s="11"/>
      <c r="D3148" s="13"/>
      <c r="E3148" s="13"/>
      <c r="F3148" s="13"/>
      <c r="G3148" s="13"/>
      <c r="H3148" s="13"/>
      <c r="I3148" s="10"/>
      <c r="J3148" s="11"/>
      <c r="K3148" s="6"/>
      <c r="L3148" s="13"/>
    </row>
    <row r="3149" spans="1:12" hidden="1" x14ac:dyDescent="0.25">
      <c r="A3149" s="6"/>
      <c r="B3149" s="6"/>
      <c r="C3149" s="11"/>
      <c r="D3149" s="13"/>
      <c r="E3149" s="13"/>
      <c r="F3149" s="13"/>
      <c r="G3149" s="13"/>
      <c r="H3149" s="13"/>
      <c r="I3149" s="10"/>
      <c r="J3149" s="11"/>
      <c r="K3149" s="6"/>
      <c r="L3149" s="13"/>
    </row>
    <row r="3150" spans="1:12" hidden="1" x14ac:dyDescent="0.25">
      <c r="A3150" s="6"/>
      <c r="B3150" s="6"/>
      <c r="C3150" s="11"/>
      <c r="D3150" s="13"/>
      <c r="E3150" s="13"/>
      <c r="F3150" s="13"/>
      <c r="G3150" s="13"/>
      <c r="H3150" s="13"/>
      <c r="I3150" s="10"/>
      <c r="J3150" s="11"/>
      <c r="K3150" s="6"/>
      <c r="L3150" s="13"/>
    </row>
    <row r="3151" spans="1:12" hidden="1" x14ac:dyDescent="0.25">
      <c r="A3151" s="6"/>
      <c r="B3151" s="6"/>
      <c r="C3151" s="11"/>
      <c r="D3151" s="13"/>
      <c r="E3151" s="13"/>
      <c r="F3151" s="13"/>
      <c r="G3151" s="13"/>
      <c r="H3151" s="13"/>
      <c r="I3151" s="10"/>
      <c r="J3151" s="11"/>
      <c r="K3151" s="6"/>
      <c r="L3151" s="13"/>
    </row>
    <row r="3152" spans="1:12" hidden="1" x14ac:dyDescent="0.25">
      <c r="A3152" s="6"/>
      <c r="B3152" s="6"/>
      <c r="C3152" s="11"/>
      <c r="D3152" s="13"/>
      <c r="E3152" s="13"/>
      <c r="F3152" s="13"/>
      <c r="G3152" s="13"/>
      <c r="H3152" s="13"/>
      <c r="I3152" s="10"/>
      <c r="J3152" s="11"/>
      <c r="K3152" s="6"/>
      <c r="L3152" s="13"/>
    </row>
    <row r="3153" spans="1:12" hidden="1" x14ac:dyDescent="0.25">
      <c r="A3153" s="6"/>
      <c r="B3153" s="6"/>
      <c r="C3153" s="11"/>
      <c r="D3153" s="13"/>
      <c r="E3153" s="13"/>
      <c r="F3153" s="13"/>
      <c r="G3153" s="13"/>
      <c r="H3153" s="13"/>
      <c r="I3153" s="10"/>
      <c r="J3153" s="11"/>
      <c r="K3153" s="6"/>
      <c r="L3153" s="13"/>
    </row>
    <row r="3154" spans="1:12" hidden="1" x14ac:dyDescent="0.25">
      <c r="A3154" s="6"/>
      <c r="B3154" s="6"/>
      <c r="C3154" s="11"/>
      <c r="D3154" s="13"/>
      <c r="E3154" s="13"/>
      <c r="F3154" s="13"/>
      <c r="G3154" s="13"/>
      <c r="H3154" s="13"/>
      <c r="I3154" s="10"/>
      <c r="J3154" s="11"/>
      <c r="K3154" s="6"/>
      <c r="L3154" s="13"/>
    </row>
    <row r="3155" spans="1:12" hidden="1" x14ac:dyDescent="0.25">
      <c r="A3155" s="6"/>
      <c r="B3155" s="6"/>
      <c r="C3155" s="11"/>
      <c r="D3155" s="13"/>
      <c r="E3155" s="13"/>
      <c r="F3155" s="13"/>
      <c r="G3155" s="13"/>
      <c r="H3155" s="13"/>
      <c r="I3155" s="10"/>
      <c r="J3155" s="11"/>
      <c r="K3155" s="6"/>
      <c r="L3155" s="13"/>
    </row>
    <row r="3156" spans="1:12" hidden="1" x14ac:dyDescent="0.25">
      <c r="A3156" s="6"/>
      <c r="B3156" s="6"/>
      <c r="C3156" s="11"/>
      <c r="D3156" s="13"/>
      <c r="E3156" s="13"/>
      <c r="F3156" s="13"/>
      <c r="G3156" s="13"/>
      <c r="H3156" s="13"/>
      <c r="I3156" s="10"/>
      <c r="J3156" s="11"/>
      <c r="K3156" s="6"/>
      <c r="L3156" s="13"/>
    </row>
    <row r="3157" spans="1:12" hidden="1" x14ac:dyDescent="0.25">
      <c r="A3157" s="6"/>
      <c r="B3157" s="6"/>
      <c r="C3157" s="11"/>
      <c r="D3157" s="13"/>
      <c r="E3157" s="13"/>
      <c r="F3157" s="13"/>
      <c r="G3157" s="13"/>
      <c r="H3157" s="13"/>
      <c r="I3157" s="10"/>
      <c r="J3157" s="11"/>
      <c r="K3157" s="6"/>
      <c r="L3157" s="13"/>
    </row>
    <row r="3158" spans="1:12" hidden="1" x14ac:dyDescent="0.25">
      <c r="A3158" s="6"/>
      <c r="B3158" s="6"/>
      <c r="C3158" s="11"/>
      <c r="D3158" s="13"/>
      <c r="E3158" s="13"/>
      <c r="F3158" s="13"/>
      <c r="G3158" s="13"/>
      <c r="H3158" s="13"/>
      <c r="I3158" s="10"/>
      <c r="J3158" s="11"/>
      <c r="K3158" s="6"/>
      <c r="L3158" s="13"/>
    </row>
    <row r="3159" spans="1:12" hidden="1" x14ac:dyDescent="0.25">
      <c r="A3159" s="6"/>
      <c r="B3159" s="6"/>
      <c r="C3159" s="11"/>
      <c r="D3159" s="13"/>
      <c r="E3159" s="13"/>
      <c r="F3159" s="13"/>
      <c r="G3159" s="13"/>
      <c r="H3159" s="13"/>
      <c r="I3159" s="10"/>
      <c r="J3159" s="11"/>
      <c r="K3159" s="6"/>
      <c r="L3159" s="13"/>
    </row>
    <row r="3160" spans="1:12" hidden="1" x14ac:dyDescent="0.25">
      <c r="A3160" s="6"/>
      <c r="B3160" s="6"/>
      <c r="C3160" s="11"/>
      <c r="D3160" s="13"/>
      <c r="E3160" s="13"/>
      <c r="F3160" s="13"/>
      <c r="G3160" s="13"/>
      <c r="H3160" s="13"/>
      <c r="I3160" s="10"/>
      <c r="J3160" s="11"/>
      <c r="K3160" s="6"/>
      <c r="L3160" s="13"/>
    </row>
    <row r="3161" spans="1:12" hidden="1" x14ac:dyDescent="0.25">
      <c r="A3161" s="6"/>
      <c r="B3161" s="6"/>
      <c r="C3161" s="11"/>
      <c r="D3161" s="13"/>
      <c r="E3161" s="13"/>
      <c r="F3161" s="13"/>
      <c r="G3161" s="13"/>
      <c r="H3161" s="13"/>
      <c r="I3161" s="10"/>
      <c r="J3161" s="11"/>
      <c r="K3161" s="6"/>
      <c r="L3161" s="13"/>
    </row>
    <row r="3162" spans="1:12" hidden="1" x14ac:dyDescent="0.25">
      <c r="A3162" s="6"/>
      <c r="B3162" s="6"/>
      <c r="C3162" s="11"/>
      <c r="D3162" s="13"/>
      <c r="E3162" s="13"/>
      <c r="F3162" s="13"/>
      <c r="G3162" s="13"/>
      <c r="H3162" s="13"/>
      <c r="I3162" s="10"/>
      <c r="J3162" s="11"/>
      <c r="K3162" s="6"/>
      <c r="L3162" s="13"/>
    </row>
    <row r="3163" spans="1:12" hidden="1" x14ac:dyDescent="0.25">
      <c r="A3163" s="6"/>
      <c r="B3163" s="6"/>
      <c r="C3163" s="11"/>
      <c r="D3163" s="13"/>
      <c r="E3163" s="13"/>
      <c r="F3163" s="13"/>
      <c r="G3163" s="13"/>
      <c r="H3163" s="13"/>
      <c r="I3163" s="10"/>
      <c r="J3163" s="11"/>
      <c r="K3163" s="6"/>
      <c r="L3163" s="13"/>
    </row>
    <row r="3164" spans="1:12" hidden="1" x14ac:dyDescent="0.25">
      <c r="A3164" s="6"/>
      <c r="B3164" s="6"/>
      <c r="C3164" s="11"/>
      <c r="D3164" s="13"/>
      <c r="E3164" s="13"/>
      <c r="F3164" s="13"/>
      <c r="G3164" s="13"/>
      <c r="H3164" s="13"/>
      <c r="I3164" s="10"/>
      <c r="J3164" s="11"/>
      <c r="K3164" s="6"/>
      <c r="L3164" s="13"/>
    </row>
    <row r="3165" spans="1:12" hidden="1" x14ac:dyDescent="0.25">
      <c r="A3165" s="6"/>
      <c r="B3165" s="6"/>
      <c r="C3165" s="11"/>
      <c r="D3165" s="13"/>
      <c r="E3165" s="13"/>
      <c r="F3165" s="13"/>
      <c r="G3165" s="13"/>
      <c r="H3165" s="13"/>
      <c r="I3165" s="10"/>
      <c r="J3165" s="11"/>
      <c r="K3165" s="6"/>
      <c r="L3165" s="13"/>
    </row>
    <row r="3166" spans="1:12" hidden="1" x14ac:dyDescent="0.25">
      <c r="A3166" s="6"/>
      <c r="B3166" s="6"/>
      <c r="C3166" s="11"/>
      <c r="D3166" s="13"/>
      <c r="E3166" s="13"/>
      <c r="F3166" s="13"/>
      <c r="G3166" s="13"/>
      <c r="H3166" s="13"/>
      <c r="I3166" s="10"/>
      <c r="J3166" s="11"/>
      <c r="K3166" s="6"/>
      <c r="L3166" s="13"/>
    </row>
    <row r="3167" spans="1:12" hidden="1" x14ac:dyDescent="0.25">
      <c r="A3167" s="6"/>
      <c r="B3167" s="6"/>
      <c r="C3167" s="11"/>
      <c r="D3167" s="13"/>
      <c r="E3167" s="13"/>
      <c r="F3167" s="13"/>
      <c r="G3167" s="13"/>
      <c r="H3167" s="13"/>
      <c r="I3167" s="10"/>
      <c r="J3167" s="11"/>
      <c r="K3167" s="6"/>
      <c r="L3167" s="13"/>
    </row>
    <row r="3168" spans="1:12" hidden="1" x14ac:dyDescent="0.25">
      <c r="A3168" s="6"/>
      <c r="B3168" s="6"/>
      <c r="C3168" s="11"/>
      <c r="D3168" s="13"/>
      <c r="E3168" s="13"/>
      <c r="F3168" s="13"/>
      <c r="G3168" s="13"/>
      <c r="H3168" s="13"/>
      <c r="I3168" s="10"/>
      <c r="J3168" s="11"/>
      <c r="K3168" s="6"/>
      <c r="L3168" s="13"/>
    </row>
    <row r="3169" spans="1:12" hidden="1" x14ac:dyDescent="0.25">
      <c r="A3169" s="6"/>
      <c r="B3169" s="6"/>
      <c r="C3169" s="11"/>
      <c r="D3169" s="13"/>
      <c r="E3169" s="13"/>
      <c r="F3169" s="13"/>
      <c r="G3169" s="13"/>
      <c r="H3169" s="13"/>
      <c r="I3169" s="10"/>
      <c r="J3169" s="11"/>
      <c r="K3169" s="6"/>
      <c r="L3169" s="13"/>
    </row>
    <row r="3170" spans="1:12" hidden="1" x14ac:dyDescent="0.25">
      <c r="A3170" s="6"/>
      <c r="B3170" s="6"/>
      <c r="C3170" s="11"/>
      <c r="D3170" s="13"/>
      <c r="E3170" s="13"/>
      <c r="F3170" s="13"/>
      <c r="G3170" s="13"/>
      <c r="H3170" s="13"/>
      <c r="I3170" s="10"/>
      <c r="J3170" s="11"/>
      <c r="K3170" s="6"/>
      <c r="L3170" s="13"/>
    </row>
    <row r="3171" spans="1:12" hidden="1" x14ac:dyDescent="0.25">
      <c r="A3171" s="6"/>
      <c r="B3171" s="6"/>
      <c r="C3171" s="11"/>
      <c r="D3171" s="13"/>
      <c r="E3171" s="13"/>
      <c r="F3171" s="13"/>
      <c r="G3171" s="13"/>
      <c r="H3171" s="13"/>
      <c r="I3171" s="10"/>
      <c r="J3171" s="11"/>
      <c r="K3171" s="6"/>
      <c r="L3171" s="13"/>
    </row>
    <row r="3172" spans="1:12" hidden="1" x14ac:dyDescent="0.25">
      <c r="A3172" s="6"/>
      <c r="B3172" s="6"/>
      <c r="C3172" s="11"/>
      <c r="D3172" s="13"/>
      <c r="E3172" s="13"/>
      <c r="F3172" s="13"/>
      <c r="G3172" s="13"/>
      <c r="H3172" s="13"/>
      <c r="I3172" s="10"/>
      <c r="J3172" s="11"/>
      <c r="K3172" s="6"/>
      <c r="L3172" s="13"/>
    </row>
    <row r="3173" spans="1:12" hidden="1" x14ac:dyDescent="0.25">
      <c r="A3173" s="6"/>
      <c r="B3173" s="6"/>
      <c r="C3173" s="11"/>
      <c r="D3173" s="13"/>
      <c r="E3173" s="13"/>
      <c r="F3173" s="13"/>
      <c r="G3173" s="13"/>
      <c r="H3173" s="13"/>
      <c r="I3173" s="10"/>
      <c r="J3173" s="11"/>
      <c r="K3173" s="6"/>
      <c r="L3173" s="13"/>
    </row>
    <row r="3174" spans="1:12" hidden="1" x14ac:dyDescent="0.25">
      <c r="A3174" s="6"/>
      <c r="B3174" s="6"/>
      <c r="C3174" s="11"/>
      <c r="D3174" s="13"/>
      <c r="E3174" s="13"/>
      <c r="F3174" s="13"/>
      <c r="G3174" s="13"/>
      <c r="H3174" s="13"/>
      <c r="I3174" s="10"/>
      <c r="J3174" s="11"/>
      <c r="K3174" s="6"/>
      <c r="L3174" s="13"/>
    </row>
    <row r="3175" spans="1:12" hidden="1" x14ac:dyDescent="0.25">
      <c r="A3175" s="6"/>
      <c r="B3175" s="6"/>
      <c r="C3175" s="11"/>
      <c r="D3175" s="13"/>
      <c r="E3175" s="13"/>
      <c r="F3175" s="13"/>
      <c r="G3175" s="13"/>
      <c r="H3175" s="13"/>
      <c r="I3175" s="10"/>
      <c r="J3175" s="11"/>
      <c r="K3175" s="6"/>
      <c r="L3175" s="13"/>
    </row>
    <row r="3176" spans="1:12" hidden="1" x14ac:dyDescent="0.25">
      <c r="A3176" s="6"/>
      <c r="B3176" s="6"/>
      <c r="C3176" s="11"/>
      <c r="D3176" s="13"/>
      <c r="E3176" s="13"/>
      <c r="F3176" s="13"/>
      <c r="G3176" s="13"/>
      <c r="H3176" s="13"/>
      <c r="I3176" s="10"/>
      <c r="J3176" s="11"/>
      <c r="K3176" s="6"/>
      <c r="L3176" s="13"/>
    </row>
    <row r="3177" spans="1:12" hidden="1" x14ac:dyDescent="0.25">
      <c r="A3177" s="6"/>
      <c r="B3177" s="6"/>
      <c r="C3177" s="11"/>
      <c r="D3177" s="13"/>
      <c r="E3177" s="13"/>
      <c r="F3177" s="13"/>
      <c r="G3177" s="13"/>
      <c r="H3177" s="13"/>
      <c r="I3177" s="10"/>
      <c r="J3177" s="11"/>
      <c r="K3177" s="6"/>
      <c r="L3177" s="13"/>
    </row>
    <row r="3178" spans="1:12" hidden="1" x14ac:dyDescent="0.25">
      <c r="A3178" s="6"/>
      <c r="B3178" s="6"/>
      <c r="C3178" s="11"/>
      <c r="D3178" s="13"/>
      <c r="E3178" s="13"/>
      <c r="F3178" s="13"/>
      <c r="G3178" s="13"/>
      <c r="H3178" s="13"/>
      <c r="I3178" s="10"/>
      <c r="J3178" s="11"/>
      <c r="K3178" s="6"/>
      <c r="L3178" s="13"/>
    </row>
    <row r="3179" spans="1:12" hidden="1" x14ac:dyDescent="0.25">
      <c r="A3179" s="6"/>
      <c r="B3179" s="6"/>
      <c r="C3179" s="11"/>
      <c r="D3179" s="13"/>
      <c r="E3179" s="13"/>
      <c r="F3179" s="13"/>
      <c r="G3179" s="13"/>
      <c r="H3179" s="13"/>
      <c r="I3179" s="10"/>
      <c r="J3179" s="11"/>
      <c r="K3179" s="6"/>
      <c r="L3179" s="13"/>
    </row>
    <row r="3180" spans="1:12" hidden="1" x14ac:dyDescent="0.25">
      <c r="A3180" s="6"/>
      <c r="B3180" s="6"/>
      <c r="C3180" s="11"/>
      <c r="D3180" s="13"/>
      <c r="E3180" s="13"/>
      <c r="F3180" s="13"/>
      <c r="G3180" s="13"/>
      <c r="H3180" s="13"/>
      <c r="I3180" s="10"/>
      <c r="J3180" s="11"/>
      <c r="K3180" s="6"/>
      <c r="L3180" s="13"/>
    </row>
    <row r="3181" spans="1:12" hidden="1" x14ac:dyDescent="0.25">
      <c r="A3181" s="6"/>
      <c r="B3181" s="6"/>
      <c r="C3181" s="11"/>
      <c r="D3181" s="13"/>
      <c r="E3181" s="13"/>
      <c r="F3181" s="13"/>
      <c r="G3181" s="13"/>
      <c r="H3181" s="13"/>
      <c r="I3181" s="10"/>
      <c r="J3181" s="11"/>
      <c r="K3181" s="6"/>
      <c r="L3181" s="13"/>
    </row>
    <row r="3182" spans="1:12" hidden="1" x14ac:dyDescent="0.25">
      <c r="A3182" s="6"/>
      <c r="B3182" s="6"/>
      <c r="C3182" s="11"/>
      <c r="D3182" s="13"/>
      <c r="E3182" s="13"/>
      <c r="F3182" s="13"/>
      <c r="G3182" s="13"/>
      <c r="H3182" s="13"/>
      <c r="I3182" s="10"/>
      <c r="J3182" s="11"/>
      <c r="K3182" s="6"/>
      <c r="L3182" s="13"/>
    </row>
    <row r="3183" spans="1:12" hidden="1" x14ac:dyDescent="0.25">
      <c r="A3183" s="6"/>
      <c r="B3183" s="6"/>
      <c r="C3183" s="11"/>
      <c r="D3183" s="13"/>
      <c r="E3183" s="13"/>
      <c r="F3183" s="13"/>
      <c r="G3183" s="13"/>
      <c r="H3183" s="13"/>
      <c r="I3183" s="10"/>
      <c r="J3183" s="11"/>
      <c r="K3183" s="6"/>
      <c r="L3183" s="13"/>
    </row>
    <row r="3184" spans="1:12" hidden="1" x14ac:dyDescent="0.25">
      <c r="A3184" s="6"/>
      <c r="B3184" s="6"/>
      <c r="C3184" s="11"/>
      <c r="D3184" s="13"/>
      <c r="E3184" s="13"/>
      <c r="F3184" s="13"/>
      <c r="G3184" s="13"/>
      <c r="H3184" s="13"/>
      <c r="I3184" s="10"/>
      <c r="J3184" s="11"/>
      <c r="K3184" s="6"/>
      <c r="L3184" s="13"/>
    </row>
    <row r="3185" spans="1:12" hidden="1" x14ac:dyDescent="0.25">
      <c r="A3185" s="6"/>
      <c r="B3185" s="6"/>
      <c r="C3185" s="11"/>
      <c r="D3185" s="13"/>
      <c r="E3185" s="13"/>
      <c r="F3185" s="13"/>
      <c r="G3185" s="13"/>
      <c r="H3185" s="13"/>
      <c r="I3185" s="10"/>
      <c r="J3185" s="11"/>
      <c r="K3185" s="6"/>
      <c r="L3185" s="13"/>
    </row>
    <row r="3186" spans="1:12" hidden="1" x14ac:dyDescent="0.25">
      <c r="A3186" s="6"/>
      <c r="B3186" s="6"/>
      <c r="C3186" s="11"/>
      <c r="D3186" s="13"/>
      <c r="E3186" s="13"/>
      <c r="F3186" s="13"/>
      <c r="G3186" s="13"/>
      <c r="H3186" s="13"/>
      <c r="I3186" s="10"/>
      <c r="J3186" s="11"/>
      <c r="K3186" s="6"/>
      <c r="L3186" s="13"/>
    </row>
    <row r="3187" spans="1:12" hidden="1" x14ac:dyDescent="0.25">
      <c r="A3187" s="6"/>
      <c r="B3187" s="6"/>
      <c r="C3187" s="11"/>
      <c r="D3187" s="13"/>
      <c r="E3187" s="13"/>
      <c r="F3187" s="13"/>
      <c r="G3187" s="13"/>
      <c r="H3187" s="13"/>
      <c r="I3187" s="10"/>
      <c r="J3187" s="11"/>
      <c r="K3187" s="6"/>
      <c r="L3187" s="13"/>
    </row>
    <row r="3188" spans="1:12" hidden="1" x14ac:dyDescent="0.25">
      <c r="A3188" s="6"/>
      <c r="B3188" s="6"/>
      <c r="C3188" s="11"/>
      <c r="D3188" s="13"/>
      <c r="E3188" s="13"/>
      <c r="F3188" s="13"/>
      <c r="G3188" s="13"/>
      <c r="H3188" s="13"/>
      <c r="I3188" s="10"/>
      <c r="J3188" s="11"/>
      <c r="K3188" s="6"/>
      <c r="L3188" s="13"/>
    </row>
    <row r="3189" spans="1:12" hidden="1" x14ac:dyDescent="0.25">
      <c r="A3189" s="6"/>
      <c r="B3189" s="6"/>
      <c r="C3189" s="11"/>
      <c r="D3189" s="13"/>
      <c r="E3189" s="13"/>
      <c r="F3189" s="13"/>
      <c r="G3189" s="13"/>
      <c r="H3189" s="13"/>
      <c r="I3189" s="10"/>
      <c r="J3189" s="11"/>
      <c r="K3189" s="6"/>
      <c r="L3189" s="13"/>
    </row>
    <row r="3190" spans="1:12" hidden="1" x14ac:dyDescent="0.25">
      <c r="A3190" s="6"/>
      <c r="B3190" s="6"/>
      <c r="C3190" s="11"/>
      <c r="D3190" s="13"/>
      <c r="E3190" s="13"/>
      <c r="F3190" s="13"/>
      <c r="G3190" s="13"/>
      <c r="H3190" s="13"/>
      <c r="I3190" s="10"/>
      <c r="J3190" s="11"/>
      <c r="K3190" s="6"/>
      <c r="L3190" s="13"/>
    </row>
    <row r="3191" spans="1:12" hidden="1" x14ac:dyDescent="0.25">
      <c r="A3191" s="6"/>
      <c r="B3191" s="6"/>
      <c r="C3191" s="11"/>
      <c r="D3191" s="13"/>
      <c r="E3191" s="13"/>
      <c r="F3191" s="13"/>
      <c r="G3191" s="13"/>
      <c r="H3191" s="13"/>
      <c r="I3191" s="10"/>
      <c r="J3191" s="11"/>
      <c r="K3191" s="6"/>
      <c r="L3191" s="13"/>
    </row>
    <row r="3192" spans="1:12" hidden="1" x14ac:dyDescent="0.25">
      <c r="A3192" s="6"/>
      <c r="B3192" s="6"/>
      <c r="C3192" s="11"/>
      <c r="D3192" s="13"/>
      <c r="E3192" s="13"/>
      <c r="F3192" s="13"/>
      <c r="G3192" s="13"/>
      <c r="H3192" s="13"/>
      <c r="I3192" s="10"/>
      <c r="J3192" s="11"/>
      <c r="K3192" s="6"/>
      <c r="L3192" s="13"/>
    </row>
    <row r="3193" spans="1:12" hidden="1" x14ac:dyDescent="0.25">
      <c r="A3193" s="6"/>
      <c r="B3193" s="6"/>
      <c r="C3193" s="11"/>
      <c r="D3193" s="13"/>
      <c r="E3193" s="13"/>
      <c r="F3193" s="13"/>
      <c r="G3193" s="13"/>
      <c r="H3193" s="13"/>
      <c r="I3193" s="10"/>
      <c r="J3193" s="11"/>
      <c r="K3193" s="6"/>
      <c r="L3193" s="13"/>
    </row>
    <row r="3194" spans="1:12" hidden="1" x14ac:dyDescent="0.25">
      <c r="A3194" s="6"/>
      <c r="B3194" s="6"/>
      <c r="C3194" s="11"/>
      <c r="D3194" s="13"/>
      <c r="E3194" s="13"/>
      <c r="F3194" s="13"/>
      <c r="G3194" s="13"/>
      <c r="H3194" s="13"/>
      <c r="I3194" s="10"/>
      <c r="J3194" s="11"/>
      <c r="K3194" s="6"/>
      <c r="L3194" s="13"/>
    </row>
    <row r="3195" spans="1:12" hidden="1" x14ac:dyDescent="0.25">
      <c r="A3195" s="6"/>
      <c r="B3195" s="6"/>
      <c r="C3195" s="11"/>
      <c r="D3195" s="13"/>
      <c r="E3195" s="13"/>
      <c r="F3195" s="13"/>
      <c r="G3195" s="13"/>
      <c r="H3195" s="13"/>
      <c r="I3195" s="10"/>
      <c r="J3195" s="11"/>
      <c r="K3195" s="6"/>
      <c r="L3195" s="13"/>
    </row>
    <row r="3196" spans="1:12" hidden="1" x14ac:dyDescent="0.25">
      <c r="A3196" s="6"/>
      <c r="B3196" s="6"/>
      <c r="C3196" s="11"/>
      <c r="D3196" s="13"/>
      <c r="E3196" s="13"/>
      <c r="F3196" s="13"/>
      <c r="G3196" s="13"/>
      <c r="H3196" s="13"/>
      <c r="I3196" s="10"/>
      <c r="J3196" s="11"/>
      <c r="K3196" s="6"/>
      <c r="L3196" s="13"/>
    </row>
    <row r="3197" spans="1:12" hidden="1" x14ac:dyDescent="0.25">
      <c r="A3197" s="6"/>
      <c r="B3197" s="6"/>
      <c r="C3197" s="11"/>
      <c r="D3197" s="13"/>
      <c r="E3197" s="13"/>
      <c r="F3197" s="13"/>
      <c r="G3197" s="13"/>
      <c r="H3197" s="13"/>
      <c r="I3197" s="10"/>
      <c r="J3197" s="11"/>
      <c r="K3197" s="6"/>
      <c r="L3197" s="13"/>
    </row>
    <row r="3198" spans="1:12" hidden="1" x14ac:dyDescent="0.25">
      <c r="A3198" s="6"/>
      <c r="B3198" s="6"/>
      <c r="C3198" s="11"/>
      <c r="D3198" s="13"/>
      <c r="E3198" s="13"/>
      <c r="F3198" s="13"/>
      <c r="G3198" s="13"/>
      <c r="H3198" s="13"/>
      <c r="I3198" s="10"/>
      <c r="J3198" s="11"/>
      <c r="K3198" s="6"/>
      <c r="L3198" s="13"/>
    </row>
    <row r="3199" spans="1:12" hidden="1" x14ac:dyDescent="0.25">
      <c r="A3199" s="6"/>
      <c r="B3199" s="6"/>
      <c r="C3199" s="11"/>
      <c r="D3199" s="13"/>
      <c r="E3199" s="13"/>
      <c r="F3199" s="13"/>
      <c r="G3199" s="13"/>
      <c r="H3199" s="13"/>
      <c r="I3199" s="10"/>
      <c r="J3199" s="11"/>
      <c r="K3199" s="6"/>
      <c r="L3199" s="13"/>
    </row>
    <row r="3200" spans="1:12" hidden="1" x14ac:dyDescent="0.25">
      <c r="A3200" s="6"/>
      <c r="B3200" s="6"/>
      <c r="C3200" s="11"/>
      <c r="D3200" s="13"/>
      <c r="E3200" s="13"/>
      <c r="F3200" s="13"/>
      <c r="G3200" s="13"/>
      <c r="H3200" s="13"/>
      <c r="I3200" s="10"/>
      <c r="J3200" s="11"/>
      <c r="K3200" s="6"/>
      <c r="L3200" s="13"/>
    </row>
    <row r="3201" spans="1:12" hidden="1" x14ac:dyDescent="0.25">
      <c r="A3201" s="6"/>
      <c r="B3201" s="6"/>
      <c r="C3201" s="11"/>
      <c r="D3201" s="13"/>
      <c r="E3201" s="13"/>
      <c r="F3201" s="13"/>
      <c r="G3201" s="13"/>
      <c r="H3201" s="13"/>
      <c r="I3201" s="10"/>
      <c r="J3201" s="11"/>
      <c r="K3201" s="6"/>
      <c r="L3201" s="13"/>
    </row>
    <row r="3202" spans="1:12" hidden="1" x14ac:dyDescent="0.25">
      <c r="A3202" s="6"/>
      <c r="B3202" s="6"/>
      <c r="C3202" s="11"/>
      <c r="D3202" s="13"/>
      <c r="E3202" s="13"/>
      <c r="F3202" s="13"/>
      <c r="G3202" s="13"/>
      <c r="H3202" s="13"/>
      <c r="I3202" s="10"/>
      <c r="J3202" s="11"/>
      <c r="K3202" s="6"/>
      <c r="L3202" s="13"/>
    </row>
    <row r="3203" spans="1:12" hidden="1" x14ac:dyDescent="0.25">
      <c r="A3203" s="6"/>
      <c r="B3203" s="6"/>
      <c r="C3203" s="11"/>
      <c r="D3203" s="13"/>
      <c r="E3203" s="13"/>
      <c r="F3203" s="13"/>
      <c r="G3203" s="13"/>
      <c r="H3203" s="13"/>
      <c r="I3203" s="10"/>
      <c r="J3203" s="11"/>
      <c r="K3203" s="6"/>
      <c r="L3203" s="13"/>
    </row>
    <row r="3204" spans="1:12" hidden="1" x14ac:dyDescent="0.25">
      <c r="A3204" s="6"/>
      <c r="B3204" s="6"/>
      <c r="C3204" s="11"/>
      <c r="D3204" s="13"/>
      <c r="E3204" s="13"/>
      <c r="F3204" s="13"/>
      <c r="G3204" s="13"/>
      <c r="H3204" s="13"/>
      <c r="I3204" s="10"/>
      <c r="J3204" s="11"/>
      <c r="K3204" s="6"/>
      <c r="L3204" s="13"/>
    </row>
    <row r="3205" spans="1:12" hidden="1" x14ac:dyDescent="0.25">
      <c r="A3205" s="6"/>
      <c r="B3205" s="6"/>
      <c r="C3205" s="11"/>
      <c r="D3205" s="13"/>
      <c r="E3205" s="13"/>
      <c r="F3205" s="13"/>
      <c r="G3205" s="13"/>
      <c r="H3205" s="13"/>
      <c r="I3205" s="10"/>
      <c r="J3205" s="11"/>
      <c r="K3205" s="6"/>
      <c r="L3205" s="13"/>
    </row>
    <row r="3206" spans="1:12" hidden="1" x14ac:dyDescent="0.25">
      <c r="A3206" s="6"/>
      <c r="B3206" s="6"/>
      <c r="C3206" s="11"/>
      <c r="D3206" s="13"/>
      <c r="E3206" s="13"/>
      <c r="F3206" s="13"/>
      <c r="G3206" s="13"/>
      <c r="H3206" s="13"/>
      <c r="I3206" s="10"/>
      <c r="J3206" s="11"/>
      <c r="K3206" s="6"/>
      <c r="L3206" s="13"/>
    </row>
    <row r="3207" spans="1:12" hidden="1" x14ac:dyDescent="0.25">
      <c r="A3207" s="6"/>
      <c r="B3207" s="6"/>
      <c r="C3207" s="11"/>
      <c r="D3207" s="13"/>
      <c r="E3207" s="13"/>
      <c r="F3207" s="13"/>
      <c r="G3207" s="13"/>
      <c r="H3207" s="13"/>
      <c r="I3207" s="10"/>
      <c r="J3207" s="11"/>
      <c r="K3207" s="6"/>
      <c r="L3207" s="13"/>
    </row>
    <row r="3208" spans="1:12" hidden="1" x14ac:dyDescent="0.25">
      <c r="A3208" s="6"/>
      <c r="B3208" s="6"/>
      <c r="C3208" s="11"/>
      <c r="D3208" s="13"/>
      <c r="E3208" s="13"/>
      <c r="F3208" s="13"/>
      <c r="G3208" s="13"/>
      <c r="H3208" s="13"/>
      <c r="I3208" s="10"/>
      <c r="J3208" s="11"/>
      <c r="K3208" s="6"/>
      <c r="L3208" s="13"/>
    </row>
    <row r="3209" spans="1:12" hidden="1" x14ac:dyDescent="0.25">
      <c r="A3209" s="6"/>
      <c r="B3209" s="6"/>
      <c r="C3209" s="11"/>
      <c r="D3209" s="13"/>
      <c r="E3209" s="13"/>
      <c r="F3209" s="13"/>
      <c r="G3209" s="13"/>
      <c r="H3209" s="13"/>
      <c r="I3209" s="10"/>
      <c r="J3209" s="11"/>
      <c r="K3209" s="6"/>
      <c r="L3209" s="13"/>
    </row>
    <row r="3210" spans="1:12" hidden="1" x14ac:dyDescent="0.25">
      <c r="A3210" s="6"/>
      <c r="B3210" s="6"/>
      <c r="C3210" s="11"/>
      <c r="D3210" s="13"/>
      <c r="E3210" s="13"/>
      <c r="F3210" s="13"/>
      <c r="G3210" s="13"/>
      <c r="H3210" s="13"/>
      <c r="I3210" s="10"/>
      <c r="J3210" s="11"/>
      <c r="K3210" s="6"/>
      <c r="L3210" s="13"/>
    </row>
    <row r="3211" spans="1:12" hidden="1" x14ac:dyDescent="0.25">
      <c r="A3211" s="6"/>
      <c r="B3211" s="6"/>
      <c r="C3211" s="11"/>
      <c r="D3211" s="13"/>
      <c r="E3211" s="13"/>
      <c r="F3211" s="13"/>
      <c r="G3211" s="13"/>
      <c r="H3211" s="13"/>
      <c r="I3211" s="10"/>
      <c r="J3211" s="11"/>
      <c r="K3211" s="6"/>
      <c r="L3211" s="13"/>
    </row>
    <row r="3212" spans="1:12" hidden="1" x14ac:dyDescent="0.25">
      <c r="A3212" s="6"/>
      <c r="B3212" s="6"/>
      <c r="C3212" s="11"/>
      <c r="D3212" s="13"/>
      <c r="E3212" s="13"/>
      <c r="F3212" s="13"/>
      <c r="G3212" s="13"/>
      <c r="H3212" s="13"/>
      <c r="I3212" s="10"/>
      <c r="J3212" s="11"/>
      <c r="K3212" s="6"/>
      <c r="L3212" s="13"/>
    </row>
    <row r="3213" spans="1:12" hidden="1" x14ac:dyDescent="0.25">
      <c r="A3213" s="6"/>
      <c r="B3213" s="6"/>
      <c r="C3213" s="11"/>
      <c r="D3213" s="13"/>
      <c r="E3213" s="13"/>
      <c r="F3213" s="13"/>
      <c r="G3213" s="13"/>
      <c r="H3213" s="13"/>
      <c r="I3213" s="10"/>
      <c r="J3213" s="11"/>
      <c r="K3213" s="6"/>
      <c r="L3213" s="13"/>
    </row>
    <row r="3214" spans="1:12" hidden="1" x14ac:dyDescent="0.25">
      <c r="A3214" s="6"/>
      <c r="B3214" s="6"/>
      <c r="C3214" s="11"/>
      <c r="D3214" s="13"/>
      <c r="E3214" s="13"/>
      <c r="F3214" s="13"/>
      <c r="G3214" s="13"/>
      <c r="H3214" s="13"/>
      <c r="I3214" s="10"/>
      <c r="J3214" s="11"/>
      <c r="K3214" s="6"/>
      <c r="L3214" s="13"/>
    </row>
    <row r="3215" spans="1:12" hidden="1" x14ac:dyDescent="0.25">
      <c r="A3215" s="6"/>
      <c r="B3215" s="6"/>
      <c r="C3215" s="11"/>
      <c r="D3215" s="13"/>
      <c r="E3215" s="13"/>
      <c r="F3215" s="13"/>
      <c r="G3215" s="13"/>
      <c r="H3215" s="13"/>
      <c r="I3215" s="10"/>
      <c r="J3215" s="11"/>
      <c r="K3215" s="6"/>
      <c r="L3215" s="13"/>
    </row>
    <row r="3216" spans="1:12" hidden="1" x14ac:dyDescent="0.25">
      <c r="A3216" s="6"/>
      <c r="B3216" s="6"/>
      <c r="C3216" s="11"/>
      <c r="D3216" s="13"/>
      <c r="E3216" s="13"/>
      <c r="F3216" s="13"/>
      <c r="G3216" s="13"/>
      <c r="H3216" s="13"/>
      <c r="I3216" s="10"/>
      <c r="J3216" s="11"/>
      <c r="K3216" s="6"/>
      <c r="L3216" s="13"/>
    </row>
    <row r="3217" spans="1:12" hidden="1" x14ac:dyDescent="0.25">
      <c r="A3217" s="6"/>
      <c r="B3217" s="6"/>
      <c r="C3217" s="11"/>
      <c r="D3217" s="13"/>
      <c r="E3217" s="13"/>
      <c r="F3217" s="13"/>
      <c r="G3217" s="13"/>
      <c r="H3217" s="13"/>
      <c r="I3217" s="10"/>
      <c r="J3217" s="11"/>
      <c r="K3217" s="6"/>
      <c r="L3217" s="13"/>
    </row>
    <row r="3218" spans="1:12" hidden="1" x14ac:dyDescent="0.25">
      <c r="A3218" s="6"/>
      <c r="B3218" s="6"/>
      <c r="C3218" s="11"/>
      <c r="D3218" s="13"/>
      <c r="E3218" s="13"/>
      <c r="F3218" s="13"/>
      <c r="G3218" s="13"/>
      <c r="H3218" s="13"/>
      <c r="I3218" s="10"/>
      <c r="J3218" s="11"/>
      <c r="K3218" s="6"/>
      <c r="L3218" s="13"/>
    </row>
    <row r="3219" spans="1:12" hidden="1" x14ac:dyDescent="0.25">
      <c r="A3219" s="6"/>
      <c r="B3219" s="6"/>
      <c r="C3219" s="11"/>
      <c r="D3219" s="13"/>
      <c r="E3219" s="13"/>
      <c r="F3219" s="13"/>
      <c r="G3219" s="13"/>
      <c r="H3219" s="13"/>
      <c r="I3219" s="10"/>
      <c r="J3219" s="11"/>
      <c r="K3219" s="6"/>
      <c r="L3219" s="13"/>
    </row>
    <row r="3220" spans="1:12" hidden="1" x14ac:dyDescent="0.25">
      <c r="A3220" s="6"/>
      <c r="B3220" s="6"/>
      <c r="C3220" s="11"/>
      <c r="D3220" s="13"/>
      <c r="E3220" s="13"/>
      <c r="F3220" s="13"/>
      <c r="G3220" s="13"/>
      <c r="H3220" s="13"/>
      <c r="I3220" s="10"/>
      <c r="J3220" s="11"/>
      <c r="K3220" s="6"/>
      <c r="L3220" s="13"/>
    </row>
    <row r="3221" spans="1:12" hidden="1" x14ac:dyDescent="0.25">
      <c r="A3221" s="6"/>
      <c r="B3221" s="6"/>
      <c r="C3221" s="11"/>
      <c r="D3221" s="13"/>
      <c r="E3221" s="13"/>
      <c r="F3221" s="13"/>
      <c r="G3221" s="13"/>
      <c r="H3221" s="13"/>
      <c r="I3221" s="10"/>
      <c r="J3221" s="11"/>
      <c r="K3221" s="6"/>
      <c r="L3221" s="13"/>
    </row>
    <row r="3222" spans="1:12" hidden="1" x14ac:dyDescent="0.25">
      <c r="A3222" s="6"/>
      <c r="B3222" s="6"/>
      <c r="C3222" s="11"/>
      <c r="D3222" s="13"/>
      <c r="E3222" s="13"/>
      <c r="F3222" s="13"/>
      <c r="G3222" s="13"/>
      <c r="H3222" s="13"/>
      <c r="I3222" s="10"/>
      <c r="J3222" s="11"/>
      <c r="K3222" s="6"/>
      <c r="L3222" s="13"/>
    </row>
    <row r="3223" spans="1:12" hidden="1" x14ac:dyDescent="0.25">
      <c r="A3223" s="6"/>
      <c r="B3223" s="6"/>
      <c r="C3223" s="11"/>
      <c r="D3223" s="13"/>
      <c r="E3223" s="13"/>
      <c r="F3223" s="13"/>
      <c r="G3223" s="13"/>
      <c r="H3223" s="13"/>
      <c r="I3223" s="10"/>
      <c r="J3223" s="11"/>
      <c r="K3223" s="6"/>
      <c r="L3223" s="13"/>
    </row>
    <row r="3224" spans="1:12" hidden="1" x14ac:dyDescent="0.25">
      <c r="A3224" s="6"/>
      <c r="B3224" s="6"/>
      <c r="C3224" s="11"/>
      <c r="D3224" s="13"/>
      <c r="E3224" s="13"/>
      <c r="F3224" s="13"/>
      <c r="G3224" s="13"/>
      <c r="H3224" s="13"/>
      <c r="I3224" s="10"/>
      <c r="J3224" s="11"/>
      <c r="K3224" s="6"/>
      <c r="L3224" s="13"/>
    </row>
    <row r="3225" spans="1:12" hidden="1" x14ac:dyDescent="0.25">
      <c r="A3225" s="6"/>
      <c r="B3225" s="6"/>
      <c r="C3225" s="11"/>
      <c r="D3225" s="13"/>
      <c r="E3225" s="13"/>
      <c r="F3225" s="13"/>
      <c r="G3225" s="13"/>
      <c r="H3225" s="13"/>
      <c r="I3225" s="10"/>
      <c r="J3225" s="11"/>
      <c r="K3225" s="6"/>
      <c r="L3225" s="13"/>
    </row>
    <row r="3226" spans="1:12" hidden="1" x14ac:dyDescent="0.25">
      <c r="A3226" s="6"/>
      <c r="B3226" s="6"/>
      <c r="C3226" s="11"/>
      <c r="D3226" s="13"/>
      <c r="E3226" s="13"/>
      <c r="F3226" s="13"/>
      <c r="G3226" s="13"/>
      <c r="H3226" s="13"/>
      <c r="I3226" s="10"/>
      <c r="J3226" s="11"/>
      <c r="K3226" s="6"/>
      <c r="L3226" s="13"/>
    </row>
    <row r="3227" spans="1:12" hidden="1" x14ac:dyDescent="0.25">
      <c r="A3227" s="6"/>
      <c r="B3227" s="6"/>
      <c r="C3227" s="11"/>
      <c r="D3227" s="13"/>
      <c r="E3227" s="13"/>
      <c r="F3227" s="13"/>
      <c r="G3227" s="13"/>
      <c r="H3227" s="13"/>
      <c r="I3227" s="10"/>
      <c r="J3227" s="11"/>
      <c r="K3227" s="6"/>
      <c r="L3227" s="13"/>
    </row>
    <row r="3228" spans="1:12" hidden="1" x14ac:dyDescent="0.25">
      <c r="A3228" s="6"/>
      <c r="B3228" s="6"/>
      <c r="C3228" s="11"/>
      <c r="D3228" s="13"/>
      <c r="E3228" s="13"/>
      <c r="F3228" s="13"/>
      <c r="G3228" s="13"/>
      <c r="H3228" s="13"/>
      <c r="I3228" s="10"/>
      <c r="J3228" s="11"/>
      <c r="K3228" s="6"/>
      <c r="L3228" s="13"/>
    </row>
    <row r="3229" spans="1:12" hidden="1" x14ac:dyDescent="0.25">
      <c r="A3229" s="6"/>
      <c r="B3229" s="6"/>
      <c r="C3229" s="11"/>
      <c r="D3229" s="13"/>
      <c r="E3229" s="13"/>
      <c r="F3229" s="13"/>
      <c r="G3229" s="13"/>
      <c r="H3229" s="13"/>
      <c r="I3229" s="10"/>
      <c r="J3229" s="11"/>
      <c r="K3229" s="6"/>
      <c r="L3229" s="13"/>
    </row>
    <row r="3230" spans="1:12" hidden="1" x14ac:dyDescent="0.25">
      <c r="A3230" s="6"/>
      <c r="B3230" s="6"/>
      <c r="C3230" s="11"/>
      <c r="D3230" s="13"/>
      <c r="E3230" s="13"/>
      <c r="F3230" s="13"/>
      <c r="G3230" s="13"/>
      <c r="H3230" s="13"/>
      <c r="I3230" s="10"/>
      <c r="J3230" s="11"/>
      <c r="K3230" s="6"/>
      <c r="L3230" s="13"/>
    </row>
    <row r="3231" spans="1:12" hidden="1" x14ac:dyDescent="0.25">
      <c r="A3231" s="6"/>
      <c r="B3231" s="6"/>
      <c r="C3231" s="11"/>
      <c r="D3231" s="13"/>
      <c r="E3231" s="13"/>
      <c r="F3231" s="13"/>
      <c r="G3231" s="13"/>
      <c r="H3231" s="13"/>
      <c r="I3231" s="10"/>
      <c r="J3231" s="11"/>
      <c r="K3231" s="6"/>
      <c r="L3231" s="13"/>
    </row>
    <row r="3232" spans="1:12" hidden="1" x14ac:dyDescent="0.25">
      <c r="A3232" s="6"/>
      <c r="B3232" s="6"/>
      <c r="C3232" s="11"/>
      <c r="D3232" s="13"/>
      <c r="E3232" s="13"/>
      <c r="F3232" s="13"/>
      <c r="G3232" s="13"/>
      <c r="H3232" s="13"/>
      <c r="I3232" s="10"/>
      <c r="J3232" s="11"/>
      <c r="K3232" s="6"/>
      <c r="L3232" s="13"/>
    </row>
    <row r="3233" spans="1:12" hidden="1" x14ac:dyDescent="0.25">
      <c r="A3233" s="6"/>
      <c r="B3233" s="6"/>
      <c r="C3233" s="11"/>
      <c r="D3233" s="13"/>
      <c r="E3233" s="13"/>
      <c r="F3233" s="13"/>
      <c r="G3233" s="13"/>
      <c r="H3233" s="13"/>
      <c r="I3233" s="10"/>
      <c r="J3233" s="11"/>
      <c r="K3233" s="6"/>
      <c r="L3233" s="13"/>
    </row>
    <row r="3234" spans="1:12" hidden="1" x14ac:dyDescent="0.25">
      <c r="A3234" s="6"/>
      <c r="B3234" s="6"/>
      <c r="C3234" s="11"/>
      <c r="D3234" s="13"/>
      <c r="E3234" s="13"/>
      <c r="F3234" s="13"/>
      <c r="G3234" s="13"/>
      <c r="H3234" s="13"/>
      <c r="I3234" s="10"/>
      <c r="J3234" s="11"/>
      <c r="K3234" s="6"/>
      <c r="L3234" s="13"/>
    </row>
    <row r="3235" spans="1:12" hidden="1" x14ac:dyDescent="0.25">
      <c r="A3235" s="6"/>
      <c r="B3235" s="6"/>
      <c r="C3235" s="11"/>
      <c r="D3235" s="13"/>
      <c r="E3235" s="13"/>
      <c r="F3235" s="13"/>
      <c r="G3235" s="13"/>
      <c r="H3235" s="13"/>
      <c r="I3235" s="10"/>
      <c r="J3235" s="11"/>
      <c r="K3235" s="6"/>
      <c r="L3235" s="13"/>
    </row>
    <row r="3236" spans="1:12" hidden="1" x14ac:dyDescent="0.25">
      <c r="A3236" s="6"/>
      <c r="B3236" s="6"/>
      <c r="C3236" s="11"/>
      <c r="D3236" s="13"/>
      <c r="E3236" s="13"/>
      <c r="F3236" s="13"/>
      <c r="G3236" s="13"/>
      <c r="H3236" s="13"/>
      <c r="I3236" s="10"/>
      <c r="J3236" s="11"/>
      <c r="K3236" s="6"/>
      <c r="L3236" s="13"/>
    </row>
    <row r="3237" spans="1:12" hidden="1" x14ac:dyDescent="0.25">
      <c r="A3237" s="6"/>
      <c r="B3237" s="6"/>
      <c r="C3237" s="11"/>
      <c r="D3237" s="13"/>
      <c r="E3237" s="13"/>
      <c r="F3237" s="13"/>
      <c r="G3237" s="13"/>
      <c r="H3237" s="13"/>
      <c r="I3237" s="10"/>
      <c r="J3237" s="11"/>
      <c r="K3237" s="6"/>
      <c r="L3237" s="13"/>
    </row>
    <row r="3238" spans="1:12" hidden="1" x14ac:dyDescent="0.25">
      <c r="A3238" s="6"/>
      <c r="B3238" s="6"/>
      <c r="C3238" s="11"/>
      <c r="D3238" s="13"/>
      <c r="E3238" s="13"/>
      <c r="F3238" s="13"/>
      <c r="G3238" s="13"/>
      <c r="H3238" s="13"/>
      <c r="I3238" s="10"/>
      <c r="J3238" s="11"/>
      <c r="K3238" s="6"/>
      <c r="L3238" s="13"/>
    </row>
    <row r="3239" spans="1:12" hidden="1" x14ac:dyDescent="0.25">
      <c r="A3239" s="6"/>
      <c r="B3239" s="6"/>
      <c r="C3239" s="11"/>
      <c r="D3239" s="13"/>
      <c r="E3239" s="13"/>
      <c r="F3239" s="13"/>
      <c r="G3239" s="13"/>
      <c r="H3239" s="13"/>
      <c r="I3239" s="10"/>
      <c r="J3239" s="11"/>
      <c r="K3239" s="6"/>
      <c r="L3239" s="13"/>
    </row>
    <row r="3240" spans="1:12" hidden="1" x14ac:dyDescent="0.25">
      <c r="A3240" s="6"/>
      <c r="B3240" s="6"/>
      <c r="C3240" s="11"/>
      <c r="D3240" s="13"/>
      <c r="E3240" s="13"/>
      <c r="F3240" s="13"/>
      <c r="G3240" s="13"/>
      <c r="H3240" s="13"/>
      <c r="I3240" s="10"/>
      <c r="J3240" s="11"/>
      <c r="K3240" s="6"/>
      <c r="L3240" s="13"/>
    </row>
    <row r="3241" spans="1:12" hidden="1" x14ac:dyDescent="0.25">
      <c r="A3241" s="6"/>
      <c r="B3241" s="6"/>
      <c r="C3241" s="11"/>
      <c r="D3241" s="13"/>
      <c r="E3241" s="13"/>
      <c r="F3241" s="13"/>
      <c r="G3241" s="13"/>
      <c r="H3241" s="13"/>
      <c r="I3241" s="10"/>
      <c r="J3241" s="11"/>
      <c r="K3241" s="6"/>
      <c r="L3241" s="13"/>
    </row>
    <row r="3242" spans="1:12" hidden="1" x14ac:dyDescent="0.25">
      <c r="A3242" s="6"/>
      <c r="B3242" s="6"/>
      <c r="C3242" s="11"/>
      <c r="D3242" s="13"/>
      <c r="E3242" s="13"/>
      <c r="F3242" s="13"/>
      <c r="G3242" s="13"/>
      <c r="H3242" s="13"/>
      <c r="I3242" s="10"/>
      <c r="J3242" s="11"/>
      <c r="K3242" s="6"/>
      <c r="L3242" s="13"/>
    </row>
    <row r="3243" spans="1:12" hidden="1" x14ac:dyDescent="0.25">
      <c r="A3243" s="6"/>
      <c r="B3243" s="6"/>
      <c r="C3243" s="11"/>
      <c r="D3243" s="13"/>
      <c r="E3243" s="13"/>
      <c r="F3243" s="13"/>
      <c r="G3243" s="13"/>
      <c r="H3243" s="13"/>
      <c r="I3243" s="10"/>
      <c r="J3243" s="11"/>
      <c r="K3243" s="6"/>
      <c r="L3243" s="13"/>
    </row>
    <row r="3244" spans="1:12" hidden="1" x14ac:dyDescent="0.25">
      <c r="A3244" s="6"/>
      <c r="B3244" s="6"/>
      <c r="C3244" s="11"/>
      <c r="D3244" s="13"/>
      <c r="E3244" s="13"/>
      <c r="F3244" s="13"/>
      <c r="G3244" s="13"/>
      <c r="H3244" s="13"/>
      <c r="I3244" s="10"/>
      <c r="J3244" s="11"/>
      <c r="K3244" s="6"/>
      <c r="L3244" s="13"/>
    </row>
    <row r="3245" spans="1:12" hidden="1" x14ac:dyDescent="0.25">
      <c r="A3245" s="6"/>
      <c r="B3245" s="6"/>
      <c r="C3245" s="11"/>
      <c r="D3245" s="13"/>
      <c r="E3245" s="13"/>
      <c r="F3245" s="13"/>
      <c r="G3245" s="13"/>
      <c r="H3245" s="13"/>
      <c r="I3245" s="10"/>
      <c r="J3245" s="11"/>
      <c r="K3245" s="6"/>
      <c r="L3245" s="13"/>
    </row>
    <row r="3246" spans="1:12" hidden="1" x14ac:dyDescent="0.25">
      <c r="A3246" s="6"/>
      <c r="B3246" s="6"/>
      <c r="C3246" s="11"/>
      <c r="D3246" s="13"/>
      <c r="E3246" s="13"/>
      <c r="F3246" s="13"/>
      <c r="G3246" s="13"/>
      <c r="H3246" s="13"/>
      <c r="I3246" s="10"/>
      <c r="J3246" s="11"/>
      <c r="K3246" s="6"/>
      <c r="L3246" s="13"/>
    </row>
    <row r="3247" spans="1:12" hidden="1" x14ac:dyDescent="0.25">
      <c r="A3247" s="6"/>
      <c r="B3247" s="6"/>
      <c r="C3247" s="11"/>
      <c r="D3247" s="13"/>
      <c r="E3247" s="13"/>
      <c r="F3247" s="13"/>
      <c r="G3247" s="13"/>
      <c r="H3247" s="13"/>
      <c r="I3247" s="10"/>
      <c r="J3247" s="11"/>
      <c r="K3247" s="6"/>
      <c r="L3247" s="13"/>
    </row>
    <row r="3248" spans="1:12" hidden="1" x14ac:dyDescent="0.25">
      <c r="A3248" s="6"/>
      <c r="B3248" s="6"/>
      <c r="C3248" s="11"/>
      <c r="D3248" s="13"/>
      <c r="E3248" s="13"/>
      <c r="F3248" s="13"/>
      <c r="G3248" s="13"/>
      <c r="H3248" s="13"/>
      <c r="I3248" s="10"/>
      <c r="J3248" s="11"/>
      <c r="K3248" s="6"/>
      <c r="L3248" s="13"/>
    </row>
    <row r="3249" spans="1:12" hidden="1" x14ac:dyDescent="0.25">
      <c r="A3249" s="6"/>
      <c r="B3249" s="6"/>
      <c r="C3249" s="11"/>
      <c r="D3249" s="13"/>
      <c r="E3249" s="13"/>
      <c r="F3249" s="13"/>
      <c r="G3249" s="13"/>
      <c r="H3249" s="13"/>
      <c r="I3249" s="10"/>
      <c r="J3249" s="11"/>
      <c r="K3249" s="6"/>
      <c r="L3249" s="13"/>
    </row>
    <row r="3250" spans="1:12" hidden="1" x14ac:dyDescent="0.25">
      <c r="A3250" s="6"/>
      <c r="B3250" s="6"/>
      <c r="C3250" s="11"/>
      <c r="D3250" s="13"/>
      <c r="E3250" s="13"/>
      <c r="F3250" s="13"/>
      <c r="G3250" s="13"/>
      <c r="H3250" s="13"/>
      <c r="I3250" s="10"/>
      <c r="J3250" s="11"/>
      <c r="K3250" s="6"/>
      <c r="L3250" s="13"/>
    </row>
    <row r="3251" spans="1:12" hidden="1" x14ac:dyDescent="0.25">
      <c r="A3251" s="6"/>
      <c r="B3251" s="6"/>
      <c r="C3251" s="11"/>
      <c r="D3251" s="13"/>
      <c r="E3251" s="13"/>
      <c r="F3251" s="13"/>
      <c r="G3251" s="13"/>
      <c r="H3251" s="13"/>
      <c r="I3251" s="10"/>
      <c r="J3251" s="11"/>
      <c r="K3251" s="6"/>
      <c r="L3251" s="13"/>
    </row>
    <row r="3252" spans="1:12" hidden="1" x14ac:dyDescent="0.25">
      <c r="A3252" s="6"/>
      <c r="B3252" s="6"/>
      <c r="C3252" s="11"/>
      <c r="D3252" s="13"/>
      <c r="E3252" s="13"/>
      <c r="F3252" s="13"/>
      <c r="G3252" s="13"/>
      <c r="H3252" s="13"/>
      <c r="I3252" s="10"/>
      <c r="J3252" s="11"/>
      <c r="K3252" s="6"/>
      <c r="L3252" s="13"/>
    </row>
    <row r="3253" spans="1:12" hidden="1" x14ac:dyDescent="0.25">
      <c r="A3253" s="6"/>
      <c r="B3253" s="6"/>
      <c r="C3253" s="11"/>
      <c r="D3253" s="13"/>
      <c r="E3253" s="13"/>
      <c r="F3253" s="13"/>
      <c r="G3253" s="13"/>
      <c r="H3253" s="13"/>
      <c r="I3253" s="10"/>
      <c r="J3253" s="11"/>
      <c r="K3253" s="6"/>
      <c r="L3253" s="13"/>
    </row>
    <row r="3254" spans="1:12" hidden="1" x14ac:dyDescent="0.25">
      <c r="A3254" s="6"/>
      <c r="B3254" s="6"/>
      <c r="C3254" s="11"/>
      <c r="D3254" s="13"/>
      <c r="E3254" s="13"/>
      <c r="F3254" s="13"/>
      <c r="G3254" s="13"/>
      <c r="H3254" s="13"/>
      <c r="I3254" s="10"/>
      <c r="J3254" s="11"/>
      <c r="K3254" s="6"/>
      <c r="L3254" s="13"/>
    </row>
    <row r="3255" spans="1:12" hidden="1" x14ac:dyDescent="0.25">
      <c r="A3255" s="6"/>
      <c r="B3255" s="6"/>
      <c r="C3255" s="11"/>
      <c r="D3255" s="13"/>
      <c r="E3255" s="13"/>
      <c r="F3255" s="13"/>
      <c r="G3255" s="13"/>
      <c r="H3255" s="13"/>
      <c r="I3255" s="10"/>
      <c r="J3255" s="11"/>
      <c r="K3255" s="6"/>
      <c r="L3255" s="13"/>
    </row>
    <row r="3256" spans="1:12" hidden="1" x14ac:dyDescent="0.25">
      <c r="A3256" s="6"/>
      <c r="B3256" s="6"/>
      <c r="C3256" s="11"/>
      <c r="D3256" s="13"/>
      <c r="E3256" s="13"/>
      <c r="F3256" s="13"/>
      <c r="G3256" s="13"/>
      <c r="H3256" s="13"/>
      <c r="I3256" s="10"/>
      <c r="J3256" s="11"/>
      <c r="K3256" s="6"/>
      <c r="L3256" s="13"/>
    </row>
    <row r="3257" spans="1:12" hidden="1" x14ac:dyDescent="0.25">
      <c r="A3257" s="6"/>
      <c r="B3257" s="6"/>
      <c r="C3257" s="11"/>
      <c r="D3257" s="13"/>
      <c r="E3257" s="13"/>
      <c r="F3257" s="13"/>
      <c r="G3257" s="13"/>
      <c r="H3257" s="13"/>
      <c r="I3257" s="10"/>
      <c r="J3257" s="11"/>
      <c r="K3257" s="6"/>
      <c r="L3257" s="13"/>
    </row>
    <row r="3258" spans="1:12" hidden="1" x14ac:dyDescent="0.25">
      <c r="A3258" s="6"/>
      <c r="B3258" s="6"/>
      <c r="C3258" s="11"/>
      <c r="D3258" s="13"/>
      <c r="E3258" s="13"/>
      <c r="F3258" s="13"/>
      <c r="G3258" s="13"/>
      <c r="H3258" s="13"/>
      <c r="I3258" s="10"/>
      <c r="J3258" s="11"/>
      <c r="K3258" s="6"/>
      <c r="L3258" s="13"/>
    </row>
    <row r="3259" spans="1:12" hidden="1" x14ac:dyDescent="0.25">
      <c r="A3259" s="6"/>
      <c r="B3259" s="6"/>
      <c r="C3259" s="11"/>
      <c r="D3259" s="13"/>
      <c r="E3259" s="13"/>
      <c r="F3259" s="13"/>
      <c r="G3259" s="13"/>
      <c r="H3259" s="13"/>
      <c r="I3259" s="10"/>
      <c r="J3259" s="11"/>
      <c r="K3259" s="6"/>
      <c r="L3259" s="13"/>
    </row>
    <row r="3260" spans="1:12" hidden="1" x14ac:dyDescent="0.25">
      <c r="A3260" s="6"/>
      <c r="B3260" s="6"/>
      <c r="C3260" s="11"/>
      <c r="D3260" s="13"/>
      <c r="E3260" s="13"/>
      <c r="F3260" s="13"/>
      <c r="G3260" s="13"/>
      <c r="H3260" s="13"/>
      <c r="I3260" s="10"/>
      <c r="J3260" s="11"/>
      <c r="K3260" s="6"/>
      <c r="L3260" s="13"/>
    </row>
    <row r="3261" spans="1:12" hidden="1" x14ac:dyDescent="0.25">
      <c r="A3261" s="6"/>
      <c r="B3261" s="6"/>
      <c r="C3261" s="11"/>
      <c r="D3261" s="13"/>
      <c r="E3261" s="13"/>
      <c r="F3261" s="13"/>
      <c r="G3261" s="13"/>
      <c r="H3261" s="13"/>
      <c r="I3261" s="10"/>
      <c r="J3261" s="11"/>
      <c r="K3261" s="6"/>
      <c r="L3261" s="13"/>
    </row>
    <row r="3262" spans="1:12" hidden="1" x14ac:dyDescent="0.25">
      <c r="A3262" s="6"/>
      <c r="B3262" s="6"/>
      <c r="C3262" s="11"/>
      <c r="D3262" s="13"/>
      <c r="E3262" s="13"/>
      <c r="F3262" s="13"/>
      <c r="G3262" s="13"/>
      <c r="H3262" s="13"/>
      <c r="I3262" s="10"/>
      <c r="J3262" s="11"/>
      <c r="K3262" s="6"/>
      <c r="L3262" s="13"/>
    </row>
    <row r="3263" spans="1:12" hidden="1" x14ac:dyDescent="0.25">
      <c r="A3263" s="6"/>
      <c r="B3263" s="6"/>
      <c r="C3263" s="11"/>
      <c r="D3263" s="13"/>
      <c r="E3263" s="13"/>
      <c r="F3263" s="13"/>
      <c r="G3263" s="13"/>
      <c r="H3263" s="13"/>
      <c r="I3263" s="10"/>
      <c r="J3263" s="11"/>
      <c r="K3263" s="6"/>
      <c r="L3263" s="13"/>
    </row>
    <row r="3264" spans="1:12" hidden="1" x14ac:dyDescent="0.25">
      <c r="A3264" s="6"/>
      <c r="B3264" s="6"/>
      <c r="C3264" s="11"/>
      <c r="D3264" s="13"/>
      <c r="E3264" s="13"/>
      <c r="F3264" s="13"/>
      <c r="G3264" s="13"/>
      <c r="H3264" s="13"/>
      <c r="I3264" s="10"/>
      <c r="J3264" s="11"/>
      <c r="K3264" s="6"/>
      <c r="L3264" s="13"/>
    </row>
    <row r="3265" spans="1:12" hidden="1" x14ac:dyDescent="0.25">
      <c r="A3265" s="6"/>
      <c r="B3265" s="6"/>
      <c r="C3265" s="11"/>
      <c r="D3265" s="13"/>
      <c r="E3265" s="13"/>
      <c r="F3265" s="13"/>
      <c r="G3265" s="13"/>
      <c r="H3265" s="13"/>
      <c r="I3265" s="10"/>
      <c r="J3265" s="11"/>
      <c r="K3265" s="6"/>
      <c r="L3265" s="13"/>
    </row>
    <row r="3266" spans="1:12" hidden="1" x14ac:dyDescent="0.25">
      <c r="A3266" s="6"/>
      <c r="B3266" s="6"/>
      <c r="C3266" s="11"/>
      <c r="D3266" s="13"/>
      <c r="E3266" s="13"/>
      <c r="F3266" s="13"/>
      <c r="G3266" s="13"/>
      <c r="H3266" s="13"/>
      <c r="I3266" s="10"/>
      <c r="J3266" s="11"/>
      <c r="K3266" s="6"/>
      <c r="L3266" s="13"/>
    </row>
    <row r="3267" spans="1:12" hidden="1" x14ac:dyDescent="0.25">
      <c r="A3267" s="6"/>
      <c r="B3267" s="6"/>
      <c r="C3267" s="11"/>
      <c r="D3267" s="13"/>
      <c r="E3267" s="13"/>
      <c r="F3267" s="13"/>
      <c r="G3267" s="13"/>
      <c r="H3267" s="13"/>
      <c r="I3267" s="10"/>
      <c r="J3267" s="11"/>
      <c r="K3267" s="6"/>
      <c r="L3267" s="13"/>
    </row>
    <row r="3268" spans="1:12" hidden="1" x14ac:dyDescent="0.25">
      <c r="A3268" s="6"/>
      <c r="B3268" s="6"/>
      <c r="C3268" s="11"/>
      <c r="D3268" s="13"/>
      <c r="E3268" s="13"/>
      <c r="F3268" s="13"/>
      <c r="G3268" s="13"/>
      <c r="H3268" s="13"/>
      <c r="I3268" s="10"/>
      <c r="J3268" s="11"/>
      <c r="K3268" s="6"/>
      <c r="L3268" s="13"/>
    </row>
    <row r="3269" spans="1:12" hidden="1" x14ac:dyDescent="0.25">
      <c r="A3269" s="6"/>
      <c r="B3269" s="6"/>
      <c r="C3269" s="11"/>
      <c r="D3269" s="13"/>
      <c r="E3269" s="13"/>
      <c r="F3269" s="13"/>
      <c r="G3269" s="13"/>
      <c r="H3269" s="13"/>
      <c r="I3269" s="10"/>
      <c r="J3269" s="11"/>
      <c r="K3269" s="6"/>
      <c r="L3269" s="13"/>
    </row>
    <row r="3270" spans="1:12" hidden="1" x14ac:dyDescent="0.25">
      <c r="A3270" s="6"/>
      <c r="B3270" s="6"/>
      <c r="C3270" s="11"/>
      <c r="D3270" s="13"/>
      <c r="E3270" s="13"/>
      <c r="F3270" s="13"/>
      <c r="G3270" s="13"/>
      <c r="H3270" s="13"/>
      <c r="I3270" s="10"/>
      <c r="J3270" s="11"/>
      <c r="K3270" s="6"/>
      <c r="L3270" s="13"/>
    </row>
    <row r="3271" spans="1:12" hidden="1" x14ac:dyDescent="0.25">
      <c r="A3271" s="6"/>
      <c r="B3271" s="6"/>
      <c r="C3271" s="11"/>
      <c r="D3271" s="13"/>
      <c r="E3271" s="13"/>
      <c r="F3271" s="13"/>
      <c r="G3271" s="13"/>
      <c r="H3271" s="13"/>
      <c r="I3271" s="10"/>
      <c r="J3271" s="11"/>
      <c r="K3271" s="6"/>
      <c r="L3271" s="13"/>
    </row>
    <row r="3272" spans="1:12" hidden="1" x14ac:dyDescent="0.25">
      <c r="A3272" s="6"/>
      <c r="B3272" s="6"/>
      <c r="C3272" s="11"/>
      <c r="D3272" s="13"/>
      <c r="E3272" s="13"/>
      <c r="F3272" s="13"/>
      <c r="G3272" s="13"/>
      <c r="H3272" s="13"/>
      <c r="I3272" s="10"/>
      <c r="J3272" s="11"/>
      <c r="K3272" s="6"/>
      <c r="L3272" s="13"/>
    </row>
    <row r="3273" spans="1:12" hidden="1" x14ac:dyDescent="0.25">
      <c r="A3273" s="6"/>
      <c r="B3273" s="6"/>
      <c r="C3273" s="11"/>
      <c r="D3273" s="13"/>
      <c r="E3273" s="13"/>
      <c r="F3273" s="13"/>
      <c r="G3273" s="13"/>
      <c r="H3273" s="13"/>
      <c r="I3273" s="10"/>
      <c r="J3273" s="11"/>
      <c r="K3273" s="6"/>
      <c r="L3273" s="13"/>
    </row>
    <row r="3274" spans="1:12" hidden="1" x14ac:dyDescent="0.25">
      <c r="A3274" s="6"/>
      <c r="B3274" s="6"/>
      <c r="C3274" s="11"/>
      <c r="D3274" s="13"/>
      <c r="E3274" s="13"/>
      <c r="F3274" s="13"/>
      <c r="G3274" s="13"/>
      <c r="H3274" s="13"/>
      <c r="I3274" s="10"/>
      <c r="J3274" s="11"/>
      <c r="K3274" s="6"/>
      <c r="L3274" s="13"/>
    </row>
    <row r="3275" spans="1:12" hidden="1" x14ac:dyDescent="0.25">
      <c r="A3275" s="6"/>
      <c r="B3275" s="6"/>
      <c r="C3275" s="11"/>
      <c r="D3275" s="13"/>
      <c r="E3275" s="13"/>
      <c r="F3275" s="13"/>
      <c r="G3275" s="13"/>
      <c r="H3275" s="13"/>
      <c r="I3275" s="10"/>
      <c r="J3275" s="11"/>
      <c r="K3275" s="6"/>
      <c r="L3275" s="13"/>
    </row>
    <row r="3276" spans="1:12" hidden="1" x14ac:dyDescent="0.25">
      <c r="A3276" s="6"/>
      <c r="B3276" s="6"/>
      <c r="C3276" s="11"/>
      <c r="D3276" s="13"/>
      <c r="E3276" s="13"/>
      <c r="F3276" s="13"/>
      <c r="G3276" s="13"/>
      <c r="H3276" s="13"/>
      <c r="I3276" s="10"/>
      <c r="J3276" s="11"/>
      <c r="K3276" s="6"/>
      <c r="L3276" s="13"/>
    </row>
    <row r="3277" spans="1:12" hidden="1" x14ac:dyDescent="0.25">
      <c r="A3277" s="6"/>
      <c r="B3277" s="6"/>
      <c r="C3277" s="11"/>
      <c r="D3277" s="13"/>
      <c r="E3277" s="13"/>
      <c r="F3277" s="13"/>
      <c r="G3277" s="13"/>
      <c r="H3277" s="13"/>
      <c r="I3277" s="10"/>
      <c r="J3277" s="11"/>
      <c r="K3277" s="6"/>
      <c r="L3277" s="13"/>
    </row>
    <row r="3278" spans="1:12" hidden="1" x14ac:dyDescent="0.25">
      <c r="A3278" s="6"/>
      <c r="B3278" s="6"/>
      <c r="C3278" s="11"/>
      <c r="D3278" s="13"/>
      <c r="E3278" s="13"/>
      <c r="F3278" s="13"/>
      <c r="G3278" s="13"/>
      <c r="H3278" s="13"/>
      <c r="I3278" s="10"/>
      <c r="J3278" s="11"/>
      <c r="K3278" s="6"/>
      <c r="L3278" s="13"/>
    </row>
    <row r="3279" spans="1:12" hidden="1" x14ac:dyDescent="0.25">
      <c r="A3279" s="6"/>
      <c r="B3279" s="6"/>
      <c r="C3279" s="11"/>
      <c r="D3279" s="13"/>
      <c r="E3279" s="13"/>
      <c r="F3279" s="13"/>
      <c r="G3279" s="13"/>
      <c r="H3279" s="13"/>
      <c r="I3279" s="10"/>
      <c r="J3279" s="11"/>
      <c r="K3279" s="6"/>
      <c r="L3279" s="13"/>
    </row>
    <row r="3280" spans="1:12" hidden="1" x14ac:dyDescent="0.25">
      <c r="A3280" s="6"/>
      <c r="B3280" s="6"/>
      <c r="C3280" s="11"/>
      <c r="D3280" s="13"/>
      <c r="E3280" s="13"/>
      <c r="F3280" s="13"/>
      <c r="G3280" s="13"/>
      <c r="H3280" s="13"/>
      <c r="I3280" s="10"/>
      <c r="J3280" s="11"/>
      <c r="K3280" s="6"/>
      <c r="L3280" s="13"/>
    </row>
    <row r="3281" spans="1:12" hidden="1" x14ac:dyDescent="0.25">
      <c r="A3281" s="6"/>
      <c r="B3281" s="6"/>
      <c r="C3281" s="11"/>
      <c r="D3281" s="13"/>
      <c r="E3281" s="13"/>
      <c r="F3281" s="13"/>
      <c r="G3281" s="13"/>
      <c r="H3281" s="13"/>
      <c r="I3281" s="10"/>
      <c r="J3281" s="11"/>
      <c r="K3281" s="6"/>
      <c r="L3281" s="13"/>
    </row>
    <row r="3282" spans="1:12" hidden="1" x14ac:dyDescent="0.25">
      <c r="A3282" s="6"/>
      <c r="B3282" s="6"/>
      <c r="C3282" s="11"/>
      <c r="D3282" s="13"/>
      <c r="E3282" s="13"/>
      <c r="F3282" s="13"/>
      <c r="G3282" s="13"/>
      <c r="H3282" s="13"/>
      <c r="I3282" s="10"/>
      <c r="J3282" s="11"/>
      <c r="K3282" s="6"/>
      <c r="L3282" s="13"/>
    </row>
    <row r="3283" spans="1:12" hidden="1" x14ac:dyDescent="0.25">
      <c r="A3283" s="6"/>
      <c r="B3283" s="6"/>
      <c r="C3283" s="11"/>
      <c r="D3283" s="13"/>
      <c r="E3283" s="13"/>
      <c r="F3283" s="13"/>
      <c r="G3283" s="13"/>
      <c r="H3283" s="13"/>
      <c r="I3283" s="10"/>
      <c r="J3283" s="11"/>
      <c r="K3283" s="6"/>
      <c r="L3283" s="13"/>
    </row>
    <row r="3284" spans="1:12" hidden="1" x14ac:dyDescent="0.25">
      <c r="A3284" s="6"/>
      <c r="B3284" s="6"/>
      <c r="C3284" s="11"/>
      <c r="D3284" s="13"/>
      <c r="E3284" s="13"/>
      <c r="F3284" s="13"/>
      <c r="G3284" s="13"/>
      <c r="H3284" s="13"/>
      <c r="I3284" s="10"/>
      <c r="J3284" s="11"/>
      <c r="K3284" s="6"/>
      <c r="L3284" s="13"/>
    </row>
    <row r="3285" spans="1:12" hidden="1" x14ac:dyDescent="0.25">
      <c r="A3285" s="6"/>
      <c r="B3285" s="6"/>
      <c r="C3285" s="11"/>
      <c r="D3285" s="13"/>
      <c r="E3285" s="13"/>
      <c r="F3285" s="13"/>
      <c r="G3285" s="13"/>
      <c r="H3285" s="13"/>
      <c r="I3285" s="10"/>
      <c r="J3285" s="11"/>
      <c r="K3285" s="6"/>
      <c r="L3285" s="13"/>
    </row>
    <row r="3286" spans="1:12" hidden="1" x14ac:dyDescent="0.25">
      <c r="A3286" s="6"/>
      <c r="B3286" s="6"/>
      <c r="C3286" s="11"/>
      <c r="D3286" s="13"/>
      <c r="E3286" s="13"/>
      <c r="F3286" s="13"/>
      <c r="G3286" s="13"/>
      <c r="H3286" s="13"/>
      <c r="I3286" s="10"/>
      <c r="J3286" s="11"/>
      <c r="K3286" s="6"/>
      <c r="L3286" s="13"/>
    </row>
    <row r="3287" spans="1:12" hidden="1" x14ac:dyDescent="0.25">
      <c r="A3287" s="6"/>
      <c r="B3287" s="6"/>
      <c r="C3287" s="11"/>
      <c r="D3287" s="13"/>
      <c r="E3287" s="13"/>
      <c r="F3287" s="13"/>
      <c r="G3287" s="13"/>
      <c r="H3287" s="13"/>
      <c r="I3287" s="10"/>
      <c r="J3287" s="11"/>
      <c r="K3287" s="6"/>
      <c r="L3287" s="13"/>
    </row>
    <row r="3288" spans="1:12" hidden="1" x14ac:dyDescent="0.25">
      <c r="A3288" s="6"/>
      <c r="B3288" s="6"/>
      <c r="C3288" s="11"/>
      <c r="D3288" s="13"/>
      <c r="E3288" s="13"/>
      <c r="F3288" s="13"/>
      <c r="G3288" s="13"/>
      <c r="H3288" s="13"/>
      <c r="I3288" s="10"/>
      <c r="J3288" s="11"/>
      <c r="K3288" s="6"/>
      <c r="L3288" s="13"/>
    </row>
    <row r="3289" spans="1:12" hidden="1" x14ac:dyDescent="0.25">
      <c r="A3289" s="6"/>
      <c r="B3289" s="6"/>
      <c r="C3289" s="11"/>
      <c r="D3289" s="13"/>
      <c r="E3289" s="13"/>
      <c r="F3289" s="13"/>
      <c r="G3289" s="13"/>
      <c r="H3289" s="13"/>
      <c r="I3289" s="10"/>
      <c r="J3289" s="11"/>
      <c r="K3289" s="6"/>
      <c r="L3289" s="13"/>
    </row>
    <row r="3290" spans="1:12" hidden="1" x14ac:dyDescent="0.25">
      <c r="A3290" s="6"/>
      <c r="B3290" s="6"/>
      <c r="C3290" s="11"/>
      <c r="D3290" s="13"/>
      <c r="E3290" s="13"/>
      <c r="F3290" s="13"/>
      <c r="G3290" s="13"/>
      <c r="H3290" s="13"/>
      <c r="I3290" s="10"/>
      <c r="J3290" s="11"/>
      <c r="K3290" s="6"/>
      <c r="L3290" s="13"/>
    </row>
    <row r="3291" spans="1:12" hidden="1" x14ac:dyDescent="0.25">
      <c r="A3291" s="6"/>
      <c r="B3291" s="6"/>
      <c r="C3291" s="11"/>
      <c r="D3291" s="13"/>
      <c r="E3291" s="13"/>
      <c r="F3291" s="13"/>
      <c r="G3291" s="13"/>
      <c r="H3291" s="13"/>
      <c r="I3291" s="10"/>
      <c r="J3291" s="11"/>
      <c r="K3291" s="6"/>
      <c r="L3291" s="13"/>
    </row>
    <row r="3292" spans="1:12" hidden="1" x14ac:dyDescent="0.25">
      <c r="A3292" s="6"/>
      <c r="B3292" s="6"/>
      <c r="C3292" s="11"/>
      <c r="D3292" s="13"/>
      <c r="E3292" s="13"/>
      <c r="F3292" s="13"/>
      <c r="G3292" s="13"/>
      <c r="H3292" s="13"/>
      <c r="I3292" s="10"/>
      <c r="J3292" s="11"/>
      <c r="K3292" s="6"/>
      <c r="L3292" s="13"/>
    </row>
    <row r="3293" spans="1:12" hidden="1" x14ac:dyDescent="0.25">
      <c r="A3293" s="6"/>
      <c r="B3293" s="6"/>
      <c r="C3293" s="11"/>
      <c r="D3293" s="13"/>
      <c r="E3293" s="13"/>
      <c r="F3293" s="13"/>
      <c r="G3293" s="13"/>
      <c r="H3293" s="13"/>
      <c r="I3293" s="10"/>
      <c r="J3293" s="11"/>
      <c r="K3293" s="6"/>
      <c r="L3293" s="13"/>
    </row>
    <row r="3294" spans="1:12" hidden="1" x14ac:dyDescent="0.25">
      <c r="A3294" s="6"/>
      <c r="B3294" s="6"/>
      <c r="C3294" s="11"/>
      <c r="D3294" s="13"/>
      <c r="E3294" s="13"/>
      <c r="F3294" s="13"/>
      <c r="G3294" s="13"/>
      <c r="H3294" s="13"/>
      <c r="I3294" s="10"/>
      <c r="J3294" s="11"/>
      <c r="K3294" s="6"/>
      <c r="L3294" s="13"/>
    </row>
    <row r="3295" spans="1:12" hidden="1" x14ac:dyDescent="0.25">
      <c r="A3295" s="6"/>
      <c r="B3295" s="6"/>
      <c r="C3295" s="11"/>
      <c r="D3295" s="13"/>
      <c r="E3295" s="13"/>
      <c r="F3295" s="13"/>
      <c r="G3295" s="13"/>
      <c r="H3295" s="13"/>
      <c r="I3295" s="10"/>
      <c r="J3295" s="11"/>
      <c r="K3295" s="6"/>
      <c r="L3295" s="13"/>
    </row>
    <row r="3296" spans="1:12" hidden="1" x14ac:dyDescent="0.25">
      <c r="A3296" s="6"/>
      <c r="B3296" s="6"/>
      <c r="C3296" s="11"/>
      <c r="D3296" s="13"/>
      <c r="E3296" s="13"/>
      <c r="F3296" s="13"/>
      <c r="G3296" s="13"/>
      <c r="H3296" s="13"/>
      <c r="I3296" s="10"/>
      <c r="J3296" s="11"/>
      <c r="K3296" s="6"/>
      <c r="L3296" s="13"/>
    </row>
    <row r="3297" spans="1:12" hidden="1" x14ac:dyDescent="0.25">
      <c r="A3297" s="6"/>
      <c r="B3297" s="6"/>
      <c r="C3297" s="11"/>
      <c r="D3297" s="13"/>
      <c r="E3297" s="13"/>
      <c r="F3297" s="13"/>
      <c r="G3297" s="13"/>
      <c r="H3297" s="13"/>
      <c r="I3297" s="10"/>
      <c r="J3297" s="11"/>
      <c r="K3297" s="6"/>
      <c r="L3297" s="13"/>
    </row>
    <row r="3298" spans="1:12" hidden="1" x14ac:dyDescent="0.25">
      <c r="A3298" s="6"/>
      <c r="B3298" s="6"/>
      <c r="C3298" s="11"/>
      <c r="D3298" s="13"/>
      <c r="E3298" s="13"/>
      <c r="F3298" s="13"/>
      <c r="G3298" s="13"/>
      <c r="H3298" s="13"/>
      <c r="I3298" s="10"/>
      <c r="J3298" s="11"/>
      <c r="K3298" s="6"/>
      <c r="L3298" s="13"/>
    </row>
    <row r="3299" spans="1:12" hidden="1" x14ac:dyDescent="0.25">
      <c r="A3299" s="6"/>
      <c r="B3299" s="6"/>
      <c r="C3299" s="11"/>
      <c r="D3299" s="13"/>
      <c r="E3299" s="13"/>
      <c r="F3299" s="13"/>
      <c r="G3299" s="13"/>
      <c r="H3299" s="13"/>
      <c r="I3299" s="10"/>
      <c r="J3299" s="11"/>
      <c r="K3299" s="6"/>
      <c r="L3299" s="13"/>
    </row>
    <row r="3300" spans="1:12" hidden="1" x14ac:dyDescent="0.25">
      <c r="A3300" s="6"/>
      <c r="B3300" s="6"/>
      <c r="C3300" s="11"/>
      <c r="D3300" s="13"/>
      <c r="E3300" s="13"/>
      <c r="F3300" s="13"/>
      <c r="G3300" s="13"/>
      <c r="H3300" s="13"/>
      <c r="I3300" s="10"/>
      <c r="J3300" s="11"/>
      <c r="K3300" s="6"/>
      <c r="L3300" s="13"/>
    </row>
    <row r="3301" spans="1:12" hidden="1" x14ac:dyDescent="0.25">
      <c r="A3301" s="6"/>
      <c r="B3301" s="6"/>
      <c r="C3301" s="11"/>
      <c r="D3301" s="13"/>
      <c r="E3301" s="13"/>
      <c r="F3301" s="13"/>
      <c r="G3301" s="13"/>
      <c r="H3301" s="13"/>
      <c r="I3301" s="10"/>
      <c r="J3301" s="11"/>
      <c r="K3301" s="6"/>
      <c r="L3301" s="13"/>
    </row>
    <row r="3302" spans="1:12" hidden="1" x14ac:dyDescent="0.25">
      <c r="A3302" s="6"/>
      <c r="B3302" s="6"/>
      <c r="C3302" s="11"/>
      <c r="D3302" s="13"/>
      <c r="E3302" s="13"/>
      <c r="F3302" s="13"/>
      <c r="G3302" s="13"/>
      <c r="H3302" s="13"/>
      <c r="I3302" s="10"/>
      <c r="J3302" s="11"/>
      <c r="K3302" s="6"/>
      <c r="L3302" s="13"/>
    </row>
    <row r="3303" spans="1:12" hidden="1" x14ac:dyDescent="0.25">
      <c r="A3303" s="6"/>
      <c r="B3303" s="6"/>
      <c r="C3303" s="11"/>
      <c r="D3303" s="13"/>
      <c r="E3303" s="13"/>
      <c r="F3303" s="13"/>
      <c r="G3303" s="13"/>
      <c r="H3303" s="13"/>
      <c r="I3303" s="10"/>
      <c r="J3303" s="11"/>
      <c r="K3303" s="6"/>
      <c r="L3303" s="13"/>
    </row>
    <row r="3304" spans="1:12" hidden="1" x14ac:dyDescent="0.25">
      <c r="A3304" s="6"/>
      <c r="B3304" s="6"/>
      <c r="C3304" s="11"/>
      <c r="D3304" s="13"/>
      <c r="E3304" s="13"/>
      <c r="F3304" s="13"/>
      <c r="G3304" s="13"/>
      <c r="H3304" s="13"/>
      <c r="I3304" s="10"/>
      <c r="J3304" s="11"/>
      <c r="K3304" s="6"/>
      <c r="L3304" s="13"/>
    </row>
    <row r="3305" spans="1:12" hidden="1" x14ac:dyDescent="0.25">
      <c r="A3305" s="6"/>
      <c r="B3305" s="6"/>
      <c r="C3305" s="11"/>
      <c r="D3305" s="13"/>
      <c r="E3305" s="13"/>
      <c r="F3305" s="13"/>
      <c r="G3305" s="13"/>
      <c r="H3305" s="13"/>
      <c r="I3305" s="10"/>
      <c r="J3305" s="11"/>
      <c r="K3305" s="6"/>
      <c r="L3305" s="13"/>
    </row>
    <row r="3306" spans="1:12" hidden="1" x14ac:dyDescent="0.25">
      <c r="A3306" s="6"/>
      <c r="B3306" s="6"/>
      <c r="C3306" s="11"/>
      <c r="D3306" s="13"/>
      <c r="E3306" s="13"/>
      <c r="F3306" s="13"/>
      <c r="G3306" s="13"/>
      <c r="H3306" s="13"/>
      <c r="I3306" s="10"/>
      <c r="J3306" s="11"/>
      <c r="K3306" s="6"/>
      <c r="L3306" s="13"/>
    </row>
    <row r="3307" spans="1:12" hidden="1" x14ac:dyDescent="0.25">
      <c r="A3307" s="6"/>
      <c r="B3307" s="6"/>
      <c r="C3307" s="11"/>
      <c r="D3307" s="13"/>
      <c r="E3307" s="13"/>
      <c r="F3307" s="13"/>
      <c r="G3307" s="13"/>
      <c r="H3307" s="13"/>
      <c r="I3307" s="10"/>
      <c r="J3307" s="11"/>
      <c r="K3307" s="6"/>
      <c r="L3307" s="13"/>
    </row>
    <row r="3308" spans="1:12" hidden="1" x14ac:dyDescent="0.25">
      <c r="A3308" s="6"/>
      <c r="B3308" s="6"/>
      <c r="C3308" s="11"/>
      <c r="D3308" s="13"/>
      <c r="E3308" s="13"/>
      <c r="F3308" s="13"/>
      <c r="G3308" s="13"/>
      <c r="H3308" s="13"/>
      <c r="I3308" s="10"/>
      <c r="J3308" s="11"/>
      <c r="K3308" s="6"/>
      <c r="L3308" s="13"/>
    </row>
    <row r="3309" spans="1:12" hidden="1" x14ac:dyDescent="0.25">
      <c r="A3309" s="6"/>
      <c r="B3309" s="6"/>
      <c r="C3309" s="11"/>
      <c r="D3309" s="13"/>
      <c r="E3309" s="13"/>
      <c r="F3309" s="13"/>
      <c r="G3309" s="13"/>
      <c r="H3309" s="13"/>
      <c r="I3309" s="10"/>
      <c r="J3309" s="11"/>
      <c r="K3309" s="6"/>
      <c r="L3309" s="13"/>
    </row>
    <row r="3310" spans="1:12" hidden="1" x14ac:dyDescent="0.25">
      <c r="A3310" s="6"/>
      <c r="B3310" s="6"/>
      <c r="C3310" s="11"/>
      <c r="D3310" s="13"/>
      <c r="E3310" s="13"/>
      <c r="F3310" s="13"/>
      <c r="G3310" s="13"/>
      <c r="H3310" s="13"/>
      <c r="I3310" s="10"/>
      <c r="J3310" s="11"/>
      <c r="K3310" s="6"/>
      <c r="L3310" s="13"/>
    </row>
    <row r="3311" spans="1:12" hidden="1" x14ac:dyDescent="0.25">
      <c r="A3311" s="6"/>
      <c r="B3311" s="6"/>
      <c r="C3311" s="11"/>
      <c r="D3311" s="13"/>
      <c r="E3311" s="13"/>
      <c r="F3311" s="13"/>
      <c r="G3311" s="13"/>
      <c r="H3311" s="13"/>
      <c r="I3311" s="10"/>
      <c r="J3311" s="11"/>
      <c r="K3311" s="6"/>
      <c r="L3311" s="13"/>
    </row>
    <row r="3312" spans="1:12" hidden="1" x14ac:dyDescent="0.25">
      <c r="A3312" s="6"/>
      <c r="B3312" s="6"/>
      <c r="C3312" s="11"/>
      <c r="D3312" s="13"/>
      <c r="E3312" s="13"/>
      <c r="F3312" s="13"/>
      <c r="G3312" s="13"/>
      <c r="H3312" s="13"/>
      <c r="I3312" s="10"/>
      <c r="J3312" s="11"/>
      <c r="K3312" s="6"/>
      <c r="L3312" s="13"/>
    </row>
    <row r="3313" spans="1:12" hidden="1" x14ac:dyDescent="0.25">
      <c r="A3313" s="6"/>
      <c r="B3313" s="6"/>
      <c r="C3313" s="11"/>
      <c r="D3313" s="13"/>
      <c r="E3313" s="13"/>
      <c r="F3313" s="13"/>
      <c r="G3313" s="13"/>
      <c r="H3313" s="13"/>
      <c r="I3313" s="10"/>
      <c r="J3313" s="11"/>
      <c r="K3313" s="6"/>
      <c r="L3313" s="13"/>
    </row>
    <row r="3314" spans="1:12" hidden="1" x14ac:dyDescent="0.25">
      <c r="A3314" s="6"/>
      <c r="B3314" s="6"/>
      <c r="C3314" s="11"/>
      <c r="D3314" s="13"/>
      <c r="E3314" s="13"/>
      <c r="F3314" s="13"/>
      <c r="G3314" s="13"/>
      <c r="H3314" s="13"/>
      <c r="I3314" s="10"/>
      <c r="J3314" s="11"/>
      <c r="K3314" s="6"/>
      <c r="L3314" s="13"/>
    </row>
    <row r="3315" spans="1:12" hidden="1" x14ac:dyDescent="0.25">
      <c r="A3315" s="6"/>
      <c r="B3315" s="6"/>
      <c r="C3315" s="11"/>
      <c r="D3315" s="13"/>
      <c r="E3315" s="13"/>
      <c r="F3315" s="13"/>
      <c r="G3315" s="13"/>
      <c r="H3315" s="13"/>
      <c r="I3315" s="10"/>
      <c r="J3315" s="11"/>
      <c r="K3315" s="6"/>
      <c r="L3315" s="13"/>
    </row>
    <row r="3316" spans="1:12" hidden="1" x14ac:dyDescent="0.25">
      <c r="A3316" s="6"/>
      <c r="B3316" s="6"/>
      <c r="C3316" s="11"/>
      <c r="D3316" s="13"/>
      <c r="E3316" s="13"/>
      <c r="F3316" s="13"/>
      <c r="G3316" s="13"/>
      <c r="H3316" s="13"/>
      <c r="I3316" s="10"/>
      <c r="J3316" s="11"/>
      <c r="K3316" s="6"/>
      <c r="L3316" s="13"/>
    </row>
    <row r="3317" spans="1:12" hidden="1" x14ac:dyDescent="0.25">
      <c r="A3317" s="6"/>
      <c r="B3317" s="6"/>
      <c r="C3317" s="11"/>
      <c r="D3317" s="13"/>
      <c r="E3317" s="13"/>
      <c r="F3317" s="13"/>
      <c r="G3317" s="13"/>
      <c r="H3317" s="13"/>
      <c r="I3317" s="10"/>
      <c r="J3317" s="11"/>
      <c r="K3317" s="6"/>
      <c r="L3317" s="13"/>
    </row>
    <row r="3318" spans="1:12" hidden="1" x14ac:dyDescent="0.25">
      <c r="A3318" s="6"/>
      <c r="B3318" s="6"/>
      <c r="C3318" s="11"/>
      <c r="D3318" s="13"/>
      <c r="E3318" s="13"/>
      <c r="F3318" s="13"/>
      <c r="G3318" s="13"/>
      <c r="H3318" s="13"/>
      <c r="I3318" s="10"/>
      <c r="J3318" s="11"/>
      <c r="K3318" s="6"/>
      <c r="L3318" s="13"/>
    </row>
    <row r="3319" spans="1:12" hidden="1" x14ac:dyDescent="0.25">
      <c r="A3319" s="6"/>
      <c r="B3319" s="6"/>
      <c r="C3319" s="11"/>
      <c r="D3319" s="13"/>
      <c r="E3319" s="13"/>
      <c r="F3319" s="13"/>
      <c r="G3319" s="13"/>
      <c r="H3319" s="13"/>
      <c r="I3319" s="10"/>
      <c r="J3319" s="11"/>
      <c r="K3319" s="6"/>
      <c r="L3319" s="13"/>
    </row>
    <row r="3320" spans="1:12" hidden="1" x14ac:dyDescent="0.25">
      <c r="A3320" s="6"/>
      <c r="B3320" s="6"/>
      <c r="C3320" s="11"/>
      <c r="D3320" s="13"/>
      <c r="E3320" s="13"/>
      <c r="F3320" s="13"/>
      <c r="G3320" s="13"/>
      <c r="H3320" s="13"/>
      <c r="I3320" s="10"/>
      <c r="J3320" s="11"/>
      <c r="K3320" s="6"/>
      <c r="L3320" s="13"/>
    </row>
    <row r="3321" spans="1:12" hidden="1" x14ac:dyDescent="0.25">
      <c r="A3321" s="6"/>
      <c r="B3321" s="6"/>
      <c r="C3321" s="11"/>
      <c r="D3321" s="13"/>
      <c r="E3321" s="13"/>
      <c r="F3321" s="13"/>
      <c r="G3321" s="13"/>
      <c r="H3321" s="13"/>
      <c r="I3321" s="10"/>
      <c r="J3321" s="11"/>
      <c r="K3321" s="6"/>
      <c r="L3321" s="13"/>
    </row>
    <row r="3322" spans="1:12" hidden="1" x14ac:dyDescent="0.25">
      <c r="A3322" s="6"/>
      <c r="B3322" s="6"/>
      <c r="C3322" s="11"/>
      <c r="D3322" s="13"/>
      <c r="E3322" s="13"/>
      <c r="F3322" s="13"/>
      <c r="G3322" s="13"/>
      <c r="H3322" s="13"/>
      <c r="I3322" s="10"/>
      <c r="J3322" s="11"/>
      <c r="K3322" s="6"/>
      <c r="L3322" s="13"/>
    </row>
    <row r="3323" spans="1:12" hidden="1" x14ac:dyDescent="0.25">
      <c r="A3323" s="6"/>
      <c r="B3323" s="6"/>
      <c r="C3323" s="11"/>
      <c r="D3323" s="13"/>
      <c r="E3323" s="13"/>
      <c r="F3323" s="13"/>
      <c r="G3323" s="13"/>
      <c r="H3323" s="13"/>
      <c r="I3323" s="10"/>
      <c r="J3323" s="11"/>
      <c r="K3323" s="6"/>
      <c r="L3323" s="13"/>
    </row>
    <row r="3324" spans="1:12" hidden="1" x14ac:dyDescent="0.25">
      <c r="A3324" s="6"/>
      <c r="B3324" s="6"/>
      <c r="C3324" s="11"/>
      <c r="D3324" s="13"/>
      <c r="E3324" s="13"/>
      <c r="F3324" s="13"/>
      <c r="G3324" s="13"/>
      <c r="H3324" s="13"/>
      <c r="I3324" s="10"/>
      <c r="J3324" s="11"/>
      <c r="K3324" s="6"/>
      <c r="L3324" s="13"/>
    </row>
    <row r="3325" spans="1:12" hidden="1" x14ac:dyDescent="0.25">
      <c r="A3325" s="6"/>
      <c r="B3325" s="6"/>
      <c r="C3325" s="11"/>
      <c r="D3325" s="13"/>
      <c r="E3325" s="13"/>
      <c r="F3325" s="13"/>
      <c r="G3325" s="13"/>
      <c r="H3325" s="13"/>
      <c r="I3325" s="10"/>
      <c r="J3325" s="11"/>
      <c r="K3325" s="6"/>
      <c r="L3325" s="13"/>
    </row>
    <row r="3326" spans="1:12" hidden="1" x14ac:dyDescent="0.25">
      <c r="A3326" s="6"/>
      <c r="B3326" s="6"/>
      <c r="C3326" s="11"/>
      <c r="D3326" s="13"/>
      <c r="E3326" s="13"/>
      <c r="F3326" s="13"/>
      <c r="G3326" s="13"/>
      <c r="H3326" s="13"/>
      <c r="I3326" s="10"/>
      <c r="J3326" s="11"/>
      <c r="K3326" s="6"/>
      <c r="L3326" s="13"/>
    </row>
    <row r="3327" spans="1:12" hidden="1" x14ac:dyDescent="0.25">
      <c r="A3327" s="6"/>
      <c r="B3327" s="6"/>
      <c r="C3327" s="11"/>
      <c r="D3327" s="13"/>
      <c r="E3327" s="13"/>
      <c r="F3327" s="13"/>
      <c r="G3327" s="13"/>
      <c r="H3327" s="13"/>
      <c r="I3327" s="10"/>
      <c r="J3327" s="11"/>
      <c r="K3327" s="6"/>
      <c r="L3327" s="13"/>
    </row>
    <row r="3328" spans="1:12" hidden="1" x14ac:dyDescent="0.25">
      <c r="A3328" s="6"/>
      <c r="B3328" s="6"/>
      <c r="C3328" s="11"/>
      <c r="D3328" s="13"/>
      <c r="E3328" s="13"/>
      <c r="F3328" s="13"/>
      <c r="G3328" s="13"/>
      <c r="H3328" s="13"/>
      <c r="I3328" s="10"/>
      <c r="J3328" s="11"/>
      <c r="K3328" s="6"/>
      <c r="L3328" s="13"/>
    </row>
    <row r="3329" spans="1:12" hidden="1" x14ac:dyDescent="0.25">
      <c r="A3329" s="6"/>
      <c r="B3329" s="6"/>
      <c r="C3329" s="11"/>
      <c r="D3329" s="13"/>
      <c r="E3329" s="13"/>
      <c r="F3329" s="13"/>
      <c r="G3329" s="13"/>
      <c r="H3329" s="13"/>
      <c r="I3329" s="10"/>
      <c r="J3329" s="11"/>
      <c r="K3329" s="6"/>
      <c r="L3329" s="13"/>
    </row>
    <row r="3330" spans="1:12" hidden="1" x14ac:dyDescent="0.25">
      <c r="A3330" s="6"/>
      <c r="B3330" s="6"/>
      <c r="C3330" s="11"/>
      <c r="D3330" s="13"/>
      <c r="E3330" s="13"/>
      <c r="F3330" s="13"/>
      <c r="G3330" s="13"/>
      <c r="H3330" s="13"/>
      <c r="I3330" s="10"/>
      <c r="J3330" s="11"/>
      <c r="K3330" s="6"/>
      <c r="L3330" s="13"/>
    </row>
    <row r="3331" spans="1:12" hidden="1" x14ac:dyDescent="0.25">
      <c r="A3331" s="6"/>
      <c r="B3331" s="6"/>
      <c r="C3331" s="11"/>
      <c r="D3331" s="13"/>
      <c r="E3331" s="13"/>
      <c r="F3331" s="13"/>
      <c r="G3331" s="13"/>
      <c r="H3331" s="13"/>
      <c r="I3331" s="10"/>
      <c r="J3331" s="11"/>
      <c r="K3331" s="6"/>
      <c r="L3331" s="13"/>
    </row>
    <row r="3332" spans="1:12" hidden="1" x14ac:dyDescent="0.25">
      <c r="A3332" s="6"/>
      <c r="B3332" s="6"/>
      <c r="C3332" s="11"/>
      <c r="D3332" s="13"/>
      <c r="E3332" s="13"/>
      <c r="F3332" s="13"/>
      <c r="G3332" s="13"/>
      <c r="H3332" s="13"/>
      <c r="I3332" s="10"/>
      <c r="J3332" s="11"/>
      <c r="K3332" s="6"/>
      <c r="L3332" s="13"/>
    </row>
    <row r="3333" spans="1:12" hidden="1" x14ac:dyDescent="0.25">
      <c r="A3333" s="6"/>
      <c r="B3333" s="6"/>
      <c r="C3333" s="11"/>
      <c r="D3333" s="13"/>
      <c r="E3333" s="13"/>
      <c r="F3333" s="13"/>
      <c r="G3333" s="13"/>
      <c r="H3333" s="13"/>
      <c r="I3333" s="10"/>
      <c r="J3333" s="11"/>
      <c r="K3333" s="6"/>
      <c r="L3333" s="13"/>
    </row>
    <row r="3334" spans="1:12" hidden="1" x14ac:dyDescent="0.25">
      <c r="A3334" s="103"/>
      <c r="B3334" s="103"/>
      <c r="C3334" s="104"/>
      <c r="D3334" s="105"/>
      <c r="E3334" s="105"/>
      <c r="F3334" s="105"/>
      <c r="G3334" s="105"/>
      <c r="H3334" s="105"/>
      <c r="I3334" s="106"/>
      <c r="J3334" s="104"/>
      <c r="K3334" s="103"/>
      <c r="L3334" s="13"/>
    </row>
    <row r="3335" spans="1:12" hidden="1" x14ac:dyDescent="0.25">
      <c r="A3335" s="103"/>
      <c r="B3335" s="103"/>
      <c r="C3335" s="104"/>
      <c r="D3335" s="105"/>
      <c r="E3335" s="105"/>
      <c r="F3335" s="105"/>
      <c r="G3335" s="105"/>
      <c r="H3335" s="105"/>
      <c r="I3335" s="106"/>
      <c r="J3335" s="104"/>
      <c r="K3335" s="103"/>
      <c r="L3335" s="13"/>
    </row>
    <row r="3336" spans="1:12" hidden="1" x14ac:dyDescent="0.25">
      <c r="A3336" s="103"/>
      <c r="B3336" s="103"/>
      <c r="C3336" s="104"/>
      <c r="D3336" s="105"/>
      <c r="E3336" s="105"/>
      <c r="F3336" s="105"/>
      <c r="G3336" s="105"/>
      <c r="H3336" s="105"/>
      <c r="I3336" s="106"/>
      <c r="J3336" s="104"/>
      <c r="K3336" s="103"/>
      <c r="L3336" s="13"/>
    </row>
    <row r="3337" spans="1:12" hidden="1" x14ac:dyDescent="0.25">
      <c r="A3337" s="103"/>
      <c r="B3337" s="103"/>
      <c r="C3337" s="104"/>
      <c r="D3337" s="105"/>
      <c r="E3337" s="105"/>
      <c r="F3337" s="105"/>
      <c r="G3337" s="105"/>
      <c r="H3337" s="105"/>
      <c r="I3337" s="106"/>
      <c r="J3337" s="104"/>
      <c r="K3337" s="103"/>
      <c r="L3337" s="13"/>
    </row>
    <row r="3338" spans="1:12" hidden="1" x14ac:dyDescent="0.25">
      <c r="A3338" s="103"/>
      <c r="B3338" s="103"/>
      <c r="C3338" s="104"/>
      <c r="D3338" s="105"/>
      <c r="E3338" s="105"/>
      <c r="F3338" s="105"/>
      <c r="G3338" s="105"/>
      <c r="H3338" s="105"/>
      <c r="I3338" s="106"/>
      <c r="J3338" s="104"/>
      <c r="K3338" s="103"/>
      <c r="L3338" s="13"/>
    </row>
    <row r="3339" spans="1:12" hidden="1" x14ac:dyDescent="0.25">
      <c r="A3339" s="103"/>
      <c r="B3339" s="103"/>
      <c r="C3339" s="104"/>
      <c r="D3339" s="105"/>
      <c r="E3339" s="105"/>
      <c r="F3339" s="105"/>
      <c r="G3339" s="105"/>
      <c r="H3339" s="105"/>
      <c r="I3339" s="106"/>
      <c r="J3339" s="104"/>
      <c r="K3339" s="103"/>
      <c r="L3339" s="13"/>
    </row>
    <row r="3340" spans="1:12" hidden="1" x14ac:dyDescent="0.25">
      <c r="A3340" s="103"/>
      <c r="B3340" s="103"/>
      <c r="C3340" s="104"/>
      <c r="D3340" s="105"/>
      <c r="E3340" s="105"/>
      <c r="F3340" s="105"/>
      <c r="G3340" s="105"/>
      <c r="H3340" s="105"/>
      <c r="I3340" s="106"/>
      <c r="J3340" s="104"/>
      <c r="K3340" s="103"/>
      <c r="L3340" s="13"/>
    </row>
    <row r="3341" spans="1:12" hidden="1" x14ac:dyDescent="0.25">
      <c r="A3341" s="103"/>
      <c r="B3341" s="103"/>
      <c r="C3341" s="104"/>
      <c r="D3341" s="105"/>
      <c r="E3341" s="105"/>
      <c r="F3341" s="105"/>
      <c r="G3341" s="105"/>
      <c r="H3341" s="105"/>
      <c r="I3341" s="106"/>
      <c r="J3341" s="104"/>
      <c r="K3341" s="103"/>
      <c r="L3341" s="13"/>
    </row>
    <row r="3342" spans="1:12" hidden="1" x14ac:dyDescent="0.25">
      <c r="A3342" s="103"/>
      <c r="B3342" s="103"/>
      <c r="C3342" s="104"/>
      <c r="D3342" s="105"/>
      <c r="E3342" s="105"/>
      <c r="F3342" s="105"/>
      <c r="G3342" s="105"/>
      <c r="H3342" s="105"/>
      <c r="I3342" s="106"/>
      <c r="J3342" s="104"/>
      <c r="K3342" s="103"/>
      <c r="L3342" s="13"/>
    </row>
    <row r="3343" spans="1:12" hidden="1" x14ac:dyDescent="0.25">
      <c r="A3343" s="103"/>
      <c r="B3343" s="103"/>
      <c r="C3343" s="104"/>
      <c r="D3343" s="105"/>
      <c r="E3343" s="105"/>
      <c r="F3343" s="105"/>
      <c r="G3343" s="105"/>
      <c r="H3343" s="105"/>
      <c r="I3343" s="106"/>
      <c r="J3343" s="104"/>
      <c r="K3343" s="103"/>
      <c r="L3343" s="13"/>
    </row>
    <row r="3344" spans="1:12" hidden="1" x14ac:dyDescent="0.25">
      <c r="A3344" s="103"/>
      <c r="B3344" s="103"/>
      <c r="C3344" s="104"/>
      <c r="D3344" s="105"/>
      <c r="E3344" s="105"/>
      <c r="F3344" s="105"/>
      <c r="G3344" s="105"/>
      <c r="H3344" s="105"/>
      <c r="I3344" s="106"/>
      <c r="J3344" s="104"/>
      <c r="K3344" s="103"/>
      <c r="L3344" s="13"/>
    </row>
    <row r="3345" spans="1:12" hidden="1" x14ac:dyDescent="0.25">
      <c r="A3345" s="103"/>
      <c r="B3345" s="103"/>
      <c r="C3345" s="104"/>
      <c r="D3345" s="105"/>
      <c r="E3345" s="105"/>
      <c r="F3345" s="105"/>
      <c r="G3345" s="105"/>
      <c r="H3345" s="105"/>
      <c r="I3345" s="106"/>
      <c r="J3345" s="104"/>
      <c r="K3345" s="103"/>
      <c r="L3345" s="13"/>
    </row>
    <row r="3346" spans="1:12" hidden="1" x14ac:dyDescent="0.25">
      <c r="A3346" s="103"/>
      <c r="B3346" s="103"/>
      <c r="C3346" s="104"/>
      <c r="D3346" s="105"/>
      <c r="E3346" s="105"/>
      <c r="F3346" s="105"/>
      <c r="G3346" s="105"/>
      <c r="H3346" s="105"/>
      <c r="I3346" s="106"/>
      <c r="J3346" s="104"/>
      <c r="K3346" s="103"/>
      <c r="L3346" s="13"/>
    </row>
    <row r="3347" spans="1:12" hidden="1" x14ac:dyDescent="0.25">
      <c r="A3347" s="103"/>
      <c r="B3347" s="103"/>
      <c r="C3347" s="104"/>
      <c r="D3347" s="105"/>
      <c r="E3347" s="105"/>
      <c r="F3347" s="105"/>
      <c r="G3347" s="105"/>
      <c r="H3347" s="105"/>
      <c r="I3347" s="106"/>
      <c r="J3347" s="104"/>
      <c r="K3347" s="103"/>
      <c r="L3347" s="13"/>
    </row>
    <row r="3348" spans="1:12" hidden="1" x14ac:dyDescent="0.25">
      <c r="A3348" s="103"/>
      <c r="B3348" s="103"/>
      <c r="C3348" s="104"/>
      <c r="D3348" s="105"/>
      <c r="E3348" s="105"/>
      <c r="F3348" s="105"/>
      <c r="G3348" s="105"/>
      <c r="H3348" s="105"/>
      <c r="I3348" s="106"/>
      <c r="J3348" s="104"/>
      <c r="K3348" s="103"/>
      <c r="L3348" s="13"/>
    </row>
    <row r="3349" spans="1:12" hidden="1" x14ac:dyDescent="0.25">
      <c r="A3349" s="103"/>
      <c r="B3349" s="103"/>
      <c r="C3349" s="104"/>
      <c r="D3349" s="105"/>
      <c r="E3349" s="105"/>
      <c r="F3349" s="105"/>
      <c r="G3349" s="105"/>
      <c r="H3349" s="105"/>
      <c r="I3349" s="106"/>
      <c r="J3349" s="104"/>
      <c r="K3349" s="103"/>
      <c r="L3349" s="13"/>
    </row>
    <row r="3350" spans="1:12" hidden="1" x14ac:dyDescent="0.25">
      <c r="A3350" s="103"/>
      <c r="B3350" s="103"/>
      <c r="C3350" s="104"/>
      <c r="D3350" s="105"/>
      <c r="E3350" s="105"/>
      <c r="F3350" s="105"/>
      <c r="G3350" s="105"/>
      <c r="H3350" s="105"/>
      <c r="I3350" s="106"/>
      <c r="J3350" s="104"/>
      <c r="K3350" s="103"/>
      <c r="L3350" s="13"/>
    </row>
    <row r="3351" spans="1:12" hidden="1" x14ac:dyDescent="0.25">
      <c r="A3351" s="103"/>
      <c r="B3351" s="103"/>
      <c r="C3351" s="104"/>
      <c r="D3351" s="105"/>
      <c r="E3351" s="105"/>
      <c r="F3351" s="105"/>
      <c r="G3351" s="105"/>
      <c r="H3351" s="105"/>
      <c r="I3351" s="106"/>
      <c r="J3351" s="104"/>
      <c r="K3351" s="103"/>
      <c r="L3351" s="13"/>
    </row>
    <row r="3352" spans="1:12" hidden="1" x14ac:dyDescent="0.25">
      <c r="A3352" s="103"/>
      <c r="B3352" s="103"/>
      <c r="C3352" s="104"/>
      <c r="D3352" s="105"/>
      <c r="E3352" s="105"/>
      <c r="F3352" s="105"/>
      <c r="G3352" s="105"/>
      <c r="H3352" s="105"/>
      <c r="I3352" s="106"/>
      <c r="J3352" s="104"/>
      <c r="K3352" s="103"/>
      <c r="L3352" s="13"/>
    </row>
    <row r="3353" spans="1:12" hidden="1" x14ac:dyDescent="0.25">
      <c r="A3353" s="103"/>
      <c r="B3353" s="103"/>
      <c r="C3353" s="104"/>
      <c r="D3353" s="105"/>
      <c r="E3353" s="105"/>
      <c r="F3353" s="105"/>
      <c r="G3353" s="105"/>
      <c r="H3353" s="105"/>
      <c r="I3353" s="106"/>
      <c r="J3353" s="104"/>
      <c r="K3353" s="103"/>
      <c r="L3353" s="13"/>
    </row>
    <row r="3354" spans="1:12" hidden="1" x14ac:dyDescent="0.25">
      <c r="A3354" s="103"/>
      <c r="B3354" s="103"/>
      <c r="C3354" s="104"/>
      <c r="D3354" s="105"/>
      <c r="E3354" s="105"/>
      <c r="F3354" s="105"/>
      <c r="G3354" s="105"/>
      <c r="H3354" s="105"/>
      <c r="I3354" s="106"/>
      <c r="J3354" s="104"/>
      <c r="K3354" s="103"/>
      <c r="L3354" s="13"/>
    </row>
    <row r="3355" spans="1:12" hidden="1" x14ac:dyDescent="0.25">
      <c r="A3355" s="103"/>
      <c r="B3355" s="103"/>
      <c r="C3355" s="104"/>
      <c r="D3355" s="105"/>
      <c r="E3355" s="105"/>
      <c r="F3355" s="105"/>
      <c r="G3355" s="105"/>
      <c r="H3355" s="105"/>
      <c r="I3355" s="106"/>
      <c r="J3355" s="104"/>
      <c r="K3355" s="103"/>
      <c r="L3355" s="13"/>
    </row>
    <row r="3356" spans="1:12" hidden="1" x14ac:dyDescent="0.25">
      <c r="A3356" s="103"/>
      <c r="B3356" s="103"/>
      <c r="C3356" s="104"/>
      <c r="D3356" s="105"/>
      <c r="E3356" s="105"/>
      <c r="F3356" s="105"/>
      <c r="G3356" s="105"/>
      <c r="H3356" s="105"/>
      <c r="I3356" s="106"/>
      <c r="J3356" s="104"/>
      <c r="K3356" s="103"/>
      <c r="L3356" s="13"/>
    </row>
    <row r="3357" spans="1:12" hidden="1" x14ac:dyDescent="0.25">
      <c r="A3357" s="103"/>
      <c r="B3357" s="103"/>
      <c r="C3357" s="104"/>
      <c r="D3357" s="105"/>
      <c r="E3357" s="105"/>
      <c r="F3357" s="105"/>
      <c r="G3357" s="105"/>
      <c r="H3357" s="105"/>
      <c r="I3357" s="106"/>
      <c r="J3357" s="104"/>
      <c r="K3357" s="103"/>
      <c r="L3357" s="13"/>
    </row>
    <row r="3358" spans="1:12" hidden="1" x14ac:dyDescent="0.25">
      <c r="A3358" s="103"/>
      <c r="B3358" s="103"/>
      <c r="C3358" s="104"/>
      <c r="D3358" s="105"/>
      <c r="E3358" s="105"/>
      <c r="F3358" s="105"/>
      <c r="G3358" s="105"/>
      <c r="H3358" s="105"/>
      <c r="I3358" s="106"/>
      <c r="J3358" s="104"/>
      <c r="K3358" s="103"/>
      <c r="L3358" s="13"/>
    </row>
    <row r="3359" spans="1:12" hidden="1" x14ac:dyDescent="0.25">
      <c r="A3359" s="103"/>
      <c r="B3359" s="103"/>
      <c r="C3359" s="104"/>
      <c r="D3359" s="105"/>
      <c r="E3359" s="105"/>
      <c r="F3359" s="105"/>
      <c r="G3359" s="105"/>
      <c r="H3359" s="105"/>
      <c r="I3359" s="106"/>
      <c r="J3359" s="104"/>
      <c r="K3359" s="103"/>
      <c r="L3359" s="13"/>
    </row>
    <row r="3360" spans="1:12" hidden="1" x14ac:dyDescent="0.25">
      <c r="A3360" s="103"/>
      <c r="B3360" s="103"/>
      <c r="C3360" s="104"/>
      <c r="D3360" s="105"/>
      <c r="E3360" s="105"/>
      <c r="F3360" s="105"/>
      <c r="G3360" s="105"/>
      <c r="H3360" s="105"/>
      <c r="I3360" s="106"/>
      <c r="J3360" s="104"/>
      <c r="K3360" s="103"/>
      <c r="L3360" s="13"/>
    </row>
    <row r="3361" spans="1:12" hidden="1" x14ac:dyDescent="0.25">
      <c r="A3361" s="103"/>
      <c r="B3361" s="103"/>
      <c r="C3361" s="104"/>
      <c r="D3361" s="105"/>
      <c r="E3361" s="105"/>
      <c r="F3361" s="105"/>
      <c r="G3361" s="105"/>
      <c r="H3361" s="105"/>
      <c r="I3361" s="106"/>
      <c r="J3361" s="104"/>
      <c r="K3361" s="103"/>
      <c r="L3361" s="13"/>
    </row>
    <row r="3362" spans="1:12" hidden="1" x14ac:dyDescent="0.25">
      <c r="A3362" s="103"/>
      <c r="B3362" s="103"/>
      <c r="C3362" s="104"/>
      <c r="D3362" s="105"/>
      <c r="E3362" s="105"/>
      <c r="F3362" s="105"/>
      <c r="G3362" s="105"/>
      <c r="H3362" s="105"/>
      <c r="I3362" s="106"/>
      <c r="J3362" s="104"/>
      <c r="K3362" s="103"/>
      <c r="L3362" s="13"/>
    </row>
    <row r="3363" spans="1:12" hidden="1" x14ac:dyDescent="0.25">
      <c r="A3363" s="103"/>
      <c r="B3363" s="103"/>
      <c r="C3363" s="104"/>
      <c r="D3363" s="105"/>
      <c r="E3363" s="105"/>
      <c r="F3363" s="105"/>
      <c r="G3363" s="105"/>
      <c r="H3363" s="105"/>
      <c r="I3363" s="106"/>
      <c r="J3363" s="104"/>
      <c r="K3363" s="103"/>
      <c r="L3363" s="13"/>
    </row>
    <row r="3364" spans="1:12" hidden="1" x14ac:dyDescent="0.25">
      <c r="A3364" s="103"/>
      <c r="B3364" s="103"/>
      <c r="C3364" s="104"/>
      <c r="D3364" s="105"/>
      <c r="E3364" s="105"/>
      <c r="F3364" s="105"/>
      <c r="G3364" s="105"/>
      <c r="H3364" s="105"/>
      <c r="I3364" s="106"/>
      <c r="J3364" s="104"/>
      <c r="K3364" s="103"/>
      <c r="L3364" s="114"/>
    </row>
    <row r="3365" spans="1:12" hidden="1" x14ac:dyDescent="0.25">
      <c r="A3365" s="103"/>
      <c r="B3365" s="103"/>
      <c r="C3365" s="104"/>
      <c r="D3365" s="105"/>
      <c r="E3365" s="105"/>
      <c r="F3365" s="105"/>
      <c r="G3365" s="105"/>
      <c r="H3365" s="105"/>
      <c r="I3365" s="106"/>
      <c r="J3365" s="104"/>
      <c r="K3365" s="103"/>
      <c r="L3365" s="13"/>
    </row>
    <row r="3366" spans="1:12" hidden="1" x14ac:dyDescent="0.25">
      <c r="A3366" s="103"/>
      <c r="B3366" s="103"/>
      <c r="C3366" s="104"/>
      <c r="D3366" s="105"/>
      <c r="E3366" s="105"/>
      <c r="F3366" s="105"/>
      <c r="G3366" s="105"/>
      <c r="H3366" s="105"/>
      <c r="I3366" s="106"/>
      <c r="J3366" s="104"/>
      <c r="K3366" s="103"/>
      <c r="L3366" s="13"/>
    </row>
    <row r="3367" spans="1:12" hidden="1" x14ac:dyDescent="0.25">
      <c r="A3367" s="103"/>
      <c r="B3367" s="103"/>
      <c r="C3367" s="104"/>
      <c r="D3367" s="105"/>
      <c r="E3367" s="105"/>
      <c r="F3367" s="105"/>
      <c r="G3367" s="105"/>
      <c r="H3367" s="105"/>
      <c r="I3367" s="106"/>
      <c r="J3367" s="104"/>
      <c r="K3367" s="103"/>
      <c r="L3367" s="13"/>
    </row>
    <row r="3368" spans="1:12" hidden="1" x14ac:dyDescent="0.25">
      <c r="A3368" s="103"/>
      <c r="B3368" s="103"/>
      <c r="C3368" s="104"/>
      <c r="D3368" s="105"/>
      <c r="E3368" s="105"/>
      <c r="F3368" s="105"/>
      <c r="G3368" s="105"/>
      <c r="H3368" s="105"/>
      <c r="I3368" s="106"/>
      <c r="J3368" s="104"/>
      <c r="K3368" s="103"/>
      <c r="L3368" s="13"/>
    </row>
    <row r="3369" spans="1:12" hidden="1" x14ac:dyDescent="0.25">
      <c r="A3369" s="103"/>
      <c r="B3369" s="103"/>
      <c r="C3369" s="104"/>
      <c r="D3369" s="105"/>
      <c r="E3369" s="105"/>
      <c r="F3369" s="105"/>
      <c r="G3369" s="105"/>
      <c r="H3369" s="105"/>
      <c r="I3369" s="106"/>
      <c r="J3369" s="104"/>
      <c r="K3369" s="103"/>
      <c r="L3369" s="13"/>
    </row>
    <row r="3370" spans="1:12" hidden="1" x14ac:dyDescent="0.25">
      <c r="A3370" s="103"/>
      <c r="B3370" s="103"/>
      <c r="C3370" s="104"/>
      <c r="D3370" s="105"/>
      <c r="E3370" s="105"/>
      <c r="F3370" s="105"/>
      <c r="G3370" s="105"/>
      <c r="H3370" s="105"/>
      <c r="I3370" s="106"/>
      <c r="J3370" s="104"/>
      <c r="K3370" s="103"/>
      <c r="L3370" s="13"/>
    </row>
    <row r="3371" spans="1:12" hidden="1" x14ac:dyDescent="0.25">
      <c r="A3371" s="6"/>
      <c r="B3371" s="6"/>
      <c r="C3371" s="11"/>
      <c r="D3371" s="13"/>
      <c r="E3371" s="13"/>
      <c r="F3371" s="13"/>
      <c r="G3371" s="13"/>
      <c r="H3371" s="13"/>
      <c r="I3371" s="10"/>
      <c r="J3371" s="11"/>
      <c r="K3371" s="6"/>
      <c r="L3371" s="13"/>
    </row>
    <row r="3372" spans="1:12" hidden="1" x14ac:dyDescent="0.25">
      <c r="A3372" s="6"/>
      <c r="B3372" s="6"/>
      <c r="C3372" s="11"/>
      <c r="D3372" s="13"/>
      <c r="E3372" s="13"/>
      <c r="F3372" s="13"/>
      <c r="G3372" s="13"/>
      <c r="H3372" s="13"/>
      <c r="I3372" s="10"/>
      <c r="J3372" s="11"/>
      <c r="K3372" s="6"/>
      <c r="L3372" s="13"/>
    </row>
    <row r="3373" spans="1:12" hidden="1" x14ac:dyDescent="0.25">
      <c r="A3373" s="6"/>
      <c r="B3373" s="6"/>
      <c r="C3373" s="11"/>
      <c r="D3373" s="13"/>
      <c r="E3373" s="13"/>
      <c r="F3373" s="13"/>
      <c r="G3373" s="13"/>
      <c r="H3373" s="13"/>
      <c r="I3373" s="10"/>
      <c r="J3373" s="11"/>
      <c r="K3373" s="6"/>
      <c r="L3373" s="13"/>
    </row>
    <row r="3374" spans="1:12" hidden="1" x14ac:dyDescent="0.25">
      <c r="A3374" s="6"/>
      <c r="B3374" s="6"/>
      <c r="C3374" s="11"/>
      <c r="D3374" s="13"/>
      <c r="E3374" s="13"/>
      <c r="F3374" s="13"/>
      <c r="G3374" s="13"/>
      <c r="H3374" s="13"/>
      <c r="I3374" s="10"/>
      <c r="J3374" s="11"/>
      <c r="K3374" s="6"/>
      <c r="L3374" s="13"/>
    </row>
    <row r="3375" spans="1:12" hidden="1" x14ac:dyDescent="0.25">
      <c r="A3375" s="6"/>
      <c r="B3375" s="6"/>
      <c r="C3375" s="11"/>
      <c r="D3375" s="13"/>
      <c r="E3375" s="13"/>
      <c r="F3375" s="13"/>
      <c r="G3375" s="13"/>
      <c r="H3375" s="13"/>
      <c r="I3375" s="10"/>
      <c r="J3375" s="11"/>
      <c r="K3375" s="6"/>
      <c r="L3375" s="13"/>
    </row>
    <row r="3376" spans="1:12" hidden="1" x14ac:dyDescent="0.25">
      <c r="A3376" s="6"/>
      <c r="B3376" s="6"/>
      <c r="C3376" s="11"/>
      <c r="D3376" s="13"/>
      <c r="E3376" s="13"/>
      <c r="F3376" s="13"/>
      <c r="G3376" s="13"/>
      <c r="H3376" s="13"/>
      <c r="I3376" s="10"/>
      <c r="J3376" s="11"/>
      <c r="K3376" s="6"/>
      <c r="L3376" s="13"/>
    </row>
    <row r="3377" spans="1:12" hidden="1" x14ac:dyDescent="0.25">
      <c r="A3377" s="6"/>
      <c r="B3377" s="6"/>
      <c r="C3377" s="11"/>
      <c r="D3377" s="13"/>
      <c r="E3377" s="13"/>
      <c r="F3377" s="13"/>
      <c r="G3377" s="13"/>
      <c r="H3377" s="13"/>
      <c r="I3377" s="10"/>
      <c r="J3377" s="11"/>
      <c r="K3377" s="6"/>
      <c r="L3377" s="13"/>
    </row>
    <row r="3378" spans="1:12" hidden="1" x14ac:dyDescent="0.25">
      <c r="A3378" s="6"/>
      <c r="B3378" s="6"/>
      <c r="C3378" s="11"/>
      <c r="D3378" s="13"/>
      <c r="E3378" s="13"/>
      <c r="F3378" s="13"/>
      <c r="G3378" s="13"/>
      <c r="H3378" s="13"/>
      <c r="I3378" s="10"/>
      <c r="J3378" s="11"/>
      <c r="K3378" s="6"/>
      <c r="L3378" s="13"/>
    </row>
    <row r="3379" spans="1:12" hidden="1" x14ac:dyDescent="0.25">
      <c r="A3379" s="6"/>
      <c r="B3379" s="6"/>
      <c r="C3379" s="11"/>
      <c r="D3379" s="13"/>
      <c r="E3379" s="13"/>
      <c r="F3379" s="13"/>
      <c r="G3379" s="13"/>
      <c r="H3379" s="13"/>
      <c r="I3379" s="10"/>
      <c r="J3379" s="11"/>
      <c r="K3379" s="6"/>
      <c r="L3379" s="13"/>
    </row>
    <row r="3380" spans="1:12" hidden="1" x14ac:dyDescent="0.25">
      <c r="A3380" s="6"/>
      <c r="B3380" s="6"/>
      <c r="C3380" s="11"/>
      <c r="D3380" s="13"/>
      <c r="E3380" s="13"/>
      <c r="F3380" s="13"/>
      <c r="G3380" s="13"/>
      <c r="H3380" s="13"/>
      <c r="I3380" s="10"/>
      <c r="J3380" s="11"/>
      <c r="K3380" s="6"/>
      <c r="L3380" s="13"/>
    </row>
    <row r="3381" spans="1:12" hidden="1" x14ac:dyDescent="0.25">
      <c r="A3381" s="6"/>
      <c r="B3381" s="6"/>
      <c r="C3381" s="11"/>
      <c r="D3381" s="13"/>
      <c r="E3381" s="13"/>
      <c r="F3381" s="13"/>
      <c r="G3381" s="13"/>
      <c r="H3381" s="13"/>
      <c r="I3381" s="10"/>
      <c r="J3381" s="11"/>
      <c r="K3381" s="6"/>
      <c r="L3381" s="13"/>
    </row>
    <row r="3382" spans="1:12" hidden="1" x14ac:dyDescent="0.25">
      <c r="A3382" s="6"/>
      <c r="B3382" s="6"/>
      <c r="C3382" s="11"/>
      <c r="D3382" s="13"/>
      <c r="E3382" s="13"/>
      <c r="F3382" s="13"/>
      <c r="G3382" s="13"/>
      <c r="H3382" s="13"/>
      <c r="I3382" s="10"/>
      <c r="J3382" s="11"/>
      <c r="K3382" s="6"/>
      <c r="L3382" s="13"/>
    </row>
    <row r="3383" spans="1:12" hidden="1" x14ac:dyDescent="0.25">
      <c r="A3383" s="6"/>
      <c r="B3383" s="6"/>
      <c r="C3383" s="11"/>
      <c r="D3383" s="13"/>
      <c r="E3383" s="13"/>
      <c r="F3383" s="13"/>
      <c r="G3383" s="13"/>
      <c r="H3383" s="13"/>
      <c r="I3383" s="10"/>
      <c r="J3383" s="11"/>
      <c r="K3383" s="6"/>
      <c r="L3383" s="13"/>
    </row>
    <row r="3384" spans="1:12" hidden="1" x14ac:dyDescent="0.25">
      <c r="A3384" s="6"/>
      <c r="B3384" s="6"/>
      <c r="C3384" s="11"/>
      <c r="D3384" s="13"/>
      <c r="E3384" s="13"/>
      <c r="F3384" s="13"/>
      <c r="G3384" s="13"/>
      <c r="H3384" s="13"/>
      <c r="I3384" s="10"/>
      <c r="J3384" s="11"/>
      <c r="K3384" s="6"/>
      <c r="L3384" s="13"/>
    </row>
    <row r="3385" spans="1:12" hidden="1" x14ac:dyDescent="0.25">
      <c r="A3385" s="6"/>
      <c r="B3385" s="6"/>
      <c r="C3385" s="11"/>
      <c r="D3385" s="13"/>
      <c r="E3385" s="13"/>
      <c r="F3385" s="13"/>
      <c r="G3385" s="13"/>
      <c r="H3385" s="13"/>
      <c r="I3385" s="10"/>
      <c r="J3385" s="11"/>
      <c r="K3385" s="6"/>
      <c r="L3385" s="13"/>
    </row>
    <row r="3386" spans="1:12" hidden="1" x14ac:dyDescent="0.25">
      <c r="A3386" s="6"/>
      <c r="B3386" s="6"/>
      <c r="C3386" s="11"/>
      <c r="D3386" s="13"/>
      <c r="E3386" s="13"/>
      <c r="F3386" s="13"/>
      <c r="G3386" s="13"/>
      <c r="H3386" s="13"/>
      <c r="I3386" s="10"/>
      <c r="J3386" s="11"/>
      <c r="K3386" s="6"/>
      <c r="L3386" s="13"/>
    </row>
    <row r="3387" spans="1:12" hidden="1" x14ac:dyDescent="0.25">
      <c r="A3387" s="6"/>
      <c r="B3387" s="6"/>
      <c r="C3387" s="11"/>
      <c r="D3387" s="13"/>
      <c r="E3387" s="13"/>
      <c r="F3387" s="13"/>
      <c r="G3387" s="13"/>
      <c r="H3387" s="13"/>
      <c r="I3387" s="10"/>
      <c r="J3387" s="11"/>
      <c r="K3387" s="6"/>
      <c r="L3387" s="13"/>
    </row>
    <row r="3388" spans="1:12" hidden="1" x14ac:dyDescent="0.25">
      <c r="A3388" s="6"/>
      <c r="B3388" s="6"/>
      <c r="C3388" s="11"/>
      <c r="D3388" s="13"/>
      <c r="E3388" s="13"/>
      <c r="F3388" s="13"/>
      <c r="G3388" s="13"/>
      <c r="H3388" s="13"/>
      <c r="I3388" s="10"/>
      <c r="J3388" s="11"/>
      <c r="K3388" s="6"/>
      <c r="L3388" s="13"/>
    </row>
    <row r="3389" spans="1:12" hidden="1" x14ac:dyDescent="0.25">
      <c r="A3389" s="6"/>
      <c r="B3389" s="6"/>
      <c r="C3389" s="11"/>
      <c r="D3389" s="13"/>
      <c r="E3389" s="13"/>
      <c r="F3389" s="13"/>
      <c r="G3389" s="13"/>
      <c r="H3389" s="13"/>
      <c r="I3389" s="10"/>
      <c r="J3389" s="11"/>
      <c r="K3389" s="6"/>
      <c r="L3389" s="13"/>
    </row>
    <row r="3390" spans="1:12" hidden="1" x14ac:dyDescent="0.25">
      <c r="A3390" s="6"/>
      <c r="B3390" s="6"/>
      <c r="C3390" s="11"/>
      <c r="D3390" s="13"/>
      <c r="E3390" s="13"/>
      <c r="F3390" s="13"/>
      <c r="G3390" s="13"/>
      <c r="H3390" s="13"/>
      <c r="I3390" s="10"/>
      <c r="J3390" s="11"/>
      <c r="K3390" s="6"/>
      <c r="L3390" s="13"/>
    </row>
    <row r="3391" spans="1:12" hidden="1" x14ac:dyDescent="0.25">
      <c r="A3391" s="6"/>
      <c r="B3391" s="6"/>
      <c r="C3391" s="11"/>
      <c r="D3391" s="13"/>
      <c r="E3391" s="13"/>
      <c r="F3391" s="13"/>
      <c r="G3391" s="13"/>
      <c r="H3391" s="13"/>
      <c r="I3391" s="10"/>
      <c r="J3391" s="11"/>
      <c r="K3391" s="6"/>
      <c r="L3391" s="13"/>
    </row>
    <row r="3392" spans="1:12" hidden="1" x14ac:dyDescent="0.25">
      <c r="A3392" s="6"/>
      <c r="B3392" s="6"/>
      <c r="C3392" s="11"/>
      <c r="D3392" s="13"/>
      <c r="E3392" s="13"/>
      <c r="F3392" s="13"/>
      <c r="G3392" s="13"/>
      <c r="H3392" s="13"/>
      <c r="I3392" s="10"/>
      <c r="J3392" s="11"/>
      <c r="K3392" s="6"/>
      <c r="L3392" s="13"/>
    </row>
    <row r="3393" spans="1:12" hidden="1" x14ac:dyDescent="0.25">
      <c r="A3393" s="6"/>
      <c r="B3393" s="6"/>
      <c r="C3393" s="11"/>
      <c r="D3393" s="13"/>
      <c r="E3393" s="13"/>
      <c r="F3393" s="13"/>
      <c r="G3393" s="13"/>
      <c r="H3393" s="13"/>
      <c r="I3393" s="10"/>
      <c r="J3393" s="11"/>
      <c r="K3393" s="6"/>
      <c r="L3393" s="13"/>
    </row>
    <row r="3394" spans="1:12" hidden="1" x14ac:dyDescent="0.25">
      <c r="A3394" s="6"/>
      <c r="B3394" s="6"/>
      <c r="C3394" s="11"/>
      <c r="D3394" s="13"/>
      <c r="E3394" s="13"/>
      <c r="F3394" s="13"/>
      <c r="G3394" s="13"/>
      <c r="H3394" s="13"/>
      <c r="I3394" s="10"/>
      <c r="J3394" s="11"/>
      <c r="K3394" s="6"/>
      <c r="L3394" s="13"/>
    </row>
    <row r="3395" spans="1:12" hidden="1" x14ac:dyDescent="0.25">
      <c r="A3395" s="6"/>
      <c r="B3395" s="6"/>
      <c r="C3395" s="11"/>
      <c r="D3395" s="13"/>
      <c r="E3395" s="13"/>
      <c r="F3395" s="13"/>
      <c r="G3395" s="13"/>
      <c r="H3395" s="13"/>
      <c r="I3395" s="10"/>
      <c r="J3395" s="11"/>
      <c r="K3395" s="6"/>
      <c r="L3395" s="13"/>
    </row>
    <row r="3396" spans="1:12" hidden="1" x14ac:dyDescent="0.25">
      <c r="A3396" s="6"/>
      <c r="B3396" s="6"/>
      <c r="C3396" s="11"/>
      <c r="D3396" s="13"/>
      <c r="E3396" s="13"/>
      <c r="F3396" s="13"/>
      <c r="G3396" s="13"/>
      <c r="H3396" s="13"/>
      <c r="I3396" s="10"/>
      <c r="J3396" s="11"/>
      <c r="K3396" s="6"/>
      <c r="L3396" s="13"/>
    </row>
    <row r="3397" spans="1:12" hidden="1" x14ac:dyDescent="0.25">
      <c r="A3397" s="6"/>
      <c r="B3397" s="6"/>
      <c r="C3397" s="11"/>
      <c r="D3397" s="13"/>
      <c r="E3397" s="13"/>
      <c r="F3397" s="13"/>
      <c r="G3397" s="13"/>
      <c r="H3397" s="13"/>
      <c r="I3397" s="10"/>
      <c r="J3397" s="11"/>
      <c r="K3397" s="6"/>
      <c r="L3397" s="13"/>
    </row>
    <row r="3398" spans="1:12" hidden="1" x14ac:dyDescent="0.25">
      <c r="A3398" s="6"/>
      <c r="B3398" s="6"/>
      <c r="C3398" s="11"/>
      <c r="D3398" s="13"/>
      <c r="E3398" s="13"/>
      <c r="F3398" s="13"/>
      <c r="G3398" s="13"/>
      <c r="H3398" s="13"/>
      <c r="I3398" s="10"/>
      <c r="J3398" s="11"/>
      <c r="K3398" s="6"/>
      <c r="L3398" s="13"/>
    </row>
    <row r="3399" spans="1:12" hidden="1" x14ac:dyDescent="0.25">
      <c r="A3399" s="6"/>
      <c r="B3399" s="6"/>
      <c r="C3399" s="11"/>
      <c r="D3399" s="13"/>
      <c r="E3399" s="13"/>
      <c r="F3399" s="13"/>
      <c r="G3399" s="13"/>
      <c r="H3399" s="13"/>
      <c r="I3399" s="10"/>
      <c r="J3399" s="11"/>
      <c r="K3399" s="6"/>
      <c r="L3399" s="13"/>
    </row>
    <row r="3400" spans="1:12" hidden="1" x14ac:dyDescent="0.25">
      <c r="A3400" s="6"/>
      <c r="B3400" s="6"/>
      <c r="C3400" s="11"/>
      <c r="D3400" s="13"/>
      <c r="E3400" s="13"/>
      <c r="F3400" s="13"/>
      <c r="G3400" s="13"/>
      <c r="H3400" s="13"/>
      <c r="I3400" s="10"/>
      <c r="J3400" s="11"/>
      <c r="K3400" s="6"/>
      <c r="L3400" s="13"/>
    </row>
    <row r="3401" spans="1:12" hidden="1" x14ac:dyDescent="0.25">
      <c r="A3401" s="6"/>
      <c r="B3401" s="6"/>
      <c r="C3401" s="11"/>
      <c r="D3401" s="13"/>
      <c r="E3401" s="13"/>
      <c r="F3401" s="13"/>
      <c r="G3401" s="13"/>
      <c r="H3401" s="13"/>
      <c r="I3401" s="10"/>
      <c r="J3401" s="11"/>
      <c r="K3401" s="6"/>
      <c r="L3401" s="13"/>
    </row>
    <row r="3402" spans="1:12" hidden="1" x14ac:dyDescent="0.25">
      <c r="A3402" s="6"/>
      <c r="B3402" s="6"/>
      <c r="C3402" s="11"/>
      <c r="D3402" s="13"/>
      <c r="E3402" s="13"/>
      <c r="F3402" s="13"/>
      <c r="G3402" s="13"/>
      <c r="H3402" s="13"/>
      <c r="I3402" s="10"/>
      <c r="J3402" s="11"/>
      <c r="K3402" s="6"/>
      <c r="L3402" s="13"/>
    </row>
    <row r="3403" spans="1:12" hidden="1" x14ac:dyDescent="0.25">
      <c r="A3403" s="6"/>
      <c r="B3403" s="6"/>
      <c r="C3403" s="11"/>
      <c r="D3403" s="13"/>
      <c r="E3403" s="13"/>
      <c r="F3403" s="13"/>
      <c r="G3403" s="13"/>
      <c r="H3403" s="13"/>
      <c r="I3403" s="10"/>
      <c r="J3403" s="11"/>
      <c r="K3403" s="6"/>
      <c r="L3403" s="13"/>
    </row>
    <row r="3404" spans="1:12" hidden="1" x14ac:dyDescent="0.25">
      <c r="A3404" s="6"/>
      <c r="B3404" s="6"/>
      <c r="C3404" s="11"/>
      <c r="D3404" s="13"/>
      <c r="E3404" s="13"/>
      <c r="F3404" s="13"/>
      <c r="G3404" s="13"/>
      <c r="H3404" s="13"/>
      <c r="I3404" s="10"/>
      <c r="J3404" s="11"/>
      <c r="K3404" s="6"/>
      <c r="L3404" s="13"/>
    </row>
    <row r="3405" spans="1:12" hidden="1" x14ac:dyDescent="0.25">
      <c r="A3405" s="6"/>
      <c r="B3405" s="6"/>
      <c r="C3405" s="11"/>
      <c r="D3405" s="13"/>
      <c r="E3405" s="13"/>
      <c r="F3405" s="13"/>
      <c r="G3405" s="13"/>
      <c r="H3405" s="13"/>
      <c r="I3405" s="10"/>
      <c r="J3405" s="11"/>
      <c r="K3405" s="6"/>
      <c r="L3405" s="13"/>
    </row>
    <row r="3406" spans="1:12" hidden="1" x14ac:dyDescent="0.25">
      <c r="A3406" s="6"/>
      <c r="B3406" s="6"/>
      <c r="C3406" s="11"/>
      <c r="D3406" s="13"/>
      <c r="E3406" s="13"/>
      <c r="F3406" s="13"/>
      <c r="G3406" s="13"/>
      <c r="H3406" s="13"/>
      <c r="I3406" s="10"/>
      <c r="J3406" s="11"/>
      <c r="K3406" s="6"/>
      <c r="L3406" s="13"/>
    </row>
    <row r="3407" spans="1:12" hidden="1" x14ac:dyDescent="0.25">
      <c r="A3407" s="6"/>
      <c r="B3407" s="6"/>
      <c r="C3407" s="11"/>
      <c r="D3407" s="13"/>
      <c r="E3407" s="13"/>
      <c r="F3407" s="13"/>
      <c r="G3407" s="13"/>
      <c r="H3407" s="13"/>
      <c r="I3407" s="10"/>
      <c r="J3407" s="11"/>
      <c r="K3407" s="6"/>
      <c r="L3407" s="13"/>
    </row>
    <row r="3408" spans="1:12" hidden="1" x14ac:dyDescent="0.25">
      <c r="A3408" s="6"/>
      <c r="B3408" s="6"/>
      <c r="C3408" s="11"/>
      <c r="D3408" s="13"/>
      <c r="E3408" s="13"/>
      <c r="F3408" s="13"/>
      <c r="G3408" s="13"/>
      <c r="H3408" s="13"/>
      <c r="I3408" s="10"/>
      <c r="J3408" s="11"/>
      <c r="K3408" s="6"/>
      <c r="L3408" s="13"/>
    </row>
    <row r="3409" spans="1:12" hidden="1" x14ac:dyDescent="0.25">
      <c r="A3409" s="6"/>
      <c r="B3409" s="6"/>
      <c r="C3409" s="11"/>
      <c r="D3409" s="13"/>
      <c r="E3409" s="13"/>
      <c r="F3409" s="13"/>
      <c r="G3409" s="13"/>
      <c r="H3409" s="13"/>
      <c r="I3409" s="10"/>
      <c r="J3409" s="11"/>
      <c r="K3409" s="6"/>
      <c r="L3409" s="13"/>
    </row>
    <row r="3410" spans="1:12" hidden="1" x14ac:dyDescent="0.25">
      <c r="A3410" s="6"/>
      <c r="B3410" s="6"/>
      <c r="C3410" s="11"/>
      <c r="D3410" s="13"/>
      <c r="E3410" s="13"/>
      <c r="F3410" s="13"/>
      <c r="G3410" s="13"/>
      <c r="H3410" s="13"/>
      <c r="I3410" s="10"/>
      <c r="J3410" s="11"/>
      <c r="K3410" s="6"/>
      <c r="L3410" s="13"/>
    </row>
    <row r="3411" spans="1:12" hidden="1" x14ac:dyDescent="0.25">
      <c r="A3411" s="6"/>
      <c r="B3411" s="6"/>
      <c r="C3411" s="11"/>
      <c r="D3411" s="13"/>
      <c r="E3411" s="13"/>
      <c r="F3411" s="13"/>
      <c r="G3411" s="13"/>
      <c r="H3411" s="13"/>
      <c r="I3411" s="10"/>
      <c r="J3411" s="11"/>
      <c r="K3411" s="6"/>
      <c r="L3411" s="13"/>
    </row>
    <row r="3412" spans="1:12" hidden="1" x14ac:dyDescent="0.25">
      <c r="A3412" s="6"/>
      <c r="B3412" s="6"/>
      <c r="C3412" s="11"/>
      <c r="D3412" s="13"/>
      <c r="E3412" s="13"/>
      <c r="F3412" s="13"/>
      <c r="G3412" s="13"/>
      <c r="H3412" s="13"/>
      <c r="I3412" s="10"/>
      <c r="J3412" s="11"/>
      <c r="K3412" s="6"/>
      <c r="L3412" s="13"/>
    </row>
    <row r="3413" spans="1:12" hidden="1" x14ac:dyDescent="0.25">
      <c r="A3413" s="6"/>
      <c r="B3413" s="6"/>
      <c r="C3413" s="11"/>
      <c r="D3413" s="13"/>
      <c r="E3413" s="13"/>
      <c r="F3413" s="13"/>
      <c r="G3413" s="13"/>
      <c r="H3413" s="13"/>
      <c r="I3413" s="10"/>
      <c r="J3413" s="11"/>
      <c r="K3413" s="6"/>
      <c r="L3413" s="13"/>
    </row>
    <row r="3414" spans="1:12" hidden="1" x14ac:dyDescent="0.25">
      <c r="A3414" s="6"/>
      <c r="B3414" s="6"/>
      <c r="C3414" s="11"/>
      <c r="D3414" s="13"/>
      <c r="E3414" s="13"/>
      <c r="F3414" s="13"/>
      <c r="G3414" s="13"/>
      <c r="H3414" s="13"/>
      <c r="I3414" s="10"/>
      <c r="J3414" s="11"/>
      <c r="K3414" s="6"/>
      <c r="L3414" s="13"/>
    </row>
    <row r="3415" spans="1:12" hidden="1" x14ac:dyDescent="0.25">
      <c r="A3415" s="6"/>
      <c r="B3415" s="6"/>
      <c r="C3415" s="11"/>
      <c r="D3415" s="13"/>
      <c r="E3415" s="13"/>
      <c r="F3415" s="13"/>
      <c r="G3415" s="13"/>
      <c r="H3415" s="13"/>
      <c r="I3415" s="10"/>
      <c r="J3415" s="11"/>
      <c r="K3415" s="6"/>
      <c r="L3415" s="13"/>
    </row>
    <row r="3416" spans="1:12" hidden="1" x14ac:dyDescent="0.25">
      <c r="A3416" s="6"/>
      <c r="B3416" s="6"/>
      <c r="C3416" s="11"/>
      <c r="D3416" s="13"/>
      <c r="E3416" s="13"/>
      <c r="F3416" s="13"/>
      <c r="G3416" s="13"/>
      <c r="H3416" s="13"/>
      <c r="I3416" s="10"/>
      <c r="J3416" s="11"/>
      <c r="K3416" s="6"/>
      <c r="L3416" s="13"/>
    </row>
    <row r="3417" spans="1:12" hidden="1" x14ac:dyDescent="0.25">
      <c r="A3417" s="6"/>
      <c r="B3417" s="6"/>
      <c r="C3417" s="11"/>
      <c r="D3417" s="13"/>
      <c r="E3417" s="13"/>
      <c r="F3417" s="13"/>
      <c r="G3417" s="13"/>
      <c r="H3417" s="13"/>
      <c r="I3417" s="10"/>
      <c r="J3417" s="11"/>
      <c r="K3417" s="6"/>
      <c r="L3417" s="13"/>
    </row>
    <row r="3418" spans="1:12" hidden="1" x14ac:dyDescent="0.25">
      <c r="A3418" s="6"/>
      <c r="B3418" s="6"/>
      <c r="C3418" s="11"/>
      <c r="D3418" s="13"/>
      <c r="E3418" s="13"/>
      <c r="F3418" s="13"/>
      <c r="G3418" s="13"/>
      <c r="H3418" s="13"/>
      <c r="I3418" s="10"/>
      <c r="J3418" s="11"/>
      <c r="K3418" s="6"/>
      <c r="L3418" s="13"/>
    </row>
    <row r="3419" spans="1:12" hidden="1" x14ac:dyDescent="0.25">
      <c r="A3419" s="6"/>
      <c r="B3419" s="6"/>
      <c r="C3419" s="11"/>
      <c r="D3419" s="13"/>
      <c r="E3419" s="13"/>
      <c r="F3419" s="13"/>
      <c r="G3419" s="13"/>
      <c r="H3419" s="13"/>
      <c r="I3419" s="10"/>
      <c r="J3419" s="11"/>
      <c r="K3419" s="6"/>
      <c r="L3419" s="13"/>
    </row>
    <row r="3420" spans="1:12" hidden="1" x14ac:dyDescent="0.25">
      <c r="A3420" s="6"/>
      <c r="B3420" s="6"/>
      <c r="C3420" s="11"/>
      <c r="D3420" s="13"/>
      <c r="E3420" s="13"/>
      <c r="F3420" s="13"/>
      <c r="G3420" s="13"/>
      <c r="H3420" s="13"/>
      <c r="I3420" s="10"/>
      <c r="J3420" s="11"/>
      <c r="K3420" s="6"/>
      <c r="L3420" s="13"/>
    </row>
    <row r="3421" spans="1:12" hidden="1" x14ac:dyDescent="0.25">
      <c r="A3421" s="6"/>
      <c r="B3421" s="6"/>
      <c r="C3421" s="11"/>
      <c r="D3421" s="13"/>
      <c r="E3421" s="13"/>
      <c r="F3421" s="13"/>
      <c r="G3421" s="13"/>
      <c r="H3421" s="13"/>
      <c r="I3421" s="10"/>
      <c r="J3421" s="11"/>
      <c r="K3421" s="6"/>
      <c r="L3421" s="13"/>
    </row>
    <row r="3422" spans="1:12" hidden="1" x14ac:dyDescent="0.25">
      <c r="A3422" s="6"/>
      <c r="B3422" s="6"/>
      <c r="C3422" s="11"/>
      <c r="D3422" s="13"/>
      <c r="E3422" s="13"/>
      <c r="F3422" s="13"/>
      <c r="G3422" s="13"/>
      <c r="H3422" s="13"/>
      <c r="I3422" s="10"/>
      <c r="J3422" s="11"/>
      <c r="K3422" s="6"/>
      <c r="L3422" s="13"/>
    </row>
    <row r="3423" spans="1:12" hidden="1" x14ac:dyDescent="0.25">
      <c r="A3423" s="6"/>
      <c r="B3423" s="6"/>
      <c r="C3423" s="11"/>
      <c r="D3423" s="13"/>
      <c r="E3423" s="13"/>
      <c r="F3423" s="13"/>
      <c r="G3423" s="13"/>
      <c r="H3423" s="13"/>
      <c r="I3423" s="10"/>
      <c r="J3423" s="11"/>
      <c r="K3423" s="6"/>
      <c r="L3423" s="13"/>
    </row>
    <row r="3424" spans="1:12" hidden="1" x14ac:dyDescent="0.25">
      <c r="A3424" s="6"/>
      <c r="B3424" s="6"/>
      <c r="C3424" s="11"/>
      <c r="D3424" s="13"/>
      <c r="E3424" s="13"/>
      <c r="F3424" s="13"/>
      <c r="G3424" s="13"/>
      <c r="H3424" s="13"/>
      <c r="I3424" s="10"/>
      <c r="J3424" s="11"/>
      <c r="K3424" s="6"/>
      <c r="L3424" s="13"/>
    </row>
    <row r="3425" spans="1:12" hidden="1" x14ac:dyDescent="0.25">
      <c r="A3425" s="6"/>
      <c r="B3425" s="6"/>
      <c r="C3425" s="11"/>
      <c r="D3425" s="13"/>
      <c r="E3425" s="13"/>
      <c r="F3425" s="13"/>
      <c r="G3425" s="13"/>
      <c r="H3425" s="13"/>
      <c r="I3425" s="10"/>
      <c r="J3425" s="11"/>
      <c r="K3425" s="6"/>
      <c r="L3425" s="13"/>
    </row>
    <row r="3426" spans="1:12" hidden="1" x14ac:dyDescent="0.25">
      <c r="A3426" s="6"/>
      <c r="B3426" s="6"/>
      <c r="C3426" s="11"/>
      <c r="D3426" s="13"/>
      <c r="E3426" s="13"/>
      <c r="F3426" s="13"/>
      <c r="G3426" s="13"/>
      <c r="H3426" s="13"/>
      <c r="I3426" s="10"/>
      <c r="J3426" s="11"/>
      <c r="K3426" s="6"/>
      <c r="L3426" s="13"/>
    </row>
    <row r="3427" spans="1:12" hidden="1" x14ac:dyDescent="0.25">
      <c r="A3427" s="6"/>
      <c r="B3427" s="6"/>
      <c r="C3427" s="11"/>
      <c r="D3427" s="13"/>
      <c r="E3427" s="13"/>
      <c r="F3427" s="13"/>
      <c r="G3427" s="13"/>
      <c r="H3427" s="13"/>
      <c r="I3427" s="10"/>
      <c r="J3427" s="11"/>
      <c r="K3427" s="6"/>
      <c r="L3427" s="13"/>
    </row>
    <row r="3428" spans="1:12" hidden="1" x14ac:dyDescent="0.25">
      <c r="A3428" s="6"/>
      <c r="B3428" s="6"/>
      <c r="C3428" s="11"/>
      <c r="D3428" s="13"/>
      <c r="E3428" s="13"/>
      <c r="F3428" s="13"/>
      <c r="G3428" s="13"/>
      <c r="H3428" s="13"/>
      <c r="I3428" s="10"/>
      <c r="J3428" s="11"/>
      <c r="K3428" s="6"/>
      <c r="L3428" s="13"/>
    </row>
    <row r="3429" spans="1:12" hidden="1" x14ac:dyDescent="0.25">
      <c r="A3429" s="6"/>
      <c r="B3429" s="6"/>
      <c r="C3429" s="11"/>
      <c r="D3429" s="13"/>
      <c r="E3429" s="13"/>
      <c r="F3429" s="13"/>
      <c r="G3429" s="13"/>
      <c r="H3429" s="13"/>
      <c r="I3429" s="10"/>
      <c r="J3429" s="11"/>
      <c r="K3429" s="6"/>
      <c r="L3429" s="13"/>
    </row>
    <row r="3430" spans="1:12" hidden="1" x14ac:dyDescent="0.25">
      <c r="A3430" s="6"/>
      <c r="B3430" s="6"/>
      <c r="C3430" s="11"/>
      <c r="D3430" s="13"/>
      <c r="E3430" s="13"/>
      <c r="F3430" s="13"/>
      <c r="G3430" s="13"/>
      <c r="H3430" s="13"/>
      <c r="I3430" s="10"/>
      <c r="J3430" s="11"/>
      <c r="K3430" s="6"/>
      <c r="L3430" s="13"/>
    </row>
    <row r="3431" spans="1:12" hidden="1" x14ac:dyDescent="0.25">
      <c r="A3431" s="6"/>
      <c r="B3431" s="6"/>
      <c r="C3431" s="11"/>
      <c r="D3431" s="13"/>
      <c r="E3431" s="13"/>
      <c r="F3431" s="13"/>
      <c r="G3431" s="13"/>
      <c r="H3431" s="13"/>
      <c r="I3431" s="10"/>
      <c r="J3431" s="11"/>
      <c r="K3431" s="6"/>
      <c r="L3431" s="13"/>
    </row>
    <row r="3432" spans="1:12" hidden="1" x14ac:dyDescent="0.25">
      <c r="A3432" s="6"/>
      <c r="B3432" s="6"/>
      <c r="C3432" s="11"/>
      <c r="D3432" s="13"/>
      <c r="E3432" s="13"/>
      <c r="F3432" s="13"/>
      <c r="G3432" s="13"/>
      <c r="H3432" s="13"/>
      <c r="I3432" s="10"/>
      <c r="J3432" s="11"/>
      <c r="K3432" s="6"/>
      <c r="L3432" s="13"/>
    </row>
    <row r="3433" spans="1:12" hidden="1" x14ac:dyDescent="0.25">
      <c r="A3433" s="6"/>
      <c r="B3433" s="6"/>
      <c r="C3433" s="11"/>
      <c r="D3433" s="13"/>
      <c r="E3433" s="13"/>
      <c r="F3433" s="13"/>
      <c r="G3433" s="13"/>
      <c r="H3433" s="13"/>
      <c r="I3433" s="10"/>
      <c r="J3433" s="11"/>
      <c r="K3433" s="6"/>
      <c r="L3433" s="13"/>
    </row>
    <row r="3434" spans="1:12" hidden="1" x14ac:dyDescent="0.25">
      <c r="A3434" s="6"/>
      <c r="B3434" s="6"/>
      <c r="C3434" s="11"/>
      <c r="D3434" s="13"/>
      <c r="E3434" s="13"/>
      <c r="F3434" s="13"/>
      <c r="G3434" s="13"/>
      <c r="H3434" s="13"/>
      <c r="I3434" s="10"/>
      <c r="J3434" s="11"/>
      <c r="K3434" s="6"/>
      <c r="L3434" s="13"/>
    </row>
    <row r="3435" spans="1:12" hidden="1" x14ac:dyDescent="0.25">
      <c r="A3435" s="6"/>
      <c r="B3435" s="6"/>
      <c r="C3435" s="11"/>
      <c r="D3435" s="13"/>
      <c r="E3435" s="13"/>
      <c r="F3435" s="13"/>
      <c r="G3435" s="13"/>
      <c r="H3435" s="13"/>
      <c r="I3435" s="10"/>
      <c r="J3435" s="11"/>
      <c r="K3435" s="6"/>
      <c r="L3435" s="13"/>
    </row>
    <row r="3436" spans="1:12" hidden="1" x14ac:dyDescent="0.25">
      <c r="A3436" s="6"/>
      <c r="B3436" s="6"/>
      <c r="C3436" s="11"/>
      <c r="D3436" s="13"/>
      <c r="E3436" s="13"/>
      <c r="F3436" s="13"/>
      <c r="G3436" s="13"/>
      <c r="H3436" s="13"/>
      <c r="I3436" s="10"/>
      <c r="J3436" s="11"/>
      <c r="K3436" s="6"/>
      <c r="L3436" s="13"/>
    </row>
    <row r="3437" spans="1:12" hidden="1" x14ac:dyDescent="0.25">
      <c r="A3437" s="6"/>
      <c r="B3437" s="6"/>
      <c r="C3437" s="11"/>
      <c r="D3437" s="13"/>
      <c r="E3437" s="13"/>
      <c r="F3437" s="13"/>
      <c r="G3437" s="13"/>
      <c r="H3437" s="13"/>
      <c r="I3437" s="10"/>
      <c r="J3437" s="11"/>
      <c r="K3437" s="6"/>
      <c r="L3437" s="13"/>
    </row>
    <row r="3438" spans="1:12" hidden="1" x14ac:dyDescent="0.25">
      <c r="A3438" s="6"/>
      <c r="B3438" s="6"/>
      <c r="C3438" s="11"/>
      <c r="D3438" s="13"/>
      <c r="E3438" s="13"/>
      <c r="F3438" s="13"/>
      <c r="G3438" s="13"/>
      <c r="H3438" s="13"/>
      <c r="I3438" s="10"/>
      <c r="J3438" s="11"/>
      <c r="K3438" s="6"/>
      <c r="L3438" s="13"/>
    </row>
    <row r="3439" spans="1:12" hidden="1" x14ac:dyDescent="0.25">
      <c r="A3439" s="6"/>
      <c r="B3439" s="6"/>
      <c r="C3439" s="11"/>
      <c r="D3439" s="13"/>
      <c r="E3439" s="13"/>
      <c r="F3439" s="13"/>
      <c r="G3439" s="13"/>
      <c r="H3439" s="13"/>
      <c r="I3439" s="10"/>
      <c r="J3439" s="11"/>
      <c r="K3439" s="6"/>
      <c r="L3439" s="13"/>
    </row>
    <row r="3440" spans="1:12" hidden="1" x14ac:dyDescent="0.25">
      <c r="A3440" s="6"/>
      <c r="B3440" s="6"/>
      <c r="C3440" s="11"/>
      <c r="D3440" s="13"/>
      <c r="E3440" s="13"/>
      <c r="F3440" s="13"/>
      <c r="G3440" s="13"/>
      <c r="H3440" s="13"/>
      <c r="I3440" s="10"/>
      <c r="J3440" s="11"/>
      <c r="K3440" s="6"/>
      <c r="L3440" s="13"/>
    </row>
    <row r="3441" spans="1:12" hidden="1" x14ac:dyDescent="0.25">
      <c r="A3441" s="6"/>
      <c r="B3441" s="6"/>
      <c r="C3441" s="11"/>
      <c r="D3441" s="13"/>
      <c r="E3441" s="13"/>
      <c r="F3441" s="13"/>
      <c r="G3441" s="13"/>
      <c r="H3441" s="13"/>
      <c r="I3441" s="10"/>
      <c r="J3441" s="11"/>
      <c r="K3441" s="6"/>
      <c r="L3441" s="13"/>
    </row>
    <row r="3442" spans="1:12" hidden="1" x14ac:dyDescent="0.25">
      <c r="A3442" s="6"/>
      <c r="B3442" s="6"/>
      <c r="C3442" s="11"/>
      <c r="D3442" s="13"/>
      <c r="E3442" s="13"/>
      <c r="F3442" s="13"/>
      <c r="G3442" s="13"/>
      <c r="H3442" s="13"/>
      <c r="I3442" s="10"/>
      <c r="J3442" s="11"/>
      <c r="K3442" s="6"/>
      <c r="L3442" s="13"/>
    </row>
    <row r="3443" spans="1:12" hidden="1" x14ac:dyDescent="0.25">
      <c r="A3443" s="6"/>
      <c r="B3443" s="6"/>
      <c r="C3443" s="11"/>
      <c r="D3443" s="13"/>
      <c r="E3443" s="13"/>
      <c r="F3443" s="13"/>
      <c r="G3443" s="13"/>
      <c r="H3443" s="13"/>
      <c r="I3443" s="10"/>
      <c r="J3443" s="11"/>
      <c r="K3443" s="6"/>
      <c r="L3443" s="13"/>
    </row>
    <row r="3444" spans="1:12" hidden="1" x14ac:dyDescent="0.25">
      <c r="A3444" s="6"/>
      <c r="B3444" s="6"/>
      <c r="C3444" s="11"/>
      <c r="D3444" s="13"/>
      <c r="E3444" s="13"/>
      <c r="F3444" s="13"/>
      <c r="G3444" s="13"/>
      <c r="H3444" s="13"/>
      <c r="I3444" s="10"/>
      <c r="J3444" s="11"/>
      <c r="K3444" s="6"/>
      <c r="L3444" s="13"/>
    </row>
    <row r="3445" spans="1:12" hidden="1" x14ac:dyDescent="0.25">
      <c r="A3445" s="6"/>
      <c r="B3445" s="6"/>
      <c r="C3445" s="11"/>
      <c r="D3445" s="13"/>
      <c r="E3445" s="13"/>
      <c r="F3445" s="13"/>
      <c r="G3445" s="13"/>
      <c r="H3445" s="13"/>
      <c r="I3445" s="10"/>
      <c r="J3445" s="11"/>
      <c r="K3445" s="6"/>
      <c r="L3445" s="13"/>
    </row>
    <row r="3446" spans="1:12" hidden="1" x14ac:dyDescent="0.25">
      <c r="A3446" s="6"/>
      <c r="B3446" s="6"/>
      <c r="C3446" s="11"/>
      <c r="D3446" s="13"/>
      <c r="E3446" s="13"/>
      <c r="F3446" s="13"/>
      <c r="G3446" s="13"/>
      <c r="H3446" s="13"/>
      <c r="I3446" s="10"/>
      <c r="J3446" s="11"/>
      <c r="K3446" s="6"/>
      <c r="L3446" s="13"/>
    </row>
    <row r="3447" spans="1:12" hidden="1" x14ac:dyDescent="0.25">
      <c r="A3447" s="6"/>
      <c r="B3447" s="6"/>
      <c r="C3447" s="11"/>
      <c r="D3447" s="13"/>
      <c r="E3447" s="13"/>
      <c r="F3447" s="13"/>
      <c r="G3447" s="13"/>
      <c r="H3447" s="13"/>
      <c r="I3447" s="10"/>
      <c r="J3447" s="11"/>
      <c r="K3447" s="6"/>
      <c r="L3447" s="13"/>
    </row>
    <row r="3448" spans="1:12" hidden="1" x14ac:dyDescent="0.25">
      <c r="A3448" s="6"/>
      <c r="B3448" s="6"/>
      <c r="C3448" s="11"/>
      <c r="D3448" s="13"/>
      <c r="E3448" s="13"/>
      <c r="F3448" s="13"/>
      <c r="G3448" s="13"/>
      <c r="H3448" s="13"/>
      <c r="I3448" s="10"/>
      <c r="J3448" s="11"/>
      <c r="K3448" s="6"/>
      <c r="L3448" s="13"/>
    </row>
    <row r="3449" spans="1:12" hidden="1" x14ac:dyDescent="0.25">
      <c r="A3449" s="6"/>
      <c r="B3449" s="6"/>
      <c r="C3449" s="11"/>
      <c r="D3449" s="13"/>
      <c r="E3449" s="13"/>
      <c r="F3449" s="13"/>
      <c r="G3449" s="13"/>
      <c r="H3449" s="13"/>
      <c r="I3449" s="10"/>
      <c r="J3449" s="11"/>
      <c r="K3449" s="6"/>
      <c r="L3449" s="13"/>
    </row>
    <row r="3450" spans="1:12" hidden="1" x14ac:dyDescent="0.25">
      <c r="A3450" s="6"/>
      <c r="B3450" s="6"/>
      <c r="C3450" s="11"/>
      <c r="D3450" s="13"/>
      <c r="E3450" s="13"/>
      <c r="F3450" s="13"/>
      <c r="G3450" s="13"/>
      <c r="H3450" s="13"/>
      <c r="I3450" s="10"/>
      <c r="J3450" s="11"/>
      <c r="K3450" s="6"/>
      <c r="L3450" s="13"/>
    </row>
    <row r="3451" spans="1:12" hidden="1" x14ac:dyDescent="0.25">
      <c r="A3451" s="6"/>
      <c r="B3451" s="6"/>
      <c r="C3451" s="11"/>
      <c r="D3451" s="13"/>
      <c r="E3451" s="13"/>
      <c r="F3451" s="13"/>
      <c r="G3451" s="13"/>
      <c r="H3451" s="13"/>
      <c r="I3451" s="10"/>
      <c r="J3451" s="11"/>
      <c r="K3451" s="6"/>
      <c r="L3451" s="13"/>
    </row>
    <row r="3452" spans="1:12" hidden="1" x14ac:dyDescent="0.25">
      <c r="A3452" s="6"/>
      <c r="B3452" s="6"/>
      <c r="C3452" s="11"/>
      <c r="D3452" s="13"/>
      <c r="E3452" s="13"/>
      <c r="F3452" s="13"/>
      <c r="G3452" s="13"/>
      <c r="H3452" s="13"/>
      <c r="I3452" s="10"/>
      <c r="J3452" s="11"/>
      <c r="K3452" s="6"/>
      <c r="L3452" s="13"/>
    </row>
    <row r="3453" spans="1:12" hidden="1" x14ac:dyDescent="0.25">
      <c r="A3453" s="6"/>
      <c r="B3453" s="6"/>
      <c r="C3453" s="11"/>
      <c r="D3453" s="13"/>
      <c r="E3453" s="13"/>
      <c r="F3453" s="13"/>
      <c r="G3453" s="13"/>
      <c r="H3453" s="13"/>
      <c r="I3453" s="10"/>
      <c r="J3453" s="11"/>
      <c r="K3453" s="6"/>
      <c r="L3453" s="13"/>
    </row>
    <row r="3454" spans="1:12" hidden="1" x14ac:dyDescent="0.25">
      <c r="A3454" s="6"/>
      <c r="B3454" s="6"/>
      <c r="C3454" s="11"/>
      <c r="D3454" s="13"/>
      <c r="E3454" s="13"/>
      <c r="F3454" s="13"/>
      <c r="G3454" s="13"/>
      <c r="H3454" s="13"/>
      <c r="I3454" s="10"/>
      <c r="J3454" s="11"/>
      <c r="K3454" s="6"/>
      <c r="L3454" s="13"/>
    </row>
    <row r="3455" spans="1:12" hidden="1" x14ac:dyDescent="0.25">
      <c r="A3455" s="6"/>
      <c r="B3455" s="6"/>
      <c r="C3455" s="11"/>
      <c r="D3455" s="13"/>
      <c r="E3455" s="13"/>
      <c r="F3455" s="13"/>
      <c r="G3455" s="13"/>
      <c r="H3455" s="13"/>
      <c r="I3455" s="10"/>
      <c r="J3455" s="11"/>
      <c r="K3455" s="6"/>
      <c r="L3455" s="13"/>
    </row>
    <row r="3456" spans="1:12" hidden="1" x14ac:dyDescent="0.25">
      <c r="A3456" s="6"/>
      <c r="B3456" s="6"/>
      <c r="C3456" s="11"/>
      <c r="D3456" s="13"/>
      <c r="E3456" s="13"/>
      <c r="F3456" s="13"/>
      <c r="G3456" s="13"/>
      <c r="H3456" s="13"/>
      <c r="I3456" s="10"/>
      <c r="J3456" s="11"/>
      <c r="K3456" s="6"/>
      <c r="L3456" s="13"/>
    </row>
    <row r="3457" spans="1:12" hidden="1" x14ac:dyDescent="0.25">
      <c r="A3457" s="6"/>
      <c r="B3457" s="6"/>
      <c r="C3457" s="11"/>
      <c r="D3457" s="13"/>
      <c r="E3457" s="13"/>
      <c r="F3457" s="13"/>
      <c r="G3457" s="13"/>
      <c r="H3457" s="13"/>
      <c r="I3457" s="10"/>
      <c r="J3457" s="11"/>
      <c r="K3457" s="6"/>
      <c r="L3457" s="13"/>
    </row>
    <row r="3458" spans="1:12" hidden="1" x14ac:dyDescent="0.25">
      <c r="A3458" s="6"/>
      <c r="B3458" s="6"/>
      <c r="C3458" s="11"/>
      <c r="D3458" s="13"/>
      <c r="E3458" s="13"/>
      <c r="F3458" s="13"/>
      <c r="G3458" s="13"/>
      <c r="H3458" s="13"/>
      <c r="I3458" s="10"/>
      <c r="J3458" s="11"/>
      <c r="K3458" s="6"/>
      <c r="L3458" s="13"/>
    </row>
    <row r="3459" spans="1:12" hidden="1" x14ac:dyDescent="0.25">
      <c r="A3459" s="6"/>
      <c r="B3459" s="6"/>
      <c r="C3459" s="11"/>
      <c r="D3459" s="13"/>
      <c r="E3459" s="13"/>
      <c r="F3459" s="13"/>
      <c r="G3459" s="13"/>
      <c r="H3459" s="13"/>
      <c r="I3459" s="10"/>
      <c r="J3459" s="11"/>
      <c r="K3459" s="6"/>
      <c r="L3459" s="13"/>
    </row>
    <row r="3460" spans="1:12" hidden="1" x14ac:dyDescent="0.25">
      <c r="A3460" s="6"/>
      <c r="B3460" s="6"/>
      <c r="C3460" s="11"/>
      <c r="D3460" s="13"/>
      <c r="E3460" s="13"/>
      <c r="F3460" s="13"/>
      <c r="G3460" s="13"/>
      <c r="H3460" s="13"/>
      <c r="I3460" s="10"/>
      <c r="J3460" s="11"/>
      <c r="K3460" s="6"/>
      <c r="L3460" s="13"/>
    </row>
    <row r="3461" spans="1:12" hidden="1" x14ac:dyDescent="0.25">
      <c r="A3461" s="6"/>
      <c r="B3461" s="6"/>
      <c r="C3461" s="11"/>
      <c r="D3461" s="13"/>
      <c r="E3461" s="13"/>
      <c r="F3461" s="13"/>
      <c r="G3461" s="13"/>
      <c r="H3461" s="13"/>
      <c r="I3461" s="10"/>
      <c r="J3461" s="11"/>
      <c r="K3461" s="6"/>
      <c r="L3461" s="13"/>
    </row>
    <row r="3462" spans="1:12" hidden="1" x14ac:dyDescent="0.25">
      <c r="A3462" s="6"/>
      <c r="B3462" s="6"/>
      <c r="C3462" s="11"/>
      <c r="D3462" s="13"/>
      <c r="E3462" s="13"/>
      <c r="F3462" s="13"/>
      <c r="G3462" s="13"/>
      <c r="H3462" s="13"/>
      <c r="I3462" s="10"/>
      <c r="J3462" s="11"/>
      <c r="K3462" s="6"/>
      <c r="L3462" s="13"/>
    </row>
    <row r="3463" spans="1:12" hidden="1" x14ac:dyDescent="0.25">
      <c r="A3463" s="6"/>
      <c r="B3463" s="6"/>
      <c r="C3463" s="11"/>
      <c r="D3463" s="13"/>
      <c r="E3463" s="13"/>
      <c r="F3463" s="13"/>
      <c r="G3463" s="13"/>
      <c r="H3463" s="13"/>
      <c r="I3463" s="10"/>
      <c r="J3463" s="11"/>
      <c r="K3463" s="6"/>
      <c r="L3463" s="13"/>
    </row>
    <row r="3464" spans="1:12" hidden="1" x14ac:dyDescent="0.25">
      <c r="A3464" s="6"/>
      <c r="B3464" s="6"/>
      <c r="C3464" s="11"/>
      <c r="D3464" s="13"/>
      <c r="E3464" s="13"/>
      <c r="F3464" s="13"/>
      <c r="G3464" s="13"/>
      <c r="H3464" s="13"/>
      <c r="I3464" s="10"/>
      <c r="J3464" s="11"/>
      <c r="K3464" s="6"/>
      <c r="L3464" s="13"/>
    </row>
    <row r="3465" spans="1:12" hidden="1" x14ac:dyDescent="0.25">
      <c r="A3465" s="6"/>
      <c r="B3465" s="6"/>
      <c r="C3465" s="11"/>
      <c r="D3465" s="13"/>
      <c r="E3465" s="13"/>
      <c r="F3465" s="13"/>
      <c r="G3465" s="13"/>
      <c r="H3465" s="13"/>
      <c r="I3465" s="10"/>
      <c r="J3465" s="11"/>
      <c r="K3465" s="6"/>
      <c r="L3465" s="13"/>
    </row>
    <row r="3466" spans="1:12" hidden="1" x14ac:dyDescent="0.25">
      <c r="A3466" s="6"/>
      <c r="B3466" s="6"/>
      <c r="C3466" s="11"/>
      <c r="D3466" s="13"/>
      <c r="E3466" s="13"/>
      <c r="F3466" s="13"/>
      <c r="G3466" s="13"/>
      <c r="H3466" s="13"/>
      <c r="I3466" s="10"/>
      <c r="J3466" s="11"/>
      <c r="K3466" s="6"/>
      <c r="L3466" s="13"/>
    </row>
    <row r="3467" spans="1:12" hidden="1" x14ac:dyDescent="0.25">
      <c r="A3467" s="6"/>
      <c r="B3467" s="6"/>
      <c r="C3467" s="11"/>
      <c r="D3467" s="13"/>
      <c r="E3467" s="13"/>
      <c r="F3467" s="13"/>
      <c r="G3467" s="13"/>
      <c r="H3467" s="13"/>
      <c r="I3467" s="10"/>
      <c r="J3467" s="11"/>
      <c r="K3467" s="6"/>
      <c r="L3467" s="13"/>
    </row>
    <row r="3468" spans="1:12" hidden="1" x14ac:dyDescent="0.25">
      <c r="A3468" s="6"/>
      <c r="B3468" s="6"/>
      <c r="C3468" s="11"/>
      <c r="D3468" s="13"/>
      <c r="E3468" s="13"/>
      <c r="F3468" s="13"/>
      <c r="G3468" s="13"/>
      <c r="H3468" s="13"/>
      <c r="I3468" s="10"/>
      <c r="J3468" s="11"/>
      <c r="K3468" s="6"/>
      <c r="L3468" s="13"/>
    </row>
    <row r="3469" spans="1:12" hidden="1" x14ac:dyDescent="0.25">
      <c r="A3469" s="6"/>
      <c r="B3469" s="6"/>
      <c r="C3469" s="11"/>
      <c r="D3469" s="13"/>
      <c r="E3469" s="13"/>
      <c r="F3469" s="13"/>
      <c r="G3469" s="13"/>
      <c r="H3469" s="13"/>
      <c r="I3469" s="10"/>
      <c r="J3469" s="11"/>
      <c r="K3469" s="6"/>
      <c r="L3469" s="13"/>
    </row>
    <row r="3470" spans="1:12" hidden="1" x14ac:dyDescent="0.25">
      <c r="A3470" s="6"/>
      <c r="B3470" s="6"/>
      <c r="C3470" s="11"/>
      <c r="D3470" s="13"/>
      <c r="E3470" s="13"/>
      <c r="F3470" s="13"/>
      <c r="G3470" s="13"/>
      <c r="H3470" s="13"/>
      <c r="I3470" s="10"/>
      <c r="J3470" s="11"/>
      <c r="K3470" s="6"/>
      <c r="L3470" s="13"/>
    </row>
    <row r="3471" spans="1:12" hidden="1" x14ac:dyDescent="0.25">
      <c r="A3471" s="6"/>
      <c r="B3471" s="6"/>
      <c r="C3471" s="11"/>
      <c r="D3471" s="13"/>
      <c r="E3471" s="13"/>
      <c r="F3471" s="13"/>
      <c r="G3471" s="13"/>
      <c r="H3471" s="13"/>
      <c r="I3471" s="10"/>
      <c r="J3471" s="11"/>
      <c r="K3471" s="6"/>
      <c r="L3471" s="13"/>
    </row>
    <row r="3472" spans="1:12" hidden="1" x14ac:dyDescent="0.25">
      <c r="A3472" s="6"/>
      <c r="B3472" s="6"/>
      <c r="C3472" s="11"/>
      <c r="D3472" s="13"/>
      <c r="E3472" s="13"/>
      <c r="F3472" s="13"/>
      <c r="G3472" s="13"/>
      <c r="H3472" s="13"/>
      <c r="I3472" s="10"/>
      <c r="J3472" s="11"/>
      <c r="K3472" s="6"/>
      <c r="L3472" s="13"/>
    </row>
    <row r="3473" spans="1:12" hidden="1" x14ac:dyDescent="0.25">
      <c r="A3473" s="6"/>
      <c r="B3473" s="6"/>
      <c r="C3473" s="11"/>
      <c r="D3473" s="13"/>
      <c r="E3473" s="13"/>
      <c r="F3473" s="13"/>
      <c r="G3473" s="13"/>
      <c r="H3473" s="13"/>
      <c r="I3473" s="10"/>
      <c r="J3473" s="11"/>
      <c r="K3473" s="6"/>
      <c r="L3473" s="13"/>
    </row>
    <row r="3474" spans="1:12" hidden="1" x14ac:dyDescent="0.25">
      <c r="A3474" s="6"/>
      <c r="B3474" s="6"/>
      <c r="C3474" s="11"/>
      <c r="D3474" s="13"/>
      <c r="E3474" s="13"/>
      <c r="F3474" s="13"/>
      <c r="G3474" s="13"/>
      <c r="H3474" s="13"/>
      <c r="I3474" s="10"/>
      <c r="J3474" s="11"/>
      <c r="K3474" s="6"/>
      <c r="L3474" s="13"/>
    </row>
    <row r="3475" spans="1:12" hidden="1" x14ac:dyDescent="0.25">
      <c r="A3475" s="6"/>
      <c r="B3475" s="6"/>
      <c r="C3475" s="11"/>
      <c r="D3475" s="13"/>
      <c r="E3475" s="13"/>
      <c r="F3475" s="13"/>
      <c r="G3475" s="13"/>
      <c r="H3475" s="13"/>
      <c r="I3475" s="10"/>
      <c r="J3475" s="11"/>
      <c r="K3475" s="6"/>
      <c r="L3475" s="13"/>
    </row>
    <row r="3476" spans="1:12" hidden="1" x14ac:dyDescent="0.25">
      <c r="A3476" s="6"/>
      <c r="B3476" s="6"/>
      <c r="C3476" s="11"/>
      <c r="D3476" s="13"/>
      <c r="E3476" s="13"/>
      <c r="F3476" s="13"/>
      <c r="G3476" s="13"/>
      <c r="H3476" s="13"/>
      <c r="I3476" s="10"/>
      <c r="J3476" s="11"/>
      <c r="K3476" s="6"/>
      <c r="L3476" s="13"/>
    </row>
    <row r="3477" spans="1:12" hidden="1" x14ac:dyDescent="0.25">
      <c r="A3477" s="6"/>
      <c r="B3477" s="6"/>
      <c r="C3477" s="11"/>
      <c r="D3477" s="13"/>
      <c r="E3477" s="13"/>
      <c r="F3477" s="13"/>
      <c r="G3477" s="13"/>
      <c r="H3477" s="13"/>
      <c r="I3477" s="10"/>
      <c r="J3477" s="11"/>
      <c r="K3477" s="6"/>
      <c r="L3477" s="13"/>
    </row>
    <row r="3478" spans="1:12" hidden="1" x14ac:dyDescent="0.25">
      <c r="A3478" s="6"/>
      <c r="B3478" s="6"/>
      <c r="C3478" s="11"/>
      <c r="D3478" s="13"/>
      <c r="E3478" s="13"/>
      <c r="F3478" s="13"/>
      <c r="G3478" s="13"/>
      <c r="H3478" s="13"/>
      <c r="I3478" s="10"/>
      <c r="J3478" s="11"/>
      <c r="K3478" s="6"/>
      <c r="L3478" s="13"/>
    </row>
    <row r="3479" spans="1:12" hidden="1" x14ac:dyDescent="0.25">
      <c r="A3479" s="6"/>
      <c r="B3479" s="6"/>
      <c r="C3479" s="11"/>
      <c r="D3479" s="13"/>
      <c r="E3479" s="13"/>
      <c r="F3479" s="13"/>
      <c r="G3479" s="13"/>
      <c r="H3479" s="13"/>
      <c r="I3479" s="10"/>
      <c r="J3479" s="11"/>
      <c r="K3479" s="6"/>
      <c r="L3479" s="13"/>
    </row>
    <row r="3480" spans="1:12" hidden="1" x14ac:dyDescent="0.25">
      <c r="A3480" s="6"/>
      <c r="B3480" s="6"/>
      <c r="C3480" s="11"/>
      <c r="D3480" s="13"/>
      <c r="E3480" s="13"/>
      <c r="F3480" s="13"/>
      <c r="G3480" s="13"/>
      <c r="H3480" s="13"/>
      <c r="I3480" s="10"/>
      <c r="J3480" s="11"/>
      <c r="K3480" s="6"/>
      <c r="L3480" s="13"/>
    </row>
    <row r="3481" spans="1:12" hidden="1" x14ac:dyDescent="0.25">
      <c r="A3481" s="6"/>
      <c r="B3481" s="6"/>
      <c r="C3481" s="11"/>
      <c r="D3481" s="13"/>
      <c r="E3481" s="13"/>
      <c r="F3481" s="13"/>
      <c r="G3481" s="13"/>
      <c r="H3481" s="13"/>
      <c r="I3481" s="10"/>
      <c r="J3481" s="11"/>
      <c r="K3481" s="6"/>
      <c r="L3481" s="13"/>
    </row>
    <row r="3482" spans="1:12" hidden="1" x14ac:dyDescent="0.25">
      <c r="A3482" s="6"/>
      <c r="B3482" s="6"/>
      <c r="C3482" s="11"/>
      <c r="D3482" s="13"/>
      <c r="E3482" s="13"/>
      <c r="F3482" s="13"/>
      <c r="G3482" s="13"/>
      <c r="H3482" s="13"/>
      <c r="I3482" s="10"/>
      <c r="J3482" s="11"/>
      <c r="K3482" s="6"/>
      <c r="L3482" s="13"/>
    </row>
    <row r="3483" spans="1:12" hidden="1" x14ac:dyDescent="0.25">
      <c r="A3483" s="6"/>
      <c r="B3483" s="6"/>
      <c r="C3483" s="11"/>
      <c r="D3483" s="13"/>
      <c r="E3483" s="13"/>
      <c r="F3483" s="13"/>
      <c r="G3483" s="13"/>
      <c r="H3483" s="13"/>
      <c r="I3483" s="10"/>
      <c r="J3483" s="11"/>
      <c r="K3483" s="6"/>
      <c r="L3483" s="13"/>
    </row>
    <row r="3484" spans="1:12" hidden="1" x14ac:dyDescent="0.25">
      <c r="A3484" s="6"/>
      <c r="B3484" s="6"/>
      <c r="C3484" s="11"/>
      <c r="D3484" s="13"/>
      <c r="E3484" s="13"/>
      <c r="F3484" s="13"/>
      <c r="G3484" s="13"/>
      <c r="H3484" s="13"/>
      <c r="I3484" s="10"/>
      <c r="J3484" s="11"/>
      <c r="K3484" s="6"/>
      <c r="L3484" s="13"/>
    </row>
    <row r="3485" spans="1:12" hidden="1" x14ac:dyDescent="0.25">
      <c r="A3485" s="6"/>
      <c r="B3485" s="6"/>
      <c r="C3485" s="11"/>
      <c r="D3485" s="13"/>
      <c r="E3485" s="13"/>
      <c r="F3485" s="13"/>
      <c r="G3485" s="13"/>
      <c r="H3485" s="13"/>
      <c r="I3485" s="10"/>
      <c r="J3485" s="11"/>
      <c r="K3485" s="6"/>
      <c r="L3485" s="13"/>
    </row>
    <row r="3486" spans="1:12" hidden="1" x14ac:dyDescent="0.25">
      <c r="A3486" s="6"/>
      <c r="B3486" s="6"/>
      <c r="C3486" s="11"/>
      <c r="D3486" s="13"/>
      <c r="E3486" s="13"/>
      <c r="F3486" s="13"/>
      <c r="G3486" s="13"/>
      <c r="H3486" s="13"/>
      <c r="I3486" s="10"/>
      <c r="J3486" s="11"/>
      <c r="K3486" s="6"/>
      <c r="L3486" s="13"/>
    </row>
    <row r="3487" spans="1:12" hidden="1" x14ac:dyDescent="0.25">
      <c r="A3487" s="6"/>
      <c r="B3487" s="6"/>
      <c r="C3487" s="11"/>
      <c r="D3487" s="13"/>
      <c r="E3487" s="13"/>
      <c r="F3487" s="13"/>
      <c r="G3487" s="13"/>
      <c r="H3487" s="13"/>
      <c r="I3487" s="10"/>
      <c r="J3487" s="11"/>
      <c r="K3487" s="6"/>
      <c r="L3487" s="13"/>
    </row>
    <row r="3488" spans="1:12" hidden="1" x14ac:dyDescent="0.25">
      <c r="A3488" s="6"/>
      <c r="B3488" s="6"/>
      <c r="C3488" s="11"/>
      <c r="D3488" s="13"/>
      <c r="E3488" s="13"/>
      <c r="F3488" s="13"/>
      <c r="G3488" s="13"/>
      <c r="H3488" s="13"/>
      <c r="I3488" s="10"/>
      <c r="J3488" s="11"/>
      <c r="K3488" s="6"/>
      <c r="L3488" s="13"/>
    </row>
    <row r="3489" spans="1:12" hidden="1" x14ac:dyDescent="0.25">
      <c r="A3489" s="6"/>
      <c r="B3489" s="6"/>
      <c r="C3489" s="11"/>
      <c r="D3489" s="13"/>
      <c r="E3489" s="13"/>
      <c r="F3489" s="13"/>
      <c r="G3489" s="13"/>
      <c r="H3489" s="13"/>
      <c r="I3489" s="10"/>
      <c r="J3489" s="11"/>
      <c r="K3489" s="6"/>
      <c r="L3489" s="13"/>
    </row>
    <row r="3490" spans="1:12" hidden="1" x14ac:dyDescent="0.25">
      <c r="A3490" s="6"/>
      <c r="B3490" s="6"/>
      <c r="C3490" s="11"/>
      <c r="D3490" s="13"/>
      <c r="E3490" s="13"/>
      <c r="F3490" s="13"/>
      <c r="G3490" s="13"/>
      <c r="H3490" s="13"/>
      <c r="I3490" s="10"/>
      <c r="J3490" s="11"/>
      <c r="K3490" s="6"/>
      <c r="L3490" s="13"/>
    </row>
    <row r="3491" spans="1:12" hidden="1" x14ac:dyDescent="0.25">
      <c r="A3491" s="6"/>
      <c r="B3491" s="6"/>
      <c r="C3491" s="11"/>
      <c r="D3491" s="13"/>
      <c r="E3491" s="13"/>
      <c r="F3491" s="13"/>
      <c r="G3491" s="13"/>
      <c r="H3491" s="13"/>
      <c r="I3491" s="10"/>
      <c r="J3491" s="11"/>
      <c r="K3491" s="6"/>
      <c r="L3491" s="13"/>
    </row>
    <row r="3492" spans="1:12" hidden="1" x14ac:dyDescent="0.25">
      <c r="A3492" s="6"/>
      <c r="B3492" s="6"/>
      <c r="C3492" s="11"/>
      <c r="D3492" s="13"/>
      <c r="E3492" s="13"/>
      <c r="F3492" s="13"/>
      <c r="G3492" s="13"/>
      <c r="H3492" s="13"/>
      <c r="I3492" s="10"/>
      <c r="J3492" s="11"/>
      <c r="K3492" s="6"/>
      <c r="L3492" s="13"/>
    </row>
    <row r="3493" spans="1:12" hidden="1" x14ac:dyDescent="0.25">
      <c r="A3493" s="6"/>
      <c r="B3493" s="6"/>
      <c r="C3493" s="11"/>
      <c r="D3493" s="13"/>
      <c r="E3493" s="13"/>
      <c r="F3493" s="13"/>
      <c r="G3493" s="13"/>
      <c r="H3493" s="13"/>
      <c r="I3493" s="10"/>
      <c r="J3493" s="11"/>
      <c r="K3493" s="6"/>
      <c r="L3493" s="13"/>
    </row>
    <row r="3494" spans="1:12" hidden="1" x14ac:dyDescent="0.25">
      <c r="A3494" s="6"/>
      <c r="B3494" s="6"/>
      <c r="C3494" s="11"/>
      <c r="D3494" s="13"/>
      <c r="E3494" s="13"/>
      <c r="F3494" s="13"/>
      <c r="G3494" s="13"/>
      <c r="H3494" s="13"/>
      <c r="I3494" s="10"/>
      <c r="J3494" s="11"/>
      <c r="K3494" s="6"/>
      <c r="L3494" s="13"/>
    </row>
    <row r="3495" spans="1:12" hidden="1" x14ac:dyDescent="0.25">
      <c r="A3495" s="6"/>
      <c r="B3495" s="6"/>
      <c r="C3495" s="11"/>
      <c r="D3495" s="13"/>
      <c r="E3495" s="13"/>
      <c r="F3495" s="13"/>
      <c r="G3495" s="13"/>
      <c r="H3495" s="13"/>
      <c r="I3495" s="10"/>
      <c r="J3495" s="11"/>
      <c r="K3495" s="6"/>
      <c r="L3495" s="13"/>
    </row>
    <row r="3496" spans="1:12" hidden="1" x14ac:dyDescent="0.25">
      <c r="A3496" s="6"/>
      <c r="B3496" s="6"/>
      <c r="C3496" s="11"/>
      <c r="D3496" s="13"/>
      <c r="E3496" s="13"/>
      <c r="F3496" s="13"/>
      <c r="G3496" s="13"/>
      <c r="H3496" s="13"/>
      <c r="I3496" s="10"/>
      <c r="J3496" s="11"/>
      <c r="K3496" s="6"/>
      <c r="L3496" s="13"/>
    </row>
    <row r="3497" spans="1:12" hidden="1" x14ac:dyDescent="0.25">
      <c r="A3497" s="6"/>
      <c r="B3497" s="6"/>
      <c r="C3497" s="11"/>
      <c r="D3497" s="13"/>
      <c r="E3497" s="13"/>
      <c r="F3497" s="13"/>
      <c r="G3497" s="13"/>
      <c r="H3497" s="13"/>
      <c r="I3497" s="10"/>
      <c r="J3497" s="11"/>
      <c r="K3497" s="6"/>
      <c r="L3497" s="13"/>
    </row>
    <row r="3498" spans="1:12" hidden="1" x14ac:dyDescent="0.25">
      <c r="A3498" s="6"/>
      <c r="B3498" s="6"/>
      <c r="C3498" s="11"/>
      <c r="D3498" s="13"/>
      <c r="E3498" s="13"/>
      <c r="F3498" s="13"/>
      <c r="G3498" s="13"/>
      <c r="H3498" s="13"/>
      <c r="I3498" s="10"/>
      <c r="J3498" s="11"/>
      <c r="K3498" s="6"/>
      <c r="L3498" s="13"/>
    </row>
    <row r="3499" spans="1:12" hidden="1" x14ac:dyDescent="0.25">
      <c r="A3499" s="6"/>
      <c r="B3499" s="6"/>
      <c r="C3499" s="11"/>
      <c r="D3499" s="13"/>
      <c r="E3499" s="13"/>
      <c r="F3499" s="13"/>
      <c r="G3499" s="13"/>
      <c r="H3499" s="13"/>
      <c r="I3499" s="10"/>
      <c r="J3499" s="11"/>
      <c r="K3499" s="6"/>
      <c r="L3499" s="13"/>
    </row>
    <row r="3500" spans="1:12" hidden="1" x14ac:dyDescent="0.25">
      <c r="A3500" s="6"/>
      <c r="B3500" s="6"/>
      <c r="C3500" s="11"/>
      <c r="D3500" s="13"/>
      <c r="E3500" s="13"/>
      <c r="F3500" s="13"/>
      <c r="G3500" s="13"/>
      <c r="H3500" s="13"/>
      <c r="I3500" s="10"/>
      <c r="J3500" s="11"/>
      <c r="K3500" s="6"/>
      <c r="L3500" s="13"/>
    </row>
    <row r="3501" spans="1:12" hidden="1" x14ac:dyDescent="0.25">
      <c r="A3501" s="6"/>
      <c r="B3501" s="6"/>
      <c r="C3501" s="11"/>
      <c r="D3501" s="13"/>
      <c r="E3501" s="13"/>
      <c r="F3501" s="13"/>
      <c r="G3501" s="13"/>
      <c r="H3501" s="13"/>
      <c r="I3501" s="10"/>
      <c r="J3501" s="11"/>
      <c r="K3501" s="6"/>
      <c r="L3501" s="13"/>
    </row>
    <row r="3502" spans="1:12" hidden="1" x14ac:dyDescent="0.25">
      <c r="A3502" s="6"/>
      <c r="B3502" s="6"/>
      <c r="C3502" s="11"/>
      <c r="D3502" s="13"/>
      <c r="E3502" s="13"/>
      <c r="F3502" s="13"/>
      <c r="G3502" s="13"/>
      <c r="H3502" s="13"/>
      <c r="I3502" s="10"/>
      <c r="J3502" s="11"/>
      <c r="K3502" s="6"/>
      <c r="L3502" s="13"/>
    </row>
    <row r="3503" spans="1:12" hidden="1" x14ac:dyDescent="0.25">
      <c r="A3503" s="6"/>
      <c r="B3503" s="6"/>
      <c r="C3503" s="11"/>
      <c r="D3503" s="13"/>
      <c r="E3503" s="13"/>
      <c r="F3503" s="13"/>
      <c r="G3503" s="13"/>
      <c r="H3503" s="13"/>
      <c r="I3503" s="10"/>
      <c r="J3503" s="11"/>
      <c r="K3503" s="6"/>
      <c r="L3503" s="13"/>
    </row>
    <row r="3504" spans="1:12" hidden="1" x14ac:dyDescent="0.25">
      <c r="A3504" s="6"/>
      <c r="B3504" s="6"/>
      <c r="C3504" s="11"/>
      <c r="D3504" s="13"/>
      <c r="E3504" s="13"/>
      <c r="F3504" s="13"/>
      <c r="G3504" s="13"/>
      <c r="H3504" s="13"/>
      <c r="I3504" s="10"/>
      <c r="J3504" s="11"/>
      <c r="K3504" s="6"/>
      <c r="L3504" s="13"/>
    </row>
    <row r="3505" spans="1:12" hidden="1" x14ac:dyDescent="0.25">
      <c r="A3505" s="6"/>
      <c r="B3505" s="6"/>
      <c r="C3505" s="11"/>
      <c r="D3505" s="13"/>
      <c r="E3505" s="13"/>
      <c r="F3505" s="13"/>
      <c r="G3505" s="13"/>
      <c r="H3505" s="13"/>
      <c r="I3505" s="10"/>
      <c r="J3505" s="11"/>
      <c r="K3505" s="6"/>
      <c r="L3505" s="13"/>
    </row>
    <row r="3506" spans="1:12" hidden="1" x14ac:dyDescent="0.25">
      <c r="A3506" s="6"/>
      <c r="B3506" s="6"/>
      <c r="C3506" s="11"/>
      <c r="D3506" s="13"/>
      <c r="E3506" s="13"/>
      <c r="F3506" s="13"/>
      <c r="G3506" s="13"/>
      <c r="H3506" s="13"/>
      <c r="I3506" s="10"/>
      <c r="J3506" s="11"/>
      <c r="K3506" s="6"/>
      <c r="L3506" s="13"/>
    </row>
    <row r="3507" spans="1:12" hidden="1" x14ac:dyDescent="0.25">
      <c r="A3507" s="6"/>
      <c r="B3507" s="6"/>
      <c r="C3507" s="11"/>
      <c r="D3507" s="13"/>
      <c r="E3507" s="13"/>
      <c r="F3507" s="13"/>
      <c r="G3507" s="13"/>
      <c r="H3507" s="13"/>
      <c r="I3507" s="10"/>
      <c r="J3507" s="11"/>
      <c r="K3507" s="6"/>
      <c r="L3507" s="13"/>
    </row>
    <row r="3508" spans="1:12" hidden="1" x14ac:dyDescent="0.25">
      <c r="A3508" s="6"/>
      <c r="B3508" s="6"/>
      <c r="C3508" s="11"/>
      <c r="D3508" s="13"/>
      <c r="E3508" s="13"/>
      <c r="F3508" s="13"/>
      <c r="G3508" s="13"/>
      <c r="H3508" s="13"/>
      <c r="I3508" s="10"/>
      <c r="J3508" s="11"/>
      <c r="K3508" s="6"/>
      <c r="L3508" s="13"/>
    </row>
    <row r="3509" spans="1:12" hidden="1" x14ac:dyDescent="0.25">
      <c r="A3509" s="6"/>
      <c r="B3509" s="6"/>
      <c r="C3509" s="11"/>
      <c r="D3509" s="13"/>
      <c r="E3509" s="13"/>
      <c r="F3509" s="13"/>
      <c r="G3509" s="13"/>
      <c r="H3509" s="13"/>
      <c r="I3509" s="10"/>
      <c r="J3509" s="11"/>
      <c r="K3509" s="6"/>
      <c r="L3509" s="13"/>
    </row>
    <row r="3510" spans="1:12" hidden="1" x14ac:dyDescent="0.25">
      <c r="A3510" s="6"/>
      <c r="B3510" s="6"/>
      <c r="C3510" s="11"/>
      <c r="D3510" s="13"/>
      <c r="E3510" s="13"/>
      <c r="F3510" s="13"/>
      <c r="G3510" s="13"/>
      <c r="H3510" s="13"/>
      <c r="I3510" s="10"/>
      <c r="J3510" s="11"/>
      <c r="K3510" s="6"/>
      <c r="L3510" s="13"/>
    </row>
    <row r="3511" spans="1:12" hidden="1" x14ac:dyDescent="0.25">
      <c r="A3511" s="6"/>
      <c r="B3511" s="6"/>
      <c r="C3511" s="11"/>
      <c r="D3511" s="13"/>
      <c r="E3511" s="13"/>
      <c r="F3511" s="13"/>
      <c r="G3511" s="13"/>
      <c r="H3511" s="13"/>
      <c r="I3511" s="10"/>
      <c r="J3511" s="11"/>
      <c r="K3511" s="6"/>
      <c r="L3511" s="13"/>
    </row>
    <row r="3512" spans="1:12" hidden="1" x14ac:dyDescent="0.25">
      <c r="A3512" s="6"/>
      <c r="B3512" s="6"/>
      <c r="C3512" s="11"/>
      <c r="D3512" s="13"/>
      <c r="E3512" s="13"/>
      <c r="F3512" s="13"/>
      <c r="G3512" s="13"/>
      <c r="H3512" s="13"/>
      <c r="I3512" s="10"/>
      <c r="J3512" s="11"/>
      <c r="K3512" s="6"/>
      <c r="L3512" s="13"/>
    </row>
    <row r="3513" spans="1:12" hidden="1" x14ac:dyDescent="0.25">
      <c r="A3513" s="6"/>
      <c r="B3513" s="6"/>
      <c r="C3513" s="11"/>
      <c r="D3513" s="13"/>
      <c r="E3513" s="13"/>
      <c r="F3513" s="13"/>
      <c r="G3513" s="13"/>
      <c r="H3513" s="13"/>
      <c r="I3513" s="10"/>
      <c r="J3513" s="11"/>
      <c r="K3513" s="6"/>
      <c r="L3513" s="13"/>
    </row>
    <row r="3514" spans="1:12" hidden="1" x14ac:dyDescent="0.25">
      <c r="A3514" s="6"/>
      <c r="B3514" s="6"/>
      <c r="C3514" s="11"/>
      <c r="D3514" s="13"/>
      <c r="E3514" s="13"/>
      <c r="F3514" s="13"/>
      <c r="G3514" s="13"/>
      <c r="H3514" s="13"/>
      <c r="I3514" s="10"/>
      <c r="J3514" s="11"/>
      <c r="K3514" s="6"/>
      <c r="L3514" s="13"/>
    </row>
    <row r="3515" spans="1:12" hidden="1" x14ac:dyDescent="0.25">
      <c r="A3515" s="6"/>
      <c r="B3515" s="6"/>
      <c r="C3515" s="11"/>
      <c r="D3515" s="13"/>
      <c r="E3515" s="13"/>
      <c r="F3515" s="13"/>
      <c r="G3515" s="13"/>
      <c r="H3515" s="13"/>
      <c r="I3515" s="10"/>
      <c r="J3515" s="11"/>
      <c r="K3515" s="6"/>
      <c r="L3515" s="13"/>
    </row>
    <row r="3516" spans="1:12" hidden="1" x14ac:dyDescent="0.25">
      <c r="A3516" s="6"/>
      <c r="B3516" s="6"/>
      <c r="C3516" s="11"/>
      <c r="D3516" s="13"/>
      <c r="E3516" s="13"/>
      <c r="F3516" s="13"/>
      <c r="G3516" s="13"/>
      <c r="H3516" s="13"/>
      <c r="I3516" s="10"/>
      <c r="J3516" s="11"/>
      <c r="K3516" s="6"/>
      <c r="L3516" s="13"/>
    </row>
    <row r="3517" spans="1:12" hidden="1" x14ac:dyDescent="0.25">
      <c r="A3517" s="6"/>
      <c r="B3517" s="6"/>
      <c r="C3517" s="11"/>
      <c r="D3517" s="13"/>
      <c r="E3517" s="13"/>
      <c r="F3517" s="13"/>
      <c r="G3517" s="13"/>
      <c r="H3517" s="13"/>
      <c r="I3517" s="10"/>
      <c r="J3517" s="11"/>
      <c r="K3517" s="6"/>
      <c r="L3517" s="13"/>
    </row>
    <row r="3518" spans="1:12" hidden="1" x14ac:dyDescent="0.25">
      <c r="A3518" s="6"/>
      <c r="B3518" s="6"/>
      <c r="C3518" s="11"/>
      <c r="D3518" s="13"/>
      <c r="E3518" s="13"/>
      <c r="F3518" s="13"/>
      <c r="G3518" s="13"/>
      <c r="H3518" s="13"/>
      <c r="I3518" s="10"/>
      <c r="J3518" s="11"/>
      <c r="K3518" s="6"/>
      <c r="L3518" s="13"/>
    </row>
    <row r="3519" spans="1:12" hidden="1" x14ac:dyDescent="0.25">
      <c r="A3519" s="6"/>
      <c r="B3519" s="6"/>
      <c r="C3519" s="11"/>
      <c r="D3519" s="13"/>
      <c r="E3519" s="13"/>
      <c r="F3519" s="13"/>
      <c r="G3519" s="13"/>
      <c r="H3519" s="13"/>
      <c r="I3519" s="10"/>
      <c r="J3519" s="11"/>
      <c r="K3519" s="6"/>
      <c r="L3519" s="13"/>
    </row>
    <row r="3520" spans="1:12" hidden="1" x14ac:dyDescent="0.25">
      <c r="A3520" s="6"/>
      <c r="B3520" s="6"/>
      <c r="C3520" s="11"/>
      <c r="D3520" s="13"/>
      <c r="E3520" s="13"/>
      <c r="F3520" s="13"/>
      <c r="G3520" s="13"/>
      <c r="H3520" s="13"/>
      <c r="I3520" s="10"/>
      <c r="J3520" s="11"/>
      <c r="K3520" s="6"/>
      <c r="L3520" s="13"/>
    </row>
    <row r="3521" spans="1:12" hidden="1" x14ac:dyDescent="0.25">
      <c r="A3521" s="6"/>
      <c r="B3521" s="6"/>
      <c r="C3521" s="11"/>
      <c r="D3521" s="13"/>
      <c r="E3521" s="13"/>
      <c r="F3521" s="13"/>
      <c r="G3521" s="13"/>
      <c r="H3521" s="13"/>
      <c r="I3521" s="10"/>
      <c r="J3521" s="11"/>
      <c r="K3521" s="6"/>
      <c r="L3521" s="13"/>
    </row>
    <row r="3522" spans="1:12" hidden="1" x14ac:dyDescent="0.25">
      <c r="A3522" s="6"/>
      <c r="B3522" s="6"/>
      <c r="C3522" s="11"/>
      <c r="D3522" s="13"/>
      <c r="E3522" s="13"/>
      <c r="F3522" s="13"/>
      <c r="G3522" s="13"/>
      <c r="H3522" s="13"/>
      <c r="I3522" s="10"/>
      <c r="J3522" s="11"/>
      <c r="K3522" s="6"/>
      <c r="L3522" s="13"/>
    </row>
    <row r="3523" spans="1:12" hidden="1" x14ac:dyDescent="0.25">
      <c r="A3523" s="6"/>
      <c r="B3523" s="6"/>
      <c r="C3523" s="11"/>
      <c r="D3523" s="13"/>
      <c r="E3523" s="13"/>
      <c r="F3523" s="13"/>
      <c r="G3523" s="13"/>
      <c r="H3523" s="13"/>
      <c r="I3523" s="10"/>
      <c r="J3523" s="11"/>
      <c r="K3523" s="6"/>
      <c r="L3523" s="13"/>
    </row>
    <row r="3524" spans="1:12" hidden="1" x14ac:dyDescent="0.25">
      <c r="A3524" s="6"/>
      <c r="B3524" s="6"/>
      <c r="C3524" s="11"/>
      <c r="D3524" s="13"/>
      <c r="E3524" s="13"/>
      <c r="F3524" s="13"/>
      <c r="G3524" s="13"/>
      <c r="H3524" s="13"/>
      <c r="I3524" s="10"/>
      <c r="J3524" s="11"/>
      <c r="K3524" s="6"/>
      <c r="L3524" s="13"/>
    </row>
    <row r="3525" spans="1:12" hidden="1" x14ac:dyDescent="0.25">
      <c r="A3525" s="6"/>
      <c r="B3525" s="6"/>
      <c r="C3525" s="11"/>
      <c r="D3525" s="13"/>
      <c r="E3525" s="13"/>
      <c r="F3525" s="13"/>
      <c r="G3525" s="13"/>
      <c r="H3525" s="13"/>
      <c r="I3525" s="10"/>
      <c r="J3525" s="11"/>
      <c r="K3525" s="6"/>
      <c r="L3525" s="13"/>
    </row>
    <row r="3526" spans="1:12" hidden="1" x14ac:dyDescent="0.25">
      <c r="A3526" s="6"/>
      <c r="B3526" s="6"/>
      <c r="C3526" s="11"/>
      <c r="D3526" s="13"/>
      <c r="E3526" s="13"/>
      <c r="F3526" s="13"/>
      <c r="G3526" s="13"/>
      <c r="H3526" s="13"/>
      <c r="I3526" s="10"/>
      <c r="J3526" s="11"/>
      <c r="K3526" s="6"/>
      <c r="L3526" s="13"/>
    </row>
    <row r="3527" spans="1:12" hidden="1" x14ac:dyDescent="0.25">
      <c r="A3527" s="6"/>
      <c r="B3527" s="6"/>
      <c r="C3527" s="11"/>
      <c r="D3527" s="13"/>
      <c r="E3527" s="13"/>
      <c r="F3527" s="13"/>
      <c r="G3527" s="13"/>
      <c r="H3527" s="13"/>
      <c r="I3527" s="10"/>
      <c r="J3527" s="11"/>
      <c r="K3527" s="6"/>
      <c r="L3527" s="13"/>
    </row>
    <row r="3528" spans="1:12" hidden="1" x14ac:dyDescent="0.25">
      <c r="A3528" s="6"/>
      <c r="B3528" s="6"/>
      <c r="C3528" s="11"/>
      <c r="D3528" s="13"/>
      <c r="E3528" s="13"/>
      <c r="F3528" s="13"/>
      <c r="G3528" s="13"/>
      <c r="H3528" s="13"/>
      <c r="I3528" s="10"/>
      <c r="J3528" s="11"/>
      <c r="K3528" s="6"/>
      <c r="L3528" s="13"/>
    </row>
    <row r="3529" spans="1:12" hidden="1" x14ac:dyDescent="0.25">
      <c r="A3529" s="6"/>
      <c r="B3529" s="6"/>
      <c r="C3529" s="11"/>
      <c r="D3529" s="13"/>
      <c r="E3529" s="13"/>
      <c r="F3529" s="13"/>
      <c r="G3529" s="13"/>
      <c r="H3529" s="13"/>
      <c r="I3529" s="10"/>
      <c r="J3529" s="11"/>
      <c r="K3529" s="6"/>
      <c r="L3529" s="13"/>
    </row>
    <row r="3530" spans="1:12" hidden="1" x14ac:dyDescent="0.25">
      <c r="A3530" s="6"/>
      <c r="B3530" s="6"/>
      <c r="C3530" s="11"/>
      <c r="D3530" s="13"/>
      <c r="E3530" s="13"/>
      <c r="F3530" s="13"/>
      <c r="G3530" s="13"/>
      <c r="H3530" s="13"/>
      <c r="I3530" s="10"/>
      <c r="J3530" s="11"/>
      <c r="K3530" s="6"/>
      <c r="L3530" s="13"/>
    </row>
    <row r="3531" spans="1:12" hidden="1" x14ac:dyDescent="0.25">
      <c r="A3531" s="6"/>
      <c r="B3531" s="6"/>
      <c r="C3531" s="11"/>
      <c r="D3531" s="13"/>
      <c r="E3531" s="13"/>
      <c r="F3531" s="13"/>
      <c r="G3531" s="13"/>
      <c r="H3531" s="13"/>
      <c r="I3531" s="10"/>
      <c r="J3531" s="11"/>
      <c r="K3531" s="6"/>
      <c r="L3531" s="13"/>
    </row>
    <row r="3532" spans="1:12" hidden="1" x14ac:dyDescent="0.25">
      <c r="A3532" s="6"/>
      <c r="B3532" s="6"/>
      <c r="C3532" s="11"/>
      <c r="D3532" s="13"/>
      <c r="E3532" s="13"/>
      <c r="F3532" s="13"/>
      <c r="G3532" s="13"/>
      <c r="H3532" s="13"/>
      <c r="I3532" s="10"/>
      <c r="J3532" s="11"/>
      <c r="K3532" s="6"/>
      <c r="L3532" s="13"/>
    </row>
    <row r="3533" spans="1:12" hidden="1" x14ac:dyDescent="0.25">
      <c r="A3533" s="6"/>
      <c r="B3533" s="6"/>
      <c r="C3533" s="11"/>
      <c r="D3533" s="13"/>
      <c r="E3533" s="13"/>
      <c r="F3533" s="13"/>
      <c r="G3533" s="13"/>
      <c r="H3533" s="13"/>
      <c r="I3533" s="10"/>
      <c r="J3533" s="11"/>
      <c r="K3533" s="6"/>
      <c r="L3533" s="13"/>
    </row>
    <row r="3534" spans="1:12" hidden="1" x14ac:dyDescent="0.25">
      <c r="A3534" s="6"/>
      <c r="B3534" s="6"/>
      <c r="C3534" s="11"/>
      <c r="D3534" s="13"/>
      <c r="E3534" s="13"/>
      <c r="F3534" s="13"/>
      <c r="G3534" s="13"/>
      <c r="H3534" s="13"/>
      <c r="I3534" s="10"/>
      <c r="J3534" s="11"/>
      <c r="K3534" s="6"/>
      <c r="L3534" s="13"/>
    </row>
    <row r="3535" spans="1:12" hidden="1" x14ac:dyDescent="0.25">
      <c r="A3535" s="6"/>
      <c r="B3535" s="6"/>
      <c r="C3535" s="11"/>
      <c r="D3535" s="13"/>
      <c r="E3535" s="13"/>
      <c r="F3535" s="13"/>
      <c r="G3535" s="13"/>
      <c r="H3535" s="13"/>
      <c r="I3535" s="10"/>
      <c r="J3535" s="11"/>
      <c r="K3535" s="6"/>
      <c r="L3535" s="13"/>
    </row>
    <row r="3536" spans="1:12" hidden="1" x14ac:dyDescent="0.25">
      <c r="A3536" s="6"/>
      <c r="B3536" s="6"/>
      <c r="C3536" s="11"/>
      <c r="D3536" s="13"/>
      <c r="E3536" s="13"/>
      <c r="F3536" s="13"/>
      <c r="G3536" s="13"/>
      <c r="H3536" s="13"/>
      <c r="I3536" s="10"/>
      <c r="J3536" s="11"/>
      <c r="K3536" s="6"/>
      <c r="L3536" s="13"/>
    </row>
    <row r="3537" spans="1:12" hidden="1" x14ac:dyDescent="0.25">
      <c r="A3537" s="6"/>
      <c r="B3537" s="6"/>
      <c r="C3537" s="11"/>
      <c r="D3537" s="13"/>
      <c r="E3537" s="13"/>
      <c r="F3537" s="13"/>
      <c r="G3537" s="13"/>
      <c r="H3537" s="13"/>
      <c r="I3537" s="10"/>
      <c r="J3537" s="11"/>
      <c r="K3537" s="6"/>
      <c r="L3537" s="13"/>
    </row>
    <row r="3538" spans="1:12" hidden="1" x14ac:dyDescent="0.25">
      <c r="A3538" s="6"/>
      <c r="B3538" s="6"/>
      <c r="C3538" s="11"/>
      <c r="D3538" s="13"/>
      <c r="E3538" s="13"/>
      <c r="F3538" s="13"/>
      <c r="G3538" s="13"/>
      <c r="H3538" s="13"/>
      <c r="I3538" s="10"/>
      <c r="J3538" s="11"/>
      <c r="K3538" s="6"/>
      <c r="L3538" s="13"/>
    </row>
    <row r="3539" spans="1:12" hidden="1" x14ac:dyDescent="0.25">
      <c r="A3539" s="6"/>
      <c r="B3539" s="6"/>
      <c r="C3539" s="11"/>
      <c r="D3539" s="13"/>
      <c r="E3539" s="13"/>
      <c r="F3539" s="13"/>
      <c r="G3539" s="13"/>
      <c r="H3539" s="13"/>
      <c r="I3539" s="10"/>
      <c r="J3539" s="11"/>
      <c r="K3539" s="6"/>
      <c r="L3539" s="13"/>
    </row>
    <row r="3540" spans="1:12" hidden="1" x14ac:dyDescent="0.25">
      <c r="A3540" s="6"/>
      <c r="B3540" s="6"/>
      <c r="C3540" s="11"/>
      <c r="D3540" s="13"/>
      <c r="E3540" s="13"/>
      <c r="F3540" s="13"/>
      <c r="G3540" s="13"/>
      <c r="H3540" s="13"/>
      <c r="I3540" s="10"/>
      <c r="J3540" s="11"/>
      <c r="K3540" s="6"/>
      <c r="L3540" s="13"/>
    </row>
    <row r="3541" spans="1:12" hidden="1" x14ac:dyDescent="0.25">
      <c r="A3541" s="6"/>
      <c r="B3541" s="6"/>
      <c r="C3541" s="11"/>
      <c r="D3541" s="13"/>
      <c r="E3541" s="13"/>
      <c r="F3541" s="13"/>
      <c r="G3541" s="13"/>
      <c r="H3541" s="13"/>
      <c r="I3541" s="10"/>
      <c r="J3541" s="11"/>
      <c r="K3541" s="6"/>
      <c r="L3541" s="13"/>
    </row>
    <row r="3542" spans="1:12" hidden="1" x14ac:dyDescent="0.25">
      <c r="A3542" s="6"/>
      <c r="B3542" s="6"/>
      <c r="C3542" s="11"/>
      <c r="D3542" s="13"/>
      <c r="E3542" s="13"/>
      <c r="F3542" s="13"/>
      <c r="G3542" s="13"/>
      <c r="H3542" s="13"/>
      <c r="I3542" s="10"/>
      <c r="J3542" s="11"/>
      <c r="K3542" s="6"/>
      <c r="L3542" s="13"/>
    </row>
    <row r="3543" spans="1:12" hidden="1" x14ac:dyDescent="0.25">
      <c r="A3543" s="6"/>
      <c r="B3543" s="6"/>
      <c r="C3543" s="11"/>
      <c r="D3543" s="13"/>
      <c r="E3543" s="13"/>
      <c r="F3543" s="13"/>
      <c r="G3543" s="13"/>
      <c r="H3543" s="13"/>
      <c r="I3543" s="10"/>
      <c r="J3543" s="11"/>
      <c r="K3543" s="6"/>
      <c r="L3543" s="13"/>
    </row>
    <row r="3544" spans="1:12" hidden="1" x14ac:dyDescent="0.25">
      <c r="A3544" s="6"/>
      <c r="B3544" s="6"/>
      <c r="C3544" s="11"/>
      <c r="D3544" s="13"/>
      <c r="E3544" s="13"/>
      <c r="F3544" s="13"/>
      <c r="G3544" s="13"/>
      <c r="H3544" s="13"/>
      <c r="I3544" s="10"/>
      <c r="J3544" s="11"/>
      <c r="K3544" s="6"/>
      <c r="L3544" s="13"/>
    </row>
    <row r="3545" spans="1:12" hidden="1" x14ac:dyDescent="0.25">
      <c r="A3545" s="6"/>
      <c r="B3545" s="6"/>
      <c r="C3545" s="11"/>
      <c r="D3545" s="13"/>
      <c r="E3545" s="13"/>
      <c r="F3545" s="13"/>
      <c r="G3545" s="13"/>
      <c r="H3545" s="13"/>
      <c r="I3545" s="10"/>
      <c r="J3545" s="11"/>
      <c r="K3545" s="6"/>
      <c r="L3545" s="13"/>
    </row>
    <row r="3546" spans="1:12" hidden="1" x14ac:dyDescent="0.25">
      <c r="A3546" s="6"/>
      <c r="B3546" s="6"/>
      <c r="C3546" s="11"/>
      <c r="D3546" s="13"/>
      <c r="E3546" s="13"/>
      <c r="F3546" s="13"/>
      <c r="G3546" s="13"/>
      <c r="H3546" s="13"/>
      <c r="I3546" s="10"/>
      <c r="J3546" s="11"/>
      <c r="K3546" s="6"/>
      <c r="L3546" s="13"/>
    </row>
    <row r="3547" spans="1:12" hidden="1" x14ac:dyDescent="0.25">
      <c r="A3547" s="6"/>
      <c r="B3547" s="6"/>
      <c r="C3547" s="11"/>
      <c r="D3547" s="13"/>
      <c r="E3547" s="13"/>
      <c r="F3547" s="13"/>
      <c r="G3547" s="13"/>
      <c r="H3547" s="13"/>
      <c r="I3547" s="10"/>
      <c r="J3547" s="11"/>
      <c r="K3547" s="6"/>
      <c r="L3547" s="13"/>
    </row>
    <row r="3548" spans="1:12" hidden="1" x14ac:dyDescent="0.25">
      <c r="A3548" s="6"/>
      <c r="B3548" s="6"/>
      <c r="C3548" s="11"/>
      <c r="D3548" s="13"/>
      <c r="E3548" s="13"/>
      <c r="F3548" s="13"/>
      <c r="G3548" s="13"/>
      <c r="H3548" s="13"/>
      <c r="I3548" s="10"/>
      <c r="J3548" s="11"/>
      <c r="K3548" s="6"/>
      <c r="L3548" s="13"/>
    </row>
    <row r="3549" spans="1:12" hidden="1" x14ac:dyDescent="0.25">
      <c r="A3549" s="6"/>
      <c r="B3549" s="6"/>
      <c r="C3549" s="11"/>
      <c r="D3549" s="13"/>
      <c r="E3549" s="13"/>
      <c r="F3549" s="13"/>
      <c r="G3549" s="13"/>
      <c r="H3549" s="13"/>
      <c r="I3549" s="10"/>
      <c r="J3549" s="11"/>
      <c r="K3549" s="6"/>
      <c r="L3549" s="13"/>
    </row>
    <row r="3550" spans="1:12" hidden="1" x14ac:dyDescent="0.25">
      <c r="A3550" s="6"/>
      <c r="B3550" s="6"/>
      <c r="C3550" s="11"/>
      <c r="D3550" s="13"/>
      <c r="E3550" s="13"/>
      <c r="F3550" s="13"/>
      <c r="G3550" s="13"/>
      <c r="H3550" s="13"/>
      <c r="I3550" s="10"/>
      <c r="J3550" s="11"/>
      <c r="K3550" s="6"/>
      <c r="L3550" s="13"/>
    </row>
    <row r="3551" spans="1:12" hidden="1" x14ac:dyDescent="0.25">
      <c r="A3551" s="6"/>
      <c r="B3551" s="6"/>
      <c r="C3551" s="11"/>
      <c r="D3551" s="13"/>
      <c r="E3551" s="13"/>
      <c r="F3551" s="13"/>
      <c r="G3551" s="13"/>
      <c r="H3551" s="13"/>
      <c r="I3551" s="10"/>
      <c r="J3551" s="11"/>
      <c r="K3551" s="6"/>
      <c r="L3551" s="13"/>
    </row>
    <row r="3552" spans="1:12" hidden="1" x14ac:dyDescent="0.25">
      <c r="A3552" s="6"/>
      <c r="B3552" s="6"/>
      <c r="C3552" s="11"/>
      <c r="D3552" s="13"/>
      <c r="E3552" s="13"/>
      <c r="F3552" s="13"/>
      <c r="G3552" s="13"/>
      <c r="H3552" s="13"/>
      <c r="I3552" s="10"/>
      <c r="J3552" s="11"/>
      <c r="K3552" s="6"/>
      <c r="L3552" s="13"/>
    </row>
    <row r="3553" spans="1:12" hidden="1" x14ac:dyDescent="0.25">
      <c r="A3553" s="6"/>
      <c r="B3553" s="6"/>
      <c r="C3553" s="11"/>
      <c r="D3553" s="13"/>
      <c r="E3553" s="13"/>
      <c r="F3553" s="13"/>
      <c r="G3553" s="13"/>
      <c r="H3553" s="13"/>
      <c r="I3553" s="10"/>
      <c r="J3553" s="11"/>
      <c r="K3553" s="6"/>
      <c r="L3553" s="13"/>
    </row>
    <row r="3554" spans="1:12" hidden="1" x14ac:dyDescent="0.25">
      <c r="A3554" s="6"/>
      <c r="B3554" s="6"/>
      <c r="C3554" s="11"/>
      <c r="D3554" s="13"/>
      <c r="E3554" s="13"/>
      <c r="F3554" s="13"/>
      <c r="G3554" s="13"/>
      <c r="H3554" s="13"/>
      <c r="I3554" s="10"/>
      <c r="J3554" s="11"/>
      <c r="K3554" s="6"/>
      <c r="L3554" s="13"/>
    </row>
    <row r="3555" spans="1:12" hidden="1" x14ac:dyDescent="0.25">
      <c r="A3555" s="6"/>
      <c r="B3555" s="6"/>
      <c r="C3555" s="11"/>
      <c r="D3555" s="13"/>
      <c r="E3555" s="13"/>
      <c r="F3555" s="13"/>
      <c r="G3555" s="13"/>
      <c r="H3555" s="13"/>
      <c r="I3555" s="10"/>
      <c r="J3555" s="11"/>
      <c r="K3555" s="6"/>
      <c r="L3555" s="13"/>
    </row>
    <row r="3556" spans="1:12" hidden="1" x14ac:dyDescent="0.25">
      <c r="A3556" s="6"/>
      <c r="B3556" s="6"/>
      <c r="C3556" s="11"/>
      <c r="D3556" s="13"/>
      <c r="E3556" s="13"/>
      <c r="F3556" s="13"/>
      <c r="G3556" s="13"/>
      <c r="H3556" s="13"/>
      <c r="I3556" s="10"/>
      <c r="J3556" s="11"/>
      <c r="K3556" s="6"/>
      <c r="L3556" s="13"/>
    </row>
    <row r="3557" spans="1:12" hidden="1" x14ac:dyDescent="0.25">
      <c r="A3557" s="6"/>
      <c r="B3557" s="6"/>
      <c r="C3557" s="11"/>
      <c r="D3557" s="13"/>
      <c r="E3557" s="13"/>
      <c r="F3557" s="13"/>
      <c r="G3557" s="13"/>
      <c r="H3557" s="13"/>
      <c r="I3557" s="10"/>
      <c r="J3557" s="11"/>
      <c r="K3557" s="6"/>
      <c r="L3557" s="13"/>
    </row>
    <row r="3558" spans="1:12" hidden="1" x14ac:dyDescent="0.25">
      <c r="A3558" s="6"/>
      <c r="B3558" s="6"/>
      <c r="C3558" s="11"/>
      <c r="D3558" s="13"/>
      <c r="E3558" s="13"/>
      <c r="F3558" s="13"/>
      <c r="G3558" s="13"/>
      <c r="H3558" s="13"/>
      <c r="I3558" s="10"/>
      <c r="J3558" s="11"/>
      <c r="K3558" s="6"/>
      <c r="L3558" s="13"/>
    </row>
    <row r="3559" spans="1:12" hidden="1" x14ac:dyDescent="0.25">
      <c r="A3559" s="6"/>
      <c r="B3559" s="6"/>
      <c r="C3559" s="11"/>
      <c r="D3559" s="13"/>
      <c r="E3559" s="13"/>
      <c r="F3559" s="13"/>
      <c r="G3559" s="13"/>
      <c r="H3559" s="13"/>
      <c r="I3559" s="10"/>
      <c r="J3559" s="11"/>
      <c r="K3559" s="6"/>
      <c r="L3559" s="13"/>
    </row>
    <row r="3560" spans="1:12" hidden="1" x14ac:dyDescent="0.25">
      <c r="A3560" s="6"/>
      <c r="B3560" s="6"/>
      <c r="C3560" s="11"/>
      <c r="D3560" s="13"/>
      <c r="E3560" s="13"/>
      <c r="F3560" s="13"/>
      <c r="G3560" s="13"/>
      <c r="H3560" s="13"/>
      <c r="I3560" s="10"/>
      <c r="J3560" s="11"/>
      <c r="K3560" s="6"/>
      <c r="L3560" s="13"/>
    </row>
    <row r="3561" spans="1:12" hidden="1" x14ac:dyDescent="0.25">
      <c r="A3561" s="6"/>
      <c r="B3561" s="6"/>
      <c r="C3561" s="11"/>
      <c r="D3561" s="13"/>
      <c r="E3561" s="13"/>
      <c r="F3561" s="13"/>
      <c r="G3561" s="13"/>
      <c r="H3561" s="13"/>
      <c r="I3561" s="10"/>
      <c r="J3561" s="11"/>
      <c r="K3561" s="6"/>
      <c r="L3561" s="13"/>
    </row>
    <row r="3562" spans="1:12" hidden="1" x14ac:dyDescent="0.25">
      <c r="A3562" s="6"/>
      <c r="B3562" s="6"/>
      <c r="C3562" s="11"/>
      <c r="D3562" s="13"/>
      <c r="E3562" s="13"/>
      <c r="F3562" s="13"/>
      <c r="G3562" s="13"/>
      <c r="H3562" s="13"/>
      <c r="I3562" s="10"/>
      <c r="J3562" s="11"/>
      <c r="K3562" s="6"/>
      <c r="L3562" s="13"/>
    </row>
    <row r="3563" spans="1:12" hidden="1" x14ac:dyDescent="0.25">
      <c r="A3563" s="6"/>
      <c r="B3563" s="6"/>
      <c r="C3563" s="11"/>
      <c r="D3563" s="13"/>
      <c r="E3563" s="13"/>
      <c r="F3563" s="13"/>
      <c r="G3563" s="13"/>
      <c r="H3563" s="13"/>
      <c r="I3563" s="10"/>
      <c r="J3563" s="11"/>
      <c r="K3563" s="6"/>
      <c r="L3563" s="13"/>
    </row>
    <row r="3564" spans="1:12" hidden="1" x14ac:dyDescent="0.25">
      <c r="A3564" s="6"/>
      <c r="B3564" s="6"/>
      <c r="C3564" s="11"/>
      <c r="D3564" s="13"/>
      <c r="E3564" s="13"/>
      <c r="F3564" s="13"/>
      <c r="G3564" s="13"/>
      <c r="H3564" s="13"/>
      <c r="I3564" s="10"/>
      <c r="J3564" s="11"/>
      <c r="K3564" s="6"/>
      <c r="L3564" s="13"/>
    </row>
    <row r="3565" spans="1:12" hidden="1" x14ac:dyDescent="0.25">
      <c r="A3565" s="6"/>
      <c r="B3565" s="6"/>
      <c r="C3565" s="11"/>
      <c r="D3565" s="13"/>
      <c r="E3565" s="13"/>
      <c r="F3565" s="13"/>
      <c r="G3565" s="13"/>
      <c r="H3565" s="13"/>
      <c r="I3565" s="10"/>
      <c r="J3565" s="11"/>
      <c r="K3565" s="6"/>
      <c r="L3565" s="13"/>
    </row>
    <row r="3566" spans="1:12" hidden="1" x14ac:dyDescent="0.25">
      <c r="A3566" s="6"/>
      <c r="B3566" s="6"/>
      <c r="C3566" s="11"/>
      <c r="D3566" s="13"/>
      <c r="E3566" s="13"/>
      <c r="F3566" s="13"/>
      <c r="G3566" s="13"/>
      <c r="H3566" s="13"/>
      <c r="I3566" s="10"/>
      <c r="J3566" s="11"/>
      <c r="K3566" s="6"/>
      <c r="L3566" s="13"/>
    </row>
    <row r="3567" spans="1:12" hidden="1" x14ac:dyDescent="0.25">
      <c r="A3567" s="6"/>
      <c r="B3567" s="6"/>
      <c r="C3567" s="11"/>
      <c r="D3567" s="13"/>
      <c r="E3567" s="13"/>
      <c r="F3567" s="13"/>
      <c r="G3567" s="13"/>
      <c r="H3567" s="13"/>
      <c r="I3567" s="10"/>
      <c r="J3567" s="11"/>
      <c r="K3567" s="6"/>
      <c r="L3567" s="13"/>
    </row>
    <row r="3568" spans="1:12" hidden="1" x14ac:dyDescent="0.25">
      <c r="A3568" s="6"/>
      <c r="B3568" s="6"/>
      <c r="C3568" s="11"/>
      <c r="D3568" s="13"/>
      <c r="E3568" s="13"/>
      <c r="F3568" s="13"/>
      <c r="G3568" s="13"/>
      <c r="H3568" s="13"/>
      <c r="I3568" s="10"/>
      <c r="J3568" s="11"/>
      <c r="K3568" s="6"/>
      <c r="L3568" s="13"/>
    </row>
    <row r="3569" spans="1:12" hidden="1" x14ac:dyDescent="0.25">
      <c r="A3569" s="6"/>
      <c r="B3569" s="6"/>
      <c r="C3569" s="11"/>
      <c r="D3569" s="13"/>
      <c r="E3569" s="13"/>
      <c r="F3569" s="13"/>
      <c r="G3569" s="13"/>
      <c r="H3569" s="13"/>
      <c r="I3569" s="10"/>
      <c r="J3569" s="11"/>
      <c r="K3569" s="6"/>
      <c r="L3569" s="13"/>
    </row>
    <row r="3570" spans="1:12" hidden="1" x14ac:dyDescent="0.25">
      <c r="A3570" s="6"/>
      <c r="B3570" s="6"/>
      <c r="C3570" s="11"/>
      <c r="D3570" s="13"/>
      <c r="E3570" s="13"/>
      <c r="F3570" s="13"/>
      <c r="G3570" s="13"/>
      <c r="H3570" s="13"/>
      <c r="I3570" s="10"/>
      <c r="J3570" s="11"/>
      <c r="K3570" s="6"/>
      <c r="L3570" s="13"/>
    </row>
    <row r="3571" spans="1:12" hidden="1" x14ac:dyDescent="0.25">
      <c r="A3571" s="6"/>
      <c r="B3571" s="6"/>
      <c r="C3571" s="11"/>
      <c r="D3571" s="13"/>
      <c r="E3571" s="13"/>
      <c r="F3571" s="13"/>
      <c r="G3571" s="13"/>
      <c r="H3571" s="13"/>
      <c r="I3571" s="10"/>
      <c r="J3571" s="11"/>
      <c r="K3571" s="6"/>
      <c r="L3571" s="13"/>
    </row>
    <row r="3572" spans="1:12" hidden="1" x14ac:dyDescent="0.25">
      <c r="A3572" s="6"/>
      <c r="B3572" s="6"/>
      <c r="C3572" s="11"/>
      <c r="D3572" s="13"/>
      <c r="E3572" s="13"/>
      <c r="F3572" s="13"/>
      <c r="G3572" s="13"/>
      <c r="H3572" s="13"/>
      <c r="I3572" s="10"/>
      <c r="J3572" s="11"/>
      <c r="K3572" s="6"/>
      <c r="L3572" s="13"/>
    </row>
    <row r="3573" spans="1:12" hidden="1" x14ac:dyDescent="0.25">
      <c r="A3573" s="6"/>
      <c r="B3573" s="6"/>
      <c r="C3573" s="11"/>
      <c r="D3573" s="13"/>
      <c r="E3573" s="13"/>
      <c r="F3573" s="13"/>
      <c r="G3573" s="13"/>
      <c r="H3573" s="13"/>
      <c r="I3573" s="10"/>
      <c r="J3573" s="11"/>
      <c r="K3573" s="6"/>
      <c r="L3573" s="13"/>
    </row>
    <row r="3574" spans="1:12" hidden="1" x14ac:dyDescent="0.25">
      <c r="A3574" s="6"/>
      <c r="B3574" s="6"/>
      <c r="C3574" s="11"/>
      <c r="D3574" s="13"/>
      <c r="E3574" s="13"/>
      <c r="F3574" s="13"/>
      <c r="G3574" s="13"/>
      <c r="H3574" s="13"/>
      <c r="I3574" s="10"/>
      <c r="J3574" s="11"/>
      <c r="K3574" s="6"/>
      <c r="L3574" s="13"/>
    </row>
    <row r="3575" spans="1:12" hidden="1" x14ac:dyDescent="0.25">
      <c r="A3575" s="6"/>
      <c r="B3575" s="6"/>
      <c r="C3575" s="11"/>
      <c r="D3575" s="13"/>
      <c r="E3575" s="13"/>
      <c r="F3575" s="13"/>
      <c r="G3575" s="13"/>
      <c r="H3575" s="13"/>
      <c r="I3575" s="10"/>
      <c r="J3575" s="11"/>
      <c r="K3575" s="6"/>
      <c r="L3575" s="13"/>
    </row>
    <row r="3576" spans="1:12" hidden="1" x14ac:dyDescent="0.25">
      <c r="A3576" s="6"/>
      <c r="B3576" s="6"/>
      <c r="C3576" s="11"/>
      <c r="D3576" s="13"/>
      <c r="E3576" s="13"/>
      <c r="F3576" s="13"/>
      <c r="G3576" s="13"/>
      <c r="H3576" s="13"/>
      <c r="I3576" s="10"/>
      <c r="J3576" s="11"/>
      <c r="K3576" s="6"/>
      <c r="L3576" s="13"/>
    </row>
    <row r="3577" spans="1:12" hidden="1" x14ac:dyDescent="0.25">
      <c r="A3577" s="6"/>
      <c r="B3577" s="6"/>
      <c r="C3577" s="11"/>
      <c r="D3577" s="13"/>
      <c r="E3577" s="13"/>
      <c r="F3577" s="13"/>
      <c r="G3577" s="13"/>
      <c r="H3577" s="13"/>
      <c r="I3577" s="10"/>
      <c r="J3577" s="11"/>
      <c r="K3577" s="6"/>
      <c r="L3577" s="13"/>
    </row>
    <row r="3578" spans="1:12" hidden="1" x14ac:dyDescent="0.25">
      <c r="A3578" s="6"/>
      <c r="B3578" s="6"/>
      <c r="C3578" s="11"/>
      <c r="D3578" s="13"/>
      <c r="E3578" s="13"/>
      <c r="F3578" s="13"/>
      <c r="G3578" s="13"/>
      <c r="H3578" s="13"/>
      <c r="I3578" s="10"/>
      <c r="J3578" s="11"/>
      <c r="K3578" s="6"/>
      <c r="L3578" s="13"/>
    </row>
    <row r="3579" spans="1:12" hidden="1" x14ac:dyDescent="0.25">
      <c r="A3579" s="6"/>
      <c r="B3579" s="6"/>
      <c r="C3579" s="11"/>
      <c r="D3579" s="13"/>
      <c r="E3579" s="13"/>
      <c r="F3579" s="13"/>
      <c r="G3579" s="13"/>
      <c r="H3579" s="13"/>
      <c r="I3579" s="10"/>
      <c r="J3579" s="11"/>
      <c r="K3579" s="6"/>
      <c r="L3579" s="13"/>
    </row>
    <row r="3580" spans="1:12" hidden="1" x14ac:dyDescent="0.25">
      <c r="A3580" s="6"/>
      <c r="B3580" s="6"/>
      <c r="C3580" s="11"/>
      <c r="D3580" s="13"/>
      <c r="E3580" s="13"/>
      <c r="F3580" s="13"/>
      <c r="G3580" s="13"/>
      <c r="H3580" s="13"/>
      <c r="I3580" s="10"/>
      <c r="J3580" s="11"/>
      <c r="K3580" s="6"/>
      <c r="L3580" s="13"/>
    </row>
    <row r="3581" spans="1:12" hidden="1" x14ac:dyDescent="0.25">
      <c r="A3581" s="6"/>
      <c r="B3581" s="6"/>
      <c r="C3581" s="11"/>
      <c r="D3581" s="13"/>
      <c r="E3581" s="13"/>
      <c r="F3581" s="13"/>
      <c r="G3581" s="13"/>
      <c r="H3581" s="13"/>
      <c r="I3581" s="10"/>
      <c r="J3581" s="11"/>
      <c r="K3581" s="6"/>
      <c r="L3581" s="13"/>
    </row>
    <row r="3582" spans="1:12" hidden="1" x14ac:dyDescent="0.25">
      <c r="A3582" s="6"/>
      <c r="B3582" s="6"/>
      <c r="C3582" s="11"/>
      <c r="D3582" s="13"/>
      <c r="E3582" s="13"/>
      <c r="F3582" s="13"/>
      <c r="G3582" s="13"/>
      <c r="H3582" s="13"/>
      <c r="I3582" s="10"/>
      <c r="J3582" s="11"/>
      <c r="K3582" s="6"/>
      <c r="L3582" s="13"/>
    </row>
    <row r="3583" spans="1:12" hidden="1" x14ac:dyDescent="0.25">
      <c r="A3583" s="6"/>
      <c r="B3583" s="6"/>
      <c r="C3583" s="11"/>
      <c r="D3583" s="13"/>
      <c r="E3583" s="13"/>
      <c r="F3583" s="13"/>
      <c r="G3583" s="13"/>
      <c r="H3583" s="13"/>
      <c r="I3583" s="10"/>
      <c r="J3583" s="11"/>
      <c r="K3583" s="6"/>
      <c r="L3583" s="13"/>
    </row>
    <row r="3584" spans="1:12" hidden="1" x14ac:dyDescent="0.25">
      <c r="A3584" s="6"/>
      <c r="B3584" s="6"/>
      <c r="C3584" s="11"/>
      <c r="D3584" s="13"/>
      <c r="E3584" s="13"/>
      <c r="F3584" s="13"/>
      <c r="G3584" s="13"/>
      <c r="H3584" s="13"/>
      <c r="I3584" s="10"/>
      <c r="J3584" s="11"/>
      <c r="K3584" s="6"/>
      <c r="L3584" s="13"/>
    </row>
    <row r="3585" spans="1:12" hidden="1" x14ac:dyDescent="0.25">
      <c r="A3585" s="6"/>
      <c r="B3585" s="6"/>
      <c r="C3585" s="11"/>
      <c r="D3585" s="13"/>
      <c r="E3585" s="13"/>
      <c r="F3585" s="13"/>
      <c r="G3585" s="13"/>
      <c r="H3585" s="13"/>
      <c r="I3585" s="10"/>
      <c r="J3585" s="11"/>
      <c r="K3585" s="6"/>
      <c r="L3585" s="13"/>
    </row>
    <row r="3586" spans="1:12" hidden="1" x14ac:dyDescent="0.25">
      <c r="A3586" s="6"/>
      <c r="B3586" s="6"/>
      <c r="C3586" s="11"/>
      <c r="D3586" s="13"/>
      <c r="E3586" s="13"/>
      <c r="F3586" s="13"/>
      <c r="G3586" s="13"/>
      <c r="H3586" s="13"/>
      <c r="I3586" s="10"/>
      <c r="J3586" s="11"/>
      <c r="K3586" s="6"/>
      <c r="L3586" s="13"/>
    </row>
    <row r="3587" spans="1:12" hidden="1" x14ac:dyDescent="0.25">
      <c r="A3587" s="6"/>
      <c r="B3587" s="6"/>
      <c r="C3587" s="11"/>
      <c r="D3587" s="13"/>
      <c r="E3587" s="13"/>
      <c r="F3587" s="13"/>
      <c r="G3587" s="13"/>
      <c r="H3587" s="13"/>
      <c r="I3587" s="10"/>
      <c r="J3587" s="11"/>
      <c r="K3587" s="6"/>
      <c r="L3587" s="13"/>
    </row>
    <row r="3588" spans="1:12" hidden="1" x14ac:dyDescent="0.25">
      <c r="A3588" s="6"/>
      <c r="B3588" s="6"/>
      <c r="C3588" s="11"/>
      <c r="D3588" s="13"/>
      <c r="E3588" s="13"/>
      <c r="F3588" s="13"/>
      <c r="G3588" s="13"/>
      <c r="H3588" s="13"/>
      <c r="I3588" s="10"/>
      <c r="J3588" s="11"/>
      <c r="K3588" s="6"/>
      <c r="L3588" s="13"/>
    </row>
    <row r="3589" spans="1:12" hidden="1" x14ac:dyDescent="0.25">
      <c r="A3589" s="6"/>
      <c r="B3589" s="6"/>
      <c r="C3589" s="11"/>
      <c r="D3589" s="13"/>
      <c r="E3589" s="13"/>
      <c r="F3589" s="13"/>
      <c r="G3589" s="13"/>
      <c r="H3589" s="13"/>
      <c r="I3589" s="10"/>
      <c r="J3589" s="11"/>
      <c r="K3589" s="6"/>
      <c r="L3589" s="13"/>
    </row>
    <row r="3590" spans="1:12" hidden="1" x14ac:dyDescent="0.25">
      <c r="A3590" s="6"/>
      <c r="B3590" s="6"/>
      <c r="C3590" s="11"/>
      <c r="D3590" s="13"/>
      <c r="E3590" s="13"/>
      <c r="F3590" s="13"/>
      <c r="G3590" s="13"/>
      <c r="H3590" s="13"/>
      <c r="I3590" s="10"/>
      <c r="J3590" s="11"/>
      <c r="K3590" s="6"/>
      <c r="L3590" s="13"/>
    </row>
    <row r="3591" spans="1:12" hidden="1" x14ac:dyDescent="0.25">
      <c r="A3591" s="6"/>
      <c r="B3591" s="6"/>
      <c r="C3591" s="11"/>
      <c r="D3591" s="13"/>
      <c r="E3591" s="13"/>
      <c r="F3591" s="13"/>
      <c r="G3591" s="13"/>
      <c r="H3591" s="13"/>
      <c r="I3591" s="10"/>
      <c r="J3591" s="11"/>
      <c r="K3591" s="6"/>
      <c r="L3591" s="13"/>
    </row>
    <row r="3592" spans="1:12" hidden="1" x14ac:dyDescent="0.25">
      <c r="A3592" s="6"/>
      <c r="B3592" s="6"/>
      <c r="C3592" s="11"/>
      <c r="D3592" s="13"/>
      <c r="E3592" s="13"/>
      <c r="F3592" s="13"/>
      <c r="G3592" s="13"/>
      <c r="H3592" s="13"/>
      <c r="I3592" s="10"/>
      <c r="J3592" s="11"/>
      <c r="K3592" s="6"/>
      <c r="L3592" s="13"/>
    </row>
    <row r="3593" spans="1:12" hidden="1" x14ac:dyDescent="0.25">
      <c r="A3593" s="6"/>
      <c r="B3593" s="6"/>
      <c r="C3593" s="11"/>
      <c r="D3593" s="13"/>
      <c r="E3593" s="13"/>
      <c r="F3593" s="13"/>
      <c r="G3593" s="13"/>
      <c r="H3593" s="13"/>
      <c r="I3593" s="10"/>
      <c r="J3593" s="11"/>
      <c r="K3593" s="6"/>
      <c r="L3593" s="13"/>
    </row>
    <row r="3594" spans="1:12" hidden="1" x14ac:dyDescent="0.25">
      <c r="A3594" s="6"/>
      <c r="B3594" s="6"/>
      <c r="C3594" s="11"/>
      <c r="D3594" s="13"/>
      <c r="E3594" s="13"/>
      <c r="F3594" s="13"/>
      <c r="G3594" s="13"/>
      <c r="H3594" s="13"/>
      <c r="I3594" s="10"/>
      <c r="J3594" s="11"/>
      <c r="K3594" s="6"/>
      <c r="L3594" s="13"/>
    </row>
    <row r="3595" spans="1:12" hidden="1" x14ac:dyDescent="0.25">
      <c r="A3595" s="6"/>
      <c r="B3595" s="6"/>
      <c r="C3595" s="11"/>
      <c r="D3595" s="13"/>
      <c r="E3595" s="13"/>
      <c r="F3595" s="13"/>
      <c r="G3595" s="13"/>
      <c r="H3595" s="13"/>
      <c r="I3595" s="10"/>
      <c r="J3595" s="11"/>
      <c r="K3595" s="6"/>
      <c r="L3595" s="13"/>
    </row>
    <row r="3596" spans="1:12" hidden="1" x14ac:dyDescent="0.25">
      <c r="A3596" s="6"/>
      <c r="B3596" s="6"/>
      <c r="C3596" s="11"/>
      <c r="D3596" s="13"/>
      <c r="E3596" s="13"/>
      <c r="F3596" s="13"/>
      <c r="G3596" s="13"/>
      <c r="H3596" s="13"/>
      <c r="I3596" s="10"/>
      <c r="J3596" s="11"/>
      <c r="K3596" s="6"/>
      <c r="L3596" s="13"/>
    </row>
    <row r="3597" spans="1:12" hidden="1" x14ac:dyDescent="0.25">
      <c r="A3597" s="6"/>
      <c r="B3597" s="6"/>
      <c r="C3597" s="11"/>
      <c r="D3597" s="13"/>
      <c r="E3597" s="13"/>
      <c r="F3597" s="13"/>
      <c r="G3597" s="13"/>
      <c r="H3597" s="13"/>
      <c r="I3597" s="10"/>
      <c r="J3597" s="11"/>
      <c r="K3597" s="6"/>
      <c r="L3597" s="13"/>
    </row>
    <row r="3598" spans="1:12" hidden="1" x14ac:dyDescent="0.25">
      <c r="A3598" s="6"/>
      <c r="B3598" s="6"/>
      <c r="C3598" s="11"/>
      <c r="D3598" s="13"/>
      <c r="E3598" s="13"/>
      <c r="F3598" s="13"/>
      <c r="G3598" s="13"/>
      <c r="H3598" s="13"/>
      <c r="I3598" s="10"/>
      <c r="J3598" s="11"/>
      <c r="K3598" s="6"/>
      <c r="L3598" s="13"/>
    </row>
    <row r="3599" spans="1:12" hidden="1" x14ac:dyDescent="0.25">
      <c r="A3599" s="6"/>
      <c r="B3599" s="6"/>
      <c r="C3599" s="11"/>
      <c r="D3599" s="13"/>
      <c r="E3599" s="13"/>
      <c r="F3599" s="13"/>
      <c r="G3599" s="13"/>
      <c r="H3599" s="13"/>
      <c r="I3599" s="10"/>
      <c r="J3599" s="11"/>
      <c r="K3599" s="6"/>
      <c r="L3599" s="13"/>
    </row>
    <row r="3600" spans="1:12" hidden="1" x14ac:dyDescent="0.25">
      <c r="A3600" s="6"/>
      <c r="B3600" s="6"/>
      <c r="C3600" s="11"/>
      <c r="D3600" s="13"/>
      <c r="E3600" s="13"/>
      <c r="F3600" s="13"/>
      <c r="G3600" s="13"/>
      <c r="H3600" s="13"/>
      <c r="I3600" s="10"/>
      <c r="J3600" s="11"/>
      <c r="K3600" s="6"/>
      <c r="L3600" s="13"/>
    </row>
    <row r="3601" spans="1:12" hidden="1" x14ac:dyDescent="0.25">
      <c r="A3601" s="6"/>
      <c r="B3601" s="6"/>
      <c r="C3601" s="11"/>
      <c r="D3601" s="13"/>
      <c r="E3601" s="13"/>
      <c r="F3601" s="13"/>
      <c r="G3601" s="13"/>
      <c r="H3601" s="13"/>
      <c r="I3601" s="10"/>
      <c r="J3601" s="11"/>
      <c r="K3601" s="6"/>
      <c r="L3601" s="13"/>
    </row>
    <row r="3602" spans="1:12" hidden="1" x14ac:dyDescent="0.25">
      <c r="A3602" s="6"/>
      <c r="B3602" s="6"/>
      <c r="C3602" s="11"/>
      <c r="D3602" s="13"/>
      <c r="E3602" s="13"/>
      <c r="F3602" s="13"/>
      <c r="G3602" s="13"/>
      <c r="H3602" s="13"/>
      <c r="I3602" s="10"/>
      <c r="J3602" s="11"/>
      <c r="K3602" s="6"/>
      <c r="L3602" s="13"/>
    </row>
    <row r="3603" spans="1:12" hidden="1" x14ac:dyDescent="0.25">
      <c r="A3603" s="6"/>
      <c r="B3603" s="6"/>
      <c r="C3603" s="11"/>
      <c r="D3603" s="13"/>
      <c r="E3603" s="13"/>
      <c r="F3603" s="13"/>
      <c r="G3603" s="13"/>
      <c r="H3603" s="13"/>
      <c r="I3603" s="10"/>
      <c r="J3603" s="11"/>
      <c r="K3603" s="6"/>
      <c r="L3603" s="13"/>
    </row>
    <row r="3604" spans="1:12" hidden="1" x14ac:dyDescent="0.25">
      <c r="A3604" s="6"/>
      <c r="B3604" s="6"/>
      <c r="C3604" s="11"/>
      <c r="D3604" s="13"/>
      <c r="E3604" s="13"/>
      <c r="F3604" s="13"/>
      <c r="G3604" s="13"/>
      <c r="H3604" s="13"/>
      <c r="I3604" s="10"/>
      <c r="J3604" s="11"/>
      <c r="K3604" s="6"/>
      <c r="L3604" s="13"/>
    </row>
    <row r="3605" spans="1:12" hidden="1" x14ac:dyDescent="0.25">
      <c r="A3605" s="6"/>
      <c r="B3605" s="6"/>
      <c r="C3605" s="11"/>
      <c r="D3605" s="13"/>
      <c r="E3605" s="13"/>
      <c r="F3605" s="13"/>
      <c r="G3605" s="13"/>
      <c r="H3605" s="13"/>
      <c r="I3605" s="10"/>
      <c r="J3605" s="11"/>
      <c r="K3605" s="6"/>
      <c r="L3605" s="13"/>
    </row>
    <row r="3606" spans="1:12" hidden="1" x14ac:dyDescent="0.25">
      <c r="A3606" s="6"/>
      <c r="B3606" s="6"/>
      <c r="C3606" s="11"/>
      <c r="D3606" s="13"/>
      <c r="E3606" s="13"/>
      <c r="F3606" s="13"/>
      <c r="G3606" s="13"/>
      <c r="H3606" s="13"/>
      <c r="I3606" s="10"/>
      <c r="J3606" s="11"/>
      <c r="K3606" s="6"/>
      <c r="L3606" s="13"/>
    </row>
    <row r="3607" spans="1:12" hidden="1" x14ac:dyDescent="0.25">
      <c r="A3607" s="6"/>
      <c r="B3607" s="6"/>
      <c r="C3607" s="11"/>
      <c r="D3607" s="13"/>
      <c r="E3607" s="13"/>
      <c r="F3607" s="13"/>
      <c r="G3607" s="13"/>
      <c r="H3607" s="13"/>
      <c r="I3607" s="10"/>
      <c r="J3607" s="11"/>
      <c r="K3607" s="6"/>
      <c r="L3607" s="13"/>
    </row>
    <row r="3608" spans="1:12" hidden="1" x14ac:dyDescent="0.25">
      <c r="A3608" s="6"/>
      <c r="B3608" s="6"/>
      <c r="C3608" s="11"/>
      <c r="D3608" s="13"/>
      <c r="E3608" s="13"/>
      <c r="F3608" s="13"/>
      <c r="G3608" s="13"/>
      <c r="H3608" s="13"/>
      <c r="I3608" s="10"/>
      <c r="J3608" s="11"/>
      <c r="K3608" s="6"/>
      <c r="L3608" s="13"/>
    </row>
    <row r="3609" spans="1:12" hidden="1" x14ac:dyDescent="0.25">
      <c r="A3609" s="6"/>
      <c r="B3609" s="6"/>
      <c r="C3609" s="11"/>
      <c r="D3609" s="13"/>
      <c r="E3609" s="13"/>
      <c r="F3609" s="13"/>
      <c r="G3609" s="13"/>
      <c r="H3609" s="13"/>
      <c r="I3609" s="10"/>
      <c r="J3609" s="11"/>
      <c r="K3609" s="6"/>
      <c r="L3609" s="13"/>
    </row>
    <row r="3610" spans="1:12" hidden="1" x14ac:dyDescent="0.25">
      <c r="A3610" s="6"/>
      <c r="B3610" s="6"/>
      <c r="C3610" s="11"/>
      <c r="D3610" s="13"/>
      <c r="E3610" s="13"/>
      <c r="F3610" s="13"/>
      <c r="G3610" s="13"/>
      <c r="H3610" s="13"/>
      <c r="I3610" s="10"/>
      <c r="J3610" s="11"/>
      <c r="K3610" s="6"/>
      <c r="L3610" s="13"/>
    </row>
    <row r="3611" spans="1:12" hidden="1" x14ac:dyDescent="0.25">
      <c r="A3611" s="6"/>
      <c r="B3611" s="6"/>
      <c r="C3611" s="11"/>
      <c r="D3611" s="13"/>
      <c r="E3611" s="13"/>
      <c r="F3611" s="13"/>
      <c r="G3611" s="13"/>
      <c r="H3611" s="13"/>
      <c r="I3611" s="10"/>
      <c r="J3611" s="11"/>
      <c r="K3611" s="6"/>
      <c r="L3611" s="13"/>
    </row>
    <row r="3612" spans="1:12" hidden="1" x14ac:dyDescent="0.25">
      <c r="A3612" s="6"/>
      <c r="B3612" s="6"/>
      <c r="C3612" s="11"/>
      <c r="D3612" s="13"/>
      <c r="E3612" s="13"/>
      <c r="F3612" s="13"/>
      <c r="G3612" s="13"/>
      <c r="H3612" s="13"/>
      <c r="I3612" s="10"/>
      <c r="J3612" s="11"/>
      <c r="K3612" s="6"/>
      <c r="L3612" s="13"/>
    </row>
    <row r="3613" spans="1:12" hidden="1" x14ac:dyDescent="0.25">
      <c r="A3613" s="6"/>
      <c r="B3613" s="6"/>
      <c r="C3613" s="11"/>
      <c r="D3613" s="13"/>
      <c r="E3613" s="13"/>
      <c r="F3613" s="13"/>
      <c r="G3613" s="13"/>
      <c r="H3613" s="13"/>
      <c r="I3613" s="10"/>
      <c r="J3613" s="11"/>
      <c r="K3613" s="6"/>
      <c r="L3613" s="13"/>
    </row>
    <row r="3614" spans="1:12" hidden="1" x14ac:dyDescent="0.25">
      <c r="A3614" s="6"/>
      <c r="B3614" s="6"/>
      <c r="C3614" s="11"/>
      <c r="D3614" s="13"/>
      <c r="E3614" s="13"/>
      <c r="F3614" s="13"/>
      <c r="G3614" s="13"/>
      <c r="H3614" s="13"/>
      <c r="I3614" s="10"/>
      <c r="J3614" s="11"/>
      <c r="K3614" s="6"/>
      <c r="L3614" s="13"/>
    </row>
    <row r="3615" spans="1:12" hidden="1" x14ac:dyDescent="0.25">
      <c r="A3615" s="6"/>
      <c r="B3615" s="6"/>
      <c r="C3615" s="11"/>
      <c r="D3615" s="13"/>
      <c r="E3615" s="13"/>
      <c r="F3615" s="13"/>
      <c r="G3615" s="13"/>
      <c r="H3615" s="13"/>
      <c r="I3615" s="10"/>
      <c r="J3615" s="11"/>
      <c r="K3615" s="6"/>
      <c r="L3615" s="13"/>
    </row>
    <row r="3616" spans="1:12" hidden="1" x14ac:dyDescent="0.25">
      <c r="A3616" s="6"/>
      <c r="B3616" s="6"/>
      <c r="C3616" s="11"/>
      <c r="D3616" s="13"/>
      <c r="E3616" s="13"/>
      <c r="F3616" s="13"/>
      <c r="G3616" s="13"/>
      <c r="H3616" s="13"/>
      <c r="I3616" s="10"/>
      <c r="J3616" s="11"/>
      <c r="K3616" s="6"/>
      <c r="L3616" s="13"/>
    </row>
    <row r="3617" spans="1:12" hidden="1" x14ac:dyDescent="0.25">
      <c r="A3617" s="6"/>
      <c r="B3617" s="6"/>
      <c r="C3617" s="11"/>
      <c r="D3617" s="13"/>
      <c r="E3617" s="13"/>
      <c r="F3617" s="13"/>
      <c r="G3617" s="13"/>
      <c r="H3617" s="13"/>
      <c r="I3617" s="10"/>
      <c r="J3617" s="11"/>
      <c r="K3617" s="6"/>
      <c r="L3617" s="13"/>
    </row>
    <row r="3618" spans="1:12" hidden="1" x14ac:dyDescent="0.25">
      <c r="A3618" s="6"/>
      <c r="B3618" s="6"/>
      <c r="C3618" s="11"/>
      <c r="D3618" s="13"/>
      <c r="E3618" s="13"/>
      <c r="F3618" s="13"/>
      <c r="G3618" s="13"/>
      <c r="H3618" s="13"/>
      <c r="I3618" s="10"/>
      <c r="J3618" s="11"/>
      <c r="K3618" s="6"/>
      <c r="L3618" s="13"/>
    </row>
    <row r="3619" spans="1:12" hidden="1" x14ac:dyDescent="0.25">
      <c r="A3619" s="6"/>
      <c r="B3619" s="6"/>
      <c r="C3619" s="11"/>
      <c r="D3619" s="13"/>
      <c r="E3619" s="13"/>
      <c r="F3619" s="13"/>
      <c r="G3619" s="13"/>
      <c r="H3619" s="13"/>
      <c r="I3619" s="10"/>
      <c r="J3619" s="11"/>
      <c r="K3619" s="6"/>
      <c r="L3619" s="13"/>
    </row>
    <row r="3620" spans="1:12" hidden="1" x14ac:dyDescent="0.25">
      <c r="A3620" s="6"/>
      <c r="B3620" s="6"/>
      <c r="C3620" s="11"/>
      <c r="D3620" s="13"/>
      <c r="E3620" s="13"/>
      <c r="F3620" s="13"/>
      <c r="G3620" s="13"/>
      <c r="H3620" s="13"/>
      <c r="I3620" s="10"/>
      <c r="J3620" s="11"/>
      <c r="K3620" s="6"/>
      <c r="L3620" s="13"/>
    </row>
    <row r="3621" spans="1:12" hidden="1" x14ac:dyDescent="0.25">
      <c r="A3621" s="6"/>
      <c r="B3621" s="6"/>
      <c r="C3621" s="11"/>
      <c r="D3621" s="13"/>
      <c r="E3621" s="13"/>
      <c r="F3621" s="13"/>
      <c r="G3621" s="13"/>
      <c r="H3621" s="13"/>
      <c r="I3621" s="10"/>
      <c r="J3621" s="11"/>
      <c r="K3621" s="6"/>
      <c r="L3621" s="13"/>
    </row>
    <row r="3622" spans="1:12" hidden="1" x14ac:dyDescent="0.25">
      <c r="A3622" s="6"/>
      <c r="B3622" s="6"/>
      <c r="C3622" s="11"/>
      <c r="D3622" s="13"/>
      <c r="E3622" s="13"/>
      <c r="F3622" s="13"/>
      <c r="G3622" s="13"/>
      <c r="H3622" s="13"/>
      <c r="I3622" s="10"/>
      <c r="J3622" s="11"/>
      <c r="K3622" s="6"/>
      <c r="L3622" s="13"/>
    </row>
    <row r="3623" spans="1:12" hidden="1" x14ac:dyDescent="0.25">
      <c r="A3623" s="6"/>
      <c r="B3623" s="6"/>
      <c r="C3623" s="11"/>
      <c r="D3623" s="13"/>
      <c r="E3623" s="13"/>
      <c r="F3623" s="13"/>
      <c r="G3623" s="13"/>
      <c r="H3623" s="13"/>
      <c r="I3623" s="10"/>
      <c r="J3623" s="11"/>
      <c r="K3623" s="6"/>
      <c r="L3623" s="13"/>
    </row>
    <row r="3624" spans="1:12" hidden="1" x14ac:dyDescent="0.25">
      <c r="A3624" s="6"/>
      <c r="B3624" s="6"/>
      <c r="C3624" s="11"/>
      <c r="D3624" s="13"/>
      <c r="E3624" s="13"/>
      <c r="F3624" s="13"/>
      <c r="G3624" s="13"/>
      <c r="H3624" s="13"/>
      <c r="I3624" s="10"/>
      <c r="J3624" s="11"/>
      <c r="K3624" s="6"/>
      <c r="L3624" s="13"/>
    </row>
    <row r="3625" spans="1:12" hidden="1" x14ac:dyDescent="0.25">
      <c r="A3625" s="6"/>
      <c r="B3625" s="6"/>
      <c r="C3625" s="11"/>
      <c r="D3625" s="13"/>
      <c r="E3625" s="13"/>
      <c r="F3625" s="13"/>
      <c r="G3625" s="13"/>
      <c r="H3625" s="13"/>
      <c r="I3625" s="10"/>
      <c r="J3625" s="11"/>
      <c r="K3625" s="6"/>
      <c r="L3625" s="13"/>
    </row>
    <row r="3626" spans="1:12" hidden="1" x14ac:dyDescent="0.25">
      <c r="A3626" s="6"/>
      <c r="B3626" s="6"/>
      <c r="C3626" s="11"/>
      <c r="D3626" s="13"/>
      <c r="E3626" s="13"/>
      <c r="F3626" s="13"/>
      <c r="G3626" s="13"/>
      <c r="H3626" s="13"/>
      <c r="I3626" s="10"/>
      <c r="J3626" s="11"/>
      <c r="K3626" s="6"/>
      <c r="L3626" s="13"/>
    </row>
    <row r="3627" spans="1:12" hidden="1" x14ac:dyDescent="0.25">
      <c r="A3627" s="6"/>
      <c r="B3627" s="6"/>
      <c r="C3627" s="11"/>
      <c r="D3627" s="13"/>
      <c r="E3627" s="13"/>
      <c r="F3627" s="13"/>
      <c r="G3627" s="13"/>
      <c r="H3627" s="13"/>
      <c r="I3627" s="10"/>
      <c r="J3627" s="11"/>
      <c r="K3627" s="6"/>
      <c r="L3627" s="13"/>
    </row>
    <row r="3628" spans="1:12" hidden="1" x14ac:dyDescent="0.25">
      <c r="A3628" s="6"/>
      <c r="B3628" s="6"/>
      <c r="C3628" s="11"/>
      <c r="D3628" s="13"/>
      <c r="E3628" s="13"/>
      <c r="F3628" s="13"/>
      <c r="G3628" s="13"/>
      <c r="H3628" s="13"/>
      <c r="I3628" s="10"/>
      <c r="J3628" s="11"/>
      <c r="K3628" s="6"/>
      <c r="L3628" s="13"/>
    </row>
    <row r="3629" spans="1:12" hidden="1" x14ac:dyDescent="0.25">
      <c r="A3629" s="6"/>
      <c r="B3629" s="6"/>
      <c r="C3629" s="11"/>
      <c r="D3629" s="13"/>
      <c r="E3629" s="13"/>
      <c r="F3629" s="13"/>
      <c r="G3629" s="13"/>
      <c r="H3629" s="13"/>
      <c r="I3629" s="10"/>
      <c r="J3629" s="11"/>
      <c r="K3629" s="6"/>
      <c r="L3629" s="13"/>
    </row>
    <row r="3630" spans="1:12" hidden="1" x14ac:dyDescent="0.25">
      <c r="A3630" s="6"/>
      <c r="B3630" s="6"/>
      <c r="C3630" s="11"/>
      <c r="D3630" s="13"/>
      <c r="E3630" s="13"/>
      <c r="F3630" s="13"/>
      <c r="G3630" s="13"/>
      <c r="H3630" s="13"/>
      <c r="I3630" s="10"/>
      <c r="J3630" s="11"/>
      <c r="K3630" s="6"/>
      <c r="L3630" s="13"/>
    </row>
    <row r="3631" spans="1:12" hidden="1" x14ac:dyDescent="0.25">
      <c r="A3631" s="6"/>
      <c r="B3631" s="6"/>
      <c r="C3631" s="11"/>
      <c r="D3631" s="13"/>
      <c r="E3631" s="13"/>
      <c r="F3631" s="13"/>
      <c r="G3631" s="13"/>
      <c r="H3631" s="13"/>
      <c r="I3631" s="10"/>
      <c r="J3631" s="11"/>
      <c r="K3631" s="6"/>
      <c r="L3631" s="13"/>
    </row>
    <row r="3632" spans="1:12" hidden="1" x14ac:dyDescent="0.25">
      <c r="A3632" s="6"/>
      <c r="B3632" s="6"/>
      <c r="C3632" s="11"/>
      <c r="D3632" s="13"/>
      <c r="E3632" s="13"/>
      <c r="F3632" s="13"/>
      <c r="G3632" s="13"/>
      <c r="H3632" s="13"/>
      <c r="I3632" s="10"/>
      <c r="J3632" s="11"/>
      <c r="K3632" s="6"/>
      <c r="L3632" s="13"/>
    </row>
    <row r="3633" spans="1:12" hidden="1" x14ac:dyDescent="0.25">
      <c r="A3633" s="6"/>
      <c r="B3633" s="6"/>
      <c r="C3633" s="11"/>
      <c r="D3633" s="13"/>
      <c r="E3633" s="13"/>
      <c r="F3633" s="13"/>
      <c r="G3633" s="13"/>
      <c r="H3633" s="13"/>
      <c r="I3633" s="10"/>
      <c r="J3633" s="11"/>
      <c r="K3633" s="6"/>
      <c r="L3633" s="13"/>
    </row>
    <row r="3634" spans="1:12" hidden="1" x14ac:dyDescent="0.25">
      <c r="A3634" s="6"/>
      <c r="B3634" s="6"/>
      <c r="C3634" s="11"/>
      <c r="D3634" s="13"/>
      <c r="E3634" s="13"/>
      <c r="F3634" s="13"/>
      <c r="G3634" s="13"/>
      <c r="H3634" s="13"/>
      <c r="I3634" s="10"/>
      <c r="J3634" s="11"/>
      <c r="K3634" s="6"/>
      <c r="L3634" s="13"/>
    </row>
    <row r="3635" spans="1:12" hidden="1" x14ac:dyDescent="0.25">
      <c r="A3635" s="6"/>
      <c r="B3635" s="6"/>
      <c r="C3635" s="11"/>
      <c r="D3635" s="13"/>
      <c r="E3635" s="13"/>
      <c r="F3635" s="13"/>
      <c r="G3635" s="13"/>
      <c r="H3635" s="13"/>
      <c r="I3635" s="10"/>
      <c r="J3635" s="11"/>
      <c r="K3635" s="6"/>
      <c r="L3635" s="13"/>
    </row>
    <row r="3636" spans="1:12" hidden="1" x14ac:dyDescent="0.25">
      <c r="A3636" s="6"/>
      <c r="B3636" s="6"/>
      <c r="C3636" s="11"/>
      <c r="D3636" s="13"/>
      <c r="E3636" s="13"/>
      <c r="F3636" s="13"/>
      <c r="G3636" s="13"/>
      <c r="H3636" s="13"/>
      <c r="I3636" s="10"/>
      <c r="J3636" s="11"/>
      <c r="K3636" s="6"/>
      <c r="L3636" s="13"/>
    </row>
    <row r="3637" spans="1:12" hidden="1" x14ac:dyDescent="0.25">
      <c r="A3637" s="6"/>
      <c r="B3637" s="6"/>
      <c r="C3637" s="11"/>
      <c r="D3637" s="13"/>
      <c r="E3637" s="13"/>
      <c r="F3637" s="13"/>
      <c r="G3637" s="13"/>
      <c r="H3637" s="13"/>
      <c r="I3637" s="10"/>
      <c r="J3637" s="11"/>
      <c r="K3637" s="6"/>
      <c r="L3637" s="13"/>
    </row>
    <row r="3638" spans="1:12" hidden="1" x14ac:dyDescent="0.25">
      <c r="A3638" s="6"/>
      <c r="B3638" s="6"/>
      <c r="C3638" s="11"/>
      <c r="D3638" s="13"/>
      <c r="E3638" s="13"/>
      <c r="F3638" s="13"/>
      <c r="G3638" s="13"/>
      <c r="H3638" s="13"/>
      <c r="I3638" s="10"/>
      <c r="J3638" s="11"/>
      <c r="K3638" s="6"/>
      <c r="L3638" s="13"/>
    </row>
    <row r="3639" spans="1:12" hidden="1" x14ac:dyDescent="0.25">
      <c r="A3639" s="6"/>
      <c r="B3639" s="6"/>
      <c r="C3639" s="11"/>
      <c r="D3639" s="13"/>
      <c r="E3639" s="13"/>
      <c r="F3639" s="13"/>
      <c r="G3639" s="13"/>
      <c r="H3639" s="13"/>
      <c r="I3639" s="10"/>
      <c r="J3639" s="11"/>
      <c r="K3639" s="6"/>
      <c r="L3639" s="13"/>
    </row>
    <row r="3640" spans="1:12" hidden="1" x14ac:dyDescent="0.25">
      <c r="A3640" s="6"/>
      <c r="B3640" s="6"/>
      <c r="C3640" s="11"/>
      <c r="D3640" s="13"/>
      <c r="E3640" s="13"/>
      <c r="F3640" s="13"/>
      <c r="G3640" s="13"/>
      <c r="H3640" s="13"/>
      <c r="I3640" s="10"/>
      <c r="J3640" s="11"/>
      <c r="K3640" s="6"/>
      <c r="L3640" s="13"/>
    </row>
    <row r="3641" spans="1:12" hidden="1" x14ac:dyDescent="0.25">
      <c r="A3641" s="6"/>
      <c r="B3641" s="6"/>
      <c r="C3641" s="11"/>
      <c r="D3641" s="13"/>
      <c r="E3641" s="13"/>
      <c r="F3641" s="13"/>
      <c r="G3641" s="13"/>
      <c r="H3641" s="13"/>
      <c r="I3641" s="10"/>
      <c r="J3641" s="11"/>
      <c r="K3641" s="6"/>
      <c r="L3641" s="13"/>
    </row>
    <row r="3642" spans="1:12" hidden="1" x14ac:dyDescent="0.25">
      <c r="A3642" s="6"/>
      <c r="B3642" s="6"/>
      <c r="C3642" s="11"/>
      <c r="D3642" s="13"/>
      <c r="E3642" s="13"/>
      <c r="F3642" s="13"/>
      <c r="G3642" s="13"/>
      <c r="H3642" s="13"/>
      <c r="I3642" s="10"/>
      <c r="J3642" s="11"/>
      <c r="K3642" s="6"/>
      <c r="L3642" s="13"/>
    </row>
    <row r="3643" spans="1:12" hidden="1" x14ac:dyDescent="0.25">
      <c r="A3643" s="6"/>
      <c r="B3643" s="6"/>
      <c r="C3643" s="11"/>
      <c r="D3643" s="13"/>
      <c r="E3643" s="13"/>
      <c r="F3643" s="13"/>
      <c r="G3643" s="13"/>
      <c r="H3643" s="13"/>
      <c r="I3643" s="10"/>
      <c r="J3643" s="11"/>
      <c r="K3643" s="6"/>
      <c r="L3643" s="13"/>
    </row>
    <row r="3644" spans="1:12" hidden="1" x14ac:dyDescent="0.25">
      <c r="A3644" s="6"/>
      <c r="B3644" s="6"/>
      <c r="C3644" s="11"/>
      <c r="D3644" s="13"/>
      <c r="E3644" s="13"/>
      <c r="F3644" s="13"/>
      <c r="G3644" s="13"/>
      <c r="H3644" s="13"/>
      <c r="I3644" s="10"/>
      <c r="J3644" s="11"/>
      <c r="K3644" s="6"/>
      <c r="L3644" s="13"/>
    </row>
    <row r="3645" spans="1:12" hidden="1" x14ac:dyDescent="0.25">
      <c r="A3645" s="6"/>
      <c r="B3645" s="6"/>
      <c r="C3645" s="11"/>
      <c r="D3645" s="13"/>
      <c r="E3645" s="13"/>
      <c r="F3645" s="13"/>
      <c r="G3645" s="13"/>
      <c r="H3645" s="13"/>
      <c r="I3645" s="10"/>
      <c r="J3645" s="11"/>
      <c r="K3645" s="6"/>
      <c r="L3645" s="13"/>
    </row>
    <row r="3646" spans="1:12" hidden="1" x14ac:dyDescent="0.25">
      <c r="A3646" s="6"/>
      <c r="B3646" s="6"/>
      <c r="C3646" s="11"/>
      <c r="D3646" s="13"/>
      <c r="E3646" s="13"/>
      <c r="F3646" s="13"/>
      <c r="G3646" s="13"/>
      <c r="H3646" s="13"/>
      <c r="I3646" s="10"/>
      <c r="J3646" s="11"/>
      <c r="K3646" s="6"/>
      <c r="L3646" s="13"/>
    </row>
    <row r="3647" spans="1:12" hidden="1" x14ac:dyDescent="0.25">
      <c r="A3647" s="6"/>
      <c r="B3647" s="6"/>
      <c r="C3647" s="11"/>
      <c r="D3647" s="13"/>
      <c r="E3647" s="13"/>
      <c r="F3647" s="13"/>
      <c r="G3647" s="13"/>
      <c r="H3647" s="13"/>
      <c r="I3647" s="10"/>
      <c r="J3647" s="11"/>
      <c r="K3647" s="6"/>
      <c r="L3647" s="13"/>
    </row>
    <row r="3648" spans="1:12" hidden="1" x14ac:dyDescent="0.25">
      <c r="A3648" s="6"/>
      <c r="B3648" s="6"/>
      <c r="C3648" s="11"/>
      <c r="D3648" s="13"/>
      <c r="E3648" s="13"/>
      <c r="F3648" s="13"/>
      <c r="G3648" s="13"/>
      <c r="H3648" s="13"/>
      <c r="I3648" s="10"/>
      <c r="J3648" s="11"/>
      <c r="K3648" s="6"/>
      <c r="L3648" s="13"/>
    </row>
    <row r="3649" spans="1:12" hidden="1" x14ac:dyDescent="0.25">
      <c r="A3649" s="6"/>
      <c r="B3649" s="6"/>
      <c r="C3649" s="11"/>
      <c r="D3649" s="13"/>
      <c r="E3649" s="13"/>
      <c r="F3649" s="13"/>
      <c r="G3649" s="13"/>
      <c r="H3649" s="13"/>
      <c r="I3649" s="10"/>
      <c r="J3649" s="11"/>
      <c r="K3649" s="6"/>
      <c r="L3649" s="13"/>
    </row>
    <row r="3650" spans="1:12" hidden="1" x14ac:dyDescent="0.25">
      <c r="A3650" s="6"/>
      <c r="B3650" s="6"/>
      <c r="C3650" s="11"/>
      <c r="D3650" s="13"/>
      <c r="E3650" s="13"/>
      <c r="F3650" s="13"/>
      <c r="G3650" s="13"/>
      <c r="H3650" s="13"/>
      <c r="I3650" s="10"/>
      <c r="J3650" s="11"/>
      <c r="K3650" s="6"/>
      <c r="L3650" s="13"/>
    </row>
    <row r="3651" spans="1:12" hidden="1" x14ac:dyDescent="0.25">
      <c r="A3651" s="6"/>
      <c r="B3651" s="6"/>
      <c r="C3651" s="11"/>
      <c r="D3651" s="13"/>
      <c r="E3651" s="13"/>
      <c r="F3651" s="13"/>
      <c r="G3651" s="13"/>
      <c r="H3651" s="13"/>
      <c r="I3651" s="10"/>
      <c r="J3651" s="11"/>
      <c r="K3651" s="6"/>
      <c r="L3651" s="13"/>
    </row>
    <row r="3652" spans="1:12" hidden="1" x14ac:dyDescent="0.25">
      <c r="A3652" s="6"/>
      <c r="B3652" s="6"/>
      <c r="C3652" s="11"/>
      <c r="D3652" s="13"/>
      <c r="E3652" s="13"/>
      <c r="F3652" s="13"/>
      <c r="G3652" s="13"/>
      <c r="H3652" s="13"/>
      <c r="I3652" s="10"/>
      <c r="J3652" s="11"/>
      <c r="K3652" s="6"/>
      <c r="L3652" s="13"/>
    </row>
    <row r="3653" spans="1:12" hidden="1" x14ac:dyDescent="0.25">
      <c r="A3653" s="6"/>
      <c r="B3653" s="6"/>
      <c r="C3653" s="11"/>
      <c r="D3653" s="13"/>
      <c r="E3653" s="13"/>
      <c r="F3653" s="13"/>
      <c r="G3653" s="13"/>
      <c r="H3653" s="13"/>
      <c r="I3653" s="10"/>
      <c r="J3653" s="11"/>
      <c r="K3653" s="6"/>
      <c r="L3653" s="13"/>
    </row>
    <row r="3654" spans="1:12" hidden="1" x14ac:dyDescent="0.25">
      <c r="A3654" s="6"/>
      <c r="B3654" s="6"/>
      <c r="C3654" s="11"/>
      <c r="D3654" s="13"/>
      <c r="E3654" s="13"/>
      <c r="F3654" s="13"/>
      <c r="G3654" s="13"/>
      <c r="H3654" s="13"/>
      <c r="I3654" s="10"/>
      <c r="J3654" s="11"/>
      <c r="K3654" s="6"/>
      <c r="L3654" s="13"/>
    </row>
    <row r="3655" spans="1:12" hidden="1" x14ac:dyDescent="0.25">
      <c r="A3655" s="6"/>
      <c r="B3655" s="6"/>
      <c r="C3655" s="11"/>
      <c r="D3655" s="13"/>
      <c r="E3655" s="13"/>
      <c r="F3655" s="13"/>
      <c r="G3655" s="13"/>
      <c r="H3655" s="13"/>
      <c r="I3655" s="10"/>
      <c r="J3655" s="11"/>
      <c r="K3655" s="6"/>
      <c r="L3655" s="13"/>
    </row>
    <row r="3656" spans="1:12" hidden="1" x14ac:dyDescent="0.25">
      <c r="A3656" s="6"/>
      <c r="B3656" s="6"/>
      <c r="C3656" s="11"/>
      <c r="D3656" s="13"/>
      <c r="E3656" s="13"/>
      <c r="F3656" s="13"/>
      <c r="G3656" s="13"/>
      <c r="H3656" s="13"/>
      <c r="I3656" s="10"/>
      <c r="J3656" s="11"/>
      <c r="K3656" s="6"/>
      <c r="L3656" s="13"/>
    </row>
    <row r="3657" spans="1:12" hidden="1" x14ac:dyDescent="0.25">
      <c r="A3657" s="6"/>
      <c r="B3657" s="6"/>
      <c r="C3657" s="11"/>
      <c r="D3657" s="13"/>
      <c r="E3657" s="13"/>
      <c r="F3657" s="13"/>
      <c r="G3657" s="13"/>
      <c r="H3657" s="13"/>
      <c r="I3657" s="10"/>
      <c r="J3657" s="11"/>
      <c r="K3657" s="6"/>
      <c r="L3657" s="13"/>
    </row>
    <row r="3658" spans="1:12" hidden="1" x14ac:dyDescent="0.25">
      <c r="A3658" s="6"/>
      <c r="B3658" s="6"/>
      <c r="C3658" s="11"/>
      <c r="D3658" s="13"/>
      <c r="E3658" s="13"/>
      <c r="F3658" s="13"/>
      <c r="G3658" s="13"/>
      <c r="H3658" s="13"/>
      <c r="I3658" s="10"/>
      <c r="J3658" s="11"/>
      <c r="K3658" s="6"/>
      <c r="L3658" s="13"/>
    </row>
    <row r="3659" spans="1:12" hidden="1" x14ac:dyDescent="0.25">
      <c r="A3659" s="6"/>
      <c r="B3659" s="6"/>
      <c r="C3659" s="11"/>
      <c r="D3659" s="13"/>
      <c r="E3659" s="13"/>
      <c r="F3659" s="13"/>
      <c r="G3659" s="13"/>
      <c r="H3659" s="13"/>
      <c r="I3659" s="10"/>
      <c r="J3659" s="11"/>
      <c r="K3659" s="6"/>
      <c r="L3659" s="13"/>
    </row>
    <row r="3660" spans="1:12" hidden="1" x14ac:dyDescent="0.25">
      <c r="A3660" s="6"/>
      <c r="B3660" s="6"/>
      <c r="C3660" s="11"/>
      <c r="D3660" s="13"/>
      <c r="E3660" s="13"/>
      <c r="F3660" s="13"/>
      <c r="G3660" s="13"/>
      <c r="H3660" s="13"/>
      <c r="I3660" s="10"/>
      <c r="J3660" s="11"/>
      <c r="K3660" s="6"/>
      <c r="L3660" s="13"/>
    </row>
    <row r="3661" spans="1:12" hidden="1" x14ac:dyDescent="0.25">
      <c r="A3661" s="6"/>
      <c r="B3661" s="6"/>
      <c r="C3661" s="11"/>
      <c r="D3661" s="13"/>
      <c r="E3661" s="13"/>
      <c r="F3661" s="13"/>
      <c r="G3661" s="13"/>
      <c r="H3661" s="13"/>
      <c r="I3661" s="10"/>
      <c r="J3661" s="11"/>
      <c r="K3661" s="6"/>
      <c r="L3661" s="13"/>
    </row>
    <row r="3662" spans="1:12" hidden="1" x14ac:dyDescent="0.25">
      <c r="A3662" s="6"/>
      <c r="B3662" s="6"/>
      <c r="C3662" s="11"/>
      <c r="D3662" s="13"/>
      <c r="E3662" s="13"/>
      <c r="F3662" s="13"/>
      <c r="G3662" s="13"/>
      <c r="H3662" s="13"/>
      <c r="I3662" s="10"/>
      <c r="J3662" s="11"/>
      <c r="K3662" s="6"/>
      <c r="L3662" s="13"/>
    </row>
    <row r="3663" spans="1:12" hidden="1" x14ac:dyDescent="0.25">
      <c r="A3663" s="6"/>
      <c r="B3663" s="6"/>
      <c r="C3663" s="11"/>
      <c r="D3663" s="13"/>
      <c r="E3663" s="13"/>
      <c r="F3663" s="13"/>
      <c r="G3663" s="13"/>
      <c r="H3663" s="13"/>
      <c r="I3663" s="10"/>
      <c r="J3663" s="11"/>
      <c r="K3663" s="6"/>
      <c r="L3663" s="13"/>
    </row>
    <row r="3664" spans="1:12" hidden="1" x14ac:dyDescent="0.25">
      <c r="A3664" s="6"/>
      <c r="B3664" s="6"/>
      <c r="C3664" s="11"/>
      <c r="D3664" s="13"/>
      <c r="E3664" s="13"/>
      <c r="F3664" s="13"/>
      <c r="G3664" s="13"/>
      <c r="H3664" s="13"/>
      <c r="I3664" s="10"/>
      <c r="J3664" s="11"/>
      <c r="K3664" s="6"/>
      <c r="L3664" s="13"/>
    </row>
    <row r="3665" spans="1:12" hidden="1" x14ac:dyDescent="0.25">
      <c r="A3665" s="6"/>
      <c r="B3665" s="6"/>
      <c r="C3665" s="11"/>
      <c r="D3665" s="13"/>
      <c r="E3665" s="13"/>
      <c r="F3665" s="13"/>
      <c r="G3665" s="13"/>
      <c r="H3665" s="13"/>
      <c r="I3665" s="10"/>
      <c r="J3665" s="11"/>
      <c r="K3665" s="6"/>
      <c r="L3665" s="13"/>
    </row>
    <row r="3666" spans="1:12" hidden="1" x14ac:dyDescent="0.25">
      <c r="A3666" s="6"/>
      <c r="B3666" s="6"/>
      <c r="C3666" s="11"/>
      <c r="D3666" s="13"/>
      <c r="E3666" s="13"/>
      <c r="F3666" s="13"/>
      <c r="G3666" s="13"/>
      <c r="H3666" s="13"/>
      <c r="I3666" s="10"/>
      <c r="J3666" s="11"/>
      <c r="K3666" s="6"/>
      <c r="L3666" s="13"/>
    </row>
    <row r="3667" spans="1:12" hidden="1" x14ac:dyDescent="0.25">
      <c r="A3667" s="6"/>
      <c r="B3667" s="6"/>
      <c r="C3667" s="11"/>
      <c r="D3667" s="13"/>
      <c r="E3667" s="13"/>
      <c r="F3667" s="13"/>
      <c r="G3667" s="13"/>
      <c r="H3667" s="13"/>
      <c r="I3667" s="10"/>
      <c r="J3667" s="11"/>
      <c r="K3667" s="6"/>
      <c r="L3667" s="13"/>
    </row>
    <row r="3668" spans="1:12" hidden="1" x14ac:dyDescent="0.25">
      <c r="A3668" s="6"/>
      <c r="B3668" s="6"/>
      <c r="C3668" s="11"/>
      <c r="D3668" s="13"/>
      <c r="E3668" s="13"/>
      <c r="F3668" s="13"/>
      <c r="G3668" s="13"/>
      <c r="H3668" s="13"/>
      <c r="I3668" s="10"/>
      <c r="J3668" s="11"/>
      <c r="K3668" s="6"/>
      <c r="L3668" s="13"/>
    </row>
    <row r="3669" spans="1:12" hidden="1" x14ac:dyDescent="0.25">
      <c r="A3669" s="6"/>
      <c r="B3669" s="6"/>
      <c r="C3669" s="11"/>
      <c r="D3669" s="13"/>
      <c r="E3669" s="13"/>
      <c r="F3669" s="13"/>
      <c r="G3669" s="13"/>
      <c r="H3669" s="13"/>
      <c r="I3669" s="10"/>
      <c r="J3669" s="11"/>
      <c r="K3669" s="6"/>
      <c r="L3669" s="13"/>
    </row>
    <row r="3670" spans="1:12" hidden="1" x14ac:dyDescent="0.25">
      <c r="A3670" s="6"/>
      <c r="B3670" s="6"/>
      <c r="C3670" s="11"/>
      <c r="D3670" s="13"/>
      <c r="E3670" s="13"/>
      <c r="F3670" s="13"/>
      <c r="G3670" s="13"/>
      <c r="H3670" s="13"/>
      <c r="I3670" s="10"/>
      <c r="J3670" s="11"/>
      <c r="K3670" s="6"/>
      <c r="L3670" s="13"/>
    </row>
    <row r="3671" spans="1:12" hidden="1" x14ac:dyDescent="0.25">
      <c r="A3671" s="6"/>
      <c r="B3671" s="6"/>
      <c r="C3671" s="11"/>
      <c r="D3671" s="13"/>
      <c r="E3671" s="13"/>
      <c r="F3671" s="13"/>
      <c r="G3671" s="13"/>
      <c r="H3671" s="13"/>
      <c r="I3671" s="10"/>
      <c r="J3671" s="11"/>
      <c r="K3671" s="6"/>
      <c r="L3671" s="13"/>
    </row>
    <row r="3672" spans="1:12" hidden="1" x14ac:dyDescent="0.25">
      <c r="A3672" s="6"/>
      <c r="B3672" s="6"/>
      <c r="C3672" s="11"/>
      <c r="D3672" s="13"/>
      <c r="E3672" s="13"/>
      <c r="F3672" s="13"/>
      <c r="G3672" s="13"/>
      <c r="H3672" s="13"/>
      <c r="I3672" s="10"/>
      <c r="J3672" s="11"/>
      <c r="K3672" s="6"/>
      <c r="L3672" s="13"/>
    </row>
    <row r="3673" spans="1:12" hidden="1" x14ac:dyDescent="0.25">
      <c r="A3673" s="6"/>
      <c r="B3673" s="6"/>
      <c r="C3673" s="11"/>
      <c r="D3673" s="13"/>
      <c r="E3673" s="13"/>
      <c r="F3673" s="13"/>
      <c r="G3673" s="13"/>
      <c r="H3673" s="13"/>
      <c r="I3673" s="10"/>
      <c r="J3673" s="11"/>
      <c r="K3673" s="6"/>
      <c r="L3673" s="13"/>
    </row>
    <row r="3674" spans="1:12" hidden="1" x14ac:dyDescent="0.25">
      <c r="A3674" s="6"/>
      <c r="B3674" s="6"/>
      <c r="C3674" s="11"/>
      <c r="D3674" s="13"/>
      <c r="E3674" s="13"/>
      <c r="F3674" s="13"/>
      <c r="G3674" s="13"/>
      <c r="H3674" s="13"/>
      <c r="I3674" s="10"/>
      <c r="J3674" s="11"/>
      <c r="K3674" s="6"/>
      <c r="L3674" s="13"/>
    </row>
    <row r="3675" spans="1:12" hidden="1" x14ac:dyDescent="0.25">
      <c r="A3675" s="6"/>
      <c r="B3675" s="6"/>
      <c r="C3675" s="11"/>
      <c r="D3675" s="13"/>
      <c r="E3675" s="13"/>
      <c r="F3675" s="13"/>
      <c r="G3675" s="13"/>
      <c r="H3675" s="13"/>
      <c r="I3675" s="10"/>
      <c r="J3675" s="11"/>
      <c r="K3675" s="6"/>
      <c r="L3675" s="13"/>
    </row>
    <row r="3676" spans="1:12" hidden="1" x14ac:dyDescent="0.25">
      <c r="A3676" s="6"/>
      <c r="B3676" s="6"/>
      <c r="C3676" s="11"/>
      <c r="D3676" s="13"/>
      <c r="E3676" s="13"/>
      <c r="F3676" s="13"/>
      <c r="G3676" s="13"/>
      <c r="H3676" s="13"/>
      <c r="I3676" s="10"/>
      <c r="J3676" s="11"/>
      <c r="K3676" s="6"/>
      <c r="L3676" s="13"/>
    </row>
    <row r="3677" spans="1:12" hidden="1" x14ac:dyDescent="0.25">
      <c r="A3677" s="6"/>
      <c r="B3677" s="6"/>
      <c r="C3677" s="11"/>
      <c r="D3677" s="13"/>
      <c r="E3677" s="13"/>
      <c r="F3677" s="13"/>
      <c r="G3677" s="13"/>
      <c r="H3677" s="13"/>
      <c r="I3677" s="10"/>
      <c r="J3677" s="11"/>
      <c r="K3677" s="6"/>
      <c r="L3677" s="13"/>
    </row>
    <row r="3678" spans="1:12" hidden="1" x14ac:dyDescent="0.25">
      <c r="A3678" s="6"/>
      <c r="B3678" s="6"/>
      <c r="C3678" s="11"/>
      <c r="D3678" s="13"/>
      <c r="E3678" s="13"/>
      <c r="F3678" s="13"/>
      <c r="G3678" s="13"/>
      <c r="H3678" s="13"/>
      <c r="I3678" s="10"/>
      <c r="J3678" s="11"/>
      <c r="K3678" s="6"/>
      <c r="L3678" s="13"/>
    </row>
    <row r="3679" spans="1:12" hidden="1" x14ac:dyDescent="0.25">
      <c r="A3679" s="6"/>
      <c r="B3679" s="6"/>
      <c r="C3679" s="11"/>
      <c r="D3679" s="13"/>
      <c r="E3679" s="13"/>
      <c r="F3679" s="13"/>
      <c r="G3679" s="13"/>
      <c r="H3679" s="13"/>
      <c r="I3679" s="10"/>
      <c r="J3679" s="11"/>
      <c r="K3679" s="6"/>
      <c r="L3679" s="13"/>
    </row>
    <row r="3680" spans="1:12" hidden="1" x14ac:dyDescent="0.25">
      <c r="A3680" s="6"/>
      <c r="B3680" s="6"/>
      <c r="C3680" s="11"/>
      <c r="D3680" s="13"/>
      <c r="E3680" s="13"/>
      <c r="F3680" s="13"/>
      <c r="G3680" s="13"/>
      <c r="H3680" s="13"/>
      <c r="I3680" s="10"/>
      <c r="J3680" s="11"/>
      <c r="K3680" s="6"/>
      <c r="L3680" s="13"/>
    </row>
    <row r="3681" spans="1:12" hidden="1" x14ac:dyDescent="0.25">
      <c r="A3681" s="6"/>
      <c r="B3681" s="6"/>
      <c r="C3681" s="11"/>
      <c r="D3681" s="13"/>
      <c r="E3681" s="13"/>
      <c r="F3681" s="13"/>
      <c r="G3681" s="13"/>
      <c r="H3681" s="13"/>
      <c r="I3681" s="10"/>
      <c r="J3681" s="11"/>
      <c r="K3681" s="6"/>
      <c r="L3681" s="13"/>
    </row>
    <row r="3682" spans="1:12" hidden="1" x14ac:dyDescent="0.25">
      <c r="A3682" s="6"/>
      <c r="B3682" s="6"/>
      <c r="C3682" s="11"/>
      <c r="D3682" s="13"/>
      <c r="E3682" s="13"/>
      <c r="F3682" s="13"/>
      <c r="G3682" s="13"/>
      <c r="H3682" s="13"/>
      <c r="I3682" s="10"/>
      <c r="J3682" s="11"/>
      <c r="K3682" s="6"/>
      <c r="L3682" s="13"/>
    </row>
    <row r="3683" spans="1:12" hidden="1" x14ac:dyDescent="0.25">
      <c r="A3683" s="6"/>
      <c r="B3683" s="6"/>
      <c r="C3683" s="11"/>
      <c r="D3683" s="13"/>
      <c r="E3683" s="13"/>
      <c r="F3683" s="13"/>
      <c r="G3683" s="13"/>
      <c r="H3683" s="13"/>
      <c r="I3683" s="10"/>
      <c r="J3683" s="11"/>
      <c r="K3683" s="6"/>
      <c r="L3683" s="13"/>
    </row>
    <row r="3684" spans="1:12" hidden="1" x14ac:dyDescent="0.25">
      <c r="A3684" s="6"/>
      <c r="B3684" s="6"/>
      <c r="C3684" s="11"/>
      <c r="D3684" s="13"/>
      <c r="E3684" s="13"/>
      <c r="F3684" s="13"/>
      <c r="G3684" s="13"/>
      <c r="H3684" s="13"/>
      <c r="I3684" s="10"/>
      <c r="J3684" s="11"/>
      <c r="K3684" s="6"/>
      <c r="L3684" s="13"/>
    </row>
    <row r="3685" spans="1:12" hidden="1" x14ac:dyDescent="0.25">
      <c r="A3685" s="6"/>
      <c r="B3685" s="6"/>
      <c r="C3685" s="11"/>
      <c r="D3685" s="13"/>
      <c r="E3685" s="13"/>
      <c r="F3685" s="13"/>
      <c r="G3685" s="13"/>
      <c r="H3685" s="13"/>
      <c r="I3685" s="10"/>
      <c r="J3685" s="11"/>
      <c r="K3685" s="6"/>
      <c r="L3685" s="13"/>
    </row>
    <row r="3686" spans="1:12" hidden="1" x14ac:dyDescent="0.25">
      <c r="A3686" s="6"/>
      <c r="B3686" s="6"/>
      <c r="C3686" s="11"/>
      <c r="D3686" s="13"/>
      <c r="E3686" s="13"/>
      <c r="F3686" s="13"/>
      <c r="G3686" s="13"/>
      <c r="H3686" s="13"/>
      <c r="I3686" s="10"/>
      <c r="J3686" s="11"/>
      <c r="K3686" s="6"/>
      <c r="L3686" s="13"/>
    </row>
    <row r="3687" spans="1:12" hidden="1" x14ac:dyDescent="0.25">
      <c r="A3687" s="6"/>
      <c r="B3687" s="6"/>
      <c r="C3687" s="11"/>
      <c r="D3687" s="13"/>
      <c r="E3687" s="13"/>
      <c r="F3687" s="13"/>
      <c r="G3687" s="13"/>
      <c r="H3687" s="13"/>
      <c r="I3687" s="10"/>
      <c r="J3687" s="11"/>
      <c r="K3687" s="6"/>
      <c r="L3687" s="13"/>
    </row>
    <row r="3688" spans="1:12" hidden="1" x14ac:dyDescent="0.25">
      <c r="A3688" s="6"/>
      <c r="B3688" s="6"/>
      <c r="C3688" s="11"/>
      <c r="D3688" s="13"/>
      <c r="E3688" s="13"/>
      <c r="F3688" s="13"/>
      <c r="G3688" s="13"/>
      <c r="H3688" s="13"/>
      <c r="I3688" s="10"/>
      <c r="J3688" s="11"/>
      <c r="K3688" s="6"/>
      <c r="L3688" s="13"/>
    </row>
    <row r="3689" spans="1:12" hidden="1" x14ac:dyDescent="0.25">
      <c r="A3689" s="6"/>
      <c r="B3689" s="6"/>
      <c r="C3689" s="11"/>
      <c r="D3689" s="13"/>
      <c r="E3689" s="13"/>
      <c r="F3689" s="13"/>
      <c r="G3689" s="13"/>
      <c r="H3689" s="13"/>
      <c r="I3689" s="10"/>
      <c r="J3689" s="11"/>
      <c r="K3689" s="6"/>
      <c r="L3689" s="13"/>
    </row>
    <row r="3690" spans="1:12" hidden="1" x14ac:dyDescent="0.25">
      <c r="A3690" s="6"/>
      <c r="B3690" s="6"/>
      <c r="C3690" s="11"/>
      <c r="D3690" s="13"/>
      <c r="E3690" s="13"/>
      <c r="F3690" s="13"/>
      <c r="G3690" s="13"/>
      <c r="H3690" s="13"/>
      <c r="I3690" s="10"/>
      <c r="J3690" s="11"/>
      <c r="K3690" s="6"/>
      <c r="L3690" s="13"/>
    </row>
    <row r="3691" spans="1:12" hidden="1" x14ac:dyDescent="0.25">
      <c r="A3691" s="6"/>
      <c r="B3691" s="6"/>
      <c r="C3691" s="11"/>
      <c r="D3691" s="13"/>
      <c r="E3691" s="13"/>
      <c r="F3691" s="13"/>
      <c r="G3691" s="13"/>
      <c r="H3691" s="13"/>
      <c r="I3691" s="10"/>
      <c r="J3691" s="11"/>
      <c r="K3691" s="6"/>
      <c r="L3691" s="13"/>
    </row>
    <row r="3692" spans="1:12" hidden="1" x14ac:dyDescent="0.25">
      <c r="A3692" s="6"/>
      <c r="B3692" s="6"/>
      <c r="C3692" s="11"/>
      <c r="D3692" s="13"/>
      <c r="E3692" s="13"/>
      <c r="F3692" s="13"/>
      <c r="G3692" s="13"/>
      <c r="H3692" s="13"/>
      <c r="I3692" s="10"/>
      <c r="J3692" s="11"/>
      <c r="K3692" s="6"/>
      <c r="L3692" s="114"/>
    </row>
    <row r="3693" spans="1:12" hidden="1" x14ac:dyDescent="0.25">
      <c r="A3693" s="6"/>
      <c r="B3693" s="6"/>
      <c r="C3693" s="11"/>
      <c r="D3693" s="13"/>
      <c r="E3693" s="13"/>
      <c r="F3693" s="13"/>
      <c r="G3693" s="13"/>
      <c r="H3693" s="13"/>
      <c r="I3693" s="10"/>
      <c r="J3693" s="11"/>
      <c r="K3693" s="6"/>
      <c r="L3693" s="13"/>
    </row>
    <row r="3694" spans="1:12" hidden="1" x14ac:dyDescent="0.25">
      <c r="A3694" s="6"/>
      <c r="B3694" s="6"/>
      <c r="C3694" s="11"/>
      <c r="D3694" s="13"/>
      <c r="E3694" s="13"/>
      <c r="F3694" s="13"/>
      <c r="G3694" s="13"/>
      <c r="H3694" s="13"/>
      <c r="I3694" s="10"/>
      <c r="J3694" s="11"/>
      <c r="K3694" s="6"/>
      <c r="L3694" s="13"/>
    </row>
    <row r="3695" spans="1:12" hidden="1" x14ac:dyDescent="0.25">
      <c r="A3695" s="6"/>
      <c r="B3695" s="6"/>
      <c r="C3695" s="11"/>
      <c r="D3695" s="13"/>
      <c r="E3695" s="13"/>
      <c r="F3695" s="13"/>
      <c r="G3695" s="13"/>
      <c r="H3695" s="13"/>
      <c r="I3695" s="10"/>
      <c r="J3695" s="11"/>
      <c r="K3695" s="6"/>
      <c r="L3695" s="13"/>
    </row>
    <row r="3696" spans="1:12" hidden="1" x14ac:dyDescent="0.25">
      <c r="A3696" s="6"/>
      <c r="B3696" s="6"/>
      <c r="C3696" s="11"/>
      <c r="D3696" s="13"/>
      <c r="E3696" s="13"/>
      <c r="F3696" s="13"/>
      <c r="G3696" s="13"/>
      <c r="H3696" s="13"/>
      <c r="I3696" s="10"/>
      <c r="J3696" s="11"/>
      <c r="K3696" s="6"/>
      <c r="L3696" s="13"/>
    </row>
    <row r="3697" spans="1:12" hidden="1" x14ac:dyDescent="0.25">
      <c r="A3697" s="6"/>
      <c r="B3697" s="6"/>
      <c r="C3697" s="11"/>
      <c r="D3697" s="13"/>
      <c r="E3697" s="13"/>
      <c r="F3697" s="13"/>
      <c r="G3697" s="13"/>
      <c r="H3697" s="13"/>
      <c r="I3697" s="10"/>
      <c r="J3697" s="11"/>
      <c r="K3697" s="6"/>
      <c r="L3697" s="13"/>
    </row>
    <row r="3698" spans="1:12" hidden="1" x14ac:dyDescent="0.25">
      <c r="A3698" s="6"/>
      <c r="B3698" s="6"/>
      <c r="C3698" s="11"/>
      <c r="D3698" s="13"/>
      <c r="E3698" s="13"/>
      <c r="F3698" s="13"/>
      <c r="G3698" s="13"/>
      <c r="H3698" s="13"/>
      <c r="I3698" s="10"/>
      <c r="J3698" s="11"/>
      <c r="K3698" s="6"/>
      <c r="L3698" s="13"/>
    </row>
    <row r="3699" spans="1:12" hidden="1" x14ac:dyDescent="0.25">
      <c r="A3699" s="6"/>
      <c r="B3699" s="6"/>
      <c r="C3699" s="11"/>
      <c r="D3699" s="13"/>
      <c r="E3699" s="13"/>
      <c r="F3699" s="13"/>
      <c r="G3699" s="13"/>
      <c r="H3699" s="13"/>
      <c r="I3699" s="10"/>
      <c r="J3699" s="11"/>
      <c r="K3699" s="6"/>
      <c r="L3699" s="13"/>
    </row>
    <row r="3700" spans="1:12" hidden="1" x14ac:dyDescent="0.25">
      <c r="A3700" s="6"/>
      <c r="B3700" s="6"/>
      <c r="C3700" s="11"/>
      <c r="D3700" s="13"/>
      <c r="E3700" s="13"/>
      <c r="F3700" s="13"/>
      <c r="G3700" s="13"/>
      <c r="H3700" s="13"/>
      <c r="I3700" s="10"/>
      <c r="J3700" s="11"/>
      <c r="K3700" s="6"/>
      <c r="L3700" s="13"/>
    </row>
    <row r="3701" spans="1:12" hidden="1" x14ac:dyDescent="0.25">
      <c r="A3701" s="6"/>
      <c r="B3701" s="6"/>
      <c r="C3701" s="11"/>
      <c r="D3701" s="13"/>
      <c r="E3701" s="13"/>
      <c r="F3701" s="13"/>
      <c r="G3701" s="13"/>
      <c r="H3701" s="13"/>
      <c r="I3701" s="10"/>
      <c r="J3701" s="11"/>
      <c r="K3701" s="6"/>
      <c r="L3701" s="13"/>
    </row>
    <row r="3702" spans="1:12" hidden="1" x14ac:dyDescent="0.25">
      <c r="A3702" s="6"/>
      <c r="B3702" s="6"/>
      <c r="C3702" s="11"/>
      <c r="D3702" s="13"/>
      <c r="E3702" s="13"/>
      <c r="F3702" s="13"/>
      <c r="G3702" s="13"/>
      <c r="H3702" s="13"/>
      <c r="I3702" s="10"/>
      <c r="J3702" s="11"/>
      <c r="K3702" s="6"/>
      <c r="L3702" s="13"/>
    </row>
    <row r="3703" spans="1:12" hidden="1" x14ac:dyDescent="0.25">
      <c r="A3703" s="6"/>
      <c r="B3703" s="6"/>
      <c r="C3703" s="11"/>
      <c r="D3703" s="13"/>
      <c r="E3703" s="13"/>
      <c r="F3703" s="13"/>
      <c r="G3703" s="13"/>
      <c r="H3703" s="13"/>
      <c r="I3703" s="10"/>
      <c r="J3703" s="11"/>
      <c r="K3703" s="6"/>
      <c r="L3703" s="13"/>
    </row>
    <row r="3704" spans="1:12" hidden="1" x14ac:dyDescent="0.25">
      <c r="A3704" s="6"/>
      <c r="B3704" s="6"/>
      <c r="C3704" s="11"/>
      <c r="D3704" s="13"/>
      <c r="E3704" s="13"/>
      <c r="F3704" s="13"/>
      <c r="G3704" s="13"/>
      <c r="H3704" s="13"/>
      <c r="I3704" s="10"/>
      <c r="J3704" s="11"/>
      <c r="K3704" s="6"/>
      <c r="L3704" s="13"/>
    </row>
    <row r="3705" spans="1:12" hidden="1" x14ac:dyDescent="0.25">
      <c r="A3705" s="6"/>
      <c r="B3705" s="6"/>
      <c r="C3705" s="11"/>
      <c r="D3705" s="13"/>
      <c r="E3705" s="13"/>
      <c r="F3705" s="13"/>
      <c r="G3705" s="13"/>
      <c r="H3705" s="13"/>
      <c r="I3705" s="10"/>
      <c r="J3705" s="11"/>
      <c r="K3705" s="6"/>
      <c r="L3705" s="13"/>
    </row>
    <row r="3706" spans="1:12" hidden="1" x14ac:dyDescent="0.25">
      <c r="A3706" s="6"/>
      <c r="B3706" s="6"/>
      <c r="C3706" s="11"/>
      <c r="D3706" s="13"/>
      <c r="E3706" s="13"/>
      <c r="F3706" s="13"/>
      <c r="G3706" s="13"/>
      <c r="H3706" s="13"/>
      <c r="I3706" s="10"/>
      <c r="J3706" s="11"/>
      <c r="K3706" s="6"/>
      <c r="L3706" s="13"/>
    </row>
    <row r="3707" spans="1:12" hidden="1" x14ac:dyDescent="0.25">
      <c r="A3707" s="6"/>
      <c r="B3707" s="6"/>
      <c r="C3707" s="11"/>
      <c r="D3707" s="13"/>
      <c r="E3707" s="13"/>
      <c r="F3707" s="13"/>
      <c r="G3707" s="13"/>
      <c r="H3707" s="13"/>
      <c r="I3707" s="10"/>
      <c r="J3707" s="11"/>
      <c r="K3707" s="6"/>
      <c r="L3707" s="13"/>
    </row>
    <row r="3708" spans="1:12" hidden="1" x14ac:dyDescent="0.25">
      <c r="A3708" s="6"/>
      <c r="B3708" s="6"/>
      <c r="C3708" s="11"/>
      <c r="D3708" s="13"/>
      <c r="E3708" s="13"/>
      <c r="F3708" s="13"/>
      <c r="G3708" s="13"/>
      <c r="H3708" s="13"/>
      <c r="I3708" s="10"/>
      <c r="J3708" s="11"/>
      <c r="K3708" s="6"/>
      <c r="L3708" s="13"/>
    </row>
    <row r="3709" spans="1:12" hidden="1" x14ac:dyDescent="0.25">
      <c r="A3709" s="6"/>
      <c r="B3709" s="6"/>
      <c r="C3709" s="11"/>
      <c r="D3709" s="13"/>
      <c r="E3709" s="13"/>
      <c r="F3709" s="13"/>
      <c r="G3709" s="13"/>
      <c r="H3709" s="13"/>
      <c r="I3709" s="10"/>
      <c r="J3709" s="11"/>
      <c r="K3709" s="6"/>
      <c r="L3709" s="13"/>
    </row>
    <row r="3710" spans="1:12" hidden="1" x14ac:dyDescent="0.25">
      <c r="A3710" s="6"/>
      <c r="B3710" s="6"/>
      <c r="C3710" s="11"/>
      <c r="D3710" s="13"/>
      <c r="E3710" s="13"/>
      <c r="F3710" s="13"/>
      <c r="G3710" s="13"/>
      <c r="H3710" s="13"/>
      <c r="I3710" s="10"/>
      <c r="J3710" s="11"/>
      <c r="K3710" s="6"/>
      <c r="L3710" s="13"/>
    </row>
    <row r="3711" spans="1:12" hidden="1" x14ac:dyDescent="0.25">
      <c r="A3711" s="6"/>
      <c r="B3711" s="6"/>
      <c r="C3711" s="11"/>
      <c r="D3711" s="13"/>
      <c r="E3711" s="13"/>
      <c r="F3711" s="13"/>
      <c r="G3711" s="13"/>
      <c r="H3711" s="13"/>
      <c r="I3711" s="10"/>
      <c r="J3711" s="11"/>
      <c r="K3711" s="6"/>
      <c r="L3711" s="13"/>
    </row>
    <row r="3712" spans="1:12" hidden="1" x14ac:dyDescent="0.25">
      <c r="A3712" s="6"/>
      <c r="B3712" s="6"/>
      <c r="C3712" s="11"/>
      <c r="D3712" s="13"/>
      <c r="E3712" s="13"/>
      <c r="F3712" s="13"/>
      <c r="G3712" s="13"/>
      <c r="H3712" s="13"/>
      <c r="I3712" s="10"/>
      <c r="J3712" s="11"/>
      <c r="K3712" s="6"/>
      <c r="L3712" s="13"/>
    </row>
    <row r="3713" spans="1:12" hidden="1" x14ac:dyDescent="0.25">
      <c r="A3713" s="6"/>
      <c r="B3713" s="6"/>
      <c r="C3713" s="11"/>
      <c r="D3713" s="13"/>
      <c r="E3713" s="13"/>
      <c r="F3713" s="13"/>
      <c r="G3713" s="13"/>
      <c r="H3713" s="13"/>
      <c r="I3713" s="10"/>
      <c r="J3713" s="11"/>
      <c r="K3713" s="6"/>
      <c r="L3713" s="13"/>
    </row>
    <row r="3714" spans="1:12" hidden="1" x14ac:dyDescent="0.25">
      <c r="A3714" s="6"/>
      <c r="B3714" s="6"/>
      <c r="C3714" s="11"/>
      <c r="D3714" s="13"/>
      <c r="E3714" s="13"/>
      <c r="F3714" s="13"/>
      <c r="G3714" s="13"/>
      <c r="H3714" s="13"/>
      <c r="I3714" s="10"/>
      <c r="J3714" s="11"/>
      <c r="K3714" s="6"/>
      <c r="L3714" s="13"/>
    </row>
    <row r="3715" spans="1:12" hidden="1" x14ac:dyDescent="0.25">
      <c r="A3715" s="6"/>
      <c r="B3715" s="6"/>
      <c r="C3715" s="11"/>
      <c r="D3715" s="13"/>
      <c r="E3715" s="13"/>
      <c r="F3715" s="13"/>
      <c r="G3715" s="13"/>
      <c r="H3715" s="13"/>
      <c r="I3715" s="10"/>
      <c r="J3715" s="11"/>
      <c r="K3715" s="6"/>
      <c r="L3715" s="13"/>
    </row>
    <row r="3716" spans="1:12" hidden="1" x14ac:dyDescent="0.25">
      <c r="A3716" s="6"/>
      <c r="B3716" s="6"/>
      <c r="C3716" s="11"/>
      <c r="D3716" s="13"/>
      <c r="E3716" s="13"/>
      <c r="F3716" s="13"/>
      <c r="G3716" s="13"/>
      <c r="H3716" s="13"/>
      <c r="I3716" s="10"/>
      <c r="J3716" s="11"/>
      <c r="K3716" s="6"/>
      <c r="L3716" s="13"/>
    </row>
    <row r="3717" spans="1:12" hidden="1" x14ac:dyDescent="0.25">
      <c r="A3717" s="6"/>
      <c r="B3717" s="6"/>
      <c r="C3717" s="11"/>
      <c r="D3717" s="13"/>
      <c r="E3717" s="13"/>
      <c r="F3717" s="13"/>
      <c r="G3717" s="13"/>
      <c r="H3717" s="13"/>
      <c r="I3717" s="10"/>
      <c r="J3717" s="11"/>
      <c r="K3717" s="6"/>
      <c r="L3717" s="13"/>
    </row>
    <row r="3718" spans="1:12" hidden="1" x14ac:dyDescent="0.25">
      <c r="A3718" s="6"/>
      <c r="B3718" s="6"/>
      <c r="C3718" s="11"/>
      <c r="D3718" s="13"/>
      <c r="E3718" s="13"/>
      <c r="F3718" s="13"/>
      <c r="G3718" s="13"/>
      <c r="H3718" s="13"/>
      <c r="I3718" s="10"/>
      <c r="J3718" s="11"/>
      <c r="K3718" s="6"/>
      <c r="L3718" s="13"/>
    </row>
    <row r="3719" spans="1:12" hidden="1" x14ac:dyDescent="0.25">
      <c r="A3719" s="6"/>
      <c r="B3719" s="6"/>
      <c r="C3719" s="11"/>
      <c r="D3719" s="13"/>
      <c r="E3719" s="13"/>
      <c r="F3719" s="13"/>
      <c r="G3719" s="13"/>
      <c r="H3719" s="13"/>
      <c r="I3719" s="10"/>
      <c r="J3719" s="11"/>
      <c r="K3719" s="6"/>
      <c r="L3719" s="13"/>
    </row>
    <row r="3720" spans="1:12" hidden="1" x14ac:dyDescent="0.25">
      <c r="A3720" s="6"/>
      <c r="B3720" s="6"/>
      <c r="C3720" s="11"/>
      <c r="D3720" s="13"/>
      <c r="E3720" s="13"/>
      <c r="F3720" s="13"/>
      <c r="G3720" s="13"/>
      <c r="H3720" s="13"/>
      <c r="I3720" s="10"/>
      <c r="J3720" s="11"/>
      <c r="K3720" s="6"/>
      <c r="L3720" s="13"/>
    </row>
    <row r="3721" spans="1:12" hidden="1" x14ac:dyDescent="0.25">
      <c r="A3721" s="6"/>
      <c r="B3721" s="6"/>
      <c r="C3721" s="11"/>
      <c r="D3721" s="13"/>
      <c r="E3721" s="13"/>
      <c r="F3721" s="13"/>
      <c r="G3721" s="13"/>
      <c r="H3721" s="13"/>
      <c r="I3721" s="10"/>
      <c r="J3721" s="11"/>
      <c r="K3721" s="6"/>
      <c r="L3721" s="13"/>
    </row>
    <row r="3722" spans="1:12" hidden="1" x14ac:dyDescent="0.25">
      <c r="A3722" s="6"/>
      <c r="B3722" s="6"/>
      <c r="C3722" s="11"/>
      <c r="D3722" s="13"/>
      <c r="E3722" s="13"/>
      <c r="F3722" s="13"/>
      <c r="G3722" s="13"/>
      <c r="H3722" s="13"/>
      <c r="I3722" s="10"/>
      <c r="J3722" s="11"/>
      <c r="K3722" s="6"/>
      <c r="L3722" s="13"/>
    </row>
    <row r="3723" spans="1:12" hidden="1" x14ac:dyDescent="0.25">
      <c r="A3723" s="6"/>
      <c r="B3723" s="6"/>
      <c r="C3723" s="11"/>
      <c r="D3723" s="13"/>
      <c r="E3723" s="13"/>
      <c r="F3723" s="13"/>
      <c r="G3723" s="13"/>
      <c r="H3723" s="13"/>
      <c r="I3723" s="10"/>
      <c r="J3723" s="11"/>
      <c r="K3723" s="6"/>
      <c r="L3723" s="13"/>
    </row>
    <row r="3724" spans="1:12" hidden="1" x14ac:dyDescent="0.25">
      <c r="A3724" s="6"/>
      <c r="B3724" s="6"/>
      <c r="C3724" s="11"/>
      <c r="D3724" s="13"/>
      <c r="E3724" s="13"/>
      <c r="F3724" s="13"/>
      <c r="G3724" s="13"/>
      <c r="H3724" s="13"/>
      <c r="I3724" s="10"/>
      <c r="J3724" s="11"/>
      <c r="K3724" s="6"/>
      <c r="L3724" s="13"/>
    </row>
    <row r="3725" spans="1:12" hidden="1" x14ac:dyDescent="0.25">
      <c r="A3725" s="6"/>
      <c r="B3725" s="6"/>
      <c r="C3725" s="11"/>
      <c r="D3725" s="13"/>
      <c r="E3725" s="13"/>
      <c r="F3725" s="13"/>
      <c r="G3725" s="13"/>
      <c r="H3725" s="13"/>
      <c r="I3725" s="10"/>
      <c r="J3725" s="11"/>
      <c r="K3725" s="6"/>
      <c r="L3725" s="13"/>
    </row>
    <row r="3726" spans="1:12" hidden="1" x14ac:dyDescent="0.25">
      <c r="A3726" s="6"/>
      <c r="B3726" s="6"/>
      <c r="C3726" s="11"/>
      <c r="D3726" s="13"/>
      <c r="E3726" s="13"/>
      <c r="F3726" s="13"/>
      <c r="G3726" s="13"/>
      <c r="H3726" s="13"/>
      <c r="I3726" s="10"/>
      <c r="J3726" s="11"/>
      <c r="K3726" s="6"/>
      <c r="L3726" s="13"/>
    </row>
    <row r="3727" spans="1:12" hidden="1" x14ac:dyDescent="0.25">
      <c r="A3727" s="6"/>
      <c r="B3727" s="6"/>
      <c r="C3727" s="11"/>
      <c r="D3727" s="13"/>
      <c r="E3727" s="13"/>
      <c r="F3727" s="13"/>
      <c r="G3727" s="13"/>
      <c r="H3727" s="13"/>
      <c r="I3727" s="10"/>
      <c r="J3727" s="11"/>
      <c r="K3727" s="6"/>
      <c r="L3727" s="13"/>
    </row>
    <row r="3728" spans="1:12" hidden="1" x14ac:dyDescent="0.25">
      <c r="A3728" s="6"/>
      <c r="B3728" s="6"/>
      <c r="C3728" s="11"/>
      <c r="D3728" s="13"/>
      <c r="E3728" s="13"/>
      <c r="F3728" s="13"/>
      <c r="G3728" s="13"/>
      <c r="H3728" s="13"/>
      <c r="I3728" s="10"/>
      <c r="J3728" s="11"/>
      <c r="K3728" s="6"/>
      <c r="L3728" s="13"/>
    </row>
    <row r="3729" spans="1:12" hidden="1" x14ac:dyDescent="0.25">
      <c r="A3729" s="6"/>
      <c r="B3729" s="6"/>
      <c r="C3729" s="11"/>
      <c r="D3729" s="13"/>
      <c r="E3729" s="13"/>
      <c r="F3729" s="13"/>
      <c r="G3729" s="13"/>
      <c r="H3729" s="13"/>
      <c r="I3729" s="10"/>
      <c r="J3729" s="11"/>
      <c r="K3729" s="6"/>
      <c r="L3729" s="13"/>
    </row>
    <row r="3730" spans="1:12" hidden="1" x14ac:dyDescent="0.25">
      <c r="A3730" s="6"/>
      <c r="B3730" s="6"/>
      <c r="C3730" s="11"/>
      <c r="D3730" s="13"/>
      <c r="E3730" s="13"/>
      <c r="F3730" s="13"/>
      <c r="G3730" s="13"/>
      <c r="H3730" s="13"/>
      <c r="I3730" s="10"/>
      <c r="J3730" s="11"/>
      <c r="K3730" s="6"/>
      <c r="L3730" s="13"/>
    </row>
    <row r="3731" spans="1:12" hidden="1" x14ac:dyDescent="0.25">
      <c r="A3731" s="6"/>
      <c r="B3731" s="6"/>
      <c r="C3731" s="11"/>
      <c r="D3731" s="13"/>
      <c r="E3731" s="13"/>
      <c r="F3731" s="13"/>
      <c r="G3731" s="13"/>
      <c r="H3731" s="13"/>
      <c r="I3731" s="10"/>
      <c r="J3731" s="11"/>
      <c r="K3731" s="6"/>
      <c r="L3731" s="13"/>
    </row>
    <row r="3732" spans="1:12" hidden="1" x14ac:dyDescent="0.25">
      <c r="A3732" s="6"/>
      <c r="B3732" s="6"/>
      <c r="C3732" s="11"/>
      <c r="D3732" s="13"/>
      <c r="E3732" s="13"/>
      <c r="F3732" s="13"/>
      <c r="G3732" s="13"/>
      <c r="H3732" s="13"/>
      <c r="I3732" s="10"/>
      <c r="J3732" s="11"/>
      <c r="K3732" s="6"/>
      <c r="L3732" s="13"/>
    </row>
    <row r="3733" spans="1:12" hidden="1" x14ac:dyDescent="0.25">
      <c r="A3733" s="6"/>
      <c r="B3733" s="6"/>
      <c r="C3733" s="11"/>
      <c r="D3733" s="13"/>
      <c r="E3733" s="13"/>
      <c r="F3733" s="13"/>
      <c r="G3733" s="13"/>
      <c r="H3733" s="13"/>
      <c r="I3733" s="10"/>
      <c r="J3733" s="11"/>
      <c r="K3733" s="6"/>
      <c r="L3733" s="13"/>
    </row>
    <row r="3734" spans="1:12" hidden="1" x14ac:dyDescent="0.25">
      <c r="A3734" s="6"/>
      <c r="B3734" s="6"/>
      <c r="C3734" s="11"/>
      <c r="D3734" s="13"/>
      <c r="E3734" s="13"/>
      <c r="F3734" s="13"/>
      <c r="G3734" s="13"/>
      <c r="H3734" s="13"/>
      <c r="I3734" s="10"/>
      <c r="J3734" s="11"/>
      <c r="K3734" s="6"/>
      <c r="L3734" s="13"/>
    </row>
    <row r="3735" spans="1:12" hidden="1" x14ac:dyDescent="0.25">
      <c r="A3735" s="6"/>
      <c r="B3735" s="6"/>
      <c r="C3735" s="11"/>
      <c r="D3735" s="13"/>
      <c r="E3735" s="13"/>
      <c r="F3735" s="13"/>
      <c r="G3735" s="13"/>
      <c r="H3735" s="13"/>
      <c r="I3735" s="10"/>
      <c r="J3735" s="11"/>
      <c r="K3735" s="6"/>
      <c r="L3735" s="13"/>
    </row>
    <row r="3736" spans="1:12" hidden="1" x14ac:dyDescent="0.25">
      <c r="A3736" s="6"/>
      <c r="B3736" s="6"/>
      <c r="C3736" s="11"/>
      <c r="D3736" s="13"/>
      <c r="E3736" s="13"/>
      <c r="F3736" s="13"/>
      <c r="G3736" s="13"/>
      <c r="H3736" s="13"/>
      <c r="I3736" s="10"/>
      <c r="J3736" s="11"/>
      <c r="K3736" s="6"/>
      <c r="L3736" s="13"/>
    </row>
    <row r="3737" spans="1:12" hidden="1" x14ac:dyDescent="0.25">
      <c r="A3737" s="6"/>
      <c r="B3737" s="6"/>
      <c r="C3737" s="11"/>
      <c r="D3737" s="13"/>
      <c r="E3737" s="13"/>
      <c r="F3737" s="13"/>
      <c r="G3737" s="13"/>
      <c r="H3737" s="13"/>
      <c r="I3737" s="10"/>
      <c r="J3737" s="11"/>
      <c r="K3737" s="6"/>
      <c r="L3737" s="13"/>
    </row>
    <row r="3738" spans="1:12" hidden="1" x14ac:dyDescent="0.25">
      <c r="A3738" s="6"/>
      <c r="B3738" s="6"/>
      <c r="C3738" s="11"/>
      <c r="D3738" s="13"/>
      <c r="E3738" s="13"/>
      <c r="F3738" s="13"/>
      <c r="G3738" s="13"/>
      <c r="H3738" s="13"/>
      <c r="I3738" s="10"/>
      <c r="J3738" s="11"/>
      <c r="K3738" s="6"/>
      <c r="L3738" s="13"/>
    </row>
    <row r="3739" spans="1:12" hidden="1" x14ac:dyDescent="0.25">
      <c r="A3739" s="6"/>
      <c r="B3739" s="6"/>
      <c r="C3739" s="11"/>
      <c r="D3739" s="13"/>
      <c r="E3739" s="13"/>
      <c r="F3739" s="13"/>
      <c r="G3739" s="13"/>
      <c r="H3739" s="13"/>
      <c r="I3739" s="10"/>
      <c r="J3739" s="11"/>
      <c r="K3739" s="6"/>
      <c r="L3739" s="13"/>
    </row>
    <row r="3740" spans="1:12" hidden="1" x14ac:dyDescent="0.25">
      <c r="A3740" s="6"/>
      <c r="B3740" s="6"/>
      <c r="C3740" s="11"/>
      <c r="D3740" s="13"/>
      <c r="E3740" s="13"/>
      <c r="F3740" s="13"/>
      <c r="G3740" s="13"/>
      <c r="H3740" s="13"/>
      <c r="I3740" s="10"/>
      <c r="J3740" s="11"/>
      <c r="K3740" s="6"/>
      <c r="L3740" s="13"/>
    </row>
    <row r="3741" spans="1:12" hidden="1" x14ac:dyDescent="0.25">
      <c r="A3741" s="6"/>
      <c r="B3741" s="6"/>
      <c r="C3741" s="11"/>
      <c r="D3741" s="13"/>
      <c r="E3741" s="13"/>
      <c r="F3741" s="13"/>
      <c r="G3741" s="13"/>
      <c r="H3741" s="13"/>
      <c r="I3741" s="10"/>
      <c r="J3741" s="11"/>
      <c r="K3741" s="6"/>
      <c r="L3741" s="13"/>
    </row>
    <row r="3742" spans="1:12" hidden="1" x14ac:dyDescent="0.25">
      <c r="A3742" s="6"/>
      <c r="B3742" s="6"/>
      <c r="C3742" s="11"/>
      <c r="D3742" s="13"/>
      <c r="E3742" s="13"/>
      <c r="F3742" s="13"/>
      <c r="G3742" s="13"/>
      <c r="H3742" s="13"/>
      <c r="I3742" s="10"/>
      <c r="J3742" s="11"/>
      <c r="K3742" s="6"/>
      <c r="L3742" s="13"/>
    </row>
    <row r="3743" spans="1:12" hidden="1" x14ac:dyDescent="0.25">
      <c r="A3743" s="6"/>
      <c r="B3743" s="6"/>
      <c r="C3743" s="11"/>
      <c r="D3743" s="13"/>
      <c r="E3743" s="13"/>
      <c r="F3743" s="13"/>
      <c r="G3743" s="13"/>
      <c r="H3743" s="13"/>
      <c r="I3743" s="10"/>
      <c r="J3743" s="11"/>
      <c r="K3743" s="6"/>
      <c r="L3743" s="13"/>
    </row>
    <row r="3744" spans="1:12" hidden="1" x14ac:dyDescent="0.25">
      <c r="A3744" s="6"/>
      <c r="B3744" s="6"/>
      <c r="C3744" s="11"/>
      <c r="D3744" s="13"/>
      <c r="E3744" s="13"/>
      <c r="F3744" s="13"/>
      <c r="G3744" s="13"/>
      <c r="H3744" s="13"/>
      <c r="I3744" s="10"/>
      <c r="J3744" s="11"/>
      <c r="K3744" s="6"/>
      <c r="L3744" s="13"/>
    </row>
    <row r="3745" spans="1:12" hidden="1" x14ac:dyDescent="0.25">
      <c r="A3745" s="6"/>
      <c r="B3745" s="6"/>
      <c r="C3745" s="11"/>
      <c r="D3745" s="13"/>
      <c r="E3745" s="13"/>
      <c r="F3745" s="13"/>
      <c r="G3745" s="13"/>
      <c r="H3745" s="13"/>
      <c r="I3745" s="10"/>
      <c r="J3745" s="11"/>
      <c r="K3745" s="6"/>
      <c r="L3745" s="13"/>
    </row>
    <row r="3746" spans="1:12" hidden="1" x14ac:dyDescent="0.25">
      <c r="A3746" s="6"/>
      <c r="B3746" s="6"/>
      <c r="C3746" s="11"/>
      <c r="D3746" s="13"/>
      <c r="E3746" s="13"/>
      <c r="F3746" s="13"/>
      <c r="G3746" s="13"/>
      <c r="H3746" s="13"/>
      <c r="I3746" s="10"/>
      <c r="J3746" s="11"/>
      <c r="K3746" s="6"/>
      <c r="L3746" s="13"/>
    </row>
    <row r="3747" spans="1:12" hidden="1" x14ac:dyDescent="0.25">
      <c r="A3747" s="6"/>
      <c r="B3747" s="6"/>
      <c r="C3747" s="11"/>
      <c r="D3747" s="13"/>
      <c r="E3747" s="13"/>
      <c r="F3747" s="13"/>
      <c r="G3747" s="13"/>
      <c r="H3747" s="13"/>
      <c r="I3747" s="10"/>
      <c r="J3747" s="11"/>
      <c r="K3747" s="6"/>
      <c r="L3747" s="13"/>
    </row>
    <row r="3748" spans="1:12" hidden="1" x14ac:dyDescent="0.25">
      <c r="A3748" s="6"/>
      <c r="B3748" s="6"/>
      <c r="C3748" s="11"/>
      <c r="D3748" s="13"/>
      <c r="E3748" s="13"/>
      <c r="F3748" s="13"/>
      <c r="G3748" s="13"/>
      <c r="H3748" s="13"/>
      <c r="I3748" s="10"/>
      <c r="J3748" s="11"/>
      <c r="K3748" s="6"/>
      <c r="L3748" s="13"/>
    </row>
    <row r="3749" spans="1:12" hidden="1" x14ac:dyDescent="0.25">
      <c r="A3749" s="6"/>
      <c r="B3749" s="6"/>
      <c r="C3749" s="11"/>
      <c r="D3749" s="13"/>
      <c r="E3749" s="13"/>
      <c r="F3749" s="13"/>
      <c r="G3749" s="13"/>
      <c r="H3749" s="13"/>
      <c r="I3749" s="10"/>
      <c r="J3749" s="11"/>
      <c r="K3749" s="6"/>
      <c r="L3749" s="13"/>
    </row>
    <row r="3750" spans="1:12" hidden="1" x14ac:dyDescent="0.25">
      <c r="A3750" s="6"/>
      <c r="B3750" s="6"/>
      <c r="C3750" s="11"/>
      <c r="D3750" s="13"/>
      <c r="E3750" s="13"/>
      <c r="F3750" s="13"/>
      <c r="G3750" s="13"/>
      <c r="H3750" s="13"/>
      <c r="I3750" s="10"/>
      <c r="J3750" s="11"/>
      <c r="K3750" s="6"/>
      <c r="L3750" s="13"/>
    </row>
    <row r="3751" spans="1:12" hidden="1" x14ac:dyDescent="0.25">
      <c r="A3751" s="6"/>
      <c r="B3751" s="6"/>
      <c r="C3751" s="11"/>
      <c r="D3751" s="13"/>
      <c r="E3751" s="13"/>
      <c r="F3751" s="13"/>
      <c r="G3751" s="13"/>
      <c r="H3751" s="13"/>
      <c r="I3751" s="10"/>
      <c r="J3751" s="11"/>
      <c r="K3751" s="6"/>
      <c r="L3751" s="13"/>
    </row>
    <row r="3752" spans="1:12" hidden="1" x14ac:dyDescent="0.25">
      <c r="A3752" s="6"/>
      <c r="B3752" s="6"/>
      <c r="C3752" s="11"/>
      <c r="D3752" s="13"/>
      <c r="E3752" s="13"/>
      <c r="F3752" s="13"/>
      <c r="G3752" s="13"/>
      <c r="H3752" s="13"/>
      <c r="I3752" s="10"/>
      <c r="J3752" s="11"/>
      <c r="K3752" s="6"/>
      <c r="L3752" s="13"/>
    </row>
    <row r="3753" spans="1:12" hidden="1" x14ac:dyDescent="0.25">
      <c r="A3753" s="6"/>
      <c r="B3753" s="6"/>
      <c r="C3753" s="11"/>
      <c r="D3753" s="13"/>
      <c r="E3753" s="13"/>
      <c r="F3753" s="13"/>
      <c r="G3753" s="13"/>
      <c r="H3753" s="13"/>
      <c r="I3753" s="10"/>
      <c r="J3753" s="11"/>
      <c r="K3753" s="6"/>
      <c r="L3753" s="13"/>
    </row>
    <row r="3754" spans="1:12" hidden="1" x14ac:dyDescent="0.25">
      <c r="A3754" s="6"/>
      <c r="B3754" s="6"/>
      <c r="C3754" s="11"/>
      <c r="D3754" s="13"/>
      <c r="E3754" s="13"/>
      <c r="F3754" s="13"/>
      <c r="G3754" s="13"/>
      <c r="H3754" s="13"/>
      <c r="I3754" s="10"/>
      <c r="J3754" s="11"/>
      <c r="K3754" s="6"/>
      <c r="L3754" s="13"/>
    </row>
    <row r="3755" spans="1:12" hidden="1" x14ac:dyDescent="0.25">
      <c r="A3755" s="6"/>
      <c r="B3755" s="6"/>
      <c r="C3755" s="11"/>
      <c r="D3755" s="13"/>
      <c r="E3755" s="13"/>
      <c r="F3755" s="13"/>
      <c r="G3755" s="13"/>
      <c r="H3755" s="13"/>
      <c r="I3755" s="10"/>
      <c r="J3755" s="11"/>
      <c r="K3755" s="6"/>
      <c r="L3755" s="13"/>
    </row>
    <row r="3756" spans="1:12" hidden="1" x14ac:dyDescent="0.25">
      <c r="A3756" s="6"/>
      <c r="B3756" s="6"/>
      <c r="C3756" s="11"/>
      <c r="D3756" s="13"/>
      <c r="E3756" s="13"/>
      <c r="F3756" s="13"/>
      <c r="G3756" s="13"/>
      <c r="H3756" s="13"/>
      <c r="I3756" s="10"/>
      <c r="J3756" s="11"/>
      <c r="K3756" s="6"/>
      <c r="L3756" s="13"/>
    </row>
    <row r="3757" spans="1:12" hidden="1" x14ac:dyDescent="0.25">
      <c r="A3757" s="6"/>
      <c r="B3757" s="6"/>
      <c r="C3757" s="11"/>
      <c r="D3757" s="13"/>
      <c r="E3757" s="13"/>
      <c r="F3757" s="13"/>
      <c r="G3757" s="13"/>
      <c r="H3757" s="13"/>
      <c r="I3757" s="10"/>
      <c r="J3757" s="11"/>
      <c r="K3757" s="6"/>
      <c r="L3757" s="13"/>
    </row>
    <row r="3758" spans="1:12" hidden="1" x14ac:dyDescent="0.25">
      <c r="A3758" s="6"/>
      <c r="B3758" s="6"/>
      <c r="C3758" s="11"/>
      <c r="D3758" s="13"/>
      <c r="E3758" s="13"/>
      <c r="F3758" s="13"/>
      <c r="G3758" s="13"/>
      <c r="H3758" s="13"/>
      <c r="I3758" s="10"/>
      <c r="J3758" s="11"/>
      <c r="K3758" s="6"/>
      <c r="L3758" s="13"/>
    </row>
    <row r="3759" spans="1:12" hidden="1" x14ac:dyDescent="0.25">
      <c r="A3759" s="6"/>
      <c r="B3759" s="6"/>
      <c r="C3759" s="11"/>
      <c r="D3759" s="13"/>
      <c r="E3759" s="13"/>
      <c r="F3759" s="13"/>
      <c r="G3759" s="13"/>
      <c r="H3759" s="13"/>
      <c r="I3759" s="10"/>
      <c r="J3759" s="11"/>
      <c r="K3759" s="6"/>
      <c r="L3759" s="13"/>
    </row>
    <row r="3760" spans="1:12" hidden="1" x14ac:dyDescent="0.25">
      <c r="A3760" s="6"/>
      <c r="B3760" s="6"/>
      <c r="C3760" s="11"/>
      <c r="D3760" s="13"/>
      <c r="E3760" s="13"/>
      <c r="F3760" s="13"/>
      <c r="G3760" s="13"/>
      <c r="H3760" s="13"/>
      <c r="I3760" s="10"/>
      <c r="J3760" s="11"/>
      <c r="K3760" s="6"/>
      <c r="L3760" s="13"/>
    </row>
    <row r="3761" spans="1:12" hidden="1" x14ac:dyDescent="0.25">
      <c r="A3761" s="6"/>
      <c r="B3761" s="6"/>
      <c r="C3761" s="11"/>
      <c r="D3761" s="13"/>
      <c r="E3761" s="13"/>
      <c r="F3761" s="13"/>
      <c r="G3761" s="13"/>
      <c r="H3761" s="13"/>
      <c r="I3761" s="10"/>
      <c r="J3761" s="11"/>
      <c r="K3761" s="6"/>
      <c r="L3761" s="13"/>
    </row>
    <row r="3762" spans="1:12" hidden="1" x14ac:dyDescent="0.25">
      <c r="A3762" s="6"/>
      <c r="B3762" s="6"/>
      <c r="C3762" s="11"/>
      <c r="D3762" s="13"/>
      <c r="E3762" s="13"/>
      <c r="F3762" s="13"/>
      <c r="G3762" s="13"/>
      <c r="H3762" s="13"/>
      <c r="I3762" s="10"/>
      <c r="J3762" s="11"/>
      <c r="K3762" s="6"/>
      <c r="L3762" s="13"/>
    </row>
    <row r="3763" spans="1:12" hidden="1" x14ac:dyDescent="0.25">
      <c r="A3763" s="6"/>
      <c r="B3763" s="6"/>
      <c r="C3763" s="11"/>
      <c r="D3763" s="13"/>
      <c r="E3763" s="13"/>
      <c r="F3763" s="13"/>
      <c r="G3763" s="13"/>
      <c r="H3763" s="13"/>
      <c r="I3763" s="10"/>
      <c r="J3763" s="11"/>
      <c r="K3763" s="6"/>
      <c r="L3763" s="13"/>
    </row>
    <row r="3764" spans="1:12" hidden="1" x14ac:dyDescent="0.25">
      <c r="A3764" s="6"/>
      <c r="B3764" s="6"/>
      <c r="C3764" s="11"/>
      <c r="D3764" s="13"/>
      <c r="E3764" s="13"/>
      <c r="F3764" s="13"/>
      <c r="G3764" s="13"/>
      <c r="H3764" s="13"/>
      <c r="I3764" s="10"/>
      <c r="J3764" s="11"/>
      <c r="K3764" s="6"/>
      <c r="L3764" s="13"/>
    </row>
    <row r="3765" spans="1:12" hidden="1" x14ac:dyDescent="0.25">
      <c r="A3765" s="6"/>
      <c r="B3765" s="6"/>
      <c r="C3765" s="11"/>
      <c r="D3765" s="13"/>
      <c r="E3765" s="13"/>
      <c r="F3765" s="13"/>
      <c r="G3765" s="13"/>
      <c r="H3765" s="13"/>
      <c r="I3765" s="10"/>
      <c r="J3765" s="11"/>
      <c r="K3765" s="6"/>
      <c r="L3765" s="13"/>
    </row>
    <row r="3766" spans="1:12" hidden="1" x14ac:dyDescent="0.25">
      <c r="A3766" s="6"/>
      <c r="B3766" s="6"/>
      <c r="C3766" s="11"/>
      <c r="D3766" s="13"/>
      <c r="E3766" s="13"/>
      <c r="F3766" s="13"/>
      <c r="G3766" s="13"/>
      <c r="H3766" s="13"/>
      <c r="I3766" s="10"/>
      <c r="J3766" s="11"/>
      <c r="K3766" s="6"/>
      <c r="L3766" s="13"/>
    </row>
    <row r="3767" spans="1:12" hidden="1" x14ac:dyDescent="0.25">
      <c r="A3767" s="6"/>
      <c r="B3767" s="6"/>
      <c r="C3767" s="11"/>
      <c r="D3767" s="13"/>
      <c r="E3767" s="13"/>
      <c r="F3767" s="13"/>
      <c r="G3767" s="13"/>
      <c r="H3767" s="13"/>
      <c r="I3767" s="10"/>
      <c r="J3767" s="11"/>
      <c r="K3767" s="6"/>
      <c r="L3767" s="13"/>
    </row>
    <row r="3768" spans="1:12" hidden="1" x14ac:dyDescent="0.25">
      <c r="A3768" s="6"/>
      <c r="B3768" s="6"/>
      <c r="C3768" s="11"/>
      <c r="D3768" s="13"/>
      <c r="E3768" s="13"/>
      <c r="F3768" s="13"/>
      <c r="G3768" s="13"/>
      <c r="H3768" s="13"/>
      <c r="I3768" s="10"/>
      <c r="J3768" s="11"/>
      <c r="K3768" s="6"/>
      <c r="L3768" s="13"/>
    </row>
    <row r="3769" spans="1:12" hidden="1" x14ac:dyDescent="0.25">
      <c r="A3769" s="6"/>
      <c r="B3769" s="6"/>
      <c r="C3769" s="11"/>
      <c r="D3769" s="13"/>
      <c r="E3769" s="13"/>
      <c r="F3769" s="13"/>
      <c r="G3769" s="13"/>
      <c r="H3769" s="13"/>
      <c r="I3769" s="10"/>
      <c r="J3769" s="11"/>
      <c r="K3769" s="6"/>
      <c r="L3769" s="13"/>
    </row>
    <row r="3770" spans="1:12" hidden="1" x14ac:dyDescent="0.25">
      <c r="A3770" s="6"/>
      <c r="B3770" s="6"/>
      <c r="C3770" s="11"/>
      <c r="D3770" s="13"/>
      <c r="E3770" s="13"/>
      <c r="F3770" s="13"/>
      <c r="G3770" s="13"/>
      <c r="H3770" s="13"/>
      <c r="I3770" s="10"/>
      <c r="J3770" s="11"/>
      <c r="K3770" s="6"/>
      <c r="L3770" s="13"/>
    </row>
    <row r="3771" spans="1:12" hidden="1" x14ac:dyDescent="0.25">
      <c r="A3771" s="6"/>
      <c r="B3771" s="6"/>
      <c r="C3771" s="11"/>
      <c r="D3771" s="13"/>
      <c r="E3771" s="13"/>
      <c r="F3771" s="13"/>
      <c r="G3771" s="13"/>
      <c r="H3771" s="13"/>
      <c r="I3771" s="10"/>
      <c r="J3771" s="11"/>
      <c r="K3771" s="6"/>
      <c r="L3771" s="13"/>
    </row>
    <row r="3772" spans="1:12" hidden="1" x14ac:dyDescent="0.25">
      <c r="A3772" s="6"/>
      <c r="B3772" s="6"/>
      <c r="C3772" s="11"/>
      <c r="D3772" s="13"/>
      <c r="E3772" s="13"/>
      <c r="F3772" s="13"/>
      <c r="G3772" s="13"/>
      <c r="H3772" s="13"/>
      <c r="I3772" s="10"/>
      <c r="J3772" s="11"/>
      <c r="K3772" s="6"/>
      <c r="L3772" s="13"/>
    </row>
    <row r="3773" spans="1:12" hidden="1" x14ac:dyDescent="0.25">
      <c r="A3773" s="6"/>
      <c r="B3773" s="6"/>
      <c r="C3773" s="11"/>
      <c r="D3773" s="13"/>
      <c r="E3773" s="13"/>
      <c r="F3773" s="13"/>
      <c r="G3773" s="13"/>
      <c r="H3773" s="13"/>
      <c r="I3773" s="10"/>
      <c r="J3773" s="11"/>
      <c r="K3773" s="6"/>
      <c r="L3773" s="13"/>
    </row>
    <row r="3774" spans="1:12" hidden="1" x14ac:dyDescent="0.25">
      <c r="A3774" s="6"/>
      <c r="B3774" s="6"/>
      <c r="C3774" s="11"/>
      <c r="D3774" s="13"/>
      <c r="E3774" s="13"/>
      <c r="F3774" s="13"/>
      <c r="G3774" s="13"/>
      <c r="H3774" s="13"/>
      <c r="I3774" s="10"/>
      <c r="J3774" s="11"/>
      <c r="K3774" s="6"/>
      <c r="L3774" s="13"/>
    </row>
    <row r="3775" spans="1:12" hidden="1" x14ac:dyDescent="0.25">
      <c r="A3775" s="6"/>
      <c r="B3775" s="6"/>
      <c r="C3775" s="11"/>
      <c r="D3775" s="13"/>
      <c r="E3775" s="13"/>
      <c r="F3775" s="13"/>
      <c r="G3775" s="13"/>
      <c r="H3775" s="13"/>
      <c r="I3775" s="10"/>
      <c r="J3775" s="11"/>
      <c r="K3775" s="6"/>
      <c r="L3775" s="13"/>
    </row>
    <row r="3776" spans="1:12" hidden="1" x14ac:dyDescent="0.25">
      <c r="A3776" s="6"/>
      <c r="B3776" s="6"/>
      <c r="C3776" s="11"/>
      <c r="D3776" s="13"/>
      <c r="E3776" s="13"/>
      <c r="F3776" s="13"/>
      <c r="G3776" s="13"/>
      <c r="H3776" s="13"/>
      <c r="I3776" s="10"/>
      <c r="J3776" s="11"/>
      <c r="K3776" s="6"/>
      <c r="L3776" s="13"/>
    </row>
    <row r="3777" spans="1:12" hidden="1" x14ac:dyDescent="0.25">
      <c r="A3777" s="6"/>
      <c r="B3777" s="6"/>
      <c r="C3777" s="11"/>
      <c r="D3777" s="13"/>
      <c r="E3777" s="13"/>
      <c r="F3777" s="13"/>
      <c r="G3777" s="13"/>
      <c r="H3777" s="13"/>
      <c r="I3777" s="10"/>
      <c r="J3777" s="11"/>
      <c r="K3777" s="6"/>
      <c r="L3777" s="13"/>
    </row>
    <row r="3778" spans="1:12" hidden="1" x14ac:dyDescent="0.25">
      <c r="A3778" s="6"/>
      <c r="B3778" s="6"/>
      <c r="C3778" s="11"/>
      <c r="D3778" s="13"/>
      <c r="E3778" s="13"/>
      <c r="F3778" s="13"/>
      <c r="G3778" s="13"/>
      <c r="H3778" s="13"/>
      <c r="I3778" s="10"/>
      <c r="J3778" s="11"/>
      <c r="K3778" s="6"/>
      <c r="L3778" s="13"/>
    </row>
    <row r="3779" spans="1:12" hidden="1" x14ac:dyDescent="0.25">
      <c r="A3779" s="6"/>
      <c r="B3779" s="6"/>
      <c r="C3779" s="11"/>
      <c r="D3779" s="13"/>
      <c r="E3779" s="13"/>
      <c r="F3779" s="13"/>
      <c r="G3779" s="13"/>
      <c r="H3779" s="13"/>
      <c r="I3779" s="10"/>
      <c r="J3779" s="11"/>
      <c r="K3779" s="6"/>
      <c r="L3779" s="13"/>
    </row>
    <row r="3780" spans="1:12" hidden="1" x14ac:dyDescent="0.25">
      <c r="A3780" s="6"/>
      <c r="B3780" s="6"/>
      <c r="C3780" s="11"/>
      <c r="D3780" s="13"/>
      <c r="E3780" s="13"/>
      <c r="F3780" s="13"/>
      <c r="G3780" s="13"/>
      <c r="H3780" s="13"/>
      <c r="I3780" s="10"/>
      <c r="J3780" s="11"/>
      <c r="K3780" s="6"/>
      <c r="L3780" s="13"/>
    </row>
    <row r="3781" spans="1:12" hidden="1" x14ac:dyDescent="0.25">
      <c r="A3781" s="6"/>
      <c r="B3781" s="6"/>
      <c r="C3781" s="11"/>
      <c r="D3781" s="13"/>
      <c r="E3781" s="13"/>
      <c r="F3781" s="13"/>
      <c r="G3781" s="13"/>
      <c r="H3781" s="13"/>
      <c r="I3781" s="10"/>
      <c r="J3781" s="11"/>
      <c r="K3781" s="6"/>
      <c r="L3781" s="13"/>
    </row>
    <row r="3782" spans="1:12" hidden="1" x14ac:dyDescent="0.25">
      <c r="A3782" s="6"/>
      <c r="B3782" s="6"/>
      <c r="C3782" s="11"/>
      <c r="D3782" s="13"/>
      <c r="E3782" s="13"/>
      <c r="F3782" s="13"/>
      <c r="G3782" s="13"/>
      <c r="H3782" s="13"/>
      <c r="I3782" s="10"/>
      <c r="J3782" s="11"/>
      <c r="K3782" s="6"/>
      <c r="L3782" s="13"/>
    </row>
    <row r="3783" spans="1:12" hidden="1" x14ac:dyDescent="0.25">
      <c r="A3783" s="6"/>
      <c r="B3783" s="6"/>
      <c r="C3783" s="11"/>
      <c r="D3783" s="13"/>
      <c r="E3783" s="13"/>
      <c r="F3783" s="13"/>
      <c r="G3783" s="13"/>
      <c r="H3783" s="13"/>
      <c r="I3783" s="10"/>
      <c r="J3783" s="11"/>
      <c r="K3783" s="6"/>
      <c r="L3783" s="13"/>
    </row>
    <row r="3784" spans="1:12" hidden="1" x14ac:dyDescent="0.25">
      <c r="A3784" s="6"/>
      <c r="B3784" s="6"/>
      <c r="C3784" s="11"/>
      <c r="D3784" s="13"/>
      <c r="E3784" s="13"/>
      <c r="F3784" s="13"/>
      <c r="G3784" s="13"/>
      <c r="H3784" s="13"/>
      <c r="I3784" s="10"/>
      <c r="J3784" s="11"/>
      <c r="K3784" s="6"/>
      <c r="L3784" s="13"/>
    </row>
    <row r="3785" spans="1:12" hidden="1" x14ac:dyDescent="0.25">
      <c r="A3785" s="6"/>
      <c r="B3785" s="6"/>
      <c r="C3785" s="11"/>
      <c r="D3785" s="13"/>
      <c r="E3785" s="13"/>
      <c r="F3785" s="13"/>
      <c r="G3785" s="13"/>
      <c r="H3785" s="13"/>
      <c r="I3785" s="10"/>
      <c r="J3785" s="11"/>
      <c r="K3785" s="6"/>
      <c r="L3785" s="13"/>
    </row>
    <row r="3786" spans="1:12" hidden="1" x14ac:dyDescent="0.25">
      <c r="A3786" s="6"/>
      <c r="B3786" s="6"/>
      <c r="C3786" s="11"/>
      <c r="D3786" s="13"/>
      <c r="E3786" s="13"/>
      <c r="F3786" s="13"/>
      <c r="G3786" s="13"/>
      <c r="H3786" s="13"/>
      <c r="I3786" s="10"/>
      <c r="J3786" s="11"/>
      <c r="K3786" s="6"/>
      <c r="L3786" s="13"/>
    </row>
    <row r="3787" spans="1:12" hidden="1" x14ac:dyDescent="0.25">
      <c r="A3787" s="6"/>
      <c r="B3787" s="6"/>
      <c r="C3787" s="11"/>
      <c r="D3787" s="13"/>
      <c r="E3787" s="13"/>
      <c r="F3787" s="13"/>
      <c r="G3787" s="13"/>
      <c r="H3787" s="13"/>
      <c r="I3787" s="10"/>
      <c r="J3787" s="11"/>
      <c r="K3787" s="6"/>
      <c r="L3787" s="13"/>
    </row>
    <row r="3788" spans="1:12" hidden="1" x14ac:dyDescent="0.25">
      <c r="A3788" s="6"/>
      <c r="B3788" s="6"/>
      <c r="C3788" s="11"/>
      <c r="D3788" s="13"/>
      <c r="E3788" s="13"/>
      <c r="F3788" s="13"/>
      <c r="G3788" s="13"/>
      <c r="H3788" s="13"/>
      <c r="I3788" s="10"/>
      <c r="J3788" s="11"/>
      <c r="K3788" s="6"/>
      <c r="L3788" s="13"/>
    </row>
    <row r="3789" spans="1:12" hidden="1" x14ac:dyDescent="0.25">
      <c r="A3789" s="6"/>
      <c r="B3789" s="6"/>
      <c r="C3789" s="11"/>
      <c r="D3789" s="13"/>
      <c r="E3789" s="13"/>
      <c r="F3789" s="13"/>
      <c r="G3789" s="13"/>
      <c r="H3789" s="13"/>
      <c r="I3789" s="10"/>
      <c r="J3789" s="11"/>
      <c r="K3789" s="6"/>
      <c r="L3789" s="13"/>
    </row>
    <row r="3790" spans="1:12" hidden="1" x14ac:dyDescent="0.25">
      <c r="A3790" s="6"/>
      <c r="B3790" s="6"/>
      <c r="C3790" s="11"/>
      <c r="D3790" s="13"/>
      <c r="E3790" s="13"/>
      <c r="F3790" s="13"/>
      <c r="G3790" s="13"/>
      <c r="H3790" s="13"/>
      <c r="I3790" s="10"/>
      <c r="J3790" s="11"/>
      <c r="K3790" s="6"/>
      <c r="L3790" s="13"/>
    </row>
    <row r="3791" spans="1:12" hidden="1" x14ac:dyDescent="0.25">
      <c r="A3791" s="6"/>
      <c r="B3791" s="6"/>
      <c r="C3791" s="11"/>
      <c r="D3791" s="13"/>
      <c r="E3791" s="13"/>
      <c r="F3791" s="13"/>
      <c r="G3791" s="13"/>
      <c r="H3791" s="13"/>
      <c r="I3791" s="10"/>
      <c r="J3791" s="11"/>
      <c r="K3791" s="6"/>
      <c r="L3791" s="13"/>
    </row>
    <row r="3792" spans="1:12" hidden="1" x14ac:dyDescent="0.25">
      <c r="A3792" s="6"/>
      <c r="B3792" s="6"/>
      <c r="C3792" s="11"/>
      <c r="D3792" s="13"/>
      <c r="E3792" s="13"/>
      <c r="F3792" s="13"/>
      <c r="G3792" s="13"/>
      <c r="H3792" s="13"/>
      <c r="I3792" s="10"/>
      <c r="J3792" s="11"/>
      <c r="K3792" s="6"/>
      <c r="L3792" s="13"/>
    </row>
    <row r="3793" spans="1:12" hidden="1" x14ac:dyDescent="0.25">
      <c r="A3793" s="6"/>
      <c r="B3793" s="6"/>
      <c r="C3793" s="11"/>
      <c r="D3793" s="13"/>
      <c r="E3793" s="13"/>
      <c r="F3793" s="13"/>
      <c r="G3793" s="13"/>
      <c r="H3793" s="13"/>
      <c r="I3793" s="10"/>
      <c r="J3793" s="11"/>
      <c r="K3793" s="6"/>
      <c r="L3793" s="13"/>
    </row>
    <row r="3794" spans="1:12" hidden="1" x14ac:dyDescent="0.25">
      <c r="A3794" s="6"/>
      <c r="B3794" s="6"/>
      <c r="C3794" s="11"/>
      <c r="D3794" s="13"/>
      <c r="E3794" s="13"/>
      <c r="F3794" s="13"/>
      <c r="G3794" s="13"/>
      <c r="H3794" s="13"/>
      <c r="I3794" s="10"/>
      <c r="J3794" s="11"/>
      <c r="K3794" s="6"/>
      <c r="L3794" s="13"/>
    </row>
    <row r="3795" spans="1:12" hidden="1" x14ac:dyDescent="0.25">
      <c r="A3795" s="6"/>
      <c r="B3795" s="6"/>
      <c r="C3795" s="11"/>
      <c r="D3795" s="13"/>
      <c r="E3795" s="13"/>
      <c r="F3795" s="13"/>
      <c r="G3795" s="13"/>
      <c r="H3795" s="13"/>
      <c r="I3795" s="10"/>
      <c r="J3795" s="11"/>
      <c r="K3795" s="6"/>
      <c r="L3795" s="13"/>
    </row>
    <row r="3796" spans="1:12" hidden="1" x14ac:dyDescent="0.25">
      <c r="A3796" s="6"/>
      <c r="B3796" s="6"/>
      <c r="C3796" s="11"/>
      <c r="D3796" s="13"/>
      <c r="E3796" s="13"/>
      <c r="F3796" s="13"/>
      <c r="G3796" s="13"/>
      <c r="H3796" s="13"/>
      <c r="I3796" s="10"/>
      <c r="J3796" s="11"/>
      <c r="K3796" s="6"/>
      <c r="L3796" s="13"/>
    </row>
    <row r="3797" spans="1:12" hidden="1" x14ac:dyDescent="0.25">
      <c r="A3797" s="6"/>
      <c r="B3797" s="6"/>
      <c r="C3797" s="11"/>
      <c r="D3797" s="13"/>
      <c r="E3797" s="13"/>
      <c r="F3797" s="13"/>
      <c r="G3797" s="13"/>
      <c r="H3797" s="13"/>
      <c r="I3797" s="10"/>
      <c r="J3797" s="11"/>
      <c r="K3797" s="6"/>
      <c r="L3797" s="13"/>
    </row>
    <row r="3798" spans="1:12" hidden="1" x14ac:dyDescent="0.25">
      <c r="A3798" s="6"/>
      <c r="B3798" s="6"/>
      <c r="C3798" s="11"/>
      <c r="D3798" s="13"/>
      <c r="E3798" s="13"/>
      <c r="F3798" s="13"/>
      <c r="G3798" s="13"/>
      <c r="H3798" s="13"/>
      <c r="I3798" s="10"/>
      <c r="J3798" s="11"/>
      <c r="K3798" s="6"/>
      <c r="L3798" s="13"/>
    </row>
    <row r="3799" spans="1:12" hidden="1" x14ac:dyDescent="0.25">
      <c r="A3799" s="6"/>
      <c r="B3799" s="6"/>
      <c r="C3799" s="11"/>
      <c r="D3799" s="13"/>
      <c r="E3799" s="13"/>
      <c r="F3799" s="13"/>
      <c r="G3799" s="13"/>
      <c r="H3799" s="13"/>
      <c r="I3799" s="10"/>
      <c r="J3799" s="11"/>
      <c r="K3799" s="6"/>
      <c r="L3799" s="13"/>
    </row>
    <row r="3800" spans="1:12" hidden="1" x14ac:dyDescent="0.25">
      <c r="A3800" s="6"/>
      <c r="B3800" s="6"/>
      <c r="C3800" s="11"/>
      <c r="D3800" s="13"/>
      <c r="E3800" s="13"/>
      <c r="F3800" s="13"/>
      <c r="G3800" s="13"/>
      <c r="H3800" s="13"/>
      <c r="I3800" s="10"/>
      <c r="J3800" s="11"/>
      <c r="K3800" s="6"/>
      <c r="L3800" s="13"/>
    </row>
    <row r="3801" spans="1:12" hidden="1" x14ac:dyDescent="0.25">
      <c r="A3801" s="6"/>
      <c r="B3801" s="6"/>
      <c r="C3801" s="11"/>
      <c r="D3801" s="13"/>
      <c r="E3801" s="13"/>
      <c r="F3801" s="13"/>
      <c r="G3801" s="13"/>
      <c r="H3801" s="13"/>
      <c r="I3801" s="10"/>
      <c r="J3801" s="11"/>
      <c r="K3801" s="6"/>
      <c r="L3801" s="13"/>
    </row>
    <row r="3802" spans="1:12" hidden="1" x14ac:dyDescent="0.25">
      <c r="A3802" s="6"/>
      <c r="B3802" s="6"/>
      <c r="C3802" s="11"/>
      <c r="D3802" s="13"/>
      <c r="E3802" s="13"/>
      <c r="F3802" s="13"/>
      <c r="G3802" s="13"/>
      <c r="H3802" s="13"/>
      <c r="I3802" s="10"/>
      <c r="J3802" s="11"/>
      <c r="K3802" s="6"/>
      <c r="L3802" s="13"/>
    </row>
    <row r="3803" spans="1:12" hidden="1" x14ac:dyDescent="0.25">
      <c r="A3803" s="6"/>
      <c r="B3803" s="6"/>
      <c r="C3803" s="11"/>
      <c r="D3803" s="13"/>
      <c r="E3803" s="13"/>
      <c r="F3803" s="13"/>
      <c r="G3803" s="13"/>
      <c r="H3803" s="13"/>
      <c r="I3803" s="10"/>
      <c r="J3803" s="11"/>
      <c r="K3803" s="6"/>
      <c r="L3803" s="13"/>
    </row>
    <row r="3804" spans="1:12" hidden="1" x14ac:dyDescent="0.25">
      <c r="A3804" s="6"/>
      <c r="B3804" s="6"/>
      <c r="C3804" s="11"/>
      <c r="D3804" s="13"/>
      <c r="E3804" s="13"/>
      <c r="F3804" s="13"/>
      <c r="G3804" s="13"/>
      <c r="H3804" s="13"/>
      <c r="I3804" s="10"/>
      <c r="J3804" s="11"/>
      <c r="K3804" s="6"/>
      <c r="L3804" s="13"/>
    </row>
    <row r="3805" spans="1:12" hidden="1" x14ac:dyDescent="0.25">
      <c r="A3805" s="6"/>
      <c r="B3805" s="6"/>
      <c r="C3805" s="11"/>
      <c r="D3805" s="13"/>
      <c r="E3805" s="13"/>
      <c r="F3805" s="13"/>
      <c r="G3805" s="13"/>
      <c r="H3805" s="13"/>
      <c r="I3805" s="10"/>
      <c r="J3805" s="11"/>
      <c r="K3805" s="6"/>
      <c r="L3805" s="13"/>
    </row>
    <row r="3806" spans="1:12" hidden="1" x14ac:dyDescent="0.25">
      <c r="A3806" s="6"/>
      <c r="B3806" s="6"/>
      <c r="C3806" s="11"/>
      <c r="D3806" s="13"/>
      <c r="E3806" s="13"/>
      <c r="F3806" s="13"/>
      <c r="G3806" s="13"/>
      <c r="H3806" s="13"/>
      <c r="I3806" s="10"/>
      <c r="J3806" s="11"/>
      <c r="K3806" s="6"/>
      <c r="L3806" s="13"/>
    </row>
    <row r="3807" spans="1:12" hidden="1" x14ac:dyDescent="0.25">
      <c r="A3807" s="6"/>
      <c r="B3807" s="6"/>
      <c r="C3807" s="11"/>
      <c r="D3807" s="13"/>
      <c r="E3807" s="13"/>
      <c r="F3807" s="13"/>
      <c r="G3807" s="13"/>
      <c r="H3807" s="13"/>
      <c r="I3807" s="10"/>
      <c r="J3807" s="11"/>
      <c r="K3807" s="6"/>
      <c r="L3807" s="13"/>
    </row>
    <row r="3808" spans="1:12" hidden="1" x14ac:dyDescent="0.25">
      <c r="A3808" s="6"/>
      <c r="B3808" s="6"/>
      <c r="C3808" s="11"/>
      <c r="D3808" s="13"/>
      <c r="E3808" s="13"/>
      <c r="F3808" s="13"/>
      <c r="G3808" s="13"/>
      <c r="H3808" s="13"/>
      <c r="I3808" s="10"/>
      <c r="J3808" s="11"/>
      <c r="K3808" s="6"/>
      <c r="L3808" s="13"/>
    </row>
    <row r="3809" spans="1:12" hidden="1" x14ac:dyDescent="0.25">
      <c r="A3809" s="6"/>
      <c r="B3809" s="6"/>
      <c r="C3809" s="11"/>
      <c r="D3809" s="13"/>
      <c r="E3809" s="13"/>
      <c r="F3809" s="13"/>
      <c r="G3809" s="13"/>
      <c r="H3809" s="13"/>
      <c r="I3809" s="10"/>
      <c r="J3809" s="11"/>
      <c r="K3809" s="6"/>
      <c r="L3809" s="13"/>
    </row>
    <row r="3810" spans="1:12" hidden="1" x14ac:dyDescent="0.25">
      <c r="A3810" s="6"/>
      <c r="B3810" s="6"/>
      <c r="C3810" s="11"/>
      <c r="D3810" s="13"/>
      <c r="E3810" s="13"/>
      <c r="F3810" s="13"/>
      <c r="G3810" s="13"/>
      <c r="H3810" s="13"/>
      <c r="I3810" s="10"/>
      <c r="J3810" s="11"/>
      <c r="K3810" s="6"/>
      <c r="L3810" s="13"/>
    </row>
    <row r="3811" spans="1:12" hidden="1" x14ac:dyDescent="0.25">
      <c r="A3811" s="6"/>
      <c r="B3811" s="6"/>
      <c r="C3811" s="11"/>
      <c r="D3811" s="13"/>
      <c r="E3811" s="13"/>
      <c r="F3811" s="13"/>
      <c r="G3811" s="13"/>
      <c r="H3811" s="13"/>
      <c r="I3811" s="10"/>
      <c r="J3811" s="11"/>
      <c r="K3811" s="6"/>
      <c r="L3811" s="13"/>
    </row>
    <row r="3812" spans="1:12" hidden="1" x14ac:dyDescent="0.25">
      <c r="A3812" s="6"/>
      <c r="B3812" s="6"/>
      <c r="C3812" s="11"/>
      <c r="D3812" s="13"/>
      <c r="E3812" s="13"/>
      <c r="F3812" s="13"/>
      <c r="G3812" s="13"/>
      <c r="H3812" s="13"/>
      <c r="I3812" s="10"/>
      <c r="J3812" s="11"/>
      <c r="K3812" s="6"/>
      <c r="L3812" s="13"/>
    </row>
    <row r="3813" spans="1:12" hidden="1" x14ac:dyDescent="0.25">
      <c r="A3813" s="6"/>
      <c r="B3813" s="6"/>
      <c r="C3813" s="11"/>
      <c r="D3813" s="13"/>
      <c r="E3813" s="13"/>
      <c r="F3813" s="13"/>
      <c r="G3813" s="13"/>
      <c r="H3813" s="13"/>
      <c r="I3813" s="10"/>
      <c r="J3813" s="11"/>
      <c r="K3813" s="6"/>
      <c r="L3813" s="13"/>
    </row>
    <row r="3814" spans="1:12" hidden="1" x14ac:dyDescent="0.25">
      <c r="A3814" s="6"/>
      <c r="B3814" s="6"/>
      <c r="C3814" s="11"/>
      <c r="D3814" s="13"/>
      <c r="E3814" s="13"/>
      <c r="F3814" s="13"/>
      <c r="G3814" s="13"/>
      <c r="H3814" s="13"/>
      <c r="I3814" s="10"/>
      <c r="J3814" s="11"/>
      <c r="K3814" s="6"/>
      <c r="L3814" s="13"/>
    </row>
    <row r="3815" spans="1:12" hidden="1" x14ac:dyDescent="0.25">
      <c r="A3815" s="6"/>
      <c r="B3815" s="6"/>
      <c r="C3815" s="11"/>
      <c r="D3815" s="13"/>
      <c r="E3815" s="13"/>
      <c r="F3815" s="13"/>
      <c r="G3815" s="13"/>
      <c r="H3815" s="13"/>
      <c r="I3815" s="10"/>
      <c r="J3815" s="11"/>
      <c r="K3815" s="6"/>
      <c r="L3815" s="13"/>
    </row>
    <row r="3816" spans="1:12" hidden="1" x14ac:dyDescent="0.25">
      <c r="A3816" s="6"/>
      <c r="B3816" s="6"/>
      <c r="C3816" s="11"/>
      <c r="D3816" s="13"/>
      <c r="E3816" s="13"/>
      <c r="F3816" s="13"/>
      <c r="G3816" s="13"/>
      <c r="H3816" s="13"/>
      <c r="I3816" s="10"/>
      <c r="J3816" s="11"/>
      <c r="K3816" s="6"/>
      <c r="L3816" s="13"/>
    </row>
    <row r="3817" spans="1:12" hidden="1" x14ac:dyDescent="0.25">
      <c r="A3817" s="6"/>
      <c r="B3817" s="6"/>
      <c r="C3817" s="11"/>
      <c r="D3817" s="13"/>
      <c r="E3817" s="13"/>
      <c r="F3817" s="13"/>
      <c r="G3817" s="13"/>
      <c r="H3817" s="13"/>
      <c r="I3817" s="10"/>
      <c r="J3817" s="11"/>
      <c r="K3817" s="6"/>
      <c r="L3817" s="13"/>
    </row>
    <row r="3818" spans="1:12" hidden="1" x14ac:dyDescent="0.25">
      <c r="A3818" s="6"/>
      <c r="B3818" s="6"/>
      <c r="C3818" s="11"/>
      <c r="D3818" s="13"/>
      <c r="E3818" s="13"/>
      <c r="F3818" s="13"/>
      <c r="G3818" s="13"/>
      <c r="H3818" s="13"/>
      <c r="I3818" s="10"/>
      <c r="J3818" s="11"/>
      <c r="K3818" s="6"/>
      <c r="L3818" s="13"/>
    </row>
    <row r="3819" spans="1:12" hidden="1" x14ac:dyDescent="0.25">
      <c r="A3819" s="6"/>
      <c r="B3819" s="6"/>
      <c r="C3819" s="11"/>
      <c r="D3819" s="13"/>
      <c r="E3819" s="13"/>
      <c r="F3819" s="13"/>
      <c r="G3819" s="13"/>
      <c r="H3819" s="13"/>
      <c r="I3819" s="10"/>
      <c r="J3819" s="11"/>
      <c r="K3819" s="6"/>
      <c r="L3819" s="13"/>
    </row>
    <row r="3820" spans="1:12" hidden="1" x14ac:dyDescent="0.25">
      <c r="A3820" s="6"/>
      <c r="B3820" s="6"/>
      <c r="C3820" s="11"/>
      <c r="D3820" s="13"/>
      <c r="E3820" s="13"/>
      <c r="F3820" s="13"/>
      <c r="G3820" s="13"/>
      <c r="H3820" s="13"/>
      <c r="I3820" s="10"/>
      <c r="J3820" s="11"/>
      <c r="K3820" s="6"/>
      <c r="L3820" s="13"/>
    </row>
    <row r="3821" spans="1:12" hidden="1" x14ac:dyDescent="0.25">
      <c r="A3821" s="6"/>
      <c r="B3821" s="6"/>
      <c r="C3821" s="11"/>
      <c r="D3821" s="13"/>
      <c r="E3821" s="13"/>
      <c r="F3821" s="13"/>
      <c r="G3821" s="13"/>
      <c r="H3821" s="13"/>
      <c r="I3821" s="10"/>
      <c r="J3821" s="11"/>
      <c r="K3821" s="6"/>
      <c r="L3821" s="13"/>
    </row>
    <row r="3822" spans="1:12" hidden="1" x14ac:dyDescent="0.25">
      <c r="A3822" s="6"/>
      <c r="B3822" s="6"/>
      <c r="C3822" s="11"/>
      <c r="D3822" s="13"/>
      <c r="E3822" s="13"/>
      <c r="F3822" s="13"/>
      <c r="G3822" s="13"/>
      <c r="H3822" s="13"/>
      <c r="I3822" s="10"/>
      <c r="J3822" s="11"/>
      <c r="K3822" s="6"/>
      <c r="L3822" s="13"/>
    </row>
    <row r="3823" spans="1:12" hidden="1" x14ac:dyDescent="0.25">
      <c r="A3823" s="6"/>
      <c r="B3823" s="6"/>
      <c r="C3823" s="11"/>
      <c r="D3823" s="13"/>
      <c r="E3823" s="13"/>
      <c r="F3823" s="13"/>
      <c r="G3823" s="13"/>
      <c r="H3823" s="13"/>
      <c r="I3823" s="10"/>
      <c r="J3823" s="11"/>
      <c r="K3823" s="6"/>
      <c r="L3823" s="13"/>
    </row>
    <row r="3824" spans="1:12" hidden="1" x14ac:dyDescent="0.25">
      <c r="A3824" s="6"/>
      <c r="B3824" s="6"/>
      <c r="C3824" s="11"/>
      <c r="D3824" s="13"/>
      <c r="E3824" s="13"/>
      <c r="F3824" s="13"/>
      <c r="G3824" s="13"/>
      <c r="H3824" s="13"/>
      <c r="I3824" s="10"/>
      <c r="J3824" s="11"/>
      <c r="K3824" s="6"/>
      <c r="L3824" s="13"/>
    </row>
    <row r="3825" spans="1:12" hidden="1" x14ac:dyDescent="0.25">
      <c r="A3825" s="6"/>
      <c r="B3825" s="6"/>
      <c r="C3825" s="11"/>
      <c r="D3825" s="13"/>
      <c r="E3825" s="13"/>
      <c r="F3825" s="13"/>
      <c r="G3825" s="13"/>
      <c r="H3825" s="13"/>
      <c r="I3825" s="10"/>
      <c r="J3825" s="11"/>
      <c r="K3825" s="6"/>
      <c r="L3825" s="13"/>
    </row>
    <row r="3826" spans="1:12" hidden="1" x14ac:dyDescent="0.25">
      <c r="A3826" s="6"/>
      <c r="B3826" s="6"/>
      <c r="C3826" s="11"/>
      <c r="D3826" s="13"/>
      <c r="E3826" s="13"/>
      <c r="F3826" s="13"/>
      <c r="G3826" s="13"/>
      <c r="H3826" s="13"/>
      <c r="I3826" s="10"/>
      <c r="J3826" s="11"/>
      <c r="K3826" s="6"/>
      <c r="L3826" s="13"/>
    </row>
    <row r="3827" spans="1:12" hidden="1" x14ac:dyDescent="0.25">
      <c r="A3827" s="6"/>
      <c r="B3827" s="6"/>
      <c r="C3827" s="11"/>
      <c r="D3827" s="13"/>
      <c r="E3827" s="13"/>
      <c r="F3827" s="13"/>
      <c r="G3827" s="13"/>
      <c r="H3827" s="13"/>
      <c r="I3827" s="10"/>
      <c r="J3827" s="11"/>
      <c r="K3827" s="6"/>
      <c r="L3827" s="13"/>
    </row>
    <row r="3828" spans="1:12" hidden="1" x14ac:dyDescent="0.25">
      <c r="A3828" s="6"/>
      <c r="B3828" s="6"/>
      <c r="C3828" s="11"/>
      <c r="D3828" s="13"/>
      <c r="E3828" s="13"/>
      <c r="F3828" s="13"/>
      <c r="G3828" s="13"/>
      <c r="H3828" s="13"/>
      <c r="I3828" s="10"/>
      <c r="J3828" s="11"/>
      <c r="K3828" s="6"/>
      <c r="L3828" s="13"/>
    </row>
    <row r="3829" spans="1:12" hidden="1" x14ac:dyDescent="0.25">
      <c r="A3829" s="6"/>
      <c r="B3829" s="6"/>
      <c r="C3829" s="11"/>
      <c r="D3829" s="13"/>
      <c r="E3829" s="13"/>
      <c r="F3829" s="13"/>
      <c r="G3829" s="13"/>
      <c r="H3829" s="13"/>
      <c r="I3829" s="10"/>
      <c r="J3829" s="11"/>
      <c r="K3829" s="6"/>
      <c r="L3829" s="13"/>
    </row>
    <row r="3830" spans="1:12" hidden="1" x14ac:dyDescent="0.25">
      <c r="A3830" s="6"/>
      <c r="B3830" s="6"/>
      <c r="C3830" s="11"/>
      <c r="D3830" s="13"/>
      <c r="E3830" s="13"/>
      <c r="F3830" s="13"/>
      <c r="G3830" s="13"/>
      <c r="H3830" s="13"/>
      <c r="I3830" s="10"/>
      <c r="J3830" s="11"/>
      <c r="K3830" s="6"/>
      <c r="L3830" s="13"/>
    </row>
    <row r="3831" spans="1:12" hidden="1" x14ac:dyDescent="0.25">
      <c r="A3831" s="6"/>
      <c r="B3831" s="6"/>
      <c r="C3831" s="11"/>
      <c r="D3831" s="13"/>
      <c r="E3831" s="13"/>
      <c r="F3831" s="13"/>
      <c r="G3831" s="13"/>
      <c r="H3831" s="13"/>
      <c r="I3831" s="10"/>
      <c r="J3831" s="11"/>
      <c r="K3831" s="6"/>
      <c r="L3831" s="13"/>
    </row>
    <row r="3832" spans="1:12" hidden="1" x14ac:dyDescent="0.25">
      <c r="A3832" s="6"/>
      <c r="B3832" s="6"/>
      <c r="C3832" s="11"/>
      <c r="D3832" s="13"/>
      <c r="E3832" s="13"/>
      <c r="F3832" s="13"/>
      <c r="G3832" s="13"/>
      <c r="H3832" s="13"/>
      <c r="I3832" s="10"/>
      <c r="J3832" s="11"/>
      <c r="K3832" s="6"/>
      <c r="L3832" s="13"/>
    </row>
    <row r="3833" spans="1:12" hidden="1" x14ac:dyDescent="0.25">
      <c r="A3833" s="6"/>
      <c r="B3833" s="6"/>
      <c r="C3833" s="11"/>
      <c r="D3833" s="13"/>
      <c r="E3833" s="13"/>
      <c r="F3833" s="13"/>
      <c r="G3833" s="13"/>
      <c r="H3833" s="13"/>
      <c r="I3833" s="10"/>
      <c r="J3833" s="11"/>
      <c r="K3833" s="6"/>
      <c r="L3833" s="13"/>
    </row>
    <row r="3834" spans="1:12" hidden="1" x14ac:dyDescent="0.25">
      <c r="A3834" s="6"/>
      <c r="B3834" s="6"/>
      <c r="C3834" s="11"/>
      <c r="D3834" s="13"/>
      <c r="E3834" s="13"/>
      <c r="F3834" s="13"/>
      <c r="G3834" s="13"/>
      <c r="H3834" s="13"/>
      <c r="I3834" s="10"/>
      <c r="J3834" s="11"/>
      <c r="K3834" s="6"/>
      <c r="L3834" s="13"/>
    </row>
    <row r="3835" spans="1:12" hidden="1" x14ac:dyDescent="0.25">
      <c r="A3835" s="6"/>
      <c r="B3835" s="6"/>
      <c r="C3835" s="11"/>
      <c r="D3835" s="13"/>
      <c r="E3835" s="13"/>
      <c r="F3835" s="13"/>
      <c r="G3835" s="13"/>
      <c r="H3835" s="13"/>
      <c r="I3835" s="10"/>
      <c r="J3835" s="11"/>
      <c r="K3835" s="6"/>
      <c r="L3835" s="13"/>
    </row>
    <row r="3836" spans="1:12" hidden="1" x14ac:dyDescent="0.25">
      <c r="A3836" s="6"/>
      <c r="B3836" s="6"/>
      <c r="C3836" s="11"/>
      <c r="D3836" s="13"/>
      <c r="E3836" s="13"/>
      <c r="F3836" s="13"/>
      <c r="G3836" s="13"/>
      <c r="H3836" s="13"/>
      <c r="I3836" s="10"/>
      <c r="J3836" s="11"/>
      <c r="K3836" s="6"/>
      <c r="L3836" s="13"/>
    </row>
    <row r="3837" spans="1:12" hidden="1" x14ac:dyDescent="0.25">
      <c r="A3837" s="6"/>
      <c r="B3837" s="6"/>
      <c r="C3837" s="11"/>
      <c r="D3837" s="13"/>
      <c r="E3837" s="13"/>
      <c r="F3837" s="13"/>
      <c r="G3837" s="13"/>
      <c r="H3837" s="13"/>
      <c r="I3837" s="10"/>
      <c r="J3837" s="11"/>
      <c r="K3837" s="6"/>
      <c r="L3837" s="13"/>
    </row>
    <row r="3838" spans="1:12" hidden="1" x14ac:dyDescent="0.25">
      <c r="A3838" s="6"/>
      <c r="B3838" s="6"/>
      <c r="C3838" s="11"/>
      <c r="D3838" s="13"/>
      <c r="E3838" s="13"/>
      <c r="F3838" s="13"/>
      <c r="G3838" s="13"/>
      <c r="H3838" s="13"/>
      <c r="I3838" s="10"/>
      <c r="J3838" s="11"/>
      <c r="K3838" s="6"/>
      <c r="L3838" s="13"/>
    </row>
    <row r="3839" spans="1:12" hidden="1" x14ac:dyDescent="0.25">
      <c r="A3839" s="6"/>
      <c r="B3839" s="6"/>
      <c r="C3839" s="11"/>
      <c r="D3839" s="13"/>
      <c r="E3839" s="13"/>
      <c r="F3839" s="13"/>
      <c r="G3839" s="13"/>
      <c r="H3839" s="13"/>
      <c r="I3839" s="10"/>
      <c r="J3839" s="11"/>
      <c r="K3839" s="6"/>
      <c r="L3839" s="13"/>
    </row>
    <row r="3840" spans="1:12" hidden="1" x14ac:dyDescent="0.25">
      <c r="A3840" s="6"/>
      <c r="B3840" s="6"/>
      <c r="C3840" s="11"/>
      <c r="D3840" s="13"/>
      <c r="E3840" s="13"/>
      <c r="F3840" s="13"/>
      <c r="G3840" s="13"/>
      <c r="H3840" s="13"/>
      <c r="I3840" s="10"/>
      <c r="J3840" s="11"/>
      <c r="K3840" s="6"/>
      <c r="L3840" s="13"/>
    </row>
    <row r="3841" spans="1:12" hidden="1" x14ac:dyDescent="0.25">
      <c r="A3841" s="6"/>
      <c r="B3841" s="6"/>
      <c r="C3841" s="11"/>
      <c r="D3841" s="13"/>
      <c r="E3841" s="13"/>
      <c r="F3841" s="13"/>
      <c r="G3841" s="13"/>
      <c r="H3841" s="13"/>
      <c r="I3841" s="10"/>
      <c r="J3841" s="11"/>
      <c r="K3841" s="6"/>
      <c r="L3841" s="13"/>
    </row>
    <row r="3842" spans="1:12" hidden="1" x14ac:dyDescent="0.25">
      <c r="A3842" s="6"/>
      <c r="B3842" s="6"/>
      <c r="C3842" s="11"/>
      <c r="D3842" s="13"/>
      <c r="E3842" s="13"/>
      <c r="F3842" s="13"/>
      <c r="G3842" s="13"/>
      <c r="H3842" s="13"/>
      <c r="I3842" s="10"/>
      <c r="J3842" s="11"/>
      <c r="K3842" s="6"/>
      <c r="L3842" s="13"/>
    </row>
    <row r="3843" spans="1:12" hidden="1" x14ac:dyDescent="0.25">
      <c r="A3843" s="6"/>
      <c r="B3843" s="6"/>
      <c r="C3843" s="11"/>
      <c r="D3843" s="13"/>
      <c r="E3843" s="13"/>
      <c r="F3843" s="13"/>
      <c r="G3843" s="13"/>
      <c r="H3843" s="13"/>
      <c r="I3843" s="10"/>
      <c r="J3843" s="11"/>
      <c r="K3843" s="6"/>
      <c r="L3843" s="13"/>
    </row>
    <row r="3844" spans="1:12" hidden="1" x14ac:dyDescent="0.25">
      <c r="A3844" s="6"/>
      <c r="B3844" s="6"/>
      <c r="C3844" s="11"/>
      <c r="D3844" s="13"/>
      <c r="E3844" s="13"/>
      <c r="F3844" s="13"/>
      <c r="G3844" s="13"/>
      <c r="H3844" s="13"/>
      <c r="I3844" s="10"/>
      <c r="J3844" s="11"/>
      <c r="K3844" s="6"/>
      <c r="L3844" s="13"/>
    </row>
    <row r="3845" spans="1:12" hidden="1" x14ac:dyDescent="0.25">
      <c r="A3845" s="6"/>
      <c r="B3845" s="6"/>
      <c r="C3845" s="11"/>
      <c r="D3845" s="13"/>
      <c r="E3845" s="13"/>
      <c r="F3845" s="13"/>
      <c r="G3845" s="13"/>
      <c r="H3845" s="13"/>
      <c r="I3845" s="10"/>
      <c r="J3845" s="11"/>
      <c r="K3845" s="6"/>
      <c r="L3845" s="13"/>
    </row>
    <row r="3846" spans="1:12" hidden="1" x14ac:dyDescent="0.25">
      <c r="A3846" s="6"/>
      <c r="B3846" s="6"/>
      <c r="C3846" s="11"/>
      <c r="D3846" s="13"/>
      <c r="E3846" s="13"/>
      <c r="F3846" s="13"/>
      <c r="G3846" s="13"/>
      <c r="H3846" s="13"/>
      <c r="I3846" s="10"/>
      <c r="J3846" s="11"/>
      <c r="K3846" s="6"/>
      <c r="L3846" s="13"/>
    </row>
    <row r="3847" spans="1:12" hidden="1" x14ac:dyDescent="0.25">
      <c r="A3847" s="6"/>
      <c r="B3847" s="6"/>
      <c r="C3847" s="11"/>
      <c r="D3847" s="13"/>
      <c r="E3847" s="13"/>
      <c r="F3847" s="13"/>
      <c r="G3847" s="13"/>
      <c r="H3847" s="13"/>
      <c r="I3847" s="10"/>
      <c r="J3847" s="11"/>
      <c r="K3847" s="6"/>
      <c r="L3847" s="13"/>
    </row>
    <row r="3848" spans="1:12" hidden="1" x14ac:dyDescent="0.25">
      <c r="A3848" s="6"/>
      <c r="B3848" s="6"/>
      <c r="C3848" s="11"/>
      <c r="D3848" s="13"/>
      <c r="E3848" s="13"/>
      <c r="F3848" s="13"/>
      <c r="G3848" s="13"/>
      <c r="H3848" s="13"/>
      <c r="I3848" s="10"/>
      <c r="J3848" s="11"/>
      <c r="K3848" s="6"/>
      <c r="L3848" s="13"/>
    </row>
    <row r="3849" spans="1:12" hidden="1" x14ac:dyDescent="0.25">
      <c r="A3849" s="6"/>
      <c r="B3849" s="6"/>
      <c r="C3849" s="11"/>
      <c r="D3849" s="13"/>
      <c r="E3849" s="13"/>
      <c r="F3849" s="13"/>
      <c r="G3849" s="13"/>
      <c r="H3849" s="13"/>
      <c r="I3849" s="10"/>
      <c r="J3849" s="11"/>
      <c r="K3849" s="6"/>
      <c r="L3849" s="13"/>
    </row>
    <row r="3850" spans="1:12" hidden="1" x14ac:dyDescent="0.25">
      <c r="A3850" s="6"/>
      <c r="B3850" s="6"/>
      <c r="C3850" s="11"/>
      <c r="D3850" s="13"/>
      <c r="E3850" s="13"/>
      <c r="F3850" s="13"/>
      <c r="G3850" s="13"/>
      <c r="H3850" s="13"/>
      <c r="I3850" s="10"/>
      <c r="J3850" s="11"/>
      <c r="K3850" s="6"/>
      <c r="L3850" s="13"/>
    </row>
    <row r="3851" spans="1:12" hidden="1" x14ac:dyDescent="0.25">
      <c r="A3851" s="6"/>
      <c r="B3851" s="6"/>
      <c r="C3851" s="11"/>
      <c r="D3851" s="13"/>
      <c r="E3851" s="13"/>
      <c r="F3851" s="13"/>
      <c r="G3851" s="13"/>
      <c r="H3851" s="13"/>
      <c r="I3851" s="10"/>
      <c r="J3851" s="11"/>
      <c r="K3851" s="6"/>
      <c r="L3851" s="13"/>
    </row>
    <row r="3852" spans="1:12" hidden="1" x14ac:dyDescent="0.25">
      <c r="A3852" s="6"/>
      <c r="B3852" s="6"/>
      <c r="C3852" s="11"/>
      <c r="D3852" s="13"/>
      <c r="E3852" s="13"/>
      <c r="F3852" s="13"/>
      <c r="G3852" s="13"/>
      <c r="H3852" s="13"/>
      <c r="I3852" s="10"/>
      <c r="J3852" s="11"/>
      <c r="K3852" s="6"/>
      <c r="L3852" s="13"/>
    </row>
    <row r="3853" spans="1:12" hidden="1" x14ac:dyDescent="0.25">
      <c r="A3853" s="6"/>
      <c r="B3853" s="6"/>
      <c r="C3853" s="11"/>
      <c r="D3853" s="13"/>
      <c r="E3853" s="13"/>
      <c r="F3853" s="13"/>
      <c r="G3853" s="13"/>
      <c r="H3853" s="13"/>
      <c r="I3853" s="10"/>
      <c r="J3853" s="11"/>
      <c r="K3853" s="6"/>
      <c r="L3853" s="13"/>
    </row>
    <row r="3854" spans="1:12" hidden="1" x14ac:dyDescent="0.25">
      <c r="A3854" s="6"/>
      <c r="B3854" s="6"/>
      <c r="C3854" s="11"/>
      <c r="D3854" s="13"/>
      <c r="E3854" s="13"/>
      <c r="F3854" s="13"/>
      <c r="G3854" s="13"/>
      <c r="H3854" s="13"/>
      <c r="I3854" s="10"/>
      <c r="J3854" s="11"/>
      <c r="K3854" s="6"/>
      <c r="L3854" s="13"/>
    </row>
    <row r="3855" spans="1:12" hidden="1" x14ac:dyDescent="0.25">
      <c r="A3855" s="6"/>
      <c r="B3855" s="6"/>
      <c r="C3855" s="11"/>
      <c r="D3855" s="13"/>
      <c r="E3855" s="13"/>
      <c r="F3855" s="13"/>
      <c r="G3855" s="13"/>
      <c r="H3855" s="13"/>
      <c r="I3855" s="10"/>
      <c r="J3855" s="11"/>
      <c r="K3855" s="6"/>
      <c r="L3855" s="13"/>
    </row>
    <row r="3856" spans="1:12" hidden="1" x14ac:dyDescent="0.25">
      <c r="A3856" s="6"/>
      <c r="B3856" s="6"/>
      <c r="C3856" s="11"/>
      <c r="D3856" s="13"/>
      <c r="E3856" s="13"/>
      <c r="F3856" s="13"/>
      <c r="G3856" s="13"/>
      <c r="H3856" s="13"/>
      <c r="I3856" s="10"/>
      <c r="J3856" s="11"/>
      <c r="K3856" s="6"/>
      <c r="L3856" s="13"/>
    </row>
    <row r="3857" spans="1:12" hidden="1" x14ac:dyDescent="0.25">
      <c r="A3857" s="6"/>
      <c r="B3857" s="6"/>
      <c r="C3857" s="11"/>
      <c r="D3857" s="13"/>
      <c r="E3857" s="13"/>
      <c r="F3857" s="13"/>
      <c r="G3857" s="13"/>
      <c r="H3857" s="13"/>
      <c r="I3857" s="10"/>
      <c r="J3857" s="11"/>
      <c r="K3857" s="6"/>
      <c r="L3857" s="13"/>
    </row>
    <row r="3858" spans="1:12" hidden="1" x14ac:dyDescent="0.25">
      <c r="A3858" s="6"/>
      <c r="B3858" s="6"/>
      <c r="C3858" s="11"/>
      <c r="D3858" s="13"/>
      <c r="E3858" s="13"/>
      <c r="F3858" s="13"/>
      <c r="G3858" s="13"/>
      <c r="H3858" s="13"/>
      <c r="I3858" s="10"/>
      <c r="J3858" s="11"/>
      <c r="K3858" s="6"/>
      <c r="L3858" s="13"/>
    </row>
    <row r="3859" spans="1:12" hidden="1" x14ac:dyDescent="0.25">
      <c r="A3859" s="6"/>
      <c r="B3859" s="6"/>
      <c r="C3859" s="11"/>
      <c r="D3859" s="13"/>
      <c r="E3859" s="13"/>
      <c r="F3859" s="13"/>
      <c r="G3859" s="13"/>
      <c r="H3859" s="13"/>
      <c r="I3859" s="10"/>
      <c r="J3859" s="11"/>
      <c r="K3859" s="6"/>
      <c r="L3859" s="13"/>
    </row>
    <row r="3860" spans="1:12" hidden="1" x14ac:dyDescent="0.25">
      <c r="A3860" s="6"/>
      <c r="B3860" s="6"/>
      <c r="C3860" s="11"/>
      <c r="D3860" s="13"/>
      <c r="E3860" s="13"/>
      <c r="F3860" s="13"/>
      <c r="G3860" s="13"/>
      <c r="H3860" s="13"/>
      <c r="I3860" s="10"/>
      <c r="J3860" s="11"/>
      <c r="K3860" s="6"/>
      <c r="L3860" s="13"/>
    </row>
    <row r="3861" spans="1:12" hidden="1" x14ac:dyDescent="0.25">
      <c r="A3861" s="6"/>
      <c r="B3861" s="6"/>
      <c r="C3861" s="11"/>
      <c r="D3861" s="13"/>
      <c r="E3861" s="13"/>
      <c r="F3861" s="13"/>
      <c r="G3861" s="13"/>
      <c r="H3861" s="13"/>
      <c r="I3861" s="10"/>
      <c r="J3861" s="11"/>
      <c r="K3861" s="6"/>
      <c r="L3861" s="13"/>
    </row>
    <row r="3862" spans="1:12" hidden="1" x14ac:dyDescent="0.25">
      <c r="A3862" s="6"/>
      <c r="B3862" s="6"/>
      <c r="C3862" s="11"/>
      <c r="D3862" s="13"/>
      <c r="E3862" s="13"/>
      <c r="F3862" s="13"/>
      <c r="G3862" s="13"/>
      <c r="H3862" s="13"/>
      <c r="I3862" s="10"/>
      <c r="J3862" s="11"/>
      <c r="K3862" s="6"/>
      <c r="L3862" s="13"/>
    </row>
    <row r="3863" spans="1:12" hidden="1" x14ac:dyDescent="0.25">
      <c r="A3863" s="6"/>
      <c r="B3863" s="6"/>
      <c r="C3863" s="11"/>
      <c r="D3863" s="13"/>
      <c r="E3863" s="13"/>
      <c r="F3863" s="13"/>
      <c r="G3863" s="13"/>
      <c r="H3863" s="13"/>
      <c r="I3863" s="10"/>
      <c r="J3863" s="11"/>
      <c r="K3863" s="6"/>
      <c r="L3863" s="13"/>
    </row>
    <row r="3864" spans="1:12" hidden="1" x14ac:dyDescent="0.25">
      <c r="A3864" s="6"/>
      <c r="B3864" s="6"/>
      <c r="C3864" s="11"/>
      <c r="D3864" s="13"/>
      <c r="E3864" s="13"/>
      <c r="F3864" s="13"/>
      <c r="G3864" s="13"/>
      <c r="H3864" s="13"/>
      <c r="I3864" s="10"/>
      <c r="J3864" s="11"/>
      <c r="K3864" s="6"/>
      <c r="L3864" s="13"/>
    </row>
    <row r="3865" spans="1:12" hidden="1" x14ac:dyDescent="0.25">
      <c r="A3865" s="6"/>
      <c r="B3865" s="6"/>
      <c r="C3865" s="11"/>
      <c r="D3865" s="13"/>
      <c r="E3865" s="13"/>
      <c r="F3865" s="13"/>
      <c r="G3865" s="13"/>
      <c r="H3865" s="13"/>
      <c r="I3865" s="10"/>
      <c r="J3865" s="11"/>
      <c r="K3865" s="6"/>
      <c r="L3865" s="13"/>
    </row>
    <row r="3866" spans="1:12" hidden="1" x14ac:dyDescent="0.25">
      <c r="A3866" s="6"/>
      <c r="B3866" s="6"/>
      <c r="C3866" s="11"/>
      <c r="D3866" s="13"/>
      <c r="E3866" s="13"/>
      <c r="F3866" s="13"/>
      <c r="G3866" s="13"/>
      <c r="H3866" s="13"/>
      <c r="I3866" s="10"/>
      <c r="J3866" s="11"/>
      <c r="K3866" s="6"/>
      <c r="L3866" s="13"/>
    </row>
    <row r="3867" spans="1:12" hidden="1" x14ac:dyDescent="0.25">
      <c r="A3867" s="6"/>
      <c r="B3867" s="6"/>
      <c r="C3867" s="11"/>
      <c r="D3867" s="13"/>
      <c r="E3867" s="13"/>
      <c r="F3867" s="13"/>
      <c r="G3867" s="13"/>
      <c r="H3867" s="13"/>
      <c r="I3867" s="10"/>
      <c r="J3867" s="11"/>
      <c r="K3867" s="6"/>
      <c r="L3867" s="13"/>
    </row>
    <row r="3868" spans="1:12" hidden="1" x14ac:dyDescent="0.25">
      <c r="A3868" s="6"/>
      <c r="B3868" s="6"/>
      <c r="C3868" s="11"/>
      <c r="D3868" s="13"/>
      <c r="E3868" s="13"/>
      <c r="F3868" s="13"/>
      <c r="G3868" s="13"/>
      <c r="H3868" s="13"/>
      <c r="I3868" s="10"/>
      <c r="J3868" s="11"/>
      <c r="K3868" s="6"/>
      <c r="L3868" s="13"/>
    </row>
    <row r="3869" spans="1:12" hidden="1" x14ac:dyDescent="0.25">
      <c r="A3869" s="6"/>
      <c r="B3869" s="6"/>
      <c r="C3869" s="11"/>
      <c r="D3869" s="13"/>
      <c r="E3869" s="13"/>
      <c r="F3869" s="13"/>
      <c r="G3869" s="13"/>
      <c r="H3869" s="13"/>
      <c r="I3869" s="10"/>
      <c r="J3869" s="11"/>
      <c r="K3869" s="6"/>
      <c r="L3869" s="13"/>
    </row>
    <row r="3870" spans="1:12" hidden="1" x14ac:dyDescent="0.25">
      <c r="A3870" s="6"/>
      <c r="B3870" s="6"/>
      <c r="C3870" s="11"/>
      <c r="D3870" s="13"/>
      <c r="E3870" s="13"/>
      <c r="F3870" s="13"/>
      <c r="G3870" s="13"/>
      <c r="H3870" s="13"/>
      <c r="I3870" s="10"/>
      <c r="J3870" s="11"/>
      <c r="K3870" s="6"/>
      <c r="L3870" s="13"/>
    </row>
    <row r="3871" spans="1:12" hidden="1" x14ac:dyDescent="0.25">
      <c r="A3871" s="6"/>
      <c r="B3871" s="6"/>
      <c r="C3871" s="11"/>
      <c r="D3871" s="13"/>
      <c r="E3871" s="13"/>
      <c r="F3871" s="13"/>
      <c r="G3871" s="13"/>
      <c r="H3871" s="13"/>
      <c r="I3871" s="10"/>
      <c r="J3871" s="11"/>
      <c r="K3871" s="6"/>
      <c r="L3871" s="13"/>
    </row>
    <row r="3872" spans="1:12" hidden="1" x14ac:dyDescent="0.25">
      <c r="A3872" s="6"/>
      <c r="B3872" s="6"/>
      <c r="C3872" s="11"/>
      <c r="D3872" s="13"/>
      <c r="E3872" s="13"/>
      <c r="F3872" s="13"/>
      <c r="G3872" s="13"/>
      <c r="H3872" s="13"/>
      <c r="I3872" s="10"/>
      <c r="J3872" s="11"/>
      <c r="K3872" s="6"/>
      <c r="L3872" s="13"/>
    </row>
    <row r="3873" spans="1:12" hidden="1" x14ac:dyDescent="0.25">
      <c r="A3873" s="6"/>
      <c r="B3873" s="6"/>
      <c r="C3873" s="11"/>
      <c r="D3873" s="13"/>
      <c r="E3873" s="13"/>
      <c r="F3873" s="13"/>
      <c r="G3873" s="13"/>
      <c r="H3873" s="13"/>
      <c r="I3873" s="10"/>
      <c r="J3873" s="11"/>
      <c r="K3873" s="6"/>
      <c r="L3873" s="13"/>
    </row>
    <row r="3874" spans="1:12" hidden="1" x14ac:dyDescent="0.25">
      <c r="A3874" s="6"/>
      <c r="B3874" s="6"/>
      <c r="C3874" s="11"/>
      <c r="D3874" s="13"/>
      <c r="E3874" s="13"/>
      <c r="F3874" s="13"/>
      <c r="G3874" s="13"/>
      <c r="H3874" s="13"/>
      <c r="I3874" s="10"/>
      <c r="J3874" s="11"/>
      <c r="K3874" s="6"/>
      <c r="L3874" s="13"/>
    </row>
    <row r="3875" spans="1:12" hidden="1" x14ac:dyDescent="0.25">
      <c r="A3875" s="6"/>
      <c r="B3875" s="6"/>
      <c r="C3875" s="11"/>
      <c r="D3875" s="13"/>
      <c r="E3875" s="13"/>
      <c r="F3875" s="13"/>
      <c r="G3875" s="13"/>
      <c r="H3875" s="13"/>
      <c r="I3875" s="10"/>
      <c r="J3875" s="11"/>
      <c r="K3875" s="6"/>
      <c r="L3875" s="13"/>
    </row>
    <row r="3876" spans="1:12" hidden="1" x14ac:dyDescent="0.25">
      <c r="A3876" s="6"/>
      <c r="B3876" s="6"/>
      <c r="C3876" s="11"/>
      <c r="D3876" s="13"/>
      <c r="E3876" s="13"/>
      <c r="F3876" s="13"/>
      <c r="G3876" s="13"/>
      <c r="H3876" s="13"/>
      <c r="I3876" s="10"/>
      <c r="J3876" s="11"/>
      <c r="K3876" s="6"/>
      <c r="L3876" s="13"/>
    </row>
    <row r="3877" spans="1:12" hidden="1" x14ac:dyDescent="0.25">
      <c r="A3877" s="6"/>
      <c r="B3877" s="6"/>
      <c r="C3877" s="11"/>
      <c r="D3877" s="13"/>
      <c r="E3877" s="13"/>
      <c r="F3877" s="13"/>
      <c r="G3877" s="13"/>
      <c r="H3877" s="13"/>
      <c r="I3877" s="10"/>
      <c r="J3877" s="11"/>
      <c r="K3877" s="6"/>
      <c r="L3877" s="13"/>
    </row>
    <row r="3878" spans="1:12" hidden="1" x14ac:dyDescent="0.25">
      <c r="A3878" s="6"/>
      <c r="B3878" s="6"/>
      <c r="C3878" s="11"/>
      <c r="D3878" s="13"/>
      <c r="E3878" s="13"/>
      <c r="F3878" s="13"/>
      <c r="G3878" s="13"/>
      <c r="H3878" s="13"/>
      <c r="I3878" s="10"/>
      <c r="J3878" s="11"/>
      <c r="K3878" s="6"/>
      <c r="L3878" s="13"/>
    </row>
    <row r="3879" spans="1:12" hidden="1" x14ac:dyDescent="0.25">
      <c r="A3879" s="6"/>
      <c r="B3879" s="6"/>
      <c r="C3879" s="11"/>
      <c r="D3879" s="13"/>
      <c r="E3879" s="13"/>
      <c r="F3879" s="13"/>
      <c r="G3879" s="13"/>
      <c r="H3879" s="13"/>
      <c r="I3879" s="10"/>
      <c r="J3879" s="11"/>
      <c r="K3879" s="6"/>
      <c r="L3879" s="13"/>
    </row>
    <row r="3880" spans="1:12" hidden="1" x14ac:dyDescent="0.25">
      <c r="A3880" s="6"/>
      <c r="B3880" s="6"/>
      <c r="C3880" s="11"/>
      <c r="D3880" s="13"/>
      <c r="E3880" s="13"/>
      <c r="F3880" s="13"/>
      <c r="G3880" s="13"/>
      <c r="H3880" s="13"/>
      <c r="I3880" s="10"/>
      <c r="J3880" s="11"/>
      <c r="K3880" s="6"/>
      <c r="L3880" s="13"/>
    </row>
    <row r="3881" spans="1:12" hidden="1" x14ac:dyDescent="0.25">
      <c r="A3881" s="6"/>
      <c r="B3881" s="6"/>
      <c r="C3881" s="11"/>
      <c r="D3881" s="13"/>
      <c r="E3881" s="13"/>
      <c r="F3881" s="13"/>
      <c r="G3881" s="13"/>
      <c r="H3881" s="13"/>
      <c r="I3881" s="10"/>
      <c r="J3881" s="11"/>
      <c r="K3881" s="6"/>
      <c r="L3881" s="13"/>
    </row>
    <row r="3882" spans="1:12" hidden="1" x14ac:dyDescent="0.25">
      <c r="A3882" s="6"/>
      <c r="B3882" s="6"/>
      <c r="C3882" s="11"/>
      <c r="D3882" s="13"/>
      <c r="E3882" s="13"/>
      <c r="F3882" s="13"/>
      <c r="G3882" s="13"/>
      <c r="H3882" s="13"/>
      <c r="I3882" s="10"/>
      <c r="J3882" s="11"/>
      <c r="K3882" s="6"/>
      <c r="L3882" s="13"/>
    </row>
    <row r="3883" spans="1:12" hidden="1" x14ac:dyDescent="0.25">
      <c r="A3883" s="6"/>
      <c r="B3883" s="6"/>
      <c r="C3883" s="11"/>
      <c r="D3883" s="13"/>
      <c r="E3883" s="13"/>
      <c r="F3883" s="13"/>
      <c r="G3883" s="13"/>
      <c r="H3883" s="13"/>
      <c r="I3883" s="10"/>
      <c r="J3883" s="11"/>
      <c r="K3883" s="6"/>
      <c r="L3883" s="13"/>
    </row>
    <row r="3884" spans="1:12" hidden="1" x14ac:dyDescent="0.25">
      <c r="A3884" s="6"/>
      <c r="B3884" s="6"/>
      <c r="C3884" s="11"/>
      <c r="D3884" s="13"/>
      <c r="E3884" s="13"/>
      <c r="F3884" s="13"/>
      <c r="G3884" s="13"/>
      <c r="H3884" s="13"/>
      <c r="I3884" s="10"/>
      <c r="J3884" s="11"/>
      <c r="K3884" s="6"/>
      <c r="L3884" s="13"/>
    </row>
    <row r="3885" spans="1:12" hidden="1" x14ac:dyDescent="0.25">
      <c r="A3885" s="6"/>
      <c r="B3885" s="6"/>
      <c r="C3885" s="11"/>
      <c r="D3885" s="13"/>
      <c r="E3885" s="13"/>
      <c r="F3885" s="13"/>
      <c r="G3885" s="13"/>
      <c r="H3885" s="13"/>
      <c r="I3885" s="10"/>
      <c r="J3885" s="11"/>
      <c r="K3885" s="6"/>
      <c r="L3885" s="13"/>
    </row>
    <row r="3886" spans="1:12" hidden="1" x14ac:dyDescent="0.25">
      <c r="A3886" s="6"/>
      <c r="B3886" s="6"/>
      <c r="C3886" s="11"/>
      <c r="D3886" s="13"/>
      <c r="E3886" s="13"/>
      <c r="F3886" s="13"/>
      <c r="G3886" s="13"/>
      <c r="H3886" s="13"/>
      <c r="I3886" s="10"/>
      <c r="J3886" s="11"/>
      <c r="K3886" s="6"/>
      <c r="L3886" s="13"/>
    </row>
    <row r="3887" spans="1:12" hidden="1" x14ac:dyDescent="0.25">
      <c r="A3887" s="6"/>
      <c r="B3887" s="6"/>
      <c r="C3887" s="11"/>
      <c r="D3887" s="13"/>
      <c r="E3887" s="13"/>
      <c r="F3887" s="13"/>
      <c r="G3887" s="13"/>
      <c r="H3887" s="13"/>
      <c r="I3887" s="10"/>
      <c r="J3887" s="11"/>
      <c r="K3887" s="6"/>
      <c r="L3887" s="13"/>
    </row>
    <row r="3888" spans="1:12" hidden="1" x14ac:dyDescent="0.25">
      <c r="A3888" s="6"/>
      <c r="B3888" s="6"/>
      <c r="C3888" s="11"/>
      <c r="D3888" s="13"/>
      <c r="E3888" s="13"/>
      <c r="F3888" s="13"/>
      <c r="G3888" s="13"/>
      <c r="H3888" s="13"/>
      <c r="I3888" s="10"/>
      <c r="J3888" s="11"/>
      <c r="K3888" s="6"/>
      <c r="L3888" s="13"/>
    </row>
    <row r="3889" spans="1:12" hidden="1" x14ac:dyDescent="0.25">
      <c r="A3889" s="6"/>
      <c r="B3889" s="6"/>
      <c r="C3889" s="11"/>
      <c r="D3889" s="13"/>
      <c r="E3889" s="13"/>
      <c r="F3889" s="13"/>
      <c r="G3889" s="13"/>
      <c r="H3889" s="13"/>
      <c r="I3889" s="10"/>
      <c r="J3889" s="11"/>
      <c r="K3889" s="6"/>
      <c r="L3889" s="13"/>
    </row>
    <row r="3890" spans="1:12" hidden="1" x14ac:dyDescent="0.25">
      <c r="A3890" s="6"/>
      <c r="B3890" s="6"/>
      <c r="C3890" s="11"/>
      <c r="D3890" s="13"/>
      <c r="E3890" s="13"/>
      <c r="F3890" s="13"/>
      <c r="G3890" s="13"/>
      <c r="H3890" s="13"/>
      <c r="I3890" s="10"/>
      <c r="J3890" s="11"/>
      <c r="K3890" s="6"/>
      <c r="L3890" s="13"/>
    </row>
    <row r="3891" spans="1:12" hidden="1" x14ac:dyDescent="0.25">
      <c r="A3891" s="6"/>
      <c r="B3891" s="6"/>
      <c r="C3891" s="11"/>
      <c r="D3891" s="13"/>
      <c r="E3891" s="13"/>
      <c r="F3891" s="13"/>
      <c r="G3891" s="13"/>
      <c r="H3891" s="13"/>
      <c r="I3891" s="10"/>
      <c r="J3891" s="11"/>
      <c r="K3891" s="6"/>
      <c r="L3891" s="13"/>
    </row>
    <row r="3892" spans="1:12" hidden="1" x14ac:dyDescent="0.25">
      <c r="A3892" s="6"/>
      <c r="B3892" s="6"/>
      <c r="C3892" s="11"/>
      <c r="D3892" s="13"/>
      <c r="E3892" s="13"/>
      <c r="F3892" s="13"/>
      <c r="G3892" s="13"/>
      <c r="H3892" s="13"/>
      <c r="I3892" s="10"/>
      <c r="J3892" s="11"/>
      <c r="K3892" s="6"/>
      <c r="L3892" s="13"/>
    </row>
    <row r="3893" spans="1:12" hidden="1" x14ac:dyDescent="0.25">
      <c r="A3893" s="6"/>
      <c r="B3893" s="6"/>
      <c r="C3893" s="11"/>
      <c r="D3893" s="13"/>
      <c r="E3893" s="13"/>
      <c r="F3893" s="13"/>
      <c r="G3893" s="13"/>
      <c r="H3893" s="13"/>
      <c r="I3893" s="10"/>
      <c r="J3893" s="11"/>
      <c r="K3893" s="6"/>
      <c r="L3893" s="13"/>
    </row>
    <row r="3894" spans="1:12" hidden="1" x14ac:dyDescent="0.25">
      <c r="A3894" s="6"/>
      <c r="B3894" s="6"/>
      <c r="C3894" s="11"/>
      <c r="D3894" s="13"/>
      <c r="E3894" s="13"/>
      <c r="F3894" s="13"/>
      <c r="G3894" s="13"/>
      <c r="H3894" s="13"/>
      <c r="I3894" s="10"/>
      <c r="J3894" s="11"/>
      <c r="K3894" s="6"/>
      <c r="L3894" s="13"/>
    </row>
    <row r="3895" spans="1:12" hidden="1" x14ac:dyDescent="0.25">
      <c r="A3895" s="6"/>
      <c r="B3895" s="6"/>
      <c r="C3895" s="11"/>
      <c r="D3895" s="13"/>
      <c r="E3895" s="13"/>
      <c r="F3895" s="13"/>
      <c r="G3895" s="13"/>
      <c r="H3895" s="13"/>
      <c r="I3895" s="10"/>
      <c r="J3895" s="11"/>
      <c r="K3895" s="6"/>
      <c r="L3895" s="13"/>
    </row>
    <row r="3896" spans="1:12" hidden="1" x14ac:dyDescent="0.25">
      <c r="A3896" s="6"/>
      <c r="B3896" s="6"/>
      <c r="C3896" s="11"/>
      <c r="D3896" s="13"/>
      <c r="E3896" s="13"/>
      <c r="F3896" s="13"/>
      <c r="G3896" s="13"/>
      <c r="H3896" s="13"/>
      <c r="I3896" s="10"/>
      <c r="J3896" s="11"/>
      <c r="K3896" s="6"/>
      <c r="L3896" s="13"/>
    </row>
    <row r="3897" spans="1:12" hidden="1" x14ac:dyDescent="0.25">
      <c r="A3897" s="6"/>
      <c r="B3897" s="6"/>
      <c r="C3897" s="11"/>
      <c r="D3897" s="13"/>
      <c r="E3897" s="13"/>
      <c r="F3897" s="13"/>
      <c r="G3897" s="13"/>
      <c r="H3897" s="13"/>
      <c r="I3897" s="10"/>
      <c r="J3897" s="11"/>
      <c r="K3897" s="6"/>
      <c r="L3897" s="13"/>
    </row>
    <row r="3898" spans="1:12" hidden="1" x14ac:dyDescent="0.25">
      <c r="A3898" s="6"/>
      <c r="B3898" s="6"/>
      <c r="C3898" s="11"/>
      <c r="D3898" s="13"/>
      <c r="E3898" s="13"/>
      <c r="F3898" s="13"/>
      <c r="G3898" s="13"/>
      <c r="H3898" s="13"/>
      <c r="I3898" s="10"/>
      <c r="J3898" s="11"/>
      <c r="K3898" s="6"/>
      <c r="L3898" s="13"/>
    </row>
    <row r="3899" spans="1:12" hidden="1" x14ac:dyDescent="0.25">
      <c r="A3899" s="6"/>
      <c r="B3899" s="6"/>
      <c r="C3899" s="11"/>
      <c r="D3899" s="13"/>
      <c r="E3899" s="13"/>
      <c r="F3899" s="13"/>
      <c r="G3899" s="13"/>
      <c r="H3899" s="13"/>
      <c r="I3899" s="10"/>
      <c r="J3899" s="11"/>
      <c r="K3899" s="6"/>
      <c r="L3899" s="13"/>
    </row>
    <row r="3900" spans="1:12" hidden="1" x14ac:dyDescent="0.25">
      <c r="A3900" s="6"/>
      <c r="B3900" s="6"/>
      <c r="C3900" s="11"/>
      <c r="D3900" s="13"/>
      <c r="E3900" s="13"/>
      <c r="F3900" s="13"/>
      <c r="G3900" s="13"/>
      <c r="H3900" s="13"/>
      <c r="I3900" s="10"/>
      <c r="J3900" s="11"/>
      <c r="K3900" s="6"/>
      <c r="L3900" s="13"/>
    </row>
    <row r="3901" spans="1:12" hidden="1" x14ac:dyDescent="0.25">
      <c r="A3901" s="6"/>
      <c r="B3901" s="6"/>
      <c r="C3901" s="11"/>
      <c r="D3901" s="13"/>
      <c r="E3901" s="13"/>
      <c r="F3901" s="13"/>
      <c r="G3901" s="13"/>
      <c r="H3901" s="13"/>
      <c r="I3901" s="10"/>
      <c r="J3901" s="11"/>
      <c r="K3901" s="6"/>
      <c r="L3901" s="13"/>
    </row>
    <row r="3902" spans="1:12" hidden="1" x14ac:dyDescent="0.25">
      <c r="A3902" s="6"/>
      <c r="B3902" s="6"/>
      <c r="C3902" s="11"/>
      <c r="D3902" s="13"/>
      <c r="E3902" s="13"/>
      <c r="F3902" s="13"/>
      <c r="G3902" s="13"/>
      <c r="H3902" s="13"/>
      <c r="I3902" s="10"/>
      <c r="J3902" s="11"/>
      <c r="K3902" s="6"/>
      <c r="L3902" s="13"/>
    </row>
    <row r="3903" spans="1:12" hidden="1" x14ac:dyDescent="0.25">
      <c r="A3903" s="6"/>
      <c r="B3903" s="6"/>
      <c r="C3903" s="11"/>
      <c r="D3903" s="13"/>
      <c r="E3903" s="13"/>
      <c r="F3903" s="13"/>
      <c r="G3903" s="13"/>
      <c r="H3903" s="13"/>
      <c r="I3903" s="10"/>
      <c r="J3903" s="11"/>
      <c r="K3903" s="6"/>
      <c r="L3903" s="13"/>
    </row>
    <row r="3904" spans="1:12" hidden="1" x14ac:dyDescent="0.25">
      <c r="A3904" s="6"/>
      <c r="B3904" s="6"/>
      <c r="C3904" s="11"/>
      <c r="D3904" s="13"/>
      <c r="E3904" s="13"/>
      <c r="F3904" s="13"/>
      <c r="G3904" s="13"/>
      <c r="H3904" s="13"/>
      <c r="I3904" s="10"/>
      <c r="J3904" s="11"/>
      <c r="K3904" s="6"/>
      <c r="L3904" s="13"/>
    </row>
    <row r="3905" spans="1:12" hidden="1" x14ac:dyDescent="0.25">
      <c r="A3905" s="6"/>
      <c r="B3905" s="6"/>
      <c r="C3905" s="11"/>
      <c r="D3905" s="13"/>
      <c r="E3905" s="13"/>
      <c r="F3905" s="13"/>
      <c r="G3905" s="13"/>
      <c r="H3905" s="13"/>
      <c r="I3905" s="10"/>
      <c r="J3905" s="11"/>
      <c r="K3905" s="6"/>
      <c r="L3905" s="13"/>
    </row>
    <row r="3906" spans="1:12" hidden="1" x14ac:dyDescent="0.25">
      <c r="A3906" s="6"/>
      <c r="B3906" s="6"/>
      <c r="C3906" s="11"/>
      <c r="D3906" s="13"/>
      <c r="E3906" s="13"/>
      <c r="F3906" s="13"/>
      <c r="G3906" s="13"/>
      <c r="H3906" s="13"/>
      <c r="I3906" s="10"/>
      <c r="J3906" s="11"/>
      <c r="K3906" s="6"/>
      <c r="L3906" s="13"/>
    </row>
    <row r="3907" spans="1:12" hidden="1" x14ac:dyDescent="0.25">
      <c r="A3907" s="6"/>
      <c r="B3907" s="6"/>
      <c r="C3907" s="11"/>
      <c r="D3907" s="13"/>
      <c r="E3907" s="13"/>
      <c r="F3907" s="13"/>
      <c r="G3907" s="13"/>
      <c r="H3907" s="13"/>
      <c r="I3907" s="10"/>
      <c r="J3907" s="11"/>
      <c r="K3907" s="6"/>
      <c r="L3907" s="13"/>
    </row>
    <row r="3908" spans="1:12" hidden="1" x14ac:dyDescent="0.25">
      <c r="A3908" s="6"/>
      <c r="B3908" s="6"/>
      <c r="C3908" s="11"/>
      <c r="D3908" s="13"/>
      <c r="E3908" s="13"/>
      <c r="F3908" s="13"/>
      <c r="G3908" s="13"/>
      <c r="H3908" s="13"/>
      <c r="I3908" s="10"/>
      <c r="J3908" s="11"/>
      <c r="K3908" s="6"/>
      <c r="L3908" s="13"/>
    </row>
    <row r="3909" spans="1:12" hidden="1" x14ac:dyDescent="0.25">
      <c r="A3909" s="6"/>
      <c r="B3909" s="6"/>
      <c r="C3909" s="11"/>
      <c r="D3909" s="13"/>
      <c r="E3909" s="13"/>
      <c r="F3909" s="13"/>
      <c r="G3909" s="13"/>
      <c r="H3909" s="13"/>
      <c r="I3909" s="10"/>
      <c r="J3909" s="11"/>
      <c r="K3909" s="6"/>
      <c r="L3909" s="13"/>
    </row>
    <row r="3910" spans="1:12" hidden="1" x14ac:dyDescent="0.25">
      <c r="A3910" s="6"/>
      <c r="B3910" s="6"/>
      <c r="C3910" s="11"/>
      <c r="D3910" s="13"/>
      <c r="E3910" s="13"/>
      <c r="F3910" s="13"/>
      <c r="G3910" s="13"/>
      <c r="H3910" s="13"/>
      <c r="I3910" s="10"/>
      <c r="J3910" s="11"/>
      <c r="K3910" s="6"/>
      <c r="L3910" s="13"/>
    </row>
    <row r="3911" spans="1:12" hidden="1" x14ac:dyDescent="0.25">
      <c r="A3911" s="6"/>
      <c r="B3911" s="6"/>
      <c r="C3911" s="11"/>
      <c r="D3911" s="13"/>
      <c r="E3911" s="13"/>
      <c r="F3911" s="13"/>
      <c r="G3911" s="13"/>
      <c r="H3911" s="13"/>
      <c r="I3911" s="10"/>
      <c r="J3911" s="11"/>
      <c r="K3911" s="6"/>
      <c r="L3911" s="13"/>
    </row>
    <row r="3912" spans="1:12" hidden="1" x14ac:dyDescent="0.25">
      <c r="A3912" s="6"/>
      <c r="B3912" s="6"/>
      <c r="C3912" s="11"/>
      <c r="D3912" s="13"/>
      <c r="E3912" s="13"/>
      <c r="F3912" s="13"/>
      <c r="G3912" s="13"/>
      <c r="H3912" s="13"/>
      <c r="I3912" s="10"/>
      <c r="J3912" s="11"/>
      <c r="K3912" s="6"/>
      <c r="L3912" s="13"/>
    </row>
    <row r="3913" spans="1:12" hidden="1" x14ac:dyDescent="0.25">
      <c r="A3913" s="6"/>
      <c r="B3913" s="6"/>
      <c r="C3913" s="11"/>
      <c r="D3913" s="13"/>
      <c r="E3913" s="13"/>
      <c r="F3913" s="13"/>
      <c r="G3913" s="13"/>
      <c r="H3913" s="13"/>
      <c r="I3913" s="10"/>
      <c r="J3913" s="11"/>
      <c r="K3913" s="6"/>
      <c r="L3913" s="13"/>
    </row>
    <row r="3914" spans="1:12" hidden="1" x14ac:dyDescent="0.25">
      <c r="A3914" s="6"/>
      <c r="B3914" s="6"/>
      <c r="C3914" s="11"/>
      <c r="D3914" s="13"/>
      <c r="E3914" s="13"/>
      <c r="F3914" s="13"/>
      <c r="G3914" s="13"/>
      <c r="H3914" s="13"/>
      <c r="I3914" s="10"/>
      <c r="J3914" s="11"/>
      <c r="K3914" s="6"/>
      <c r="L3914" s="13"/>
    </row>
    <row r="3915" spans="1:12" hidden="1" x14ac:dyDescent="0.25">
      <c r="A3915" s="6"/>
      <c r="B3915" s="6"/>
      <c r="C3915" s="11"/>
      <c r="D3915" s="13"/>
      <c r="E3915" s="13"/>
      <c r="F3915" s="13"/>
      <c r="G3915" s="13"/>
      <c r="H3915" s="13"/>
      <c r="I3915" s="10"/>
      <c r="J3915" s="11"/>
      <c r="K3915" s="6"/>
      <c r="L3915" s="13"/>
    </row>
    <row r="3916" spans="1:12" hidden="1" x14ac:dyDescent="0.25">
      <c r="A3916" s="6"/>
      <c r="B3916" s="6"/>
      <c r="C3916" s="11"/>
      <c r="D3916" s="13"/>
      <c r="E3916" s="13"/>
      <c r="F3916" s="13"/>
      <c r="G3916" s="13"/>
      <c r="H3916" s="13"/>
      <c r="I3916" s="10"/>
      <c r="J3916" s="11"/>
      <c r="K3916" s="6"/>
      <c r="L3916" s="13"/>
    </row>
    <row r="3917" spans="1:12" hidden="1" x14ac:dyDescent="0.25">
      <c r="A3917" s="6"/>
      <c r="B3917" s="6"/>
      <c r="C3917" s="11"/>
      <c r="D3917" s="13"/>
      <c r="E3917" s="13"/>
      <c r="F3917" s="13"/>
      <c r="G3917" s="13"/>
      <c r="H3917" s="13"/>
      <c r="I3917" s="10"/>
      <c r="J3917" s="11"/>
      <c r="K3917" s="6"/>
      <c r="L3917" s="13"/>
    </row>
    <row r="3918" spans="1:12" hidden="1" x14ac:dyDescent="0.25">
      <c r="A3918" s="6"/>
      <c r="B3918" s="6"/>
      <c r="C3918" s="11"/>
      <c r="D3918" s="13"/>
      <c r="E3918" s="13"/>
      <c r="F3918" s="13"/>
      <c r="G3918" s="13"/>
      <c r="H3918" s="13"/>
      <c r="I3918" s="10"/>
      <c r="J3918" s="11"/>
      <c r="K3918" s="6"/>
      <c r="L3918" s="13"/>
    </row>
    <row r="3919" spans="1:12" hidden="1" x14ac:dyDescent="0.25">
      <c r="A3919" s="6"/>
      <c r="B3919" s="6"/>
      <c r="C3919" s="11"/>
      <c r="D3919" s="13"/>
      <c r="E3919" s="13"/>
      <c r="F3919" s="13"/>
      <c r="G3919" s="13"/>
      <c r="H3919" s="13"/>
      <c r="I3919" s="10"/>
      <c r="J3919" s="11"/>
      <c r="K3919" s="6"/>
      <c r="L3919" s="13"/>
    </row>
    <row r="3920" spans="1:12" hidden="1" x14ac:dyDescent="0.25">
      <c r="A3920" s="6"/>
      <c r="B3920" s="6"/>
      <c r="C3920" s="11"/>
      <c r="D3920" s="13"/>
      <c r="E3920" s="13"/>
      <c r="F3920" s="13"/>
      <c r="G3920" s="13"/>
      <c r="H3920" s="13"/>
      <c r="I3920" s="10"/>
      <c r="J3920" s="11"/>
      <c r="K3920" s="6"/>
      <c r="L3920" s="13"/>
    </row>
    <row r="3921" spans="1:12" hidden="1" x14ac:dyDescent="0.25">
      <c r="A3921" s="6"/>
      <c r="B3921" s="6"/>
      <c r="C3921" s="11"/>
      <c r="D3921" s="13"/>
      <c r="E3921" s="13"/>
      <c r="F3921" s="13"/>
      <c r="G3921" s="13"/>
      <c r="H3921" s="13"/>
      <c r="I3921" s="10"/>
      <c r="J3921" s="11"/>
      <c r="K3921" s="6"/>
      <c r="L3921" s="13"/>
    </row>
    <row r="3922" spans="1:12" hidden="1" x14ac:dyDescent="0.25">
      <c r="A3922" s="6"/>
      <c r="B3922" s="6"/>
      <c r="C3922" s="11"/>
      <c r="D3922" s="13"/>
      <c r="E3922" s="13"/>
      <c r="F3922" s="13"/>
      <c r="G3922" s="13"/>
      <c r="H3922" s="13"/>
      <c r="I3922" s="10"/>
      <c r="J3922" s="11"/>
      <c r="K3922" s="6"/>
      <c r="L3922" s="13"/>
    </row>
    <row r="3923" spans="1:12" hidden="1" x14ac:dyDescent="0.25">
      <c r="A3923" s="6"/>
      <c r="B3923" s="6"/>
      <c r="C3923" s="11"/>
      <c r="D3923" s="13"/>
      <c r="E3923" s="13"/>
      <c r="F3923" s="13"/>
      <c r="G3923" s="13"/>
      <c r="H3923" s="13"/>
      <c r="I3923" s="10"/>
      <c r="J3923" s="11"/>
      <c r="K3923" s="6"/>
      <c r="L3923" s="13"/>
    </row>
    <row r="3924" spans="1:12" hidden="1" x14ac:dyDescent="0.25">
      <c r="A3924" s="6"/>
      <c r="B3924" s="6"/>
      <c r="C3924" s="11"/>
      <c r="D3924" s="13"/>
      <c r="E3924" s="13"/>
      <c r="F3924" s="13"/>
      <c r="G3924" s="13"/>
      <c r="H3924" s="13"/>
      <c r="I3924" s="10"/>
      <c r="J3924" s="11"/>
      <c r="K3924" s="6"/>
      <c r="L3924" s="13"/>
    </row>
    <row r="3925" spans="1:12" hidden="1" x14ac:dyDescent="0.25">
      <c r="A3925" s="6"/>
      <c r="B3925" s="6"/>
      <c r="C3925" s="11"/>
      <c r="D3925" s="13"/>
      <c r="E3925" s="13"/>
      <c r="F3925" s="13"/>
      <c r="G3925" s="13"/>
      <c r="H3925" s="13"/>
      <c r="I3925" s="10"/>
      <c r="J3925" s="11"/>
      <c r="K3925" s="6"/>
      <c r="L3925" s="13"/>
    </row>
    <row r="3926" spans="1:12" hidden="1" x14ac:dyDescent="0.25">
      <c r="A3926" s="6"/>
      <c r="B3926" s="6"/>
      <c r="C3926" s="11"/>
      <c r="D3926" s="13"/>
      <c r="E3926" s="13"/>
      <c r="F3926" s="13"/>
      <c r="G3926" s="13"/>
      <c r="H3926" s="13"/>
      <c r="I3926" s="10"/>
      <c r="J3926" s="11"/>
      <c r="K3926" s="6"/>
      <c r="L3926" s="13"/>
    </row>
    <row r="3927" spans="1:12" hidden="1" x14ac:dyDescent="0.25">
      <c r="A3927" s="6"/>
      <c r="B3927" s="6"/>
      <c r="C3927" s="11"/>
      <c r="D3927" s="13"/>
      <c r="E3927" s="13"/>
      <c r="F3927" s="13"/>
      <c r="G3927" s="13"/>
      <c r="H3927" s="13"/>
      <c r="I3927" s="10"/>
      <c r="J3927" s="11"/>
      <c r="K3927" s="6"/>
      <c r="L3927" s="13"/>
    </row>
    <row r="3928" spans="1:12" hidden="1" x14ac:dyDescent="0.25">
      <c r="A3928" s="6"/>
      <c r="B3928" s="6"/>
      <c r="C3928" s="11"/>
      <c r="D3928" s="13"/>
      <c r="E3928" s="13"/>
      <c r="F3928" s="13"/>
      <c r="G3928" s="13"/>
      <c r="H3928" s="13"/>
      <c r="I3928" s="10"/>
      <c r="J3928" s="11"/>
      <c r="K3928" s="6"/>
      <c r="L3928" s="13"/>
    </row>
    <row r="3929" spans="1:12" hidden="1" x14ac:dyDescent="0.25">
      <c r="A3929" s="6"/>
      <c r="B3929" s="6"/>
      <c r="C3929" s="11"/>
      <c r="D3929" s="13"/>
      <c r="E3929" s="13"/>
      <c r="F3929" s="13"/>
      <c r="G3929" s="13"/>
      <c r="H3929" s="13"/>
      <c r="I3929" s="10"/>
      <c r="J3929" s="11"/>
      <c r="K3929" s="6"/>
      <c r="L3929" s="13"/>
    </row>
    <row r="3930" spans="1:12" hidden="1" x14ac:dyDescent="0.25">
      <c r="A3930" s="6"/>
      <c r="B3930" s="6"/>
      <c r="C3930" s="11"/>
      <c r="D3930" s="13"/>
      <c r="E3930" s="13"/>
      <c r="F3930" s="13"/>
      <c r="G3930" s="13"/>
      <c r="H3930" s="13"/>
      <c r="I3930" s="10"/>
      <c r="J3930" s="11"/>
      <c r="K3930" s="6"/>
      <c r="L3930" s="13"/>
    </row>
    <row r="3931" spans="1:12" hidden="1" x14ac:dyDescent="0.25">
      <c r="A3931" s="6"/>
      <c r="B3931" s="6"/>
      <c r="C3931" s="11"/>
      <c r="D3931" s="13"/>
      <c r="E3931" s="13"/>
      <c r="F3931" s="13"/>
      <c r="G3931" s="13"/>
      <c r="H3931" s="13"/>
      <c r="I3931" s="10"/>
      <c r="J3931" s="11"/>
      <c r="K3931" s="6"/>
      <c r="L3931" s="13"/>
    </row>
    <row r="3932" spans="1:12" hidden="1" x14ac:dyDescent="0.25">
      <c r="A3932" s="6"/>
      <c r="B3932" s="6"/>
      <c r="C3932" s="11"/>
      <c r="D3932" s="13"/>
      <c r="E3932" s="13"/>
      <c r="F3932" s="13"/>
      <c r="G3932" s="13"/>
      <c r="H3932" s="13"/>
      <c r="I3932" s="10"/>
      <c r="J3932" s="11"/>
      <c r="K3932" s="6"/>
      <c r="L3932" s="13"/>
    </row>
    <row r="3933" spans="1:12" hidden="1" x14ac:dyDescent="0.25">
      <c r="A3933" s="6"/>
      <c r="B3933" s="6"/>
      <c r="C3933" s="11"/>
      <c r="D3933" s="13"/>
      <c r="E3933" s="13"/>
      <c r="F3933" s="13"/>
      <c r="G3933" s="13"/>
      <c r="H3933" s="13"/>
      <c r="I3933" s="10"/>
      <c r="J3933" s="11"/>
      <c r="K3933" s="6"/>
      <c r="L3933" s="13"/>
    </row>
    <row r="3934" spans="1:12" hidden="1" x14ac:dyDescent="0.25">
      <c r="A3934" s="6"/>
      <c r="B3934" s="6"/>
      <c r="C3934" s="11"/>
      <c r="D3934" s="13"/>
      <c r="E3934" s="13"/>
      <c r="F3934" s="13"/>
      <c r="G3934" s="13"/>
      <c r="H3934" s="13"/>
      <c r="I3934" s="10"/>
      <c r="J3934" s="11"/>
      <c r="K3934" s="6"/>
      <c r="L3934" s="13"/>
    </row>
    <row r="3935" spans="1:12" hidden="1" x14ac:dyDescent="0.25">
      <c r="A3935" s="6"/>
      <c r="B3935" s="6"/>
      <c r="C3935" s="11"/>
      <c r="D3935" s="13"/>
      <c r="E3935" s="13"/>
      <c r="F3935" s="13"/>
      <c r="G3935" s="13"/>
      <c r="H3935" s="13"/>
      <c r="I3935" s="10"/>
      <c r="J3935" s="11"/>
      <c r="K3935" s="6"/>
      <c r="L3935" s="13"/>
    </row>
    <row r="3936" spans="1:12" hidden="1" x14ac:dyDescent="0.25">
      <c r="A3936" s="6"/>
      <c r="B3936" s="6"/>
      <c r="C3936" s="11"/>
      <c r="D3936" s="13"/>
      <c r="E3936" s="13"/>
      <c r="F3936" s="13"/>
      <c r="G3936" s="13"/>
      <c r="H3936" s="13"/>
      <c r="I3936" s="10"/>
      <c r="J3936" s="11"/>
      <c r="K3936" s="6"/>
      <c r="L3936" s="13"/>
    </row>
    <row r="3937" spans="1:12" hidden="1" x14ac:dyDescent="0.25">
      <c r="A3937" s="6"/>
      <c r="B3937" s="6"/>
      <c r="C3937" s="11"/>
      <c r="D3937" s="13"/>
      <c r="E3937" s="13"/>
      <c r="F3937" s="13"/>
      <c r="G3937" s="13"/>
      <c r="H3937" s="13"/>
      <c r="I3937" s="10"/>
      <c r="J3937" s="11"/>
      <c r="K3937" s="6"/>
      <c r="L3937" s="13"/>
    </row>
    <row r="3938" spans="1:12" hidden="1" x14ac:dyDescent="0.25">
      <c r="A3938" s="6"/>
      <c r="B3938" s="6"/>
      <c r="C3938" s="11"/>
      <c r="D3938" s="13"/>
      <c r="E3938" s="13"/>
      <c r="F3938" s="13"/>
      <c r="G3938" s="13"/>
      <c r="H3938" s="13"/>
      <c r="I3938" s="10"/>
      <c r="J3938" s="11"/>
      <c r="K3938" s="6"/>
      <c r="L3938" s="13"/>
    </row>
    <row r="3939" spans="1:12" hidden="1" x14ac:dyDescent="0.25">
      <c r="A3939" s="6"/>
      <c r="B3939" s="6"/>
      <c r="C3939" s="11"/>
      <c r="D3939" s="13"/>
      <c r="E3939" s="13"/>
      <c r="F3939" s="13"/>
      <c r="G3939" s="13"/>
      <c r="H3939" s="13"/>
      <c r="I3939" s="10"/>
      <c r="J3939" s="11"/>
      <c r="K3939" s="6"/>
      <c r="L3939" s="13"/>
    </row>
    <row r="3940" spans="1:12" hidden="1" x14ac:dyDescent="0.25">
      <c r="A3940" s="6"/>
      <c r="B3940" s="6"/>
      <c r="C3940" s="11"/>
      <c r="D3940" s="13"/>
      <c r="E3940" s="13"/>
      <c r="F3940" s="13"/>
      <c r="G3940" s="13"/>
      <c r="H3940" s="13"/>
      <c r="I3940" s="10"/>
      <c r="J3940" s="11"/>
      <c r="K3940" s="6"/>
      <c r="L3940" s="13"/>
    </row>
    <row r="3941" spans="1:12" hidden="1" x14ac:dyDescent="0.25">
      <c r="A3941" s="6"/>
      <c r="B3941" s="6"/>
      <c r="C3941" s="11"/>
      <c r="D3941" s="13"/>
      <c r="E3941" s="13"/>
      <c r="F3941" s="13"/>
      <c r="G3941" s="13"/>
      <c r="H3941" s="13"/>
      <c r="I3941" s="10"/>
      <c r="J3941" s="11"/>
      <c r="K3941" s="6"/>
      <c r="L3941" s="13"/>
    </row>
    <row r="3942" spans="1:12" hidden="1" x14ac:dyDescent="0.25">
      <c r="A3942" s="6"/>
      <c r="B3942" s="6"/>
      <c r="C3942" s="11"/>
      <c r="D3942" s="13"/>
      <c r="E3942" s="13"/>
      <c r="F3942" s="13"/>
      <c r="G3942" s="13"/>
      <c r="H3942" s="13"/>
      <c r="I3942" s="10"/>
      <c r="J3942" s="11"/>
      <c r="K3942" s="6"/>
      <c r="L3942" s="13"/>
    </row>
    <row r="3943" spans="1:12" hidden="1" x14ac:dyDescent="0.25">
      <c r="A3943" s="6"/>
      <c r="B3943" s="6"/>
      <c r="C3943" s="11"/>
      <c r="D3943" s="13"/>
      <c r="E3943" s="13"/>
      <c r="F3943" s="13"/>
      <c r="G3943" s="13"/>
      <c r="H3943" s="13"/>
      <c r="I3943" s="10"/>
      <c r="J3943" s="11"/>
      <c r="K3943" s="6"/>
      <c r="L3943" s="13"/>
    </row>
    <row r="3944" spans="1:12" hidden="1" x14ac:dyDescent="0.25">
      <c r="A3944" s="6"/>
      <c r="B3944" s="6"/>
      <c r="C3944" s="11"/>
      <c r="D3944" s="13"/>
      <c r="E3944" s="13"/>
      <c r="F3944" s="13"/>
      <c r="G3944" s="13"/>
      <c r="H3944" s="13"/>
      <c r="I3944" s="10"/>
      <c r="J3944" s="11"/>
      <c r="K3944" s="6"/>
      <c r="L3944" s="13"/>
    </row>
    <row r="3945" spans="1:12" hidden="1" x14ac:dyDescent="0.25">
      <c r="A3945" s="6"/>
      <c r="B3945" s="6"/>
      <c r="C3945" s="11"/>
      <c r="D3945" s="13"/>
      <c r="E3945" s="13"/>
      <c r="F3945" s="13"/>
      <c r="G3945" s="13"/>
      <c r="H3945" s="13"/>
      <c r="I3945" s="10"/>
      <c r="J3945" s="11"/>
      <c r="K3945" s="6"/>
      <c r="L3945" s="13"/>
    </row>
    <row r="3946" spans="1:12" hidden="1" x14ac:dyDescent="0.25">
      <c r="A3946" s="6"/>
      <c r="B3946" s="6"/>
      <c r="C3946" s="11"/>
      <c r="D3946" s="13"/>
      <c r="E3946" s="13"/>
      <c r="F3946" s="13"/>
      <c r="G3946" s="13"/>
      <c r="H3946" s="13"/>
      <c r="I3946" s="10"/>
      <c r="J3946" s="11"/>
      <c r="K3946" s="6"/>
      <c r="L3946" s="13"/>
    </row>
    <row r="3947" spans="1:12" hidden="1" x14ac:dyDescent="0.25">
      <c r="A3947" s="6"/>
      <c r="B3947" s="6"/>
      <c r="C3947" s="11"/>
      <c r="D3947" s="13"/>
      <c r="E3947" s="13"/>
      <c r="F3947" s="13"/>
      <c r="G3947" s="13"/>
      <c r="H3947" s="13"/>
      <c r="I3947" s="10"/>
      <c r="J3947" s="11"/>
      <c r="K3947" s="6"/>
      <c r="L3947" s="13"/>
    </row>
    <row r="3948" spans="1:12" hidden="1" x14ac:dyDescent="0.25">
      <c r="A3948" s="6"/>
      <c r="B3948" s="6"/>
      <c r="C3948" s="11"/>
      <c r="D3948" s="13"/>
      <c r="E3948" s="13"/>
      <c r="F3948" s="13"/>
      <c r="G3948" s="13"/>
      <c r="H3948" s="13"/>
      <c r="I3948" s="10"/>
      <c r="J3948" s="11"/>
      <c r="K3948" s="6"/>
      <c r="L3948" s="13"/>
    </row>
    <row r="3949" spans="1:12" hidden="1" x14ac:dyDescent="0.25">
      <c r="A3949" s="6"/>
      <c r="B3949" s="6"/>
      <c r="C3949" s="11"/>
      <c r="D3949" s="13"/>
      <c r="E3949" s="13"/>
      <c r="F3949" s="13"/>
      <c r="G3949" s="13"/>
      <c r="H3949" s="13"/>
      <c r="I3949" s="10"/>
      <c r="J3949" s="11"/>
      <c r="K3949" s="6"/>
      <c r="L3949" s="13"/>
    </row>
    <row r="3950" spans="1:12" hidden="1" x14ac:dyDescent="0.25">
      <c r="A3950" s="6"/>
      <c r="B3950" s="6"/>
      <c r="C3950" s="11"/>
      <c r="D3950" s="13"/>
      <c r="E3950" s="13"/>
      <c r="F3950" s="13"/>
      <c r="G3950" s="13"/>
      <c r="H3950" s="13"/>
      <c r="I3950" s="10"/>
      <c r="J3950" s="11"/>
      <c r="K3950" s="6"/>
      <c r="L3950" s="13"/>
    </row>
    <row r="3951" spans="1:12" hidden="1" x14ac:dyDescent="0.25">
      <c r="A3951" s="6"/>
      <c r="B3951" s="6"/>
      <c r="C3951" s="11"/>
      <c r="D3951" s="13"/>
      <c r="E3951" s="13"/>
      <c r="F3951" s="13"/>
      <c r="G3951" s="13"/>
      <c r="H3951" s="13"/>
      <c r="I3951" s="10"/>
      <c r="J3951" s="11"/>
      <c r="K3951" s="6"/>
      <c r="L3951" s="13"/>
    </row>
    <row r="3952" spans="1:12" hidden="1" x14ac:dyDescent="0.25">
      <c r="A3952" s="6"/>
      <c r="B3952" s="6"/>
      <c r="C3952" s="11"/>
      <c r="D3952" s="13"/>
      <c r="E3952" s="13"/>
      <c r="F3952" s="13"/>
      <c r="G3952" s="13"/>
      <c r="H3952" s="13"/>
      <c r="I3952" s="10"/>
      <c r="J3952" s="11"/>
      <c r="K3952" s="6"/>
      <c r="L3952" s="13"/>
    </row>
    <row r="3953" spans="1:12" hidden="1" x14ac:dyDescent="0.25">
      <c r="A3953" s="6"/>
      <c r="B3953" s="6"/>
      <c r="C3953" s="11"/>
      <c r="D3953" s="13"/>
      <c r="E3953" s="13"/>
      <c r="F3953" s="13"/>
      <c r="G3953" s="13"/>
      <c r="H3953" s="13"/>
      <c r="I3953" s="10"/>
      <c r="J3953" s="11"/>
      <c r="K3953" s="6"/>
      <c r="L3953" s="13"/>
    </row>
    <row r="3954" spans="1:12" hidden="1" x14ac:dyDescent="0.25">
      <c r="A3954" s="6"/>
      <c r="B3954" s="6"/>
      <c r="C3954" s="11"/>
      <c r="D3954" s="13"/>
      <c r="E3954" s="13"/>
      <c r="F3954" s="13"/>
      <c r="G3954" s="13"/>
      <c r="H3954" s="13"/>
      <c r="I3954" s="10"/>
      <c r="J3954" s="11"/>
      <c r="K3954" s="6"/>
      <c r="L3954" s="13"/>
    </row>
    <row r="3955" spans="1:12" hidden="1" x14ac:dyDescent="0.25">
      <c r="A3955" s="6"/>
      <c r="B3955" s="6"/>
      <c r="C3955" s="11"/>
      <c r="D3955" s="13"/>
      <c r="E3955" s="13"/>
      <c r="F3955" s="13"/>
      <c r="G3955" s="13"/>
      <c r="H3955" s="13"/>
      <c r="I3955" s="10"/>
      <c r="J3955" s="11"/>
      <c r="K3955" s="6"/>
      <c r="L3955" s="13"/>
    </row>
    <row r="3956" spans="1:12" hidden="1" x14ac:dyDescent="0.25">
      <c r="A3956" s="6"/>
      <c r="B3956" s="6"/>
      <c r="C3956" s="11"/>
      <c r="D3956" s="13"/>
      <c r="E3956" s="13"/>
      <c r="F3956" s="13"/>
      <c r="G3956" s="13"/>
      <c r="H3956" s="13"/>
      <c r="I3956" s="10"/>
      <c r="J3956" s="11"/>
      <c r="K3956" s="6"/>
      <c r="L3956" s="13"/>
    </row>
    <row r="3957" spans="1:12" hidden="1" x14ac:dyDescent="0.25">
      <c r="A3957" s="6"/>
      <c r="B3957" s="6"/>
      <c r="C3957" s="11"/>
      <c r="D3957" s="13"/>
      <c r="E3957" s="13"/>
      <c r="F3957" s="13"/>
      <c r="G3957" s="13"/>
      <c r="H3957" s="13"/>
      <c r="I3957" s="10"/>
      <c r="J3957" s="11"/>
      <c r="K3957" s="6"/>
      <c r="L3957" s="13"/>
    </row>
    <row r="3958" spans="1:12" hidden="1" x14ac:dyDescent="0.25">
      <c r="A3958" s="6"/>
      <c r="B3958" s="6"/>
      <c r="C3958" s="11"/>
      <c r="D3958" s="13"/>
      <c r="E3958" s="13"/>
      <c r="F3958" s="13"/>
      <c r="G3958" s="13"/>
      <c r="H3958" s="13"/>
      <c r="I3958" s="10"/>
      <c r="J3958" s="11"/>
      <c r="K3958" s="6"/>
      <c r="L3958" s="13"/>
    </row>
    <row r="3959" spans="1:12" hidden="1" x14ac:dyDescent="0.25">
      <c r="A3959" s="6"/>
      <c r="B3959" s="6"/>
      <c r="C3959" s="11"/>
      <c r="D3959" s="13"/>
      <c r="E3959" s="13"/>
      <c r="F3959" s="13"/>
      <c r="G3959" s="13"/>
      <c r="H3959" s="13"/>
      <c r="I3959" s="10"/>
      <c r="J3959" s="11"/>
      <c r="K3959" s="6"/>
      <c r="L3959" s="13"/>
    </row>
    <row r="3960" spans="1:12" hidden="1" x14ac:dyDescent="0.25">
      <c r="A3960" s="6"/>
      <c r="B3960" s="6"/>
      <c r="C3960" s="11"/>
      <c r="D3960" s="13"/>
      <c r="E3960" s="13"/>
      <c r="F3960" s="13"/>
      <c r="G3960" s="13"/>
      <c r="H3960" s="13"/>
      <c r="I3960" s="10"/>
      <c r="J3960" s="11"/>
      <c r="K3960" s="6"/>
      <c r="L3960" s="13"/>
    </row>
    <row r="3961" spans="1:12" hidden="1" x14ac:dyDescent="0.25">
      <c r="A3961" s="6"/>
      <c r="B3961" s="6"/>
      <c r="C3961" s="11"/>
      <c r="D3961" s="13"/>
      <c r="E3961" s="13"/>
      <c r="F3961" s="13"/>
      <c r="G3961" s="13"/>
      <c r="H3961" s="13"/>
      <c r="I3961" s="10"/>
      <c r="J3961" s="11"/>
      <c r="K3961" s="6"/>
      <c r="L3961" s="13"/>
    </row>
    <row r="3962" spans="1:12" hidden="1" x14ac:dyDescent="0.25">
      <c r="A3962" s="6"/>
      <c r="B3962" s="6"/>
      <c r="C3962" s="11"/>
      <c r="D3962" s="13"/>
      <c r="E3962" s="13"/>
      <c r="F3962" s="13"/>
      <c r="G3962" s="13"/>
      <c r="H3962" s="13"/>
      <c r="I3962" s="10"/>
      <c r="J3962" s="11"/>
      <c r="K3962" s="6"/>
      <c r="L3962" s="13"/>
    </row>
    <row r="3963" spans="1:12" hidden="1" x14ac:dyDescent="0.25">
      <c r="A3963" s="6"/>
      <c r="B3963" s="6"/>
      <c r="C3963" s="11"/>
      <c r="D3963" s="13"/>
      <c r="E3963" s="13"/>
      <c r="F3963" s="13"/>
      <c r="G3963" s="13"/>
      <c r="H3963" s="13"/>
      <c r="I3963" s="10"/>
      <c r="J3963" s="11"/>
      <c r="K3963" s="6"/>
      <c r="L3963" s="13"/>
    </row>
    <row r="3964" spans="1:12" hidden="1" x14ac:dyDescent="0.25">
      <c r="A3964" s="6"/>
      <c r="B3964" s="6"/>
      <c r="C3964" s="11"/>
      <c r="D3964" s="13"/>
      <c r="E3964" s="13"/>
      <c r="F3964" s="13"/>
      <c r="G3964" s="13"/>
      <c r="H3964" s="13"/>
      <c r="I3964" s="10"/>
      <c r="J3964" s="11"/>
      <c r="K3964" s="6"/>
      <c r="L3964" s="13"/>
    </row>
    <row r="3965" spans="1:12" hidden="1" x14ac:dyDescent="0.25">
      <c r="A3965" s="6"/>
      <c r="B3965" s="6"/>
      <c r="C3965" s="11"/>
      <c r="D3965" s="13"/>
      <c r="E3965" s="13"/>
      <c r="F3965" s="13"/>
      <c r="G3965" s="13"/>
      <c r="H3965" s="13"/>
      <c r="I3965" s="10"/>
      <c r="J3965" s="11"/>
      <c r="K3965" s="6"/>
      <c r="L3965" s="13"/>
    </row>
    <row r="3966" spans="1:12" hidden="1" x14ac:dyDescent="0.25">
      <c r="A3966" s="6"/>
      <c r="B3966" s="6"/>
      <c r="C3966" s="11"/>
      <c r="D3966" s="13"/>
      <c r="E3966" s="13"/>
      <c r="F3966" s="13"/>
      <c r="G3966" s="13"/>
      <c r="H3966" s="13"/>
      <c r="I3966" s="10"/>
      <c r="J3966" s="11"/>
      <c r="K3966" s="6"/>
      <c r="L3966" s="13"/>
    </row>
    <row r="3967" spans="1:12" hidden="1" x14ac:dyDescent="0.25">
      <c r="A3967" s="6"/>
      <c r="B3967" s="6"/>
      <c r="C3967" s="11"/>
      <c r="D3967" s="13"/>
      <c r="E3967" s="13"/>
      <c r="F3967" s="13"/>
      <c r="G3967" s="13"/>
      <c r="H3967" s="13"/>
      <c r="I3967" s="10"/>
      <c r="J3967" s="11"/>
      <c r="K3967" s="6"/>
      <c r="L3967" s="13"/>
    </row>
    <row r="3968" spans="1:12" hidden="1" x14ac:dyDescent="0.25">
      <c r="A3968" s="6"/>
      <c r="B3968" s="6"/>
      <c r="C3968" s="11"/>
      <c r="D3968" s="13"/>
      <c r="E3968" s="13"/>
      <c r="F3968" s="13"/>
      <c r="G3968" s="13"/>
      <c r="H3968" s="13"/>
      <c r="I3968" s="10"/>
      <c r="J3968" s="11"/>
      <c r="K3968" s="6"/>
      <c r="L3968" s="13"/>
    </row>
    <row r="3969" spans="1:12" hidden="1" x14ac:dyDescent="0.25">
      <c r="A3969" s="6"/>
      <c r="B3969" s="6"/>
      <c r="C3969" s="11"/>
      <c r="D3969" s="13"/>
      <c r="E3969" s="13"/>
      <c r="F3969" s="13"/>
      <c r="G3969" s="13"/>
      <c r="H3969" s="13"/>
      <c r="I3969" s="10"/>
      <c r="J3969" s="11"/>
      <c r="K3969" s="6"/>
      <c r="L3969" s="13"/>
    </row>
    <row r="3970" spans="1:12" hidden="1" x14ac:dyDescent="0.25">
      <c r="A3970" s="6"/>
      <c r="B3970" s="6"/>
      <c r="C3970" s="11"/>
      <c r="D3970" s="13"/>
      <c r="E3970" s="13"/>
      <c r="F3970" s="13"/>
      <c r="G3970" s="13"/>
      <c r="H3970" s="13"/>
      <c r="I3970" s="10"/>
      <c r="J3970" s="11"/>
      <c r="K3970" s="6"/>
      <c r="L3970" s="13"/>
    </row>
    <row r="3971" spans="1:12" hidden="1" x14ac:dyDescent="0.25">
      <c r="A3971" s="6"/>
      <c r="B3971" s="6"/>
      <c r="C3971" s="11"/>
      <c r="D3971" s="13"/>
      <c r="E3971" s="13"/>
      <c r="F3971" s="13"/>
      <c r="G3971" s="13"/>
      <c r="H3971" s="13"/>
      <c r="I3971" s="10"/>
      <c r="J3971" s="11"/>
      <c r="K3971" s="6"/>
      <c r="L3971" s="13"/>
    </row>
    <row r="3972" spans="1:12" hidden="1" x14ac:dyDescent="0.25">
      <c r="A3972" s="6"/>
      <c r="B3972" s="6"/>
      <c r="C3972" s="11"/>
      <c r="D3972" s="13"/>
      <c r="E3972" s="13"/>
      <c r="F3972" s="13"/>
      <c r="G3972" s="13"/>
      <c r="H3972" s="13"/>
      <c r="I3972" s="10"/>
      <c r="J3972" s="11"/>
      <c r="K3972" s="6"/>
      <c r="L3972" s="13"/>
    </row>
    <row r="3973" spans="1:12" hidden="1" x14ac:dyDescent="0.25">
      <c r="A3973" s="6"/>
      <c r="B3973" s="6"/>
      <c r="C3973" s="11"/>
      <c r="D3973" s="13"/>
      <c r="E3973" s="13"/>
      <c r="F3973" s="13"/>
      <c r="G3973" s="13"/>
      <c r="H3973" s="13"/>
      <c r="I3973" s="10"/>
      <c r="J3973" s="11"/>
      <c r="K3973" s="6"/>
      <c r="L3973" s="13"/>
    </row>
    <row r="3974" spans="1:12" hidden="1" x14ac:dyDescent="0.25">
      <c r="A3974" s="6"/>
      <c r="B3974" s="6"/>
      <c r="C3974" s="11"/>
      <c r="D3974" s="13"/>
      <c r="E3974" s="13"/>
      <c r="F3974" s="13"/>
      <c r="G3974" s="13"/>
      <c r="H3974" s="13"/>
      <c r="I3974" s="10"/>
      <c r="J3974" s="11"/>
      <c r="K3974" s="6"/>
      <c r="L3974" s="13"/>
    </row>
    <row r="3975" spans="1:12" hidden="1" x14ac:dyDescent="0.25">
      <c r="A3975" s="6"/>
      <c r="B3975" s="6"/>
      <c r="C3975" s="11"/>
      <c r="D3975" s="13"/>
      <c r="E3975" s="13"/>
      <c r="F3975" s="13"/>
      <c r="G3975" s="13"/>
      <c r="H3975" s="13"/>
      <c r="I3975" s="10"/>
      <c r="J3975" s="11"/>
      <c r="K3975" s="6"/>
      <c r="L3975" s="13"/>
    </row>
    <row r="3976" spans="1:12" hidden="1" x14ac:dyDescent="0.25">
      <c r="A3976" s="6"/>
      <c r="B3976" s="6"/>
      <c r="C3976" s="11"/>
      <c r="D3976" s="13"/>
      <c r="E3976" s="13"/>
      <c r="F3976" s="13"/>
      <c r="G3976" s="13"/>
      <c r="H3976" s="13"/>
      <c r="I3976" s="10"/>
      <c r="J3976" s="11"/>
      <c r="K3976" s="6"/>
      <c r="L3976" s="13"/>
    </row>
    <row r="3977" spans="1:12" hidden="1" x14ac:dyDescent="0.25">
      <c r="A3977" s="6"/>
      <c r="B3977" s="6"/>
      <c r="C3977" s="11"/>
      <c r="D3977" s="13"/>
      <c r="E3977" s="13"/>
      <c r="F3977" s="13"/>
      <c r="G3977" s="13"/>
      <c r="H3977" s="13"/>
      <c r="I3977" s="10"/>
      <c r="J3977" s="11"/>
      <c r="K3977" s="6"/>
      <c r="L3977" s="13"/>
    </row>
    <row r="3978" spans="1:12" hidden="1" x14ac:dyDescent="0.25">
      <c r="A3978" s="6"/>
      <c r="B3978" s="6"/>
      <c r="C3978" s="11"/>
      <c r="D3978" s="13"/>
      <c r="E3978" s="13"/>
      <c r="F3978" s="13"/>
      <c r="G3978" s="13"/>
      <c r="H3978" s="13"/>
      <c r="I3978" s="10"/>
      <c r="J3978" s="11"/>
      <c r="K3978" s="6"/>
      <c r="L3978" s="13"/>
    </row>
    <row r="3979" spans="1:12" hidden="1" x14ac:dyDescent="0.25">
      <c r="A3979" s="6"/>
      <c r="B3979" s="6"/>
      <c r="C3979" s="11"/>
      <c r="D3979" s="13"/>
      <c r="E3979" s="13"/>
      <c r="F3979" s="13"/>
      <c r="G3979" s="13"/>
      <c r="H3979" s="13"/>
      <c r="I3979" s="10"/>
      <c r="J3979" s="11"/>
      <c r="K3979" s="6"/>
      <c r="L3979" s="13"/>
    </row>
    <row r="3980" spans="1:12" hidden="1" x14ac:dyDescent="0.25">
      <c r="A3980" s="6"/>
      <c r="B3980" s="6"/>
      <c r="C3980" s="11"/>
      <c r="D3980" s="13"/>
      <c r="E3980" s="13"/>
      <c r="F3980" s="13"/>
      <c r="G3980" s="13"/>
      <c r="H3980" s="13"/>
      <c r="I3980" s="10"/>
      <c r="J3980" s="11"/>
      <c r="K3980" s="6"/>
      <c r="L3980" s="13"/>
    </row>
    <row r="3981" spans="1:12" hidden="1" x14ac:dyDescent="0.25">
      <c r="A3981" s="6"/>
      <c r="B3981" s="6"/>
      <c r="C3981" s="11"/>
      <c r="D3981" s="13"/>
      <c r="E3981" s="13"/>
      <c r="F3981" s="13"/>
      <c r="G3981" s="13"/>
      <c r="H3981" s="13"/>
      <c r="I3981" s="10"/>
      <c r="J3981" s="11"/>
      <c r="K3981" s="6"/>
      <c r="L3981" s="13"/>
    </row>
    <row r="3982" spans="1:12" hidden="1" x14ac:dyDescent="0.25">
      <c r="A3982" s="6"/>
      <c r="B3982" s="6"/>
      <c r="C3982" s="11"/>
      <c r="D3982" s="13"/>
      <c r="E3982" s="13"/>
      <c r="F3982" s="13"/>
      <c r="G3982" s="13"/>
      <c r="H3982" s="13"/>
      <c r="I3982" s="10"/>
      <c r="J3982" s="11"/>
      <c r="K3982" s="6"/>
      <c r="L3982" s="13"/>
    </row>
    <row r="3983" spans="1:12" hidden="1" x14ac:dyDescent="0.25">
      <c r="A3983" s="6"/>
      <c r="B3983" s="6"/>
      <c r="C3983" s="11"/>
      <c r="D3983" s="13"/>
      <c r="E3983" s="13"/>
      <c r="F3983" s="13"/>
      <c r="G3983" s="13"/>
      <c r="H3983" s="13"/>
      <c r="I3983" s="10"/>
      <c r="J3983" s="11"/>
      <c r="K3983" s="6"/>
      <c r="L3983" s="13"/>
    </row>
    <row r="3984" spans="1:12" hidden="1" x14ac:dyDescent="0.25">
      <c r="A3984" s="6"/>
      <c r="B3984" s="6"/>
      <c r="C3984" s="11"/>
      <c r="D3984" s="13"/>
      <c r="E3984" s="13"/>
      <c r="F3984" s="13"/>
      <c r="G3984" s="13"/>
      <c r="H3984" s="13"/>
      <c r="I3984" s="10"/>
      <c r="J3984" s="11"/>
      <c r="K3984" s="6"/>
      <c r="L3984" s="13"/>
    </row>
    <row r="3985" spans="1:12" hidden="1" x14ac:dyDescent="0.25">
      <c r="A3985" s="6"/>
      <c r="B3985" s="6"/>
      <c r="C3985" s="11"/>
      <c r="D3985" s="13"/>
      <c r="E3985" s="13"/>
      <c r="F3985" s="13"/>
      <c r="G3985" s="13"/>
      <c r="H3985" s="13"/>
      <c r="I3985" s="10"/>
      <c r="J3985" s="11"/>
      <c r="K3985" s="6"/>
      <c r="L3985" s="13"/>
    </row>
    <row r="3986" spans="1:12" hidden="1" x14ac:dyDescent="0.25">
      <c r="A3986" s="6"/>
      <c r="B3986" s="6"/>
      <c r="C3986" s="11"/>
      <c r="D3986" s="13"/>
      <c r="E3986" s="13"/>
      <c r="F3986" s="13"/>
      <c r="G3986" s="13"/>
      <c r="H3986" s="13"/>
      <c r="I3986" s="10"/>
      <c r="J3986" s="11"/>
      <c r="K3986" s="6"/>
      <c r="L3986" s="13"/>
    </row>
    <row r="3987" spans="1:12" hidden="1" x14ac:dyDescent="0.25">
      <c r="A3987" s="6"/>
      <c r="B3987" s="6"/>
      <c r="C3987" s="11"/>
      <c r="D3987" s="13"/>
      <c r="E3987" s="13"/>
      <c r="F3987" s="13"/>
      <c r="G3987" s="13"/>
      <c r="H3987" s="13"/>
      <c r="I3987" s="10"/>
      <c r="J3987" s="11"/>
      <c r="K3987" s="6"/>
      <c r="L3987" s="13"/>
    </row>
    <row r="3988" spans="1:12" hidden="1" x14ac:dyDescent="0.25">
      <c r="A3988" s="6"/>
      <c r="B3988" s="6"/>
      <c r="C3988" s="11"/>
      <c r="D3988" s="13"/>
      <c r="E3988" s="13"/>
      <c r="F3988" s="13"/>
      <c r="G3988" s="13"/>
      <c r="H3988" s="13"/>
      <c r="I3988" s="10"/>
      <c r="J3988" s="11"/>
      <c r="K3988" s="6"/>
      <c r="L3988" s="13"/>
    </row>
    <row r="3989" spans="1:12" hidden="1" x14ac:dyDescent="0.25">
      <c r="A3989" s="6"/>
      <c r="B3989" s="6"/>
      <c r="C3989" s="11"/>
      <c r="D3989" s="13"/>
      <c r="E3989" s="13"/>
      <c r="F3989" s="13"/>
      <c r="G3989" s="13"/>
      <c r="H3989" s="13"/>
      <c r="I3989" s="10"/>
      <c r="J3989" s="11"/>
      <c r="K3989" s="6"/>
      <c r="L3989" s="13"/>
    </row>
    <row r="3990" spans="1:12" hidden="1" x14ac:dyDescent="0.25">
      <c r="A3990" s="6"/>
      <c r="B3990" s="6"/>
      <c r="C3990" s="11"/>
      <c r="D3990" s="13"/>
      <c r="E3990" s="13"/>
      <c r="F3990" s="13"/>
      <c r="G3990" s="13"/>
      <c r="H3990" s="13"/>
      <c r="I3990" s="10"/>
      <c r="J3990" s="11"/>
      <c r="K3990" s="6"/>
      <c r="L3990" s="13"/>
    </row>
    <row r="3991" spans="1:12" hidden="1" x14ac:dyDescent="0.25">
      <c r="A3991" s="6"/>
      <c r="B3991" s="6"/>
      <c r="C3991" s="11"/>
      <c r="D3991" s="13"/>
      <c r="E3991" s="13"/>
      <c r="F3991" s="13"/>
      <c r="G3991" s="13"/>
      <c r="H3991" s="13"/>
      <c r="I3991" s="10"/>
      <c r="J3991" s="11"/>
      <c r="K3991" s="6"/>
      <c r="L3991" s="13"/>
    </row>
    <row r="3992" spans="1:12" hidden="1" x14ac:dyDescent="0.25">
      <c r="A3992" s="6"/>
      <c r="B3992" s="6"/>
      <c r="C3992" s="11"/>
      <c r="D3992" s="13"/>
      <c r="E3992" s="13"/>
      <c r="F3992" s="13"/>
      <c r="G3992" s="13"/>
      <c r="H3992" s="13"/>
      <c r="I3992" s="10"/>
      <c r="J3992" s="11"/>
      <c r="K3992" s="6"/>
      <c r="L3992" s="13"/>
    </row>
    <row r="3993" spans="1:12" hidden="1" x14ac:dyDescent="0.25">
      <c r="A3993" s="6"/>
      <c r="B3993" s="6"/>
      <c r="C3993" s="11"/>
      <c r="D3993" s="13"/>
      <c r="E3993" s="13"/>
      <c r="F3993" s="13"/>
      <c r="G3993" s="13"/>
      <c r="H3993" s="13"/>
      <c r="I3993" s="10"/>
      <c r="J3993" s="11"/>
      <c r="K3993" s="6"/>
      <c r="L3993" s="13"/>
    </row>
    <row r="3994" spans="1:12" hidden="1" x14ac:dyDescent="0.25">
      <c r="A3994" s="6"/>
      <c r="B3994" s="6"/>
      <c r="C3994" s="11"/>
      <c r="D3994" s="13"/>
      <c r="E3994" s="13"/>
      <c r="F3994" s="13"/>
      <c r="G3994" s="13"/>
      <c r="H3994" s="13"/>
      <c r="I3994" s="10"/>
      <c r="J3994" s="11"/>
      <c r="K3994" s="6"/>
      <c r="L3994" s="13"/>
    </row>
    <row r="3995" spans="1:12" hidden="1" x14ac:dyDescent="0.25">
      <c r="A3995" s="6"/>
      <c r="B3995" s="6"/>
      <c r="C3995" s="11"/>
      <c r="D3995" s="13"/>
      <c r="E3995" s="13"/>
      <c r="F3995" s="13"/>
      <c r="G3995" s="13"/>
      <c r="H3995" s="13"/>
      <c r="I3995" s="10"/>
      <c r="J3995" s="11"/>
      <c r="K3995" s="6"/>
      <c r="L3995" s="13"/>
    </row>
    <row r="3996" spans="1:12" hidden="1" x14ac:dyDescent="0.25">
      <c r="A3996" s="6"/>
      <c r="B3996" s="6"/>
      <c r="C3996" s="11"/>
      <c r="D3996" s="13"/>
      <c r="E3996" s="13"/>
      <c r="F3996" s="13"/>
      <c r="G3996" s="13"/>
      <c r="H3996" s="13"/>
      <c r="I3996" s="10"/>
      <c r="J3996" s="11"/>
      <c r="K3996" s="6"/>
      <c r="L3996" s="13"/>
    </row>
    <row r="3997" spans="1:12" hidden="1" x14ac:dyDescent="0.25">
      <c r="A3997" s="6"/>
      <c r="B3997" s="6"/>
      <c r="C3997" s="11"/>
      <c r="D3997" s="13"/>
      <c r="E3997" s="13"/>
      <c r="F3997" s="13"/>
      <c r="G3997" s="13"/>
      <c r="H3997" s="13"/>
      <c r="I3997" s="10"/>
      <c r="J3997" s="11"/>
      <c r="K3997" s="6"/>
      <c r="L3997" s="13"/>
    </row>
    <row r="3998" spans="1:12" hidden="1" x14ac:dyDescent="0.25">
      <c r="A3998" s="6"/>
      <c r="B3998" s="6"/>
      <c r="C3998" s="11"/>
      <c r="D3998" s="13"/>
      <c r="E3998" s="13"/>
      <c r="F3998" s="13"/>
      <c r="G3998" s="13"/>
      <c r="H3998" s="13"/>
      <c r="I3998" s="10"/>
      <c r="J3998" s="11"/>
      <c r="K3998" s="6"/>
      <c r="L3998" s="13"/>
    </row>
    <row r="3999" spans="1:12" hidden="1" x14ac:dyDescent="0.25">
      <c r="A3999" s="6"/>
      <c r="B3999" s="6"/>
      <c r="C3999" s="11"/>
      <c r="D3999" s="13"/>
      <c r="E3999" s="13"/>
      <c r="F3999" s="13"/>
      <c r="G3999" s="13"/>
      <c r="H3999" s="13"/>
      <c r="I3999" s="10"/>
      <c r="J3999" s="11"/>
      <c r="K3999" s="6"/>
      <c r="L3999" s="13"/>
    </row>
    <row r="4000" spans="1:12" hidden="1" x14ac:dyDescent="0.25">
      <c r="A4000" s="6"/>
      <c r="B4000" s="6"/>
      <c r="C4000" s="11"/>
      <c r="D4000" s="13"/>
      <c r="E4000" s="13"/>
      <c r="F4000" s="13"/>
      <c r="G4000" s="13"/>
      <c r="H4000" s="13"/>
      <c r="I4000" s="10"/>
      <c r="J4000" s="11"/>
      <c r="K4000" s="6"/>
      <c r="L4000" s="13"/>
    </row>
    <row r="4001" spans="1:12" hidden="1" x14ac:dyDescent="0.25">
      <c r="A4001" s="6"/>
      <c r="B4001" s="6"/>
      <c r="C4001" s="11"/>
      <c r="D4001" s="13"/>
      <c r="E4001" s="13"/>
      <c r="F4001" s="13"/>
      <c r="G4001" s="13"/>
      <c r="H4001" s="13"/>
      <c r="I4001" s="10"/>
      <c r="J4001" s="11"/>
      <c r="K4001" s="6"/>
      <c r="L4001" s="13"/>
    </row>
    <row r="4002" spans="1:12" hidden="1" x14ac:dyDescent="0.25">
      <c r="A4002" s="6"/>
      <c r="B4002" s="6"/>
      <c r="C4002" s="11"/>
      <c r="D4002" s="13"/>
      <c r="E4002" s="13"/>
      <c r="F4002" s="13"/>
      <c r="G4002" s="13"/>
      <c r="H4002" s="13"/>
      <c r="I4002" s="10"/>
      <c r="J4002" s="11"/>
      <c r="K4002" s="6"/>
      <c r="L4002" s="13"/>
    </row>
    <row r="4003" spans="1:12" hidden="1" x14ac:dyDescent="0.25">
      <c r="A4003" s="6"/>
      <c r="B4003" s="6"/>
      <c r="C4003" s="11"/>
      <c r="D4003" s="13"/>
      <c r="E4003" s="13"/>
      <c r="F4003" s="13"/>
      <c r="G4003" s="13"/>
      <c r="H4003" s="13"/>
      <c r="I4003" s="10"/>
      <c r="J4003" s="11"/>
      <c r="K4003" s="6"/>
      <c r="L4003" s="13"/>
    </row>
    <row r="4004" spans="1:12" hidden="1" x14ac:dyDescent="0.25">
      <c r="A4004" s="6"/>
      <c r="B4004" s="6"/>
      <c r="C4004" s="11"/>
      <c r="D4004" s="13"/>
      <c r="E4004" s="13"/>
      <c r="F4004" s="13"/>
      <c r="G4004" s="13"/>
      <c r="H4004" s="13"/>
      <c r="I4004" s="10"/>
      <c r="J4004" s="11"/>
      <c r="K4004" s="6"/>
      <c r="L4004" s="13"/>
    </row>
    <row r="4005" spans="1:12" hidden="1" x14ac:dyDescent="0.25">
      <c r="A4005" s="6"/>
      <c r="B4005" s="6"/>
      <c r="C4005" s="11"/>
      <c r="D4005" s="13"/>
      <c r="E4005" s="13"/>
      <c r="F4005" s="13"/>
      <c r="G4005" s="13"/>
      <c r="H4005" s="13"/>
      <c r="I4005" s="10"/>
      <c r="J4005" s="11"/>
      <c r="K4005" s="6"/>
      <c r="L4005" s="13"/>
    </row>
    <row r="4006" spans="1:12" hidden="1" x14ac:dyDescent="0.25">
      <c r="A4006" s="6"/>
      <c r="B4006" s="6"/>
      <c r="C4006" s="11"/>
      <c r="D4006" s="13"/>
      <c r="E4006" s="13"/>
      <c r="F4006" s="13"/>
      <c r="G4006" s="13"/>
      <c r="H4006" s="13"/>
      <c r="I4006" s="10"/>
      <c r="J4006" s="11"/>
      <c r="K4006" s="6"/>
      <c r="L4006" s="13"/>
    </row>
    <row r="4007" spans="1:12" hidden="1" x14ac:dyDescent="0.25">
      <c r="A4007" s="6"/>
      <c r="B4007" s="6"/>
      <c r="C4007" s="11"/>
      <c r="D4007" s="13"/>
      <c r="E4007" s="13"/>
      <c r="F4007" s="13"/>
      <c r="G4007" s="13"/>
      <c r="H4007" s="13"/>
      <c r="I4007" s="10"/>
      <c r="J4007" s="11"/>
      <c r="K4007" s="6"/>
      <c r="L4007" s="13"/>
    </row>
    <row r="4008" spans="1:12" hidden="1" x14ac:dyDescent="0.25">
      <c r="A4008" s="6"/>
      <c r="B4008" s="6"/>
      <c r="C4008" s="11"/>
      <c r="D4008" s="13"/>
      <c r="E4008" s="13"/>
      <c r="F4008" s="13"/>
      <c r="G4008" s="13"/>
      <c r="H4008" s="13"/>
      <c r="I4008" s="10"/>
      <c r="J4008" s="11"/>
      <c r="K4008" s="6"/>
      <c r="L4008" s="13"/>
    </row>
    <row r="4009" spans="1:12" hidden="1" x14ac:dyDescent="0.25">
      <c r="A4009" s="6"/>
      <c r="B4009" s="6"/>
      <c r="C4009" s="11"/>
      <c r="D4009" s="13"/>
      <c r="E4009" s="13"/>
      <c r="F4009" s="13"/>
      <c r="G4009" s="13"/>
      <c r="H4009" s="13"/>
      <c r="I4009" s="10"/>
      <c r="J4009" s="11"/>
      <c r="K4009" s="6"/>
      <c r="L4009" s="13"/>
    </row>
    <row r="4010" spans="1:12" hidden="1" x14ac:dyDescent="0.25">
      <c r="A4010" s="6"/>
      <c r="B4010" s="6"/>
      <c r="C4010" s="11"/>
      <c r="D4010" s="13"/>
      <c r="E4010" s="13"/>
      <c r="F4010" s="13"/>
      <c r="G4010" s="13"/>
      <c r="H4010" s="13"/>
      <c r="I4010" s="10"/>
      <c r="J4010" s="11"/>
      <c r="K4010" s="6"/>
      <c r="L4010" s="13"/>
    </row>
    <row r="4011" spans="1:12" hidden="1" x14ac:dyDescent="0.25">
      <c r="A4011" s="6"/>
      <c r="B4011" s="6"/>
      <c r="C4011" s="11"/>
      <c r="D4011" s="13"/>
      <c r="E4011" s="13"/>
      <c r="F4011" s="13"/>
      <c r="G4011" s="13"/>
      <c r="H4011" s="13"/>
      <c r="I4011" s="10"/>
      <c r="J4011" s="11"/>
      <c r="K4011" s="6"/>
      <c r="L4011" s="13"/>
    </row>
    <row r="4012" spans="1:12" hidden="1" x14ac:dyDescent="0.25">
      <c r="A4012" s="6"/>
      <c r="B4012" s="6"/>
      <c r="C4012" s="11"/>
      <c r="D4012" s="13"/>
      <c r="E4012" s="13"/>
      <c r="F4012" s="13"/>
      <c r="G4012" s="13"/>
      <c r="H4012" s="13"/>
      <c r="I4012" s="10"/>
      <c r="J4012" s="11"/>
      <c r="K4012" s="6"/>
      <c r="L4012" s="13"/>
    </row>
    <row r="4013" spans="1:12" hidden="1" x14ac:dyDescent="0.25">
      <c r="A4013" s="6"/>
      <c r="B4013" s="6"/>
      <c r="C4013" s="11"/>
      <c r="D4013" s="13"/>
      <c r="E4013" s="13"/>
      <c r="F4013" s="13"/>
      <c r="G4013" s="13"/>
      <c r="H4013" s="13"/>
      <c r="I4013" s="10"/>
      <c r="J4013" s="11"/>
      <c r="K4013" s="6"/>
      <c r="L4013" s="13"/>
    </row>
    <row r="4014" spans="1:12" hidden="1" x14ac:dyDescent="0.25">
      <c r="A4014" s="6"/>
      <c r="B4014" s="6"/>
      <c r="C4014" s="11"/>
      <c r="D4014" s="13"/>
      <c r="E4014" s="13"/>
      <c r="F4014" s="13"/>
      <c r="G4014" s="13"/>
      <c r="H4014" s="13"/>
      <c r="I4014" s="10"/>
      <c r="J4014" s="11"/>
      <c r="K4014" s="6"/>
      <c r="L4014" s="13"/>
    </row>
    <row r="4015" spans="1:12" hidden="1" x14ac:dyDescent="0.25">
      <c r="A4015" s="6"/>
      <c r="B4015" s="6"/>
      <c r="C4015" s="11"/>
      <c r="D4015" s="13"/>
      <c r="E4015" s="13"/>
      <c r="F4015" s="13"/>
      <c r="G4015" s="13"/>
      <c r="H4015" s="13"/>
      <c r="I4015" s="10"/>
      <c r="J4015" s="11"/>
      <c r="K4015" s="6"/>
      <c r="L4015" s="13"/>
    </row>
    <row r="4016" spans="1:12" hidden="1" x14ac:dyDescent="0.25">
      <c r="A4016" s="6"/>
      <c r="B4016" s="6"/>
      <c r="C4016" s="11"/>
      <c r="D4016" s="13"/>
      <c r="E4016" s="13"/>
      <c r="F4016" s="13"/>
      <c r="G4016" s="13"/>
      <c r="H4016" s="13"/>
      <c r="I4016" s="10"/>
      <c r="J4016" s="11"/>
      <c r="K4016" s="6"/>
      <c r="L4016" s="13"/>
    </row>
    <row r="4017" spans="1:12" hidden="1" x14ac:dyDescent="0.25">
      <c r="A4017" s="6"/>
      <c r="B4017" s="6"/>
      <c r="C4017" s="11"/>
      <c r="D4017" s="13"/>
      <c r="E4017" s="13"/>
      <c r="F4017" s="13"/>
      <c r="G4017" s="13"/>
      <c r="H4017" s="13"/>
      <c r="I4017" s="10"/>
      <c r="J4017" s="11"/>
      <c r="K4017" s="6"/>
      <c r="L4017" s="13"/>
    </row>
    <row r="4018" spans="1:12" hidden="1" x14ac:dyDescent="0.25">
      <c r="A4018" s="6"/>
      <c r="B4018" s="6"/>
      <c r="C4018" s="11"/>
      <c r="D4018" s="13"/>
      <c r="E4018" s="13"/>
      <c r="F4018" s="13"/>
      <c r="G4018" s="13"/>
      <c r="H4018" s="13"/>
      <c r="I4018" s="10"/>
      <c r="J4018" s="11"/>
      <c r="K4018" s="6"/>
      <c r="L4018" s="13"/>
    </row>
    <row r="4019" spans="1:12" hidden="1" x14ac:dyDescent="0.25">
      <c r="A4019" s="6"/>
      <c r="B4019" s="6"/>
      <c r="C4019" s="11"/>
      <c r="D4019" s="13"/>
      <c r="E4019" s="13"/>
      <c r="F4019" s="13"/>
      <c r="G4019" s="13"/>
      <c r="H4019" s="13"/>
      <c r="I4019" s="10"/>
      <c r="J4019" s="11"/>
      <c r="K4019" s="6"/>
      <c r="L4019" s="13"/>
    </row>
    <row r="4020" spans="1:12" hidden="1" x14ac:dyDescent="0.25">
      <c r="A4020" s="6"/>
      <c r="B4020" s="6"/>
      <c r="C4020" s="11"/>
      <c r="D4020" s="13"/>
      <c r="E4020" s="13"/>
      <c r="F4020" s="13"/>
      <c r="G4020" s="13"/>
      <c r="H4020" s="13"/>
      <c r="I4020" s="10"/>
      <c r="J4020" s="11"/>
      <c r="K4020" s="6"/>
      <c r="L4020" s="13"/>
    </row>
    <row r="4021" spans="1:12" hidden="1" x14ac:dyDescent="0.25">
      <c r="A4021" s="6"/>
      <c r="B4021" s="6"/>
      <c r="C4021" s="11"/>
      <c r="D4021" s="13"/>
      <c r="E4021" s="13"/>
      <c r="F4021" s="13"/>
      <c r="G4021" s="13"/>
      <c r="H4021" s="13"/>
      <c r="I4021" s="10"/>
      <c r="J4021" s="11"/>
      <c r="K4021" s="6"/>
      <c r="L4021" s="13"/>
    </row>
    <row r="4022" spans="1:12" hidden="1" x14ac:dyDescent="0.25">
      <c r="A4022" s="6"/>
      <c r="B4022" s="6"/>
      <c r="C4022" s="11"/>
      <c r="D4022" s="13"/>
      <c r="E4022" s="13"/>
      <c r="F4022" s="13"/>
      <c r="G4022" s="13"/>
      <c r="H4022" s="13"/>
      <c r="I4022" s="10"/>
      <c r="J4022" s="11"/>
      <c r="K4022" s="6"/>
      <c r="L4022" s="13"/>
    </row>
    <row r="4023" spans="1:12" hidden="1" x14ac:dyDescent="0.25">
      <c r="A4023" s="6"/>
      <c r="B4023" s="6"/>
      <c r="C4023" s="11"/>
      <c r="D4023" s="13"/>
      <c r="E4023" s="13"/>
      <c r="F4023" s="13"/>
      <c r="G4023" s="13"/>
      <c r="H4023" s="13"/>
      <c r="I4023" s="10"/>
      <c r="J4023" s="11"/>
      <c r="K4023" s="6"/>
      <c r="L4023" s="13"/>
    </row>
    <row r="4024" spans="1:12" hidden="1" x14ac:dyDescent="0.25">
      <c r="A4024" s="6"/>
      <c r="B4024" s="6"/>
      <c r="C4024" s="11"/>
      <c r="D4024" s="13"/>
      <c r="E4024" s="13"/>
      <c r="F4024" s="13"/>
      <c r="G4024" s="13"/>
      <c r="H4024" s="13"/>
      <c r="I4024" s="10"/>
      <c r="J4024" s="11"/>
      <c r="K4024" s="6"/>
      <c r="L4024" s="13"/>
    </row>
    <row r="4025" spans="1:12" hidden="1" x14ac:dyDescent="0.25">
      <c r="A4025" s="6"/>
      <c r="B4025" s="6"/>
      <c r="C4025" s="11"/>
      <c r="D4025" s="13"/>
      <c r="E4025" s="13"/>
      <c r="F4025" s="13"/>
      <c r="G4025" s="13"/>
      <c r="H4025" s="13"/>
      <c r="I4025" s="10"/>
      <c r="J4025" s="11"/>
      <c r="K4025" s="6"/>
      <c r="L4025" s="13"/>
    </row>
    <row r="4026" spans="1:12" hidden="1" x14ac:dyDescent="0.25">
      <c r="A4026" s="6"/>
      <c r="B4026" s="6"/>
      <c r="C4026" s="11"/>
      <c r="D4026" s="13"/>
      <c r="E4026" s="13"/>
      <c r="F4026" s="13"/>
      <c r="G4026" s="13"/>
      <c r="H4026" s="13"/>
      <c r="I4026" s="10"/>
      <c r="J4026" s="11"/>
      <c r="K4026" s="6"/>
      <c r="L4026" s="13"/>
    </row>
    <row r="4027" spans="1:12" hidden="1" x14ac:dyDescent="0.25">
      <c r="A4027" s="6"/>
      <c r="B4027" s="6"/>
      <c r="C4027" s="11"/>
      <c r="D4027" s="13"/>
      <c r="E4027" s="13"/>
      <c r="F4027" s="13"/>
      <c r="G4027" s="13"/>
      <c r="H4027" s="13"/>
      <c r="I4027" s="10"/>
      <c r="J4027" s="11"/>
      <c r="K4027" s="6"/>
      <c r="L4027" s="13"/>
    </row>
    <row r="4028" spans="1:12" hidden="1" x14ac:dyDescent="0.25">
      <c r="A4028" s="6"/>
      <c r="B4028" s="6"/>
      <c r="C4028" s="11"/>
      <c r="D4028" s="13"/>
      <c r="E4028" s="13"/>
      <c r="F4028" s="13"/>
      <c r="G4028" s="13"/>
      <c r="H4028" s="13"/>
      <c r="I4028" s="10"/>
      <c r="J4028" s="11"/>
      <c r="K4028" s="6"/>
      <c r="L4028" s="13"/>
    </row>
    <row r="4029" spans="1:12" hidden="1" x14ac:dyDescent="0.25">
      <c r="A4029" s="6"/>
      <c r="B4029" s="6"/>
      <c r="C4029" s="11"/>
      <c r="D4029" s="13"/>
      <c r="E4029" s="13"/>
      <c r="F4029" s="13"/>
      <c r="G4029" s="13"/>
      <c r="H4029" s="13"/>
      <c r="I4029" s="10"/>
      <c r="J4029" s="11"/>
      <c r="K4029" s="6"/>
      <c r="L4029" s="13"/>
    </row>
    <row r="4030" spans="1:12" hidden="1" x14ac:dyDescent="0.25">
      <c r="A4030" s="6"/>
      <c r="B4030" s="6"/>
      <c r="C4030" s="11"/>
      <c r="D4030" s="13"/>
      <c r="E4030" s="13"/>
      <c r="F4030" s="13"/>
      <c r="G4030" s="13"/>
      <c r="H4030" s="13"/>
      <c r="I4030" s="10"/>
      <c r="J4030" s="11"/>
      <c r="K4030" s="6"/>
      <c r="L4030" s="13"/>
    </row>
    <row r="4031" spans="1:12" hidden="1" x14ac:dyDescent="0.25">
      <c r="A4031" s="6"/>
      <c r="B4031" s="6"/>
      <c r="C4031" s="11"/>
      <c r="D4031" s="13"/>
      <c r="E4031" s="13"/>
      <c r="F4031" s="13"/>
      <c r="G4031" s="13"/>
      <c r="H4031" s="13"/>
      <c r="I4031" s="10"/>
      <c r="J4031" s="11"/>
      <c r="K4031" s="6"/>
      <c r="L4031" s="13"/>
    </row>
    <row r="4032" spans="1:12" hidden="1" x14ac:dyDescent="0.25">
      <c r="A4032" s="6"/>
      <c r="B4032" s="6"/>
      <c r="C4032" s="11"/>
      <c r="D4032" s="13"/>
      <c r="E4032" s="13"/>
      <c r="F4032" s="13"/>
      <c r="G4032" s="13"/>
      <c r="H4032" s="13"/>
      <c r="I4032" s="10"/>
      <c r="J4032" s="11"/>
      <c r="K4032" s="6"/>
      <c r="L4032" s="13"/>
    </row>
    <row r="4033" spans="1:12" hidden="1" x14ac:dyDescent="0.25">
      <c r="A4033" s="6"/>
      <c r="B4033" s="6"/>
      <c r="C4033" s="11"/>
      <c r="D4033" s="13"/>
      <c r="E4033" s="13"/>
      <c r="F4033" s="13"/>
      <c r="G4033" s="13"/>
      <c r="H4033" s="13"/>
      <c r="I4033" s="10"/>
      <c r="J4033" s="11"/>
      <c r="K4033" s="6"/>
      <c r="L4033" s="13"/>
    </row>
    <row r="4034" spans="1:12" hidden="1" x14ac:dyDescent="0.25">
      <c r="A4034" s="6"/>
      <c r="B4034" s="6"/>
      <c r="C4034" s="11"/>
      <c r="D4034" s="13"/>
      <c r="E4034" s="13"/>
      <c r="F4034" s="13"/>
      <c r="G4034" s="13"/>
      <c r="H4034" s="13"/>
      <c r="I4034" s="10"/>
      <c r="J4034" s="11"/>
      <c r="K4034" s="6"/>
      <c r="L4034" s="13"/>
    </row>
    <row r="4035" spans="1:12" hidden="1" x14ac:dyDescent="0.25">
      <c r="A4035" s="6"/>
      <c r="B4035" s="6"/>
      <c r="C4035" s="11"/>
      <c r="D4035" s="13"/>
      <c r="E4035" s="13"/>
      <c r="F4035" s="13"/>
      <c r="G4035" s="13"/>
      <c r="H4035" s="13"/>
      <c r="I4035" s="10"/>
      <c r="J4035" s="11"/>
      <c r="K4035" s="6"/>
      <c r="L4035" s="13"/>
    </row>
    <row r="4036" spans="1:12" hidden="1" x14ac:dyDescent="0.25">
      <c r="A4036" s="6"/>
      <c r="B4036" s="6"/>
      <c r="C4036" s="11"/>
      <c r="D4036" s="13"/>
      <c r="E4036" s="13"/>
      <c r="F4036" s="13"/>
      <c r="G4036" s="13"/>
      <c r="H4036" s="13"/>
      <c r="I4036" s="10"/>
      <c r="J4036" s="11"/>
      <c r="K4036" s="6"/>
      <c r="L4036" s="13"/>
    </row>
    <row r="4037" spans="1:12" hidden="1" x14ac:dyDescent="0.25">
      <c r="A4037" s="6"/>
      <c r="B4037" s="6"/>
      <c r="C4037" s="11"/>
      <c r="D4037" s="13"/>
      <c r="E4037" s="13"/>
      <c r="F4037" s="13"/>
      <c r="G4037" s="13"/>
      <c r="H4037" s="13"/>
      <c r="I4037" s="10"/>
      <c r="J4037" s="11"/>
      <c r="K4037" s="6"/>
      <c r="L4037" s="13"/>
    </row>
    <row r="4038" spans="1:12" hidden="1" x14ac:dyDescent="0.25">
      <c r="A4038" s="6"/>
      <c r="B4038" s="6"/>
      <c r="C4038" s="11"/>
      <c r="D4038" s="13"/>
      <c r="E4038" s="13"/>
      <c r="F4038" s="13"/>
      <c r="G4038" s="13"/>
      <c r="H4038" s="13"/>
      <c r="I4038" s="10"/>
      <c r="J4038" s="11"/>
      <c r="K4038" s="6"/>
      <c r="L4038" s="13"/>
    </row>
    <row r="4039" spans="1:12" hidden="1" x14ac:dyDescent="0.25">
      <c r="A4039" s="6"/>
      <c r="B4039" s="6"/>
      <c r="C4039" s="11"/>
      <c r="D4039" s="13"/>
      <c r="E4039" s="13"/>
      <c r="F4039" s="13"/>
      <c r="G4039" s="13"/>
      <c r="H4039" s="13"/>
      <c r="I4039" s="10"/>
      <c r="J4039" s="11"/>
      <c r="K4039" s="6"/>
      <c r="L4039" s="13"/>
    </row>
    <row r="4040" spans="1:12" hidden="1" x14ac:dyDescent="0.25">
      <c r="A4040" s="6"/>
      <c r="B4040" s="6"/>
      <c r="C4040" s="11"/>
      <c r="D4040" s="13"/>
      <c r="E4040" s="13"/>
      <c r="F4040" s="13"/>
      <c r="G4040" s="13"/>
      <c r="H4040" s="13"/>
      <c r="I4040" s="10"/>
      <c r="J4040" s="11"/>
      <c r="K4040" s="6"/>
      <c r="L4040" s="13"/>
    </row>
    <row r="4041" spans="1:12" hidden="1" x14ac:dyDescent="0.25">
      <c r="A4041" s="6"/>
      <c r="B4041" s="6"/>
      <c r="C4041" s="11"/>
      <c r="D4041" s="13"/>
      <c r="E4041" s="13"/>
      <c r="F4041" s="13"/>
      <c r="G4041" s="13"/>
      <c r="H4041" s="13"/>
      <c r="I4041" s="10"/>
      <c r="J4041" s="11"/>
      <c r="K4041" s="6"/>
      <c r="L4041" s="13"/>
    </row>
    <row r="4042" spans="1:12" hidden="1" x14ac:dyDescent="0.25">
      <c r="A4042" s="6"/>
      <c r="B4042" s="6"/>
      <c r="C4042" s="11"/>
      <c r="D4042" s="13"/>
      <c r="E4042" s="13"/>
      <c r="F4042" s="13"/>
      <c r="G4042" s="13"/>
      <c r="H4042" s="13"/>
      <c r="I4042" s="10"/>
      <c r="J4042" s="11"/>
      <c r="K4042" s="6"/>
      <c r="L4042" s="13"/>
    </row>
    <row r="4043" spans="1:12" hidden="1" x14ac:dyDescent="0.25">
      <c r="A4043" s="6"/>
      <c r="B4043" s="6"/>
      <c r="C4043" s="11"/>
      <c r="D4043" s="13"/>
      <c r="E4043" s="13"/>
      <c r="F4043" s="13"/>
      <c r="G4043" s="13"/>
      <c r="H4043" s="13"/>
      <c r="I4043" s="10"/>
      <c r="J4043" s="11"/>
      <c r="K4043" s="6"/>
      <c r="L4043" s="13"/>
    </row>
    <row r="4044" spans="1:12" hidden="1" x14ac:dyDescent="0.25">
      <c r="A4044" s="6"/>
      <c r="B4044" s="6"/>
      <c r="C4044" s="11"/>
      <c r="D4044" s="13"/>
      <c r="E4044" s="13"/>
      <c r="F4044" s="13"/>
      <c r="G4044" s="13"/>
      <c r="H4044" s="13"/>
      <c r="I4044" s="10"/>
      <c r="J4044" s="11"/>
      <c r="K4044" s="6"/>
      <c r="L4044" s="13"/>
    </row>
    <row r="4045" spans="1:12" hidden="1" x14ac:dyDescent="0.25">
      <c r="A4045" s="6"/>
      <c r="B4045" s="6"/>
      <c r="C4045" s="11"/>
      <c r="D4045" s="13"/>
      <c r="E4045" s="13"/>
      <c r="F4045" s="13"/>
      <c r="G4045" s="13"/>
      <c r="H4045" s="13"/>
      <c r="I4045" s="10"/>
      <c r="J4045" s="11"/>
      <c r="K4045" s="6"/>
      <c r="L4045" s="13"/>
    </row>
    <row r="4046" spans="1:12" hidden="1" x14ac:dyDescent="0.25">
      <c r="A4046" s="6"/>
      <c r="B4046" s="6"/>
      <c r="C4046" s="11"/>
      <c r="D4046" s="13"/>
      <c r="E4046" s="13"/>
      <c r="F4046" s="13"/>
      <c r="G4046" s="13"/>
      <c r="H4046" s="13"/>
      <c r="I4046" s="10"/>
      <c r="J4046" s="11"/>
      <c r="K4046" s="6"/>
      <c r="L4046" s="13"/>
    </row>
    <row r="4047" spans="1:12" hidden="1" x14ac:dyDescent="0.25">
      <c r="A4047" s="6"/>
      <c r="B4047" s="6"/>
      <c r="C4047" s="11"/>
      <c r="D4047" s="13"/>
      <c r="E4047" s="13"/>
      <c r="F4047" s="13"/>
      <c r="G4047" s="13"/>
      <c r="H4047" s="13"/>
      <c r="I4047" s="10"/>
      <c r="J4047" s="11"/>
      <c r="K4047" s="6"/>
      <c r="L4047" s="13"/>
    </row>
    <row r="4048" spans="1:12" hidden="1" x14ac:dyDescent="0.25">
      <c r="A4048" s="6"/>
      <c r="B4048" s="6"/>
      <c r="C4048" s="11"/>
      <c r="D4048" s="13"/>
      <c r="E4048" s="13"/>
      <c r="F4048" s="13"/>
      <c r="G4048" s="13"/>
      <c r="H4048" s="13"/>
      <c r="I4048" s="10"/>
      <c r="J4048" s="11"/>
      <c r="K4048" s="6"/>
      <c r="L4048" s="13"/>
    </row>
    <row r="4049" spans="1:12" hidden="1" x14ac:dyDescent="0.25">
      <c r="A4049" s="6"/>
      <c r="B4049" s="6"/>
      <c r="C4049" s="11"/>
      <c r="D4049" s="13"/>
      <c r="E4049" s="13"/>
      <c r="F4049" s="13"/>
      <c r="G4049" s="13"/>
      <c r="H4049" s="13"/>
      <c r="I4049" s="10"/>
      <c r="J4049" s="11"/>
      <c r="K4049" s="6"/>
      <c r="L4049" s="13"/>
    </row>
    <row r="4050" spans="1:12" hidden="1" x14ac:dyDescent="0.25">
      <c r="A4050" s="6"/>
      <c r="B4050" s="6"/>
      <c r="C4050" s="11"/>
      <c r="D4050" s="13"/>
      <c r="E4050" s="13"/>
      <c r="F4050" s="13"/>
      <c r="G4050" s="13"/>
      <c r="H4050" s="13"/>
      <c r="I4050" s="10"/>
      <c r="J4050" s="11"/>
      <c r="K4050" s="6"/>
      <c r="L4050" s="13"/>
    </row>
    <row r="4051" spans="1:12" hidden="1" x14ac:dyDescent="0.25">
      <c r="A4051" s="6"/>
      <c r="B4051" s="6"/>
      <c r="C4051" s="11"/>
      <c r="D4051" s="13"/>
      <c r="E4051" s="13"/>
      <c r="F4051" s="13"/>
      <c r="G4051" s="13"/>
      <c r="H4051" s="13"/>
      <c r="I4051" s="10"/>
      <c r="J4051" s="11"/>
      <c r="K4051" s="6"/>
      <c r="L4051" s="13"/>
    </row>
    <row r="4052" spans="1:12" hidden="1" x14ac:dyDescent="0.25">
      <c r="A4052" s="6"/>
      <c r="B4052" s="6"/>
      <c r="C4052" s="11"/>
      <c r="D4052" s="13"/>
      <c r="E4052" s="13"/>
      <c r="F4052" s="13"/>
      <c r="G4052" s="13"/>
      <c r="H4052" s="13"/>
      <c r="I4052" s="10"/>
      <c r="J4052" s="11"/>
      <c r="K4052" s="6"/>
      <c r="L4052" s="13"/>
    </row>
    <row r="4053" spans="1:12" hidden="1" x14ac:dyDescent="0.25">
      <c r="A4053" s="6"/>
      <c r="B4053" s="6"/>
      <c r="C4053" s="11"/>
      <c r="D4053" s="13"/>
      <c r="E4053" s="13"/>
      <c r="F4053" s="13"/>
      <c r="G4053" s="13"/>
      <c r="H4053" s="13"/>
      <c r="I4053" s="10"/>
      <c r="J4053" s="11"/>
      <c r="K4053" s="6"/>
      <c r="L4053" s="13"/>
    </row>
    <row r="4054" spans="1:12" hidden="1" x14ac:dyDescent="0.25">
      <c r="A4054" s="6"/>
      <c r="B4054" s="6"/>
      <c r="C4054" s="11"/>
      <c r="D4054" s="13"/>
      <c r="E4054" s="13"/>
      <c r="F4054" s="13"/>
      <c r="G4054" s="13"/>
      <c r="H4054" s="13"/>
      <c r="I4054" s="10"/>
      <c r="J4054" s="11"/>
      <c r="K4054" s="6"/>
      <c r="L4054" s="13"/>
    </row>
    <row r="4055" spans="1:12" hidden="1" x14ac:dyDescent="0.25">
      <c r="A4055" s="6"/>
      <c r="B4055" s="6"/>
      <c r="C4055" s="11"/>
      <c r="D4055" s="13"/>
      <c r="E4055" s="13"/>
      <c r="F4055" s="13"/>
      <c r="G4055" s="13"/>
      <c r="H4055" s="13"/>
      <c r="I4055" s="10"/>
      <c r="J4055" s="11"/>
      <c r="K4055" s="6"/>
      <c r="L4055" s="114"/>
    </row>
    <row r="4056" spans="1:12" hidden="1" x14ac:dyDescent="0.25">
      <c r="A4056" s="6"/>
      <c r="B4056" s="6"/>
      <c r="C4056" s="11"/>
      <c r="D4056" s="13"/>
      <c r="E4056" s="13"/>
      <c r="F4056" s="13"/>
      <c r="G4056" s="13"/>
      <c r="H4056" s="13"/>
      <c r="I4056" s="10"/>
      <c r="J4056" s="11"/>
      <c r="K4056" s="6"/>
      <c r="L4056" s="13"/>
    </row>
    <row r="4057" spans="1:12" hidden="1" x14ac:dyDescent="0.25">
      <c r="A4057" s="6"/>
      <c r="B4057" s="6"/>
      <c r="C4057" s="11"/>
      <c r="D4057" s="13"/>
      <c r="E4057" s="13"/>
      <c r="F4057" s="13"/>
      <c r="G4057" s="13"/>
      <c r="H4057" s="13"/>
      <c r="I4057" s="10"/>
      <c r="J4057" s="11"/>
      <c r="K4057" s="6"/>
      <c r="L4057" s="13"/>
    </row>
    <row r="4058" spans="1:12" hidden="1" x14ac:dyDescent="0.25">
      <c r="A4058" s="6"/>
      <c r="B4058" s="6"/>
      <c r="C4058" s="11"/>
      <c r="D4058" s="13"/>
      <c r="E4058" s="13"/>
      <c r="F4058" s="13"/>
      <c r="G4058" s="13"/>
      <c r="H4058" s="13"/>
      <c r="I4058" s="10"/>
      <c r="J4058" s="11"/>
      <c r="K4058" s="6"/>
      <c r="L4058" s="13"/>
    </row>
    <row r="4059" spans="1:12" hidden="1" x14ac:dyDescent="0.25">
      <c r="A4059" s="6"/>
      <c r="B4059" s="6"/>
      <c r="C4059" s="11"/>
      <c r="D4059" s="13"/>
      <c r="E4059" s="13"/>
      <c r="F4059" s="13"/>
      <c r="G4059" s="13"/>
      <c r="H4059" s="13"/>
      <c r="I4059" s="10"/>
      <c r="J4059" s="11"/>
      <c r="K4059" s="6"/>
      <c r="L4059" s="13"/>
    </row>
    <row r="4060" spans="1:12" hidden="1" x14ac:dyDescent="0.25">
      <c r="A4060" s="6"/>
      <c r="B4060" s="6"/>
      <c r="C4060" s="11"/>
      <c r="D4060" s="13"/>
      <c r="E4060" s="13"/>
      <c r="F4060" s="13"/>
      <c r="G4060" s="13"/>
      <c r="H4060" s="13"/>
      <c r="I4060" s="10"/>
      <c r="J4060" s="11"/>
      <c r="K4060" s="6"/>
      <c r="L4060" s="13"/>
    </row>
    <row r="4061" spans="1:12" hidden="1" x14ac:dyDescent="0.25">
      <c r="A4061" s="6"/>
      <c r="B4061" s="6"/>
      <c r="C4061" s="11"/>
      <c r="D4061" s="13"/>
      <c r="E4061" s="13"/>
      <c r="F4061" s="13"/>
      <c r="G4061" s="13"/>
      <c r="H4061" s="13"/>
      <c r="I4061" s="10"/>
      <c r="J4061" s="11"/>
      <c r="K4061" s="6"/>
      <c r="L4061" s="13"/>
    </row>
    <row r="4062" spans="1:12" hidden="1" x14ac:dyDescent="0.25">
      <c r="A4062" s="6"/>
      <c r="B4062" s="6"/>
      <c r="C4062" s="11"/>
      <c r="D4062" s="13"/>
      <c r="E4062" s="13"/>
      <c r="F4062" s="13"/>
      <c r="G4062" s="13"/>
      <c r="H4062" s="13"/>
      <c r="I4062" s="10"/>
      <c r="J4062" s="11"/>
      <c r="K4062" s="6"/>
      <c r="L4062" s="13"/>
    </row>
    <row r="4063" spans="1:12" hidden="1" x14ac:dyDescent="0.25">
      <c r="A4063" s="6"/>
      <c r="B4063" s="6"/>
      <c r="C4063" s="11"/>
      <c r="D4063" s="13"/>
      <c r="E4063" s="13"/>
      <c r="F4063" s="13"/>
      <c r="G4063" s="13"/>
      <c r="H4063" s="13"/>
      <c r="I4063" s="10"/>
      <c r="J4063" s="11"/>
      <c r="K4063" s="6"/>
      <c r="L4063" s="13"/>
    </row>
    <row r="4064" spans="1:12" hidden="1" x14ac:dyDescent="0.25">
      <c r="A4064" s="6"/>
      <c r="B4064" s="6"/>
      <c r="C4064" s="11"/>
      <c r="D4064" s="13"/>
      <c r="E4064" s="13"/>
      <c r="F4064" s="13"/>
      <c r="G4064" s="13"/>
      <c r="H4064" s="13"/>
      <c r="I4064" s="10"/>
      <c r="J4064" s="11"/>
      <c r="K4064" s="6"/>
      <c r="L4064" s="13"/>
    </row>
    <row r="4065" spans="1:12" hidden="1" x14ac:dyDescent="0.25">
      <c r="A4065" s="6"/>
      <c r="B4065" s="6"/>
      <c r="C4065" s="11"/>
      <c r="D4065" s="13"/>
      <c r="E4065" s="13"/>
      <c r="F4065" s="13"/>
      <c r="G4065" s="13"/>
      <c r="H4065" s="13"/>
      <c r="I4065" s="10"/>
      <c r="J4065" s="11"/>
      <c r="K4065" s="6"/>
      <c r="L4065" s="13"/>
    </row>
    <row r="4066" spans="1:12" hidden="1" x14ac:dyDescent="0.25">
      <c r="A4066" s="6"/>
      <c r="B4066" s="6"/>
      <c r="C4066" s="11"/>
      <c r="D4066" s="13"/>
      <c r="E4066" s="13"/>
      <c r="F4066" s="13"/>
      <c r="G4066" s="13"/>
      <c r="H4066" s="13"/>
      <c r="I4066" s="10"/>
      <c r="J4066" s="11"/>
      <c r="K4066" s="6"/>
      <c r="L4066" s="13"/>
    </row>
    <row r="4067" spans="1:12" hidden="1" x14ac:dyDescent="0.25">
      <c r="A4067" s="6"/>
      <c r="B4067" s="6"/>
      <c r="C4067" s="11"/>
      <c r="D4067" s="13"/>
      <c r="E4067" s="13"/>
      <c r="F4067" s="13"/>
      <c r="G4067" s="13"/>
      <c r="H4067" s="13"/>
      <c r="I4067" s="10"/>
      <c r="J4067" s="11"/>
      <c r="K4067" s="6"/>
      <c r="L4067" s="13"/>
    </row>
    <row r="4068" spans="1:12" hidden="1" x14ac:dyDescent="0.25">
      <c r="A4068" s="6"/>
      <c r="B4068" s="6"/>
      <c r="C4068" s="11"/>
      <c r="D4068" s="13"/>
      <c r="E4068" s="13"/>
      <c r="F4068" s="13"/>
      <c r="G4068" s="13"/>
      <c r="H4068" s="13"/>
      <c r="I4068" s="10"/>
      <c r="J4068" s="11"/>
      <c r="K4068" s="6"/>
      <c r="L4068" s="13"/>
    </row>
    <row r="4069" spans="1:12" hidden="1" x14ac:dyDescent="0.25">
      <c r="A4069" s="6"/>
      <c r="B4069" s="6"/>
      <c r="C4069" s="11"/>
      <c r="D4069" s="13"/>
      <c r="E4069" s="13"/>
      <c r="F4069" s="13"/>
      <c r="G4069" s="13"/>
      <c r="H4069" s="13"/>
      <c r="I4069" s="10"/>
      <c r="J4069" s="11"/>
      <c r="K4069" s="6"/>
      <c r="L4069" s="13"/>
    </row>
    <row r="4070" spans="1:12" hidden="1" x14ac:dyDescent="0.25">
      <c r="A4070" s="6"/>
      <c r="B4070" s="6"/>
      <c r="C4070" s="11"/>
      <c r="D4070" s="13"/>
      <c r="E4070" s="13"/>
      <c r="F4070" s="13"/>
      <c r="G4070" s="13"/>
      <c r="H4070" s="13"/>
      <c r="I4070" s="10"/>
      <c r="J4070" s="11"/>
      <c r="K4070" s="6"/>
      <c r="L4070" s="13"/>
    </row>
    <row r="4071" spans="1:12" hidden="1" x14ac:dyDescent="0.25">
      <c r="A4071" s="6"/>
      <c r="B4071" s="6"/>
      <c r="C4071" s="11"/>
      <c r="D4071" s="13"/>
      <c r="E4071" s="13"/>
      <c r="F4071" s="13"/>
      <c r="G4071" s="13"/>
      <c r="H4071" s="13"/>
      <c r="I4071" s="10"/>
      <c r="J4071" s="11"/>
      <c r="K4071" s="6"/>
      <c r="L4071" s="13"/>
    </row>
    <row r="4072" spans="1:12" hidden="1" x14ac:dyDescent="0.25">
      <c r="A4072" s="6"/>
      <c r="B4072" s="6"/>
      <c r="C4072" s="11"/>
      <c r="D4072" s="13"/>
      <c r="E4072" s="13"/>
      <c r="F4072" s="13"/>
      <c r="G4072" s="13"/>
      <c r="H4072" s="13"/>
      <c r="I4072" s="10"/>
      <c r="J4072" s="11"/>
      <c r="K4072" s="6"/>
      <c r="L4072" s="13"/>
    </row>
    <row r="4073" spans="1:12" hidden="1" x14ac:dyDescent="0.25">
      <c r="A4073" s="6"/>
      <c r="B4073" s="6"/>
      <c r="C4073" s="11"/>
      <c r="D4073" s="13"/>
      <c r="E4073" s="13"/>
      <c r="F4073" s="13"/>
      <c r="G4073" s="13"/>
      <c r="H4073" s="13"/>
      <c r="I4073" s="10"/>
      <c r="J4073" s="11"/>
      <c r="K4073" s="6"/>
      <c r="L4073" s="13"/>
    </row>
    <row r="4074" spans="1:12" hidden="1" x14ac:dyDescent="0.25">
      <c r="A4074" s="6"/>
      <c r="B4074" s="6"/>
      <c r="C4074" s="11"/>
      <c r="D4074" s="13"/>
      <c r="E4074" s="13"/>
      <c r="F4074" s="13"/>
      <c r="G4074" s="13"/>
      <c r="H4074" s="13"/>
      <c r="I4074" s="10"/>
      <c r="J4074" s="11"/>
      <c r="K4074" s="6"/>
      <c r="L4074" s="13"/>
    </row>
    <row r="4075" spans="1:12" hidden="1" x14ac:dyDescent="0.25">
      <c r="A4075" s="6"/>
      <c r="B4075" s="6"/>
      <c r="C4075" s="11"/>
      <c r="D4075" s="13"/>
      <c r="E4075" s="13"/>
      <c r="F4075" s="13"/>
      <c r="G4075" s="13"/>
      <c r="H4075" s="13"/>
      <c r="I4075" s="10"/>
      <c r="J4075" s="11"/>
      <c r="K4075" s="6"/>
      <c r="L4075" s="13"/>
    </row>
    <row r="4076" spans="1:12" hidden="1" x14ac:dyDescent="0.25">
      <c r="A4076" s="6"/>
      <c r="B4076" s="6"/>
      <c r="C4076" s="11"/>
      <c r="D4076" s="13"/>
      <c r="E4076" s="13"/>
      <c r="F4076" s="13"/>
      <c r="G4076" s="13"/>
      <c r="H4076" s="13"/>
      <c r="I4076" s="10"/>
      <c r="J4076" s="11"/>
      <c r="K4076" s="6"/>
      <c r="L4076" s="13"/>
    </row>
    <row r="4077" spans="1:12" hidden="1" x14ac:dyDescent="0.25">
      <c r="A4077" s="6"/>
      <c r="B4077" s="6"/>
      <c r="C4077" s="11"/>
      <c r="D4077" s="13"/>
      <c r="E4077" s="13"/>
      <c r="F4077" s="13"/>
      <c r="G4077" s="13"/>
      <c r="H4077" s="13"/>
      <c r="I4077" s="10"/>
      <c r="J4077" s="11"/>
      <c r="K4077" s="6"/>
      <c r="L4077" s="13"/>
    </row>
    <row r="4078" spans="1:12" hidden="1" x14ac:dyDescent="0.25">
      <c r="A4078" s="6"/>
      <c r="B4078" s="6"/>
      <c r="C4078" s="11"/>
      <c r="D4078" s="13"/>
      <c r="E4078" s="13"/>
      <c r="F4078" s="13"/>
      <c r="G4078" s="13"/>
      <c r="H4078" s="13"/>
      <c r="I4078" s="10"/>
      <c r="J4078" s="11"/>
      <c r="K4078" s="6"/>
      <c r="L4078" s="13"/>
    </row>
    <row r="4079" spans="1:12" hidden="1" x14ac:dyDescent="0.25">
      <c r="A4079" s="6"/>
      <c r="B4079" s="6"/>
      <c r="C4079" s="11"/>
      <c r="D4079" s="13"/>
      <c r="E4079" s="13"/>
      <c r="F4079" s="13"/>
      <c r="G4079" s="13"/>
      <c r="H4079" s="13"/>
      <c r="I4079" s="10"/>
      <c r="J4079" s="11"/>
      <c r="K4079" s="6"/>
      <c r="L4079" s="13"/>
    </row>
    <row r="4080" spans="1:12" hidden="1" x14ac:dyDescent="0.25">
      <c r="A4080" s="6"/>
      <c r="B4080" s="6"/>
      <c r="C4080" s="11"/>
      <c r="D4080" s="13"/>
      <c r="E4080" s="13"/>
      <c r="F4080" s="13"/>
      <c r="G4080" s="13"/>
      <c r="H4080" s="13"/>
      <c r="I4080" s="10"/>
      <c r="J4080" s="11"/>
      <c r="K4080" s="6"/>
      <c r="L4080" s="13"/>
    </row>
    <row r="4081" spans="1:12" hidden="1" x14ac:dyDescent="0.25">
      <c r="A4081" s="6"/>
      <c r="B4081" s="6"/>
      <c r="C4081" s="11"/>
      <c r="D4081" s="13"/>
      <c r="E4081" s="13"/>
      <c r="F4081" s="13"/>
      <c r="G4081" s="13"/>
      <c r="H4081" s="13"/>
      <c r="I4081" s="10"/>
      <c r="J4081" s="11"/>
      <c r="K4081" s="6"/>
      <c r="L4081" s="13"/>
    </row>
    <row r="4082" spans="1:12" hidden="1" x14ac:dyDescent="0.25">
      <c r="A4082" s="6"/>
      <c r="B4082" s="6"/>
      <c r="C4082" s="11"/>
      <c r="D4082" s="13"/>
      <c r="E4082" s="13"/>
      <c r="F4082" s="13"/>
      <c r="G4082" s="13"/>
      <c r="H4082" s="13"/>
      <c r="I4082" s="10"/>
      <c r="J4082" s="11"/>
      <c r="K4082" s="6"/>
      <c r="L4082" s="13"/>
    </row>
    <row r="4083" spans="1:12" hidden="1" x14ac:dyDescent="0.25">
      <c r="A4083" s="6"/>
      <c r="B4083" s="6"/>
      <c r="C4083" s="11"/>
      <c r="D4083" s="13"/>
      <c r="E4083" s="13"/>
      <c r="F4083" s="13"/>
      <c r="G4083" s="13"/>
      <c r="H4083" s="13"/>
      <c r="I4083" s="10"/>
      <c r="J4083" s="11"/>
      <c r="K4083" s="6"/>
      <c r="L4083" s="13"/>
    </row>
    <row r="4084" spans="1:12" hidden="1" x14ac:dyDescent="0.25">
      <c r="A4084" s="6"/>
      <c r="B4084" s="6"/>
      <c r="C4084" s="11"/>
      <c r="D4084" s="13"/>
      <c r="E4084" s="13"/>
      <c r="F4084" s="13"/>
      <c r="G4084" s="13"/>
      <c r="H4084" s="13"/>
      <c r="I4084" s="10"/>
      <c r="J4084" s="11"/>
      <c r="K4084" s="6"/>
      <c r="L4084" s="13"/>
    </row>
    <row r="4085" spans="1:12" hidden="1" x14ac:dyDescent="0.25">
      <c r="A4085" s="6"/>
      <c r="B4085" s="6"/>
      <c r="C4085" s="11"/>
      <c r="D4085" s="13"/>
      <c r="E4085" s="13"/>
      <c r="F4085" s="13"/>
      <c r="G4085" s="13"/>
      <c r="H4085" s="13"/>
      <c r="I4085" s="10"/>
      <c r="J4085" s="11"/>
      <c r="K4085" s="6"/>
      <c r="L4085" s="13"/>
    </row>
    <row r="4086" spans="1:12" hidden="1" x14ac:dyDescent="0.25">
      <c r="A4086" s="6"/>
      <c r="B4086" s="6"/>
      <c r="C4086" s="11"/>
      <c r="D4086" s="13"/>
      <c r="E4086" s="13"/>
      <c r="F4086" s="13"/>
      <c r="G4086" s="13"/>
      <c r="H4086" s="13"/>
      <c r="I4086" s="10"/>
      <c r="J4086" s="11"/>
      <c r="K4086" s="6"/>
      <c r="L4086" s="13"/>
    </row>
    <row r="4087" spans="1:12" hidden="1" x14ac:dyDescent="0.25">
      <c r="A4087" s="6"/>
      <c r="B4087" s="6"/>
      <c r="C4087" s="11"/>
      <c r="D4087" s="13"/>
      <c r="E4087" s="13"/>
      <c r="F4087" s="13"/>
      <c r="G4087" s="13"/>
      <c r="H4087" s="13"/>
      <c r="I4087" s="10"/>
      <c r="J4087" s="11"/>
      <c r="K4087" s="6"/>
      <c r="L4087" s="13"/>
    </row>
    <row r="4088" spans="1:12" hidden="1" x14ac:dyDescent="0.25">
      <c r="A4088" s="6"/>
      <c r="B4088" s="6"/>
      <c r="C4088" s="11"/>
      <c r="D4088" s="13"/>
      <c r="E4088" s="13"/>
      <c r="F4088" s="13"/>
      <c r="G4088" s="13"/>
      <c r="H4088" s="13"/>
      <c r="I4088" s="10"/>
      <c r="J4088" s="11"/>
      <c r="K4088" s="6"/>
      <c r="L4088" s="13"/>
    </row>
    <row r="4089" spans="1:12" hidden="1" x14ac:dyDescent="0.25">
      <c r="A4089" s="6"/>
      <c r="B4089" s="6"/>
      <c r="C4089" s="11"/>
      <c r="D4089" s="13"/>
      <c r="E4089" s="13"/>
      <c r="F4089" s="13"/>
      <c r="G4089" s="13"/>
      <c r="H4089" s="13"/>
      <c r="I4089" s="10"/>
      <c r="J4089" s="11"/>
      <c r="K4089" s="6"/>
      <c r="L4089" s="13"/>
    </row>
    <row r="4090" spans="1:12" hidden="1" x14ac:dyDescent="0.25">
      <c r="A4090" s="6"/>
      <c r="B4090" s="6"/>
      <c r="C4090" s="11"/>
      <c r="D4090" s="13"/>
      <c r="E4090" s="13"/>
      <c r="F4090" s="13"/>
      <c r="G4090" s="13"/>
      <c r="H4090" s="13"/>
      <c r="I4090" s="10"/>
      <c r="J4090" s="11"/>
      <c r="K4090" s="6"/>
      <c r="L4090" s="13"/>
    </row>
    <row r="4091" spans="1:12" hidden="1" x14ac:dyDescent="0.25">
      <c r="A4091" s="6"/>
      <c r="B4091" s="6"/>
      <c r="C4091" s="11"/>
      <c r="D4091" s="13"/>
      <c r="E4091" s="13"/>
      <c r="F4091" s="13"/>
      <c r="G4091" s="13"/>
      <c r="H4091" s="13"/>
      <c r="I4091" s="10"/>
      <c r="J4091" s="11"/>
      <c r="K4091" s="6"/>
      <c r="L4091" s="13"/>
    </row>
    <row r="4092" spans="1:12" hidden="1" x14ac:dyDescent="0.25">
      <c r="A4092" s="6"/>
      <c r="B4092" s="6"/>
      <c r="C4092" s="11"/>
      <c r="D4092" s="13"/>
      <c r="E4092" s="13"/>
      <c r="F4092" s="13"/>
      <c r="G4092" s="13"/>
      <c r="H4092" s="13"/>
      <c r="I4092" s="10"/>
      <c r="J4092" s="11"/>
      <c r="K4092" s="6"/>
      <c r="L4092" s="13"/>
    </row>
    <row r="4093" spans="1:12" hidden="1" x14ac:dyDescent="0.25">
      <c r="A4093" s="6"/>
      <c r="B4093" s="6"/>
      <c r="C4093" s="11"/>
      <c r="D4093" s="13"/>
      <c r="E4093" s="13"/>
      <c r="F4093" s="13"/>
      <c r="G4093" s="13"/>
      <c r="H4093" s="13"/>
      <c r="I4093" s="10"/>
      <c r="J4093" s="11"/>
      <c r="K4093" s="6"/>
      <c r="L4093" s="13"/>
    </row>
    <row r="4094" spans="1:12" hidden="1" x14ac:dyDescent="0.25">
      <c r="A4094" s="6"/>
      <c r="B4094" s="6"/>
      <c r="C4094" s="11"/>
      <c r="D4094" s="13"/>
      <c r="E4094" s="13"/>
      <c r="F4094" s="13"/>
      <c r="G4094" s="13"/>
      <c r="H4094" s="13"/>
      <c r="I4094" s="10"/>
      <c r="J4094" s="11"/>
      <c r="K4094" s="6"/>
      <c r="L4094" s="13"/>
    </row>
    <row r="4095" spans="1:12" hidden="1" x14ac:dyDescent="0.25">
      <c r="A4095" s="6"/>
      <c r="B4095" s="6"/>
      <c r="C4095" s="11"/>
      <c r="D4095" s="13"/>
      <c r="E4095" s="13"/>
      <c r="F4095" s="13"/>
      <c r="G4095" s="13"/>
      <c r="H4095" s="13"/>
      <c r="I4095" s="10"/>
      <c r="J4095" s="11"/>
      <c r="K4095" s="6"/>
      <c r="L4095" s="13"/>
    </row>
    <row r="4096" spans="1:12" hidden="1" x14ac:dyDescent="0.25">
      <c r="A4096" s="6"/>
      <c r="B4096" s="6"/>
      <c r="C4096" s="11"/>
      <c r="D4096" s="13"/>
      <c r="E4096" s="13"/>
      <c r="F4096" s="13"/>
      <c r="G4096" s="13"/>
      <c r="H4096" s="13"/>
      <c r="I4096" s="10"/>
      <c r="J4096" s="11"/>
      <c r="K4096" s="6"/>
      <c r="L4096" s="13"/>
    </row>
    <row r="4097" spans="1:12" hidden="1" x14ac:dyDescent="0.25">
      <c r="A4097" s="6"/>
      <c r="B4097" s="6"/>
      <c r="C4097" s="11"/>
      <c r="D4097" s="13"/>
      <c r="E4097" s="13"/>
      <c r="F4097" s="13"/>
      <c r="G4097" s="13"/>
      <c r="H4097" s="13"/>
      <c r="I4097" s="10"/>
      <c r="J4097" s="11"/>
      <c r="K4097" s="6"/>
      <c r="L4097" s="13"/>
    </row>
    <row r="4098" spans="1:12" hidden="1" x14ac:dyDescent="0.25">
      <c r="A4098" s="6"/>
      <c r="B4098" s="6"/>
      <c r="C4098" s="11"/>
      <c r="D4098" s="13"/>
      <c r="E4098" s="13"/>
      <c r="F4098" s="13"/>
      <c r="G4098" s="13"/>
      <c r="H4098" s="13"/>
      <c r="I4098" s="10"/>
      <c r="J4098" s="11"/>
      <c r="K4098" s="6"/>
      <c r="L4098" s="13"/>
    </row>
    <row r="4099" spans="1:12" hidden="1" x14ac:dyDescent="0.25">
      <c r="A4099" s="6"/>
      <c r="B4099" s="6"/>
      <c r="C4099" s="11"/>
      <c r="D4099" s="13"/>
      <c r="E4099" s="13"/>
      <c r="F4099" s="13"/>
      <c r="G4099" s="13"/>
      <c r="H4099" s="13"/>
      <c r="I4099" s="10"/>
      <c r="J4099" s="11"/>
      <c r="K4099" s="6"/>
      <c r="L4099" s="13"/>
    </row>
    <row r="4100" spans="1:12" hidden="1" x14ac:dyDescent="0.25">
      <c r="A4100" s="6"/>
      <c r="B4100" s="6"/>
      <c r="C4100" s="11"/>
      <c r="D4100" s="13"/>
      <c r="E4100" s="13"/>
      <c r="F4100" s="13"/>
      <c r="G4100" s="13"/>
      <c r="H4100" s="13"/>
      <c r="I4100" s="10"/>
      <c r="J4100" s="11"/>
      <c r="K4100" s="6"/>
      <c r="L4100" s="13"/>
    </row>
    <row r="4101" spans="1:12" hidden="1" x14ac:dyDescent="0.25">
      <c r="A4101" s="6"/>
      <c r="B4101" s="6"/>
      <c r="C4101" s="11"/>
      <c r="D4101" s="13"/>
      <c r="E4101" s="13"/>
      <c r="F4101" s="13"/>
      <c r="G4101" s="13"/>
      <c r="H4101" s="13"/>
      <c r="I4101" s="10"/>
      <c r="J4101" s="11"/>
      <c r="K4101" s="6"/>
      <c r="L4101" s="13"/>
    </row>
    <row r="4102" spans="1:12" hidden="1" x14ac:dyDescent="0.25">
      <c r="A4102" s="6"/>
      <c r="B4102" s="6"/>
      <c r="C4102" s="11"/>
      <c r="D4102" s="13"/>
      <c r="E4102" s="13"/>
      <c r="F4102" s="13"/>
      <c r="G4102" s="13"/>
      <c r="H4102" s="13"/>
      <c r="I4102" s="10"/>
      <c r="J4102" s="11"/>
      <c r="K4102" s="6"/>
      <c r="L4102" s="13"/>
    </row>
    <row r="4103" spans="1:12" hidden="1" x14ac:dyDescent="0.25">
      <c r="A4103" s="6"/>
      <c r="B4103" s="6"/>
      <c r="C4103" s="11"/>
      <c r="D4103" s="13"/>
      <c r="E4103" s="13"/>
      <c r="F4103" s="13"/>
      <c r="G4103" s="13"/>
      <c r="H4103" s="13"/>
      <c r="I4103" s="10"/>
      <c r="J4103" s="11"/>
      <c r="K4103" s="6"/>
      <c r="L4103" s="13"/>
    </row>
    <row r="4104" spans="1:12" hidden="1" x14ac:dyDescent="0.25">
      <c r="A4104" s="6"/>
      <c r="B4104" s="6"/>
      <c r="C4104" s="11"/>
      <c r="D4104" s="13"/>
      <c r="E4104" s="13"/>
      <c r="F4104" s="13"/>
      <c r="G4104" s="13"/>
      <c r="H4104" s="13"/>
      <c r="I4104" s="10"/>
      <c r="J4104" s="11"/>
      <c r="K4104" s="6"/>
      <c r="L4104" s="13"/>
    </row>
    <row r="4105" spans="1:12" hidden="1" x14ac:dyDescent="0.25">
      <c r="A4105" s="6"/>
      <c r="B4105" s="6"/>
      <c r="C4105" s="11"/>
      <c r="D4105" s="13"/>
      <c r="E4105" s="13"/>
      <c r="F4105" s="13"/>
      <c r="G4105" s="13"/>
      <c r="H4105" s="13"/>
      <c r="I4105" s="10"/>
      <c r="J4105" s="11"/>
      <c r="K4105" s="6"/>
      <c r="L4105" s="13"/>
    </row>
    <row r="4106" spans="1:12" hidden="1" x14ac:dyDescent="0.25">
      <c r="A4106" s="6"/>
      <c r="B4106" s="6"/>
      <c r="C4106" s="11"/>
      <c r="D4106" s="13"/>
      <c r="E4106" s="13"/>
      <c r="F4106" s="13"/>
      <c r="G4106" s="13"/>
      <c r="H4106" s="13"/>
      <c r="I4106" s="10"/>
      <c r="J4106" s="11"/>
      <c r="K4106" s="6"/>
      <c r="L4106" s="13"/>
    </row>
    <row r="4107" spans="1:12" hidden="1" x14ac:dyDescent="0.25">
      <c r="A4107" s="6"/>
      <c r="B4107" s="6"/>
      <c r="C4107" s="11"/>
      <c r="D4107" s="13"/>
      <c r="E4107" s="13"/>
      <c r="F4107" s="13"/>
      <c r="G4107" s="13"/>
      <c r="H4107" s="13"/>
      <c r="I4107" s="10"/>
      <c r="J4107" s="11"/>
      <c r="K4107" s="6"/>
      <c r="L4107" s="13"/>
    </row>
    <row r="4108" spans="1:12" hidden="1" x14ac:dyDescent="0.25">
      <c r="A4108" s="6"/>
      <c r="B4108" s="6"/>
      <c r="C4108" s="11"/>
      <c r="D4108" s="13"/>
      <c r="E4108" s="13"/>
      <c r="F4108" s="13"/>
      <c r="G4108" s="13"/>
      <c r="H4108" s="13"/>
      <c r="I4108" s="10"/>
      <c r="J4108" s="11"/>
      <c r="K4108" s="6"/>
      <c r="L4108" s="13"/>
    </row>
    <row r="4109" spans="1:12" hidden="1" x14ac:dyDescent="0.25">
      <c r="A4109" s="6"/>
      <c r="B4109" s="6"/>
      <c r="C4109" s="11"/>
      <c r="D4109" s="13"/>
      <c r="E4109" s="13"/>
      <c r="F4109" s="13"/>
      <c r="G4109" s="13"/>
      <c r="H4109" s="13"/>
      <c r="I4109" s="10"/>
      <c r="J4109" s="11"/>
      <c r="K4109" s="6"/>
      <c r="L4109" s="13"/>
    </row>
    <row r="4110" spans="1:12" hidden="1" x14ac:dyDescent="0.25">
      <c r="A4110" s="6"/>
      <c r="B4110" s="6"/>
      <c r="C4110" s="11"/>
      <c r="D4110" s="13"/>
      <c r="E4110" s="13"/>
      <c r="F4110" s="13"/>
      <c r="G4110" s="13"/>
      <c r="H4110" s="13"/>
      <c r="I4110" s="10"/>
      <c r="J4110" s="11"/>
      <c r="K4110" s="6"/>
      <c r="L4110" s="13"/>
    </row>
    <row r="4111" spans="1:12" hidden="1" x14ac:dyDescent="0.25">
      <c r="A4111" s="6"/>
      <c r="B4111" s="6"/>
      <c r="C4111" s="11"/>
      <c r="D4111" s="13"/>
      <c r="E4111" s="13"/>
      <c r="F4111" s="13"/>
      <c r="G4111" s="13"/>
      <c r="H4111" s="13"/>
      <c r="I4111" s="10"/>
      <c r="J4111" s="11"/>
      <c r="K4111" s="6"/>
      <c r="L4111" s="13"/>
    </row>
    <row r="4112" spans="1:12" hidden="1" x14ac:dyDescent="0.25">
      <c r="A4112" s="6"/>
      <c r="B4112" s="6"/>
      <c r="C4112" s="11"/>
      <c r="D4112" s="13"/>
      <c r="E4112" s="13"/>
      <c r="F4112" s="13"/>
      <c r="G4112" s="13"/>
      <c r="H4112" s="13"/>
      <c r="I4112" s="10"/>
      <c r="J4112" s="11"/>
      <c r="K4112" s="6"/>
      <c r="L4112" s="13"/>
    </row>
    <row r="4113" spans="1:12" hidden="1" x14ac:dyDescent="0.25">
      <c r="A4113" s="6"/>
      <c r="B4113" s="6"/>
      <c r="C4113" s="11"/>
      <c r="D4113" s="13"/>
      <c r="E4113" s="13"/>
      <c r="F4113" s="13"/>
      <c r="G4113" s="13"/>
      <c r="H4113" s="13"/>
      <c r="I4113" s="10"/>
      <c r="J4113" s="11"/>
      <c r="K4113" s="6"/>
      <c r="L4113" s="13"/>
    </row>
    <row r="4114" spans="1:12" hidden="1" x14ac:dyDescent="0.25">
      <c r="A4114" s="6"/>
      <c r="B4114" s="6"/>
      <c r="C4114" s="11"/>
      <c r="D4114" s="13"/>
      <c r="E4114" s="13"/>
      <c r="F4114" s="13"/>
      <c r="G4114" s="13"/>
      <c r="H4114" s="13"/>
      <c r="I4114" s="10"/>
      <c r="J4114" s="11"/>
      <c r="K4114" s="6"/>
      <c r="L4114" s="13"/>
    </row>
    <row r="4115" spans="1:12" hidden="1" x14ac:dyDescent="0.25">
      <c r="A4115" s="6"/>
      <c r="B4115" s="6"/>
      <c r="C4115" s="11"/>
      <c r="D4115" s="13"/>
      <c r="E4115" s="13"/>
      <c r="F4115" s="13"/>
      <c r="G4115" s="13"/>
      <c r="H4115" s="13"/>
      <c r="I4115" s="10"/>
      <c r="J4115" s="11"/>
      <c r="K4115" s="6"/>
      <c r="L4115" s="13"/>
    </row>
    <row r="4116" spans="1:12" hidden="1" x14ac:dyDescent="0.25">
      <c r="A4116" s="6"/>
      <c r="B4116" s="6"/>
      <c r="C4116" s="11"/>
      <c r="D4116" s="13"/>
      <c r="E4116" s="13"/>
      <c r="F4116" s="13"/>
      <c r="G4116" s="13"/>
      <c r="H4116" s="13"/>
      <c r="I4116" s="10"/>
      <c r="J4116" s="11"/>
      <c r="K4116" s="6"/>
      <c r="L4116" s="13"/>
    </row>
    <row r="4117" spans="1:12" hidden="1" x14ac:dyDescent="0.25">
      <c r="A4117" s="6"/>
      <c r="B4117" s="6"/>
      <c r="C4117" s="11"/>
      <c r="D4117" s="13"/>
      <c r="E4117" s="13"/>
      <c r="F4117" s="13"/>
      <c r="G4117" s="13"/>
      <c r="H4117" s="13"/>
      <c r="I4117" s="10"/>
      <c r="J4117" s="11"/>
      <c r="K4117" s="6"/>
      <c r="L4117" s="13"/>
    </row>
    <row r="4118" spans="1:12" hidden="1" x14ac:dyDescent="0.25">
      <c r="A4118" s="6"/>
      <c r="B4118" s="6"/>
      <c r="C4118" s="11"/>
      <c r="D4118" s="13"/>
      <c r="E4118" s="13"/>
      <c r="F4118" s="13"/>
      <c r="G4118" s="13"/>
      <c r="H4118" s="13"/>
      <c r="I4118" s="10"/>
      <c r="J4118" s="11"/>
      <c r="K4118" s="6"/>
      <c r="L4118" s="13"/>
    </row>
    <row r="4119" spans="1:12" hidden="1" x14ac:dyDescent="0.25">
      <c r="A4119" s="6"/>
      <c r="B4119" s="6"/>
      <c r="C4119" s="11"/>
      <c r="D4119" s="13"/>
      <c r="E4119" s="13"/>
      <c r="F4119" s="13"/>
      <c r="G4119" s="13"/>
      <c r="H4119" s="13"/>
      <c r="I4119" s="10"/>
      <c r="J4119" s="11"/>
      <c r="K4119" s="6"/>
      <c r="L4119" s="13"/>
    </row>
    <row r="4120" spans="1:12" hidden="1" x14ac:dyDescent="0.25">
      <c r="A4120" s="6"/>
      <c r="B4120" s="6"/>
      <c r="C4120" s="11"/>
      <c r="D4120" s="13"/>
      <c r="E4120" s="13"/>
      <c r="F4120" s="13"/>
      <c r="G4120" s="13"/>
      <c r="H4120" s="13"/>
      <c r="I4120" s="10"/>
      <c r="J4120" s="11"/>
      <c r="K4120" s="6"/>
      <c r="L4120" s="13"/>
    </row>
    <row r="4121" spans="1:12" hidden="1" x14ac:dyDescent="0.25">
      <c r="A4121" s="6"/>
      <c r="B4121" s="6"/>
      <c r="C4121" s="11"/>
      <c r="D4121" s="13"/>
      <c r="E4121" s="13"/>
      <c r="F4121" s="13"/>
      <c r="G4121" s="13"/>
      <c r="H4121" s="13"/>
      <c r="I4121" s="10"/>
      <c r="J4121" s="11"/>
      <c r="K4121" s="6"/>
      <c r="L4121" s="13"/>
    </row>
    <row r="4122" spans="1:12" hidden="1" x14ac:dyDescent="0.25">
      <c r="A4122" s="6"/>
      <c r="B4122" s="6"/>
      <c r="C4122" s="11"/>
      <c r="D4122" s="13"/>
      <c r="E4122" s="13"/>
      <c r="F4122" s="13"/>
      <c r="G4122" s="13"/>
      <c r="H4122" s="13"/>
      <c r="I4122" s="10"/>
      <c r="J4122" s="11"/>
      <c r="K4122" s="6"/>
      <c r="L4122" s="13"/>
    </row>
    <row r="4123" spans="1:12" hidden="1" x14ac:dyDescent="0.25">
      <c r="A4123" s="6"/>
      <c r="B4123" s="6"/>
      <c r="C4123" s="11"/>
      <c r="D4123" s="13"/>
      <c r="E4123" s="13"/>
      <c r="F4123" s="13"/>
      <c r="G4123" s="13"/>
      <c r="H4123" s="13"/>
      <c r="I4123" s="10"/>
      <c r="J4123" s="11"/>
      <c r="K4123" s="6"/>
      <c r="L4123" s="13"/>
    </row>
    <row r="4124" spans="1:12" hidden="1" x14ac:dyDescent="0.25">
      <c r="A4124" s="6"/>
      <c r="B4124" s="6"/>
      <c r="C4124" s="11"/>
      <c r="D4124" s="13"/>
      <c r="E4124" s="13"/>
      <c r="F4124" s="13"/>
      <c r="G4124" s="13"/>
      <c r="H4124" s="13"/>
      <c r="I4124" s="10"/>
      <c r="J4124" s="11"/>
      <c r="K4124" s="6"/>
      <c r="L4124" s="13"/>
    </row>
    <row r="4125" spans="1:12" hidden="1" x14ac:dyDescent="0.25">
      <c r="A4125" s="6"/>
      <c r="B4125" s="6"/>
      <c r="C4125" s="11"/>
      <c r="D4125" s="13"/>
      <c r="E4125" s="13"/>
      <c r="F4125" s="13"/>
      <c r="G4125" s="13"/>
      <c r="H4125" s="13"/>
      <c r="I4125" s="10"/>
      <c r="J4125" s="11"/>
      <c r="K4125" s="6"/>
      <c r="L4125" s="13"/>
    </row>
    <row r="4126" spans="1:12" hidden="1" x14ac:dyDescent="0.25">
      <c r="A4126" s="6"/>
      <c r="B4126" s="6"/>
      <c r="C4126" s="11"/>
      <c r="D4126" s="13"/>
      <c r="E4126" s="13"/>
      <c r="F4126" s="13"/>
      <c r="G4126" s="13"/>
      <c r="H4126" s="13"/>
      <c r="I4126" s="10"/>
      <c r="J4126" s="11"/>
      <c r="K4126" s="6"/>
      <c r="L4126" s="13"/>
    </row>
    <row r="4127" spans="1:12" hidden="1" x14ac:dyDescent="0.25">
      <c r="A4127" s="6"/>
      <c r="B4127" s="6"/>
      <c r="C4127" s="11"/>
      <c r="D4127" s="13"/>
      <c r="E4127" s="13"/>
      <c r="F4127" s="13"/>
      <c r="G4127" s="13"/>
      <c r="H4127" s="13"/>
      <c r="I4127" s="10"/>
      <c r="J4127" s="11"/>
      <c r="K4127" s="6"/>
      <c r="L4127" s="13"/>
    </row>
    <row r="4128" spans="1:12" hidden="1" x14ac:dyDescent="0.25">
      <c r="A4128" s="6"/>
      <c r="B4128" s="6"/>
      <c r="C4128" s="11"/>
      <c r="D4128" s="13"/>
      <c r="E4128" s="13"/>
      <c r="F4128" s="13"/>
      <c r="G4128" s="13"/>
      <c r="H4128" s="13"/>
      <c r="I4128" s="10"/>
      <c r="J4128" s="11"/>
      <c r="K4128" s="6"/>
      <c r="L4128" s="13"/>
    </row>
    <row r="4129" spans="1:12" hidden="1" x14ac:dyDescent="0.25">
      <c r="A4129" s="6"/>
      <c r="B4129" s="6"/>
      <c r="C4129" s="11"/>
      <c r="D4129" s="13"/>
      <c r="E4129" s="13"/>
      <c r="F4129" s="13"/>
      <c r="G4129" s="13"/>
      <c r="H4129" s="13"/>
      <c r="I4129" s="10"/>
      <c r="J4129" s="11"/>
      <c r="K4129" s="6"/>
      <c r="L4129" s="13"/>
    </row>
    <row r="4130" spans="1:12" hidden="1" x14ac:dyDescent="0.25">
      <c r="A4130" s="6"/>
      <c r="B4130" s="6"/>
      <c r="C4130" s="11"/>
      <c r="D4130" s="13"/>
      <c r="E4130" s="13"/>
      <c r="F4130" s="13"/>
      <c r="G4130" s="13"/>
      <c r="H4130" s="13"/>
      <c r="I4130" s="10"/>
      <c r="J4130" s="11"/>
      <c r="K4130" s="6"/>
      <c r="L4130" s="13"/>
    </row>
    <row r="4131" spans="1:12" hidden="1" x14ac:dyDescent="0.25">
      <c r="A4131" s="6"/>
      <c r="B4131" s="6"/>
      <c r="C4131" s="11"/>
      <c r="D4131" s="13"/>
      <c r="E4131" s="13"/>
      <c r="F4131" s="13"/>
      <c r="G4131" s="13"/>
      <c r="H4131" s="13"/>
      <c r="I4131" s="10"/>
      <c r="J4131" s="11"/>
      <c r="K4131" s="6"/>
      <c r="L4131" s="13"/>
    </row>
    <row r="4132" spans="1:12" hidden="1" x14ac:dyDescent="0.25">
      <c r="A4132" s="6"/>
      <c r="B4132" s="6"/>
      <c r="C4132" s="11"/>
      <c r="D4132" s="13"/>
      <c r="E4132" s="13"/>
      <c r="F4132" s="13"/>
      <c r="G4132" s="13"/>
      <c r="H4132" s="13"/>
      <c r="I4132" s="10"/>
      <c r="J4132" s="11"/>
      <c r="K4132" s="6"/>
      <c r="L4132" s="13"/>
    </row>
    <row r="4133" spans="1:12" hidden="1" x14ac:dyDescent="0.25">
      <c r="A4133" s="6"/>
      <c r="B4133" s="6"/>
      <c r="C4133" s="11"/>
      <c r="D4133" s="13"/>
      <c r="E4133" s="13"/>
      <c r="F4133" s="13"/>
      <c r="G4133" s="13"/>
      <c r="H4133" s="13"/>
      <c r="I4133" s="10"/>
      <c r="J4133" s="11"/>
      <c r="K4133" s="6"/>
      <c r="L4133" s="13"/>
    </row>
    <row r="4134" spans="1:12" hidden="1" x14ac:dyDescent="0.25">
      <c r="A4134" s="6"/>
      <c r="B4134" s="6"/>
      <c r="C4134" s="11"/>
      <c r="D4134" s="13"/>
      <c r="E4134" s="13"/>
      <c r="F4134" s="13"/>
      <c r="G4134" s="13"/>
      <c r="H4134" s="13"/>
      <c r="I4134" s="10"/>
      <c r="J4134" s="11"/>
      <c r="K4134" s="6"/>
      <c r="L4134" s="13"/>
    </row>
    <row r="4135" spans="1:12" hidden="1" x14ac:dyDescent="0.25">
      <c r="A4135" s="6"/>
      <c r="B4135" s="6"/>
      <c r="C4135" s="11"/>
      <c r="D4135" s="13"/>
      <c r="E4135" s="13"/>
      <c r="F4135" s="13"/>
      <c r="G4135" s="13"/>
      <c r="H4135" s="13"/>
      <c r="I4135" s="10"/>
      <c r="J4135" s="11"/>
      <c r="K4135" s="6"/>
      <c r="L4135" s="13"/>
    </row>
    <row r="4136" spans="1:12" hidden="1" x14ac:dyDescent="0.25">
      <c r="A4136" s="6"/>
      <c r="B4136" s="6"/>
      <c r="C4136" s="11"/>
      <c r="D4136" s="13"/>
      <c r="E4136" s="13"/>
      <c r="F4136" s="13"/>
      <c r="G4136" s="13"/>
      <c r="H4136" s="13"/>
      <c r="I4136" s="10"/>
      <c r="J4136" s="11"/>
      <c r="K4136" s="6"/>
      <c r="L4136" s="13"/>
    </row>
    <row r="4137" spans="1:12" hidden="1" x14ac:dyDescent="0.25">
      <c r="A4137" s="6"/>
      <c r="B4137" s="6"/>
      <c r="C4137" s="11"/>
      <c r="D4137" s="13"/>
      <c r="E4137" s="13"/>
      <c r="F4137" s="13"/>
      <c r="G4137" s="13"/>
      <c r="H4137" s="13"/>
      <c r="I4137" s="10"/>
      <c r="J4137" s="11"/>
      <c r="K4137" s="6"/>
      <c r="L4137" s="13"/>
    </row>
    <row r="4138" spans="1:12" hidden="1" x14ac:dyDescent="0.25">
      <c r="A4138" s="6"/>
      <c r="B4138" s="6"/>
      <c r="C4138" s="11"/>
      <c r="D4138" s="13"/>
      <c r="E4138" s="13"/>
      <c r="F4138" s="13"/>
      <c r="G4138" s="13"/>
      <c r="H4138" s="13"/>
      <c r="I4138" s="10"/>
      <c r="J4138" s="11"/>
      <c r="K4138" s="6"/>
      <c r="L4138" s="13"/>
    </row>
    <row r="4139" spans="1:12" hidden="1" x14ac:dyDescent="0.25">
      <c r="A4139" s="6"/>
      <c r="B4139" s="6"/>
      <c r="C4139" s="11"/>
      <c r="D4139" s="13"/>
      <c r="E4139" s="13"/>
      <c r="F4139" s="13"/>
      <c r="G4139" s="13"/>
      <c r="H4139" s="13"/>
      <c r="I4139" s="10"/>
      <c r="J4139" s="11"/>
      <c r="K4139" s="6"/>
      <c r="L4139" s="13"/>
    </row>
    <row r="4140" spans="1:12" hidden="1" x14ac:dyDescent="0.25">
      <c r="A4140" s="6"/>
      <c r="B4140" s="6"/>
      <c r="C4140" s="11"/>
      <c r="D4140" s="13"/>
      <c r="E4140" s="13"/>
      <c r="F4140" s="13"/>
      <c r="G4140" s="13"/>
      <c r="H4140" s="13"/>
      <c r="I4140" s="10"/>
      <c r="J4140" s="11"/>
      <c r="K4140" s="6"/>
      <c r="L4140" s="13"/>
    </row>
    <row r="4141" spans="1:12" hidden="1" x14ac:dyDescent="0.25">
      <c r="A4141" s="6"/>
      <c r="B4141" s="6"/>
      <c r="C4141" s="11"/>
      <c r="D4141" s="13"/>
      <c r="E4141" s="13"/>
      <c r="F4141" s="13"/>
      <c r="G4141" s="13"/>
      <c r="H4141" s="13"/>
      <c r="I4141" s="10"/>
      <c r="J4141" s="11"/>
      <c r="K4141" s="6"/>
      <c r="L4141" s="13"/>
    </row>
    <row r="4142" spans="1:12" hidden="1" x14ac:dyDescent="0.25">
      <c r="A4142" s="6"/>
      <c r="B4142" s="6"/>
      <c r="C4142" s="11"/>
      <c r="D4142" s="13"/>
      <c r="E4142" s="13"/>
      <c r="F4142" s="13"/>
      <c r="G4142" s="13"/>
      <c r="H4142" s="13"/>
      <c r="I4142" s="10"/>
      <c r="J4142" s="11"/>
      <c r="K4142" s="6"/>
      <c r="L4142" s="13"/>
    </row>
    <row r="4143" spans="1:12" hidden="1" x14ac:dyDescent="0.25">
      <c r="A4143" s="6"/>
      <c r="B4143" s="6"/>
      <c r="C4143" s="11"/>
      <c r="D4143" s="13"/>
      <c r="E4143" s="13"/>
      <c r="F4143" s="13"/>
      <c r="G4143" s="13"/>
      <c r="H4143" s="13"/>
      <c r="I4143" s="10"/>
      <c r="J4143" s="11"/>
      <c r="K4143" s="6"/>
      <c r="L4143" s="13"/>
    </row>
    <row r="4144" spans="1:12" hidden="1" x14ac:dyDescent="0.25">
      <c r="A4144" s="6"/>
      <c r="B4144" s="6"/>
      <c r="C4144" s="11"/>
      <c r="D4144" s="13"/>
      <c r="E4144" s="13"/>
      <c r="F4144" s="13"/>
      <c r="G4144" s="13"/>
      <c r="H4144" s="13"/>
      <c r="I4144" s="10"/>
      <c r="J4144" s="11"/>
      <c r="K4144" s="6"/>
      <c r="L4144" s="13"/>
    </row>
    <row r="4145" spans="1:12" hidden="1" x14ac:dyDescent="0.25">
      <c r="A4145" s="6"/>
      <c r="B4145" s="6"/>
      <c r="C4145" s="11"/>
      <c r="D4145" s="13"/>
      <c r="E4145" s="13"/>
      <c r="F4145" s="13"/>
      <c r="G4145" s="13"/>
      <c r="H4145" s="13"/>
      <c r="I4145" s="10"/>
      <c r="J4145" s="11"/>
      <c r="K4145" s="6"/>
      <c r="L4145" s="13"/>
    </row>
    <row r="4146" spans="1:12" hidden="1" x14ac:dyDescent="0.25">
      <c r="A4146" s="6"/>
      <c r="B4146" s="6"/>
      <c r="C4146" s="11"/>
      <c r="D4146" s="13"/>
      <c r="E4146" s="13"/>
      <c r="F4146" s="13"/>
      <c r="G4146" s="13"/>
      <c r="H4146" s="13"/>
      <c r="I4146" s="10"/>
      <c r="J4146" s="11"/>
      <c r="K4146" s="6"/>
      <c r="L4146" s="13"/>
    </row>
    <row r="4147" spans="1:12" hidden="1" x14ac:dyDescent="0.25">
      <c r="A4147" s="6"/>
      <c r="B4147" s="6"/>
      <c r="C4147" s="11"/>
      <c r="D4147" s="13"/>
      <c r="E4147" s="13"/>
      <c r="F4147" s="13"/>
      <c r="G4147" s="13"/>
      <c r="H4147" s="13"/>
      <c r="I4147" s="10"/>
      <c r="J4147" s="11"/>
      <c r="K4147" s="6"/>
      <c r="L4147" s="13"/>
    </row>
    <row r="4148" spans="1:12" hidden="1" x14ac:dyDescent="0.25">
      <c r="A4148" s="6"/>
      <c r="B4148" s="6"/>
      <c r="C4148" s="11"/>
      <c r="D4148" s="13"/>
      <c r="E4148" s="13"/>
      <c r="F4148" s="13"/>
      <c r="G4148" s="13"/>
      <c r="H4148" s="13"/>
      <c r="I4148" s="10"/>
      <c r="J4148" s="11"/>
      <c r="K4148" s="6"/>
      <c r="L4148" s="13"/>
    </row>
    <row r="4149" spans="1:12" hidden="1" x14ac:dyDescent="0.25">
      <c r="A4149" s="6"/>
      <c r="B4149" s="6"/>
      <c r="C4149" s="11"/>
      <c r="D4149" s="13"/>
      <c r="E4149" s="13"/>
      <c r="F4149" s="13"/>
      <c r="G4149" s="13"/>
      <c r="H4149" s="13"/>
      <c r="I4149" s="10"/>
      <c r="J4149" s="11"/>
      <c r="K4149" s="6"/>
      <c r="L4149" s="13"/>
    </row>
    <row r="4150" spans="1:12" hidden="1" x14ac:dyDescent="0.25">
      <c r="A4150" s="6"/>
      <c r="B4150" s="6"/>
      <c r="C4150" s="11"/>
      <c r="D4150" s="13"/>
      <c r="E4150" s="13"/>
      <c r="F4150" s="13"/>
      <c r="G4150" s="13"/>
      <c r="H4150" s="13"/>
      <c r="I4150" s="10"/>
      <c r="J4150" s="11"/>
      <c r="K4150" s="6"/>
      <c r="L4150" s="13"/>
    </row>
    <row r="4151" spans="1:12" hidden="1" x14ac:dyDescent="0.25">
      <c r="A4151" s="6"/>
      <c r="B4151" s="6"/>
      <c r="C4151" s="11"/>
      <c r="D4151" s="13"/>
      <c r="E4151" s="13"/>
      <c r="F4151" s="13"/>
      <c r="G4151" s="13"/>
      <c r="H4151" s="13"/>
      <c r="I4151" s="10"/>
      <c r="J4151" s="11"/>
      <c r="K4151" s="6"/>
      <c r="L4151" s="13"/>
    </row>
    <row r="4152" spans="1:12" hidden="1" x14ac:dyDescent="0.25">
      <c r="A4152" s="6"/>
      <c r="B4152" s="6"/>
      <c r="C4152" s="11"/>
      <c r="D4152" s="13"/>
      <c r="E4152" s="13"/>
      <c r="F4152" s="13"/>
      <c r="G4152" s="13"/>
      <c r="H4152" s="13"/>
      <c r="I4152" s="10"/>
      <c r="J4152" s="11"/>
      <c r="K4152" s="6"/>
      <c r="L4152" s="13"/>
    </row>
    <row r="4153" spans="1:12" hidden="1" x14ac:dyDescent="0.25">
      <c r="A4153" s="6"/>
      <c r="B4153" s="6"/>
      <c r="C4153" s="11"/>
      <c r="D4153" s="13"/>
      <c r="E4153" s="13"/>
      <c r="F4153" s="13"/>
      <c r="G4153" s="13"/>
      <c r="H4153" s="13"/>
      <c r="I4153" s="10"/>
      <c r="J4153" s="11"/>
      <c r="K4153" s="6"/>
      <c r="L4153" s="13"/>
    </row>
    <row r="4154" spans="1:12" hidden="1" x14ac:dyDescent="0.25">
      <c r="A4154" s="6"/>
      <c r="B4154" s="6"/>
      <c r="C4154" s="11"/>
      <c r="D4154" s="13"/>
      <c r="E4154" s="13"/>
      <c r="F4154" s="13"/>
      <c r="G4154" s="13"/>
      <c r="H4154" s="13"/>
      <c r="I4154" s="10"/>
      <c r="J4154" s="11"/>
      <c r="K4154" s="6"/>
      <c r="L4154" s="13"/>
    </row>
    <row r="4155" spans="1:12" hidden="1" x14ac:dyDescent="0.25">
      <c r="A4155" s="6"/>
      <c r="B4155" s="6"/>
      <c r="C4155" s="11"/>
      <c r="D4155" s="13"/>
      <c r="E4155" s="13"/>
      <c r="F4155" s="13"/>
      <c r="G4155" s="13"/>
      <c r="H4155" s="13"/>
      <c r="I4155" s="10"/>
      <c r="J4155" s="11"/>
      <c r="K4155" s="6"/>
      <c r="L4155" s="13"/>
    </row>
    <row r="4156" spans="1:12" hidden="1" x14ac:dyDescent="0.25">
      <c r="A4156" s="6"/>
      <c r="B4156" s="6"/>
      <c r="C4156" s="11"/>
      <c r="D4156" s="13"/>
      <c r="E4156" s="13"/>
      <c r="F4156" s="13"/>
      <c r="G4156" s="13"/>
      <c r="H4156" s="13"/>
      <c r="I4156" s="10"/>
      <c r="J4156" s="11"/>
      <c r="K4156" s="6"/>
      <c r="L4156" s="13"/>
    </row>
    <row r="4157" spans="1:12" hidden="1" x14ac:dyDescent="0.25">
      <c r="A4157" s="6"/>
      <c r="B4157" s="6"/>
      <c r="C4157" s="11"/>
      <c r="D4157" s="13"/>
      <c r="E4157" s="13"/>
      <c r="F4157" s="13"/>
      <c r="G4157" s="13"/>
      <c r="H4157" s="13"/>
      <c r="I4157" s="10"/>
      <c r="J4157" s="11"/>
      <c r="K4157" s="6"/>
      <c r="L4157" s="13"/>
    </row>
    <row r="4158" spans="1:12" hidden="1" x14ac:dyDescent="0.25">
      <c r="A4158" s="6"/>
      <c r="B4158" s="6"/>
      <c r="C4158" s="11"/>
      <c r="D4158" s="13"/>
      <c r="E4158" s="13"/>
      <c r="F4158" s="13"/>
      <c r="G4158" s="13"/>
      <c r="H4158" s="13"/>
      <c r="I4158" s="10"/>
      <c r="J4158" s="11"/>
      <c r="K4158" s="6"/>
      <c r="L4158" s="13"/>
    </row>
    <row r="4159" spans="1:12" hidden="1" x14ac:dyDescent="0.25">
      <c r="A4159" s="6"/>
      <c r="B4159" s="6"/>
      <c r="C4159" s="11"/>
      <c r="D4159" s="13"/>
      <c r="E4159" s="13"/>
      <c r="F4159" s="13"/>
      <c r="G4159" s="13"/>
      <c r="H4159" s="13"/>
      <c r="I4159" s="10"/>
      <c r="J4159" s="11"/>
      <c r="K4159" s="6"/>
      <c r="L4159" s="13"/>
    </row>
    <row r="4160" spans="1:12" hidden="1" x14ac:dyDescent="0.25">
      <c r="A4160" s="6"/>
      <c r="B4160" s="6"/>
      <c r="C4160" s="11"/>
      <c r="D4160" s="13"/>
      <c r="E4160" s="13"/>
      <c r="F4160" s="13"/>
      <c r="G4160" s="13"/>
      <c r="H4160" s="13"/>
      <c r="I4160" s="10"/>
      <c r="J4160" s="11"/>
      <c r="K4160" s="6"/>
      <c r="L4160" s="13"/>
    </row>
    <row r="4161" spans="1:12" hidden="1" x14ac:dyDescent="0.25">
      <c r="A4161" s="6"/>
      <c r="B4161" s="6"/>
      <c r="C4161" s="11"/>
      <c r="D4161" s="13"/>
      <c r="E4161" s="13"/>
      <c r="F4161" s="13"/>
      <c r="G4161" s="13"/>
      <c r="H4161" s="13"/>
      <c r="I4161" s="10"/>
      <c r="J4161" s="11"/>
      <c r="K4161" s="6"/>
      <c r="L4161" s="13"/>
    </row>
    <row r="4162" spans="1:12" hidden="1" x14ac:dyDescent="0.25">
      <c r="A4162" s="6"/>
      <c r="B4162" s="6"/>
      <c r="C4162" s="11"/>
      <c r="D4162" s="13"/>
      <c r="E4162" s="13"/>
      <c r="F4162" s="13"/>
      <c r="G4162" s="13"/>
      <c r="H4162" s="13"/>
      <c r="I4162" s="10"/>
      <c r="J4162" s="11"/>
      <c r="K4162" s="6"/>
      <c r="L4162" s="13"/>
    </row>
    <row r="4163" spans="1:12" hidden="1" x14ac:dyDescent="0.25">
      <c r="A4163" s="6"/>
      <c r="B4163" s="6"/>
      <c r="C4163" s="11"/>
      <c r="D4163" s="13"/>
      <c r="E4163" s="13"/>
      <c r="F4163" s="13"/>
      <c r="G4163" s="13"/>
      <c r="H4163" s="13"/>
      <c r="I4163" s="10"/>
      <c r="J4163" s="11"/>
      <c r="K4163" s="6"/>
      <c r="L4163" s="13"/>
    </row>
    <row r="4164" spans="1:12" hidden="1" x14ac:dyDescent="0.25">
      <c r="A4164" s="6"/>
      <c r="B4164" s="6"/>
      <c r="C4164" s="11"/>
      <c r="D4164" s="13"/>
      <c r="E4164" s="13"/>
      <c r="F4164" s="13"/>
      <c r="G4164" s="13"/>
      <c r="H4164" s="13"/>
      <c r="I4164" s="10"/>
      <c r="J4164" s="11"/>
      <c r="K4164" s="6"/>
      <c r="L4164" s="13"/>
    </row>
    <row r="4165" spans="1:12" hidden="1" x14ac:dyDescent="0.25">
      <c r="A4165" s="6"/>
      <c r="B4165" s="6"/>
      <c r="C4165" s="11"/>
      <c r="D4165" s="13"/>
      <c r="E4165" s="13"/>
      <c r="F4165" s="13"/>
      <c r="G4165" s="13"/>
      <c r="H4165" s="13"/>
      <c r="I4165" s="10"/>
      <c r="J4165" s="11"/>
      <c r="K4165" s="6"/>
      <c r="L4165" s="13"/>
    </row>
    <row r="4166" spans="1:12" hidden="1" x14ac:dyDescent="0.25">
      <c r="A4166" s="6"/>
      <c r="B4166" s="6"/>
      <c r="C4166" s="11"/>
      <c r="D4166" s="13"/>
      <c r="E4166" s="13"/>
      <c r="F4166" s="13"/>
      <c r="G4166" s="13"/>
      <c r="H4166" s="13"/>
      <c r="I4166" s="10"/>
      <c r="J4166" s="11"/>
      <c r="K4166" s="6"/>
      <c r="L4166" s="13"/>
    </row>
    <row r="4167" spans="1:12" hidden="1" x14ac:dyDescent="0.25">
      <c r="A4167" s="6"/>
      <c r="B4167" s="6"/>
      <c r="C4167" s="11"/>
      <c r="D4167" s="13"/>
      <c r="E4167" s="13"/>
      <c r="F4167" s="13"/>
      <c r="G4167" s="13"/>
      <c r="H4167" s="13"/>
      <c r="I4167" s="10"/>
      <c r="J4167" s="11"/>
      <c r="K4167" s="6"/>
      <c r="L4167" s="13"/>
    </row>
    <row r="4168" spans="1:12" hidden="1" x14ac:dyDescent="0.25">
      <c r="A4168" s="6"/>
      <c r="B4168" s="6"/>
      <c r="C4168" s="11"/>
      <c r="D4168" s="13"/>
      <c r="E4168" s="13"/>
      <c r="F4168" s="13"/>
      <c r="G4168" s="13"/>
      <c r="H4168" s="13"/>
      <c r="I4168" s="10"/>
      <c r="J4168" s="11"/>
      <c r="K4168" s="6"/>
      <c r="L4168" s="13"/>
    </row>
    <row r="4169" spans="1:12" hidden="1" x14ac:dyDescent="0.25">
      <c r="A4169" s="6"/>
      <c r="B4169" s="6"/>
      <c r="C4169" s="11"/>
      <c r="D4169" s="13"/>
      <c r="E4169" s="13"/>
      <c r="F4169" s="13"/>
      <c r="G4169" s="13"/>
      <c r="H4169" s="13"/>
      <c r="I4169" s="10"/>
      <c r="J4169" s="11"/>
      <c r="K4169" s="6"/>
      <c r="L4169" s="13"/>
    </row>
    <row r="4170" spans="1:12" hidden="1" x14ac:dyDescent="0.25">
      <c r="A4170" s="6"/>
      <c r="B4170" s="6"/>
      <c r="C4170" s="11"/>
      <c r="D4170" s="13"/>
      <c r="E4170" s="13"/>
      <c r="F4170" s="13"/>
      <c r="G4170" s="13"/>
      <c r="H4170" s="13"/>
      <c r="I4170" s="10"/>
      <c r="J4170" s="11"/>
      <c r="K4170" s="6"/>
      <c r="L4170" s="13"/>
    </row>
    <row r="4171" spans="1:12" hidden="1" x14ac:dyDescent="0.25">
      <c r="A4171" s="6"/>
      <c r="B4171" s="6"/>
      <c r="C4171" s="11"/>
      <c r="D4171" s="13"/>
      <c r="E4171" s="13"/>
      <c r="F4171" s="13"/>
      <c r="G4171" s="13"/>
      <c r="H4171" s="13"/>
      <c r="I4171" s="10"/>
      <c r="J4171" s="11"/>
      <c r="K4171" s="6"/>
      <c r="L4171" s="13"/>
    </row>
    <row r="4172" spans="1:12" hidden="1" x14ac:dyDescent="0.25">
      <c r="A4172" s="6"/>
      <c r="B4172" s="6"/>
      <c r="C4172" s="11"/>
      <c r="D4172" s="13"/>
      <c r="E4172" s="13"/>
      <c r="F4172" s="13"/>
      <c r="G4172" s="13"/>
      <c r="H4172" s="13"/>
      <c r="I4172" s="10"/>
      <c r="J4172" s="11"/>
      <c r="K4172" s="6"/>
      <c r="L4172" s="13"/>
    </row>
    <row r="4173" spans="1:12" hidden="1" x14ac:dyDescent="0.25">
      <c r="A4173" s="6"/>
      <c r="B4173" s="6"/>
      <c r="C4173" s="11"/>
      <c r="D4173" s="13"/>
      <c r="E4173" s="13"/>
      <c r="F4173" s="13"/>
      <c r="G4173" s="13"/>
      <c r="H4173" s="13"/>
      <c r="I4173" s="10"/>
      <c r="J4173" s="11"/>
      <c r="K4173" s="6"/>
      <c r="L4173" s="13"/>
    </row>
    <row r="4174" spans="1:12" hidden="1" x14ac:dyDescent="0.25">
      <c r="A4174" s="6"/>
      <c r="B4174" s="6"/>
      <c r="C4174" s="11"/>
      <c r="D4174" s="13"/>
      <c r="E4174" s="13"/>
      <c r="F4174" s="13"/>
      <c r="G4174" s="13"/>
      <c r="H4174" s="13"/>
      <c r="I4174" s="10"/>
      <c r="J4174" s="11"/>
      <c r="K4174" s="6"/>
      <c r="L4174" s="13"/>
    </row>
    <row r="4175" spans="1:12" hidden="1" x14ac:dyDescent="0.25">
      <c r="A4175" s="6"/>
      <c r="B4175" s="6"/>
      <c r="C4175" s="11"/>
      <c r="D4175" s="13"/>
      <c r="E4175" s="13"/>
      <c r="F4175" s="13"/>
      <c r="G4175" s="13"/>
      <c r="H4175" s="13"/>
      <c r="I4175" s="10"/>
      <c r="J4175" s="11"/>
      <c r="K4175" s="6"/>
      <c r="L4175" s="13"/>
    </row>
    <row r="4176" spans="1:12" hidden="1" x14ac:dyDescent="0.25">
      <c r="A4176" s="6"/>
      <c r="B4176" s="6"/>
      <c r="C4176" s="11"/>
      <c r="D4176" s="13"/>
      <c r="E4176" s="13"/>
      <c r="F4176" s="13"/>
      <c r="G4176" s="13"/>
      <c r="H4176" s="13"/>
      <c r="I4176" s="10"/>
      <c r="J4176" s="11"/>
      <c r="K4176" s="6"/>
      <c r="L4176" s="13"/>
    </row>
    <row r="4177" spans="1:12" hidden="1" x14ac:dyDescent="0.25">
      <c r="A4177" s="6"/>
      <c r="B4177" s="6"/>
      <c r="C4177" s="11"/>
      <c r="D4177" s="13"/>
      <c r="E4177" s="13"/>
      <c r="F4177" s="13"/>
      <c r="G4177" s="13"/>
      <c r="H4177" s="13"/>
      <c r="I4177" s="10"/>
      <c r="J4177" s="11"/>
      <c r="K4177" s="6"/>
      <c r="L4177" s="13"/>
    </row>
    <row r="4178" spans="1:12" hidden="1" x14ac:dyDescent="0.25">
      <c r="A4178" s="6"/>
      <c r="B4178" s="6"/>
      <c r="C4178" s="11"/>
      <c r="D4178" s="13"/>
      <c r="E4178" s="13"/>
      <c r="F4178" s="13"/>
      <c r="G4178" s="13"/>
      <c r="H4178" s="13"/>
      <c r="I4178" s="10"/>
      <c r="J4178" s="11"/>
      <c r="K4178" s="6"/>
      <c r="L4178" s="13"/>
    </row>
    <row r="4179" spans="1:12" hidden="1" x14ac:dyDescent="0.25">
      <c r="A4179" s="6"/>
      <c r="B4179" s="6"/>
      <c r="C4179" s="11"/>
      <c r="D4179" s="13"/>
      <c r="E4179" s="13"/>
      <c r="F4179" s="13"/>
      <c r="G4179" s="13"/>
      <c r="H4179" s="13"/>
      <c r="I4179" s="10"/>
      <c r="J4179" s="11"/>
      <c r="K4179" s="6"/>
      <c r="L4179" s="13"/>
    </row>
    <row r="4180" spans="1:12" hidden="1" x14ac:dyDescent="0.25">
      <c r="A4180" s="6"/>
      <c r="B4180" s="6"/>
      <c r="C4180" s="11"/>
      <c r="D4180" s="13"/>
      <c r="E4180" s="13"/>
      <c r="F4180" s="13"/>
      <c r="G4180" s="13"/>
      <c r="H4180" s="13"/>
      <c r="I4180" s="10"/>
      <c r="J4180" s="11"/>
      <c r="K4180" s="6"/>
      <c r="L4180" s="13"/>
    </row>
    <row r="4181" spans="1:12" hidden="1" x14ac:dyDescent="0.25">
      <c r="A4181" s="6"/>
      <c r="B4181" s="6"/>
      <c r="C4181" s="11"/>
      <c r="D4181" s="13"/>
      <c r="E4181" s="13"/>
      <c r="F4181" s="13"/>
      <c r="G4181" s="13"/>
      <c r="H4181" s="13"/>
      <c r="I4181" s="10"/>
      <c r="J4181" s="11"/>
      <c r="K4181" s="6"/>
      <c r="L4181" s="13"/>
    </row>
    <row r="4182" spans="1:12" hidden="1" x14ac:dyDescent="0.25">
      <c r="A4182" s="6"/>
      <c r="B4182" s="6"/>
      <c r="C4182" s="11"/>
      <c r="D4182" s="13"/>
      <c r="E4182" s="13"/>
      <c r="F4182" s="13"/>
      <c r="G4182" s="13"/>
      <c r="H4182" s="13"/>
      <c r="I4182" s="10"/>
      <c r="J4182" s="11"/>
      <c r="K4182" s="6"/>
      <c r="L4182" s="13"/>
    </row>
    <row r="4183" spans="1:12" hidden="1" x14ac:dyDescent="0.25">
      <c r="A4183" s="6"/>
      <c r="B4183" s="6"/>
      <c r="C4183" s="11"/>
      <c r="D4183" s="13"/>
      <c r="E4183" s="13"/>
      <c r="F4183" s="13"/>
      <c r="G4183" s="13"/>
      <c r="H4183" s="13"/>
      <c r="I4183" s="10"/>
      <c r="J4183" s="11"/>
      <c r="K4183" s="6"/>
      <c r="L4183" s="13"/>
    </row>
    <row r="4184" spans="1:12" hidden="1" x14ac:dyDescent="0.25">
      <c r="A4184" s="6"/>
      <c r="B4184" s="6"/>
      <c r="C4184" s="11"/>
      <c r="D4184" s="13"/>
      <c r="E4184" s="13"/>
      <c r="F4184" s="13"/>
      <c r="G4184" s="13"/>
      <c r="H4184" s="13"/>
      <c r="I4184" s="10"/>
      <c r="J4184" s="11"/>
      <c r="K4184" s="6"/>
      <c r="L4184" s="13"/>
    </row>
    <row r="4185" spans="1:12" hidden="1" x14ac:dyDescent="0.25">
      <c r="A4185" s="6"/>
      <c r="B4185" s="6"/>
      <c r="C4185" s="11"/>
      <c r="D4185" s="13"/>
      <c r="E4185" s="13"/>
      <c r="F4185" s="13"/>
      <c r="G4185" s="13"/>
      <c r="H4185" s="13"/>
      <c r="I4185" s="10"/>
      <c r="J4185" s="11"/>
      <c r="K4185" s="6"/>
      <c r="L4185" s="13"/>
    </row>
    <row r="4186" spans="1:12" hidden="1" x14ac:dyDescent="0.25">
      <c r="A4186" s="6"/>
      <c r="B4186" s="6"/>
      <c r="C4186" s="11"/>
      <c r="D4186" s="13"/>
      <c r="E4186" s="13"/>
      <c r="F4186" s="13"/>
      <c r="G4186" s="13"/>
      <c r="H4186" s="13"/>
      <c r="I4186" s="10"/>
      <c r="J4186" s="11"/>
      <c r="K4186" s="6"/>
      <c r="L4186" s="13"/>
    </row>
    <row r="4187" spans="1:12" hidden="1" x14ac:dyDescent="0.25">
      <c r="A4187" s="6"/>
      <c r="B4187" s="6"/>
      <c r="C4187" s="11"/>
      <c r="D4187" s="13"/>
      <c r="E4187" s="13"/>
      <c r="F4187" s="13"/>
      <c r="G4187" s="13"/>
      <c r="H4187" s="13"/>
      <c r="I4187" s="10"/>
      <c r="J4187" s="11"/>
      <c r="K4187" s="6"/>
      <c r="L4187" s="13"/>
    </row>
    <row r="4188" spans="1:12" hidden="1" x14ac:dyDescent="0.25">
      <c r="A4188" s="6"/>
      <c r="B4188" s="6"/>
      <c r="C4188" s="11"/>
      <c r="D4188" s="13"/>
      <c r="E4188" s="13"/>
      <c r="F4188" s="13"/>
      <c r="G4188" s="13"/>
      <c r="H4188" s="13"/>
      <c r="I4188" s="10"/>
      <c r="J4188" s="11"/>
      <c r="K4188" s="6"/>
      <c r="L4188" s="13"/>
    </row>
    <row r="4189" spans="1:12" hidden="1" x14ac:dyDescent="0.25">
      <c r="A4189" s="6"/>
      <c r="B4189" s="6"/>
      <c r="C4189" s="11"/>
      <c r="D4189" s="13"/>
      <c r="E4189" s="13"/>
      <c r="F4189" s="13"/>
      <c r="G4189" s="13"/>
      <c r="H4189" s="13"/>
      <c r="I4189" s="10"/>
      <c r="J4189" s="11"/>
      <c r="K4189" s="6"/>
      <c r="L4189" s="13"/>
    </row>
    <row r="4190" spans="1:12" hidden="1" x14ac:dyDescent="0.25">
      <c r="A4190" s="6"/>
      <c r="B4190" s="6"/>
      <c r="C4190" s="11"/>
      <c r="D4190" s="13"/>
      <c r="E4190" s="13"/>
      <c r="F4190" s="13"/>
      <c r="G4190" s="13"/>
      <c r="H4190" s="13"/>
      <c r="I4190" s="10"/>
      <c r="J4190" s="11"/>
      <c r="K4190" s="6"/>
      <c r="L4190" s="13"/>
    </row>
    <row r="4191" spans="1:12" hidden="1" x14ac:dyDescent="0.25">
      <c r="A4191" s="6"/>
      <c r="B4191" s="6"/>
      <c r="C4191" s="11"/>
      <c r="D4191" s="13"/>
      <c r="E4191" s="13"/>
      <c r="F4191" s="13"/>
      <c r="G4191" s="13"/>
      <c r="H4191" s="13"/>
      <c r="I4191" s="10"/>
      <c r="J4191" s="11"/>
      <c r="K4191" s="6"/>
      <c r="L4191" s="13"/>
    </row>
    <row r="4192" spans="1:12" hidden="1" x14ac:dyDescent="0.25">
      <c r="A4192" s="6"/>
      <c r="B4192" s="6"/>
      <c r="C4192" s="11"/>
      <c r="D4192" s="13"/>
      <c r="E4192" s="13"/>
      <c r="F4192" s="13"/>
      <c r="G4192" s="13"/>
      <c r="H4192" s="13"/>
      <c r="I4192" s="10"/>
      <c r="J4192" s="11"/>
      <c r="K4192" s="6"/>
      <c r="L4192" s="13"/>
    </row>
    <row r="4193" spans="1:12" hidden="1" x14ac:dyDescent="0.25">
      <c r="A4193" s="6"/>
      <c r="B4193" s="6"/>
      <c r="C4193" s="11"/>
      <c r="D4193" s="13"/>
      <c r="E4193" s="13"/>
      <c r="F4193" s="13"/>
      <c r="G4193" s="13"/>
      <c r="H4193" s="13"/>
      <c r="I4193" s="10"/>
      <c r="J4193" s="11"/>
      <c r="K4193" s="6"/>
      <c r="L4193" s="13"/>
    </row>
    <row r="4194" spans="1:12" hidden="1" x14ac:dyDescent="0.25">
      <c r="A4194" s="6"/>
      <c r="B4194" s="6"/>
      <c r="C4194" s="11"/>
      <c r="D4194" s="13"/>
      <c r="E4194" s="13"/>
      <c r="F4194" s="13"/>
      <c r="G4194" s="13"/>
      <c r="H4194" s="13"/>
      <c r="I4194" s="10"/>
      <c r="J4194" s="11"/>
      <c r="K4194" s="6"/>
      <c r="L4194" s="13"/>
    </row>
    <row r="4195" spans="1:12" hidden="1" x14ac:dyDescent="0.25">
      <c r="A4195" s="6"/>
      <c r="B4195" s="6"/>
      <c r="C4195" s="11"/>
      <c r="D4195" s="13"/>
      <c r="E4195" s="13"/>
      <c r="F4195" s="13"/>
      <c r="G4195" s="13"/>
      <c r="H4195" s="13"/>
      <c r="I4195" s="10"/>
      <c r="J4195" s="11"/>
      <c r="K4195" s="6"/>
      <c r="L4195" s="13"/>
    </row>
    <row r="4196" spans="1:12" hidden="1" x14ac:dyDescent="0.25">
      <c r="A4196" s="6"/>
      <c r="B4196" s="6"/>
      <c r="C4196" s="11"/>
      <c r="D4196" s="13"/>
      <c r="E4196" s="13"/>
      <c r="F4196" s="13"/>
      <c r="G4196" s="13"/>
      <c r="H4196" s="13"/>
      <c r="I4196" s="10"/>
      <c r="J4196" s="11"/>
      <c r="K4196" s="6"/>
      <c r="L4196" s="13"/>
    </row>
    <row r="4197" spans="1:12" hidden="1" x14ac:dyDescent="0.25">
      <c r="A4197" s="6"/>
      <c r="B4197" s="6"/>
      <c r="C4197" s="11"/>
      <c r="D4197" s="13"/>
      <c r="E4197" s="13"/>
      <c r="F4197" s="13"/>
      <c r="G4197" s="13"/>
      <c r="H4197" s="13"/>
      <c r="I4197" s="10"/>
      <c r="J4197" s="11"/>
      <c r="K4197" s="6"/>
      <c r="L4197" s="13"/>
    </row>
    <row r="4198" spans="1:12" hidden="1" x14ac:dyDescent="0.25">
      <c r="A4198" s="6"/>
      <c r="B4198" s="6"/>
      <c r="C4198" s="11"/>
      <c r="D4198" s="13"/>
      <c r="E4198" s="13"/>
      <c r="F4198" s="13"/>
      <c r="G4198" s="13"/>
      <c r="H4198" s="13"/>
      <c r="I4198" s="10"/>
      <c r="J4198" s="11"/>
      <c r="K4198" s="6"/>
      <c r="L4198" s="13"/>
    </row>
    <row r="4199" spans="1:12" hidden="1" x14ac:dyDescent="0.25">
      <c r="A4199" s="6"/>
      <c r="B4199" s="6"/>
      <c r="C4199" s="11"/>
      <c r="D4199" s="13"/>
      <c r="E4199" s="13"/>
      <c r="F4199" s="13"/>
      <c r="G4199" s="13"/>
      <c r="H4199" s="13"/>
      <c r="I4199" s="10"/>
      <c r="J4199" s="11"/>
      <c r="K4199" s="6"/>
      <c r="L4199" s="13"/>
    </row>
    <row r="4200" spans="1:12" hidden="1" x14ac:dyDescent="0.25">
      <c r="A4200" s="6"/>
      <c r="B4200" s="6"/>
      <c r="C4200" s="11"/>
      <c r="D4200" s="13"/>
      <c r="E4200" s="13"/>
      <c r="F4200" s="13"/>
      <c r="G4200" s="13"/>
      <c r="H4200" s="13"/>
      <c r="I4200" s="10"/>
      <c r="J4200" s="11"/>
      <c r="K4200" s="6"/>
      <c r="L4200" s="13"/>
    </row>
    <row r="4201" spans="1:12" hidden="1" x14ac:dyDescent="0.25">
      <c r="A4201" s="6"/>
      <c r="B4201" s="6"/>
      <c r="C4201" s="11"/>
      <c r="D4201" s="13"/>
      <c r="E4201" s="13"/>
      <c r="F4201" s="13"/>
      <c r="G4201" s="13"/>
      <c r="H4201" s="13"/>
      <c r="I4201" s="10"/>
      <c r="J4201" s="11"/>
      <c r="K4201" s="6"/>
      <c r="L4201" s="13"/>
    </row>
    <row r="4202" spans="1:12" hidden="1" x14ac:dyDescent="0.25">
      <c r="A4202" s="6"/>
      <c r="B4202" s="6"/>
      <c r="C4202" s="11"/>
      <c r="D4202" s="13"/>
      <c r="E4202" s="13"/>
      <c r="F4202" s="13"/>
      <c r="G4202" s="13"/>
      <c r="H4202" s="13"/>
      <c r="I4202" s="10"/>
      <c r="J4202" s="11"/>
      <c r="K4202" s="6"/>
      <c r="L4202" s="13"/>
    </row>
    <row r="4203" spans="1:12" hidden="1" x14ac:dyDescent="0.25">
      <c r="A4203" s="6"/>
      <c r="B4203" s="6"/>
      <c r="C4203" s="11"/>
      <c r="D4203" s="13"/>
      <c r="E4203" s="13"/>
      <c r="F4203" s="13"/>
      <c r="G4203" s="13"/>
      <c r="H4203" s="13"/>
      <c r="I4203" s="10"/>
      <c r="J4203" s="11"/>
      <c r="K4203" s="6"/>
      <c r="L4203" s="13"/>
    </row>
    <row r="4204" spans="1:12" hidden="1" x14ac:dyDescent="0.25">
      <c r="A4204" s="6"/>
      <c r="B4204" s="6"/>
      <c r="C4204" s="11"/>
      <c r="D4204" s="13"/>
      <c r="E4204" s="13"/>
      <c r="F4204" s="13"/>
      <c r="G4204" s="13"/>
      <c r="H4204" s="13"/>
      <c r="I4204" s="10"/>
      <c r="J4204" s="11"/>
      <c r="K4204" s="6"/>
      <c r="L4204" s="13"/>
    </row>
    <row r="4205" spans="1:12" hidden="1" x14ac:dyDescent="0.25">
      <c r="A4205" s="6"/>
      <c r="B4205" s="6"/>
      <c r="C4205" s="11"/>
      <c r="D4205" s="13"/>
      <c r="E4205" s="13"/>
      <c r="F4205" s="13"/>
      <c r="G4205" s="13"/>
      <c r="H4205" s="13"/>
      <c r="I4205" s="10"/>
      <c r="J4205" s="11"/>
      <c r="K4205" s="6"/>
      <c r="L4205" s="13"/>
    </row>
    <row r="4206" spans="1:12" hidden="1" x14ac:dyDescent="0.25">
      <c r="A4206" s="6"/>
      <c r="B4206" s="6"/>
      <c r="C4206" s="11"/>
      <c r="D4206" s="13"/>
      <c r="E4206" s="13"/>
      <c r="F4206" s="13"/>
      <c r="G4206" s="13"/>
      <c r="H4206" s="13"/>
      <c r="I4206" s="10"/>
      <c r="J4206" s="11"/>
      <c r="K4206" s="6"/>
      <c r="L4206" s="13"/>
    </row>
    <row r="4207" spans="1:12" hidden="1" x14ac:dyDescent="0.25">
      <c r="A4207" s="6"/>
      <c r="B4207" s="6"/>
      <c r="C4207" s="11"/>
      <c r="D4207" s="13"/>
      <c r="E4207" s="13"/>
      <c r="F4207" s="13"/>
      <c r="G4207" s="13"/>
      <c r="H4207" s="13"/>
      <c r="I4207" s="10"/>
      <c r="J4207" s="11"/>
      <c r="K4207" s="6"/>
      <c r="L4207" s="13"/>
    </row>
    <row r="4208" spans="1:12" hidden="1" x14ac:dyDescent="0.25">
      <c r="A4208" s="6"/>
      <c r="B4208" s="6"/>
      <c r="C4208" s="11"/>
      <c r="D4208" s="13"/>
      <c r="E4208" s="13"/>
      <c r="F4208" s="13"/>
      <c r="G4208" s="13"/>
      <c r="H4208" s="13"/>
      <c r="I4208" s="10"/>
      <c r="J4208" s="11"/>
      <c r="K4208" s="6"/>
      <c r="L4208" s="13"/>
    </row>
    <row r="4209" spans="1:12" hidden="1" x14ac:dyDescent="0.25">
      <c r="A4209" s="6"/>
      <c r="B4209" s="6"/>
      <c r="C4209" s="11"/>
      <c r="D4209" s="13"/>
      <c r="E4209" s="13"/>
      <c r="F4209" s="13"/>
      <c r="G4209" s="13"/>
      <c r="H4209" s="13"/>
      <c r="I4209" s="10"/>
      <c r="J4209" s="11"/>
      <c r="K4209" s="6"/>
      <c r="L4209" s="13"/>
    </row>
    <row r="4210" spans="1:12" hidden="1" x14ac:dyDescent="0.25">
      <c r="A4210" s="6"/>
      <c r="B4210" s="6"/>
      <c r="C4210" s="11"/>
      <c r="D4210" s="13"/>
      <c r="E4210" s="13"/>
      <c r="F4210" s="13"/>
      <c r="G4210" s="13"/>
      <c r="H4210" s="13"/>
      <c r="I4210" s="10"/>
      <c r="J4210" s="11"/>
      <c r="K4210" s="6"/>
      <c r="L4210" s="13"/>
    </row>
    <row r="4211" spans="1:12" hidden="1" x14ac:dyDescent="0.25">
      <c r="A4211" s="6"/>
      <c r="B4211" s="6"/>
      <c r="C4211" s="11"/>
      <c r="D4211" s="13"/>
      <c r="E4211" s="13"/>
      <c r="F4211" s="13"/>
      <c r="G4211" s="13"/>
      <c r="H4211" s="13"/>
      <c r="I4211" s="10"/>
      <c r="J4211" s="11"/>
      <c r="K4211" s="6"/>
      <c r="L4211" s="13"/>
    </row>
    <row r="4212" spans="1:12" hidden="1" x14ac:dyDescent="0.25">
      <c r="A4212" s="6"/>
      <c r="B4212" s="6"/>
      <c r="C4212" s="11"/>
      <c r="D4212" s="13"/>
      <c r="E4212" s="13"/>
      <c r="F4212" s="13"/>
      <c r="G4212" s="13"/>
      <c r="H4212" s="13"/>
      <c r="I4212" s="10"/>
      <c r="J4212" s="11"/>
      <c r="K4212" s="6"/>
      <c r="L4212" s="13"/>
    </row>
    <row r="4213" spans="1:12" hidden="1" x14ac:dyDescent="0.25">
      <c r="A4213" s="6"/>
      <c r="B4213" s="6"/>
      <c r="C4213" s="11"/>
      <c r="D4213" s="13"/>
      <c r="E4213" s="13"/>
      <c r="F4213" s="13"/>
      <c r="G4213" s="13"/>
      <c r="H4213" s="13"/>
      <c r="I4213" s="10"/>
      <c r="J4213" s="11"/>
      <c r="K4213" s="6"/>
      <c r="L4213" s="13"/>
    </row>
    <row r="4214" spans="1:12" hidden="1" x14ac:dyDescent="0.25">
      <c r="A4214" s="6"/>
      <c r="B4214" s="6"/>
      <c r="C4214" s="11"/>
      <c r="D4214" s="13"/>
      <c r="E4214" s="13"/>
      <c r="F4214" s="13"/>
      <c r="G4214" s="13"/>
      <c r="H4214" s="13"/>
      <c r="I4214" s="10"/>
      <c r="J4214" s="11"/>
      <c r="K4214" s="6"/>
      <c r="L4214" s="13"/>
    </row>
    <row r="4215" spans="1:12" hidden="1" x14ac:dyDescent="0.25">
      <c r="A4215" s="6"/>
      <c r="B4215" s="6"/>
      <c r="C4215" s="11"/>
      <c r="D4215" s="13"/>
      <c r="E4215" s="13"/>
      <c r="F4215" s="13"/>
      <c r="G4215" s="13"/>
      <c r="H4215" s="13"/>
      <c r="I4215" s="10"/>
      <c r="J4215" s="11"/>
      <c r="K4215" s="6"/>
      <c r="L4215" s="13"/>
    </row>
    <row r="4216" spans="1:12" hidden="1" x14ac:dyDescent="0.25">
      <c r="A4216" s="6"/>
      <c r="B4216" s="6"/>
      <c r="C4216" s="11"/>
      <c r="D4216" s="13"/>
      <c r="E4216" s="13"/>
      <c r="F4216" s="13"/>
      <c r="G4216" s="13"/>
      <c r="H4216" s="13"/>
      <c r="I4216" s="10"/>
      <c r="J4216" s="11"/>
      <c r="K4216" s="6"/>
      <c r="L4216" s="13"/>
    </row>
    <row r="4217" spans="1:12" hidden="1" x14ac:dyDescent="0.25">
      <c r="A4217" s="6"/>
      <c r="B4217" s="6"/>
      <c r="C4217" s="11"/>
      <c r="D4217" s="13"/>
      <c r="E4217" s="13"/>
      <c r="F4217" s="13"/>
      <c r="G4217" s="13"/>
      <c r="H4217" s="13"/>
      <c r="I4217" s="10"/>
      <c r="J4217" s="11"/>
      <c r="K4217" s="6"/>
      <c r="L4217" s="13"/>
    </row>
    <row r="4218" spans="1:12" hidden="1" x14ac:dyDescent="0.25">
      <c r="A4218" s="6"/>
      <c r="B4218" s="6"/>
      <c r="C4218" s="11"/>
      <c r="D4218" s="13"/>
      <c r="E4218" s="13"/>
      <c r="F4218" s="13"/>
      <c r="G4218" s="13"/>
      <c r="H4218" s="13"/>
      <c r="I4218" s="10"/>
      <c r="J4218" s="11"/>
      <c r="K4218" s="6"/>
      <c r="L4218" s="13"/>
    </row>
    <row r="4219" spans="1:12" hidden="1" x14ac:dyDescent="0.25">
      <c r="A4219" s="6"/>
      <c r="B4219" s="6"/>
      <c r="C4219" s="11"/>
      <c r="D4219" s="13"/>
      <c r="E4219" s="13"/>
      <c r="F4219" s="13"/>
      <c r="G4219" s="13"/>
      <c r="H4219" s="13"/>
      <c r="I4219" s="10"/>
      <c r="J4219" s="11"/>
      <c r="K4219" s="6"/>
      <c r="L4219" s="13"/>
    </row>
    <row r="4220" spans="1:12" hidden="1" x14ac:dyDescent="0.25">
      <c r="A4220" s="6"/>
      <c r="B4220" s="6"/>
      <c r="C4220" s="11"/>
      <c r="D4220" s="13"/>
      <c r="E4220" s="13"/>
      <c r="F4220" s="13"/>
      <c r="G4220" s="13"/>
      <c r="H4220" s="13"/>
      <c r="I4220" s="10"/>
      <c r="J4220" s="11"/>
      <c r="K4220" s="6"/>
      <c r="L4220" s="13"/>
    </row>
    <row r="4221" spans="1:12" hidden="1" x14ac:dyDescent="0.25">
      <c r="A4221" s="6"/>
      <c r="B4221" s="6"/>
      <c r="C4221" s="11"/>
      <c r="D4221" s="13"/>
      <c r="E4221" s="13"/>
      <c r="F4221" s="13"/>
      <c r="G4221" s="13"/>
      <c r="H4221" s="13"/>
      <c r="I4221" s="10"/>
      <c r="J4221" s="11"/>
      <c r="K4221" s="6"/>
      <c r="L4221" s="13"/>
    </row>
    <row r="4222" spans="1:12" hidden="1" x14ac:dyDescent="0.25">
      <c r="A4222" s="6"/>
      <c r="B4222" s="6"/>
      <c r="C4222" s="11"/>
      <c r="D4222" s="13"/>
      <c r="E4222" s="13"/>
      <c r="F4222" s="13"/>
      <c r="G4222" s="13"/>
      <c r="H4222" s="13"/>
      <c r="I4222" s="10"/>
      <c r="J4222" s="11"/>
      <c r="K4222" s="6"/>
      <c r="L4222" s="13"/>
    </row>
    <row r="4223" spans="1:12" hidden="1" x14ac:dyDescent="0.25">
      <c r="A4223" s="6"/>
      <c r="B4223" s="6"/>
      <c r="C4223" s="11"/>
      <c r="D4223" s="13"/>
      <c r="E4223" s="13"/>
      <c r="F4223" s="13"/>
      <c r="G4223" s="13"/>
      <c r="H4223" s="13"/>
      <c r="I4223" s="10"/>
      <c r="J4223" s="11"/>
      <c r="K4223" s="6"/>
      <c r="L4223" s="13"/>
    </row>
    <row r="4224" spans="1:12" hidden="1" x14ac:dyDescent="0.25">
      <c r="A4224" s="6"/>
      <c r="B4224" s="6"/>
      <c r="C4224" s="11"/>
      <c r="D4224" s="13"/>
      <c r="E4224" s="13"/>
      <c r="F4224" s="13"/>
      <c r="G4224" s="13"/>
      <c r="H4224" s="13"/>
      <c r="I4224" s="10"/>
      <c r="J4224" s="11"/>
      <c r="K4224" s="6"/>
      <c r="L4224" s="13"/>
    </row>
    <row r="4225" spans="1:12" hidden="1" x14ac:dyDescent="0.25">
      <c r="A4225" s="6"/>
      <c r="B4225" s="6"/>
      <c r="C4225" s="11"/>
      <c r="D4225" s="13"/>
      <c r="E4225" s="13"/>
      <c r="F4225" s="13"/>
      <c r="G4225" s="13"/>
      <c r="H4225" s="13"/>
      <c r="I4225" s="10"/>
      <c r="J4225" s="11"/>
      <c r="K4225" s="6"/>
      <c r="L4225" s="13"/>
    </row>
    <row r="4226" spans="1:12" hidden="1" x14ac:dyDescent="0.25">
      <c r="A4226" s="6"/>
      <c r="B4226" s="6"/>
      <c r="C4226" s="11"/>
      <c r="D4226" s="13"/>
      <c r="E4226" s="13"/>
      <c r="F4226" s="13"/>
      <c r="G4226" s="13"/>
      <c r="H4226" s="13"/>
      <c r="I4226" s="10"/>
      <c r="J4226" s="11"/>
      <c r="K4226" s="6"/>
      <c r="L4226" s="13"/>
    </row>
    <row r="4227" spans="1:12" hidden="1" x14ac:dyDescent="0.25">
      <c r="A4227" s="6"/>
      <c r="B4227" s="6"/>
      <c r="C4227" s="11"/>
      <c r="D4227" s="13"/>
      <c r="E4227" s="13"/>
      <c r="F4227" s="13"/>
      <c r="G4227" s="13"/>
      <c r="H4227" s="13"/>
      <c r="I4227" s="10"/>
      <c r="J4227" s="11"/>
      <c r="K4227" s="6"/>
      <c r="L4227" s="13"/>
    </row>
    <row r="4228" spans="1:12" hidden="1" x14ac:dyDescent="0.25">
      <c r="A4228" s="6"/>
      <c r="B4228" s="6"/>
      <c r="C4228" s="11"/>
      <c r="D4228" s="13"/>
      <c r="E4228" s="13"/>
      <c r="F4228" s="13"/>
      <c r="G4228" s="13"/>
      <c r="H4228" s="13"/>
      <c r="I4228" s="10"/>
      <c r="J4228" s="11"/>
      <c r="K4228" s="6"/>
      <c r="L4228" s="13"/>
    </row>
    <row r="4229" spans="1:12" hidden="1" x14ac:dyDescent="0.25">
      <c r="A4229" s="6"/>
      <c r="B4229" s="6"/>
      <c r="C4229" s="11"/>
      <c r="D4229" s="13"/>
      <c r="E4229" s="13"/>
      <c r="F4229" s="13"/>
      <c r="G4229" s="13"/>
      <c r="H4229" s="13"/>
      <c r="I4229" s="10"/>
      <c r="J4229" s="11"/>
      <c r="K4229" s="6"/>
      <c r="L4229" s="13"/>
    </row>
    <row r="4230" spans="1:12" hidden="1" x14ac:dyDescent="0.25">
      <c r="A4230" s="6"/>
      <c r="B4230" s="6"/>
      <c r="C4230" s="11"/>
      <c r="D4230" s="13"/>
      <c r="E4230" s="13"/>
      <c r="F4230" s="13"/>
      <c r="G4230" s="13"/>
      <c r="H4230" s="13"/>
      <c r="I4230" s="10"/>
      <c r="J4230" s="11"/>
      <c r="K4230" s="6"/>
      <c r="L4230" s="13"/>
    </row>
    <row r="4231" spans="1:12" hidden="1" x14ac:dyDescent="0.25">
      <c r="A4231" s="6"/>
      <c r="B4231" s="6"/>
      <c r="C4231" s="11"/>
      <c r="D4231" s="13"/>
      <c r="E4231" s="13"/>
      <c r="F4231" s="13"/>
      <c r="G4231" s="13"/>
      <c r="H4231" s="13"/>
      <c r="I4231" s="10"/>
      <c r="J4231" s="11"/>
      <c r="K4231" s="6"/>
      <c r="L4231" s="13"/>
    </row>
    <row r="4232" spans="1:12" hidden="1" x14ac:dyDescent="0.25">
      <c r="A4232" s="6"/>
      <c r="B4232" s="6"/>
      <c r="C4232" s="11"/>
      <c r="D4232" s="13"/>
      <c r="E4232" s="13"/>
      <c r="F4232" s="13"/>
      <c r="G4232" s="13"/>
      <c r="H4232" s="13"/>
      <c r="I4232" s="10"/>
      <c r="J4232" s="11"/>
      <c r="K4232" s="6"/>
      <c r="L4232" s="13"/>
    </row>
    <row r="4233" spans="1:12" hidden="1" x14ac:dyDescent="0.25">
      <c r="A4233" s="6"/>
      <c r="B4233" s="6"/>
      <c r="C4233" s="11"/>
      <c r="D4233" s="13"/>
      <c r="E4233" s="13"/>
      <c r="F4233" s="13"/>
      <c r="G4233" s="13"/>
      <c r="H4233" s="13"/>
      <c r="I4233" s="10"/>
      <c r="J4233" s="11"/>
      <c r="K4233" s="6"/>
      <c r="L4233" s="13"/>
    </row>
    <row r="4234" spans="1:12" hidden="1" x14ac:dyDescent="0.25">
      <c r="A4234" s="6"/>
      <c r="B4234" s="6"/>
      <c r="C4234" s="11"/>
      <c r="D4234" s="13"/>
      <c r="E4234" s="13"/>
      <c r="F4234" s="13"/>
      <c r="G4234" s="13"/>
      <c r="H4234" s="13"/>
      <c r="I4234" s="10"/>
      <c r="J4234" s="11"/>
      <c r="K4234" s="6"/>
      <c r="L4234" s="13"/>
    </row>
    <row r="4235" spans="1:12" hidden="1" x14ac:dyDescent="0.25">
      <c r="A4235" s="6"/>
      <c r="B4235" s="6"/>
      <c r="C4235" s="11"/>
      <c r="D4235" s="13"/>
      <c r="E4235" s="13"/>
      <c r="F4235" s="13"/>
      <c r="G4235" s="13"/>
      <c r="H4235" s="13"/>
      <c r="I4235" s="10"/>
      <c r="J4235" s="11"/>
      <c r="K4235" s="6"/>
      <c r="L4235" s="13"/>
    </row>
    <row r="4236" spans="1:12" hidden="1" x14ac:dyDescent="0.25">
      <c r="A4236" s="6"/>
      <c r="B4236" s="6"/>
      <c r="C4236" s="11"/>
      <c r="D4236" s="13"/>
      <c r="E4236" s="13"/>
      <c r="F4236" s="13"/>
      <c r="G4236" s="13"/>
      <c r="H4236" s="13"/>
      <c r="I4236" s="10"/>
      <c r="J4236" s="11"/>
      <c r="K4236" s="6"/>
      <c r="L4236" s="13"/>
    </row>
    <row r="4237" spans="1:12" hidden="1" x14ac:dyDescent="0.25">
      <c r="A4237" s="6"/>
      <c r="B4237" s="6"/>
      <c r="C4237" s="11"/>
      <c r="D4237" s="13"/>
      <c r="E4237" s="13"/>
      <c r="F4237" s="13"/>
      <c r="G4237" s="13"/>
      <c r="H4237" s="13"/>
      <c r="I4237" s="10"/>
      <c r="J4237" s="11"/>
      <c r="K4237" s="6"/>
      <c r="L4237" s="13"/>
    </row>
    <row r="4238" spans="1:12" hidden="1" x14ac:dyDescent="0.25">
      <c r="A4238" s="6"/>
      <c r="B4238" s="6"/>
      <c r="C4238" s="11"/>
      <c r="D4238" s="13"/>
      <c r="E4238" s="13"/>
      <c r="F4238" s="13"/>
      <c r="G4238" s="13"/>
      <c r="H4238" s="13"/>
      <c r="I4238" s="10"/>
      <c r="J4238" s="11"/>
      <c r="K4238" s="6"/>
      <c r="L4238" s="13"/>
    </row>
    <row r="4239" spans="1:12" hidden="1" x14ac:dyDescent="0.25">
      <c r="A4239" s="6"/>
      <c r="B4239" s="6"/>
      <c r="C4239" s="11"/>
      <c r="D4239" s="13"/>
      <c r="E4239" s="13"/>
      <c r="F4239" s="13"/>
      <c r="G4239" s="13"/>
      <c r="H4239" s="13"/>
      <c r="I4239" s="10"/>
      <c r="J4239" s="11"/>
      <c r="K4239" s="6"/>
      <c r="L4239" s="13"/>
    </row>
    <row r="4240" spans="1:12" hidden="1" x14ac:dyDescent="0.25">
      <c r="A4240" s="6"/>
      <c r="B4240" s="6"/>
      <c r="C4240" s="11"/>
      <c r="D4240" s="13"/>
      <c r="E4240" s="13"/>
      <c r="F4240" s="13"/>
      <c r="G4240" s="13"/>
      <c r="H4240" s="13"/>
      <c r="I4240" s="10"/>
      <c r="J4240" s="11"/>
      <c r="K4240" s="6"/>
      <c r="L4240" s="13"/>
    </row>
    <row r="4241" spans="1:12" hidden="1" x14ac:dyDescent="0.25">
      <c r="A4241" s="6"/>
      <c r="B4241" s="6"/>
      <c r="C4241" s="11"/>
      <c r="D4241" s="13"/>
      <c r="E4241" s="13"/>
      <c r="F4241" s="13"/>
      <c r="G4241" s="13"/>
      <c r="H4241" s="13"/>
      <c r="I4241" s="10"/>
      <c r="J4241" s="11"/>
      <c r="K4241" s="6"/>
      <c r="L4241" s="13"/>
    </row>
    <row r="4242" spans="1:12" hidden="1" x14ac:dyDescent="0.25">
      <c r="A4242" s="6"/>
      <c r="B4242" s="6"/>
      <c r="C4242" s="11"/>
      <c r="D4242" s="13"/>
      <c r="E4242" s="13"/>
      <c r="F4242" s="13"/>
      <c r="G4242" s="13"/>
      <c r="H4242" s="13"/>
      <c r="I4242" s="10"/>
      <c r="J4242" s="11"/>
      <c r="K4242" s="6"/>
      <c r="L4242" s="13"/>
    </row>
    <row r="4243" spans="1:12" hidden="1" x14ac:dyDescent="0.25">
      <c r="A4243" s="6"/>
      <c r="B4243" s="6"/>
      <c r="C4243" s="11"/>
      <c r="D4243" s="13"/>
      <c r="E4243" s="13"/>
      <c r="F4243" s="13"/>
      <c r="G4243" s="13"/>
      <c r="H4243" s="13"/>
      <c r="I4243" s="10"/>
      <c r="J4243" s="11"/>
      <c r="K4243" s="6"/>
      <c r="L4243" s="13"/>
    </row>
    <row r="4244" spans="1:12" hidden="1" x14ac:dyDescent="0.25">
      <c r="A4244" s="6"/>
      <c r="B4244" s="6"/>
      <c r="C4244" s="11"/>
      <c r="D4244" s="13"/>
      <c r="E4244" s="13"/>
      <c r="F4244" s="13"/>
      <c r="G4244" s="13"/>
      <c r="H4244" s="13"/>
      <c r="I4244" s="10"/>
      <c r="J4244" s="11"/>
      <c r="K4244" s="6"/>
      <c r="L4244" s="13"/>
    </row>
    <row r="4245" spans="1:12" hidden="1" x14ac:dyDescent="0.25">
      <c r="A4245" s="6"/>
      <c r="B4245" s="6"/>
      <c r="C4245" s="11"/>
      <c r="D4245" s="13"/>
      <c r="E4245" s="13"/>
      <c r="F4245" s="13"/>
      <c r="G4245" s="13"/>
      <c r="H4245" s="13"/>
      <c r="I4245" s="10"/>
      <c r="J4245" s="11"/>
      <c r="K4245" s="6"/>
      <c r="L4245" s="13"/>
    </row>
    <row r="4246" spans="1:12" hidden="1" x14ac:dyDescent="0.25">
      <c r="A4246" s="6"/>
      <c r="B4246" s="6"/>
      <c r="C4246" s="11"/>
      <c r="D4246" s="13"/>
      <c r="E4246" s="13"/>
      <c r="F4246" s="13"/>
      <c r="G4246" s="13"/>
      <c r="H4246" s="13"/>
      <c r="I4246" s="10"/>
      <c r="J4246" s="11"/>
      <c r="K4246" s="6"/>
      <c r="L4246" s="13"/>
    </row>
    <row r="4247" spans="1:12" hidden="1" x14ac:dyDescent="0.25">
      <c r="A4247" s="6"/>
      <c r="B4247" s="6"/>
      <c r="C4247" s="11"/>
      <c r="D4247" s="13"/>
      <c r="E4247" s="13"/>
      <c r="F4247" s="13"/>
      <c r="G4247" s="13"/>
      <c r="H4247" s="13"/>
      <c r="I4247" s="10"/>
      <c r="J4247" s="11"/>
      <c r="K4247" s="6"/>
      <c r="L4247" s="13"/>
    </row>
    <row r="4248" spans="1:12" hidden="1" x14ac:dyDescent="0.25">
      <c r="A4248" s="6"/>
      <c r="B4248" s="6"/>
      <c r="C4248" s="11"/>
      <c r="D4248" s="13"/>
      <c r="E4248" s="13"/>
      <c r="F4248" s="13"/>
      <c r="G4248" s="13"/>
      <c r="H4248" s="13"/>
      <c r="I4248" s="10"/>
      <c r="J4248" s="11"/>
      <c r="K4248" s="6"/>
      <c r="L4248" s="13"/>
    </row>
    <row r="4249" spans="1:12" hidden="1" x14ac:dyDescent="0.25">
      <c r="A4249" s="6"/>
      <c r="B4249" s="6"/>
      <c r="C4249" s="11"/>
      <c r="D4249" s="13"/>
      <c r="E4249" s="13"/>
      <c r="F4249" s="13"/>
      <c r="G4249" s="13"/>
      <c r="H4249" s="13"/>
      <c r="I4249" s="10"/>
      <c r="J4249" s="11"/>
      <c r="K4249" s="6"/>
      <c r="L4249" s="13"/>
    </row>
    <row r="4250" spans="1:12" hidden="1" x14ac:dyDescent="0.25">
      <c r="A4250" s="6"/>
      <c r="B4250" s="6"/>
      <c r="C4250" s="11"/>
      <c r="D4250" s="13"/>
      <c r="E4250" s="13"/>
      <c r="F4250" s="13"/>
      <c r="G4250" s="13"/>
      <c r="H4250" s="13"/>
      <c r="I4250" s="10"/>
      <c r="J4250" s="11"/>
      <c r="K4250" s="6"/>
      <c r="L4250" s="13"/>
    </row>
    <row r="4251" spans="1:12" hidden="1" x14ac:dyDescent="0.25">
      <c r="A4251" s="6"/>
      <c r="B4251" s="6"/>
      <c r="C4251" s="11"/>
      <c r="D4251" s="13"/>
      <c r="E4251" s="13"/>
      <c r="F4251" s="13"/>
      <c r="G4251" s="13"/>
      <c r="H4251" s="13"/>
      <c r="I4251" s="10"/>
      <c r="J4251" s="11"/>
      <c r="K4251" s="6"/>
      <c r="L4251" s="13"/>
    </row>
    <row r="4252" spans="1:12" hidden="1" x14ac:dyDescent="0.25">
      <c r="A4252" s="6"/>
      <c r="B4252" s="6"/>
      <c r="C4252" s="11"/>
      <c r="D4252" s="13"/>
      <c r="E4252" s="13"/>
      <c r="F4252" s="13"/>
      <c r="G4252" s="13"/>
      <c r="H4252" s="13"/>
      <c r="I4252" s="10"/>
      <c r="J4252" s="11"/>
      <c r="K4252" s="6"/>
      <c r="L4252" s="13"/>
    </row>
    <row r="4253" spans="1:12" hidden="1" x14ac:dyDescent="0.25">
      <c r="A4253" s="6"/>
      <c r="B4253" s="6"/>
      <c r="C4253" s="11"/>
      <c r="D4253" s="13"/>
      <c r="E4253" s="13"/>
      <c r="F4253" s="13"/>
      <c r="G4253" s="13"/>
      <c r="H4253" s="13"/>
      <c r="I4253" s="10"/>
      <c r="J4253" s="11"/>
      <c r="K4253" s="6"/>
      <c r="L4253" s="13"/>
    </row>
    <row r="4254" spans="1:12" hidden="1" x14ac:dyDescent="0.25">
      <c r="A4254" s="6"/>
      <c r="B4254" s="6"/>
      <c r="C4254" s="11"/>
      <c r="D4254" s="13"/>
      <c r="E4254" s="13"/>
      <c r="F4254" s="13"/>
      <c r="G4254" s="13"/>
      <c r="H4254" s="13"/>
      <c r="I4254" s="10"/>
      <c r="J4254" s="11"/>
      <c r="K4254" s="6"/>
      <c r="L4254" s="13"/>
    </row>
    <row r="4255" spans="1:12" hidden="1" x14ac:dyDescent="0.25">
      <c r="A4255" s="6"/>
      <c r="B4255" s="6"/>
      <c r="C4255" s="11"/>
      <c r="D4255" s="13"/>
      <c r="E4255" s="13"/>
      <c r="F4255" s="13"/>
      <c r="G4255" s="13"/>
      <c r="H4255" s="13"/>
      <c r="I4255" s="10"/>
      <c r="J4255" s="11"/>
      <c r="K4255" s="6"/>
      <c r="L4255" s="13"/>
    </row>
    <row r="4256" spans="1:12" hidden="1" x14ac:dyDescent="0.25">
      <c r="A4256" s="6"/>
      <c r="B4256" s="6"/>
      <c r="C4256" s="11"/>
      <c r="D4256" s="13"/>
      <c r="E4256" s="13"/>
      <c r="F4256" s="13"/>
      <c r="G4256" s="13"/>
      <c r="H4256" s="13"/>
      <c r="I4256" s="10"/>
      <c r="J4256" s="11"/>
      <c r="K4256" s="6"/>
      <c r="L4256" s="13"/>
    </row>
    <row r="4257" spans="1:12" hidden="1" x14ac:dyDescent="0.25">
      <c r="A4257" s="6"/>
      <c r="B4257" s="6"/>
      <c r="C4257" s="11"/>
      <c r="D4257" s="13"/>
      <c r="E4257" s="13"/>
      <c r="F4257" s="13"/>
      <c r="G4257" s="13"/>
      <c r="H4257" s="13"/>
      <c r="I4257" s="10"/>
      <c r="J4257" s="11"/>
      <c r="K4257" s="6"/>
      <c r="L4257" s="13"/>
    </row>
    <row r="4258" spans="1:12" hidden="1" x14ac:dyDescent="0.25">
      <c r="A4258" s="6"/>
      <c r="B4258" s="6"/>
      <c r="C4258" s="11"/>
      <c r="D4258" s="13"/>
      <c r="E4258" s="13"/>
      <c r="F4258" s="13"/>
      <c r="G4258" s="13"/>
      <c r="H4258" s="13"/>
      <c r="I4258" s="10"/>
      <c r="J4258" s="11"/>
      <c r="K4258" s="6"/>
      <c r="L4258" s="13"/>
    </row>
    <row r="4259" spans="1:12" hidden="1" x14ac:dyDescent="0.25">
      <c r="A4259" s="6"/>
      <c r="B4259" s="6"/>
      <c r="C4259" s="11"/>
      <c r="D4259" s="13"/>
      <c r="E4259" s="13"/>
      <c r="F4259" s="13"/>
      <c r="G4259" s="13"/>
      <c r="H4259" s="13"/>
      <c r="I4259" s="10"/>
      <c r="J4259" s="11"/>
      <c r="K4259" s="6"/>
      <c r="L4259" s="13"/>
    </row>
    <row r="4260" spans="1:12" hidden="1" x14ac:dyDescent="0.25">
      <c r="A4260" s="6"/>
      <c r="B4260" s="6"/>
      <c r="C4260" s="11"/>
      <c r="D4260" s="13"/>
      <c r="E4260" s="13"/>
      <c r="F4260" s="13"/>
      <c r="G4260" s="13"/>
      <c r="H4260" s="13"/>
      <c r="I4260" s="10"/>
      <c r="J4260" s="11"/>
      <c r="K4260" s="6"/>
      <c r="L4260" s="13"/>
    </row>
    <row r="4261" spans="1:12" hidden="1" x14ac:dyDescent="0.25">
      <c r="A4261" s="6"/>
      <c r="B4261" s="6"/>
      <c r="C4261" s="11"/>
      <c r="D4261" s="13"/>
      <c r="E4261" s="13"/>
      <c r="F4261" s="13"/>
      <c r="G4261" s="13"/>
      <c r="H4261" s="13"/>
      <c r="I4261" s="10"/>
      <c r="J4261" s="11"/>
      <c r="K4261" s="6"/>
      <c r="L4261" s="13"/>
    </row>
    <row r="4262" spans="1:12" hidden="1" x14ac:dyDescent="0.25">
      <c r="A4262" s="6"/>
      <c r="B4262" s="6"/>
      <c r="C4262" s="11"/>
      <c r="D4262" s="13"/>
      <c r="E4262" s="13"/>
      <c r="F4262" s="13"/>
      <c r="G4262" s="13"/>
      <c r="H4262" s="13"/>
      <c r="I4262" s="10"/>
      <c r="J4262" s="11"/>
      <c r="K4262" s="6"/>
      <c r="L4262" s="13"/>
    </row>
    <row r="4263" spans="1:12" hidden="1" x14ac:dyDescent="0.25">
      <c r="A4263" s="6"/>
      <c r="B4263" s="6"/>
      <c r="C4263" s="11"/>
      <c r="D4263" s="13"/>
      <c r="E4263" s="13"/>
      <c r="F4263" s="13"/>
      <c r="G4263" s="13"/>
      <c r="H4263" s="13"/>
      <c r="I4263" s="10"/>
      <c r="J4263" s="11"/>
      <c r="K4263" s="6"/>
      <c r="L4263" s="13"/>
    </row>
    <row r="4264" spans="1:12" hidden="1" x14ac:dyDescent="0.25">
      <c r="A4264" s="6"/>
      <c r="B4264" s="6"/>
      <c r="C4264" s="11"/>
      <c r="D4264" s="13"/>
      <c r="E4264" s="13"/>
      <c r="F4264" s="13"/>
      <c r="G4264" s="13"/>
      <c r="H4264" s="13"/>
      <c r="I4264" s="10"/>
      <c r="J4264" s="11"/>
      <c r="K4264" s="6"/>
      <c r="L4264" s="13"/>
    </row>
    <row r="4265" spans="1:12" hidden="1" x14ac:dyDescent="0.25">
      <c r="A4265" s="6"/>
      <c r="B4265" s="6"/>
      <c r="C4265" s="11"/>
      <c r="D4265" s="13"/>
      <c r="E4265" s="13"/>
      <c r="F4265" s="13"/>
      <c r="G4265" s="13"/>
      <c r="H4265" s="13"/>
      <c r="I4265" s="10"/>
      <c r="J4265" s="11"/>
      <c r="K4265" s="6"/>
      <c r="L4265" s="13"/>
    </row>
    <row r="4266" spans="1:12" hidden="1" x14ac:dyDescent="0.25">
      <c r="A4266" s="6"/>
      <c r="B4266" s="6"/>
      <c r="C4266" s="11"/>
      <c r="D4266" s="13"/>
      <c r="E4266" s="13"/>
      <c r="F4266" s="13"/>
      <c r="G4266" s="13"/>
      <c r="H4266" s="13"/>
      <c r="I4266" s="10"/>
      <c r="J4266" s="11"/>
      <c r="K4266" s="6"/>
      <c r="L4266" s="13"/>
    </row>
    <row r="4267" spans="1:12" hidden="1" x14ac:dyDescent="0.25">
      <c r="A4267" s="6"/>
      <c r="B4267" s="6"/>
      <c r="C4267" s="11"/>
      <c r="D4267" s="13"/>
      <c r="E4267" s="13"/>
      <c r="F4267" s="13"/>
      <c r="G4267" s="13"/>
      <c r="H4267" s="13"/>
      <c r="I4267" s="10"/>
      <c r="J4267" s="11"/>
      <c r="K4267" s="6"/>
      <c r="L4267" s="13"/>
    </row>
    <row r="4268" spans="1:12" hidden="1" x14ac:dyDescent="0.25">
      <c r="A4268" s="6"/>
      <c r="B4268" s="6"/>
      <c r="C4268" s="11"/>
      <c r="D4268" s="13"/>
      <c r="E4268" s="13"/>
      <c r="F4268" s="13"/>
      <c r="G4268" s="13"/>
      <c r="H4268" s="13"/>
      <c r="I4268" s="10"/>
      <c r="J4268" s="11"/>
      <c r="K4268" s="6"/>
      <c r="L4268" s="13"/>
    </row>
    <row r="4269" spans="1:12" hidden="1" x14ac:dyDescent="0.25">
      <c r="A4269" s="6"/>
      <c r="B4269" s="6"/>
      <c r="C4269" s="11"/>
      <c r="D4269" s="13"/>
      <c r="E4269" s="13"/>
      <c r="F4269" s="13"/>
      <c r="G4269" s="13"/>
      <c r="H4269" s="13"/>
      <c r="I4269" s="10"/>
      <c r="J4269" s="11"/>
      <c r="K4269" s="6"/>
      <c r="L4269" s="13"/>
    </row>
    <row r="4270" spans="1:12" hidden="1" x14ac:dyDescent="0.25">
      <c r="A4270" s="6"/>
      <c r="B4270" s="6"/>
      <c r="C4270" s="11"/>
      <c r="D4270" s="13"/>
      <c r="E4270" s="13"/>
      <c r="F4270" s="13"/>
      <c r="G4270" s="13"/>
      <c r="H4270" s="13"/>
      <c r="I4270" s="10"/>
      <c r="J4270" s="11"/>
      <c r="K4270" s="6"/>
      <c r="L4270" s="13"/>
    </row>
    <row r="4271" spans="1:12" hidden="1" x14ac:dyDescent="0.25">
      <c r="A4271" s="6"/>
      <c r="B4271" s="6"/>
      <c r="C4271" s="11"/>
      <c r="D4271" s="13"/>
      <c r="E4271" s="13"/>
      <c r="F4271" s="13"/>
      <c r="G4271" s="13"/>
      <c r="H4271" s="13"/>
      <c r="I4271" s="10"/>
      <c r="J4271" s="11"/>
      <c r="K4271" s="6"/>
      <c r="L4271" s="13"/>
    </row>
    <row r="4272" spans="1:12" hidden="1" x14ac:dyDescent="0.25">
      <c r="A4272" s="6"/>
      <c r="B4272" s="6"/>
      <c r="C4272" s="11"/>
      <c r="D4272" s="13"/>
      <c r="E4272" s="13"/>
      <c r="F4272" s="13"/>
      <c r="G4272" s="13"/>
      <c r="H4272" s="13"/>
      <c r="I4272" s="10"/>
      <c r="J4272" s="11"/>
      <c r="K4272" s="6"/>
      <c r="L4272" s="13"/>
    </row>
    <row r="4273" spans="1:12" hidden="1" x14ac:dyDescent="0.25">
      <c r="A4273" s="6"/>
      <c r="B4273" s="6"/>
      <c r="C4273" s="11"/>
      <c r="D4273" s="13"/>
      <c r="E4273" s="13"/>
      <c r="F4273" s="13"/>
      <c r="G4273" s="13"/>
      <c r="H4273" s="13"/>
      <c r="I4273" s="10"/>
      <c r="J4273" s="11"/>
      <c r="K4273" s="6"/>
      <c r="L4273" s="13"/>
    </row>
    <row r="4274" spans="1:12" hidden="1" x14ac:dyDescent="0.25">
      <c r="A4274" s="6"/>
      <c r="B4274" s="6"/>
      <c r="C4274" s="11"/>
      <c r="D4274" s="13"/>
      <c r="E4274" s="13"/>
      <c r="F4274" s="13"/>
      <c r="G4274" s="13"/>
      <c r="H4274" s="13"/>
      <c r="I4274" s="10"/>
      <c r="J4274" s="11"/>
      <c r="K4274" s="6"/>
      <c r="L4274" s="13"/>
    </row>
    <row r="4275" spans="1:12" hidden="1" x14ac:dyDescent="0.25">
      <c r="A4275" s="6"/>
      <c r="B4275" s="6"/>
      <c r="C4275" s="11"/>
      <c r="D4275" s="13"/>
      <c r="E4275" s="13"/>
      <c r="F4275" s="13"/>
      <c r="G4275" s="13"/>
      <c r="H4275" s="13"/>
      <c r="I4275" s="10"/>
      <c r="J4275" s="11"/>
      <c r="K4275" s="6"/>
      <c r="L4275" s="13"/>
    </row>
    <row r="4276" spans="1:12" hidden="1" x14ac:dyDescent="0.25">
      <c r="A4276" s="6"/>
      <c r="B4276" s="6"/>
      <c r="C4276" s="11"/>
      <c r="D4276" s="13"/>
      <c r="E4276" s="13"/>
      <c r="F4276" s="13"/>
      <c r="G4276" s="13"/>
      <c r="H4276" s="13"/>
      <c r="I4276" s="10"/>
      <c r="J4276" s="11"/>
      <c r="K4276" s="6"/>
      <c r="L4276" s="13"/>
    </row>
    <row r="4277" spans="1:12" hidden="1" x14ac:dyDescent="0.25">
      <c r="A4277" s="6"/>
      <c r="B4277" s="6"/>
      <c r="C4277" s="11"/>
      <c r="D4277" s="13"/>
      <c r="E4277" s="13"/>
      <c r="F4277" s="13"/>
      <c r="G4277" s="13"/>
      <c r="H4277" s="13"/>
      <c r="I4277" s="10"/>
      <c r="J4277" s="11"/>
      <c r="K4277" s="6"/>
      <c r="L4277" s="13"/>
    </row>
    <row r="4278" spans="1:12" hidden="1" x14ac:dyDescent="0.25">
      <c r="A4278" s="6"/>
      <c r="B4278" s="6"/>
      <c r="C4278" s="11"/>
      <c r="D4278" s="13"/>
      <c r="E4278" s="13"/>
      <c r="F4278" s="13"/>
      <c r="G4278" s="13"/>
      <c r="H4278" s="13"/>
      <c r="I4278" s="10"/>
      <c r="J4278" s="11"/>
      <c r="K4278" s="6"/>
      <c r="L4278" s="13"/>
    </row>
    <row r="4279" spans="1:12" hidden="1" x14ac:dyDescent="0.25">
      <c r="A4279" s="6"/>
      <c r="B4279" s="6"/>
      <c r="C4279" s="11"/>
      <c r="D4279" s="13"/>
      <c r="E4279" s="13"/>
      <c r="F4279" s="13"/>
      <c r="G4279" s="13"/>
      <c r="H4279" s="13"/>
      <c r="I4279" s="10"/>
      <c r="J4279" s="11"/>
      <c r="K4279" s="6"/>
      <c r="L4279" s="13"/>
    </row>
    <row r="4280" spans="1:12" hidden="1" x14ac:dyDescent="0.25">
      <c r="A4280" s="6"/>
      <c r="B4280" s="6"/>
      <c r="C4280" s="11"/>
      <c r="D4280" s="13"/>
      <c r="E4280" s="13"/>
      <c r="F4280" s="13"/>
      <c r="G4280" s="13"/>
      <c r="H4280" s="13"/>
      <c r="I4280" s="10"/>
      <c r="J4280" s="11"/>
      <c r="K4280" s="6"/>
      <c r="L4280" s="13"/>
    </row>
    <row r="4281" spans="1:12" hidden="1" x14ac:dyDescent="0.25">
      <c r="A4281" s="6"/>
      <c r="B4281" s="6"/>
      <c r="C4281" s="11"/>
      <c r="D4281" s="13"/>
      <c r="E4281" s="13"/>
      <c r="F4281" s="13"/>
      <c r="G4281" s="13"/>
      <c r="H4281" s="13"/>
      <c r="I4281" s="10"/>
      <c r="J4281" s="11"/>
      <c r="K4281" s="6"/>
      <c r="L4281" s="13"/>
    </row>
    <row r="4282" spans="1:12" hidden="1" x14ac:dyDescent="0.25">
      <c r="A4282" s="6"/>
      <c r="B4282" s="6"/>
      <c r="C4282" s="11"/>
      <c r="D4282" s="13"/>
      <c r="E4282" s="13"/>
      <c r="F4282" s="13"/>
      <c r="G4282" s="13"/>
      <c r="H4282" s="13"/>
      <c r="I4282" s="10"/>
      <c r="J4282" s="11"/>
      <c r="K4282" s="6"/>
      <c r="L4282" s="13"/>
    </row>
    <row r="4283" spans="1:12" hidden="1" x14ac:dyDescent="0.25">
      <c r="A4283" s="6"/>
      <c r="B4283" s="6"/>
      <c r="C4283" s="11"/>
      <c r="D4283" s="13"/>
      <c r="E4283" s="13"/>
      <c r="F4283" s="13"/>
      <c r="G4283" s="13"/>
      <c r="H4283" s="13"/>
      <c r="I4283" s="10"/>
      <c r="J4283" s="11"/>
      <c r="K4283" s="6"/>
      <c r="L4283" s="13"/>
    </row>
    <row r="4284" spans="1:12" hidden="1" x14ac:dyDescent="0.25">
      <c r="A4284" s="6"/>
      <c r="B4284" s="6"/>
      <c r="C4284" s="11"/>
      <c r="D4284" s="13"/>
      <c r="E4284" s="13"/>
      <c r="F4284" s="13"/>
      <c r="G4284" s="13"/>
      <c r="H4284" s="13"/>
      <c r="I4284" s="10"/>
      <c r="J4284" s="11"/>
      <c r="K4284" s="6"/>
      <c r="L4284" s="13"/>
    </row>
    <row r="4285" spans="1:12" hidden="1" x14ac:dyDescent="0.25">
      <c r="A4285" s="6"/>
      <c r="B4285" s="6"/>
      <c r="C4285" s="11"/>
      <c r="D4285" s="13"/>
      <c r="E4285" s="13"/>
      <c r="F4285" s="13"/>
      <c r="G4285" s="13"/>
      <c r="H4285" s="13"/>
      <c r="I4285" s="10"/>
      <c r="J4285" s="11"/>
      <c r="K4285" s="6"/>
      <c r="L4285" s="13"/>
    </row>
    <row r="4286" spans="1:12" hidden="1" x14ac:dyDescent="0.25">
      <c r="A4286" s="6"/>
      <c r="B4286" s="6"/>
      <c r="C4286" s="11"/>
      <c r="D4286" s="13"/>
      <c r="E4286" s="13"/>
      <c r="F4286" s="13"/>
      <c r="G4286" s="13"/>
      <c r="H4286" s="13"/>
      <c r="I4286" s="10"/>
      <c r="J4286" s="11"/>
      <c r="K4286" s="6"/>
      <c r="L4286" s="13"/>
    </row>
    <row r="4287" spans="1:12" hidden="1" x14ac:dyDescent="0.25">
      <c r="A4287" s="6"/>
      <c r="B4287" s="6"/>
      <c r="C4287" s="11"/>
      <c r="D4287" s="13"/>
      <c r="E4287" s="13"/>
      <c r="F4287" s="13"/>
      <c r="G4287" s="13"/>
      <c r="H4287" s="13"/>
      <c r="I4287" s="10"/>
      <c r="J4287" s="11"/>
      <c r="K4287" s="6"/>
      <c r="L4287" s="13"/>
    </row>
    <row r="4288" spans="1:12" hidden="1" x14ac:dyDescent="0.25">
      <c r="A4288" s="6"/>
      <c r="B4288" s="6"/>
      <c r="C4288" s="11"/>
      <c r="D4288" s="13"/>
      <c r="E4288" s="13"/>
      <c r="F4288" s="13"/>
      <c r="G4288" s="13"/>
      <c r="H4288" s="13"/>
      <c r="I4288" s="10"/>
      <c r="J4288" s="11"/>
      <c r="K4288" s="6"/>
      <c r="L4288" s="13"/>
    </row>
    <row r="4289" spans="1:12" hidden="1" x14ac:dyDescent="0.25">
      <c r="A4289" s="6"/>
      <c r="B4289" s="6"/>
      <c r="C4289" s="11"/>
      <c r="D4289" s="13"/>
      <c r="E4289" s="13"/>
      <c r="F4289" s="13"/>
      <c r="G4289" s="13"/>
      <c r="H4289" s="13"/>
      <c r="I4289" s="10"/>
      <c r="J4289" s="11"/>
      <c r="K4289" s="6"/>
      <c r="L4289" s="13"/>
    </row>
    <row r="4290" spans="1:12" hidden="1" x14ac:dyDescent="0.25">
      <c r="A4290" s="6"/>
      <c r="B4290" s="6"/>
      <c r="C4290" s="11"/>
      <c r="D4290" s="13"/>
      <c r="E4290" s="13"/>
      <c r="F4290" s="13"/>
      <c r="G4290" s="13"/>
      <c r="H4290" s="13"/>
      <c r="I4290" s="10"/>
      <c r="J4290" s="11"/>
      <c r="K4290" s="6"/>
      <c r="L4290" s="13"/>
    </row>
    <row r="4291" spans="1:12" hidden="1" x14ac:dyDescent="0.25">
      <c r="A4291" s="6"/>
      <c r="B4291" s="6"/>
      <c r="C4291" s="11"/>
      <c r="D4291" s="13"/>
      <c r="E4291" s="13"/>
      <c r="F4291" s="13"/>
      <c r="G4291" s="13"/>
      <c r="H4291" s="13"/>
      <c r="I4291" s="10"/>
      <c r="J4291" s="11"/>
      <c r="K4291" s="6"/>
      <c r="L4291" s="13"/>
    </row>
    <row r="4292" spans="1:12" hidden="1" x14ac:dyDescent="0.25">
      <c r="A4292" s="6"/>
      <c r="B4292" s="6"/>
      <c r="C4292" s="11"/>
      <c r="D4292" s="13"/>
      <c r="E4292" s="13"/>
      <c r="F4292" s="13"/>
      <c r="G4292" s="13"/>
      <c r="H4292" s="13"/>
      <c r="I4292" s="10"/>
      <c r="J4292" s="11"/>
      <c r="K4292" s="6"/>
      <c r="L4292" s="13"/>
    </row>
    <row r="4293" spans="1:12" hidden="1" x14ac:dyDescent="0.25">
      <c r="A4293" s="6"/>
      <c r="B4293" s="6"/>
      <c r="C4293" s="11"/>
      <c r="D4293" s="13"/>
      <c r="E4293" s="13"/>
      <c r="F4293" s="13"/>
      <c r="G4293" s="13"/>
      <c r="H4293" s="13"/>
      <c r="I4293" s="10"/>
      <c r="J4293" s="11"/>
      <c r="K4293" s="6"/>
      <c r="L4293" s="13"/>
    </row>
    <row r="4294" spans="1:12" hidden="1" x14ac:dyDescent="0.25">
      <c r="A4294" s="6"/>
      <c r="B4294" s="6"/>
      <c r="C4294" s="11"/>
      <c r="D4294" s="13"/>
      <c r="E4294" s="13"/>
      <c r="F4294" s="13"/>
      <c r="G4294" s="13"/>
      <c r="H4294" s="13"/>
      <c r="I4294" s="10"/>
      <c r="J4294" s="11"/>
      <c r="K4294" s="6"/>
      <c r="L4294" s="13"/>
    </row>
    <row r="4295" spans="1:12" hidden="1" x14ac:dyDescent="0.25">
      <c r="A4295" s="6"/>
      <c r="B4295" s="6"/>
      <c r="C4295" s="11"/>
      <c r="D4295" s="13"/>
      <c r="E4295" s="13"/>
      <c r="F4295" s="13"/>
      <c r="G4295" s="13"/>
      <c r="H4295" s="13"/>
      <c r="I4295" s="10"/>
      <c r="J4295" s="11"/>
      <c r="K4295" s="6"/>
      <c r="L4295" s="13"/>
    </row>
    <row r="4296" spans="1:12" hidden="1" x14ac:dyDescent="0.25">
      <c r="A4296" s="6"/>
      <c r="B4296" s="6"/>
      <c r="C4296" s="11"/>
      <c r="D4296" s="13"/>
      <c r="E4296" s="13"/>
      <c r="F4296" s="13"/>
      <c r="G4296" s="13"/>
      <c r="H4296" s="13"/>
      <c r="I4296" s="10"/>
      <c r="J4296" s="11"/>
      <c r="K4296" s="6"/>
      <c r="L4296" s="13"/>
    </row>
    <row r="4297" spans="1:12" hidden="1" x14ac:dyDescent="0.25">
      <c r="A4297" s="6"/>
      <c r="B4297" s="6"/>
      <c r="C4297" s="11"/>
      <c r="D4297" s="13"/>
      <c r="E4297" s="13"/>
      <c r="F4297" s="13"/>
      <c r="G4297" s="13"/>
      <c r="H4297" s="13"/>
      <c r="I4297" s="10"/>
      <c r="J4297" s="11"/>
      <c r="K4297" s="6"/>
      <c r="L4297" s="13"/>
    </row>
    <row r="4298" spans="1:12" hidden="1" x14ac:dyDescent="0.25">
      <c r="A4298" s="6"/>
      <c r="B4298" s="6"/>
      <c r="C4298" s="11"/>
      <c r="D4298" s="13"/>
      <c r="E4298" s="13"/>
      <c r="F4298" s="13"/>
      <c r="G4298" s="13"/>
      <c r="H4298" s="13"/>
      <c r="I4298" s="10"/>
      <c r="J4298" s="11"/>
      <c r="K4298" s="6"/>
      <c r="L4298" s="13"/>
    </row>
    <row r="4299" spans="1:12" hidden="1" x14ac:dyDescent="0.25">
      <c r="A4299" s="6"/>
      <c r="B4299" s="6"/>
      <c r="C4299" s="11"/>
      <c r="D4299" s="13"/>
      <c r="E4299" s="13"/>
      <c r="F4299" s="13"/>
      <c r="G4299" s="13"/>
      <c r="H4299" s="13"/>
      <c r="I4299" s="10"/>
      <c r="J4299" s="11"/>
      <c r="K4299" s="6"/>
      <c r="L4299" s="13"/>
    </row>
    <row r="4300" spans="1:12" hidden="1" x14ac:dyDescent="0.25">
      <c r="A4300" s="6"/>
      <c r="B4300" s="6"/>
      <c r="C4300" s="11"/>
      <c r="D4300" s="13"/>
      <c r="E4300" s="13"/>
      <c r="F4300" s="13"/>
      <c r="G4300" s="13"/>
      <c r="H4300" s="13"/>
      <c r="I4300" s="10"/>
      <c r="J4300" s="11"/>
      <c r="K4300" s="6"/>
      <c r="L4300" s="13"/>
    </row>
    <row r="4301" spans="1:12" hidden="1" x14ac:dyDescent="0.25">
      <c r="A4301" s="6"/>
      <c r="B4301" s="6"/>
      <c r="C4301" s="11"/>
      <c r="D4301" s="13"/>
      <c r="E4301" s="13"/>
      <c r="F4301" s="13"/>
      <c r="G4301" s="13"/>
      <c r="H4301" s="13"/>
      <c r="I4301" s="10"/>
      <c r="J4301" s="11"/>
      <c r="K4301" s="6"/>
      <c r="L4301" s="13"/>
    </row>
    <row r="4302" spans="1:12" hidden="1" x14ac:dyDescent="0.25">
      <c r="A4302" s="6"/>
      <c r="B4302" s="6"/>
      <c r="C4302" s="11"/>
      <c r="D4302" s="13"/>
      <c r="E4302" s="13"/>
      <c r="F4302" s="13"/>
      <c r="G4302" s="13"/>
      <c r="H4302" s="13"/>
      <c r="I4302" s="10"/>
      <c r="J4302" s="11"/>
      <c r="K4302" s="6"/>
      <c r="L4302" s="13"/>
    </row>
    <row r="4303" spans="1:12" hidden="1" x14ac:dyDescent="0.25">
      <c r="A4303" s="6"/>
      <c r="B4303" s="6"/>
      <c r="C4303" s="11"/>
      <c r="D4303" s="13"/>
      <c r="E4303" s="13"/>
      <c r="F4303" s="13"/>
      <c r="G4303" s="13"/>
      <c r="H4303" s="13"/>
      <c r="I4303" s="10"/>
      <c r="J4303" s="11"/>
      <c r="K4303" s="6"/>
      <c r="L4303" s="13"/>
    </row>
    <row r="4304" spans="1:12" hidden="1" x14ac:dyDescent="0.25">
      <c r="A4304" s="6"/>
      <c r="B4304" s="6"/>
      <c r="C4304" s="11"/>
      <c r="D4304" s="13"/>
      <c r="E4304" s="13"/>
      <c r="F4304" s="13"/>
      <c r="G4304" s="13"/>
      <c r="H4304" s="13"/>
      <c r="I4304" s="10"/>
      <c r="J4304" s="11"/>
      <c r="K4304" s="6"/>
      <c r="L4304" s="13"/>
    </row>
    <row r="4305" spans="1:12" hidden="1" x14ac:dyDescent="0.25">
      <c r="A4305" s="6"/>
      <c r="B4305" s="6"/>
      <c r="C4305" s="11"/>
      <c r="D4305" s="13"/>
      <c r="E4305" s="13"/>
      <c r="F4305" s="13"/>
      <c r="G4305" s="13"/>
      <c r="H4305" s="13"/>
      <c r="I4305" s="10"/>
      <c r="J4305" s="11"/>
      <c r="K4305" s="6"/>
      <c r="L4305" s="13"/>
    </row>
    <row r="4306" spans="1:12" hidden="1" x14ac:dyDescent="0.25">
      <c r="A4306" s="6"/>
      <c r="B4306" s="6"/>
      <c r="C4306" s="11"/>
      <c r="D4306" s="13"/>
      <c r="E4306" s="13"/>
      <c r="F4306" s="13"/>
      <c r="G4306" s="13"/>
      <c r="H4306" s="13"/>
      <c r="I4306" s="10"/>
      <c r="J4306" s="11"/>
      <c r="K4306" s="6"/>
      <c r="L4306" s="13"/>
    </row>
    <row r="4307" spans="1:12" hidden="1" x14ac:dyDescent="0.25">
      <c r="A4307" s="6"/>
      <c r="B4307" s="6"/>
      <c r="C4307" s="11"/>
      <c r="D4307" s="13"/>
      <c r="E4307" s="13"/>
      <c r="F4307" s="13"/>
      <c r="G4307" s="13"/>
      <c r="H4307" s="13"/>
      <c r="I4307" s="10"/>
      <c r="J4307" s="11"/>
      <c r="K4307" s="6"/>
      <c r="L4307" s="13"/>
    </row>
    <row r="4308" spans="1:12" hidden="1" x14ac:dyDescent="0.25">
      <c r="A4308" s="6"/>
      <c r="B4308" s="6"/>
      <c r="C4308" s="11"/>
      <c r="D4308" s="13"/>
      <c r="E4308" s="13"/>
      <c r="F4308" s="13"/>
      <c r="G4308" s="13"/>
      <c r="H4308" s="13"/>
      <c r="I4308" s="10"/>
      <c r="J4308" s="11"/>
      <c r="K4308" s="6"/>
      <c r="L4308" s="13"/>
    </row>
    <row r="4309" spans="1:12" hidden="1" x14ac:dyDescent="0.25">
      <c r="A4309" s="6"/>
      <c r="B4309" s="6"/>
      <c r="C4309" s="11"/>
      <c r="D4309" s="13"/>
      <c r="E4309" s="13"/>
      <c r="F4309" s="13"/>
      <c r="G4309" s="13"/>
      <c r="H4309" s="13"/>
      <c r="I4309" s="10"/>
      <c r="J4309" s="11"/>
      <c r="K4309" s="6"/>
      <c r="L4309" s="13"/>
    </row>
    <row r="4310" spans="1:12" hidden="1" x14ac:dyDescent="0.25">
      <c r="A4310" s="6"/>
      <c r="B4310" s="6"/>
      <c r="C4310" s="11"/>
      <c r="D4310" s="13"/>
      <c r="E4310" s="13"/>
      <c r="F4310" s="13"/>
      <c r="G4310" s="13"/>
      <c r="H4310" s="13"/>
      <c r="I4310" s="10"/>
      <c r="J4310" s="11"/>
      <c r="K4310" s="6"/>
      <c r="L4310" s="13"/>
    </row>
    <row r="4311" spans="1:12" hidden="1" x14ac:dyDescent="0.25">
      <c r="A4311" s="6"/>
      <c r="B4311" s="6"/>
      <c r="C4311" s="11"/>
      <c r="D4311" s="13"/>
      <c r="E4311" s="13"/>
      <c r="F4311" s="13"/>
      <c r="G4311" s="13"/>
      <c r="H4311" s="13"/>
      <c r="I4311" s="10"/>
      <c r="J4311" s="11"/>
      <c r="K4311" s="6"/>
      <c r="L4311" s="13"/>
    </row>
    <row r="4312" spans="1:12" hidden="1" x14ac:dyDescent="0.25">
      <c r="A4312" s="6"/>
      <c r="B4312" s="6"/>
      <c r="C4312" s="11"/>
      <c r="D4312" s="13"/>
      <c r="E4312" s="13"/>
      <c r="F4312" s="13"/>
      <c r="G4312" s="13"/>
      <c r="H4312" s="13"/>
      <c r="I4312" s="10"/>
      <c r="J4312" s="11"/>
      <c r="K4312" s="6"/>
      <c r="L4312" s="13"/>
    </row>
    <row r="4313" spans="1:12" hidden="1" x14ac:dyDescent="0.25">
      <c r="A4313" s="6"/>
      <c r="B4313" s="6"/>
      <c r="C4313" s="11"/>
      <c r="D4313" s="13"/>
      <c r="E4313" s="13"/>
      <c r="F4313" s="13"/>
      <c r="G4313" s="13"/>
      <c r="H4313" s="13"/>
      <c r="I4313" s="10"/>
      <c r="J4313" s="11"/>
      <c r="K4313" s="6"/>
      <c r="L4313" s="13"/>
    </row>
    <row r="4314" spans="1:12" hidden="1" x14ac:dyDescent="0.25">
      <c r="A4314" s="6"/>
      <c r="B4314" s="6"/>
      <c r="C4314" s="11"/>
      <c r="D4314" s="13"/>
      <c r="E4314" s="13"/>
      <c r="F4314" s="13"/>
      <c r="G4314" s="13"/>
      <c r="H4314" s="13"/>
      <c r="I4314" s="10"/>
      <c r="J4314" s="11"/>
      <c r="K4314" s="6"/>
      <c r="L4314" s="13"/>
    </row>
    <row r="4315" spans="1:12" hidden="1" x14ac:dyDescent="0.25">
      <c r="A4315" s="6"/>
      <c r="B4315" s="6"/>
      <c r="C4315" s="11"/>
      <c r="D4315" s="13"/>
      <c r="E4315" s="13"/>
      <c r="F4315" s="13"/>
      <c r="G4315" s="13"/>
      <c r="H4315" s="13"/>
      <c r="I4315" s="10"/>
      <c r="J4315" s="11"/>
      <c r="K4315" s="6"/>
      <c r="L4315" s="13"/>
    </row>
    <row r="4316" spans="1:12" hidden="1" x14ac:dyDescent="0.25">
      <c r="A4316" s="6"/>
      <c r="B4316" s="6"/>
      <c r="C4316" s="11"/>
      <c r="D4316" s="13"/>
      <c r="E4316" s="13"/>
      <c r="F4316" s="13"/>
      <c r="G4316" s="13"/>
      <c r="H4316" s="13"/>
      <c r="I4316" s="10"/>
      <c r="J4316" s="11"/>
      <c r="K4316" s="6"/>
      <c r="L4316" s="13"/>
    </row>
    <row r="4317" spans="1:12" hidden="1" x14ac:dyDescent="0.25">
      <c r="A4317" s="6"/>
      <c r="B4317" s="6"/>
      <c r="C4317" s="11"/>
      <c r="D4317" s="13"/>
      <c r="E4317" s="13"/>
      <c r="F4317" s="13"/>
      <c r="G4317" s="13"/>
      <c r="H4317" s="13"/>
      <c r="I4317" s="10"/>
      <c r="J4317" s="11"/>
      <c r="K4317" s="6"/>
      <c r="L4317" s="13"/>
    </row>
    <row r="4318" spans="1:12" hidden="1" x14ac:dyDescent="0.25">
      <c r="A4318" s="6"/>
      <c r="B4318" s="6"/>
      <c r="C4318" s="11"/>
      <c r="D4318" s="13"/>
      <c r="E4318" s="13"/>
      <c r="F4318" s="13"/>
      <c r="G4318" s="13"/>
      <c r="H4318" s="13"/>
      <c r="I4318" s="10"/>
      <c r="J4318" s="11"/>
      <c r="K4318" s="6"/>
      <c r="L4318" s="13"/>
    </row>
    <row r="4319" spans="1:12" hidden="1" x14ac:dyDescent="0.25">
      <c r="A4319" s="6"/>
      <c r="B4319" s="6"/>
      <c r="C4319" s="11"/>
      <c r="D4319" s="13"/>
      <c r="E4319" s="13"/>
      <c r="F4319" s="13"/>
      <c r="G4319" s="13"/>
      <c r="H4319" s="13"/>
      <c r="I4319" s="10"/>
      <c r="J4319" s="11"/>
      <c r="K4319" s="6"/>
      <c r="L4319" s="13"/>
    </row>
    <row r="4320" spans="1:12" hidden="1" x14ac:dyDescent="0.25">
      <c r="A4320" s="6"/>
      <c r="B4320" s="6"/>
      <c r="C4320" s="11"/>
      <c r="D4320" s="13"/>
      <c r="E4320" s="13"/>
      <c r="F4320" s="13"/>
      <c r="G4320" s="13"/>
      <c r="H4320" s="13"/>
      <c r="I4320" s="10"/>
      <c r="J4320" s="11"/>
      <c r="K4320" s="6"/>
      <c r="L4320" s="13"/>
    </row>
    <row r="4321" spans="1:12" hidden="1" x14ac:dyDescent="0.25">
      <c r="A4321" s="6"/>
      <c r="B4321" s="6"/>
      <c r="C4321" s="11"/>
      <c r="D4321" s="13"/>
      <c r="E4321" s="13"/>
      <c r="F4321" s="13"/>
      <c r="G4321" s="13"/>
      <c r="H4321" s="13"/>
      <c r="I4321" s="10"/>
      <c r="J4321" s="11"/>
      <c r="K4321" s="6"/>
      <c r="L4321" s="13"/>
    </row>
    <row r="4322" spans="1:12" hidden="1" x14ac:dyDescent="0.25">
      <c r="A4322" s="6"/>
      <c r="B4322" s="6"/>
      <c r="C4322" s="11"/>
      <c r="D4322" s="13"/>
      <c r="E4322" s="13"/>
      <c r="F4322" s="13"/>
      <c r="G4322" s="13"/>
      <c r="H4322" s="13"/>
      <c r="I4322" s="10"/>
      <c r="J4322" s="11"/>
      <c r="K4322" s="6"/>
      <c r="L4322" s="13"/>
    </row>
    <row r="4323" spans="1:12" hidden="1" x14ac:dyDescent="0.25">
      <c r="A4323" s="6"/>
      <c r="B4323" s="6"/>
      <c r="C4323" s="11"/>
      <c r="D4323" s="13"/>
      <c r="E4323" s="13"/>
      <c r="F4323" s="13"/>
      <c r="G4323" s="13"/>
      <c r="H4323" s="13"/>
      <c r="I4323" s="10"/>
      <c r="J4323" s="11"/>
      <c r="K4323" s="6"/>
      <c r="L4323" s="13"/>
    </row>
    <row r="4324" spans="1:12" hidden="1" x14ac:dyDescent="0.25">
      <c r="A4324" s="6"/>
      <c r="B4324" s="6"/>
      <c r="C4324" s="11"/>
      <c r="D4324" s="13"/>
      <c r="E4324" s="13"/>
      <c r="F4324" s="13"/>
      <c r="G4324" s="13"/>
      <c r="H4324" s="13"/>
      <c r="I4324" s="10"/>
      <c r="J4324" s="11"/>
      <c r="K4324" s="6"/>
      <c r="L4324" s="13"/>
    </row>
    <row r="4325" spans="1:12" hidden="1" x14ac:dyDescent="0.25">
      <c r="A4325" s="6"/>
      <c r="B4325" s="6"/>
      <c r="C4325" s="11"/>
      <c r="D4325" s="13"/>
      <c r="E4325" s="13"/>
      <c r="F4325" s="13"/>
      <c r="G4325" s="13"/>
      <c r="H4325" s="13"/>
      <c r="I4325" s="10"/>
      <c r="J4325" s="11"/>
      <c r="K4325" s="6"/>
      <c r="L4325" s="13"/>
    </row>
    <row r="4326" spans="1:12" hidden="1" x14ac:dyDescent="0.25">
      <c r="A4326" s="6"/>
      <c r="B4326" s="6"/>
      <c r="C4326" s="11"/>
      <c r="D4326" s="13"/>
      <c r="E4326" s="13"/>
      <c r="F4326" s="13"/>
      <c r="G4326" s="13"/>
      <c r="H4326" s="89"/>
      <c r="I4326" s="10"/>
      <c r="J4326" s="11"/>
      <c r="K4326" s="6"/>
      <c r="L4326" s="13"/>
    </row>
    <row r="4327" spans="1:12" hidden="1" x14ac:dyDescent="0.25">
      <c r="A4327" s="6"/>
      <c r="B4327" s="6"/>
      <c r="C4327" s="11"/>
      <c r="D4327" s="13"/>
      <c r="E4327" s="13"/>
      <c r="F4327" s="13"/>
      <c r="G4327" s="13"/>
      <c r="H4327" s="89"/>
      <c r="I4327" s="10"/>
      <c r="J4327" s="11"/>
      <c r="K4327" s="6"/>
      <c r="L4327" s="13"/>
    </row>
    <row r="4328" spans="1:12" hidden="1" x14ac:dyDescent="0.25">
      <c r="A4328" s="6"/>
      <c r="B4328" s="6"/>
      <c r="C4328" s="11"/>
      <c r="D4328" s="13"/>
      <c r="E4328" s="13"/>
      <c r="F4328" s="13"/>
      <c r="G4328" s="13"/>
      <c r="H4328" s="89"/>
      <c r="I4328" s="10"/>
      <c r="J4328" s="11"/>
      <c r="K4328" s="6"/>
      <c r="L4328" s="13"/>
    </row>
    <row r="4329" spans="1:12" hidden="1" x14ac:dyDescent="0.25">
      <c r="A4329" s="6"/>
      <c r="B4329" s="6"/>
      <c r="C4329" s="11"/>
      <c r="D4329" s="13"/>
      <c r="E4329" s="13"/>
      <c r="F4329" s="13"/>
      <c r="G4329" s="13"/>
      <c r="H4329" s="89"/>
      <c r="I4329" s="10"/>
      <c r="J4329" s="11"/>
      <c r="K4329" s="6"/>
      <c r="L4329" s="13"/>
    </row>
    <row r="4330" spans="1:12" hidden="1" x14ac:dyDescent="0.25">
      <c r="A4330" s="6"/>
      <c r="B4330" s="6"/>
      <c r="C4330" s="11"/>
      <c r="D4330" s="13"/>
      <c r="E4330" s="13"/>
      <c r="F4330" s="13"/>
      <c r="G4330" s="13"/>
      <c r="H4330" s="89"/>
      <c r="I4330" s="10"/>
      <c r="J4330" s="11"/>
      <c r="K4330" s="6"/>
      <c r="L4330" s="13"/>
    </row>
    <row r="4331" spans="1:12" hidden="1" x14ac:dyDescent="0.25">
      <c r="A4331" s="6"/>
      <c r="B4331" s="6"/>
      <c r="C4331" s="11"/>
      <c r="D4331" s="13"/>
      <c r="E4331" s="13"/>
      <c r="F4331" s="13"/>
      <c r="G4331" s="13"/>
      <c r="H4331" s="89"/>
      <c r="I4331" s="10"/>
      <c r="J4331" s="11"/>
      <c r="K4331" s="6"/>
      <c r="L4331" s="13"/>
    </row>
    <row r="4332" spans="1:12" hidden="1" x14ac:dyDescent="0.25">
      <c r="A4332" s="6"/>
      <c r="B4332" s="6"/>
      <c r="C4332" s="11"/>
      <c r="D4332" s="13"/>
      <c r="E4332" s="13"/>
      <c r="F4332" s="13"/>
      <c r="G4332" s="13"/>
      <c r="H4332" s="89"/>
      <c r="I4332" s="10"/>
      <c r="J4332" s="11"/>
      <c r="K4332" s="6"/>
      <c r="L4332" s="13"/>
    </row>
    <row r="4333" spans="1:12" hidden="1" x14ac:dyDescent="0.25">
      <c r="A4333" s="6"/>
      <c r="B4333" s="6"/>
      <c r="C4333" s="11"/>
      <c r="D4333" s="13"/>
      <c r="E4333" s="13"/>
      <c r="F4333" s="13"/>
      <c r="G4333" s="13"/>
      <c r="H4333" s="89"/>
      <c r="I4333" s="10"/>
      <c r="J4333" s="11"/>
      <c r="K4333" s="6"/>
      <c r="L4333" s="13"/>
    </row>
    <row r="4334" spans="1:12" hidden="1" x14ac:dyDescent="0.25">
      <c r="A4334" s="6"/>
      <c r="B4334" s="6"/>
      <c r="C4334" s="11"/>
      <c r="D4334" s="13"/>
      <c r="E4334" s="13"/>
      <c r="F4334" s="13"/>
      <c r="G4334" s="13"/>
      <c r="H4334" s="89"/>
      <c r="I4334" s="10"/>
      <c r="J4334" s="11"/>
      <c r="K4334" s="6"/>
      <c r="L4334" s="13"/>
    </row>
    <row r="4335" spans="1:12" hidden="1" x14ac:dyDescent="0.25">
      <c r="A4335" s="6"/>
      <c r="B4335" s="6"/>
      <c r="C4335" s="11"/>
      <c r="D4335" s="13"/>
      <c r="E4335" s="13"/>
      <c r="F4335" s="13"/>
      <c r="G4335" s="13"/>
      <c r="H4335" s="89"/>
      <c r="I4335" s="10"/>
      <c r="J4335" s="11"/>
      <c r="K4335" s="6"/>
      <c r="L4335" s="13"/>
    </row>
    <row r="4336" spans="1:12" hidden="1" x14ac:dyDescent="0.25">
      <c r="A4336" s="6"/>
      <c r="B4336" s="6"/>
      <c r="C4336" s="11"/>
      <c r="D4336" s="13"/>
      <c r="E4336" s="13"/>
      <c r="F4336" s="13"/>
      <c r="G4336" s="13"/>
      <c r="H4336" s="89"/>
      <c r="I4336" s="10"/>
      <c r="J4336" s="11"/>
      <c r="K4336" s="6"/>
      <c r="L4336" s="13"/>
    </row>
    <row r="4337" spans="1:12" hidden="1" x14ac:dyDescent="0.25">
      <c r="A4337" s="6"/>
      <c r="B4337" s="6"/>
      <c r="C4337" s="11"/>
      <c r="D4337" s="13"/>
      <c r="E4337" s="13"/>
      <c r="F4337" s="13"/>
      <c r="G4337" s="13"/>
      <c r="H4337" s="89"/>
      <c r="I4337" s="10"/>
      <c r="J4337" s="11"/>
      <c r="K4337" s="6"/>
      <c r="L4337" s="13"/>
    </row>
    <row r="4338" spans="1:12" hidden="1" x14ac:dyDescent="0.25">
      <c r="A4338" s="6"/>
      <c r="B4338" s="6"/>
      <c r="C4338" s="11"/>
      <c r="D4338" s="13"/>
      <c r="E4338" s="13"/>
      <c r="F4338" s="13"/>
      <c r="G4338" s="13"/>
      <c r="H4338" s="89"/>
      <c r="I4338" s="10"/>
      <c r="J4338" s="11"/>
      <c r="K4338" s="6"/>
      <c r="L4338" s="13"/>
    </row>
    <row r="4339" spans="1:12" hidden="1" x14ac:dyDescent="0.25">
      <c r="A4339" s="6"/>
      <c r="B4339" s="6"/>
      <c r="C4339" s="11"/>
      <c r="D4339" s="13"/>
      <c r="E4339" s="13"/>
      <c r="F4339" s="13"/>
      <c r="G4339" s="13"/>
      <c r="H4339" s="89"/>
      <c r="I4339" s="10"/>
      <c r="J4339" s="11"/>
      <c r="K4339" s="6"/>
      <c r="L4339" s="13"/>
    </row>
    <row r="4340" spans="1:12" hidden="1" x14ac:dyDescent="0.25">
      <c r="A4340" s="6"/>
      <c r="B4340" s="6"/>
      <c r="C4340" s="11"/>
      <c r="D4340" s="13"/>
      <c r="E4340" s="13"/>
      <c r="F4340" s="13"/>
      <c r="G4340" s="13"/>
      <c r="H4340" s="89"/>
      <c r="I4340" s="10"/>
      <c r="J4340" s="11"/>
      <c r="K4340" s="6"/>
      <c r="L4340" s="13"/>
    </row>
    <row r="4341" spans="1:12" hidden="1" x14ac:dyDescent="0.25">
      <c r="A4341" s="6"/>
      <c r="B4341" s="6"/>
      <c r="C4341" s="11"/>
      <c r="D4341" s="13"/>
      <c r="E4341" s="13"/>
      <c r="F4341" s="13"/>
      <c r="G4341" s="13"/>
      <c r="H4341" s="89"/>
      <c r="I4341" s="10"/>
      <c r="J4341" s="11"/>
      <c r="K4341" s="6"/>
      <c r="L4341" s="13"/>
    </row>
    <row r="4342" spans="1:12" hidden="1" x14ac:dyDescent="0.25">
      <c r="A4342" s="6"/>
      <c r="B4342" s="6"/>
      <c r="C4342" s="11"/>
      <c r="D4342" s="13"/>
      <c r="E4342" s="13"/>
      <c r="F4342" s="13"/>
      <c r="G4342" s="13"/>
      <c r="H4342" s="89"/>
      <c r="I4342" s="10"/>
      <c r="J4342" s="11"/>
      <c r="K4342" s="6"/>
      <c r="L4342" s="13"/>
    </row>
    <row r="4343" spans="1:12" hidden="1" x14ac:dyDescent="0.25">
      <c r="A4343" s="6"/>
      <c r="B4343" s="6"/>
      <c r="C4343" s="11"/>
      <c r="D4343" s="13"/>
      <c r="E4343" s="13"/>
      <c r="F4343" s="13"/>
      <c r="G4343" s="13"/>
      <c r="H4343" s="13"/>
      <c r="I4343" s="10"/>
      <c r="J4343" s="11"/>
      <c r="K4343" s="6"/>
      <c r="L4343" s="13"/>
    </row>
    <row r="4344" spans="1:12" hidden="1" x14ac:dyDescent="0.25">
      <c r="A4344" s="6"/>
      <c r="B4344" s="6"/>
      <c r="C4344" s="11"/>
      <c r="D4344" s="13"/>
      <c r="E4344" s="13"/>
      <c r="F4344" s="13"/>
      <c r="G4344" s="13"/>
      <c r="H4344" s="13"/>
      <c r="I4344" s="10"/>
      <c r="J4344" s="11"/>
      <c r="K4344" s="6"/>
      <c r="L4344" s="13"/>
    </row>
    <row r="4345" spans="1:12" hidden="1" x14ac:dyDescent="0.25">
      <c r="A4345" s="6"/>
      <c r="B4345" s="6"/>
      <c r="C4345" s="11"/>
      <c r="D4345" s="13"/>
      <c r="E4345" s="13"/>
      <c r="F4345" s="13"/>
      <c r="G4345" s="13"/>
      <c r="H4345" s="13"/>
      <c r="I4345" s="10"/>
      <c r="J4345" s="11"/>
      <c r="K4345" s="6"/>
      <c r="L4345" s="13"/>
    </row>
    <row r="4346" spans="1:12" hidden="1" x14ac:dyDescent="0.25">
      <c r="A4346" s="6"/>
      <c r="B4346" s="6"/>
      <c r="C4346" s="11"/>
      <c r="D4346" s="13"/>
      <c r="E4346" s="13"/>
      <c r="F4346" s="13"/>
      <c r="G4346" s="13"/>
      <c r="H4346" s="13"/>
      <c r="I4346" s="10"/>
      <c r="J4346" s="11"/>
      <c r="K4346" s="6"/>
      <c r="L4346" s="13"/>
    </row>
    <row r="4347" spans="1:12" hidden="1" x14ac:dyDescent="0.25">
      <c r="A4347" s="6"/>
      <c r="B4347" s="6"/>
      <c r="C4347" s="11"/>
      <c r="D4347" s="13"/>
      <c r="E4347" s="13"/>
      <c r="F4347" s="13"/>
      <c r="G4347" s="13"/>
      <c r="H4347" s="13"/>
      <c r="I4347" s="10"/>
      <c r="J4347" s="11"/>
      <c r="K4347" s="6"/>
      <c r="L4347" s="13"/>
    </row>
    <row r="4348" spans="1:12" hidden="1" x14ac:dyDescent="0.25">
      <c r="A4348" s="6"/>
      <c r="B4348" s="6"/>
      <c r="C4348" s="11"/>
      <c r="D4348" s="13"/>
      <c r="E4348" s="13"/>
      <c r="F4348" s="13"/>
      <c r="G4348" s="13"/>
      <c r="H4348" s="13"/>
      <c r="I4348" s="10"/>
      <c r="J4348" s="11"/>
      <c r="K4348" s="6"/>
      <c r="L4348" s="13"/>
    </row>
    <row r="4349" spans="1:12" hidden="1" x14ac:dyDescent="0.25">
      <c r="A4349" s="6"/>
      <c r="B4349" s="6"/>
      <c r="C4349" s="11"/>
      <c r="D4349" s="13"/>
      <c r="E4349" s="13"/>
      <c r="F4349" s="13"/>
      <c r="G4349" s="13"/>
      <c r="H4349" s="13"/>
      <c r="I4349" s="10"/>
      <c r="J4349" s="11"/>
      <c r="K4349" s="6"/>
      <c r="L4349" s="13"/>
    </row>
    <row r="4350" spans="1:12" hidden="1" x14ac:dyDescent="0.25">
      <c r="A4350" s="6"/>
      <c r="B4350" s="6"/>
      <c r="C4350" s="11"/>
      <c r="D4350" s="13"/>
      <c r="E4350" s="13"/>
      <c r="F4350" s="13"/>
      <c r="G4350" s="13"/>
      <c r="H4350" s="13"/>
      <c r="I4350" s="10"/>
      <c r="J4350" s="11"/>
      <c r="K4350" s="6"/>
      <c r="L4350" s="13"/>
    </row>
    <row r="4351" spans="1:12" hidden="1" x14ac:dyDescent="0.25">
      <c r="A4351" s="6"/>
      <c r="B4351" s="6"/>
      <c r="C4351" s="11"/>
      <c r="D4351" s="13"/>
      <c r="E4351" s="13"/>
      <c r="F4351" s="13"/>
      <c r="G4351" s="13"/>
      <c r="H4351" s="13"/>
      <c r="I4351" s="10"/>
      <c r="J4351" s="11"/>
      <c r="K4351" s="6"/>
      <c r="L4351" s="13"/>
    </row>
    <row r="4352" spans="1:12" hidden="1" x14ac:dyDescent="0.25">
      <c r="A4352" s="6"/>
      <c r="B4352" s="6"/>
      <c r="C4352" s="11"/>
      <c r="D4352" s="13"/>
      <c r="E4352" s="13"/>
      <c r="F4352" s="13"/>
      <c r="G4352" s="13"/>
      <c r="H4352" s="13"/>
      <c r="I4352" s="10"/>
      <c r="J4352" s="11"/>
      <c r="K4352" s="6"/>
      <c r="L4352" s="13"/>
    </row>
    <row r="4353" spans="1:12" hidden="1" x14ac:dyDescent="0.25">
      <c r="A4353" s="6"/>
      <c r="B4353" s="6"/>
      <c r="C4353" s="11"/>
      <c r="D4353" s="13"/>
      <c r="E4353" s="13"/>
      <c r="F4353" s="13"/>
      <c r="G4353" s="13"/>
      <c r="H4353" s="13"/>
      <c r="I4353" s="10"/>
      <c r="J4353" s="11"/>
      <c r="K4353" s="6"/>
      <c r="L4353" s="13"/>
    </row>
    <row r="4354" spans="1:12" hidden="1" x14ac:dyDescent="0.25">
      <c r="A4354" s="6"/>
      <c r="B4354" s="6"/>
      <c r="C4354" s="11"/>
      <c r="D4354" s="13"/>
      <c r="E4354" s="13"/>
      <c r="F4354" s="13"/>
      <c r="G4354" s="13"/>
      <c r="H4354" s="13"/>
      <c r="I4354" s="10"/>
      <c r="J4354" s="11"/>
      <c r="K4354" s="6"/>
      <c r="L4354" s="13"/>
    </row>
    <row r="4355" spans="1:12" hidden="1" x14ac:dyDescent="0.25">
      <c r="A4355" s="6"/>
      <c r="B4355" s="6"/>
      <c r="C4355" s="11"/>
      <c r="D4355" s="13"/>
      <c r="E4355" s="13"/>
      <c r="F4355" s="13"/>
      <c r="G4355" s="13"/>
      <c r="H4355" s="13"/>
      <c r="I4355" s="10"/>
      <c r="J4355" s="11"/>
      <c r="K4355" s="6"/>
      <c r="L4355" s="13"/>
    </row>
    <row r="4356" spans="1:12" hidden="1" x14ac:dyDescent="0.25">
      <c r="A4356" s="6"/>
      <c r="B4356" s="6"/>
      <c r="C4356" s="11"/>
      <c r="D4356" s="13"/>
      <c r="E4356" s="13"/>
      <c r="F4356" s="13"/>
      <c r="G4356" s="13"/>
      <c r="H4356" s="13"/>
      <c r="I4356" s="10"/>
      <c r="J4356" s="11"/>
      <c r="K4356" s="6"/>
      <c r="L4356" s="13"/>
    </row>
    <row r="4357" spans="1:12" hidden="1" x14ac:dyDescent="0.25">
      <c r="A4357" s="6"/>
      <c r="B4357" s="6"/>
      <c r="C4357" s="11"/>
      <c r="D4357" s="13"/>
      <c r="E4357" s="13"/>
      <c r="F4357" s="13"/>
      <c r="G4357" s="13"/>
      <c r="H4357" s="13"/>
      <c r="I4357" s="10"/>
      <c r="J4357" s="11"/>
      <c r="K4357" s="6"/>
      <c r="L4357" s="13"/>
    </row>
    <row r="4358" spans="1:12" hidden="1" x14ac:dyDescent="0.25">
      <c r="A4358" s="6"/>
      <c r="B4358" s="6"/>
      <c r="C4358" s="11"/>
      <c r="D4358" s="13"/>
      <c r="E4358" s="13"/>
      <c r="F4358" s="13"/>
      <c r="G4358" s="13"/>
      <c r="H4358" s="13"/>
      <c r="I4358" s="10"/>
      <c r="J4358" s="11"/>
      <c r="K4358" s="6"/>
      <c r="L4358" s="13"/>
    </row>
    <row r="4359" spans="1:12" hidden="1" x14ac:dyDescent="0.25">
      <c r="A4359" s="6"/>
      <c r="B4359" s="6"/>
      <c r="C4359" s="11"/>
      <c r="D4359" s="13"/>
      <c r="E4359" s="13"/>
      <c r="F4359" s="13"/>
      <c r="G4359" s="13"/>
      <c r="H4359" s="13"/>
      <c r="I4359" s="10"/>
      <c r="J4359" s="11"/>
      <c r="K4359" s="6"/>
      <c r="L4359" s="13"/>
    </row>
    <row r="4360" spans="1:12" hidden="1" x14ac:dyDescent="0.25">
      <c r="A4360" s="6"/>
      <c r="B4360" s="6"/>
      <c r="C4360" s="11"/>
      <c r="D4360" s="13"/>
      <c r="E4360" s="13"/>
      <c r="F4360" s="13"/>
      <c r="G4360" s="13"/>
      <c r="H4360" s="13"/>
      <c r="I4360" s="10"/>
      <c r="J4360" s="11"/>
      <c r="K4360" s="6"/>
      <c r="L4360" s="13"/>
    </row>
    <row r="4361" spans="1:12" hidden="1" x14ac:dyDescent="0.25">
      <c r="A4361" s="6"/>
      <c r="B4361" s="6"/>
      <c r="C4361" s="11"/>
      <c r="D4361" s="13"/>
      <c r="E4361" s="13"/>
      <c r="F4361" s="13"/>
      <c r="G4361" s="13"/>
      <c r="H4361" s="13"/>
      <c r="I4361" s="10"/>
      <c r="J4361" s="11"/>
      <c r="K4361" s="6"/>
      <c r="L4361" s="13"/>
    </row>
    <row r="4362" spans="1:12" hidden="1" x14ac:dyDescent="0.25">
      <c r="A4362" s="6"/>
      <c r="B4362" s="6"/>
      <c r="C4362" s="11"/>
      <c r="D4362" s="13"/>
      <c r="E4362" s="13"/>
      <c r="F4362" s="13"/>
      <c r="G4362" s="13"/>
      <c r="H4362" s="13"/>
      <c r="I4362" s="10"/>
      <c r="J4362" s="11"/>
      <c r="K4362" s="6"/>
      <c r="L4362" s="13"/>
    </row>
    <row r="4363" spans="1:12" hidden="1" x14ac:dyDescent="0.25">
      <c r="A4363" s="6"/>
      <c r="B4363" s="6"/>
      <c r="C4363" s="11"/>
      <c r="D4363" s="13"/>
      <c r="E4363" s="13"/>
      <c r="F4363" s="13"/>
      <c r="G4363" s="13"/>
      <c r="H4363" s="13"/>
      <c r="I4363" s="10"/>
      <c r="J4363" s="11"/>
      <c r="K4363" s="6"/>
      <c r="L4363" s="13"/>
    </row>
    <row r="4364" spans="1:12" hidden="1" x14ac:dyDescent="0.25">
      <c r="A4364" s="6"/>
      <c r="B4364" s="6"/>
      <c r="C4364" s="11"/>
      <c r="D4364" s="13"/>
      <c r="E4364" s="13"/>
      <c r="F4364" s="13"/>
      <c r="G4364" s="13"/>
      <c r="H4364" s="13"/>
      <c r="I4364" s="10"/>
      <c r="J4364" s="11"/>
      <c r="K4364" s="6"/>
      <c r="L4364" s="13"/>
    </row>
    <row r="4365" spans="1:12" hidden="1" x14ac:dyDescent="0.25">
      <c r="A4365" s="6"/>
      <c r="B4365" s="6"/>
      <c r="C4365" s="11"/>
      <c r="D4365" s="13"/>
      <c r="E4365" s="13"/>
      <c r="F4365" s="13"/>
      <c r="G4365" s="13"/>
      <c r="H4365" s="13"/>
      <c r="I4365" s="10"/>
      <c r="J4365" s="11"/>
      <c r="K4365" s="6"/>
      <c r="L4365" s="13"/>
    </row>
    <row r="4366" spans="1:12" hidden="1" x14ac:dyDescent="0.25">
      <c r="A4366" s="6"/>
      <c r="B4366" s="6"/>
      <c r="C4366" s="11"/>
      <c r="D4366" s="13"/>
      <c r="E4366" s="13"/>
      <c r="F4366" s="13"/>
      <c r="G4366" s="13"/>
      <c r="H4366" s="13"/>
      <c r="I4366" s="10"/>
      <c r="J4366" s="11"/>
      <c r="K4366" s="6"/>
      <c r="L4366" s="13"/>
    </row>
    <row r="4367" spans="1:12" hidden="1" x14ac:dyDescent="0.25">
      <c r="A4367" s="6"/>
      <c r="B4367" s="6"/>
      <c r="C4367" s="11"/>
      <c r="D4367" s="13"/>
      <c r="E4367" s="13"/>
      <c r="F4367" s="13"/>
      <c r="G4367" s="13"/>
      <c r="H4367" s="13"/>
      <c r="I4367" s="10"/>
      <c r="J4367" s="11"/>
      <c r="K4367" s="6"/>
      <c r="L4367" s="13"/>
    </row>
    <row r="4368" spans="1:12" hidden="1" x14ac:dyDescent="0.25">
      <c r="A4368" s="6"/>
      <c r="B4368" s="6"/>
      <c r="C4368" s="11"/>
      <c r="D4368" s="13"/>
      <c r="E4368" s="13"/>
      <c r="F4368" s="13"/>
      <c r="G4368" s="13"/>
      <c r="H4368" s="13"/>
      <c r="I4368" s="10"/>
      <c r="J4368" s="11"/>
      <c r="K4368" s="6"/>
      <c r="L4368" s="13"/>
    </row>
    <row r="4369" spans="1:12" hidden="1" x14ac:dyDescent="0.25">
      <c r="A4369" s="6"/>
      <c r="B4369" s="6"/>
      <c r="C4369" s="11"/>
      <c r="D4369" s="13"/>
      <c r="E4369" s="13"/>
      <c r="F4369" s="13"/>
      <c r="G4369" s="13"/>
      <c r="H4369" s="13"/>
      <c r="I4369" s="10"/>
      <c r="J4369" s="11"/>
      <c r="K4369" s="6"/>
      <c r="L4369" s="13"/>
    </row>
    <row r="4370" spans="1:12" hidden="1" x14ac:dyDescent="0.25">
      <c r="A4370" s="6"/>
      <c r="B4370" s="6"/>
      <c r="C4370" s="11"/>
      <c r="D4370" s="13"/>
      <c r="E4370" s="13"/>
      <c r="F4370" s="13"/>
      <c r="G4370" s="13"/>
      <c r="H4370" s="13"/>
      <c r="I4370" s="10"/>
      <c r="J4370" s="11"/>
      <c r="K4370" s="6"/>
      <c r="L4370" s="13"/>
    </row>
    <row r="4371" spans="1:12" hidden="1" x14ac:dyDescent="0.25">
      <c r="A4371" s="6"/>
      <c r="B4371" s="6"/>
      <c r="C4371" s="11"/>
      <c r="D4371" s="13"/>
      <c r="E4371" s="13"/>
      <c r="F4371" s="13"/>
      <c r="G4371" s="13"/>
      <c r="H4371" s="13"/>
      <c r="I4371" s="10"/>
      <c r="J4371" s="11"/>
      <c r="K4371" s="6"/>
      <c r="L4371" s="13"/>
    </row>
    <row r="4372" spans="1:12" hidden="1" x14ac:dyDescent="0.25">
      <c r="A4372" s="6"/>
      <c r="B4372" s="6"/>
      <c r="C4372" s="11"/>
      <c r="D4372" s="13"/>
      <c r="E4372" s="13"/>
      <c r="F4372" s="13"/>
      <c r="G4372" s="13"/>
      <c r="H4372" s="13"/>
      <c r="I4372" s="10"/>
      <c r="J4372" s="11"/>
      <c r="K4372" s="6"/>
      <c r="L4372" s="13"/>
    </row>
    <row r="4373" spans="1:12" hidden="1" x14ac:dyDescent="0.25">
      <c r="A4373" s="6"/>
      <c r="B4373" s="6"/>
      <c r="C4373" s="11"/>
      <c r="D4373" s="13"/>
      <c r="E4373" s="13"/>
      <c r="F4373" s="13"/>
      <c r="G4373" s="13"/>
      <c r="H4373" s="13"/>
      <c r="I4373" s="10"/>
      <c r="J4373" s="11"/>
      <c r="K4373" s="6"/>
      <c r="L4373" s="13"/>
    </row>
    <row r="4374" spans="1:12" hidden="1" x14ac:dyDescent="0.25">
      <c r="A4374" s="6"/>
      <c r="B4374" s="6"/>
      <c r="C4374" s="11"/>
      <c r="D4374" s="13"/>
      <c r="E4374" s="13"/>
      <c r="F4374" s="13"/>
      <c r="G4374" s="13"/>
      <c r="H4374" s="13"/>
      <c r="I4374" s="10"/>
      <c r="J4374" s="11"/>
      <c r="K4374" s="6"/>
      <c r="L4374" s="13"/>
    </row>
    <row r="4375" spans="1:12" hidden="1" x14ac:dyDescent="0.25">
      <c r="A4375" s="6"/>
      <c r="B4375" s="6"/>
      <c r="C4375" s="11"/>
      <c r="D4375" s="13"/>
      <c r="E4375" s="13"/>
      <c r="F4375" s="13"/>
      <c r="G4375" s="13"/>
      <c r="H4375" s="13"/>
      <c r="I4375" s="10"/>
      <c r="J4375" s="11"/>
      <c r="K4375" s="6"/>
      <c r="L4375" s="13"/>
    </row>
    <row r="4376" spans="1:12" hidden="1" x14ac:dyDescent="0.25">
      <c r="A4376" s="6"/>
      <c r="B4376" s="6"/>
      <c r="C4376" s="11"/>
      <c r="D4376" s="13"/>
      <c r="E4376" s="13"/>
      <c r="F4376" s="13"/>
      <c r="G4376" s="13"/>
      <c r="H4376" s="13"/>
      <c r="I4376" s="10"/>
      <c r="J4376" s="11"/>
      <c r="K4376" s="6"/>
      <c r="L4376" s="13"/>
    </row>
    <row r="4377" spans="1:12" hidden="1" x14ac:dyDescent="0.25">
      <c r="A4377" s="6"/>
      <c r="B4377" s="6"/>
      <c r="C4377" s="11"/>
      <c r="D4377" s="13"/>
      <c r="E4377" s="13"/>
      <c r="F4377" s="13"/>
      <c r="G4377" s="13"/>
      <c r="H4377" s="13"/>
      <c r="I4377" s="10"/>
      <c r="J4377" s="11"/>
      <c r="K4377" s="6"/>
      <c r="L4377" s="13"/>
    </row>
    <row r="4378" spans="1:12" hidden="1" x14ac:dyDescent="0.25">
      <c r="A4378" s="6"/>
      <c r="B4378" s="6"/>
      <c r="C4378" s="11"/>
      <c r="D4378" s="13"/>
      <c r="E4378" s="13"/>
      <c r="F4378" s="13"/>
      <c r="G4378" s="13"/>
      <c r="H4378" s="13"/>
      <c r="I4378" s="10"/>
      <c r="J4378" s="11"/>
      <c r="K4378" s="6"/>
      <c r="L4378" s="13"/>
    </row>
    <row r="4379" spans="1:12" hidden="1" x14ac:dyDescent="0.25">
      <c r="A4379" s="6"/>
      <c r="B4379" s="6"/>
      <c r="C4379" s="11"/>
      <c r="D4379" s="13"/>
      <c r="E4379" s="13"/>
      <c r="F4379" s="13"/>
      <c r="G4379" s="13"/>
      <c r="H4379" s="13"/>
      <c r="I4379" s="10"/>
      <c r="J4379" s="11"/>
      <c r="K4379" s="6"/>
      <c r="L4379" s="13"/>
    </row>
    <row r="4380" spans="1:12" hidden="1" x14ac:dyDescent="0.25">
      <c r="A4380" s="6"/>
      <c r="B4380" s="6"/>
      <c r="C4380" s="11"/>
      <c r="D4380" s="13"/>
      <c r="E4380" s="13"/>
      <c r="F4380" s="13"/>
      <c r="G4380" s="13"/>
      <c r="H4380" s="13"/>
      <c r="I4380" s="10"/>
      <c r="J4380" s="11"/>
      <c r="K4380" s="6"/>
      <c r="L4380" s="13"/>
    </row>
    <row r="4381" spans="1:12" hidden="1" x14ac:dyDescent="0.25">
      <c r="A4381" s="6"/>
      <c r="B4381" s="6"/>
      <c r="C4381" s="11"/>
      <c r="D4381" s="13"/>
      <c r="E4381" s="13"/>
      <c r="F4381" s="13"/>
      <c r="G4381" s="13"/>
      <c r="H4381" s="13"/>
      <c r="I4381" s="10"/>
      <c r="J4381" s="11"/>
      <c r="K4381" s="6"/>
      <c r="L4381" s="13"/>
    </row>
    <row r="4382" spans="1:12" hidden="1" x14ac:dyDescent="0.25">
      <c r="A4382" s="6"/>
      <c r="B4382" s="6"/>
      <c r="C4382" s="11"/>
      <c r="D4382" s="13"/>
      <c r="E4382" s="13"/>
      <c r="F4382" s="13"/>
      <c r="G4382" s="13"/>
      <c r="H4382" s="13"/>
      <c r="I4382" s="10"/>
      <c r="J4382" s="11"/>
      <c r="K4382" s="6"/>
      <c r="L4382" s="13"/>
    </row>
    <row r="4383" spans="1:12" hidden="1" x14ac:dyDescent="0.25">
      <c r="A4383" s="6"/>
      <c r="B4383" s="6"/>
      <c r="C4383" s="11"/>
      <c r="D4383" s="13"/>
      <c r="E4383" s="13"/>
      <c r="F4383" s="13"/>
      <c r="G4383" s="13"/>
      <c r="H4383" s="13"/>
      <c r="I4383" s="10"/>
      <c r="J4383" s="11"/>
      <c r="K4383" s="6"/>
      <c r="L4383" s="13"/>
    </row>
    <row r="4384" spans="1:12" hidden="1" x14ac:dyDescent="0.25">
      <c r="A4384" s="6"/>
      <c r="B4384" s="6"/>
      <c r="C4384" s="11"/>
      <c r="D4384" s="13"/>
      <c r="E4384" s="13"/>
      <c r="F4384" s="13"/>
      <c r="G4384" s="13"/>
      <c r="H4384" s="13"/>
      <c r="I4384" s="10"/>
      <c r="J4384" s="11"/>
      <c r="K4384" s="6"/>
      <c r="L4384" s="13"/>
    </row>
    <row r="4385" spans="1:12" hidden="1" x14ac:dyDescent="0.25">
      <c r="A4385" s="6"/>
      <c r="B4385" s="6"/>
      <c r="C4385" s="11"/>
      <c r="D4385" s="13"/>
      <c r="E4385" s="13"/>
      <c r="F4385" s="13"/>
      <c r="G4385" s="13"/>
      <c r="H4385" s="13"/>
      <c r="I4385" s="10"/>
      <c r="J4385" s="11"/>
      <c r="K4385" s="6"/>
      <c r="L4385" s="13"/>
    </row>
    <row r="4386" spans="1:12" hidden="1" x14ac:dyDescent="0.25">
      <c r="A4386" s="6"/>
      <c r="B4386" s="6"/>
      <c r="C4386" s="11"/>
      <c r="D4386" s="13"/>
      <c r="E4386" s="13"/>
      <c r="F4386" s="13"/>
      <c r="G4386" s="13"/>
      <c r="H4386" s="13"/>
      <c r="I4386" s="10"/>
      <c r="J4386" s="11"/>
      <c r="K4386" s="6"/>
      <c r="L4386" s="13"/>
    </row>
    <row r="4387" spans="1:12" hidden="1" x14ac:dyDescent="0.25">
      <c r="A4387" s="6"/>
      <c r="B4387" s="6"/>
      <c r="C4387" s="11"/>
      <c r="D4387" s="13"/>
      <c r="E4387" s="13"/>
      <c r="F4387" s="13"/>
      <c r="G4387" s="13"/>
      <c r="H4387" s="13"/>
      <c r="I4387" s="10"/>
      <c r="J4387" s="11"/>
      <c r="K4387" s="6"/>
      <c r="L4387" s="13"/>
    </row>
    <row r="4388" spans="1:12" hidden="1" x14ac:dyDescent="0.25">
      <c r="A4388" s="6"/>
      <c r="B4388" s="6"/>
      <c r="C4388" s="11"/>
      <c r="D4388" s="13"/>
      <c r="E4388" s="13"/>
      <c r="F4388" s="13"/>
      <c r="G4388" s="13"/>
      <c r="H4388" s="13"/>
      <c r="I4388" s="10"/>
      <c r="J4388" s="11"/>
      <c r="K4388" s="6"/>
      <c r="L4388" s="13"/>
    </row>
    <row r="4389" spans="1:12" hidden="1" x14ac:dyDescent="0.25">
      <c r="A4389" s="6"/>
      <c r="B4389" s="6"/>
      <c r="C4389" s="11"/>
      <c r="D4389" s="13"/>
      <c r="E4389" s="13"/>
      <c r="F4389" s="13"/>
      <c r="G4389" s="13"/>
      <c r="H4389" s="13"/>
      <c r="I4389" s="10"/>
      <c r="J4389" s="11"/>
      <c r="K4389" s="6"/>
      <c r="L4389" s="13"/>
    </row>
    <row r="4390" spans="1:12" hidden="1" x14ac:dyDescent="0.25">
      <c r="A4390" s="6"/>
      <c r="B4390" s="6"/>
      <c r="C4390" s="11"/>
      <c r="D4390" s="13"/>
      <c r="E4390" s="13"/>
      <c r="F4390" s="13"/>
      <c r="G4390" s="13"/>
      <c r="H4390" s="13"/>
      <c r="I4390" s="10"/>
      <c r="J4390" s="11"/>
      <c r="K4390" s="6"/>
      <c r="L4390" s="13"/>
    </row>
    <row r="4391" spans="1:12" hidden="1" x14ac:dyDescent="0.25">
      <c r="A4391" s="6"/>
      <c r="B4391" s="6"/>
      <c r="C4391" s="11"/>
      <c r="D4391" s="13"/>
      <c r="E4391" s="13"/>
      <c r="F4391" s="13"/>
      <c r="G4391" s="13"/>
      <c r="H4391" s="13"/>
      <c r="I4391" s="10"/>
      <c r="J4391" s="11"/>
      <c r="K4391" s="6"/>
      <c r="L4391" s="13"/>
    </row>
    <row r="4392" spans="1:12" hidden="1" x14ac:dyDescent="0.25">
      <c r="A4392" s="6"/>
      <c r="B4392" s="6"/>
      <c r="C4392" s="11"/>
      <c r="D4392" s="13"/>
      <c r="E4392" s="13"/>
      <c r="F4392" s="13"/>
      <c r="G4392" s="13"/>
      <c r="H4392" s="13"/>
      <c r="I4392" s="10"/>
      <c r="J4392" s="11"/>
      <c r="K4392" s="6"/>
      <c r="L4392" s="13"/>
    </row>
    <row r="4393" spans="1:12" hidden="1" x14ac:dyDescent="0.25">
      <c r="A4393" s="6"/>
      <c r="B4393" s="6"/>
      <c r="C4393" s="11"/>
      <c r="D4393" s="13"/>
      <c r="E4393" s="13"/>
      <c r="F4393" s="13"/>
      <c r="G4393" s="13"/>
      <c r="H4393" s="13"/>
      <c r="I4393" s="10"/>
      <c r="J4393" s="11"/>
      <c r="K4393" s="6"/>
      <c r="L4393" s="13"/>
    </row>
    <row r="4394" spans="1:12" hidden="1" x14ac:dyDescent="0.25">
      <c r="A4394" s="6"/>
      <c r="B4394" s="6"/>
      <c r="C4394" s="11"/>
      <c r="D4394" s="13"/>
      <c r="E4394" s="13"/>
      <c r="F4394" s="13"/>
      <c r="G4394" s="13"/>
      <c r="H4394" s="13"/>
      <c r="I4394" s="10"/>
      <c r="J4394" s="11"/>
      <c r="K4394" s="6"/>
      <c r="L4394" s="13"/>
    </row>
    <row r="4395" spans="1:12" hidden="1" x14ac:dyDescent="0.25">
      <c r="A4395" s="6"/>
      <c r="B4395" s="6"/>
      <c r="C4395" s="11"/>
      <c r="D4395" s="13"/>
      <c r="E4395" s="13"/>
      <c r="F4395" s="13"/>
      <c r="G4395" s="13"/>
      <c r="H4395" s="13"/>
      <c r="I4395" s="10"/>
      <c r="J4395" s="11"/>
      <c r="K4395" s="6"/>
      <c r="L4395" s="13"/>
    </row>
    <row r="4396" spans="1:12" hidden="1" x14ac:dyDescent="0.25">
      <c r="A4396" s="6"/>
      <c r="B4396" s="6"/>
      <c r="C4396" s="11"/>
      <c r="D4396" s="13"/>
      <c r="E4396" s="13"/>
      <c r="F4396" s="13"/>
      <c r="G4396" s="13"/>
      <c r="H4396" s="13"/>
      <c r="I4396" s="10"/>
      <c r="J4396" s="11"/>
      <c r="K4396" s="6"/>
      <c r="L4396" s="13"/>
    </row>
    <row r="4397" spans="1:12" hidden="1" x14ac:dyDescent="0.25">
      <c r="A4397" s="6"/>
      <c r="B4397" s="6"/>
      <c r="C4397" s="11"/>
      <c r="D4397" s="13"/>
      <c r="E4397" s="13"/>
      <c r="F4397" s="13"/>
      <c r="G4397" s="13"/>
      <c r="H4397" s="13"/>
      <c r="I4397" s="10"/>
      <c r="J4397" s="11"/>
      <c r="K4397" s="6"/>
      <c r="L4397" s="13"/>
    </row>
    <row r="4398" spans="1:12" hidden="1" x14ac:dyDescent="0.25">
      <c r="A4398" s="6"/>
      <c r="B4398" s="6"/>
      <c r="C4398" s="11"/>
      <c r="D4398" s="13"/>
      <c r="E4398" s="13"/>
      <c r="F4398" s="13"/>
      <c r="G4398" s="13"/>
      <c r="H4398" s="13"/>
      <c r="I4398" s="10"/>
      <c r="J4398" s="11"/>
      <c r="K4398" s="6"/>
      <c r="L4398" s="13"/>
    </row>
    <row r="4399" spans="1:12" hidden="1" x14ac:dyDescent="0.25">
      <c r="A4399" s="6"/>
      <c r="B4399" s="6"/>
      <c r="C4399" s="11"/>
      <c r="D4399" s="13"/>
      <c r="E4399" s="13"/>
      <c r="F4399" s="13"/>
      <c r="G4399" s="13"/>
      <c r="H4399" s="13"/>
      <c r="I4399" s="10"/>
      <c r="J4399" s="11"/>
      <c r="K4399" s="6"/>
      <c r="L4399" s="13"/>
    </row>
    <row r="4400" spans="1:12" hidden="1" x14ac:dyDescent="0.25">
      <c r="A4400" s="6"/>
      <c r="B4400" s="6"/>
      <c r="C4400" s="11"/>
      <c r="D4400" s="13"/>
      <c r="E4400" s="13"/>
      <c r="F4400" s="13"/>
      <c r="G4400" s="13"/>
      <c r="H4400" s="13"/>
      <c r="I4400" s="10"/>
      <c r="J4400" s="11"/>
      <c r="K4400" s="6"/>
      <c r="L4400" s="13"/>
    </row>
    <row r="4401" spans="1:12" hidden="1" x14ac:dyDescent="0.25">
      <c r="A4401" s="6"/>
      <c r="B4401" s="6"/>
      <c r="C4401" s="11"/>
      <c r="D4401" s="13"/>
      <c r="E4401" s="13"/>
      <c r="F4401" s="13"/>
      <c r="G4401" s="13"/>
      <c r="H4401" s="13"/>
      <c r="I4401" s="10"/>
      <c r="J4401" s="11"/>
      <c r="K4401" s="6"/>
      <c r="L4401" s="13"/>
    </row>
    <row r="4402" spans="1:12" hidden="1" x14ac:dyDescent="0.25">
      <c r="A4402" s="6"/>
      <c r="B4402" s="6"/>
      <c r="C4402" s="11"/>
      <c r="D4402" s="13"/>
      <c r="E4402" s="13"/>
      <c r="F4402" s="13"/>
      <c r="G4402" s="13"/>
      <c r="H4402" s="13"/>
      <c r="I4402" s="10"/>
      <c r="J4402" s="11"/>
      <c r="K4402" s="6"/>
      <c r="L4402" s="13"/>
    </row>
    <row r="4403" spans="1:12" hidden="1" x14ac:dyDescent="0.25">
      <c r="A4403" s="6"/>
      <c r="B4403" s="6"/>
      <c r="C4403" s="11"/>
      <c r="D4403" s="13"/>
      <c r="E4403" s="13"/>
      <c r="F4403" s="13"/>
      <c r="G4403" s="13"/>
      <c r="H4403" s="13"/>
      <c r="I4403" s="10"/>
      <c r="J4403" s="11"/>
      <c r="K4403" s="6"/>
      <c r="L4403" s="13"/>
    </row>
    <row r="4404" spans="1:12" hidden="1" x14ac:dyDescent="0.25">
      <c r="A4404" s="6"/>
      <c r="B4404" s="6"/>
      <c r="C4404" s="11"/>
      <c r="D4404" s="13"/>
      <c r="E4404" s="13"/>
      <c r="F4404" s="13"/>
      <c r="G4404" s="13"/>
      <c r="H4404" s="13"/>
      <c r="I4404" s="10"/>
      <c r="J4404" s="11"/>
      <c r="K4404" s="6"/>
      <c r="L4404" s="13"/>
    </row>
    <row r="4405" spans="1:12" hidden="1" x14ac:dyDescent="0.25">
      <c r="A4405" s="6"/>
      <c r="B4405" s="6"/>
      <c r="C4405" s="11"/>
      <c r="D4405" s="13"/>
      <c r="E4405" s="13"/>
      <c r="F4405" s="13"/>
      <c r="G4405" s="13"/>
      <c r="H4405" s="13"/>
      <c r="I4405" s="10"/>
      <c r="J4405" s="11"/>
      <c r="K4405" s="6"/>
      <c r="L4405" s="13"/>
    </row>
    <row r="4406" spans="1:12" hidden="1" x14ac:dyDescent="0.25">
      <c r="A4406" s="6"/>
      <c r="B4406" s="6"/>
      <c r="C4406" s="11"/>
      <c r="D4406" s="13"/>
      <c r="E4406" s="13"/>
      <c r="F4406" s="13"/>
      <c r="G4406" s="13"/>
      <c r="H4406" s="13"/>
      <c r="I4406" s="10"/>
      <c r="J4406" s="11"/>
      <c r="K4406" s="6"/>
      <c r="L4406" s="13"/>
    </row>
    <row r="4407" spans="1:12" hidden="1" x14ac:dyDescent="0.25">
      <c r="A4407" s="6"/>
      <c r="B4407" s="6"/>
      <c r="C4407" s="11"/>
      <c r="D4407" s="13"/>
      <c r="E4407" s="13"/>
      <c r="F4407" s="13"/>
      <c r="G4407" s="13"/>
      <c r="H4407" s="13"/>
      <c r="I4407" s="10"/>
      <c r="J4407" s="11"/>
      <c r="K4407" s="6"/>
      <c r="L4407" s="13"/>
    </row>
    <row r="4408" spans="1:12" hidden="1" x14ac:dyDescent="0.25">
      <c r="A4408" s="6"/>
      <c r="B4408" s="6"/>
      <c r="C4408" s="11"/>
      <c r="D4408" s="13"/>
      <c r="E4408" s="13"/>
      <c r="F4408" s="13"/>
      <c r="G4408" s="13"/>
      <c r="H4408" s="13"/>
      <c r="I4408" s="10"/>
      <c r="J4408" s="11"/>
      <c r="K4408" s="6"/>
      <c r="L4408" s="13"/>
    </row>
    <row r="4409" spans="1:12" hidden="1" x14ac:dyDescent="0.25">
      <c r="A4409" s="6"/>
      <c r="B4409" s="6"/>
      <c r="C4409" s="11"/>
      <c r="D4409" s="13"/>
      <c r="E4409" s="13"/>
      <c r="F4409" s="13"/>
      <c r="G4409" s="13"/>
      <c r="H4409" s="13"/>
      <c r="I4409" s="10"/>
      <c r="J4409" s="11"/>
      <c r="K4409" s="6"/>
      <c r="L4409" s="13"/>
    </row>
    <row r="4410" spans="1:12" hidden="1" x14ac:dyDescent="0.25">
      <c r="A4410" s="6"/>
      <c r="B4410" s="6"/>
      <c r="C4410" s="11"/>
      <c r="D4410" s="13"/>
      <c r="E4410" s="13"/>
      <c r="F4410" s="13"/>
      <c r="G4410" s="13"/>
      <c r="H4410" s="13"/>
      <c r="I4410" s="10"/>
      <c r="J4410" s="11"/>
      <c r="K4410" s="6"/>
      <c r="L4410" s="13"/>
    </row>
    <row r="4411" spans="1:12" hidden="1" x14ac:dyDescent="0.25">
      <c r="A4411" s="6"/>
      <c r="B4411" s="6"/>
      <c r="C4411" s="11"/>
      <c r="D4411" s="13"/>
      <c r="E4411" s="13"/>
      <c r="F4411" s="13"/>
      <c r="G4411" s="13"/>
      <c r="H4411" s="13"/>
      <c r="I4411" s="10"/>
      <c r="J4411" s="11"/>
      <c r="K4411" s="6"/>
      <c r="L4411" s="13"/>
    </row>
    <row r="4412" spans="1:12" hidden="1" x14ac:dyDescent="0.25">
      <c r="A4412" s="6"/>
      <c r="B4412" s="6"/>
      <c r="C4412" s="11"/>
      <c r="D4412" s="13"/>
      <c r="E4412" s="13"/>
      <c r="F4412" s="13"/>
      <c r="G4412" s="13"/>
      <c r="H4412" s="13"/>
      <c r="I4412" s="10"/>
      <c r="J4412" s="11"/>
      <c r="K4412" s="6"/>
      <c r="L4412" s="13"/>
    </row>
    <row r="4413" spans="1:12" hidden="1" x14ac:dyDescent="0.25">
      <c r="A4413" s="6"/>
      <c r="B4413" s="6"/>
      <c r="C4413" s="11"/>
      <c r="D4413" s="13"/>
      <c r="E4413" s="13"/>
      <c r="F4413" s="13"/>
      <c r="G4413" s="13"/>
      <c r="H4413" s="13"/>
      <c r="I4413" s="10"/>
      <c r="J4413" s="11"/>
      <c r="K4413" s="6"/>
      <c r="L4413" s="13"/>
    </row>
    <row r="4414" spans="1:12" hidden="1" x14ac:dyDescent="0.25">
      <c r="A4414" s="6"/>
      <c r="B4414" s="6"/>
      <c r="C4414" s="11"/>
      <c r="D4414" s="13"/>
      <c r="E4414" s="13"/>
      <c r="F4414" s="13"/>
      <c r="G4414" s="13"/>
      <c r="H4414" s="13"/>
      <c r="I4414" s="10"/>
      <c r="J4414" s="11"/>
      <c r="K4414" s="6"/>
      <c r="L4414" s="13"/>
    </row>
    <row r="4415" spans="1:12" hidden="1" x14ac:dyDescent="0.25">
      <c r="A4415" s="6"/>
      <c r="B4415" s="6"/>
      <c r="C4415" s="11"/>
      <c r="D4415" s="13"/>
      <c r="E4415" s="13"/>
      <c r="F4415" s="13"/>
      <c r="G4415" s="13"/>
      <c r="H4415" s="13"/>
      <c r="I4415" s="10"/>
      <c r="J4415" s="11"/>
      <c r="K4415" s="6"/>
      <c r="L4415" s="13"/>
    </row>
    <row r="4416" spans="1:12" hidden="1" x14ac:dyDescent="0.25">
      <c r="A4416" s="6"/>
      <c r="B4416" s="6"/>
      <c r="C4416" s="11"/>
      <c r="D4416" s="13"/>
      <c r="E4416" s="13"/>
      <c r="F4416" s="13"/>
      <c r="G4416" s="13"/>
      <c r="H4416" s="13"/>
      <c r="I4416" s="10"/>
      <c r="J4416" s="11"/>
      <c r="K4416" s="6"/>
      <c r="L4416" s="13"/>
    </row>
    <row r="4417" spans="1:12" hidden="1" x14ac:dyDescent="0.25">
      <c r="A4417" s="6"/>
      <c r="B4417" s="6"/>
      <c r="C4417" s="11"/>
      <c r="D4417" s="13"/>
      <c r="E4417" s="13"/>
      <c r="F4417" s="13"/>
      <c r="G4417" s="13"/>
      <c r="H4417" s="13"/>
      <c r="I4417" s="10"/>
      <c r="J4417" s="11"/>
      <c r="K4417" s="6"/>
      <c r="L4417" s="13"/>
    </row>
    <row r="4418" spans="1:12" hidden="1" x14ac:dyDescent="0.25">
      <c r="A4418" s="6"/>
      <c r="B4418" s="6"/>
      <c r="C4418" s="11"/>
      <c r="D4418" s="13"/>
      <c r="E4418" s="13"/>
      <c r="F4418" s="13"/>
      <c r="G4418" s="13"/>
      <c r="H4418" s="13"/>
      <c r="I4418" s="10"/>
      <c r="J4418" s="11"/>
      <c r="K4418" s="6"/>
      <c r="L4418" s="13"/>
    </row>
    <row r="4419" spans="1:12" hidden="1" x14ac:dyDescent="0.25">
      <c r="A4419" s="6"/>
      <c r="B4419" s="6"/>
      <c r="C4419" s="11"/>
      <c r="D4419" s="13"/>
      <c r="E4419" s="13"/>
      <c r="F4419" s="13"/>
      <c r="G4419" s="13"/>
      <c r="H4419" s="13"/>
      <c r="I4419" s="10"/>
      <c r="J4419" s="11"/>
      <c r="K4419" s="6"/>
      <c r="L4419" s="13"/>
    </row>
    <row r="4420" spans="1:12" hidden="1" x14ac:dyDescent="0.25">
      <c r="A4420" s="6"/>
      <c r="B4420" s="6"/>
      <c r="C4420" s="11"/>
      <c r="D4420" s="13"/>
      <c r="E4420" s="13"/>
      <c r="F4420" s="13"/>
      <c r="G4420" s="13"/>
      <c r="H4420" s="13"/>
      <c r="I4420" s="10"/>
      <c r="J4420" s="11"/>
      <c r="K4420" s="6"/>
      <c r="L4420" s="13"/>
    </row>
    <row r="4421" spans="1:12" hidden="1" x14ac:dyDescent="0.25">
      <c r="A4421" s="6"/>
      <c r="B4421" s="6"/>
      <c r="C4421" s="11"/>
      <c r="D4421" s="13"/>
      <c r="E4421" s="13"/>
      <c r="F4421" s="13"/>
      <c r="G4421" s="13"/>
      <c r="H4421" s="13"/>
      <c r="I4421" s="10"/>
      <c r="J4421" s="11"/>
      <c r="K4421" s="6"/>
      <c r="L4421" s="13"/>
    </row>
    <row r="4422" spans="1:12" hidden="1" x14ac:dyDescent="0.25">
      <c r="A4422" s="6"/>
      <c r="B4422" s="6"/>
      <c r="C4422" s="11"/>
      <c r="D4422" s="13"/>
      <c r="E4422" s="13"/>
      <c r="F4422" s="13"/>
      <c r="G4422" s="13"/>
      <c r="H4422" s="13"/>
      <c r="I4422" s="10"/>
      <c r="J4422" s="11"/>
      <c r="K4422" s="6"/>
      <c r="L4422" s="13"/>
    </row>
    <row r="4423" spans="1:12" hidden="1" x14ac:dyDescent="0.25">
      <c r="A4423" s="6"/>
      <c r="B4423" s="6"/>
      <c r="C4423" s="11"/>
      <c r="D4423" s="13"/>
      <c r="E4423" s="13"/>
      <c r="F4423" s="13"/>
      <c r="G4423" s="13"/>
      <c r="H4423" s="13"/>
      <c r="I4423" s="10"/>
      <c r="J4423" s="11"/>
      <c r="K4423" s="6"/>
      <c r="L4423" s="13"/>
    </row>
    <row r="4424" spans="1:12" hidden="1" x14ac:dyDescent="0.25">
      <c r="A4424" s="6"/>
      <c r="B4424" s="6"/>
      <c r="C4424" s="11"/>
      <c r="D4424" s="13"/>
      <c r="E4424" s="13"/>
      <c r="F4424" s="13"/>
      <c r="G4424" s="13"/>
      <c r="H4424" s="13"/>
      <c r="I4424" s="10"/>
      <c r="J4424" s="11"/>
      <c r="K4424" s="6"/>
      <c r="L4424" s="13"/>
    </row>
    <row r="4425" spans="1:12" hidden="1" x14ac:dyDescent="0.25">
      <c r="A4425" s="6"/>
      <c r="B4425" s="6"/>
      <c r="C4425" s="11"/>
      <c r="D4425" s="13"/>
      <c r="E4425" s="13"/>
      <c r="F4425" s="13"/>
      <c r="G4425" s="13"/>
      <c r="H4425" s="13"/>
      <c r="I4425" s="10"/>
      <c r="J4425" s="11"/>
      <c r="K4425" s="6"/>
      <c r="L4425" s="13"/>
    </row>
    <row r="4426" spans="1:12" hidden="1" x14ac:dyDescent="0.25">
      <c r="A4426" s="6"/>
      <c r="B4426" s="6"/>
      <c r="C4426" s="11"/>
      <c r="D4426" s="13"/>
      <c r="E4426" s="13"/>
      <c r="F4426" s="13"/>
      <c r="G4426" s="13"/>
      <c r="H4426" s="13"/>
      <c r="I4426" s="10"/>
      <c r="J4426" s="11"/>
      <c r="K4426" s="6"/>
      <c r="L4426" s="13"/>
    </row>
    <row r="4427" spans="1:12" hidden="1" x14ac:dyDescent="0.25">
      <c r="A4427" s="6"/>
      <c r="B4427" s="6"/>
      <c r="C4427" s="11"/>
      <c r="D4427" s="13"/>
      <c r="E4427" s="13"/>
      <c r="F4427" s="13"/>
      <c r="G4427" s="13"/>
      <c r="H4427" s="13"/>
      <c r="I4427" s="10"/>
      <c r="J4427" s="11"/>
      <c r="K4427" s="6"/>
      <c r="L4427" s="13"/>
    </row>
    <row r="4428" spans="1:12" hidden="1" x14ac:dyDescent="0.25">
      <c r="A4428" s="6"/>
      <c r="B4428" s="6"/>
      <c r="C4428" s="11"/>
      <c r="D4428" s="13"/>
      <c r="E4428" s="13"/>
      <c r="F4428" s="13"/>
      <c r="G4428" s="13"/>
      <c r="H4428" s="13"/>
      <c r="I4428" s="10"/>
      <c r="J4428" s="11"/>
      <c r="K4428" s="6"/>
      <c r="L4428" s="13"/>
    </row>
    <row r="4429" spans="1:12" hidden="1" x14ac:dyDescent="0.25">
      <c r="A4429" s="6"/>
      <c r="B4429" s="6"/>
      <c r="C4429" s="11"/>
      <c r="D4429" s="13"/>
      <c r="E4429" s="13"/>
      <c r="F4429" s="13"/>
      <c r="G4429" s="13"/>
      <c r="H4429" s="13"/>
      <c r="I4429" s="10"/>
      <c r="J4429" s="11"/>
      <c r="K4429" s="6"/>
      <c r="L4429" s="13"/>
    </row>
    <row r="4430" spans="1:12" hidden="1" x14ac:dyDescent="0.25">
      <c r="A4430" s="6"/>
      <c r="B4430" s="6"/>
      <c r="C4430" s="11"/>
      <c r="D4430" s="13"/>
      <c r="E4430" s="13"/>
      <c r="F4430" s="13"/>
      <c r="G4430" s="13"/>
      <c r="H4430" s="13"/>
      <c r="I4430" s="10"/>
      <c r="J4430" s="11"/>
      <c r="K4430" s="6"/>
      <c r="L4430" s="13"/>
    </row>
    <row r="4431" spans="1:12" hidden="1" x14ac:dyDescent="0.25">
      <c r="A4431" s="6"/>
      <c r="B4431" s="6"/>
      <c r="C4431" s="11"/>
      <c r="D4431" s="13"/>
      <c r="E4431" s="13"/>
      <c r="F4431" s="13"/>
      <c r="G4431" s="13"/>
      <c r="H4431" s="13"/>
      <c r="I4431" s="10"/>
      <c r="J4431" s="11"/>
      <c r="K4431" s="6"/>
      <c r="L4431" s="13"/>
    </row>
    <row r="4432" spans="1:12" hidden="1" x14ac:dyDescent="0.25">
      <c r="A4432" s="6"/>
      <c r="B4432" s="6"/>
      <c r="C4432" s="11"/>
      <c r="D4432" s="13"/>
      <c r="E4432" s="13"/>
      <c r="F4432" s="13"/>
      <c r="G4432" s="13"/>
      <c r="H4432" s="13"/>
      <c r="I4432" s="10"/>
      <c r="J4432" s="11"/>
      <c r="K4432" s="6"/>
      <c r="L4432" s="13"/>
    </row>
    <row r="4433" spans="1:12" hidden="1" x14ac:dyDescent="0.25">
      <c r="A4433" s="6"/>
      <c r="B4433" s="6"/>
      <c r="C4433" s="11"/>
      <c r="D4433" s="13"/>
      <c r="E4433" s="13"/>
      <c r="F4433" s="13"/>
      <c r="G4433" s="13"/>
      <c r="H4433" s="13"/>
      <c r="I4433" s="10"/>
      <c r="J4433" s="11"/>
      <c r="K4433" s="6"/>
      <c r="L4433" s="13"/>
    </row>
    <row r="4434" spans="1:12" hidden="1" x14ac:dyDescent="0.25">
      <c r="A4434" s="6"/>
      <c r="B4434" s="6"/>
      <c r="C4434" s="11"/>
      <c r="D4434" s="13"/>
      <c r="E4434" s="13"/>
      <c r="F4434" s="13"/>
      <c r="G4434" s="13"/>
      <c r="H4434" s="13"/>
      <c r="I4434" s="10"/>
      <c r="J4434" s="11"/>
      <c r="K4434" s="6"/>
      <c r="L4434" s="13"/>
    </row>
    <row r="4435" spans="1:12" hidden="1" x14ac:dyDescent="0.25">
      <c r="A4435" s="6"/>
      <c r="B4435" s="6"/>
      <c r="C4435" s="11"/>
      <c r="D4435" s="13"/>
      <c r="E4435" s="13"/>
      <c r="F4435" s="13"/>
      <c r="G4435" s="13"/>
      <c r="H4435" s="13"/>
      <c r="I4435" s="10"/>
      <c r="J4435" s="11"/>
      <c r="K4435" s="6"/>
      <c r="L4435" s="13"/>
    </row>
    <row r="4436" spans="1:12" hidden="1" x14ac:dyDescent="0.25">
      <c r="A4436" s="6"/>
      <c r="B4436" s="6"/>
      <c r="C4436" s="11"/>
      <c r="D4436" s="13"/>
      <c r="E4436" s="13"/>
      <c r="F4436" s="13"/>
      <c r="G4436" s="13"/>
      <c r="H4436" s="13"/>
      <c r="I4436" s="10"/>
      <c r="J4436" s="11"/>
      <c r="K4436" s="6"/>
      <c r="L4436" s="13"/>
    </row>
    <row r="4437" spans="1:12" hidden="1" x14ac:dyDescent="0.25">
      <c r="A4437" s="6"/>
      <c r="B4437" s="6"/>
      <c r="C4437" s="11"/>
      <c r="D4437" s="13"/>
      <c r="E4437" s="13"/>
      <c r="F4437" s="13"/>
      <c r="G4437" s="13"/>
      <c r="H4437" s="13"/>
      <c r="I4437" s="10"/>
      <c r="J4437" s="11"/>
      <c r="K4437" s="6"/>
      <c r="L4437" s="13"/>
    </row>
    <row r="4438" spans="1:12" hidden="1" x14ac:dyDescent="0.25">
      <c r="A4438" s="6"/>
      <c r="B4438" s="6"/>
      <c r="C4438" s="11"/>
      <c r="D4438" s="13"/>
      <c r="E4438" s="13"/>
      <c r="F4438" s="13"/>
      <c r="G4438" s="13"/>
      <c r="H4438" s="13"/>
      <c r="I4438" s="10"/>
      <c r="J4438" s="11"/>
      <c r="K4438" s="6"/>
      <c r="L4438" s="13"/>
    </row>
    <row r="4439" spans="1:12" hidden="1" x14ac:dyDescent="0.25">
      <c r="A4439" s="6"/>
      <c r="B4439" s="6"/>
      <c r="C4439" s="11"/>
      <c r="D4439" s="13"/>
      <c r="E4439" s="13"/>
      <c r="F4439" s="13"/>
      <c r="G4439" s="13"/>
      <c r="H4439" s="13"/>
      <c r="I4439" s="10"/>
      <c r="J4439" s="11"/>
      <c r="K4439" s="6"/>
      <c r="L4439" s="13"/>
    </row>
    <row r="4440" spans="1:12" hidden="1" x14ac:dyDescent="0.25">
      <c r="A4440" s="6"/>
      <c r="B4440" s="6"/>
      <c r="C4440" s="11"/>
      <c r="D4440" s="13"/>
      <c r="E4440" s="13"/>
      <c r="F4440" s="13"/>
      <c r="G4440" s="13"/>
      <c r="H4440" s="13"/>
      <c r="I4440" s="10"/>
      <c r="J4440" s="11"/>
      <c r="K4440" s="6"/>
      <c r="L4440" s="13"/>
    </row>
    <row r="4441" spans="1:12" hidden="1" x14ac:dyDescent="0.25">
      <c r="A4441" s="6"/>
      <c r="B4441" s="6"/>
      <c r="C4441" s="11"/>
      <c r="D4441" s="13"/>
      <c r="E4441" s="13"/>
      <c r="F4441" s="13"/>
      <c r="G4441" s="13"/>
      <c r="H4441" s="13"/>
      <c r="I4441" s="10"/>
      <c r="J4441" s="11"/>
      <c r="K4441" s="6"/>
      <c r="L4441" s="13"/>
    </row>
    <row r="4442" spans="1:12" hidden="1" x14ac:dyDescent="0.25">
      <c r="A4442" s="6"/>
      <c r="B4442" s="6"/>
      <c r="C4442" s="11"/>
      <c r="D4442" s="13"/>
      <c r="E4442" s="13"/>
      <c r="F4442" s="13"/>
      <c r="G4442" s="13"/>
      <c r="H4442" s="13"/>
      <c r="I4442" s="10"/>
      <c r="J4442" s="11"/>
      <c r="K4442" s="6"/>
      <c r="L4442" s="13"/>
    </row>
    <row r="4443" spans="1:12" hidden="1" x14ac:dyDescent="0.25">
      <c r="A4443" s="6"/>
      <c r="B4443" s="6"/>
      <c r="C4443" s="11"/>
      <c r="D4443" s="13"/>
      <c r="E4443" s="13"/>
      <c r="F4443" s="13"/>
      <c r="G4443" s="13"/>
      <c r="H4443" s="13"/>
      <c r="I4443" s="10"/>
      <c r="J4443" s="11"/>
      <c r="K4443" s="6"/>
      <c r="L4443" s="13"/>
    </row>
    <row r="4444" spans="1:12" hidden="1" x14ac:dyDescent="0.25">
      <c r="A4444" s="6"/>
      <c r="B4444" s="6"/>
      <c r="C4444" s="11"/>
      <c r="D4444" s="13"/>
      <c r="E4444" s="13"/>
      <c r="F4444" s="13"/>
      <c r="G4444" s="13"/>
      <c r="H4444" s="13"/>
      <c r="I4444" s="10"/>
      <c r="J4444" s="11"/>
      <c r="K4444" s="6"/>
      <c r="L4444" s="13"/>
    </row>
    <row r="4445" spans="1:12" hidden="1" x14ac:dyDescent="0.25">
      <c r="A4445" s="6"/>
      <c r="B4445" s="6"/>
      <c r="C4445" s="11"/>
      <c r="D4445" s="13"/>
      <c r="E4445" s="13"/>
      <c r="F4445" s="13"/>
      <c r="G4445" s="13"/>
      <c r="H4445" s="13"/>
      <c r="I4445" s="10"/>
      <c r="J4445" s="11"/>
      <c r="K4445" s="6"/>
      <c r="L4445" s="13"/>
    </row>
    <row r="4446" spans="1:12" hidden="1" x14ac:dyDescent="0.25">
      <c r="A4446" s="6"/>
      <c r="B4446" s="6"/>
      <c r="C4446" s="11"/>
      <c r="D4446" s="13"/>
      <c r="E4446" s="13"/>
      <c r="F4446" s="13"/>
      <c r="G4446" s="13"/>
      <c r="H4446" s="13"/>
      <c r="I4446" s="10"/>
      <c r="J4446" s="11"/>
      <c r="K4446" s="6"/>
      <c r="L4446" s="13"/>
    </row>
    <row r="4447" spans="1:12" hidden="1" x14ac:dyDescent="0.25">
      <c r="A4447" s="6"/>
      <c r="B4447" s="6"/>
      <c r="C4447" s="11"/>
      <c r="D4447" s="13"/>
      <c r="E4447" s="13"/>
      <c r="F4447" s="13"/>
      <c r="G4447" s="13"/>
      <c r="H4447" s="13"/>
      <c r="I4447" s="10"/>
      <c r="J4447" s="11"/>
      <c r="K4447" s="6"/>
      <c r="L4447" s="13"/>
    </row>
    <row r="4448" spans="1:12" hidden="1" x14ac:dyDescent="0.25">
      <c r="A4448" s="6"/>
      <c r="B4448" s="6"/>
      <c r="C4448" s="11"/>
      <c r="D4448" s="13"/>
      <c r="E4448" s="13"/>
      <c r="F4448" s="13"/>
      <c r="G4448" s="13"/>
      <c r="H4448" s="13"/>
      <c r="I4448" s="10"/>
      <c r="J4448" s="11"/>
      <c r="K4448" s="6"/>
      <c r="L4448" s="13"/>
    </row>
    <row r="4449" spans="1:12" hidden="1" x14ac:dyDescent="0.25">
      <c r="A4449" s="6"/>
      <c r="B4449" s="6"/>
      <c r="C4449" s="11"/>
      <c r="D4449" s="13"/>
      <c r="E4449" s="13"/>
      <c r="F4449" s="13"/>
      <c r="G4449" s="13"/>
      <c r="H4449" s="13"/>
      <c r="I4449" s="10"/>
      <c r="J4449" s="11"/>
      <c r="K4449" s="6"/>
      <c r="L4449" s="13"/>
    </row>
    <row r="4450" spans="1:12" hidden="1" x14ac:dyDescent="0.25">
      <c r="A4450" s="6"/>
      <c r="B4450" s="6"/>
      <c r="C4450" s="11"/>
      <c r="D4450" s="13"/>
      <c r="E4450" s="13"/>
      <c r="F4450" s="13"/>
      <c r="G4450" s="13"/>
      <c r="H4450" s="13"/>
      <c r="I4450" s="10"/>
      <c r="J4450" s="11"/>
      <c r="K4450" s="6"/>
      <c r="L4450" s="13"/>
    </row>
    <row r="4451" spans="1:12" hidden="1" x14ac:dyDescent="0.25">
      <c r="A4451" s="6"/>
      <c r="B4451" s="6"/>
      <c r="C4451" s="11"/>
      <c r="D4451" s="13"/>
      <c r="E4451" s="13"/>
      <c r="F4451" s="13"/>
      <c r="G4451" s="13"/>
      <c r="H4451" s="13"/>
      <c r="I4451" s="10"/>
      <c r="J4451" s="11"/>
      <c r="K4451" s="6"/>
      <c r="L4451" s="13"/>
    </row>
    <row r="4452" spans="1:12" hidden="1" x14ac:dyDescent="0.25">
      <c r="A4452" s="6"/>
      <c r="B4452" s="6"/>
      <c r="C4452" s="11"/>
      <c r="D4452" s="13"/>
      <c r="E4452" s="13"/>
      <c r="F4452" s="13"/>
      <c r="G4452" s="13"/>
      <c r="H4452" s="13"/>
      <c r="I4452" s="10"/>
      <c r="J4452" s="11"/>
      <c r="K4452" s="6"/>
      <c r="L4452" s="13"/>
    </row>
    <row r="4453" spans="1:12" hidden="1" x14ac:dyDescent="0.25">
      <c r="A4453" s="6"/>
      <c r="B4453" s="6"/>
      <c r="C4453" s="11"/>
      <c r="D4453" s="13"/>
      <c r="E4453" s="13"/>
      <c r="F4453" s="13"/>
      <c r="G4453" s="13"/>
      <c r="H4453" s="13"/>
      <c r="I4453" s="10"/>
      <c r="J4453" s="11"/>
      <c r="K4453" s="6"/>
      <c r="L4453" s="13"/>
    </row>
    <row r="4454" spans="1:12" hidden="1" x14ac:dyDescent="0.25">
      <c r="A4454" s="6"/>
      <c r="B4454" s="6"/>
      <c r="C4454" s="11"/>
      <c r="D4454" s="13"/>
      <c r="E4454" s="13"/>
      <c r="F4454" s="13"/>
      <c r="G4454" s="13"/>
      <c r="H4454" s="13"/>
      <c r="I4454" s="10"/>
      <c r="J4454" s="11"/>
      <c r="K4454" s="6"/>
      <c r="L4454" s="13"/>
    </row>
    <row r="4455" spans="1:12" hidden="1" x14ac:dyDescent="0.25">
      <c r="A4455" s="6"/>
      <c r="B4455" s="6"/>
      <c r="C4455" s="11"/>
      <c r="D4455" s="13"/>
      <c r="E4455" s="13"/>
      <c r="F4455" s="13"/>
      <c r="G4455" s="13"/>
      <c r="H4455" s="13"/>
      <c r="I4455" s="10"/>
      <c r="J4455" s="11"/>
      <c r="K4455" s="6"/>
      <c r="L4455" s="13"/>
    </row>
    <row r="4456" spans="1:12" hidden="1" x14ac:dyDescent="0.25">
      <c r="A4456" s="6"/>
      <c r="B4456" s="6"/>
      <c r="C4456" s="11"/>
      <c r="D4456" s="13"/>
      <c r="E4456" s="13"/>
      <c r="F4456" s="13"/>
      <c r="G4456" s="13"/>
      <c r="H4456" s="13"/>
      <c r="I4456" s="10"/>
      <c r="J4456" s="11"/>
      <c r="K4456" s="6"/>
      <c r="L4456" s="13"/>
    </row>
    <row r="4457" spans="1:12" hidden="1" x14ac:dyDescent="0.25">
      <c r="A4457" s="6"/>
      <c r="B4457" s="6"/>
      <c r="C4457" s="11"/>
      <c r="D4457" s="13"/>
      <c r="E4457" s="13"/>
      <c r="F4457" s="13"/>
      <c r="G4457" s="13"/>
      <c r="H4457" s="13"/>
      <c r="I4457" s="10"/>
      <c r="J4457" s="11"/>
      <c r="K4457" s="6"/>
      <c r="L4457" s="13"/>
    </row>
    <row r="4458" spans="1:12" hidden="1" x14ac:dyDescent="0.25">
      <c r="A4458" s="6"/>
      <c r="B4458" s="6"/>
      <c r="C4458" s="11"/>
      <c r="D4458" s="13"/>
      <c r="E4458" s="13"/>
      <c r="F4458" s="13"/>
      <c r="G4458" s="13"/>
      <c r="H4458" s="13"/>
      <c r="I4458" s="10"/>
      <c r="J4458" s="11"/>
      <c r="K4458" s="6"/>
      <c r="L4458" s="13"/>
    </row>
    <row r="4459" spans="1:12" hidden="1" x14ac:dyDescent="0.25">
      <c r="A4459" s="6"/>
      <c r="B4459" s="6"/>
      <c r="C4459" s="11"/>
      <c r="D4459" s="13"/>
      <c r="E4459" s="13"/>
      <c r="F4459" s="13"/>
      <c r="G4459" s="13"/>
      <c r="H4459" s="13"/>
      <c r="I4459" s="10"/>
      <c r="J4459" s="11"/>
      <c r="K4459" s="6"/>
      <c r="L4459" s="13"/>
    </row>
    <row r="4460" spans="1:12" hidden="1" x14ac:dyDescent="0.25">
      <c r="A4460" s="6"/>
      <c r="B4460" s="6"/>
      <c r="C4460" s="11"/>
      <c r="D4460" s="13"/>
      <c r="E4460" s="13"/>
      <c r="F4460" s="13"/>
      <c r="G4460" s="13"/>
      <c r="H4460" s="13"/>
      <c r="I4460" s="10"/>
      <c r="J4460" s="11"/>
      <c r="K4460" s="6"/>
      <c r="L4460" s="13"/>
    </row>
    <row r="4461" spans="1:12" hidden="1" x14ac:dyDescent="0.25">
      <c r="A4461" s="6"/>
      <c r="B4461" s="6"/>
      <c r="C4461" s="11"/>
      <c r="D4461" s="13"/>
      <c r="E4461" s="13"/>
      <c r="F4461" s="13"/>
      <c r="G4461" s="13"/>
      <c r="H4461" s="13"/>
      <c r="I4461" s="10"/>
      <c r="J4461" s="11"/>
      <c r="K4461" s="6"/>
      <c r="L4461" s="13"/>
    </row>
    <row r="4462" spans="1:12" hidden="1" x14ac:dyDescent="0.25">
      <c r="A4462" s="6"/>
      <c r="B4462" s="6"/>
      <c r="C4462" s="11"/>
      <c r="D4462" s="13"/>
      <c r="E4462" s="13"/>
      <c r="F4462" s="13"/>
      <c r="G4462" s="13"/>
      <c r="H4462" s="13"/>
      <c r="I4462" s="10"/>
      <c r="J4462" s="11"/>
      <c r="K4462" s="6"/>
      <c r="L4462" s="13"/>
    </row>
    <row r="4463" spans="1:12" hidden="1" x14ac:dyDescent="0.25">
      <c r="A4463" s="6"/>
      <c r="B4463" s="6"/>
      <c r="C4463" s="11"/>
      <c r="D4463" s="13"/>
      <c r="E4463" s="13"/>
      <c r="F4463" s="13"/>
      <c r="G4463" s="13"/>
      <c r="H4463" s="13"/>
      <c r="I4463" s="10"/>
      <c r="J4463" s="11"/>
      <c r="K4463" s="6"/>
      <c r="L4463" s="13"/>
    </row>
    <row r="4464" spans="1:12" hidden="1" x14ac:dyDescent="0.25">
      <c r="A4464" s="6"/>
      <c r="B4464" s="6"/>
      <c r="C4464" s="11"/>
      <c r="D4464" s="13"/>
      <c r="E4464" s="13"/>
      <c r="F4464" s="13"/>
      <c r="G4464" s="13"/>
      <c r="H4464" s="13"/>
      <c r="I4464" s="10"/>
      <c r="J4464" s="11"/>
      <c r="K4464" s="6"/>
      <c r="L4464" s="13"/>
    </row>
    <row r="4465" spans="1:12" hidden="1" x14ac:dyDescent="0.25">
      <c r="A4465" s="6"/>
      <c r="B4465" s="6"/>
      <c r="C4465" s="11"/>
      <c r="D4465" s="13"/>
      <c r="E4465" s="13"/>
      <c r="F4465" s="13"/>
      <c r="G4465" s="13"/>
      <c r="H4465" s="13"/>
      <c r="I4465" s="10"/>
      <c r="J4465" s="11"/>
      <c r="K4465" s="6"/>
      <c r="L4465" s="13"/>
    </row>
    <row r="4466" spans="1:12" hidden="1" x14ac:dyDescent="0.25">
      <c r="A4466" s="6"/>
      <c r="B4466" s="6"/>
      <c r="C4466" s="11"/>
      <c r="D4466" s="13"/>
      <c r="E4466" s="13"/>
      <c r="F4466" s="13"/>
      <c r="G4466" s="13"/>
      <c r="H4466" s="13"/>
      <c r="I4466" s="10"/>
      <c r="J4466" s="11"/>
      <c r="K4466" s="6"/>
      <c r="L4466" s="13"/>
    </row>
    <row r="4467" spans="1:12" hidden="1" x14ac:dyDescent="0.25">
      <c r="A4467" s="6"/>
      <c r="B4467" s="6"/>
      <c r="C4467" s="11"/>
      <c r="D4467" s="13"/>
      <c r="E4467" s="13"/>
      <c r="F4467" s="13"/>
      <c r="G4467" s="13"/>
      <c r="H4467" s="13"/>
      <c r="I4467" s="10"/>
      <c r="J4467" s="11"/>
      <c r="K4467" s="6"/>
      <c r="L4467" s="13"/>
    </row>
    <row r="4468" spans="1:12" hidden="1" x14ac:dyDescent="0.25">
      <c r="A4468" s="6"/>
      <c r="B4468" s="6"/>
      <c r="C4468" s="11"/>
      <c r="D4468" s="13"/>
      <c r="E4468" s="13"/>
      <c r="F4468" s="13"/>
      <c r="G4468" s="13"/>
      <c r="H4468" s="13"/>
      <c r="I4468" s="10"/>
      <c r="J4468" s="11"/>
      <c r="K4468" s="6"/>
      <c r="L4468" s="13"/>
    </row>
    <row r="4469" spans="1:12" hidden="1" x14ac:dyDescent="0.25">
      <c r="A4469" s="6"/>
      <c r="B4469" s="6"/>
      <c r="C4469" s="11"/>
      <c r="D4469" s="13"/>
      <c r="E4469" s="13"/>
      <c r="F4469" s="13"/>
      <c r="G4469" s="13"/>
      <c r="H4469" s="13"/>
      <c r="I4469" s="10"/>
      <c r="J4469" s="11"/>
      <c r="K4469" s="6"/>
      <c r="L4469" s="13"/>
    </row>
    <row r="4470" spans="1:12" hidden="1" x14ac:dyDescent="0.25">
      <c r="A4470" s="6"/>
      <c r="B4470" s="6"/>
      <c r="C4470" s="11"/>
      <c r="D4470" s="13"/>
      <c r="E4470" s="13"/>
      <c r="F4470" s="13"/>
      <c r="G4470" s="13"/>
      <c r="H4470" s="13"/>
      <c r="I4470" s="10"/>
      <c r="J4470" s="11"/>
      <c r="K4470" s="6"/>
      <c r="L4470" s="13"/>
    </row>
    <row r="4471" spans="1:12" hidden="1" x14ac:dyDescent="0.25">
      <c r="A4471" s="6"/>
      <c r="B4471" s="6"/>
      <c r="C4471" s="11"/>
      <c r="D4471" s="13"/>
      <c r="E4471" s="13"/>
      <c r="F4471" s="13"/>
      <c r="G4471" s="13"/>
      <c r="H4471" s="13"/>
      <c r="I4471" s="10"/>
      <c r="J4471" s="11"/>
      <c r="K4471" s="6"/>
      <c r="L4471" s="13"/>
    </row>
    <row r="4472" spans="1:12" hidden="1" x14ac:dyDescent="0.25">
      <c r="A4472" s="6"/>
      <c r="B4472" s="6"/>
      <c r="C4472" s="11"/>
      <c r="D4472" s="13"/>
      <c r="E4472" s="13"/>
      <c r="F4472" s="13"/>
      <c r="G4472" s="13"/>
      <c r="H4472" s="13"/>
      <c r="I4472" s="10"/>
      <c r="J4472" s="11"/>
      <c r="K4472" s="6"/>
      <c r="L4472" s="13"/>
    </row>
    <row r="4473" spans="1:12" hidden="1" x14ac:dyDescent="0.25">
      <c r="A4473" s="6"/>
      <c r="B4473" s="6"/>
      <c r="C4473" s="11"/>
      <c r="D4473" s="13"/>
      <c r="E4473" s="13"/>
      <c r="F4473" s="13"/>
      <c r="G4473" s="13"/>
      <c r="H4473" s="13"/>
      <c r="I4473" s="10"/>
      <c r="J4473" s="11"/>
      <c r="K4473" s="6"/>
      <c r="L4473" s="13"/>
    </row>
    <row r="4474" spans="1:12" hidden="1" x14ac:dyDescent="0.25">
      <c r="A4474" s="6"/>
      <c r="B4474" s="6"/>
      <c r="C4474" s="11"/>
      <c r="D4474" s="13"/>
      <c r="E4474" s="13"/>
      <c r="F4474" s="13"/>
      <c r="G4474" s="13"/>
      <c r="H4474" s="13"/>
      <c r="I4474" s="10"/>
      <c r="J4474" s="11"/>
      <c r="K4474" s="6"/>
      <c r="L4474" s="13"/>
    </row>
    <row r="4475" spans="1:12" hidden="1" x14ac:dyDescent="0.25">
      <c r="A4475" s="6"/>
      <c r="B4475" s="6"/>
      <c r="C4475" s="11"/>
      <c r="D4475" s="13"/>
      <c r="E4475" s="13"/>
      <c r="F4475" s="13"/>
      <c r="G4475" s="13"/>
      <c r="H4475" s="13"/>
      <c r="I4475" s="10"/>
      <c r="J4475" s="11"/>
      <c r="K4475" s="6"/>
      <c r="L4475" s="13"/>
    </row>
    <row r="4476" spans="1:12" hidden="1" x14ac:dyDescent="0.25">
      <c r="A4476" s="6"/>
      <c r="B4476" s="6"/>
      <c r="C4476" s="11"/>
      <c r="D4476" s="13"/>
      <c r="E4476" s="13"/>
      <c r="F4476" s="13"/>
      <c r="G4476" s="13"/>
      <c r="H4476" s="13"/>
      <c r="I4476" s="10"/>
      <c r="J4476" s="11"/>
      <c r="K4476" s="6"/>
      <c r="L4476" s="13"/>
    </row>
    <row r="4477" spans="1:12" hidden="1" x14ac:dyDescent="0.25">
      <c r="A4477" s="6"/>
      <c r="B4477" s="6"/>
      <c r="C4477" s="11"/>
      <c r="D4477" s="13"/>
      <c r="E4477" s="13"/>
      <c r="F4477" s="13"/>
      <c r="G4477" s="13"/>
      <c r="H4477" s="13"/>
      <c r="I4477" s="10"/>
      <c r="J4477" s="11"/>
      <c r="K4477" s="6"/>
      <c r="L4477" s="13"/>
    </row>
    <row r="4478" spans="1:12" hidden="1" x14ac:dyDescent="0.25">
      <c r="A4478" s="6"/>
      <c r="B4478" s="6"/>
      <c r="C4478" s="11"/>
      <c r="D4478" s="13"/>
      <c r="E4478" s="13"/>
      <c r="F4478" s="13"/>
      <c r="G4478" s="13"/>
      <c r="H4478" s="13"/>
      <c r="I4478" s="10"/>
      <c r="J4478" s="11"/>
      <c r="K4478" s="6"/>
      <c r="L4478" s="13"/>
    </row>
    <row r="4479" spans="1:12" hidden="1" x14ac:dyDescent="0.25">
      <c r="A4479" s="6"/>
      <c r="B4479" s="6"/>
      <c r="C4479" s="11"/>
      <c r="D4479" s="13"/>
      <c r="E4479" s="13"/>
      <c r="F4479" s="13"/>
      <c r="G4479" s="13"/>
      <c r="H4479" s="13"/>
      <c r="I4479" s="10"/>
      <c r="J4479" s="11"/>
      <c r="K4479" s="6"/>
      <c r="L4479" s="13"/>
    </row>
    <row r="4480" spans="1:12" hidden="1" x14ac:dyDescent="0.25">
      <c r="A4480" s="6"/>
      <c r="B4480" s="6"/>
      <c r="C4480" s="11"/>
      <c r="D4480" s="13"/>
      <c r="E4480" s="13"/>
      <c r="F4480" s="13"/>
      <c r="G4480" s="13"/>
      <c r="H4480" s="13"/>
      <c r="I4480" s="10"/>
      <c r="J4480" s="11"/>
      <c r="K4480" s="6"/>
      <c r="L4480" s="13"/>
    </row>
    <row r="4481" spans="1:12" hidden="1" x14ac:dyDescent="0.25">
      <c r="A4481" s="6"/>
      <c r="B4481" s="6"/>
      <c r="C4481" s="11"/>
      <c r="D4481" s="13"/>
      <c r="E4481" s="13"/>
      <c r="F4481" s="13"/>
      <c r="G4481" s="13"/>
      <c r="H4481" s="13"/>
      <c r="I4481" s="10"/>
      <c r="J4481" s="11"/>
      <c r="K4481" s="99"/>
      <c r="L4481" s="13"/>
    </row>
    <row r="4482" spans="1:12" hidden="1" x14ac:dyDescent="0.25">
      <c r="A4482" s="6"/>
      <c r="B4482" s="6"/>
      <c r="C4482" s="11"/>
      <c r="D4482" s="13"/>
      <c r="E4482" s="13"/>
      <c r="F4482" s="13"/>
      <c r="G4482" s="13"/>
      <c r="H4482" s="13"/>
      <c r="I4482" s="10"/>
      <c r="J4482" s="11"/>
      <c r="K4482" s="6"/>
      <c r="L4482" s="13"/>
    </row>
    <row r="4483" spans="1:12" hidden="1" x14ac:dyDescent="0.25">
      <c r="A4483" s="6"/>
      <c r="B4483" s="6"/>
      <c r="C4483" s="11"/>
      <c r="D4483" s="13"/>
      <c r="E4483" s="13"/>
      <c r="F4483" s="13"/>
      <c r="G4483" s="13"/>
      <c r="H4483" s="13"/>
      <c r="I4483" s="10"/>
      <c r="J4483" s="11"/>
      <c r="K4483" s="6"/>
      <c r="L4483" s="13"/>
    </row>
    <row r="4484" spans="1:12" hidden="1" x14ac:dyDescent="0.25">
      <c r="A4484" s="6"/>
      <c r="B4484" s="6"/>
      <c r="C4484" s="11"/>
      <c r="D4484" s="13"/>
      <c r="E4484" s="13"/>
      <c r="F4484" s="13"/>
      <c r="G4484" s="13"/>
      <c r="H4484" s="13"/>
      <c r="I4484" s="10"/>
      <c r="J4484" s="11"/>
      <c r="K4484" s="6"/>
      <c r="L4484" s="13"/>
    </row>
    <row r="4485" spans="1:12" hidden="1" x14ac:dyDescent="0.25">
      <c r="A4485" s="6"/>
      <c r="B4485" s="6"/>
      <c r="C4485" s="11"/>
      <c r="D4485" s="13"/>
      <c r="E4485" s="13"/>
      <c r="F4485" s="13"/>
      <c r="G4485" s="13"/>
      <c r="H4485" s="13"/>
      <c r="I4485" s="10"/>
      <c r="J4485" s="11"/>
      <c r="K4485" s="6"/>
      <c r="L4485" s="13"/>
    </row>
    <row r="4486" spans="1:12" hidden="1" x14ac:dyDescent="0.25">
      <c r="A4486" s="6"/>
      <c r="B4486" s="6"/>
      <c r="C4486" s="11"/>
      <c r="D4486" s="13"/>
      <c r="E4486" s="13"/>
      <c r="F4486" s="13"/>
      <c r="G4486" s="13"/>
      <c r="H4486" s="13"/>
      <c r="I4486" s="10"/>
      <c r="J4486" s="11"/>
      <c r="K4486" s="6"/>
      <c r="L4486" s="13"/>
    </row>
    <row r="4487" spans="1:12" hidden="1" x14ac:dyDescent="0.25">
      <c r="A4487" s="6"/>
      <c r="B4487" s="6"/>
      <c r="C4487" s="11"/>
      <c r="D4487" s="13"/>
      <c r="E4487" s="13"/>
      <c r="F4487" s="13"/>
      <c r="G4487" s="13"/>
      <c r="H4487" s="13"/>
      <c r="I4487" s="10"/>
      <c r="J4487" s="11"/>
      <c r="K4487" s="6"/>
      <c r="L4487" s="13"/>
    </row>
    <row r="4488" spans="1:12" hidden="1" x14ac:dyDescent="0.25">
      <c r="A4488" s="6"/>
      <c r="B4488" s="6"/>
      <c r="C4488" s="11"/>
      <c r="D4488" s="13"/>
      <c r="E4488" s="13"/>
      <c r="F4488" s="13"/>
      <c r="G4488" s="13"/>
      <c r="H4488" s="13"/>
      <c r="I4488" s="10"/>
      <c r="J4488" s="11"/>
      <c r="K4488" s="6"/>
      <c r="L4488" s="13"/>
    </row>
    <row r="4489" spans="1:12" hidden="1" x14ac:dyDescent="0.25">
      <c r="A4489" s="6"/>
      <c r="B4489" s="6"/>
      <c r="C4489" s="11"/>
      <c r="D4489" s="13"/>
      <c r="E4489" s="13"/>
      <c r="F4489" s="13"/>
      <c r="G4489" s="13"/>
      <c r="H4489" s="13"/>
      <c r="I4489" s="10"/>
      <c r="J4489" s="11"/>
      <c r="K4489" s="6"/>
      <c r="L4489" s="13"/>
    </row>
    <row r="4490" spans="1:12" hidden="1" x14ac:dyDescent="0.25">
      <c r="A4490" s="6"/>
      <c r="B4490" s="6"/>
      <c r="C4490" s="11"/>
      <c r="D4490" s="13"/>
      <c r="E4490" s="13"/>
      <c r="F4490" s="13"/>
      <c r="G4490" s="13"/>
      <c r="H4490" s="13"/>
      <c r="I4490" s="10"/>
      <c r="J4490" s="11"/>
      <c r="K4490" s="6"/>
      <c r="L4490" s="13"/>
    </row>
    <row r="4491" spans="1:12" hidden="1" x14ac:dyDescent="0.25">
      <c r="A4491" s="6"/>
      <c r="B4491" s="6"/>
      <c r="C4491" s="11"/>
      <c r="D4491" s="13"/>
      <c r="E4491" s="13"/>
      <c r="F4491" s="13"/>
      <c r="G4491" s="13"/>
      <c r="H4491" s="13"/>
      <c r="I4491" s="10"/>
      <c r="J4491" s="11"/>
      <c r="K4491" s="6"/>
      <c r="L4491" s="13"/>
    </row>
    <row r="4492" spans="1:12" hidden="1" x14ac:dyDescent="0.25">
      <c r="A4492" s="6"/>
      <c r="B4492" s="6"/>
      <c r="C4492" s="11"/>
      <c r="D4492" s="13"/>
      <c r="E4492" s="13"/>
      <c r="F4492" s="13"/>
      <c r="G4492" s="13"/>
      <c r="H4492" s="13"/>
      <c r="I4492" s="10"/>
      <c r="J4492" s="11"/>
      <c r="K4492" s="6"/>
      <c r="L4492" s="13"/>
    </row>
    <row r="4493" spans="1:12" hidden="1" x14ac:dyDescent="0.25">
      <c r="A4493" s="6"/>
      <c r="B4493" s="6"/>
      <c r="C4493" s="11"/>
      <c r="D4493" s="13"/>
      <c r="E4493" s="13"/>
      <c r="F4493" s="13"/>
      <c r="G4493" s="13"/>
      <c r="H4493" s="13"/>
      <c r="I4493" s="10"/>
      <c r="J4493" s="11"/>
      <c r="K4493" s="6"/>
      <c r="L4493" s="13"/>
    </row>
    <row r="4494" spans="1:12" hidden="1" x14ac:dyDescent="0.25">
      <c r="A4494" s="6"/>
      <c r="B4494" s="6"/>
      <c r="C4494" s="11"/>
      <c r="D4494" s="13"/>
      <c r="E4494" s="13"/>
      <c r="F4494" s="13"/>
      <c r="G4494" s="13"/>
      <c r="H4494" s="13"/>
      <c r="I4494" s="10"/>
      <c r="J4494" s="11"/>
      <c r="K4494" s="6"/>
      <c r="L4494" s="13"/>
    </row>
    <row r="4495" spans="1:12" hidden="1" x14ac:dyDescent="0.25">
      <c r="A4495" s="6"/>
      <c r="B4495" s="6"/>
      <c r="C4495" s="11"/>
      <c r="D4495" s="13"/>
      <c r="E4495" s="13"/>
      <c r="F4495" s="13"/>
      <c r="G4495" s="13"/>
      <c r="H4495" s="13"/>
      <c r="I4495" s="10"/>
      <c r="J4495" s="11"/>
      <c r="K4495" s="6"/>
      <c r="L4495" s="13"/>
    </row>
    <row r="4496" spans="1:12" hidden="1" x14ac:dyDescent="0.25">
      <c r="A4496" s="6"/>
      <c r="B4496" s="6"/>
      <c r="C4496" s="11"/>
      <c r="D4496" s="13"/>
      <c r="E4496" s="13"/>
      <c r="F4496" s="13"/>
      <c r="G4496" s="13"/>
      <c r="H4496" s="13"/>
      <c r="I4496" s="10"/>
      <c r="J4496" s="11"/>
      <c r="K4496" s="6"/>
      <c r="L4496" s="13"/>
    </row>
    <row r="4497" spans="1:12" hidden="1" x14ac:dyDescent="0.25">
      <c r="A4497" s="6"/>
      <c r="B4497" s="6"/>
      <c r="C4497" s="11"/>
      <c r="D4497" s="13"/>
      <c r="E4497" s="13"/>
      <c r="F4497" s="13"/>
      <c r="G4497" s="13"/>
      <c r="H4497" s="13"/>
      <c r="I4497" s="10"/>
      <c r="J4497" s="11"/>
      <c r="K4497" s="6"/>
      <c r="L4497" s="13"/>
    </row>
    <row r="4498" spans="1:12" hidden="1" x14ac:dyDescent="0.25">
      <c r="A4498" s="6"/>
      <c r="B4498" s="6"/>
      <c r="C4498" s="11"/>
      <c r="D4498" s="13"/>
      <c r="E4498" s="13"/>
      <c r="F4498" s="13"/>
      <c r="G4498" s="13"/>
      <c r="H4498" s="13"/>
      <c r="I4498" s="10"/>
      <c r="J4498" s="11"/>
      <c r="K4498" s="6"/>
      <c r="L4498" s="13"/>
    </row>
    <row r="4499" spans="1:12" hidden="1" x14ac:dyDescent="0.25">
      <c r="A4499" s="6"/>
      <c r="B4499" s="6"/>
      <c r="C4499" s="11"/>
      <c r="D4499" s="13"/>
      <c r="E4499" s="13"/>
      <c r="F4499" s="13"/>
      <c r="G4499" s="13"/>
      <c r="H4499" s="13"/>
      <c r="I4499" s="10"/>
      <c r="J4499" s="11"/>
      <c r="K4499" s="6"/>
      <c r="L4499" s="13"/>
    </row>
    <row r="4500" spans="1:12" hidden="1" x14ac:dyDescent="0.25">
      <c r="A4500" s="6"/>
      <c r="B4500" s="6"/>
      <c r="C4500" s="11"/>
      <c r="D4500" s="13"/>
      <c r="E4500" s="13"/>
      <c r="F4500" s="13"/>
      <c r="G4500" s="13"/>
      <c r="H4500" s="13"/>
      <c r="I4500" s="10"/>
      <c r="J4500" s="11"/>
      <c r="K4500" s="6"/>
      <c r="L4500" s="13"/>
    </row>
    <row r="4501" spans="1:12" hidden="1" x14ac:dyDescent="0.25">
      <c r="A4501" s="6"/>
      <c r="B4501" s="6"/>
      <c r="C4501" s="11"/>
      <c r="D4501" s="13"/>
      <c r="E4501" s="13"/>
      <c r="F4501" s="13"/>
      <c r="G4501" s="13"/>
      <c r="H4501" s="13"/>
      <c r="I4501" s="10"/>
      <c r="J4501" s="11"/>
      <c r="K4501" s="6"/>
      <c r="L4501" s="13"/>
    </row>
    <row r="4502" spans="1:12" hidden="1" x14ac:dyDescent="0.25">
      <c r="A4502" s="6"/>
      <c r="B4502" s="6"/>
      <c r="C4502" s="11"/>
      <c r="D4502" s="13"/>
      <c r="E4502" s="13"/>
      <c r="F4502" s="13"/>
      <c r="G4502" s="13"/>
      <c r="H4502" s="13"/>
      <c r="I4502" s="10"/>
      <c r="J4502" s="11"/>
      <c r="K4502" s="6"/>
      <c r="L4502" s="13"/>
    </row>
    <row r="4503" spans="1:12" hidden="1" x14ac:dyDescent="0.25">
      <c r="A4503" s="6"/>
      <c r="B4503" s="6"/>
      <c r="C4503" s="11"/>
      <c r="D4503" s="13"/>
      <c r="E4503" s="13"/>
      <c r="F4503" s="13"/>
      <c r="G4503" s="13"/>
      <c r="H4503" s="13"/>
      <c r="I4503" s="10"/>
      <c r="J4503" s="11"/>
      <c r="K4503" s="6"/>
      <c r="L4503" s="13"/>
    </row>
    <row r="4504" spans="1:12" hidden="1" x14ac:dyDescent="0.25">
      <c r="A4504" s="6"/>
      <c r="B4504" s="6"/>
      <c r="C4504" s="11"/>
      <c r="D4504" s="13"/>
      <c r="E4504" s="13"/>
      <c r="F4504" s="13"/>
      <c r="G4504" s="13"/>
      <c r="H4504" s="13"/>
      <c r="I4504" s="10"/>
      <c r="J4504" s="11"/>
      <c r="K4504" s="6"/>
      <c r="L4504" s="13"/>
    </row>
    <row r="4505" spans="1:12" hidden="1" x14ac:dyDescent="0.25">
      <c r="A4505" s="6"/>
      <c r="B4505" s="6"/>
      <c r="C4505" s="11"/>
      <c r="D4505" s="13"/>
      <c r="E4505" s="13"/>
      <c r="F4505" s="13"/>
      <c r="G4505" s="13"/>
      <c r="H4505" s="13"/>
      <c r="I4505" s="10"/>
      <c r="J4505" s="11"/>
      <c r="K4505" s="6"/>
      <c r="L4505" s="13"/>
    </row>
    <row r="4506" spans="1:12" hidden="1" x14ac:dyDescent="0.25">
      <c r="A4506" s="6"/>
      <c r="B4506" s="6"/>
      <c r="C4506" s="11"/>
      <c r="D4506" s="13"/>
      <c r="E4506" s="13"/>
      <c r="F4506" s="13"/>
      <c r="G4506" s="13"/>
      <c r="H4506" s="13"/>
      <c r="I4506" s="10"/>
      <c r="J4506" s="11"/>
      <c r="K4506" s="6"/>
      <c r="L4506" s="13"/>
    </row>
    <row r="4507" spans="1:12" hidden="1" x14ac:dyDescent="0.25">
      <c r="A4507" s="6"/>
      <c r="B4507" s="6"/>
      <c r="C4507" s="11"/>
      <c r="D4507" s="13"/>
      <c r="E4507" s="13"/>
      <c r="F4507" s="13"/>
      <c r="G4507" s="13"/>
      <c r="H4507" s="13"/>
      <c r="I4507" s="10"/>
      <c r="J4507" s="11"/>
      <c r="K4507" s="6"/>
      <c r="L4507" s="13"/>
    </row>
    <row r="4508" spans="1:12" hidden="1" x14ac:dyDescent="0.25">
      <c r="A4508" s="6"/>
      <c r="B4508" s="6"/>
      <c r="C4508" s="11"/>
      <c r="D4508" s="13"/>
      <c r="E4508" s="13"/>
      <c r="F4508" s="13"/>
      <c r="G4508" s="13"/>
      <c r="H4508" s="13"/>
      <c r="I4508" s="10"/>
      <c r="J4508" s="11"/>
      <c r="K4508" s="6"/>
      <c r="L4508" s="13"/>
    </row>
    <row r="4509" spans="1:12" hidden="1" x14ac:dyDescent="0.25">
      <c r="A4509" s="6"/>
      <c r="B4509" s="6"/>
      <c r="C4509" s="11"/>
      <c r="D4509" s="13"/>
      <c r="E4509" s="13"/>
      <c r="F4509" s="13"/>
      <c r="G4509" s="13"/>
      <c r="H4509" s="13"/>
      <c r="I4509" s="10"/>
      <c r="J4509" s="11"/>
      <c r="K4509" s="6"/>
      <c r="L4509" s="13"/>
    </row>
    <row r="4510" spans="1:12" hidden="1" x14ac:dyDescent="0.25">
      <c r="A4510" s="6"/>
      <c r="B4510" s="6"/>
      <c r="C4510" s="11"/>
      <c r="D4510" s="13"/>
      <c r="E4510" s="13"/>
      <c r="F4510" s="13"/>
      <c r="G4510" s="13"/>
      <c r="H4510" s="13"/>
      <c r="I4510" s="10"/>
      <c r="J4510" s="11"/>
      <c r="K4510" s="6"/>
      <c r="L4510" s="13"/>
    </row>
    <row r="4511" spans="1:12" hidden="1" x14ac:dyDescent="0.25">
      <c r="A4511" s="6"/>
      <c r="B4511" s="6"/>
      <c r="C4511" s="11"/>
      <c r="D4511" s="13"/>
      <c r="E4511" s="13"/>
      <c r="F4511" s="13"/>
      <c r="G4511" s="13"/>
      <c r="H4511" s="13"/>
      <c r="I4511" s="10"/>
      <c r="J4511" s="11"/>
      <c r="K4511" s="6"/>
      <c r="L4511" s="13"/>
    </row>
    <row r="4512" spans="1:12" hidden="1" x14ac:dyDescent="0.25">
      <c r="A4512" s="6"/>
      <c r="B4512" s="6"/>
      <c r="C4512" s="11"/>
      <c r="D4512" s="13"/>
      <c r="E4512" s="13"/>
      <c r="F4512" s="13"/>
      <c r="G4512" s="13"/>
      <c r="H4512" s="13"/>
      <c r="I4512" s="10"/>
      <c r="J4512" s="11"/>
      <c r="K4512" s="6"/>
      <c r="L4512" s="13"/>
    </row>
    <row r="4513" spans="1:12" hidden="1" x14ac:dyDescent="0.25">
      <c r="A4513" s="6"/>
      <c r="B4513" s="6"/>
      <c r="C4513" s="11"/>
      <c r="D4513" s="13"/>
      <c r="E4513" s="13"/>
      <c r="F4513" s="13"/>
      <c r="G4513" s="13"/>
      <c r="H4513" s="13"/>
      <c r="I4513" s="10"/>
      <c r="J4513" s="11"/>
      <c r="K4513" s="6"/>
      <c r="L4513" s="13"/>
    </row>
    <row r="4514" spans="1:12" hidden="1" x14ac:dyDescent="0.25">
      <c r="A4514" s="6"/>
      <c r="B4514" s="6"/>
      <c r="C4514" s="11"/>
      <c r="D4514" s="13"/>
      <c r="E4514" s="13"/>
      <c r="F4514" s="13"/>
      <c r="G4514" s="13"/>
      <c r="H4514" s="13"/>
      <c r="I4514" s="10"/>
      <c r="J4514" s="11"/>
      <c r="K4514" s="6"/>
      <c r="L4514" s="13"/>
    </row>
    <row r="4515" spans="1:12" hidden="1" x14ac:dyDescent="0.25">
      <c r="A4515" s="6"/>
      <c r="B4515" s="6"/>
      <c r="C4515" s="11"/>
      <c r="D4515" s="13"/>
      <c r="E4515" s="13"/>
      <c r="F4515" s="13"/>
      <c r="G4515" s="13"/>
      <c r="H4515" s="13"/>
      <c r="I4515" s="10"/>
      <c r="J4515" s="11"/>
      <c r="K4515" s="6"/>
      <c r="L4515" s="13"/>
    </row>
    <row r="4516" spans="1:12" hidden="1" x14ac:dyDescent="0.25">
      <c r="A4516" s="6"/>
      <c r="B4516" s="6"/>
      <c r="C4516" s="11"/>
      <c r="D4516" s="13"/>
      <c r="E4516" s="13"/>
      <c r="F4516" s="13"/>
      <c r="G4516" s="13"/>
      <c r="H4516" s="13"/>
      <c r="I4516" s="10"/>
      <c r="J4516" s="11"/>
      <c r="K4516" s="6"/>
      <c r="L4516" s="13"/>
    </row>
    <row r="4517" spans="1:12" hidden="1" x14ac:dyDescent="0.25">
      <c r="A4517" s="6"/>
      <c r="B4517" s="6"/>
      <c r="C4517" s="11"/>
      <c r="D4517" s="13"/>
      <c r="E4517" s="13"/>
      <c r="F4517" s="13"/>
      <c r="G4517" s="13"/>
      <c r="H4517" s="13"/>
      <c r="I4517" s="10"/>
      <c r="J4517" s="11"/>
      <c r="K4517" s="6"/>
      <c r="L4517" s="13"/>
    </row>
    <row r="4518" spans="1:12" hidden="1" x14ac:dyDescent="0.25">
      <c r="A4518" s="6"/>
      <c r="B4518" s="6"/>
      <c r="C4518" s="11"/>
      <c r="D4518" s="13"/>
      <c r="E4518" s="13"/>
      <c r="F4518" s="13"/>
      <c r="G4518" s="13"/>
      <c r="H4518" s="13"/>
      <c r="I4518" s="10"/>
      <c r="J4518" s="11"/>
      <c r="K4518" s="6"/>
      <c r="L4518" s="13"/>
    </row>
    <row r="4519" spans="1:12" hidden="1" x14ac:dyDescent="0.25">
      <c r="A4519" s="6"/>
      <c r="B4519" s="6"/>
      <c r="C4519" s="11"/>
      <c r="D4519" s="13"/>
      <c r="E4519" s="13"/>
      <c r="F4519" s="13"/>
      <c r="G4519" s="13"/>
      <c r="H4519" s="13"/>
      <c r="I4519" s="10"/>
      <c r="J4519" s="11"/>
      <c r="K4519" s="6"/>
      <c r="L4519" s="13"/>
    </row>
    <row r="4520" spans="1:12" hidden="1" x14ac:dyDescent="0.25">
      <c r="A4520" s="6"/>
      <c r="B4520" s="6"/>
      <c r="C4520" s="11"/>
      <c r="D4520" s="13"/>
      <c r="E4520" s="13"/>
      <c r="F4520" s="13"/>
      <c r="G4520" s="13"/>
      <c r="H4520" s="13"/>
      <c r="I4520" s="10"/>
      <c r="J4520" s="11"/>
      <c r="K4520" s="6"/>
      <c r="L4520" s="13"/>
    </row>
    <row r="4521" spans="1:12" hidden="1" x14ac:dyDescent="0.25">
      <c r="A4521" s="6"/>
      <c r="B4521" s="6"/>
      <c r="C4521" s="11"/>
      <c r="D4521" s="13"/>
      <c r="E4521" s="13"/>
      <c r="F4521" s="13"/>
      <c r="G4521" s="13"/>
      <c r="H4521" s="13"/>
      <c r="I4521" s="10"/>
      <c r="J4521" s="11"/>
      <c r="K4521" s="6"/>
      <c r="L4521" s="13"/>
    </row>
    <row r="4522" spans="1:12" hidden="1" x14ac:dyDescent="0.25">
      <c r="A4522" s="6"/>
      <c r="B4522" s="6"/>
      <c r="C4522" s="11"/>
      <c r="D4522" s="13"/>
      <c r="E4522" s="13"/>
      <c r="F4522" s="13"/>
      <c r="G4522" s="13"/>
      <c r="H4522" s="13"/>
      <c r="I4522" s="10"/>
      <c r="J4522" s="11"/>
      <c r="K4522" s="6"/>
      <c r="L4522" s="13"/>
    </row>
    <row r="4523" spans="1:12" hidden="1" x14ac:dyDescent="0.25">
      <c r="A4523" s="6"/>
      <c r="B4523" s="6"/>
      <c r="C4523" s="11"/>
      <c r="D4523" s="13"/>
      <c r="E4523" s="13"/>
      <c r="F4523" s="13"/>
      <c r="G4523" s="13"/>
      <c r="H4523" s="13"/>
      <c r="I4523" s="10"/>
      <c r="J4523" s="11"/>
      <c r="K4523" s="6"/>
      <c r="L4523" s="13"/>
    </row>
    <row r="4524" spans="1:12" hidden="1" x14ac:dyDescent="0.25">
      <c r="A4524" s="6"/>
      <c r="B4524" s="6"/>
      <c r="C4524" s="11"/>
      <c r="D4524" s="13"/>
      <c r="E4524" s="13"/>
      <c r="F4524" s="13"/>
      <c r="G4524" s="13"/>
      <c r="H4524" s="13"/>
      <c r="I4524" s="10"/>
      <c r="J4524" s="11"/>
      <c r="K4524" s="6"/>
      <c r="L4524" s="13"/>
    </row>
    <row r="4525" spans="1:12" hidden="1" x14ac:dyDescent="0.25">
      <c r="A4525" s="6"/>
      <c r="B4525" s="6"/>
      <c r="C4525" s="11"/>
      <c r="D4525" s="13"/>
      <c r="E4525" s="13"/>
      <c r="F4525" s="13"/>
      <c r="G4525" s="13"/>
      <c r="H4525" s="13"/>
      <c r="I4525" s="10"/>
      <c r="J4525" s="11"/>
      <c r="K4525" s="6"/>
      <c r="L4525" s="13"/>
    </row>
    <row r="4526" spans="1:12" hidden="1" x14ac:dyDescent="0.25">
      <c r="A4526" s="6"/>
      <c r="B4526" s="6"/>
      <c r="C4526" s="11"/>
      <c r="D4526" s="13"/>
      <c r="E4526" s="13"/>
      <c r="F4526" s="13"/>
      <c r="G4526" s="13"/>
      <c r="H4526" s="13"/>
      <c r="I4526" s="10"/>
      <c r="J4526" s="11"/>
      <c r="K4526" s="6"/>
      <c r="L4526" s="13"/>
    </row>
    <row r="4527" spans="1:12" hidden="1" x14ac:dyDescent="0.25">
      <c r="A4527" s="6"/>
      <c r="B4527" s="6"/>
      <c r="C4527" s="11"/>
      <c r="D4527" s="13"/>
      <c r="E4527" s="13"/>
      <c r="F4527" s="13"/>
      <c r="G4527" s="13"/>
      <c r="H4527" s="13"/>
      <c r="I4527" s="10"/>
      <c r="J4527" s="11"/>
      <c r="K4527" s="6"/>
      <c r="L4527" s="13"/>
    </row>
    <row r="4528" spans="1:12" hidden="1" x14ac:dyDescent="0.25">
      <c r="A4528" s="6"/>
      <c r="B4528" s="6"/>
      <c r="C4528" s="11"/>
      <c r="D4528" s="13"/>
      <c r="E4528" s="13"/>
      <c r="F4528" s="13"/>
      <c r="G4528" s="13"/>
      <c r="H4528" s="13"/>
      <c r="I4528" s="10"/>
      <c r="J4528" s="11"/>
      <c r="K4528" s="6"/>
      <c r="L4528" s="13"/>
    </row>
    <row r="4529" spans="1:12" hidden="1" x14ac:dyDescent="0.25">
      <c r="A4529" s="6"/>
      <c r="B4529" s="6"/>
      <c r="C4529" s="11"/>
      <c r="D4529" s="13"/>
      <c r="E4529" s="13"/>
      <c r="F4529" s="13"/>
      <c r="G4529" s="13"/>
      <c r="H4529" s="13"/>
      <c r="I4529" s="10"/>
      <c r="J4529" s="11"/>
      <c r="K4529" s="6"/>
      <c r="L4529" s="13"/>
    </row>
    <row r="4530" spans="1:12" hidden="1" x14ac:dyDescent="0.25">
      <c r="A4530" s="6"/>
      <c r="B4530" s="6"/>
      <c r="C4530" s="11"/>
      <c r="D4530" s="13"/>
      <c r="E4530" s="13"/>
      <c r="F4530" s="13"/>
      <c r="G4530" s="13"/>
      <c r="H4530" s="13"/>
      <c r="I4530" s="10"/>
      <c r="J4530" s="11"/>
      <c r="K4530" s="6"/>
      <c r="L4530" s="13"/>
    </row>
    <row r="4531" spans="1:12" hidden="1" x14ac:dyDescent="0.25">
      <c r="A4531" s="6"/>
      <c r="B4531" s="6"/>
      <c r="C4531" s="11"/>
      <c r="D4531" s="13"/>
      <c r="E4531" s="13"/>
      <c r="F4531" s="13"/>
      <c r="G4531" s="13"/>
      <c r="H4531" s="13"/>
      <c r="I4531" s="10"/>
      <c r="J4531" s="11"/>
      <c r="K4531" s="6"/>
      <c r="L4531" s="13"/>
    </row>
    <row r="4532" spans="1:12" hidden="1" x14ac:dyDescent="0.25">
      <c r="A4532" s="6"/>
      <c r="B4532" s="6"/>
      <c r="C4532" s="11"/>
      <c r="D4532" s="13"/>
      <c r="E4532" s="13"/>
      <c r="F4532" s="13"/>
      <c r="G4532" s="13"/>
      <c r="H4532" s="13"/>
      <c r="I4532" s="10"/>
      <c r="J4532" s="11"/>
      <c r="K4532" s="6"/>
      <c r="L4532" s="13"/>
    </row>
    <row r="4533" spans="1:12" hidden="1" x14ac:dyDescent="0.25">
      <c r="A4533" s="6"/>
      <c r="B4533" s="6"/>
      <c r="C4533" s="11"/>
      <c r="D4533" s="13"/>
      <c r="E4533" s="13"/>
      <c r="F4533" s="13"/>
      <c r="G4533" s="13"/>
      <c r="H4533" s="13"/>
      <c r="I4533" s="10"/>
      <c r="J4533" s="11"/>
      <c r="K4533" s="6"/>
      <c r="L4533" s="13"/>
    </row>
    <row r="4534" spans="1:12" hidden="1" x14ac:dyDescent="0.25">
      <c r="A4534" s="6"/>
      <c r="B4534" s="6"/>
      <c r="C4534" s="11"/>
      <c r="D4534" s="13"/>
      <c r="E4534" s="13"/>
      <c r="F4534" s="13"/>
      <c r="G4534" s="13"/>
      <c r="H4534" s="13"/>
      <c r="I4534" s="10"/>
      <c r="J4534" s="11"/>
      <c r="K4534" s="6"/>
      <c r="L4534" s="13"/>
    </row>
    <row r="4535" spans="1:12" hidden="1" x14ac:dyDescent="0.25">
      <c r="A4535" s="6"/>
      <c r="B4535" s="6"/>
      <c r="C4535" s="11"/>
      <c r="D4535" s="13"/>
      <c r="E4535" s="13"/>
      <c r="F4535" s="13"/>
      <c r="G4535" s="13"/>
      <c r="H4535" s="13"/>
      <c r="I4535" s="10"/>
      <c r="J4535" s="11"/>
      <c r="K4535" s="6"/>
      <c r="L4535" s="13"/>
    </row>
    <row r="4536" spans="1:12" hidden="1" x14ac:dyDescent="0.25">
      <c r="A4536" s="6"/>
      <c r="B4536" s="6"/>
      <c r="C4536" s="11"/>
      <c r="D4536" s="13"/>
      <c r="E4536" s="13"/>
      <c r="F4536" s="13"/>
      <c r="G4536" s="13"/>
      <c r="H4536" s="13"/>
      <c r="I4536" s="10"/>
      <c r="J4536" s="11"/>
      <c r="K4536" s="6"/>
      <c r="L4536" s="13"/>
    </row>
    <row r="4537" spans="1:12" hidden="1" x14ac:dyDescent="0.25">
      <c r="A4537" s="6"/>
      <c r="B4537" s="6"/>
      <c r="C4537" s="11"/>
      <c r="D4537" s="13"/>
      <c r="E4537" s="13"/>
      <c r="F4537" s="13"/>
      <c r="G4537" s="13"/>
      <c r="H4537" s="13"/>
      <c r="I4537" s="10"/>
      <c r="J4537" s="11"/>
      <c r="K4537" s="6"/>
      <c r="L4537" s="13"/>
    </row>
    <row r="4538" spans="1:12" hidden="1" x14ac:dyDescent="0.25">
      <c r="A4538" s="6"/>
      <c r="B4538" s="6"/>
      <c r="C4538" s="11"/>
      <c r="D4538" s="13"/>
      <c r="E4538" s="13"/>
      <c r="F4538" s="13"/>
      <c r="G4538" s="13"/>
      <c r="H4538" s="13"/>
      <c r="I4538" s="10"/>
      <c r="J4538" s="11"/>
      <c r="K4538" s="6"/>
      <c r="L4538" s="13"/>
    </row>
    <row r="4539" spans="1:12" hidden="1" x14ac:dyDescent="0.25">
      <c r="A4539" s="6"/>
      <c r="B4539" s="6"/>
      <c r="C4539" s="11"/>
      <c r="D4539" s="13"/>
      <c r="E4539" s="13"/>
      <c r="F4539" s="13"/>
      <c r="G4539" s="13"/>
      <c r="H4539" s="13"/>
      <c r="I4539" s="10"/>
      <c r="J4539" s="11"/>
      <c r="K4539" s="6"/>
      <c r="L4539" s="13"/>
    </row>
    <row r="4540" spans="1:12" hidden="1" x14ac:dyDescent="0.25">
      <c r="A4540" s="6"/>
      <c r="B4540" s="6"/>
      <c r="C4540" s="11"/>
      <c r="D4540" s="13"/>
      <c r="E4540" s="13"/>
      <c r="F4540" s="13"/>
      <c r="G4540" s="13"/>
      <c r="H4540" s="13"/>
      <c r="I4540" s="10"/>
      <c r="J4540" s="11"/>
      <c r="K4540" s="6"/>
      <c r="L4540" s="13"/>
    </row>
    <row r="4541" spans="1:12" hidden="1" x14ac:dyDescent="0.25">
      <c r="A4541" s="6"/>
      <c r="B4541" s="6"/>
      <c r="C4541" s="11"/>
      <c r="D4541" s="13"/>
      <c r="E4541" s="13"/>
      <c r="F4541" s="13"/>
      <c r="G4541" s="13"/>
      <c r="H4541" s="13"/>
      <c r="I4541" s="10"/>
      <c r="J4541" s="11"/>
      <c r="K4541" s="6"/>
      <c r="L4541" s="13"/>
    </row>
    <row r="4542" spans="1:12" hidden="1" x14ac:dyDescent="0.25">
      <c r="A4542" s="6"/>
      <c r="B4542" s="6"/>
      <c r="C4542" s="11"/>
      <c r="D4542" s="13"/>
      <c r="E4542" s="13"/>
      <c r="F4542" s="13"/>
      <c r="G4542" s="13"/>
      <c r="H4542" s="13"/>
      <c r="I4542" s="10"/>
      <c r="J4542" s="11"/>
      <c r="K4542" s="6"/>
      <c r="L4542" s="13"/>
    </row>
    <row r="4543" spans="1:12" hidden="1" x14ac:dyDescent="0.25">
      <c r="A4543" s="6"/>
      <c r="B4543" s="6"/>
      <c r="C4543" s="11"/>
      <c r="D4543" s="13"/>
      <c r="E4543" s="13"/>
      <c r="F4543" s="13"/>
      <c r="G4543" s="13"/>
      <c r="H4543" s="13"/>
      <c r="I4543" s="10"/>
      <c r="J4543" s="11"/>
      <c r="K4543" s="6"/>
      <c r="L4543" s="13"/>
    </row>
    <row r="4544" spans="1:12" hidden="1" x14ac:dyDescent="0.25">
      <c r="A4544" s="6"/>
      <c r="B4544" s="6"/>
      <c r="C4544" s="11"/>
      <c r="D4544" s="13"/>
      <c r="E4544" s="13"/>
      <c r="F4544" s="13"/>
      <c r="G4544" s="13"/>
      <c r="H4544" s="13"/>
      <c r="I4544" s="10"/>
      <c r="J4544" s="11"/>
      <c r="K4544" s="6"/>
      <c r="L4544" s="13"/>
    </row>
    <row r="4545" spans="1:12" hidden="1" x14ac:dyDescent="0.25">
      <c r="A4545" s="6"/>
      <c r="B4545" s="6"/>
      <c r="C4545" s="11"/>
      <c r="D4545" s="13"/>
      <c r="E4545" s="13"/>
      <c r="F4545" s="13"/>
      <c r="G4545" s="13"/>
      <c r="H4545" s="13"/>
      <c r="I4545" s="10"/>
      <c r="J4545" s="11"/>
      <c r="K4545" s="6"/>
      <c r="L4545" s="13"/>
    </row>
    <row r="4546" spans="1:12" hidden="1" x14ac:dyDescent="0.25">
      <c r="A4546" s="6"/>
      <c r="B4546" s="6"/>
      <c r="C4546" s="11"/>
      <c r="D4546" s="13"/>
      <c r="E4546" s="13"/>
      <c r="F4546" s="13"/>
      <c r="G4546" s="13"/>
      <c r="H4546" s="13"/>
      <c r="I4546" s="10"/>
      <c r="J4546" s="11"/>
      <c r="K4546" s="6"/>
      <c r="L4546" s="13"/>
    </row>
    <row r="4547" spans="1:12" hidden="1" x14ac:dyDescent="0.25">
      <c r="A4547" s="6"/>
      <c r="B4547" s="6"/>
      <c r="C4547" s="11"/>
      <c r="D4547" s="13"/>
      <c r="E4547" s="13"/>
      <c r="F4547" s="13"/>
      <c r="G4547" s="13"/>
      <c r="H4547" s="13"/>
      <c r="I4547" s="10"/>
      <c r="J4547" s="11"/>
      <c r="K4547" s="6"/>
      <c r="L4547" s="13"/>
    </row>
    <row r="4548" spans="1:12" hidden="1" x14ac:dyDescent="0.25">
      <c r="A4548" s="6"/>
      <c r="B4548" s="6"/>
      <c r="C4548" s="11"/>
      <c r="D4548" s="13"/>
      <c r="E4548" s="13"/>
      <c r="F4548" s="13"/>
      <c r="G4548" s="13"/>
      <c r="H4548" s="13"/>
      <c r="I4548" s="10"/>
      <c r="J4548" s="11"/>
      <c r="K4548" s="6"/>
      <c r="L4548" s="13"/>
    </row>
    <row r="4549" spans="1:12" hidden="1" x14ac:dyDescent="0.25">
      <c r="A4549" s="6"/>
      <c r="B4549" s="6"/>
      <c r="C4549" s="11"/>
      <c r="D4549" s="13"/>
      <c r="E4549" s="13"/>
      <c r="F4549" s="13"/>
      <c r="G4549" s="13"/>
      <c r="H4549" s="13"/>
      <c r="I4549" s="10"/>
      <c r="J4549" s="11"/>
      <c r="K4549" s="6"/>
      <c r="L4549" s="13"/>
    </row>
    <row r="4550" spans="1:12" hidden="1" x14ac:dyDescent="0.25">
      <c r="A4550" s="6"/>
      <c r="B4550" s="6"/>
      <c r="C4550" s="11"/>
      <c r="D4550" s="13"/>
      <c r="E4550" s="13"/>
      <c r="F4550" s="13"/>
      <c r="G4550" s="13"/>
      <c r="H4550" s="13"/>
      <c r="I4550" s="10"/>
      <c r="J4550" s="11"/>
      <c r="K4550" s="6"/>
      <c r="L4550" s="13"/>
    </row>
    <row r="4551" spans="1:12" hidden="1" x14ac:dyDescent="0.25">
      <c r="A4551" s="6"/>
      <c r="B4551" s="6"/>
      <c r="C4551" s="11"/>
      <c r="D4551" s="13"/>
      <c r="E4551" s="13"/>
      <c r="F4551" s="13"/>
      <c r="G4551" s="13"/>
      <c r="H4551" s="13"/>
      <c r="I4551" s="10"/>
      <c r="J4551" s="11"/>
      <c r="K4551" s="6"/>
      <c r="L4551" s="13"/>
    </row>
    <row r="4552" spans="1:12" hidden="1" x14ac:dyDescent="0.25">
      <c r="A4552" s="6"/>
      <c r="B4552" s="6"/>
      <c r="C4552" s="11"/>
      <c r="D4552" s="13"/>
      <c r="E4552" s="13"/>
      <c r="F4552" s="13"/>
      <c r="G4552" s="13"/>
      <c r="H4552" s="13"/>
      <c r="I4552" s="10"/>
      <c r="J4552" s="11"/>
      <c r="K4552" s="6"/>
      <c r="L4552" s="13"/>
    </row>
    <row r="4553" spans="1:12" hidden="1" x14ac:dyDescent="0.25">
      <c r="A4553" s="6"/>
      <c r="B4553" s="6"/>
      <c r="C4553" s="11"/>
      <c r="D4553" s="13"/>
      <c r="E4553" s="13"/>
      <c r="F4553" s="13"/>
      <c r="G4553" s="13"/>
      <c r="H4553" s="13"/>
      <c r="I4553" s="10"/>
      <c r="J4553" s="11"/>
      <c r="K4553" s="6"/>
      <c r="L4553" s="13"/>
    </row>
    <row r="4554" spans="1:12" hidden="1" x14ac:dyDescent="0.25">
      <c r="A4554" s="6"/>
      <c r="B4554" s="6"/>
      <c r="C4554" s="11"/>
      <c r="D4554" s="13"/>
      <c r="E4554" s="13"/>
      <c r="F4554" s="13"/>
      <c r="G4554" s="13"/>
      <c r="H4554" s="13"/>
      <c r="I4554" s="10"/>
      <c r="J4554" s="11"/>
      <c r="K4554" s="6"/>
      <c r="L4554" s="13"/>
    </row>
    <row r="4555" spans="1:12" hidden="1" x14ac:dyDescent="0.25">
      <c r="A4555" s="6"/>
      <c r="B4555" s="6"/>
      <c r="C4555" s="11"/>
      <c r="D4555" s="13"/>
      <c r="E4555" s="13"/>
      <c r="F4555" s="13"/>
      <c r="G4555" s="13"/>
      <c r="H4555" s="13"/>
      <c r="I4555" s="10"/>
      <c r="J4555" s="11"/>
      <c r="K4555" s="6"/>
      <c r="L4555" s="13"/>
    </row>
    <row r="4556" spans="1:12" hidden="1" x14ac:dyDescent="0.25">
      <c r="A4556" s="6"/>
      <c r="B4556" s="6"/>
      <c r="C4556" s="11"/>
      <c r="D4556" s="13"/>
      <c r="E4556" s="13"/>
      <c r="F4556" s="13"/>
      <c r="G4556" s="13"/>
      <c r="H4556" s="13"/>
      <c r="I4556" s="10"/>
      <c r="J4556" s="11"/>
      <c r="K4556" s="6"/>
      <c r="L4556" s="13"/>
    </row>
    <row r="4557" spans="1:12" hidden="1" x14ac:dyDescent="0.25">
      <c r="A4557" s="6"/>
      <c r="B4557" s="6"/>
      <c r="C4557" s="11"/>
      <c r="D4557" s="13"/>
      <c r="E4557" s="13"/>
      <c r="F4557" s="13"/>
      <c r="G4557" s="13"/>
      <c r="H4557" s="13"/>
      <c r="I4557" s="10"/>
      <c r="J4557" s="11"/>
      <c r="K4557" s="6"/>
      <c r="L4557" s="13"/>
    </row>
    <row r="4558" spans="1:12" hidden="1" x14ac:dyDescent="0.25">
      <c r="A4558" s="6"/>
      <c r="B4558" s="6"/>
      <c r="C4558" s="11"/>
      <c r="D4558" s="13"/>
      <c r="E4558" s="13"/>
      <c r="F4558" s="13"/>
      <c r="G4558" s="13"/>
      <c r="H4558" s="13"/>
      <c r="I4558" s="10"/>
      <c r="J4558" s="11"/>
      <c r="K4558" s="6"/>
      <c r="L4558" s="13"/>
    </row>
    <row r="4559" spans="1:12" hidden="1" x14ac:dyDescent="0.25">
      <c r="A4559" s="6"/>
      <c r="B4559" s="6"/>
      <c r="C4559" s="11"/>
      <c r="D4559" s="13"/>
      <c r="E4559" s="13"/>
      <c r="F4559" s="13"/>
      <c r="G4559" s="13"/>
      <c r="H4559" s="13"/>
      <c r="I4559" s="10"/>
      <c r="J4559" s="11"/>
      <c r="K4559" s="6"/>
      <c r="L4559" s="13"/>
    </row>
    <row r="4560" spans="1:12" hidden="1" x14ac:dyDescent="0.25">
      <c r="A4560" s="6"/>
      <c r="B4560" s="6"/>
      <c r="C4560" s="11"/>
      <c r="D4560" s="13"/>
      <c r="E4560" s="13"/>
      <c r="F4560" s="13"/>
      <c r="G4560" s="13"/>
      <c r="H4560" s="13"/>
      <c r="I4560" s="10"/>
      <c r="J4560" s="11"/>
      <c r="K4560" s="6"/>
      <c r="L4560" s="13"/>
    </row>
    <row r="4561" spans="1:12" hidden="1" x14ac:dyDescent="0.25">
      <c r="A4561" s="6"/>
      <c r="B4561" s="6"/>
      <c r="C4561" s="11"/>
      <c r="D4561" s="13"/>
      <c r="E4561" s="13"/>
      <c r="F4561" s="13"/>
      <c r="G4561" s="13"/>
      <c r="H4561" s="13"/>
      <c r="I4561" s="10"/>
      <c r="J4561" s="11"/>
      <c r="K4561" s="6"/>
      <c r="L4561" s="13"/>
    </row>
    <row r="4562" spans="1:12" hidden="1" x14ac:dyDescent="0.25">
      <c r="A4562" s="6"/>
      <c r="B4562" s="6"/>
      <c r="C4562" s="11"/>
      <c r="D4562" s="13"/>
      <c r="E4562" s="13"/>
      <c r="F4562" s="13"/>
      <c r="G4562" s="13"/>
      <c r="H4562" s="13"/>
      <c r="I4562" s="10"/>
      <c r="J4562" s="11"/>
      <c r="K4562" s="6"/>
      <c r="L4562" s="13"/>
    </row>
    <row r="4563" spans="1:12" hidden="1" x14ac:dyDescent="0.25">
      <c r="A4563" s="6"/>
      <c r="B4563" s="6"/>
      <c r="C4563" s="11"/>
      <c r="D4563" s="13"/>
      <c r="E4563" s="13"/>
      <c r="F4563" s="13"/>
      <c r="G4563" s="13"/>
      <c r="H4563" s="13"/>
      <c r="I4563" s="10"/>
      <c r="J4563" s="11"/>
      <c r="K4563" s="6"/>
      <c r="L4563" s="13"/>
    </row>
    <row r="4564" spans="1:12" hidden="1" x14ac:dyDescent="0.25">
      <c r="A4564" s="6"/>
      <c r="B4564" s="6"/>
      <c r="C4564" s="11"/>
      <c r="D4564" s="13"/>
      <c r="E4564" s="13"/>
      <c r="F4564" s="13"/>
      <c r="G4564" s="13"/>
      <c r="H4564" s="13"/>
      <c r="I4564" s="10"/>
      <c r="J4564" s="11"/>
      <c r="K4564" s="6"/>
      <c r="L4564" s="13"/>
    </row>
    <row r="4565" spans="1:12" hidden="1" x14ac:dyDescent="0.25">
      <c r="A4565" s="6"/>
      <c r="B4565" s="6"/>
      <c r="C4565" s="11"/>
      <c r="D4565" s="13"/>
      <c r="E4565" s="13"/>
      <c r="F4565" s="13"/>
      <c r="G4565" s="13"/>
      <c r="H4565" s="13"/>
      <c r="I4565" s="10"/>
      <c r="J4565" s="11"/>
      <c r="K4565" s="6"/>
      <c r="L4565" s="13"/>
    </row>
    <row r="4566" spans="1:12" hidden="1" x14ac:dyDescent="0.25">
      <c r="A4566" s="6"/>
      <c r="B4566" s="6"/>
      <c r="C4566" s="11"/>
      <c r="D4566" s="13"/>
      <c r="E4566" s="13"/>
      <c r="F4566" s="13"/>
      <c r="G4566" s="13"/>
      <c r="H4566" s="13"/>
      <c r="I4566" s="10"/>
      <c r="J4566" s="11"/>
      <c r="K4566" s="6"/>
      <c r="L4566" s="13"/>
    </row>
    <row r="4567" spans="1:12" hidden="1" x14ac:dyDescent="0.25">
      <c r="A4567" s="6"/>
      <c r="B4567" s="6"/>
      <c r="C4567" s="11"/>
      <c r="D4567" s="13"/>
      <c r="E4567" s="13"/>
      <c r="F4567" s="13"/>
      <c r="G4567" s="13"/>
      <c r="H4567" s="13"/>
      <c r="I4567" s="10"/>
      <c r="J4567" s="11"/>
      <c r="K4567" s="6"/>
      <c r="L4567" s="13"/>
    </row>
    <row r="4568" spans="1:12" hidden="1" x14ac:dyDescent="0.25">
      <c r="A4568" s="6"/>
      <c r="B4568" s="6"/>
      <c r="C4568" s="11"/>
      <c r="D4568" s="13"/>
      <c r="E4568" s="13"/>
      <c r="F4568" s="13"/>
      <c r="G4568" s="13"/>
      <c r="H4568" s="13"/>
      <c r="I4568" s="10"/>
      <c r="J4568" s="11"/>
      <c r="K4568" s="6"/>
      <c r="L4568" s="13"/>
    </row>
    <row r="4569" spans="1:12" hidden="1" x14ac:dyDescent="0.25">
      <c r="A4569" s="6"/>
      <c r="B4569" s="6"/>
      <c r="C4569" s="11"/>
      <c r="D4569" s="13"/>
      <c r="E4569" s="13"/>
      <c r="F4569" s="13"/>
      <c r="G4569" s="13"/>
      <c r="H4569" s="13"/>
      <c r="I4569" s="10"/>
      <c r="J4569" s="11"/>
      <c r="K4569" s="6"/>
      <c r="L4569" s="13"/>
    </row>
    <row r="4570" spans="1:12" hidden="1" x14ac:dyDescent="0.25">
      <c r="A4570" s="6"/>
      <c r="B4570" s="6"/>
      <c r="C4570" s="11"/>
      <c r="D4570" s="13"/>
      <c r="E4570" s="13"/>
      <c r="F4570" s="13"/>
      <c r="G4570" s="13"/>
      <c r="H4570" s="13"/>
      <c r="I4570" s="10"/>
      <c r="J4570" s="11"/>
      <c r="K4570" s="6"/>
      <c r="L4570" s="13"/>
    </row>
    <row r="4571" spans="1:12" hidden="1" x14ac:dyDescent="0.25">
      <c r="A4571" s="6"/>
      <c r="B4571" s="6"/>
      <c r="C4571" s="11"/>
      <c r="D4571" s="13"/>
      <c r="E4571" s="13"/>
      <c r="F4571" s="13"/>
      <c r="G4571" s="13"/>
      <c r="H4571" s="13"/>
      <c r="I4571" s="10"/>
      <c r="J4571" s="11"/>
      <c r="K4571" s="6"/>
      <c r="L4571" s="13"/>
    </row>
    <row r="4572" spans="1:12" hidden="1" x14ac:dyDescent="0.25">
      <c r="A4572" s="6"/>
      <c r="B4572" s="6"/>
      <c r="C4572" s="11"/>
      <c r="D4572" s="13"/>
      <c r="E4572" s="13"/>
      <c r="F4572" s="13"/>
      <c r="G4572" s="13"/>
      <c r="H4572" s="13"/>
      <c r="I4572" s="10"/>
      <c r="J4572" s="11"/>
      <c r="K4572" s="6"/>
      <c r="L4572" s="13"/>
    </row>
    <row r="4573" spans="1:12" hidden="1" x14ac:dyDescent="0.25">
      <c r="A4573" s="6"/>
      <c r="B4573" s="6"/>
      <c r="C4573" s="11"/>
      <c r="D4573" s="13"/>
      <c r="E4573" s="13"/>
      <c r="F4573" s="13"/>
      <c r="G4573" s="13"/>
      <c r="H4573" s="13"/>
      <c r="I4573" s="10"/>
      <c r="J4573" s="11"/>
      <c r="K4573" s="6"/>
      <c r="L4573" s="13"/>
    </row>
    <row r="4574" spans="1:12" hidden="1" x14ac:dyDescent="0.25">
      <c r="A4574" s="6"/>
      <c r="B4574" s="6"/>
      <c r="C4574" s="11"/>
      <c r="D4574" s="13"/>
      <c r="E4574" s="13"/>
      <c r="F4574" s="13"/>
      <c r="G4574" s="13"/>
      <c r="H4574" s="13"/>
      <c r="I4574" s="10"/>
      <c r="J4574" s="11"/>
      <c r="K4574" s="6"/>
      <c r="L4574" s="13"/>
    </row>
    <row r="4575" spans="1:12" hidden="1" x14ac:dyDescent="0.25">
      <c r="A4575" s="6"/>
      <c r="B4575" s="6"/>
      <c r="C4575" s="11"/>
      <c r="D4575" s="13"/>
      <c r="E4575" s="13"/>
      <c r="F4575" s="13"/>
      <c r="G4575" s="13"/>
      <c r="H4575" s="13"/>
      <c r="I4575" s="10"/>
      <c r="J4575" s="11"/>
      <c r="K4575" s="6"/>
      <c r="L4575" s="13"/>
    </row>
    <row r="4576" spans="1:12" hidden="1" x14ac:dyDescent="0.25">
      <c r="A4576" s="6"/>
      <c r="B4576" s="6"/>
      <c r="C4576" s="11"/>
      <c r="D4576" s="13"/>
      <c r="E4576" s="13"/>
      <c r="F4576" s="13"/>
      <c r="G4576" s="13"/>
      <c r="H4576" s="13"/>
      <c r="I4576" s="10"/>
      <c r="J4576" s="11"/>
      <c r="K4576" s="6"/>
      <c r="L4576" s="13"/>
    </row>
    <row r="4577" spans="1:12" hidden="1" x14ac:dyDescent="0.25">
      <c r="A4577" s="6"/>
      <c r="B4577" s="6"/>
      <c r="C4577" s="11"/>
      <c r="D4577" s="13"/>
      <c r="E4577" s="13"/>
      <c r="F4577" s="13"/>
      <c r="G4577" s="13"/>
      <c r="H4577" s="13"/>
      <c r="I4577" s="10"/>
      <c r="J4577" s="11"/>
      <c r="K4577" s="6"/>
      <c r="L4577" s="13"/>
    </row>
    <row r="4578" spans="1:12" hidden="1" x14ac:dyDescent="0.25">
      <c r="A4578" s="6"/>
      <c r="B4578" s="6"/>
      <c r="C4578" s="11"/>
      <c r="D4578" s="13"/>
      <c r="E4578" s="13"/>
      <c r="F4578" s="13"/>
      <c r="G4578" s="13"/>
      <c r="H4578" s="13"/>
      <c r="I4578" s="10"/>
      <c r="J4578" s="11"/>
      <c r="K4578" s="6"/>
      <c r="L4578" s="13"/>
    </row>
    <row r="4579" spans="1:12" hidden="1" x14ac:dyDescent="0.25">
      <c r="A4579" s="6"/>
      <c r="B4579" s="6"/>
      <c r="C4579" s="11"/>
      <c r="D4579" s="13"/>
      <c r="E4579" s="13"/>
      <c r="F4579" s="13"/>
      <c r="G4579" s="13"/>
      <c r="H4579" s="13"/>
      <c r="I4579" s="10"/>
      <c r="J4579" s="11"/>
      <c r="K4579" s="6"/>
      <c r="L4579" s="13"/>
    </row>
    <row r="4580" spans="1:12" hidden="1" x14ac:dyDescent="0.25">
      <c r="A4580" s="6"/>
      <c r="B4580" s="6"/>
      <c r="C4580" s="11"/>
      <c r="D4580" s="13"/>
      <c r="E4580" s="13"/>
      <c r="F4580" s="13"/>
      <c r="G4580" s="13"/>
      <c r="H4580" s="13"/>
      <c r="I4580" s="10"/>
      <c r="J4580" s="11"/>
      <c r="K4580" s="6"/>
      <c r="L4580" s="13"/>
    </row>
    <row r="4581" spans="1:12" hidden="1" x14ac:dyDescent="0.25">
      <c r="A4581" s="6"/>
      <c r="B4581" s="6"/>
      <c r="C4581" s="11"/>
      <c r="D4581" s="13"/>
      <c r="E4581" s="13"/>
      <c r="F4581" s="13"/>
      <c r="G4581" s="13"/>
      <c r="H4581" s="13"/>
      <c r="I4581" s="10"/>
      <c r="J4581" s="11"/>
      <c r="K4581" s="6"/>
      <c r="L4581" s="13"/>
    </row>
    <row r="4582" spans="1:12" hidden="1" x14ac:dyDescent="0.25">
      <c r="A4582" s="6"/>
      <c r="B4582" s="6"/>
      <c r="C4582" s="11"/>
      <c r="D4582" s="13"/>
      <c r="E4582" s="13"/>
      <c r="F4582" s="13"/>
      <c r="G4582" s="13"/>
      <c r="H4582" s="13"/>
      <c r="I4582" s="10"/>
      <c r="J4582" s="11"/>
      <c r="K4582" s="6"/>
      <c r="L4582" s="13"/>
    </row>
    <row r="4583" spans="1:12" hidden="1" x14ac:dyDescent="0.25">
      <c r="A4583" s="6"/>
      <c r="B4583" s="6"/>
      <c r="C4583" s="11"/>
      <c r="D4583" s="13"/>
      <c r="E4583" s="13"/>
      <c r="F4583" s="13"/>
      <c r="G4583" s="13"/>
      <c r="H4583" s="13"/>
      <c r="I4583" s="10"/>
      <c r="J4583" s="11"/>
      <c r="K4583" s="6"/>
      <c r="L4583" s="13"/>
    </row>
    <row r="4584" spans="1:12" hidden="1" x14ac:dyDescent="0.25">
      <c r="A4584" s="6"/>
      <c r="B4584" s="6"/>
      <c r="C4584" s="11"/>
      <c r="D4584" s="13"/>
      <c r="E4584" s="13"/>
      <c r="F4584" s="13"/>
      <c r="G4584" s="13"/>
      <c r="H4584" s="13"/>
      <c r="I4584" s="10"/>
      <c r="J4584" s="11"/>
      <c r="K4584" s="6"/>
      <c r="L4584" s="13"/>
    </row>
    <row r="4585" spans="1:12" hidden="1" x14ac:dyDescent="0.25">
      <c r="A4585" s="6"/>
      <c r="B4585" s="6"/>
      <c r="C4585" s="11"/>
      <c r="D4585" s="13"/>
      <c r="E4585" s="13"/>
      <c r="F4585" s="13"/>
      <c r="G4585" s="13"/>
      <c r="H4585" s="13"/>
      <c r="I4585" s="10"/>
      <c r="J4585" s="11"/>
      <c r="K4585" s="6"/>
      <c r="L4585" s="13"/>
    </row>
    <row r="4586" spans="1:12" hidden="1" x14ac:dyDescent="0.25">
      <c r="A4586" s="6"/>
      <c r="B4586" s="6"/>
      <c r="C4586" s="11"/>
      <c r="D4586" s="13"/>
      <c r="E4586" s="13"/>
      <c r="F4586" s="13"/>
      <c r="G4586" s="13"/>
      <c r="H4586" s="13"/>
      <c r="I4586" s="10"/>
      <c r="J4586" s="11"/>
      <c r="K4586" s="6"/>
      <c r="L4586" s="13"/>
    </row>
    <row r="4587" spans="1:12" hidden="1" x14ac:dyDescent="0.25">
      <c r="A4587" s="6"/>
      <c r="B4587" s="6"/>
      <c r="C4587" s="11"/>
      <c r="D4587" s="13"/>
      <c r="E4587" s="13"/>
      <c r="F4587" s="13"/>
      <c r="G4587" s="13"/>
      <c r="H4587" s="13"/>
      <c r="I4587" s="10"/>
      <c r="J4587" s="11"/>
      <c r="K4587" s="6"/>
      <c r="L4587" s="13"/>
    </row>
    <row r="4588" spans="1:12" hidden="1" x14ac:dyDescent="0.25">
      <c r="A4588" s="6"/>
      <c r="B4588" s="6"/>
      <c r="C4588" s="11"/>
      <c r="D4588" s="13"/>
      <c r="E4588" s="13"/>
      <c r="F4588" s="13"/>
      <c r="G4588" s="13"/>
      <c r="H4588" s="13"/>
      <c r="I4588" s="10"/>
      <c r="J4588" s="11"/>
      <c r="K4588" s="6"/>
      <c r="L4588" s="13"/>
    </row>
    <row r="4589" spans="1:12" hidden="1" x14ac:dyDescent="0.25">
      <c r="A4589" s="6"/>
      <c r="B4589" s="6"/>
      <c r="C4589" s="11"/>
      <c r="D4589" s="13"/>
      <c r="E4589" s="13"/>
      <c r="F4589" s="13"/>
      <c r="G4589" s="13"/>
      <c r="H4589" s="13"/>
      <c r="I4589" s="10"/>
      <c r="J4589" s="11"/>
      <c r="K4589" s="6"/>
      <c r="L4589" s="13"/>
    </row>
    <row r="4590" spans="1:12" hidden="1" x14ac:dyDescent="0.25">
      <c r="A4590" s="6"/>
      <c r="B4590" s="6"/>
      <c r="C4590" s="11"/>
      <c r="D4590" s="13"/>
      <c r="E4590" s="13"/>
      <c r="F4590" s="13"/>
      <c r="G4590" s="13"/>
      <c r="H4590" s="13"/>
      <c r="I4590" s="10"/>
      <c r="J4590" s="11"/>
      <c r="K4590" s="6"/>
      <c r="L4590" s="13"/>
    </row>
    <row r="4591" spans="1:12" hidden="1" x14ac:dyDescent="0.25">
      <c r="A4591" s="6"/>
      <c r="B4591" s="6"/>
      <c r="C4591" s="11"/>
      <c r="D4591" s="13"/>
      <c r="E4591" s="13"/>
      <c r="F4591" s="13"/>
      <c r="G4591" s="13"/>
      <c r="H4591" s="13"/>
      <c r="I4591" s="10"/>
      <c r="J4591" s="11"/>
      <c r="K4591" s="6"/>
      <c r="L4591" s="13"/>
    </row>
    <row r="4592" spans="1:12" hidden="1" x14ac:dyDescent="0.25">
      <c r="A4592" s="6"/>
      <c r="B4592" s="6"/>
      <c r="C4592" s="11"/>
      <c r="D4592" s="13"/>
      <c r="E4592" s="13"/>
      <c r="F4592" s="13"/>
      <c r="G4592" s="13"/>
      <c r="H4592" s="13"/>
      <c r="I4592" s="10"/>
      <c r="J4592" s="11"/>
      <c r="K4592" s="6"/>
      <c r="L4592" s="13"/>
    </row>
    <row r="4593" spans="1:12" hidden="1" x14ac:dyDescent="0.25">
      <c r="A4593" s="6"/>
      <c r="B4593" s="6"/>
      <c r="C4593" s="11"/>
      <c r="D4593" s="13"/>
      <c r="E4593" s="13"/>
      <c r="F4593" s="13"/>
      <c r="G4593" s="13"/>
      <c r="H4593" s="13"/>
      <c r="I4593" s="10"/>
      <c r="J4593" s="11"/>
      <c r="K4593" s="6"/>
      <c r="L4593" s="13"/>
    </row>
    <row r="4594" spans="1:12" hidden="1" x14ac:dyDescent="0.25">
      <c r="A4594" s="6"/>
      <c r="B4594" s="6"/>
      <c r="C4594" s="11"/>
      <c r="D4594" s="13"/>
      <c r="E4594" s="13"/>
      <c r="F4594" s="13"/>
      <c r="G4594" s="13"/>
      <c r="H4594" s="13"/>
      <c r="I4594" s="10"/>
      <c r="J4594" s="11"/>
      <c r="K4594" s="6"/>
      <c r="L4594" s="13"/>
    </row>
    <row r="4595" spans="1:12" hidden="1" x14ac:dyDescent="0.25">
      <c r="A4595" s="6"/>
      <c r="B4595" s="6"/>
      <c r="C4595" s="11"/>
      <c r="D4595" s="13"/>
      <c r="E4595" s="13"/>
      <c r="F4595" s="13"/>
      <c r="G4595" s="13"/>
      <c r="H4595" s="13"/>
      <c r="I4595" s="10"/>
      <c r="J4595" s="11"/>
      <c r="K4595" s="6"/>
      <c r="L4595" s="13"/>
    </row>
    <row r="4596" spans="1:12" hidden="1" x14ac:dyDescent="0.25">
      <c r="A4596" s="6"/>
      <c r="B4596" s="6"/>
      <c r="C4596" s="11"/>
      <c r="D4596" s="13"/>
      <c r="E4596" s="13"/>
      <c r="F4596" s="13"/>
      <c r="G4596" s="13"/>
      <c r="H4596" s="13"/>
      <c r="I4596" s="10"/>
      <c r="J4596" s="11"/>
      <c r="K4596" s="6"/>
      <c r="L4596" s="13"/>
    </row>
    <row r="4597" spans="1:12" hidden="1" x14ac:dyDescent="0.25">
      <c r="A4597" s="6"/>
      <c r="B4597" s="6"/>
      <c r="C4597" s="11"/>
      <c r="D4597" s="13"/>
      <c r="E4597" s="13"/>
      <c r="F4597" s="13"/>
      <c r="G4597" s="13"/>
      <c r="H4597" s="13"/>
      <c r="I4597" s="10"/>
      <c r="J4597" s="11"/>
      <c r="K4597" s="6"/>
      <c r="L4597" s="13"/>
    </row>
    <row r="4598" spans="1:12" hidden="1" x14ac:dyDescent="0.25">
      <c r="A4598" s="6"/>
      <c r="B4598" s="6"/>
      <c r="C4598" s="11"/>
      <c r="D4598" s="13"/>
      <c r="E4598" s="13"/>
      <c r="F4598" s="13"/>
      <c r="G4598" s="13"/>
      <c r="H4598" s="13"/>
      <c r="I4598" s="10"/>
      <c r="J4598" s="11"/>
      <c r="K4598" s="6"/>
      <c r="L4598" s="13"/>
    </row>
    <row r="4599" spans="1:12" hidden="1" x14ac:dyDescent="0.25">
      <c r="A4599" s="6"/>
      <c r="B4599" s="6"/>
      <c r="C4599" s="11"/>
      <c r="D4599" s="13"/>
      <c r="E4599" s="13"/>
      <c r="F4599" s="13"/>
      <c r="G4599" s="13"/>
      <c r="H4599" s="13"/>
      <c r="I4599" s="10"/>
      <c r="J4599" s="11"/>
      <c r="K4599" s="6"/>
      <c r="L4599" s="13"/>
    </row>
    <row r="4600" spans="1:12" hidden="1" x14ac:dyDescent="0.25">
      <c r="A4600" s="6"/>
      <c r="B4600" s="6"/>
      <c r="C4600" s="11"/>
      <c r="D4600" s="13"/>
      <c r="E4600" s="13"/>
      <c r="F4600" s="13"/>
      <c r="G4600" s="13"/>
      <c r="H4600" s="13"/>
      <c r="I4600" s="10"/>
      <c r="J4600" s="11"/>
      <c r="K4600" s="6"/>
      <c r="L4600" s="13"/>
    </row>
    <row r="4601" spans="1:12" hidden="1" x14ac:dyDescent="0.25">
      <c r="A4601" s="6"/>
      <c r="B4601" s="6"/>
      <c r="C4601" s="11"/>
      <c r="D4601" s="13"/>
      <c r="E4601" s="13"/>
      <c r="F4601" s="13"/>
      <c r="G4601" s="13"/>
      <c r="H4601" s="13"/>
      <c r="I4601" s="10"/>
      <c r="J4601" s="11"/>
      <c r="K4601" s="6"/>
      <c r="L4601" s="13"/>
    </row>
    <row r="4602" spans="1:12" hidden="1" x14ac:dyDescent="0.25">
      <c r="A4602" s="6"/>
      <c r="B4602" s="6"/>
      <c r="C4602" s="11"/>
      <c r="D4602" s="13"/>
      <c r="E4602" s="13"/>
      <c r="F4602" s="13"/>
      <c r="G4602" s="13"/>
      <c r="H4602" s="13"/>
      <c r="I4602" s="10"/>
      <c r="J4602" s="11"/>
      <c r="K4602" s="6"/>
      <c r="L4602" s="13"/>
    </row>
    <row r="4603" spans="1:12" hidden="1" x14ac:dyDescent="0.25">
      <c r="A4603" s="6"/>
      <c r="B4603" s="6"/>
      <c r="C4603" s="11"/>
      <c r="D4603" s="13"/>
      <c r="E4603" s="13"/>
      <c r="F4603" s="13"/>
      <c r="G4603" s="13"/>
      <c r="H4603" s="13"/>
      <c r="I4603" s="10"/>
      <c r="J4603" s="11"/>
      <c r="K4603" s="6"/>
      <c r="L4603" s="13"/>
    </row>
    <row r="4604" spans="1:12" hidden="1" x14ac:dyDescent="0.25">
      <c r="A4604" s="6"/>
      <c r="B4604" s="6"/>
      <c r="C4604" s="11"/>
      <c r="D4604" s="13"/>
      <c r="E4604" s="13"/>
      <c r="F4604" s="13"/>
      <c r="G4604" s="13"/>
      <c r="H4604" s="13"/>
      <c r="I4604" s="10"/>
      <c r="J4604" s="11"/>
      <c r="K4604" s="6"/>
      <c r="L4604" s="13"/>
    </row>
    <row r="4605" spans="1:12" hidden="1" x14ac:dyDescent="0.25">
      <c r="A4605" s="6"/>
      <c r="B4605" s="6"/>
      <c r="C4605" s="11"/>
      <c r="D4605" s="13"/>
      <c r="E4605" s="13"/>
      <c r="F4605" s="13"/>
      <c r="G4605" s="13"/>
      <c r="H4605" s="13"/>
      <c r="I4605" s="10"/>
      <c r="J4605" s="11"/>
      <c r="K4605" s="6"/>
      <c r="L4605" s="13"/>
    </row>
    <row r="4606" spans="1:12" hidden="1" x14ac:dyDescent="0.25">
      <c r="A4606" s="6"/>
      <c r="B4606" s="6"/>
      <c r="C4606" s="11"/>
      <c r="D4606" s="13"/>
      <c r="E4606" s="13"/>
      <c r="F4606" s="13"/>
      <c r="G4606" s="13"/>
      <c r="H4606" s="13"/>
      <c r="I4606" s="10"/>
      <c r="J4606" s="11"/>
      <c r="K4606" s="6"/>
      <c r="L4606" s="13"/>
    </row>
    <row r="4607" spans="1:12" hidden="1" x14ac:dyDescent="0.25">
      <c r="A4607" s="6"/>
      <c r="B4607" s="6"/>
      <c r="C4607" s="11"/>
      <c r="D4607" s="13"/>
      <c r="E4607" s="13"/>
      <c r="F4607" s="13"/>
      <c r="G4607" s="13"/>
      <c r="H4607" s="13"/>
      <c r="I4607" s="10"/>
      <c r="J4607" s="11"/>
      <c r="K4607" s="6"/>
      <c r="L4607" s="13"/>
    </row>
    <row r="4608" spans="1:12" hidden="1" x14ac:dyDescent="0.25">
      <c r="A4608" s="6"/>
      <c r="B4608" s="6"/>
      <c r="C4608" s="11"/>
      <c r="D4608" s="13"/>
      <c r="E4608" s="13"/>
      <c r="F4608" s="13"/>
      <c r="G4608" s="13"/>
      <c r="H4608" s="13"/>
      <c r="I4608" s="10"/>
      <c r="J4608" s="11"/>
      <c r="K4608" s="6"/>
      <c r="L4608" s="13"/>
    </row>
    <row r="4609" spans="1:12" hidden="1" x14ac:dyDescent="0.25">
      <c r="A4609" s="6"/>
      <c r="B4609" s="6"/>
      <c r="C4609" s="11"/>
      <c r="D4609" s="13"/>
      <c r="E4609" s="13"/>
      <c r="F4609" s="13"/>
      <c r="G4609" s="13"/>
      <c r="H4609" s="13"/>
      <c r="I4609" s="10"/>
      <c r="J4609" s="11"/>
      <c r="K4609" s="6"/>
      <c r="L4609" s="13"/>
    </row>
    <row r="4610" spans="1:12" hidden="1" x14ac:dyDescent="0.25">
      <c r="A4610" s="6"/>
      <c r="B4610" s="6"/>
      <c r="C4610" s="11"/>
      <c r="D4610" s="13"/>
      <c r="E4610" s="13"/>
      <c r="F4610" s="13"/>
      <c r="G4610" s="13"/>
      <c r="H4610" s="13"/>
      <c r="I4610" s="10"/>
      <c r="J4610" s="11"/>
      <c r="K4610" s="6"/>
      <c r="L4610" s="13"/>
    </row>
    <row r="4611" spans="1:12" hidden="1" x14ac:dyDescent="0.25">
      <c r="A4611" s="6"/>
      <c r="B4611" s="6"/>
      <c r="C4611" s="11"/>
      <c r="D4611" s="13"/>
      <c r="E4611" s="13"/>
      <c r="F4611" s="13"/>
      <c r="G4611" s="13"/>
      <c r="H4611" s="13"/>
      <c r="I4611" s="10"/>
      <c r="J4611" s="11"/>
      <c r="K4611" s="6"/>
      <c r="L4611" s="13"/>
    </row>
    <row r="4612" spans="1:12" hidden="1" x14ac:dyDescent="0.25">
      <c r="A4612" s="6"/>
      <c r="B4612" s="6"/>
      <c r="C4612" s="11"/>
      <c r="D4612" s="13"/>
      <c r="E4612" s="13"/>
      <c r="F4612" s="13"/>
      <c r="G4612" s="13"/>
      <c r="H4612" s="13"/>
      <c r="I4612" s="10"/>
      <c r="J4612" s="11"/>
      <c r="K4612" s="6"/>
      <c r="L4612" s="13"/>
    </row>
    <row r="4613" spans="1:12" hidden="1" x14ac:dyDescent="0.25">
      <c r="A4613" s="6"/>
      <c r="B4613" s="6"/>
      <c r="C4613" s="11"/>
      <c r="D4613" s="13"/>
      <c r="E4613" s="13"/>
      <c r="F4613" s="13"/>
      <c r="G4613" s="13"/>
      <c r="H4613" s="13"/>
      <c r="I4613" s="10"/>
      <c r="J4613" s="11"/>
      <c r="K4613" s="6"/>
      <c r="L4613" s="13"/>
    </row>
    <row r="4614" spans="1:12" hidden="1" x14ac:dyDescent="0.25">
      <c r="A4614" s="6"/>
      <c r="B4614" s="6"/>
      <c r="C4614" s="11"/>
      <c r="D4614" s="13"/>
      <c r="E4614" s="13"/>
      <c r="F4614" s="13"/>
      <c r="G4614" s="13"/>
      <c r="H4614" s="13"/>
      <c r="I4614" s="10"/>
      <c r="J4614" s="11"/>
      <c r="K4614" s="6"/>
      <c r="L4614" s="13"/>
    </row>
    <row r="4615" spans="1:12" hidden="1" x14ac:dyDescent="0.25">
      <c r="A4615" s="6"/>
      <c r="B4615" s="6"/>
      <c r="C4615" s="11"/>
      <c r="D4615" s="13"/>
      <c r="E4615" s="13"/>
      <c r="F4615" s="13"/>
      <c r="G4615" s="13"/>
      <c r="H4615" s="13"/>
      <c r="I4615" s="10"/>
      <c r="J4615" s="11"/>
      <c r="K4615" s="6"/>
      <c r="L4615" s="13"/>
    </row>
    <row r="4616" spans="1:12" hidden="1" x14ac:dyDescent="0.25">
      <c r="A4616" s="6"/>
      <c r="B4616" s="6"/>
      <c r="C4616" s="11"/>
      <c r="D4616" s="13"/>
      <c r="E4616" s="13"/>
      <c r="F4616" s="13"/>
      <c r="G4616" s="13"/>
      <c r="H4616" s="13"/>
      <c r="I4616" s="10"/>
      <c r="J4616" s="11"/>
      <c r="K4616" s="6"/>
      <c r="L4616" s="13"/>
    </row>
    <row r="4617" spans="1:12" hidden="1" x14ac:dyDescent="0.25">
      <c r="A4617" s="6"/>
      <c r="B4617" s="6"/>
      <c r="C4617" s="11"/>
      <c r="D4617" s="13"/>
      <c r="E4617" s="13"/>
      <c r="F4617" s="13"/>
      <c r="G4617" s="13"/>
      <c r="H4617" s="13"/>
      <c r="I4617" s="10"/>
      <c r="J4617" s="11"/>
      <c r="K4617" s="6"/>
      <c r="L4617" s="13"/>
    </row>
    <row r="4618" spans="1:12" hidden="1" x14ac:dyDescent="0.25">
      <c r="A4618" s="6"/>
      <c r="B4618" s="6"/>
      <c r="C4618" s="11"/>
      <c r="D4618" s="13"/>
      <c r="E4618" s="13"/>
      <c r="F4618" s="13"/>
      <c r="G4618" s="13"/>
      <c r="H4618" s="13"/>
      <c r="I4618" s="10"/>
      <c r="J4618" s="11"/>
      <c r="K4618" s="6"/>
      <c r="L4618" s="13"/>
    </row>
    <row r="4619" spans="1:12" hidden="1" x14ac:dyDescent="0.25">
      <c r="A4619" s="6"/>
      <c r="B4619" s="6"/>
      <c r="C4619" s="11"/>
      <c r="D4619" s="13"/>
      <c r="E4619" s="13"/>
      <c r="F4619" s="13"/>
      <c r="G4619" s="13"/>
      <c r="H4619" s="13"/>
      <c r="I4619" s="10"/>
      <c r="J4619" s="11"/>
      <c r="K4619" s="6"/>
      <c r="L4619" s="13"/>
    </row>
    <row r="4620" spans="1:12" hidden="1" x14ac:dyDescent="0.25">
      <c r="A4620" s="6"/>
      <c r="B4620" s="6"/>
      <c r="C4620" s="11"/>
      <c r="D4620" s="13"/>
      <c r="E4620" s="13"/>
      <c r="F4620" s="13"/>
      <c r="G4620" s="13"/>
      <c r="H4620" s="13"/>
      <c r="I4620" s="10"/>
      <c r="J4620" s="11"/>
      <c r="K4620" s="6"/>
      <c r="L4620" s="13"/>
    </row>
    <row r="4621" spans="1:12" hidden="1" x14ac:dyDescent="0.25">
      <c r="A4621" s="6"/>
      <c r="B4621" s="6"/>
      <c r="C4621" s="11"/>
      <c r="D4621" s="13"/>
      <c r="E4621" s="13"/>
      <c r="F4621" s="13"/>
      <c r="G4621" s="13"/>
      <c r="H4621" s="13"/>
      <c r="I4621" s="10"/>
      <c r="J4621" s="11"/>
      <c r="K4621" s="6"/>
      <c r="L4621" s="13"/>
    </row>
    <row r="4622" spans="1:12" hidden="1" x14ac:dyDescent="0.25">
      <c r="A4622" s="6"/>
      <c r="B4622" s="6"/>
      <c r="C4622" s="11"/>
      <c r="D4622" s="13"/>
      <c r="E4622" s="13"/>
      <c r="F4622" s="13"/>
      <c r="G4622" s="13"/>
      <c r="H4622" s="13"/>
      <c r="I4622" s="10"/>
      <c r="J4622" s="11"/>
      <c r="K4622" s="6"/>
      <c r="L4622" s="13"/>
    </row>
    <row r="4623" spans="1:12" hidden="1" x14ac:dyDescent="0.25">
      <c r="A4623" s="6"/>
      <c r="B4623" s="6"/>
      <c r="C4623" s="11"/>
      <c r="D4623" s="13"/>
      <c r="E4623" s="13"/>
      <c r="F4623" s="13"/>
      <c r="G4623" s="13"/>
      <c r="H4623" s="13"/>
      <c r="I4623" s="10"/>
      <c r="J4623" s="11"/>
      <c r="K4623" s="6"/>
      <c r="L4623" s="13"/>
    </row>
    <row r="4624" spans="1:12" hidden="1" x14ac:dyDescent="0.25">
      <c r="A4624" s="6"/>
      <c r="B4624" s="6"/>
      <c r="C4624" s="11"/>
      <c r="D4624" s="13"/>
      <c r="E4624" s="13"/>
      <c r="F4624" s="13"/>
      <c r="G4624" s="13"/>
      <c r="H4624" s="13"/>
      <c r="I4624" s="10"/>
      <c r="J4624" s="11"/>
      <c r="K4624" s="6"/>
      <c r="L4624" s="13"/>
    </row>
    <row r="4625" spans="1:12" hidden="1" x14ac:dyDescent="0.25">
      <c r="A4625" s="6"/>
      <c r="B4625" s="6"/>
      <c r="C4625" s="11"/>
      <c r="D4625" s="13"/>
      <c r="E4625" s="13"/>
      <c r="F4625" s="13"/>
      <c r="G4625" s="13"/>
      <c r="H4625" s="13"/>
      <c r="I4625" s="10"/>
      <c r="J4625" s="11"/>
      <c r="K4625" s="6"/>
      <c r="L4625" s="13"/>
    </row>
    <row r="4626" spans="1:12" hidden="1" x14ac:dyDescent="0.25">
      <c r="A4626" s="6"/>
      <c r="B4626" s="6"/>
      <c r="C4626" s="11"/>
      <c r="D4626" s="13"/>
      <c r="E4626" s="13"/>
      <c r="F4626" s="13"/>
      <c r="G4626" s="13"/>
      <c r="H4626" s="13"/>
      <c r="I4626" s="10"/>
      <c r="J4626" s="11"/>
      <c r="K4626" s="6"/>
      <c r="L4626" s="13"/>
    </row>
    <row r="4627" spans="1:12" hidden="1" x14ac:dyDescent="0.25">
      <c r="A4627" s="6"/>
      <c r="B4627" s="6"/>
      <c r="C4627" s="11"/>
      <c r="D4627" s="13"/>
      <c r="E4627" s="13"/>
      <c r="F4627" s="13"/>
      <c r="G4627" s="13"/>
      <c r="H4627" s="13"/>
      <c r="I4627" s="10"/>
      <c r="J4627" s="11"/>
      <c r="K4627" s="6"/>
      <c r="L4627" s="13"/>
    </row>
    <row r="4628" spans="1:12" hidden="1" x14ac:dyDescent="0.25">
      <c r="A4628" s="6"/>
      <c r="B4628" s="6"/>
      <c r="C4628" s="11"/>
      <c r="D4628" s="13"/>
      <c r="E4628" s="13"/>
      <c r="F4628" s="13"/>
      <c r="G4628" s="13"/>
      <c r="H4628" s="13"/>
      <c r="I4628" s="10"/>
      <c r="J4628" s="11"/>
      <c r="K4628" s="6"/>
      <c r="L4628" s="13"/>
    </row>
    <row r="4629" spans="1:12" hidden="1" x14ac:dyDescent="0.25">
      <c r="A4629" s="6"/>
      <c r="B4629" s="6"/>
      <c r="C4629" s="11"/>
      <c r="D4629" s="13"/>
      <c r="E4629" s="13"/>
      <c r="F4629" s="13"/>
      <c r="G4629" s="13"/>
      <c r="H4629" s="13"/>
      <c r="I4629" s="10"/>
      <c r="J4629" s="11"/>
      <c r="K4629" s="6"/>
      <c r="L4629" s="13"/>
    </row>
    <row r="4630" spans="1:12" hidden="1" x14ac:dyDescent="0.25">
      <c r="A4630" s="6"/>
      <c r="B4630" s="6"/>
      <c r="C4630" s="11"/>
      <c r="D4630" s="13"/>
      <c r="E4630" s="13"/>
      <c r="F4630" s="13"/>
      <c r="G4630" s="13"/>
      <c r="H4630" s="13"/>
      <c r="I4630" s="10"/>
      <c r="J4630" s="11"/>
      <c r="K4630" s="6"/>
      <c r="L4630" s="13"/>
    </row>
    <row r="4631" spans="1:12" hidden="1" x14ac:dyDescent="0.25">
      <c r="A4631" s="6"/>
      <c r="B4631" s="6"/>
      <c r="C4631" s="11"/>
      <c r="D4631" s="13"/>
      <c r="E4631" s="13"/>
      <c r="F4631" s="13"/>
      <c r="G4631" s="13"/>
      <c r="H4631" s="13"/>
      <c r="I4631" s="10"/>
      <c r="J4631" s="11"/>
      <c r="K4631" s="6"/>
      <c r="L4631" s="13"/>
    </row>
    <row r="4632" spans="1:12" hidden="1" x14ac:dyDescent="0.25">
      <c r="A4632" s="6"/>
      <c r="B4632" s="6"/>
      <c r="C4632" s="11"/>
      <c r="D4632" s="13"/>
      <c r="E4632" s="13"/>
      <c r="F4632" s="13"/>
      <c r="G4632" s="13"/>
      <c r="H4632" s="13"/>
      <c r="I4632" s="10"/>
      <c r="J4632" s="11"/>
      <c r="K4632" s="6"/>
      <c r="L4632" s="13"/>
    </row>
    <row r="4633" spans="1:12" hidden="1" x14ac:dyDescent="0.25">
      <c r="A4633" s="6"/>
      <c r="B4633" s="6"/>
      <c r="C4633" s="11"/>
      <c r="D4633" s="13"/>
      <c r="E4633" s="13"/>
      <c r="F4633" s="13"/>
      <c r="G4633" s="13"/>
      <c r="H4633" s="13"/>
      <c r="I4633" s="10"/>
      <c r="J4633" s="11"/>
      <c r="K4633" s="6"/>
      <c r="L4633" s="13"/>
    </row>
    <row r="4634" spans="1:12" hidden="1" x14ac:dyDescent="0.25">
      <c r="A4634" s="6"/>
      <c r="B4634" s="6"/>
      <c r="C4634" s="11"/>
      <c r="D4634" s="13"/>
      <c r="E4634" s="13"/>
      <c r="F4634" s="13"/>
      <c r="G4634" s="13"/>
      <c r="H4634" s="13"/>
      <c r="I4634" s="10"/>
      <c r="J4634" s="11"/>
      <c r="K4634" s="6"/>
      <c r="L4634" s="13"/>
    </row>
    <row r="4635" spans="1:12" hidden="1" x14ac:dyDescent="0.25">
      <c r="A4635" s="6"/>
      <c r="B4635" s="6"/>
      <c r="C4635" s="11"/>
      <c r="D4635" s="13"/>
      <c r="E4635" s="13"/>
      <c r="F4635" s="13"/>
      <c r="G4635" s="13"/>
      <c r="H4635" s="13"/>
      <c r="I4635" s="10"/>
      <c r="J4635" s="11"/>
      <c r="K4635" s="6"/>
      <c r="L4635" s="13"/>
    </row>
    <row r="4636" spans="1:12" hidden="1" x14ac:dyDescent="0.25">
      <c r="A4636" s="6"/>
      <c r="B4636" s="6"/>
      <c r="C4636" s="11"/>
      <c r="D4636" s="13"/>
      <c r="E4636" s="13"/>
      <c r="F4636" s="13"/>
      <c r="G4636" s="13"/>
      <c r="H4636" s="13"/>
      <c r="I4636" s="10"/>
      <c r="J4636" s="11"/>
      <c r="K4636" s="6"/>
      <c r="L4636" s="13"/>
    </row>
    <row r="4637" spans="1:12" hidden="1" x14ac:dyDescent="0.25">
      <c r="A4637" s="6"/>
      <c r="B4637" s="6"/>
      <c r="C4637" s="11"/>
      <c r="D4637" s="13"/>
      <c r="E4637" s="13"/>
      <c r="F4637" s="13"/>
      <c r="G4637" s="13"/>
      <c r="H4637" s="13"/>
      <c r="I4637" s="10"/>
      <c r="J4637" s="11"/>
      <c r="K4637" s="6"/>
      <c r="L4637" s="13"/>
    </row>
    <row r="4638" spans="1:12" hidden="1" x14ac:dyDescent="0.25">
      <c r="A4638" s="6"/>
      <c r="B4638" s="6"/>
      <c r="C4638" s="11"/>
      <c r="D4638" s="13"/>
      <c r="E4638" s="13"/>
      <c r="F4638" s="13"/>
      <c r="G4638" s="13"/>
      <c r="H4638" s="13"/>
      <c r="I4638" s="10"/>
      <c r="J4638" s="11"/>
      <c r="K4638" s="6"/>
      <c r="L4638" s="13"/>
    </row>
    <row r="4639" spans="1:12" hidden="1" x14ac:dyDescent="0.25">
      <c r="A4639" s="6"/>
      <c r="B4639" s="6"/>
      <c r="C4639" s="11"/>
      <c r="D4639" s="13"/>
      <c r="E4639" s="13"/>
      <c r="F4639" s="13"/>
      <c r="G4639" s="13"/>
      <c r="H4639" s="13"/>
      <c r="I4639" s="10"/>
      <c r="J4639" s="11"/>
      <c r="K4639" s="6"/>
      <c r="L4639" s="13"/>
    </row>
    <row r="4640" spans="1:12" hidden="1" x14ac:dyDescent="0.25">
      <c r="A4640" s="6"/>
      <c r="B4640" s="6"/>
      <c r="C4640" s="11"/>
      <c r="D4640" s="13"/>
      <c r="E4640" s="13"/>
      <c r="F4640" s="13"/>
      <c r="G4640" s="13"/>
      <c r="H4640" s="13"/>
      <c r="I4640" s="10"/>
      <c r="J4640" s="11"/>
      <c r="K4640" s="6"/>
      <c r="L4640" s="13"/>
    </row>
    <row r="4641" spans="1:12" hidden="1" x14ac:dyDescent="0.25">
      <c r="A4641" s="6"/>
      <c r="B4641" s="6"/>
      <c r="C4641" s="11"/>
      <c r="D4641" s="13"/>
      <c r="E4641" s="13"/>
      <c r="F4641" s="13"/>
      <c r="G4641" s="13"/>
      <c r="H4641" s="13"/>
      <c r="I4641" s="10"/>
      <c r="J4641" s="11"/>
      <c r="K4641" s="6"/>
      <c r="L4641" s="13"/>
    </row>
    <row r="4642" spans="1:12" hidden="1" x14ac:dyDescent="0.25">
      <c r="A4642" s="6"/>
      <c r="B4642" s="6"/>
      <c r="C4642" s="11"/>
      <c r="D4642" s="13"/>
      <c r="E4642" s="13"/>
      <c r="F4642" s="13"/>
      <c r="G4642" s="13"/>
      <c r="H4642" s="13"/>
      <c r="I4642" s="10"/>
      <c r="J4642" s="11"/>
      <c r="K4642" s="6"/>
      <c r="L4642" s="13"/>
    </row>
    <row r="4643" spans="1:12" hidden="1" x14ac:dyDescent="0.25">
      <c r="A4643" s="6"/>
      <c r="B4643" s="6"/>
      <c r="C4643" s="11"/>
      <c r="D4643" s="13"/>
      <c r="E4643" s="13"/>
      <c r="F4643" s="13"/>
      <c r="G4643" s="13"/>
      <c r="H4643" s="13"/>
      <c r="I4643" s="10"/>
      <c r="J4643" s="11"/>
      <c r="K4643" s="6"/>
      <c r="L4643" s="13"/>
    </row>
    <row r="4644" spans="1:12" hidden="1" x14ac:dyDescent="0.25">
      <c r="A4644" s="6"/>
      <c r="B4644" s="6"/>
      <c r="C4644" s="11"/>
      <c r="D4644" s="13"/>
      <c r="E4644" s="13"/>
      <c r="F4644" s="13"/>
      <c r="G4644" s="13"/>
      <c r="H4644" s="13"/>
      <c r="I4644" s="10"/>
      <c r="J4644" s="11"/>
      <c r="K4644" s="6"/>
      <c r="L4644" s="13"/>
    </row>
    <row r="4645" spans="1:12" hidden="1" x14ac:dyDescent="0.25">
      <c r="A4645" s="6"/>
      <c r="B4645" s="6"/>
      <c r="C4645" s="11"/>
      <c r="D4645" s="13"/>
      <c r="E4645" s="13"/>
      <c r="F4645" s="13"/>
      <c r="G4645" s="13"/>
      <c r="H4645" s="13"/>
      <c r="I4645" s="10"/>
      <c r="J4645" s="11"/>
      <c r="K4645" s="6"/>
      <c r="L4645" s="13"/>
    </row>
    <row r="4646" spans="1:12" hidden="1" x14ac:dyDescent="0.25">
      <c r="A4646" s="6"/>
      <c r="B4646" s="6"/>
      <c r="C4646" s="11"/>
      <c r="D4646" s="13"/>
      <c r="E4646" s="13"/>
      <c r="F4646" s="13"/>
      <c r="G4646" s="13"/>
      <c r="H4646" s="13"/>
      <c r="I4646" s="10"/>
      <c r="J4646" s="11"/>
      <c r="K4646" s="6"/>
      <c r="L4646" s="13"/>
    </row>
    <row r="4647" spans="1:12" hidden="1" x14ac:dyDescent="0.25">
      <c r="A4647" s="6"/>
      <c r="B4647" s="6"/>
      <c r="C4647" s="11"/>
      <c r="D4647" s="13"/>
      <c r="E4647" s="13"/>
      <c r="F4647" s="13"/>
      <c r="G4647" s="13"/>
      <c r="H4647" s="13"/>
      <c r="I4647" s="10"/>
      <c r="J4647" s="11"/>
      <c r="K4647" s="6"/>
      <c r="L4647" s="13"/>
    </row>
    <row r="4648" spans="1:12" hidden="1" x14ac:dyDescent="0.25">
      <c r="A4648" s="6"/>
      <c r="B4648" s="6"/>
      <c r="C4648" s="11"/>
      <c r="D4648" s="13"/>
      <c r="E4648" s="13"/>
      <c r="F4648" s="13"/>
      <c r="G4648" s="13"/>
      <c r="H4648" s="13"/>
      <c r="I4648" s="10"/>
      <c r="J4648" s="11"/>
      <c r="K4648" s="6"/>
      <c r="L4648" s="13"/>
    </row>
    <row r="4649" spans="1:12" hidden="1" x14ac:dyDescent="0.25">
      <c r="A4649" s="6"/>
      <c r="B4649" s="6"/>
      <c r="C4649" s="11"/>
      <c r="D4649" s="13"/>
      <c r="E4649" s="13"/>
      <c r="F4649" s="13"/>
      <c r="G4649" s="13"/>
      <c r="H4649" s="13"/>
      <c r="I4649" s="10"/>
      <c r="J4649" s="11"/>
      <c r="K4649" s="6"/>
      <c r="L4649" s="13"/>
    </row>
    <row r="4650" spans="1:12" hidden="1" x14ac:dyDescent="0.25">
      <c r="A4650" s="6"/>
      <c r="B4650" s="6"/>
      <c r="C4650" s="11"/>
      <c r="D4650" s="13"/>
      <c r="E4650" s="13"/>
      <c r="F4650" s="13"/>
      <c r="G4650" s="13"/>
      <c r="H4650" s="13"/>
      <c r="I4650" s="10"/>
      <c r="J4650" s="11"/>
      <c r="K4650" s="6"/>
      <c r="L4650" s="13"/>
    </row>
    <row r="4651" spans="1:12" hidden="1" x14ac:dyDescent="0.25">
      <c r="A4651" s="6"/>
      <c r="B4651" s="6"/>
      <c r="C4651" s="11"/>
      <c r="D4651" s="13"/>
      <c r="E4651" s="13"/>
      <c r="F4651" s="13"/>
      <c r="G4651" s="13"/>
      <c r="H4651" s="13"/>
      <c r="I4651" s="10"/>
      <c r="J4651" s="11"/>
      <c r="K4651" s="6"/>
      <c r="L4651" s="13"/>
    </row>
    <row r="4652" spans="1:12" hidden="1" x14ac:dyDescent="0.25">
      <c r="A4652" s="6"/>
      <c r="B4652" s="6"/>
      <c r="C4652" s="11"/>
      <c r="D4652" s="13"/>
      <c r="E4652" s="13"/>
      <c r="F4652" s="13"/>
      <c r="G4652" s="13"/>
      <c r="H4652" s="13"/>
      <c r="I4652" s="10"/>
      <c r="J4652" s="11"/>
      <c r="K4652" s="6"/>
      <c r="L4652" s="13"/>
    </row>
    <row r="4653" spans="1:12" hidden="1" x14ac:dyDescent="0.25">
      <c r="A4653" s="6"/>
      <c r="B4653" s="6"/>
      <c r="C4653" s="11"/>
      <c r="D4653" s="13"/>
      <c r="E4653" s="13"/>
      <c r="F4653" s="13"/>
      <c r="G4653" s="13"/>
      <c r="H4653" s="13"/>
      <c r="I4653" s="10"/>
      <c r="J4653" s="11"/>
      <c r="K4653" s="6"/>
      <c r="L4653" s="13"/>
    </row>
    <row r="4654" spans="1:12" hidden="1" x14ac:dyDescent="0.25">
      <c r="A4654" s="6"/>
      <c r="B4654" s="6"/>
      <c r="C4654" s="11"/>
      <c r="D4654" s="13"/>
      <c r="E4654" s="13"/>
      <c r="F4654" s="13"/>
      <c r="G4654" s="13"/>
      <c r="H4654" s="13"/>
      <c r="I4654" s="10"/>
      <c r="J4654" s="11"/>
      <c r="K4654" s="6"/>
      <c r="L4654" s="13"/>
    </row>
    <row r="4655" spans="1:12" hidden="1" x14ac:dyDescent="0.25">
      <c r="A4655" s="6"/>
      <c r="B4655" s="6"/>
      <c r="C4655" s="11"/>
      <c r="D4655" s="13"/>
      <c r="E4655" s="13"/>
      <c r="F4655" s="13"/>
      <c r="G4655" s="13"/>
      <c r="H4655" s="13"/>
      <c r="I4655" s="10"/>
      <c r="J4655" s="11"/>
      <c r="K4655" s="6"/>
      <c r="L4655" s="13"/>
    </row>
    <row r="4656" spans="1:12" hidden="1" x14ac:dyDescent="0.25">
      <c r="A4656" s="6"/>
      <c r="B4656" s="6"/>
      <c r="C4656" s="11"/>
      <c r="D4656" s="13"/>
      <c r="E4656" s="13"/>
      <c r="F4656" s="13"/>
      <c r="G4656" s="13"/>
      <c r="H4656" s="13"/>
      <c r="I4656" s="10"/>
      <c r="J4656" s="11"/>
      <c r="K4656" s="6"/>
      <c r="L4656" s="13"/>
    </row>
    <row r="4657" spans="1:12" hidden="1" x14ac:dyDescent="0.25">
      <c r="A4657" s="6"/>
      <c r="B4657" s="6"/>
      <c r="C4657" s="11"/>
      <c r="D4657" s="13"/>
      <c r="E4657" s="13"/>
      <c r="F4657" s="13"/>
      <c r="G4657" s="13"/>
      <c r="H4657" s="13"/>
      <c r="I4657" s="10"/>
      <c r="J4657" s="11"/>
      <c r="K4657" s="6"/>
      <c r="L4657" s="13"/>
    </row>
    <row r="4658" spans="1:12" hidden="1" x14ac:dyDescent="0.25">
      <c r="A4658" s="6"/>
      <c r="B4658" s="6"/>
      <c r="C4658" s="11"/>
      <c r="D4658" s="13"/>
      <c r="E4658" s="13"/>
      <c r="F4658" s="13"/>
      <c r="G4658" s="13"/>
      <c r="H4658" s="13"/>
      <c r="I4658" s="10"/>
      <c r="J4658" s="11"/>
      <c r="K4658" s="6"/>
      <c r="L4658" s="13"/>
    </row>
    <row r="4659" spans="1:12" hidden="1" x14ac:dyDescent="0.25">
      <c r="A4659" s="6"/>
      <c r="B4659" s="6"/>
      <c r="C4659" s="11"/>
      <c r="D4659" s="13"/>
      <c r="E4659" s="13"/>
      <c r="F4659" s="13"/>
      <c r="G4659" s="13"/>
      <c r="H4659" s="13"/>
      <c r="I4659" s="10"/>
      <c r="J4659" s="11"/>
      <c r="K4659" s="6"/>
      <c r="L4659" s="13"/>
    </row>
    <row r="4660" spans="1:12" hidden="1" x14ac:dyDescent="0.25">
      <c r="A4660" s="6"/>
      <c r="B4660" s="6"/>
      <c r="C4660" s="11"/>
      <c r="D4660" s="13"/>
      <c r="E4660" s="13"/>
      <c r="F4660" s="13"/>
      <c r="G4660" s="13"/>
      <c r="H4660" s="13"/>
      <c r="I4660" s="10"/>
      <c r="J4660" s="11"/>
      <c r="K4660" s="6"/>
      <c r="L4660" s="13"/>
    </row>
    <row r="4661" spans="1:12" hidden="1" x14ac:dyDescent="0.25">
      <c r="A4661" s="6"/>
      <c r="B4661" s="6"/>
      <c r="C4661" s="11"/>
      <c r="D4661" s="13"/>
      <c r="E4661" s="13"/>
      <c r="F4661" s="13"/>
      <c r="G4661" s="13"/>
      <c r="H4661" s="13"/>
      <c r="I4661" s="10"/>
      <c r="J4661" s="11"/>
      <c r="K4661" s="6"/>
      <c r="L4661" s="13"/>
    </row>
    <row r="4662" spans="1:12" hidden="1" x14ac:dyDescent="0.25">
      <c r="A4662" s="6"/>
      <c r="B4662" s="6"/>
      <c r="C4662" s="11"/>
      <c r="D4662" s="13"/>
      <c r="E4662" s="13"/>
      <c r="F4662" s="13"/>
      <c r="G4662" s="13"/>
      <c r="H4662" s="13"/>
      <c r="I4662" s="10"/>
      <c r="J4662" s="11"/>
      <c r="K4662" s="6"/>
      <c r="L4662" s="13"/>
    </row>
    <row r="4663" spans="1:12" hidden="1" x14ac:dyDescent="0.25">
      <c r="A4663" s="6"/>
      <c r="B4663" s="6"/>
      <c r="C4663" s="11"/>
      <c r="D4663" s="13"/>
      <c r="E4663" s="13"/>
      <c r="F4663" s="13"/>
      <c r="G4663" s="13"/>
      <c r="H4663" s="13"/>
      <c r="I4663" s="10"/>
      <c r="J4663" s="11"/>
      <c r="K4663" s="6"/>
      <c r="L4663" s="13"/>
    </row>
    <row r="4664" spans="1:12" hidden="1" x14ac:dyDescent="0.25">
      <c r="A4664" s="6"/>
      <c r="B4664" s="6"/>
      <c r="C4664" s="11"/>
      <c r="D4664" s="13"/>
      <c r="E4664" s="13"/>
      <c r="F4664" s="13"/>
      <c r="G4664" s="13"/>
      <c r="H4664" s="13"/>
      <c r="I4664" s="10"/>
      <c r="J4664" s="11"/>
      <c r="K4664" s="6"/>
      <c r="L4664" s="13"/>
    </row>
    <row r="4665" spans="1:12" hidden="1" x14ac:dyDescent="0.25">
      <c r="A4665" s="6"/>
      <c r="B4665" s="6"/>
      <c r="C4665" s="11"/>
      <c r="D4665" s="13"/>
      <c r="E4665" s="13"/>
      <c r="F4665" s="13"/>
      <c r="G4665" s="13"/>
      <c r="H4665" s="13"/>
      <c r="I4665" s="10"/>
      <c r="J4665" s="11"/>
      <c r="K4665" s="6"/>
      <c r="L4665" s="13"/>
    </row>
    <row r="4666" spans="1:12" hidden="1" x14ac:dyDescent="0.25">
      <c r="A4666" s="6"/>
      <c r="B4666" s="6"/>
      <c r="C4666" s="11"/>
      <c r="D4666" s="13"/>
      <c r="E4666" s="13"/>
      <c r="F4666" s="13"/>
      <c r="G4666" s="13"/>
      <c r="H4666" s="13"/>
      <c r="I4666" s="10"/>
      <c r="J4666" s="11"/>
      <c r="K4666" s="6"/>
      <c r="L4666" s="13"/>
    </row>
    <row r="4667" spans="1:12" hidden="1" x14ac:dyDescent="0.25">
      <c r="A4667" s="6"/>
      <c r="B4667" s="6"/>
      <c r="C4667" s="11"/>
      <c r="D4667" s="13"/>
      <c r="E4667" s="13"/>
      <c r="F4667" s="13"/>
      <c r="G4667" s="13"/>
      <c r="H4667" s="13"/>
      <c r="I4667" s="10"/>
      <c r="J4667" s="11"/>
      <c r="K4667" s="6"/>
      <c r="L4667" s="13"/>
    </row>
    <row r="4668" spans="1:12" hidden="1" x14ac:dyDescent="0.25">
      <c r="A4668" s="6"/>
      <c r="B4668" s="6"/>
      <c r="C4668" s="11"/>
      <c r="D4668" s="13"/>
      <c r="E4668" s="13"/>
      <c r="F4668" s="13"/>
      <c r="G4668" s="13"/>
      <c r="H4668" s="13"/>
      <c r="I4668" s="10"/>
      <c r="J4668" s="11"/>
      <c r="K4668" s="6"/>
      <c r="L4668" s="13"/>
    </row>
    <row r="4669" spans="1:12" hidden="1" x14ac:dyDescent="0.25">
      <c r="A4669" s="6"/>
      <c r="B4669" s="6"/>
      <c r="C4669" s="11"/>
      <c r="D4669" s="13"/>
      <c r="E4669" s="13"/>
      <c r="F4669" s="13"/>
      <c r="G4669" s="13"/>
      <c r="H4669" s="13"/>
      <c r="I4669" s="10"/>
      <c r="J4669" s="11"/>
      <c r="K4669" s="6"/>
      <c r="L4669" s="13"/>
    </row>
    <row r="4670" spans="1:12" hidden="1" x14ac:dyDescent="0.25">
      <c r="A4670" s="6"/>
      <c r="B4670" s="6"/>
      <c r="C4670" s="11"/>
      <c r="D4670" s="13"/>
      <c r="E4670" s="13"/>
      <c r="F4670" s="13"/>
      <c r="G4670" s="13"/>
      <c r="H4670" s="13"/>
      <c r="I4670" s="10"/>
      <c r="J4670" s="11"/>
      <c r="K4670" s="6"/>
      <c r="L4670" s="13"/>
    </row>
    <row r="4671" spans="1:12" hidden="1" x14ac:dyDescent="0.25">
      <c r="A4671" s="6"/>
      <c r="B4671" s="6"/>
      <c r="C4671" s="11"/>
      <c r="D4671" s="13"/>
      <c r="E4671" s="13"/>
      <c r="F4671" s="13"/>
      <c r="G4671" s="13"/>
      <c r="H4671" s="13"/>
      <c r="I4671" s="10"/>
      <c r="J4671" s="11"/>
      <c r="K4671" s="6"/>
      <c r="L4671" s="13"/>
    </row>
    <row r="4672" spans="1:12" hidden="1" x14ac:dyDescent="0.25">
      <c r="A4672" s="6"/>
      <c r="B4672" s="6"/>
      <c r="C4672" s="11"/>
      <c r="D4672" s="13"/>
      <c r="E4672" s="13"/>
      <c r="F4672" s="13"/>
      <c r="G4672" s="13"/>
      <c r="H4672" s="13"/>
      <c r="I4672" s="10"/>
      <c r="J4672" s="11"/>
      <c r="K4672" s="6"/>
      <c r="L4672" s="13"/>
    </row>
    <row r="4673" spans="1:12" hidden="1" x14ac:dyDescent="0.25">
      <c r="A4673" s="6"/>
      <c r="B4673" s="6"/>
      <c r="C4673" s="11"/>
      <c r="D4673" s="13"/>
      <c r="E4673" s="13"/>
      <c r="F4673" s="13"/>
      <c r="G4673" s="13"/>
      <c r="H4673" s="13"/>
      <c r="I4673" s="10"/>
      <c r="J4673" s="11"/>
      <c r="K4673" s="6"/>
      <c r="L4673" s="13"/>
    </row>
    <row r="4674" spans="1:12" hidden="1" x14ac:dyDescent="0.25">
      <c r="A4674" s="6"/>
      <c r="B4674" s="6"/>
      <c r="C4674" s="11"/>
      <c r="D4674" s="13"/>
      <c r="E4674" s="13"/>
      <c r="F4674" s="13"/>
      <c r="G4674" s="13"/>
      <c r="H4674" s="13"/>
      <c r="I4674" s="10"/>
      <c r="J4674" s="11"/>
      <c r="K4674" s="6"/>
      <c r="L4674" s="13"/>
    </row>
    <row r="4675" spans="1:12" hidden="1" x14ac:dyDescent="0.25">
      <c r="A4675" s="6"/>
      <c r="B4675" s="6"/>
      <c r="C4675" s="11"/>
      <c r="D4675" s="13"/>
      <c r="E4675" s="13"/>
      <c r="F4675" s="13"/>
      <c r="G4675" s="13"/>
      <c r="H4675" s="13"/>
      <c r="I4675" s="10"/>
      <c r="J4675" s="11"/>
      <c r="K4675" s="6"/>
      <c r="L4675" s="13"/>
    </row>
    <row r="4676" spans="1:12" hidden="1" x14ac:dyDescent="0.25">
      <c r="A4676" s="6"/>
      <c r="B4676" s="6"/>
      <c r="C4676" s="11"/>
      <c r="D4676" s="13"/>
      <c r="E4676" s="13"/>
      <c r="F4676" s="13"/>
      <c r="G4676" s="13"/>
      <c r="H4676" s="13"/>
      <c r="I4676" s="10"/>
      <c r="J4676" s="11"/>
      <c r="K4676" s="6"/>
      <c r="L4676" s="13"/>
    </row>
    <row r="4677" spans="1:12" hidden="1" x14ac:dyDescent="0.25">
      <c r="A4677" s="6"/>
      <c r="B4677" s="6"/>
      <c r="C4677" s="11"/>
      <c r="D4677" s="13"/>
      <c r="E4677" s="13"/>
      <c r="F4677" s="13"/>
      <c r="G4677" s="13"/>
      <c r="H4677" s="13"/>
      <c r="I4677" s="10"/>
      <c r="J4677" s="11"/>
      <c r="K4677" s="6"/>
      <c r="L4677" s="13"/>
    </row>
    <row r="4678" spans="1:12" hidden="1" x14ac:dyDescent="0.25">
      <c r="A4678" s="6"/>
      <c r="B4678" s="6"/>
      <c r="C4678" s="11"/>
      <c r="D4678" s="13"/>
      <c r="E4678" s="13"/>
      <c r="F4678" s="13"/>
      <c r="G4678" s="13"/>
      <c r="H4678" s="13"/>
      <c r="I4678" s="10"/>
      <c r="J4678" s="11"/>
      <c r="K4678" s="6"/>
      <c r="L4678" s="13"/>
    </row>
    <row r="4679" spans="1:12" hidden="1" x14ac:dyDescent="0.25">
      <c r="A4679" s="6"/>
      <c r="B4679" s="6"/>
      <c r="C4679" s="11"/>
      <c r="D4679" s="13"/>
      <c r="E4679" s="13"/>
      <c r="F4679" s="13"/>
      <c r="G4679" s="13"/>
      <c r="H4679" s="13"/>
      <c r="I4679" s="10"/>
      <c r="J4679" s="11"/>
      <c r="K4679" s="6"/>
      <c r="L4679" s="13"/>
    </row>
    <row r="4680" spans="1:12" hidden="1" x14ac:dyDescent="0.25">
      <c r="A4680" s="6"/>
      <c r="B4680" s="6"/>
      <c r="C4680" s="11"/>
      <c r="D4680" s="13"/>
      <c r="E4680" s="13"/>
      <c r="F4680" s="13"/>
      <c r="G4680" s="13"/>
      <c r="H4680" s="13"/>
      <c r="I4680" s="10"/>
      <c r="J4680" s="11"/>
      <c r="K4680" s="6"/>
      <c r="L4680" s="13"/>
    </row>
    <row r="4681" spans="1:12" hidden="1" x14ac:dyDescent="0.25">
      <c r="A4681" s="6"/>
      <c r="B4681" s="6"/>
      <c r="C4681" s="11"/>
      <c r="D4681" s="13"/>
      <c r="E4681" s="13"/>
      <c r="F4681" s="13"/>
      <c r="G4681" s="13"/>
      <c r="H4681" s="13"/>
      <c r="I4681" s="10"/>
      <c r="J4681" s="11"/>
      <c r="K4681" s="6"/>
      <c r="L4681" s="13"/>
    </row>
    <row r="4682" spans="1:12" hidden="1" x14ac:dyDescent="0.25">
      <c r="A4682" s="6"/>
      <c r="B4682" s="6"/>
      <c r="C4682" s="11"/>
      <c r="D4682" s="13"/>
      <c r="E4682" s="13"/>
      <c r="F4682" s="13"/>
      <c r="G4682" s="13"/>
      <c r="H4682" s="13"/>
      <c r="I4682" s="10"/>
      <c r="J4682" s="11"/>
      <c r="K4682" s="6"/>
      <c r="L4682" s="13"/>
    </row>
    <row r="4683" spans="1:12" hidden="1" x14ac:dyDescent="0.25">
      <c r="A4683" s="6"/>
      <c r="B4683" s="6"/>
      <c r="C4683" s="11"/>
      <c r="D4683" s="13"/>
      <c r="E4683" s="13"/>
      <c r="F4683" s="13"/>
      <c r="G4683" s="13"/>
      <c r="H4683" s="13"/>
      <c r="I4683" s="10"/>
      <c r="J4683" s="11"/>
      <c r="K4683" s="6"/>
      <c r="L4683" s="13"/>
    </row>
    <row r="4684" spans="1:12" hidden="1" x14ac:dyDescent="0.25">
      <c r="A4684" s="6"/>
      <c r="B4684" s="6"/>
      <c r="C4684" s="11"/>
      <c r="D4684" s="13"/>
      <c r="E4684" s="13"/>
      <c r="F4684" s="13"/>
      <c r="G4684" s="13"/>
      <c r="H4684" s="13"/>
      <c r="I4684" s="10"/>
      <c r="J4684" s="11"/>
      <c r="K4684" s="6"/>
      <c r="L4684" s="13"/>
    </row>
    <row r="4685" spans="1:12" hidden="1" x14ac:dyDescent="0.25">
      <c r="A4685" s="6"/>
      <c r="B4685" s="6"/>
      <c r="C4685" s="11"/>
      <c r="D4685" s="13"/>
      <c r="E4685" s="13"/>
      <c r="F4685" s="13"/>
      <c r="G4685" s="13"/>
      <c r="H4685" s="13"/>
      <c r="I4685" s="10"/>
      <c r="J4685" s="11"/>
      <c r="K4685" s="6"/>
      <c r="L4685" s="13"/>
    </row>
    <row r="4686" spans="1:12" hidden="1" x14ac:dyDescent="0.25">
      <c r="A4686" s="6"/>
      <c r="B4686" s="6"/>
      <c r="C4686" s="11"/>
      <c r="D4686" s="13"/>
      <c r="E4686" s="13"/>
      <c r="F4686" s="13"/>
      <c r="G4686" s="13"/>
      <c r="H4686" s="13"/>
      <c r="I4686" s="10"/>
      <c r="J4686" s="11"/>
      <c r="K4686" s="6"/>
      <c r="L4686" s="13"/>
    </row>
    <row r="4687" spans="1:12" hidden="1" x14ac:dyDescent="0.25">
      <c r="A4687" s="6"/>
      <c r="B4687" s="6"/>
      <c r="C4687" s="11"/>
      <c r="D4687" s="13"/>
      <c r="E4687" s="13"/>
      <c r="F4687" s="13"/>
      <c r="G4687" s="13"/>
      <c r="H4687" s="13"/>
      <c r="I4687" s="10"/>
      <c r="J4687" s="11"/>
      <c r="K4687" s="6"/>
      <c r="L4687" s="13"/>
    </row>
    <row r="4688" spans="1:12" hidden="1" x14ac:dyDescent="0.25">
      <c r="A4688" s="6"/>
      <c r="B4688" s="6"/>
      <c r="C4688" s="11"/>
      <c r="D4688" s="13"/>
      <c r="E4688" s="13"/>
      <c r="F4688" s="13"/>
      <c r="G4688" s="13"/>
      <c r="H4688" s="13"/>
      <c r="I4688" s="10"/>
      <c r="J4688" s="11"/>
      <c r="K4688" s="6"/>
      <c r="L4688" s="13"/>
    </row>
    <row r="4689" spans="1:12" hidden="1" x14ac:dyDescent="0.25">
      <c r="A4689" s="6"/>
      <c r="B4689" s="6"/>
      <c r="C4689" s="11"/>
      <c r="D4689" s="13"/>
      <c r="E4689" s="13"/>
      <c r="F4689" s="13"/>
      <c r="G4689" s="13"/>
      <c r="H4689" s="13"/>
      <c r="I4689" s="10"/>
      <c r="J4689" s="11"/>
      <c r="K4689" s="6"/>
      <c r="L4689" s="13"/>
    </row>
    <row r="4690" spans="1:12" hidden="1" x14ac:dyDescent="0.25">
      <c r="A4690" s="6"/>
      <c r="B4690" s="6"/>
      <c r="C4690" s="11"/>
      <c r="D4690" s="13"/>
      <c r="E4690" s="13"/>
      <c r="F4690" s="13"/>
      <c r="G4690" s="13"/>
      <c r="H4690" s="13"/>
      <c r="I4690" s="10"/>
      <c r="J4690" s="11"/>
      <c r="K4690" s="6"/>
      <c r="L4690" s="13"/>
    </row>
    <row r="4691" spans="1:12" hidden="1" x14ac:dyDescent="0.25">
      <c r="A4691" s="6"/>
      <c r="B4691" s="6"/>
      <c r="C4691" s="11"/>
      <c r="D4691" s="13"/>
      <c r="E4691" s="13"/>
      <c r="F4691" s="13"/>
      <c r="G4691" s="13"/>
      <c r="H4691" s="13"/>
      <c r="I4691" s="10"/>
      <c r="J4691" s="11"/>
      <c r="K4691" s="6"/>
      <c r="L4691" s="13"/>
    </row>
    <row r="4692" spans="1:12" hidden="1" x14ac:dyDescent="0.25">
      <c r="A4692" s="6"/>
      <c r="B4692" s="6"/>
      <c r="C4692" s="11"/>
      <c r="D4692" s="13"/>
      <c r="E4692" s="13"/>
      <c r="F4692" s="13"/>
      <c r="G4692" s="13"/>
      <c r="H4692" s="13"/>
      <c r="I4692" s="10"/>
      <c r="J4692" s="11"/>
      <c r="K4692" s="6"/>
      <c r="L4692" s="13"/>
    </row>
    <row r="4693" spans="1:12" hidden="1" x14ac:dyDescent="0.25">
      <c r="A4693" s="6"/>
      <c r="B4693" s="6"/>
      <c r="C4693" s="11"/>
      <c r="D4693" s="13"/>
      <c r="E4693" s="13"/>
      <c r="F4693" s="13"/>
      <c r="G4693" s="13"/>
      <c r="H4693" s="13"/>
      <c r="I4693" s="10"/>
      <c r="J4693" s="11"/>
      <c r="K4693" s="6"/>
      <c r="L4693" s="13"/>
    </row>
    <row r="4694" spans="1:12" hidden="1" x14ac:dyDescent="0.25">
      <c r="A4694" s="6"/>
      <c r="B4694" s="6"/>
      <c r="C4694" s="11"/>
      <c r="D4694" s="13"/>
      <c r="E4694" s="13"/>
      <c r="F4694" s="13"/>
      <c r="G4694" s="13"/>
      <c r="H4694" s="13"/>
      <c r="I4694" s="10"/>
      <c r="J4694" s="11"/>
      <c r="K4694" s="6"/>
      <c r="L4694" s="13"/>
    </row>
    <row r="4695" spans="1:12" hidden="1" x14ac:dyDescent="0.25">
      <c r="A4695" s="6"/>
      <c r="B4695" s="6"/>
      <c r="C4695" s="11"/>
      <c r="D4695" s="13"/>
      <c r="E4695" s="13"/>
      <c r="F4695" s="13"/>
      <c r="G4695" s="13"/>
      <c r="H4695" s="13"/>
      <c r="I4695" s="10"/>
      <c r="J4695" s="11"/>
      <c r="K4695" s="6"/>
      <c r="L4695" s="13"/>
    </row>
    <row r="4696" spans="1:12" hidden="1" x14ac:dyDescent="0.25">
      <c r="A4696" s="6"/>
      <c r="B4696" s="6"/>
      <c r="C4696" s="11"/>
      <c r="D4696" s="13"/>
      <c r="E4696" s="13"/>
      <c r="F4696" s="13"/>
      <c r="G4696" s="13"/>
      <c r="H4696" s="13"/>
      <c r="I4696" s="10"/>
      <c r="J4696" s="11"/>
      <c r="K4696" s="6"/>
      <c r="L4696" s="13"/>
    </row>
    <row r="4697" spans="1:12" hidden="1" x14ac:dyDescent="0.25">
      <c r="A4697" s="6"/>
      <c r="B4697" s="6"/>
      <c r="C4697" s="11"/>
      <c r="D4697" s="13"/>
      <c r="E4697" s="13"/>
      <c r="F4697" s="13"/>
      <c r="G4697" s="13"/>
      <c r="H4697" s="13"/>
      <c r="I4697" s="10"/>
      <c r="J4697" s="11"/>
      <c r="K4697" s="6"/>
      <c r="L4697" s="13"/>
    </row>
    <row r="4698" spans="1:12" hidden="1" x14ac:dyDescent="0.25">
      <c r="A4698" s="6"/>
      <c r="B4698" s="6"/>
      <c r="C4698" s="11"/>
      <c r="D4698" s="13"/>
      <c r="E4698" s="13"/>
      <c r="F4698" s="13"/>
      <c r="G4698" s="13"/>
      <c r="H4698" s="13"/>
      <c r="I4698" s="10"/>
      <c r="J4698" s="11"/>
      <c r="K4698" s="6"/>
      <c r="L4698" s="13"/>
    </row>
    <row r="4699" spans="1:12" hidden="1" x14ac:dyDescent="0.25">
      <c r="A4699" s="6"/>
      <c r="B4699" s="6"/>
      <c r="C4699" s="11"/>
      <c r="D4699" s="13"/>
      <c r="E4699" s="13"/>
      <c r="F4699" s="13"/>
      <c r="G4699" s="13"/>
      <c r="H4699" s="13"/>
      <c r="I4699" s="10"/>
      <c r="J4699" s="11"/>
      <c r="K4699" s="6"/>
      <c r="L4699" s="13"/>
    </row>
    <row r="4700" spans="1:12" hidden="1" x14ac:dyDescent="0.25">
      <c r="A4700" s="6"/>
      <c r="B4700" s="6"/>
      <c r="C4700" s="11"/>
      <c r="D4700" s="13"/>
      <c r="E4700" s="13"/>
      <c r="F4700" s="13"/>
      <c r="G4700" s="13"/>
      <c r="H4700" s="13"/>
      <c r="I4700" s="10"/>
      <c r="J4700" s="11"/>
      <c r="K4700" s="6"/>
      <c r="L4700" s="13"/>
    </row>
    <row r="4701" spans="1:12" hidden="1" x14ac:dyDescent="0.25">
      <c r="A4701" s="6"/>
      <c r="B4701" s="6"/>
      <c r="C4701" s="11"/>
      <c r="D4701" s="13"/>
      <c r="E4701" s="13"/>
      <c r="F4701" s="13"/>
      <c r="G4701" s="13"/>
      <c r="H4701" s="13"/>
      <c r="I4701" s="10"/>
      <c r="J4701" s="11"/>
      <c r="K4701" s="6"/>
      <c r="L4701" s="13"/>
    </row>
    <row r="4702" spans="1:12" hidden="1" x14ac:dyDescent="0.25">
      <c r="A4702" s="6"/>
      <c r="B4702" s="6"/>
      <c r="C4702" s="11"/>
      <c r="D4702" s="13"/>
      <c r="E4702" s="13"/>
      <c r="F4702" s="13"/>
      <c r="G4702" s="13"/>
      <c r="H4702" s="13"/>
      <c r="I4702" s="10"/>
      <c r="J4702" s="11"/>
      <c r="K4702" s="6"/>
      <c r="L4702" s="13"/>
    </row>
    <row r="4703" spans="1:12" hidden="1" x14ac:dyDescent="0.25">
      <c r="A4703" s="6"/>
      <c r="B4703" s="6"/>
      <c r="C4703" s="11"/>
      <c r="D4703" s="13"/>
      <c r="E4703" s="13"/>
      <c r="F4703" s="13"/>
      <c r="G4703" s="13"/>
      <c r="H4703" s="13"/>
      <c r="I4703" s="10"/>
      <c r="J4703" s="11"/>
      <c r="K4703" s="6"/>
      <c r="L4703" s="13"/>
    </row>
    <row r="4704" spans="1:12" hidden="1" x14ac:dyDescent="0.25">
      <c r="A4704" s="6"/>
      <c r="B4704" s="6"/>
      <c r="C4704" s="11"/>
      <c r="D4704" s="13"/>
      <c r="E4704" s="13"/>
      <c r="F4704" s="13"/>
      <c r="G4704" s="13"/>
      <c r="H4704" s="13"/>
      <c r="I4704" s="10"/>
      <c r="J4704" s="11"/>
      <c r="K4704" s="6"/>
      <c r="L4704" s="13"/>
    </row>
    <row r="4705" spans="1:12" hidden="1" x14ac:dyDescent="0.25">
      <c r="A4705" s="6"/>
      <c r="B4705" s="6"/>
      <c r="C4705" s="11"/>
      <c r="D4705" s="13"/>
      <c r="E4705" s="13"/>
      <c r="F4705" s="13"/>
      <c r="G4705" s="13"/>
      <c r="H4705" s="13"/>
      <c r="I4705" s="10"/>
      <c r="J4705" s="11"/>
      <c r="K4705" s="6"/>
      <c r="L4705" s="13"/>
    </row>
    <row r="4706" spans="1:12" hidden="1" x14ac:dyDescent="0.25">
      <c r="A4706" s="6"/>
      <c r="B4706" s="6"/>
      <c r="C4706" s="11"/>
      <c r="D4706" s="13"/>
      <c r="E4706" s="13"/>
      <c r="F4706" s="13"/>
      <c r="G4706" s="13"/>
      <c r="H4706" s="13"/>
      <c r="I4706" s="10"/>
      <c r="J4706" s="11"/>
      <c r="K4706" s="6"/>
      <c r="L4706" s="13"/>
    </row>
    <row r="4707" spans="1:12" hidden="1" x14ac:dyDescent="0.25">
      <c r="A4707" s="6"/>
      <c r="B4707" s="6"/>
      <c r="C4707" s="11"/>
      <c r="D4707" s="13"/>
      <c r="E4707" s="13"/>
      <c r="F4707" s="13"/>
      <c r="G4707" s="13"/>
      <c r="H4707" s="13"/>
      <c r="I4707" s="10"/>
      <c r="J4707" s="11"/>
      <c r="K4707" s="6"/>
      <c r="L4707" s="13"/>
    </row>
    <row r="4708" spans="1:12" hidden="1" x14ac:dyDescent="0.25">
      <c r="A4708" s="6"/>
      <c r="B4708" s="6"/>
      <c r="C4708" s="11"/>
      <c r="D4708" s="13"/>
      <c r="E4708" s="13"/>
      <c r="F4708" s="13"/>
      <c r="G4708" s="13"/>
      <c r="H4708" s="13"/>
      <c r="I4708" s="10"/>
      <c r="J4708" s="11"/>
      <c r="K4708" s="6"/>
      <c r="L4708" s="13"/>
    </row>
    <row r="4709" spans="1:12" hidden="1" x14ac:dyDescent="0.25">
      <c r="A4709" s="6"/>
      <c r="B4709" s="6"/>
      <c r="C4709" s="11"/>
      <c r="D4709" s="13"/>
      <c r="E4709" s="13"/>
      <c r="F4709" s="13"/>
      <c r="G4709" s="13"/>
      <c r="H4709" s="13"/>
      <c r="I4709" s="10"/>
      <c r="J4709" s="11"/>
      <c r="K4709" s="6"/>
      <c r="L4709" s="13"/>
    </row>
    <row r="4710" spans="1:12" hidden="1" x14ac:dyDescent="0.25">
      <c r="A4710" s="6"/>
      <c r="B4710" s="6"/>
      <c r="C4710" s="11"/>
      <c r="D4710" s="13"/>
      <c r="E4710" s="13"/>
      <c r="F4710" s="13"/>
      <c r="G4710" s="13"/>
      <c r="H4710" s="13"/>
      <c r="I4710" s="10"/>
      <c r="J4710" s="11"/>
      <c r="K4710" s="6"/>
      <c r="L4710" s="13"/>
    </row>
    <row r="4711" spans="1:12" hidden="1" x14ac:dyDescent="0.25">
      <c r="A4711" s="6"/>
      <c r="B4711" s="6"/>
      <c r="C4711" s="11"/>
      <c r="D4711" s="13"/>
      <c r="E4711" s="13"/>
      <c r="F4711" s="13"/>
      <c r="G4711" s="13"/>
      <c r="H4711" s="13"/>
      <c r="I4711" s="10"/>
      <c r="J4711" s="11"/>
      <c r="K4711" s="6"/>
      <c r="L4711" s="13"/>
    </row>
    <row r="4712" spans="1:12" hidden="1" x14ac:dyDescent="0.25">
      <c r="A4712" s="6"/>
      <c r="B4712" s="6"/>
      <c r="C4712" s="11"/>
      <c r="D4712" s="13"/>
      <c r="E4712" s="13"/>
      <c r="F4712" s="13"/>
      <c r="G4712" s="13"/>
      <c r="H4712" s="13"/>
      <c r="I4712" s="10"/>
      <c r="J4712" s="11"/>
      <c r="K4712" s="6"/>
      <c r="L4712" s="13"/>
    </row>
    <row r="4713" spans="1:12" hidden="1" x14ac:dyDescent="0.25">
      <c r="A4713" s="6"/>
      <c r="B4713" s="6"/>
      <c r="C4713" s="11"/>
      <c r="D4713" s="13"/>
      <c r="E4713" s="13"/>
      <c r="F4713" s="13"/>
      <c r="G4713" s="13"/>
      <c r="H4713" s="13"/>
      <c r="I4713" s="10"/>
      <c r="J4713" s="11"/>
      <c r="K4713" s="6"/>
      <c r="L4713" s="13"/>
    </row>
    <row r="4714" spans="1:12" hidden="1" x14ac:dyDescent="0.25">
      <c r="A4714" s="6"/>
      <c r="B4714" s="6"/>
      <c r="C4714" s="11"/>
      <c r="D4714" s="13"/>
      <c r="E4714" s="13"/>
      <c r="F4714" s="13"/>
      <c r="G4714" s="13"/>
      <c r="H4714" s="13"/>
      <c r="I4714" s="10"/>
      <c r="J4714" s="11"/>
      <c r="K4714" s="6"/>
      <c r="L4714" s="13"/>
    </row>
    <row r="4715" spans="1:12" hidden="1" x14ac:dyDescent="0.25">
      <c r="A4715" s="6"/>
      <c r="B4715" s="6"/>
      <c r="C4715" s="11"/>
      <c r="D4715" s="13"/>
      <c r="E4715" s="13"/>
      <c r="F4715" s="13"/>
      <c r="G4715" s="13"/>
      <c r="H4715" s="13"/>
      <c r="I4715" s="10"/>
      <c r="J4715" s="11"/>
      <c r="K4715" s="6"/>
      <c r="L4715" s="13"/>
    </row>
    <row r="4716" spans="1:12" hidden="1" x14ac:dyDescent="0.25">
      <c r="A4716" s="6"/>
      <c r="B4716" s="6"/>
      <c r="C4716" s="11"/>
      <c r="D4716" s="13"/>
      <c r="E4716" s="13"/>
      <c r="F4716" s="13"/>
      <c r="G4716" s="13"/>
      <c r="H4716" s="13"/>
      <c r="I4716" s="10"/>
      <c r="J4716" s="11"/>
      <c r="K4716" s="6"/>
      <c r="L4716" s="13"/>
    </row>
    <row r="4717" spans="1:12" hidden="1" x14ac:dyDescent="0.25">
      <c r="A4717" s="6"/>
      <c r="B4717" s="6"/>
      <c r="C4717" s="11"/>
      <c r="D4717" s="13"/>
      <c r="E4717" s="13"/>
      <c r="F4717" s="13"/>
      <c r="G4717" s="13"/>
      <c r="H4717" s="13"/>
      <c r="I4717" s="10"/>
      <c r="J4717" s="11"/>
      <c r="K4717" s="6"/>
      <c r="L4717" s="13"/>
    </row>
    <row r="4718" spans="1:12" hidden="1" x14ac:dyDescent="0.25">
      <c r="A4718" s="6"/>
      <c r="B4718" s="6"/>
      <c r="C4718" s="11"/>
      <c r="D4718" s="13"/>
      <c r="E4718" s="13"/>
      <c r="F4718" s="13"/>
      <c r="G4718" s="13"/>
      <c r="H4718" s="13"/>
      <c r="I4718" s="10"/>
      <c r="J4718" s="11"/>
      <c r="K4718" s="6"/>
      <c r="L4718" s="13"/>
    </row>
    <row r="4719" spans="1:12" hidden="1" x14ac:dyDescent="0.25">
      <c r="A4719" s="6"/>
      <c r="B4719" s="6"/>
      <c r="C4719" s="11"/>
      <c r="D4719" s="13"/>
      <c r="E4719" s="13"/>
      <c r="F4719" s="13"/>
      <c r="G4719" s="13"/>
      <c r="H4719" s="13"/>
      <c r="I4719" s="10"/>
      <c r="J4719" s="11"/>
      <c r="K4719" s="6"/>
      <c r="L4719" s="13"/>
    </row>
    <row r="4720" spans="1:12" hidden="1" x14ac:dyDescent="0.25">
      <c r="A4720" s="6"/>
      <c r="B4720" s="6"/>
      <c r="C4720" s="11"/>
      <c r="D4720" s="13"/>
      <c r="E4720" s="13"/>
      <c r="F4720" s="13"/>
      <c r="G4720" s="13"/>
      <c r="H4720" s="13"/>
      <c r="I4720" s="10"/>
      <c r="J4720" s="11"/>
      <c r="K4720" s="6"/>
      <c r="L4720" s="13"/>
    </row>
    <row r="4721" spans="1:12" hidden="1" x14ac:dyDescent="0.25">
      <c r="A4721" s="6"/>
      <c r="B4721" s="6"/>
      <c r="C4721" s="11"/>
      <c r="D4721" s="13"/>
      <c r="E4721" s="13"/>
      <c r="F4721" s="13"/>
      <c r="G4721" s="13"/>
      <c r="H4721" s="13"/>
      <c r="I4721" s="10"/>
      <c r="J4721" s="11"/>
      <c r="K4721" s="6"/>
      <c r="L4721" s="13"/>
    </row>
    <row r="4722" spans="1:12" hidden="1" x14ac:dyDescent="0.25">
      <c r="A4722" s="6"/>
      <c r="B4722" s="6"/>
      <c r="C4722" s="11"/>
      <c r="D4722" s="13"/>
      <c r="E4722" s="13"/>
      <c r="F4722" s="13"/>
      <c r="G4722" s="13"/>
      <c r="H4722" s="13"/>
      <c r="I4722" s="10"/>
      <c r="J4722" s="11"/>
      <c r="K4722" s="6"/>
      <c r="L4722" s="13"/>
    </row>
    <row r="4723" spans="1:12" hidden="1" x14ac:dyDescent="0.25">
      <c r="A4723" s="6"/>
      <c r="B4723" s="6"/>
      <c r="C4723" s="11"/>
      <c r="D4723" s="13"/>
      <c r="E4723" s="13"/>
      <c r="F4723" s="13"/>
      <c r="G4723" s="13"/>
      <c r="H4723" s="13"/>
      <c r="I4723" s="10"/>
      <c r="J4723" s="11"/>
      <c r="K4723" s="6"/>
      <c r="L4723" s="13"/>
    </row>
    <row r="4724" spans="1:12" hidden="1" x14ac:dyDescent="0.25">
      <c r="A4724" s="6"/>
      <c r="B4724" s="6"/>
      <c r="C4724" s="11"/>
      <c r="D4724" s="13"/>
      <c r="E4724" s="13"/>
      <c r="F4724" s="13"/>
      <c r="G4724" s="13"/>
      <c r="H4724" s="13"/>
      <c r="I4724" s="10"/>
      <c r="J4724" s="11"/>
      <c r="K4724" s="6"/>
      <c r="L4724" s="13"/>
    </row>
    <row r="4725" spans="1:12" hidden="1" x14ac:dyDescent="0.25">
      <c r="A4725" s="6"/>
      <c r="B4725" s="6"/>
      <c r="C4725" s="11"/>
      <c r="D4725" s="13"/>
      <c r="E4725" s="13"/>
      <c r="F4725" s="13"/>
      <c r="G4725" s="13"/>
      <c r="H4725" s="13"/>
      <c r="I4725" s="10"/>
      <c r="J4725" s="11"/>
      <c r="K4725" s="6"/>
      <c r="L4725" s="13"/>
    </row>
    <row r="4726" spans="1:12" hidden="1" x14ac:dyDescent="0.25">
      <c r="A4726" s="6"/>
      <c r="B4726" s="6"/>
      <c r="C4726" s="11"/>
      <c r="D4726" s="13"/>
      <c r="E4726" s="13"/>
      <c r="F4726" s="13"/>
      <c r="G4726" s="13"/>
      <c r="H4726" s="13"/>
      <c r="I4726" s="10"/>
      <c r="J4726" s="11"/>
      <c r="K4726" s="6"/>
      <c r="L4726" s="13"/>
    </row>
    <row r="4727" spans="1:12" hidden="1" x14ac:dyDescent="0.25">
      <c r="A4727" s="6"/>
      <c r="B4727" s="6"/>
      <c r="C4727" s="11"/>
      <c r="D4727" s="13"/>
      <c r="E4727" s="13"/>
      <c r="F4727" s="13"/>
      <c r="G4727" s="13"/>
      <c r="H4727" s="13"/>
      <c r="I4727" s="10"/>
      <c r="J4727" s="11"/>
      <c r="K4727" s="6"/>
      <c r="L4727" s="13"/>
    </row>
    <row r="4728" spans="1:12" hidden="1" x14ac:dyDescent="0.25">
      <c r="A4728" s="6"/>
      <c r="B4728" s="6"/>
      <c r="C4728" s="11"/>
      <c r="D4728" s="13"/>
      <c r="E4728" s="13"/>
      <c r="F4728" s="13"/>
      <c r="G4728" s="13"/>
      <c r="H4728" s="13"/>
      <c r="I4728" s="10"/>
      <c r="J4728" s="11"/>
      <c r="K4728" s="6"/>
      <c r="L4728" s="13"/>
    </row>
    <row r="4729" spans="1:12" hidden="1" x14ac:dyDescent="0.25">
      <c r="A4729" s="6"/>
      <c r="B4729" s="6"/>
      <c r="C4729" s="11"/>
      <c r="D4729" s="13"/>
      <c r="E4729" s="13"/>
      <c r="F4729" s="13"/>
      <c r="G4729" s="13"/>
      <c r="H4729" s="13"/>
      <c r="I4729" s="10"/>
      <c r="J4729" s="11"/>
      <c r="K4729" s="6"/>
      <c r="L4729" s="13"/>
    </row>
    <row r="4730" spans="1:12" hidden="1" x14ac:dyDescent="0.25">
      <c r="A4730" s="6"/>
      <c r="B4730" s="6"/>
      <c r="C4730" s="11"/>
      <c r="D4730" s="13"/>
      <c r="E4730" s="13"/>
      <c r="F4730" s="13"/>
      <c r="G4730" s="13"/>
      <c r="H4730" s="13"/>
      <c r="I4730" s="10"/>
      <c r="J4730" s="11"/>
      <c r="K4730" s="6"/>
      <c r="L4730" s="13"/>
    </row>
    <row r="4731" spans="1:12" hidden="1" x14ac:dyDescent="0.25">
      <c r="A4731" s="6"/>
      <c r="B4731" s="6"/>
      <c r="C4731" s="11"/>
      <c r="D4731" s="13"/>
      <c r="E4731" s="13"/>
      <c r="F4731" s="13"/>
      <c r="G4731" s="13"/>
      <c r="H4731" s="13"/>
      <c r="I4731" s="10"/>
      <c r="J4731" s="11"/>
      <c r="K4731" s="6"/>
      <c r="L4731" s="13"/>
    </row>
    <row r="4732" spans="1:12" hidden="1" x14ac:dyDescent="0.25">
      <c r="A4732" s="6"/>
      <c r="B4732" s="6"/>
      <c r="C4732" s="11"/>
      <c r="D4732" s="13"/>
      <c r="E4732" s="13"/>
      <c r="F4732" s="13"/>
      <c r="G4732" s="13"/>
      <c r="H4732" s="13"/>
      <c r="I4732" s="10"/>
      <c r="J4732" s="11"/>
      <c r="K4732" s="6"/>
      <c r="L4732" s="13"/>
    </row>
    <row r="4733" spans="1:12" hidden="1" x14ac:dyDescent="0.25">
      <c r="A4733" s="6"/>
      <c r="B4733" s="6"/>
      <c r="C4733" s="11"/>
      <c r="D4733" s="13"/>
      <c r="E4733" s="13"/>
      <c r="F4733" s="13"/>
      <c r="G4733" s="13"/>
      <c r="H4733" s="13"/>
      <c r="I4733" s="10"/>
      <c r="J4733" s="11"/>
      <c r="K4733" s="6"/>
      <c r="L4733" s="13"/>
    </row>
    <row r="4734" spans="1:12" hidden="1" x14ac:dyDescent="0.25">
      <c r="A4734" s="6"/>
      <c r="B4734" s="6"/>
      <c r="C4734" s="11"/>
      <c r="D4734" s="13"/>
      <c r="E4734" s="13"/>
      <c r="F4734" s="13"/>
      <c r="G4734" s="13"/>
      <c r="H4734" s="13"/>
      <c r="I4734" s="10"/>
      <c r="J4734" s="11"/>
      <c r="K4734" s="6"/>
      <c r="L4734" s="13"/>
    </row>
    <row r="4735" spans="1:12" hidden="1" x14ac:dyDescent="0.25">
      <c r="A4735" s="6"/>
      <c r="B4735" s="6"/>
      <c r="C4735" s="11"/>
      <c r="D4735" s="13"/>
      <c r="E4735" s="13"/>
      <c r="F4735" s="13"/>
      <c r="G4735" s="13"/>
      <c r="H4735" s="13"/>
      <c r="I4735" s="10"/>
      <c r="J4735" s="11"/>
      <c r="K4735" s="6"/>
      <c r="L4735" s="13"/>
    </row>
    <row r="4736" spans="1:12" hidden="1" x14ac:dyDescent="0.25">
      <c r="A4736" s="6"/>
      <c r="B4736" s="6"/>
      <c r="C4736" s="11"/>
      <c r="D4736" s="13"/>
      <c r="E4736" s="13"/>
      <c r="F4736" s="13"/>
      <c r="G4736" s="13"/>
      <c r="H4736" s="13"/>
      <c r="I4736" s="10"/>
      <c r="J4736" s="11"/>
      <c r="K4736" s="6"/>
      <c r="L4736" s="13"/>
    </row>
    <row r="4737" spans="1:12" hidden="1" x14ac:dyDescent="0.25">
      <c r="A4737" s="6"/>
      <c r="B4737" s="6"/>
      <c r="C4737" s="11"/>
      <c r="D4737" s="13"/>
      <c r="E4737" s="13"/>
      <c r="F4737" s="13"/>
      <c r="G4737" s="13"/>
      <c r="H4737" s="13"/>
      <c r="I4737" s="10"/>
      <c r="J4737" s="11"/>
      <c r="K4737" s="6"/>
      <c r="L4737" s="13"/>
    </row>
    <row r="4738" spans="1:12" hidden="1" x14ac:dyDescent="0.25">
      <c r="A4738" s="6"/>
      <c r="B4738" s="6"/>
      <c r="C4738" s="11"/>
      <c r="D4738" s="13"/>
      <c r="E4738" s="13"/>
      <c r="F4738" s="13"/>
      <c r="G4738" s="13"/>
      <c r="H4738" s="13"/>
      <c r="I4738" s="10"/>
      <c r="J4738" s="11"/>
      <c r="K4738" s="6"/>
      <c r="L4738" s="13"/>
    </row>
    <row r="4739" spans="1:12" hidden="1" x14ac:dyDescent="0.25">
      <c r="A4739" s="6"/>
      <c r="B4739" s="6"/>
      <c r="C4739" s="11"/>
      <c r="D4739" s="13"/>
      <c r="E4739" s="13"/>
      <c r="F4739" s="13"/>
      <c r="G4739" s="13"/>
      <c r="H4739" s="13"/>
      <c r="I4739" s="10"/>
      <c r="J4739" s="11"/>
      <c r="K4739" s="6"/>
      <c r="L4739" s="13"/>
    </row>
    <row r="4740" spans="1:12" hidden="1" x14ac:dyDescent="0.25">
      <c r="A4740" s="6"/>
      <c r="B4740" s="6"/>
      <c r="C4740" s="11"/>
      <c r="D4740" s="13"/>
      <c r="E4740" s="13"/>
      <c r="F4740" s="13"/>
      <c r="G4740" s="13"/>
      <c r="H4740" s="13"/>
      <c r="I4740" s="10"/>
      <c r="J4740" s="11"/>
      <c r="K4740" s="6"/>
      <c r="L4740" s="13"/>
    </row>
    <row r="4741" spans="1:12" hidden="1" x14ac:dyDescent="0.25">
      <c r="A4741" s="6"/>
      <c r="B4741" s="6"/>
      <c r="C4741" s="11"/>
      <c r="D4741" s="13"/>
      <c r="E4741" s="13"/>
      <c r="F4741" s="13"/>
      <c r="G4741" s="13"/>
      <c r="H4741" s="13"/>
      <c r="I4741" s="10"/>
      <c r="J4741" s="11"/>
      <c r="K4741" s="6"/>
      <c r="L4741" s="13"/>
    </row>
    <row r="4742" spans="1:12" hidden="1" x14ac:dyDescent="0.25">
      <c r="A4742" s="6"/>
      <c r="B4742" s="6"/>
      <c r="C4742" s="11"/>
      <c r="D4742" s="13"/>
      <c r="E4742" s="13"/>
      <c r="F4742" s="13"/>
      <c r="G4742" s="13"/>
      <c r="H4742" s="13"/>
      <c r="I4742" s="10"/>
      <c r="J4742" s="11"/>
      <c r="K4742" s="6"/>
      <c r="L4742" s="13"/>
    </row>
    <row r="4743" spans="1:12" hidden="1" x14ac:dyDescent="0.25">
      <c r="A4743" s="6"/>
      <c r="B4743" s="6"/>
      <c r="C4743" s="11"/>
      <c r="D4743" s="13"/>
      <c r="E4743" s="13"/>
      <c r="F4743" s="13"/>
      <c r="G4743" s="13"/>
      <c r="H4743" s="13"/>
      <c r="I4743" s="10"/>
      <c r="J4743" s="11"/>
      <c r="K4743" s="6"/>
      <c r="L4743" s="13"/>
    </row>
    <row r="4744" spans="1:12" hidden="1" x14ac:dyDescent="0.25">
      <c r="A4744" s="6"/>
      <c r="B4744" s="6"/>
      <c r="C4744" s="11"/>
      <c r="D4744" s="13"/>
      <c r="E4744" s="13"/>
      <c r="F4744" s="13"/>
      <c r="G4744" s="13"/>
      <c r="H4744" s="13"/>
      <c r="I4744" s="10"/>
      <c r="J4744" s="11"/>
      <c r="K4744" s="6"/>
      <c r="L4744" s="13"/>
    </row>
    <row r="4745" spans="1:12" hidden="1" x14ac:dyDescent="0.25">
      <c r="A4745" s="6"/>
      <c r="B4745" s="6"/>
      <c r="C4745" s="11"/>
      <c r="D4745" s="13"/>
      <c r="E4745" s="13"/>
      <c r="F4745" s="13"/>
      <c r="G4745" s="13"/>
      <c r="H4745" s="13"/>
      <c r="I4745" s="10"/>
      <c r="J4745" s="11"/>
      <c r="K4745" s="6"/>
      <c r="L4745" s="13"/>
    </row>
    <row r="4746" spans="1:12" hidden="1" x14ac:dyDescent="0.25">
      <c r="A4746" s="6"/>
      <c r="B4746" s="6"/>
      <c r="C4746" s="11"/>
      <c r="D4746" s="13"/>
      <c r="E4746" s="13"/>
      <c r="F4746" s="13"/>
      <c r="G4746" s="13"/>
      <c r="H4746" s="13"/>
      <c r="I4746" s="10"/>
      <c r="J4746" s="11"/>
      <c r="K4746" s="6"/>
      <c r="L4746" s="13"/>
    </row>
    <row r="4747" spans="1:12" hidden="1" x14ac:dyDescent="0.25">
      <c r="A4747" s="6"/>
      <c r="B4747" s="6"/>
      <c r="C4747" s="11"/>
      <c r="D4747" s="13"/>
      <c r="E4747" s="13"/>
      <c r="F4747" s="13"/>
      <c r="G4747" s="13"/>
      <c r="H4747" s="13"/>
      <c r="I4747" s="10"/>
      <c r="J4747" s="11"/>
      <c r="K4747" s="6"/>
      <c r="L4747" s="13"/>
    </row>
    <row r="4748" spans="1:12" hidden="1" x14ac:dyDescent="0.25">
      <c r="A4748" s="6"/>
      <c r="B4748" s="6"/>
      <c r="C4748" s="11"/>
      <c r="D4748" s="13"/>
      <c r="E4748" s="13"/>
      <c r="F4748" s="13"/>
      <c r="G4748" s="13"/>
      <c r="H4748" s="13"/>
      <c r="I4748" s="10"/>
      <c r="J4748" s="11"/>
      <c r="K4748" s="6"/>
      <c r="L4748" s="13"/>
    </row>
    <row r="4749" spans="1:12" hidden="1" x14ac:dyDescent="0.25">
      <c r="A4749" s="6"/>
      <c r="B4749" s="6"/>
      <c r="C4749" s="11"/>
      <c r="D4749" s="13"/>
      <c r="E4749" s="13"/>
      <c r="F4749" s="13"/>
      <c r="G4749" s="13"/>
      <c r="H4749" s="13"/>
      <c r="I4749" s="10"/>
      <c r="J4749" s="11"/>
      <c r="K4749" s="6"/>
      <c r="L4749" s="13"/>
    </row>
    <row r="4750" spans="1:12" hidden="1" x14ac:dyDescent="0.25">
      <c r="A4750" s="6"/>
      <c r="B4750" s="6"/>
      <c r="C4750" s="11"/>
      <c r="D4750" s="13"/>
      <c r="E4750" s="13"/>
      <c r="F4750" s="13"/>
      <c r="G4750" s="13"/>
      <c r="H4750" s="13"/>
      <c r="I4750" s="10"/>
      <c r="J4750" s="11"/>
      <c r="K4750" s="6"/>
      <c r="L4750" s="13"/>
    </row>
    <row r="4751" spans="1:12" hidden="1" x14ac:dyDescent="0.25">
      <c r="A4751" s="6"/>
      <c r="B4751" s="6"/>
      <c r="C4751" s="11"/>
      <c r="D4751" s="13"/>
      <c r="E4751" s="13"/>
      <c r="F4751" s="13"/>
      <c r="G4751" s="13"/>
      <c r="H4751" s="13"/>
      <c r="I4751" s="10"/>
      <c r="J4751" s="11"/>
      <c r="K4751" s="6"/>
      <c r="L4751" s="13"/>
    </row>
    <row r="4752" spans="1:12" hidden="1" x14ac:dyDescent="0.25">
      <c r="A4752" s="6"/>
      <c r="B4752" s="6"/>
      <c r="C4752" s="11"/>
      <c r="D4752" s="13"/>
      <c r="E4752" s="13"/>
      <c r="F4752" s="13"/>
      <c r="G4752" s="13"/>
      <c r="H4752" s="13"/>
      <c r="I4752" s="10"/>
      <c r="J4752" s="11"/>
      <c r="K4752" s="6"/>
      <c r="L4752" s="13"/>
    </row>
    <row r="4753" spans="1:12" hidden="1" x14ac:dyDescent="0.25">
      <c r="A4753" s="6"/>
      <c r="B4753" s="6"/>
      <c r="C4753" s="11"/>
      <c r="D4753" s="13"/>
      <c r="E4753" s="13"/>
      <c r="F4753" s="13"/>
      <c r="G4753" s="13"/>
      <c r="H4753" s="13"/>
      <c r="I4753" s="10"/>
      <c r="J4753" s="11"/>
      <c r="K4753" s="6"/>
      <c r="L4753" s="13"/>
    </row>
    <row r="4754" spans="1:12" hidden="1" x14ac:dyDescent="0.25">
      <c r="A4754" s="6"/>
      <c r="B4754" s="6"/>
      <c r="C4754" s="11"/>
      <c r="D4754" s="13"/>
      <c r="E4754" s="13"/>
      <c r="F4754" s="13"/>
      <c r="G4754" s="13"/>
      <c r="H4754" s="13"/>
      <c r="I4754" s="10"/>
      <c r="J4754" s="11"/>
      <c r="K4754" s="6"/>
      <c r="L4754" s="13"/>
    </row>
    <row r="4755" spans="1:12" hidden="1" x14ac:dyDescent="0.25">
      <c r="A4755" s="6"/>
      <c r="B4755" s="6"/>
      <c r="C4755" s="11"/>
      <c r="D4755" s="13"/>
      <c r="E4755" s="13"/>
      <c r="F4755" s="13"/>
      <c r="G4755" s="13"/>
      <c r="H4755" s="13"/>
      <c r="I4755" s="10"/>
      <c r="J4755" s="11"/>
      <c r="K4755" s="6"/>
      <c r="L4755" s="13"/>
    </row>
    <row r="4756" spans="1:12" hidden="1" x14ac:dyDescent="0.25">
      <c r="A4756" s="6"/>
      <c r="B4756" s="6"/>
      <c r="C4756" s="11"/>
      <c r="D4756" s="13"/>
      <c r="E4756" s="13"/>
      <c r="F4756" s="13"/>
      <c r="G4756" s="13"/>
      <c r="H4756" s="13"/>
      <c r="I4756" s="10"/>
      <c r="J4756" s="11"/>
      <c r="K4756" s="6"/>
      <c r="L4756" s="13"/>
    </row>
    <row r="4757" spans="1:12" hidden="1" x14ac:dyDescent="0.25">
      <c r="A4757" s="6"/>
      <c r="B4757" s="6"/>
      <c r="C4757" s="11"/>
      <c r="D4757" s="13"/>
      <c r="E4757" s="13"/>
      <c r="F4757" s="13"/>
      <c r="G4757" s="13"/>
      <c r="H4757" s="13"/>
      <c r="I4757" s="10"/>
      <c r="J4757" s="11"/>
      <c r="K4757" s="6"/>
      <c r="L4757" s="13"/>
    </row>
    <row r="4758" spans="1:12" hidden="1" x14ac:dyDescent="0.25">
      <c r="A4758" s="6"/>
      <c r="B4758" s="6"/>
      <c r="C4758" s="11"/>
      <c r="D4758" s="13"/>
      <c r="E4758" s="13"/>
      <c r="F4758" s="13"/>
      <c r="G4758" s="13"/>
      <c r="H4758" s="13"/>
      <c r="I4758" s="10"/>
      <c r="J4758" s="11"/>
      <c r="K4758" s="6"/>
      <c r="L4758" s="13"/>
    </row>
    <row r="4759" spans="1:12" hidden="1" x14ac:dyDescent="0.25">
      <c r="A4759" s="6"/>
      <c r="B4759" s="6"/>
      <c r="C4759" s="11"/>
      <c r="D4759" s="13"/>
      <c r="E4759" s="13"/>
      <c r="F4759" s="13"/>
      <c r="G4759" s="13"/>
      <c r="H4759" s="13"/>
      <c r="I4759" s="10"/>
      <c r="J4759" s="11"/>
      <c r="K4759" s="6"/>
      <c r="L4759" s="13"/>
    </row>
    <row r="4760" spans="1:12" hidden="1" x14ac:dyDescent="0.25">
      <c r="A4760" s="6"/>
      <c r="B4760" s="6"/>
      <c r="C4760" s="11"/>
      <c r="D4760" s="13"/>
      <c r="E4760" s="13"/>
      <c r="F4760" s="13"/>
      <c r="G4760" s="13"/>
      <c r="H4760" s="13"/>
      <c r="I4760" s="10"/>
      <c r="J4760" s="11"/>
      <c r="K4760" s="6"/>
      <c r="L4760" s="13"/>
    </row>
    <row r="4761" spans="1:12" hidden="1" x14ac:dyDescent="0.25">
      <c r="A4761" s="6"/>
      <c r="B4761" s="6"/>
      <c r="C4761" s="11"/>
      <c r="D4761" s="13"/>
      <c r="E4761" s="13"/>
      <c r="F4761" s="13"/>
      <c r="G4761" s="13"/>
      <c r="H4761" s="13"/>
      <c r="I4761" s="10"/>
      <c r="J4761" s="11"/>
      <c r="K4761" s="6"/>
      <c r="L4761" s="13"/>
    </row>
    <row r="4762" spans="1:12" hidden="1" x14ac:dyDescent="0.25">
      <c r="A4762" s="6"/>
      <c r="B4762" s="6"/>
      <c r="C4762" s="11"/>
      <c r="D4762" s="13"/>
      <c r="E4762" s="13"/>
      <c r="F4762" s="13"/>
      <c r="G4762" s="13"/>
      <c r="H4762" s="13"/>
      <c r="I4762" s="10"/>
      <c r="J4762" s="11"/>
      <c r="K4762" s="6"/>
      <c r="L4762" s="13"/>
    </row>
    <row r="4763" spans="1:12" hidden="1" x14ac:dyDescent="0.25">
      <c r="A4763" s="6"/>
      <c r="B4763" s="6"/>
      <c r="C4763" s="11"/>
      <c r="D4763" s="13"/>
      <c r="E4763" s="13"/>
      <c r="F4763" s="13"/>
      <c r="G4763" s="13"/>
      <c r="H4763" s="13"/>
      <c r="I4763" s="10"/>
      <c r="J4763" s="11"/>
      <c r="K4763" s="6"/>
      <c r="L4763" s="13"/>
    </row>
    <row r="4764" spans="1:12" hidden="1" x14ac:dyDescent="0.25">
      <c r="A4764" s="6"/>
      <c r="B4764" s="6"/>
      <c r="C4764" s="11"/>
      <c r="D4764" s="13"/>
      <c r="E4764" s="13"/>
      <c r="F4764" s="13"/>
      <c r="G4764" s="13"/>
      <c r="H4764" s="13"/>
      <c r="I4764" s="10"/>
      <c r="J4764" s="11"/>
      <c r="K4764" s="6"/>
      <c r="L4764" s="13"/>
    </row>
    <row r="4765" spans="1:12" hidden="1" x14ac:dyDescent="0.25">
      <c r="A4765" s="6"/>
      <c r="B4765" s="6"/>
      <c r="C4765" s="11"/>
      <c r="D4765" s="13"/>
      <c r="E4765" s="13"/>
      <c r="F4765" s="13"/>
      <c r="G4765" s="13"/>
      <c r="H4765" s="13"/>
      <c r="I4765" s="10"/>
      <c r="J4765" s="11"/>
      <c r="K4765" s="6"/>
      <c r="L4765" s="13"/>
    </row>
    <row r="4766" spans="1:12" hidden="1" x14ac:dyDescent="0.25">
      <c r="A4766" s="6"/>
      <c r="B4766" s="6"/>
      <c r="C4766" s="11"/>
      <c r="D4766" s="13"/>
      <c r="E4766" s="13"/>
      <c r="F4766" s="13"/>
      <c r="G4766" s="13"/>
      <c r="H4766" s="13"/>
      <c r="I4766" s="10"/>
      <c r="J4766" s="11"/>
      <c r="K4766" s="6"/>
      <c r="L4766" s="13"/>
    </row>
    <row r="4767" spans="1:12" hidden="1" x14ac:dyDescent="0.25">
      <c r="A4767" s="6"/>
      <c r="B4767" s="6"/>
      <c r="C4767" s="11"/>
      <c r="D4767" s="13"/>
      <c r="E4767" s="13"/>
      <c r="F4767" s="13"/>
      <c r="G4767" s="13"/>
      <c r="H4767" s="13"/>
      <c r="I4767" s="10"/>
      <c r="J4767" s="11"/>
      <c r="K4767" s="6"/>
      <c r="L4767" s="13"/>
    </row>
    <row r="4768" spans="1:12" hidden="1" x14ac:dyDescent="0.25">
      <c r="A4768" s="6"/>
      <c r="B4768" s="6"/>
      <c r="C4768" s="11"/>
      <c r="D4768" s="13"/>
      <c r="E4768" s="13"/>
      <c r="F4768" s="13"/>
      <c r="G4768" s="13"/>
      <c r="H4768" s="13"/>
      <c r="I4768" s="10"/>
      <c r="J4768" s="11"/>
      <c r="K4768" s="6"/>
      <c r="L4768" s="13"/>
    </row>
    <row r="4769" spans="1:12" hidden="1" x14ac:dyDescent="0.25">
      <c r="A4769" s="6"/>
      <c r="B4769" s="6"/>
      <c r="C4769" s="11"/>
      <c r="D4769" s="13"/>
      <c r="E4769" s="13"/>
      <c r="F4769" s="13"/>
      <c r="G4769" s="13"/>
      <c r="H4769" s="13"/>
      <c r="I4769" s="10"/>
      <c r="J4769" s="11"/>
      <c r="K4769" s="6"/>
      <c r="L4769" s="13"/>
    </row>
    <row r="4770" spans="1:12" hidden="1" x14ac:dyDescent="0.25">
      <c r="A4770" s="6"/>
      <c r="B4770" s="6"/>
      <c r="C4770" s="11"/>
      <c r="D4770" s="13"/>
      <c r="E4770" s="13"/>
      <c r="F4770" s="13"/>
      <c r="G4770" s="13"/>
      <c r="H4770" s="13"/>
      <c r="I4770" s="10"/>
      <c r="J4770" s="11"/>
      <c r="K4770" s="6"/>
      <c r="L4770" s="13"/>
    </row>
    <row r="4771" spans="1:12" hidden="1" x14ac:dyDescent="0.25">
      <c r="A4771" s="6"/>
      <c r="B4771" s="6"/>
      <c r="C4771" s="11"/>
      <c r="D4771" s="13"/>
      <c r="E4771" s="13"/>
      <c r="F4771" s="13"/>
      <c r="G4771" s="13"/>
      <c r="H4771" s="13"/>
      <c r="I4771" s="10"/>
      <c r="J4771" s="11"/>
      <c r="K4771" s="6"/>
      <c r="L4771" s="13"/>
    </row>
    <row r="4772" spans="1:12" hidden="1" x14ac:dyDescent="0.25">
      <c r="A4772" s="6"/>
      <c r="B4772" s="6"/>
      <c r="C4772" s="11"/>
      <c r="D4772" s="13"/>
      <c r="E4772" s="13"/>
      <c r="F4772" s="13"/>
      <c r="G4772" s="13"/>
      <c r="H4772" s="13"/>
      <c r="I4772" s="10"/>
      <c r="J4772" s="11"/>
      <c r="K4772" s="6"/>
      <c r="L4772" s="13"/>
    </row>
    <row r="4773" spans="1:12" hidden="1" x14ac:dyDescent="0.25">
      <c r="A4773" s="6"/>
      <c r="B4773" s="6"/>
      <c r="C4773" s="11"/>
      <c r="D4773" s="13"/>
      <c r="E4773" s="13"/>
      <c r="F4773" s="13"/>
      <c r="G4773" s="13"/>
      <c r="H4773" s="13"/>
      <c r="I4773" s="10"/>
      <c r="J4773" s="11"/>
      <c r="K4773" s="6"/>
      <c r="L4773" s="13"/>
    </row>
    <row r="4774" spans="1:12" hidden="1" x14ac:dyDescent="0.25">
      <c r="A4774" s="6"/>
      <c r="B4774" s="6"/>
      <c r="C4774" s="11"/>
      <c r="D4774" s="13"/>
      <c r="E4774" s="13"/>
      <c r="F4774" s="13"/>
      <c r="G4774" s="13"/>
      <c r="H4774" s="13"/>
      <c r="I4774" s="10"/>
      <c r="J4774" s="11"/>
      <c r="K4774" s="6"/>
      <c r="L4774" s="13"/>
    </row>
    <row r="4775" spans="1:12" hidden="1" x14ac:dyDescent="0.25">
      <c r="A4775" s="6"/>
      <c r="B4775" s="6"/>
      <c r="C4775" s="11"/>
      <c r="D4775" s="13"/>
      <c r="E4775" s="13"/>
      <c r="F4775" s="13"/>
      <c r="G4775" s="13"/>
      <c r="H4775" s="13"/>
      <c r="I4775" s="10"/>
      <c r="J4775" s="11"/>
      <c r="K4775" s="6"/>
      <c r="L4775" s="13"/>
    </row>
    <row r="4776" spans="1:12" hidden="1" x14ac:dyDescent="0.25">
      <c r="A4776" s="6"/>
      <c r="B4776" s="6"/>
      <c r="C4776" s="11"/>
      <c r="D4776" s="13"/>
      <c r="E4776" s="13"/>
      <c r="F4776" s="13"/>
      <c r="G4776" s="13"/>
      <c r="H4776" s="13"/>
      <c r="I4776" s="10"/>
      <c r="J4776" s="11"/>
      <c r="K4776" s="6"/>
      <c r="L4776" s="13"/>
    </row>
    <row r="4777" spans="1:12" hidden="1" x14ac:dyDescent="0.25">
      <c r="A4777" s="6"/>
      <c r="B4777" s="6"/>
      <c r="C4777" s="11"/>
      <c r="D4777" s="13"/>
      <c r="E4777" s="13"/>
      <c r="F4777" s="13"/>
      <c r="G4777" s="13"/>
      <c r="H4777" s="13"/>
      <c r="I4777" s="10"/>
      <c r="J4777" s="11"/>
      <c r="K4777" s="6"/>
      <c r="L4777" s="13"/>
    </row>
    <row r="4778" spans="1:12" hidden="1" x14ac:dyDescent="0.25">
      <c r="A4778" s="6"/>
      <c r="B4778" s="6"/>
      <c r="C4778" s="11"/>
      <c r="D4778" s="13"/>
      <c r="E4778" s="13"/>
      <c r="F4778" s="13"/>
      <c r="G4778" s="13"/>
      <c r="H4778" s="13"/>
      <c r="I4778" s="10"/>
      <c r="J4778" s="11"/>
      <c r="K4778" s="6"/>
      <c r="L4778" s="13"/>
    </row>
    <row r="4779" spans="1:12" hidden="1" x14ac:dyDescent="0.25">
      <c r="A4779" s="6"/>
      <c r="B4779" s="6"/>
      <c r="C4779" s="11"/>
      <c r="D4779" s="13"/>
      <c r="E4779" s="13"/>
      <c r="F4779" s="13"/>
      <c r="G4779" s="13"/>
      <c r="H4779" s="13"/>
      <c r="I4779" s="10"/>
      <c r="J4779" s="11"/>
      <c r="K4779" s="6"/>
      <c r="L4779" s="13"/>
    </row>
    <row r="4780" spans="1:12" hidden="1" x14ac:dyDescent="0.25">
      <c r="A4780" s="6"/>
      <c r="B4780" s="6"/>
      <c r="C4780" s="11"/>
      <c r="D4780" s="13"/>
      <c r="E4780" s="13"/>
      <c r="F4780" s="13"/>
      <c r="G4780" s="13"/>
      <c r="H4780" s="13"/>
      <c r="I4780" s="10"/>
      <c r="J4780" s="11"/>
      <c r="K4780" s="6"/>
      <c r="L4780" s="13"/>
    </row>
    <row r="4781" spans="1:12" hidden="1" x14ac:dyDescent="0.25">
      <c r="A4781" s="6"/>
      <c r="B4781" s="6"/>
      <c r="C4781" s="11"/>
      <c r="D4781" s="13"/>
      <c r="E4781" s="13"/>
      <c r="F4781" s="13"/>
      <c r="G4781" s="13"/>
      <c r="H4781" s="13"/>
      <c r="I4781" s="10"/>
      <c r="J4781" s="11"/>
      <c r="K4781" s="6"/>
      <c r="L4781" s="13"/>
    </row>
    <row r="4782" spans="1:12" hidden="1" x14ac:dyDescent="0.25">
      <c r="A4782" s="6"/>
      <c r="B4782" s="6"/>
      <c r="C4782" s="11"/>
      <c r="D4782" s="13"/>
      <c r="E4782" s="13"/>
      <c r="F4782" s="13"/>
      <c r="G4782" s="13"/>
      <c r="H4782" s="13"/>
      <c r="I4782" s="10"/>
      <c r="J4782" s="11"/>
      <c r="K4782" s="6"/>
      <c r="L4782" s="13"/>
    </row>
    <row r="4783" spans="1:12" hidden="1" x14ac:dyDescent="0.25">
      <c r="A4783" s="6"/>
      <c r="B4783" s="6"/>
      <c r="C4783" s="11"/>
      <c r="D4783" s="13"/>
      <c r="E4783" s="13"/>
      <c r="F4783" s="13"/>
      <c r="G4783" s="13"/>
      <c r="H4783" s="13"/>
      <c r="I4783" s="10"/>
      <c r="J4783" s="11"/>
      <c r="K4783" s="6"/>
      <c r="L4783" s="13"/>
    </row>
    <row r="4784" spans="1:12" hidden="1" x14ac:dyDescent="0.25">
      <c r="A4784" s="6"/>
      <c r="B4784" s="6"/>
      <c r="C4784" s="11"/>
      <c r="D4784" s="13"/>
      <c r="E4784" s="13"/>
      <c r="F4784" s="13"/>
      <c r="G4784" s="13"/>
      <c r="H4784" s="13"/>
      <c r="I4784" s="10"/>
      <c r="J4784" s="11"/>
      <c r="K4784" s="6"/>
      <c r="L4784" s="13"/>
    </row>
    <row r="4785" spans="1:12" hidden="1" x14ac:dyDescent="0.25">
      <c r="A4785" s="6"/>
      <c r="B4785" s="6"/>
      <c r="C4785" s="11"/>
      <c r="D4785" s="13"/>
      <c r="E4785" s="13"/>
      <c r="F4785" s="13"/>
      <c r="G4785" s="13"/>
      <c r="H4785" s="13"/>
      <c r="I4785" s="10"/>
      <c r="J4785" s="11"/>
      <c r="K4785" s="6"/>
      <c r="L4785" s="13"/>
    </row>
    <row r="4786" spans="1:12" hidden="1" x14ac:dyDescent="0.25">
      <c r="A4786" s="6"/>
      <c r="B4786" s="6"/>
      <c r="C4786" s="11"/>
      <c r="D4786" s="13"/>
      <c r="E4786" s="13"/>
      <c r="F4786" s="13"/>
      <c r="G4786" s="13"/>
      <c r="H4786" s="13"/>
      <c r="I4786" s="10"/>
      <c r="J4786" s="11"/>
      <c r="K4786" s="6"/>
      <c r="L4786" s="13"/>
    </row>
    <row r="4787" spans="1:12" hidden="1" x14ac:dyDescent="0.25">
      <c r="A4787" s="6"/>
      <c r="B4787" s="6"/>
      <c r="C4787" s="11"/>
      <c r="D4787" s="13"/>
      <c r="E4787" s="13"/>
      <c r="F4787" s="13"/>
      <c r="G4787" s="13"/>
      <c r="H4787" s="13"/>
      <c r="I4787" s="10"/>
      <c r="J4787" s="11"/>
      <c r="K4787" s="6"/>
      <c r="L4787" s="13"/>
    </row>
    <row r="4788" spans="1:12" hidden="1" x14ac:dyDescent="0.25">
      <c r="A4788" s="6"/>
      <c r="B4788" s="6"/>
      <c r="C4788" s="11"/>
      <c r="D4788" s="13"/>
      <c r="E4788" s="13"/>
      <c r="F4788" s="13"/>
      <c r="G4788" s="13"/>
      <c r="H4788" s="13"/>
      <c r="I4788" s="10"/>
      <c r="J4788" s="11"/>
      <c r="K4788" s="6"/>
      <c r="L4788" s="13"/>
    </row>
    <row r="4789" spans="1:12" hidden="1" x14ac:dyDescent="0.25">
      <c r="A4789" s="6"/>
      <c r="B4789" s="6"/>
      <c r="C4789" s="11"/>
      <c r="D4789" s="13"/>
      <c r="E4789" s="13"/>
      <c r="F4789" s="13"/>
      <c r="G4789" s="13"/>
      <c r="H4789" s="13"/>
      <c r="I4789" s="10"/>
      <c r="J4789" s="11"/>
      <c r="K4789" s="6"/>
      <c r="L4789" s="13"/>
    </row>
    <row r="4790" spans="1:12" hidden="1" x14ac:dyDescent="0.25">
      <c r="A4790" s="6"/>
      <c r="B4790" s="6"/>
      <c r="C4790" s="11"/>
      <c r="D4790" s="13"/>
      <c r="E4790" s="13"/>
      <c r="F4790" s="13"/>
      <c r="G4790" s="13"/>
      <c r="H4790" s="13"/>
      <c r="I4790" s="10"/>
      <c r="J4790" s="11"/>
      <c r="K4790" s="6"/>
      <c r="L4790" s="13"/>
    </row>
    <row r="4791" spans="1:12" hidden="1" x14ac:dyDescent="0.25">
      <c r="A4791" s="6"/>
      <c r="B4791" s="6"/>
      <c r="C4791" s="11"/>
      <c r="D4791" s="13"/>
      <c r="E4791" s="13"/>
      <c r="F4791" s="13"/>
      <c r="G4791" s="13"/>
      <c r="H4791" s="13"/>
      <c r="I4791" s="10"/>
      <c r="J4791" s="11"/>
      <c r="K4791" s="6"/>
      <c r="L4791" s="13"/>
    </row>
    <row r="4792" spans="1:12" hidden="1" x14ac:dyDescent="0.25">
      <c r="A4792" s="6"/>
      <c r="B4792" s="6"/>
      <c r="C4792" s="11"/>
      <c r="D4792" s="13"/>
      <c r="E4792" s="13"/>
      <c r="F4792" s="13"/>
      <c r="G4792" s="13"/>
      <c r="H4792" s="13"/>
      <c r="I4792" s="10"/>
      <c r="J4792" s="11"/>
      <c r="K4792" s="6"/>
      <c r="L4792" s="13"/>
    </row>
    <row r="4793" spans="1:12" hidden="1" x14ac:dyDescent="0.25">
      <c r="A4793" s="6"/>
      <c r="B4793" s="6"/>
      <c r="C4793" s="11"/>
      <c r="D4793" s="13"/>
      <c r="E4793" s="13"/>
      <c r="F4793" s="13"/>
      <c r="G4793" s="13"/>
      <c r="H4793" s="13"/>
      <c r="I4793" s="10"/>
      <c r="J4793" s="11"/>
      <c r="K4793" s="6"/>
      <c r="L4793" s="13"/>
    </row>
    <row r="4794" spans="1:12" hidden="1" x14ac:dyDescent="0.25">
      <c r="A4794" s="6"/>
      <c r="B4794" s="6"/>
      <c r="C4794" s="11"/>
      <c r="D4794" s="13"/>
      <c r="E4794" s="13"/>
      <c r="F4794" s="13"/>
      <c r="G4794" s="13"/>
      <c r="H4794" s="13"/>
      <c r="I4794" s="10"/>
      <c r="J4794" s="11"/>
      <c r="K4794" s="6"/>
      <c r="L4794" s="13"/>
    </row>
    <row r="4795" spans="1:12" hidden="1" x14ac:dyDescent="0.25">
      <c r="A4795" s="6"/>
      <c r="B4795" s="6"/>
      <c r="C4795" s="11"/>
      <c r="D4795" s="13"/>
      <c r="E4795" s="13"/>
      <c r="F4795" s="13"/>
      <c r="G4795" s="13"/>
      <c r="H4795" s="13"/>
      <c r="I4795" s="10"/>
      <c r="J4795" s="11"/>
      <c r="K4795" s="6"/>
      <c r="L4795" s="13"/>
    </row>
    <row r="4796" spans="1:12" hidden="1" x14ac:dyDescent="0.25">
      <c r="A4796" s="6"/>
      <c r="B4796" s="6"/>
      <c r="C4796" s="11"/>
      <c r="D4796" s="13"/>
      <c r="E4796" s="13"/>
      <c r="F4796" s="13"/>
      <c r="G4796" s="13"/>
      <c r="H4796" s="13"/>
      <c r="I4796" s="10"/>
      <c r="J4796" s="11"/>
      <c r="K4796" s="6"/>
      <c r="L4796" s="13"/>
    </row>
    <row r="4797" spans="1:12" hidden="1" x14ac:dyDescent="0.25">
      <c r="A4797" s="6"/>
      <c r="B4797" s="6"/>
      <c r="C4797" s="11"/>
      <c r="D4797" s="13"/>
      <c r="E4797" s="13"/>
      <c r="F4797" s="13"/>
      <c r="G4797" s="13"/>
      <c r="H4797" s="13"/>
      <c r="I4797" s="10"/>
      <c r="J4797" s="11"/>
      <c r="K4797" s="6"/>
      <c r="L4797" s="13"/>
    </row>
    <row r="4798" spans="1:12" hidden="1" x14ac:dyDescent="0.25">
      <c r="A4798" s="6"/>
      <c r="B4798" s="6"/>
      <c r="C4798" s="11"/>
      <c r="D4798" s="13"/>
      <c r="E4798" s="13"/>
      <c r="F4798" s="13"/>
      <c r="G4798" s="13"/>
      <c r="H4798" s="13"/>
      <c r="I4798" s="10"/>
      <c r="J4798" s="11"/>
      <c r="K4798" s="6"/>
      <c r="L4798" s="13"/>
    </row>
    <row r="4799" spans="1:12" hidden="1" x14ac:dyDescent="0.25">
      <c r="A4799" s="6"/>
      <c r="B4799" s="6"/>
      <c r="C4799" s="11"/>
      <c r="D4799" s="13"/>
      <c r="E4799" s="13"/>
      <c r="F4799" s="13"/>
      <c r="G4799" s="13"/>
      <c r="H4799" s="13"/>
      <c r="I4799" s="10"/>
      <c r="J4799" s="11"/>
      <c r="K4799" s="6"/>
      <c r="L4799" s="13"/>
    </row>
    <row r="4800" spans="1:12" hidden="1" x14ac:dyDescent="0.25">
      <c r="A4800" s="6"/>
      <c r="B4800" s="6"/>
      <c r="C4800" s="11"/>
      <c r="D4800" s="13"/>
      <c r="E4800" s="13"/>
      <c r="F4800" s="13"/>
      <c r="G4800" s="13"/>
      <c r="H4800" s="13"/>
      <c r="I4800" s="10"/>
      <c r="J4800" s="11"/>
      <c r="K4800" s="6"/>
      <c r="L4800" s="13"/>
    </row>
    <row r="4801" spans="1:12" hidden="1" x14ac:dyDescent="0.25">
      <c r="A4801" s="6"/>
      <c r="B4801" s="6"/>
      <c r="C4801" s="11"/>
      <c r="D4801" s="13"/>
      <c r="E4801" s="13"/>
      <c r="F4801" s="13"/>
      <c r="G4801" s="13"/>
      <c r="H4801" s="13"/>
      <c r="I4801" s="10"/>
      <c r="J4801" s="11"/>
      <c r="K4801" s="6"/>
      <c r="L4801" s="13"/>
    </row>
    <row r="4802" spans="1:12" hidden="1" x14ac:dyDescent="0.25">
      <c r="A4802" s="6"/>
      <c r="B4802" s="6"/>
      <c r="C4802" s="11"/>
      <c r="D4802" s="13"/>
      <c r="E4802" s="13"/>
      <c r="F4802" s="13"/>
      <c r="G4802" s="13"/>
      <c r="H4802" s="13"/>
      <c r="I4802" s="10"/>
      <c r="J4802" s="11"/>
      <c r="K4802" s="6"/>
      <c r="L4802" s="13"/>
    </row>
    <row r="4803" spans="1:12" hidden="1" x14ac:dyDescent="0.25">
      <c r="A4803" s="6"/>
      <c r="B4803" s="6"/>
      <c r="C4803" s="11"/>
      <c r="D4803" s="13"/>
      <c r="E4803" s="13"/>
      <c r="F4803" s="13"/>
      <c r="G4803" s="13"/>
      <c r="H4803" s="13"/>
      <c r="I4803" s="10"/>
      <c r="J4803" s="11"/>
      <c r="K4803" s="6"/>
      <c r="L4803" s="13"/>
    </row>
    <row r="4804" spans="1:12" hidden="1" x14ac:dyDescent="0.25">
      <c r="A4804" s="6"/>
      <c r="B4804" s="6"/>
      <c r="C4804" s="11"/>
      <c r="D4804" s="13"/>
      <c r="E4804" s="13"/>
      <c r="F4804" s="13"/>
      <c r="G4804" s="13"/>
      <c r="H4804" s="13"/>
      <c r="I4804" s="10"/>
      <c r="J4804" s="11"/>
      <c r="K4804" s="6"/>
      <c r="L4804" s="13"/>
    </row>
    <row r="4805" spans="1:12" hidden="1" x14ac:dyDescent="0.25">
      <c r="A4805" s="6"/>
      <c r="B4805" s="6"/>
      <c r="C4805" s="11"/>
      <c r="D4805" s="13"/>
      <c r="E4805" s="13"/>
      <c r="F4805" s="13"/>
      <c r="G4805" s="13"/>
      <c r="H4805" s="13"/>
      <c r="I4805" s="10"/>
      <c r="J4805" s="11"/>
      <c r="K4805" s="6"/>
      <c r="L4805" s="13"/>
    </row>
    <row r="4806" spans="1:12" hidden="1" x14ac:dyDescent="0.25">
      <c r="A4806" s="6"/>
      <c r="B4806" s="6"/>
      <c r="C4806" s="11"/>
      <c r="D4806" s="13"/>
      <c r="E4806" s="13"/>
      <c r="F4806" s="13"/>
      <c r="G4806" s="13"/>
      <c r="H4806" s="13"/>
      <c r="I4806" s="10"/>
      <c r="J4806" s="11"/>
      <c r="K4806" s="6"/>
      <c r="L4806" s="13"/>
    </row>
    <row r="4807" spans="1:12" hidden="1" x14ac:dyDescent="0.25">
      <c r="A4807" s="6"/>
      <c r="B4807" s="6"/>
      <c r="C4807" s="11"/>
      <c r="D4807" s="13"/>
      <c r="E4807" s="13"/>
      <c r="F4807" s="13"/>
      <c r="G4807" s="13"/>
      <c r="H4807" s="13"/>
      <c r="I4807" s="10"/>
      <c r="J4807" s="11"/>
      <c r="K4807" s="6"/>
      <c r="L4807" s="13"/>
    </row>
    <row r="4808" spans="1:12" hidden="1" x14ac:dyDescent="0.25">
      <c r="A4808" s="6"/>
      <c r="B4808" s="6"/>
      <c r="C4808" s="11"/>
      <c r="D4808" s="13"/>
      <c r="E4808" s="13"/>
      <c r="F4808" s="13"/>
      <c r="G4808" s="13"/>
      <c r="H4808" s="13"/>
      <c r="I4808" s="10"/>
      <c r="J4808" s="11"/>
      <c r="K4808" s="6"/>
      <c r="L4808" s="13"/>
    </row>
    <row r="4809" spans="1:12" hidden="1" x14ac:dyDescent="0.25">
      <c r="A4809" s="6"/>
      <c r="B4809" s="6"/>
      <c r="C4809" s="11"/>
      <c r="D4809" s="13"/>
      <c r="E4809" s="13"/>
      <c r="F4809" s="13"/>
      <c r="G4809" s="13"/>
      <c r="H4809" s="13"/>
      <c r="I4809" s="10"/>
      <c r="J4809" s="11"/>
      <c r="K4809" s="6"/>
      <c r="L4809" s="13"/>
    </row>
    <row r="4810" spans="1:12" hidden="1" x14ac:dyDescent="0.25">
      <c r="A4810" s="6"/>
      <c r="B4810" s="6"/>
      <c r="C4810" s="11"/>
      <c r="D4810" s="13"/>
      <c r="E4810" s="13"/>
      <c r="F4810" s="13"/>
      <c r="G4810" s="13"/>
      <c r="H4810" s="13"/>
      <c r="I4810" s="10"/>
      <c r="J4810" s="11"/>
      <c r="K4810" s="6"/>
      <c r="L4810" s="13"/>
    </row>
    <row r="4811" spans="1:12" hidden="1" x14ac:dyDescent="0.25">
      <c r="A4811" s="6"/>
      <c r="B4811" s="6"/>
      <c r="C4811" s="11"/>
      <c r="D4811" s="13"/>
      <c r="E4811" s="13"/>
      <c r="F4811" s="13"/>
      <c r="G4811" s="13"/>
      <c r="H4811" s="13"/>
      <c r="I4811" s="10"/>
      <c r="J4811" s="11"/>
      <c r="K4811" s="6"/>
      <c r="L4811" s="13"/>
    </row>
    <row r="4812" spans="1:12" hidden="1" x14ac:dyDescent="0.25">
      <c r="A4812" s="6"/>
      <c r="B4812" s="6"/>
      <c r="C4812" s="11"/>
      <c r="D4812" s="13"/>
      <c r="E4812" s="13"/>
      <c r="F4812" s="13"/>
      <c r="G4812" s="13"/>
      <c r="H4812" s="13"/>
      <c r="I4812" s="10"/>
      <c r="J4812" s="11"/>
      <c r="K4812" s="6"/>
      <c r="L4812" s="13"/>
    </row>
    <row r="4813" spans="1:12" hidden="1" x14ac:dyDescent="0.25">
      <c r="A4813" s="6"/>
      <c r="B4813" s="6"/>
      <c r="C4813" s="11"/>
      <c r="D4813" s="13"/>
      <c r="E4813" s="13"/>
      <c r="F4813" s="13"/>
      <c r="G4813" s="13"/>
      <c r="H4813" s="13"/>
      <c r="I4813" s="10"/>
      <c r="J4813" s="11"/>
      <c r="K4813" s="6"/>
      <c r="L4813" s="13"/>
    </row>
    <row r="4814" spans="1:12" hidden="1" x14ac:dyDescent="0.25">
      <c r="A4814" s="6"/>
      <c r="B4814" s="6"/>
      <c r="C4814" s="11"/>
      <c r="D4814" s="13"/>
      <c r="E4814" s="13"/>
      <c r="F4814" s="13"/>
      <c r="G4814" s="13"/>
      <c r="H4814" s="13"/>
      <c r="I4814" s="10"/>
      <c r="J4814" s="11"/>
      <c r="K4814" s="6"/>
      <c r="L4814" s="13"/>
    </row>
    <row r="4815" spans="1:12" hidden="1" x14ac:dyDescent="0.25">
      <c r="A4815" s="6"/>
      <c r="B4815" s="6"/>
      <c r="C4815" s="11"/>
      <c r="D4815" s="13"/>
      <c r="E4815" s="13"/>
      <c r="F4815" s="13"/>
      <c r="G4815" s="13"/>
      <c r="H4815" s="13"/>
      <c r="I4815" s="10"/>
      <c r="J4815" s="11"/>
      <c r="K4815" s="6"/>
      <c r="L4815" s="13"/>
    </row>
    <row r="4816" spans="1:12" hidden="1" x14ac:dyDescent="0.25">
      <c r="A4816" s="6"/>
      <c r="B4816" s="6"/>
      <c r="C4816" s="11"/>
      <c r="D4816" s="13"/>
      <c r="E4816" s="13"/>
      <c r="F4816" s="13"/>
      <c r="G4816" s="13"/>
      <c r="H4816" s="13"/>
      <c r="I4816" s="10"/>
      <c r="J4816" s="11"/>
      <c r="K4816" s="6"/>
      <c r="L4816" s="13"/>
    </row>
    <row r="4817" spans="1:12" hidden="1" x14ac:dyDescent="0.25">
      <c r="A4817" s="6"/>
      <c r="B4817" s="6"/>
      <c r="C4817" s="11"/>
      <c r="D4817" s="13"/>
      <c r="E4817" s="13"/>
      <c r="F4817" s="13"/>
      <c r="G4817" s="13"/>
      <c r="H4817" s="13"/>
      <c r="I4817" s="10"/>
      <c r="J4817" s="11"/>
      <c r="K4817" s="6"/>
      <c r="L4817" s="13"/>
    </row>
    <row r="4818" spans="1:12" hidden="1" x14ac:dyDescent="0.25">
      <c r="A4818" s="6"/>
      <c r="B4818" s="6"/>
      <c r="C4818" s="11"/>
      <c r="D4818" s="13"/>
      <c r="E4818" s="13"/>
      <c r="F4818" s="13"/>
      <c r="G4818" s="13"/>
      <c r="H4818" s="13"/>
      <c r="I4818" s="10"/>
      <c r="J4818" s="11"/>
      <c r="K4818" s="6"/>
      <c r="L4818" s="13"/>
    </row>
    <row r="4819" spans="1:12" hidden="1" x14ac:dyDescent="0.25">
      <c r="A4819" s="6"/>
      <c r="B4819" s="6"/>
      <c r="C4819" s="11"/>
      <c r="D4819" s="13"/>
      <c r="E4819" s="13"/>
      <c r="F4819" s="13"/>
      <c r="G4819" s="13"/>
      <c r="H4819" s="13"/>
      <c r="I4819" s="10"/>
      <c r="J4819" s="11"/>
      <c r="K4819" s="6"/>
      <c r="L4819" s="13"/>
    </row>
    <row r="4820" spans="1:12" hidden="1" x14ac:dyDescent="0.25">
      <c r="A4820" s="6"/>
      <c r="B4820" s="6"/>
      <c r="C4820" s="11"/>
      <c r="D4820" s="13"/>
      <c r="E4820" s="13"/>
      <c r="F4820" s="13"/>
      <c r="G4820" s="13"/>
      <c r="H4820" s="13"/>
      <c r="I4820" s="10"/>
      <c r="J4820" s="11"/>
      <c r="K4820" s="6"/>
      <c r="L4820" s="13"/>
    </row>
    <row r="4821" spans="1:12" hidden="1" x14ac:dyDescent="0.25">
      <c r="A4821" s="6"/>
      <c r="B4821" s="6"/>
      <c r="C4821" s="11"/>
      <c r="D4821" s="13"/>
      <c r="E4821" s="13"/>
      <c r="F4821" s="13"/>
      <c r="G4821" s="13"/>
      <c r="H4821" s="13"/>
      <c r="I4821" s="10"/>
      <c r="J4821" s="11"/>
      <c r="K4821" s="6"/>
      <c r="L4821" s="13"/>
    </row>
    <row r="4822" spans="1:12" hidden="1" x14ac:dyDescent="0.25">
      <c r="A4822" s="6"/>
      <c r="B4822" s="6"/>
      <c r="C4822" s="11"/>
      <c r="D4822" s="13"/>
      <c r="E4822" s="13"/>
      <c r="F4822" s="13"/>
      <c r="G4822" s="13"/>
      <c r="H4822" s="13"/>
      <c r="I4822" s="10"/>
      <c r="J4822" s="11"/>
      <c r="K4822" s="6"/>
      <c r="L4822" s="13"/>
    </row>
    <row r="4823" spans="1:12" hidden="1" x14ac:dyDescent="0.25">
      <c r="A4823" s="6"/>
      <c r="B4823" s="6"/>
      <c r="C4823" s="11"/>
      <c r="D4823" s="13"/>
      <c r="E4823" s="13"/>
      <c r="F4823" s="13"/>
      <c r="G4823" s="13"/>
      <c r="H4823" s="13"/>
      <c r="I4823" s="10"/>
      <c r="J4823" s="11"/>
      <c r="K4823" s="6"/>
      <c r="L4823" s="13"/>
    </row>
    <row r="4824" spans="1:12" hidden="1" x14ac:dyDescent="0.25">
      <c r="A4824" s="6"/>
      <c r="B4824" s="6"/>
      <c r="C4824" s="11"/>
      <c r="D4824" s="13"/>
      <c r="E4824" s="13"/>
      <c r="F4824" s="13"/>
      <c r="G4824" s="13"/>
      <c r="H4824" s="13"/>
      <c r="I4824" s="10"/>
      <c r="J4824" s="11"/>
      <c r="K4824" s="6"/>
      <c r="L4824" s="13"/>
    </row>
    <row r="4825" spans="1:12" hidden="1" x14ac:dyDescent="0.25">
      <c r="A4825" s="6"/>
      <c r="B4825" s="6"/>
      <c r="C4825" s="11"/>
      <c r="D4825" s="13"/>
      <c r="E4825" s="13"/>
      <c r="F4825" s="13"/>
      <c r="G4825" s="13"/>
      <c r="H4825" s="13"/>
      <c r="I4825" s="10"/>
      <c r="J4825" s="11"/>
      <c r="K4825" s="6"/>
      <c r="L4825" s="13"/>
    </row>
    <row r="4826" spans="1:12" hidden="1" x14ac:dyDescent="0.25">
      <c r="A4826" s="6"/>
      <c r="B4826" s="6"/>
      <c r="C4826" s="11"/>
      <c r="D4826" s="13"/>
      <c r="E4826" s="13"/>
      <c r="F4826" s="13"/>
      <c r="G4826" s="13"/>
      <c r="H4826" s="13"/>
      <c r="I4826" s="10"/>
      <c r="J4826" s="11"/>
      <c r="K4826" s="6"/>
      <c r="L4826" s="13"/>
    </row>
    <row r="4827" spans="1:12" hidden="1" x14ac:dyDescent="0.25">
      <c r="A4827" s="6"/>
      <c r="B4827" s="6"/>
      <c r="C4827" s="11"/>
      <c r="D4827" s="13"/>
      <c r="E4827" s="13"/>
      <c r="F4827" s="13"/>
      <c r="G4827" s="13"/>
      <c r="H4827" s="13"/>
      <c r="I4827" s="10"/>
      <c r="J4827" s="11"/>
      <c r="K4827" s="6"/>
      <c r="L4827" s="13"/>
    </row>
    <row r="4828" spans="1:12" hidden="1" x14ac:dyDescent="0.25">
      <c r="A4828" s="6"/>
      <c r="B4828" s="6"/>
      <c r="C4828" s="11"/>
      <c r="D4828" s="13"/>
      <c r="E4828" s="13"/>
      <c r="F4828" s="13"/>
      <c r="G4828" s="13"/>
      <c r="H4828" s="13"/>
      <c r="I4828" s="10"/>
      <c r="J4828" s="11"/>
      <c r="K4828" s="6"/>
      <c r="L4828" s="13"/>
    </row>
    <row r="4829" spans="1:12" hidden="1" x14ac:dyDescent="0.25">
      <c r="A4829" s="6"/>
      <c r="B4829" s="6"/>
      <c r="C4829" s="11"/>
      <c r="D4829" s="13"/>
      <c r="E4829" s="13"/>
      <c r="F4829" s="13"/>
      <c r="G4829" s="13"/>
      <c r="H4829" s="13"/>
      <c r="I4829" s="10"/>
      <c r="J4829" s="11"/>
      <c r="K4829" s="6"/>
      <c r="L4829" s="13"/>
    </row>
    <row r="4830" spans="1:12" hidden="1" x14ac:dyDescent="0.25">
      <c r="A4830" s="6"/>
      <c r="B4830" s="6"/>
      <c r="C4830" s="11"/>
      <c r="D4830" s="13"/>
      <c r="E4830" s="13"/>
      <c r="F4830" s="13"/>
      <c r="G4830" s="13"/>
      <c r="H4830" s="13"/>
      <c r="I4830" s="10"/>
      <c r="J4830" s="11"/>
      <c r="K4830" s="6"/>
      <c r="L4830" s="13"/>
    </row>
    <row r="4831" spans="1:12" hidden="1" x14ac:dyDescent="0.25">
      <c r="A4831" s="6"/>
      <c r="B4831" s="6"/>
      <c r="C4831" s="11"/>
      <c r="D4831" s="13"/>
      <c r="E4831" s="13"/>
      <c r="F4831" s="13"/>
      <c r="G4831" s="13"/>
      <c r="H4831" s="13"/>
      <c r="I4831" s="10"/>
      <c r="J4831" s="11"/>
      <c r="K4831" s="6"/>
      <c r="L4831" s="13"/>
    </row>
    <row r="4832" spans="1:12" hidden="1" x14ac:dyDescent="0.25">
      <c r="A4832" s="6"/>
      <c r="B4832" s="6"/>
      <c r="C4832" s="11"/>
      <c r="D4832" s="13"/>
      <c r="E4832" s="13"/>
      <c r="F4832" s="13"/>
      <c r="G4832" s="13"/>
      <c r="H4832" s="13"/>
      <c r="I4832" s="10"/>
      <c r="J4832" s="11"/>
      <c r="K4832" s="6"/>
      <c r="L4832" s="13"/>
    </row>
    <row r="4833" spans="1:12" hidden="1" x14ac:dyDescent="0.25">
      <c r="A4833" s="6"/>
      <c r="B4833" s="6"/>
      <c r="C4833" s="11"/>
      <c r="D4833" s="13"/>
      <c r="E4833" s="13"/>
      <c r="F4833" s="13"/>
      <c r="G4833" s="13"/>
      <c r="H4833" s="13"/>
      <c r="I4833" s="10"/>
      <c r="J4833" s="11"/>
      <c r="K4833" s="6"/>
      <c r="L4833" s="13"/>
    </row>
    <row r="4834" spans="1:12" hidden="1" x14ac:dyDescent="0.25">
      <c r="A4834" s="6"/>
      <c r="B4834" s="6"/>
      <c r="C4834" s="11"/>
      <c r="D4834" s="13"/>
      <c r="E4834" s="13"/>
      <c r="F4834" s="13"/>
      <c r="G4834" s="13"/>
      <c r="H4834" s="13"/>
      <c r="I4834" s="10"/>
      <c r="J4834" s="11"/>
      <c r="K4834" s="6"/>
      <c r="L4834" s="13"/>
    </row>
    <row r="4835" spans="1:12" hidden="1" x14ac:dyDescent="0.25">
      <c r="A4835" s="6"/>
      <c r="B4835" s="6"/>
      <c r="C4835" s="11"/>
      <c r="D4835" s="13"/>
      <c r="E4835" s="13"/>
      <c r="F4835" s="13"/>
      <c r="G4835" s="13"/>
      <c r="H4835" s="13"/>
      <c r="I4835" s="10"/>
      <c r="J4835" s="11"/>
      <c r="K4835" s="6"/>
      <c r="L4835" s="13"/>
    </row>
    <row r="4836" spans="1:12" hidden="1" x14ac:dyDescent="0.25">
      <c r="A4836" s="6"/>
      <c r="B4836" s="6"/>
      <c r="C4836" s="11"/>
      <c r="D4836" s="13"/>
      <c r="E4836" s="13"/>
      <c r="F4836" s="13"/>
      <c r="G4836" s="13"/>
      <c r="H4836" s="13"/>
      <c r="I4836" s="10"/>
      <c r="J4836" s="11"/>
      <c r="K4836" s="6"/>
      <c r="L4836" s="13"/>
    </row>
    <row r="4837" spans="1:12" hidden="1" x14ac:dyDescent="0.25">
      <c r="A4837" s="6"/>
      <c r="B4837" s="6"/>
      <c r="C4837" s="11"/>
      <c r="D4837" s="13"/>
      <c r="E4837" s="13"/>
      <c r="F4837" s="13"/>
      <c r="G4837" s="13"/>
      <c r="H4837" s="13"/>
      <c r="I4837" s="10"/>
      <c r="J4837" s="11"/>
      <c r="K4837" s="6"/>
      <c r="L4837" s="13"/>
    </row>
    <row r="4838" spans="1:12" hidden="1" x14ac:dyDescent="0.25">
      <c r="A4838" s="6"/>
      <c r="B4838" s="6"/>
      <c r="C4838" s="11"/>
      <c r="D4838" s="13"/>
      <c r="E4838" s="13"/>
      <c r="F4838" s="13"/>
      <c r="G4838" s="13"/>
      <c r="H4838" s="13"/>
      <c r="I4838" s="10"/>
      <c r="J4838" s="11"/>
      <c r="K4838" s="6"/>
      <c r="L4838" s="13"/>
    </row>
    <row r="4839" spans="1:12" hidden="1" x14ac:dyDescent="0.25">
      <c r="A4839" s="6"/>
      <c r="B4839" s="6"/>
      <c r="C4839" s="11"/>
      <c r="D4839" s="13"/>
      <c r="E4839" s="13"/>
      <c r="F4839" s="13"/>
      <c r="G4839" s="13"/>
      <c r="H4839" s="13"/>
      <c r="I4839" s="10"/>
      <c r="J4839" s="11"/>
      <c r="K4839" s="6"/>
      <c r="L4839" s="13"/>
    </row>
    <row r="4840" spans="1:12" hidden="1" x14ac:dyDescent="0.25">
      <c r="A4840" s="6"/>
      <c r="B4840" s="6"/>
      <c r="C4840" s="11"/>
      <c r="D4840" s="13"/>
      <c r="E4840" s="13"/>
      <c r="F4840" s="13"/>
      <c r="G4840" s="13"/>
      <c r="H4840" s="13"/>
      <c r="I4840" s="10"/>
      <c r="J4840" s="11"/>
      <c r="K4840" s="6"/>
      <c r="L4840" s="13"/>
    </row>
    <row r="4841" spans="1:12" hidden="1" x14ac:dyDescent="0.25">
      <c r="A4841" s="6"/>
      <c r="B4841" s="6"/>
      <c r="C4841" s="11"/>
      <c r="D4841" s="13"/>
      <c r="E4841" s="13"/>
      <c r="F4841" s="13"/>
      <c r="G4841" s="13"/>
      <c r="H4841" s="13"/>
      <c r="I4841" s="10"/>
      <c r="J4841" s="11"/>
      <c r="K4841" s="6"/>
      <c r="L4841" s="13"/>
    </row>
    <row r="4842" spans="1:12" hidden="1" x14ac:dyDescent="0.25">
      <c r="A4842" s="6"/>
      <c r="B4842" s="6"/>
      <c r="C4842" s="11"/>
      <c r="D4842" s="13"/>
      <c r="E4842" s="13"/>
      <c r="F4842" s="13"/>
      <c r="G4842" s="13"/>
      <c r="H4842" s="13"/>
      <c r="I4842" s="10"/>
      <c r="J4842" s="11"/>
      <c r="K4842" s="6"/>
      <c r="L4842" s="13"/>
    </row>
    <row r="4843" spans="1:12" hidden="1" x14ac:dyDescent="0.25">
      <c r="A4843" s="6"/>
      <c r="B4843" s="6"/>
      <c r="C4843" s="11"/>
      <c r="D4843" s="13"/>
      <c r="E4843" s="13"/>
      <c r="F4843" s="13"/>
      <c r="G4843" s="13"/>
      <c r="H4843" s="13"/>
      <c r="I4843" s="10"/>
      <c r="J4843" s="11"/>
      <c r="K4843" s="6"/>
      <c r="L4843" s="13"/>
    </row>
    <row r="4844" spans="1:12" hidden="1" x14ac:dyDescent="0.25">
      <c r="A4844" s="6"/>
      <c r="B4844" s="6"/>
      <c r="C4844" s="11"/>
      <c r="D4844" s="13"/>
      <c r="E4844" s="13"/>
      <c r="F4844" s="13"/>
      <c r="G4844" s="13"/>
      <c r="H4844" s="13"/>
      <c r="I4844" s="10"/>
      <c r="J4844" s="11"/>
      <c r="K4844" s="6"/>
      <c r="L4844" s="13"/>
    </row>
    <row r="4845" spans="1:12" hidden="1" x14ac:dyDescent="0.25">
      <c r="A4845" s="6"/>
      <c r="B4845" s="6"/>
      <c r="C4845" s="11"/>
      <c r="D4845" s="13"/>
      <c r="E4845" s="13"/>
      <c r="F4845" s="13"/>
      <c r="G4845" s="13"/>
      <c r="H4845" s="13"/>
      <c r="I4845" s="10"/>
      <c r="J4845" s="11"/>
      <c r="K4845" s="6"/>
      <c r="L4845" s="13"/>
    </row>
    <row r="4846" spans="1:12" hidden="1" x14ac:dyDescent="0.25">
      <c r="A4846" s="6"/>
      <c r="B4846" s="6"/>
      <c r="C4846" s="11"/>
      <c r="D4846" s="13"/>
      <c r="E4846" s="13"/>
      <c r="F4846" s="13"/>
      <c r="G4846" s="13"/>
      <c r="H4846" s="13"/>
      <c r="I4846" s="10"/>
      <c r="J4846" s="11"/>
      <c r="K4846" s="6"/>
      <c r="L4846" s="13"/>
    </row>
    <row r="4847" spans="1:12" hidden="1" x14ac:dyDescent="0.25">
      <c r="A4847" s="6"/>
      <c r="B4847" s="6"/>
      <c r="C4847" s="11"/>
      <c r="D4847" s="13"/>
      <c r="E4847" s="13"/>
      <c r="F4847" s="13"/>
      <c r="G4847" s="13"/>
      <c r="H4847" s="13"/>
      <c r="I4847" s="10"/>
      <c r="J4847" s="11"/>
      <c r="K4847" s="6"/>
      <c r="L4847" s="13"/>
    </row>
    <row r="4848" spans="1:12" hidden="1" x14ac:dyDescent="0.25">
      <c r="A4848" s="6"/>
      <c r="B4848" s="6"/>
      <c r="C4848" s="11"/>
      <c r="D4848" s="13"/>
      <c r="E4848" s="13"/>
      <c r="F4848" s="13"/>
      <c r="G4848" s="13"/>
      <c r="H4848" s="13"/>
      <c r="I4848" s="10"/>
      <c r="J4848" s="11"/>
      <c r="K4848" s="6"/>
      <c r="L4848" s="13"/>
    </row>
    <row r="4849" spans="1:12" hidden="1" x14ac:dyDescent="0.25">
      <c r="A4849" s="6"/>
      <c r="B4849" s="6"/>
      <c r="C4849" s="11"/>
      <c r="D4849" s="13"/>
      <c r="E4849" s="13"/>
      <c r="F4849" s="13"/>
      <c r="G4849" s="13"/>
      <c r="H4849" s="13"/>
      <c r="I4849" s="10"/>
      <c r="J4849" s="11"/>
      <c r="K4849" s="6"/>
      <c r="L4849" s="13"/>
    </row>
    <row r="4850" spans="1:12" hidden="1" x14ac:dyDescent="0.25">
      <c r="A4850" s="6"/>
      <c r="B4850" s="6"/>
      <c r="C4850" s="11"/>
      <c r="D4850" s="13"/>
      <c r="E4850" s="13"/>
      <c r="F4850" s="13"/>
      <c r="G4850" s="13"/>
      <c r="H4850" s="13"/>
      <c r="I4850" s="10"/>
      <c r="J4850" s="11"/>
      <c r="K4850" s="6"/>
      <c r="L4850" s="13"/>
    </row>
    <row r="4851" spans="1:12" hidden="1" x14ac:dyDescent="0.25">
      <c r="A4851" s="6"/>
      <c r="B4851" s="6"/>
      <c r="C4851" s="11"/>
      <c r="D4851" s="13"/>
      <c r="E4851" s="13"/>
      <c r="F4851" s="13"/>
      <c r="G4851" s="13"/>
      <c r="H4851" s="13"/>
      <c r="I4851" s="10"/>
      <c r="J4851" s="11"/>
      <c r="K4851" s="6"/>
      <c r="L4851" s="13"/>
    </row>
    <row r="4852" spans="1:12" hidden="1" x14ac:dyDescent="0.25">
      <c r="A4852" s="6"/>
      <c r="B4852" s="6"/>
      <c r="C4852" s="11"/>
      <c r="D4852" s="13"/>
      <c r="E4852" s="13"/>
      <c r="F4852" s="13"/>
      <c r="G4852" s="13"/>
      <c r="H4852" s="13"/>
      <c r="I4852" s="10"/>
      <c r="J4852" s="11"/>
      <c r="K4852" s="6"/>
      <c r="L4852" s="13"/>
    </row>
    <row r="4853" spans="1:12" hidden="1" x14ac:dyDescent="0.25">
      <c r="A4853" s="6"/>
      <c r="B4853" s="6"/>
      <c r="C4853" s="11"/>
      <c r="D4853" s="13"/>
      <c r="E4853" s="13"/>
      <c r="F4853" s="13"/>
      <c r="G4853" s="13"/>
      <c r="H4853" s="13"/>
      <c r="I4853" s="10"/>
      <c r="J4853" s="11"/>
      <c r="K4853" s="6"/>
      <c r="L4853" s="13"/>
    </row>
    <row r="4854" spans="1:12" hidden="1" x14ac:dyDescent="0.25">
      <c r="A4854" s="6"/>
      <c r="B4854" s="6"/>
      <c r="C4854" s="11"/>
      <c r="D4854" s="13"/>
      <c r="E4854" s="13"/>
      <c r="F4854" s="13"/>
      <c r="G4854" s="13"/>
      <c r="H4854" s="13"/>
      <c r="I4854" s="10"/>
      <c r="J4854" s="11"/>
      <c r="K4854" s="6"/>
      <c r="L4854" s="13"/>
    </row>
    <row r="4855" spans="1:12" hidden="1" x14ac:dyDescent="0.25">
      <c r="A4855" s="6"/>
      <c r="B4855" s="6"/>
      <c r="C4855" s="11"/>
      <c r="D4855" s="13"/>
      <c r="E4855" s="13"/>
      <c r="F4855" s="13"/>
      <c r="G4855" s="13"/>
      <c r="H4855" s="13"/>
      <c r="I4855" s="10"/>
      <c r="J4855" s="11"/>
      <c r="K4855" s="6"/>
      <c r="L4855" s="13"/>
    </row>
    <row r="4856" spans="1:12" hidden="1" x14ac:dyDescent="0.25">
      <c r="A4856" s="6"/>
      <c r="B4856" s="6"/>
      <c r="C4856" s="11"/>
      <c r="D4856" s="13"/>
      <c r="E4856" s="13"/>
      <c r="F4856" s="13"/>
      <c r="G4856" s="13"/>
      <c r="H4856" s="13"/>
      <c r="I4856" s="10"/>
      <c r="J4856" s="11"/>
      <c r="K4856" s="6"/>
      <c r="L4856" s="13"/>
    </row>
    <row r="4857" spans="1:12" hidden="1" x14ac:dyDescent="0.25">
      <c r="A4857" s="6"/>
      <c r="B4857" s="6"/>
      <c r="C4857" s="11"/>
      <c r="D4857" s="13"/>
      <c r="E4857" s="13"/>
      <c r="F4857" s="13"/>
      <c r="G4857" s="13"/>
      <c r="H4857" s="13"/>
      <c r="I4857" s="10"/>
      <c r="J4857" s="11"/>
      <c r="K4857" s="6"/>
      <c r="L4857" s="13"/>
    </row>
    <row r="4858" spans="1:12" hidden="1" x14ac:dyDescent="0.25">
      <c r="A4858" s="6"/>
      <c r="B4858" s="6"/>
      <c r="C4858" s="11"/>
      <c r="D4858" s="13"/>
      <c r="E4858" s="13"/>
      <c r="F4858" s="13"/>
      <c r="G4858" s="13"/>
      <c r="H4858" s="13"/>
      <c r="I4858" s="10"/>
      <c r="J4858" s="11"/>
      <c r="K4858" s="6"/>
      <c r="L4858" s="13"/>
    </row>
    <row r="4859" spans="1:12" hidden="1" x14ac:dyDescent="0.25">
      <c r="A4859" s="6"/>
      <c r="B4859" s="6"/>
      <c r="C4859" s="11"/>
      <c r="D4859" s="13"/>
      <c r="E4859" s="13"/>
      <c r="F4859" s="13"/>
      <c r="G4859" s="13"/>
      <c r="H4859" s="13"/>
      <c r="I4859" s="10"/>
      <c r="J4859" s="11"/>
      <c r="K4859" s="6"/>
      <c r="L4859" s="13"/>
    </row>
    <row r="4860" spans="1:12" hidden="1" x14ac:dyDescent="0.25">
      <c r="A4860" s="6"/>
      <c r="B4860" s="6"/>
      <c r="C4860" s="11"/>
      <c r="D4860" s="13"/>
      <c r="E4860" s="13"/>
      <c r="F4860" s="13"/>
      <c r="G4860" s="13"/>
      <c r="H4860" s="13"/>
      <c r="I4860" s="10"/>
      <c r="J4860" s="11"/>
      <c r="K4860" s="6"/>
      <c r="L4860" s="13"/>
    </row>
    <row r="4861" spans="1:12" hidden="1" x14ac:dyDescent="0.25">
      <c r="A4861" s="6"/>
      <c r="B4861" s="6"/>
      <c r="C4861" s="11"/>
      <c r="D4861" s="13"/>
      <c r="E4861" s="13"/>
      <c r="F4861" s="13"/>
      <c r="G4861" s="13"/>
      <c r="H4861" s="13"/>
      <c r="I4861" s="10"/>
      <c r="J4861" s="11"/>
      <c r="K4861" s="6"/>
      <c r="L4861" s="13"/>
    </row>
    <row r="4862" spans="1:12" hidden="1" x14ac:dyDescent="0.25">
      <c r="A4862" s="6"/>
      <c r="B4862" s="6"/>
      <c r="C4862" s="11"/>
      <c r="D4862" s="13"/>
      <c r="E4862" s="13"/>
      <c r="F4862" s="13"/>
      <c r="G4862" s="13"/>
      <c r="H4862" s="13"/>
      <c r="I4862" s="10"/>
      <c r="J4862" s="11"/>
      <c r="K4862" s="6"/>
      <c r="L4862" s="13"/>
    </row>
    <row r="4863" spans="1:12" hidden="1" x14ac:dyDescent="0.25">
      <c r="A4863" s="6"/>
      <c r="B4863" s="6"/>
      <c r="C4863" s="11"/>
      <c r="D4863" s="13"/>
      <c r="E4863" s="13"/>
      <c r="F4863" s="13"/>
      <c r="G4863" s="13"/>
      <c r="H4863" s="13"/>
      <c r="I4863" s="10"/>
      <c r="J4863" s="11"/>
      <c r="K4863" s="6"/>
      <c r="L4863" s="13"/>
    </row>
    <row r="4864" spans="1:12" hidden="1" x14ac:dyDescent="0.25">
      <c r="A4864" s="6"/>
      <c r="B4864" s="6"/>
      <c r="C4864" s="11"/>
      <c r="D4864" s="13"/>
      <c r="E4864" s="13"/>
      <c r="F4864" s="13"/>
      <c r="G4864" s="13"/>
      <c r="H4864" s="13"/>
      <c r="I4864" s="10"/>
      <c r="J4864" s="11"/>
      <c r="K4864" s="6"/>
      <c r="L4864" s="13"/>
    </row>
    <row r="4865" spans="1:12" hidden="1" x14ac:dyDescent="0.25">
      <c r="A4865" s="6"/>
      <c r="B4865" s="6"/>
      <c r="C4865" s="11"/>
      <c r="D4865" s="13"/>
      <c r="E4865" s="13"/>
      <c r="F4865" s="13"/>
      <c r="G4865" s="13"/>
      <c r="H4865" s="13"/>
      <c r="I4865" s="10"/>
      <c r="J4865" s="11"/>
      <c r="K4865" s="6"/>
      <c r="L4865" s="13"/>
    </row>
    <row r="4866" spans="1:12" hidden="1" x14ac:dyDescent="0.25">
      <c r="A4866" s="6"/>
      <c r="B4866" s="6"/>
      <c r="C4866" s="11"/>
      <c r="D4866" s="13"/>
      <c r="E4866" s="13"/>
      <c r="F4866" s="13"/>
      <c r="G4866" s="13"/>
      <c r="H4866" s="13"/>
      <c r="I4866" s="10"/>
      <c r="J4866" s="11"/>
      <c r="K4866" s="6"/>
      <c r="L4866" s="13"/>
    </row>
    <row r="4867" spans="1:12" hidden="1" x14ac:dyDescent="0.25">
      <c r="A4867" s="6"/>
      <c r="B4867" s="6"/>
      <c r="C4867" s="11"/>
      <c r="D4867" s="13"/>
      <c r="E4867" s="13"/>
      <c r="F4867" s="13"/>
      <c r="G4867" s="13"/>
      <c r="H4867" s="13"/>
      <c r="I4867" s="10"/>
      <c r="J4867" s="11"/>
      <c r="K4867" s="6"/>
      <c r="L4867" s="13"/>
    </row>
    <row r="4868" spans="1:12" hidden="1" x14ac:dyDescent="0.25">
      <c r="A4868" s="6"/>
      <c r="B4868" s="6"/>
      <c r="C4868" s="11"/>
      <c r="D4868" s="13"/>
      <c r="E4868" s="13"/>
      <c r="F4868" s="13"/>
      <c r="G4868" s="13"/>
      <c r="H4868" s="13"/>
      <c r="I4868" s="10"/>
      <c r="J4868" s="11"/>
      <c r="K4868" s="6"/>
      <c r="L4868" s="13"/>
    </row>
    <row r="4869" spans="1:12" hidden="1" x14ac:dyDescent="0.25">
      <c r="A4869" s="6"/>
      <c r="B4869" s="6"/>
      <c r="C4869" s="11"/>
      <c r="D4869" s="13"/>
      <c r="E4869" s="13"/>
      <c r="F4869" s="13"/>
      <c r="G4869" s="13"/>
      <c r="H4869" s="13"/>
      <c r="I4869" s="10"/>
      <c r="J4869" s="11"/>
      <c r="K4869" s="6"/>
      <c r="L4869" s="13"/>
    </row>
    <row r="4870" spans="1:12" hidden="1" x14ac:dyDescent="0.25">
      <c r="A4870" s="6"/>
      <c r="B4870" s="6"/>
      <c r="C4870" s="11"/>
      <c r="D4870" s="13"/>
      <c r="E4870" s="13"/>
      <c r="F4870" s="13"/>
      <c r="G4870" s="13"/>
      <c r="H4870" s="13"/>
      <c r="I4870" s="10"/>
      <c r="J4870" s="11"/>
      <c r="K4870" s="6"/>
      <c r="L4870" s="13"/>
    </row>
    <row r="4871" spans="1:12" hidden="1" x14ac:dyDescent="0.25">
      <c r="A4871" s="6"/>
      <c r="B4871" s="6"/>
      <c r="C4871" s="11"/>
      <c r="D4871" s="13"/>
      <c r="E4871" s="13"/>
      <c r="F4871" s="13"/>
      <c r="G4871" s="13"/>
      <c r="H4871" s="13"/>
      <c r="I4871" s="10"/>
      <c r="J4871" s="11"/>
      <c r="K4871" s="6"/>
      <c r="L4871" s="13"/>
    </row>
    <row r="4872" spans="1:12" hidden="1" x14ac:dyDescent="0.25">
      <c r="A4872" s="6"/>
      <c r="B4872" s="6"/>
      <c r="C4872" s="11"/>
      <c r="D4872" s="13"/>
      <c r="E4872" s="13"/>
      <c r="F4872" s="13"/>
      <c r="G4872" s="13"/>
      <c r="H4872" s="13"/>
      <c r="I4872" s="10"/>
      <c r="J4872" s="11"/>
      <c r="K4872" s="6"/>
      <c r="L4872" s="13"/>
    </row>
    <row r="4873" spans="1:12" hidden="1" x14ac:dyDescent="0.25">
      <c r="A4873" s="6"/>
      <c r="B4873" s="6"/>
      <c r="C4873" s="11"/>
      <c r="D4873" s="13"/>
      <c r="E4873" s="13"/>
      <c r="F4873" s="13"/>
      <c r="G4873" s="13"/>
      <c r="H4873" s="13"/>
      <c r="I4873" s="10"/>
      <c r="J4873" s="11"/>
      <c r="K4873" s="6"/>
      <c r="L4873" s="13"/>
    </row>
    <row r="4874" spans="1:12" hidden="1" x14ac:dyDescent="0.25">
      <c r="A4874" s="6"/>
      <c r="B4874" s="6"/>
      <c r="C4874" s="11"/>
      <c r="D4874" s="13"/>
      <c r="E4874" s="13"/>
      <c r="F4874" s="13"/>
      <c r="G4874" s="13"/>
      <c r="H4874" s="13"/>
      <c r="I4874" s="10"/>
      <c r="J4874" s="11"/>
      <c r="K4874" s="6"/>
      <c r="L4874" s="13"/>
    </row>
    <row r="4875" spans="1:12" hidden="1" x14ac:dyDescent="0.25">
      <c r="A4875" s="6"/>
      <c r="B4875" s="6"/>
      <c r="C4875" s="11"/>
      <c r="D4875" s="13"/>
      <c r="E4875" s="13"/>
      <c r="F4875" s="13"/>
      <c r="G4875" s="13"/>
      <c r="H4875" s="13"/>
      <c r="I4875" s="10"/>
      <c r="J4875" s="11"/>
      <c r="K4875" s="6"/>
      <c r="L4875" s="13"/>
    </row>
    <row r="4876" spans="1:12" hidden="1" x14ac:dyDescent="0.25">
      <c r="A4876" s="6"/>
      <c r="B4876" s="6"/>
      <c r="C4876" s="11"/>
      <c r="D4876" s="13"/>
      <c r="E4876" s="13"/>
      <c r="F4876" s="13"/>
      <c r="G4876" s="13"/>
      <c r="H4876" s="13"/>
      <c r="I4876" s="10"/>
      <c r="J4876" s="11"/>
      <c r="K4876" s="6"/>
      <c r="L4876" s="13"/>
    </row>
    <row r="4877" spans="1:12" hidden="1" x14ac:dyDescent="0.25">
      <c r="A4877" s="6"/>
      <c r="B4877" s="6"/>
      <c r="C4877" s="11"/>
      <c r="D4877" s="13"/>
      <c r="E4877" s="13"/>
      <c r="F4877" s="13"/>
      <c r="G4877" s="13"/>
      <c r="H4877" s="13"/>
      <c r="I4877" s="10"/>
      <c r="J4877" s="11"/>
      <c r="K4877" s="6"/>
      <c r="L4877" s="13"/>
    </row>
    <row r="4878" spans="1:12" hidden="1" x14ac:dyDescent="0.25">
      <c r="A4878" s="6"/>
      <c r="B4878" s="6"/>
      <c r="C4878" s="11"/>
      <c r="D4878" s="13"/>
      <c r="E4878" s="13"/>
      <c r="F4878" s="13"/>
      <c r="G4878" s="13"/>
      <c r="H4878" s="13"/>
      <c r="I4878" s="10"/>
      <c r="J4878" s="11"/>
      <c r="K4878" s="6"/>
      <c r="L4878" s="13"/>
    </row>
    <row r="4879" spans="1:12" hidden="1" x14ac:dyDescent="0.25">
      <c r="A4879" s="6"/>
      <c r="B4879" s="6"/>
      <c r="C4879" s="11"/>
      <c r="D4879" s="13"/>
      <c r="E4879" s="13"/>
      <c r="F4879" s="13"/>
      <c r="G4879" s="13"/>
      <c r="H4879" s="13"/>
      <c r="I4879" s="10"/>
      <c r="J4879" s="11"/>
      <c r="K4879" s="6"/>
      <c r="L4879" s="13"/>
    </row>
    <row r="4880" spans="1:12" hidden="1" x14ac:dyDescent="0.25">
      <c r="A4880" s="6"/>
      <c r="B4880" s="6"/>
      <c r="C4880" s="11"/>
      <c r="D4880" s="13"/>
      <c r="E4880" s="13"/>
      <c r="F4880" s="13"/>
      <c r="G4880" s="13"/>
      <c r="H4880" s="13"/>
      <c r="I4880" s="10"/>
      <c r="J4880" s="11"/>
      <c r="K4880" s="6"/>
      <c r="L4880" s="13"/>
    </row>
    <row r="4881" spans="1:12" hidden="1" x14ac:dyDescent="0.25">
      <c r="A4881" s="6"/>
      <c r="B4881" s="6"/>
      <c r="C4881" s="11"/>
      <c r="D4881" s="13"/>
      <c r="E4881" s="13"/>
      <c r="F4881" s="13"/>
      <c r="G4881" s="13"/>
      <c r="H4881" s="13"/>
      <c r="I4881" s="10"/>
      <c r="J4881" s="11"/>
      <c r="K4881" s="6"/>
      <c r="L4881" s="13"/>
    </row>
    <row r="4882" spans="1:12" hidden="1" x14ac:dyDescent="0.25">
      <c r="A4882" s="6"/>
      <c r="B4882" s="6"/>
      <c r="C4882" s="11"/>
      <c r="D4882" s="13"/>
      <c r="E4882" s="13"/>
      <c r="F4882" s="13"/>
      <c r="G4882" s="13"/>
      <c r="H4882" s="13"/>
      <c r="I4882" s="10"/>
      <c r="J4882" s="11"/>
      <c r="K4882" s="6"/>
      <c r="L4882" s="13"/>
    </row>
    <row r="4883" spans="1:12" hidden="1" x14ac:dyDescent="0.25">
      <c r="A4883" s="6"/>
      <c r="B4883" s="6"/>
      <c r="C4883" s="11"/>
      <c r="D4883" s="13"/>
      <c r="E4883" s="13"/>
      <c r="F4883" s="13"/>
      <c r="G4883" s="13"/>
      <c r="H4883" s="13"/>
      <c r="I4883" s="10"/>
      <c r="J4883" s="11"/>
      <c r="K4883" s="6"/>
      <c r="L4883" s="13"/>
    </row>
    <row r="4884" spans="1:12" hidden="1" x14ac:dyDescent="0.25">
      <c r="A4884" s="6"/>
      <c r="B4884" s="6"/>
      <c r="C4884" s="11"/>
      <c r="D4884" s="13"/>
      <c r="E4884" s="13"/>
      <c r="F4884" s="13"/>
      <c r="G4884" s="13"/>
      <c r="H4884" s="13"/>
      <c r="I4884" s="10"/>
      <c r="J4884" s="11"/>
      <c r="K4884" s="6"/>
      <c r="L4884" s="13"/>
    </row>
    <row r="4885" spans="1:12" hidden="1" x14ac:dyDescent="0.25">
      <c r="A4885" s="6"/>
      <c r="B4885" s="6"/>
      <c r="C4885" s="11"/>
      <c r="D4885" s="13"/>
      <c r="E4885" s="13"/>
      <c r="F4885" s="13"/>
      <c r="G4885" s="13"/>
      <c r="H4885" s="13"/>
      <c r="I4885" s="10"/>
      <c r="J4885" s="11"/>
      <c r="K4885" s="6"/>
      <c r="L4885" s="13"/>
    </row>
    <row r="4886" spans="1:12" hidden="1" x14ac:dyDescent="0.25">
      <c r="A4886" s="6"/>
      <c r="B4886" s="6"/>
      <c r="C4886" s="11"/>
      <c r="D4886" s="13"/>
      <c r="E4886" s="13"/>
      <c r="F4886" s="13"/>
      <c r="G4886" s="13"/>
      <c r="H4886" s="13"/>
      <c r="I4886" s="10"/>
      <c r="J4886" s="11"/>
      <c r="K4886" s="6"/>
      <c r="L4886" s="13"/>
    </row>
    <row r="4887" spans="1:12" hidden="1" x14ac:dyDescent="0.25">
      <c r="A4887" s="6"/>
      <c r="B4887" s="6"/>
      <c r="C4887" s="11"/>
      <c r="D4887" s="13"/>
      <c r="E4887" s="13"/>
      <c r="F4887" s="13"/>
      <c r="G4887" s="13"/>
      <c r="H4887" s="13"/>
      <c r="I4887" s="10"/>
      <c r="J4887" s="11"/>
      <c r="K4887" s="6"/>
      <c r="L4887" s="13"/>
    </row>
    <row r="4888" spans="1:12" hidden="1" x14ac:dyDescent="0.25">
      <c r="A4888" s="6"/>
      <c r="B4888" s="6"/>
      <c r="C4888" s="11"/>
      <c r="D4888" s="13"/>
      <c r="E4888" s="13"/>
      <c r="F4888" s="13"/>
      <c r="G4888" s="13"/>
      <c r="H4888" s="13"/>
      <c r="I4888" s="10"/>
      <c r="J4888" s="11"/>
      <c r="K4888" s="6"/>
      <c r="L4888" s="13"/>
    </row>
    <row r="4889" spans="1:12" hidden="1" x14ac:dyDescent="0.25">
      <c r="A4889" s="6"/>
      <c r="B4889" s="6"/>
      <c r="C4889" s="11"/>
      <c r="D4889" s="13"/>
      <c r="E4889" s="13"/>
      <c r="F4889" s="13"/>
      <c r="G4889" s="13"/>
      <c r="H4889" s="13"/>
      <c r="I4889" s="10"/>
      <c r="J4889" s="11"/>
      <c r="K4889" s="6"/>
      <c r="L4889" s="13"/>
    </row>
    <row r="4890" spans="1:12" hidden="1" x14ac:dyDescent="0.25">
      <c r="A4890" s="6"/>
      <c r="B4890" s="6"/>
      <c r="C4890" s="11"/>
      <c r="D4890" s="13"/>
      <c r="E4890" s="13"/>
      <c r="F4890" s="13"/>
      <c r="G4890" s="13"/>
      <c r="H4890" s="13"/>
      <c r="I4890" s="10"/>
      <c r="J4890" s="11"/>
      <c r="K4890" s="6"/>
      <c r="L4890" s="13"/>
    </row>
    <row r="4891" spans="1:12" hidden="1" x14ac:dyDescent="0.25">
      <c r="A4891" s="6"/>
      <c r="B4891" s="6"/>
      <c r="C4891" s="11"/>
      <c r="D4891" s="13"/>
      <c r="E4891" s="13"/>
      <c r="F4891" s="13"/>
      <c r="G4891" s="13"/>
      <c r="H4891" s="13"/>
      <c r="I4891" s="10"/>
      <c r="J4891" s="11"/>
      <c r="K4891" s="6"/>
      <c r="L4891" s="13"/>
    </row>
    <row r="4892" spans="1:12" hidden="1" x14ac:dyDescent="0.25">
      <c r="A4892" s="6"/>
      <c r="B4892" s="6"/>
      <c r="C4892" s="11"/>
      <c r="D4892" s="13"/>
      <c r="E4892" s="13"/>
      <c r="F4892" s="13"/>
      <c r="G4892" s="13"/>
      <c r="H4892" s="13"/>
      <c r="I4892" s="10"/>
      <c r="J4892" s="11"/>
      <c r="K4892" s="6"/>
      <c r="L4892" s="13"/>
    </row>
    <row r="4893" spans="1:12" hidden="1" x14ac:dyDescent="0.25">
      <c r="A4893" s="6"/>
      <c r="B4893" s="6"/>
      <c r="C4893" s="11"/>
      <c r="D4893" s="13"/>
      <c r="E4893" s="13"/>
      <c r="F4893" s="13"/>
      <c r="G4893" s="13"/>
      <c r="H4893" s="13"/>
      <c r="I4893" s="10"/>
      <c r="J4893" s="11"/>
      <c r="K4893" s="6"/>
      <c r="L4893" s="13"/>
    </row>
    <row r="4894" spans="1:12" hidden="1" x14ac:dyDescent="0.25">
      <c r="A4894" s="6"/>
      <c r="B4894" s="6"/>
      <c r="C4894" s="11"/>
      <c r="D4894" s="13"/>
      <c r="E4894" s="13"/>
      <c r="F4894" s="13"/>
      <c r="G4894" s="13"/>
      <c r="H4894" s="13"/>
      <c r="I4894" s="10"/>
      <c r="J4894" s="11"/>
      <c r="K4894" s="6"/>
      <c r="L4894" s="13"/>
    </row>
    <row r="4895" spans="1:12" hidden="1" x14ac:dyDescent="0.25">
      <c r="A4895" s="6"/>
      <c r="B4895" s="6"/>
      <c r="C4895" s="11"/>
      <c r="D4895" s="13"/>
      <c r="E4895" s="13"/>
      <c r="F4895" s="13"/>
      <c r="G4895" s="13"/>
      <c r="H4895" s="13"/>
      <c r="I4895" s="10"/>
      <c r="J4895" s="11"/>
      <c r="K4895" s="6"/>
      <c r="L4895" s="13"/>
    </row>
    <row r="4896" spans="1:12" hidden="1" x14ac:dyDescent="0.25">
      <c r="A4896" s="6"/>
      <c r="B4896" s="6"/>
      <c r="C4896" s="11"/>
      <c r="D4896" s="13"/>
      <c r="E4896" s="13"/>
      <c r="F4896" s="13"/>
      <c r="G4896" s="13"/>
      <c r="H4896" s="13"/>
      <c r="I4896" s="10"/>
      <c r="J4896" s="11"/>
      <c r="K4896" s="6"/>
      <c r="L4896" s="13"/>
    </row>
    <row r="4897" spans="1:12" hidden="1" x14ac:dyDescent="0.25">
      <c r="A4897" s="6"/>
      <c r="B4897" s="6"/>
      <c r="C4897" s="11"/>
      <c r="D4897" s="13"/>
      <c r="E4897" s="13"/>
      <c r="F4897" s="13"/>
      <c r="G4897" s="13"/>
      <c r="H4897" s="13"/>
      <c r="I4897" s="10"/>
      <c r="J4897" s="11"/>
      <c r="K4897" s="6"/>
      <c r="L4897" s="13"/>
    </row>
    <row r="4898" spans="1:12" hidden="1" x14ac:dyDescent="0.25">
      <c r="A4898" s="6"/>
      <c r="B4898" s="6"/>
      <c r="C4898" s="11"/>
      <c r="D4898" s="13"/>
      <c r="E4898" s="13"/>
      <c r="F4898" s="13"/>
      <c r="G4898" s="13"/>
      <c r="H4898" s="13"/>
      <c r="I4898" s="10"/>
      <c r="J4898" s="11"/>
      <c r="K4898" s="6"/>
      <c r="L4898" s="13"/>
    </row>
    <row r="4899" spans="1:12" hidden="1" x14ac:dyDescent="0.25">
      <c r="A4899" s="6"/>
      <c r="B4899" s="6"/>
      <c r="C4899" s="11"/>
      <c r="D4899" s="13"/>
      <c r="E4899" s="13"/>
      <c r="F4899" s="13"/>
      <c r="G4899" s="13"/>
      <c r="H4899" s="13"/>
      <c r="I4899" s="10"/>
      <c r="J4899" s="11"/>
      <c r="K4899" s="6"/>
      <c r="L4899" s="13"/>
    </row>
    <row r="4900" spans="1:12" hidden="1" x14ac:dyDescent="0.25">
      <c r="A4900" s="6"/>
      <c r="B4900" s="6"/>
      <c r="C4900" s="11"/>
      <c r="D4900" s="13"/>
      <c r="E4900" s="13"/>
      <c r="F4900" s="13"/>
      <c r="G4900" s="13"/>
      <c r="H4900" s="13"/>
      <c r="I4900" s="10"/>
      <c r="J4900" s="11"/>
      <c r="K4900" s="6"/>
      <c r="L4900" s="13"/>
    </row>
    <row r="4901" spans="1:12" hidden="1" x14ac:dyDescent="0.25">
      <c r="A4901" s="6"/>
      <c r="B4901" s="6"/>
      <c r="C4901" s="11"/>
      <c r="D4901" s="13"/>
      <c r="E4901" s="13"/>
      <c r="F4901" s="13"/>
      <c r="G4901" s="13"/>
      <c r="H4901" s="13"/>
      <c r="I4901" s="10"/>
      <c r="J4901" s="11"/>
      <c r="K4901" s="6"/>
      <c r="L4901" s="13"/>
    </row>
    <row r="4902" spans="1:12" hidden="1" x14ac:dyDescent="0.25">
      <c r="A4902" s="6"/>
      <c r="B4902" s="6"/>
      <c r="C4902" s="11"/>
      <c r="D4902" s="13"/>
      <c r="E4902" s="13"/>
      <c r="F4902" s="13"/>
      <c r="G4902" s="13"/>
      <c r="H4902" s="13"/>
      <c r="I4902" s="10"/>
      <c r="J4902" s="11"/>
      <c r="K4902" s="6"/>
      <c r="L4902" s="13"/>
    </row>
    <row r="4903" spans="1:12" hidden="1" x14ac:dyDescent="0.25">
      <c r="A4903" s="6"/>
      <c r="B4903" s="6"/>
      <c r="C4903" s="11"/>
      <c r="D4903" s="13"/>
      <c r="E4903" s="13"/>
      <c r="F4903" s="13"/>
      <c r="G4903" s="13"/>
      <c r="H4903" s="13"/>
      <c r="I4903" s="10"/>
      <c r="J4903" s="11"/>
      <c r="K4903" s="6"/>
      <c r="L4903" s="13"/>
    </row>
    <row r="4904" spans="1:12" hidden="1" x14ac:dyDescent="0.25">
      <c r="A4904" s="6"/>
      <c r="B4904" s="6"/>
      <c r="C4904" s="11"/>
      <c r="D4904" s="13"/>
      <c r="E4904" s="13"/>
      <c r="F4904" s="13"/>
      <c r="G4904" s="13"/>
      <c r="H4904" s="13"/>
      <c r="I4904" s="10"/>
      <c r="J4904" s="11"/>
      <c r="K4904" s="6"/>
      <c r="L4904" s="13"/>
    </row>
    <row r="4905" spans="1:12" hidden="1" x14ac:dyDescent="0.25">
      <c r="A4905" s="6"/>
      <c r="B4905" s="6"/>
      <c r="C4905" s="11"/>
      <c r="D4905" s="13"/>
      <c r="E4905" s="13"/>
      <c r="F4905" s="13"/>
      <c r="G4905" s="13"/>
      <c r="H4905" s="13"/>
      <c r="I4905" s="10"/>
      <c r="J4905" s="11"/>
      <c r="K4905" s="6"/>
      <c r="L4905" s="13"/>
    </row>
    <row r="4906" spans="1:12" hidden="1" x14ac:dyDescent="0.25">
      <c r="A4906" s="6"/>
      <c r="B4906" s="6"/>
      <c r="C4906" s="11"/>
      <c r="D4906" s="13"/>
      <c r="E4906" s="13"/>
      <c r="F4906" s="13"/>
      <c r="G4906" s="13"/>
      <c r="H4906" s="13"/>
      <c r="I4906" s="10"/>
      <c r="J4906" s="11"/>
      <c r="K4906" s="6"/>
      <c r="L4906" s="13"/>
    </row>
    <row r="4907" spans="1:12" hidden="1" x14ac:dyDescent="0.25">
      <c r="A4907" s="6"/>
      <c r="B4907" s="6"/>
      <c r="C4907" s="11"/>
      <c r="D4907" s="13"/>
      <c r="E4907" s="13"/>
      <c r="F4907" s="13"/>
      <c r="G4907" s="13"/>
      <c r="H4907" s="13"/>
      <c r="I4907" s="10"/>
      <c r="J4907" s="11"/>
      <c r="K4907" s="6"/>
      <c r="L4907" s="13"/>
    </row>
    <row r="4908" spans="1:12" hidden="1" x14ac:dyDescent="0.25">
      <c r="A4908" s="6"/>
      <c r="B4908" s="6"/>
      <c r="C4908" s="11"/>
      <c r="D4908" s="13"/>
      <c r="E4908" s="13"/>
      <c r="F4908" s="13"/>
      <c r="G4908" s="13"/>
      <c r="H4908" s="13"/>
      <c r="I4908" s="10"/>
      <c r="J4908" s="11"/>
      <c r="K4908" s="6"/>
      <c r="L4908" s="13"/>
    </row>
    <row r="4909" spans="1:12" hidden="1" x14ac:dyDescent="0.25">
      <c r="A4909" s="6"/>
      <c r="B4909" s="6"/>
      <c r="C4909" s="11"/>
      <c r="D4909" s="13"/>
      <c r="E4909" s="13"/>
      <c r="F4909" s="13"/>
      <c r="G4909" s="13"/>
      <c r="H4909" s="13"/>
      <c r="I4909" s="10"/>
      <c r="J4909" s="11"/>
      <c r="K4909" s="6"/>
      <c r="L4909" s="13"/>
    </row>
    <row r="4910" spans="1:12" hidden="1" x14ac:dyDescent="0.25">
      <c r="A4910" s="6"/>
      <c r="B4910" s="6"/>
      <c r="C4910" s="11"/>
      <c r="D4910" s="13"/>
      <c r="E4910" s="13"/>
      <c r="F4910" s="13"/>
      <c r="G4910" s="13"/>
      <c r="H4910" s="13"/>
      <c r="I4910" s="10"/>
      <c r="J4910" s="11"/>
      <c r="K4910" s="6"/>
      <c r="L4910" s="13"/>
    </row>
    <row r="4911" spans="1:12" hidden="1" x14ac:dyDescent="0.25">
      <c r="A4911" s="6"/>
      <c r="B4911" s="6"/>
      <c r="C4911" s="11"/>
      <c r="D4911" s="13"/>
      <c r="E4911" s="13"/>
      <c r="F4911" s="13"/>
      <c r="G4911" s="13"/>
      <c r="H4911" s="13"/>
      <c r="I4911" s="10"/>
      <c r="J4911" s="11"/>
      <c r="K4911" s="6"/>
      <c r="L4911" s="13"/>
    </row>
    <row r="4912" spans="1:12" hidden="1" x14ac:dyDescent="0.25">
      <c r="A4912" s="6"/>
      <c r="B4912" s="6"/>
      <c r="C4912" s="11"/>
      <c r="D4912" s="13"/>
      <c r="E4912" s="13"/>
      <c r="F4912" s="13"/>
      <c r="G4912" s="13"/>
      <c r="H4912" s="13"/>
      <c r="I4912" s="10"/>
      <c r="J4912" s="11"/>
      <c r="K4912" s="6"/>
      <c r="L4912" s="13"/>
    </row>
    <row r="4913" spans="1:12" hidden="1" x14ac:dyDescent="0.25">
      <c r="A4913" s="6"/>
      <c r="B4913" s="6"/>
      <c r="C4913" s="11"/>
      <c r="D4913" s="13"/>
      <c r="E4913" s="13"/>
      <c r="F4913" s="13"/>
      <c r="G4913" s="13"/>
      <c r="H4913" s="13"/>
      <c r="I4913" s="10"/>
      <c r="J4913" s="11"/>
      <c r="K4913" s="6"/>
      <c r="L4913" s="13"/>
    </row>
    <row r="4914" spans="1:12" hidden="1" x14ac:dyDescent="0.25">
      <c r="A4914" s="6"/>
      <c r="B4914" s="6"/>
      <c r="C4914" s="11"/>
      <c r="D4914" s="13"/>
      <c r="E4914" s="13"/>
      <c r="F4914" s="13"/>
      <c r="G4914" s="13"/>
      <c r="H4914" s="13"/>
      <c r="I4914" s="10"/>
      <c r="J4914" s="11"/>
      <c r="K4914" s="6"/>
      <c r="L4914" s="13"/>
    </row>
    <row r="4915" spans="1:12" hidden="1" x14ac:dyDescent="0.25">
      <c r="A4915" s="6"/>
      <c r="B4915" s="6"/>
      <c r="C4915" s="11"/>
      <c r="D4915" s="13"/>
      <c r="E4915" s="13"/>
      <c r="F4915" s="13"/>
      <c r="G4915" s="13"/>
      <c r="H4915" s="13"/>
      <c r="I4915" s="10"/>
      <c r="J4915" s="11"/>
      <c r="K4915" s="6"/>
      <c r="L4915" s="13"/>
    </row>
    <row r="4916" spans="1:12" hidden="1" x14ac:dyDescent="0.25">
      <c r="A4916" s="6"/>
      <c r="B4916" s="6"/>
      <c r="C4916" s="11"/>
      <c r="D4916" s="13"/>
      <c r="E4916" s="13"/>
      <c r="F4916" s="13"/>
      <c r="G4916" s="13"/>
      <c r="H4916" s="13"/>
      <c r="I4916" s="10"/>
      <c r="J4916" s="11"/>
      <c r="K4916" s="6"/>
      <c r="L4916" s="13"/>
    </row>
    <row r="4917" spans="1:12" hidden="1" x14ac:dyDescent="0.25">
      <c r="A4917" s="6"/>
      <c r="B4917" s="6"/>
      <c r="C4917" s="11"/>
      <c r="D4917" s="13"/>
      <c r="E4917" s="13"/>
      <c r="F4917" s="13"/>
      <c r="G4917" s="13"/>
      <c r="H4917" s="13"/>
      <c r="I4917" s="10"/>
      <c r="J4917" s="11"/>
      <c r="K4917" s="6"/>
      <c r="L4917" s="13"/>
    </row>
    <row r="4918" spans="1:12" hidden="1" x14ac:dyDescent="0.25">
      <c r="A4918" s="6"/>
      <c r="B4918" s="6"/>
      <c r="C4918" s="11"/>
      <c r="D4918" s="13"/>
      <c r="E4918" s="13"/>
      <c r="F4918" s="13"/>
      <c r="G4918" s="13"/>
      <c r="H4918" s="13"/>
      <c r="I4918" s="10"/>
      <c r="J4918" s="11"/>
      <c r="K4918" s="6"/>
      <c r="L4918" s="13"/>
    </row>
    <row r="4919" spans="1:12" hidden="1" x14ac:dyDescent="0.25">
      <c r="A4919" s="6"/>
      <c r="B4919" s="6"/>
      <c r="C4919" s="11"/>
      <c r="D4919" s="13"/>
      <c r="E4919" s="13"/>
      <c r="F4919" s="13"/>
      <c r="G4919" s="13"/>
      <c r="H4919" s="13"/>
      <c r="I4919" s="10"/>
      <c r="J4919" s="11"/>
      <c r="K4919" s="6"/>
      <c r="L4919" s="13"/>
    </row>
    <row r="4920" spans="1:12" hidden="1" x14ac:dyDescent="0.25">
      <c r="A4920" s="6"/>
      <c r="B4920" s="6"/>
      <c r="C4920" s="11"/>
      <c r="D4920" s="13"/>
      <c r="E4920" s="13"/>
      <c r="F4920" s="13"/>
      <c r="G4920" s="13"/>
      <c r="H4920" s="13"/>
      <c r="I4920" s="10"/>
      <c r="J4920" s="11"/>
      <c r="K4920" s="6"/>
      <c r="L4920" s="13"/>
    </row>
    <row r="4921" spans="1:12" hidden="1" x14ac:dyDescent="0.25">
      <c r="A4921" s="6"/>
      <c r="B4921" s="6"/>
      <c r="C4921" s="11"/>
      <c r="D4921" s="13"/>
      <c r="E4921" s="13"/>
      <c r="F4921" s="13"/>
      <c r="G4921" s="13"/>
      <c r="H4921" s="13"/>
      <c r="I4921" s="10"/>
      <c r="J4921" s="11"/>
      <c r="K4921" s="6"/>
      <c r="L4921" s="13"/>
    </row>
    <row r="4922" spans="1:12" hidden="1" x14ac:dyDescent="0.25">
      <c r="A4922" s="6"/>
      <c r="B4922" s="6"/>
      <c r="C4922" s="11"/>
      <c r="D4922" s="13"/>
      <c r="E4922" s="13"/>
      <c r="F4922" s="13"/>
      <c r="G4922" s="13"/>
      <c r="H4922" s="13"/>
      <c r="I4922" s="10"/>
      <c r="J4922" s="11"/>
      <c r="K4922" s="6"/>
      <c r="L4922" s="13"/>
    </row>
    <row r="4923" spans="1:12" hidden="1" x14ac:dyDescent="0.25">
      <c r="A4923" s="6"/>
      <c r="B4923" s="6"/>
      <c r="C4923" s="11"/>
      <c r="D4923" s="13"/>
      <c r="E4923" s="13"/>
      <c r="F4923" s="13"/>
      <c r="G4923" s="13"/>
      <c r="H4923" s="13"/>
      <c r="I4923" s="10"/>
      <c r="J4923" s="11"/>
      <c r="K4923" s="6"/>
      <c r="L4923" s="13"/>
    </row>
    <row r="4924" spans="1:12" hidden="1" x14ac:dyDescent="0.25">
      <c r="A4924" s="6"/>
      <c r="B4924" s="6"/>
      <c r="C4924" s="11"/>
      <c r="D4924" s="13"/>
      <c r="E4924" s="13"/>
      <c r="F4924" s="13"/>
      <c r="G4924" s="13"/>
      <c r="H4924" s="13"/>
      <c r="I4924" s="10"/>
      <c r="J4924" s="11"/>
      <c r="K4924" s="6"/>
      <c r="L4924" s="13"/>
    </row>
    <row r="4925" spans="1:12" hidden="1" x14ac:dyDescent="0.25">
      <c r="A4925" s="6"/>
      <c r="B4925" s="6"/>
      <c r="C4925" s="11"/>
      <c r="D4925" s="13"/>
      <c r="E4925" s="13"/>
      <c r="F4925" s="13"/>
      <c r="G4925" s="13"/>
      <c r="H4925" s="13"/>
      <c r="I4925" s="10"/>
      <c r="J4925" s="11"/>
      <c r="K4925" s="6"/>
      <c r="L4925" s="13"/>
    </row>
    <row r="4926" spans="1:12" hidden="1" x14ac:dyDescent="0.25">
      <c r="A4926" s="6"/>
      <c r="B4926" s="6"/>
      <c r="C4926" s="11"/>
      <c r="D4926" s="13"/>
      <c r="E4926" s="13"/>
      <c r="F4926" s="13"/>
      <c r="G4926" s="13"/>
      <c r="H4926" s="13"/>
      <c r="I4926" s="10"/>
      <c r="J4926" s="11"/>
      <c r="K4926" s="6"/>
      <c r="L4926" s="13"/>
    </row>
    <row r="4927" spans="1:12" hidden="1" x14ac:dyDescent="0.25">
      <c r="A4927" s="6"/>
      <c r="B4927" s="6"/>
      <c r="C4927" s="11"/>
      <c r="D4927" s="13"/>
      <c r="E4927" s="13"/>
      <c r="F4927" s="13"/>
      <c r="G4927" s="13"/>
      <c r="H4927" s="13"/>
      <c r="I4927" s="10"/>
      <c r="J4927" s="11"/>
      <c r="K4927" s="6"/>
      <c r="L4927" s="13"/>
    </row>
    <row r="4928" spans="1:12" hidden="1" x14ac:dyDescent="0.25">
      <c r="A4928" s="6"/>
      <c r="B4928" s="6"/>
      <c r="C4928" s="11"/>
      <c r="D4928" s="13"/>
      <c r="E4928" s="13"/>
      <c r="F4928" s="13"/>
      <c r="G4928" s="13"/>
      <c r="H4928" s="13"/>
      <c r="I4928" s="10"/>
      <c r="J4928" s="11"/>
      <c r="K4928" s="6"/>
      <c r="L4928" s="13"/>
    </row>
    <row r="4929" spans="1:12" hidden="1" x14ac:dyDescent="0.25">
      <c r="A4929" s="6"/>
      <c r="B4929" s="6"/>
      <c r="C4929" s="11"/>
      <c r="D4929" s="13"/>
      <c r="E4929" s="13"/>
      <c r="F4929" s="13"/>
      <c r="G4929" s="13"/>
      <c r="H4929" s="13"/>
      <c r="I4929" s="10"/>
      <c r="J4929" s="11"/>
      <c r="K4929" s="6"/>
      <c r="L4929" s="13"/>
    </row>
    <row r="4930" spans="1:12" hidden="1" x14ac:dyDescent="0.25">
      <c r="A4930" s="6"/>
      <c r="B4930" s="6"/>
      <c r="C4930" s="11"/>
      <c r="D4930" s="13"/>
      <c r="E4930" s="13"/>
      <c r="F4930" s="13"/>
      <c r="G4930" s="13"/>
      <c r="H4930" s="13"/>
      <c r="I4930" s="10"/>
      <c r="J4930" s="11"/>
      <c r="K4930" s="6"/>
      <c r="L4930" s="13"/>
    </row>
    <row r="4931" spans="1:12" hidden="1" x14ac:dyDescent="0.25">
      <c r="A4931" s="6"/>
      <c r="B4931" s="6"/>
      <c r="C4931" s="11"/>
      <c r="D4931" s="13"/>
      <c r="E4931" s="13"/>
      <c r="F4931" s="13"/>
      <c r="G4931" s="13"/>
      <c r="H4931" s="13"/>
      <c r="I4931" s="10"/>
      <c r="J4931" s="11"/>
      <c r="K4931" s="6"/>
      <c r="L4931" s="13"/>
    </row>
    <row r="4932" spans="1:12" hidden="1" x14ac:dyDescent="0.25">
      <c r="A4932" s="6"/>
      <c r="B4932" s="6"/>
      <c r="C4932" s="11"/>
      <c r="D4932" s="13"/>
      <c r="E4932" s="13"/>
      <c r="F4932" s="13"/>
      <c r="G4932" s="13"/>
      <c r="H4932" s="13"/>
      <c r="I4932" s="10"/>
      <c r="J4932" s="11"/>
      <c r="K4932" s="6"/>
      <c r="L4932" s="13"/>
    </row>
    <row r="4933" spans="1:12" hidden="1" x14ac:dyDescent="0.25">
      <c r="A4933" s="6"/>
      <c r="B4933" s="6"/>
      <c r="C4933" s="11"/>
      <c r="D4933" s="13"/>
      <c r="E4933" s="13"/>
      <c r="F4933" s="13"/>
      <c r="G4933" s="13"/>
      <c r="H4933" s="13"/>
      <c r="I4933" s="10"/>
      <c r="J4933" s="11"/>
      <c r="K4933" s="6"/>
      <c r="L4933" s="13"/>
    </row>
    <row r="4934" spans="1:12" hidden="1" x14ac:dyDescent="0.25">
      <c r="A4934" s="6"/>
      <c r="B4934" s="6"/>
      <c r="C4934" s="11"/>
      <c r="D4934" s="13"/>
      <c r="E4934" s="13"/>
      <c r="F4934" s="13"/>
      <c r="G4934" s="13"/>
      <c r="H4934" s="13"/>
      <c r="I4934" s="10"/>
      <c r="J4934" s="11"/>
      <c r="K4934" s="6"/>
      <c r="L4934" s="13"/>
    </row>
    <row r="4935" spans="1:12" hidden="1" x14ac:dyDescent="0.25">
      <c r="A4935" s="6"/>
      <c r="B4935" s="6"/>
      <c r="C4935" s="11"/>
      <c r="D4935" s="13"/>
      <c r="E4935" s="13"/>
      <c r="F4935" s="13"/>
      <c r="G4935" s="13"/>
      <c r="H4935" s="13"/>
      <c r="I4935" s="10"/>
      <c r="J4935" s="11"/>
      <c r="K4935" s="6"/>
      <c r="L4935" s="13"/>
    </row>
    <row r="4936" spans="1:12" hidden="1" x14ac:dyDescent="0.25">
      <c r="A4936" s="6"/>
      <c r="B4936" s="6"/>
      <c r="C4936" s="11"/>
      <c r="D4936" s="13"/>
      <c r="E4936" s="13"/>
      <c r="F4936" s="13"/>
      <c r="G4936" s="13"/>
      <c r="H4936" s="13"/>
      <c r="I4936" s="10"/>
      <c r="J4936" s="11"/>
      <c r="K4936" s="6"/>
      <c r="L4936" s="13"/>
    </row>
    <row r="4937" spans="1:12" hidden="1" x14ac:dyDescent="0.25">
      <c r="A4937" s="6"/>
      <c r="B4937" s="6"/>
      <c r="C4937" s="11"/>
      <c r="D4937" s="13"/>
      <c r="E4937" s="13"/>
      <c r="F4937" s="13"/>
      <c r="G4937" s="13"/>
      <c r="H4937" s="13"/>
      <c r="I4937" s="10"/>
      <c r="J4937" s="11"/>
      <c r="K4937" s="6"/>
      <c r="L4937" s="13"/>
    </row>
    <row r="4938" spans="1:12" hidden="1" x14ac:dyDescent="0.25">
      <c r="A4938" s="6"/>
      <c r="B4938" s="6"/>
      <c r="C4938" s="11"/>
      <c r="D4938" s="13"/>
      <c r="E4938" s="13"/>
      <c r="F4938" s="13"/>
      <c r="G4938" s="13"/>
      <c r="H4938" s="13"/>
      <c r="I4938" s="10"/>
      <c r="J4938" s="11"/>
      <c r="K4938" s="6"/>
      <c r="L4938" s="13"/>
    </row>
    <row r="4939" spans="1:12" hidden="1" x14ac:dyDescent="0.25">
      <c r="A4939" s="6"/>
      <c r="B4939" s="6"/>
      <c r="C4939" s="11"/>
      <c r="D4939" s="13"/>
      <c r="E4939" s="13"/>
      <c r="F4939" s="13"/>
      <c r="G4939" s="13"/>
      <c r="H4939" s="13"/>
      <c r="I4939" s="10"/>
      <c r="J4939" s="11"/>
      <c r="K4939" s="6"/>
      <c r="L4939" s="13"/>
    </row>
    <row r="4940" spans="1:12" hidden="1" x14ac:dyDescent="0.25">
      <c r="A4940" s="6"/>
      <c r="B4940" s="6"/>
      <c r="C4940" s="11"/>
      <c r="D4940" s="13"/>
      <c r="E4940" s="13"/>
      <c r="F4940" s="13"/>
      <c r="G4940" s="13"/>
      <c r="H4940" s="13"/>
      <c r="I4940" s="10"/>
      <c r="J4940" s="11"/>
      <c r="K4940" s="6"/>
      <c r="L4940" s="13"/>
    </row>
    <row r="4941" spans="1:12" hidden="1" x14ac:dyDescent="0.25">
      <c r="A4941" s="6"/>
      <c r="B4941" s="6"/>
      <c r="C4941" s="11"/>
      <c r="D4941" s="13"/>
      <c r="E4941" s="13"/>
      <c r="F4941" s="13"/>
      <c r="G4941" s="13"/>
      <c r="H4941" s="13"/>
      <c r="I4941" s="10"/>
      <c r="J4941" s="11"/>
      <c r="K4941" s="6"/>
      <c r="L4941" s="13"/>
    </row>
    <row r="4942" spans="1:12" hidden="1" x14ac:dyDescent="0.25">
      <c r="A4942" s="6"/>
      <c r="B4942" s="6"/>
      <c r="C4942" s="11"/>
      <c r="D4942" s="13"/>
      <c r="E4942" s="13"/>
      <c r="F4942" s="13"/>
      <c r="G4942" s="13"/>
      <c r="H4942" s="13"/>
      <c r="I4942" s="10"/>
      <c r="J4942" s="11"/>
      <c r="K4942" s="6"/>
      <c r="L4942" s="13"/>
    </row>
    <row r="4943" spans="1:12" hidden="1" x14ac:dyDescent="0.25">
      <c r="A4943" s="6"/>
      <c r="B4943" s="6"/>
      <c r="C4943" s="11"/>
      <c r="D4943" s="13"/>
      <c r="E4943" s="13"/>
      <c r="F4943" s="13"/>
      <c r="G4943" s="13"/>
      <c r="H4943" s="13"/>
      <c r="I4943" s="10"/>
      <c r="J4943" s="11"/>
      <c r="K4943" s="6"/>
      <c r="L4943" s="13"/>
    </row>
    <row r="4944" spans="1:12" hidden="1" x14ac:dyDescent="0.25">
      <c r="A4944" s="6"/>
      <c r="B4944" s="6"/>
      <c r="C4944" s="11"/>
      <c r="D4944" s="13"/>
      <c r="E4944" s="13"/>
      <c r="F4944" s="13"/>
      <c r="G4944" s="13"/>
      <c r="H4944" s="13"/>
      <c r="I4944" s="10"/>
      <c r="J4944" s="11"/>
      <c r="K4944" s="6"/>
      <c r="L4944" s="13"/>
    </row>
    <row r="4945" spans="1:12" hidden="1" x14ac:dyDescent="0.25">
      <c r="A4945" s="6"/>
      <c r="B4945" s="6"/>
      <c r="C4945" s="11"/>
      <c r="D4945" s="13"/>
      <c r="E4945" s="13"/>
      <c r="F4945" s="13"/>
      <c r="G4945" s="13"/>
      <c r="H4945" s="13"/>
      <c r="I4945" s="10"/>
      <c r="J4945" s="11"/>
      <c r="K4945" s="6"/>
      <c r="L4945" s="13"/>
    </row>
    <row r="4946" spans="1:12" hidden="1" x14ac:dyDescent="0.25">
      <c r="A4946" s="6"/>
      <c r="B4946" s="6"/>
      <c r="C4946" s="11"/>
      <c r="D4946" s="13"/>
      <c r="E4946" s="13"/>
      <c r="F4946" s="13"/>
      <c r="G4946" s="13"/>
      <c r="H4946" s="13"/>
      <c r="I4946" s="10"/>
      <c r="J4946" s="11"/>
      <c r="K4946" s="6"/>
      <c r="L4946" s="13"/>
    </row>
    <row r="4947" spans="1:12" hidden="1" x14ac:dyDescent="0.25">
      <c r="A4947" s="6"/>
      <c r="B4947" s="6"/>
      <c r="C4947" s="11"/>
      <c r="D4947" s="13"/>
      <c r="E4947" s="13"/>
      <c r="F4947" s="13"/>
      <c r="G4947" s="13"/>
      <c r="H4947" s="13"/>
      <c r="I4947" s="10"/>
      <c r="J4947" s="11"/>
      <c r="K4947" s="6"/>
      <c r="L4947" s="13"/>
    </row>
    <row r="4948" spans="1:12" hidden="1" x14ac:dyDescent="0.25">
      <c r="A4948" s="6"/>
      <c r="B4948" s="6"/>
      <c r="C4948" s="11"/>
      <c r="D4948" s="13"/>
      <c r="E4948" s="13"/>
      <c r="F4948" s="13"/>
      <c r="G4948" s="13"/>
      <c r="H4948" s="13"/>
      <c r="I4948" s="10"/>
      <c r="J4948" s="11"/>
      <c r="K4948" s="6"/>
      <c r="L4948" s="13"/>
    </row>
    <row r="4949" spans="1:12" hidden="1" x14ac:dyDescent="0.25">
      <c r="A4949" s="6"/>
      <c r="B4949" s="6"/>
      <c r="C4949" s="11"/>
      <c r="D4949" s="13"/>
      <c r="E4949" s="13"/>
      <c r="F4949" s="13"/>
      <c r="G4949" s="13"/>
      <c r="H4949" s="13"/>
      <c r="I4949" s="10"/>
      <c r="J4949" s="11"/>
      <c r="K4949" s="6"/>
      <c r="L4949" s="13"/>
    </row>
    <row r="4950" spans="1:12" hidden="1" x14ac:dyDescent="0.25">
      <c r="A4950" s="6"/>
      <c r="B4950" s="6"/>
      <c r="C4950" s="11"/>
      <c r="D4950" s="13"/>
      <c r="E4950" s="13"/>
      <c r="F4950" s="13"/>
      <c r="G4950" s="13"/>
      <c r="H4950" s="13"/>
      <c r="I4950" s="10"/>
      <c r="J4950" s="11"/>
      <c r="K4950" s="6"/>
      <c r="L4950" s="13"/>
    </row>
    <row r="4951" spans="1:12" hidden="1" x14ac:dyDescent="0.25">
      <c r="A4951" s="6"/>
      <c r="B4951" s="6"/>
      <c r="C4951" s="11"/>
      <c r="D4951" s="13"/>
      <c r="E4951" s="13"/>
      <c r="F4951" s="13"/>
      <c r="G4951" s="13"/>
      <c r="H4951" s="13"/>
      <c r="I4951" s="10"/>
      <c r="J4951" s="11"/>
      <c r="K4951" s="6"/>
      <c r="L4951" s="13"/>
    </row>
    <row r="4952" spans="1:12" hidden="1" x14ac:dyDescent="0.25">
      <c r="A4952" s="6"/>
      <c r="B4952" s="6"/>
      <c r="C4952" s="11"/>
      <c r="D4952" s="13"/>
      <c r="E4952" s="13"/>
      <c r="F4952" s="13"/>
      <c r="G4952" s="13"/>
      <c r="H4952" s="13"/>
      <c r="I4952" s="10"/>
      <c r="J4952" s="11"/>
      <c r="K4952" s="6"/>
      <c r="L4952" s="13"/>
    </row>
    <row r="4953" spans="1:12" hidden="1" x14ac:dyDescent="0.25">
      <c r="A4953" s="6"/>
      <c r="B4953" s="6"/>
      <c r="C4953" s="11"/>
      <c r="D4953" s="13"/>
      <c r="E4953" s="13"/>
      <c r="F4953" s="13"/>
      <c r="G4953" s="13"/>
      <c r="H4953" s="13"/>
      <c r="I4953" s="10"/>
      <c r="J4953" s="11"/>
      <c r="K4953" s="6"/>
      <c r="L4953" s="13"/>
    </row>
    <row r="4954" spans="1:12" hidden="1" x14ac:dyDescent="0.25">
      <c r="A4954" s="6"/>
      <c r="B4954" s="6"/>
      <c r="C4954" s="11"/>
      <c r="D4954" s="13"/>
      <c r="E4954" s="13"/>
      <c r="F4954" s="13"/>
      <c r="G4954" s="13"/>
      <c r="H4954" s="13"/>
      <c r="I4954" s="10"/>
      <c r="J4954" s="11"/>
      <c r="K4954" s="6"/>
      <c r="L4954" s="13"/>
    </row>
    <row r="4955" spans="1:12" hidden="1" x14ac:dyDescent="0.25">
      <c r="A4955" s="6"/>
      <c r="B4955" s="6"/>
      <c r="C4955" s="11"/>
      <c r="D4955" s="13"/>
      <c r="E4955" s="13"/>
      <c r="F4955" s="13"/>
      <c r="G4955" s="13"/>
      <c r="H4955" s="13"/>
      <c r="I4955" s="10"/>
      <c r="J4955" s="11"/>
      <c r="K4955" s="6"/>
      <c r="L4955" s="13"/>
    </row>
    <row r="4956" spans="1:12" hidden="1" x14ac:dyDescent="0.25">
      <c r="A4956" s="6"/>
      <c r="B4956" s="6"/>
      <c r="C4956" s="11"/>
      <c r="D4956" s="13"/>
      <c r="E4956" s="13"/>
      <c r="F4956" s="13"/>
      <c r="G4956" s="13"/>
      <c r="H4956" s="13"/>
      <c r="I4956" s="10"/>
      <c r="J4956" s="11"/>
      <c r="K4956" s="6"/>
      <c r="L4956" s="13"/>
    </row>
    <row r="4957" spans="1:12" hidden="1" x14ac:dyDescent="0.25">
      <c r="A4957" s="6"/>
      <c r="B4957" s="6"/>
      <c r="C4957" s="11"/>
      <c r="D4957" s="13"/>
      <c r="E4957" s="13"/>
      <c r="F4957" s="13"/>
      <c r="G4957" s="13"/>
      <c r="H4957" s="13"/>
      <c r="I4957" s="10"/>
      <c r="J4957" s="11"/>
      <c r="K4957" s="6"/>
      <c r="L4957" s="13"/>
    </row>
    <row r="4958" spans="1:12" hidden="1" x14ac:dyDescent="0.25">
      <c r="A4958" s="6"/>
      <c r="B4958" s="6"/>
      <c r="C4958" s="11"/>
      <c r="D4958" s="13"/>
      <c r="E4958" s="13"/>
      <c r="F4958" s="13"/>
      <c r="G4958" s="13"/>
      <c r="H4958" s="13"/>
      <c r="I4958" s="10"/>
      <c r="J4958" s="11"/>
      <c r="K4958" s="6"/>
      <c r="L4958" s="13"/>
    </row>
    <row r="4959" spans="1:12" hidden="1" x14ac:dyDescent="0.25">
      <c r="A4959" s="6"/>
      <c r="B4959" s="6"/>
      <c r="C4959" s="11"/>
      <c r="D4959" s="13"/>
      <c r="E4959" s="13"/>
      <c r="F4959" s="13"/>
      <c r="G4959" s="13"/>
      <c r="H4959" s="13"/>
      <c r="I4959" s="10"/>
      <c r="J4959" s="11"/>
      <c r="K4959" s="6"/>
      <c r="L4959" s="13"/>
    </row>
    <row r="4960" spans="1:12" hidden="1" x14ac:dyDescent="0.25">
      <c r="A4960" s="6"/>
      <c r="B4960" s="6"/>
      <c r="C4960" s="11"/>
      <c r="D4960" s="13"/>
      <c r="E4960" s="13"/>
      <c r="F4960" s="13"/>
      <c r="G4960" s="13"/>
      <c r="H4960" s="13"/>
      <c r="I4960" s="10"/>
      <c r="J4960" s="11"/>
      <c r="K4960" s="6"/>
      <c r="L4960" s="13"/>
    </row>
    <row r="4961" spans="1:12" hidden="1" x14ac:dyDescent="0.25">
      <c r="A4961" s="6"/>
      <c r="B4961" s="6"/>
      <c r="C4961" s="11"/>
      <c r="D4961" s="13"/>
      <c r="E4961" s="13"/>
      <c r="F4961" s="13"/>
      <c r="G4961" s="13"/>
      <c r="H4961" s="13"/>
      <c r="I4961" s="10"/>
      <c r="J4961" s="11"/>
      <c r="K4961" s="6"/>
      <c r="L4961" s="13"/>
    </row>
    <row r="4962" spans="1:12" hidden="1" x14ac:dyDescent="0.25">
      <c r="A4962" s="6"/>
      <c r="B4962" s="6"/>
      <c r="C4962" s="11"/>
      <c r="D4962" s="13"/>
      <c r="E4962" s="13"/>
      <c r="F4962" s="13"/>
      <c r="G4962" s="13"/>
      <c r="H4962" s="13"/>
      <c r="I4962" s="10"/>
      <c r="J4962" s="11"/>
      <c r="K4962" s="6"/>
      <c r="L4962" s="13"/>
    </row>
    <row r="4963" spans="1:12" hidden="1" x14ac:dyDescent="0.25">
      <c r="A4963" s="6"/>
      <c r="B4963" s="6"/>
      <c r="C4963" s="11"/>
      <c r="D4963" s="13"/>
      <c r="E4963" s="13"/>
      <c r="F4963" s="13"/>
      <c r="G4963" s="13"/>
      <c r="H4963" s="13"/>
      <c r="I4963" s="10"/>
      <c r="J4963" s="11"/>
      <c r="K4963" s="6"/>
      <c r="L4963" s="13"/>
    </row>
    <row r="4964" spans="1:12" hidden="1" x14ac:dyDescent="0.25">
      <c r="A4964" s="6"/>
      <c r="B4964" s="6"/>
      <c r="C4964" s="11"/>
      <c r="D4964" s="13"/>
      <c r="E4964" s="13"/>
      <c r="F4964" s="13"/>
      <c r="G4964" s="13"/>
      <c r="H4964" s="13"/>
      <c r="I4964" s="10"/>
      <c r="J4964" s="11"/>
      <c r="K4964" s="6"/>
      <c r="L4964" s="13"/>
    </row>
    <row r="4965" spans="1:12" hidden="1" x14ac:dyDescent="0.25">
      <c r="A4965" s="6"/>
      <c r="B4965" s="6"/>
      <c r="C4965" s="11"/>
      <c r="D4965" s="13"/>
      <c r="E4965" s="13"/>
      <c r="F4965" s="13"/>
      <c r="G4965" s="13"/>
      <c r="H4965" s="13"/>
      <c r="I4965" s="10"/>
      <c r="J4965" s="11"/>
      <c r="K4965" s="6"/>
      <c r="L4965" s="13"/>
    </row>
    <row r="4966" spans="1:12" hidden="1" x14ac:dyDescent="0.25">
      <c r="A4966" s="6"/>
      <c r="B4966" s="6"/>
      <c r="C4966" s="11"/>
      <c r="D4966" s="13"/>
      <c r="E4966" s="13"/>
      <c r="F4966" s="13"/>
      <c r="G4966" s="13"/>
      <c r="H4966" s="13"/>
      <c r="I4966" s="10"/>
      <c r="J4966" s="11"/>
      <c r="K4966" s="6"/>
      <c r="L4966" s="13"/>
    </row>
    <row r="4967" spans="1:12" hidden="1" x14ac:dyDescent="0.25">
      <c r="A4967" s="6"/>
      <c r="B4967" s="6"/>
      <c r="C4967" s="11"/>
      <c r="D4967" s="13"/>
      <c r="E4967" s="13"/>
      <c r="F4967" s="13"/>
      <c r="G4967" s="13"/>
      <c r="H4967" s="13"/>
      <c r="I4967" s="10"/>
      <c r="J4967" s="11"/>
      <c r="K4967" s="6"/>
      <c r="L4967" s="13"/>
    </row>
    <row r="4968" spans="1:12" hidden="1" x14ac:dyDescent="0.25">
      <c r="A4968" s="6"/>
      <c r="B4968" s="6"/>
      <c r="C4968" s="11"/>
      <c r="D4968" s="13"/>
      <c r="E4968" s="13"/>
      <c r="F4968" s="13"/>
      <c r="G4968" s="13"/>
      <c r="H4968" s="13"/>
      <c r="I4968" s="10"/>
      <c r="J4968" s="11"/>
      <c r="K4968" s="6"/>
      <c r="L4968" s="13"/>
    </row>
    <row r="4969" spans="1:12" hidden="1" x14ac:dyDescent="0.25">
      <c r="A4969" s="6"/>
      <c r="B4969" s="6"/>
      <c r="C4969" s="11"/>
      <c r="D4969" s="13"/>
      <c r="E4969" s="13"/>
      <c r="F4969" s="13"/>
      <c r="G4969" s="13"/>
      <c r="H4969" s="13"/>
      <c r="I4969" s="10"/>
      <c r="J4969" s="11"/>
      <c r="K4969" s="6"/>
      <c r="L4969" s="13"/>
    </row>
    <row r="4970" spans="1:12" hidden="1" x14ac:dyDescent="0.25">
      <c r="A4970" s="6"/>
      <c r="B4970" s="6"/>
      <c r="C4970" s="11"/>
      <c r="D4970" s="13"/>
      <c r="E4970" s="13"/>
      <c r="F4970" s="13"/>
      <c r="G4970" s="13"/>
      <c r="H4970" s="13"/>
      <c r="I4970" s="10"/>
      <c r="J4970" s="11"/>
      <c r="K4970" s="6"/>
      <c r="L4970" s="13"/>
    </row>
    <row r="4971" spans="1:12" hidden="1" x14ac:dyDescent="0.25">
      <c r="A4971" s="6"/>
      <c r="B4971" s="6"/>
      <c r="C4971" s="11"/>
      <c r="D4971" s="13"/>
      <c r="E4971" s="13"/>
      <c r="F4971" s="13"/>
      <c r="G4971" s="13"/>
      <c r="H4971" s="13"/>
      <c r="I4971" s="10"/>
      <c r="J4971" s="11"/>
      <c r="K4971" s="6"/>
      <c r="L4971" s="13"/>
    </row>
    <row r="4972" spans="1:12" hidden="1" x14ac:dyDescent="0.25">
      <c r="A4972" s="6"/>
      <c r="B4972" s="6"/>
      <c r="C4972" s="11"/>
      <c r="D4972" s="13"/>
      <c r="E4972" s="13"/>
      <c r="F4972" s="13"/>
      <c r="G4972" s="13"/>
      <c r="H4972" s="13"/>
      <c r="I4972" s="10"/>
      <c r="J4972" s="11"/>
      <c r="K4972" s="6"/>
      <c r="L4972" s="13"/>
    </row>
    <row r="4973" spans="1:12" hidden="1" x14ac:dyDescent="0.25">
      <c r="A4973" s="6"/>
      <c r="B4973" s="6"/>
      <c r="C4973" s="11"/>
      <c r="D4973" s="13"/>
      <c r="E4973" s="13"/>
      <c r="F4973" s="13"/>
      <c r="G4973" s="13"/>
      <c r="H4973" s="13"/>
      <c r="I4973" s="10"/>
      <c r="J4973" s="11"/>
      <c r="K4973" s="6"/>
      <c r="L4973" s="13"/>
    </row>
    <row r="4974" spans="1:12" hidden="1" x14ac:dyDescent="0.25">
      <c r="A4974" s="6"/>
      <c r="B4974" s="6"/>
      <c r="C4974" s="11"/>
      <c r="D4974" s="13"/>
      <c r="E4974" s="13"/>
      <c r="F4974" s="13"/>
      <c r="G4974" s="13"/>
      <c r="H4974" s="13"/>
      <c r="I4974" s="10"/>
      <c r="J4974" s="11"/>
      <c r="K4974" s="6"/>
      <c r="L4974" s="13"/>
    </row>
    <row r="4975" spans="1:12" hidden="1" x14ac:dyDescent="0.25">
      <c r="A4975" s="6"/>
      <c r="B4975" s="6"/>
      <c r="C4975" s="11"/>
      <c r="D4975" s="13"/>
      <c r="E4975" s="13"/>
      <c r="F4975" s="13"/>
      <c r="G4975" s="13"/>
      <c r="H4975" s="13"/>
      <c r="I4975" s="10"/>
      <c r="J4975" s="11"/>
      <c r="K4975" s="6"/>
      <c r="L4975" s="13"/>
    </row>
    <row r="4976" spans="1:12" hidden="1" x14ac:dyDescent="0.25">
      <c r="A4976" s="6"/>
      <c r="B4976" s="6"/>
      <c r="C4976" s="11"/>
      <c r="D4976" s="13"/>
      <c r="E4976" s="13"/>
      <c r="F4976" s="13"/>
      <c r="G4976" s="13"/>
      <c r="H4976" s="13"/>
      <c r="I4976" s="10"/>
      <c r="J4976" s="11"/>
      <c r="K4976" s="6"/>
      <c r="L4976" s="13"/>
    </row>
    <row r="4977" spans="1:12" hidden="1" x14ac:dyDescent="0.25">
      <c r="A4977" s="6"/>
      <c r="B4977" s="6"/>
      <c r="C4977" s="11"/>
      <c r="D4977" s="13"/>
      <c r="E4977" s="13"/>
      <c r="F4977" s="13"/>
      <c r="G4977" s="13"/>
      <c r="H4977" s="13"/>
      <c r="I4977" s="10"/>
      <c r="J4977" s="11"/>
      <c r="K4977" s="6"/>
      <c r="L4977" s="13"/>
    </row>
    <row r="4978" spans="1:12" hidden="1" x14ac:dyDescent="0.25">
      <c r="A4978" s="6"/>
      <c r="B4978" s="6"/>
      <c r="C4978" s="11"/>
      <c r="D4978" s="13"/>
      <c r="E4978" s="13"/>
      <c r="F4978" s="13"/>
      <c r="G4978" s="13"/>
      <c r="H4978" s="13"/>
      <c r="I4978" s="10"/>
      <c r="J4978" s="11"/>
      <c r="K4978" s="6"/>
      <c r="L4978" s="13"/>
    </row>
    <row r="4979" spans="1:12" hidden="1" x14ac:dyDescent="0.25">
      <c r="A4979" s="6"/>
      <c r="B4979" s="6"/>
      <c r="C4979" s="11"/>
      <c r="D4979" s="13"/>
      <c r="E4979" s="13"/>
      <c r="F4979" s="13"/>
      <c r="G4979" s="13"/>
      <c r="H4979" s="13"/>
      <c r="I4979" s="10"/>
      <c r="J4979" s="11"/>
      <c r="K4979" s="6"/>
      <c r="L4979" s="13"/>
    </row>
    <row r="4980" spans="1:12" hidden="1" x14ac:dyDescent="0.25">
      <c r="A4980" s="6"/>
      <c r="B4980" s="6"/>
      <c r="C4980" s="11"/>
      <c r="D4980" s="13"/>
      <c r="E4980" s="13"/>
      <c r="F4980" s="13"/>
      <c r="G4980" s="13"/>
      <c r="H4980" s="13"/>
      <c r="I4980" s="10"/>
      <c r="J4980" s="11"/>
      <c r="K4980" s="6"/>
      <c r="L4980" s="13"/>
    </row>
    <row r="4981" spans="1:12" hidden="1" x14ac:dyDescent="0.25">
      <c r="A4981" s="6"/>
      <c r="B4981" s="6"/>
      <c r="C4981" s="11"/>
      <c r="D4981" s="13"/>
      <c r="E4981" s="13"/>
      <c r="F4981" s="13"/>
      <c r="G4981" s="13"/>
      <c r="H4981" s="13"/>
      <c r="I4981" s="10"/>
      <c r="J4981" s="11"/>
      <c r="K4981" s="6"/>
      <c r="L4981" s="13"/>
    </row>
    <row r="4982" spans="1:12" hidden="1" x14ac:dyDescent="0.25">
      <c r="A4982" s="6"/>
      <c r="B4982" s="6"/>
      <c r="C4982" s="11"/>
      <c r="D4982" s="13"/>
      <c r="E4982" s="13"/>
      <c r="F4982" s="13"/>
      <c r="G4982" s="13"/>
      <c r="H4982" s="13"/>
      <c r="I4982" s="10"/>
      <c r="J4982" s="11"/>
      <c r="K4982" s="6"/>
      <c r="L4982" s="13"/>
    </row>
    <row r="4983" spans="1:12" hidden="1" x14ac:dyDescent="0.25">
      <c r="A4983" s="6"/>
      <c r="B4983" s="6"/>
      <c r="C4983" s="11"/>
      <c r="D4983" s="13"/>
      <c r="E4983" s="13"/>
      <c r="F4983" s="13"/>
      <c r="G4983" s="13"/>
      <c r="H4983" s="13"/>
      <c r="I4983" s="10"/>
      <c r="J4983" s="11"/>
      <c r="K4983" s="6"/>
      <c r="L4983" s="13"/>
    </row>
    <row r="4984" spans="1:12" hidden="1" x14ac:dyDescent="0.25">
      <c r="A4984" s="6"/>
      <c r="B4984" s="6"/>
      <c r="C4984" s="11"/>
      <c r="D4984" s="13"/>
      <c r="E4984" s="13"/>
      <c r="F4984" s="13"/>
      <c r="G4984" s="13"/>
      <c r="H4984" s="13"/>
      <c r="I4984" s="10"/>
      <c r="J4984" s="11"/>
      <c r="K4984" s="6"/>
      <c r="L4984" s="13"/>
    </row>
    <row r="4985" spans="1:12" hidden="1" x14ac:dyDescent="0.25">
      <c r="A4985" s="6"/>
      <c r="B4985" s="6"/>
      <c r="C4985" s="11"/>
      <c r="D4985" s="13"/>
      <c r="E4985" s="13"/>
      <c r="F4985" s="13"/>
      <c r="G4985" s="13"/>
      <c r="H4985" s="13"/>
      <c r="I4985" s="10"/>
      <c r="J4985" s="11"/>
      <c r="K4985" s="6"/>
      <c r="L4985" s="13"/>
    </row>
    <row r="4986" spans="1:12" hidden="1" x14ac:dyDescent="0.25">
      <c r="A4986" s="6"/>
      <c r="B4986" s="6"/>
      <c r="C4986" s="11"/>
      <c r="D4986" s="13"/>
      <c r="E4986" s="13"/>
      <c r="F4986" s="13"/>
      <c r="G4986" s="13"/>
      <c r="H4986" s="13"/>
      <c r="I4986" s="10"/>
      <c r="J4986" s="11"/>
      <c r="K4986" s="6"/>
      <c r="L4986" s="13"/>
    </row>
    <row r="4987" spans="1:12" hidden="1" x14ac:dyDescent="0.25">
      <c r="A4987" s="6"/>
      <c r="B4987" s="6"/>
      <c r="C4987" s="11"/>
      <c r="D4987" s="13"/>
      <c r="E4987" s="13"/>
      <c r="F4987" s="13"/>
      <c r="G4987" s="13"/>
      <c r="H4987" s="13"/>
      <c r="I4987" s="10"/>
      <c r="J4987" s="11"/>
      <c r="K4987" s="6"/>
      <c r="L4987" s="13"/>
    </row>
    <row r="4988" spans="1:12" hidden="1" x14ac:dyDescent="0.25">
      <c r="A4988" s="6"/>
      <c r="B4988" s="6"/>
      <c r="C4988" s="11"/>
      <c r="D4988" s="13"/>
      <c r="E4988" s="13"/>
      <c r="F4988" s="13"/>
      <c r="G4988" s="13"/>
      <c r="H4988" s="13"/>
      <c r="I4988" s="10"/>
      <c r="J4988" s="11"/>
      <c r="K4988" s="6"/>
      <c r="L4988" s="13"/>
    </row>
    <row r="4989" spans="1:12" hidden="1" x14ac:dyDescent="0.25">
      <c r="A4989" s="6"/>
      <c r="B4989" s="6"/>
      <c r="C4989" s="11"/>
      <c r="D4989" s="13"/>
      <c r="E4989" s="13"/>
      <c r="F4989" s="13"/>
      <c r="G4989" s="13"/>
      <c r="H4989" s="13"/>
      <c r="I4989" s="10"/>
      <c r="J4989" s="11"/>
      <c r="K4989" s="6"/>
      <c r="L4989" s="13"/>
    </row>
    <row r="4990" spans="1:12" hidden="1" x14ac:dyDescent="0.25">
      <c r="A4990" s="6"/>
      <c r="B4990" s="6"/>
      <c r="C4990" s="11"/>
      <c r="D4990" s="13"/>
      <c r="E4990" s="13"/>
      <c r="F4990" s="13"/>
      <c r="G4990" s="13"/>
      <c r="H4990" s="13"/>
      <c r="I4990" s="10"/>
      <c r="J4990" s="11"/>
      <c r="K4990" s="6"/>
      <c r="L4990" s="13"/>
    </row>
    <row r="4991" spans="1:12" hidden="1" x14ac:dyDescent="0.25">
      <c r="A4991" s="6"/>
      <c r="B4991" s="6"/>
      <c r="C4991" s="11"/>
      <c r="D4991" s="13"/>
      <c r="E4991" s="13"/>
      <c r="F4991" s="13"/>
      <c r="G4991" s="13"/>
      <c r="H4991" s="13"/>
      <c r="I4991" s="10"/>
      <c r="J4991" s="11"/>
      <c r="K4991" s="6"/>
      <c r="L4991" s="13"/>
    </row>
    <row r="4992" spans="1:12" hidden="1" x14ac:dyDescent="0.25">
      <c r="A4992" s="6"/>
      <c r="B4992" s="6"/>
      <c r="C4992" s="11"/>
      <c r="D4992" s="13"/>
      <c r="E4992" s="13"/>
      <c r="F4992" s="13"/>
      <c r="G4992" s="13"/>
      <c r="H4992" s="13"/>
      <c r="I4992" s="10"/>
      <c r="J4992" s="11"/>
      <c r="K4992" s="6"/>
      <c r="L4992" s="13"/>
    </row>
    <row r="4993" spans="1:12" hidden="1" x14ac:dyDescent="0.25">
      <c r="A4993" s="6"/>
      <c r="B4993" s="6"/>
      <c r="C4993" s="11"/>
      <c r="D4993" s="13"/>
      <c r="E4993" s="13"/>
      <c r="F4993" s="13"/>
      <c r="G4993" s="13"/>
      <c r="H4993" s="13"/>
      <c r="I4993" s="10"/>
      <c r="J4993" s="11"/>
      <c r="K4993" s="6"/>
      <c r="L4993" s="13"/>
    </row>
    <row r="4994" spans="1:12" hidden="1" x14ac:dyDescent="0.25">
      <c r="A4994" s="6"/>
      <c r="B4994" s="6"/>
      <c r="C4994" s="11"/>
      <c r="D4994" s="13"/>
      <c r="E4994" s="13"/>
      <c r="F4994" s="13"/>
      <c r="G4994" s="13"/>
      <c r="H4994" s="13"/>
      <c r="I4994" s="10"/>
      <c r="J4994" s="11"/>
      <c r="K4994" s="6"/>
      <c r="L4994" s="13"/>
    </row>
    <row r="4995" spans="1:12" hidden="1" x14ac:dyDescent="0.25">
      <c r="A4995" s="6"/>
      <c r="B4995" s="6"/>
      <c r="C4995" s="11"/>
      <c r="D4995" s="13"/>
      <c r="E4995" s="13"/>
      <c r="F4995" s="13"/>
      <c r="G4995" s="13"/>
      <c r="H4995" s="13"/>
      <c r="I4995" s="10"/>
      <c r="J4995" s="11"/>
      <c r="K4995" s="6"/>
      <c r="L4995" s="13"/>
    </row>
    <row r="4996" spans="1:12" hidden="1" x14ac:dyDescent="0.25">
      <c r="A4996" s="6"/>
      <c r="B4996" s="6"/>
      <c r="C4996" s="11"/>
      <c r="D4996" s="13"/>
      <c r="E4996" s="13"/>
      <c r="F4996" s="13"/>
      <c r="G4996" s="13"/>
      <c r="H4996" s="13"/>
      <c r="I4996" s="10"/>
      <c r="J4996" s="11"/>
      <c r="K4996" s="6"/>
      <c r="L4996" s="13"/>
    </row>
    <row r="4997" spans="1:12" hidden="1" x14ac:dyDescent="0.25">
      <c r="A4997" s="6"/>
      <c r="B4997" s="6"/>
      <c r="C4997" s="11"/>
      <c r="D4997" s="13"/>
      <c r="E4997" s="13"/>
      <c r="F4997" s="13"/>
      <c r="G4997" s="13"/>
      <c r="H4997" s="13"/>
      <c r="I4997" s="10"/>
      <c r="J4997" s="11"/>
      <c r="K4997" s="6"/>
      <c r="L4997" s="13"/>
    </row>
    <row r="4998" spans="1:12" hidden="1" x14ac:dyDescent="0.25">
      <c r="A4998" s="6"/>
      <c r="B4998" s="6"/>
      <c r="C4998" s="11"/>
      <c r="D4998" s="13"/>
      <c r="E4998" s="13"/>
      <c r="F4998" s="13"/>
      <c r="G4998" s="13"/>
      <c r="H4998" s="13"/>
      <c r="I4998" s="10"/>
      <c r="J4998" s="11"/>
      <c r="K4998" s="6"/>
      <c r="L4998" s="13"/>
    </row>
    <row r="4999" spans="1:12" hidden="1" x14ac:dyDescent="0.25">
      <c r="A4999" s="6"/>
      <c r="B4999" s="6"/>
      <c r="C4999" s="11"/>
      <c r="D4999" s="13"/>
      <c r="E4999" s="13"/>
      <c r="F4999" s="13"/>
      <c r="G4999" s="13"/>
      <c r="H4999" s="13"/>
      <c r="I4999" s="10"/>
      <c r="J4999" s="11"/>
      <c r="K4999" s="6"/>
      <c r="L4999" s="13"/>
    </row>
    <row r="5000" spans="1:12" hidden="1" x14ac:dyDescent="0.25">
      <c r="A5000" s="6"/>
      <c r="B5000" s="6"/>
      <c r="C5000" s="11"/>
      <c r="D5000" s="13"/>
      <c r="E5000" s="13"/>
      <c r="F5000" s="13"/>
      <c r="G5000" s="13"/>
      <c r="H5000" s="13"/>
      <c r="I5000" s="10"/>
      <c r="J5000" s="11"/>
      <c r="K5000" s="6"/>
      <c r="L5000" s="13"/>
    </row>
    <row r="5001" spans="1:12" hidden="1" x14ac:dyDescent="0.25">
      <c r="A5001" s="6"/>
      <c r="B5001" s="6"/>
      <c r="C5001" s="11"/>
      <c r="D5001" s="13"/>
      <c r="E5001" s="13"/>
      <c r="F5001" s="13"/>
      <c r="G5001" s="13"/>
      <c r="H5001" s="13"/>
      <c r="I5001" s="10"/>
      <c r="J5001" s="11"/>
      <c r="K5001" s="6"/>
      <c r="L5001" s="13"/>
    </row>
    <row r="5002" spans="1:12" hidden="1" x14ac:dyDescent="0.25">
      <c r="A5002" s="6"/>
      <c r="B5002" s="6"/>
      <c r="C5002" s="11"/>
      <c r="D5002" s="13"/>
      <c r="E5002" s="13"/>
      <c r="F5002" s="13"/>
      <c r="G5002" s="13"/>
      <c r="H5002" s="13"/>
      <c r="I5002" s="10"/>
      <c r="J5002" s="11"/>
      <c r="K5002" s="6"/>
      <c r="L5002" s="13"/>
    </row>
    <row r="5003" spans="1:12" hidden="1" x14ac:dyDescent="0.25">
      <c r="A5003" s="6"/>
      <c r="B5003" s="6"/>
      <c r="C5003" s="11"/>
      <c r="D5003" s="13"/>
      <c r="E5003" s="13"/>
      <c r="F5003" s="13"/>
      <c r="G5003" s="13"/>
      <c r="H5003" s="13"/>
      <c r="I5003" s="10"/>
      <c r="J5003" s="11"/>
      <c r="K5003" s="6"/>
      <c r="L5003" s="13"/>
    </row>
    <row r="5004" spans="1:12" hidden="1" x14ac:dyDescent="0.25">
      <c r="A5004" s="6"/>
      <c r="B5004" s="6"/>
      <c r="C5004" s="11"/>
      <c r="D5004" s="13"/>
      <c r="E5004" s="13"/>
      <c r="F5004" s="13"/>
      <c r="G5004" s="13"/>
      <c r="H5004" s="13"/>
      <c r="I5004" s="10"/>
      <c r="J5004" s="11"/>
      <c r="K5004" s="6"/>
      <c r="L5004" s="13"/>
    </row>
    <row r="5005" spans="1:12" hidden="1" x14ac:dyDescent="0.25">
      <c r="A5005" s="6"/>
      <c r="B5005" s="6"/>
      <c r="C5005" s="11"/>
      <c r="D5005" s="13"/>
      <c r="E5005" s="13"/>
      <c r="F5005" s="13"/>
      <c r="G5005" s="13"/>
      <c r="H5005" s="13"/>
      <c r="I5005" s="10"/>
      <c r="J5005" s="11"/>
      <c r="K5005" s="6"/>
      <c r="L5005" s="13"/>
    </row>
    <row r="5006" spans="1:12" hidden="1" x14ac:dyDescent="0.25">
      <c r="A5006" s="6"/>
      <c r="B5006" s="6"/>
      <c r="C5006" s="11"/>
      <c r="D5006" s="13"/>
      <c r="E5006" s="13"/>
      <c r="F5006" s="13"/>
      <c r="G5006" s="13"/>
      <c r="H5006" s="13"/>
      <c r="I5006" s="10"/>
      <c r="J5006" s="11"/>
      <c r="K5006" s="6"/>
      <c r="L5006" s="13"/>
    </row>
    <row r="5007" spans="1:12" hidden="1" x14ac:dyDescent="0.25">
      <c r="A5007" s="6"/>
      <c r="B5007" s="6"/>
      <c r="C5007" s="11"/>
      <c r="D5007" s="13"/>
      <c r="E5007" s="13"/>
      <c r="F5007" s="13"/>
      <c r="G5007" s="13"/>
      <c r="H5007" s="13"/>
      <c r="I5007" s="10"/>
      <c r="J5007" s="11"/>
      <c r="K5007" s="6"/>
      <c r="L5007" s="13"/>
    </row>
    <row r="5008" spans="1:12" hidden="1" x14ac:dyDescent="0.25">
      <c r="A5008" s="6"/>
      <c r="B5008" s="6"/>
      <c r="C5008" s="11"/>
      <c r="D5008" s="13"/>
      <c r="E5008" s="13"/>
      <c r="F5008" s="13"/>
      <c r="G5008" s="13"/>
      <c r="H5008" s="13"/>
      <c r="I5008" s="10"/>
      <c r="J5008" s="11"/>
      <c r="K5008" s="6"/>
      <c r="L5008" s="13"/>
    </row>
    <row r="5009" spans="1:12" hidden="1" x14ac:dyDescent="0.25">
      <c r="A5009" s="6"/>
      <c r="B5009" s="6"/>
      <c r="C5009" s="11"/>
      <c r="D5009" s="13"/>
      <c r="E5009" s="13"/>
      <c r="F5009" s="13"/>
      <c r="G5009" s="13"/>
      <c r="H5009" s="13"/>
      <c r="I5009" s="10"/>
      <c r="J5009" s="11"/>
      <c r="K5009" s="6"/>
      <c r="L5009" s="13"/>
    </row>
    <row r="5010" spans="1:12" hidden="1" x14ac:dyDescent="0.25">
      <c r="A5010" s="6"/>
      <c r="B5010" s="6"/>
      <c r="C5010" s="11"/>
      <c r="D5010" s="13"/>
      <c r="E5010" s="13"/>
      <c r="F5010" s="13"/>
      <c r="G5010" s="13"/>
      <c r="H5010" s="13"/>
      <c r="I5010" s="10"/>
      <c r="J5010" s="11"/>
      <c r="K5010" s="6"/>
      <c r="L5010" s="13"/>
    </row>
    <row r="5011" spans="1:12" hidden="1" x14ac:dyDescent="0.25">
      <c r="A5011" s="6"/>
      <c r="B5011" s="6"/>
      <c r="C5011" s="11"/>
      <c r="D5011" s="13"/>
      <c r="E5011" s="13"/>
      <c r="F5011" s="13"/>
      <c r="G5011" s="13"/>
      <c r="H5011" s="13"/>
      <c r="I5011" s="10"/>
      <c r="J5011" s="11"/>
      <c r="K5011" s="6"/>
      <c r="L5011" s="13"/>
    </row>
    <row r="5012" spans="1:12" hidden="1" x14ac:dyDescent="0.25">
      <c r="A5012" s="6"/>
      <c r="B5012" s="6"/>
      <c r="C5012" s="11"/>
      <c r="D5012" s="13"/>
      <c r="E5012" s="13"/>
      <c r="F5012" s="13"/>
      <c r="G5012" s="13"/>
      <c r="H5012" s="13"/>
      <c r="I5012" s="10"/>
      <c r="J5012" s="11"/>
      <c r="K5012" s="6"/>
      <c r="L5012" s="13"/>
    </row>
    <row r="5013" spans="1:12" hidden="1" x14ac:dyDescent="0.25">
      <c r="A5013" s="6"/>
      <c r="B5013" s="6"/>
      <c r="C5013" s="11"/>
      <c r="D5013" s="13"/>
      <c r="E5013" s="13"/>
      <c r="F5013" s="13"/>
      <c r="G5013" s="13"/>
      <c r="H5013" s="13"/>
      <c r="I5013" s="10"/>
      <c r="J5013" s="11"/>
      <c r="K5013" s="6"/>
      <c r="L5013" s="13"/>
    </row>
    <row r="5014" spans="1:12" hidden="1" x14ac:dyDescent="0.25">
      <c r="A5014" s="6"/>
      <c r="B5014" s="6"/>
      <c r="C5014" s="11"/>
      <c r="D5014" s="13"/>
      <c r="E5014" s="13"/>
      <c r="F5014" s="13"/>
      <c r="G5014" s="13"/>
      <c r="H5014" s="13"/>
      <c r="I5014" s="10"/>
      <c r="J5014" s="11"/>
      <c r="K5014" s="6"/>
      <c r="L5014" s="13"/>
    </row>
    <row r="5015" spans="1:12" hidden="1" x14ac:dyDescent="0.25">
      <c r="A5015" s="6"/>
      <c r="B5015" s="6"/>
      <c r="C5015" s="11"/>
      <c r="D5015" s="13"/>
      <c r="E5015" s="13"/>
      <c r="F5015" s="13"/>
      <c r="G5015" s="13"/>
      <c r="H5015" s="13"/>
      <c r="I5015" s="10"/>
      <c r="J5015" s="11"/>
      <c r="K5015" s="6"/>
      <c r="L5015" s="13"/>
    </row>
    <row r="5016" spans="1:12" hidden="1" x14ac:dyDescent="0.25">
      <c r="A5016" s="6"/>
      <c r="B5016" s="6"/>
      <c r="C5016" s="11"/>
      <c r="D5016" s="13"/>
      <c r="E5016" s="13"/>
      <c r="F5016" s="13"/>
      <c r="G5016" s="13"/>
      <c r="H5016" s="13"/>
      <c r="I5016" s="10"/>
      <c r="J5016" s="11"/>
      <c r="K5016" s="6"/>
      <c r="L5016" s="13"/>
    </row>
    <row r="5017" spans="1:12" hidden="1" x14ac:dyDescent="0.25">
      <c r="A5017" s="6"/>
      <c r="B5017" s="6"/>
      <c r="C5017" s="11"/>
      <c r="D5017" s="13"/>
      <c r="E5017" s="13"/>
      <c r="F5017" s="13"/>
      <c r="G5017" s="13"/>
      <c r="H5017" s="13"/>
      <c r="I5017" s="10"/>
      <c r="J5017" s="11"/>
      <c r="K5017" s="6"/>
      <c r="L5017" s="13"/>
    </row>
    <row r="5018" spans="1:12" hidden="1" x14ac:dyDescent="0.25">
      <c r="A5018" s="6"/>
      <c r="B5018" s="6"/>
      <c r="C5018" s="11"/>
      <c r="D5018" s="13"/>
      <c r="E5018" s="13"/>
      <c r="F5018" s="13"/>
      <c r="G5018" s="13"/>
      <c r="H5018" s="13"/>
      <c r="I5018" s="10"/>
      <c r="J5018" s="11"/>
      <c r="K5018" s="6"/>
      <c r="L5018" s="13"/>
    </row>
    <row r="5019" spans="1:12" hidden="1" x14ac:dyDescent="0.25">
      <c r="A5019" s="6"/>
      <c r="B5019" s="6"/>
      <c r="C5019" s="11"/>
      <c r="D5019" s="13"/>
      <c r="E5019" s="13"/>
      <c r="F5019" s="13"/>
      <c r="G5019" s="13"/>
      <c r="H5019" s="13"/>
      <c r="I5019" s="10"/>
      <c r="J5019" s="11"/>
      <c r="K5019" s="6"/>
      <c r="L5019" s="13"/>
    </row>
    <row r="5020" spans="1:12" hidden="1" x14ac:dyDescent="0.25">
      <c r="A5020" s="6"/>
      <c r="B5020" s="6"/>
      <c r="C5020" s="11"/>
      <c r="D5020" s="13"/>
      <c r="E5020" s="13"/>
      <c r="F5020" s="13"/>
      <c r="G5020" s="13"/>
      <c r="H5020" s="13"/>
      <c r="I5020" s="10"/>
      <c r="J5020" s="11"/>
      <c r="K5020" s="6"/>
      <c r="L5020" s="13"/>
    </row>
    <row r="5021" spans="1:12" hidden="1" x14ac:dyDescent="0.25">
      <c r="A5021" s="6"/>
      <c r="B5021" s="6"/>
      <c r="C5021" s="11"/>
      <c r="D5021" s="13"/>
      <c r="E5021" s="13"/>
      <c r="F5021" s="13"/>
      <c r="G5021" s="13"/>
      <c r="H5021" s="13"/>
      <c r="I5021" s="10"/>
      <c r="J5021" s="11"/>
      <c r="K5021" s="6"/>
      <c r="L5021" s="13"/>
    </row>
    <row r="5022" spans="1:12" hidden="1" x14ac:dyDescent="0.25">
      <c r="A5022" s="6"/>
      <c r="B5022" s="6"/>
      <c r="C5022" s="11"/>
      <c r="D5022" s="13"/>
      <c r="E5022" s="13"/>
      <c r="F5022" s="13"/>
      <c r="G5022" s="13"/>
      <c r="H5022" s="13"/>
      <c r="I5022" s="10"/>
      <c r="J5022" s="11"/>
      <c r="K5022" s="6"/>
      <c r="L5022" s="13"/>
    </row>
    <row r="5023" spans="1:12" hidden="1" x14ac:dyDescent="0.25">
      <c r="A5023" s="6"/>
      <c r="B5023" s="6"/>
      <c r="C5023" s="11"/>
      <c r="D5023" s="13"/>
      <c r="E5023" s="13"/>
      <c r="F5023" s="13"/>
      <c r="G5023" s="13"/>
      <c r="H5023" s="13"/>
      <c r="I5023" s="10"/>
      <c r="J5023" s="11"/>
      <c r="K5023" s="6"/>
      <c r="L5023" s="13"/>
    </row>
    <row r="5024" spans="1:12" hidden="1" x14ac:dyDescent="0.25">
      <c r="A5024" s="6"/>
      <c r="B5024" s="6"/>
      <c r="C5024" s="11"/>
      <c r="D5024" s="13"/>
      <c r="E5024" s="13"/>
      <c r="F5024" s="13"/>
      <c r="G5024" s="13"/>
      <c r="H5024" s="13"/>
      <c r="I5024" s="10"/>
      <c r="J5024" s="11"/>
      <c r="K5024" s="6"/>
      <c r="L5024" s="13"/>
    </row>
    <row r="5025" spans="1:12" hidden="1" x14ac:dyDescent="0.25">
      <c r="A5025" s="6"/>
      <c r="B5025" s="6"/>
      <c r="C5025" s="11"/>
      <c r="D5025" s="13"/>
      <c r="E5025" s="13"/>
      <c r="F5025" s="13"/>
      <c r="G5025" s="13"/>
      <c r="H5025" s="13"/>
      <c r="I5025" s="10"/>
      <c r="J5025" s="11"/>
      <c r="K5025" s="6"/>
      <c r="L5025" s="13"/>
    </row>
    <row r="5026" spans="1:12" hidden="1" x14ac:dyDescent="0.25">
      <c r="A5026" s="6"/>
      <c r="B5026" s="6"/>
      <c r="C5026" s="11"/>
      <c r="D5026" s="13"/>
      <c r="E5026" s="13"/>
      <c r="F5026" s="13"/>
      <c r="G5026" s="13"/>
      <c r="H5026" s="13"/>
      <c r="I5026" s="10"/>
      <c r="J5026" s="11"/>
      <c r="K5026" s="6"/>
      <c r="L5026" s="13"/>
    </row>
    <row r="5027" spans="1:12" hidden="1" x14ac:dyDescent="0.25">
      <c r="A5027" s="6"/>
      <c r="B5027" s="6"/>
      <c r="C5027" s="11"/>
      <c r="D5027" s="13"/>
      <c r="E5027" s="13"/>
      <c r="F5027" s="13"/>
      <c r="G5027" s="13"/>
      <c r="H5027" s="13"/>
      <c r="I5027" s="10"/>
      <c r="J5027" s="11"/>
      <c r="K5027" s="6"/>
      <c r="L5027" s="13"/>
    </row>
    <row r="5028" spans="1:12" hidden="1" x14ac:dyDescent="0.25">
      <c r="A5028" s="6"/>
      <c r="B5028" s="6"/>
      <c r="C5028" s="11"/>
      <c r="D5028" s="13"/>
      <c r="E5028" s="13"/>
      <c r="F5028" s="13"/>
      <c r="G5028" s="13"/>
      <c r="H5028" s="13"/>
      <c r="I5028" s="10"/>
      <c r="J5028" s="11"/>
      <c r="K5028" s="6"/>
      <c r="L5028" s="13"/>
    </row>
    <row r="5029" spans="1:12" hidden="1" x14ac:dyDescent="0.25">
      <c r="A5029" s="6"/>
      <c r="B5029" s="6"/>
      <c r="C5029" s="11"/>
      <c r="D5029" s="13"/>
      <c r="E5029" s="13"/>
      <c r="F5029" s="13"/>
      <c r="G5029" s="13"/>
      <c r="H5029" s="13"/>
      <c r="I5029" s="10"/>
      <c r="J5029" s="11"/>
      <c r="K5029" s="6"/>
      <c r="L5029" s="13"/>
    </row>
    <row r="5030" spans="1:12" hidden="1" x14ac:dyDescent="0.25">
      <c r="A5030" s="6"/>
      <c r="B5030" s="6"/>
      <c r="C5030" s="11"/>
      <c r="D5030" s="13"/>
      <c r="E5030" s="13"/>
      <c r="F5030" s="13"/>
      <c r="G5030" s="13"/>
      <c r="H5030" s="13"/>
      <c r="I5030" s="10"/>
      <c r="J5030" s="11"/>
      <c r="K5030" s="6"/>
      <c r="L5030" s="13"/>
    </row>
    <row r="5031" spans="1:12" hidden="1" x14ac:dyDescent="0.25">
      <c r="A5031" s="6"/>
      <c r="B5031" s="6"/>
      <c r="C5031" s="11"/>
      <c r="D5031" s="13"/>
      <c r="E5031" s="13"/>
      <c r="F5031" s="13"/>
      <c r="G5031" s="13"/>
      <c r="H5031" s="13"/>
      <c r="I5031" s="10"/>
      <c r="J5031" s="11"/>
      <c r="K5031" s="6"/>
      <c r="L5031" s="13"/>
    </row>
    <row r="5032" spans="1:12" hidden="1" x14ac:dyDescent="0.25">
      <c r="A5032" s="6"/>
      <c r="B5032" s="6"/>
      <c r="C5032" s="11"/>
      <c r="D5032" s="13"/>
      <c r="E5032" s="13"/>
      <c r="F5032" s="13"/>
      <c r="G5032" s="13"/>
      <c r="H5032" s="13"/>
      <c r="I5032" s="10"/>
      <c r="J5032" s="11"/>
      <c r="K5032" s="6"/>
      <c r="L5032" s="13"/>
    </row>
    <row r="5033" spans="1:12" hidden="1" x14ac:dyDescent="0.25">
      <c r="A5033" s="6"/>
      <c r="B5033" s="6"/>
      <c r="C5033" s="11"/>
      <c r="D5033" s="13"/>
      <c r="E5033" s="13"/>
      <c r="F5033" s="13"/>
      <c r="G5033" s="13"/>
      <c r="H5033" s="13"/>
      <c r="I5033" s="10"/>
      <c r="J5033" s="11"/>
      <c r="K5033" s="6"/>
      <c r="L5033" s="13"/>
    </row>
    <row r="5034" spans="1:12" hidden="1" x14ac:dyDescent="0.25">
      <c r="A5034" s="6"/>
      <c r="B5034" s="6"/>
      <c r="C5034" s="11"/>
      <c r="D5034" s="13"/>
      <c r="E5034" s="13"/>
      <c r="F5034" s="13"/>
      <c r="G5034" s="13"/>
      <c r="H5034" s="13"/>
      <c r="I5034" s="10"/>
      <c r="J5034" s="11"/>
      <c r="K5034" s="6"/>
      <c r="L5034" s="13"/>
    </row>
    <row r="5035" spans="1:12" hidden="1" x14ac:dyDescent="0.25">
      <c r="A5035" s="6"/>
      <c r="B5035" s="6"/>
      <c r="C5035" s="11"/>
      <c r="D5035" s="13"/>
      <c r="E5035" s="13"/>
      <c r="F5035" s="13"/>
      <c r="G5035" s="13"/>
      <c r="H5035" s="13"/>
      <c r="I5035" s="10"/>
      <c r="J5035" s="11"/>
      <c r="K5035" s="6"/>
      <c r="L5035" s="13"/>
    </row>
    <row r="5036" spans="1:12" hidden="1" x14ac:dyDescent="0.25">
      <c r="A5036" s="6"/>
      <c r="B5036" s="6"/>
      <c r="C5036" s="11"/>
      <c r="D5036" s="13"/>
      <c r="E5036" s="13"/>
      <c r="F5036" s="13"/>
      <c r="G5036" s="13"/>
      <c r="H5036" s="13"/>
      <c r="I5036" s="10"/>
      <c r="J5036" s="11"/>
      <c r="K5036" s="6"/>
      <c r="L5036" s="13"/>
    </row>
    <row r="5037" spans="1:12" hidden="1" x14ac:dyDescent="0.25">
      <c r="A5037" s="6"/>
      <c r="B5037" s="6"/>
      <c r="C5037" s="11"/>
      <c r="D5037" s="13"/>
      <c r="E5037" s="13"/>
      <c r="F5037" s="13"/>
      <c r="G5037" s="13"/>
      <c r="H5037" s="13"/>
      <c r="I5037" s="10"/>
      <c r="J5037" s="11"/>
      <c r="K5037" s="6"/>
      <c r="L5037" s="13"/>
    </row>
    <row r="5038" spans="1:12" hidden="1" x14ac:dyDescent="0.25">
      <c r="A5038" s="6"/>
      <c r="B5038" s="6"/>
      <c r="C5038" s="11"/>
      <c r="D5038" s="13"/>
      <c r="E5038" s="13"/>
      <c r="F5038" s="13"/>
      <c r="G5038" s="13"/>
      <c r="H5038" s="13"/>
      <c r="I5038" s="10"/>
      <c r="J5038" s="11"/>
      <c r="K5038" s="6"/>
      <c r="L5038" s="13"/>
    </row>
    <row r="5039" spans="1:12" hidden="1" x14ac:dyDescent="0.25">
      <c r="A5039" s="6"/>
      <c r="B5039" s="6"/>
      <c r="C5039" s="11"/>
      <c r="D5039" s="13"/>
      <c r="E5039" s="13"/>
      <c r="F5039" s="13"/>
      <c r="G5039" s="13"/>
      <c r="H5039" s="13"/>
      <c r="I5039" s="10"/>
      <c r="J5039" s="11"/>
      <c r="K5039" s="6"/>
      <c r="L5039" s="13"/>
    </row>
    <row r="5040" spans="1:12" hidden="1" x14ac:dyDescent="0.25">
      <c r="A5040" s="6"/>
      <c r="B5040" s="6"/>
      <c r="C5040" s="11"/>
      <c r="D5040" s="13"/>
      <c r="E5040" s="13"/>
      <c r="F5040" s="13"/>
      <c r="G5040" s="13"/>
      <c r="H5040" s="13"/>
      <c r="I5040" s="10"/>
      <c r="J5040" s="11"/>
      <c r="K5040" s="6"/>
      <c r="L5040" s="13"/>
    </row>
    <row r="5041" spans="1:12" hidden="1" x14ac:dyDescent="0.25">
      <c r="A5041" s="6"/>
      <c r="B5041" s="6"/>
      <c r="C5041" s="11"/>
      <c r="D5041" s="13"/>
      <c r="E5041" s="13"/>
      <c r="F5041" s="13"/>
      <c r="G5041" s="13"/>
      <c r="H5041" s="13"/>
      <c r="I5041" s="10"/>
      <c r="J5041" s="11"/>
      <c r="K5041" s="6"/>
      <c r="L5041" s="13"/>
    </row>
    <row r="5042" spans="1:12" hidden="1" x14ac:dyDescent="0.25">
      <c r="A5042" s="6"/>
      <c r="B5042" s="6"/>
      <c r="C5042" s="11"/>
      <c r="D5042" s="13"/>
      <c r="E5042" s="13"/>
      <c r="F5042" s="13"/>
      <c r="G5042" s="13"/>
      <c r="H5042" s="13"/>
      <c r="I5042" s="10"/>
      <c r="J5042" s="11"/>
      <c r="K5042" s="6"/>
      <c r="L5042" s="13"/>
    </row>
    <row r="5043" spans="1:12" hidden="1" x14ac:dyDescent="0.25">
      <c r="A5043" s="6"/>
      <c r="B5043" s="6"/>
      <c r="C5043" s="11"/>
      <c r="D5043" s="13"/>
      <c r="E5043" s="13"/>
      <c r="F5043" s="13"/>
      <c r="G5043" s="13"/>
      <c r="H5043" s="13"/>
      <c r="I5043" s="10"/>
      <c r="J5043" s="11"/>
      <c r="K5043" s="6"/>
      <c r="L5043" s="13"/>
    </row>
    <row r="5044" spans="1:12" hidden="1" x14ac:dyDescent="0.25">
      <c r="A5044" s="6"/>
      <c r="B5044" s="6"/>
      <c r="C5044" s="11"/>
      <c r="D5044" s="13"/>
      <c r="E5044" s="13"/>
      <c r="F5044" s="13"/>
      <c r="G5044" s="13"/>
      <c r="H5044" s="13"/>
      <c r="I5044" s="10"/>
      <c r="J5044" s="11"/>
      <c r="K5044" s="6"/>
      <c r="L5044" s="13"/>
    </row>
    <row r="5045" spans="1:12" hidden="1" x14ac:dyDescent="0.25">
      <c r="A5045" s="6"/>
      <c r="B5045" s="6"/>
      <c r="C5045" s="11"/>
      <c r="D5045" s="13"/>
      <c r="E5045" s="13"/>
      <c r="F5045" s="13"/>
      <c r="G5045" s="13"/>
      <c r="H5045" s="13"/>
      <c r="I5045" s="10"/>
      <c r="J5045" s="11"/>
      <c r="K5045" s="6"/>
      <c r="L5045" s="13"/>
    </row>
    <row r="5046" spans="1:12" hidden="1" x14ac:dyDescent="0.25">
      <c r="A5046" s="6"/>
      <c r="B5046" s="6"/>
      <c r="C5046" s="11"/>
      <c r="D5046" s="13"/>
      <c r="E5046" s="13"/>
      <c r="F5046" s="13"/>
      <c r="G5046" s="13"/>
      <c r="H5046" s="13"/>
      <c r="I5046" s="10"/>
      <c r="J5046" s="11"/>
      <c r="K5046" s="6"/>
      <c r="L5046" s="13"/>
    </row>
    <row r="5047" spans="1:12" hidden="1" x14ac:dyDescent="0.25">
      <c r="A5047" s="6"/>
      <c r="B5047" s="6"/>
      <c r="C5047" s="11"/>
      <c r="D5047" s="13"/>
      <c r="E5047" s="13"/>
      <c r="F5047" s="13"/>
      <c r="G5047" s="13"/>
      <c r="H5047" s="13"/>
      <c r="I5047" s="10"/>
      <c r="J5047" s="11"/>
      <c r="K5047" s="6"/>
      <c r="L5047" s="13"/>
    </row>
    <row r="5048" spans="1:12" hidden="1" x14ac:dyDescent="0.25">
      <c r="A5048" s="6"/>
      <c r="B5048" s="6"/>
      <c r="C5048" s="11"/>
      <c r="D5048" s="13"/>
      <c r="E5048" s="13"/>
      <c r="F5048" s="13"/>
      <c r="G5048" s="13"/>
      <c r="H5048" s="13"/>
      <c r="I5048" s="10"/>
      <c r="J5048" s="11"/>
      <c r="K5048" s="6"/>
      <c r="L5048" s="13"/>
    </row>
    <row r="5049" spans="1:12" hidden="1" x14ac:dyDescent="0.25">
      <c r="A5049" s="6"/>
      <c r="B5049" s="6"/>
      <c r="C5049" s="11"/>
      <c r="D5049" s="13"/>
      <c r="E5049" s="13"/>
      <c r="F5049" s="13"/>
      <c r="G5049" s="13"/>
      <c r="H5049" s="13"/>
      <c r="I5049" s="10"/>
      <c r="J5049" s="11"/>
      <c r="K5049" s="6"/>
      <c r="L5049" s="13"/>
    </row>
    <row r="5050" spans="1:12" hidden="1" x14ac:dyDescent="0.25">
      <c r="A5050" s="6"/>
      <c r="B5050" s="6"/>
      <c r="C5050" s="11"/>
      <c r="D5050" s="13"/>
      <c r="E5050" s="13"/>
      <c r="F5050" s="13"/>
      <c r="G5050" s="13"/>
      <c r="H5050" s="13"/>
      <c r="I5050" s="10"/>
      <c r="J5050" s="11"/>
      <c r="K5050" s="6"/>
      <c r="L5050" s="13"/>
    </row>
    <row r="5051" spans="1:12" hidden="1" x14ac:dyDescent="0.25">
      <c r="A5051" s="6"/>
      <c r="B5051" s="6"/>
      <c r="C5051" s="11"/>
      <c r="D5051" s="13"/>
      <c r="E5051" s="13"/>
      <c r="F5051" s="13"/>
      <c r="G5051" s="13"/>
      <c r="H5051" s="13"/>
      <c r="I5051" s="10"/>
      <c r="J5051" s="11"/>
      <c r="K5051" s="6"/>
      <c r="L5051" s="13"/>
    </row>
    <row r="5052" spans="1:12" hidden="1" x14ac:dyDescent="0.25">
      <c r="A5052" s="6"/>
      <c r="B5052" s="6"/>
      <c r="C5052" s="11"/>
      <c r="D5052" s="13"/>
      <c r="E5052" s="13"/>
      <c r="F5052" s="13"/>
      <c r="G5052" s="13"/>
      <c r="H5052" s="13"/>
      <c r="I5052" s="10"/>
      <c r="J5052" s="11"/>
      <c r="K5052" s="6"/>
      <c r="L5052" s="13"/>
    </row>
    <row r="5053" spans="1:12" hidden="1" x14ac:dyDescent="0.25">
      <c r="A5053" s="6"/>
      <c r="B5053" s="6"/>
      <c r="C5053" s="11"/>
      <c r="D5053" s="13"/>
      <c r="E5053" s="13"/>
      <c r="F5053" s="13"/>
      <c r="G5053" s="13"/>
      <c r="H5053" s="13"/>
      <c r="I5053" s="10"/>
      <c r="J5053" s="11"/>
      <c r="K5053" s="6"/>
      <c r="L5053" s="13"/>
    </row>
    <row r="5054" spans="1:12" hidden="1" x14ac:dyDescent="0.25">
      <c r="A5054" s="6"/>
      <c r="B5054" s="6"/>
      <c r="C5054" s="11"/>
      <c r="D5054" s="13"/>
      <c r="E5054" s="13"/>
      <c r="F5054" s="13"/>
      <c r="G5054" s="13"/>
      <c r="H5054" s="13"/>
      <c r="I5054" s="10"/>
      <c r="J5054" s="11"/>
      <c r="K5054" s="6"/>
      <c r="L5054" s="13"/>
    </row>
    <row r="5055" spans="1:12" hidden="1" x14ac:dyDescent="0.25">
      <c r="A5055" s="6"/>
      <c r="B5055" s="6"/>
      <c r="C5055" s="11"/>
      <c r="D5055" s="13"/>
      <c r="E5055" s="13"/>
      <c r="F5055" s="13"/>
      <c r="G5055" s="13"/>
      <c r="H5055" s="13"/>
      <c r="I5055" s="10"/>
      <c r="J5055" s="11"/>
      <c r="K5055" s="6"/>
      <c r="L5055" s="13"/>
    </row>
    <row r="5056" spans="1:12" hidden="1" x14ac:dyDescent="0.25">
      <c r="A5056" s="6"/>
      <c r="B5056" s="6"/>
      <c r="C5056" s="11"/>
      <c r="D5056" s="13"/>
      <c r="E5056" s="13"/>
      <c r="F5056" s="13"/>
      <c r="G5056" s="13"/>
      <c r="H5056" s="13"/>
      <c r="I5056" s="10"/>
      <c r="J5056" s="11"/>
      <c r="K5056" s="6"/>
      <c r="L5056" s="13"/>
    </row>
    <row r="5057" spans="1:12" hidden="1" x14ac:dyDescent="0.25">
      <c r="A5057" s="6"/>
      <c r="B5057" s="6"/>
      <c r="C5057" s="11"/>
      <c r="D5057" s="13"/>
      <c r="E5057" s="13"/>
      <c r="F5057" s="13"/>
      <c r="G5057" s="13"/>
      <c r="H5057" s="13"/>
      <c r="I5057" s="10"/>
      <c r="J5057" s="11"/>
      <c r="K5057" s="6"/>
      <c r="L5057" s="13"/>
    </row>
    <row r="5058" spans="1:12" hidden="1" x14ac:dyDescent="0.25">
      <c r="A5058" s="6"/>
      <c r="B5058" s="6"/>
      <c r="C5058" s="11"/>
      <c r="D5058" s="13"/>
      <c r="E5058" s="13"/>
      <c r="F5058" s="13"/>
      <c r="G5058" s="13"/>
      <c r="H5058" s="13"/>
      <c r="I5058" s="10"/>
      <c r="J5058" s="11"/>
      <c r="K5058" s="6"/>
      <c r="L5058" s="13"/>
    </row>
    <row r="5059" spans="1:12" hidden="1" x14ac:dyDescent="0.25">
      <c r="A5059" s="6"/>
      <c r="B5059" s="6"/>
      <c r="C5059" s="11"/>
      <c r="D5059" s="13"/>
      <c r="E5059" s="13"/>
      <c r="F5059" s="13"/>
      <c r="G5059" s="13"/>
      <c r="H5059" s="13"/>
      <c r="I5059" s="10"/>
      <c r="J5059" s="11"/>
      <c r="K5059" s="6"/>
      <c r="L5059" s="13"/>
    </row>
    <row r="5060" spans="1:12" hidden="1" x14ac:dyDescent="0.25">
      <c r="A5060" s="6"/>
      <c r="B5060" s="6"/>
      <c r="C5060" s="11"/>
      <c r="D5060" s="13"/>
      <c r="E5060" s="13"/>
      <c r="F5060" s="13"/>
      <c r="G5060" s="13"/>
      <c r="H5060" s="13"/>
      <c r="I5060" s="10"/>
      <c r="J5060" s="11"/>
      <c r="K5060" s="6"/>
      <c r="L5060" s="13"/>
    </row>
    <row r="5061" spans="1:12" hidden="1" x14ac:dyDescent="0.25">
      <c r="A5061" s="6"/>
      <c r="B5061" s="6"/>
      <c r="C5061" s="11"/>
      <c r="D5061" s="13"/>
      <c r="E5061" s="13"/>
      <c r="F5061" s="13"/>
      <c r="G5061" s="13"/>
      <c r="H5061" s="13"/>
      <c r="I5061" s="10"/>
      <c r="J5061" s="11"/>
      <c r="K5061" s="6"/>
      <c r="L5061" s="13"/>
    </row>
    <row r="5062" spans="1:12" hidden="1" x14ac:dyDescent="0.25">
      <c r="A5062" s="6"/>
      <c r="B5062" s="6"/>
      <c r="C5062" s="11"/>
      <c r="D5062" s="13"/>
      <c r="E5062" s="13"/>
      <c r="F5062" s="13"/>
      <c r="G5062" s="13"/>
      <c r="H5062" s="13"/>
      <c r="I5062" s="10"/>
      <c r="J5062" s="11"/>
      <c r="K5062" s="6"/>
      <c r="L5062" s="13"/>
    </row>
    <row r="5063" spans="1:12" hidden="1" x14ac:dyDescent="0.25">
      <c r="A5063" s="6"/>
      <c r="B5063" s="6"/>
      <c r="C5063" s="11"/>
      <c r="D5063" s="13"/>
      <c r="E5063" s="13"/>
      <c r="F5063" s="13"/>
      <c r="G5063" s="13"/>
      <c r="H5063" s="13"/>
      <c r="I5063" s="10"/>
      <c r="J5063" s="11"/>
      <c r="K5063" s="6"/>
      <c r="L5063" s="13"/>
    </row>
    <row r="5064" spans="1:12" hidden="1" x14ac:dyDescent="0.25">
      <c r="A5064" s="6"/>
      <c r="B5064" s="6"/>
      <c r="C5064" s="11"/>
      <c r="D5064" s="13"/>
      <c r="E5064" s="13"/>
      <c r="F5064" s="13"/>
      <c r="G5064" s="13"/>
      <c r="H5064" s="13"/>
      <c r="I5064" s="10"/>
      <c r="J5064" s="11"/>
      <c r="K5064" s="6"/>
      <c r="L5064" s="13"/>
    </row>
    <row r="5065" spans="1:12" hidden="1" x14ac:dyDescent="0.25">
      <c r="A5065" s="6"/>
      <c r="B5065" s="6"/>
      <c r="C5065" s="11"/>
      <c r="D5065" s="13"/>
      <c r="E5065" s="13"/>
      <c r="F5065" s="13"/>
      <c r="G5065" s="13"/>
      <c r="H5065" s="13"/>
      <c r="I5065" s="10"/>
      <c r="J5065" s="11"/>
      <c r="K5065" s="6"/>
      <c r="L5065" s="13"/>
    </row>
    <row r="5066" spans="1:12" hidden="1" x14ac:dyDescent="0.25">
      <c r="A5066" s="6"/>
      <c r="B5066" s="6"/>
      <c r="C5066" s="11"/>
      <c r="D5066" s="13"/>
      <c r="E5066" s="13"/>
      <c r="F5066" s="13"/>
      <c r="G5066" s="13"/>
      <c r="H5066" s="13"/>
      <c r="I5066" s="10"/>
      <c r="J5066" s="11"/>
      <c r="K5066" s="6"/>
      <c r="L5066" s="13"/>
    </row>
    <row r="5067" spans="1:12" hidden="1" x14ac:dyDescent="0.25">
      <c r="A5067" s="6"/>
      <c r="B5067" s="6"/>
      <c r="C5067" s="11"/>
      <c r="D5067" s="13"/>
      <c r="E5067" s="13"/>
      <c r="F5067" s="13"/>
      <c r="G5067" s="13"/>
      <c r="H5067" s="13"/>
      <c r="I5067" s="10"/>
      <c r="J5067" s="11"/>
      <c r="K5067" s="6"/>
      <c r="L5067" s="13"/>
    </row>
    <row r="5068" spans="1:12" hidden="1" x14ac:dyDescent="0.25">
      <c r="A5068" s="6"/>
      <c r="B5068" s="6"/>
      <c r="C5068" s="11"/>
      <c r="D5068" s="13"/>
      <c r="E5068" s="13"/>
      <c r="F5068" s="13"/>
      <c r="G5068" s="13"/>
      <c r="H5068" s="13"/>
      <c r="I5068" s="10"/>
      <c r="J5068" s="11"/>
      <c r="K5068" s="6"/>
      <c r="L5068" s="13"/>
    </row>
    <row r="5069" spans="1:12" hidden="1" x14ac:dyDescent="0.25">
      <c r="A5069" s="6"/>
      <c r="B5069" s="6"/>
      <c r="C5069" s="11"/>
      <c r="D5069" s="13"/>
      <c r="E5069" s="13"/>
      <c r="F5069" s="13"/>
      <c r="G5069" s="13"/>
      <c r="H5069" s="13"/>
      <c r="I5069" s="10"/>
      <c r="J5069" s="11"/>
      <c r="K5069" s="6"/>
      <c r="L5069" s="13"/>
    </row>
    <row r="5070" spans="1:12" hidden="1" x14ac:dyDescent="0.25">
      <c r="A5070" s="6"/>
      <c r="B5070" s="6"/>
      <c r="C5070" s="11"/>
      <c r="D5070" s="13"/>
      <c r="E5070" s="13"/>
      <c r="F5070" s="13"/>
      <c r="G5070" s="13"/>
      <c r="H5070" s="13"/>
      <c r="I5070" s="10"/>
      <c r="J5070" s="11"/>
      <c r="K5070" s="6"/>
      <c r="L5070" s="13"/>
    </row>
    <row r="5071" spans="1:12" hidden="1" x14ac:dyDescent="0.25">
      <c r="A5071" s="6"/>
      <c r="B5071" s="6"/>
      <c r="C5071" s="11"/>
      <c r="D5071" s="13"/>
      <c r="E5071" s="13"/>
      <c r="F5071" s="13"/>
      <c r="G5071" s="13"/>
      <c r="H5071" s="13"/>
      <c r="I5071" s="10"/>
      <c r="J5071" s="11"/>
      <c r="K5071" s="6"/>
      <c r="L5071" s="13"/>
    </row>
    <row r="5072" spans="1:12" hidden="1" x14ac:dyDescent="0.25">
      <c r="A5072" s="6"/>
      <c r="B5072" s="6"/>
      <c r="C5072" s="11"/>
      <c r="D5072" s="13"/>
      <c r="E5072" s="13"/>
      <c r="F5072" s="13"/>
      <c r="G5072" s="13"/>
      <c r="H5072" s="13"/>
      <c r="I5072" s="10"/>
      <c r="J5072" s="11"/>
      <c r="K5072" s="6"/>
      <c r="L5072" s="13"/>
    </row>
    <row r="5073" spans="1:12" hidden="1" x14ac:dyDescent="0.25">
      <c r="A5073" s="6"/>
      <c r="B5073" s="6"/>
      <c r="C5073" s="11"/>
      <c r="D5073" s="13"/>
      <c r="E5073" s="13"/>
      <c r="F5073" s="13"/>
      <c r="G5073" s="13"/>
      <c r="H5073" s="13"/>
      <c r="I5073" s="10"/>
      <c r="J5073" s="11"/>
      <c r="K5073" s="6"/>
      <c r="L5073" s="13"/>
    </row>
    <row r="5074" spans="1:12" hidden="1" x14ac:dyDescent="0.25">
      <c r="A5074" s="6"/>
      <c r="B5074" s="6"/>
      <c r="C5074" s="11"/>
      <c r="D5074" s="13"/>
      <c r="E5074" s="13"/>
      <c r="F5074" s="13"/>
      <c r="G5074" s="13"/>
      <c r="H5074" s="13"/>
      <c r="I5074" s="10"/>
      <c r="J5074" s="11"/>
      <c r="K5074" s="6"/>
      <c r="L5074" s="13"/>
    </row>
    <row r="5075" spans="1:12" hidden="1" x14ac:dyDescent="0.25">
      <c r="A5075" s="6"/>
      <c r="B5075" s="6"/>
      <c r="C5075" s="11"/>
      <c r="D5075" s="13"/>
      <c r="E5075" s="13"/>
      <c r="F5075" s="13"/>
      <c r="G5075" s="13"/>
      <c r="H5075" s="13"/>
      <c r="I5075" s="10"/>
      <c r="J5075" s="11"/>
      <c r="K5075" s="6"/>
      <c r="L5075" s="13"/>
    </row>
    <row r="5076" spans="1:12" hidden="1" x14ac:dyDescent="0.25">
      <c r="A5076" s="6"/>
      <c r="B5076" s="6"/>
      <c r="C5076" s="11"/>
      <c r="D5076" s="13"/>
      <c r="E5076" s="13"/>
      <c r="F5076" s="13"/>
      <c r="G5076" s="13"/>
      <c r="H5076" s="13"/>
      <c r="I5076" s="10"/>
      <c r="J5076" s="11"/>
      <c r="K5076" s="6"/>
      <c r="L5076" s="13"/>
    </row>
    <row r="5077" spans="1:12" hidden="1" x14ac:dyDescent="0.25">
      <c r="A5077" s="6"/>
      <c r="B5077" s="6"/>
      <c r="C5077" s="11"/>
      <c r="D5077" s="13"/>
      <c r="E5077" s="13"/>
      <c r="F5077" s="13"/>
      <c r="G5077" s="13"/>
      <c r="H5077" s="13"/>
      <c r="I5077" s="10"/>
      <c r="J5077" s="11"/>
      <c r="K5077" s="6"/>
      <c r="L5077" s="13"/>
    </row>
    <row r="5078" spans="1:12" hidden="1" x14ac:dyDescent="0.25">
      <c r="A5078" s="6"/>
      <c r="B5078" s="6"/>
      <c r="C5078" s="11"/>
      <c r="D5078" s="13"/>
      <c r="E5078" s="13"/>
      <c r="F5078" s="13"/>
      <c r="G5078" s="13"/>
      <c r="H5078" s="13"/>
      <c r="I5078" s="10"/>
      <c r="J5078" s="11"/>
      <c r="K5078" s="6"/>
      <c r="L5078" s="13"/>
    </row>
    <row r="5079" spans="1:12" hidden="1" x14ac:dyDescent="0.25">
      <c r="A5079" s="6"/>
      <c r="B5079" s="6"/>
      <c r="C5079" s="11"/>
      <c r="D5079" s="13"/>
      <c r="E5079" s="13"/>
      <c r="F5079" s="13"/>
      <c r="G5079" s="13"/>
      <c r="H5079" s="13"/>
      <c r="I5079" s="10"/>
      <c r="J5079" s="11"/>
      <c r="K5079" s="6"/>
      <c r="L5079" s="13"/>
    </row>
    <row r="5080" spans="1:12" hidden="1" x14ac:dyDescent="0.25">
      <c r="A5080" s="6"/>
      <c r="B5080" s="6"/>
      <c r="C5080" s="11"/>
      <c r="D5080" s="13"/>
      <c r="E5080" s="13"/>
      <c r="F5080" s="13"/>
      <c r="G5080" s="13"/>
      <c r="H5080" s="13"/>
      <c r="I5080" s="10"/>
      <c r="J5080" s="11"/>
      <c r="K5080" s="6"/>
      <c r="L5080" s="13"/>
    </row>
    <row r="5081" spans="1:12" hidden="1" x14ac:dyDescent="0.25">
      <c r="A5081" s="6"/>
      <c r="B5081" s="6"/>
      <c r="C5081" s="11"/>
      <c r="D5081" s="13"/>
      <c r="E5081" s="13"/>
      <c r="F5081" s="13"/>
      <c r="G5081" s="13"/>
      <c r="H5081" s="13"/>
      <c r="I5081" s="10"/>
      <c r="J5081" s="11"/>
      <c r="K5081" s="6"/>
      <c r="L5081" s="13"/>
    </row>
    <row r="5082" spans="1:12" hidden="1" x14ac:dyDescent="0.25">
      <c r="A5082" s="6"/>
      <c r="B5082" s="6"/>
      <c r="C5082" s="11"/>
      <c r="D5082" s="13"/>
      <c r="E5082" s="13"/>
      <c r="F5082" s="13"/>
      <c r="G5082" s="13"/>
      <c r="H5082" s="13"/>
      <c r="I5082" s="10"/>
      <c r="J5082" s="11"/>
      <c r="K5082" s="6"/>
      <c r="L5082" s="13"/>
    </row>
    <row r="5083" spans="1:12" hidden="1" x14ac:dyDescent="0.25">
      <c r="A5083" s="6"/>
      <c r="B5083" s="6"/>
      <c r="C5083" s="11"/>
      <c r="D5083" s="13"/>
      <c r="E5083" s="13"/>
      <c r="F5083" s="13"/>
      <c r="G5083" s="13"/>
      <c r="H5083" s="13"/>
      <c r="I5083" s="10"/>
      <c r="J5083" s="11"/>
      <c r="K5083" s="6"/>
      <c r="L5083" s="13"/>
    </row>
    <row r="5084" spans="1:12" hidden="1" x14ac:dyDescent="0.25">
      <c r="A5084" s="6"/>
      <c r="B5084" s="6"/>
      <c r="C5084" s="11"/>
      <c r="D5084" s="13"/>
      <c r="E5084" s="13"/>
      <c r="F5084" s="13"/>
      <c r="G5084" s="13"/>
      <c r="H5084" s="13"/>
      <c r="I5084" s="10"/>
      <c r="J5084" s="11"/>
      <c r="K5084" s="6"/>
      <c r="L5084" s="13"/>
    </row>
    <row r="5085" spans="1:12" hidden="1" x14ac:dyDescent="0.25">
      <c r="A5085" s="6"/>
      <c r="B5085" s="6"/>
      <c r="C5085" s="11"/>
      <c r="D5085" s="13"/>
      <c r="E5085" s="13"/>
      <c r="F5085" s="13"/>
      <c r="G5085" s="13"/>
      <c r="H5085" s="13"/>
      <c r="I5085" s="10"/>
      <c r="J5085" s="11"/>
      <c r="K5085" s="6"/>
      <c r="L5085" s="13"/>
    </row>
    <row r="5086" spans="1:12" hidden="1" x14ac:dyDescent="0.25">
      <c r="A5086" s="6"/>
      <c r="B5086" s="6"/>
      <c r="C5086" s="11"/>
      <c r="D5086" s="13"/>
      <c r="E5086" s="13"/>
      <c r="F5086" s="13"/>
      <c r="G5086" s="13"/>
      <c r="H5086" s="13"/>
      <c r="I5086" s="10"/>
      <c r="J5086" s="11"/>
      <c r="K5086" s="6"/>
      <c r="L5086" s="13"/>
    </row>
    <row r="5087" spans="1:12" hidden="1" x14ac:dyDescent="0.25">
      <c r="A5087" s="6"/>
      <c r="B5087" s="6"/>
      <c r="C5087" s="11"/>
      <c r="D5087" s="13"/>
      <c r="E5087" s="13"/>
      <c r="F5087" s="13"/>
      <c r="G5087" s="13"/>
      <c r="H5087" s="13"/>
      <c r="I5087" s="10"/>
      <c r="J5087" s="11"/>
      <c r="K5087" s="6"/>
      <c r="L5087" s="13"/>
    </row>
    <row r="5088" spans="1:12" hidden="1" x14ac:dyDescent="0.25">
      <c r="A5088" s="6"/>
      <c r="B5088" s="6"/>
      <c r="C5088" s="11"/>
      <c r="D5088" s="13"/>
      <c r="E5088" s="13"/>
      <c r="F5088" s="13"/>
      <c r="G5088" s="13"/>
      <c r="H5088" s="13"/>
      <c r="I5088" s="10"/>
      <c r="J5088" s="11"/>
      <c r="K5088" s="6"/>
      <c r="L5088" s="13"/>
    </row>
    <row r="5089" spans="1:12" hidden="1" x14ac:dyDescent="0.25">
      <c r="A5089" s="6"/>
      <c r="B5089" s="6"/>
      <c r="C5089" s="11"/>
      <c r="D5089" s="13"/>
      <c r="E5089" s="13"/>
      <c r="F5089" s="13"/>
      <c r="G5089" s="13"/>
      <c r="H5089" s="13"/>
      <c r="I5089" s="10"/>
      <c r="J5089" s="11"/>
      <c r="K5089" s="6"/>
      <c r="L5089" s="13"/>
    </row>
    <row r="5090" spans="1:12" hidden="1" x14ac:dyDescent="0.25">
      <c r="A5090" s="6"/>
      <c r="B5090" s="6"/>
      <c r="C5090" s="11"/>
      <c r="D5090" s="13"/>
      <c r="E5090" s="13"/>
      <c r="F5090" s="13"/>
      <c r="G5090" s="13"/>
      <c r="H5090" s="13"/>
      <c r="I5090" s="10"/>
      <c r="J5090" s="11"/>
      <c r="K5090" s="6"/>
      <c r="L5090" s="13"/>
    </row>
    <row r="5091" spans="1:12" hidden="1" x14ac:dyDescent="0.25">
      <c r="A5091" s="6"/>
      <c r="B5091" s="6"/>
      <c r="C5091" s="11"/>
      <c r="D5091" s="13"/>
      <c r="E5091" s="13"/>
      <c r="F5091" s="13"/>
      <c r="G5091" s="13"/>
      <c r="H5091" s="13"/>
      <c r="I5091" s="10"/>
      <c r="J5091" s="11"/>
      <c r="K5091" s="6"/>
      <c r="L5091" s="13"/>
    </row>
    <row r="5092" spans="1:12" hidden="1" x14ac:dyDescent="0.25">
      <c r="A5092" s="6"/>
      <c r="B5092" s="6"/>
      <c r="C5092" s="11"/>
      <c r="D5092" s="13"/>
      <c r="E5092" s="13"/>
      <c r="F5092" s="13"/>
      <c r="G5092" s="13"/>
      <c r="H5092" s="13"/>
      <c r="I5092" s="10"/>
      <c r="J5092" s="11"/>
      <c r="K5092" s="6"/>
      <c r="L5092" s="13"/>
    </row>
    <row r="5093" spans="1:12" hidden="1" x14ac:dyDescent="0.25">
      <c r="A5093" s="6"/>
      <c r="B5093" s="6"/>
      <c r="C5093" s="11"/>
      <c r="D5093" s="13"/>
      <c r="E5093" s="13"/>
      <c r="F5093" s="13"/>
      <c r="G5093" s="13"/>
      <c r="H5093" s="13"/>
      <c r="I5093" s="10"/>
      <c r="J5093" s="11"/>
      <c r="K5093" s="6"/>
      <c r="L5093" s="13"/>
    </row>
    <row r="5094" spans="1:12" hidden="1" x14ac:dyDescent="0.25">
      <c r="A5094" s="6"/>
      <c r="B5094" s="6"/>
      <c r="C5094" s="11"/>
      <c r="D5094" s="13"/>
      <c r="E5094" s="13"/>
      <c r="F5094" s="13"/>
      <c r="G5094" s="13"/>
      <c r="H5094" s="13"/>
      <c r="I5094" s="10"/>
      <c r="J5094" s="11"/>
      <c r="K5094" s="6"/>
      <c r="L5094" s="13"/>
    </row>
    <row r="5095" spans="1:12" hidden="1" x14ac:dyDescent="0.25">
      <c r="A5095" s="6"/>
      <c r="B5095" s="6"/>
      <c r="C5095" s="11"/>
      <c r="D5095" s="13"/>
      <c r="E5095" s="13"/>
      <c r="F5095" s="13"/>
      <c r="G5095" s="13"/>
      <c r="H5095" s="13"/>
      <c r="I5095" s="10"/>
      <c r="J5095" s="11"/>
      <c r="K5095" s="6"/>
      <c r="L5095" s="13"/>
    </row>
    <row r="5096" spans="1:12" hidden="1" x14ac:dyDescent="0.25">
      <c r="A5096" s="6"/>
      <c r="B5096" s="6"/>
      <c r="C5096" s="11"/>
      <c r="D5096" s="13"/>
      <c r="E5096" s="13"/>
      <c r="F5096" s="13"/>
      <c r="G5096" s="13"/>
      <c r="H5096" s="13"/>
      <c r="I5096" s="10"/>
      <c r="J5096" s="11"/>
      <c r="K5096" s="6"/>
      <c r="L5096" s="13"/>
    </row>
    <row r="5097" spans="1:12" hidden="1" x14ac:dyDescent="0.25">
      <c r="A5097" s="6"/>
      <c r="B5097" s="6"/>
      <c r="C5097" s="11"/>
      <c r="D5097" s="13"/>
      <c r="E5097" s="13"/>
      <c r="F5097" s="13"/>
      <c r="G5097" s="13"/>
      <c r="H5097" s="13"/>
      <c r="I5097" s="10"/>
      <c r="J5097" s="11"/>
      <c r="K5097" s="6"/>
      <c r="L5097" s="13"/>
    </row>
    <row r="5098" spans="1:12" hidden="1" x14ac:dyDescent="0.25">
      <c r="A5098" s="6"/>
      <c r="B5098" s="6"/>
      <c r="C5098" s="11"/>
      <c r="D5098" s="13"/>
      <c r="E5098" s="13"/>
      <c r="F5098" s="13"/>
      <c r="G5098" s="13"/>
      <c r="H5098" s="13"/>
      <c r="I5098" s="10"/>
      <c r="J5098" s="11"/>
      <c r="K5098" s="6"/>
      <c r="L5098" s="13"/>
    </row>
    <row r="5099" spans="1:12" hidden="1" x14ac:dyDescent="0.25">
      <c r="A5099" s="6"/>
      <c r="B5099" s="6"/>
      <c r="C5099" s="11"/>
      <c r="D5099" s="13"/>
      <c r="E5099" s="13"/>
      <c r="F5099" s="13"/>
      <c r="G5099" s="13"/>
      <c r="H5099" s="13"/>
      <c r="I5099" s="10"/>
      <c r="J5099" s="11"/>
      <c r="K5099" s="6"/>
      <c r="L5099" s="13"/>
    </row>
    <row r="5100" spans="1:12" hidden="1" x14ac:dyDescent="0.25">
      <c r="A5100" s="6"/>
      <c r="B5100" s="6"/>
      <c r="C5100" s="11"/>
      <c r="D5100" s="13"/>
      <c r="E5100" s="13"/>
      <c r="F5100" s="13"/>
      <c r="G5100" s="13"/>
      <c r="H5100" s="13"/>
      <c r="I5100" s="10"/>
      <c r="J5100" s="11"/>
      <c r="K5100" s="6"/>
      <c r="L5100" s="13"/>
    </row>
    <row r="5101" spans="1:12" hidden="1" x14ac:dyDescent="0.25">
      <c r="A5101" s="6"/>
      <c r="B5101" s="6"/>
      <c r="C5101" s="11"/>
      <c r="D5101" s="13"/>
      <c r="E5101" s="13"/>
      <c r="F5101" s="13"/>
      <c r="G5101" s="13"/>
      <c r="H5101" s="13"/>
      <c r="I5101" s="10"/>
      <c r="J5101" s="11"/>
      <c r="K5101" s="6"/>
      <c r="L5101" s="13"/>
    </row>
    <row r="5102" spans="1:12" hidden="1" x14ac:dyDescent="0.25">
      <c r="A5102" s="6"/>
      <c r="B5102" s="6"/>
      <c r="C5102" s="11"/>
      <c r="D5102" s="13"/>
      <c r="E5102" s="13"/>
      <c r="F5102" s="13"/>
      <c r="G5102" s="13"/>
      <c r="H5102" s="13"/>
      <c r="I5102" s="10"/>
      <c r="J5102" s="11"/>
      <c r="K5102" s="6"/>
      <c r="L5102" s="13"/>
    </row>
    <row r="5103" spans="1:12" hidden="1" x14ac:dyDescent="0.25">
      <c r="A5103" s="6"/>
      <c r="B5103" s="6"/>
      <c r="C5103" s="11"/>
      <c r="D5103" s="13"/>
      <c r="E5103" s="13"/>
      <c r="F5103" s="13"/>
      <c r="G5103" s="13"/>
      <c r="H5103" s="13"/>
      <c r="I5103" s="10"/>
      <c r="J5103" s="11"/>
      <c r="K5103" s="6"/>
      <c r="L5103" s="13"/>
    </row>
    <row r="5104" spans="1:12" hidden="1" x14ac:dyDescent="0.25">
      <c r="A5104" s="6"/>
      <c r="B5104" s="6"/>
      <c r="C5104" s="11"/>
      <c r="D5104" s="13"/>
      <c r="E5104" s="13"/>
      <c r="F5104" s="13"/>
      <c r="G5104" s="13"/>
      <c r="H5104" s="13"/>
      <c r="I5104" s="10"/>
      <c r="J5104" s="11"/>
      <c r="K5104" s="6"/>
      <c r="L5104" s="13"/>
    </row>
    <row r="5105" spans="1:12" hidden="1" x14ac:dyDescent="0.25">
      <c r="A5105" s="6"/>
      <c r="B5105" s="6"/>
      <c r="C5105" s="11"/>
      <c r="D5105" s="13"/>
      <c r="E5105" s="13"/>
      <c r="F5105" s="13"/>
      <c r="G5105" s="13"/>
      <c r="H5105" s="13"/>
      <c r="I5105" s="10"/>
      <c r="J5105" s="11"/>
      <c r="K5105" s="6"/>
      <c r="L5105" s="13"/>
    </row>
    <row r="5106" spans="1:12" hidden="1" x14ac:dyDescent="0.25">
      <c r="A5106" s="6"/>
      <c r="B5106" s="6"/>
      <c r="C5106" s="11"/>
      <c r="D5106" s="13"/>
      <c r="E5106" s="13"/>
      <c r="F5106" s="13"/>
      <c r="G5106" s="13"/>
      <c r="H5106" s="13"/>
      <c r="I5106" s="10"/>
      <c r="J5106" s="11"/>
      <c r="K5106" s="6"/>
      <c r="L5106" s="13"/>
    </row>
    <row r="5107" spans="1:12" hidden="1" x14ac:dyDescent="0.25">
      <c r="A5107" s="6"/>
      <c r="B5107" s="6"/>
      <c r="C5107" s="11"/>
      <c r="D5107" s="13"/>
      <c r="E5107" s="13"/>
      <c r="F5107" s="13"/>
      <c r="G5107" s="13"/>
      <c r="H5107" s="13"/>
      <c r="I5107" s="10"/>
      <c r="J5107" s="11"/>
      <c r="K5107" s="6"/>
      <c r="L5107" s="13"/>
    </row>
    <row r="5108" spans="1:12" hidden="1" x14ac:dyDescent="0.25">
      <c r="A5108" s="6"/>
      <c r="B5108" s="6"/>
      <c r="C5108" s="11"/>
      <c r="D5108" s="13"/>
      <c r="E5108" s="13"/>
      <c r="F5108" s="13"/>
      <c r="G5108" s="13"/>
      <c r="H5108" s="13"/>
      <c r="I5108" s="10"/>
      <c r="J5108" s="11"/>
      <c r="K5108" s="6"/>
      <c r="L5108" s="13"/>
    </row>
    <row r="5109" spans="1:12" hidden="1" x14ac:dyDescent="0.25">
      <c r="A5109" s="6"/>
      <c r="B5109" s="6"/>
      <c r="C5109" s="11"/>
      <c r="D5109" s="13"/>
      <c r="E5109" s="13"/>
      <c r="F5109" s="13"/>
      <c r="G5109" s="13"/>
      <c r="H5109" s="13"/>
      <c r="I5109" s="10"/>
      <c r="J5109" s="11"/>
      <c r="K5109" s="6"/>
      <c r="L5109" s="13"/>
    </row>
    <row r="5110" spans="1:12" hidden="1" x14ac:dyDescent="0.25">
      <c r="A5110" s="6"/>
      <c r="B5110" s="6"/>
      <c r="C5110" s="11"/>
      <c r="D5110" s="13"/>
      <c r="E5110" s="13"/>
      <c r="F5110" s="13"/>
      <c r="G5110" s="13"/>
      <c r="H5110" s="13"/>
      <c r="I5110" s="10"/>
      <c r="J5110" s="11"/>
      <c r="K5110" s="6"/>
      <c r="L5110" s="13"/>
    </row>
    <row r="5111" spans="1:12" hidden="1" x14ac:dyDescent="0.25">
      <c r="A5111" s="6"/>
      <c r="B5111" s="6"/>
      <c r="C5111" s="11"/>
      <c r="D5111" s="13"/>
      <c r="E5111" s="13"/>
      <c r="F5111" s="13"/>
      <c r="G5111" s="13"/>
      <c r="H5111" s="13"/>
      <c r="I5111" s="10"/>
      <c r="J5111" s="11"/>
      <c r="K5111" s="6"/>
      <c r="L5111" s="13"/>
    </row>
    <row r="5112" spans="1:12" hidden="1" x14ac:dyDescent="0.25">
      <c r="A5112" s="6"/>
      <c r="B5112" s="6"/>
      <c r="C5112" s="11"/>
      <c r="D5112" s="13"/>
      <c r="E5112" s="13"/>
      <c r="F5112" s="13"/>
      <c r="G5112" s="13"/>
      <c r="H5112" s="13"/>
      <c r="I5112" s="10"/>
      <c r="J5112" s="11"/>
      <c r="K5112" s="6"/>
      <c r="L5112" s="13"/>
    </row>
    <row r="5113" spans="1:12" hidden="1" x14ac:dyDescent="0.25">
      <c r="A5113" s="6"/>
      <c r="B5113" s="6"/>
      <c r="C5113" s="11"/>
      <c r="D5113" s="13"/>
      <c r="E5113" s="13"/>
      <c r="F5113" s="13"/>
      <c r="G5113" s="13"/>
      <c r="H5113" s="13"/>
      <c r="I5113" s="10"/>
      <c r="J5113" s="11"/>
      <c r="K5113" s="6"/>
      <c r="L5113" s="13"/>
    </row>
    <row r="5114" spans="1:12" hidden="1" x14ac:dyDescent="0.25">
      <c r="A5114" s="6"/>
      <c r="B5114" s="6"/>
      <c r="C5114" s="11"/>
      <c r="D5114" s="13"/>
      <c r="E5114" s="13"/>
      <c r="F5114" s="13"/>
      <c r="G5114" s="13"/>
      <c r="H5114" s="13"/>
      <c r="I5114" s="10"/>
      <c r="J5114" s="11"/>
      <c r="K5114" s="6"/>
      <c r="L5114" s="13"/>
    </row>
    <row r="5115" spans="1:12" hidden="1" x14ac:dyDescent="0.25">
      <c r="A5115" s="6"/>
      <c r="B5115" s="6"/>
      <c r="C5115" s="11"/>
      <c r="D5115" s="13"/>
      <c r="E5115" s="13"/>
      <c r="F5115" s="13"/>
      <c r="G5115" s="13"/>
      <c r="H5115" s="13"/>
      <c r="I5115" s="10"/>
      <c r="J5115" s="11"/>
      <c r="K5115" s="6"/>
      <c r="L5115" s="13"/>
    </row>
    <row r="5116" spans="1:12" hidden="1" x14ac:dyDescent="0.25">
      <c r="A5116" s="6"/>
      <c r="B5116" s="6"/>
      <c r="C5116" s="11"/>
      <c r="D5116" s="13"/>
      <c r="E5116" s="13"/>
      <c r="F5116" s="13"/>
      <c r="G5116" s="13"/>
      <c r="H5116" s="13"/>
      <c r="I5116" s="10"/>
      <c r="J5116" s="11"/>
      <c r="K5116" s="6"/>
      <c r="L5116" s="13"/>
    </row>
    <row r="5117" spans="1:12" hidden="1" x14ac:dyDescent="0.25">
      <c r="A5117" s="6"/>
      <c r="B5117" s="6"/>
      <c r="C5117" s="11"/>
      <c r="D5117" s="13"/>
      <c r="E5117" s="13"/>
      <c r="F5117" s="13"/>
      <c r="G5117" s="13"/>
      <c r="H5117" s="13"/>
      <c r="I5117" s="10"/>
      <c r="J5117" s="11"/>
      <c r="K5117" s="6"/>
      <c r="L5117" s="13"/>
    </row>
    <row r="5118" spans="1:12" hidden="1" x14ac:dyDescent="0.25">
      <c r="A5118" s="6"/>
      <c r="B5118" s="6"/>
      <c r="C5118" s="11"/>
      <c r="D5118" s="13"/>
      <c r="E5118" s="13"/>
      <c r="F5118" s="13"/>
      <c r="G5118" s="13"/>
      <c r="H5118" s="13"/>
      <c r="I5118" s="10"/>
      <c r="J5118" s="11"/>
      <c r="K5118" s="6"/>
      <c r="L5118" s="13"/>
    </row>
    <row r="5119" spans="1:12" hidden="1" x14ac:dyDescent="0.25">
      <c r="A5119" s="6"/>
      <c r="B5119" s="6"/>
      <c r="C5119" s="11"/>
      <c r="D5119" s="13"/>
      <c r="E5119" s="13"/>
      <c r="F5119" s="13"/>
      <c r="G5119" s="13"/>
      <c r="H5119" s="13"/>
      <c r="I5119" s="10"/>
      <c r="J5119" s="11"/>
      <c r="K5119" s="6"/>
      <c r="L5119" s="13"/>
    </row>
    <row r="5120" spans="1:12" hidden="1" x14ac:dyDescent="0.25">
      <c r="A5120" s="6"/>
      <c r="B5120" s="6"/>
      <c r="C5120" s="11"/>
      <c r="D5120" s="13"/>
      <c r="E5120" s="13"/>
      <c r="F5120" s="13"/>
      <c r="G5120" s="13"/>
      <c r="H5120" s="13"/>
      <c r="I5120" s="10"/>
      <c r="J5120" s="11"/>
      <c r="K5120" s="6"/>
      <c r="L5120" s="13"/>
    </row>
    <row r="5121" spans="1:12" hidden="1" x14ac:dyDescent="0.25">
      <c r="A5121" s="6"/>
      <c r="B5121" s="6"/>
      <c r="C5121" s="11"/>
      <c r="D5121" s="13"/>
      <c r="E5121" s="13"/>
      <c r="F5121" s="13"/>
      <c r="G5121" s="13"/>
      <c r="H5121" s="13"/>
      <c r="I5121" s="10"/>
      <c r="J5121" s="11"/>
      <c r="K5121" s="6"/>
      <c r="L5121" s="13"/>
    </row>
    <row r="5122" spans="1:12" hidden="1" x14ac:dyDescent="0.25">
      <c r="A5122" s="6"/>
      <c r="B5122" s="6"/>
      <c r="C5122" s="11"/>
      <c r="D5122" s="13"/>
      <c r="E5122" s="13"/>
      <c r="F5122" s="13"/>
      <c r="G5122" s="13"/>
      <c r="H5122" s="13"/>
      <c r="I5122" s="10"/>
      <c r="J5122" s="11"/>
      <c r="K5122" s="6"/>
      <c r="L5122" s="13"/>
    </row>
    <row r="5123" spans="1:12" hidden="1" x14ac:dyDescent="0.25">
      <c r="A5123" s="6"/>
      <c r="B5123" s="6"/>
      <c r="C5123" s="11"/>
      <c r="D5123" s="13"/>
      <c r="E5123" s="13"/>
      <c r="F5123" s="13"/>
      <c r="G5123" s="13"/>
      <c r="H5123" s="13"/>
      <c r="I5123" s="10"/>
      <c r="J5123" s="11"/>
      <c r="K5123" s="6"/>
      <c r="L5123" s="13"/>
    </row>
    <row r="5124" spans="1:12" hidden="1" x14ac:dyDescent="0.25">
      <c r="A5124" s="6"/>
      <c r="B5124" s="6"/>
      <c r="C5124" s="11"/>
      <c r="D5124" s="13"/>
      <c r="E5124" s="13"/>
      <c r="F5124" s="13"/>
      <c r="G5124" s="13"/>
      <c r="H5124" s="13"/>
      <c r="I5124" s="10"/>
      <c r="J5124" s="11"/>
      <c r="K5124" s="6"/>
      <c r="L5124" s="13"/>
    </row>
    <row r="5125" spans="1:12" hidden="1" x14ac:dyDescent="0.25">
      <c r="A5125" s="6"/>
      <c r="B5125" s="6"/>
      <c r="C5125" s="11"/>
      <c r="D5125" s="13"/>
      <c r="E5125" s="13"/>
      <c r="F5125" s="13"/>
      <c r="G5125" s="13"/>
      <c r="H5125" s="13"/>
      <c r="I5125" s="10"/>
      <c r="J5125" s="11"/>
      <c r="K5125" s="6"/>
      <c r="L5125" s="13"/>
    </row>
    <row r="5126" spans="1:12" hidden="1" x14ac:dyDescent="0.25">
      <c r="A5126" s="6"/>
      <c r="B5126" s="6"/>
      <c r="C5126" s="11"/>
      <c r="D5126" s="13"/>
      <c r="E5126" s="13"/>
      <c r="F5126" s="13"/>
      <c r="G5126" s="13"/>
      <c r="H5126" s="13"/>
      <c r="I5126" s="10"/>
      <c r="J5126" s="11"/>
      <c r="K5126" s="6"/>
      <c r="L5126" s="13"/>
    </row>
    <row r="5127" spans="1:12" hidden="1" x14ac:dyDescent="0.25">
      <c r="A5127" s="6"/>
      <c r="B5127" s="6"/>
      <c r="C5127" s="11"/>
      <c r="D5127" s="13"/>
      <c r="E5127" s="13"/>
      <c r="F5127" s="13"/>
      <c r="G5127" s="13"/>
      <c r="H5127" s="13"/>
      <c r="I5127" s="10"/>
      <c r="J5127" s="11"/>
      <c r="K5127" s="6"/>
      <c r="L5127" s="13"/>
    </row>
    <row r="5128" spans="1:12" hidden="1" x14ac:dyDescent="0.25">
      <c r="A5128" s="6"/>
      <c r="B5128" s="6"/>
      <c r="C5128" s="11"/>
      <c r="D5128" s="13"/>
      <c r="E5128" s="13"/>
      <c r="F5128" s="13"/>
      <c r="G5128" s="13"/>
      <c r="H5128" s="13"/>
      <c r="I5128" s="10"/>
      <c r="J5128" s="11"/>
      <c r="K5128" s="6"/>
      <c r="L5128" s="13"/>
    </row>
    <row r="5129" spans="1:12" hidden="1" x14ac:dyDescent="0.25">
      <c r="A5129" s="6"/>
      <c r="B5129" s="6"/>
      <c r="C5129" s="11"/>
      <c r="D5129" s="13"/>
      <c r="E5129" s="13"/>
      <c r="F5129" s="13"/>
      <c r="G5129" s="13"/>
      <c r="H5129" s="13"/>
      <c r="I5129" s="10"/>
      <c r="J5129" s="11"/>
      <c r="K5129" s="6"/>
      <c r="L5129" s="13"/>
    </row>
    <row r="5130" spans="1:12" hidden="1" x14ac:dyDescent="0.25">
      <c r="A5130" s="6"/>
      <c r="B5130" s="6"/>
      <c r="C5130" s="11"/>
      <c r="D5130" s="13"/>
      <c r="E5130" s="13"/>
      <c r="F5130" s="13"/>
      <c r="G5130" s="13"/>
      <c r="H5130" s="13"/>
      <c r="I5130" s="10"/>
      <c r="J5130" s="11"/>
      <c r="K5130" s="6"/>
      <c r="L5130" s="13"/>
    </row>
    <row r="5131" spans="1:12" hidden="1" x14ac:dyDescent="0.25">
      <c r="A5131" s="6"/>
      <c r="B5131" s="6"/>
      <c r="C5131" s="11"/>
      <c r="D5131" s="13"/>
      <c r="E5131" s="13"/>
      <c r="F5131" s="13"/>
      <c r="G5131" s="13"/>
      <c r="H5131" s="13"/>
      <c r="I5131" s="10"/>
      <c r="J5131" s="11"/>
      <c r="K5131" s="6"/>
      <c r="L5131" s="13"/>
    </row>
    <row r="5132" spans="1:12" hidden="1" x14ac:dyDescent="0.25">
      <c r="A5132" s="6"/>
      <c r="B5132" s="6"/>
      <c r="C5132" s="11"/>
      <c r="D5132" s="13"/>
      <c r="E5132" s="13"/>
      <c r="F5132" s="13"/>
      <c r="G5132" s="13"/>
      <c r="H5132" s="13"/>
      <c r="I5132" s="10"/>
      <c r="J5132" s="11"/>
      <c r="K5132" s="6"/>
      <c r="L5132" s="13"/>
    </row>
    <row r="5133" spans="1:12" hidden="1" x14ac:dyDescent="0.25">
      <c r="A5133" s="6"/>
      <c r="B5133" s="6"/>
      <c r="C5133" s="11"/>
      <c r="D5133" s="13"/>
      <c r="E5133" s="13"/>
      <c r="F5133" s="13"/>
      <c r="G5133" s="13"/>
      <c r="H5133" s="13"/>
      <c r="I5133" s="10"/>
      <c r="J5133" s="11"/>
      <c r="K5133" s="6"/>
      <c r="L5133" s="13"/>
    </row>
    <row r="5134" spans="1:12" hidden="1" x14ac:dyDescent="0.25">
      <c r="A5134" s="6"/>
      <c r="B5134" s="6"/>
      <c r="C5134" s="11"/>
      <c r="D5134" s="13"/>
      <c r="E5134" s="13"/>
      <c r="F5134" s="13"/>
      <c r="G5134" s="13"/>
      <c r="H5134" s="13"/>
      <c r="I5134" s="10"/>
      <c r="J5134" s="11"/>
      <c r="K5134" s="6"/>
      <c r="L5134" s="13"/>
    </row>
    <row r="5135" spans="1:12" hidden="1" x14ac:dyDescent="0.25">
      <c r="A5135" s="6"/>
      <c r="B5135" s="6"/>
      <c r="C5135" s="11"/>
      <c r="D5135" s="13"/>
      <c r="E5135" s="13"/>
      <c r="F5135" s="13"/>
      <c r="G5135" s="13"/>
      <c r="H5135" s="13"/>
      <c r="I5135" s="10"/>
      <c r="J5135" s="11"/>
      <c r="K5135" s="6"/>
      <c r="L5135" s="13"/>
    </row>
    <row r="5136" spans="1:12" hidden="1" x14ac:dyDescent="0.25">
      <c r="A5136" s="6"/>
      <c r="B5136" s="6"/>
      <c r="C5136" s="11"/>
      <c r="D5136" s="13"/>
      <c r="E5136" s="13"/>
      <c r="F5136" s="13"/>
      <c r="G5136" s="13"/>
      <c r="H5136" s="13"/>
      <c r="I5136" s="10"/>
      <c r="J5136" s="11"/>
      <c r="K5136" s="6"/>
      <c r="L5136" s="13"/>
    </row>
    <row r="5137" spans="1:12" hidden="1" x14ac:dyDescent="0.25">
      <c r="A5137" s="6"/>
      <c r="B5137" s="6"/>
      <c r="C5137" s="11"/>
      <c r="D5137" s="13"/>
      <c r="E5137" s="13"/>
      <c r="F5137" s="13"/>
      <c r="G5137" s="13"/>
      <c r="H5137" s="13"/>
      <c r="I5137" s="10"/>
      <c r="J5137" s="11"/>
      <c r="K5137" s="6"/>
      <c r="L5137" s="13"/>
    </row>
    <row r="5138" spans="1:12" hidden="1" x14ac:dyDescent="0.25">
      <c r="A5138" s="6"/>
      <c r="B5138" s="6"/>
      <c r="C5138" s="11"/>
      <c r="D5138" s="13"/>
      <c r="E5138" s="13"/>
      <c r="F5138" s="13"/>
      <c r="G5138" s="13"/>
      <c r="H5138" s="13"/>
      <c r="I5138" s="10"/>
      <c r="J5138" s="11"/>
      <c r="K5138" s="6"/>
      <c r="L5138" s="13"/>
    </row>
    <row r="5139" spans="1:12" hidden="1" x14ac:dyDescent="0.25">
      <c r="A5139" s="6"/>
      <c r="B5139" s="6"/>
      <c r="C5139" s="11"/>
      <c r="D5139" s="13"/>
      <c r="E5139" s="13"/>
      <c r="F5139" s="13"/>
      <c r="G5139" s="13"/>
      <c r="H5139" s="13"/>
      <c r="I5139" s="10"/>
      <c r="J5139" s="11"/>
      <c r="K5139" s="6"/>
      <c r="L5139" s="13"/>
    </row>
    <row r="5140" spans="1:12" hidden="1" x14ac:dyDescent="0.25">
      <c r="A5140" s="6"/>
      <c r="B5140" s="6"/>
      <c r="C5140" s="11"/>
      <c r="D5140" s="13"/>
      <c r="E5140" s="13"/>
      <c r="F5140" s="13"/>
      <c r="G5140" s="13"/>
      <c r="H5140" s="13"/>
      <c r="I5140" s="10"/>
      <c r="J5140" s="11"/>
      <c r="K5140" s="6"/>
      <c r="L5140" s="13"/>
    </row>
    <row r="5141" spans="1:12" hidden="1" x14ac:dyDescent="0.25">
      <c r="A5141" s="6"/>
      <c r="B5141" s="6"/>
      <c r="C5141" s="11"/>
      <c r="D5141" s="13"/>
      <c r="E5141" s="13"/>
      <c r="F5141" s="13"/>
      <c r="G5141" s="13"/>
      <c r="H5141" s="13"/>
      <c r="I5141" s="10"/>
      <c r="J5141" s="11"/>
      <c r="K5141" s="6"/>
      <c r="L5141" s="13"/>
    </row>
    <row r="5142" spans="1:12" hidden="1" x14ac:dyDescent="0.25">
      <c r="A5142" s="6"/>
      <c r="B5142" s="6"/>
      <c r="C5142" s="11"/>
      <c r="D5142" s="13"/>
      <c r="E5142" s="13"/>
      <c r="F5142" s="13"/>
      <c r="G5142" s="13"/>
      <c r="H5142" s="13"/>
      <c r="I5142" s="10"/>
      <c r="J5142" s="11"/>
      <c r="K5142" s="6"/>
      <c r="L5142" s="13"/>
    </row>
    <row r="5143" spans="1:12" hidden="1" x14ac:dyDescent="0.25">
      <c r="A5143" s="6"/>
      <c r="B5143" s="6"/>
      <c r="C5143" s="11"/>
      <c r="D5143" s="13"/>
      <c r="E5143" s="13"/>
      <c r="F5143" s="13"/>
      <c r="G5143" s="13"/>
      <c r="H5143" s="13"/>
      <c r="I5143" s="10"/>
      <c r="J5143" s="11"/>
      <c r="K5143" s="6"/>
      <c r="L5143" s="13"/>
    </row>
    <row r="5144" spans="1:12" hidden="1" x14ac:dyDescent="0.25">
      <c r="A5144" s="6"/>
      <c r="B5144" s="6"/>
      <c r="C5144" s="11"/>
      <c r="D5144" s="13"/>
      <c r="E5144" s="13"/>
      <c r="F5144" s="13"/>
      <c r="G5144" s="13"/>
      <c r="H5144" s="13"/>
      <c r="I5144" s="10"/>
      <c r="J5144" s="11"/>
      <c r="K5144" s="6"/>
      <c r="L5144" s="13"/>
    </row>
    <row r="5145" spans="1:12" hidden="1" x14ac:dyDescent="0.25">
      <c r="A5145" s="6"/>
      <c r="B5145" s="6"/>
      <c r="C5145" s="11"/>
      <c r="D5145" s="13"/>
      <c r="E5145" s="13"/>
      <c r="F5145" s="13"/>
      <c r="G5145" s="13"/>
      <c r="H5145" s="13"/>
      <c r="I5145" s="10"/>
      <c r="J5145" s="11"/>
      <c r="K5145" s="6"/>
      <c r="L5145" s="13"/>
    </row>
    <row r="5146" spans="1:12" hidden="1" x14ac:dyDescent="0.25">
      <c r="A5146" s="6"/>
      <c r="B5146" s="6"/>
      <c r="C5146" s="11"/>
      <c r="D5146" s="13"/>
      <c r="E5146" s="13"/>
      <c r="F5146" s="13"/>
      <c r="G5146" s="13"/>
      <c r="H5146" s="13"/>
      <c r="I5146" s="10"/>
      <c r="J5146" s="11"/>
      <c r="K5146" s="6"/>
      <c r="L5146" s="13"/>
    </row>
    <row r="5147" spans="1:12" hidden="1" x14ac:dyDescent="0.25">
      <c r="A5147" s="6"/>
      <c r="B5147" s="6"/>
      <c r="C5147" s="11"/>
      <c r="D5147" s="13"/>
      <c r="E5147" s="13"/>
      <c r="F5147" s="13"/>
      <c r="G5147" s="13"/>
      <c r="H5147" s="13"/>
      <c r="I5147" s="10"/>
      <c r="J5147" s="11"/>
      <c r="K5147" s="6"/>
      <c r="L5147" s="13"/>
    </row>
    <row r="5148" spans="1:12" hidden="1" x14ac:dyDescent="0.25">
      <c r="A5148" s="6"/>
      <c r="B5148" s="6"/>
      <c r="C5148" s="11"/>
      <c r="D5148" s="13"/>
      <c r="E5148" s="13"/>
      <c r="F5148" s="13"/>
      <c r="G5148" s="13"/>
      <c r="H5148" s="13"/>
      <c r="I5148" s="10"/>
      <c r="J5148" s="11"/>
      <c r="K5148" s="6"/>
      <c r="L5148" s="13"/>
    </row>
    <row r="5149" spans="1:12" hidden="1" x14ac:dyDescent="0.25">
      <c r="A5149" s="6"/>
      <c r="B5149" s="6"/>
      <c r="C5149" s="11"/>
      <c r="D5149" s="13"/>
      <c r="E5149" s="13"/>
      <c r="F5149" s="13"/>
      <c r="G5149" s="13"/>
      <c r="H5149" s="13"/>
      <c r="I5149" s="10"/>
      <c r="J5149" s="11"/>
      <c r="K5149" s="6"/>
      <c r="L5149" s="13"/>
    </row>
    <row r="5150" spans="1:12" hidden="1" x14ac:dyDescent="0.25">
      <c r="A5150" s="6"/>
      <c r="B5150" s="6"/>
      <c r="C5150" s="11"/>
      <c r="D5150" s="13"/>
      <c r="E5150" s="13"/>
      <c r="F5150" s="13"/>
      <c r="G5150" s="13"/>
      <c r="H5150" s="13"/>
      <c r="I5150" s="10"/>
      <c r="J5150" s="11"/>
      <c r="K5150" s="6"/>
      <c r="L5150" s="13"/>
    </row>
    <row r="5151" spans="1:12" hidden="1" x14ac:dyDescent="0.25">
      <c r="A5151" s="6"/>
      <c r="B5151" s="6"/>
      <c r="C5151" s="11"/>
      <c r="D5151" s="13"/>
      <c r="E5151" s="13"/>
      <c r="F5151" s="13"/>
      <c r="G5151" s="13"/>
      <c r="H5151" s="13"/>
      <c r="I5151" s="10"/>
      <c r="J5151" s="11"/>
      <c r="K5151" s="6"/>
      <c r="L5151" s="13"/>
    </row>
    <row r="5152" spans="1:12" hidden="1" x14ac:dyDescent="0.25">
      <c r="A5152" s="6"/>
      <c r="B5152" s="6"/>
      <c r="C5152" s="11"/>
      <c r="D5152" s="13"/>
      <c r="E5152" s="13"/>
      <c r="F5152" s="13"/>
      <c r="G5152" s="13"/>
      <c r="H5152" s="13"/>
      <c r="I5152" s="10"/>
      <c r="J5152" s="11"/>
      <c r="K5152" s="6"/>
      <c r="L5152" s="13"/>
    </row>
    <row r="5153" spans="1:12" hidden="1" x14ac:dyDescent="0.25">
      <c r="A5153" s="6"/>
      <c r="B5153" s="6"/>
      <c r="C5153" s="11"/>
      <c r="D5153" s="13"/>
      <c r="E5153" s="13"/>
      <c r="F5153" s="13"/>
      <c r="G5153" s="13"/>
      <c r="H5153" s="13"/>
      <c r="I5153" s="10"/>
      <c r="J5153" s="11"/>
      <c r="K5153" s="6"/>
      <c r="L5153" s="13"/>
    </row>
    <row r="5154" spans="1:12" hidden="1" x14ac:dyDescent="0.25">
      <c r="A5154" s="6"/>
      <c r="B5154" s="6"/>
      <c r="C5154" s="11"/>
      <c r="D5154" s="13"/>
      <c r="E5154" s="13"/>
      <c r="F5154" s="13"/>
      <c r="G5154" s="13"/>
      <c r="H5154" s="13"/>
      <c r="I5154" s="10"/>
      <c r="J5154" s="11"/>
      <c r="K5154" s="6"/>
      <c r="L5154" s="13"/>
    </row>
    <row r="5155" spans="1:12" hidden="1" x14ac:dyDescent="0.25">
      <c r="A5155" s="6"/>
      <c r="B5155" s="6"/>
      <c r="C5155" s="11"/>
      <c r="D5155" s="13"/>
      <c r="E5155" s="13"/>
      <c r="F5155" s="13"/>
      <c r="G5155" s="13"/>
      <c r="H5155" s="13"/>
      <c r="I5155" s="10"/>
      <c r="J5155" s="11"/>
      <c r="K5155" s="6"/>
      <c r="L5155" s="13"/>
    </row>
    <row r="5156" spans="1:12" hidden="1" x14ac:dyDescent="0.25">
      <c r="A5156" s="6"/>
      <c r="B5156" s="6"/>
      <c r="C5156" s="11"/>
      <c r="D5156" s="13"/>
      <c r="E5156" s="13"/>
      <c r="F5156" s="13"/>
      <c r="G5156" s="13"/>
      <c r="H5156" s="13"/>
      <c r="I5156" s="10"/>
      <c r="J5156" s="11"/>
      <c r="K5156" s="6"/>
      <c r="L5156" s="13"/>
    </row>
    <row r="5157" spans="1:12" hidden="1" x14ac:dyDescent="0.25">
      <c r="A5157" s="6"/>
      <c r="B5157" s="6"/>
      <c r="C5157" s="11"/>
      <c r="D5157" s="13"/>
      <c r="E5157" s="13"/>
      <c r="F5157" s="13"/>
      <c r="G5157" s="13"/>
      <c r="H5157" s="13"/>
      <c r="I5157" s="10"/>
      <c r="J5157" s="11"/>
      <c r="K5157" s="6"/>
      <c r="L5157" s="13"/>
    </row>
    <row r="5158" spans="1:12" hidden="1" x14ac:dyDescent="0.25">
      <c r="A5158" s="6"/>
      <c r="B5158" s="6"/>
      <c r="C5158" s="11"/>
      <c r="D5158" s="13"/>
      <c r="E5158" s="13"/>
      <c r="F5158" s="13"/>
      <c r="G5158" s="13"/>
      <c r="H5158" s="13"/>
      <c r="I5158" s="10"/>
      <c r="J5158" s="11"/>
      <c r="K5158" s="6"/>
      <c r="L5158" s="13"/>
    </row>
    <row r="5159" spans="1:12" hidden="1" x14ac:dyDescent="0.25">
      <c r="A5159" s="6"/>
      <c r="B5159" s="6"/>
      <c r="C5159" s="11"/>
      <c r="D5159" s="13"/>
      <c r="E5159" s="13"/>
      <c r="F5159" s="13"/>
      <c r="G5159" s="13"/>
      <c r="H5159" s="13"/>
      <c r="I5159" s="10"/>
      <c r="J5159" s="11"/>
      <c r="K5159" s="6"/>
      <c r="L5159" s="13"/>
    </row>
    <row r="5160" spans="1:12" hidden="1" x14ac:dyDescent="0.25">
      <c r="A5160" s="6"/>
      <c r="B5160" s="6"/>
      <c r="C5160" s="11"/>
      <c r="D5160" s="13"/>
      <c r="E5160" s="13"/>
      <c r="F5160" s="13"/>
      <c r="G5160" s="13"/>
      <c r="H5160" s="13"/>
      <c r="I5160" s="10"/>
      <c r="J5160" s="11"/>
      <c r="K5160" s="6"/>
      <c r="L5160" s="13"/>
    </row>
    <row r="5161" spans="1:12" hidden="1" x14ac:dyDescent="0.25">
      <c r="A5161" s="6"/>
      <c r="B5161" s="6"/>
      <c r="C5161" s="11"/>
      <c r="D5161" s="13"/>
      <c r="E5161" s="13"/>
      <c r="F5161" s="13"/>
      <c r="G5161" s="13"/>
      <c r="H5161" s="13"/>
      <c r="I5161" s="10"/>
      <c r="J5161" s="11"/>
      <c r="K5161" s="6"/>
      <c r="L5161" s="13"/>
    </row>
    <row r="5162" spans="1:12" hidden="1" x14ac:dyDescent="0.25">
      <c r="A5162" s="6"/>
      <c r="B5162" s="6"/>
      <c r="C5162" s="11"/>
      <c r="D5162" s="13"/>
      <c r="E5162" s="13"/>
      <c r="F5162" s="13"/>
      <c r="G5162" s="13"/>
      <c r="H5162" s="13"/>
      <c r="I5162" s="10"/>
      <c r="J5162" s="11"/>
      <c r="K5162" s="6"/>
      <c r="L5162" s="13"/>
    </row>
    <row r="5163" spans="1:12" hidden="1" x14ac:dyDescent="0.25">
      <c r="A5163" s="6"/>
      <c r="B5163" s="6"/>
      <c r="C5163" s="11"/>
      <c r="D5163" s="13"/>
      <c r="E5163" s="13"/>
      <c r="F5163" s="13"/>
      <c r="G5163" s="13"/>
      <c r="H5163" s="13"/>
      <c r="I5163" s="10"/>
      <c r="J5163" s="11"/>
      <c r="K5163" s="6"/>
      <c r="L5163" s="13"/>
    </row>
    <row r="5164" spans="1:12" hidden="1" x14ac:dyDescent="0.25">
      <c r="A5164" s="6"/>
      <c r="B5164" s="6"/>
      <c r="C5164" s="11"/>
      <c r="D5164" s="13"/>
      <c r="E5164" s="13"/>
      <c r="F5164" s="13"/>
      <c r="G5164" s="13"/>
      <c r="H5164" s="13"/>
      <c r="I5164" s="10"/>
      <c r="J5164" s="11"/>
      <c r="K5164" s="6"/>
      <c r="L5164" s="13"/>
    </row>
    <row r="5165" spans="1:12" hidden="1" x14ac:dyDescent="0.25">
      <c r="A5165" s="6"/>
      <c r="B5165" s="6"/>
      <c r="C5165" s="11"/>
      <c r="D5165" s="13"/>
      <c r="E5165" s="13"/>
      <c r="F5165" s="13"/>
      <c r="G5165" s="13"/>
      <c r="H5165" s="13"/>
      <c r="I5165" s="10"/>
      <c r="J5165" s="11"/>
      <c r="K5165" s="6"/>
      <c r="L5165" s="13"/>
    </row>
    <row r="5166" spans="1:12" hidden="1" x14ac:dyDescent="0.25">
      <c r="A5166" s="6"/>
      <c r="B5166" s="6"/>
      <c r="C5166" s="11"/>
      <c r="D5166" s="13"/>
      <c r="E5166" s="13"/>
      <c r="F5166" s="13"/>
      <c r="G5166" s="13"/>
      <c r="H5166" s="13"/>
      <c r="I5166" s="10"/>
      <c r="J5166" s="11"/>
      <c r="K5166" s="6"/>
      <c r="L5166" s="13"/>
    </row>
    <row r="5167" spans="1:12" hidden="1" x14ac:dyDescent="0.25">
      <c r="A5167" s="6"/>
      <c r="B5167" s="6"/>
      <c r="C5167" s="11"/>
      <c r="D5167" s="13"/>
      <c r="E5167" s="13"/>
      <c r="F5167" s="13"/>
      <c r="G5167" s="13"/>
      <c r="H5167" s="13"/>
      <c r="I5167" s="10"/>
      <c r="J5167" s="11"/>
      <c r="K5167" s="6"/>
      <c r="L5167" s="13"/>
    </row>
    <row r="5168" spans="1:12" hidden="1" x14ac:dyDescent="0.25">
      <c r="A5168" s="6"/>
      <c r="B5168" s="6"/>
      <c r="C5168" s="11"/>
      <c r="D5168" s="13"/>
      <c r="E5168" s="13"/>
      <c r="F5168" s="13"/>
      <c r="G5168" s="13"/>
      <c r="H5168" s="13"/>
      <c r="I5168" s="10"/>
      <c r="J5168" s="11"/>
      <c r="K5168" s="6"/>
      <c r="L5168" s="13"/>
    </row>
    <row r="5169" spans="1:12" hidden="1" x14ac:dyDescent="0.25">
      <c r="A5169" s="6"/>
      <c r="B5169" s="6"/>
      <c r="C5169" s="11"/>
      <c r="D5169" s="13"/>
      <c r="E5169" s="13"/>
      <c r="F5169" s="13"/>
      <c r="G5169" s="13"/>
      <c r="H5169" s="13"/>
      <c r="I5169" s="10"/>
      <c r="J5169" s="11"/>
      <c r="K5169" s="6"/>
      <c r="L5169" s="13"/>
    </row>
    <row r="5170" spans="1:12" hidden="1" x14ac:dyDescent="0.25">
      <c r="A5170" s="6"/>
      <c r="B5170" s="6"/>
      <c r="C5170" s="11"/>
      <c r="D5170" s="13"/>
      <c r="E5170" s="13"/>
      <c r="F5170" s="13"/>
      <c r="G5170" s="13"/>
      <c r="H5170" s="13"/>
      <c r="I5170" s="10"/>
      <c r="J5170" s="11"/>
      <c r="K5170" s="6"/>
      <c r="L5170" s="13"/>
    </row>
    <row r="5171" spans="1:12" hidden="1" x14ac:dyDescent="0.25">
      <c r="A5171" s="6"/>
      <c r="B5171" s="6"/>
      <c r="C5171" s="11"/>
      <c r="D5171" s="13"/>
      <c r="E5171" s="13"/>
      <c r="F5171" s="13"/>
      <c r="G5171" s="13"/>
      <c r="H5171" s="13"/>
      <c r="I5171" s="10"/>
      <c r="J5171" s="11"/>
      <c r="K5171" s="6"/>
      <c r="L5171" s="13"/>
    </row>
    <row r="5172" spans="1:12" hidden="1" x14ac:dyDescent="0.25">
      <c r="A5172" s="6"/>
      <c r="B5172" s="6"/>
      <c r="C5172" s="11"/>
      <c r="D5172" s="13"/>
      <c r="E5172" s="13"/>
      <c r="F5172" s="13"/>
      <c r="G5172" s="13"/>
      <c r="H5172" s="13"/>
      <c r="I5172" s="10"/>
      <c r="J5172" s="11"/>
      <c r="K5172" s="6"/>
      <c r="L5172" s="13"/>
    </row>
    <row r="5173" spans="1:12" hidden="1" x14ac:dyDescent="0.25">
      <c r="A5173" s="6"/>
      <c r="B5173" s="6"/>
      <c r="C5173" s="11"/>
      <c r="D5173" s="13"/>
      <c r="E5173" s="13"/>
      <c r="F5173" s="13"/>
      <c r="G5173" s="13"/>
      <c r="H5173" s="13"/>
      <c r="I5173" s="10"/>
      <c r="J5173" s="11"/>
      <c r="K5173" s="6"/>
      <c r="L5173" s="13"/>
    </row>
    <row r="5174" spans="1:12" hidden="1" x14ac:dyDescent="0.25">
      <c r="A5174" s="6"/>
      <c r="B5174" s="6"/>
      <c r="C5174" s="11"/>
      <c r="D5174" s="13"/>
      <c r="E5174" s="13"/>
      <c r="F5174" s="13"/>
      <c r="G5174" s="13"/>
      <c r="H5174" s="13"/>
      <c r="I5174" s="10"/>
      <c r="J5174" s="11"/>
      <c r="K5174" s="6"/>
      <c r="L5174" s="13"/>
    </row>
    <row r="5175" spans="1:12" hidden="1" x14ac:dyDescent="0.25">
      <c r="A5175" s="6"/>
      <c r="B5175" s="6"/>
      <c r="C5175" s="11"/>
      <c r="D5175" s="13"/>
      <c r="E5175" s="13"/>
      <c r="F5175" s="13"/>
      <c r="G5175" s="13"/>
      <c r="H5175" s="13"/>
      <c r="I5175" s="10"/>
      <c r="J5175" s="11"/>
      <c r="K5175" s="6"/>
      <c r="L5175" s="13"/>
    </row>
    <row r="5176" spans="1:12" hidden="1" x14ac:dyDescent="0.25">
      <c r="A5176" s="6"/>
      <c r="B5176" s="6"/>
      <c r="C5176" s="11"/>
      <c r="D5176" s="13"/>
      <c r="E5176" s="13"/>
      <c r="F5176" s="13"/>
      <c r="G5176" s="13"/>
      <c r="H5176" s="13"/>
      <c r="I5176" s="10"/>
      <c r="J5176" s="11"/>
      <c r="K5176" s="6"/>
      <c r="L5176" s="13"/>
    </row>
    <row r="5177" spans="1:12" hidden="1" x14ac:dyDescent="0.25">
      <c r="A5177" s="6"/>
      <c r="B5177" s="6"/>
      <c r="C5177" s="11"/>
      <c r="D5177" s="13"/>
      <c r="E5177" s="13"/>
      <c r="F5177" s="13"/>
      <c r="G5177" s="13"/>
      <c r="H5177" s="13"/>
      <c r="I5177" s="10"/>
      <c r="J5177" s="11"/>
      <c r="K5177" s="6"/>
      <c r="L5177" s="13"/>
    </row>
    <row r="5178" spans="1:12" hidden="1" x14ac:dyDescent="0.25">
      <c r="A5178" s="6"/>
      <c r="B5178" s="6"/>
      <c r="C5178" s="11"/>
      <c r="D5178" s="13"/>
      <c r="E5178" s="13"/>
      <c r="F5178" s="13"/>
      <c r="G5178" s="13"/>
      <c r="H5178" s="13"/>
      <c r="I5178" s="10"/>
      <c r="J5178" s="11"/>
      <c r="K5178" s="6"/>
      <c r="L5178" s="13"/>
    </row>
    <row r="5179" spans="1:12" hidden="1" x14ac:dyDescent="0.25">
      <c r="A5179" s="6"/>
      <c r="B5179" s="6"/>
      <c r="C5179" s="11"/>
      <c r="D5179" s="13"/>
      <c r="E5179" s="13"/>
      <c r="F5179" s="13"/>
      <c r="G5179" s="13"/>
      <c r="H5179" s="13"/>
      <c r="I5179" s="10"/>
      <c r="J5179" s="11"/>
      <c r="K5179" s="6"/>
      <c r="L5179" s="13"/>
    </row>
    <row r="5180" spans="1:12" hidden="1" x14ac:dyDescent="0.25">
      <c r="A5180" s="6"/>
      <c r="B5180" s="6"/>
      <c r="C5180" s="11"/>
      <c r="D5180" s="13"/>
      <c r="E5180" s="13"/>
      <c r="F5180" s="13"/>
      <c r="G5180" s="13"/>
      <c r="H5180" s="13"/>
      <c r="I5180" s="10"/>
      <c r="J5180" s="11"/>
      <c r="K5180" s="6"/>
      <c r="L5180" s="13"/>
    </row>
    <row r="5181" spans="1:12" hidden="1" x14ac:dyDescent="0.25">
      <c r="A5181" s="6"/>
      <c r="B5181" s="6"/>
      <c r="C5181" s="11"/>
      <c r="D5181" s="13"/>
      <c r="E5181" s="13"/>
      <c r="F5181" s="13"/>
      <c r="G5181" s="13"/>
      <c r="H5181" s="13"/>
      <c r="I5181" s="10"/>
      <c r="J5181" s="11"/>
      <c r="K5181" s="6"/>
      <c r="L5181" s="13"/>
    </row>
    <row r="5182" spans="1:12" hidden="1" x14ac:dyDescent="0.25">
      <c r="A5182" s="6"/>
      <c r="B5182" s="6"/>
      <c r="C5182" s="11"/>
      <c r="D5182" s="13"/>
      <c r="E5182" s="13"/>
      <c r="F5182" s="13"/>
      <c r="G5182" s="13"/>
      <c r="H5182" s="13"/>
      <c r="I5182" s="10"/>
      <c r="J5182" s="11"/>
      <c r="K5182" s="6"/>
      <c r="L5182" s="13"/>
    </row>
    <row r="5183" spans="1:12" hidden="1" x14ac:dyDescent="0.25">
      <c r="A5183" s="6"/>
      <c r="B5183" s="6"/>
      <c r="C5183" s="11"/>
      <c r="D5183" s="13"/>
      <c r="E5183" s="13"/>
      <c r="F5183" s="13"/>
      <c r="G5183" s="13"/>
      <c r="H5183" s="13"/>
      <c r="I5183" s="10"/>
      <c r="J5183" s="11"/>
      <c r="K5183" s="6"/>
      <c r="L5183" s="13"/>
    </row>
    <row r="5184" spans="1:12" hidden="1" x14ac:dyDescent="0.25">
      <c r="A5184" s="6"/>
      <c r="B5184" s="6"/>
      <c r="C5184" s="11"/>
      <c r="D5184" s="13"/>
      <c r="E5184" s="13"/>
      <c r="F5184" s="13"/>
      <c r="G5184" s="13"/>
      <c r="H5184" s="13"/>
      <c r="I5184" s="10"/>
      <c r="J5184" s="11"/>
      <c r="K5184" s="6"/>
      <c r="L5184" s="13"/>
    </row>
    <row r="5185" spans="1:12" hidden="1" x14ac:dyDescent="0.25">
      <c r="A5185" s="6"/>
      <c r="B5185" s="6"/>
      <c r="C5185" s="11"/>
      <c r="D5185" s="13"/>
      <c r="E5185" s="13"/>
      <c r="F5185" s="13"/>
      <c r="G5185" s="13"/>
      <c r="H5185" s="13"/>
      <c r="I5185" s="10"/>
      <c r="J5185" s="11"/>
      <c r="K5185" s="6"/>
      <c r="L5185" s="13"/>
    </row>
    <row r="5186" spans="1:12" hidden="1" x14ac:dyDescent="0.25">
      <c r="A5186" s="6"/>
      <c r="B5186" s="6"/>
      <c r="C5186" s="11"/>
      <c r="D5186" s="13"/>
      <c r="E5186" s="13"/>
      <c r="F5186" s="13"/>
      <c r="G5186" s="13"/>
      <c r="H5186" s="13"/>
      <c r="I5186" s="10"/>
      <c r="J5186" s="11"/>
      <c r="K5186" s="6"/>
      <c r="L5186" s="13"/>
    </row>
    <row r="5187" spans="1:12" hidden="1" x14ac:dyDescent="0.25">
      <c r="A5187" s="6"/>
      <c r="B5187" s="6"/>
      <c r="C5187" s="11"/>
      <c r="D5187" s="13"/>
      <c r="E5187" s="13"/>
      <c r="F5187" s="13"/>
      <c r="G5187" s="13"/>
      <c r="H5187" s="13"/>
      <c r="I5187" s="10"/>
      <c r="J5187" s="11"/>
      <c r="K5187" s="6"/>
      <c r="L5187" s="13"/>
    </row>
    <row r="5188" spans="1:12" hidden="1" x14ac:dyDescent="0.25">
      <c r="A5188" s="6"/>
      <c r="B5188" s="6"/>
      <c r="C5188" s="11"/>
      <c r="D5188" s="13"/>
      <c r="E5188" s="13"/>
      <c r="F5188" s="13"/>
      <c r="G5188" s="13"/>
      <c r="H5188" s="13"/>
      <c r="I5188" s="10"/>
      <c r="J5188" s="11"/>
      <c r="K5188" s="6"/>
      <c r="L5188" s="13"/>
    </row>
    <row r="5189" spans="1:12" hidden="1" x14ac:dyDescent="0.25">
      <c r="A5189" s="6"/>
      <c r="B5189" s="6"/>
      <c r="C5189" s="11"/>
      <c r="D5189" s="13"/>
      <c r="E5189" s="13"/>
      <c r="F5189" s="13"/>
      <c r="G5189" s="13"/>
      <c r="H5189" s="13"/>
      <c r="I5189" s="10"/>
      <c r="J5189" s="11"/>
      <c r="K5189" s="6"/>
      <c r="L5189" s="13"/>
    </row>
    <row r="5190" spans="1:12" hidden="1" x14ac:dyDescent="0.25">
      <c r="A5190" s="6"/>
      <c r="B5190" s="6"/>
      <c r="C5190" s="11"/>
      <c r="D5190" s="13"/>
      <c r="E5190" s="13"/>
      <c r="F5190" s="13"/>
      <c r="G5190" s="13"/>
      <c r="H5190" s="13"/>
      <c r="I5190" s="10"/>
      <c r="J5190" s="11"/>
      <c r="K5190" s="6"/>
      <c r="L5190" s="13"/>
    </row>
    <row r="5191" spans="1:12" hidden="1" x14ac:dyDescent="0.25">
      <c r="A5191" s="6"/>
      <c r="B5191" s="6"/>
      <c r="C5191" s="11"/>
      <c r="D5191" s="13"/>
      <c r="E5191" s="13"/>
      <c r="F5191" s="13"/>
      <c r="G5191" s="13"/>
      <c r="H5191" s="13"/>
      <c r="I5191" s="10"/>
      <c r="J5191" s="11"/>
      <c r="K5191" s="6"/>
      <c r="L5191" s="13"/>
    </row>
    <row r="5192" spans="1:12" hidden="1" x14ac:dyDescent="0.25">
      <c r="A5192" s="6"/>
      <c r="B5192" s="6"/>
      <c r="C5192" s="11"/>
      <c r="D5192" s="13"/>
      <c r="E5192" s="13"/>
      <c r="F5192" s="13"/>
      <c r="G5192" s="13"/>
      <c r="H5192" s="13"/>
      <c r="I5192" s="10"/>
      <c r="J5192" s="11"/>
      <c r="K5192" s="6"/>
      <c r="L5192" s="13"/>
    </row>
    <row r="5193" spans="1:12" hidden="1" x14ac:dyDescent="0.25">
      <c r="A5193" s="6"/>
      <c r="B5193" s="6"/>
      <c r="C5193" s="11"/>
      <c r="D5193" s="13"/>
      <c r="E5193" s="13"/>
      <c r="F5193" s="13"/>
      <c r="G5193" s="13"/>
      <c r="H5193" s="13"/>
      <c r="I5193" s="10"/>
      <c r="J5193" s="11"/>
      <c r="K5193" s="6"/>
      <c r="L5193" s="13"/>
    </row>
    <row r="5194" spans="1:12" hidden="1" x14ac:dyDescent="0.25">
      <c r="A5194" s="6"/>
      <c r="B5194" s="6"/>
      <c r="C5194" s="11"/>
      <c r="D5194" s="13"/>
      <c r="E5194" s="13"/>
      <c r="F5194" s="13"/>
      <c r="G5194" s="13"/>
      <c r="H5194" s="13"/>
      <c r="I5194" s="10"/>
      <c r="J5194" s="11"/>
      <c r="K5194" s="6"/>
      <c r="L5194" s="13"/>
    </row>
    <row r="5195" spans="1:12" hidden="1" x14ac:dyDescent="0.25">
      <c r="A5195" s="6"/>
      <c r="B5195" s="6"/>
      <c r="C5195" s="11"/>
      <c r="D5195" s="13"/>
      <c r="E5195" s="13"/>
      <c r="F5195" s="13"/>
      <c r="G5195" s="13"/>
      <c r="H5195" s="13"/>
      <c r="I5195" s="10"/>
      <c r="J5195" s="11"/>
      <c r="K5195" s="6"/>
      <c r="L5195" s="13"/>
    </row>
    <row r="5196" spans="1:12" hidden="1" x14ac:dyDescent="0.25">
      <c r="A5196" s="6"/>
      <c r="B5196" s="6"/>
      <c r="C5196" s="11"/>
      <c r="D5196" s="13"/>
      <c r="E5196" s="13"/>
      <c r="F5196" s="13"/>
      <c r="G5196" s="13"/>
      <c r="H5196" s="13"/>
      <c r="I5196" s="10"/>
      <c r="J5196" s="11"/>
      <c r="K5196" s="6"/>
      <c r="L5196" s="13"/>
    </row>
    <row r="5197" spans="1:12" hidden="1" x14ac:dyDescent="0.25">
      <c r="A5197" s="6"/>
      <c r="B5197" s="6"/>
      <c r="C5197" s="11"/>
      <c r="D5197" s="13"/>
      <c r="E5197" s="13"/>
      <c r="F5197" s="13"/>
      <c r="G5197" s="13"/>
      <c r="H5197" s="13"/>
      <c r="I5197" s="10"/>
      <c r="J5197" s="11"/>
      <c r="K5197" s="6"/>
      <c r="L5197" s="13"/>
    </row>
    <row r="5198" spans="1:12" hidden="1" x14ac:dyDescent="0.25">
      <c r="A5198" s="6"/>
      <c r="B5198" s="6"/>
      <c r="C5198" s="11"/>
      <c r="D5198" s="13"/>
      <c r="E5198" s="13"/>
      <c r="F5198" s="13"/>
      <c r="G5198" s="13"/>
      <c r="H5198" s="13"/>
      <c r="I5198" s="10"/>
      <c r="J5198" s="11"/>
      <c r="K5198" s="6"/>
      <c r="L5198" s="13"/>
    </row>
    <row r="5199" spans="1:12" hidden="1" x14ac:dyDescent="0.25">
      <c r="A5199" s="6"/>
      <c r="B5199" s="6"/>
      <c r="C5199" s="11"/>
      <c r="D5199" s="13"/>
      <c r="E5199" s="13"/>
      <c r="F5199" s="13"/>
      <c r="G5199" s="13"/>
      <c r="H5199" s="13"/>
      <c r="I5199" s="10"/>
      <c r="J5199" s="11"/>
      <c r="K5199" s="6"/>
      <c r="L5199" s="13"/>
    </row>
    <row r="5200" spans="1:12" hidden="1" x14ac:dyDescent="0.25">
      <c r="A5200" s="6"/>
      <c r="B5200" s="6"/>
      <c r="C5200" s="11"/>
      <c r="D5200" s="13"/>
      <c r="E5200" s="13"/>
      <c r="F5200" s="13"/>
      <c r="G5200" s="13"/>
      <c r="H5200" s="13"/>
      <c r="I5200" s="10"/>
      <c r="J5200" s="11"/>
      <c r="K5200" s="6"/>
      <c r="L5200" s="13"/>
    </row>
    <row r="5201" spans="1:12" hidden="1" x14ac:dyDescent="0.25">
      <c r="A5201" s="6"/>
      <c r="B5201" s="6"/>
      <c r="C5201" s="11"/>
      <c r="D5201" s="13"/>
      <c r="E5201" s="13"/>
      <c r="F5201" s="13"/>
      <c r="G5201" s="13"/>
      <c r="H5201" s="13"/>
      <c r="I5201" s="10"/>
      <c r="J5201" s="11"/>
      <c r="K5201" s="6"/>
      <c r="L5201" s="13"/>
    </row>
    <row r="5202" spans="1:12" hidden="1" x14ac:dyDescent="0.25">
      <c r="A5202" s="6"/>
      <c r="B5202" s="6"/>
      <c r="C5202" s="11"/>
      <c r="D5202" s="13"/>
      <c r="E5202" s="13"/>
      <c r="F5202" s="13"/>
      <c r="G5202" s="13"/>
      <c r="H5202" s="13"/>
      <c r="I5202" s="10"/>
      <c r="J5202" s="11"/>
      <c r="K5202" s="6"/>
      <c r="L5202" s="13"/>
    </row>
    <row r="5203" spans="1:12" hidden="1" x14ac:dyDescent="0.25">
      <c r="A5203" s="6"/>
      <c r="B5203" s="6"/>
      <c r="C5203" s="11"/>
      <c r="D5203" s="13"/>
      <c r="E5203" s="13"/>
      <c r="F5203" s="13"/>
      <c r="G5203" s="13"/>
      <c r="H5203" s="13"/>
      <c r="I5203" s="10"/>
      <c r="J5203" s="11"/>
      <c r="K5203" s="6"/>
      <c r="L5203" s="13"/>
    </row>
    <row r="5204" spans="1:12" hidden="1" x14ac:dyDescent="0.25">
      <c r="A5204" s="6"/>
      <c r="B5204" s="6"/>
      <c r="C5204" s="11"/>
      <c r="D5204" s="13"/>
      <c r="E5204" s="13"/>
      <c r="F5204" s="13"/>
      <c r="G5204" s="13"/>
      <c r="H5204" s="13"/>
      <c r="I5204" s="10"/>
      <c r="J5204" s="11"/>
      <c r="K5204" s="6"/>
      <c r="L5204" s="13"/>
    </row>
    <row r="5205" spans="1:12" hidden="1" x14ac:dyDescent="0.25">
      <c r="A5205" s="6"/>
      <c r="B5205" s="6"/>
      <c r="C5205" s="11"/>
      <c r="D5205" s="13"/>
      <c r="E5205" s="13"/>
      <c r="F5205" s="13"/>
      <c r="G5205" s="13"/>
      <c r="H5205" s="13"/>
      <c r="I5205" s="10"/>
      <c r="J5205" s="11"/>
      <c r="K5205" s="6"/>
      <c r="L5205" s="13"/>
    </row>
    <row r="5206" spans="1:12" hidden="1" x14ac:dyDescent="0.25">
      <c r="A5206" s="6"/>
      <c r="B5206" s="6"/>
      <c r="C5206" s="11"/>
      <c r="D5206" s="13"/>
      <c r="E5206" s="13"/>
      <c r="F5206" s="13"/>
      <c r="G5206" s="13"/>
      <c r="H5206" s="13"/>
      <c r="I5206" s="10"/>
      <c r="J5206" s="11"/>
      <c r="K5206" s="6"/>
      <c r="L5206" s="13"/>
    </row>
    <row r="5207" spans="1:12" hidden="1" x14ac:dyDescent="0.25">
      <c r="A5207" s="6"/>
      <c r="B5207" s="6"/>
      <c r="C5207" s="11"/>
      <c r="D5207" s="13"/>
      <c r="E5207" s="13"/>
      <c r="F5207" s="13"/>
      <c r="G5207" s="13"/>
      <c r="H5207" s="13"/>
      <c r="I5207" s="10"/>
      <c r="J5207" s="11"/>
      <c r="K5207" s="6"/>
      <c r="L5207" s="13"/>
    </row>
    <row r="5208" spans="1:12" hidden="1" x14ac:dyDescent="0.25">
      <c r="A5208" s="6"/>
      <c r="B5208" s="6"/>
      <c r="C5208" s="11"/>
      <c r="D5208" s="13"/>
      <c r="E5208" s="13"/>
      <c r="F5208" s="13"/>
      <c r="G5208" s="13"/>
      <c r="H5208" s="13"/>
      <c r="I5208" s="10"/>
      <c r="J5208" s="11"/>
      <c r="K5208" s="6"/>
      <c r="L5208" s="13"/>
    </row>
    <row r="5209" spans="1:12" hidden="1" x14ac:dyDescent="0.25">
      <c r="A5209" s="6"/>
      <c r="B5209" s="6"/>
      <c r="C5209" s="11"/>
      <c r="D5209" s="13"/>
      <c r="E5209" s="13"/>
      <c r="F5209" s="13"/>
      <c r="G5209" s="13"/>
      <c r="H5209" s="13"/>
      <c r="I5209" s="10"/>
      <c r="J5209" s="11"/>
      <c r="K5209" s="6"/>
      <c r="L5209" s="13"/>
    </row>
    <row r="5210" spans="1:12" hidden="1" x14ac:dyDescent="0.25">
      <c r="A5210" s="6"/>
      <c r="B5210" s="6"/>
      <c r="C5210" s="11"/>
      <c r="D5210" s="13"/>
      <c r="E5210" s="13"/>
      <c r="F5210" s="13"/>
      <c r="G5210" s="13"/>
      <c r="H5210" s="13"/>
      <c r="I5210" s="10"/>
      <c r="J5210" s="11"/>
      <c r="K5210" s="6"/>
      <c r="L5210" s="13"/>
    </row>
    <row r="5211" spans="1:12" hidden="1" x14ac:dyDescent="0.25">
      <c r="A5211" s="6"/>
      <c r="B5211" s="6"/>
      <c r="C5211" s="11"/>
      <c r="D5211" s="13"/>
      <c r="E5211" s="13"/>
      <c r="F5211" s="13"/>
      <c r="G5211" s="13"/>
      <c r="H5211" s="13"/>
      <c r="I5211" s="10"/>
      <c r="J5211" s="11"/>
      <c r="K5211" s="6"/>
      <c r="L5211" s="13"/>
    </row>
    <row r="5212" spans="1:12" hidden="1" x14ac:dyDescent="0.25">
      <c r="A5212" s="6"/>
      <c r="B5212" s="6"/>
      <c r="C5212" s="11"/>
      <c r="D5212" s="13"/>
      <c r="E5212" s="13"/>
      <c r="F5212" s="13"/>
      <c r="G5212" s="13"/>
      <c r="H5212" s="13"/>
      <c r="I5212" s="10"/>
      <c r="J5212" s="11"/>
      <c r="K5212" s="6"/>
      <c r="L5212" s="13"/>
    </row>
    <row r="5213" spans="1:12" hidden="1" x14ac:dyDescent="0.25">
      <c r="A5213" s="6"/>
      <c r="B5213" s="6"/>
      <c r="C5213" s="11"/>
      <c r="D5213" s="13"/>
      <c r="E5213" s="13"/>
      <c r="F5213" s="13"/>
      <c r="G5213" s="13"/>
      <c r="H5213" s="13"/>
      <c r="I5213" s="10"/>
      <c r="J5213" s="11"/>
      <c r="K5213" s="6"/>
      <c r="L5213" s="13"/>
    </row>
    <row r="5214" spans="1:12" hidden="1" x14ac:dyDescent="0.25">
      <c r="A5214" s="6"/>
      <c r="B5214" s="6"/>
      <c r="C5214" s="11"/>
      <c r="D5214" s="13"/>
      <c r="E5214" s="13"/>
      <c r="F5214" s="13"/>
      <c r="G5214" s="13"/>
      <c r="H5214" s="13"/>
      <c r="I5214" s="10"/>
      <c r="J5214" s="11"/>
      <c r="K5214" s="6"/>
      <c r="L5214" s="13"/>
    </row>
    <row r="5215" spans="1:12" hidden="1" x14ac:dyDescent="0.25">
      <c r="A5215" s="6"/>
      <c r="B5215" s="6"/>
      <c r="C5215" s="11"/>
      <c r="D5215" s="13"/>
      <c r="E5215" s="13"/>
      <c r="F5215" s="13"/>
      <c r="G5215" s="13"/>
      <c r="H5215" s="13"/>
      <c r="I5215" s="10"/>
      <c r="J5215" s="11"/>
      <c r="K5215" s="6"/>
      <c r="L5215" s="13"/>
    </row>
    <row r="5216" spans="1:12" hidden="1" x14ac:dyDescent="0.25">
      <c r="A5216" s="6"/>
      <c r="B5216" s="6"/>
      <c r="C5216" s="11"/>
      <c r="D5216" s="13"/>
      <c r="E5216" s="13"/>
      <c r="F5216" s="13"/>
      <c r="G5216" s="13"/>
      <c r="H5216" s="13"/>
      <c r="I5216" s="10"/>
      <c r="J5216" s="11"/>
      <c r="K5216" s="6"/>
      <c r="L5216" s="13"/>
    </row>
    <row r="5217" spans="1:12" hidden="1" x14ac:dyDescent="0.25">
      <c r="A5217" s="6"/>
      <c r="B5217" s="6"/>
      <c r="C5217" s="11"/>
      <c r="D5217" s="13"/>
      <c r="E5217" s="13"/>
      <c r="F5217" s="13"/>
      <c r="G5217" s="13"/>
      <c r="H5217" s="13"/>
      <c r="I5217" s="10"/>
      <c r="J5217" s="11"/>
      <c r="K5217" s="6"/>
      <c r="L5217" s="13"/>
    </row>
    <row r="5218" spans="1:12" hidden="1" x14ac:dyDescent="0.25">
      <c r="A5218" s="6"/>
      <c r="B5218" s="6"/>
      <c r="C5218" s="11"/>
      <c r="D5218" s="13"/>
      <c r="E5218" s="13"/>
      <c r="F5218" s="13"/>
      <c r="G5218" s="13"/>
      <c r="H5218" s="13"/>
      <c r="I5218" s="10"/>
      <c r="J5218" s="11"/>
      <c r="K5218" s="6"/>
      <c r="L5218" s="13"/>
    </row>
    <row r="5219" spans="1:12" hidden="1" x14ac:dyDescent="0.25">
      <c r="A5219" s="6"/>
      <c r="B5219" s="6"/>
      <c r="C5219" s="11"/>
      <c r="D5219" s="13"/>
      <c r="E5219" s="13"/>
      <c r="F5219" s="13"/>
      <c r="G5219" s="13"/>
      <c r="H5219" s="13"/>
      <c r="I5219" s="10"/>
      <c r="J5219" s="11"/>
      <c r="K5219" s="6"/>
      <c r="L5219" s="13"/>
    </row>
    <row r="5220" spans="1:12" hidden="1" x14ac:dyDescent="0.25">
      <c r="A5220" s="6"/>
      <c r="B5220" s="6"/>
      <c r="C5220" s="11"/>
      <c r="D5220" s="13"/>
      <c r="E5220" s="13"/>
      <c r="F5220" s="13"/>
      <c r="G5220" s="13"/>
      <c r="H5220" s="13"/>
      <c r="I5220" s="10"/>
      <c r="J5220" s="11"/>
      <c r="K5220" s="6"/>
      <c r="L5220" s="114"/>
    </row>
    <row r="5221" spans="1:12" hidden="1" x14ac:dyDescent="0.25">
      <c r="A5221" s="6"/>
      <c r="B5221" s="6"/>
      <c r="C5221" s="11"/>
      <c r="D5221" s="13"/>
      <c r="E5221" s="13"/>
      <c r="F5221" s="13"/>
      <c r="G5221" s="13"/>
      <c r="H5221" s="13"/>
      <c r="I5221" s="10"/>
      <c r="J5221" s="11"/>
      <c r="K5221" s="6"/>
      <c r="L5221" s="13"/>
    </row>
    <row r="5222" spans="1:12" hidden="1" x14ac:dyDescent="0.25">
      <c r="A5222" s="6"/>
      <c r="B5222" s="6"/>
      <c r="C5222" s="11"/>
      <c r="D5222" s="13"/>
      <c r="E5222" s="13"/>
      <c r="F5222" s="13"/>
      <c r="G5222" s="13"/>
      <c r="H5222" s="13"/>
      <c r="I5222" s="10"/>
      <c r="J5222" s="11"/>
      <c r="K5222" s="6"/>
      <c r="L5222" s="13"/>
    </row>
    <row r="5223" spans="1:12" hidden="1" x14ac:dyDescent="0.25">
      <c r="A5223" s="6"/>
      <c r="B5223" s="6"/>
      <c r="C5223" s="11"/>
      <c r="D5223" s="13"/>
      <c r="E5223" s="13"/>
      <c r="F5223" s="13"/>
      <c r="G5223" s="13"/>
      <c r="H5223" s="13"/>
      <c r="I5223" s="10"/>
      <c r="J5223" s="11"/>
      <c r="K5223" s="6"/>
      <c r="L5223" s="13"/>
    </row>
    <row r="5224" spans="1:12" hidden="1" x14ac:dyDescent="0.25">
      <c r="A5224" s="6"/>
      <c r="B5224" s="6"/>
      <c r="C5224" s="11"/>
      <c r="D5224" s="13"/>
      <c r="E5224" s="13"/>
      <c r="F5224" s="13"/>
      <c r="G5224" s="13"/>
      <c r="H5224" s="13"/>
      <c r="I5224" s="10"/>
      <c r="J5224" s="11"/>
      <c r="K5224" s="6"/>
      <c r="L5224" s="13"/>
    </row>
    <row r="5225" spans="1:12" hidden="1" x14ac:dyDescent="0.25">
      <c r="A5225" s="6"/>
      <c r="B5225" s="6"/>
      <c r="C5225" s="11"/>
      <c r="D5225" s="13"/>
      <c r="E5225" s="13"/>
      <c r="F5225" s="13"/>
      <c r="G5225" s="13"/>
      <c r="H5225" s="13"/>
      <c r="I5225" s="10"/>
      <c r="J5225" s="11"/>
      <c r="K5225" s="6"/>
      <c r="L5225" s="13"/>
    </row>
    <row r="5226" spans="1:12" hidden="1" x14ac:dyDescent="0.25">
      <c r="A5226" s="6"/>
      <c r="B5226" s="6"/>
      <c r="C5226" s="11"/>
      <c r="D5226" s="13"/>
      <c r="E5226" s="13"/>
      <c r="F5226" s="13"/>
      <c r="G5226" s="13"/>
      <c r="H5226" s="13"/>
      <c r="I5226" s="10"/>
      <c r="J5226" s="11"/>
      <c r="K5226" s="6"/>
      <c r="L5226" s="13"/>
    </row>
    <row r="5227" spans="1:12" hidden="1" x14ac:dyDescent="0.25">
      <c r="A5227" s="117"/>
      <c r="B5227" s="117"/>
      <c r="C5227" s="118"/>
      <c r="D5227" s="119"/>
      <c r="E5227" s="119"/>
      <c r="F5227" s="119"/>
      <c r="G5227" s="119"/>
      <c r="H5227" s="119"/>
      <c r="I5227" s="120"/>
      <c r="J5227" s="118"/>
      <c r="K5227" s="117"/>
      <c r="L5227" s="13"/>
    </row>
    <row r="5228" spans="1:12" hidden="1" x14ac:dyDescent="0.25">
      <c r="A5228" s="117"/>
      <c r="B5228" s="117"/>
      <c r="C5228" s="118"/>
      <c r="D5228" s="119"/>
      <c r="E5228" s="119"/>
      <c r="F5228" s="119"/>
      <c r="G5228" s="119"/>
      <c r="H5228" s="119"/>
      <c r="I5228" s="120"/>
      <c r="J5228" s="118"/>
      <c r="K5228" s="117"/>
      <c r="L5228" s="13"/>
    </row>
    <row r="5229" spans="1:12" hidden="1" x14ac:dyDescent="0.25">
      <c r="A5229" s="117"/>
      <c r="B5229" s="117"/>
      <c r="C5229" s="118"/>
      <c r="D5229" s="119"/>
      <c r="E5229" s="119"/>
      <c r="F5229" s="119"/>
      <c r="G5229" s="119"/>
      <c r="H5229" s="119"/>
      <c r="I5229" s="120"/>
      <c r="J5229" s="118"/>
      <c r="K5229" s="117"/>
      <c r="L5229" s="13"/>
    </row>
    <row r="5230" spans="1:12" hidden="1" x14ac:dyDescent="0.25">
      <c r="A5230" s="117"/>
      <c r="B5230" s="117"/>
      <c r="C5230" s="118"/>
      <c r="D5230" s="119"/>
      <c r="E5230" s="119"/>
      <c r="F5230" s="119"/>
      <c r="G5230" s="119"/>
      <c r="H5230" s="119"/>
      <c r="I5230" s="120"/>
      <c r="J5230" s="118"/>
      <c r="K5230" s="117"/>
      <c r="L5230" s="13"/>
    </row>
    <row r="5231" spans="1:12" hidden="1" x14ac:dyDescent="0.25">
      <c r="A5231" s="117"/>
      <c r="B5231" s="117"/>
      <c r="C5231" s="118"/>
      <c r="D5231" s="119"/>
      <c r="E5231" s="119"/>
      <c r="F5231" s="119"/>
      <c r="G5231" s="119"/>
      <c r="H5231" s="119"/>
      <c r="I5231" s="120"/>
      <c r="J5231" s="118"/>
      <c r="K5231" s="117"/>
      <c r="L5231" s="13"/>
    </row>
    <row r="5232" spans="1:12" hidden="1" x14ac:dyDescent="0.25">
      <c r="A5232" s="117"/>
      <c r="B5232" s="117"/>
      <c r="C5232" s="118"/>
      <c r="D5232" s="119"/>
      <c r="E5232" s="119"/>
      <c r="F5232" s="119"/>
      <c r="G5232" s="119"/>
      <c r="H5232" s="119"/>
      <c r="I5232" s="120"/>
      <c r="J5232" s="118"/>
      <c r="K5232" s="117"/>
      <c r="L5232" s="13"/>
    </row>
    <row r="5233" spans="1:12" hidden="1" x14ac:dyDescent="0.25">
      <c r="A5233" s="117"/>
      <c r="B5233" s="117"/>
      <c r="C5233" s="118"/>
      <c r="D5233" s="119"/>
      <c r="E5233" s="119"/>
      <c r="F5233" s="119"/>
      <c r="G5233" s="119"/>
      <c r="H5233" s="119"/>
      <c r="I5233" s="120"/>
      <c r="J5233" s="118"/>
      <c r="K5233" s="117"/>
      <c r="L5233" s="13"/>
    </row>
    <row r="5234" spans="1:12" hidden="1" x14ac:dyDescent="0.25">
      <c r="A5234" s="117"/>
      <c r="B5234" s="117"/>
      <c r="C5234" s="118"/>
      <c r="D5234" s="119"/>
      <c r="E5234" s="119"/>
      <c r="F5234" s="119"/>
      <c r="G5234" s="119"/>
      <c r="H5234" s="119"/>
      <c r="I5234" s="120"/>
      <c r="J5234" s="118"/>
      <c r="K5234" s="117"/>
      <c r="L5234" s="13"/>
    </row>
    <row r="5235" spans="1:12" hidden="1" x14ac:dyDescent="0.25">
      <c r="A5235" s="117"/>
      <c r="B5235" s="117"/>
      <c r="C5235" s="118"/>
      <c r="D5235" s="119"/>
      <c r="E5235" s="119"/>
      <c r="F5235" s="119"/>
      <c r="G5235" s="119"/>
      <c r="H5235" s="119"/>
      <c r="I5235" s="120"/>
      <c r="J5235" s="118"/>
      <c r="K5235" s="117"/>
      <c r="L5235" s="13"/>
    </row>
    <row r="5236" spans="1:12" hidden="1" x14ac:dyDescent="0.25">
      <c r="A5236" s="117"/>
      <c r="B5236" s="117"/>
      <c r="C5236" s="118"/>
      <c r="D5236" s="119"/>
      <c r="E5236" s="119"/>
      <c r="F5236" s="119"/>
      <c r="G5236" s="119"/>
      <c r="H5236" s="119"/>
      <c r="I5236" s="120"/>
      <c r="J5236" s="118"/>
      <c r="K5236" s="117"/>
      <c r="L5236" s="13"/>
    </row>
    <row r="5237" spans="1:12" hidden="1" x14ac:dyDescent="0.25">
      <c r="A5237" s="117"/>
      <c r="B5237" s="117"/>
      <c r="C5237" s="118"/>
      <c r="D5237" s="119"/>
      <c r="E5237" s="119"/>
      <c r="F5237" s="119"/>
      <c r="G5237" s="119"/>
      <c r="H5237" s="119"/>
      <c r="I5237" s="120"/>
      <c r="J5237" s="118"/>
      <c r="K5237" s="117"/>
      <c r="L5237" s="13"/>
    </row>
    <row r="5238" spans="1:12" hidden="1" x14ac:dyDescent="0.25">
      <c r="A5238" s="117"/>
      <c r="B5238" s="117"/>
      <c r="C5238" s="118"/>
      <c r="D5238" s="119"/>
      <c r="E5238" s="119"/>
      <c r="F5238" s="119"/>
      <c r="G5238" s="119"/>
      <c r="H5238" s="119"/>
      <c r="I5238" s="120"/>
      <c r="J5238" s="118"/>
      <c r="K5238" s="117"/>
      <c r="L5238" s="13"/>
    </row>
    <row r="5239" spans="1:12" hidden="1" x14ac:dyDescent="0.25">
      <c r="A5239" s="117"/>
      <c r="B5239" s="117"/>
      <c r="C5239" s="118"/>
      <c r="D5239" s="119"/>
      <c r="E5239" s="119"/>
      <c r="F5239" s="119"/>
      <c r="G5239" s="119"/>
      <c r="H5239" s="119"/>
      <c r="I5239" s="120"/>
      <c r="J5239" s="118"/>
      <c r="K5239" s="117"/>
      <c r="L5239" s="13"/>
    </row>
    <row r="5240" spans="1:12" hidden="1" x14ac:dyDescent="0.25">
      <c r="A5240" s="117"/>
      <c r="B5240" s="117"/>
      <c r="C5240" s="118"/>
      <c r="D5240" s="119"/>
      <c r="E5240" s="119"/>
      <c r="F5240" s="119"/>
      <c r="G5240" s="119"/>
      <c r="H5240" s="119"/>
      <c r="I5240" s="120"/>
      <c r="J5240" s="118"/>
      <c r="K5240" s="117"/>
      <c r="L5240" s="13"/>
    </row>
    <row r="5241" spans="1:12" hidden="1" x14ac:dyDescent="0.25">
      <c r="A5241" s="117"/>
      <c r="B5241" s="117"/>
      <c r="C5241" s="118"/>
      <c r="D5241" s="119"/>
      <c r="E5241" s="119"/>
      <c r="F5241" s="119"/>
      <c r="G5241" s="119"/>
      <c r="H5241" s="119"/>
      <c r="I5241" s="120"/>
      <c r="J5241" s="118"/>
      <c r="K5241" s="117"/>
      <c r="L5241" s="13"/>
    </row>
    <row r="5242" spans="1:12" hidden="1" x14ac:dyDescent="0.25">
      <c r="A5242" s="117"/>
      <c r="B5242" s="117"/>
      <c r="C5242" s="118"/>
      <c r="D5242" s="119"/>
      <c r="E5242" s="119"/>
      <c r="F5242" s="119"/>
      <c r="G5242" s="119"/>
      <c r="H5242" s="119"/>
      <c r="I5242" s="120"/>
      <c r="J5242" s="118"/>
      <c r="K5242" s="117"/>
      <c r="L5242" s="13"/>
    </row>
    <row r="5243" spans="1:12" hidden="1" x14ac:dyDescent="0.25">
      <c r="A5243" s="117"/>
      <c r="B5243" s="117"/>
      <c r="C5243" s="118"/>
      <c r="D5243" s="119"/>
      <c r="E5243" s="119"/>
      <c r="F5243" s="119"/>
      <c r="G5243" s="119"/>
      <c r="H5243" s="119"/>
      <c r="I5243" s="120"/>
      <c r="J5243" s="118"/>
      <c r="K5243" s="117"/>
      <c r="L5243" s="13"/>
    </row>
    <row r="5244" spans="1:12" hidden="1" x14ac:dyDescent="0.25">
      <c r="A5244" s="117"/>
      <c r="B5244" s="117"/>
      <c r="C5244" s="118"/>
      <c r="D5244" s="119"/>
      <c r="E5244" s="119"/>
      <c r="F5244" s="119"/>
      <c r="G5244" s="119"/>
      <c r="H5244" s="119"/>
      <c r="I5244" s="120"/>
      <c r="J5244" s="118"/>
      <c r="K5244" s="117"/>
      <c r="L5244" s="13"/>
    </row>
    <row r="5245" spans="1:12" hidden="1" x14ac:dyDescent="0.25">
      <c r="A5245" s="117"/>
      <c r="B5245" s="117"/>
      <c r="C5245" s="118"/>
      <c r="D5245" s="119"/>
      <c r="E5245" s="119"/>
      <c r="F5245" s="119"/>
      <c r="G5245" s="119"/>
      <c r="H5245" s="119"/>
      <c r="I5245" s="120"/>
      <c r="J5245" s="118"/>
      <c r="K5245" s="117"/>
      <c r="L5245" s="13"/>
    </row>
    <row r="5246" spans="1:12" hidden="1" x14ac:dyDescent="0.25">
      <c r="A5246" s="117"/>
      <c r="B5246" s="117"/>
      <c r="C5246" s="118"/>
      <c r="D5246" s="119"/>
      <c r="E5246" s="119"/>
      <c r="F5246" s="119"/>
      <c r="G5246" s="119"/>
      <c r="H5246" s="119"/>
      <c r="I5246" s="120"/>
      <c r="J5246" s="118"/>
      <c r="K5246" s="117"/>
      <c r="L5246" s="13"/>
    </row>
    <row r="5247" spans="1:12" hidden="1" x14ac:dyDescent="0.25">
      <c r="A5247" s="117"/>
      <c r="B5247" s="117"/>
      <c r="C5247" s="118"/>
      <c r="D5247" s="119"/>
      <c r="E5247" s="119"/>
      <c r="F5247" s="119"/>
      <c r="G5247" s="119"/>
      <c r="H5247" s="119"/>
      <c r="I5247" s="120"/>
      <c r="J5247" s="118"/>
      <c r="K5247" s="117"/>
      <c r="L5247" s="13"/>
    </row>
    <row r="5248" spans="1:12" hidden="1" x14ac:dyDescent="0.25">
      <c r="A5248" s="117"/>
      <c r="B5248" s="117"/>
      <c r="C5248" s="118"/>
      <c r="D5248" s="119"/>
      <c r="E5248" s="119"/>
      <c r="F5248" s="119"/>
      <c r="G5248" s="119"/>
      <c r="H5248" s="119"/>
      <c r="I5248" s="120"/>
      <c r="J5248" s="118"/>
      <c r="K5248" s="117"/>
      <c r="L5248" s="13"/>
    </row>
    <row r="5249" spans="1:12" hidden="1" x14ac:dyDescent="0.25">
      <c r="A5249" s="117"/>
      <c r="B5249" s="117"/>
      <c r="C5249" s="118"/>
      <c r="D5249" s="119"/>
      <c r="E5249" s="119"/>
      <c r="F5249" s="119"/>
      <c r="G5249" s="119"/>
      <c r="H5249" s="119"/>
      <c r="I5249" s="120"/>
      <c r="J5249" s="118"/>
      <c r="K5249" s="117"/>
      <c r="L5249" s="13"/>
    </row>
    <row r="5250" spans="1:12" hidden="1" x14ac:dyDescent="0.25">
      <c r="A5250" s="117"/>
      <c r="B5250" s="117"/>
      <c r="C5250" s="118"/>
      <c r="D5250" s="119"/>
      <c r="E5250" s="119"/>
      <c r="F5250" s="119"/>
      <c r="G5250" s="119"/>
      <c r="H5250" s="119"/>
      <c r="I5250" s="120"/>
      <c r="J5250" s="118"/>
      <c r="K5250" s="117"/>
      <c r="L5250" s="13"/>
    </row>
    <row r="5251" spans="1:12" hidden="1" x14ac:dyDescent="0.25">
      <c r="A5251" s="117"/>
      <c r="B5251" s="117"/>
      <c r="C5251" s="118"/>
      <c r="D5251" s="119"/>
      <c r="E5251" s="119"/>
      <c r="F5251" s="119"/>
      <c r="G5251" s="119"/>
      <c r="H5251" s="119"/>
      <c r="I5251" s="120"/>
      <c r="J5251" s="118"/>
      <c r="K5251" s="117"/>
      <c r="L5251" s="13"/>
    </row>
    <row r="5252" spans="1:12" hidden="1" x14ac:dyDescent="0.25">
      <c r="A5252" s="117"/>
      <c r="B5252" s="117"/>
      <c r="C5252" s="118"/>
      <c r="D5252" s="119"/>
      <c r="E5252" s="119"/>
      <c r="F5252" s="119"/>
      <c r="G5252" s="119"/>
      <c r="H5252" s="119"/>
      <c r="I5252" s="120"/>
      <c r="J5252" s="118"/>
      <c r="K5252" s="117"/>
      <c r="L5252" s="13"/>
    </row>
    <row r="5253" spans="1:12" hidden="1" x14ac:dyDescent="0.25">
      <c r="A5253" s="117"/>
      <c r="B5253" s="117"/>
      <c r="C5253" s="118"/>
      <c r="D5253" s="119"/>
      <c r="E5253" s="119"/>
      <c r="F5253" s="119"/>
      <c r="G5253" s="119"/>
      <c r="H5253" s="119"/>
      <c r="I5253" s="120"/>
      <c r="J5253" s="118"/>
      <c r="K5253" s="117"/>
      <c r="L5253" s="13"/>
    </row>
    <row r="5254" spans="1:12" hidden="1" x14ac:dyDescent="0.25">
      <c r="A5254" s="117"/>
      <c r="B5254" s="117"/>
      <c r="C5254" s="118"/>
      <c r="D5254" s="119"/>
      <c r="E5254" s="119"/>
      <c r="F5254" s="119"/>
      <c r="G5254" s="119"/>
      <c r="H5254" s="119"/>
      <c r="I5254" s="120"/>
      <c r="J5254" s="118"/>
      <c r="K5254" s="117"/>
      <c r="L5254" s="13"/>
    </row>
    <row r="5255" spans="1:12" hidden="1" x14ac:dyDescent="0.25">
      <c r="A5255" s="117"/>
      <c r="B5255" s="117"/>
      <c r="C5255" s="118"/>
      <c r="D5255" s="119"/>
      <c r="E5255" s="119"/>
      <c r="F5255" s="119"/>
      <c r="G5255" s="119"/>
      <c r="H5255" s="119"/>
      <c r="I5255" s="120"/>
      <c r="J5255" s="118"/>
      <c r="K5255" s="117"/>
      <c r="L5255" s="13"/>
    </row>
    <row r="5256" spans="1:12" hidden="1" x14ac:dyDescent="0.25">
      <c r="A5256" s="117"/>
      <c r="B5256" s="117"/>
      <c r="C5256" s="118"/>
      <c r="D5256" s="119"/>
      <c r="E5256" s="119"/>
      <c r="F5256" s="119"/>
      <c r="G5256" s="119"/>
      <c r="H5256" s="119"/>
      <c r="I5256" s="120"/>
      <c r="J5256" s="118"/>
      <c r="K5256" s="117"/>
      <c r="L5256" s="13"/>
    </row>
    <row r="5257" spans="1:12" hidden="1" x14ac:dyDescent="0.25">
      <c r="A5257" s="6"/>
      <c r="B5257" s="6"/>
      <c r="C5257" s="11"/>
      <c r="D5257" s="13"/>
      <c r="E5257" s="13"/>
      <c r="F5257" s="13"/>
      <c r="G5257" s="13"/>
      <c r="H5257" s="13"/>
      <c r="I5257" s="10"/>
      <c r="J5257" s="11"/>
      <c r="K5257" s="6"/>
      <c r="L5257" s="13"/>
    </row>
    <row r="5258" spans="1:12" hidden="1" x14ac:dyDescent="0.25">
      <c r="A5258" s="6"/>
      <c r="B5258" s="6"/>
      <c r="C5258" s="11"/>
      <c r="D5258" s="13"/>
      <c r="E5258" s="13"/>
      <c r="F5258" s="13"/>
      <c r="G5258" s="13"/>
      <c r="H5258" s="13"/>
      <c r="I5258" s="10"/>
      <c r="J5258" s="11"/>
      <c r="K5258" s="6"/>
      <c r="L5258" s="13"/>
    </row>
    <row r="5259" spans="1:12" hidden="1" x14ac:dyDescent="0.25">
      <c r="A5259" s="6"/>
      <c r="B5259" s="6"/>
      <c r="C5259" s="11"/>
      <c r="D5259" s="13"/>
      <c r="E5259" s="13"/>
      <c r="F5259" s="13"/>
      <c r="G5259" s="13"/>
      <c r="H5259" s="13"/>
      <c r="I5259" s="10"/>
      <c r="J5259" s="11"/>
      <c r="K5259" s="6"/>
      <c r="L5259" s="13"/>
    </row>
    <row r="5260" spans="1:12" hidden="1" x14ac:dyDescent="0.25">
      <c r="A5260" s="6"/>
      <c r="B5260" s="6"/>
      <c r="C5260" s="11"/>
      <c r="D5260" s="13"/>
      <c r="E5260" s="13"/>
      <c r="F5260" s="13"/>
      <c r="G5260" s="13"/>
      <c r="H5260" s="13"/>
      <c r="I5260" s="10"/>
      <c r="J5260" s="11"/>
      <c r="K5260" s="6"/>
      <c r="L5260" s="13"/>
    </row>
    <row r="5261" spans="1:12" hidden="1" x14ac:dyDescent="0.25">
      <c r="A5261" s="6"/>
      <c r="B5261" s="6"/>
      <c r="C5261" s="11"/>
      <c r="D5261" s="13"/>
      <c r="E5261" s="13"/>
      <c r="F5261" s="13"/>
      <c r="G5261" s="13"/>
      <c r="H5261" s="13"/>
      <c r="I5261" s="10"/>
      <c r="J5261" s="11"/>
      <c r="K5261" s="6"/>
      <c r="L5261" s="13"/>
    </row>
    <row r="5262" spans="1:12" hidden="1" x14ac:dyDescent="0.25">
      <c r="A5262" s="6"/>
      <c r="B5262" s="6"/>
      <c r="C5262" s="11"/>
      <c r="D5262" s="13"/>
      <c r="E5262" s="13"/>
      <c r="F5262" s="13"/>
      <c r="G5262" s="13"/>
      <c r="H5262" s="13"/>
      <c r="I5262" s="10"/>
      <c r="J5262" s="11"/>
      <c r="K5262" s="6"/>
      <c r="L5262" s="13"/>
    </row>
    <row r="5263" spans="1:12" hidden="1" x14ac:dyDescent="0.25">
      <c r="A5263" s="6"/>
      <c r="B5263" s="6"/>
      <c r="C5263" s="11"/>
      <c r="D5263" s="13"/>
      <c r="E5263" s="13"/>
      <c r="F5263" s="13"/>
      <c r="G5263" s="13"/>
      <c r="H5263" s="13"/>
      <c r="I5263" s="10"/>
      <c r="J5263" s="11"/>
      <c r="K5263" s="6"/>
      <c r="L5263" s="13"/>
    </row>
    <row r="5264" spans="1:12" hidden="1" x14ac:dyDescent="0.25">
      <c r="A5264" s="6"/>
      <c r="B5264" s="6"/>
      <c r="C5264" s="11"/>
      <c r="D5264" s="13"/>
      <c r="E5264" s="13"/>
      <c r="F5264" s="13"/>
      <c r="G5264" s="13"/>
      <c r="H5264" s="13"/>
      <c r="I5264" s="10"/>
      <c r="J5264" s="11"/>
      <c r="K5264" s="6"/>
      <c r="L5264" s="13"/>
    </row>
    <row r="5265" spans="1:12" hidden="1" x14ac:dyDescent="0.25">
      <c r="A5265" s="6"/>
      <c r="B5265" s="6"/>
      <c r="C5265" s="11"/>
      <c r="D5265" s="13"/>
      <c r="E5265" s="13"/>
      <c r="F5265" s="13"/>
      <c r="G5265" s="13"/>
      <c r="H5265" s="13"/>
      <c r="I5265" s="10"/>
      <c r="J5265" s="11"/>
      <c r="K5265" s="6"/>
      <c r="L5265" s="13"/>
    </row>
    <row r="5266" spans="1:12" hidden="1" x14ac:dyDescent="0.25">
      <c r="A5266" s="6"/>
      <c r="B5266" s="6"/>
      <c r="C5266" s="11"/>
      <c r="D5266" s="13"/>
      <c r="E5266" s="13"/>
      <c r="F5266" s="13"/>
      <c r="G5266" s="13"/>
      <c r="H5266" s="13"/>
      <c r="I5266" s="10"/>
      <c r="J5266" s="11"/>
      <c r="K5266" s="6"/>
      <c r="L5266" s="13"/>
    </row>
    <row r="5267" spans="1:12" hidden="1" x14ac:dyDescent="0.25">
      <c r="A5267" s="6"/>
      <c r="B5267" s="6"/>
      <c r="C5267" s="11"/>
      <c r="D5267" s="13"/>
      <c r="E5267" s="13"/>
      <c r="F5267" s="13"/>
      <c r="G5267" s="13"/>
      <c r="H5267" s="13"/>
      <c r="I5267" s="10"/>
      <c r="J5267" s="11"/>
      <c r="K5267" s="6"/>
      <c r="L5267" s="13"/>
    </row>
    <row r="5268" spans="1:12" hidden="1" x14ac:dyDescent="0.25">
      <c r="A5268" s="6"/>
      <c r="B5268" s="6"/>
      <c r="C5268" s="11"/>
      <c r="D5268" s="13"/>
      <c r="E5268" s="13"/>
      <c r="F5268" s="13"/>
      <c r="G5268" s="13"/>
      <c r="H5268" s="13"/>
      <c r="I5268" s="10"/>
      <c r="J5268" s="11"/>
      <c r="K5268" s="6"/>
      <c r="L5268" s="13"/>
    </row>
    <row r="5269" spans="1:12" hidden="1" x14ac:dyDescent="0.25">
      <c r="A5269" s="6"/>
      <c r="B5269" s="6"/>
      <c r="C5269" s="11"/>
      <c r="D5269" s="13"/>
      <c r="E5269" s="13"/>
      <c r="F5269" s="13"/>
      <c r="G5269" s="13"/>
      <c r="H5269" s="13"/>
      <c r="I5269" s="10"/>
      <c r="J5269" s="11"/>
      <c r="K5269" s="6"/>
      <c r="L5269" s="13"/>
    </row>
    <row r="5270" spans="1:12" hidden="1" x14ac:dyDescent="0.25">
      <c r="A5270" s="6"/>
      <c r="B5270" s="6"/>
      <c r="C5270" s="11"/>
      <c r="D5270" s="13"/>
      <c r="E5270" s="13"/>
      <c r="F5270" s="13"/>
      <c r="G5270" s="13"/>
      <c r="H5270" s="13"/>
      <c r="I5270" s="10"/>
      <c r="J5270" s="11"/>
      <c r="K5270" s="6"/>
      <c r="L5270" s="13"/>
    </row>
    <row r="5271" spans="1:12" hidden="1" x14ac:dyDescent="0.25">
      <c r="A5271" s="6"/>
      <c r="B5271" s="6"/>
      <c r="C5271" s="11"/>
      <c r="D5271" s="13"/>
      <c r="E5271" s="13"/>
      <c r="F5271" s="13"/>
      <c r="G5271" s="13"/>
      <c r="H5271" s="13"/>
      <c r="I5271" s="10"/>
      <c r="J5271" s="11"/>
      <c r="K5271" s="6"/>
      <c r="L5271" s="13"/>
    </row>
    <row r="5272" spans="1:12" hidden="1" x14ac:dyDescent="0.25">
      <c r="A5272" s="6"/>
      <c r="B5272" s="6"/>
      <c r="C5272" s="11"/>
      <c r="D5272" s="13"/>
      <c r="E5272" s="13"/>
      <c r="F5272" s="13"/>
      <c r="G5272" s="13"/>
      <c r="H5272" s="13"/>
      <c r="I5272" s="10"/>
      <c r="J5272" s="11"/>
      <c r="K5272" s="6"/>
      <c r="L5272" s="13"/>
    </row>
    <row r="5273" spans="1:12" hidden="1" x14ac:dyDescent="0.25">
      <c r="A5273" s="6"/>
      <c r="B5273" s="6"/>
      <c r="C5273" s="11"/>
      <c r="D5273" s="13"/>
      <c r="E5273" s="13"/>
      <c r="F5273" s="13"/>
      <c r="G5273" s="13"/>
      <c r="H5273" s="13"/>
      <c r="I5273" s="10"/>
      <c r="J5273" s="11"/>
      <c r="K5273" s="6"/>
      <c r="L5273" s="13"/>
    </row>
    <row r="5274" spans="1:12" hidden="1" x14ac:dyDescent="0.25">
      <c r="A5274" s="6"/>
      <c r="B5274" s="6"/>
      <c r="C5274" s="11"/>
      <c r="D5274" s="13"/>
      <c r="E5274" s="13"/>
      <c r="F5274" s="13"/>
      <c r="G5274" s="13"/>
      <c r="H5274" s="13"/>
      <c r="I5274" s="10"/>
      <c r="J5274" s="11"/>
      <c r="K5274" s="6"/>
      <c r="L5274" s="13"/>
    </row>
    <row r="5275" spans="1:12" hidden="1" x14ac:dyDescent="0.25">
      <c r="A5275" s="6"/>
      <c r="B5275" s="6"/>
      <c r="C5275" s="11"/>
      <c r="D5275" s="13"/>
      <c r="E5275" s="13"/>
      <c r="F5275" s="13"/>
      <c r="G5275" s="13"/>
      <c r="H5275" s="13"/>
      <c r="I5275" s="10"/>
      <c r="J5275" s="11"/>
      <c r="K5275" s="6"/>
      <c r="L5275" s="13"/>
    </row>
    <row r="5276" spans="1:12" hidden="1" x14ac:dyDescent="0.25">
      <c r="A5276" s="6"/>
      <c r="B5276" s="6"/>
      <c r="C5276" s="11"/>
      <c r="D5276" s="13"/>
      <c r="E5276" s="13"/>
      <c r="F5276" s="13"/>
      <c r="G5276" s="13"/>
      <c r="H5276" s="13"/>
      <c r="I5276" s="10"/>
      <c r="J5276" s="11"/>
      <c r="K5276" s="6"/>
      <c r="L5276" s="13"/>
    </row>
    <row r="5277" spans="1:12" hidden="1" x14ac:dyDescent="0.25">
      <c r="A5277" s="6"/>
      <c r="B5277" s="6"/>
      <c r="C5277" s="11"/>
      <c r="D5277" s="13"/>
      <c r="E5277" s="13"/>
      <c r="F5277" s="13"/>
      <c r="G5277" s="13"/>
      <c r="H5277" s="13"/>
      <c r="I5277" s="10"/>
      <c r="J5277" s="11"/>
      <c r="K5277" s="6"/>
      <c r="L5277" s="13"/>
    </row>
    <row r="5278" spans="1:12" hidden="1" x14ac:dyDescent="0.25">
      <c r="A5278" s="6"/>
      <c r="B5278" s="6"/>
      <c r="C5278" s="11"/>
      <c r="D5278" s="13"/>
      <c r="E5278" s="13"/>
      <c r="F5278" s="13"/>
      <c r="G5278" s="13"/>
      <c r="H5278" s="13"/>
      <c r="I5278" s="10"/>
      <c r="J5278" s="11"/>
      <c r="K5278" s="6"/>
      <c r="L5278" s="13"/>
    </row>
    <row r="5279" spans="1:12" hidden="1" x14ac:dyDescent="0.25">
      <c r="A5279" s="6"/>
      <c r="B5279" s="6"/>
      <c r="C5279" s="11"/>
      <c r="D5279" s="13"/>
      <c r="E5279" s="13"/>
      <c r="F5279" s="13"/>
      <c r="G5279" s="13"/>
      <c r="H5279" s="13"/>
      <c r="I5279" s="10"/>
      <c r="J5279" s="11"/>
      <c r="K5279" s="6"/>
      <c r="L5279" s="13"/>
    </row>
    <row r="5280" spans="1:12" hidden="1" x14ac:dyDescent="0.25">
      <c r="A5280" s="6"/>
      <c r="B5280" s="6"/>
      <c r="C5280" s="11"/>
      <c r="D5280" s="13"/>
      <c r="E5280" s="13"/>
      <c r="F5280" s="13"/>
      <c r="G5280" s="13"/>
      <c r="H5280" s="13"/>
      <c r="I5280" s="10"/>
      <c r="J5280" s="11"/>
      <c r="K5280" s="6"/>
      <c r="L5280" s="13"/>
    </row>
    <row r="5281" spans="1:12" hidden="1" x14ac:dyDescent="0.25">
      <c r="A5281" s="6"/>
      <c r="B5281" s="6"/>
      <c r="C5281" s="11"/>
      <c r="D5281" s="13"/>
      <c r="E5281" s="13"/>
      <c r="F5281" s="13"/>
      <c r="G5281" s="13"/>
      <c r="H5281" s="13"/>
      <c r="I5281" s="10"/>
      <c r="J5281" s="11"/>
      <c r="K5281" s="6"/>
      <c r="L5281" s="13"/>
    </row>
    <row r="5282" spans="1:12" hidden="1" x14ac:dyDescent="0.25">
      <c r="A5282" s="6"/>
      <c r="B5282" s="6"/>
      <c r="C5282" s="11"/>
      <c r="D5282" s="13"/>
      <c r="E5282" s="13"/>
      <c r="F5282" s="13"/>
      <c r="G5282" s="13"/>
      <c r="H5282" s="13"/>
      <c r="I5282" s="10"/>
      <c r="J5282" s="11"/>
      <c r="K5282" s="6"/>
      <c r="L5282" s="13"/>
    </row>
    <row r="5283" spans="1:12" hidden="1" x14ac:dyDescent="0.25">
      <c r="A5283" s="6"/>
      <c r="B5283" s="6"/>
      <c r="C5283" s="11"/>
      <c r="D5283" s="13"/>
      <c r="E5283" s="13"/>
      <c r="F5283" s="13"/>
      <c r="G5283" s="13"/>
      <c r="H5283" s="13"/>
      <c r="I5283" s="10"/>
      <c r="J5283" s="11"/>
      <c r="K5283" s="6"/>
      <c r="L5283" s="13"/>
    </row>
    <row r="5284" spans="1:12" hidden="1" x14ac:dyDescent="0.25">
      <c r="A5284" s="6"/>
      <c r="B5284" s="6"/>
      <c r="C5284" s="11"/>
      <c r="D5284" s="13"/>
      <c r="E5284" s="13"/>
      <c r="F5284" s="13"/>
      <c r="G5284" s="13"/>
      <c r="H5284" s="13"/>
      <c r="I5284" s="10"/>
      <c r="J5284" s="11"/>
      <c r="K5284" s="6"/>
      <c r="L5284" s="13"/>
    </row>
    <row r="5285" spans="1:12" hidden="1" x14ac:dyDescent="0.25">
      <c r="A5285" s="6"/>
      <c r="B5285" s="6"/>
      <c r="C5285" s="11"/>
      <c r="D5285" s="13"/>
      <c r="E5285" s="13"/>
      <c r="F5285" s="13"/>
      <c r="G5285" s="13"/>
      <c r="H5285" s="13"/>
      <c r="I5285" s="10"/>
      <c r="J5285" s="11"/>
      <c r="K5285" s="6"/>
      <c r="L5285" s="13"/>
    </row>
    <row r="5286" spans="1:12" hidden="1" x14ac:dyDescent="0.25">
      <c r="A5286" s="6"/>
      <c r="B5286" s="6"/>
      <c r="C5286" s="11"/>
      <c r="D5286" s="13"/>
      <c r="E5286" s="13"/>
      <c r="F5286" s="13"/>
      <c r="G5286" s="13"/>
      <c r="H5286" s="13"/>
      <c r="I5286" s="10"/>
      <c r="J5286" s="11"/>
      <c r="K5286" s="6"/>
      <c r="L5286" s="13"/>
    </row>
    <row r="5287" spans="1:12" hidden="1" x14ac:dyDescent="0.25">
      <c r="A5287" s="6"/>
      <c r="B5287" s="6"/>
      <c r="C5287" s="11"/>
      <c r="D5287" s="13"/>
      <c r="E5287" s="13"/>
      <c r="F5287" s="13"/>
      <c r="G5287" s="13"/>
      <c r="H5287" s="13"/>
      <c r="I5287" s="10"/>
      <c r="J5287" s="11"/>
      <c r="K5287" s="6"/>
      <c r="L5287" s="13"/>
    </row>
    <row r="5288" spans="1:12" hidden="1" x14ac:dyDescent="0.25">
      <c r="A5288" s="6"/>
      <c r="B5288" s="6"/>
      <c r="C5288" s="11"/>
      <c r="D5288" s="13"/>
      <c r="E5288" s="13"/>
      <c r="F5288" s="13"/>
      <c r="G5288" s="13"/>
      <c r="H5288" s="13"/>
      <c r="I5288" s="10"/>
      <c r="J5288" s="11"/>
      <c r="K5288" s="6"/>
      <c r="L5288" s="13"/>
    </row>
    <row r="5289" spans="1:12" hidden="1" x14ac:dyDescent="0.25">
      <c r="A5289" s="6"/>
      <c r="B5289" s="6"/>
      <c r="C5289" s="11"/>
      <c r="D5289" s="13"/>
      <c r="E5289" s="13"/>
      <c r="F5289" s="13"/>
      <c r="G5289" s="13"/>
      <c r="H5289" s="13"/>
      <c r="I5289" s="10"/>
      <c r="J5289" s="11"/>
      <c r="K5289" s="6"/>
      <c r="L5289" s="13"/>
    </row>
    <row r="5290" spans="1:12" hidden="1" x14ac:dyDescent="0.25">
      <c r="A5290" s="6"/>
      <c r="B5290" s="6"/>
      <c r="C5290" s="11"/>
      <c r="D5290" s="13"/>
      <c r="E5290" s="13"/>
      <c r="F5290" s="13"/>
      <c r="G5290" s="13"/>
      <c r="H5290" s="13"/>
      <c r="I5290" s="10"/>
      <c r="J5290" s="11"/>
      <c r="K5290" s="6"/>
      <c r="L5290" s="13"/>
    </row>
    <row r="5291" spans="1:12" hidden="1" x14ac:dyDescent="0.25">
      <c r="A5291" s="6"/>
      <c r="B5291" s="6"/>
      <c r="C5291" s="11"/>
      <c r="D5291" s="13"/>
      <c r="E5291" s="13"/>
      <c r="F5291" s="13"/>
      <c r="G5291" s="13"/>
      <c r="H5291" s="13"/>
      <c r="I5291" s="10"/>
      <c r="J5291" s="11"/>
      <c r="K5291" s="6"/>
      <c r="L5291" s="13"/>
    </row>
    <row r="5292" spans="1:12" hidden="1" x14ac:dyDescent="0.25">
      <c r="A5292" s="6"/>
      <c r="B5292" s="6"/>
      <c r="C5292" s="11"/>
      <c r="D5292" s="13"/>
      <c r="E5292" s="13"/>
      <c r="F5292" s="13"/>
      <c r="G5292" s="13"/>
      <c r="H5292" s="13"/>
      <c r="I5292" s="10"/>
      <c r="J5292" s="11"/>
      <c r="K5292" s="6"/>
      <c r="L5292" s="13"/>
    </row>
    <row r="5293" spans="1:12" hidden="1" x14ac:dyDescent="0.25">
      <c r="A5293" s="6"/>
      <c r="B5293" s="6"/>
      <c r="C5293" s="11"/>
      <c r="D5293" s="13"/>
      <c r="E5293" s="13"/>
      <c r="F5293" s="13"/>
      <c r="G5293" s="13"/>
      <c r="H5293" s="13"/>
      <c r="I5293" s="10"/>
      <c r="J5293" s="11"/>
      <c r="K5293" s="6"/>
      <c r="L5293" s="13"/>
    </row>
    <row r="5294" spans="1:12" hidden="1" x14ac:dyDescent="0.25">
      <c r="A5294" s="6"/>
      <c r="B5294" s="6"/>
      <c r="C5294" s="11"/>
      <c r="D5294" s="13"/>
      <c r="E5294" s="13"/>
      <c r="F5294" s="13"/>
      <c r="G5294" s="13"/>
      <c r="H5294" s="13"/>
      <c r="I5294" s="10"/>
      <c r="J5294" s="11"/>
      <c r="K5294" s="6"/>
      <c r="L5294" s="13"/>
    </row>
    <row r="5295" spans="1:12" hidden="1" x14ac:dyDescent="0.25">
      <c r="A5295" s="6"/>
      <c r="B5295" s="6"/>
      <c r="C5295" s="11"/>
      <c r="D5295" s="13"/>
      <c r="E5295" s="13"/>
      <c r="F5295" s="13"/>
      <c r="G5295" s="13"/>
      <c r="H5295" s="13"/>
      <c r="I5295" s="10"/>
      <c r="J5295" s="11"/>
      <c r="K5295" s="6"/>
      <c r="L5295" s="13"/>
    </row>
    <row r="5296" spans="1:12" hidden="1" x14ac:dyDescent="0.25">
      <c r="A5296" s="6"/>
      <c r="B5296" s="6"/>
      <c r="C5296" s="11"/>
      <c r="D5296" s="13"/>
      <c r="E5296" s="13"/>
      <c r="F5296" s="13"/>
      <c r="G5296" s="13"/>
      <c r="H5296" s="13"/>
      <c r="I5296" s="10"/>
      <c r="J5296" s="11"/>
      <c r="K5296" s="6"/>
      <c r="L5296" s="13"/>
    </row>
    <row r="5297" spans="1:12" hidden="1" x14ac:dyDescent="0.25">
      <c r="A5297" s="6"/>
      <c r="B5297" s="6"/>
      <c r="C5297" s="11"/>
      <c r="D5297" s="13"/>
      <c r="E5297" s="13"/>
      <c r="F5297" s="13"/>
      <c r="G5297" s="13"/>
      <c r="H5297" s="13"/>
      <c r="I5297" s="10"/>
      <c r="J5297" s="11"/>
      <c r="K5297" s="6"/>
      <c r="L5297" s="13"/>
    </row>
    <row r="5298" spans="1:12" hidden="1" x14ac:dyDescent="0.25">
      <c r="A5298" s="6"/>
      <c r="B5298" s="6"/>
      <c r="C5298" s="11"/>
      <c r="D5298" s="13"/>
      <c r="E5298" s="13"/>
      <c r="F5298" s="13"/>
      <c r="G5298" s="13"/>
      <c r="H5298" s="13"/>
      <c r="I5298" s="10"/>
      <c r="J5298" s="11"/>
      <c r="K5298" s="6"/>
      <c r="L5298" s="13"/>
    </row>
    <row r="5299" spans="1:12" hidden="1" x14ac:dyDescent="0.25">
      <c r="A5299" s="6"/>
      <c r="B5299" s="6"/>
      <c r="C5299" s="11"/>
      <c r="D5299" s="13"/>
      <c r="E5299" s="13"/>
      <c r="F5299" s="13"/>
      <c r="G5299" s="13"/>
      <c r="H5299" s="13"/>
      <c r="I5299" s="10"/>
      <c r="J5299" s="11"/>
      <c r="K5299" s="6"/>
      <c r="L5299" s="13"/>
    </row>
    <row r="5300" spans="1:12" hidden="1" x14ac:dyDescent="0.25">
      <c r="A5300" s="6"/>
      <c r="B5300" s="6"/>
      <c r="C5300" s="11"/>
      <c r="D5300" s="13"/>
      <c r="E5300" s="13"/>
      <c r="F5300" s="13"/>
      <c r="G5300" s="13"/>
      <c r="H5300" s="13"/>
      <c r="I5300" s="10"/>
      <c r="J5300" s="11"/>
      <c r="K5300" s="6"/>
      <c r="L5300" s="13"/>
    </row>
    <row r="5301" spans="1:12" hidden="1" x14ac:dyDescent="0.25">
      <c r="A5301" s="6"/>
      <c r="B5301" s="6"/>
      <c r="C5301" s="11"/>
      <c r="D5301" s="13"/>
      <c r="E5301" s="13"/>
      <c r="F5301" s="13"/>
      <c r="G5301" s="13"/>
      <c r="H5301" s="13"/>
      <c r="I5301" s="10"/>
      <c r="J5301" s="11"/>
      <c r="K5301" s="6"/>
      <c r="L5301" s="13"/>
    </row>
    <row r="5302" spans="1:12" hidden="1" x14ac:dyDescent="0.25">
      <c r="A5302" s="6"/>
      <c r="B5302" s="6"/>
      <c r="C5302" s="11"/>
      <c r="D5302" s="13"/>
      <c r="E5302" s="13"/>
      <c r="F5302" s="13"/>
      <c r="G5302" s="13"/>
      <c r="H5302" s="13"/>
      <c r="I5302" s="10"/>
      <c r="J5302" s="11"/>
      <c r="K5302" s="6"/>
      <c r="L5302" s="13"/>
    </row>
    <row r="5303" spans="1:12" hidden="1" x14ac:dyDescent="0.25">
      <c r="A5303" s="6"/>
      <c r="B5303" s="6"/>
      <c r="C5303" s="11"/>
      <c r="D5303" s="13"/>
      <c r="E5303" s="13"/>
      <c r="F5303" s="13"/>
      <c r="G5303" s="13"/>
      <c r="H5303" s="13"/>
      <c r="I5303" s="10"/>
      <c r="J5303" s="11"/>
      <c r="K5303" s="6"/>
      <c r="L5303" s="13"/>
    </row>
    <row r="5304" spans="1:12" hidden="1" x14ac:dyDescent="0.25">
      <c r="A5304" s="6"/>
      <c r="B5304" s="6"/>
      <c r="C5304" s="11"/>
      <c r="D5304" s="13"/>
      <c r="E5304" s="13"/>
      <c r="F5304" s="13"/>
      <c r="G5304" s="13"/>
      <c r="H5304" s="13"/>
      <c r="I5304" s="10"/>
      <c r="J5304" s="11"/>
      <c r="K5304" s="6"/>
      <c r="L5304" s="13"/>
    </row>
    <row r="5305" spans="1:12" hidden="1" x14ac:dyDescent="0.25">
      <c r="A5305" s="6"/>
      <c r="B5305" s="6"/>
      <c r="C5305" s="11"/>
      <c r="D5305" s="13"/>
      <c r="E5305" s="13"/>
      <c r="F5305" s="13"/>
      <c r="G5305" s="13"/>
      <c r="H5305" s="13"/>
      <c r="I5305" s="10"/>
      <c r="J5305" s="11"/>
      <c r="K5305" s="6"/>
      <c r="L5305" s="13"/>
    </row>
    <row r="5306" spans="1:12" hidden="1" x14ac:dyDescent="0.25">
      <c r="A5306" s="6"/>
      <c r="B5306" s="6"/>
      <c r="C5306" s="11"/>
      <c r="D5306" s="13"/>
      <c r="E5306" s="13"/>
      <c r="F5306" s="13"/>
      <c r="G5306" s="13"/>
      <c r="H5306" s="13"/>
      <c r="I5306" s="10"/>
      <c r="J5306" s="11"/>
      <c r="K5306" s="6"/>
      <c r="L5306" s="13"/>
    </row>
    <row r="5307" spans="1:12" hidden="1" x14ac:dyDescent="0.25">
      <c r="A5307" s="6"/>
      <c r="B5307" s="6"/>
      <c r="C5307" s="11"/>
      <c r="D5307" s="13"/>
      <c r="E5307" s="13"/>
      <c r="F5307" s="13"/>
      <c r="G5307" s="13"/>
      <c r="H5307" s="13"/>
      <c r="I5307" s="10"/>
      <c r="J5307" s="11"/>
      <c r="K5307" s="6"/>
      <c r="L5307" s="13"/>
    </row>
    <row r="5308" spans="1:12" hidden="1" x14ac:dyDescent="0.25">
      <c r="A5308" s="6"/>
      <c r="B5308" s="6"/>
      <c r="C5308" s="11"/>
      <c r="D5308" s="13"/>
      <c r="E5308" s="13"/>
      <c r="F5308" s="13"/>
      <c r="G5308" s="13"/>
      <c r="H5308" s="13"/>
      <c r="I5308" s="10"/>
      <c r="J5308" s="11"/>
      <c r="K5308" s="6"/>
      <c r="L5308" s="13"/>
    </row>
    <row r="5309" spans="1:12" hidden="1" x14ac:dyDescent="0.25">
      <c r="A5309" s="6"/>
      <c r="B5309" s="6"/>
      <c r="C5309" s="11"/>
      <c r="D5309" s="13"/>
      <c r="E5309" s="13"/>
      <c r="F5309" s="13"/>
      <c r="G5309" s="13"/>
      <c r="H5309" s="13"/>
      <c r="I5309" s="10"/>
      <c r="J5309" s="11"/>
      <c r="K5309" s="6"/>
      <c r="L5309" s="13"/>
    </row>
    <row r="5310" spans="1:12" hidden="1" x14ac:dyDescent="0.25">
      <c r="A5310" s="6"/>
      <c r="B5310" s="6"/>
      <c r="C5310" s="11"/>
      <c r="D5310" s="13"/>
      <c r="E5310" s="13"/>
      <c r="F5310" s="13"/>
      <c r="G5310" s="13"/>
      <c r="H5310" s="13"/>
      <c r="I5310" s="10"/>
      <c r="J5310" s="11"/>
      <c r="K5310" s="6"/>
      <c r="L5310" s="13"/>
    </row>
    <row r="5311" spans="1:12" hidden="1" x14ac:dyDescent="0.25">
      <c r="A5311" s="6"/>
      <c r="B5311" s="6"/>
      <c r="C5311" s="11"/>
      <c r="D5311" s="13"/>
      <c r="E5311" s="13"/>
      <c r="F5311" s="13"/>
      <c r="G5311" s="13"/>
      <c r="H5311" s="13"/>
      <c r="I5311" s="10"/>
      <c r="J5311" s="11"/>
      <c r="K5311" s="6"/>
      <c r="L5311" s="13"/>
    </row>
    <row r="5312" spans="1:12" hidden="1" x14ac:dyDescent="0.25">
      <c r="A5312" s="6"/>
      <c r="B5312" s="6"/>
      <c r="C5312" s="11"/>
      <c r="D5312" s="13"/>
      <c r="E5312" s="13"/>
      <c r="F5312" s="13"/>
      <c r="G5312" s="13"/>
      <c r="H5312" s="13"/>
      <c r="I5312" s="10"/>
      <c r="J5312" s="11"/>
      <c r="K5312" s="6"/>
      <c r="L5312" s="13"/>
    </row>
    <row r="5313" spans="1:12" hidden="1" x14ac:dyDescent="0.25">
      <c r="A5313" s="6"/>
      <c r="B5313" s="6"/>
      <c r="C5313" s="11"/>
      <c r="D5313" s="13"/>
      <c r="E5313" s="13"/>
      <c r="F5313" s="13"/>
      <c r="G5313" s="13"/>
      <c r="H5313" s="13"/>
      <c r="I5313" s="10"/>
      <c r="J5313" s="11"/>
      <c r="K5313" s="6"/>
      <c r="L5313" s="13"/>
    </row>
    <row r="5314" spans="1:12" hidden="1" x14ac:dyDescent="0.25">
      <c r="A5314" s="6"/>
      <c r="B5314" s="6"/>
      <c r="C5314" s="11"/>
      <c r="D5314" s="13"/>
      <c r="E5314" s="13"/>
      <c r="F5314" s="13"/>
      <c r="G5314" s="13"/>
      <c r="H5314" s="13"/>
      <c r="I5314" s="10"/>
      <c r="J5314" s="11"/>
      <c r="K5314" s="6"/>
      <c r="L5314" s="13"/>
    </row>
    <row r="5315" spans="1:12" hidden="1" x14ac:dyDescent="0.25">
      <c r="A5315" s="6"/>
      <c r="B5315" s="6"/>
      <c r="C5315" s="11"/>
      <c r="D5315" s="13"/>
      <c r="E5315" s="13"/>
      <c r="F5315" s="13"/>
      <c r="G5315" s="13"/>
      <c r="H5315" s="13"/>
      <c r="I5315" s="10"/>
      <c r="J5315" s="11"/>
      <c r="K5315" s="6"/>
      <c r="L5315" s="13"/>
    </row>
    <row r="5316" spans="1:12" hidden="1" x14ac:dyDescent="0.25">
      <c r="A5316" s="6"/>
      <c r="B5316" s="6"/>
      <c r="C5316" s="11"/>
      <c r="D5316" s="13"/>
      <c r="E5316" s="13"/>
      <c r="F5316" s="13"/>
      <c r="G5316" s="13"/>
      <c r="H5316" s="13"/>
      <c r="I5316" s="10"/>
      <c r="J5316" s="11"/>
      <c r="K5316" s="6"/>
      <c r="L5316" s="13"/>
    </row>
    <row r="5317" spans="1:12" hidden="1" x14ac:dyDescent="0.25">
      <c r="A5317" s="6"/>
      <c r="B5317" s="6"/>
      <c r="C5317" s="11"/>
      <c r="D5317" s="13"/>
      <c r="E5317" s="13"/>
      <c r="F5317" s="13"/>
      <c r="G5317" s="13"/>
      <c r="H5317" s="13"/>
      <c r="I5317" s="10"/>
      <c r="J5317" s="11"/>
      <c r="K5317" s="6"/>
      <c r="L5317" s="13"/>
    </row>
    <row r="5318" spans="1:12" hidden="1" x14ac:dyDescent="0.25">
      <c r="A5318" s="6"/>
      <c r="B5318" s="6"/>
      <c r="C5318" s="11"/>
      <c r="D5318" s="13"/>
      <c r="E5318" s="13"/>
      <c r="F5318" s="13"/>
      <c r="G5318" s="13"/>
      <c r="H5318" s="13"/>
      <c r="I5318" s="10"/>
      <c r="J5318" s="11"/>
      <c r="K5318" s="6"/>
      <c r="L5318" s="13"/>
    </row>
    <row r="5319" spans="1:12" hidden="1" x14ac:dyDescent="0.25">
      <c r="A5319" s="6"/>
      <c r="B5319" s="6"/>
      <c r="C5319" s="11"/>
      <c r="D5319" s="13"/>
      <c r="E5319" s="13"/>
      <c r="F5319" s="13"/>
      <c r="G5319" s="13"/>
      <c r="H5319" s="13"/>
      <c r="I5319" s="10"/>
      <c r="J5319" s="11"/>
      <c r="K5319" s="6"/>
      <c r="L5319" s="13"/>
    </row>
    <row r="5320" spans="1:12" hidden="1" x14ac:dyDescent="0.25">
      <c r="A5320" s="6"/>
      <c r="B5320" s="6"/>
      <c r="C5320" s="11"/>
      <c r="D5320" s="13"/>
      <c r="E5320" s="13"/>
      <c r="F5320" s="13"/>
      <c r="G5320" s="13"/>
      <c r="H5320" s="13"/>
      <c r="I5320" s="10"/>
      <c r="J5320" s="11"/>
      <c r="K5320" s="6"/>
      <c r="L5320" s="13"/>
    </row>
    <row r="5321" spans="1:12" hidden="1" x14ac:dyDescent="0.25">
      <c r="A5321" s="6"/>
      <c r="B5321" s="6"/>
      <c r="C5321" s="11"/>
      <c r="D5321" s="13"/>
      <c r="E5321" s="13"/>
      <c r="F5321" s="13"/>
      <c r="G5321" s="13"/>
      <c r="H5321" s="13"/>
      <c r="I5321" s="10"/>
      <c r="J5321" s="11"/>
      <c r="K5321" s="6"/>
      <c r="L5321" s="13"/>
    </row>
    <row r="5322" spans="1:12" hidden="1" x14ac:dyDescent="0.25">
      <c r="A5322" s="6"/>
      <c r="B5322" s="6"/>
      <c r="C5322" s="11"/>
      <c r="D5322" s="13"/>
      <c r="E5322" s="13"/>
      <c r="F5322" s="13"/>
      <c r="G5322" s="13"/>
      <c r="H5322" s="13"/>
      <c r="I5322" s="10"/>
      <c r="J5322" s="11"/>
      <c r="K5322" s="6"/>
      <c r="L5322" s="13"/>
    </row>
    <row r="5323" spans="1:12" hidden="1" x14ac:dyDescent="0.25">
      <c r="A5323" s="6"/>
      <c r="B5323" s="6"/>
      <c r="C5323" s="11"/>
      <c r="D5323" s="13"/>
      <c r="E5323" s="13"/>
      <c r="F5323" s="13"/>
      <c r="G5323" s="13"/>
      <c r="H5323" s="13"/>
      <c r="I5323" s="10"/>
      <c r="J5323" s="11"/>
      <c r="K5323" s="6"/>
      <c r="L5323" s="13"/>
    </row>
    <row r="5324" spans="1:12" hidden="1" x14ac:dyDescent="0.25">
      <c r="A5324" s="6"/>
      <c r="B5324" s="6"/>
      <c r="C5324" s="11"/>
      <c r="D5324" s="13"/>
      <c r="E5324" s="13"/>
      <c r="F5324" s="13"/>
      <c r="G5324" s="13"/>
      <c r="H5324" s="13"/>
      <c r="I5324" s="10"/>
      <c r="J5324" s="11"/>
      <c r="K5324" s="6"/>
      <c r="L5324" s="13"/>
    </row>
    <row r="5325" spans="1:12" hidden="1" x14ac:dyDescent="0.25">
      <c r="A5325" s="6"/>
      <c r="B5325" s="6"/>
      <c r="C5325" s="11"/>
      <c r="D5325" s="13"/>
      <c r="E5325" s="13"/>
      <c r="F5325" s="13"/>
      <c r="G5325" s="13"/>
      <c r="H5325" s="13"/>
      <c r="I5325" s="10"/>
      <c r="J5325" s="11"/>
      <c r="K5325" s="6"/>
      <c r="L5325" s="13"/>
    </row>
    <row r="5326" spans="1:12" hidden="1" x14ac:dyDescent="0.25">
      <c r="A5326" s="6"/>
      <c r="B5326" s="6"/>
      <c r="C5326" s="11"/>
      <c r="D5326" s="13"/>
      <c r="E5326" s="13"/>
      <c r="F5326" s="13"/>
      <c r="G5326" s="13"/>
      <c r="H5326" s="13"/>
      <c r="I5326" s="10"/>
      <c r="J5326" s="11"/>
      <c r="K5326" s="6"/>
      <c r="L5326" s="13"/>
    </row>
    <row r="5327" spans="1:12" hidden="1" x14ac:dyDescent="0.25">
      <c r="A5327" s="6"/>
      <c r="B5327" s="6"/>
      <c r="C5327" s="11"/>
      <c r="D5327" s="13"/>
      <c r="E5327" s="13"/>
      <c r="F5327" s="13"/>
      <c r="G5327" s="13"/>
      <c r="H5327" s="13"/>
      <c r="I5327" s="10"/>
      <c r="J5327" s="11"/>
      <c r="K5327" s="6"/>
      <c r="L5327" s="13"/>
    </row>
    <row r="5328" spans="1:12" hidden="1" x14ac:dyDescent="0.25">
      <c r="A5328" s="6"/>
      <c r="B5328" s="6"/>
      <c r="C5328" s="11"/>
      <c r="D5328" s="13"/>
      <c r="E5328" s="13"/>
      <c r="F5328" s="13"/>
      <c r="G5328" s="13"/>
      <c r="H5328" s="13"/>
      <c r="I5328" s="10"/>
      <c r="J5328" s="11"/>
      <c r="K5328" s="6"/>
      <c r="L5328" s="13"/>
    </row>
    <row r="5329" spans="1:12" hidden="1" x14ac:dyDescent="0.25">
      <c r="A5329" s="6"/>
      <c r="B5329" s="6"/>
      <c r="C5329" s="11"/>
      <c r="D5329" s="13"/>
      <c r="E5329" s="13"/>
      <c r="F5329" s="13"/>
      <c r="G5329" s="13"/>
      <c r="H5329" s="13"/>
      <c r="I5329" s="10"/>
      <c r="J5329" s="11"/>
      <c r="K5329" s="6"/>
      <c r="L5329" s="13"/>
    </row>
    <row r="5330" spans="1:12" hidden="1" x14ac:dyDescent="0.25">
      <c r="A5330" s="6"/>
      <c r="B5330" s="6"/>
      <c r="C5330" s="11"/>
      <c r="D5330" s="13"/>
      <c r="E5330" s="13"/>
      <c r="F5330" s="13"/>
      <c r="G5330" s="13"/>
      <c r="H5330" s="13"/>
      <c r="I5330" s="10"/>
      <c r="J5330" s="11"/>
      <c r="K5330" s="6"/>
      <c r="L5330" s="13"/>
    </row>
    <row r="5331" spans="1:12" hidden="1" x14ac:dyDescent="0.25">
      <c r="A5331" s="6"/>
      <c r="B5331" s="6"/>
      <c r="C5331" s="11"/>
      <c r="D5331" s="13"/>
      <c r="E5331" s="13"/>
      <c r="F5331" s="13"/>
      <c r="G5331" s="13"/>
      <c r="H5331" s="13"/>
      <c r="I5331" s="10"/>
      <c r="J5331" s="11"/>
      <c r="K5331" s="6"/>
      <c r="L5331" s="13"/>
    </row>
    <row r="5332" spans="1:12" hidden="1" x14ac:dyDescent="0.25">
      <c r="A5332" s="6"/>
      <c r="B5332" s="6"/>
      <c r="C5332" s="11"/>
      <c r="D5332" s="13"/>
      <c r="E5332" s="13"/>
      <c r="F5332" s="13"/>
      <c r="G5332" s="13"/>
      <c r="H5332" s="13"/>
      <c r="I5332" s="10"/>
      <c r="J5332" s="11"/>
      <c r="K5332" s="6"/>
      <c r="L5332" s="13"/>
    </row>
    <row r="5333" spans="1:12" hidden="1" x14ac:dyDescent="0.25">
      <c r="A5333" s="6"/>
      <c r="B5333" s="6"/>
      <c r="C5333" s="11"/>
      <c r="D5333" s="13"/>
      <c r="E5333" s="13"/>
      <c r="F5333" s="13"/>
      <c r="G5333" s="13"/>
      <c r="H5333" s="13"/>
      <c r="I5333" s="10"/>
      <c r="J5333" s="11"/>
      <c r="K5333" s="6"/>
      <c r="L5333" s="13"/>
    </row>
    <row r="5334" spans="1:12" hidden="1" x14ac:dyDescent="0.25">
      <c r="A5334" s="6"/>
      <c r="B5334" s="6"/>
      <c r="C5334" s="11"/>
      <c r="D5334" s="13"/>
      <c r="E5334" s="13"/>
      <c r="F5334" s="13"/>
      <c r="G5334" s="13"/>
      <c r="H5334" s="13"/>
      <c r="I5334" s="10"/>
      <c r="J5334" s="11"/>
      <c r="K5334" s="6"/>
      <c r="L5334" s="13"/>
    </row>
    <row r="5335" spans="1:12" hidden="1" x14ac:dyDescent="0.25">
      <c r="A5335" s="6"/>
      <c r="B5335" s="6"/>
      <c r="C5335" s="11"/>
      <c r="D5335" s="13"/>
      <c r="E5335" s="13"/>
      <c r="F5335" s="13"/>
      <c r="G5335" s="13"/>
      <c r="H5335" s="13"/>
      <c r="I5335" s="10"/>
      <c r="J5335" s="11"/>
      <c r="K5335" s="6"/>
      <c r="L5335" s="13"/>
    </row>
    <row r="5336" spans="1:12" hidden="1" x14ac:dyDescent="0.25">
      <c r="A5336" s="6"/>
      <c r="B5336" s="6"/>
      <c r="C5336" s="11"/>
      <c r="D5336" s="13"/>
      <c r="E5336" s="13"/>
      <c r="F5336" s="13"/>
      <c r="G5336" s="13"/>
      <c r="H5336" s="13"/>
      <c r="I5336" s="10"/>
      <c r="J5336" s="11"/>
      <c r="K5336" s="6"/>
      <c r="L5336" s="13"/>
    </row>
    <row r="5337" spans="1:12" hidden="1" x14ac:dyDescent="0.25">
      <c r="A5337" s="6"/>
      <c r="B5337" s="6"/>
      <c r="C5337" s="11"/>
      <c r="D5337" s="13"/>
      <c r="E5337" s="13"/>
      <c r="F5337" s="13"/>
      <c r="G5337" s="13"/>
      <c r="H5337" s="13"/>
      <c r="I5337" s="10"/>
      <c r="J5337" s="11"/>
      <c r="K5337" s="6"/>
      <c r="L5337" s="13"/>
    </row>
    <row r="5338" spans="1:12" hidden="1" x14ac:dyDescent="0.25">
      <c r="A5338" s="6"/>
      <c r="B5338" s="6"/>
      <c r="C5338" s="11"/>
      <c r="D5338" s="13"/>
      <c r="E5338" s="13"/>
      <c r="F5338" s="13"/>
      <c r="G5338" s="13"/>
      <c r="H5338" s="13"/>
      <c r="I5338" s="10"/>
      <c r="J5338" s="11"/>
      <c r="K5338" s="6"/>
      <c r="L5338" s="13"/>
    </row>
    <row r="5339" spans="1:12" hidden="1" x14ac:dyDescent="0.25">
      <c r="A5339" s="6"/>
      <c r="B5339" s="6"/>
      <c r="C5339" s="11"/>
      <c r="D5339" s="13"/>
      <c r="E5339" s="13"/>
      <c r="F5339" s="13"/>
      <c r="G5339" s="13"/>
      <c r="H5339" s="13"/>
      <c r="I5339" s="10"/>
      <c r="J5339" s="11"/>
      <c r="K5339" s="6"/>
      <c r="L5339" s="13"/>
    </row>
    <row r="5340" spans="1:12" hidden="1" x14ac:dyDescent="0.25">
      <c r="A5340" s="6"/>
      <c r="B5340" s="6"/>
      <c r="C5340" s="11"/>
      <c r="D5340" s="13"/>
      <c r="E5340" s="13"/>
      <c r="F5340" s="13"/>
      <c r="G5340" s="13"/>
      <c r="H5340" s="13"/>
      <c r="I5340" s="10"/>
      <c r="J5340" s="11"/>
      <c r="K5340" s="6"/>
      <c r="L5340" s="13"/>
    </row>
    <row r="5341" spans="1:12" hidden="1" x14ac:dyDescent="0.25">
      <c r="A5341" s="6"/>
      <c r="B5341" s="6"/>
      <c r="C5341" s="11"/>
      <c r="D5341" s="13"/>
      <c r="E5341" s="13"/>
      <c r="F5341" s="13"/>
      <c r="G5341" s="13"/>
      <c r="H5341" s="13"/>
      <c r="I5341" s="10"/>
      <c r="J5341" s="11"/>
      <c r="K5341" s="6"/>
      <c r="L5341" s="13"/>
    </row>
    <row r="5342" spans="1:12" hidden="1" x14ac:dyDescent="0.25">
      <c r="A5342" s="6"/>
      <c r="B5342" s="6"/>
      <c r="C5342" s="11"/>
      <c r="D5342" s="13"/>
      <c r="E5342" s="13"/>
      <c r="F5342" s="13"/>
      <c r="G5342" s="13"/>
      <c r="H5342" s="13"/>
      <c r="I5342" s="10"/>
      <c r="J5342" s="11"/>
      <c r="K5342" s="6"/>
      <c r="L5342" s="13"/>
    </row>
    <row r="5343" spans="1:12" hidden="1" x14ac:dyDescent="0.25">
      <c r="A5343" s="6"/>
      <c r="B5343" s="6"/>
      <c r="C5343" s="11"/>
      <c r="D5343" s="13"/>
      <c r="E5343" s="13"/>
      <c r="F5343" s="13"/>
      <c r="G5343" s="13"/>
      <c r="H5343" s="13"/>
      <c r="I5343" s="10"/>
      <c r="J5343" s="11"/>
      <c r="K5343" s="6"/>
      <c r="L5343" s="13"/>
    </row>
    <row r="5344" spans="1:12" hidden="1" x14ac:dyDescent="0.25">
      <c r="A5344" s="6"/>
      <c r="B5344" s="6"/>
      <c r="C5344" s="11"/>
      <c r="D5344" s="13"/>
      <c r="E5344" s="13"/>
      <c r="F5344" s="13"/>
      <c r="G5344" s="13"/>
      <c r="H5344" s="13"/>
      <c r="I5344" s="10"/>
      <c r="J5344" s="11"/>
      <c r="K5344" s="6"/>
      <c r="L5344" s="13"/>
    </row>
    <row r="5345" spans="1:12" hidden="1" x14ac:dyDescent="0.25">
      <c r="A5345" s="6"/>
      <c r="B5345" s="6"/>
      <c r="C5345" s="11"/>
      <c r="D5345" s="13"/>
      <c r="E5345" s="13"/>
      <c r="F5345" s="13"/>
      <c r="G5345" s="13"/>
      <c r="H5345" s="13"/>
      <c r="I5345" s="10"/>
      <c r="J5345" s="11"/>
      <c r="K5345" s="6"/>
      <c r="L5345" s="13"/>
    </row>
    <row r="5346" spans="1:12" hidden="1" x14ac:dyDescent="0.25">
      <c r="A5346" s="6"/>
      <c r="B5346" s="6"/>
      <c r="C5346" s="11"/>
      <c r="D5346" s="13"/>
      <c r="E5346" s="13"/>
      <c r="F5346" s="13"/>
      <c r="G5346" s="13"/>
      <c r="H5346" s="13"/>
      <c r="I5346" s="10"/>
      <c r="J5346" s="11"/>
      <c r="K5346" s="6"/>
      <c r="L5346" s="13"/>
    </row>
    <row r="5347" spans="1:12" hidden="1" x14ac:dyDescent="0.25">
      <c r="A5347" s="6"/>
      <c r="B5347" s="6"/>
      <c r="C5347" s="11"/>
      <c r="D5347" s="13"/>
      <c r="E5347" s="13"/>
      <c r="F5347" s="13"/>
      <c r="G5347" s="13"/>
      <c r="H5347" s="13"/>
      <c r="I5347" s="10"/>
      <c r="J5347" s="11"/>
      <c r="K5347" s="6"/>
      <c r="L5347" s="13"/>
    </row>
    <row r="5348" spans="1:12" hidden="1" x14ac:dyDescent="0.25">
      <c r="A5348" s="6"/>
      <c r="B5348" s="6"/>
      <c r="C5348" s="11"/>
      <c r="D5348" s="13"/>
      <c r="E5348" s="13"/>
      <c r="F5348" s="13"/>
      <c r="G5348" s="13"/>
      <c r="H5348" s="13"/>
      <c r="I5348" s="10"/>
      <c r="J5348" s="11"/>
      <c r="K5348" s="6"/>
      <c r="L5348" s="13"/>
    </row>
    <row r="5349" spans="1:12" hidden="1" x14ac:dyDescent="0.25">
      <c r="A5349" s="6"/>
      <c r="B5349" s="6"/>
      <c r="C5349" s="11"/>
      <c r="D5349" s="13"/>
      <c r="E5349" s="13"/>
      <c r="F5349" s="13"/>
      <c r="G5349" s="13"/>
      <c r="H5349" s="13"/>
      <c r="I5349" s="10"/>
      <c r="J5349" s="11"/>
      <c r="K5349" s="6"/>
      <c r="L5349" s="13"/>
    </row>
    <row r="5350" spans="1:12" hidden="1" x14ac:dyDescent="0.25">
      <c r="A5350" s="6"/>
      <c r="B5350" s="6"/>
      <c r="C5350" s="11"/>
      <c r="D5350" s="13"/>
      <c r="E5350" s="13"/>
      <c r="F5350" s="13"/>
      <c r="G5350" s="13"/>
      <c r="H5350" s="13"/>
      <c r="I5350" s="10"/>
      <c r="J5350" s="11"/>
      <c r="K5350" s="6"/>
      <c r="L5350" s="13"/>
    </row>
    <row r="5351" spans="1:12" hidden="1" x14ac:dyDescent="0.25">
      <c r="A5351" s="6"/>
      <c r="B5351" s="6"/>
      <c r="C5351" s="11"/>
      <c r="D5351" s="13"/>
      <c r="E5351" s="13"/>
      <c r="F5351" s="13"/>
      <c r="G5351" s="13"/>
      <c r="H5351" s="13"/>
      <c r="I5351" s="10"/>
      <c r="J5351" s="11"/>
      <c r="K5351" s="6"/>
      <c r="L5351" s="13"/>
    </row>
    <row r="5352" spans="1:12" hidden="1" x14ac:dyDescent="0.25">
      <c r="A5352" s="6"/>
      <c r="B5352" s="6"/>
      <c r="C5352" s="11"/>
      <c r="D5352" s="13"/>
      <c r="E5352" s="13"/>
      <c r="F5352" s="13"/>
      <c r="G5352" s="13"/>
      <c r="H5352" s="13"/>
      <c r="I5352" s="10"/>
      <c r="J5352" s="11"/>
      <c r="K5352" s="6"/>
      <c r="L5352" s="13"/>
    </row>
    <row r="5353" spans="1:12" hidden="1" x14ac:dyDescent="0.25">
      <c r="A5353" s="6"/>
      <c r="B5353" s="6"/>
      <c r="C5353" s="11"/>
      <c r="D5353" s="13"/>
      <c r="E5353" s="13"/>
      <c r="F5353" s="13"/>
      <c r="G5353" s="13"/>
      <c r="H5353" s="13"/>
      <c r="I5353" s="10"/>
      <c r="J5353" s="11"/>
      <c r="K5353" s="6"/>
      <c r="L5353" s="13"/>
    </row>
    <row r="5354" spans="1:12" hidden="1" x14ac:dyDescent="0.25">
      <c r="A5354" s="6"/>
      <c r="B5354" s="6"/>
      <c r="C5354" s="11"/>
      <c r="D5354" s="13"/>
      <c r="E5354" s="13"/>
      <c r="F5354" s="13"/>
      <c r="G5354" s="13"/>
      <c r="H5354" s="13"/>
      <c r="I5354" s="10"/>
      <c r="J5354" s="11"/>
      <c r="K5354" s="6"/>
      <c r="L5354" s="13"/>
    </row>
    <row r="5355" spans="1:12" hidden="1" x14ac:dyDescent="0.25">
      <c r="A5355" s="6"/>
      <c r="B5355" s="6"/>
      <c r="C5355" s="11"/>
      <c r="D5355" s="13"/>
      <c r="E5355" s="13"/>
      <c r="F5355" s="13"/>
      <c r="G5355" s="13"/>
      <c r="H5355" s="13"/>
      <c r="I5355" s="10"/>
      <c r="J5355" s="11"/>
      <c r="K5355" s="6"/>
      <c r="L5355" s="13"/>
    </row>
    <row r="5356" spans="1:12" hidden="1" x14ac:dyDescent="0.25">
      <c r="A5356" s="6"/>
      <c r="B5356" s="6"/>
      <c r="C5356" s="11"/>
      <c r="D5356" s="13"/>
      <c r="E5356" s="13"/>
      <c r="F5356" s="13"/>
      <c r="G5356" s="13"/>
      <c r="H5356" s="13"/>
      <c r="I5356" s="10"/>
      <c r="J5356" s="11"/>
      <c r="K5356" s="6"/>
      <c r="L5356" s="13"/>
    </row>
    <row r="5357" spans="1:12" hidden="1" x14ac:dyDescent="0.25">
      <c r="A5357" s="6"/>
      <c r="B5357" s="6"/>
      <c r="C5357" s="11"/>
      <c r="D5357" s="13"/>
      <c r="E5357" s="13"/>
      <c r="F5357" s="13"/>
      <c r="G5357" s="13"/>
      <c r="H5357" s="13"/>
      <c r="I5357" s="10"/>
      <c r="J5357" s="11"/>
      <c r="K5357" s="6"/>
      <c r="L5357" s="13"/>
    </row>
    <row r="5358" spans="1:12" hidden="1" x14ac:dyDescent="0.25">
      <c r="A5358" s="6"/>
      <c r="B5358" s="6"/>
      <c r="C5358" s="11"/>
      <c r="D5358" s="13"/>
      <c r="E5358" s="13"/>
      <c r="F5358" s="13"/>
      <c r="G5358" s="13"/>
      <c r="H5358" s="13"/>
      <c r="I5358" s="10"/>
      <c r="J5358" s="11"/>
      <c r="K5358" s="6"/>
      <c r="L5358" s="13"/>
    </row>
    <row r="5359" spans="1:12" hidden="1" x14ac:dyDescent="0.25">
      <c r="A5359" s="6"/>
      <c r="B5359" s="6"/>
      <c r="C5359" s="11"/>
      <c r="D5359" s="13"/>
      <c r="E5359" s="13"/>
      <c r="F5359" s="13"/>
      <c r="G5359" s="13"/>
      <c r="H5359" s="13"/>
      <c r="I5359" s="10"/>
      <c r="J5359" s="11"/>
      <c r="K5359" s="6"/>
      <c r="L5359" s="13"/>
    </row>
    <row r="5360" spans="1:12" hidden="1" x14ac:dyDescent="0.25">
      <c r="A5360" s="117"/>
      <c r="B5360" s="117"/>
      <c r="C5360" s="118"/>
      <c r="D5360" s="119"/>
      <c r="E5360" s="119"/>
      <c r="F5360" s="119"/>
      <c r="G5360" s="119"/>
      <c r="H5360" s="119"/>
      <c r="I5360" s="120"/>
      <c r="J5360" s="118"/>
      <c r="K5360" s="117"/>
      <c r="L5360" s="13"/>
    </row>
    <row r="5361" spans="1:12" hidden="1" x14ac:dyDescent="0.25">
      <c r="A5361" s="117"/>
      <c r="B5361" s="117"/>
      <c r="C5361" s="118"/>
      <c r="D5361" s="119"/>
      <c r="E5361" s="119"/>
      <c r="F5361" s="119"/>
      <c r="G5361" s="119"/>
      <c r="H5361" s="119"/>
      <c r="I5361" s="120"/>
      <c r="J5361" s="118"/>
      <c r="K5361" s="117"/>
      <c r="L5361" s="13"/>
    </row>
    <row r="5362" spans="1:12" hidden="1" x14ac:dyDescent="0.25">
      <c r="A5362" s="117"/>
      <c r="B5362" s="117"/>
      <c r="C5362" s="118"/>
      <c r="D5362" s="119"/>
      <c r="E5362" s="119"/>
      <c r="F5362" s="119"/>
      <c r="G5362" s="119"/>
      <c r="H5362" s="119"/>
      <c r="I5362" s="120"/>
      <c r="J5362" s="118"/>
      <c r="K5362" s="117"/>
      <c r="L5362" s="13"/>
    </row>
    <row r="5363" spans="1:12" hidden="1" x14ac:dyDescent="0.25">
      <c r="A5363" s="117"/>
      <c r="B5363" s="117"/>
      <c r="C5363" s="118"/>
      <c r="D5363" s="119"/>
      <c r="E5363" s="119"/>
      <c r="F5363" s="119"/>
      <c r="G5363" s="119"/>
      <c r="H5363" s="119"/>
      <c r="I5363" s="120"/>
      <c r="J5363" s="118"/>
      <c r="K5363" s="117"/>
      <c r="L5363" s="13"/>
    </row>
    <row r="5364" spans="1:12" hidden="1" x14ac:dyDescent="0.25">
      <c r="A5364" s="117"/>
      <c r="B5364" s="117"/>
      <c r="C5364" s="118"/>
      <c r="D5364" s="119"/>
      <c r="E5364" s="119"/>
      <c r="F5364" s="119"/>
      <c r="G5364" s="119"/>
      <c r="H5364" s="119"/>
      <c r="I5364" s="120"/>
      <c r="J5364" s="118"/>
      <c r="K5364" s="117"/>
      <c r="L5364" s="13"/>
    </row>
    <row r="5365" spans="1:12" hidden="1" x14ac:dyDescent="0.25">
      <c r="A5365" s="117"/>
      <c r="B5365" s="117"/>
      <c r="C5365" s="118"/>
      <c r="D5365" s="119"/>
      <c r="E5365" s="119"/>
      <c r="F5365" s="119"/>
      <c r="G5365" s="119"/>
      <c r="H5365" s="119"/>
      <c r="I5365" s="120"/>
      <c r="J5365" s="118"/>
      <c r="K5365" s="117"/>
      <c r="L5365" s="13"/>
    </row>
    <row r="5366" spans="1:12" hidden="1" x14ac:dyDescent="0.25">
      <c r="A5366" s="117"/>
      <c r="B5366" s="117"/>
      <c r="C5366" s="118"/>
      <c r="D5366" s="119"/>
      <c r="E5366" s="119"/>
      <c r="F5366" s="119"/>
      <c r="G5366" s="119"/>
      <c r="H5366" s="119"/>
      <c r="I5366" s="120"/>
      <c r="J5366" s="118"/>
      <c r="K5366" s="117"/>
      <c r="L5366" s="13"/>
    </row>
    <row r="5367" spans="1:12" hidden="1" x14ac:dyDescent="0.25">
      <c r="A5367" s="117"/>
      <c r="B5367" s="117"/>
      <c r="C5367" s="118"/>
      <c r="D5367" s="119"/>
      <c r="E5367" s="119"/>
      <c r="F5367" s="119"/>
      <c r="G5367" s="119"/>
      <c r="H5367" s="119"/>
      <c r="I5367" s="120"/>
      <c r="J5367" s="118"/>
      <c r="K5367" s="117"/>
      <c r="L5367" s="13"/>
    </row>
    <row r="5368" spans="1:12" hidden="1" x14ac:dyDescent="0.25">
      <c r="A5368" s="117"/>
      <c r="B5368" s="117"/>
      <c r="C5368" s="118"/>
      <c r="D5368" s="119"/>
      <c r="E5368" s="119"/>
      <c r="F5368" s="119"/>
      <c r="G5368" s="119"/>
      <c r="H5368" s="119"/>
      <c r="I5368" s="120"/>
      <c r="J5368" s="118"/>
      <c r="K5368" s="117"/>
      <c r="L5368" s="13"/>
    </row>
    <row r="5369" spans="1:12" hidden="1" x14ac:dyDescent="0.25">
      <c r="A5369" s="117"/>
      <c r="B5369" s="117"/>
      <c r="C5369" s="118"/>
      <c r="D5369" s="119"/>
      <c r="E5369" s="119"/>
      <c r="F5369" s="119"/>
      <c r="G5369" s="119"/>
      <c r="H5369" s="119"/>
      <c r="I5369" s="120"/>
      <c r="J5369" s="118"/>
      <c r="K5369" s="117"/>
      <c r="L5369" s="13"/>
    </row>
    <row r="5370" spans="1:12" hidden="1" x14ac:dyDescent="0.25">
      <c r="A5370" s="117"/>
      <c r="B5370" s="117"/>
      <c r="C5370" s="118"/>
      <c r="D5370" s="119"/>
      <c r="E5370" s="119"/>
      <c r="F5370" s="119"/>
      <c r="G5370" s="119"/>
      <c r="H5370" s="119"/>
      <c r="I5370" s="120"/>
      <c r="J5370" s="118"/>
      <c r="K5370" s="117"/>
      <c r="L5370" s="13"/>
    </row>
    <row r="5371" spans="1:12" hidden="1" x14ac:dyDescent="0.25">
      <c r="A5371" s="117"/>
      <c r="B5371" s="117"/>
      <c r="C5371" s="118"/>
      <c r="D5371" s="119"/>
      <c r="E5371" s="119"/>
      <c r="F5371" s="119"/>
      <c r="G5371" s="119"/>
      <c r="H5371" s="119"/>
      <c r="I5371" s="120"/>
      <c r="J5371" s="118"/>
      <c r="K5371" s="117"/>
      <c r="L5371" s="13"/>
    </row>
    <row r="5372" spans="1:12" hidden="1" x14ac:dyDescent="0.25">
      <c r="A5372" s="117"/>
      <c r="B5372" s="117"/>
      <c r="C5372" s="118"/>
      <c r="D5372" s="119"/>
      <c r="E5372" s="119"/>
      <c r="F5372" s="119"/>
      <c r="G5372" s="119"/>
      <c r="H5372" s="119"/>
      <c r="I5372" s="120"/>
      <c r="J5372" s="118"/>
      <c r="K5372" s="117"/>
      <c r="L5372" s="13"/>
    </row>
    <row r="5373" spans="1:12" hidden="1" x14ac:dyDescent="0.25">
      <c r="A5373" s="117"/>
      <c r="B5373" s="117"/>
      <c r="C5373" s="118"/>
      <c r="D5373" s="119"/>
      <c r="E5373" s="119"/>
      <c r="F5373" s="119"/>
      <c r="G5373" s="119"/>
      <c r="H5373" s="119"/>
      <c r="I5373" s="120"/>
      <c r="J5373" s="118"/>
      <c r="K5373" s="117"/>
      <c r="L5373" s="13"/>
    </row>
    <row r="5374" spans="1:12" hidden="1" x14ac:dyDescent="0.25">
      <c r="A5374" s="117"/>
      <c r="B5374" s="117"/>
      <c r="C5374" s="118"/>
      <c r="D5374" s="119"/>
      <c r="E5374" s="119"/>
      <c r="F5374" s="119"/>
      <c r="G5374" s="119"/>
      <c r="H5374" s="119"/>
      <c r="I5374" s="120"/>
      <c r="J5374" s="118"/>
      <c r="K5374" s="117"/>
      <c r="L5374" s="13"/>
    </row>
    <row r="5375" spans="1:12" hidden="1" x14ac:dyDescent="0.25">
      <c r="A5375" s="117"/>
      <c r="B5375" s="117"/>
      <c r="C5375" s="118"/>
      <c r="D5375" s="119"/>
      <c r="E5375" s="119"/>
      <c r="F5375" s="119"/>
      <c r="G5375" s="119"/>
      <c r="H5375" s="119"/>
      <c r="I5375" s="120"/>
      <c r="J5375" s="118"/>
      <c r="K5375" s="117"/>
      <c r="L5375" s="13"/>
    </row>
    <row r="5376" spans="1:12" hidden="1" x14ac:dyDescent="0.25">
      <c r="A5376" s="117"/>
      <c r="B5376" s="117"/>
      <c r="C5376" s="118"/>
      <c r="D5376" s="119"/>
      <c r="E5376" s="119"/>
      <c r="F5376" s="119"/>
      <c r="G5376" s="119"/>
      <c r="H5376" s="119"/>
      <c r="I5376" s="120"/>
      <c r="J5376" s="118"/>
      <c r="K5376" s="117"/>
      <c r="L5376" s="13"/>
    </row>
    <row r="5377" spans="1:12" hidden="1" x14ac:dyDescent="0.25">
      <c r="A5377" s="117"/>
      <c r="B5377" s="117"/>
      <c r="C5377" s="118"/>
      <c r="D5377" s="119"/>
      <c r="E5377" s="119"/>
      <c r="F5377" s="119"/>
      <c r="G5377" s="119"/>
      <c r="H5377" s="119"/>
      <c r="I5377" s="120"/>
      <c r="J5377" s="118"/>
      <c r="K5377" s="117"/>
      <c r="L5377" s="13"/>
    </row>
    <row r="5378" spans="1:12" hidden="1" x14ac:dyDescent="0.25">
      <c r="A5378" s="6"/>
      <c r="B5378" s="6"/>
      <c r="C5378" s="11"/>
      <c r="D5378" s="13"/>
      <c r="E5378" s="13"/>
      <c r="F5378" s="13"/>
      <c r="G5378" s="13"/>
      <c r="H5378" s="13"/>
      <c r="I5378" s="10"/>
      <c r="J5378" s="11"/>
      <c r="K5378" s="6"/>
      <c r="L5378" s="13"/>
    </row>
    <row r="5379" spans="1:12" hidden="1" x14ac:dyDescent="0.25">
      <c r="A5379" s="6"/>
      <c r="B5379" s="6"/>
      <c r="C5379" s="11"/>
      <c r="D5379" s="13"/>
      <c r="E5379" s="13"/>
      <c r="F5379" s="13"/>
      <c r="G5379" s="13"/>
      <c r="H5379" s="13"/>
      <c r="I5379" s="10"/>
      <c r="J5379" s="11"/>
      <c r="K5379" s="6"/>
      <c r="L5379" s="13"/>
    </row>
    <row r="5380" spans="1:12" hidden="1" x14ac:dyDescent="0.25">
      <c r="A5380" s="6"/>
      <c r="B5380" s="6"/>
      <c r="C5380" s="11"/>
      <c r="D5380" s="13"/>
      <c r="E5380" s="13"/>
      <c r="F5380" s="13"/>
      <c r="G5380" s="13"/>
      <c r="H5380" s="13"/>
      <c r="I5380" s="10"/>
      <c r="J5380" s="11"/>
      <c r="K5380" s="6"/>
      <c r="L5380" s="13"/>
    </row>
    <row r="5381" spans="1:12" hidden="1" x14ac:dyDescent="0.25">
      <c r="A5381" s="6"/>
      <c r="B5381" s="6"/>
      <c r="C5381" s="11"/>
      <c r="D5381" s="13"/>
      <c r="E5381" s="13"/>
      <c r="F5381" s="13"/>
      <c r="G5381" s="13"/>
      <c r="H5381" s="13"/>
      <c r="I5381" s="10"/>
      <c r="J5381" s="11"/>
      <c r="K5381" s="6"/>
      <c r="L5381" s="13"/>
    </row>
    <row r="5382" spans="1:12" hidden="1" x14ac:dyDescent="0.25">
      <c r="A5382" s="6"/>
      <c r="B5382" s="6"/>
      <c r="C5382" s="11"/>
      <c r="D5382" s="13"/>
      <c r="E5382" s="13"/>
      <c r="F5382" s="13"/>
      <c r="G5382" s="13"/>
      <c r="H5382" s="13"/>
      <c r="I5382" s="10"/>
      <c r="J5382" s="11"/>
      <c r="K5382" s="6"/>
      <c r="L5382" s="13"/>
    </row>
    <row r="5383" spans="1:12" hidden="1" x14ac:dyDescent="0.25">
      <c r="A5383" s="6"/>
      <c r="B5383" s="6"/>
      <c r="C5383" s="11"/>
      <c r="D5383" s="13"/>
      <c r="E5383" s="13"/>
      <c r="F5383" s="13"/>
      <c r="G5383" s="13"/>
      <c r="H5383" s="13"/>
      <c r="I5383" s="10"/>
      <c r="J5383" s="11"/>
      <c r="K5383" s="6"/>
      <c r="L5383" s="13"/>
    </row>
    <row r="5384" spans="1:12" hidden="1" x14ac:dyDescent="0.25">
      <c r="A5384" s="6"/>
      <c r="B5384" s="6"/>
      <c r="C5384" s="11"/>
      <c r="D5384" s="13"/>
      <c r="E5384" s="13"/>
      <c r="F5384" s="13"/>
      <c r="G5384" s="13"/>
      <c r="H5384" s="13"/>
      <c r="I5384" s="10"/>
      <c r="J5384" s="11"/>
      <c r="K5384" s="6"/>
      <c r="L5384" s="13"/>
    </row>
    <row r="5385" spans="1:12" hidden="1" x14ac:dyDescent="0.25">
      <c r="A5385" s="6"/>
      <c r="B5385" s="6"/>
      <c r="C5385" s="11"/>
      <c r="D5385" s="13"/>
      <c r="E5385" s="13"/>
      <c r="F5385" s="13"/>
      <c r="G5385" s="13"/>
      <c r="H5385" s="13"/>
      <c r="I5385" s="10"/>
      <c r="J5385" s="11"/>
      <c r="K5385" s="6"/>
      <c r="L5385" s="13"/>
    </row>
    <row r="5386" spans="1:12" hidden="1" x14ac:dyDescent="0.25">
      <c r="A5386" s="6"/>
      <c r="B5386" s="6"/>
      <c r="C5386" s="11"/>
      <c r="D5386" s="13"/>
      <c r="E5386" s="13"/>
      <c r="F5386" s="13"/>
      <c r="G5386" s="13"/>
      <c r="H5386" s="13"/>
      <c r="I5386" s="10"/>
      <c r="J5386" s="11"/>
      <c r="K5386" s="6"/>
      <c r="L5386" s="13"/>
    </row>
    <row r="5387" spans="1:12" hidden="1" x14ac:dyDescent="0.25">
      <c r="A5387" s="6"/>
      <c r="B5387" s="6"/>
      <c r="C5387" s="11"/>
      <c r="D5387" s="13"/>
      <c r="E5387" s="13"/>
      <c r="F5387" s="13"/>
      <c r="G5387" s="13"/>
      <c r="H5387" s="13"/>
      <c r="I5387" s="10"/>
      <c r="J5387" s="11"/>
      <c r="K5387" s="6"/>
      <c r="L5387" s="13"/>
    </row>
    <row r="5388" spans="1:12" hidden="1" x14ac:dyDescent="0.25">
      <c r="A5388" s="6"/>
      <c r="B5388" s="6"/>
      <c r="C5388" s="11"/>
      <c r="D5388" s="13"/>
      <c r="E5388" s="13"/>
      <c r="F5388" s="13"/>
      <c r="G5388" s="13"/>
      <c r="H5388" s="13"/>
      <c r="I5388" s="10"/>
      <c r="J5388" s="11"/>
      <c r="K5388" s="6"/>
      <c r="L5388" s="13"/>
    </row>
    <row r="5389" spans="1:12" hidden="1" x14ac:dyDescent="0.25">
      <c r="A5389" s="6"/>
      <c r="B5389" s="6"/>
      <c r="C5389" s="11"/>
      <c r="D5389" s="13"/>
      <c r="E5389" s="13"/>
      <c r="F5389" s="13"/>
      <c r="G5389" s="13"/>
      <c r="H5389" s="13"/>
      <c r="I5389" s="10"/>
      <c r="J5389" s="11"/>
      <c r="K5389" s="6"/>
      <c r="L5389" s="13"/>
    </row>
    <row r="5390" spans="1:12" hidden="1" x14ac:dyDescent="0.25">
      <c r="A5390" s="6"/>
      <c r="B5390" s="6"/>
      <c r="C5390" s="11"/>
      <c r="D5390" s="13"/>
      <c r="E5390" s="13"/>
      <c r="F5390" s="13"/>
      <c r="G5390" s="13"/>
      <c r="H5390" s="13"/>
      <c r="I5390" s="10"/>
      <c r="J5390" s="11"/>
      <c r="K5390" s="6"/>
      <c r="L5390" s="13"/>
    </row>
    <row r="5391" spans="1:12" hidden="1" x14ac:dyDescent="0.25">
      <c r="A5391" s="117"/>
      <c r="B5391" s="117"/>
      <c r="C5391" s="118"/>
      <c r="D5391" s="119"/>
      <c r="E5391" s="119"/>
      <c r="F5391" s="119"/>
      <c r="G5391" s="119"/>
      <c r="H5391" s="119"/>
      <c r="I5391" s="120"/>
      <c r="J5391" s="118"/>
      <c r="K5391" s="117"/>
      <c r="L5391" s="13"/>
    </row>
    <row r="5392" spans="1:12" hidden="1" x14ac:dyDescent="0.25">
      <c r="A5392" s="117"/>
      <c r="B5392" s="117"/>
      <c r="C5392" s="118"/>
      <c r="D5392" s="119"/>
      <c r="E5392" s="119"/>
      <c r="F5392" s="119"/>
      <c r="G5392" s="119"/>
      <c r="H5392" s="119"/>
      <c r="I5392" s="120"/>
      <c r="J5392" s="118"/>
      <c r="K5392" s="117"/>
      <c r="L5392" s="13"/>
    </row>
    <row r="5393" spans="1:12" hidden="1" x14ac:dyDescent="0.25">
      <c r="A5393" s="117"/>
      <c r="B5393" s="117"/>
      <c r="C5393" s="118"/>
      <c r="D5393" s="119"/>
      <c r="E5393" s="119"/>
      <c r="F5393" s="119"/>
      <c r="G5393" s="119"/>
      <c r="H5393" s="119"/>
      <c r="I5393" s="120"/>
      <c r="J5393" s="118"/>
      <c r="K5393" s="117"/>
      <c r="L5393" s="13"/>
    </row>
    <row r="5394" spans="1:12" hidden="1" x14ac:dyDescent="0.25">
      <c r="A5394" s="117"/>
      <c r="B5394" s="117"/>
      <c r="C5394" s="118"/>
      <c r="D5394" s="119"/>
      <c r="E5394" s="119"/>
      <c r="F5394" s="119"/>
      <c r="G5394" s="119"/>
      <c r="H5394" s="119"/>
      <c r="I5394" s="120"/>
      <c r="J5394" s="118"/>
      <c r="K5394" s="117"/>
      <c r="L5394" s="13"/>
    </row>
    <row r="5395" spans="1:12" hidden="1" x14ac:dyDescent="0.25">
      <c r="A5395" s="117"/>
      <c r="B5395" s="117"/>
      <c r="C5395" s="118"/>
      <c r="D5395" s="119"/>
      <c r="E5395" s="119"/>
      <c r="F5395" s="119"/>
      <c r="G5395" s="119"/>
      <c r="H5395" s="119"/>
      <c r="I5395" s="120"/>
      <c r="J5395" s="118"/>
      <c r="K5395" s="117"/>
      <c r="L5395" s="13"/>
    </row>
    <row r="5396" spans="1:12" hidden="1" x14ac:dyDescent="0.25">
      <c r="A5396" s="117"/>
      <c r="B5396" s="117"/>
      <c r="C5396" s="118"/>
      <c r="D5396" s="119"/>
      <c r="E5396" s="119"/>
      <c r="F5396" s="119"/>
      <c r="G5396" s="119"/>
      <c r="H5396" s="119"/>
      <c r="I5396" s="120"/>
      <c r="J5396" s="118"/>
      <c r="K5396" s="117"/>
      <c r="L5396" s="13"/>
    </row>
    <row r="5397" spans="1:12" hidden="1" x14ac:dyDescent="0.25">
      <c r="A5397" s="117"/>
      <c r="B5397" s="117"/>
      <c r="C5397" s="118"/>
      <c r="D5397" s="119"/>
      <c r="E5397" s="119"/>
      <c r="F5397" s="119"/>
      <c r="G5397" s="119"/>
      <c r="H5397" s="119"/>
      <c r="I5397" s="120"/>
      <c r="J5397" s="118"/>
      <c r="K5397" s="117"/>
      <c r="L5397" s="13"/>
    </row>
    <row r="5398" spans="1:12" hidden="1" x14ac:dyDescent="0.25">
      <c r="A5398" s="117"/>
      <c r="B5398" s="117"/>
      <c r="C5398" s="118"/>
      <c r="D5398" s="119"/>
      <c r="E5398" s="119"/>
      <c r="F5398" s="119"/>
      <c r="G5398" s="119"/>
      <c r="H5398" s="119"/>
      <c r="I5398" s="120"/>
      <c r="J5398" s="118"/>
      <c r="K5398" s="117"/>
      <c r="L5398" s="13"/>
    </row>
    <row r="5399" spans="1:12" hidden="1" x14ac:dyDescent="0.25">
      <c r="A5399" s="117"/>
      <c r="B5399" s="117"/>
      <c r="C5399" s="118"/>
      <c r="D5399" s="119"/>
      <c r="E5399" s="119"/>
      <c r="F5399" s="119"/>
      <c r="G5399" s="119"/>
      <c r="H5399" s="119"/>
      <c r="I5399" s="120"/>
      <c r="J5399" s="118"/>
      <c r="K5399" s="117"/>
      <c r="L5399" s="13"/>
    </row>
    <row r="5400" spans="1:12" hidden="1" x14ac:dyDescent="0.25">
      <c r="A5400" s="117"/>
      <c r="B5400" s="117"/>
      <c r="C5400" s="118"/>
      <c r="D5400" s="119"/>
      <c r="E5400" s="119"/>
      <c r="F5400" s="119"/>
      <c r="G5400" s="119"/>
      <c r="H5400" s="119"/>
      <c r="I5400" s="120"/>
      <c r="J5400" s="118"/>
      <c r="K5400" s="117"/>
      <c r="L5400" s="13"/>
    </row>
    <row r="5401" spans="1:12" hidden="1" x14ac:dyDescent="0.25">
      <c r="A5401" s="117"/>
      <c r="B5401" s="117"/>
      <c r="C5401" s="118"/>
      <c r="D5401" s="119"/>
      <c r="E5401" s="119"/>
      <c r="F5401" s="119"/>
      <c r="G5401" s="119"/>
      <c r="H5401" s="119"/>
      <c r="I5401" s="120"/>
      <c r="J5401" s="118"/>
      <c r="K5401" s="117"/>
      <c r="L5401" s="13"/>
    </row>
    <row r="5402" spans="1:12" hidden="1" x14ac:dyDescent="0.25">
      <c r="A5402" s="117"/>
      <c r="B5402" s="117"/>
      <c r="C5402" s="118"/>
      <c r="D5402" s="119"/>
      <c r="E5402" s="119"/>
      <c r="F5402" s="119"/>
      <c r="G5402" s="119"/>
      <c r="H5402" s="119"/>
      <c r="I5402" s="120"/>
      <c r="J5402" s="118"/>
      <c r="K5402" s="117"/>
      <c r="L5402" s="13"/>
    </row>
    <row r="5403" spans="1:12" hidden="1" x14ac:dyDescent="0.25">
      <c r="A5403" s="117"/>
      <c r="B5403" s="117"/>
      <c r="C5403" s="118"/>
      <c r="D5403" s="119"/>
      <c r="E5403" s="119"/>
      <c r="F5403" s="119"/>
      <c r="G5403" s="119"/>
      <c r="H5403" s="119"/>
      <c r="I5403" s="120"/>
      <c r="J5403" s="118"/>
      <c r="K5403" s="117"/>
      <c r="L5403" s="13"/>
    </row>
    <row r="5404" spans="1:12" hidden="1" x14ac:dyDescent="0.25">
      <c r="A5404" s="117"/>
      <c r="B5404" s="117"/>
      <c r="C5404" s="118"/>
      <c r="D5404" s="119"/>
      <c r="E5404" s="119"/>
      <c r="F5404" s="119"/>
      <c r="G5404" s="119"/>
      <c r="H5404" s="119"/>
      <c r="I5404" s="120"/>
      <c r="J5404" s="118"/>
      <c r="K5404" s="117"/>
      <c r="L5404" s="13"/>
    </row>
    <row r="5405" spans="1:12" hidden="1" x14ac:dyDescent="0.25">
      <c r="A5405" s="117"/>
      <c r="B5405" s="117"/>
      <c r="C5405" s="118"/>
      <c r="D5405" s="119"/>
      <c r="E5405" s="119"/>
      <c r="F5405" s="119"/>
      <c r="G5405" s="119"/>
      <c r="H5405" s="119"/>
      <c r="I5405" s="120"/>
      <c r="J5405" s="118"/>
      <c r="K5405" s="117"/>
      <c r="L5405" s="13"/>
    </row>
    <row r="5406" spans="1:12" hidden="1" x14ac:dyDescent="0.25">
      <c r="A5406" s="117"/>
      <c r="B5406" s="117"/>
      <c r="C5406" s="118"/>
      <c r="D5406" s="119"/>
      <c r="E5406" s="119"/>
      <c r="F5406" s="119"/>
      <c r="G5406" s="119"/>
      <c r="H5406" s="119"/>
      <c r="I5406" s="120"/>
      <c r="J5406" s="118"/>
      <c r="K5406" s="117"/>
      <c r="L5406" s="13"/>
    </row>
    <row r="5407" spans="1:12" hidden="1" x14ac:dyDescent="0.25">
      <c r="A5407" s="117"/>
      <c r="B5407" s="117"/>
      <c r="C5407" s="118"/>
      <c r="D5407" s="119"/>
      <c r="E5407" s="119"/>
      <c r="F5407" s="119"/>
      <c r="G5407" s="119"/>
      <c r="H5407" s="119"/>
      <c r="I5407" s="120"/>
      <c r="J5407" s="118"/>
      <c r="K5407" s="117"/>
      <c r="L5407" s="13"/>
    </row>
    <row r="5408" spans="1:12" hidden="1" x14ac:dyDescent="0.25">
      <c r="A5408" s="117"/>
      <c r="B5408" s="117"/>
      <c r="C5408" s="118"/>
      <c r="D5408" s="119"/>
      <c r="E5408" s="119"/>
      <c r="F5408" s="119"/>
      <c r="G5408" s="119"/>
      <c r="H5408" s="119"/>
      <c r="I5408" s="120"/>
      <c r="J5408" s="118"/>
      <c r="K5408" s="117"/>
      <c r="L5408" s="13"/>
    </row>
    <row r="5409" spans="1:12" hidden="1" x14ac:dyDescent="0.25">
      <c r="A5409" s="117"/>
      <c r="B5409" s="117"/>
      <c r="C5409" s="118"/>
      <c r="D5409" s="119"/>
      <c r="E5409" s="119"/>
      <c r="F5409" s="119"/>
      <c r="G5409" s="119"/>
      <c r="H5409" s="119"/>
      <c r="I5409" s="120"/>
      <c r="J5409" s="118"/>
      <c r="K5409" s="117"/>
      <c r="L5409" s="13"/>
    </row>
    <row r="5410" spans="1:12" hidden="1" x14ac:dyDescent="0.25">
      <c r="A5410" s="117"/>
      <c r="B5410" s="117"/>
      <c r="C5410" s="118"/>
      <c r="D5410" s="119"/>
      <c r="E5410" s="119"/>
      <c r="F5410" s="119"/>
      <c r="G5410" s="119"/>
      <c r="H5410" s="119"/>
      <c r="I5410" s="120"/>
      <c r="J5410" s="118"/>
      <c r="K5410" s="117"/>
      <c r="L5410" s="13"/>
    </row>
    <row r="5411" spans="1:12" hidden="1" x14ac:dyDescent="0.25">
      <c r="A5411" s="117"/>
      <c r="B5411" s="117"/>
      <c r="C5411" s="118"/>
      <c r="D5411" s="119"/>
      <c r="E5411" s="119"/>
      <c r="F5411" s="119"/>
      <c r="G5411" s="119"/>
      <c r="H5411" s="119"/>
      <c r="I5411" s="120"/>
      <c r="J5411" s="118"/>
      <c r="K5411" s="117"/>
      <c r="L5411" s="13"/>
    </row>
    <row r="5412" spans="1:12" hidden="1" x14ac:dyDescent="0.25">
      <c r="A5412" s="117"/>
      <c r="B5412" s="117"/>
      <c r="C5412" s="118"/>
      <c r="D5412" s="119"/>
      <c r="E5412" s="119"/>
      <c r="F5412" s="119"/>
      <c r="G5412" s="119"/>
      <c r="H5412" s="119"/>
      <c r="I5412" s="120"/>
      <c r="J5412" s="118"/>
      <c r="K5412" s="117"/>
      <c r="L5412" s="13"/>
    </row>
    <row r="5413" spans="1:12" hidden="1" x14ac:dyDescent="0.25">
      <c r="A5413" s="117"/>
      <c r="B5413" s="117"/>
      <c r="C5413" s="118"/>
      <c r="D5413" s="119"/>
      <c r="E5413" s="119"/>
      <c r="F5413" s="119"/>
      <c r="G5413" s="119"/>
      <c r="H5413" s="119"/>
      <c r="I5413" s="120"/>
      <c r="J5413" s="118"/>
      <c r="K5413" s="117"/>
      <c r="L5413" s="13"/>
    </row>
    <row r="5414" spans="1:12" hidden="1" x14ac:dyDescent="0.25">
      <c r="A5414" s="117"/>
      <c r="B5414" s="117"/>
      <c r="C5414" s="118"/>
      <c r="D5414" s="119"/>
      <c r="E5414" s="119"/>
      <c r="F5414" s="119"/>
      <c r="G5414" s="119"/>
      <c r="H5414" s="119"/>
      <c r="I5414" s="120"/>
      <c r="J5414" s="118"/>
      <c r="K5414" s="117"/>
      <c r="L5414" s="13"/>
    </row>
    <row r="5415" spans="1:12" hidden="1" x14ac:dyDescent="0.25">
      <c r="A5415" s="117"/>
      <c r="B5415" s="117"/>
      <c r="C5415" s="118"/>
      <c r="D5415" s="119"/>
      <c r="E5415" s="119"/>
      <c r="F5415" s="119"/>
      <c r="G5415" s="119"/>
      <c r="H5415" s="119"/>
      <c r="I5415" s="120"/>
      <c r="J5415" s="118"/>
      <c r="K5415" s="117"/>
      <c r="L5415" s="13"/>
    </row>
    <row r="5416" spans="1:12" hidden="1" x14ac:dyDescent="0.25">
      <c r="A5416" s="117"/>
      <c r="B5416" s="117"/>
      <c r="C5416" s="118"/>
      <c r="D5416" s="119"/>
      <c r="E5416" s="119"/>
      <c r="F5416" s="119"/>
      <c r="G5416" s="119"/>
      <c r="H5416" s="119"/>
      <c r="I5416" s="120"/>
      <c r="J5416" s="118"/>
      <c r="K5416" s="117"/>
      <c r="L5416" s="13"/>
    </row>
    <row r="5417" spans="1:12" hidden="1" x14ac:dyDescent="0.25">
      <c r="A5417" s="117"/>
      <c r="B5417" s="117"/>
      <c r="C5417" s="118"/>
      <c r="D5417" s="119"/>
      <c r="E5417" s="119"/>
      <c r="F5417" s="119"/>
      <c r="G5417" s="119"/>
      <c r="H5417" s="119"/>
      <c r="I5417" s="120"/>
      <c r="J5417" s="118"/>
      <c r="K5417" s="117"/>
      <c r="L5417" s="13"/>
    </row>
    <row r="5418" spans="1:12" hidden="1" x14ac:dyDescent="0.25">
      <c r="A5418" s="117"/>
      <c r="B5418" s="117"/>
      <c r="C5418" s="118"/>
      <c r="D5418" s="119"/>
      <c r="E5418" s="119"/>
      <c r="F5418" s="119"/>
      <c r="G5418" s="119"/>
      <c r="H5418" s="119"/>
      <c r="I5418" s="120"/>
      <c r="J5418" s="118"/>
      <c r="K5418" s="117"/>
      <c r="L5418" s="13"/>
    </row>
    <row r="5419" spans="1:12" hidden="1" x14ac:dyDescent="0.25">
      <c r="A5419" s="117"/>
      <c r="B5419" s="117"/>
      <c r="C5419" s="118"/>
      <c r="D5419" s="119"/>
      <c r="E5419" s="119"/>
      <c r="F5419" s="119"/>
      <c r="G5419" s="119"/>
      <c r="H5419" s="119"/>
      <c r="I5419" s="120"/>
      <c r="J5419" s="118"/>
      <c r="K5419" s="117"/>
      <c r="L5419" s="13"/>
    </row>
    <row r="5420" spans="1:12" hidden="1" x14ac:dyDescent="0.25">
      <c r="A5420" s="117"/>
      <c r="B5420" s="117"/>
      <c r="C5420" s="118"/>
      <c r="D5420" s="119"/>
      <c r="E5420" s="119"/>
      <c r="F5420" s="119"/>
      <c r="G5420" s="119"/>
      <c r="H5420" s="119"/>
      <c r="I5420" s="120"/>
      <c r="J5420" s="118"/>
      <c r="K5420" s="117"/>
      <c r="L5420" s="13"/>
    </row>
    <row r="5421" spans="1:12" hidden="1" x14ac:dyDescent="0.25">
      <c r="A5421" s="117"/>
      <c r="B5421" s="117"/>
      <c r="C5421" s="118"/>
      <c r="D5421" s="119"/>
      <c r="E5421" s="119"/>
      <c r="F5421" s="119"/>
      <c r="G5421" s="119"/>
      <c r="H5421" s="119"/>
      <c r="I5421" s="120"/>
      <c r="J5421" s="118"/>
      <c r="K5421" s="117"/>
      <c r="L5421" s="13"/>
    </row>
    <row r="5422" spans="1:12" hidden="1" x14ac:dyDescent="0.25">
      <c r="A5422" s="117"/>
      <c r="B5422" s="117"/>
      <c r="C5422" s="118"/>
      <c r="D5422" s="119"/>
      <c r="E5422" s="119"/>
      <c r="F5422" s="119"/>
      <c r="G5422" s="119"/>
      <c r="H5422" s="119"/>
      <c r="I5422" s="120"/>
      <c r="J5422" s="118"/>
      <c r="K5422" s="117"/>
      <c r="L5422" s="13"/>
    </row>
    <row r="5423" spans="1:12" hidden="1" x14ac:dyDescent="0.25">
      <c r="A5423" s="117"/>
      <c r="B5423" s="117"/>
      <c r="C5423" s="118"/>
      <c r="D5423" s="119"/>
      <c r="E5423" s="119"/>
      <c r="F5423" s="119"/>
      <c r="G5423" s="119"/>
      <c r="H5423" s="119"/>
      <c r="I5423" s="120"/>
      <c r="J5423" s="118"/>
      <c r="K5423" s="117"/>
      <c r="L5423" s="13"/>
    </row>
    <row r="5424" spans="1:12" hidden="1" x14ac:dyDescent="0.25">
      <c r="A5424" s="117"/>
      <c r="B5424" s="117"/>
      <c r="C5424" s="118"/>
      <c r="D5424" s="119"/>
      <c r="E5424" s="119"/>
      <c r="F5424" s="119"/>
      <c r="G5424" s="119"/>
      <c r="H5424" s="119"/>
      <c r="I5424" s="120"/>
      <c r="J5424" s="118"/>
      <c r="K5424" s="117"/>
      <c r="L5424" s="13"/>
    </row>
    <row r="5425" spans="1:12" hidden="1" x14ac:dyDescent="0.25">
      <c r="A5425" s="117"/>
      <c r="B5425" s="117"/>
      <c r="C5425" s="118"/>
      <c r="D5425" s="119"/>
      <c r="E5425" s="119"/>
      <c r="F5425" s="119"/>
      <c r="G5425" s="119"/>
      <c r="H5425" s="119"/>
      <c r="I5425" s="120"/>
      <c r="J5425" s="118"/>
      <c r="K5425" s="117"/>
      <c r="L5425" s="13"/>
    </row>
    <row r="5426" spans="1:12" hidden="1" x14ac:dyDescent="0.25">
      <c r="A5426" s="117"/>
      <c r="B5426" s="117"/>
      <c r="C5426" s="118"/>
      <c r="D5426" s="119"/>
      <c r="E5426" s="119"/>
      <c r="F5426" s="119"/>
      <c r="G5426" s="119"/>
      <c r="H5426" s="119"/>
      <c r="I5426" s="120"/>
      <c r="J5426" s="118"/>
      <c r="K5426" s="117"/>
      <c r="L5426" s="13"/>
    </row>
    <row r="5427" spans="1:12" hidden="1" x14ac:dyDescent="0.25">
      <c r="A5427" s="117"/>
      <c r="B5427" s="117"/>
      <c r="C5427" s="118"/>
      <c r="D5427" s="119"/>
      <c r="E5427" s="119"/>
      <c r="F5427" s="119"/>
      <c r="G5427" s="119"/>
      <c r="H5427" s="119"/>
      <c r="I5427" s="120"/>
      <c r="J5427" s="118"/>
      <c r="K5427" s="117"/>
      <c r="L5427" s="13"/>
    </row>
    <row r="5428" spans="1:12" hidden="1" x14ac:dyDescent="0.25">
      <c r="A5428" s="117"/>
      <c r="B5428" s="117"/>
      <c r="C5428" s="118"/>
      <c r="D5428" s="119"/>
      <c r="E5428" s="119"/>
      <c r="F5428" s="119"/>
      <c r="G5428" s="119"/>
      <c r="H5428" s="119"/>
      <c r="I5428" s="120"/>
      <c r="J5428" s="118"/>
      <c r="K5428" s="117"/>
      <c r="L5428" s="13"/>
    </row>
    <row r="5429" spans="1:12" hidden="1" x14ac:dyDescent="0.25">
      <c r="A5429" s="117"/>
      <c r="B5429" s="117"/>
      <c r="C5429" s="118"/>
      <c r="D5429" s="119"/>
      <c r="E5429" s="119"/>
      <c r="F5429" s="119"/>
      <c r="G5429" s="119"/>
      <c r="H5429" s="119"/>
      <c r="I5429" s="120"/>
      <c r="J5429" s="118"/>
      <c r="K5429" s="117"/>
      <c r="L5429" s="13"/>
    </row>
    <row r="5430" spans="1:12" hidden="1" x14ac:dyDescent="0.25">
      <c r="A5430" s="117"/>
      <c r="B5430" s="117"/>
      <c r="C5430" s="118"/>
      <c r="D5430" s="119"/>
      <c r="E5430" s="119"/>
      <c r="F5430" s="119"/>
      <c r="G5430" s="119"/>
      <c r="H5430" s="119"/>
      <c r="I5430" s="120"/>
      <c r="J5430" s="118"/>
      <c r="K5430" s="117"/>
      <c r="L5430" s="13"/>
    </row>
    <row r="5431" spans="1:12" hidden="1" x14ac:dyDescent="0.25">
      <c r="A5431" s="117"/>
      <c r="B5431" s="117"/>
      <c r="C5431" s="118"/>
      <c r="D5431" s="119"/>
      <c r="E5431" s="119"/>
      <c r="F5431" s="119"/>
      <c r="G5431" s="119"/>
      <c r="H5431" s="119"/>
      <c r="I5431" s="120"/>
      <c r="J5431" s="118"/>
      <c r="K5431" s="117"/>
      <c r="L5431" s="13"/>
    </row>
    <row r="5432" spans="1:12" hidden="1" x14ac:dyDescent="0.25">
      <c r="A5432" s="117"/>
      <c r="B5432" s="117"/>
      <c r="C5432" s="118"/>
      <c r="D5432" s="119"/>
      <c r="E5432" s="119"/>
      <c r="F5432" s="119"/>
      <c r="G5432" s="119"/>
      <c r="H5432" s="119"/>
      <c r="I5432" s="120"/>
      <c r="J5432" s="118"/>
      <c r="K5432" s="117"/>
      <c r="L5432" s="13"/>
    </row>
    <row r="5433" spans="1:12" hidden="1" x14ac:dyDescent="0.25">
      <c r="A5433" s="117"/>
      <c r="B5433" s="117"/>
      <c r="C5433" s="118"/>
      <c r="D5433" s="119"/>
      <c r="E5433" s="119"/>
      <c r="F5433" s="119"/>
      <c r="G5433" s="119"/>
      <c r="H5433" s="119"/>
      <c r="I5433" s="120"/>
      <c r="J5433" s="118"/>
      <c r="K5433" s="117"/>
      <c r="L5433" s="13"/>
    </row>
    <row r="5434" spans="1:12" hidden="1" x14ac:dyDescent="0.25">
      <c r="A5434" s="117"/>
      <c r="B5434" s="117"/>
      <c r="C5434" s="118"/>
      <c r="D5434" s="119"/>
      <c r="E5434" s="119"/>
      <c r="F5434" s="119"/>
      <c r="G5434" s="119"/>
      <c r="H5434" s="119"/>
      <c r="I5434" s="120"/>
      <c r="J5434" s="118"/>
      <c r="K5434" s="117"/>
      <c r="L5434" s="13"/>
    </row>
    <row r="5435" spans="1:12" hidden="1" x14ac:dyDescent="0.25">
      <c r="A5435" s="117"/>
      <c r="B5435" s="117"/>
      <c r="C5435" s="118"/>
      <c r="D5435" s="119"/>
      <c r="E5435" s="119"/>
      <c r="F5435" s="119"/>
      <c r="G5435" s="119"/>
      <c r="H5435" s="119"/>
      <c r="I5435" s="120"/>
      <c r="J5435" s="118"/>
      <c r="K5435" s="117"/>
      <c r="L5435" s="13"/>
    </row>
    <row r="5436" spans="1:12" hidden="1" x14ac:dyDescent="0.25">
      <c r="A5436" s="117"/>
      <c r="B5436" s="117"/>
      <c r="C5436" s="118"/>
      <c r="D5436" s="119"/>
      <c r="E5436" s="119"/>
      <c r="F5436" s="119"/>
      <c r="G5436" s="119"/>
      <c r="H5436" s="119"/>
      <c r="I5436" s="120"/>
      <c r="J5436" s="118"/>
      <c r="K5436" s="117"/>
      <c r="L5436" s="13"/>
    </row>
    <row r="5437" spans="1:12" hidden="1" x14ac:dyDescent="0.25">
      <c r="A5437" s="117"/>
      <c r="B5437" s="117"/>
      <c r="C5437" s="118"/>
      <c r="D5437" s="119"/>
      <c r="E5437" s="119"/>
      <c r="F5437" s="119"/>
      <c r="G5437" s="119"/>
      <c r="H5437" s="119"/>
      <c r="I5437" s="120"/>
      <c r="J5437" s="118"/>
      <c r="K5437" s="117"/>
      <c r="L5437" s="13"/>
    </row>
    <row r="5438" spans="1:12" hidden="1" x14ac:dyDescent="0.25">
      <c r="A5438" s="117"/>
      <c r="B5438" s="117"/>
      <c r="C5438" s="118"/>
      <c r="D5438" s="119"/>
      <c r="E5438" s="119"/>
      <c r="F5438" s="119"/>
      <c r="G5438" s="119"/>
      <c r="H5438" s="119"/>
      <c r="I5438" s="120"/>
      <c r="J5438" s="118"/>
      <c r="K5438" s="117"/>
      <c r="L5438" s="13"/>
    </row>
    <row r="5439" spans="1:12" hidden="1" x14ac:dyDescent="0.25">
      <c r="A5439" s="117"/>
      <c r="B5439" s="117"/>
      <c r="C5439" s="118"/>
      <c r="D5439" s="119"/>
      <c r="E5439" s="119"/>
      <c r="F5439" s="119"/>
      <c r="G5439" s="119"/>
      <c r="H5439" s="119"/>
      <c r="I5439" s="120"/>
      <c r="J5439" s="118"/>
      <c r="K5439" s="117"/>
      <c r="L5439" s="13"/>
    </row>
    <row r="5440" spans="1:12" hidden="1" x14ac:dyDescent="0.25">
      <c r="A5440" s="117"/>
      <c r="B5440" s="117"/>
      <c r="C5440" s="118"/>
      <c r="D5440" s="119"/>
      <c r="E5440" s="119"/>
      <c r="F5440" s="119"/>
      <c r="G5440" s="119"/>
      <c r="H5440" s="119"/>
      <c r="I5440" s="120"/>
      <c r="J5440" s="118"/>
      <c r="K5440" s="117"/>
      <c r="L5440" s="13"/>
    </row>
    <row r="5441" spans="1:12" hidden="1" x14ac:dyDescent="0.25">
      <c r="A5441" s="117"/>
      <c r="B5441" s="117"/>
      <c r="C5441" s="118"/>
      <c r="D5441" s="119"/>
      <c r="E5441" s="119"/>
      <c r="F5441" s="119"/>
      <c r="G5441" s="119"/>
      <c r="H5441" s="119"/>
      <c r="I5441" s="120"/>
      <c r="J5441" s="118"/>
      <c r="K5441" s="117"/>
      <c r="L5441" s="13"/>
    </row>
    <row r="5442" spans="1:12" hidden="1" x14ac:dyDescent="0.25">
      <c r="A5442" s="117"/>
      <c r="B5442" s="117"/>
      <c r="C5442" s="118"/>
      <c r="D5442" s="119"/>
      <c r="E5442" s="119"/>
      <c r="F5442" s="119"/>
      <c r="G5442" s="119"/>
      <c r="H5442" s="119"/>
      <c r="I5442" s="120"/>
      <c r="J5442" s="118"/>
      <c r="K5442" s="117"/>
      <c r="L5442" s="13"/>
    </row>
    <row r="5443" spans="1:12" hidden="1" x14ac:dyDescent="0.25">
      <c r="A5443" s="117"/>
      <c r="B5443" s="117"/>
      <c r="C5443" s="118"/>
      <c r="D5443" s="119"/>
      <c r="E5443" s="119"/>
      <c r="F5443" s="119"/>
      <c r="G5443" s="119"/>
      <c r="H5443" s="119"/>
      <c r="I5443" s="120"/>
      <c r="J5443" s="118"/>
      <c r="K5443" s="117"/>
      <c r="L5443" s="13"/>
    </row>
    <row r="5444" spans="1:12" hidden="1" x14ac:dyDescent="0.25">
      <c r="A5444" s="117"/>
      <c r="B5444" s="117"/>
      <c r="C5444" s="118"/>
      <c r="D5444" s="119"/>
      <c r="E5444" s="119"/>
      <c r="F5444" s="119"/>
      <c r="G5444" s="119"/>
      <c r="H5444" s="119"/>
      <c r="I5444" s="120"/>
      <c r="J5444" s="118"/>
      <c r="K5444" s="117"/>
      <c r="L5444" s="13"/>
    </row>
    <row r="5445" spans="1:12" hidden="1" x14ac:dyDescent="0.25">
      <c r="A5445" s="117"/>
      <c r="B5445" s="117"/>
      <c r="C5445" s="118"/>
      <c r="D5445" s="119"/>
      <c r="E5445" s="119"/>
      <c r="F5445" s="119"/>
      <c r="G5445" s="119"/>
      <c r="H5445" s="119"/>
      <c r="I5445" s="120"/>
      <c r="J5445" s="118"/>
      <c r="K5445" s="117"/>
      <c r="L5445" s="13"/>
    </row>
    <row r="5446" spans="1:12" hidden="1" x14ac:dyDescent="0.25">
      <c r="A5446" s="117"/>
      <c r="B5446" s="117"/>
      <c r="C5446" s="118"/>
      <c r="D5446" s="119"/>
      <c r="E5446" s="119"/>
      <c r="F5446" s="119"/>
      <c r="G5446" s="119"/>
      <c r="H5446" s="119"/>
      <c r="I5446" s="120"/>
      <c r="J5446" s="118"/>
      <c r="K5446" s="117"/>
      <c r="L5446" s="13"/>
    </row>
    <row r="5447" spans="1:12" hidden="1" x14ac:dyDescent="0.25">
      <c r="A5447" s="117"/>
      <c r="B5447" s="117"/>
      <c r="C5447" s="118"/>
      <c r="D5447" s="119"/>
      <c r="E5447" s="119"/>
      <c r="F5447" s="119"/>
      <c r="G5447" s="119"/>
      <c r="H5447" s="119"/>
      <c r="I5447" s="120"/>
      <c r="J5447" s="118"/>
      <c r="K5447" s="117"/>
      <c r="L5447" s="13"/>
    </row>
    <row r="5448" spans="1:12" hidden="1" x14ac:dyDescent="0.25">
      <c r="A5448" s="117"/>
      <c r="B5448" s="117"/>
      <c r="C5448" s="118"/>
      <c r="D5448" s="119"/>
      <c r="E5448" s="119"/>
      <c r="F5448" s="119"/>
      <c r="G5448" s="119"/>
      <c r="H5448" s="119"/>
      <c r="I5448" s="120"/>
      <c r="J5448" s="118"/>
      <c r="K5448" s="117"/>
      <c r="L5448" s="13"/>
    </row>
    <row r="5449" spans="1:12" hidden="1" x14ac:dyDescent="0.25">
      <c r="A5449" s="117"/>
      <c r="B5449" s="117"/>
      <c r="C5449" s="118"/>
      <c r="D5449" s="119"/>
      <c r="E5449" s="119"/>
      <c r="F5449" s="119"/>
      <c r="G5449" s="119"/>
      <c r="H5449" s="119"/>
      <c r="I5449" s="120"/>
      <c r="J5449" s="118"/>
      <c r="K5449" s="117"/>
      <c r="L5449" s="13"/>
    </row>
    <row r="5450" spans="1:12" hidden="1" x14ac:dyDescent="0.25">
      <c r="A5450" s="117"/>
      <c r="B5450" s="117"/>
      <c r="C5450" s="118"/>
      <c r="D5450" s="119"/>
      <c r="E5450" s="119"/>
      <c r="F5450" s="119"/>
      <c r="G5450" s="119"/>
      <c r="H5450" s="119"/>
      <c r="I5450" s="120"/>
      <c r="J5450" s="118"/>
      <c r="K5450" s="117"/>
      <c r="L5450" s="13"/>
    </row>
    <row r="5451" spans="1:12" hidden="1" x14ac:dyDescent="0.25">
      <c r="A5451" s="117"/>
      <c r="B5451" s="117"/>
      <c r="C5451" s="118"/>
      <c r="D5451" s="119"/>
      <c r="E5451" s="119"/>
      <c r="F5451" s="119"/>
      <c r="G5451" s="119"/>
      <c r="H5451" s="119"/>
      <c r="I5451" s="120"/>
      <c r="J5451" s="118"/>
      <c r="K5451" s="117"/>
      <c r="L5451" s="13"/>
    </row>
    <row r="5452" spans="1:12" hidden="1" x14ac:dyDescent="0.25">
      <c r="A5452" s="117"/>
      <c r="B5452" s="117"/>
      <c r="C5452" s="118"/>
      <c r="D5452" s="119"/>
      <c r="E5452" s="119"/>
      <c r="F5452" s="119"/>
      <c r="G5452" s="119"/>
      <c r="H5452" s="119"/>
      <c r="I5452" s="120"/>
      <c r="J5452" s="118"/>
      <c r="K5452" s="117"/>
      <c r="L5452" s="13"/>
    </row>
    <row r="5453" spans="1:12" hidden="1" x14ac:dyDescent="0.25">
      <c r="A5453" s="117"/>
      <c r="B5453" s="117"/>
      <c r="C5453" s="118"/>
      <c r="D5453" s="119"/>
      <c r="E5453" s="119"/>
      <c r="F5453" s="119"/>
      <c r="G5453" s="119"/>
      <c r="H5453" s="119"/>
      <c r="I5453" s="120"/>
      <c r="J5453" s="118"/>
      <c r="K5453" s="117"/>
      <c r="L5453" s="13"/>
    </row>
    <row r="5454" spans="1:12" hidden="1" x14ac:dyDescent="0.25">
      <c r="A5454" s="117"/>
      <c r="B5454" s="117"/>
      <c r="C5454" s="118"/>
      <c r="D5454" s="119"/>
      <c r="E5454" s="119"/>
      <c r="F5454" s="119"/>
      <c r="G5454" s="119"/>
      <c r="H5454" s="119"/>
      <c r="I5454" s="120"/>
      <c r="J5454" s="118"/>
      <c r="K5454" s="117"/>
      <c r="L5454" s="13"/>
    </row>
    <row r="5455" spans="1:12" hidden="1" x14ac:dyDescent="0.25">
      <c r="A5455" s="117"/>
      <c r="B5455" s="117"/>
      <c r="C5455" s="118"/>
      <c r="D5455" s="119"/>
      <c r="E5455" s="119"/>
      <c r="F5455" s="119"/>
      <c r="G5455" s="119"/>
      <c r="H5455" s="119"/>
      <c r="I5455" s="120"/>
      <c r="J5455" s="118"/>
      <c r="K5455" s="117"/>
      <c r="L5455" s="13"/>
    </row>
    <row r="5456" spans="1:12" hidden="1" x14ac:dyDescent="0.25">
      <c r="A5456" s="117"/>
      <c r="B5456" s="117"/>
      <c r="C5456" s="118"/>
      <c r="D5456" s="119"/>
      <c r="E5456" s="119"/>
      <c r="F5456" s="119"/>
      <c r="G5456" s="119"/>
      <c r="H5456" s="119"/>
      <c r="I5456" s="120"/>
      <c r="J5456" s="118"/>
      <c r="K5456" s="117"/>
      <c r="L5456" s="13"/>
    </row>
    <row r="5457" spans="1:12" hidden="1" x14ac:dyDescent="0.25">
      <c r="A5457" s="117"/>
      <c r="B5457" s="117"/>
      <c r="C5457" s="118"/>
      <c r="D5457" s="119"/>
      <c r="E5457" s="119"/>
      <c r="F5457" s="119"/>
      <c r="G5457" s="119"/>
      <c r="H5457" s="119"/>
      <c r="I5457" s="120"/>
      <c r="J5457" s="118"/>
      <c r="K5457" s="117"/>
      <c r="L5457" s="13"/>
    </row>
    <row r="5458" spans="1:12" hidden="1" x14ac:dyDescent="0.25">
      <c r="A5458" s="117"/>
      <c r="B5458" s="117"/>
      <c r="C5458" s="118"/>
      <c r="D5458" s="119"/>
      <c r="E5458" s="119"/>
      <c r="F5458" s="119"/>
      <c r="G5458" s="119"/>
      <c r="H5458" s="119"/>
      <c r="I5458" s="120"/>
      <c r="J5458" s="118"/>
      <c r="K5458" s="117"/>
      <c r="L5458" s="13"/>
    </row>
    <row r="5459" spans="1:12" hidden="1" x14ac:dyDescent="0.25">
      <c r="A5459" s="6"/>
      <c r="B5459" s="6"/>
      <c r="C5459" s="11"/>
      <c r="D5459" s="13"/>
      <c r="E5459" s="13"/>
      <c r="F5459" s="13"/>
      <c r="G5459" s="13"/>
      <c r="H5459" s="13"/>
      <c r="I5459" s="10"/>
      <c r="J5459" s="11"/>
      <c r="K5459" s="6"/>
      <c r="L5459" s="13"/>
    </row>
    <row r="5460" spans="1:12" hidden="1" x14ac:dyDescent="0.25">
      <c r="A5460" s="6"/>
      <c r="B5460" s="6"/>
      <c r="C5460" s="11"/>
      <c r="D5460" s="13"/>
      <c r="E5460" s="13"/>
      <c r="F5460" s="13"/>
      <c r="G5460" s="13"/>
      <c r="H5460" s="13"/>
      <c r="I5460" s="10"/>
      <c r="J5460" s="11"/>
      <c r="K5460" s="6"/>
      <c r="L5460" s="13"/>
    </row>
    <row r="5461" spans="1:12" hidden="1" x14ac:dyDescent="0.25">
      <c r="A5461" s="6"/>
      <c r="B5461" s="6"/>
      <c r="C5461" s="11"/>
      <c r="D5461" s="13"/>
      <c r="E5461" s="13"/>
      <c r="F5461" s="13"/>
      <c r="G5461" s="13"/>
      <c r="H5461" s="13"/>
      <c r="I5461" s="10"/>
      <c r="J5461" s="11"/>
      <c r="K5461" s="6"/>
      <c r="L5461" s="13"/>
    </row>
    <row r="5462" spans="1:12" hidden="1" x14ac:dyDescent="0.25">
      <c r="A5462" s="6"/>
      <c r="B5462" s="6"/>
      <c r="C5462" s="11"/>
      <c r="D5462" s="13"/>
      <c r="E5462" s="13"/>
      <c r="F5462" s="13"/>
      <c r="G5462" s="13"/>
      <c r="H5462" s="13"/>
      <c r="I5462" s="10"/>
      <c r="J5462" s="11"/>
      <c r="K5462" s="6"/>
      <c r="L5462" s="13"/>
    </row>
    <row r="5463" spans="1:12" hidden="1" x14ac:dyDescent="0.25">
      <c r="A5463" s="6"/>
      <c r="B5463" s="6"/>
      <c r="C5463" s="11"/>
      <c r="D5463" s="13"/>
      <c r="E5463" s="13"/>
      <c r="F5463" s="13"/>
      <c r="G5463" s="13"/>
      <c r="H5463" s="13"/>
      <c r="I5463" s="10"/>
      <c r="J5463" s="11"/>
      <c r="K5463" s="6"/>
      <c r="L5463" s="13"/>
    </row>
    <row r="5464" spans="1:12" hidden="1" x14ac:dyDescent="0.25">
      <c r="A5464" s="6"/>
      <c r="B5464" s="6"/>
      <c r="C5464" s="11"/>
      <c r="D5464" s="13"/>
      <c r="E5464" s="13"/>
      <c r="F5464" s="13"/>
      <c r="G5464" s="13"/>
      <c r="H5464" s="13"/>
      <c r="I5464" s="10"/>
      <c r="J5464" s="11"/>
      <c r="K5464" s="6"/>
      <c r="L5464" s="13"/>
    </row>
    <row r="5465" spans="1:12" hidden="1" x14ac:dyDescent="0.25">
      <c r="A5465" s="6"/>
      <c r="B5465" s="6"/>
      <c r="C5465" s="11"/>
      <c r="D5465" s="13"/>
      <c r="E5465" s="13"/>
      <c r="F5465" s="13"/>
      <c r="G5465" s="13"/>
      <c r="H5465" s="13"/>
      <c r="I5465" s="10"/>
      <c r="J5465" s="11"/>
      <c r="K5465" s="6"/>
      <c r="L5465" s="13"/>
    </row>
    <row r="5466" spans="1:12" hidden="1" x14ac:dyDescent="0.25">
      <c r="A5466" s="6"/>
      <c r="B5466" s="6"/>
      <c r="C5466" s="11"/>
      <c r="D5466" s="13"/>
      <c r="E5466" s="13"/>
      <c r="F5466" s="13"/>
      <c r="G5466" s="13"/>
      <c r="H5466" s="13"/>
      <c r="I5466" s="10"/>
      <c r="J5466" s="11"/>
      <c r="K5466" s="6"/>
      <c r="L5466" s="13"/>
    </row>
    <row r="5467" spans="1:12" hidden="1" x14ac:dyDescent="0.25">
      <c r="A5467" s="6"/>
      <c r="B5467" s="6"/>
      <c r="C5467" s="11"/>
      <c r="D5467" s="13"/>
      <c r="E5467" s="13"/>
      <c r="F5467" s="13"/>
      <c r="G5467" s="13"/>
      <c r="H5467" s="13"/>
      <c r="I5467" s="10"/>
      <c r="J5467" s="11"/>
      <c r="K5467" s="6"/>
      <c r="L5467" s="13"/>
    </row>
    <row r="5468" spans="1:12" hidden="1" x14ac:dyDescent="0.25">
      <c r="A5468" s="6"/>
      <c r="B5468" s="6"/>
      <c r="C5468" s="11"/>
      <c r="D5468" s="13"/>
      <c r="E5468" s="13"/>
      <c r="F5468" s="13"/>
      <c r="G5468" s="13"/>
      <c r="H5468" s="13"/>
      <c r="I5468" s="10"/>
      <c r="J5468" s="11"/>
      <c r="K5468" s="6"/>
      <c r="L5468" s="13"/>
    </row>
    <row r="5469" spans="1:12" hidden="1" x14ac:dyDescent="0.25">
      <c r="A5469" s="6"/>
      <c r="B5469" s="6"/>
      <c r="C5469" s="11"/>
      <c r="D5469" s="13"/>
      <c r="E5469" s="13"/>
      <c r="F5469" s="13"/>
      <c r="G5469" s="13"/>
      <c r="H5469" s="13"/>
      <c r="I5469" s="10"/>
      <c r="J5469" s="11"/>
      <c r="K5469" s="6"/>
      <c r="L5469" s="13"/>
    </row>
    <row r="5470" spans="1:12" hidden="1" x14ac:dyDescent="0.25">
      <c r="A5470" s="6"/>
      <c r="B5470" s="6"/>
      <c r="C5470" s="11"/>
      <c r="D5470" s="13"/>
      <c r="E5470" s="13"/>
      <c r="F5470" s="13"/>
      <c r="G5470" s="13"/>
      <c r="H5470" s="13"/>
      <c r="I5470" s="10"/>
      <c r="J5470" s="11"/>
      <c r="K5470" s="6"/>
      <c r="L5470" s="13"/>
    </row>
    <row r="5471" spans="1:12" hidden="1" x14ac:dyDescent="0.25">
      <c r="A5471" s="6"/>
      <c r="B5471" s="6"/>
      <c r="C5471" s="11"/>
      <c r="D5471" s="13"/>
      <c r="E5471" s="13"/>
      <c r="F5471" s="13"/>
      <c r="G5471" s="13"/>
      <c r="H5471" s="13"/>
      <c r="I5471" s="10"/>
      <c r="J5471" s="11"/>
      <c r="K5471" s="6"/>
      <c r="L5471" s="13"/>
    </row>
    <row r="5472" spans="1:12" hidden="1" x14ac:dyDescent="0.25">
      <c r="A5472" s="6"/>
      <c r="B5472" s="6"/>
      <c r="C5472" s="11"/>
      <c r="D5472" s="13"/>
      <c r="E5472" s="13"/>
      <c r="F5472" s="13"/>
      <c r="G5472" s="13"/>
      <c r="H5472" s="13"/>
      <c r="I5472" s="10"/>
      <c r="J5472" s="11"/>
      <c r="K5472" s="6"/>
      <c r="L5472" s="13"/>
    </row>
    <row r="5473" spans="1:12" hidden="1" x14ac:dyDescent="0.25">
      <c r="A5473" s="6"/>
      <c r="B5473" s="6"/>
      <c r="C5473" s="11"/>
      <c r="D5473" s="13"/>
      <c r="E5473" s="13"/>
      <c r="F5473" s="13"/>
      <c r="G5473" s="13"/>
      <c r="H5473" s="13"/>
      <c r="I5473" s="10"/>
      <c r="J5473" s="11"/>
      <c r="K5473" s="6"/>
      <c r="L5473" s="13"/>
    </row>
    <row r="5474" spans="1:12" hidden="1" x14ac:dyDescent="0.25">
      <c r="A5474" s="6"/>
      <c r="B5474" s="6"/>
      <c r="C5474" s="11"/>
      <c r="D5474" s="13"/>
      <c r="E5474" s="13"/>
      <c r="F5474" s="13"/>
      <c r="G5474" s="13"/>
      <c r="H5474" s="13"/>
      <c r="I5474" s="10"/>
      <c r="J5474" s="11"/>
      <c r="K5474" s="6"/>
      <c r="L5474" s="13"/>
    </row>
    <row r="5475" spans="1:12" hidden="1" x14ac:dyDescent="0.25">
      <c r="A5475" s="6"/>
      <c r="B5475" s="6"/>
      <c r="C5475" s="11"/>
      <c r="D5475" s="13"/>
      <c r="E5475" s="13"/>
      <c r="F5475" s="13"/>
      <c r="G5475" s="13"/>
      <c r="H5475" s="13"/>
      <c r="I5475" s="10"/>
      <c r="J5475" s="11"/>
      <c r="K5475" s="6"/>
      <c r="L5475" s="13"/>
    </row>
    <row r="5476" spans="1:12" hidden="1" x14ac:dyDescent="0.25">
      <c r="A5476" s="6"/>
      <c r="B5476" s="6"/>
      <c r="C5476" s="11"/>
      <c r="D5476" s="13"/>
      <c r="E5476" s="13"/>
      <c r="F5476" s="13"/>
      <c r="G5476" s="13"/>
      <c r="H5476" s="13"/>
      <c r="I5476" s="10"/>
      <c r="J5476" s="11"/>
      <c r="K5476" s="6"/>
      <c r="L5476" s="13"/>
    </row>
    <row r="5477" spans="1:12" hidden="1" x14ac:dyDescent="0.25">
      <c r="A5477" s="6"/>
      <c r="B5477" s="6"/>
      <c r="C5477" s="11"/>
      <c r="D5477" s="13"/>
      <c r="E5477" s="13"/>
      <c r="F5477" s="13"/>
      <c r="G5477" s="13"/>
      <c r="H5477" s="13"/>
      <c r="I5477" s="10"/>
      <c r="J5477" s="11"/>
      <c r="K5477" s="6"/>
      <c r="L5477" s="13"/>
    </row>
    <row r="5478" spans="1:12" hidden="1" x14ac:dyDescent="0.25">
      <c r="A5478" s="6"/>
      <c r="B5478" s="6"/>
      <c r="C5478" s="11"/>
      <c r="D5478" s="13"/>
      <c r="E5478" s="13"/>
      <c r="F5478" s="13"/>
      <c r="G5478" s="13"/>
      <c r="H5478" s="13"/>
      <c r="I5478" s="10"/>
      <c r="J5478" s="11"/>
      <c r="K5478" s="6"/>
      <c r="L5478" s="13"/>
    </row>
    <row r="5479" spans="1:12" hidden="1" x14ac:dyDescent="0.25">
      <c r="A5479" s="6"/>
      <c r="B5479" s="6"/>
      <c r="C5479" s="11"/>
      <c r="D5479" s="13"/>
      <c r="E5479" s="13"/>
      <c r="F5479" s="13"/>
      <c r="G5479" s="13"/>
      <c r="H5479" s="13"/>
      <c r="I5479" s="10"/>
      <c r="J5479" s="11"/>
      <c r="K5479" s="6"/>
      <c r="L5479" s="13"/>
    </row>
    <row r="5480" spans="1:12" hidden="1" x14ac:dyDescent="0.25">
      <c r="A5480" s="6"/>
      <c r="B5480" s="6"/>
      <c r="C5480" s="11"/>
      <c r="D5480" s="13"/>
      <c r="E5480" s="13"/>
      <c r="F5480" s="13"/>
      <c r="G5480" s="13"/>
      <c r="H5480" s="13"/>
      <c r="I5480" s="10"/>
      <c r="J5480" s="11"/>
      <c r="K5480" s="6"/>
      <c r="L5480" s="13"/>
    </row>
    <row r="5481" spans="1:12" hidden="1" x14ac:dyDescent="0.25">
      <c r="A5481" s="6"/>
      <c r="B5481" s="6"/>
      <c r="C5481" s="11"/>
      <c r="D5481" s="13"/>
      <c r="E5481" s="13"/>
      <c r="F5481" s="13"/>
      <c r="G5481" s="13"/>
      <c r="H5481" s="13"/>
      <c r="I5481" s="10"/>
      <c r="J5481" s="11"/>
      <c r="K5481" s="6"/>
      <c r="L5481" s="13"/>
    </row>
    <row r="5482" spans="1:12" hidden="1" x14ac:dyDescent="0.25">
      <c r="A5482" s="6"/>
      <c r="B5482" s="6"/>
      <c r="C5482" s="11"/>
      <c r="D5482" s="13"/>
      <c r="E5482" s="13"/>
      <c r="F5482" s="13"/>
      <c r="G5482" s="13"/>
      <c r="H5482" s="13"/>
      <c r="I5482" s="10"/>
      <c r="J5482" s="11"/>
      <c r="K5482" s="6"/>
      <c r="L5482" s="13"/>
    </row>
    <row r="5483" spans="1:12" hidden="1" x14ac:dyDescent="0.25">
      <c r="A5483" s="6"/>
      <c r="B5483" s="6"/>
      <c r="C5483" s="11"/>
      <c r="D5483" s="13"/>
      <c r="E5483" s="13"/>
      <c r="F5483" s="13"/>
      <c r="G5483" s="13"/>
      <c r="H5483" s="13"/>
      <c r="I5483" s="10"/>
      <c r="J5483" s="11"/>
      <c r="K5483" s="6"/>
      <c r="L5483" s="13"/>
    </row>
    <row r="5484" spans="1:12" hidden="1" x14ac:dyDescent="0.25">
      <c r="A5484" s="6"/>
      <c r="B5484" s="6"/>
      <c r="C5484" s="11"/>
      <c r="D5484" s="13"/>
      <c r="E5484" s="13"/>
      <c r="F5484" s="13"/>
      <c r="G5484" s="13"/>
      <c r="H5484" s="13"/>
      <c r="I5484" s="10"/>
      <c r="J5484" s="11"/>
      <c r="K5484" s="6"/>
      <c r="L5484" s="13"/>
    </row>
    <row r="5485" spans="1:12" hidden="1" x14ac:dyDescent="0.25">
      <c r="A5485" s="6"/>
      <c r="B5485" s="6"/>
      <c r="C5485" s="11"/>
      <c r="D5485" s="13"/>
      <c r="E5485" s="13"/>
      <c r="F5485" s="13"/>
      <c r="G5485" s="13"/>
      <c r="H5485" s="13"/>
      <c r="I5485" s="10"/>
      <c r="J5485" s="11"/>
      <c r="K5485" s="6"/>
      <c r="L5485" s="13"/>
    </row>
    <row r="5486" spans="1:12" hidden="1" x14ac:dyDescent="0.25">
      <c r="A5486" s="6"/>
      <c r="B5486" s="6"/>
      <c r="C5486" s="11"/>
      <c r="D5486" s="13"/>
      <c r="E5486" s="13"/>
      <c r="F5486" s="13"/>
      <c r="G5486" s="13"/>
      <c r="H5486" s="13"/>
      <c r="I5486" s="10"/>
      <c r="J5486" s="11"/>
      <c r="K5486" s="6"/>
      <c r="L5486" s="13"/>
    </row>
    <row r="5487" spans="1:12" hidden="1" x14ac:dyDescent="0.25">
      <c r="A5487" s="6"/>
      <c r="B5487" s="6"/>
      <c r="C5487" s="11"/>
      <c r="D5487" s="13"/>
      <c r="E5487" s="13"/>
      <c r="F5487" s="13"/>
      <c r="G5487" s="13"/>
      <c r="H5487" s="13"/>
      <c r="I5487" s="10"/>
      <c r="J5487" s="11"/>
      <c r="K5487" s="6"/>
      <c r="L5487" s="13"/>
    </row>
    <row r="5488" spans="1:12" hidden="1" x14ac:dyDescent="0.25">
      <c r="A5488" s="6"/>
      <c r="B5488" s="6"/>
      <c r="C5488" s="11"/>
      <c r="D5488" s="13"/>
      <c r="E5488" s="13"/>
      <c r="F5488" s="13"/>
      <c r="G5488" s="13"/>
      <c r="H5488" s="13"/>
      <c r="I5488" s="10"/>
      <c r="J5488" s="11"/>
      <c r="K5488" s="6"/>
      <c r="L5488" s="13"/>
    </row>
    <row r="5489" spans="1:12" hidden="1" x14ac:dyDescent="0.25">
      <c r="A5489" s="6"/>
      <c r="B5489" s="6"/>
      <c r="C5489" s="11"/>
      <c r="D5489" s="13"/>
      <c r="E5489" s="13"/>
      <c r="F5489" s="13"/>
      <c r="G5489" s="13"/>
      <c r="H5489" s="13"/>
      <c r="I5489" s="10"/>
      <c r="J5489" s="11"/>
      <c r="K5489" s="6"/>
      <c r="L5489" s="13"/>
    </row>
    <row r="5490" spans="1:12" hidden="1" x14ac:dyDescent="0.25">
      <c r="A5490" s="6"/>
      <c r="B5490" s="6"/>
      <c r="C5490" s="11"/>
      <c r="D5490" s="13"/>
      <c r="E5490" s="13"/>
      <c r="F5490" s="13"/>
      <c r="G5490" s="13"/>
      <c r="H5490" s="13"/>
      <c r="I5490" s="10"/>
      <c r="J5490" s="11"/>
      <c r="K5490" s="6"/>
      <c r="L5490" s="13"/>
    </row>
    <row r="5491" spans="1:12" hidden="1" x14ac:dyDescent="0.25">
      <c r="A5491" s="6"/>
      <c r="B5491" s="6"/>
      <c r="C5491" s="11"/>
      <c r="D5491" s="13"/>
      <c r="E5491" s="13"/>
      <c r="F5491" s="13"/>
      <c r="G5491" s="13"/>
      <c r="H5491" s="13"/>
      <c r="I5491" s="10"/>
      <c r="J5491" s="11"/>
      <c r="K5491" s="6"/>
      <c r="L5491" s="13"/>
    </row>
    <row r="5492" spans="1:12" hidden="1" x14ac:dyDescent="0.25">
      <c r="A5492" s="6"/>
      <c r="B5492" s="6"/>
      <c r="C5492" s="11"/>
      <c r="D5492" s="13"/>
      <c r="E5492" s="13"/>
      <c r="F5492" s="13"/>
      <c r="G5492" s="13"/>
      <c r="H5492" s="13"/>
      <c r="I5492" s="10"/>
      <c r="J5492" s="11"/>
      <c r="K5492" s="6"/>
      <c r="L5492" s="13"/>
    </row>
    <row r="5493" spans="1:12" hidden="1" x14ac:dyDescent="0.25">
      <c r="A5493" s="6"/>
      <c r="B5493" s="6"/>
      <c r="C5493" s="11"/>
      <c r="D5493" s="13"/>
      <c r="E5493" s="13"/>
      <c r="F5493" s="13"/>
      <c r="G5493" s="13"/>
      <c r="H5493" s="13"/>
      <c r="I5493" s="10"/>
      <c r="J5493" s="11"/>
      <c r="K5493" s="6"/>
      <c r="L5493" s="13"/>
    </row>
    <row r="5494" spans="1:12" hidden="1" x14ac:dyDescent="0.25">
      <c r="A5494" s="6"/>
      <c r="B5494" s="6"/>
      <c r="C5494" s="11"/>
      <c r="D5494" s="13"/>
      <c r="E5494" s="13"/>
      <c r="F5494" s="13"/>
      <c r="G5494" s="13"/>
      <c r="H5494" s="13"/>
      <c r="I5494" s="10"/>
      <c r="J5494" s="11"/>
      <c r="K5494" s="6"/>
      <c r="L5494" s="13"/>
    </row>
    <row r="5495" spans="1:12" hidden="1" x14ac:dyDescent="0.25">
      <c r="A5495" s="6"/>
      <c r="B5495" s="6"/>
      <c r="C5495" s="11"/>
      <c r="D5495" s="13"/>
      <c r="E5495" s="13"/>
      <c r="F5495" s="13"/>
      <c r="G5495" s="13"/>
      <c r="H5495" s="13"/>
      <c r="I5495" s="10"/>
      <c r="J5495" s="11"/>
      <c r="K5495" s="6"/>
      <c r="L5495" s="13"/>
    </row>
    <row r="5496" spans="1:12" hidden="1" x14ac:dyDescent="0.25">
      <c r="A5496" s="6"/>
      <c r="B5496" s="6"/>
      <c r="C5496" s="11"/>
      <c r="D5496" s="13"/>
      <c r="E5496" s="13"/>
      <c r="F5496" s="13"/>
      <c r="G5496" s="13"/>
      <c r="H5496" s="13"/>
      <c r="I5496" s="10"/>
      <c r="J5496" s="11"/>
      <c r="K5496" s="6"/>
      <c r="L5496" s="13"/>
    </row>
    <row r="5497" spans="1:12" hidden="1" x14ac:dyDescent="0.25">
      <c r="A5497" s="117"/>
      <c r="B5497" s="117"/>
      <c r="C5497" s="118"/>
      <c r="D5497" s="119"/>
      <c r="E5497" s="119"/>
      <c r="F5497" s="119"/>
      <c r="G5497" s="119"/>
      <c r="H5497" s="119"/>
      <c r="I5497" s="120"/>
      <c r="J5497" s="118"/>
      <c r="K5497" s="117"/>
      <c r="L5497" s="13"/>
    </row>
    <row r="5498" spans="1:12" hidden="1" x14ac:dyDescent="0.25">
      <c r="A5498" s="117"/>
      <c r="B5498" s="117"/>
      <c r="C5498" s="118"/>
      <c r="D5498" s="119"/>
      <c r="E5498" s="119"/>
      <c r="F5498" s="119"/>
      <c r="G5498" s="119"/>
      <c r="H5498" s="119"/>
      <c r="I5498" s="120"/>
      <c r="J5498" s="118"/>
      <c r="K5498" s="117"/>
      <c r="L5498" s="13"/>
    </row>
    <row r="5499" spans="1:12" hidden="1" x14ac:dyDescent="0.25">
      <c r="A5499" s="117"/>
      <c r="B5499" s="117"/>
      <c r="C5499" s="118"/>
      <c r="D5499" s="119"/>
      <c r="E5499" s="119"/>
      <c r="F5499" s="119"/>
      <c r="G5499" s="119"/>
      <c r="H5499" s="119"/>
      <c r="I5499" s="120"/>
      <c r="J5499" s="118"/>
      <c r="K5499" s="117"/>
      <c r="L5499" s="13"/>
    </row>
    <row r="5500" spans="1:12" hidden="1" x14ac:dyDescent="0.25">
      <c r="A5500" s="117"/>
      <c r="B5500" s="117"/>
      <c r="C5500" s="118"/>
      <c r="D5500" s="119"/>
      <c r="E5500" s="119"/>
      <c r="F5500" s="119"/>
      <c r="G5500" s="119"/>
      <c r="H5500" s="119"/>
      <c r="I5500" s="120"/>
      <c r="J5500" s="118"/>
      <c r="K5500" s="117"/>
      <c r="L5500" s="13"/>
    </row>
    <row r="5501" spans="1:12" hidden="1" x14ac:dyDescent="0.25">
      <c r="A5501" s="117"/>
      <c r="B5501" s="117"/>
      <c r="C5501" s="118"/>
      <c r="D5501" s="119"/>
      <c r="E5501" s="119"/>
      <c r="F5501" s="119"/>
      <c r="G5501" s="119"/>
      <c r="H5501" s="119"/>
      <c r="I5501" s="120"/>
      <c r="J5501" s="118"/>
      <c r="K5501" s="117"/>
      <c r="L5501" s="13"/>
    </row>
    <row r="5502" spans="1:12" hidden="1" x14ac:dyDescent="0.25">
      <c r="A5502" s="117"/>
      <c r="B5502" s="117"/>
      <c r="C5502" s="118"/>
      <c r="D5502" s="119"/>
      <c r="E5502" s="119"/>
      <c r="F5502" s="119"/>
      <c r="G5502" s="119"/>
      <c r="H5502" s="119"/>
      <c r="I5502" s="120"/>
      <c r="J5502" s="118"/>
      <c r="K5502" s="117"/>
      <c r="L5502" s="13"/>
    </row>
    <row r="5503" spans="1:12" hidden="1" x14ac:dyDescent="0.25">
      <c r="A5503" s="117"/>
      <c r="B5503" s="117"/>
      <c r="C5503" s="118"/>
      <c r="D5503" s="119"/>
      <c r="E5503" s="119"/>
      <c r="F5503" s="119"/>
      <c r="G5503" s="119"/>
      <c r="H5503" s="119"/>
      <c r="I5503" s="120"/>
      <c r="J5503" s="118"/>
      <c r="K5503" s="117"/>
      <c r="L5503" s="13"/>
    </row>
    <row r="5504" spans="1:12" hidden="1" x14ac:dyDescent="0.25">
      <c r="A5504" s="117"/>
      <c r="B5504" s="117"/>
      <c r="C5504" s="118"/>
      <c r="D5504" s="119"/>
      <c r="E5504" s="119"/>
      <c r="F5504" s="119"/>
      <c r="G5504" s="119"/>
      <c r="H5504" s="119"/>
      <c r="I5504" s="120"/>
      <c r="J5504" s="118"/>
      <c r="K5504" s="117"/>
      <c r="L5504" s="13"/>
    </row>
    <row r="5505" spans="1:12" hidden="1" x14ac:dyDescent="0.25">
      <c r="A5505" s="117"/>
      <c r="B5505" s="117"/>
      <c r="C5505" s="118"/>
      <c r="D5505" s="119"/>
      <c r="E5505" s="119"/>
      <c r="F5505" s="119"/>
      <c r="G5505" s="119"/>
      <c r="H5505" s="119"/>
      <c r="I5505" s="120"/>
      <c r="J5505" s="118"/>
      <c r="K5505" s="117"/>
      <c r="L5505" s="13"/>
    </row>
    <row r="5506" spans="1:12" hidden="1" x14ac:dyDescent="0.25">
      <c r="A5506" s="117"/>
      <c r="B5506" s="117"/>
      <c r="C5506" s="118"/>
      <c r="D5506" s="119"/>
      <c r="E5506" s="119"/>
      <c r="F5506" s="119"/>
      <c r="G5506" s="119"/>
      <c r="H5506" s="119"/>
      <c r="I5506" s="120"/>
      <c r="J5506" s="118"/>
      <c r="K5506" s="117"/>
      <c r="L5506" s="13"/>
    </row>
    <row r="5507" spans="1:12" hidden="1" x14ac:dyDescent="0.25">
      <c r="A5507" s="117"/>
      <c r="B5507" s="117"/>
      <c r="C5507" s="118"/>
      <c r="D5507" s="119"/>
      <c r="E5507" s="119"/>
      <c r="F5507" s="119"/>
      <c r="G5507" s="119"/>
      <c r="H5507" s="119"/>
      <c r="I5507" s="120"/>
      <c r="J5507" s="118"/>
      <c r="K5507" s="117"/>
      <c r="L5507" s="13"/>
    </row>
    <row r="5508" spans="1:12" hidden="1" x14ac:dyDescent="0.25">
      <c r="A5508" s="117"/>
      <c r="B5508" s="117"/>
      <c r="C5508" s="118"/>
      <c r="D5508" s="119"/>
      <c r="E5508" s="119"/>
      <c r="F5508" s="119"/>
      <c r="G5508" s="119"/>
      <c r="H5508" s="119"/>
      <c r="I5508" s="120"/>
      <c r="J5508" s="118"/>
      <c r="K5508" s="117"/>
      <c r="L5508" s="13"/>
    </row>
    <row r="5509" spans="1:12" hidden="1" x14ac:dyDescent="0.25">
      <c r="A5509" s="117"/>
      <c r="B5509" s="117"/>
      <c r="C5509" s="118"/>
      <c r="D5509" s="119"/>
      <c r="E5509" s="119"/>
      <c r="F5509" s="119"/>
      <c r="G5509" s="119"/>
      <c r="H5509" s="119"/>
      <c r="I5509" s="120"/>
      <c r="J5509" s="118"/>
      <c r="K5509" s="117"/>
      <c r="L5509" s="13"/>
    </row>
    <row r="5510" spans="1:12" hidden="1" x14ac:dyDescent="0.25">
      <c r="A5510" s="117"/>
      <c r="B5510" s="117"/>
      <c r="C5510" s="118"/>
      <c r="D5510" s="119"/>
      <c r="E5510" s="119"/>
      <c r="F5510" s="119"/>
      <c r="G5510" s="119"/>
      <c r="H5510" s="119"/>
      <c r="I5510" s="120"/>
      <c r="J5510" s="118"/>
      <c r="K5510" s="117"/>
      <c r="L5510" s="13"/>
    </row>
    <row r="5511" spans="1:12" hidden="1" x14ac:dyDescent="0.25">
      <c r="A5511" s="117"/>
      <c r="B5511" s="117"/>
      <c r="C5511" s="118"/>
      <c r="D5511" s="119"/>
      <c r="E5511" s="119"/>
      <c r="F5511" s="119"/>
      <c r="G5511" s="119"/>
      <c r="H5511" s="119"/>
      <c r="I5511" s="120"/>
      <c r="J5511" s="118"/>
      <c r="K5511" s="117"/>
      <c r="L5511" s="13"/>
    </row>
    <row r="5512" spans="1:12" hidden="1" x14ac:dyDescent="0.25">
      <c r="A5512" s="117"/>
      <c r="B5512" s="117"/>
      <c r="C5512" s="118"/>
      <c r="D5512" s="119"/>
      <c r="E5512" s="119"/>
      <c r="F5512" s="119"/>
      <c r="G5512" s="119"/>
      <c r="H5512" s="119"/>
      <c r="I5512" s="120"/>
      <c r="J5512" s="118"/>
      <c r="K5512" s="117"/>
      <c r="L5512" s="13"/>
    </row>
    <row r="5513" spans="1:12" hidden="1" x14ac:dyDescent="0.25">
      <c r="A5513" s="117"/>
      <c r="B5513" s="117"/>
      <c r="C5513" s="118"/>
      <c r="D5513" s="119"/>
      <c r="E5513" s="119"/>
      <c r="F5513" s="119"/>
      <c r="G5513" s="119"/>
      <c r="H5513" s="119"/>
      <c r="I5513" s="120"/>
      <c r="J5513" s="118"/>
      <c r="K5513" s="117"/>
      <c r="L5513" s="13"/>
    </row>
    <row r="5514" spans="1:12" hidden="1" x14ac:dyDescent="0.25">
      <c r="A5514" s="117"/>
      <c r="B5514" s="117"/>
      <c r="C5514" s="118"/>
      <c r="D5514" s="119"/>
      <c r="E5514" s="119"/>
      <c r="F5514" s="119"/>
      <c r="G5514" s="119"/>
      <c r="H5514" s="119"/>
      <c r="I5514" s="120"/>
      <c r="J5514" s="118"/>
      <c r="K5514" s="117"/>
      <c r="L5514" s="13"/>
    </row>
    <row r="5515" spans="1:12" hidden="1" x14ac:dyDescent="0.25">
      <c r="A5515" s="117"/>
      <c r="B5515" s="117"/>
      <c r="C5515" s="118"/>
      <c r="D5515" s="119"/>
      <c r="E5515" s="119"/>
      <c r="F5515" s="119"/>
      <c r="G5515" s="119"/>
      <c r="H5515" s="119"/>
      <c r="I5515" s="120"/>
      <c r="J5515" s="118"/>
      <c r="K5515" s="117"/>
      <c r="L5515" s="13"/>
    </row>
    <row r="5516" spans="1:12" hidden="1" x14ac:dyDescent="0.25">
      <c r="A5516" s="117"/>
      <c r="B5516" s="117"/>
      <c r="C5516" s="118"/>
      <c r="D5516" s="119"/>
      <c r="E5516" s="119"/>
      <c r="F5516" s="119"/>
      <c r="G5516" s="119"/>
      <c r="H5516" s="119"/>
      <c r="I5516" s="120"/>
      <c r="J5516" s="118"/>
      <c r="K5516" s="117"/>
      <c r="L5516" s="13"/>
    </row>
    <row r="5517" spans="1:12" hidden="1" x14ac:dyDescent="0.25">
      <c r="A5517" s="117"/>
      <c r="B5517" s="117"/>
      <c r="C5517" s="118"/>
      <c r="D5517" s="119"/>
      <c r="E5517" s="119"/>
      <c r="F5517" s="119"/>
      <c r="G5517" s="119"/>
      <c r="H5517" s="119"/>
      <c r="I5517" s="120"/>
      <c r="J5517" s="118"/>
      <c r="K5517" s="117"/>
      <c r="L5517" s="13"/>
    </row>
    <row r="5518" spans="1:12" hidden="1" x14ac:dyDescent="0.25">
      <c r="A5518" s="117"/>
      <c r="B5518" s="117"/>
      <c r="C5518" s="118"/>
      <c r="D5518" s="119"/>
      <c r="E5518" s="119"/>
      <c r="F5518" s="119"/>
      <c r="G5518" s="119"/>
      <c r="H5518" s="119"/>
      <c r="I5518" s="120"/>
      <c r="J5518" s="118"/>
      <c r="K5518" s="117"/>
      <c r="L5518" s="13"/>
    </row>
    <row r="5519" spans="1:12" hidden="1" x14ac:dyDescent="0.25">
      <c r="A5519" s="117"/>
      <c r="B5519" s="117"/>
      <c r="C5519" s="118"/>
      <c r="D5519" s="119"/>
      <c r="E5519" s="119"/>
      <c r="F5519" s="119"/>
      <c r="G5519" s="119"/>
      <c r="H5519" s="119"/>
      <c r="I5519" s="120"/>
      <c r="J5519" s="118"/>
      <c r="K5519" s="117"/>
      <c r="L5519" s="13"/>
    </row>
    <row r="5520" spans="1:12" hidden="1" x14ac:dyDescent="0.25">
      <c r="A5520" s="117"/>
      <c r="B5520" s="117"/>
      <c r="C5520" s="118"/>
      <c r="D5520" s="119"/>
      <c r="E5520" s="119"/>
      <c r="F5520" s="119"/>
      <c r="G5520" s="119"/>
      <c r="H5520" s="119"/>
      <c r="I5520" s="120"/>
      <c r="J5520" s="118"/>
      <c r="K5520" s="117"/>
      <c r="L5520" s="13"/>
    </row>
    <row r="5521" spans="1:12" hidden="1" x14ac:dyDescent="0.25">
      <c r="A5521" s="117"/>
      <c r="B5521" s="117"/>
      <c r="C5521" s="118"/>
      <c r="D5521" s="119"/>
      <c r="E5521" s="119"/>
      <c r="F5521" s="119"/>
      <c r="G5521" s="119"/>
      <c r="H5521" s="119"/>
      <c r="I5521" s="120"/>
      <c r="J5521" s="118"/>
      <c r="K5521" s="117"/>
      <c r="L5521" s="13"/>
    </row>
    <row r="5522" spans="1:12" hidden="1" x14ac:dyDescent="0.25">
      <c r="A5522" s="117"/>
      <c r="B5522" s="117"/>
      <c r="C5522" s="118"/>
      <c r="D5522" s="119"/>
      <c r="E5522" s="119"/>
      <c r="F5522" s="119"/>
      <c r="G5522" s="119"/>
      <c r="H5522" s="119"/>
      <c r="I5522" s="120"/>
      <c r="J5522" s="118"/>
      <c r="K5522" s="117"/>
      <c r="L5522" s="13"/>
    </row>
    <row r="5523" spans="1:12" hidden="1" x14ac:dyDescent="0.25">
      <c r="A5523" s="117"/>
      <c r="B5523" s="117"/>
      <c r="C5523" s="118"/>
      <c r="D5523" s="119"/>
      <c r="E5523" s="119"/>
      <c r="F5523" s="119"/>
      <c r="G5523" s="119"/>
      <c r="H5523" s="119"/>
      <c r="I5523" s="120"/>
      <c r="J5523" s="118"/>
      <c r="K5523" s="117"/>
      <c r="L5523" s="13"/>
    </row>
    <row r="5524" spans="1:12" hidden="1" x14ac:dyDescent="0.25">
      <c r="A5524" s="117"/>
      <c r="B5524" s="117"/>
      <c r="C5524" s="118"/>
      <c r="D5524" s="119"/>
      <c r="E5524" s="119"/>
      <c r="F5524" s="119"/>
      <c r="G5524" s="119"/>
      <c r="H5524" s="119"/>
      <c r="I5524" s="120"/>
      <c r="J5524" s="118"/>
      <c r="K5524" s="117"/>
      <c r="L5524" s="13"/>
    </row>
    <row r="5525" spans="1:12" hidden="1" x14ac:dyDescent="0.25">
      <c r="A5525" s="117"/>
      <c r="B5525" s="117"/>
      <c r="C5525" s="118"/>
      <c r="D5525" s="119"/>
      <c r="E5525" s="119"/>
      <c r="F5525" s="119"/>
      <c r="G5525" s="119"/>
      <c r="H5525" s="119"/>
      <c r="I5525" s="120"/>
      <c r="J5525" s="118"/>
      <c r="K5525" s="117"/>
      <c r="L5525" s="13"/>
    </row>
    <row r="5526" spans="1:12" hidden="1" x14ac:dyDescent="0.25">
      <c r="A5526" s="117"/>
      <c r="B5526" s="117"/>
      <c r="C5526" s="118"/>
      <c r="D5526" s="119"/>
      <c r="E5526" s="119"/>
      <c r="F5526" s="119"/>
      <c r="G5526" s="119"/>
      <c r="H5526" s="119"/>
      <c r="I5526" s="120"/>
      <c r="J5526" s="118"/>
      <c r="K5526" s="117"/>
      <c r="L5526" s="13"/>
    </row>
    <row r="5527" spans="1:12" hidden="1" x14ac:dyDescent="0.25">
      <c r="A5527" s="117"/>
      <c r="B5527" s="117"/>
      <c r="C5527" s="118"/>
      <c r="D5527" s="119"/>
      <c r="E5527" s="119"/>
      <c r="F5527" s="119"/>
      <c r="G5527" s="119"/>
      <c r="H5527" s="119"/>
      <c r="I5527" s="120"/>
      <c r="J5527" s="118"/>
      <c r="K5527" s="117"/>
      <c r="L5527" s="13"/>
    </row>
    <row r="5528" spans="1:12" hidden="1" x14ac:dyDescent="0.25">
      <c r="A5528" s="117"/>
      <c r="B5528" s="117"/>
      <c r="C5528" s="118"/>
      <c r="D5528" s="119"/>
      <c r="E5528" s="119"/>
      <c r="F5528" s="119"/>
      <c r="G5528" s="119"/>
      <c r="H5528" s="119"/>
      <c r="I5528" s="120"/>
      <c r="J5528" s="118"/>
      <c r="K5528" s="117"/>
      <c r="L5528" s="13"/>
    </row>
    <row r="5529" spans="1:12" hidden="1" x14ac:dyDescent="0.25">
      <c r="A5529" s="117"/>
      <c r="B5529" s="117"/>
      <c r="C5529" s="118"/>
      <c r="D5529" s="119"/>
      <c r="E5529" s="119"/>
      <c r="F5529" s="119"/>
      <c r="G5529" s="119"/>
      <c r="H5529" s="119"/>
      <c r="I5529" s="120"/>
      <c r="J5529" s="118"/>
      <c r="K5529" s="117"/>
      <c r="L5529" s="13"/>
    </row>
    <row r="5530" spans="1:12" hidden="1" x14ac:dyDescent="0.25">
      <c r="A5530" s="117"/>
      <c r="B5530" s="117"/>
      <c r="C5530" s="118"/>
      <c r="D5530" s="119"/>
      <c r="E5530" s="119"/>
      <c r="F5530" s="119"/>
      <c r="G5530" s="119"/>
      <c r="H5530" s="119"/>
      <c r="I5530" s="120"/>
      <c r="J5530" s="118"/>
      <c r="K5530" s="117"/>
      <c r="L5530" s="13"/>
    </row>
    <row r="5531" spans="1:12" hidden="1" x14ac:dyDescent="0.25">
      <c r="A5531" s="117"/>
      <c r="B5531" s="117"/>
      <c r="C5531" s="118"/>
      <c r="D5531" s="119"/>
      <c r="E5531" s="119"/>
      <c r="F5531" s="119"/>
      <c r="G5531" s="119"/>
      <c r="H5531" s="119"/>
      <c r="I5531" s="120"/>
      <c r="J5531" s="118"/>
      <c r="K5531" s="117"/>
      <c r="L5531" s="13"/>
    </row>
    <row r="5532" spans="1:12" hidden="1" x14ac:dyDescent="0.25">
      <c r="A5532" s="117"/>
      <c r="B5532" s="117"/>
      <c r="C5532" s="118"/>
      <c r="D5532" s="119"/>
      <c r="E5532" s="119"/>
      <c r="F5532" s="119"/>
      <c r="G5532" s="119"/>
      <c r="H5532" s="119"/>
      <c r="I5532" s="120"/>
      <c r="J5532" s="118"/>
      <c r="K5532" s="117"/>
      <c r="L5532" s="13"/>
    </row>
    <row r="5533" spans="1:12" hidden="1" x14ac:dyDescent="0.25">
      <c r="A5533" s="117"/>
      <c r="B5533" s="117"/>
      <c r="C5533" s="118"/>
      <c r="D5533" s="119"/>
      <c r="E5533" s="119"/>
      <c r="F5533" s="119"/>
      <c r="G5533" s="119"/>
      <c r="H5533" s="119"/>
      <c r="I5533" s="120"/>
      <c r="J5533" s="118"/>
      <c r="K5533" s="117"/>
      <c r="L5533" s="13"/>
    </row>
    <row r="5534" spans="1:12" hidden="1" x14ac:dyDescent="0.25">
      <c r="A5534" s="117"/>
      <c r="B5534" s="117"/>
      <c r="C5534" s="118"/>
      <c r="D5534" s="119"/>
      <c r="E5534" s="119"/>
      <c r="F5534" s="119"/>
      <c r="G5534" s="119"/>
      <c r="H5534" s="119"/>
      <c r="I5534" s="120"/>
      <c r="J5534" s="118"/>
      <c r="K5534" s="117"/>
      <c r="L5534" s="13"/>
    </row>
    <row r="5535" spans="1:12" hidden="1" x14ac:dyDescent="0.25">
      <c r="A5535" s="117"/>
      <c r="B5535" s="117"/>
      <c r="C5535" s="118"/>
      <c r="D5535" s="119"/>
      <c r="E5535" s="119"/>
      <c r="F5535" s="119"/>
      <c r="G5535" s="119"/>
      <c r="H5535" s="119"/>
      <c r="I5535" s="120"/>
      <c r="J5535" s="118"/>
      <c r="K5535" s="117"/>
      <c r="L5535" s="13"/>
    </row>
    <row r="5536" spans="1:12" hidden="1" x14ac:dyDescent="0.25">
      <c r="A5536" s="117"/>
      <c r="B5536" s="117"/>
      <c r="C5536" s="118"/>
      <c r="D5536" s="119"/>
      <c r="E5536" s="119"/>
      <c r="F5536" s="119"/>
      <c r="G5536" s="119"/>
      <c r="H5536" s="119"/>
      <c r="I5536" s="120"/>
      <c r="J5536" s="118"/>
      <c r="K5536" s="117"/>
      <c r="L5536" s="13"/>
    </row>
    <row r="5537" spans="1:12" hidden="1" x14ac:dyDescent="0.25">
      <c r="A5537" s="117"/>
      <c r="B5537" s="117"/>
      <c r="C5537" s="118"/>
      <c r="D5537" s="119"/>
      <c r="E5537" s="119"/>
      <c r="F5537" s="119"/>
      <c r="G5537" s="119"/>
      <c r="H5537" s="119"/>
      <c r="I5537" s="120"/>
      <c r="J5537" s="118"/>
      <c r="K5537" s="117"/>
      <c r="L5537" s="13"/>
    </row>
    <row r="5538" spans="1:12" hidden="1" x14ac:dyDescent="0.25">
      <c r="A5538" s="117"/>
      <c r="B5538" s="117"/>
      <c r="C5538" s="118"/>
      <c r="D5538" s="119"/>
      <c r="E5538" s="119"/>
      <c r="F5538" s="119"/>
      <c r="G5538" s="119"/>
      <c r="H5538" s="119"/>
      <c r="I5538" s="120"/>
      <c r="J5538" s="118"/>
      <c r="K5538" s="117"/>
      <c r="L5538" s="13"/>
    </row>
    <row r="5539" spans="1:12" hidden="1" x14ac:dyDescent="0.25">
      <c r="A5539" s="117"/>
      <c r="B5539" s="117"/>
      <c r="C5539" s="118"/>
      <c r="D5539" s="119"/>
      <c r="E5539" s="119"/>
      <c r="F5539" s="119"/>
      <c r="G5539" s="119"/>
      <c r="H5539" s="119"/>
      <c r="I5539" s="120"/>
      <c r="J5539" s="118"/>
      <c r="K5539" s="117"/>
      <c r="L5539" s="13"/>
    </row>
    <row r="5540" spans="1:12" hidden="1" x14ac:dyDescent="0.25">
      <c r="A5540" s="117"/>
      <c r="B5540" s="117"/>
      <c r="C5540" s="118"/>
      <c r="D5540" s="119"/>
      <c r="E5540" s="119"/>
      <c r="F5540" s="119"/>
      <c r="G5540" s="119"/>
      <c r="H5540" s="119"/>
      <c r="I5540" s="120"/>
      <c r="J5540" s="118"/>
      <c r="K5540" s="117"/>
      <c r="L5540" s="13"/>
    </row>
    <row r="5541" spans="1:12" hidden="1" x14ac:dyDescent="0.25">
      <c r="A5541" s="117"/>
      <c r="B5541" s="117"/>
      <c r="C5541" s="118"/>
      <c r="D5541" s="119"/>
      <c r="E5541" s="119"/>
      <c r="F5541" s="119"/>
      <c r="G5541" s="119"/>
      <c r="H5541" s="119"/>
      <c r="I5541" s="120"/>
      <c r="J5541" s="118"/>
      <c r="K5541" s="117"/>
      <c r="L5541" s="13"/>
    </row>
    <row r="5542" spans="1:12" hidden="1" x14ac:dyDescent="0.25">
      <c r="A5542" s="117"/>
      <c r="B5542" s="117"/>
      <c r="C5542" s="118"/>
      <c r="D5542" s="119"/>
      <c r="E5542" s="119"/>
      <c r="F5542" s="119"/>
      <c r="G5542" s="119"/>
      <c r="H5542" s="119"/>
      <c r="I5542" s="120"/>
      <c r="J5542" s="118"/>
      <c r="K5542" s="117"/>
      <c r="L5542" s="13"/>
    </row>
    <row r="5543" spans="1:12" hidden="1" x14ac:dyDescent="0.25">
      <c r="A5543" s="117"/>
      <c r="B5543" s="117"/>
      <c r="C5543" s="118"/>
      <c r="D5543" s="119"/>
      <c r="E5543" s="119"/>
      <c r="F5543" s="119"/>
      <c r="G5543" s="119"/>
      <c r="H5543" s="119"/>
      <c r="I5543" s="120"/>
      <c r="J5543" s="118"/>
      <c r="K5543" s="117"/>
      <c r="L5543" s="13"/>
    </row>
    <row r="5544" spans="1:12" hidden="1" x14ac:dyDescent="0.25">
      <c r="A5544" s="117"/>
      <c r="B5544" s="117"/>
      <c r="C5544" s="118"/>
      <c r="D5544" s="119"/>
      <c r="E5544" s="119"/>
      <c r="F5544" s="119"/>
      <c r="G5544" s="119"/>
      <c r="H5544" s="119"/>
      <c r="I5544" s="120"/>
      <c r="J5544" s="118"/>
      <c r="K5544" s="117"/>
      <c r="L5544" s="13"/>
    </row>
    <row r="5545" spans="1:12" hidden="1" x14ac:dyDescent="0.25">
      <c r="A5545" s="117"/>
      <c r="B5545" s="117"/>
      <c r="C5545" s="118"/>
      <c r="D5545" s="119"/>
      <c r="E5545" s="119"/>
      <c r="F5545" s="119"/>
      <c r="G5545" s="119"/>
      <c r="H5545" s="119"/>
      <c r="I5545" s="120"/>
      <c r="J5545" s="118"/>
      <c r="K5545" s="117"/>
      <c r="L5545" s="13"/>
    </row>
    <row r="5546" spans="1:12" hidden="1" x14ac:dyDescent="0.25">
      <c r="A5546" s="103"/>
      <c r="B5546" s="103"/>
      <c r="C5546" s="104"/>
      <c r="D5546" s="105"/>
      <c r="E5546" s="105"/>
      <c r="F5546" s="105"/>
      <c r="G5546" s="105"/>
      <c r="H5546" s="105"/>
      <c r="I5546" s="106"/>
      <c r="J5546" s="104"/>
      <c r="K5546" s="103"/>
      <c r="L5546" s="13"/>
    </row>
    <row r="5547" spans="1:12" hidden="1" x14ac:dyDescent="0.25">
      <c r="A5547" s="103"/>
      <c r="B5547" s="103"/>
      <c r="C5547" s="104"/>
      <c r="D5547" s="105"/>
      <c r="E5547" s="105"/>
      <c r="F5547" s="105"/>
      <c r="G5547" s="105"/>
      <c r="H5547" s="105"/>
      <c r="I5547" s="106"/>
      <c r="J5547" s="104"/>
      <c r="K5547" s="103"/>
      <c r="L5547" s="13"/>
    </row>
    <row r="5548" spans="1:12" hidden="1" x14ac:dyDescent="0.25">
      <c r="A5548" s="103"/>
      <c r="B5548" s="103"/>
      <c r="C5548" s="104"/>
      <c r="D5548" s="105"/>
      <c r="E5548" s="105"/>
      <c r="F5548" s="105"/>
      <c r="G5548" s="105"/>
      <c r="H5548" s="105"/>
      <c r="I5548" s="106"/>
      <c r="J5548" s="104"/>
      <c r="K5548" s="103"/>
      <c r="L5548" s="13"/>
    </row>
    <row r="5549" spans="1:12" hidden="1" x14ac:dyDescent="0.25">
      <c r="A5549" s="103"/>
      <c r="B5549" s="103"/>
      <c r="C5549" s="104"/>
      <c r="D5549" s="105"/>
      <c r="E5549" s="105"/>
      <c r="F5549" s="105"/>
      <c r="G5549" s="105"/>
      <c r="H5549" s="105"/>
      <c r="I5549" s="106"/>
      <c r="J5549" s="104"/>
      <c r="K5549" s="103"/>
      <c r="L5549" s="13"/>
    </row>
    <row r="5550" spans="1:12" hidden="1" x14ac:dyDescent="0.25">
      <c r="A5550" s="103"/>
      <c r="B5550" s="103"/>
      <c r="C5550" s="104"/>
      <c r="D5550" s="105"/>
      <c r="E5550" s="105"/>
      <c r="F5550" s="105"/>
      <c r="G5550" s="105"/>
      <c r="H5550" s="105"/>
      <c r="I5550" s="106"/>
      <c r="J5550" s="104"/>
      <c r="K5550" s="103"/>
      <c r="L5550" s="13"/>
    </row>
    <row r="5551" spans="1:12" hidden="1" x14ac:dyDescent="0.25">
      <c r="A5551" s="103"/>
      <c r="B5551" s="103"/>
      <c r="C5551" s="104"/>
      <c r="D5551" s="105"/>
      <c r="E5551" s="105"/>
      <c r="F5551" s="105"/>
      <c r="G5551" s="105"/>
      <c r="H5551" s="105"/>
      <c r="I5551" s="106"/>
      <c r="J5551" s="104"/>
      <c r="K5551" s="103"/>
      <c r="L5551" s="13"/>
    </row>
    <row r="5552" spans="1:12" hidden="1" x14ac:dyDescent="0.25">
      <c r="A5552" s="103"/>
      <c r="B5552" s="103"/>
      <c r="C5552" s="104"/>
      <c r="D5552" s="105"/>
      <c r="E5552" s="105"/>
      <c r="F5552" s="105"/>
      <c r="G5552" s="105"/>
      <c r="H5552" s="105"/>
      <c r="I5552" s="106"/>
      <c r="J5552" s="104"/>
      <c r="K5552" s="103"/>
      <c r="L5552" s="13"/>
    </row>
    <row r="5553" spans="1:12" hidden="1" x14ac:dyDescent="0.25">
      <c r="A5553" s="103"/>
      <c r="B5553" s="103"/>
      <c r="C5553" s="104"/>
      <c r="D5553" s="105"/>
      <c r="E5553" s="105"/>
      <c r="F5553" s="105"/>
      <c r="G5553" s="105"/>
      <c r="H5553" s="105"/>
      <c r="I5553" s="106"/>
      <c r="J5553" s="104"/>
      <c r="K5553" s="103"/>
      <c r="L5553" s="13"/>
    </row>
    <row r="5554" spans="1:12" hidden="1" x14ac:dyDescent="0.25">
      <c r="A5554" s="103"/>
      <c r="B5554" s="103"/>
      <c r="C5554" s="104"/>
      <c r="D5554" s="105"/>
      <c r="E5554" s="105"/>
      <c r="F5554" s="105"/>
      <c r="G5554" s="105"/>
      <c r="H5554" s="105"/>
      <c r="I5554" s="106"/>
      <c r="J5554" s="104"/>
      <c r="K5554" s="103"/>
      <c r="L5554" s="13"/>
    </row>
    <row r="5555" spans="1:12" hidden="1" x14ac:dyDescent="0.25">
      <c r="A5555" s="103"/>
      <c r="B5555" s="103"/>
      <c r="C5555" s="104"/>
      <c r="D5555" s="105"/>
      <c r="E5555" s="105"/>
      <c r="F5555" s="105"/>
      <c r="G5555" s="105"/>
      <c r="H5555" s="105"/>
      <c r="I5555" s="106"/>
      <c r="J5555" s="104"/>
      <c r="K5555" s="103"/>
      <c r="L5555" s="13"/>
    </row>
    <row r="5556" spans="1:12" hidden="1" x14ac:dyDescent="0.25">
      <c r="A5556" s="103"/>
      <c r="B5556" s="103"/>
      <c r="C5556" s="104"/>
      <c r="D5556" s="105"/>
      <c r="E5556" s="105"/>
      <c r="F5556" s="105"/>
      <c r="G5556" s="105"/>
      <c r="H5556" s="105"/>
      <c r="I5556" s="106"/>
      <c r="J5556" s="104"/>
      <c r="K5556" s="103"/>
      <c r="L5556" s="13"/>
    </row>
    <row r="5557" spans="1:12" hidden="1" x14ac:dyDescent="0.25">
      <c r="A5557" s="103"/>
      <c r="B5557" s="103"/>
      <c r="C5557" s="104"/>
      <c r="D5557" s="105"/>
      <c r="E5557" s="105"/>
      <c r="F5557" s="105"/>
      <c r="G5557" s="105"/>
      <c r="H5557" s="105"/>
      <c r="I5557" s="106"/>
      <c r="J5557" s="104"/>
      <c r="K5557" s="103"/>
      <c r="L5557" s="13"/>
    </row>
    <row r="5558" spans="1:12" hidden="1" x14ac:dyDescent="0.25">
      <c r="A5558" s="103"/>
      <c r="B5558" s="103"/>
      <c r="C5558" s="104"/>
      <c r="D5558" s="105"/>
      <c r="E5558" s="105"/>
      <c r="F5558" s="105"/>
      <c r="G5558" s="105"/>
      <c r="H5558" s="105"/>
      <c r="I5558" s="106"/>
      <c r="J5558" s="104"/>
      <c r="K5558" s="103"/>
      <c r="L5558" s="13"/>
    </row>
    <row r="5559" spans="1:12" hidden="1" x14ac:dyDescent="0.25">
      <c r="A5559" s="103"/>
      <c r="B5559" s="103"/>
      <c r="C5559" s="104"/>
      <c r="D5559" s="105"/>
      <c r="E5559" s="105"/>
      <c r="F5559" s="105"/>
      <c r="G5559" s="105"/>
      <c r="H5559" s="105"/>
      <c r="I5559" s="106"/>
      <c r="J5559" s="104"/>
      <c r="K5559" s="103"/>
      <c r="L5559" s="13"/>
    </row>
    <row r="5560" spans="1:12" hidden="1" x14ac:dyDescent="0.25">
      <c r="A5560" s="103"/>
      <c r="B5560" s="103"/>
      <c r="C5560" s="104"/>
      <c r="D5560" s="105"/>
      <c r="E5560" s="105"/>
      <c r="F5560" s="105"/>
      <c r="G5560" s="105"/>
      <c r="H5560" s="105"/>
      <c r="I5560" s="106"/>
      <c r="J5560" s="104"/>
      <c r="K5560" s="103"/>
      <c r="L5560" s="13"/>
    </row>
    <row r="5561" spans="1:12" hidden="1" x14ac:dyDescent="0.25">
      <c r="A5561" s="103"/>
      <c r="B5561" s="103"/>
      <c r="C5561" s="104"/>
      <c r="D5561" s="105"/>
      <c r="E5561" s="105"/>
      <c r="F5561" s="105"/>
      <c r="G5561" s="105"/>
      <c r="H5561" s="105"/>
      <c r="I5561" s="106"/>
      <c r="J5561" s="104"/>
      <c r="K5561" s="103"/>
      <c r="L5561" s="13"/>
    </row>
    <row r="5562" spans="1:12" hidden="1" x14ac:dyDescent="0.25">
      <c r="A5562" s="103"/>
      <c r="B5562" s="103"/>
      <c r="C5562" s="104"/>
      <c r="D5562" s="105"/>
      <c r="E5562" s="105"/>
      <c r="F5562" s="105"/>
      <c r="G5562" s="105"/>
      <c r="H5562" s="105"/>
      <c r="I5562" s="106"/>
      <c r="J5562" s="104"/>
      <c r="K5562" s="103"/>
      <c r="L5562" s="13"/>
    </row>
    <row r="5563" spans="1:12" hidden="1" x14ac:dyDescent="0.25">
      <c r="A5563" s="103"/>
      <c r="B5563" s="103"/>
      <c r="C5563" s="104"/>
      <c r="D5563" s="105"/>
      <c r="E5563" s="105"/>
      <c r="F5563" s="105"/>
      <c r="G5563" s="105"/>
      <c r="H5563" s="105"/>
      <c r="I5563" s="106"/>
      <c r="J5563" s="104"/>
      <c r="K5563" s="103"/>
      <c r="L5563" s="13"/>
    </row>
    <row r="5564" spans="1:12" hidden="1" x14ac:dyDescent="0.25">
      <c r="A5564" s="103"/>
      <c r="B5564" s="103"/>
      <c r="C5564" s="104"/>
      <c r="D5564" s="105"/>
      <c r="E5564" s="105"/>
      <c r="F5564" s="105"/>
      <c r="G5564" s="105"/>
      <c r="H5564" s="105"/>
      <c r="I5564" s="106"/>
      <c r="J5564" s="104"/>
      <c r="K5564" s="103"/>
      <c r="L5564" s="13"/>
    </row>
    <row r="5565" spans="1:12" hidden="1" x14ac:dyDescent="0.25">
      <c r="A5565" s="103"/>
      <c r="B5565" s="103"/>
      <c r="C5565" s="104"/>
      <c r="D5565" s="105"/>
      <c r="E5565" s="105"/>
      <c r="F5565" s="105"/>
      <c r="G5565" s="105"/>
      <c r="H5565" s="105"/>
      <c r="I5565" s="106"/>
      <c r="J5565" s="104"/>
      <c r="K5565" s="103"/>
      <c r="L5565" s="13"/>
    </row>
    <row r="5566" spans="1:12" hidden="1" x14ac:dyDescent="0.25">
      <c r="A5566" s="103"/>
      <c r="B5566" s="103"/>
      <c r="C5566" s="104"/>
      <c r="D5566" s="105"/>
      <c r="E5566" s="105"/>
      <c r="F5566" s="105"/>
      <c r="G5566" s="105"/>
      <c r="H5566" s="105"/>
      <c r="I5566" s="106"/>
      <c r="J5566" s="104"/>
      <c r="K5566" s="103"/>
      <c r="L5566" s="13"/>
    </row>
    <row r="5567" spans="1:12" hidden="1" x14ac:dyDescent="0.25">
      <c r="A5567" s="103"/>
      <c r="B5567" s="103"/>
      <c r="C5567" s="104"/>
      <c r="D5567" s="105"/>
      <c r="E5567" s="105"/>
      <c r="F5567" s="105"/>
      <c r="G5567" s="105"/>
      <c r="H5567" s="105"/>
      <c r="I5567" s="106"/>
      <c r="J5567" s="104"/>
      <c r="K5567" s="103"/>
      <c r="L5567" s="13"/>
    </row>
    <row r="5568" spans="1:12" hidden="1" x14ac:dyDescent="0.25">
      <c r="A5568" s="103"/>
      <c r="B5568" s="103"/>
      <c r="C5568" s="104"/>
      <c r="D5568" s="105"/>
      <c r="E5568" s="105"/>
      <c r="F5568" s="105"/>
      <c r="G5568" s="105"/>
      <c r="H5568" s="105"/>
      <c r="I5568" s="106"/>
      <c r="J5568" s="104"/>
      <c r="K5568" s="103"/>
      <c r="L5568" s="13"/>
    </row>
    <row r="5569" spans="1:12" hidden="1" x14ac:dyDescent="0.25">
      <c r="A5569" s="103"/>
      <c r="B5569" s="103"/>
      <c r="C5569" s="104"/>
      <c r="D5569" s="105"/>
      <c r="E5569" s="105"/>
      <c r="F5569" s="105"/>
      <c r="G5569" s="105"/>
      <c r="H5569" s="105"/>
      <c r="I5569" s="106"/>
      <c r="J5569" s="104"/>
      <c r="K5569" s="103"/>
      <c r="L5569" s="13"/>
    </row>
    <row r="5570" spans="1:12" hidden="1" x14ac:dyDescent="0.25">
      <c r="A5570" s="103"/>
      <c r="B5570" s="103"/>
      <c r="C5570" s="104"/>
      <c r="D5570" s="105"/>
      <c r="E5570" s="105"/>
      <c r="F5570" s="105"/>
      <c r="G5570" s="105"/>
      <c r="H5570" s="105"/>
      <c r="I5570" s="106"/>
      <c r="J5570" s="104"/>
      <c r="K5570" s="103"/>
      <c r="L5570" s="13"/>
    </row>
    <row r="5571" spans="1:12" hidden="1" x14ac:dyDescent="0.25">
      <c r="A5571" s="103"/>
      <c r="B5571" s="103"/>
      <c r="C5571" s="104"/>
      <c r="D5571" s="105"/>
      <c r="E5571" s="105"/>
      <c r="F5571" s="105"/>
      <c r="G5571" s="105"/>
      <c r="H5571" s="105"/>
      <c r="I5571" s="106"/>
      <c r="J5571" s="104"/>
      <c r="K5571" s="103"/>
      <c r="L5571" s="13"/>
    </row>
    <row r="5572" spans="1:12" hidden="1" x14ac:dyDescent="0.25">
      <c r="A5572" s="6"/>
      <c r="B5572" s="6"/>
      <c r="C5572" s="11"/>
      <c r="D5572" s="13"/>
      <c r="E5572" s="13"/>
      <c r="F5572" s="13"/>
      <c r="G5572" s="13"/>
      <c r="H5572" s="13"/>
      <c r="I5572" s="10"/>
      <c r="J5572" s="11"/>
      <c r="K5572" s="6"/>
      <c r="L5572" s="13"/>
    </row>
    <row r="5573" spans="1:12" hidden="1" x14ac:dyDescent="0.25">
      <c r="A5573" s="6"/>
      <c r="B5573" s="6"/>
      <c r="C5573" s="11"/>
      <c r="D5573" s="13"/>
      <c r="E5573" s="13"/>
      <c r="F5573" s="13"/>
      <c r="G5573" s="13"/>
      <c r="H5573" s="13"/>
      <c r="I5573" s="10"/>
      <c r="J5573" s="11"/>
      <c r="K5573" s="6"/>
      <c r="L5573" s="13"/>
    </row>
    <row r="5574" spans="1:12" hidden="1" x14ac:dyDescent="0.25">
      <c r="A5574" s="6"/>
      <c r="B5574" s="6"/>
      <c r="C5574" s="11"/>
      <c r="D5574" s="13"/>
      <c r="E5574" s="13"/>
      <c r="F5574" s="13"/>
      <c r="G5574" s="13"/>
      <c r="H5574" s="13"/>
      <c r="I5574" s="10"/>
      <c r="J5574" s="11"/>
      <c r="K5574" s="6"/>
      <c r="L5574" s="13"/>
    </row>
    <row r="5575" spans="1:12" hidden="1" x14ac:dyDescent="0.25">
      <c r="A5575" s="6"/>
      <c r="B5575" s="6"/>
      <c r="C5575" s="11"/>
      <c r="D5575" s="13"/>
      <c r="E5575" s="13"/>
      <c r="F5575" s="13"/>
      <c r="G5575" s="13"/>
      <c r="H5575" s="13"/>
      <c r="I5575" s="10"/>
      <c r="J5575" s="11"/>
      <c r="K5575" s="6"/>
      <c r="L5575" s="13"/>
    </row>
    <row r="5576" spans="1:12" hidden="1" x14ac:dyDescent="0.25">
      <c r="A5576" s="6"/>
      <c r="B5576" s="6"/>
      <c r="C5576" s="11"/>
      <c r="D5576" s="13"/>
      <c r="E5576" s="13"/>
      <c r="F5576" s="13"/>
      <c r="G5576" s="13"/>
      <c r="H5576" s="13"/>
      <c r="I5576" s="10"/>
      <c r="J5576" s="11"/>
      <c r="K5576" s="6"/>
      <c r="L5576" s="13"/>
    </row>
    <row r="5577" spans="1:12" hidden="1" x14ac:dyDescent="0.25">
      <c r="A5577" s="6"/>
      <c r="B5577" s="6"/>
      <c r="C5577" s="11"/>
      <c r="D5577" s="13"/>
      <c r="E5577" s="13"/>
      <c r="F5577" s="13"/>
      <c r="G5577" s="13"/>
      <c r="H5577" s="13"/>
      <c r="I5577" s="10"/>
      <c r="J5577" s="11"/>
      <c r="K5577" s="6"/>
      <c r="L5577" s="13"/>
    </row>
    <row r="5578" spans="1:12" hidden="1" x14ac:dyDescent="0.25">
      <c r="A5578" s="6"/>
      <c r="B5578" s="6"/>
      <c r="C5578" s="11"/>
      <c r="D5578" s="13"/>
      <c r="E5578" s="13"/>
      <c r="F5578" s="13"/>
      <c r="G5578" s="13"/>
      <c r="H5578" s="13"/>
      <c r="I5578" s="10"/>
      <c r="J5578" s="11"/>
      <c r="K5578" s="6"/>
      <c r="L5578" s="13"/>
    </row>
    <row r="5579" spans="1:12" hidden="1" x14ac:dyDescent="0.25">
      <c r="A5579" s="6"/>
      <c r="B5579" s="6"/>
      <c r="C5579" s="11"/>
      <c r="D5579" s="13"/>
      <c r="E5579" s="13"/>
      <c r="F5579" s="13"/>
      <c r="G5579" s="13"/>
      <c r="H5579" s="13"/>
      <c r="I5579" s="10"/>
      <c r="J5579" s="11"/>
      <c r="K5579" s="6"/>
      <c r="L5579" s="13"/>
    </row>
    <row r="5580" spans="1:12" hidden="1" x14ac:dyDescent="0.25">
      <c r="A5580" s="6"/>
      <c r="B5580" s="6"/>
      <c r="C5580" s="11"/>
      <c r="D5580" s="13"/>
      <c r="E5580" s="13"/>
      <c r="F5580" s="13"/>
      <c r="G5580" s="13"/>
      <c r="H5580" s="13"/>
      <c r="I5580" s="10"/>
      <c r="J5580" s="11"/>
      <c r="K5580" s="6"/>
      <c r="L5580" s="13"/>
    </row>
    <row r="5581" spans="1:12" hidden="1" x14ac:dyDescent="0.25">
      <c r="A5581" s="6"/>
      <c r="B5581" s="6"/>
      <c r="C5581" s="11"/>
      <c r="D5581" s="13"/>
      <c r="E5581" s="13"/>
      <c r="F5581" s="13"/>
      <c r="G5581" s="13"/>
      <c r="H5581" s="13"/>
      <c r="I5581" s="10"/>
      <c r="J5581" s="11"/>
      <c r="K5581" s="6"/>
      <c r="L5581" s="13"/>
    </row>
    <row r="5582" spans="1:12" hidden="1" x14ac:dyDescent="0.25">
      <c r="A5582" s="6"/>
      <c r="B5582" s="6"/>
      <c r="C5582" s="11"/>
      <c r="D5582" s="13"/>
      <c r="E5582" s="13"/>
      <c r="F5582" s="13"/>
      <c r="G5582" s="13"/>
      <c r="H5582" s="13"/>
      <c r="I5582" s="10"/>
      <c r="J5582" s="11"/>
      <c r="K5582" s="6"/>
      <c r="L5582" s="13"/>
    </row>
    <row r="5583" spans="1:12" hidden="1" x14ac:dyDescent="0.25">
      <c r="A5583" s="6"/>
      <c r="B5583" s="6"/>
      <c r="C5583" s="11"/>
      <c r="D5583" s="13"/>
      <c r="E5583" s="13"/>
      <c r="F5583" s="13"/>
      <c r="G5583" s="13"/>
      <c r="H5583" s="13"/>
      <c r="I5583" s="10"/>
      <c r="J5583" s="11"/>
      <c r="K5583" s="6"/>
      <c r="L5583" s="13"/>
    </row>
    <row r="5584" spans="1:12" hidden="1" x14ac:dyDescent="0.25">
      <c r="A5584" s="6"/>
      <c r="B5584" s="6"/>
      <c r="C5584" s="11"/>
      <c r="D5584" s="13"/>
      <c r="E5584" s="13"/>
      <c r="F5584" s="13"/>
      <c r="G5584" s="13"/>
      <c r="H5584" s="13"/>
      <c r="I5584" s="10"/>
      <c r="J5584" s="11"/>
      <c r="K5584" s="6"/>
      <c r="L5584" s="13"/>
    </row>
    <row r="5585" spans="1:12" hidden="1" x14ac:dyDescent="0.25">
      <c r="A5585" s="6"/>
      <c r="B5585" s="6"/>
      <c r="C5585" s="11"/>
      <c r="D5585" s="13"/>
      <c r="E5585" s="13"/>
      <c r="F5585" s="13"/>
      <c r="G5585" s="13"/>
      <c r="H5585" s="13"/>
      <c r="I5585" s="10"/>
      <c r="J5585" s="11"/>
      <c r="K5585" s="6"/>
      <c r="L5585" s="13"/>
    </row>
    <row r="5586" spans="1:12" hidden="1" x14ac:dyDescent="0.25">
      <c r="A5586" s="6"/>
      <c r="B5586" s="6"/>
      <c r="C5586" s="11"/>
      <c r="D5586" s="13"/>
      <c r="E5586" s="13"/>
      <c r="F5586" s="13"/>
      <c r="G5586" s="13"/>
      <c r="H5586" s="13"/>
      <c r="I5586" s="10"/>
      <c r="J5586" s="11"/>
      <c r="K5586" s="6"/>
      <c r="L5586" s="13"/>
    </row>
    <row r="5587" spans="1:12" hidden="1" x14ac:dyDescent="0.25">
      <c r="A5587" s="6"/>
      <c r="B5587" s="6"/>
      <c r="C5587" s="11"/>
      <c r="D5587" s="13"/>
      <c r="E5587" s="13"/>
      <c r="F5587" s="13"/>
      <c r="G5587" s="13"/>
      <c r="H5587" s="13"/>
      <c r="I5587" s="10"/>
      <c r="J5587" s="11"/>
      <c r="K5587" s="6"/>
      <c r="L5587" s="13"/>
    </row>
    <row r="5588" spans="1:12" hidden="1" x14ac:dyDescent="0.25">
      <c r="A5588" s="6"/>
      <c r="B5588" s="6"/>
      <c r="C5588" s="11"/>
      <c r="D5588" s="13"/>
      <c r="E5588" s="13"/>
      <c r="F5588" s="13"/>
      <c r="G5588" s="13"/>
      <c r="H5588" s="13"/>
      <c r="I5588" s="10"/>
      <c r="J5588" s="11"/>
      <c r="K5588" s="6"/>
      <c r="L5588" s="13"/>
    </row>
    <row r="5589" spans="1:12" hidden="1" x14ac:dyDescent="0.25">
      <c r="A5589" s="6"/>
      <c r="B5589" s="6"/>
      <c r="C5589" s="11"/>
      <c r="D5589" s="13"/>
      <c r="E5589" s="13"/>
      <c r="F5589" s="13"/>
      <c r="G5589" s="13"/>
      <c r="H5589" s="13"/>
      <c r="I5589" s="10"/>
      <c r="J5589" s="11"/>
      <c r="K5589" s="6"/>
      <c r="L5589" s="13"/>
    </row>
    <row r="5590" spans="1:12" hidden="1" x14ac:dyDescent="0.25">
      <c r="A5590" s="6"/>
      <c r="B5590" s="6"/>
      <c r="C5590" s="11"/>
      <c r="D5590" s="13"/>
      <c r="E5590" s="13"/>
      <c r="F5590" s="13"/>
      <c r="G5590" s="13"/>
      <c r="H5590" s="13"/>
      <c r="I5590" s="10"/>
      <c r="J5590" s="11"/>
      <c r="K5590" s="6"/>
      <c r="L5590" s="13"/>
    </row>
    <row r="5591" spans="1:12" hidden="1" x14ac:dyDescent="0.25">
      <c r="A5591" s="6"/>
      <c r="B5591" s="6"/>
      <c r="C5591" s="11"/>
      <c r="D5591" s="13"/>
      <c r="E5591" s="13"/>
      <c r="F5591" s="13"/>
      <c r="G5591" s="13"/>
      <c r="H5591" s="13"/>
      <c r="I5591" s="10"/>
      <c r="J5591" s="11"/>
      <c r="K5591" s="6"/>
      <c r="L5591" s="13"/>
    </row>
    <row r="5592" spans="1:12" hidden="1" x14ac:dyDescent="0.25">
      <c r="A5592" s="6"/>
      <c r="B5592" s="6"/>
      <c r="C5592" s="11"/>
      <c r="D5592" s="13"/>
      <c r="E5592" s="13"/>
      <c r="F5592" s="13"/>
      <c r="G5592" s="13"/>
      <c r="H5592" s="13"/>
      <c r="I5592" s="10"/>
      <c r="J5592" s="11"/>
      <c r="K5592" s="6"/>
      <c r="L5592" s="13"/>
    </row>
    <row r="5593" spans="1:12" hidden="1" x14ac:dyDescent="0.25">
      <c r="A5593" s="6"/>
      <c r="B5593" s="6"/>
      <c r="C5593" s="11"/>
      <c r="D5593" s="13"/>
      <c r="E5593" s="13"/>
      <c r="F5593" s="13"/>
      <c r="G5593" s="13"/>
      <c r="H5593" s="13"/>
      <c r="I5593" s="10"/>
      <c r="J5593" s="11"/>
      <c r="K5593" s="6"/>
      <c r="L5593" s="13"/>
    </row>
    <row r="5594" spans="1:12" hidden="1" x14ac:dyDescent="0.25">
      <c r="A5594" s="6"/>
      <c r="B5594" s="6"/>
      <c r="C5594" s="11"/>
      <c r="D5594" s="13"/>
      <c r="E5594" s="13"/>
      <c r="F5594" s="13"/>
      <c r="G5594" s="13"/>
      <c r="H5594" s="13"/>
      <c r="I5594" s="10"/>
      <c r="J5594" s="11"/>
      <c r="K5594" s="6"/>
      <c r="L5594" s="114"/>
    </row>
    <row r="5595" spans="1:12" hidden="1" x14ac:dyDescent="0.25">
      <c r="A5595" s="6"/>
      <c r="B5595" s="6"/>
      <c r="C5595" s="11"/>
      <c r="D5595" s="13"/>
      <c r="E5595" s="13"/>
      <c r="F5595" s="13"/>
      <c r="G5595" s="13"/>
      <c r="H5595" s="13"/>
      <c r="I5595" s="10"/>
      <c r="J5595" s="11"/>
      <c r="K5595" s="6"/>
      <c r="L5595" s="13"/>
    </row>
    <row r="5596" spans="1:12" hidden="1" x14ac:dyDescent="0.25">
      <c r="A5596" s="6"/>
      <c r="B5596" s="6"/>
      <c r="C5596" s="11"/>
      <c r="D5596" s="13"/>
      <c r="E5596" s="13"/>
      <c r="F5596" s="13"/>
      <c r="G5596" s="13"/>
      <c r="H5596" s="13"/>
      <c r="I5596" s="10"/>
      <c r="J5596" s="11"/>
      <c r="K5596" s="6"/>
      <c r="L5596" s="13"/>
    </row>
    <row r="5597" spans="1:12" hidden="1" x14ac:dyDescent="0.25">
      <c r="A5597" s="6"/>
      <c r="B5597" s="6"/>
      <c r="C5597" s="11"/>
      <c r="D5597" s="13"/>
      <c r="E5597" s="13"/>
      <c r="F5597" s="13"/>
      <c r="G5597" s="13"/>
      <c r="H5597" s="13"/>
      <c r="I5597" s="10"/>
      <c r="J5597" s="11"/>
      <c r="K5597" s="6"/>
      <c r="L5597" s="13"/>
    </row>
    <row r="5598" spans="1:12" hidden="1" x14ac:dyDescent="0.25">
      <c r="A5598" s="6"/>
      <c r="B5598" s="6"/>
      <c r="C5598" s="11"/>
      <c r="D5598" s="13"/>
      <c r="E5598" s="13"/>
      <c r="F5598" s="13"/>
      <c r="G5598" s="13"/>
      <c r="H5598" s="13"/>
      <c r="I5598" s="10"/>
      <c r="J5598" s="11"/>
      <c r="K5598" s="6"/>
      <c r="L5598" s="13"/>
    </row>
    <row r="5599" spans="1:12" hidden="1" x14ac:dyDescent="0.25">
      <c r="A5599" s="6"/>
      <c r="B5599" s="6"/>
      <c r="C5599" s="11"/>
      <c r="D5599" s="13"/>
      <c r="E5599" s="13"/>
      <c r="F5599" s="13"/>
      <c r="G5599" s="13"/>
      <c r="H5599" s="13"/>
      <c r="I5599" s="10"/>
      <c r="J5599" s="11"/>
      <c r="K5599" s="6"/>
      <c r="L5599" s="13"/>
    </row>
    <row r="5600" spans="1:12" hidden="1" x14ac:dyDescent="0.25">
      <c r="A5600" s="6"/>
      <c r="B5600" s="6"/>
      <c r="C5600" s="11"/>
      <c r="D5600" s="13"/>
      <c r="E5600" s="13"/>
      <c r="F5600" s="13"/>
      <c r="G5600" s="13"/>
      <c r="H5600" s="13"/>
      <c r="I5600" s="10"/>
      <c r="J5600" s="11"/>
      <c r="K5600" s="6"/>
      <c r="L5600" s="114"/>
    </row>
    <row r="5601" spans="1:12" hidden="1" x14ac:dyDescent="0.25">
      <c r="A5601" s="6"/>
      <c r="B5601" s="6"/>
      <c r="C5601" s="11"/>
      <c r="D5601" s="13"/>
      <c r="E5601" s="13"/>
      <c r="F5601" s="13"/>
      <c r="G5601" s="13"/>
      <c r="H5601" s="13"/>
      <c r="I5601" s="10"/>
      <c r="J5601" s="11"/>
      <c r="K5601" s="6"/>
      <c r="L5601" s="13"/>
    </row>
    <row r="5602" spans="1:12" hidden="1" x14ac:dyDescent="0.25">
      <c r="A5602" s="6"/>
      <c r="B5602" s="6"/>
      <c r="C5602" s="11"/>
      <c r="D5602" s="13"/>
      <c r="E5602" s="13"/>
      <c r="F5602" s="13"/>
      <c r="G5602" s="13"/>
      <c r="H5602" s="13"/>
      <c r="I5602" s="10"/>
      <c r="J5602" s="11"/>
      <c r="K5602" s="6"/>
      <c r="L5602" s="13"/>
    </row>
    <row r="5603" spans="1:12" hidden="1" x14ac:dyDescent="0.25">
      <c r="A5603" s="6"/>
      <c r="B5603" s="6"/>
      <c r="C5603" s="11"/>
      <c r="D5603" s="13"/>
      <c r="E5603" s="13"/>
      <c r="F5603" s="13"/>
      <c r="G5603" s="13"/>
      <c r="H5603" s="13"/>
      <c r="I5603" s="10"/>
      <c r="J5603" s="11"/>
      <c r="K5603" s="6"/>
      <c r="L5603" s="13"/>
    </row>
    <row r="5604" spans="1:12" hidden="1" x14ac:dyDescent="0.25">
      <c r="A5604" s="6"/>
      <c r="B5604" s="6"/>
      <c r="C5604" s="11"/>
      <c r="D5604" s="13"/>
      <c r="E5604" s="13"/>
      <c r="F5604" s="13"/>
      <c r="G5604" s="13"/>
      <c r="H5604" s="13"/>
      <c r="I5604" s="10"/>
      <c r="J5604" s="11"/>
      <c r="K5604" s="6"/>
      <c r="L5604" s="13"/>
    </row>
    <row r="5605" spans="1:12" hidden="1" x14ac:dyDescent="0.25">
      <c r="A5605" s="6"/>
      <c r="B5605" s="6"/>
      <c r="C5605" s="11"/>
      <c r="D5605" s="13"/>
      <c r="E5605" s="13"/>
      <c r="F5605" s="13"/>
      <c r="G5605" s="13"/>
      <c r="H5605" s="13"/>
      <c r="I5605" s="10"/>
      <c r="J5605" s="11"/>
      <c r="K5605" s="6"/>
      <c r="L5605" s="13"/>
    </row>
    <row r="5606" spans="1:12" hidden="1" x14ac:dyDescent="0.25">
      <c r="A5606" s="6"/>
      <c r="B5606" s="6"/>
      <c r="C5606" s="11"/>
      <c r="D5606" s="13"/>
      <c r="E5606" s="13"/>
      <c r="F5606" s="13"/>
      <c r="G5606" s="13"/>
      <c r="H5606" s="13"/>
      <c r="I5606" s="10"/>
      <c r="J5606" s="11"/>
      <c r="K5606" s="6"/>
      <c r="L5606" s="13"/>
    </row>
    <row r="5607" spans="1:12" hidden="1" x14ac:dyDescent="0.25">
      <c r="A5607" s="6"/>
      <c r="B5607" s="6"/>
      <c r="C5607" s="11"/>
      <c r="D5607" s="13"/>
      <c r="E5607" s="13"/>
      <c r="F5607" s="13"/>
      <c r="G5607" s="13"/>
      <c r="H5607" s="13"/>
      <c r="I5607" s="10"/>
      <c r="J5607" s="11"/>
      <c r="K5607" s="6"/>
      <c r="L5607" s="13"/>
    </row>
    <row r="5608" spans="1:12" hidden="1" x14ac:dyDescent="0.25">
      <c r="A5608" s="6"/>
      <c r="B5608" s="6"/>
      <c r="C5608" s="11"/>
      <c r="D5608" s="13"/>
      <c r="E5608" s="13"/>
      <c r="F5608" s="13"/>
      <c r="G5608" s="13"/>
      <c r="H5608" s="13"/>
      <c r="I5608" s="10"/>
      <c r="J5608" s="11"/>
      <c r="K5608" s="6"/>
      <c r="L5608" s="13"/>
    </row>
    <row r="5609" spans="1:12" hidden="1" x14ac:dyDescent="0.25">
      <c r="A5609" s="6"/>
      <c r="B5609" s="6"/>
      <c r="C5609" s="11"/>
      <c r="D5609" s="13"/>
      <c r="E5609" s="13"/>
      <c r="F5609" s="13"/>
      <c r="G5609" s="13"/>
      <c r="H5609" s="13"/>
      <c r="I5609" s="10"/>
      <c r="J5609" s="11"/>
      <c r="K5609" s="6"/>
      <c r="L5609" s="13"/>
    </row>
    <row r="5610" spans="1:12" hidden="1" x14ac:dyDescent="0.25">
      <c r="A5610" s="6"/>
      <c r="B5610" s="6"/>
      <c r="C5610" s="11"/>
      <c r="D5610" s="13"/>
      <c r="E5610" s="13"/>
      <c r="F5610" s="13"/>
      <c r="G5610" s="13"/>
      <c r="H5610" s="13"/>
      <c r="I5610" s="10"/>
      <c r="J5610" s="11"/>
      <c r="K5610" s="6"/>
      <c r="L5610" s="13"/>
    </row>
    <row r="5611" spans="1:12" hidden="1" x14ac:dyDescent="0.25">
      <c r="A5611" s="6"/>
      <c r="B5611" s="6"/>
      <c r="C5611" s="11"/>
      <c r="D5611" s="13"/>
      <c r="E5611" s="13"/>
      <c r="F5611" s="13"/>
      <c r="G5611" s="13"/>
      <c r="H5611" s="13"/>
      <c r="I5611" s="10"/>
      <c r="J5611" s="11"/>
      <c r="K5611" s="6"/>
      <c r="L5611" s="13"/>
    </row>
    <row r="5612" spans="1:12" hidden="1" x14ac:dyDescent="0.25">
      <c r="A5612" s="6"/>
      <c r="B5612" s="6"/>
      <c r="C5612" s="11"/>
      <c r="D5612" s="13"/>
      <c r="E5612" s="13"/>
      <c r="F5612" s="13"/>
      <c r="G5612" s="13"/>
      <c r="H5612" s="13"/>
      <c r="I5612" s="10"/>
      <c r="J5612" s="11"/>
      <c r="K5612" s="6"/>
      <c r="L5612" s="13"/>
    </row>
    <row r="5613" spans="1:12" hidden="1" x14ac:dyDescent="0.25">
      <c r="A5613" s="6"/>
      <c r="B5613" s="6"/>
      <c r="C5613" s="11"/>
      <c r="D5613" s="13"/>
      <c r="E5613" s="13"/>
      <c r="F5613" s="13"/>
      <c r="G5613" s="13"/>
      <c r="H5613" s="13"/>
      <c r="I5613" s="10"/>
      <c r="J5613" s="11"/>
      <c r="K5613" s="6"/>
      <c r="L5613" s="13"/>
    </row>
    <row r="5614" spans="1:12" hidden="1" x14ac:dyDescent="0.25">
      <c r="A5614" s="6"/>
      <c r="B5614" s="6"/>
      <c r="C5614" s="11"/>
      <c r="D5614" s="13"/>
      <c r="E5614" s="13"/>
      <c r="F5614" s="13"/>
      <c r="G5614" s="13"/>
      <c r="H5614" s="13"/>
      <c r="I5614" s="10"/>
      <c r="J5614" s="11"/>
      <c r="K5614" s="6"/>
      <c r="L5614" s="13"/>
    </row>
    <row r="5615" spans="1:12" hidden="1" x14ac:dyDescent="0.25">
      <c r="A5615" s="6"/>
      <c r="B5615" s="6"/>
      <c r="C5615" s="11"/>
      <c r="D5615" s="13"/>
      <c r="E5615" s="13"/>
      <c r="F5615" s="13"/>
      <c r="G5615" s="13"/>
      <c r="H5615" s="13"/>
      <c r="I5615" s="10"/>
      <c r="J5615" s="11"/>
      <c r="K5615" s="6"/>
      <c r="L5615" s="13"/>
    </row>
    <row r="5616" spans="1:12" hidden="1" x14ac:dyDescent="0.25">
      <c r="A5616" s="6"/>
      <c r="B5616" s="6"/>
      <c r="C5616" s="11"/>
      <c r="D5616" s="13"/>
      <c r="E5616" s="13"/>
      <c r="F5616" s="13"/>
      <c r="G5616" s="13"/>
      <c r="H5616" s="13"/>
      <c r="I5616" s="10"/>
      <c r="J5616" s="11"/>
      <c r="K5616" s="6"/>
      <c r="L5616" s="13"/>
    </row>
    <row r="5617" spans="1:12" hidden="1" x14ac:dyDescent="0.25">
      <c r="A5617" s="6"/>
      <c r="B5617" s="6"/>
      <c r="C5617" s="11"/>
      <c r="D5617" s="13"/>
      <c r="E5617" s="13"/>
      <c r="F5617" s="13"/>
      <c r="G5617" s="13"/>
      <c r="H5617" s="13"/>
      <c r="I5617" s="10"/>
      <c r="J5617" s="11"/>
      <c r="K5617" s="6"/>
      <c r="L5617" s="13"/>
    </row>
    <row r="5618" spans="1:12" hidden="1" x14ac:dyDescent="0.25">
      <c r="A5618" s="6"/>
      <c r="B5618" s="6"/>
      <c r="C5618" s="11"/>
      <c r="D5618" s="13"/>
      <c r="E5618" s="13"/>
      <c r="F5618" s="13"/>
      <c r="G5618" s="13"/>
      <c r="H5618" s="13"/>
      <c r="I5618" s="10"/>
      <c r="J5618" s="11"/>
      <c r="K5618" s="6"/>
      <c r="L5618" s="13"/>
    </row>
    <row r="5619" spans="1:12" hidden="1" x14ac:dyDescent="0.25">
      <c r="A5619" s="6"/>
      <c r="B5619" s="6"/>
      <c r="C5619" s="11"/>
      <c r="D5619" s="13"/>
      <c r="E5619" s="13"/>
      <c r="F5619" s="13"/>
      <c r="G5619" s="13"/>
      <c r="H5619" s="13"/>
      <c r="I5619" s="10"/>
      <c r="J5619" s="11"/>
      <c r="K5619" s="6"/>
      <c r="L5619" s="13"/>
    </row>
    <row r="5620" spans="1:12" hidden="1" x14ac:dyDescent="0.25">
      <c r="A5620" s="6"/>
      <c r="B5620" s="6"/>
      <c r="C5620" s="11"/>
      <c r="D5620" s="13"/>
      <c r="E5620" s="13"/>
      <c r="F5620" s="13"/>
      <c r="G5620" s="13"/>
      <c r="H5620" s="13"/>
      <c r="I5620" s="10"/>
      <c r="J5620" s="11"/>
      <c r="K5620" s="6"/>
      <c r="L5620" s="13"/>
    </row>
    <row r="5621" spans="1:12" hidden="1" x14ac:dyDescent="0.25">
      <c r="A5621" s="6"/>
      <c r="B5621" s="6"/>
      <c r="C5621" s="11"/>
      <c r="D5621" s="13"/>
      <c r="E5621" s="13"/>
      <c r="F5621" s="13"/>
      <c r="G5621" s="13"/>
      <c r="H5621" s="13"/>
      <c r="I5621" s="10"/>
      <c r="J5621" s="11"/>
      <c r="K5621" s="6"/>
      <c r="L5621" s="13"/>
    </row>
    <row r="5622" spans="1:12" hidden="1" x14ac:dyDescent="0.25">
      <c r="A5622" s="6"/>
      <c r="B5622" s="6"/>
      <c r="C5622" s="11"/>
      <c r="D5622" s="13"/>
      <c r="E5622" s="13"/>
      <c r="F5622" s="13"/>
      <c r="G5622" s="13"/>
      <c r="H5622" s="13"/>
      <c r="I5622" s="10"/>
      <c r="J5622" s="11"/>
      <c r="K5622" s="6"/>
      <c r="L5622" s="13"/>
    </row>
    <row r="5623" spans="1:12" hidden="1" x14ac:dyDescent="0.25">
      <c r="A5623" s="6"/>
      <c r="B5623" s="6"/>
      <c r="C5623" s="11"/>
      <c r="D5623" s="13"/>
      <c r="E5623" s="13"/>
      <c r="F5623" s="13"/>
      <c r="G5623" s="13"/>
      <c r="H5623" s="13"/>
      <c r="I5623" s="10"/>
      <c r="J5623" s="11"/>
      <c r="K5623" s="6"/>
      <c r="L5623" s="13"/>
    </row>
    <row r="5624" spans="1:12" hidden="1" x14ac:dyDescent="0.25">
      <c r="A5624" s="6"/>
      <c r="B5624" s="6"/>
      <c r="C5624" s="11"/>
      <c r="D5624" s="13"/>
      <c r="E5624" s="13"/>
      <c r="F5624" s="13"/>
      <c r="G5624" s="13"/>
      <c r="H5624" s="13"/>
      <c r="I5624" s="10"/>
      <c r="J5624" s="11"/>
      <c r="K5624" s="6"/>
      <c r="L5624" s="13"/>
    </row>
    <row r="5625" spans="1:12" hidden="1" x14ac:dyDescent="0.25">
      <c r="A5625" s="6"/>
      <c r="B5625" s="6"/>
      <c r="C5625" s="11"/>
      <c r="D5625" s="13"/>
      <c r="E5625" s="13"/>
      <c r="F5625" s="13"/>
      <c r="G5625" s="13"/>
      <c r="H5625" s="13"/>
      <c r="I5625" s="10"/>
      <c r="J5625" s="11"/>
      <c r="K5625" s="6"/>
      <c r="L5625" s="13"/>
    </row>
    <row r="5626" spans="1:12" hidden="1" x14ac:dyDescent="0.25">
      <c r="A5626" s="6"/>
      <c r="B5626" s="6"/>
      <c r="C5626" s="11"/>
      <c r="D5626" s="13"/>
      <c r="E5626" s="13"/>
      <c r="F5626" s="13"/>
      <c r="G5626" s="13"/>
      <c r="H5626" s="13"/>
      <c r="I5626" s="10"/>
      <c r="J5626" s="11"/>
      <c r="K5626" s="6"/>
      <c r="L5626" s="13"/>
    </row>
    <row r="5627" spans="1:12" hidden="1" x14ac:dyDescent="0.25">
      <c r="A5627" s="6"/>
      <c r="B5627" s="6"/>
      <c r="C5627" s="11"/>
      <c r="D5627" s="13"/>
      <c r="E5627" s="13"/>
      <c r="F5627" s="13"/>
      <c r="G5627" s="13"/>
      <c r="H5627" s="13"/>
      <c r="I5627" s="10"/>
      <c r="J5627" s="11"/>
      <c r="K5627" s="6"/>
      <c r="L5627" s="13"/>
    </row>
    <row r="5628" spans="1:12" hidden="1" x14ac:dyDescent="0.25">
      <c r="A5628" s="6"/>
      <c r="B5628" s="6"/>
      <c r="C5628" s="11"/>
      <c r="D5628" s="13"/>
      <c r="E5628" s="13"/>
      <c r="F5628" s="13"/>
      <c r="G5628" s="13"/>
      <c r="H5628" s="13"/>
      <c r="I5628" s="10"/>
      <c r="J5628" s="11"/>
      <c r="K5628" s="6"/>
      <c r="L5628" s="13"/>
    </row>
    <row r="5629" spans="1:12" hidden="1" x14ac:dyDescent="0.25">
      <c r="A5629" s="6"/>
      <c r="B5629" s="6"/>
      <c r="C5629" s="11"/>
      <c r="D5629" s="13"/>
      <c r="E5629" s="13"/>
      <c r="F5629" s="13"/>
      <c r="G5629" s="13"/>
      <c r="H5629" s="13"/>
      <c r="I5629" s="10"/>
      <c r="J5629" s="11"/>
      <c r="K5629" s="6"/>
      <c r="L5629" s="13"/>
    </row>
    <row r="5630" spans="1:12" hidden="1" x14ac:dyDescent="0.25">
      <c r="A5630" s="6"/>
      <c r="B5630" s="6"/>
      <c r="C5630" s="11"/>
      <c r="D5630" s="13"/>
      <c r="E5630" s="13"/>
      <c r="F5630" s="13"/>
      <c r="G5630" s="13"/>
      <c r="H5630" s="13"/>
      <c r="I5630" s="10"/>
      <c r="J5630" s="11"/>
      <c r="K5630" s="6"/>
      <c r="L5630" s="13"/>
    </row>
    <row r="5631" spans="1:12" hidden="1" x14ac:dyDescent="0.25">
      <c r="A5631" s="6"/>
      <c r="B5631" s="6"/>
      <c r="C5631" s="11"/>
      <c r="D5631" s="13"/>
      <c r="E5631" s="13"/>
      <c r="F5631" s="13"/>
      <c r="G5631" s="13"/>
      <c r="H5631" s="13"/>
      <c r="I5631" s="10"/>
      <c r="J5631" s="11"/>
      <c r="K5631" s="6"/>
      <c r="L5631" s="13"/>
    </row>
    <row r="5632" spans="1:12" hidden="1" x14ac:dyDescent="0.25">
      <c r="A5632" s="6"/>
      <c r="B5632" s="6"/>
      <c r="C5632" s="11"/>
      <c r="D5632" s="13"/>
      <c r="E5632" s="13"/>
      <c r="F5632" s="13"/>
      <c r="G5632" s="13"/>
      <c r="H5632" s="13"/>
      <c r="I5632" s="10"/>
      <c r="J5632" s="11"/>
      <c r="K5632" s="6"/>
      <c r="L5632" s="13"/>
    </row>
    <row r="5633" spans="1:12" hidden="1" x14ac:dyDescent="0.25">
      <c r="A5633" s="6"/>
      <c r="B5633" s="6"/>
      <c r="C5633" s="11"/>
      <c r="D5633" s="13"/>
      <c r="E5633" s="13"/>
      <c r="F5633" s="13"/>
      <c r="G5633" s="13"/>
      <c r="H5633" s="13"/>
      <c r="I5633" s="10"/>
      <c r="J5633" s="11"/>
      <c r="K5633" s="6"/>
      <c r="L5633" s="13"/>
    </row>
    <row r="5634" spans="1:12" hidden="1" x14ac:dyDescent="0.25">
      <c r="A5634" s="6"/>
      <c r="B5634" s="6"/>
      <c r="C5634" s="11"/>
      <c r="D5634" s="13"/>
      <c r="E5634" s="13"/>
      <c r="F5634" s="13"/>
      <c r="G5634" s="13"/>
      <c r="H5634" s="13"/>
      <c r="I5634" s="10"/>
      <c r="J5634" s="11"/>
      <c r="K5634" s="6"/>
      <c r="L5634" s="13"/>
    </row>
    <row r="5635" spans="1:12" hidden="1" x14ac:dyDescent="0.25">
      <c r="A5635" s="6"/>
      <c r="B5635" s="6"/>
      <c r="C5635" s="11"/>
      <c r="D5635" s="13"/>
      <c r="E5635" s="13"/>
      <c r="F5635" s="13"/>
      <c r="G5635" s="13"/>
      <c r="H5635" s="13"/>
      <c r="I5635" s="10"/>
      <c r="J5635" s="11"/>
      <c r="K5635" s="6"/>
      <c r="L5635" s="13"/>
    </row>
    <row r="5636" spans="1:12" hidden="1" x14ac:dyDescent="0.25">
      <c r="A5636" s="6"/>
      <c r="B5636" s="6"/>
      <c r="C5636" s="11"/>
      <c r="D5636" s="13"/>
      <c r="E5636" s="13"/>
      <c r="F5636" s="13"/>
      <c r="G5636" s="13"/>
      <c r="H5636" s="13"/>
      <c r="I5636" s="10"/>
      <c r="J5636" s="11"/>
      <c r="K5636" s="6"/>
      <c r="L5636" s="13"/>
    </row>
    <row r="5637" spans="1:12" hidden="1" x14ac:dyDescent="0.25">
      <c r="A5637" s="6"/>
      <c r="B5637" s="6"/>
      <c r="C5637" s="11"/>
      <c r="D5637" s="13"/>
      <c r="E5637" s="13"/>
      <c r="F5637" s="13"/>
      <c r="G5637" s="13"/>
      <c r="H5637" s="13"/>
      <c r="I5637" s="10"/>
      <c r="J5637" s="11"/>
      <c r="K5637" s="6"/>
      <c r="L5637" s="13"/>
    </row>
    <row r="5638" spans="1:12" hidden="1" x14ac:dyDescent="0.25">
      <c r="A5638" s="6"/>
      <c r="B5638" s="6"/>
      <c r="C5638" s="11"/>
      <c r="D5638" s="13"/>
      <c r="E5638" s="13"/>
      <c r="F5638" s="13"/>
      <c r="G5638" s="13"/>
      <c r="H5638" s="13"/>
      <c r="I5638" s="10"/>
      <c r="J5638" s="11"/>
      <c r="K5638" s="6"/>
      <c r="L5638" s="13"/>
    </row>
    <row r="5639" spans="1:12" hidden="1" x14ac:dyDescent="0.25">
      <c r="A5639" s="6"/>
      <c r="B5639" s="6"/>
      <c r="C5639" s="11"/>
      <c r="D5639" s="13"/>
      <c r="E5639" s="13"/>
      <c r="F5639" s="13"/>
      <c r="G5639" s="13"/>
      <c r="H5639" s="13"/>
      <c r="I5639" s="10"/>
      <c r="J5639" s="11"/>
      <c r="K5639" s="6"/>
      <c r="L5639" s="13"/>
    </row>
    <row r="5640" spans="1:12" hidden="1" x14ac:dyDescent="0.25">
      <c r="A5640" s="6"/>
      <c r="B5640" s="6"/>
      <c r="C5640" s="11"/>
      <c r="D5640" s="13"/>
      <c r="E5640" s="13"/>
      <c r="F5640" s="13"/>
      <c r="G5640" s="13"/>
      <c r="H5640" s="13"/>
      <c r="I5640" s="10"/>
      <c r="J5640" s="11"/>
      <c r="K5640" s="6"/>
      <c r="L5640" s="13"/>
    </row>
    <row r="5641" spans="1:12" hidden="1" x14ac:dyDescent="0.25">
      <c r="A5641" s="6"/>
      <c r="B5641" s="6"/>
      <c r="C5641" s="11"/>
      <c r="D5641" s="13"/>
      <c r="E5641" s="13"/>
      <c r="F5641" s="13"/>
      <c r="G5641" s="13"/>
      <c r="H5641" s="13"/>
      <c r="I5641" s="10"/>
      <c r="J5641" s="11"/>
      <c r="K5641" s="6"/>
      <c r="L5641" s="13"/>
    </row>
    <row r="5642" spans="1:12" hidden="1" x14ac:dyDescent="0.25">
      <c r="A5642" s="6"/>
      <c r="B5642" s="6"/>
      <c r="C5642" s="11"/>
      <c r="D5642" s="13"/>
      <c r="E5642" s="13"/>
      <c r="F5642" s="13"/>
      <c r="G5642" s="13"/>
      <c r="H5642" s="13"/>
      <c r="I5642" s="10"/>
      <c r="J5642" s="11"/>
      <c r="K5642" s="6"/>
      <c r="L5642" s="13"/>
    </row>
    <row r="5643" spans="1:12" hidden="1" x14ac:dyDescent="0.25">
      <c r="A5643" s="6"/>
      <c r="B5643" s="6"/>
      <c r="C5643" s="11"/>
      <c r="D5643" s="13"/>
      <c r="E5643" s="13"/>
      <c r="F5643" s="13"/>
      <c r="G5643" s="13"/>
      <c r="H5643" s="13"/>
      <c r="I5643" s="10"/>
      <c r="J5643" s="11"/>
      <c r="K5643" s="6"/>
      <c r="L5643" s="13"/>
    </row>
    <row r="5644" spans="1:12" hidden="1" x14ac:dyDescent="0.25">
      <c r="A5644" s="6"/>
      <c r="B5644" s="6"/>
      <c r="C5644" s="11"/>
      <c r="D5644" s="13"/>
      <c r="E5644" s="13"/>
      <c r="F5644" s="13"/>
      <c r="G5644" s="13"/>
      <c r="H5644" s="13"/>
      <c r="I5644" s="10"/>
      <c r="J5644" s="11"/>
      <c r="K5644" s="6"/>
      <c r="L5644" s="13"/>
    </row>
    <row r="5645" spans="1:12" hidden="1" x14ac:dyDescent="0.25">
      <c r="A5645" s="6"/>
      <c r="B5645" s="6"/>
      <c r="C5645" s="11"/>
      <c r="D5645" s="13"/>
      <c r="E5645" s="13"/>
      <c r="F5645" s="13"/>
      <c r="G5645" s="13"/>
      <c r="H5645" s="13"/>
      <c r="I5645" s="10"/>
      <c r="J5645" s="11"/>
      <c r="K5645" s="6"/>
      <c r="L5645" s="13"/>
    </row>
    <row r="5646" spans="1:12" hidden="1" x14ac:dyDescent="0.25">
      <c r="A5646" s="6"/>
      <c r="B5646" s="6"/>
      <c r="C5646" s="11"/>
      <c r="D5646" s="13"/>
      <c r="E5646" s="13"/>
      <c r="F5646" s="13"/>
      <c r="G5646" s="13"/>
      <c r="H5646" s="13"/>
      <c r="I5646" s="10"/>
      <c r="J5646" s="11"/>
      <c r="K5646" s="6"/>
      <c r="L5646" s="13"/>
    </row>
    <row r="5647" spans="1:12" hidden="1" x14ac:dyDescent="0.25">
      <c r="A5647" s="6"/>
      <c r="B5647" s="6"/>
      <c r="C5647" s="11"/>
      <c r="D5647" s="13"/>
      <c r="E5647" s="13"/>
      <c r="F5647" s="13"/>
      <c r="G5647" s="13"/>
      <c r="H5647" s="13"/>
      <c r="I5647" s="10"/>
      <c r="J5647" s="11"/>
      <c r="K5647" s="6"/>
      <c r="L5647" s="13"/>
    </row>
    <row r="5648" spans="1:12" hidden="1" x14ac:dyDescent="0.25">
      <c r="A5648" s="6"/>
      <c r="B5648" s="6"/>
      <c r="C5648" s="11"/>
      <c r="D5648" s="13"/>
      <c r="E5648" s="13"/>
      <c r="F5648" s="13"/>
      <c r="G5648" s="13"/>
      <c r="H5648" s="13"/>
      <c r="I5648" s="10"/>
      <c r="J5648" s="11"/>
      <c r="K5648" s="6"/>
      <c r="L5648" s="13"/>
    </row>
    <row r="5649" spans="1:12" hidden="1" x14ac:dyDescent="0.25">
      <c r="A5649" s="6"/>
      <c r="B5649" s="6"/>
      <c r="C5649" s="11"/>
      <c r="D5649" s="13"/>
      <c r="E5649" s="13"/>
      <c r="F5649" s="13"/>
      <c r="G5649" s="13"/>
      <c r="H5649" s="13"/>
      <c r="I5649" s="10"/>
      <c r="J5649" s="11"/>
      <c r="K5649" s="6"/>
      <c r="L5649" s="13"/>
    </row>
    <row r="5650" spans="1:12" hidden="1" x14ac:dyDescent="0.25">
      <c r="A5650" s="6"/>
      <c r="B5650" s="6"/>
      <c r="C5650" s="11"/>
      <c r="D5650" s="13"/>
      <c r="E5650" s="13"/>
      <c r="F5650" s="13"/>
      <c r="G5650" s="13"/>
      <c r="H5650" s="13"/>
      <c r="I5650" s="10"/>
      <c r="J5650" s="11"/>
      <c r="K5650" s="6"/>
      <c r="L5650" s="13"/>
    </row>
    <row r="5651" spans="1:12" hidden="1" x14ac:dyDescent="0.25">
      <c r="A5651" s="6"/>
      <c r="B5651" s="6"/>
      <c r="C5651" s="11"/>
      <c r="D5651" s="13"/>
      <c r="E5651" s="13"/>
      <c r="F5651" s="13"/>
      <c r="G5651" s="13"/>
      <c r="H5651" s="13"/>
      <c r="I5651" s="10"/>
      <c r="J5651" s="11"/>
      <c r="K5651" s="6"/>
      <c r="L5651" s="13"/>
    </row>
    <row r="5652" spans="1:12" hidden="1" x14ac:dyDescent="0.25">
      <c r="A5652" s="6"/>
      <c r="B5652" s="6"/>
      <c r="C5652" s="11"/>
      <c r="D5652" s="13"/>
      <c r="E5652" s="13"/>
      <c r="F5652" s="13"/>
      <c r="G5652" s="13"/>
      <c r="H5652" s="13"/>
      <c r="I5652" s="10"/>
      <c r="J5652" s="11"/>
      <c r="K5652" s="6"/>
      <c r="L5652" s="13"/>
    </row>
    <row r="5653" spans="1:12" hidden="1" x14ac:dyDescent="0.25">
      <c r="A5653" s="6"/>
      <c r="B5653" s="6"/>
      <c r="C5653" s="11"/>
      <c r="D5653" s="13"/>
      <c r="E5653" s="13"/>
      <c r="F5653" s="13"/>
      <c r="G5653" s="13"/>
      <c r="H5653" s="13"/>
      <c r="I5653" s="10"/>
      <c r="J5653" s="11"/>
      <c r="K5653" s="6"/>
      <c r="L5653" s="13"/>
    </row>
    <row r="5654" spans="1:12" hidden="1" x14ac:dyDescent="0.25">
      <c r="A5654" s="6"/>
      <c r="B5654" s="6"/>
      <c r="C5654" s="11"/>
      <c r="D5654" s="13"/>
      <c r="E5654" s="13"/>
      <c r="F5654" s="13"/>
      <c r="G5654" s="13"/>
      <c r="H5654" s="13"/>
      <c r="I5654" s="10"/>
      <c r="J5654" s="11"/>
      <c r="K5654" s="6"/>
      <c r="L5654" s="13"/>
    </row>
    <row r="5655" spans="1:12" hidden="1" x14ac:dyDescent="0.25">
      <c r="A5655" s="6"/>
      <c r="B5655" s="6"/>
      <c r="C5655" s="11"/>
      <c r="D5655" s="13"/>
      <c r="E5655" s="13"/>
      <c r="F5655" s="13"/>
      <c r="G5655" s="13"/>
      <c r="H5655" s="13"/>
      <c r="I5655" s="10"/>
      <c r="J5655" s="11"/>
      <c r="K5655" s="6"/>
      <c r="L5655" s="13"/>
    </row>
    <row r="5656" spans="1:12" hidden="1" x14ac:dyDescent="0.25">
      <c r="A5656" s="6"/>
      <c r="B5656" s="6"/>
      <c r="C5656" s="11"/>
      <c r="D5656" s="13"/>
      <c r="E5656" s="13"/>
      <c r="F5656" s="13"/>
      <c r="G5656" s="13"/>
      <c r="H5656" s="13"/>
      <c r="I5656" s="10"/>
      <c r="J5656" s="11"/>
      <c r="K5656" s="6"/>
      <c r="L5656" s="13"/>
    </row>
    <row r="5657" spans="1:12" hidden="1" x14ac:dyDescent="0.25">
      <c r="A5657" s="6"/>
      <c r="B5657" s="6"/>
      <c r="C5657" s="11"/>
      <c r="D5657" s="13"/>
      <c r="E5657" s="13"/>
      <c r="F5657" s="13"/>
      <c r="G5657" s="13"/>
      <c r="H5657" s="13"/>
      <c r="I5657" s="10"/>
      <c r="J5657" s="11"/>
      <c r="K5657" s="6"/>
      <c r="L5657" s="13"/>
    </row>
    <row r="5658" spans="1:12" hidden="1" x14ac:dyDescent="0.25">
      <c r="A5658" s="6"/>
      <c r="B5658" s="6"/>
      <c r="C5658" s="11"/>
      <c r="D5658" s="13"/>
      <c r="E5658" s="13"/>
      <c r="F5658" s="13"/>
      <c r="G5658" s="13"/>
      <c r="H5658" s="13"/>
      <c r="I5658" s="10"/>
      <c r="J5658" s="11"/>
      <c r="K5658" s="6"/>
      <c r="L5658" s="13"/>
    </row>
    <row r="5659" spans="1:12" hidden="1" x14ac:dyDescent="0.25">
      <c r="A5659" s="6"/>
      <c r="B5659" s="6"/>
      <c r="C5659" s="11"/>
      <c r="D5659" s="13"/>
      <c r="E5659" s="13"/>
      <c r="F5659" s="13"/>
      <c r="G5659" s="13"/>
      <c r="H5659" s="13"/>
      <c r="I5659" s="10"/>
      <c r="J5659" s="11"/>
      <c r="K5659" s="6"/>
      <c r="L5659" s="13"/>
    </row>
    <row r="5660" spans="1:12" hidden="1" x14ac:dyDescent="0.25">
      <c r="A5660" s="6"/>
      <c r="B5660" s="6"/>
      <c r="C5660" s="11"/>
      <c r="D5660" s="13"/>
      <c r="E5660" s="13"/>
      <c r="F5660" s="13"/>
      <c r="G5660" s="13"/>
      <c r="H5660" s="13"/>
      <c r="I5660" s="10"/>
      <c r="J5660" s="11"/>
      <c r="K5660" s="6"/>
      <c r="L5660" s="13"/>
    </row>
    <row r="5661" spans="1:12" hidden="1" x14ac:dyDescent="0.25">
      <c r="A5661" s="6"/>
      <c r="B5661" s="6"/>
      <c r="C5661" s="11"/>
      <c r="D5661" s="13"/>
      <c r="E5661" s="13"/>
      <c r="F5661" s="13"/>
      <c r="G5661" s="13"/>
      <c r="H5661" s="13"/>
      <c r="I5661" s="10"/>
      <c r="J5661" s="11"/>
      <c r="K5661" s="6"/>
      <c r="L5661" s="13"/>
    </row>
    <row r="5662" spans="1:12" hidden="1" x14ac:dyDescent="0.25">
      <c r="A5662" s="6"/>
      <c r="B5662" s="6"/>
      <c r="C5662" s="11"/>
      <c r="D5662" s="13"/>
      <c r="E5662" s="13"/>
      <c r="F5662" s="13"/>
      <c r="G5662" s="13"/>
      <c r="H5662" s="13"/>
      <c r="I5662" s="10"/>
      <c r="J5662" s="11"/>
      <c r="K5662" s="6"/>
      <c r="L5662" s="13"/>
    </row>
    <row r="5663" spans="1:12" hidden="1" x14ac:dyDescent="0.25">
      <c r="A5663" s="6"/>
      <c r="B5663" s="6"/>
      <c r="C5663" s="11"/>
      <c r="D5663" s="13"/>
      <c r="E5663" s="13"/>
      <c r="F5663" s="13"/>
      <c r="G5663" s="13"/>
      <c r="H5663" s="13"/>
      <c r="I5663" s="10"/>
      <c r="J5663" s="11"/>
      <c r="K5663" s="6"/>
      <c r="L5663" s="13"/>
    </row>
    <row r="5664" spans="1:12" hidden="1" x14ac:dyDescent="0.25">
      <c r="A5664" s="6"/>
      <c r="B5664" s="6"/>
      <c r="C5664" s="11"/>
      <c r="D5664" s="13"/>
      <c r="E5664" s="13"/>
      <c r="F5664" s="13"/>
      <c r="G5664" s="13"/>
      <c r="H5664" s="13"/>
      <c r="I5664" s="10"/>
      <c r="J5664" s="11"/>
      <c r="K5664" s="6"/>
      <c r="L5664" s="13"/>
    </row>
    <row r="5665" spans="1:12" hidden="1" x14ac:dyDescent="0.25">
      <c r="A5665" s="6"/>
      <c r="B5665" s="6"/>
      <c r="C5665" s="11"/>
      <c r="D5665" s="13"/>
      <c r="E5665" s="13"/>
      <c r="F5665" s="13"/>
      <c r="G5665" s="13"/>
      <c r="H5665" s="13"/>
      <c r="I5665" s="10"/>
      <c r="J5665" s="11"/>
      <c r="K5665" s="6"/>
      <c r="L5665" s="13"/>
    </row>
    <row r="5666" spans="1:12" hidden="1" x14ac:dyDescent="0.25">
      <c r="A5666" s="6"/>
      <c r="B5666" s="6"/>
      <c r="C5666" s="11"/>
      <c r="D5666" s="13"/>
      <c r="E5666" s="13"/>
      <c r="F5666" s="13"/>
      <c r="G5666" s="13"/>
      <c r="H5666" s="13"/>
      <c r="I5666" s="10"/>
      <c r="J5666" s="11"/>
      <c r="K5666" s="6"/>
      <c r="L5666" s="13"/>
    </row>
    <row r="5667" spans="1:12" hidden="1" x14ac:dyDescent="0.25">
      <c r="A5667" s="6"/>
      <c r="B5667" s="6"/>
      <c r="C5667" s="11"/>
      <c r="D5667" s="13"/>
      <c r="E5667" s="13"/>
      <c r="F5667" s="13"/>
      <c r="G5667" s="13"/>
      <c r="H5667" s="13"/>
      <c r="I5667" s="10"/>
      <c r="J5667" s="11"/>
      <c r="K5667" s="6"/>
      <c r="L5667" s="13"/>
    </row>
    <row r="5668" spans="1:12" hidden="1" x14ac:dyDescent="0.25">
      <c r="A5668" s="6"/>
      <c r="B5668" s="6"/>
      <c r="C5668" s="11"/>
      <c r="D5668" s="13"/>
      <c r="E5668" s="13"/>
      <c r="F5668" s="13"/>
      <c r="G5668" s="13"/>
      <c r="H5668" s="13"/>
      <c r="I5668" s="10"/>
      <c r="J5668" s="11"/>
      <c r="K5668" s="6"/>
      <c r="L5668" s="13"/>
    </row>
    <row r="5669" spans="1:12" hidden="1" x14ac:dyDescent="0.25">
      <c r="A5669" s="6"/>
      <c r="B5669" s="6"/>
      <c r="C5669" s="11"/>
      <c r="D5669" s="13"/>
      <c r="E5669" s="13"/>
      <c r="F5669" s="13"/>
      <c r="G5669" s="13"/>
      <c r="H5669" s="13"/>
      <c r="I5669" s="10"/>
      <c r="J5669" s="11"/>
      <c r="K5669" s="6"/>
      <c r="L5669" s="13"/>
    </row>
    <row r="5670" spans="1:12" hidden="1" x14ac:dyDescent="0.25">
      <c r="A5670" s="6"/>
      <c r="B5670" s="6"/>
      <c r="C5670" s="11"/>
      <c r="D5670" s="13"/>
      <c r="E5670" s="13"/>
      <c r="F5670" s="13"/>
      <c r="G5670" s="13"/>
      <c r="H5670" s="13"/>
      <c r="I5670" s="10"/>
      <c r="J5670" s="11"/>
      <c r="K5670" s="6"/>
      <c r="L5670" s="13"/>
    </row>
    <row r="5671" spans="1:12" hidden="1" x14ac:dyDescent="0.25">
      <c r="A5671" s="6"/>
      <c r="B5671" s="6"/>
      <c r="C5671" s="11"/>
      <c r="D5671" s="13"/>
      <c r="E5671" s="13"/>
      <c r="F5671" s="13"/>
      <c r="G5671" s="13"/>
      <c r="H5671" s="13"/>
      <c r="I5671" s="10"/>
      <c r="J5671" s="11"/>
      <c r="K5671" s="6"/>
      <c r="L5671" s="13"/>
    </row>
    <row r="5672" spans="1:12" hidden="1" x14ac:dyDescent="0.25">
      <c r="A5672" s="6"/>
      <c r="B5672" s="6"/>
      <c r="C5672" s="11"/>
      <c r="D5672" s="13"/>
      <c r="E5672" s="13"/>
      <c r="F5672" s="13"/>
      <c r="G5672" s="13"/>
      <c r="H5672" s="13"/>
      <c r="I5672" s="10"/>
      <c r="J5672" s="11"/>
      <c r="K5672" s="6"/>
      <c r="L5672" s="13"/>
    </row>
    <row r="5673" spans="1:12" hidden="1" x14ac:dyDescent="0.25">
      <c r="A5673" s="6"/>
      <c r="B5673" s="6"/>
      <c r="C5673" s="11"/>
      <c r="D5673" s="13"/>
      <c r="E5673" s="13"/>
      <c r="F5673" s="13"/>
      <c r="G5673" s="13"/>
      <c r="H5673" s="13"/>
      <c r="I5673" s="10"/>
      <c r="J5673" s="11"/>
      <c r="K5673" s="6"/>
      <c r="L5673" s="13"/>
    </row>
    <row r="5674" spans="1:12" hidden="1" x14ac:dyDescent="0.25">
      <c r="A5674" s="6"/>
      <c r="B5674" s="6"/>
      <c r="C5674" s="11"/>
      <c r="D5674" s="13"/>
      <c r="E5674" s="13"/>
      <c r="F5674" s="13"/>
      <c r="G5674" s="13"/>
      <c r="H5674" s="13"/>
      <c r="I5674" s="10"/>
      <c r="J5674" s="11"/>
      <c r="K5674" s="6"/>
      <c r="L5674" s="13"/>
    </row>
    <row r="5675" spans="1:12" hidden="1" x14ac:dyDescent="0.25">
      <c r="A5675" s="6"/>
      <c r="B5675" s="6"/>
      <c r="C5675" s="11"/>
      <c r="D5675" s="13"/>
      <c r="E5675" s="13"/>
      <c r="F5675" s="13"/>
      <c r="G5675" s="13"/>
      <c r="H5675" s="13"/>
      <c r="I5675" s="10"/>
      <c r="J5675" s="11"/>
      <c r="K5675" s="6"/>
      <c r="L5675" s="13"/>
    </row>
    <row r="5676" spans="1:12" hidden="1" x14ac:dyDescent="0.25">
      <c r="A5676" s="6"/>
      <c r="B5676" s="6"/>
      <c r="C5676" s="11"/>
      <c r="D5676" s="13"/>
      <c r="E5676" s="13"/>
      <c r="F5676" s="13"/>
      <c r="G5676" s="13"/>
      <c r="H5676" s="13"/>
      <c r="I5676" s="10"/>
      <c r="J5676" s="11"/>
      <c r="K5676" s="6"/>
      <c r="L5676" s="13"/>
    </row>
    <row r="5677" spans="1:12" hidden="1" x14ac:dyDescent="0.25">
      <c r="A5677" s="6"/>
      <c r="B5677" s="6"/>
      <c r="C5677" s="11"/>
      <c r="D5677" s="13"/>
      <c r="E5677" s="13"/>
      <c r="F5677" s="13"/>
      <c r="G5677" s="13"/>
      <c r="H5677" s="13"/>
      <c r="I5677" s="10"/>
      <c r="J5677" s="11"/>
      <c r="K5677" s="6"/>
      <c r="L5677" s="13"/>
    </row>
    <row r="5678" spans="1:12" hidden="1" x14ac:dyDescent="0.25">
      <c r="A5678" s="6"/>
      <c r="B5678" s="6"/>
      <c r="C5678" s="11"/>
      <c r="D5678" s="13"/>
      <c r="E5678" s="13"/>
      <c r="F5678" s="13"/>
      <c r="G5678" s="13"/>
      <c r="H5678" s="13"/>
      <c r="I5678" s="10"/>
      <c r="J5678" s="11"/>
      <c r="K5678" s="6"/>
      <c r="L5678" s="13"/>
    </row>
    <row r="5679" spans="1:12" hidden="1" x14ac:dyDescent="0.25">
      <c r="A5679" s="6"/>
      <c r="B5679" s="6"/>
      <c r="C5679" s="11"/>
      <c r="D5679" s="13"/>
      <c r="E5679" s="13"/>
      <c r="F5679" s="13"/>
      <c r="G5679" s="13"/>
      <c r="H5679" s="13"/>
      <c r="I5679" s="10"/>
      <c r="J5679" s="11"/>
      <c r="K5679" s="6"/>
      <c r="L5679" s="13"/>
    </row>
    <row r="5680" spans="1:12" hidden="1" x14ac:dyDescent="0.25">
      <c r="A5680" s="6"/>
      <c r="B5680" s="6"/>
      <c r="C5680" s="11"/>
      <c r="D5680" s="13"/>
      <c r="E5680" s="13"/>
      <c r="F5680" s="13"/>
      <c r="G5680" s="13"/>
      <c r="H5680" s="13"/>
      <c r="I5680" s="10"/>
      <c r="J5680" s="11"/>
      <c r="K5680" s="6"/>
      <c r="L5680" s="13"/>
    </row>
    <row r="5681" spans="1:12" hidden="1" x14ac:dyDescent="0.25">
      <c r="A5681" s="6"/>
      <c r="B5681" s="6"/>
      <c r="C5681" s="11"/>
      <c r="D5681" s="13"/>
      <c r="E5681" s="13"/>
      <c r="F5681" s="13"/>
      <c r="G5681" s="13"/>
      <c r="H5681" s="13"/>
      <c r="I5681" s="10"/>
      <c r="J5681" s="11"/>
      <c r="K5681" s="6"/>
      <c r="L5681" s="13"/>
    </row>
    <row r="5682" spans="1:12" hidden="1" x14ac:dyDescent="0.25">
      <c r="A5682" s="6"/>
      <c r="B5682" s="6"/>
      <c r="C5682" s="11"/>
      <c r="D5682" s="13"/>
      <c r="E5682" s="13"/>
      <c r="F5682" s="13"/>
      <c r="G5682" s="13"/>
      <c r="H5682" s="13"/>
      <c r="I5682" s="10"/>
      <c r="J5682" s="11"/>
      <c r="K5682" s="6"/>
      <c r="L5682" s="13"/>
    </row>
    <row r="5683" spans="1:12" hidden="1" x14ac:dyDescent="0.25">
      <c r="A5683" s="6"/>
      <c r="B5683" s="6"/>
      <c r="C5683" s="11"/>
      <c r="D5683" s="13"/>
      <c r="E5683" s="13"/>
      <c r="F5683" s="13"/>
      <c r="G5683" s="13"/>
      <c r="H5683" s="13"/>
      <c r="I5683" s="10"/>
      <c r="J5683" s="11"/>
      <c r="K5683" s="6"/>
      <c r="L5683" s="13"/>
    </row>
    <row r="5684" spans="1:12" hidden="1" x14ac:dyDescent="0.25">
      <c r="A5684" s="6"/>
      <c r="B5684" s="6"/>
      <c r="C5684" s="11"/>
      <c r="D5684" s="13"/>
      <c r="E5684" s="13"/>
      <c r="F5684" s="13"/>
      <c r="G5684" s="13"/>
      <c r="H5684" s="13"/>
      <c r="I5684" s="10"/>
      <c r="J5684" s="11"/>
      <c r="K5684" s="6"/>
      <c r="L5684" s="13"/>
    </row>
    <row r="5685" spans="1:12" hidden="1" x14ac:dyDescent="0.25">
      <c r="A5685" s="6"/>
      <c r="B5685" s="6"/>
      <c r="C5685" s="11"/>
      <c r="D5685" s="13"/>
      <c r="E5685" s="13"/>
      <c r="F5685" s="13"/>
      <c r="G5685" s="13"/>
      <c r="H5685" s="13"/>
      <c r="I5685" s="10"/>
      <c r="J5685" s="11"/>
      <c r="K5685" s="6"/>
      <c r="L5685" s="13"/>
    </row>
    <row r="5686" spans="1:12" hidden="1" x14ac:dyDescent="0.25">
      <c r="A5686" s="6"/>
      <c r="B5686" s="6"/>
      <c r="C5686" s="11"/>
      <c r="D5686" s="13"/>
      <c r="E5686" s="13"/>
      <c r="F5686" s="13"/>
      <c r="G5686" s="13"/>
      <c r="H5686" s="13"/>
      <c r="I5686" s="10"/>
      <c r="J5686" s="11"/>
      <c r="K5686" s="6"/>
      <c r="L5686" s="13"/>
    </row>
    <row r="5687" spans="1:12" hidden="1" x14ac:dyDescent="0.25">
      <c r="A5687" s="6"/>
      <c r="B5687" s="6"/>
      <c r="C5687" s="11"/>
      <c r="D5687" s="13"/>
      <c r="E5687" s="13"/>
      <c r="F5687" s="13"/>
      <c r="G5687" s="13"/>
      <c r="H5687" s="13"/>
      <c r="I5687" s="10"/>
      <c r="J5687" s="11"/>
      <c r="K5687" s="6"/>
      <c r="L5687" s="13"/>
    </row>
    <row r="5688" spans="1:12" hidden="1" x14ac:dyDescent="0.25">
      <c r="A5688" s="6"/>
      <c r="B5688" s="6"/>
      <c r="C5688" s="11"/>
      <c r="D5688" s="13"/>
      <c r="E5688" s="13"/>
      <c r="F5688" s="13"/>
      <c r="G5688" s="13"/>
      <c r="H5688" s="13"/>
      <c r="I5688" s="10"/>
      <c r="J5688" s="11"/>
      <c r="K5688" s="6"/>
      <c r="L5688" s="13"/>
    </row>
    <row r="5689" spans="1:12" hidden="1" x14ac:dyDescent="0.25">
      <c r="A5689" s="6"/>
      <c r="B5689" s="6"/>
      <c r="C5689" s="11"/>
      <c r="D5689" s="13"/>
      <c r="E5689" s="13"/>
      <c r="F5689" s="13"/>
      <c r="G5689" s="13"/>
      <c r="H5689" s="13"/>
      <c r="I5689" s="10"/>
      <c r="J5689" s="11"/>
      <c r="K5689" s="6"/>
      <c r="L5689" s="13"/>
    </row>
    <row r="5690" spans="1:12" hidden="1" x14ac:dyDescent="0.25">
      <c r="A5690" s="6"/>
      <c r="B5690" s="6"/>
      <c r="C5690" s="11"/>
      <c r="D5690" s="13"/>
      <c r="E5690" s="13"/>
      <c r="F5690" s="13"/>
      <c r="G5690" s="13"/>
      <c r="H5690" s="13"/>
      <c r="I5690" s="10"/>
      <c r="J5690" s="11"/>
      <c r="K5690" s="6"/>
      <c r="L5690" s="13"/>
    </row>
    <row r="5691" spans="1:12" hidden="1" x14ac:dyDescent="0.25">
      <c r="A5691" s="6"/>
      <c r="B5691" s="6"/>
      <c r="C5691" s="11"/>
      <c r="D5691" s="13"/>
      <c r="E5691" s="13"/>
      <c r="F5691" s="13"/>
      <c r="G5691" s="13"/>
      <c r="H5691" s="13"/>
      <c r="I5691" s="10"/>
      <c r="J5691" s="11"/>
      <c r="K5691" s="6"/>
      <c r="L5691" s="13"/>
    </row>
    <row r="5692" spans="1:12" hidden="1" x14ac:dyDescent="0.25">
      <c r="A5692" s="6"/>
      <c r="B5692" s="6"/>
      <c r="C5692" s="11"/>
      <c r="D5692" s="13"/>
      <c r="E5692" s="13"/>
      <c r="F5692" s="13"/>
      <c r="G5692" s="13"/>
      <c r="H5692" s="13"/>
      <c r="I5692" s="10"/>
      <c r="J5692" s="11"/>
      <c r="K5692" s="6"/>
      <c r="L5692" s="13"/>
    </row>
    <row r="5693" spans="1:12" hidden="1" x14ac:dyDescent="0.25">
      <c r="A5693" s="6"/>
      <c r="B5693" s="6"/>
      <c r="C5693" s="11"/>
      <c r="D5693" s="13"/>
      <c r="E5693" s="13"/>
      <c r="F5693" s="13"/>
      <c r="G5693" s="13"/>
      <c r="H5693" s="13"/>
      <c r="I5693" s="10"/>
      <c r="J5693" s="11"/>
      <c r="K5693" s="6"/>
      <c r="L5693" s="13"/>
    </row>
    <row r="5694" spans="1:12" hidden="1" x14ac:dyDescent="0.25">
      <c r="A5694" s="6"/>
      <c r="B5694" s="6"/>
      <c r="C5694" s="11"/>
      <c r="D5694" s="13"/>
      <c r="E5694" s="13"/>
      <c r="F5694" s="13"/>
      <c r="G5694" s="13"/>
      <c r="H5694" s="13"/>
      <c r="I5694" s="10"/>
      <c r="J5694" s="11"/>
      <c r="K5694" s="6"/>
      <c r="L5694" s="13"/>
    </row>
    <row r="5695" spans="1:12" hidden="1" x14ac:dyDescent="0.25">
      <c r="A5695" s="6"/>
      <c r="B5695" s="6"/>
      <c r="C5695" s="11"/>
      <c r="D5695" s="13"/>
      <c r="E5695" s="13"/>
      <c r="F5695" s="13"/>
      <c r="G5695" s="13"/>
      <c r="H5695" s="13"/>
      <c r="I5695" s="10"/>
      <c r="J5695" s="11"/>
      <c r="K5695" s="6"/>
      <c r="L5695" s="13"/>
    </row>
    <row r="5696" spans="1:12" hidden="1" x14ac:dyDescent="0.25">
      <c r="A5696" s="6"/>
      <c r="B5696" s="6"/>
      <c r="C5696" s="11"/>
      <c r="D5696" s="13"/>
      <c r="E5696" s="13"/>
      <c r="F5696" s="13"/>
      <c r="G5696" s="13"/>
      <c r="H5696" s="13"/>
      <c r="I5696" s="10"/>
      <c r="J5696" s="11"/>
      <c r="K5696" s="6"/>
      <c r="L5696" s="13"/>
    </row>
    <row r="5697" spans="1:12" hidden="1" x14ac:dyDescent="0.25">
      <c r="A5697" s="6"/>
      <c r="B5697" s="6"/>
      <c r="C5697" s="11"/>
      <c r="D5697" s="13"/>
      <c r="E5697" s="13"/>
      <c r="F5697" s="13"/>
      <c r="G5697" s="13"/>
      <c r="H5697" s="13"/>
      <c r="I5697" s="10"/>
      <c r="J5697" s="11"/>
      <c r="K5697" s="6"/>
      <c r="L5697" s="13"/>
    </row>
    <row r="5698" spans="1:12" hidden="1" x14ac:dyDescent="0.25">
      <c r="A5698" s="6"/>
      <c r="B5698" s="6"/>
      <c r="C5698" s="11"/>
      <c r="D5698" s="13"/>
      <c r="E5698" s="13"/>
      <c r="F5698" s="13"/>
      <c r="G5698" s="13"/>
      <c r="H5698" s="13"/>
      <c r="I5698" s="10"/>
      <c r="J5698" s="11"/>
      <c r="K5698" s="6"/>
      <c r="L5698" s="13"/>
    </row>
    <row r="5699" spans="1:12" hidden="1" x14ac:dyDescent="0.25">
      <c r="A5699" s="6"/>
      <c r="B5699" s="6"/>
      <c r="C5699" s="11"/>
      <c r="D5699" s="13"/>
      <c r="E5699" s="13"/>
      <c r="F5699" s="13"/>
      <c r="G5699" s="13"/>
      <c r="H5699" s="13"/>
      <c r="I5699" s="10"/>
      <c r="J5699" s="11"/>
      <c r="K5699" s="6"/>
      <c r="L5699" s="13"/>
    </row>
    <row r="5700" spans="1:12" hidden="1" x14ac:dyDescent="0.25">
      <c r="A5700" s="6"/>
      <c r="B5700" s="6"/>
      <c r="C5700" s="11"/>
      <c r="D5700" s="13"/>
      <c r="E5700" s="13"/>
      <c r="F5700" s="13"/>
      <c r="G5700" s="13"/>
      <c r="H5700" s="13"/>
      <c r="I5700" s="10"/>
      <c r="J5700" s="11"/>
      <c r="K5700" s="6"/>
      <c r="L5700" s="13"/>
    </row>
    <row r="5701" spans="1:12" hidden="1" x14ac:dyDescent="0.25">
      <c r="A5701" s="6"/>
      <c r="B5701" s="6"/>
      <c r="C5701" s="11"/>
      <c r="D5701" s="13"/>
      <c r="E5701" s="13"/>
      <c r="F5701" s="13"/>
      <c r="G5701" s="13"/>
      <c r="H5701" s="13"/>
      <c r="I5701" s="10"/>
      <c r="J5701" s="11"/>
      <c r="K5701" s="6"/>
      <c r="L5701" s="13"/>
    </row>
    <row r="5702" spans="1:12" hidden="1" x14ac:dyDescent="0.25">
      <c r="A5702" s="6"/>
      <c r="B5702" s="6"/>
      <c r="C5702" s="11"/>
      <c r="D5702" s="13"/>
      <c r="E5702" s="13"/>
      <c r="F5702" s="13"/>
      <c r="G5702" s="13"/>
      <c r="H5702" s="13"/>
      <c r="I5702" s="10"/>
      <c r="J5702" s="11"/>
      <c r="K5702" s="6"/>
      <c r="L5702" s="13"/>
    </row>
    <row r="5703" spans="1:12" hidden="1" x14ac:dyDescent="0.25">
      <c r="A5703" s="6"/>
      <c r="B5703" s="6"/>
      <c r="C5703" s="11"/>
      <c r="D5703" s="13"/>
      <c r="E5703" s="13"/>
      <c r="F5703" s="13"/>
      <c r="G5703" s="13"/>
      <c r="H5703" s="13"/>
      <c r="I5703" s="10"/>
      <c r="J5703" s="11"/>
      <c r="K5703" s="6"/>
      <c r="L5703" s="13"/>
    </row>
    <row r="5704" spans="1:12" hidden="1" x14ac:dyDescent="0.25">
      <c r="A5704" s="6"/>
      <c r="B5704" s="6"/>
      <c r="C5704" s="11"/>
      <c r="D5704" s="13"/>
      <c r="E5704" s="13"/>
      <c r="F5704" s="13"/>
      <c r="G5704" s="13"/>
      <c r="H5704" s="13"/>
      <c r="I5704" s="10"/>
      <c r="J5704" s="11"/>
      <c r="K5704" s="6"/>
      <c r="L5704" s="13"/>
    </row>
    <row r="5705" spans="1:12" hidden="1" x14ac:dyDescent="0.25">
      <c r="A5705" s="6"/>
      <c r="B5705" s="6"/>
      <c r="C5705" s="11"/>
      <c r="D5705" s="13"/>
      <c r="E5705" s="13"/>
      <c r="F5705" s="13"/>
      <c r="G5705" s="13"/>
      <c r="H5705" s="13"/>
      <c r="I5705" s="10"/>
      <c r="J5705" s="11"/>
      <c r="K5705" s="6"/>
      <c r="L5705" s="13"/>
    </row>
    <row r="5706" spans="1:12" hidden="1" x14ac:dyDescent="0.25">
      <c r="A5706" s="6"/>
      <c r="B5706" s="6"/>
      <c r="C5706" s="11"/>
      <c r="D5706" s="13"/>
      <c r="E5706" s="13"/>
      <c r="F5706" s="13"/>
      <c r="G5706" s="13"/>
      <c r="H5706" s="13"/>
      <c r="I5706" s="10"/>
      <c r="J5706" s="11"/>
      <c r="K5706" s="6"/>
      <c r="L5706" s="13"/>
    </row>
    <row r="5707" spans="1:12" hidden="1" x14ac:dyDescent="0.25">
      <c r="A5707" s="6"/>
      <c r="B5707" s="6"/>
      <c r="C5707" s="11"/>
      <c r="D5707" s="13"/>
      <c r="E5707" s="13"/>
      <c r="F5707" s="13"/>
      <c r="G5707" s="13"/>
      <c r="H5707" s="13"/>
      <c r="I5707" s="10"/>
      <c r="J5707" s="11"/>
      <c r="K5707" s="6"/>
      <c r="L5707" s="13"/>
    </row>
    <row r="5708" spans="1:12" hidden="1" x14ac:dyDescent="0.25">
      <c r="A5708" s="6"/>
      <c r="B5708" s="6"/>
      <c r="C5708" s="11"/>
      <c r="D5708" s="13"/>
      <c r="E5708" s="13"/>
      <c r="F5708" s="13"/>
      <c r="G5708" s="13"/>
      <c r="H5708" s="13"/>
      <c r="I5708" s="10"/>
      <c r="J5708" s="11"/>
      <c r="K5708" s="6"/>
      <c r="L5708" s="13"/>
    </row>
    <row r="5709" spans="1:12" hidden="1" x14ac:dyDescent="0.25">
      <c r="A5709" s="6"/>
      <c r="B5709" s="6"/>
      <c r="C5709" s="11"/>
      <c r="D5709" s="13"/>
      <c r="E5709" s="13"/>
      <c r="F5709" s="13"/>
      <c r="G5709" s="13"/>
      <c r="H5709" s="13"/>
      <c r="I5709" s="10"/>
      <c r="J5709" s="11"/>
      <c r="K5709" s="6"/>
      <c r="L5709" s="13"/>
    </row>
    <row r="5710" spans="1:12" hidden="1" x14ac:dyDescent="0.25">
      <c r="A5710" s="6"/>
      <c r="B5710" s="6"/>
      <c r="C5710" s="11"/>
      <c r="D5710" s="13"/>
      <c r="E5710" s="13"/>
      <c r="F5710" s="13"/>
      <c r="G5710" s="13"/>
      <c r="H5710" s="13"/>
      <c r="I5710" s="10"/>
      <c r="J5710" s="11"/>
      <c r="K5710" s="6"/>
      <c r="L5710" s="13"/>
    </row>
    <row r="5711" spans="1:12" hidden="1" x14ac:dyDescent="0.25">
      <c r="A5711" s="6"/>
      <c r="B5711" s="6"/>
      <c r="C5711" s="11"/>
      <c r="D5711" s="13"/>
      <c r="E5711" s="13"/>
      <c r="F5711" s="13"/>
      <c r="G5711" s="13"/>
      <c r="H5711" s="13"/>
      <c r="I5711" s="10"/>
      <c r="J5711" s="11"/>
      <c r="K5711" s="6"/>
      <c r="L5711" s="13"/>
    </row>
    <row r="5712" spans="1:12" hidden="1" x14ac:dyDescent="0.25">
      <c r="A5712" s="6"/>
      <c r="B5712" s="6"/>
      <c r="C5712" s="11"/>
      <c r="D5712" s="13"/>
      <c r="E5712" s="13"/>
      <c r="F5712" s="13"/>
      <c r="G5712" s="13"/>
      <c r="H5712" s="13"/>
      <c r="I5712" s="10"/>
      <c r="J5712" s="11"/>
      <c r="K5712" s="6"/>
      <c r="L5712" s="13"/>
    </row>
    <row r="5713" spans="1:12" hidden="1" x14ac:dyDescent="0.25">
      <c r="A5713" s="6"/>
      <c r="B5713" s="6"/>
      <c r="C5713" s="11"/>
      <c r="D5713" s="13"/>
      <c r="E5713" s="13"/>
      <c r="F5713" s="13"/>
      <c r="G5713" s="13"/>
      <c r="H5713" s="13"/>
      <c r="I5713" s="10"/>
      <c r="J5713" s="11"/>
      <c r="K5713" s="6"/>
      <c r="L5713" s="13"/>
    </row>
    <row r="5714" spans="1:12" hidden="1" x14ac:dyDescent="0.25">
      <c r="A5714" s="6"/>
      <c r="B5714" s="6"/>
      <c r="C5714" s="11"/>
      <c r="D5714" s="13"/>
      <c r="E5714" s="13"/>
      <c r="F5714" s="13"/>
      <c r="G5714" s="13"/>
      <c r="H5714" s="13"/>
      <c r="I5714" s="10"/>
      <c r="J5714" s="11"/>
      <c r="K5714" s="6"/>
      <c r="L5714" s="13"/>
    </row>
    <row r="5715" spans="1:12" hidden="1" x14ac:dyDescent="0.25">
      <c r="A5715" s="6"/>
      <c r="B5715" s="6"/>
      <c r="C5715" s="11"/>
      <c r="D5715" s="13"/>
      <c r="E5715" s="13"/>
      <c r="F5715" s="13"/>
      <c r="G5715" s="13"/>
      <c r="H5715" s="13"/>
      <c r="I5715" s="10"/>
      <c r="J5715" s="11"/>
      <c r="K5715" s="6"/>
      <c r="L5715" s="13"/>
    </row>
    <row r="5716" spans="1:12" hidden="1" x14ac:dyDescent="0.25">
      <c r="A5716" s="6"/>
      <c r="B5716" s="6"/>
      <c r="C5716" s="11"/>
      <c r="D5716" s="13"/>
      <c r="E5716" s="13"/>
      <c r="F5716" s="13"/>
      <c r="G5716" s="13"/>
      <c r="H5716" s="13"/>
      <c r="I5716" s="10"/>
      <c r="J5716" s="11"/>
      <c r="K5716" s="6"/>
      <c r="L5716" s="13"/>
    </row>
    <row r="5717" spans="1:12" hidden="1" x14ac:dyDescent="0.25">
      <c r="A5717" s="6"/>
      <c r="B5717" s="6"/>
      <c r="C5717" s="11"/>
      <c r="D5717" s="13"/>
      <c r="E5717" s="13"/>
      <c r="F5717" s="13"/>
      <c r="G5717" s="13"/>
      <c r="H5717" s="13"/>
      <c r="I5717" s="10"/>
      <c r="J5717" s="11"/>
      <c r="K5717" s="6"/>
      <c r="L5717" s="13"/>
    </row>
    <row r="5718" spans="1:12" hidden="1" x14ac:dyDescent="0.25">
      <c r="A5718" s="6"/>
      <c r="B5718" s="6"/>
      <c r="C5718" s="11"/>
      <c r="D5718" s="13"/>
      <c r="E5718" s="13"/>
      <c r="F5718" s="13"/>
      <c r="G5718" s="13"/>
      <c r="H5718" s="13"/>
      <c r="I5718" s="10"/>
      <c r="J5718" s="11"/>
      <c r="K5718" s="6"/>
      <c r="L5718" s="13"/>
    </row>
    <row r="5719" spans="1:12" hidden="1" x14ac:dyDescent="0.25">
      <c r="A5719" s="6"/>
      <c r="B5719" s="6"/>
      <c r="C5719" s="11"/>
      <c r="D5719" s="13"/>
      <c r="E5719" s="13"/>
      <c r="F5719" s="13"/>
      <c r="G5719" s="13"/>
      <c r="H5719" s="13"/>
      <c r="I5719" s="10"/>
      <c r="J5719" s="11"/>
      <c r="K5719" s="6"/>
      <c r="L5719" s="13"/>
    </row>
    <row r="5720" spans="1:12" hidden="1" x14ac:dyDescent="0.25">
      <c r="A5720" s="6"/>
      <c r="B5720" s="6"/>
      <c r="C5720" s="11"/>
      <c r="D5720" s="13"/>
      <c r="E5720" s="13"/>
      <c r="F5720" s="13"/>
      <c r="G5720" s="13"/>
      <c r="H5720" s="13"/>
      <c r="I5720" s="10"/>
      <c r="J5720" s="11"/>
      <c r="K5720" s="6"/>
      <c r="L5720" s="13"/>
    </row>
    <row r="5721" spans="1:12" hidden="1" x14ac:dyDescent="0.25">
      <c r="A5721" s="6"/>
      <c r="B5721" s="6"/>
      <c r="C5721" s="11"/>
      <c r="D5721" s="13"/>
      <c r="E5721" s="13"/>
      <c r="F5721" s="13"/>
      <c r="G5721" s="13"/>
      <c r="H5721" s="13"/>
      <c r="I5721" s="10"/>
      <c r="J5721" s="11"/>
      <c r="K5721" s="6"/>
      <c r="L5721" s="13"/>
    </row>
    <row r="5722" spans="1:12" hidden="1" x14ac:dyDescent="0.25">
      <c r="A5722" s="6"/>
      <c r="B5722" s="6"/>
      <c r="C5722" s="11"/>
      <c r="D5722" s="13"/>
      <c r="E5722" s="13"/>
      <c r="F5722" s="13"/>
      <c r="G5722" s="13"/>
      <c r="H5722" s="13"/>
      <c r="I5722" s="10"/>
      <c r="J5722" s="11"/>
      <c r="K5722" s="6"/>
      <c r="L5722" s="13"/>
    </row>
    <row r="5723" spans="1:12" hidden="1" x14ac:dyDescent="0.25">
      <c r="A5723" s="6"/>
      <c r="B5723" s="6"/>
      <c r="C5723" s="11"/>
      <c r="D5723" s="13"/>
      <c r="E5723" s="13"/>
      <c r="F5723" s="13"/>
      <c r="G5723" s="13"/>
      <c r="H5723" s="13"/>
      <c r="I5723" s="10"/>
      <c r="J5723" s="11"/>
      <c r="K5723" s="6"/>
      <c r="L5723" s="13"/>
    </row>
    <row r="5724" spans="1:12" hidden="1" x14ac:dyDescent="0.25">
      <c r="A5724" s="6"/>
      <c r="B5724" s="6"/>
      <c r="C5724" s="11"/>
      <c r="D5724" s="13"/>
      <c r="E5724" s="13"/>
      <c r="F5724" s="13"/>
      <c r="G5724" s="13"/>
      <c r="H5724" s="13"/>
      <c r="I5724" s="10"/>
      <c r="J5724" s="11"/>
      <c r="K5724" s="6"/>
      <c r="L5724" s="13"/>
    </row>
    <row r="5725" spans="1:12" hidden="1" x14ac:dyDescent="0.25">
      <c r="A5725" s="6"/>
      <c r="B5725" s="6"/>
      <c r="C5725" s="11"/>
      <c r="D5725" s="13"/>
      <c r="E5725" s="13"/>
      <c r="F5725" s="13"/>
      <c r="G5725" s="13"/>
      <c r="H5725" s="13"/>
      <c r="I5725" s="10"/>
      <c r="J5725" s="11"/>
      <c r="K5725" s="6"/>
      <c r="L5725" s="13"/>
    </row>
    <row r="5726" spans="1:12" hidden="1" x14ac:dyDescent="0.25">
      <c r="A5726" s="6"/>
      <c r="B5726" s="6"/>
      <c r="C5726" s="11"/>
      <c r="D5726" s="13"/>
      <c r="E5726" s="13"/>
      <c r="F5726" s="13"/>
      <c r="G5726" s="13"/>
      <c r="H5726" s="13"/>
      <c r="I5726" s="10"/>
      <c r="J5726" s="11"/>
      <c r="K5726" s="6"/>
      <c r="L5726" s="13"/>
    </row>
    <row r="5727" spans="1:12" hidden="1" x14ac:dyDescent="0.25">
      <c r="A5727" s="6"/>
      <c r="B5727" s="6"/>
      <c r="C5727" s="11"/>
      <c r="D5727" s="13"/>
      <c r="E5727" s="13"/>
      <c r="F5727" s="13"/>
      <c r="G5727" s="13"/>
      <c r="H5727" s="13"/>
      <c r="I5727" s="10"/>
      <c r="J5727" s="11"/>
      <c r="K5727" s="6"/>
      <c r="L5727" s="13"/>
    </row>
    <row r="5728" spans="1:12" hidden="1" x14ac:dyDescent="0.25">
      <c r="A5728" s="6"/>
      <c r="B5728" s="6"/>
      <c r="C5728" s="11"/>
      <c r="D5728" s="13"/>
      <c r="E5728" s="13"/>
      <c r="F5728" s="13"/>
      <c r="G5728" s="13"/>
      <c r="H5728" s="13"/>
      <c r="I5728" s="10"/>
      <c r="J5728" s="11"/>
      <c r="K5728" s="6"/>
      <c r="L5728" s="13"/>
    </row>
    <row r="5729" spans="1:12" hidden="1" x14ac:dyDescent="0.25">
      <c r="A5729" s="6"/>
      <c r="B5729" s="6"/>
      <c r="C5729" s="11"/>
      <c r="D5729" s="13"/>
      <c r="E5729" s="13"/>
      <c r="F5729" s="13"/>
      <c r="G5729" s="13"/>
      <c r="H5729" s="13"/>
      <c r="I5729" s="10"/>
      <c r="J5729" s="11"/>
      <c r="K5729" s="6"/>
      <c r="L5729" s="13"/>
    </row>
    <row r="5730" spans="1:12" hidden="1" x14ac:dyDescent="0.25">
      <c r="A5730" s="6"/>
      <c r="B5730" s="6"/>
      <c r="C5730" s="11"/>
      <c r="D5730" s="13"/>
      <c r="E5730" s="13"/>
      <c r="F5730" s="13"/>
      <c r="G5730" s="13"/>
      <c r="H5730" s="13"/>
      <c r="I5730" s="10"/>
      <c r="J5730" s="11"/>
      <c r="K5730" s="6"/>
      <c r="L5730" s="13"/>
    </row>
    <row r="5731" spans="1:12" hidden="1" x14ac:dyDescent="0.25">
      <c r="A5731" s="6"/>
      <c r="B5731" s="6"/>
      <c r="C5731" s="11"/>
      <c r="D5731" s="13"/>
      <c r="E5731" s="13"/>
      <c r="F5731" s="13"/>
      <c r="G5731" s="13"/>
      <c r="H5731" s="13"/>
      <c r="I5731" s="10"/>
      <c r="J5731" s="11"/>
      <c r="K5731" s="6"/>
      <c r="L5731" s="13"/>
    </row>
    <row r="5732" spans="1:12" hidden="1" x14ac:dyDescent="0.25">
      <c r="A5732" s="6"/>
      <c r="B5732" s="6"/>
      <c r="C5732" s="11"/>
      <c r="D5732" s="13"/>
      <c r="E5732" s="13"/>
      <c r="F5732" s="13"/>
      <c r="G5732" s="13"/>
      <c r="H5732" s="13"/>
      <c r="I5732" s="10"/>
      <c r="J5732" s="11"/>
      <c r="K5732" s="6"/>
      <c r="L5732" s="13"/>
    </row>
    <row r="5733" spans="1:12" hidden="1" x14ac:dyDescent="0.25">
      <c r="A5733" s="6"/>
      <c r="B5733" s="6"/>
      <c r="C5733" s="11"/>
      <c r="D5733" s="13"/>
      <c r="E5733" s="13"/>
      <c r="F5733" s="13"/>
      <c r="G5733" s="13"/>
      <c r="H5733" s="13"/>
      <c r="I5733" s="10"/>
      <c r="J5733" s="11"/>
      <c r="K5733" s="6"/>
      <c r="L5733" s="13"/>
    </row>
    <row r="5734" spans="1:12" hidden="1" x14ac:dyDescent="0.25">
      <c r="A5734" s="6"/>
      <c r="B5734" s="6"/>
      <c r="C5734" s="11"/>
      <c r="D5734" s="13"/>
      <c r="E5734" s="13"/>
      <c r="F5734" s="13"/>
      <c r="G5734" s="13"/>
      <c r="H5734" s="13"/>
      <c r="I5734" s="10"/>
      <c r="J5734" s="11"/>
      <c r="K5734" s="6"/>
      <c r="L5734" s="13"/>
    </row>
    <row r="5735" spans="1:12" hidden="1" x14ac:dyDescent="0.25">
      <c r="A5735" s="6"/>
      <c r="B5735" s="6"/>
      <c r="C5735" s="11"/>
      <c r="D5735" s="13"/>
      <c r="E5735" s="13"/>
      <c r="F5735" s="13"/>
      <c r="G5735" s="13"/>
      <c r="H5735" s="13"/>
      <c r="I5735" s="10"/>
      <c r="J5735" s="11"/>
      <c r="K5735" s="6"/>
      <c r="L5735" s="13"/>
    </row>
    <row r="5736" spans="1:12" hidden="1" x14ac:dyDescent="0.25">
      <c r="A5736" s="6"/>
      <c r="B5736" s="6"/>
      <c r="C5736" s="11"/>
      <c r="D5736" s="13"/>
      <c r="E5736" s="13"/>
      <c r="F5736" s="13"/>
      <c r="G5736" s="13"/>
      <c r="H5736" s="13"/>
      <c r="I5736" s="10"/>
      <c r="J5736" s="11"/>
      <c r="K5736" s="6"/>
      <c r="L5736" s="13"/>
    </row>
    <row r="5737" spans="1:12" hidden="1" x14ac:dyDescent="0.25">
      <c r="A5737" s="6"/>
      <c r="B5737" s="6"/>
      <c r="C5737" s="11"/>
      <c r="D5737" s="13"/>
      <c r="E5737" s="13"/>
      <c r="F5737" s="13"/>
      <c r="G5737" s="13"/>
      <c r="H5737" s="13"/>
      <c r="I5737" s="10"/>
      <c r="J5737" s="11"/>
      <c r="K5737" s="6"/>
      <c r="L5737" s="13"/>
    </row>
    <row r="5738" spans="1:12" hidden="1" x14ac:dyDescent="0.25">
      <c r="A5738" s="6"/>
      <c r="B5738" s="6"/>
      <c r="C5738" s="11"/>
      <c r="D5738" s="13"/>
      <c r="E5738" s="13"/>
      <c r="F5738" s="13"/>
      <c r="G5738" s="13"/>
      <c r="H5738" s="13"/>
      <c r="I5738" s="10"/>
      <c r="J5738" s="11"/>
      <c r="K5738" s="6"/>
      <c r="L5738" s="13"/>
    </row>
    <row r="5739" spans="1:12" hidden="1" x14ac:dyDescent="0.25">
      <c r="A5739" s="6"/>
      <c r="B5739" s="6"/>
      <c r="C5739" s="11"/>
      <c r="D5739" s="13"/>
      <c r="E5739" s="13"/>
      <c r="F5739" s="13"/>
      <c r="G5739" s="13"/>
      <c r="H5739" s="13"/>
      <c r="I5739" s="10"/>
      <c r="J5739" s="11"/>
      <c r="K5739" s="6"/>
      <c r="L5739" s="13"/>
    </row>
    <row r="5740" spans="1:12" hidden="1" x14ac:dyDescent="0.25">
      <c r="A5740" s="6"/>
      <c r="B5740" s="6"/>
      <c r="C5740" s="11"/>
      <c r="D5740" s="13"/>
      <c r="E5740" s="13"/>
      <c r="F5740" s="13"/>
      <c r="G5740" s="13"/>
      <c r="H5740" s="13"/>
      <c r="I5740" s="10"/>
      <c r="J5740" s="11"/>
      <c r="K5740" s="6"/>
      <c r="L5740" s="13"/>
    </row>
    <row r="5741" spans="1:12" hidden="1" x14ac:dyDescent="0.25">
      <c r="A5741" s="6"/>
      <c r="B5741" s="6"/>
      <c r="C5741" s="11"/>
      <c r="D5741" s="13"/>
      <c r="E5741" s="13"/>
      <c r="F5741" s="13"/>
      <c r="G5741" s="13"/>
      <c r="H5741" s="13"/>
      <c r="I5741" s="10"/>
      <c r="J5741" s="11"/>
      <c r="K5741" s="6"/>
      <c r="L5741" s="13"/>
    </row>
    <row r="5742" spans="1:12" hidden="1" x14ac:dyDescent="0.25">
      <c r="A5742" s="6"/>
      <c r="B5742" s="6"/>
      <c r="C5742" s="11"/>
      <c r="D5742" s="13"/>
      <c r="E5742" s="13"/>
      <c r="F5742" s="13"/>
      <c r="G5742" s="13"/>
      <c r="H5742" s="13"/>
      <c r="I5742" s="10"/>
      <c r="J5742" s="11"/>
      <c r="K5742" s="6"/>
      <c r="L5742" s="13"/>
    </row>
    <row r="5743" spans="1:12" hidden="1" x14ac:dyDescent="0.25">
      <c r="A5743" s="6"/>
      <c r="B5743" s="6"/>
      <c r="C5743" s="11"/>
      <c r="D5743" s="13"/>
      <c r="E5743" s="13"/>
      <c r="F5743" s="13"/>
      <c r="G5743" s="13"/>
      <c r="H5743" s="13"/>
      <c r="I5743" s="10"/>
      <c r="J5743" s="11"/>
      <c r="K5743" s="6"/>
      <c r="L5743" s="13"/>
    </row>
    <row r="5744" spans="1:12" hidden="1" x14ac:dyDescent="0.25">
      <c r="A5744" s="6"/>
      <c r="B5744" s="6"/>
      <c r="C5744" s="11"/>
      <c r="D5744" s="13"/>
      <c r="E5744" s="13"/>
      <c r="F5744" s="13"/>
      <c r="G5744" s="13"/>
      <c r="H5744" s="13"/>
      <c r="I5744" s="10"/>
      <c r="J5744" s="11"/>
      <c r="K5744" s="6"/>
      <c r="L5744" s="13"/>
    </row>
    <row r="5745" spans="1:12" hidden="1" x14ac:dyDescent="0.25">
      <c r="A5745" s="6"/>
      <c r="B5745" s="6"/>
      <c r="C5745" s="11"/>
      <c r="D5745" s="13"/>
      <c r="E5745" s="13"/>
      <c r="F5745" s="13"/>
      <c r="G5745" s="13"/>
      <c r="H5745" s="13"/>
      <c r="I5745" s="10"/>
      <c r="J5745" s="11"/>
      <c r="K5745" s="6"/>
      <c r="L5745" s="13"/>
    </row>
    <row r="5746" spans="1:12" hidden="1" x14ac:dyDescent="0.25">
      <c r="A5746" s="6"/>
      <c r="B5746" s="6"/>
      <c r="C5746" s="11"/>
      <c r="D5746" s="13"/>
      <c r="E5746" s="13"/>
      <c r="F5746" s="13"/>
      <c r="G5746" s="13"/>
      <c r="H5746" s="13"/>
      <c r="I5746" s="10"/>
      <c r="J5746" s="11"/>
      <c r="K5746" s="6"/>
      <c r="L5746" s="13"/>
    </row>
    <row r="5747" spans="1:12" hidden="1" x14ac:dyDescent="0.25">
      <c r="A5747" s="6"/>
      <c r="B5747" s="6"/>
      <c r="C5747" s="11"/>
      <c r="D5747" s="13"/>
      <c r="E5747" s="13"/>
      <c r="F5747" s="13"/>
      <c r="G5747" s="13"/>
      <c r="H5747" s="13"/>
      <c r="I5747" s="10"/>
      <c r="J5747" s="11"/>
      <c r="K5747" s="6"/>
      <c r="L5747" s="13"/>
    </row>
    <row r="5748" spans="1:12" hidden="1" x14ac:dyDescent="0.25">
      <c r="A5748" s="6"/>
      <c r="B5748" s="6"/>
      <c r="C5748" s="11"/>
      <c r="D5748" s="13"/>
      <c r="E5748" s="13"/>
      <c r="F5748" s="13"/>
      <c r="G5748" s="13"/>
      <c r="H5748" s="13"/>
      <c r="I5748" s="10"/>
      <c r="J5748" s="11"/>
      <c r="K5748" s="6"/>
      <c r="L5748" s="13"/>
    </row>
    <row r="5749" spans="1:12" hidden="1" x14ac:dyDescent="0.25">
      <c r="A5749" s="6"/>
      <c r="B5749" s="6"/>
      <c r="C5749" s="11"/>
      <c r="D5749" s="13"/>
      <c r="E5749" s="13"/>
      <c r="F5749" s="13"/>
      <c r="G5749" s="13"/>
      <c r="H5749" s="13"/>
      <c r="I5749" s="10"/>
      <c r="J5749" s="11"/>
      <c r="K5749" s="6"/>
      <c r="L5749" s="13"/>
    </row>
    <row r="5750" spans="1:12" hidden="1" x14ac:dyDescent="0.25">
      <c r="A5750" s="6"/>
      <c r="B5750" s="6"/>
      <c r="C5750" s="11"/>
      <c r="D5750" s="13"/>
      <c r="E5750" s="13"/>
      <c r="F5750" s="13"/>
      <c r="G5750" s="13"/>
      <c r="H5750" s="13"/>
      <c r="I5750" s="10"/>
      <c r="J5750" s="11"/>
      <c r="K5750" s="6"/>
      <c r="L5750" s="13"/>
    </row>
    <row r="5751" spans="1:12" hidden="1" x14ac:dyDescent="0.25">
      <c r="A5751" s="6"/>
      <c r="B5751" s="6"/>
      <c r="C5751" s="11"/>
      <c r="D5751" s="13"/>
      <c r="E5751" s="13"/>
      <c r="F5751" s="13"/>
      <c r="G5751" s="13"/>
      <c r="H5751" s="13"/>
      <c r="I5751" s="10"/>
      <c r="J5751" s="11"/>
      <c r="K5751" s="6"/>
      <c r="L5751" s="13"/>
    </row>
    <row r="5752" spans="1:12" hidden="1" x14ac:dyDescent="0.25">
      <c r="A5752" s="6"/>
      <c r="B5752" s="6"/>
      <c r="C5752" s="11"/>
      <c r="D5752" s="13"/>
      <c r="E5752" s="13"/>
      <c r="F5752" s="13"/>
      <c r="G5752" s="13"/>
      <c r="H5752" s="13"/>
      <c r="I5752" s="10"/>
      <c r="J5752" s="11"/>
      <c r="K5752" s="6"/>
      <c r="L5752" s="13"/>
    </row>
    <row r="5753" spans="1:12" hidden="1" x14ac:dyDescent="0.25">
      <c r="A5753" s="6"/>
      <c r="B5753" s="6"/>
      <c r="C5753" s="11"/>
      <c r="D5753" s="13"/>
      <c r="E5753" s="13"/>
      <c r="F5753" s="13"/>
      <c r="G5753" s="13"/>
      <c r="H5753" s="13"/>
      <c r="I5753" s="10"/>
      <c r="J5753" s="11"/>
      <c r="K5753" s="6"/>
      <c r="L5753" s="13"/>
    </row>
    <row r="5754" spans="1:12" hidden="1" x14ac:dyDescent="0.25">
      <c r="A5754" s="6"/>
      <c r="B5754" s="6"/>
      <c r="C5754" s="11"/>
      <c r="D5754" s="13"/>
      <c r="E5754" s="13"/>
      <c r="F5754" s="13"/>
      <c r="G5754" s="13"/>
      <c r="H5754" s="13"/>
      <c r="I5754" s="10"/>
      <c r="J5754" s="11"/>
      <c r="K5754" s="6"/>
      <c r="L5754" s="13"/>
    </row>
    <row r="5755" spans="1:12" hidden="1" x14ac:dyDescent="0.25">
      <c r="A5755" s="6"/>
      <c r="B5755" s="6"/>
      <c r="C5755" s="11"/>
      <c r="D5755" s="13"/>
      <c r="E5755" s="13"/>
      <c r="F5755" s="13"/>
      <c r="G5755" s="13"/>
      <c r="H5755" s="13"/>
      <c r="I5755" s="10"/>
      <c r="J5755" s="11"/>
      <c r="K5755" s="6"/>
      <c r="L5755" s="13"/>
    </row>
    <row r="5756" spans="1:12" hidden="1" x14ac:dyDescent="0.25">
      <c r="A5756" s="6"/>
      <c r="B5756" s="6"/>
      <c r="C5756" s="11"/>
      <c r="D5756" s="13"/>
      <c r="E5756" s="13"/>
      <c r="F5756" s="13"/>
      <c r="G5756" s="13"/>
      <c r="H5756" s="13"/>
      <c r="I5756" s="10"/>
      <c r="J5756" s="11"/>
      <c r="K5756" s="6"/>
      <c r="L5756" s="13"/>
    </row>
    <row r="5757" spans="1:12" hidden="1" x14ac:dyDescent="0.25">
      <c r="A5757" s="6"/>
      <c r="B5757" s="6"/>
      <c r="C5757" s="11"/>
      <c r="D5757" s="13"/>
      <c r="E5757" s="13"/>
      <c r="F5757" s="13"/>
      <c r="G5757" s="13"/>
      <c r="H5757" s="13"/>
      <c r="I5757" s="10"/>
      <c r="J5757" s="11"/>
      <c r="K5757" s="6"/>
      <c r="L5757" s="13"/>
    </row>
    <row r="5758" spans="1:12" hidden="1" x14ac:dyDescent="0.25">
      <c r="A5758" s="6"/>
      <c r="B5758" s="6"/>
      <c r="C5758" s="11"/>
      <c r="D5758" s="13"/>
      <c r="E5758" s="13"/>
      <c r="F5758" s="13"/>
      <c r="G5758" s="13"/>
      <c r="H5758" s="13"/>
      <c r="I5758" s="10"/>
      <c r="J5758" s="11"/>
      <c r="K5758" s="6"/>
      <c r="L5758" s="13"/>
    </row>
    <row r="5759" spans="1:12" hidden="1" x14ac:dyDescent="0.25">
      <c r="A5759" s="6"/>
      <c r="B5759" s="6"/>
      <c r="C5759" s="11"/>
      <c r="D5759" s="13"/>
      <c r="E5759" s="13"/>
      <c r="F5759" s="13"/>
      <c r="G5759" s="13"/>
      <c r="H5759" s="13"/>
      <c r="I5759" s="10"/>
      <c r="J5759" s="11"/>
      <c r="K5759" s="6"/>
      <c r="L5759" s="13"/>
    </row>
    <row r="5760" spans="1:12" hidden="1" x14ac:dyDescent="0.25">
      <c r="A5760" s="6"/>
      <c r="B5760" s="6"/>
      <c r="C5760" s="11"/>
      <c r="D5760" s="13"/>
      <c r="E5760" s="13"/>
      <c r="F5760" s="13"/>
      <c r="G5760" s="13"/>
      <c r="H5760" s="13"/>
      <c r="I5760" s="10"/>
      <c r="J5760" s="11"/>
      <c r="K5760" s="6"/>
      <c r="L5760" s="13"/>
    </row>
    <row r="5761" spans="1:12" hidden="1" x14ac:dyDescent="0.25">
      <c r="A5761" s="6"/>
      <c r="B5761" s="6"/>
      <c r="C5761" s="11"/>
      <c r="D5761" s="13"/>
      <c r="E5761" s="13"/>
      <c r="F5761" s="13"/>
      <c r="G5761" s="13"/>
      <c r="H5761" s="13"/>
      <c r="I5761" s="10"/>
      <c r="J5761" s="11"/>
      <c r="K5761" s="6"/>
      <c r="L5761" s="13"/>
    </row>
    <row r="5762" spans="1:12" hidden="1" x14ac:dyDescent="0.25">
      <c r="A5762" s="6"/>
      <c r="B5762" s="6"/>
      <c r="C5762" s="11"/>
      <c r="D5762" s="13"/>
      <c r="E5762" s="13"/>
      <c r="F5762" s="13"/>
      <c r="G5762" s="13"/>
      <c r="H5762" s="13"/>
      <c r="I5762" s="10"/>
      <c r="J5762" s="11"/>
      <c r="K5762" s="6"/>
      <c r="L5762" s="13"/>
    </row>
    <row r="5763" spans="1:12" hidden="1" x14ac:dyDescent="0.25">
      <c r="A5763" s="6"/>
      <c r="B5763" s="6"/>
      <c r="C5763" s="11"/>
      <c r="D5763" s="13"/>
      <c r="E5763" s="13"/>
      <c r="F5763" s="13"/>
      <c r="G5763" s="13"/>
      <c r="H5763" s="13"/>
      <c r="I5763" s="10"/>
      <c r="J5763" s="11"/>
      <c r="K5763" s="6"/>
      <c r="L5763" s="13"/>
    </row>
    <row r="5764" spans="1:12" hidden="1" x14ac:dyDescent="0.25">
      <c r="A5764" s="6"/>
      <c r="B5764" s="6"/>
      <c r="C5764" s="11"/>
      <c r="D5764" s="13"/>
      <c r="E5764" s="13"/>
      <c r="F5764" s="13"/>
      <c r="G5764" s="13"/>
      <c r="H5764" s="13"/>
      <c r="I5764" s="10"/>
      <c r="J5764" s="11"/>
      <c r="K5764" s="6"/>
      <c r="L5764" s="13"/>
    </row>
    <row r="5765" spans="1:12" hidden="1" x14ac:dyDescent="0.25">
      <c r="A5765" s="6"/>
      <c r="B5765" s="6"/>
      <c r="C5765" s="11"/>
      <c r="D5765" s="13"/>
      <c r="E5765" s="13"/>
      <c r="F5765" s="13"/>
      <c r="G5765" s="13"/>
      <c r="H5765" s="13"/>
      <c r="I5765" s="10"/>
      <c r="J5765" s="11"/>
      <c r="K5765" s="6"/>
      <c r="L5765" s="13"/>
    </row>
    <row r="5766" spans="1:12" hidden="1" x14ac:dyDescent="0.25">
      <c r="A5766" s="6"/>
      <c r="B5766" s="6"/>
      <c r="C5766" s="11"/>
      <c r="D5766" s="13"/>
      <c r="E5766" s="13"/>
      <c r="F5766" s="13"/>
      <c r="G5766" s="13"/>
      <c r="H5766" s="13"/>
      <c r="I5766" s="10"/>
      <c r="J5766" s="11"/>
      <c r="K5766" s="6"/>
      <c r="L5766" s="13"/>
    </row>
    <row r="5767" spans="1:12" hidden="1" x14ac:dyDescent="0.25">
      <c r="A5767" s="6"/>
      <c r="B5767" s="6"/>
      <c r="C5767" s="11"/>
      <c r="D5767" s="13"/>
      <c r="E5767" s="13"/>
      <c r="F5767" s="13"/>
      <c r="G5767" s="13"/>
      <c r="H5767" s="13"/>
      <c r="I5767" s="10"/>
      <c r="J5767" s="11"/>
      <c r="K5767" s="6"/>
      <c r="L5767" s="13"/>
    </row>
    <row r="5768" spans="1:12" hidden="1" x14ac:dyDescent="0.25">
      <c r="A5768" s="6"/>
      <c r="B5768" s="6"/>
      <c r="C5768" s="11"/>
      <c r="D5768" s="13"/>
      <c r="E5768" s="13"/>
      <c r="F5768" s="13"/>
      <c r="G5768" s="13"/>
      <c r="H5768" s="13"/>
      <c r="I5768" s="10"/>
      <c r="J5768" s="11"/>
      <c r="K5768" s="6"/>
      <c r="L5768" s="13"/>
    </row>
    <row r="5769" spans="1:12" hidden="1" x14ac:dyDescent="0.25">
      <c r="A5769" s="6"/>
      <c r="B5769" s="6"/>
      <c r="C5769" s="11"/>
      <c r="D5769" s="13"/>
      <c r="E5769" s="13"/>
      <c r="F5769" s="13"/>
      <c r="G5769" s="13"/>
      <c r="H5769" s="13"/>
      <c r="I5769" s="10"/>
      <c r="J5769" s="11"/>
      <c r="K5769" s="6"/>
      <c r="L5769" s="13"/>
    </row>
    <row r="5770" spans="1:12" hidden="1" x14ac:dyDescent="0.25">
      <c r="A5770" s="6"/>
      <c r="B5770" s="6"/>
      <c r="C5770" s="11"/>
      <c r="D5770" s="13"/>
      <c r="E5770" s="13"/>
      <c r="F5770" s="13"/>
      <c r="G5770" s="13"/>
      <c r="H5770" s="13"/>
      <c r="I5770" s="10"/>
      <c r="J5770" s="11"/>
      <c r="K5770" s="6"/>
      <c r="L5770" s="13"/>
    </row>
    <row r="5771" spans="1:12" hidden="1" x14ac:dyDescent="0.25">
      <c r="A5771" s="6"/>
      <c r="B5771" s="6"/>
      <c r="C5771" s="11"/>
      <c r="D5771" s="13"/>
      <c r="E5771" s="13"/>
      <c r="F5771" s="13"/>
      <c r="G5771" s="13"/>
      <c r="H5771" s="13"/>
      <c r="I5771" s="10"/>
      <c r="J5771" s="11"/>
      <c r="K5771" s="6"/>
      <c r="L5771" s="13"/>
    </row>
    <row r="5772" spans="1:12" hidden="1" x14ac:dyDescent="0.25">
      <c r="A5772" s="6"/>
      <c r="B5772" s="6"/>
      <c r="C5772" s="11"/>
      <c r="D5772" s="13"/>
      <c r="E5772" s="13"/>
      <c r="F5772" s="13"/>
      <c r="G5772" s="13"/>
      <c r="H5772" s="13"/>
      <c r="I5772" s="10"/>
      <c r="J5772" s="11"/>
      <c r="K5772" s="6"/>
      <c r="L5772" s="13"/>
    </row>
    <row r="5773" spans="1:12" hidden="1" x14ac:dyDescent="0.25">
      <c r="A5773" s="6"/>
      <c r="B5773" s="6"/>
      <c r="C5773" s="11"/>
      <c r="D5773" s="13"/>
      <c r="E5773" s="13"/>
      <c r="F5773" s="13"/>
      <c r="G5773" s="13"/>
      <c r="H5773" s="13"/>
      <c r="I5773" s="10"/>
      <c r="J5773" s="11"/>
      <c r="K5773" s="6"/>
      <c r="L5773" s="13"/>
    </row>
    <row r="5774" spans="1:12" hidden="1" x14ac:dyDescent="0.25">
      <c r="A5774" s="6"/>
      <c r="B5774" s="6"/>
      <c r="C5774" s="11"/>
      <c r="D5774" s="13"/>
      <c r="E5774" s="13"/>
      <c r="F5774" s="13"/>
      <c r="G5774" s="13"/>
      <c r="H5774" s="13"/>
      <c r="I5774" s="10"/>
      <c r="J5774" s="11"/>
      <c r="K5774" s="6"/>
      <c r="L5774" s="13"/>
    </row>
    <row r="5775" spans="1:12" hidden="1" x14ac:dyDescent="0.25">
      <c r="A5775" s="6"/>
      <c r="B5775" s="6"/>
      <c r="C5775" s="11"/>
      <c r="D5775" s="13"/>
      <c r="E5775" s="13"/>
      <c r="F5775" s="13"/>
      <c r="G5775" s="13"/>
      <c r="H5775" s="13"/>
      <c r="I5775" s="10"/>
      <c r="J5775" s="11"/>
      <c r="K5775" s="6"/>
      <c r="L5775" s="13"/>
    </row>
    <row r="5776" spans="1:12" hidden="1" x14ac:dyDescent="0.25">
      <c r="A5776" s="6"/>
      <c r="B5776" s="6"/>
      <c r="C5776" s="11"/>
      <c r="D5776" s="13"/>
      <c r="E5776" s="13"/>
      <c r="F5776" s="13"/>
      <c r="G5776" s="13"/>
      <c r="H5776" s="13"/>
      <c r="I5776" s="10"/>
      <c r="J5776" s="11"/>
      <c r="K5776" s="6"/>
      <c r="L5776" s="13"/>
    </row>
    <row r="5777" spans="1:12" hidden="1" x14ac:dyDescent="0.25">
      <c r="A5777" s="6"/>
      <c r="B5777" s="6"/>
      <c r="C5777" s="11"/>
      <c r="D5777" s="13"/>
      <c r="E5777" s="13"/>
      <c r="F5777" s="13"/>
      <c r="G5777" s="13"/>
      <c r="H5777" s="13"/>
      <c r="I5777" s="10"/>
      <c r="J5777" s="11"/>
      <c r="K5777" s="6"/>
      <c r="L5777" s="13"/>
    </row>
    <row r="5778" spans="1:12" hidden="1" x14ac:dyDescent="0.25">
      <c r="A5778" s="6"/>
      <c r="B5778" s="6"/>
      <c r="C5778" s="11"/>
      <c r="D5778" s="13"/>
      <c r="E5778" s="13"/>
      <c r="F5778" s="13"/>
      <c r="G5778" s="13"/>
      <c r="H5778" s="13"/>
      <c r="I5778" s="10"/>
      <c r="J5778" s="11"/>
      <c r="K5778" s="6"/>
      <c r="L5778" s="13"/>
    </row>
    <row r="5779" spans="1:12" hidden="1" x14ac:dyDescent="0.25">
      <c r="A5779" s="6"/>
      <c r="B5779" s="6"/>
      <c r="C5779" s="11"/>
      <c r="D5779" s="13"/>
      <c r="E5779" s="13"/>
      <c r="F5779" s="13"/>
      <c r="G5779" s="13"/>
      <c r="H5779" s="13"/>
      <c r="I5779" s="10"/>
      <c r="J5779" s="11"/>
      <c r="K5779" s="6"/>
      <c r="L5779" s="13"/>
    </row>
    <row r="5780" spans="1:12" hidden="1" x14ac:dyDescent="0.25">
      <c r="A5780" s="6"/>
      <c r="B5780" s="6"/>
      <c r="C5780" s="11"/>
      <c r="D5780" s="13"/>
      <c r="E5780" s="13"/>
      <c r="F5780" s="13"/>
      <c r="G5780" s="13"/>
      <c r="H5780" s="13"/>
      <c r="I5780" s="10"/>
      <c r="J5780" s="11"/>
      <c r="K5780" s="6"/>
      <c r="L5780" s="13"/>
    </row>
    <row r="5781" spans="1:12" hidden="1" x14ac:dyDescent="0.25">
      <c r="A5781" s="6"/>
      <c r="B5781" s="6"/>
      <c r="C5781" s="11"/>
      <c r="D5781" s="13"/>
      <c r="E5781" s="13"/>
      <c r="F5781" s="13"/>
      <c r="G5781" s="13"/>
      <c r="H5781" s="13"/>
      <c r="I5781" s="10"/>
      <c r="J5781" s="11"/>
      <c r="K5781" s="6"/>
      <c r="L5781" s="13"/>
    </row>
    <row r="5782" spans="1:12" hidden="1" x14ac:dyDescent="0.25">
      <c r="A5782" s="6"/>
      <c r="B5782" s="6"/>
      <c r="C5782" s="11"/>
      <c r="D5782" s="13"/>
      <c r="E5782" s="13"/>
      <c r="F5782" s="13"/>
      <c r="G5782" s="13"/>
      <c r="H5782" s="13"/>
      <c r="I5782" s="10"/>
      <c r="J5782" s="11"/>
      <c r="K5782" s="6"/>
      <c r="L5782" s="13"/>
    </row>
    <row r="5783" spans="1:12" hidden="1" x14ac:dyDescent="0.25">
      <c r="A5783" s="6"/>
      <c r="B5783" s="6"/>
      <c r="C5783" s="11"/>
      <c r="D5783" s="13"/>
      <c r="E5783" s="13"/>
      <c r="F5783" s="13"/>
      <c r="G5783" s="13"/>
      <c r="H5783" s="13"/>
      <c r="I5783" s="10"/>
      <c r="J5783" s="11"/>
      <c r="K5783" s="6"/>
      <c r="L5783" s="13"/>
    </row>
    <row r="5784" spans="1:12" hidden="1" x14ac:dyDescent="0.25">
      <c r="A5784" s="6"/>
      <c r="B5784" s="6"/>
      <c r="C5784" s="11"/>
      <c r="D5784" s="13"/>
      <c r="E5784" s="13"/>
      <c r="F5784" s="13"/>
      <c r="G5784" s="13"/>
      <c r="H5784" s="13"/>
      <c r="I5784" s="10"/>
      <c r="J5784" s="11"/>
      <c r="K5784" s="6"/>
      <c r="L5784" s="13"/>
    </row>
    <row r="5785" spans="1:12" hidden="1" x14ac:dyDescent="0.25">
      <c r="A5785" s="6"/>
      <c r="B5785" s="6"/>
      <c r="C5785" s="11"/>
      <c r="D5785" s="13"/>
      <c r="E5785" s="13"/>
      <c r="F5785" s="13"/>
      <c r="G5785" s="13"/>
      <c r="H5785" s="13"/>
      <c r="I5785" s="10"/>
      <c r="J5785" s="11"/>
      <c r="K5785" s="6"/>
      <c r="L5785" s="13"/>
    </row>
    <row r="5786" spans="1:12" hidden="1" x14ac:dyDescent="0.25">
      <c r="A5786" s="6"/>
      <c r="B5786" s="6"/>
      <c r="C5786" s="11"/>
      <c r="D5786" s="13"/>
      <c r="E5786" s="13"/>
      <c r="F5786" s="13"/>
      <c r="G5786" s="13"/>
      <c r="H5786" s="13"/>
      <c r="I5786" s="10"/>
      <c r="J5786" s="11"/>
      <c r="K5786" s="6"/>
      <c r="L5786" s="13"/>
    </row>
    <row r="5787" spans="1:12" hidden="1" x14ac:dyDescent="0.25">
      <c r="A5787" s="6"/>
      <c r="B5787" s="6"/>
      <c r="C5787" s="11"/>
      <c r="D5787" s="13"/>
      <c r="E5787" s="13"/>
      <c r="F5787" s="13"/>
      <c r="G5787" s="13"/>
      <c r="H5787" s="13"/>
      <c r="I5787" s="10"/>
      <c r="J5787" s="11"/>
      <c r="K5787" s="6"/>
      <c r="L5787" s="13"/>
    </row>
    <row r="5788" spans="1:12" hidden="1" x14ac:dyDescent="0.25">
      <c r="A5788" s="6"/>
      <c r="B5788" s="6"/>
      <c r="C5788" s="11"/>
      <c r="D5788" s="13"/>
      <c r="E5788" s="13"/>
      <c r="F5788" s="13"/>
      <c r="G5788" s="13"/>
      <c r="H5788" s="13"/>
      <c r="I5788" s="10"/>
      <c r="J5788" s="11"/>
      <c r="K5788" s="6"/>
      <c r="L5788" s="13"/>
    </row>
    <row r="5789" spans="1:12" hidden="1" x14ac:dyDescent="0.25">
      <c r="A5789" s="6"/>
      <c r="B5789" s="6"/>
      <c r="C5789" s="11"/>
      <c r="D5789" s="13"/>
      <c r="E5789" s="13"/>
      <c r="F5789" s="13"/>
      <c r="G5789" s="13"/>
      <c r="H5789" s="13"/>
      <c r="I5789" s="10"/>
      <c r="J5789" s="11"/>
      <c r="K5789" s="6"/>
      <c r="L5789" s="13"/>
    </row>
    <row r="5790" spans="1:12" hidden="1" x14ac:dyDescent="0.25">
      <c r="A5790" s="6"/>
      <c r="B5790" s="6"/>
      <c r="C5790" s="11"/>
      <c r="D5790" s="13"/>
      <c r="E5790" s="13"/>
      <c r="F5790" s="13"/>
      <c r="G5790" s="13"/>
      <c r="H5790" s="13"/>
      <c r="I5790" s="10"/>
      <c r="J5790" s="11"/>
      <c r="K5790" s="6"/>
      <c r="L5790" s="13"/>
    </row>
    <row r="5791" spans="1:12" hidden="1" x14ac:dyDescent="0.25">
      <c r="A5791" s="6"/>
      <c r="B5791" s="6"/>
      <c r="C5791" s="11"/>
      <c r="D5791" s="13"/>
      <c r="E5791" s="13"/>
      <c r="F5791" s="13"/>
      <c r="G5791" s="13"/>
      <c r="H5791" s="13"/>
      <c r="I5791" s="10"/>
      <c r="J5791" s="11"/>
      <c r="K5791" s="6"/>
      <c r="L5791" s="13"/>
    </row>
    <row r="5792" spans="1:12" hidden="1" x14ac:dyDescent="0.25">
      <c r="A5792" s="6"/>
      <c r="B5792" s="6"/>
      <c r="C5792" s="11"/>
      <c r="D5792" s="13"/>
      <c r="E5792" s="13"/>
      <c r="F5792" s="13"/>
      <c r="G5792" s="13"/>
      <c r="H5792" s="13"/>
      <c r="I5792" s="10"/>
      <c r="J5792" s="11"/>
      <c r="K5792" s="6"/>
      <c r="L5792" s="13"/>
    </row>
    <row r="5793" spans="1:12" hidden="1" x14ac:dyDescent="0.25">
      <c r="A5793" s="6"/>
      <c r="B5793" s="6"/>
      <c r="C5793" s="11"/>
      <c r="D5793" s="13"/>
      <c r="E5793" s="13"/>
      <c r="F5793" s="13"/>
      <c r="G5793" s="13"/>
      <c r="H5793" s="13"/>
      <c r="I5793" s="10"/>
      <c r="J5793" s="11"/>
      <c r="K5793" s="6"/>
      <c r="L5793" s="13"/>
    </row>
    <row r="5794" spans="1:12" hidden="1" x14ac:dyDescent="0.25">
      <c r="A5794" s="6"/>
      <c r="B5794" s="6"/>
      <c r="C5794" s="11"/>
      <c r="D5794" s="13"/>
      <c r="E5794" s="13"/>
      <c r="F5794" s="13"/>
      <c r="G5794" s="13"/>
      <c r="H5794" s="13"/>
      <c r="I5794" s="10"/>
      <c r="J5794" s="11"/>
      <c r="K5794" s="6"/>
      <c r="L5794" s="13"/>
    </row>
    <row r="5795" spans="1:12" hidden="1" x14ac:dyDescent="0.25">
      <c r="A5795" s="6"/>
      <c r="B5795" s="6"/>
      <c r="C5795" s="11"/>
      <c r="D5795" s="13"/>
      <c r="E5795" s="13"/>
      <c r="F5795" s="13"/>
      <c r="G5795" s="13"/>
      <c r="H5795" s="13"/>
      <c r="I5795" s="10"/>
      <c r="J5795" s="11"/>
      <c r="K5795" s="6"/>
      <c r="L5795" s="13"/>
    </row>
    <row r="5796" spans="1:12" hidden="1" x14ac:dyDescent="0.25">
      <c r="A5796" s="6"/>
      <c r="B5796" s="6"/>
      <c r="C5796" s="11"/>
      <c r="D5796" s="13"/>
      <c r="E5796" s="13"/>
      <c r="F5796" s="13"/>
      <c r="G5796" s="13"/>
      <c r="H5796" s="13"/>
      <c r="I5796" s="10"/>
      <c r="J5796" s="11"/>
      <c r="K5796" s="6"/>
      <c r="L5796" s="13"/>
    </row>
    <row r="5797" spans="1:12" hidden="1" x14ac:dyDescent="0.25">
      <c r="A5797" s="6"/>
      <c r="B5797" s="6"/>
      <c r="C5797" s="11"/>
      <c r="D5797" s="13"/>
      <c r="E5797" s="13"/>
      <c r="F5797" s="13"/>
      <c r="G5797" s="13"/>
      <c r="H5797" s="13"/>
      <c r="I5797" s="10"/>
      <c r="J5797" s="11"/>
      <c r="K5797" s="6"/>
      <c r="L5797" s="13"/>
    </row>
    <row r="5798" spans="1:12" hidden="1" x14ac:dyDescent="0.25">
      <c r="A5798" s="6"/>
      <c r="B5798" s="6"/>
      <c r="C5798" s="11"/>
      <c r="D5798" s="13"/>
      <c r="E5798" s="13"/>
      <c r="F5798" s="13"/>
      <c r="G5798" s="13"/>
      <c r="H5798" s="13"/>
      <c r="I5798" s="10"/>
      <c r="J5798" s="11"/>
      <c r="K5798" s="6"/>
      <c r="L5798" s="13"/>
    </row>
    <row r="5799" spans="1:12" hidden="1" x14ac:dyDescent="0.25">
      <c r="A5799" s="6"/>
      <c r="B5799" s="6"/>
      <c r="C5799" s="11"/>
      <c r="D5799" s="13"/>
      <c r="E5799" s="13"/>
      <c r="F5799" s="13"/>
      <c r="G5799" s="13"/>
      <c r="H5799" s="13"/>
      <c r="I5799" s="10"/>
      <c r="J5799" s="11"/>
      <c r="K5799" s="6"/>
      <c r="L5799" s="13"/>
    </row>
    <row r="5800" spans="1:12" hidden="1" x14ac:dyDescent="0.25">
      <c r="A5800" s="6"/>
      <c r="B5800" s="6"/>
      <c r="C5800" s="11"/>
      <c r="D5800" s="13"/>
      <c r="E5800" s="13"/>
      <c r="F5800" s="13"/>
      <c r="G5800" s="13"/>
      <c r="H5800" s="13"/>
      <c r="I5800" s="10"/>
      <c r="J5800" s="11"/>
      <c r="K5800" s="6"/>
      <c r="L5800" s="13"/>
    </row>
    <row r="5801" spans="1:12" hidden="1" x14ac:dyDescent="0.25">
      <c r="A5801" s="6"/>
      <c r="B5801" s="6"/>
      <c r="C5801" s="11"/>
      <c r="D5801" s="13"/>
      <c r="E5801" s="13"/>
      <c r="F5801" s="13"/>
      <c r="G5801" s="13"/>
      <c r="H5801" s="13"/>
      <c r="I5801" s="10"/>
      <c r="J5801" s="11"/>
      <c r="K5801" s="6"/>
      <c r="L5801" s="13"/>
    </row>
    <row r="5802" spans="1:12" hidden="1" x14ac:dyDescent="0.25">
      <c r="A5802" s="6"/>
      <c r="B5802" s="6"/>
      <c r="C5802" s="11"/>
      <c r="D5802" s="13"/>
      <c r="E5802" s="13"/>
      <c r="F5802" s="13"/>
      <c r="G5802" s="13"/>
      <c r="H5802" s="13"/>
      <c r="I5802" s="10"/>
      <c r="J5802" s="11"/>
      <c r="K5802" s="6"/>
      <c r="L5802" s="13"/>
    </row>
    <row r="5803" spans="1:12" hidden="1" x14ac:dyDescent="0.25">
      <c r="A5803" s="6"/>
      <c r="B5803" s="6"/>
      <c r="C5803" s="11"/>
      <c r="D5803" s="13"/>
      <c r="E5803" s="13"/>
      <c r="F5803" s="13"/>
      <c r="G5803" s="13"/>
      <c r="H5803" s="13"/>
      <c r="I5803" s="10"/>
      <c r="J5803" s="11"/>
      <c r="K5803" s="6"/>
      <c r="L5803" s="13"/>
    </row>
    <row r="5804" spans="1:12" hidden="1" x14ac:dyDescent="0.25">
      <c r="A5804" s="6"/>
      <c r="B5804" s="6"/>
      <c r="C5804" s="11"/>
      <c r="D5804" s="13"/>
      <c r="E5804" s="13"/>
      <c r="F5804" s="13"/>
      <c r="G5804" s="13"/>
      <c r="H5804" s="13"/>
      <c r="I5804" s="10"/>
      <c r="J5804" s="11"/>
      <c r="K5804" s="6"/>
      <c r="L5804" s="13"/>
    </row>
    <row r="5805" spans="1:12" hidden="1" x14ac:dyDescent="0.25">
      <c r="A5805" s="6"/>
      <c r="B5805" s="6"/>
      <c r="C5805" s="11"/>
      <c r="D5805" s="13"/>
      <c r="E5805" s="13"/>
      <c r="F5805" s="13"/>
      <c r="G5805" s="13"/>
      <c r="H5805" s="13"/>
      <c r="I5805" s="10"/>
      <c r="J5805" s="11"/>
      <c r="K5805" s="6"/>
      <c r="L5805" s="13"/>
    </row>
    <row r="5806" spans="1:12" hidden="1" x14ac:dyDescent="0.25">
      <c r="A5806" s="6"/>
      <c r="B5806" s="6"/>
      <c r="C5806" s="11"/>
      <c r="D5806" s="13"/>
      <c r="E5806" s="13"/>
      <c r="F5806" s="13"/>
      <c r="G5806" s="13"/>
      <c r="H5806" s="13"/>
      <c r="I5806" s="10"/>
      <c r="J5806" s="11"/>
      <c r="K5806" s="6"/>
      <c r="L5806" s="13"/>
    </row>
    <row r="5807" spans="1:12" hidden="1" x14ac:dyDescent="0.25">
      <c r="A5807" s="6"/>
      <c r="B5807" s="6"/>
      <c r="C5807" s="11"/>
      <c r="D5807" s="13"/>
      <c r="E5807" s="13"/>
      <c r="F5807" s="13"/>
      <c r="G5807" s="13"/>
      <c r="H5807" s="13"/>
      <c r="I5807" s="10"/>
      <c r="J5807" s="11"/>
      <c r="K5807" s="6"/>
      <c r="L5807" s="13"/>
    </row>
    <row r="5808" spans="1:12" hidden="1" x14ac:dyDescent="0.25">
      <c r="A5808" s="6"/>
      <c r="B5808" s="6"/>
      <c r="C5808" s="11"/>
      <c r="D5808" s="13"/>
      <c r="E5808" s="13"/>
      <c r="F5808" s="13"/>
      <c r="G5808" s="13"/>
      <c r="H5808" s="13"/>
      <c r="I5808" s="10"/>
      <c r="J5808" s="11"/>
      <c r="K5808" s="6"/>
      <c r="L5808" s="13"/>
    </row>
    <row r="5809" spans="1:12" hidden="1" x14ac:dyDescent="0.25">
      <c r="A5809" s="6"/>
      <c r="B5809" s="6"/>
      <c r="C5809" s="11"/>
      <c r="D5809" s="13"/>
      <c r="E5809" s="13"/>
      <c r="F5809" s="13"/>
      <c r="G5809" s="13"/>
      <c r="H5809" s="13"/>
      <c r="I5809" s="10"/>
      <c r="J5809" s="11"/>
      <c r="K5809" s="6"/>
      <c r="L5809" s="13"/>
    </row>
    <row r="5810" spans="1:12" hidden="1" x14ac:dyDescent="0.25">
      <c r="A5810" s="6"/>
      <c r="B5810" s="6"/>
      <c r="C5810" s="11"/>
      <c r="D5810" s="13"/>
      <c r="E5810" s="13"/>
      <c r="F5810" s="13"/>
      <c r="G5810" s="13"/>
      <c r="H5810" s="13"/>
      <c r="I5810" s="10"/>
      <c r="J5810" s="11"/>
      <c r="K5810" s="6"/>
      <c r="L5810" s="13"/>
    </row>
    <row r="5811" spans="1:12" hidden="1" x14ac:dyDescent="0.25">
      <c r="A5811" s="6"/>
      <c r="B5811" s="6"/>
      <c r="C5811" s="11"/>
      <c r="D5811" s="13"/>
      <c r="E5811" s="13"/>
      <c r="F5811" s="13"/>
      <c r="G5811" s="13"/>
      <c r="H5811" s="13"/>
      <c r="I5811" s="10"/>
      <c r="J5811" s="11"/>
      <c r="K5811" s="6"/>
      <c r="L5811" s="13"/>
    </row>
    <row r="5812" spans="1:12" hidden="1" x14ac:dyDescent="0.25">
      <c r="A5812" s="6"/>
      <c r="B5812" s="6"/>
      <c r="C5812" s="11"/>
      <c r="D5812" s="13"/>
      <c r="E5812" s="13"/>
      <c r="F5812" s="13"/>
      <c r="G5812" s="13"/>
      <c r="H5812" s="13"/>
      <c r="I5812" s="10"/>
      <c r="J5812" s="11"/>
      <c r="K5812" s="6"/>
      <c r="L5812" s="13"/>
    </row>
    <row r="5813" spans="1:12" hidden="1" x14ac:dyDescent="0.25">
      <c r="A5813" s="6"/>
      <c r="B5813" s="6"/>
      <c r="C5813" s="11"/>
      <c r="D5813" s="13"/>
      <c r="E5813" s="13"/>
      <c r="F5813" s="13"/>
      <c r="G5813" s="13"/>
      <c r="H5813" s="13"/>
      <c r="I5813" s="10"/>
      <c r="J5813" s="11"/>
      <c r="K5813" s="6"/>
      <c r="L5813" s="13"/>
    </row>
    <row r="5814" spans="1:12" hidden="1" x14ac:dyDescent="0.25">
      <c r="A5814" s="6"/>
      <c r="B5814" s="6"/>
      <c r="C5814" s="11"/>
      <c r="D5814" s="13"/>
      <c r="E5814" s="13"/>
      <c r="F5814" s="13"/>
      <c r="G5814" s="13"/>
      <c r="H5814" s="13"/>
      <c r="I5814" s="10"/>
      <c r="J5814" s="11"/>
      <c r="K5814" s="6"/>
      <c r="L5814" s="13"/>
    </row>
    <row r="5815" spans="1:12" hidden="1" x14ac:dyDescent="0.25">
      <c r="A5815" s="6"/>
      <c r="B5815" s="6"/>
      <c r="C5815" s="11"/>
      <c r="D5815" s="13"/>
      <c r="E5815" s="13"/>
      <c r="F5815" s="13"/>
      <c r="G5815" s="13"/>
      <c r="H5815" s="13"/>
      <c r="I5815" s="10"/>
      <c r="J5815" s="11"/>
      <c r="K5815" s="6"/>
      <c r="L5815" s="13"/>
    </row>
    <row r="5816" spans="1:12" hidden="1" x14ac:dyDescent="0.25">
      <c r="A5816" s="6"/>
      <c r="B5816" s="6"/>
      <c r="C5816" s="11"/>
      <c r="D5816" s="13"/>
      <c r="E5816" s="13"/>
      <c r="F5816" s="13"/>
      <c r="G5816" s="13"/>
      <c r="H5816" s="13"/>
      <c r="I5816" s="10"/>
      <c r="J5816" s="11"/>
      <c r="K5816" s="6"/>
      <c r="L5816" s="13"/>
    </row>
    <row r="5817" spans="1:12" hidden="1" x14ac:dyDescent="0.25">
      <c r="A5817" s="6"/>
      <c r="B5817" s="6"/>
      <c r="C5817" s="11"/>
      <c r="D5817" s="13"/>
      <c r="E5817" s="13"/>
      <c r="F5817" s="13"/>
      <c r="G5817" s="13"/>
      <c r="H5817" s="13"/>
      <c r="I5817" s="10"/>
      <c r="J5817" s="11"/>
      <c r="K5817" s="6"/>
      <c r="L5817" s="13"/>
    </row>
    <row r="5818" spans="1:12" hidden="1" x14ac:dyDescent="0.25">
      <c r="A5818" s="6"/>
      <c r="B5818" s="6"/>
      <c r="C5818" s="11"/>
      <c r="D5818" s="13"/>
      <c r="E5818" s="13"/>
      <c r="F5818" s="13"/>
      <c r="G5818" s="13"/>
      <c r="H5818" s="13"/>
      <c r="I5818" s="10"/>
      <c r="J5818" s="11"/>
      <c r="K5818" s="6"/>
      <c r="L5818" s="13"/>
    </row>
    <row r="5819" spans="1:12" hidden="1" x14ac:dyDescent="0.25">
      <c r="A5819" s="6"/>
      <c r="B5819" s="6"/>
      <c r="C5819" s="11"/>
      <c r="D5819" s="13"/>
      <c r="E5819" s="13"/>
      <c r="F5819" s="13"/>
      <c r="G5819" s="13"/>
      <c r="H5819" s="13"/>
      <c r="I5819" s="10"/>
      <c r="J5819" s="11"/>
      <c r="K5819" s="6"/>
      <c r="L5819" s="13"/>
    </row>
    <row r="5820" spans="1:12" hidden="1" x14ac:dyDescent="0.25">
      <c r="A5820" s="6"/>
      <c r="B5820" s="6"/>
      <c r="C5820" s="11"/>
      <c r="D5820" s="13"/>
      <c r="E5820" s="13"/>
      <c r="F5820" s="13"/>
      <c r="G5820" s="13"/>
      <c r="H5820" s="13"/>
      <c r="I5820" s="10"/>
      <c r="J5820" s="11"/>
      <c r="K5820" s="6"/>
      <c r="L5820" s="13"/>
    </row>
    <row r="5821" spans="1:12" hidden="1" x14ac:dyDescent="0.25">
      <c r="A5821" s="6"/>
      <c r="B5821" s="6"/>
      <c r="C5821" s="11"/>
      <c r="D5821" s="13"/>
      <c r="E5821" s="13"/>
      <c r="F5821" s="13"/>
      <c r="G5821" s="13"/>
      <c r="H5821" s="13"/>
      <c r="I5821" s="10"/>
      <c r="J5821" s="11"/>
      <c r="K5821" s="6"/>
      <c r="L5821" s="13"/>
    </row>
    <row r="5822" spans="1:12" hidden="1" x14ac:dyDescent="0.25">
      <c r="A5822" s="6"/>
      <c r="B5822" s="6"/>
      <c r="C5822" s="11"/>
      <c r="D5822" s="13"/>
      <c r="E5822" s="13"/>
      <c r="F5822" s="13"/>
      <c r="G5822" s="13"/>
      <c r="H5822" s="13"/>
      <c r="I5822" s="10"/>
      <c r="J5822" s="11"/>
      <c r="K5822" s="6"/>
      <c r="L5822" s="13"/>
    </row>
    <row r="5823" spans="1:12" hidden="1" x14ac:dyDescent="0.25">
      <c r="A5823" s="6"/>
      <c r="B5823" s="6"/>
      <c r="C5823" s="11"/>
      <c r="D5823" s="13"/>
      <c r="E5823" s="13"/>
      <c r="F5823" s="13"/>
      <c r="G5823" s="13"/>
      <c r="H5823" s="13"/>
      <c r="I5823" s="10"/>
      <c r="J5823" s="11"/>
      <c r="K5823" s="6"/>
      <c r="L5823" s="13"/>
    </row>
    <row r="5824" spans="1:12" hidden="1" x14ac:dyDescent="0.25">
      <c r="A5824" s="6"/>
      <c r="B5824" s="6"/>
      <c r="C5824" s="11"/>
      <c r="D5824" s="13"/>
      <c r="E5824" s="13"/>
      <c r="F5824" s="13"/>
      <c r="G5824" s="13"/>
      <c r="H5824" s="13"/>
      <c r="I5824" s="10"/>
      <c r="J5824" s="11"/>
      <c r="K5824" s="6"/>
      <c r="L5824" s="13"/>
    </row>
    <row r="5825" spans="1:12" hidden="1" x14ac:dyDescent="0.25">
      <c r="A5825" s="6"/>
      <c r="B5825" s="6"/>
      <c r="C5825" s="11"/>
      <c r="D5825" s="13"/>
      <c r="E5825" s="13"/>
      <c r="F5825" s="13"/>
      <c r="G5825" s="13"/>
      <c r="H5825" s="13"/>
      <c r="I5825" s="10"/>
      <c r="J5825" s="11"/>
      <c r="K5825" s="6"/>
      <c r="L5825" s="13"/>
    </row>
    <row r="5826" spans="1:12" hidden="1" x14ac:dyDescent="0.25">
      <c r="A5826" s="6"/>
      <c r="B5826" s="6"/>
      <c r="C5826" s="11"/>
      <c r="D5826" s="13"/>
      <c r="E5826" s="13"/>
      <c r="F5826" s="13"/>
      <c r="G5826" s="13"/>
      <c r="H5826" s="13"/>
      <c r="I5826" s="10"/>
      <c r="J5826" s="11"/>
      <c r="K5826" s="6"/>
      <c r="L5826" s="13"/>
    </row>
    <row r="5827" spans="1:12" hidden="1" x14ac:dyDescent="0.25">
      <c r="A5827" s="6"/>
      <c r="B5827" s="6"/>
      <c r="C5827" s="11"/>
      <c r="D5827" s="13"/>
      <c r="E5827" s="13"/>
      <c r="F5827" s="13"/>
      <c r="G5827" s="13"/>
      <c r="H5827" s="13"/>
      <c r="I5827" s="10"/>
      <c r="J5827" s="11"/>
      <c r="K5827" s="6"/>
      <c r="L5827" s="13"/>
    </row>
    <row r="5828" spans="1:12" hidden="1" x14ac:dyDescent="0.25">
      <c r="A5828" s="6"/>
      <c r="B5828" s="6"/>
      <c r="C5828" s="11"/>
      <c r="D5828" s="13"/>
      <c r="E5828" s="13"/>
      <c r="F5828" s="13"/>
      <c r="G5828" s="13"/>
      <c r="H5828" s="13"/>
      <c r="I5828" s="10"/>
      <c r="J5828" s="11"/>
      <c r="K5828" s="6"/>
      <c r="L5828" s="13"/>
    </row>
    <row r="5829" spans="1:12" hidden="1" x14ac:dyDescent="0.25">
      <c r="A5829" s="6"/>
      <c r="B5829" s="6"/>
      <c r="C5829" s="11"/>
      <c r="D5829" s="13"/>
      <c r="E5829" s="13"/>
      <c r="F5829" s="13"/>
      <c r="G5829" s="13"/>
      <c r="H5829" s="13"/>
      <c r="I5829" s="10"/>
      <c r="J5829" s="11"/>
      <c r="K5829" s="6"/>
      <c r="L5829" s="13"/>
    </row>
    <row r="5830" spans="1:12" hidden="1" x14ac:dyDescent="0.25">
      <c r="A5830" s="6"/>
      <c r="B5830" s="6"/>
      <c r="C5830" s="11"/>
      <c r="D5830" s="13"/>
      <c r="E5830" s="13"/>
      <c r="F5830" s="13"/>
      <c r="G5830" s="13"/>
      <c r="H5830" s="13"/>
      <c r="I5830" s="10"/>
      <c r="J5830" s="11"/>
      <c r="K5830" s="6"/>
      <c r="L5830" s="13"/>
    </row>
    <row r="5831" spans="1:12" hidden="1" x14ac:dyDescent="0.25">
      <c r="A5831" s="6"/>
      <c r="B5831" s="6"/>
      <c r="C5831" s="11"/>
      <c r="D5831" s="13"/>
      <c r="E5831" s="13"/>
      <c r="F5831" s="13"/>
      <c r="G5831" s="13"/>
      <c r="H5831" s="13"/>
      <c r="I5831" s="10"/>
      <c r="J5831" s="11"/>
      <c r="K5831" s="6"/>
      <c r="L5831" s="13"/>
    </row>
    <row r="5832" spans="1:12" hidden="1" x14ac:dyDescent="0.25">
      <c r="A5832" s="6"/>
      <c r="B5832" s="6"/>
      <c r="C5832" s="11"/>
      <c r="D5832" s="13"/>
      <c r="E5832" s="13"/>
      <c r="F5832" s="13"/>
      <c r="G5832" s="13"/>
      <c r="H5832" s="13"/>
      <c r="I5832" s="10"/>
      <c r="J5832" s="11"/>
      <c r="K5832" s="6"/>
      <c r="L5832" s="13"/>
    </row>
    <row r="5833" spans="1:12" hidden="1" x14ac:dyDescent="0.25">
      <c r="A5833" s="6"/>
      <c r="B5833" s="6"/>
      <c r="C5833" s="11"/>
      <c r="D5833" s="13"/>
      <c r="E5833" s="13"/>
      <c r="F5833" s="13"/>
      <c r="G5833" s="13"/>
      <c r="H5833" s="13"/>
      <c r="I5833" s="10"/>
      <c r="J5833" s="11"/>
      <c r="K5833" s="6"/>
      <c r="L5833" s="13"/>
    </row>
    <row r="5834" spans="1:12" hidden="1" x14ac:dyDescent="0.25">
      <c r="A5834" s="6"/>
      <c r="B5834" s="6"/>
      <c r="C5834" s="11"/>
      <c r="D5834" s="13"/>
      <c r="E5834" s="13"/>
      <c r="F5834" s="13"/>
      <c r="G5834" s="13"/>
      <c r="H5834" s="13"/>
      <c r="I5834" s="10"/>
      <c r="J5834" s="11"/>
      <c r="K5834" s="6"/>
      <c r="L5834" s="13"/>
    </row>
    <row r="5835" spans="1:12" hidden="1" x14ac:dyDescent="0.25">
      <c r="A5835" s="6"/>
      <c r="B5835" s="6"/>
      <c r="C5835" s="11"/>
      <c r="D5835" s="13"/>
      <c r="E5835" s="13"/>
      <c r="F5835" s="13"/>
      <c r="G5835" s="13"/>
      <c r="H5835" s="13"/>
      <c r="I5835" s="10"/>
      <c r="J5835" s="11"/>
      <c r="K5835" s="6"/>
      <c r="L5835" s="13"/>
    </row>
    <row r="5836" spans="1:12" hidden="1" x14ac:dyDescent="0.25">
      <c r="A5836" s="6"/>
      <c r="B5836" s="6"/>
      <c r="C5836" s="11"/>
      <c r="D5836" s="13"/>
      <c r="E5836" s="13"/>
      <c r="F5836" s="13"/>
      <c r="G5836" s="13"/>
      <c r="H5836" s="13"/>
      <c r="I5836" s="10"/>
      <c r="J5836" s="11"/>
      <c r="K5836" s="6"/>
      <c r="L5836" s="13"/>
    </row>
    <row r="5837" spans="1:12" hidden="1" x14ac:dyDescent="0.25">
      <c r="A5837" s="6"/>
      <c r="B5837" s="6"/>
      <c r="C5837" s="11"/>
      <c r="D5837" s="13"/>
      <c r="E5837" s="13"/>
      <c r="F5837" s="13"/>
      <c r="G5837" s="13"/>
      <c r="H5837" s="13"/>
      <c r="I5837" s="10"/>
      <c r="J5837" s="11"/>
      <c r="K5837" s="6"/>
      <c r="L5837" s="13"/>
    </row>
    <row r="5838" spans="1:12" hidden="1" x14ac:dyDescent="0.25">
      <c r="A5838" s="6"/>
      <c r="B5838" s="6"/>
      <c r="C5838" s="11"/>
      <c r="D5838" s="13"/>
      <c r="E5838" s="13"/>
      <c r="F5838" s="13"/>
      <c r="G5838" s="13"/>
      <c r="H5838" s="13"/>
      <c r="I5838" s="10"/>
      <c r="J5838" s="11"/>
      <c r="K5838" s="6"/>
      <c r="L5838" s="13"/>
    </row>
    <row r="5839" spans="1:12" hidden="1" x14ac:dyDescent="0.25">
      <c r="A5839" s="6"/>
      <c r="B5839" s="6"/>
      <c r="C5839" s="11"/>
      <c r="D5839" s="13"/>
      <c r="E5839" s="13"/>
      <c r="F5839" s="13"/>
      <c r="G5839" s="13"/>
      <c r="H5839" s="13"/>
      <c r="I5839" s="10"/>
      <c r="J5839" s="11"/>
      <c r="K5839" s="6"/>
      <c r="L5839" s="13"/>
    </row>
    <row r="5840" spans="1:12" hidden="1" x14ac:dyDescent="0.25">
      <c r="A5840" s="6"/>
      <c r="B5840" s="6"/>
      <c r="C5840" s="11"/>
      <c r="D5840" s="13"/>
      <c r="E5840" s="13"/>
      <c r="F5840" s="13"/>
      <c r="G5840" s="13"/>
      <c r="H5840" s="13"/>
      <c r="I5840" s="10"/>
      <c r="J5840" s="11"/>
      <c r="K5840" s="6"/>
      <c r="L5840" s="13"/>
    </row>
    <row r="5841" spans="1:12" hidden="1" x14ac:dyDescent="0.25">
      <c r="A5841" s="6"/>
      <c r="B5841" s="6"/>
      <c r="C5841" s="11"/>
      <c r="D5841" s="13"/>
      <c r="E5841" s="13"/>
      <c r="F5841" s="13"/>
      <c r="G5841" s="13"/>
      <c r="H5841" s="13"/>
      <c r="I5841" s="10"/>
      <c r="J5841" s="11"/>
      <c r="K5841" s="6"/>
      <c r="L5841" s="13"/>
    </row>
    <row r="5842" spans="1:12" hidden="1" x14ac:dyDescent="0.25">
      <c r="A5842" s="6"/>
      <c r="B5842" s="6"/>
      <c r="C5842" s="11"/>
      <c r="D5842" s="13"/>
      <c r="E5842" s="13"/>
      <c r="F5842" s="13"/>
      <c r="G5842" s="13"/>
      <c r="H5842" s="13"/>
      <c r="I5842" s="10"/>
      <c r="J5842" s="11"/>
      <c r="K5842" s="6"/>
      <c r="L5842" s="13"/>
    </row>
    <row r="5843" spans="1:12" hidden="1" x14ac:dyDescent="0.25">
      <c r="A5843" s="6"/>
      <c r="B5843" s="6"/>
      <c r="C5843" s="11"/>
      <c r="D5843" s="13"/>
      <c r="E5843" s="13"/>
      <c r="F5843" s="13"/>
      <c r="G5843" s="13"/>
      <c r="H5843" s="13"/>
      <c r="I5843" s="10"/>
      <c r="J5843" s="11"/>
      <c r="K5843" s="6"/>
      <c r="L5843" s="13"/>
    </row>
    <row r="5844" spans="1:12" hidden="1" x14ac:dyDescent="0.25">
      <c r="A5844" s="6"/>
      <c r="B5844" s="6"/>
      <c r="C5844" s="11"/>
      <c r="D5844" s="13"/>
      <c r="E5844" s="13"/>
      <c r="F5844" s="13"/>
      <c r="G5844" s="13"/>
      <c r="H5844" s="13"/>
      <c r="I5844" s="10"/>
      <c r="J5844" s="11"/>
      <c r="K5844" s="6"/>
      <c r="L5844" s="13"/>
    </row>
    <row r="5845" spans="1:12" hidden="1" x14ac:dyDescent="0.25">
      <c r="A5845" s="6"/>
      <c r="B5845" s="6"/>
      <c r="C5845" s="11"/>
      <c r="D5845" s="13"/>
      <c r="E5845" s="13"/>
      <c r="F5845" s="13"/>
      <c r="G5845" s="13"/>
      <c r="H5845" s="13"/>
      <c r="I5845" s="10"/>
      <c r="J5845" s="11"/>
      <c r="K5845" s="6"/>
      <c r="L5845" s="13"/>
    </row>
    <row r="5846" spans="1:12" hidden="1" x14ac:dyDescent="0.25">
      <c r="A5846" s="6"/>
      <c r="B5846" s="6"/>
      <c r="C5846" s="11"/>
      <c r="D5846" s="13"/>
      <c r="E5846" s="13"/>
      <c r="F5846" s="13"/>
      <c r="G5846" s="13"/>
      <c r="H5846" s="13"/>
      <c r="I5846" s="10"/>
      <c r="J5846" s="11"/>
      <c r="K5846" s="6"/>
      <c r="L5846" s="13"/>
    </row>
    <row r="5847" spans="1:12" hidden="1" x14ac:dyDescent="0.25">
      <c r="A5847" s="6"/>
      <c r="B5847" s="6"/>
      <c r="C5847" s="11"/>
      <c r="D5847" s="13"/>
      <c r="E5847" s="13"/>
      <c r="F5847" s="13"/>
      <c r="G5847" s="13"/>
      <c r="H5847" s="13"/>
      <c r="I5847" s="10"/>
      <c r="J5847" s="11"/>
      <c r="K5847" s="6"/>
      <c r="L5847" s="13"/>
    </row>
    <row r="5848" spans="1:12" hidden="1" x14ac:dyDescent="0.25">
      <c r="A5848" s="6"/>
      <c r="B5848" s="6"/>
      <c r="C5848" s="11"/>
      <c r="D5848" s="13"/>
      <c r="E5848" s="13"/>
      <c r="F5848" s="13"/>
      <c r="G5848" s="13"/>
      <c r="H5848" s="13"/>
      <c r="I5848" s="10"/>
      <c r="J5848" s="11"/>
      <c r="K5848" s="6"/>
      <c r="L5848" s="13"/>
    </row>
    <row r="5849" spans="1:12" hidden="1" x14ac:dyDescent="0.25">
      <c r="A5849" s="6"/>
      <c r="B5849" s="6"/>
      <c r="C5849" s="11"/>
      <c r="D5849" s="13"/>
      <c r="E5849" s="13"/>
      <c r="F5849" s="13"/>
      <c r="G5849" s="13"/>
      <c r="H5849" s="13"/>
      <c r="I5849" s="10"/>
      <c r="J5849" s="11"/>
      <c r="K5849" s="6"/>
      <c r="L5849" s="13"/>
    </row>
    <row r="5850" spans="1:12" hidden="1" x14ac:dyDescent="0.25">
      <c r="A5850" s="6"/>
      <c r="B5850" s="6"/>
      <c r="C5850" s="11"/>
      <c r="D5850" s="13"/>
      <c r="E5850" s="13"/>
      <c r="F5850" s="13"/>
      <c r="G5850" s="13"/>
      <c r="H5850" s="13"/>
      <c r="I5850" s="10"/>
      <c r="J5850" s="11"/>
      <c r="K5850" s="6"/>
      <c r="L5850" s="13"/>
    </row>
    <row r="5851" spans="1:12" hidden="1" x14ac:dyDescent="0.25">
      <c r="A5851" s="6"/>
      <c r="B5851" s="6"/>
      <c r="C5851" s="11"/>
      <c r="D5851" s="13"/>
      <c r="E5851" s="13"/>
      <c r="F5851" s="13"/>
      <c r="G5851" s="13"/>
      <c r="H5851" s="13"/>
      <c r="I5851" s="10"/>
      <c r="J5851" s="11"/>
      <c r="K5851" s="6"/>
      <c r="L5851" s="13"/>
    </row>
    <row r="5852" spans="1:12" hidden="1" x14ac:dyDescent="0.25">
      <c r="A5852" s="6"/>
      <c r="B5852" s="6"/>
      <c r="C5852" s="11"/>
      <c r="D5852" s="13"/>
      <c r="E5852" s="13"/>
      <c r="F5852" s="13"/>
      <c r="G5852" s="13"/>
      <c r="H5852" s="13"/>
      <c r="I5852" s="10"/>
      <c r="J5852" s="11"/>
      <c r="K5852" s="6"/>
      <c r="L5852" s="13"/>
    </row>
    <row r="5853" spans="1:12" hidden="1" x14ac:dyDescent="0.25">
      <c r="A5853" s="6"/>
      <c r="B5853" s="6"/>
      <c r="C5853" s="11"/>
      <c r="D5853" s="13"/>
      <c r="E5853" s="13"/>
      <c r="F5853" s="13"/>
      <c r="G5853" s="13"/>
      <c r="H5853" s="13"/>
      <c r="I5853" s="10"/>
      <c r="J5853" s="11"/>
      <c r="K5853" s="6"/>
      <c r="L5853" s="13"/>
    </row>
    <row r="5854" spans="1:12" hidden="1" x14ac:dyDescent="0.25">
      <c r="A5854" s="6"/>
      <c r="B5854" s="6"/>
      <c r="C5854" s="11"/>
      <c r="D5854" s="13"/>
      <c r="E5854" s="13"/>
      <c r="F5854" s="13"/>
      <c r="G5854" s="13"/>
      <c r="H5854" s="13"/>
      <c r="I5854" s="10"/>
      <c r="J5854" s="11"/>
      <c r="K5854" s="6"/>
      <c r="L5854" s="13"/>
    </row>
    <row r="5855" spans="1:12" hidden="1" x14ac:dyDescent="0.25">
      <c r="A5855" s="6"/>
      <c r="B5855" s="6"/>
      <c r="C5855" s="11"/>
      <c r="D5855" s="13"/>
      <c r="E5855" s="13"/>
      <c r="F5855" s="13"/>
      <c r="G5855" s="13"/>
      <c r="H5855" s="13"/>
      <c r="I5855" s="10"/>
      <c r="J5855" s="11"/>
      <c r="K5855" s="6"/>
      <c r="L5855" s="13"/>
    </row>
    <row r="5856" spans="1:12" hidden="1" x14ac:dyDescent="0.25">
      <c r="A5856" s="6"/>
      <c r="B5856" s="6"/>
      <c r="C5856" s="11"/>
      <c r="D5856" s="13"/>
      <c r="E5856" s="13"/>
      <c r="F5856" s="13"/>
      <c r="G5856" s="13"/>
      <c r="H5856" s="13"/>
      <c r="I5856" s="10"/>
      <c r="J5856" s="11"/>
      <c r="K5856" s="6"/>
      <c r="L5856" s="13"/>
    </row>
    <row r="5857" spans="1:12" hidden="1" x14ac:dyDescent="0.25">
      <c r="A5857" s="6"/>
      <c r="B5857" s="6"/>
      <c r="C5857" s="11"/>
      <c r="D5857" s="13"/>
      <c r="E5857" s="13"/>
      <c r="F5857" s="13"/>
      <c r="G5857" s="13"/>
      <c r="H5857" s="13"/>
      <c r="I5857" s="10"/>
      <c r="J5857" s="11"/>
      <c r="K5857" s="6"/>
      <c r="L5857" s="13"/>
    </row>
    <row r="5858" spans="1:12" hidden="1" x14ac:dyDescent="0.25">
      <c r="A5858" s="6"/>
      <c r="B5858" s="6"/>
      <c r="C5858" s="11"/>
      <c r="D5858" s="13"/>
      <c r="E5858" s="13"/>
      <c r="F5858" s="13"/>
      <c r="G5858" s="13"/>
      <c r="H5858" s="13"/>
      <c r="I5858" s="10"/>
      <c r="J5858" s="11"/>
      <c r="K5858" s="6"/>
      <c r="L5858" s="13"/>
    </row>
    <row r="5859" spans="1:12" hidden="1" x14ac:dyDescent="0.25">
      <c r="A5859" s="6"/>
      <c r="B5859" s="6"/>
      <c r="C5859" s="11"/>
      <c r="D5859" s="13"/>
      <c r="E5859" s="13"/>
      <c r="F5859" s="13"/>
      <c r="G5859" s="13"/>
      <c r="H5859" s="13"/>
      <c r="I5859" s="10"/>
      <c r="J5859" s="11"/>
      <c r="K5859" s="6"/>
      <c r="L5859" s="13"/>
    </row>
    <row r="5860" spans="1:12" hidden="1" x14ac:dyDescent="0.25">
      <c r="A5860" s="6"/>
      <c r="B5860" s="6"/>
      <c r="C5860" s="11"/>
      <c r="D5860" s="13"/>
      <c r="E5860" s="13"/>
      <c r="F5860" s="13"/>
      <c r="G5860" s="13"/>
      <c r="H5860" s="13"/>
      <c r="I5860" s="10"/>
      <c r="J5860" s="11"/>
      <c r="K5860" s="6"/>
      <c r="L5860" s="13"/>
    </row>
    <row r="5861" spans="1:12" hidden="1" x14ac:dyDescent="0.25">
      <c r="A5861" s="6"/>
      <c r="B5861" s="6"/>
      <c r="C5861" s="11"/>
      <c r="D5861" s="13"/>
      <c r="E5861" s="13"/>
      <c r="F5861" s="13"/>
      <c r="G5861" s="13"/>
      <c r="H5861" s="13"/>
      <c r="I5861" s="10"/>
      <c r="J5861" s="11"/>
      <c r="K5861" s="6"/>
      <c r="L5861" s="13"/>
    </row>
    <row r="5862" spans="1:12" hidden="1" x14ac:dyDescent="0.25">
      <c r="A5862" s="6"/>
      <c r="B5862" s="6"/>
      <c r="C5862" s="11"/>
      <c r="D5862" s="13"/>
      <c r="E5862" s="13"/>
      <c r="F5862" s="13"/>
      <c r="G5862" s="13"/>
      <c r="H5862" s="13"/>
      <c r="I5862" s="10"/>
      <c r="J5862" s="11"/>
      <c r="K5862" s="6"/>
      <c r="L5862" s="13"/>
    </row>
    <row r="5863" spans="1:12" hidden="1" x14ac:dyDescent="0.25">
      <c r="A5863" s="6"/>
      <c r="B5863" s="6"/>
      <c r="C5863" s="11"/>
      <c r="D5863" s="13"/>
      <c r="E5863" s="13"/>
      <c r="F5863" s="13"/>
      <c r="G5863" s="13"/>
      <c r="H5863" s="13"/>
      <c r="I5863" s="10"/>
      <c r="J5863" s="11"/>
      <c r="K5863" s="6"/>
      <c r="L5863" s="13"/>
    </row>
    <row r="5864" spans="1:12" hidden="1" x14ac:dyDescent="0.25">
      <c r="A5864" s="6"/>
      <c r="B5864" s="6"/>
      <c r="C5864" s="11"/>
      <c r="D5864" s="13"/>
      <c r="E5864" s="13"/>
      <c r="F5864" s="13"/>
      <c r="G5864" s="13"/>
      <c r="H5864" s="13"/>
      <c r="I5864" s="10"/>
      <c r="J5864" s="11"/>
      <c r="K5864" s="6"/>
      <c r="L5864" s="13"/>
    </row>
    <row r="5865" spans="1:12" hidden="1" x14ac:dyDescent="0.25">
      <c r="A5865" s="6"/>
      <c r="B5865" s="6"/>
      <c r="C5865" s="11"/>
      <c r="D5865" s="13"/>
      <c r="E5865" s="13"/>
      <c r="F5865" s="13"/>
      <c r="G5865" s="13"/>
      <c r="H5865" s="13"/>
      <c r="I5865" s="10"/>
      <c r="J5865" s="11"/>
      <c r="K5865" s="6"/>
      <c r="L5865" s="13"/>
    </row>
    <row r="5866" spans="1:12" hidden="1" x14ac:dyDescent="0.25">
      <c r="A5866" s="6"/>
      <c r="B5866" s="6"/>
      <c r="C5866" s="11"/>
      <c r="D5866" s="13"/>
      <c r="E5866" s="13"/>
      <c r="F5866" s="13"/>
      <c r="G5866" s="13"/>
      <c r="H5866" s="13"/>
      <c r="I5866" s="10"/>
      <c r="J5866" s="11"/>
      <c r="K5866" s="6"/>
      <c r="L5866" s="13"/>
    </row>
    <row r="5867" spans="1:12" hidden="1" x14ac:dyDescent="0.25">
      <c r="A5867" s="6"/>
      <c r="B5867" s="6"/>
      <c r="C5867" s="11"/>
      <c r="D5867" s="13"/>
      <c r="E5867" s="13"/>
      <c r="F5867" s="13"/>
      <c r="G5867" s="13"/>
      <c r="H5867" s="13"/>
      <c r="I5867" s="10"/>
      <c r="J5867" s="11"/>
      <c r="K5867" s="6"/>
      <c r="L5867" s="13"/>
    </row>
    <row r="5868" spans="1:12" hidden="1" x14ac:dyDescent="0.25">
      <c r="A5868" s="6"/>
      <c r="B5868" s="6"/>
      <c r="C5868" s="11"/>
      <c r="D5868" s="13"/>
      <c r="E5868" s="13"/>
      <c r="F5868" s="13"/>
      <c r="G5868" s="13"/>
      <c r="H5868" s="13"/>
      <c r="I5868" s="10"/>
      <c r="J5868" s="11"/>
      <c r="K5868" s="6"/>
      <c r="L5868" s="13"/>
    </row>
    <row r="5869" spans="1:12" hidden="1" x14ac:dyDescent="0.25">
      <c r="A5869" s="6"/>
      <c r="B5869" s="6"/>
      <c r="C5869" s="11"/>
      <c r="D5869" s="13"/>
      <c r="E5869" s="13"/>
      <c r="F5869" s="13"/>
      <c r="G5869" s="13"/>
      <c r="H5869" s="13"/>
      <c r="I5869" s="10"/>
      <c r="J5869" s="11"/>
      <c r="K5869" s="6"/>
      <c r="L5869" s="13"/>
    </row>
    <row r="5870" spans="1:12" hidden="1" x14ac:dyDescent="0.25">
      <c r="A5870" s="6"/>
      <c r="B5870" s="6"/>
      <c r="C5870" s="11"/>
      <c r="D5870" s="13"/>
      <c r="E5870" s="13"/>
      <c r="F5870" s="13"/>
      <c r="G5870" s="13"/>
      <c r="H5870" s="13"/>
      <c r="I5870" s="10"/>
      <c r="J5870" s="11"/>
      <c r="K5870" s="6"/>
      <c r="L5870" s="13"/>
    </row>
    <row r="5871" spans="1:12" hidden="1" x14ac:dyDescent="0.25">
      <c r="A5871" s="6"/>
      <c r="B5871" s="6"/>
      <c r="C5871" s="11"/>
      <c r="D5871" s="13"/>
      <c r="E5871" s="13"/>
      <c r="F5871" s="13"/>
      <c r="G5871" s="13"/>
      <c r="H5871" s="13"/>
      <c r="I5871" s="10"/>
      <c r="J5871" s="11"/>
      <c r="K5871" s="6"/>
      <c r="L5871" s="13"/>
    </row>
    <row r="5872" spans="1:12" hidden="1" x14ac:dyDescent="0.25">
      <c r="A5872" s="6"/>
      <c r="B5872" s="6"/>
      <c r="C5872" s="11"/>
      <c r="D5872" s="13"/>
      <c r="E5872" s="13"/>
      <c r="F5872" s="13"/>
      <c r="G5872" s="13"/>
      <c r="H5872" s="13"/>
      <c r="I5872" s="10"/>
      <c r="J5872" s="11"/>
      <c r="K5872" s="6"/>
      <c r="L5872" s="13"/>
    </row>
    <row r="5873" spans="1:12" hidden="1" x14ac:dyDescent="0.25">
      <c r="A5873" s="6"/>
      <c r="B5873" s="6"/>
      <c r="C5873" s="11"/>
      <c r="D5873" s="13"/>
      <c r="E5873" s="13"/>
      <c r="F5873" s="13"/>
      <c r="G5873" s="13"/>
      <c r="H5873" s="13"/>
      <c r="I5873" s="10"/>
      <c r="J5873" s="11"/>
      <c r="K5873" s="6"/>
      <c r="L5873" s="13"/>
    </row>
    <row r="5874" spans="1:12" hidden="1" x14ac:dyDescent="0.25">
      <c r="A5874" s="6"/>
      <c r="B5874" s="6"/>
      <c r="C5874" s="11"/>
      <c r="D5874" s="13"/>
      <c r="E5874" s="13"/>
      <c r="F5874" s="13"/>
      <c r="G5874" s="13"/>
      <c r="H5874" s="13"/>
      <c r="I5874" s="10"/>
      <c r="J5874" s="11"/>
      <c r="K5874" s="6"/>
      <c r="L5874" s="13"/>
    </row>
    <row r="5875" spans="1:12" hidden="1" x14ac:dyDescent="0.25">
      <c r="A5875" s="6"/>
      <c r="B5875" s="6"/>
      <c r="C5875" s="11"/>
      <c r="D5875" s="13"/>
      <c r="E5875" s="13"/>
      <c r="F5875" s="13"/>
      <c r="G5875" s="13"/>
      <c r="H5875" s="13"/>
      <c r="I5875" s="10"/>
      <c r="J5875" s="11"/>
      <c r="K5875" s="6"/>
      <c r="L5875" s="13"/>
    </row>
    <row r="5876" spans="1:12" hidden="1" x14ac:dyDescent="0.25">
      <c r="A5876" s="6"/>
      <c r="B5876" s="6"/>
      <c r="C5876" s="11"/>
      <c r="D5876" s="13"/>
      <c r="E5876" s="13"/>
      <c r="F5876" s="13"/>
      <c r="G5876" s="13"/>
      <c r="H5876" s="13"/>
      <c r="I5876" s="10"/>
      <c r="J5876" s="11"/>
      <c r="K5876" s="6"/>
      <c r="L5876" s="13"/>
    </row>
    <row r="5877" spans="1:12" hidden="1" x14ac:dyDescent="0.25">
      <c r="A5877" s="6"/>
      <c r="B5877" s="6"/>
      <c r="C5877" s="11"/>
      <c r="D5877" s="13"/>
      <c r="E5877" s="13"/>
      <c r="F5877" s="13"/>
      <c r="G5877" s="13"/>
      <c r="H5877" s="13"/>
      <c r="I5877" s="10"/>
      <c r="J5877" s="11"/>
      <c r="K5877" s="6"/>
      <c r="L5877" s="13"/>
    </row>
    <row r="5878" spans="1:12" hidden="1" x14ac:dyDescent="0.25">
      <c r="A5878" s="6"/>
      <c r="B5878" s="6"/>
      <c r="C5878" s="11"/>
      <c r="D5878" s="13"/>
      <c r="E5878" s="13"/>
      <c r="F5878" s="13"/>
      <c r="G5878" s="13"/>
      <c r="H5878" s="13"/>
      <c r="I5878" s="10"/>
      <c r="J5878" s="11"/>
      <c r="K5878" s="6"/>
      <c r="L5878" s="13"/>
    </row>
    <row r="5879" spans="1:12" hidden="1" x14ac:dyDescent="0.25">
      <c r="A5879" s="6"/>
      <c r="B5879" s="6"/>
      <c r="C5879" s="11"/>
      <c r="D5879" s="13"/>
      <c r="E5879" s="13"/>
      <c r="F5879" s="13"/>
      <c r="G5879" s="13"/>
      <c r="H5879" s="13"/>
      <c r="I5879" s="10"/>
      <c r="J5879" s="11"/>
      <c r="K5879" s="6"/>
      <c r="L5879" s="13"/>
    </row>
    <row r="5880" spans="1:12" hidden="1" x14ac:dyDescent="0.25">
      <c r="A5880" s="6"/>
      <c r="B5880" s="6"/>
      <c r="C5880" s="11"/>
      <c r="D5880" s="13"/>
      <c r="E5880" s="13"/>
      <c r="F5880" s="13"/>
      <c r="G5880" s="13"/>
      <c r="H5880" s="13"/>
      <c r="I5880" s="10"/>
      <c r="J5880" s="11"/>
      <c r="K5880" s="6"/>
      <c r="L5880" s="13"/>
    </row>
    <row r="5881" spans="1:12" hidden="1" x14ac:dyDescent="0.25">
      <c r="A5881" s="6"/>
      <c r="B5881" s="6"/>
      <c r="C5881" s="11"/>
      <c r="D5881" s="13"/>
      <c r="E5881" s="13"/>
      <c r="F5881" s="13"/>
      <c r="G5881" s="13"/>
      <c r="H5881" s="13"/>
      <c r="I5881" s="10"/>
      <c r="J5881" s="11"/>
      <c r="K5881" s="6"/>
      <c r="L5881" s="13"/>
    </row>
    <row r="5882" spans="1:12" hidden="1" x14ac:dyDescent="0.25">
      <c r="A5882" s="6"/>
      <c r="B5882" s="6"/>
      <c r="C5882" s="11"/>
      <c r="D5882" s="13"/>
      <c r="E5882" s="13"/>
      <c r="F5882" s="13"/>
      <c r="G5882" s="13"/>
      <c r="H5882" s="13"/>
      <c r="I5882" s="10"/>
      <c r="J5882" s="11"/>
      <c r="K5882" s="6"/>
      <c r="L5882" s="13"/>
    </row>
    <row r="5883" spans="1:12" hidden="1" x14ac:dyDescent="0.25">
      <c r="A5883" s="6"/>
      <c r="B5883" s="6"/>
      <c r="C5883" s="11"/>
      <c r="D5883" s="13"/>
      <c r="E5883" s="13"/>
      <c r="F5883" s="13"/>
      <c r="G5883" s="13"/>
      <c r="H5883" s="13"/>
      <c r="I5883" s="10"/>
      <c r="J5883" s="11"/>
      <c r="K5883" s="6"/>
      <c r="L5883" s="13"/>
    </row>
    <row r="5884" spans="1:12" hidden="1" x14ac:dyDescent="0.25">
      <c r="A5884" s="6"/>
      <c r="B5884" s="6"/>
      <c r="C5884" s="11"/>
      <c r="D5884" s="13"/>
      <c r="E5884" s="13"/>
      <c r="F5884" s="13"/>
      <c r="G5884" s="13"/>
      <c r="H5884" s="13"/>
      <c r="I5884" s="10"/>
      <c r="J5884" s="11"/>
      <c r="K5884" s="6"/>
      <c r="L5884" s="13"/>
    </row>
    <row r="5885" spans="1:12" hidden="1" x14ac:dyDescent="0.25">
      <c r="A5885" s="6"/>
      <c r="B5885" s="6"/>
      <c r="C5885" s="11"/>
      <c r="D5885" s="13"/>
      <c r="E5885" s="13"/>
      <c r="F5885" s="13"/>
      <c r="G5885" s="13"/>
      <c r="H5885" s="13"/>
      <c r="I5885" s="10"/>
      <c r="J5885" s="11"/>
      <c r="K5885" s="6"/>
      <c r="L5885" s="13"/>
    </row>
    <row r="5886" spans="1:12" hidden="1" x14ac:dyDescent="0.25">
      <c r="A5886" s="6"/>
      <c r="B5886" s="6"/>
      <c r="C5886" s="11"/>
      <c r="D5886" s="13"/>
      <c r="E5886" s="13"/>
      <c r="F5886" s="13"/>
      <c r="G5886" s="13"/>
      <c r="H5886" s="13"/>
      <c r="I5886" s="10"/>
      <c r="J5886" s="11"/>
      <c r="K5886" s="6"/>
      <c r="L5886" s="13"/>
    </row>
    <row r="5887" spans="1:12" hidden="1" x14ac:dyDescent="0.25">
      <c r="A5887" s="6"/>
      <c r="B5887" s="6"/>
      <c r="C5887" s="11"/>
      <c r="D5887" s="13"/>
      <c r="E5887" s="13"/>
      <c r="F5887" s="13"/>
      <c r="G5887" s="13"/>
      <c r="H5887" s="13"/>
      <c r="I5887" s="10"/>
      <c r="J5887" s="11"/>
      <c r="K5887" s="6"/>
      <c r="L5887" s="13"/>
    </row>
    <row r="5888" spans="1:12" hidden="1" x14ac:dyDescent="0.25">
      <c r="A5888" s="6"/>
      <c r="B5888" s="6"/>
      <c r="C5888" s="11"/>
      <c r="D5888" s="13"/>
      <c r="E5888" s="13"/>
      <c r="F5888" s="13"/>
      <c r="G5888" s="13"/>
      <c r="H5888" s="13"/>
      <c r="I5888" s="10"/>
      <c r="J5888" s="11"/>
      <c r="K5888" s="6"/>
      <c r="L5888" s="13"/>
    </row>
    <row r="5889" spans="1:12" hidden="1" x14ac:dyDescent="0.25">
      <c r="A5889" s="6"/>
      <c r="B5889" s="6"/>
      <c r="C5889" s="11"/>
      <c r="D5889" s="13"/>
      <c r="E5889" s="13"/>
      <c r="F5889" s="13"/>
      <c r="G5889" s="13"/>
      <c r="H5889" s="13"/>
      <c r="I5889" s="10"/>
      <c r="J5889" s="11"/>
      <c r="K5889" s="6"/>
      <c r="L5889" s="13"/>
    </row>
    <row r="5890" spans="1:12" hidden="1" x14ac:dyDescent="0.25">
      <c r="A5890" s="6"/>
      <c r="B5890" s="6"/>
      <c r="C5890" s="11"/>
      <c r="D5890" s="13"/>
      <c r="E5890" s="13"/>
      <c r="F5890" s="13"/>
      <c r="G5890" s="13"/>
      <c r="H5890" s="13"/>
      <c r="I5890" s="10"/>
      <c r="J5890" s="11"/>
      <c r="K5890" s="6"/>
      <c r="L5890" s="13"/>
    </row>
    <row r="5891" spans="1:12" hidden="1" x14ac:dyDescent="0.25">
      <c r="A5891" s="6"/>
      <c r="B5891" s="6"/>
      <c r="C5891" s="11"/>
      <c r="D5891" s="13"/>
      <c r="E5891" s="13"/>
      <c r="F5891" s="13"/>
      <c r="G5891" s="13"/>
      <c r="H5891" s="13"/>
      <c r="I5891" s="10"/>
      <c r="J5891" s="11"/>
      <c r="K5891" s="6"/>
      <c r="L5891" s="13"/>
    </row>
    <row r="5892" spans="1:12" hidden="1" x14ac:dyDescent="0.25">
      <c r="A5892" s="6"/>
      <c r="B5892" s="6"/>
      <c r="C5892" s="11"/>
      <c r="D5892" s="13"/>
      <c r="E5892" s="13"/>
      <c r="F5892" s="13"/>
      <c r="G5892" s="13"/>
      <c r="H5892" s="13"/>
      <c r="I5892" s="10"/>
      <c r="J5892" s="11"/>
      <c r="K5892" s="6"/>
      <c r="L5892" s="13"/>
    </row>
    <row r="5893" spans="1:12" hidden="1" x14ac:dyDescent="0.25">
      <c r="A5893" s="6"/>
      <c r="B5893" s="6"/>
      <c r="C5893" s="11"/>
      <c r="D5893" s="13"/>
      <c r="E5893" s="13"/>
      <c r="F5893" s="13"/>
      <c r="G5893" s="13"/>
      <c r="H5893" s="13"/>
      <c r="I5893" s="10"/>
      <c r="J5893" s="11"/>
      <c r="K5893" s="6"/>
      <c r="L5893" s="13"/>
    </row>
    <row r="5894" spans="1:12" hidden="1" x14ac:dyDescent="0.25">
      <c r="A5894" s="6"/>
      <c r="B5894" s="6"/>
      <c r="C5894" s="11"/>
      <c r="D5894" s="13"/>
      <c r="E5894" s="13"/>
      <c r="F5894" s="13"/>
      <c r="G5894" s="13"/>
      <c r="H5894" s="13"/>
      <c r="I5894" s="10"/>
      <c r="J5894" s="11"/>
      <c r="K5894" s="6"/>
      <c r="L5894" s="13"/>
    </row>
    <row r="5895" spans="1:12" hidden="1" x14ac:dyDescent="0.25">
      <c r="A5895" s="6"/>
      <c r="B5895" s="6"/>
      <c r="C5895" s="11"/>
      <c r="D5895" s="13"/>
      <c r="E5895" s="13"/>
      <c r="F5895" s="13"/>
      <c r="G5895" s="13"/>
      <c r="H5895" s="13"/>
      <c r="I5895" s="10"/>
      <c r="J5895" s="11"/>
      <c r="K5895" s="6"/>
      <c r="L5895" s="13"/>
    </row>
    <row r="5896" spans="1:12" hidden="1" x14ac:dyDescent="0.25">
      <c r="A5896" s="6"/>
      <c r="B5896" s="6"/>
      <c r="C5896" s="11"/>
      <c r="D5896" s="13"/>
      <c r="E5896" s="13"/>
      <c r="F5896" s="13"/>
      <c r="G5896" s="13"/>
      <c r="H5896" s="13"/>
      <c r="I5896" s="10"/>
      <c r="J5896" s="11"/>
      <c r="K5896" s="6"/>
      <c r="L5896" s="13"/>
    </row>
    <row r="5897" spans="1:12" hidden="1" x14ac:dyDescent="0.25">
      <c r="A5897" s="6"/>
      <c r="B5897" s="6"/>
      <c r="C5897" s="11"/>
      <c r="D5897" s="13"/>
      <c r="E5897" s="13"/>
      <c r="F5897" s="13"/>
      <c r="G5897" s="13"/>
      <c r="H5897" s="13"/>
      <c r="I5897" s="10"/>
      <c r="J5897" s="11"/>
      <c r="K5897" s="6"/>
      <c r="L5897" s="13"/>
    </row>
    <row r="5898" spans="1:12" hidden="1" x14ac:dyDescent="0.25">
      <c r="A5898" s="6"/>
      <c r="B5898" s="6"/>
      <c r="C5898" s="11"/>
      <c r="D5898" s="13"/>
      <c r="E5898" s="13"/>
      <c r="F5898" s="13"/>
      <c r="G5898" s="13"/>
      <c r="H5898" s="13"/>
      <c r="I5898" s="10"/>
      <c r="J5898" s="11"/>
      <c r="K5898" s="6"/>
      <c r="L5898" s="13"/>
    </row>
    <row r="5899" spans="1:12" hidden="1" x14ac:dyDescent="0.25">
      <c r="A5899" s="6"/>
      <c r="B5899" s="6"/>
      <c r="C5899" s="11"/>
      <c r="D5899" s="13"/>
      <c r="E5899" s="13"/>
      <c r="F5899" s="13"/>
      <c r="G5899" s="13"/>
      <c r="H5899" s="13"/>
      <c r="I5899" s="10"/>
      <c r="J5899" s="11"/>
      <c r="K5899" s="6"/>
      <c r="L5899" s="13"/>
    </row>
    <row r="5900" spans="1:12" hidden="1" x14ac:dyDescent="0.25">
      <c r="A5900" s="6"/>
      <c r="B5900" s="6"/>
      <c r="C5900" s="11"/>
      <c r="D5900" s="13"/>
      <c r="E5900" s="13"/>
      <c r="F5900" s="13"/>
      <c r="G5900" s="13"/>
      <c r="H5900" s="13"/>
      <c r="I5900" s="10"/>
      <c r="J5900" s="11"/>
      <c r="K5900" s="6"/>
      <c r="L5900" s="13"/>
    </row>
    <row r="5901" spans="1:12" hidden="1" x14ac:dyDescent="0.25">
      <c r="A5901" s="6"/>
      <c r="B5901" s="6"/>
      <c r="C5901" s="11"/>
      <c r="D5901" s="13"/>
      <c r="E5901" s="13"/>
      <c r="F5901" s="13"/>
      <c r="G5901" s="13"/>
      <c r="H5901" s="13"/>
      <c r="I5901" s="10"/>
      <c r="J5901" s="11"/>
      <c r="K5901" s="6"/>
      <c r="L5901" s="13"/>
    </row>
    <row r="5902" spans="1:12" hidden="1" x14ac:dyDescent="0.25">
      <c r="A5902" s="6"/>
      <c r="B5902" s="6"/>
      <c r="C5902" s="11"/>
      <c r="D5902" s="13"/>
      <c r="E5902" s="13"/>
      <c r="F5902" s="13"/>
      <c r="G5902" s="13"/>
      <c r="H5902" s="13"/>
      <c r="I5902" s="10"/>
      <c r="J5902" s="11"/>
      <c r="K5902" s="6"/>
      <c r="L5902" s="13"/>
    </row>
    <row r="5903" spans="1:12" hidden="1" x14ac:dyDescent="0.25">
      <c r="A5903" s="6"/>
      <c r="B5903" s="6"/>
      <c r="C5903" s="11"/>
      <c r="D5903" s="13"/>
      <c r="E5903" s="13"/>
      <c r="F5903" s="13"/>
      <c r="G5903" s="13"/>
      <c r="H5903" s="13"/>
      <c r="I5903" s="10"/>
      <c r="J5903" s="11"/>
      <c r="K5903" s="6"/>
      <c r="L5903" s="13"/>
    </row>
    <row r="5904" spans="1:12" hidden="1" x14ac:dyDescent="0.25">
      <c r="A5904" s="6"/>
      <c r="B5904" s="6"/>
      <c r="C5904" s="11"/>
      <c r="D5904" s="13"/>
      <c r="E5904" s="13"/>
      <c r="F5904" s="13"/>
      <c r="G5904" s="13"/>
      <c r="H5904" s="13"/>
      <c r="I5904" s="10"/>
      <c r="J5904" s="11"/>
      <c r="K5904" s="6"/>
      <c r="L5904" s="13"/>
    </row>
    <row r="5905" spans="1:12" hidden="1" x14ac:dyDescent="0.25">
      <c r="A5905" s="6"/>
      <c r="B5905" s="6"/>
      <c r="C5905" s="11"/>
      <c r="D5905" s="13"/>
      <c r="E5905" s="13"/>
      <c r="F5905" s="13"/>
      <c r="G5905" s="13"/>
      <c r="H5905" s="13"/>
      <c r="I5905" s="10"/>
      <c r="J5905" s="11"/>
      <c r="K5905" s="6"/>
      <c r="L5905" s="13"/>
    </row>
    <row r="5906" spans="1:12" hidden="1" x14ac:dyDescent="0.25">
      <c r="A5906" s="6"/>
      <c r="B5906" s="6"/>
      <c r="C5906" s="11"/>
      <c r="D5906" s="13"/>
      <c r="E5906" s="13"/>
      <c r="F5906" s="13"/>
      <c r="G5906" s="13"/>
      <c r="H5906" s="13"/>
      <c r="I5906" s="10"/>
      <c r="J5906" s="11"/>
      <c r="K5906" s="6"/>
      <c r="L5906" s="13"/>
    </row>
    <row r="5907" spans="1:12" hidden="1" x14ac:dyDescent="0.25">
      <c r="A5907" s="6"/>
      <c r="B5907" s="6"/>
      <c r="C5907" s="11"/>
      <c r="D5907" s="13"/>
      <c r="E5907" s="13"/>
      <c r="F5907" s="13"/>
      <c r="G5907" s="13"/>
      <c r="H5907" s="13"/>
      <c r="I5907" s="10"/>
      <c r="J5907" s="11"/>
      <c r="K5907" s="6"/>
      <c r="L5907" s="13"/>
    </row>
    <row r="5908" spans="1:12" hidden="1" x14ac:dyDescent="0.25">
      <c r="A5908" s="6"/>
      <c r="B5908" s="6"/>
      <c r="C5908" s="11"/>
      <c r="D5908" s="13"/>
      <c r="E5908" s="13"/>
      <c r="F5908" s="13"/>
      <c r="G5908" s="13"/>
      <c r="H5908" s="13"/>
      <c r="I5908" s="10"/>
      <c r="J5908" s="11"/>
      <c r="K5908" s="6"/>
      <c r="L5908" s="13"/>
    </row>
    <row r="5909" spans="1:12" hidden="1" x14ac:dyDescent="0.25">
      <c r="A5909" s="6"/>
      <c r="B5909" s="6"/>
      <c r="C5909" s="11"/>
      <c r="D5909" s="13"/>
      <c r="E5909" s="13"/>
      <c r="F5909" s="13"/>
      <c r="G5909" s="13"/>
      <c r="H5909" s="13"/>
      <c r="I5909" s="10"/>
      <c r="J5909" s="11"/>
      <c r="K5909" s="6"/>
      <c r="L5909" s="13"/>
    </row>
    <row r="5910" spans="1:12" hidden="1" x14ac:dyDescent="0.25">
      <c r="A5910" s="6"/>
      <c r="B5910" s="6"/>
      <c r="C5910" s="11"/>
      <c r="D5910" s="13"/>
      <c r="E5910" s="13"/>
      <c r="F5910" s="13"/>
      <c r="G5910" s="13"/>
      <c r="H5910" s="13"/>
      <c r="I5910" s="10"/>
      <c r="J5910" s="11"/>
      <c r="K5910" s="6"/>
      <c r="L5910" s="13"/>
    </row>
    <row r="5911" spans="1:12" hidden="1" x14ac:dyDescent="0.25">
      <c r="A5911" s="6"/>
      <c r="B5911" s="6"/>
      <c r="C5911" s="11"/>
      <c r="D5911" s="13"/>
      <c r="E5911" s="13"/>
      <c r="F5911" s="13"/>
      <c r="G5911" s="13"/>
      <c r="H5911" s="13"/>
      <c r="I5911" s="10"/>
      <c r="J5911" s="11"/>
      <c r="K5911" s="6"/>
      <c r="L5911" s="13"/>
    </row>
    <row r="5912" spans="1:12" hidden="1" x14ac:dyDescent="0.25">
      <c r="A5912" s="6"/>
      <c r="B5912" s="6"/>
      <c r="C5912" s="11"/>
      <c r="D5912" s="13"/>
      <c r="E5912" s="13"/>
      <c r="F5912" s="13"/>
      <c r="G5912" s="13"/>
      <c r="H5912" s="13"/>
      <c r="I5912" s="10"/>
      <c r="J5912" s="11"/>
      <c r="K5912" s="6"/>
      <c r="L5912" s="13"/>
    </row>
    <row r="5913" spans="1:12" hidden="1" x14ac:dyDescent="0.25">
      <c r="A5913" s="6"/>
      <c r="B5913" s="6"/>
      <c r="C5913" s="11"/>
      <c r="D5913" s="13"/>
      <c r="E5913" s="13"/>
      <c r="F5913" s="13"/>
      <c r="G5913" s="13"/>
      <c r="H5913" s="13"/>
      <c r="I5913" s="10"/>
      <c r="J5913" s="11"/>
      <c r="K5913" s="6"/>
      <c r="L5913" s="13"/>
    </row>
    <row r="5914" spans="1:12" hidden="1" x14ac:dyDescent="0.25">
      <c r="A5914" s="6"/>
      <c r="B5914" s="6"/>
      <c r="C5914" s="11"/>
      <c r="D5914" s="13"/>
      <c r="E5914" s="13"/>
      <c r="F5914" s="13"/>
      <c r="G5914" s="13"/>
      <c r="H5914" s="13"/>
      <c r="I5914" s="10"/>
      <c r="J5914" s="11"/>
      <c r="K5914" s="6"/>
      <c r="L5914" s="13"/>
    </row>
    <row r="5915" spans="1:12" hidden="1" x14ac:dyDescent="0.25">
      <c r="A5915" s="6"/>
      <c r="B5915" s="6"/>
      <c r="C5915" s="11"/>
      <c r="D5915" s="13"/>
      <c r="E5915" s="13"/>
      <c r="F5915" s="13"/>
      <c r="G5915" s="13"/>
      <c r="H5915" s="13"/>
      <c r="I5915" s="10"/>
      <c r="J5915" s="11"/>
      <c r="K5915" s="6"/>
      <c r="L5915" s="13"/>
    </row>
    <row r="5916" spans="1:12" hidden="1" x14ac:dyDescent="0.25">
      <c r="A5916" s="6"/>
      <c r="B5916" s="6"/>
      <c r="C5916" s="11"/>
      <c r="D5916" s="13"/>
      <c r="E5916" s="13"/>
      <c r="F5916" s="13"/>
      <c r="G5916" s="13"/>
      <c r="H5916" s="13"/>
      <c r="I5916" s="10"/>
      <c r="J5916" s="11"/>
      <c r="K5916" s="6"/>
      <c r="L5916" s="13"/>
    </row>
    <row r="5917" spans="1:12" hidden="1" x14ac:dyDescent="0.25">
      <c r="A5917" s="6"/>
      <c r="B5917" s="6"/>
      <c r="C5917" s="11"/>
      <c r="D5917" s="13"/>
      <c r="E5917" s="13"/>
      <c r="F5917" s="13"/>
      <c r="G5917" s="13"/>
      <c r="H5917" s="13"/>
      <c r="I5917" s="10"/>
      <c r="J5917" s="11"/>
      <c r="K5917" s="6"/>
      <c r="L5917" s="13"/>
    </row>
    <row r="5918" spans="1:12" hidden="1" x14ac:dyDescent="0.25">
      <c r="A5918" s="6"/>
      <c r="B5918" s="6"/>
      <c r="C5918" s="11"/>
      <c r="D5918" s="13"/>
      <c r="E5918" s="13"/>
      <c r="F5918" s="13"/>
      <c r="G5918" s="13"/>
      <c r="H5918" s="13"/>
      <c r="I5918" s="10"/>
      <c r="J5918" s="11"/>
      <c r="K5918" s="6"/>
      <c r="L5918" s="13"/>
    </row>
    <row r="5919" spans="1:12" hidden="1" x14ac:dyDescent="0.25">
      <c r="A5919" s="6"/>
      <c r="B5919" s="6"/>
      <c r="C5919" s="11"/>
      <c r="D5919" s="13"/>
      <c r="E5919" s="13"/>
      <c r="F5919" s="13"/>
      <c r="G5919" s="13"/>
      <c r="H5919" s="13"/>
      <c r="I5919" s="10"/>
      <c r="J5919" s="11"/>
      <c r="K5919" s="6"/>
      <c r="L5919" s="13"/>
    </row>
    <row r="5920" spans="1:12" hidden="1" x14ac:dyDescent="0.25">
      <c r="A5920" s="6"/>
      <c r="B5920" s="6"/>
      <c r="C5920" s="11"/>
      <c r="D5920" s="13"/>
      <c r="E5920" s="13"/>
      <c r="F5920" s="13"/>
      <c r="G5920" s="13"/>
      <c r="H5920" s="13"/>
      <c r="I5920" s="10"/>
      <c r="J5920" s="11"/>
      <c r="K5920" s="6"/>
      <c r="L5920" s="13"/>
    </row>
    <row r="5921" spans="1:12" hidden="1" x14ac:dyDescent="0.25">
      <c r="A5921" s="6"/>
      <c r="B5921" s="6"/>
      <c r="C5921" s="11"/>
      <c r="D5921" s="13"/>
      <c r="E5921" s="13"/>
      <c r="F5921" s="13"/>
      <c r="G5921" s="13"/>
      <c r="H5921" s="13"/>
      <c r="I5921" s="10"/>
      <c r="J5921" s="11"/>
      <c r="K5921" s="6"/>
      <c r="L5921" s="13"/>
    </row>
    <row r="5922" spans="1:12" hidden="1" x14ac:dyDescent="0.25">
      <c r="A5922" s="6"/>
      <c r="B5922" s="6"/>
      <c r="C5922" s="11"/>
      <c r="D5922" s="13"/>
      <c r="E5922" s="13"/>
      <c r="F5922" s="13"/>
      <c r="G5922" s="13"/>
      <c r="H5922" s="13"/>
      <c r="I5922" s="10"/>
      <c r="J5922" s="11"/>
      <c r="K5922" s="6"/>
      <c r="L5922" s="13"/>
    </row>
    <row r="5923" spans="1:12" hidden="1" x14ac:dyDescent="0.25">
      <c r="A5923" s="6"/>
      <c r="B5923" s="6"/>
      <c r="C5923" s="11"/>
      <c r="D5923" s="13"/>
      <c r="E5923" s="13"/>
      <c r="F5923" s="13"/>
      <c r="G5923" s="13"/>
      <c r="H5923" s="13"/>
      <c r="I5923" s="10"/>
      <c r="J5923" s="11"/>
      <c r="K5923" s="6"/>
      <c r="L5923" s="13"/>
    </row>
    <row r="5924" spans="1:12" hidden="1" x14ac:dyDescent="0.25">
      <c r="A5924" s="6"/>
      <c r="B5924" s="6"/>
      <c r="C5924" s="11"/>
      <c r="D5924" s="13"/>
      <c r="E5924" s="13"/>
      <c r="F5924" s="13"/>
      <c r="G5924" s="13"/>
      <c r="H5924" s="13"/>
      <c r="I5924" s="10"/>
      <c r="J5924" s="11"/>
      <c r="K5924" s="6"/>
      <c r="L5924" s="13"/>
    </row>
    <row r="5925" spans="1:12" hidden="1" x14ac:dyDescent="0.25">
      <c r="A5925" s="6"/>
      <c r="B5925" s="6"/>
      <c r="C5925" s="11"/>
      <c r="D5925" s="13"/>
      <c r="E5925" s="13"/>
      <c r="F5925" s="13"/>
      <c r="G5925" s="13"/>
      <c r="H5925" s="13"/>
      <c r="I5925" s="10"/>
      <c r="J5925" s="11"/>
      <c r="K5925" s="6"/>
      <c r="L5925" s="13"/>
    </row>
    <row r="5926" spans="1:12" hidden="1" x14ac:dyDescent="0.25">
      <c r="A5926" s="6"/>
      <c r="B5926" s="6"/>
      <c r="C5926" s="11"/>
      <c r="D5926" s="13"/>
      <c r="E5926" s="13"/>
      <c r="F5926" s="13"/>
      <c r="G5926" s="13"/>
      <c r="H5926" s="13"/>
      <c r="I5926" s="10"/>
      <c r="J5926" s="11"/>
      <c r="K5926" s="6"/>
      <c r="L5926" s="13"/>
    </row>
    <row r="5927" spans="1:12" hidden="1" x14ac:dyDescent="0.25">
      <c r="A5927" s="6"/>
      <c r="B5927" s="6"/>
      <c r="C5927" s="11"/>
      <c r="D5927" s="13"/>
      <c r="E5927" s="13"/>
      <c r="F5927" s="13"/>
      <c r="G5927" s="13"/>
      <c r="H5927" s="13"/>
      <c r="I5927" s="10"/>
      <c r="J5927" s="11"/>
      <c r="K5927" s="6"/>
      <c r="L5927" s="13"/>
    </row>
    <row r="5928" spans="1:12" hidden="1" x14ac:dyDescent="0.25">
      <c r="A5928" s="6"/>
      <c r="B5928" s="6"/>
      <c r="C5928" s="11"/>
      <c r="D5928" s="13"/>
      <c r="E5928" s="13"/>
      <c r="F5928" s="13"/>
      <c r="G5928" s="13"/>
      <c r="H5928" s="13"/>
      <c r="I5928" s="10"/>
      <c r="J5928" s="11"/>
      <c r="K5928" s="6"/>
      <c r="L5928" s="13"/>
    </row>
    <row r="5929" spans="1:12" hidden="1" x14ac:dyDescent="0.25">
      <c r="A5929" s="6"/>
      <c r="B5929" s="6"/>
      <c r="C5929" s="11"/>
      <c r="D5929" s="13"/>
      <c r="E5929" s="13"/>
      <c r="F5929" s="13"/>
      <c r="G5929" s="13"/>
      <c r="H5929" s="13"/>
      <c r="I5929" s="10"/>
      <c r="J5929" s="11"/>
      <c r="K5929" s="6"/>
      <c r="L5929" s="13"/>
    </row>
    <row r="5930" spans="1:12" hidden="1" x14ac:dyDescent="0.25">
      <c r="A5930" s="6"/>
      <c r="B5930" s="6"/>
      <c r="C5930" s="11"/>
      <c r="D5930" s="13"/>
      <c r="E5930" s="13"/>
      <c r="F5930" s="13"/>
      <c r="G5930" s="13"/>
      <c r="H5930" s="13"/>
      <c r="I5930" s="10"/>
      <c r="J5930" s="11"/>
      <c r="K5930" s="6"/>
      <c r="L5930" s="13"/>
    </row>
    <row r="5931" spans="1:12" hidden="1" x14ac:dyDescent="0.25">
      <c r="A5931" s="6"/>
      <c r="B5931" s="6"/>
      <c r="C5931" s="11"/>
      <c r="D5931" s="13"/>
      <c r="E5931" s="13"/>
      <c r="F5931" s="13"/>
      <c r="G5931" s="13"/>
      <c r="H5931" s="13"/>
      <c r="I5931" s="10"/>
      <c r="J5931" s="11"/>
      <c r="K5931" s="6"/>
      <c r="L5931" s="13"/>
    </row>
    <row r="5932" spans="1:12" hidden="1" x14ac:dyDescent="0.25">
      <c r="A5932" s="6"/>
      <c r="B5932" s="6"/>
      <c r="C5932" s="11"/>
      <c r="D5932" s="13"/>
      <c r="E5932" s="13"/>
      <c r="F5932" s="13"/>
      <c r="G5932" s="13"/>
      <c r="H5932" s="13"/>
      <c r="I5932" s="10"/>
      <c r="J5932" s="11"/>
      <c r="K5932" s="6"/>
      <c r="L5932" s="13"/>
    </row>
    <row r="5933" spans="1:12" hidden="1" x14ac:dyDescent="0.25">
      <c r="A5933" s="6"/>
      <c r="B5933" s="6"/>
      <c r="C5933" s="11"/>
      <c r="D5933" s="13"/>
      <c r="E5933" s="13"/>
      <c r="F5933" s="13"/>
      <c r="G5933" s="13"/>
      <c r="H5933" s="13"/>
      <c r="I5933" s="10"/>
      <c r="J5933" s="11"/>
      <c r="K5933" s="6"/>
      <c r="L5933" s="13"/>
    </row>
    <row r="5934" spans="1:12" hidden="1" x14ac:dyDescent="0.25">
      <c r="A5934" s="6"/>
      <c r="B5934" s="6"/>
      <c r="C5934" s="11"/>
      <c r="D5934" s="13"/>
      <c r="E5934" s="13"/>
      <c r="F5934" s="13"/>
      <c r="G5934" s="13"/>
      <c r="H5934" s="13"/>
      <c r="I5934" s="10"/>
      <c r="J5934" s="11"/>
      <c r="K5934" s="6"/>
      <c r="L5934" s="13"/>
    </row>
    <row r="5935" spans="1:12" hidden="1" x14ac:dyDescent="0.25">
      <c r="A5935" s="6"/>
      <c r="B5935" s="6"/>
      <c r="C5935" s="11"/>
      <c r="D5935" s="13"/>
      <c r="E5935" s="13"/>
      <c r="F5935" s="13"/>
      <c r="G5935" s="13"/>
      <c r="H5935" s="13"/>
      <c r="I5935" s="10"/>
      <c r="J5935" s="11"/>
      <c r="K5935" s="6"/>
      <c r="L5935" s="13"/>
    </row>
    <row r="5936" spans="1:12" hidden="1" x14ac:dyDescent="0.25">
      <c r="A5936" s="6"/>
      <c r="B5936" s="6"/>
      <c r="C5936" s="11"/>
      <c r="D5936" s="13"/>
      <c r="E5936" s="13"/>
      <c r="F5936" s="13"/>
      <c r="G5936" s="13"/>
      <c r="H5936" s="13"/>
      <c r="I5936" s="10"/>
      <c r="J5936" s="11"/>
      <c r="K5936" s="6"/>
      <c r="L5936" s="13"/>
    </row>
    <row r="5937" spans="1:12" hidden="1" x14ac:dyDescent="0.25">
      <c r="A5937" s="6"/>
      <c r="B5937" s="6"/>
      <c r="C5937" s="11"/>
      <c r="D5937" s="13"/>
      <c r="E5937" s="13"/>
      <c r="F5937" s="13"/>
      <c r="G5937" s="13"/>
      <c r="H5937" s="13"/>
      <c r="I5937" s="10"/>
      <c r="J5937" s="11"/>
      <c r="K5937" s="6"/>
      <c r="L5937" s="13"/>
    </row>
    <row r="5938" spans="1:12" hidden="1" x14ac:dyDescent="0.25">
      <c r="A5938" s="6"/>
      <c r="B5938" s="6"/>
      <c r="C5938" s="11"/>
      <c r="D5938" s="13"/>
      <c r="E5938" s="13"/>
      <c r="F5938" s="13"/>
      <c r="G5938" s="13"/>
      <c r="H5938" s="13"/>
      <c r="I5938" s="10"/>
      <c r="J5938" s="11"/>
      <c r="K5938" s="6"/>
      <c r="L5938" s="13"/>
    </row>
    <row r="5939" spans="1:12" hidden="1" x14ac:dyDescent="0.25">
      <c r="A5939" s="6"/>
      <c r="B5939" s="6"/>
      <c r="C5939" s="11"/>
      <c r="D5939" s="13"/>
      <c r="E5939" s="13"/>
      <c r="F5939" s="13"/>
      <c r="G5939" s="13"/>
      <c r="H5939" s="13"/>
      <c r="I5939" s="10"/>
      <c r="J5939" s="11"/>
      <c r="K5939" s="6"/>
      <c r="L5939" s="13"/>
    </row>
    <row r="5940" spans="1:12" hidden="1" x14ac:dyDescent="0.25">
      <c r="A5940" s="6"/>
      <c r="B5940" s="6"/>
      <c r="C5940" s="11"/>
      <c r="D5940" s="13"/>
      <c r="E5940" s="13"/>
      <c r="F5940" s="13"/>
      <c r="G5940" s="13"/>
      <c r="H5940" s="13"/>
      <c r="I5940" s="10"/>
      <c r="J5940" s="11"/>
      <c r="K5940" s="6"/>
      <c r="L5940" s="13"/>
    </row>
    <row r="5941" spans="1:12" hidden="1" x14ac:dyDescent="0.25">
      <c r="A5941" s="6"/>
      <c r="B5941" s="6"/>
      <c r="C5941" s="11"/>
      <c r="D5941" s="13"/>
      <c r="E5941" s="13"/>
      <c r="F5941" s="13"/>
      <c r="G5941" s="13"/>
      <c r="H5941" s="13"/>
      <c r="I5941" s="10"/>
      <c r="J5941" s="11"/>
      <c r="K5941" s="6"/>
      <c r="L5941" s="13"/>
    </row>
    <row r="5942" spans="1:12" hidden="1" x14ac:dyDescent="0.25">
      <c r="A5942" s="6"/>
      <c r="B5942" s="6"/>
      <c r="C5942" s="11"/>
      <c r="D5942" s="13"/>
      <c r="E5942" s="13"/>
      <c r="F5942" s="13"/>
      <c r="G5942" s="13"/>
      <c r="H5942" s="13"/>
      <c r="I5942" s="10"/>
      <c r="J5942" s="11"/>
      <c r="K5942" s="6"/>
      <c r="L5942" s="13"/>
    </row>
    <row r="5943" spans="1:12" hidden="1" x14ac:dyDescent="0.25">
      <c r="A5943" s="6"/>
      <c r="B5943" s="6"/>
      <c r="C5943" s="11"/>
      <c r="D5943" s="13"/>
      <c r="E5943" s="13"/>
      <c r="F5943" s="13"/>
      <c r="G5943" s="13"/>
      <c r="H5943" s="13"/>
      <c r="I5943" s="10"/>
      <c r="J5943" s="11"/>
      <c r="K5943" s="6"/>
      <c r="L5943" s="13"/>
    </row>
    <row r="5944" spans="1:12" hidden="1" x14ac:dyDescent="0.25">
      <c r="A5944" s="6"/>
      <c r="B5944" s="6"/>
      <c r="C5944" s="11"/>
      <c r="D5944" s="13"/>
      <c r="E5944" s="13"/>
      <c r="F5944" s="13"/>
      <c r="G5944" s="13"/>
      <c r="H5944" s="13"/>
      <c r="I5944" s="10"/>
      <c r="J5944" s="11"/>
      <c r="K5944" s="6"/>
      <c r="L5944" s="13"/>
    </row>
    <row r="5945" spans="1:12" hidden="1" x14ac:dyDescent="0.25">
      <c r="A5945" s="6"/>
      <c r="B5945" s="6"/>
      <c r="C5945" s="11"/>
      <c r="D5945" s="13"/>
      <c r="E5945" s="13"/>
      <c r="F5945" s="13"/>
      <c r="G5945" s="13"/>
      <c r="H5945" s="13"/>
      <c r="I5945" s="10"/>
      <c r="J5945" s="11"/>
      <c r="K5945" s="6"/>
      <c r="L5945" s="13"/>
    </row>
    <row r="5946" spans="1:12" hidden="1" x14ac:dyDescent="0.25">
      <c r="A5946" s="6"/>
      <c r="B5946" s="6"/>
      <c r="C5946" s="11"/>
      <c r="D5946" s="13"/>
      <c r="E5946" s="13"/>
      <c r="F5946" s="13"/>
      <c r="G5946" s="13"/>
      <c r="H5946" s="13"/>
      <c r="I5946" s="10"/>
      <c r="J5946" s="11"/>
      <c r="K5946" s="6"/>
      <c r="L5946" s="13"/>
    </row>
    <row r="5947" spans="1:12" hidden="1" x14ac:dyDescent="0.25">
      <c r="A5947" s="6"/>
      <c r="B5947" s="6"/>
      <c r="C5947" s="11"/>
      <c r="D5947" s="13"/>
      <c r="E5947" s="13"/>
      <c r="F5947" s="13"/>
      <c r="G5947" s="13"/>
      <c r="H5947" s="13"/>
      <c r="I5947" s="10"/>
      <c r="J5947" s="11"/>
      <c r="K5947" s="6"/>
      <c r="L5947" s="13"/>
    </row>
    <row r="5948" spans="1:12" hidden="1" x14ac:dyDescent="0.25">
      <c r="A5948" s="6"/>
      <c r="B5948" s="6"/>
      <c r="C5948" s="11"/>
      <c r="D5948" s="13"/>
      <c r="E5948" s="13"/>
      <c r="F5948" s="13"/>
      <c r="G5948" s="13"/>
      <c r="H5948" s="13"/>
      <c r="I5948" s="10"/>
      <c r="J5948" s="11"/>
      <c r="K5948" s="6"/>
      <c r="L5948" s="13"/>
    </row>
    <row r="5949" spans="1:12" hidden="1" x14ac:dyDescent="0.25">
      <c r="A5949" s="6"/>
      <c r="B5949" s="6"/>
      <c r="C5949" s="11"/>
      <c r="D5949" s="13"/>
      <c r="E5949" s="13"/>
      <c r="F5949" s="13"/>
      <c r="G5949" s="13"/>
      <c r="H5949" s="13"/>
      <c r="I5949" s="10"/>
      <c r="J5949" s="11"/>
      <c r="K5949" s="6"/>
      <c r="L5949" s="13"/>
    </row>
    <row r="5950" spans="1:12" hidden="1" x14ac:dyDescent="0.25">
      <c r="A5950" s="6"/>
      <c r="B5950" s="6"/>
      <c r="C5950" s="11"/>
      <c r="D5950" s="13"/>
      <c r="E5950" s="13"/>
      <c r="F5950" s="13"/>
      <c r="G5950" s="13"/>
      <c r="H5950" s="13"/>
      <c r="I5950" s="10"/>
      <c r="J5950" s="11"/>
      <c r="K5950" s="6"/>
      <c r="L5950" s="13"/>
    </row>
    <row r="5951" spans="1:12" hidden="1" x14ac:dyDescent="0.25">
      <c r="A5951" s="6"/>
      <c r="B5951" s="6"/>
      <c r="C5951" s="11"/>
      <c r="D5951" s="13"/>
      <c r="E5951" s="13"/>
      <c r="F5951" s="13"/>
      <c r="G5951" s="13"/>
      <c r="H5951" s="13"/>
      <c r="I5951" s="10"/>
      <c r="J5951" s="11"/>
      <c r="K5951" s="6"/>
      <c r="L5951" s="13"/>
    </row>
    <row r="5952" spans="1:12" hidden="1" x14ac:dyDescent="0.25">
      <c r="A5952" s="6"/>
      <c r="B5952" s="6"/>
      <c r="C5952" s="11"/>
      <c r="D5952" s="13"/>
      <c r="E5952" s="13"/>
      <c r="F5952" s="13"/>
      <c r="G5952" s="13"/>
      <c r="H5952" s="13"/>
      <c r="I5952" s="10"/>
      <c r="J5952" s="11"/>
      <c r="K5952" s="6"/>
      <c r="L5952" s="13"/>
    </row>
    <row r="5953" spans="1:12" hidden="1" x14ac:dyDescent="0.25">
      <c r="A5953" s="6"/>
      <c r="B5953" s="6"/>
      <c r="C5953" s="11"/>
      <c r="D5953" s="13"/>
      <c r="E5953" s="13"/>
      <c r="F5953" s="13"/>
      <c r="G5953" s="13"/>
      <c r="H5953" s="13"/>
      <c r="I5953" s="10"/>
      <c r="J5953" s="11"/>
      <c r="K5953" s="6"/>
      <c r="L5953" s="13"/>
    </row>
    <row r="5954" spans="1:12" hidden="1" x14ac:dyDescent="0.25">
      <c r="A5954" s="6"/>
      <c r="B5954" s="6"/>
      <c r="C5954" s="11"/>
      <c r="D5954" s="13"/>
      <c r="E5954" s="13"/>
      <c r="F5954" s="13"/>
      <c r="G5954" s="13"/>
      <c r="H5954" s="13"/>
      <c r="I5954" s="10"/>
      <c r="J5954" s="11"/>
      <c r="K5954" s="6"/>
      <c r="L5954" s="13"/>
    </row>
    <row r="5955" spans="1:12" hidden="1" x14ac:dyDescent="0.25">
      <c r="A5955" s="6"/>
      <c r="B5955" s="6"/>
      <c r="C5955" s="11"/>
      <c r="D5955" s="13"/>
      <c r="E5955" s="13"/>
      <c r="F5955" s="13"/>
      <c r="G5955" s="13"/>
      <c r="H5955" s="13"/>
      <c r="I5955" s="10"/>
      <c r="J5955" s="11"/>
      <c r="K5955" s="6"/>
      <c r="L5955" s="13"/>
    </row>
    <row r="5956" spans="1:12" hidden="1" x14ac:dyDescent="0.25">
      <c r="A5956" s="6"/>
      <c r="B5956" s="6"/>
      <c r="C5956" s="11"/>
      <c r="D5956" s="13"/>
      <c r="E5956" s="13"/>
      <c r="F5956" s="13"/>
      <c r="G5956" s="13"/>
      <c r="H5956" s="13"/>
      <c r="I5956" s="10"/>
      <c r="J5956" s="11"/>
      <c r="K5956" s="6"/>
      <c r="L5956" s="13"/>
    </row>
    <row r="5957" spans="1:12" hidden="1" x14ac:dyDescent="0.25">
      <c r="A5957" s="6"/>
      <c r="B5957" s="6"/>
      <c r="C5957" s="11"/>
      <c r="D5957" s="13"/>
      <c r="E5957" s="13"/>
      <c r="F5957" s="13"/>
      <c r="G5957" s="13"/>
      <c r="H5957" s="13"/>
      <c r="I5957" s="10"/>
      <c r="J5957" s="11"/>
      <c r="K5957" s="6"/>
      <c r="L5957" s="13"/>
    </row>
    <row r="5958" spans="1:12" hidden="1" x14ac:dyDescent="0.25">
      <c r="A5958" s="6"/>
      <c r="B5958" s="6"/>
      <c r="C5958" s="11"/>
      <c r="D5958" s="13"/>
      <c r="E5958" s="13"/>
      <c r="F5958" s="13"/>
      <c r="G5958" s="13"/>
      <c r="H5958" s="13"/>
      <c r="I5958" s="10"/>
      <c r="J5958" s="11"/>
      <c r="K5958" s="6"/>
      <c r="L5958" s="13"/>
    </row>
    <row r="5959" spans="1:12" hidden="1" x14ac:dyDescent="0.25">
      <c r="A5959" s="6"/>
      <c r="B5959" s="6"/>
      <c r="C5959" s="11"/>
      <c r="D5959" s="13"/>
      <c r="E5959" s="13"/>
      <c r="F5959" s="13"/>
      <c r="G5959" s="13"/>
      <c r="H5959" s="13"/>
      <c r="I5959" s="10"/>
      <c r="J5959" s="11"/>
      <c r="K5959" s="6"/>
      <c r="L5959" s="13"/>
    </row>
    <row r="5960" spans="1:12" hidden="1" x14ac:dyDescent="0.25">
      <c r="A5960" s="6"/>
      <c r="B5960" s="6"/>
      <c r="C5960" s="11"/>
      <c r="D5960" s="13"/>
      <c r="E5960" s="13"/>
      <c r="F5960" s="13"/>
      <c r="G5960" s="13"/>
      <c r="H5960" s="13"/>
      <c r="I5960" s="10"/>
      <c r="J5960" s="11"/>
      <c r="K5960" s="6"/>
      <c r="L5960" s="13"/>
    </row>
    <row r="5961" spans="1:12" hidden="1" x14ac:dyDescent="0.25">
      <c r="A5961" s="6"/>
      <c r="B5961" s="6"/>
      <c r="C5961" s="11"/>
      <c r="D5961" s="13"/>
      <c r="E5961" s="13"/>
      <c r="F5961" s="13"/>
      <c r="G5961" s="13"/>
      <c r="H5961" s="13"/>
      <c r="I5961" s="10"/>
      <c r="J5961" s="11"/>
      <c r="K5961" s="6"/>
      <c r="L5961" s="114"/>
    </row>
    <row r="5962" spans="1:12" hidden="1" x14ac:dyDescent="0.25">
      <c r="A5962" s="6"/>
      <c r="B5962" s="6"/>
      <c r="C5962" s="11"/>
      <c r="D5962" s="13"/>
      <c r="E5962" s="13"/>
      <c r="F5962" s="13"/>
      <c r="G5962" s="13"/>
      <c r="H5962" s="13"/>
      <c r="I5962" s="10"/>
      <c r="J5962" s="11"/>
      <c r="K5962" s="6"/>
      <c r="L5962" s="13"/>
    </row>
    <row r="5963" spans="1:12" hidden="1" x14ac:dyDescent="0.25">
      <c r="A5963" s="6"/>
      <c r="B5963" s="6"/>
      <c r="C5963" s="11"/>
      <c r="D5963" s="13"/>
      <c r="E5963" s="13"/>
      <c r="F5963" s="13"/>
      <c r="G5963" s="13"/>
      <c r="H5963" s="13"/>
      <c r="I5963" s="10"/>
      <c r="J5963" s="11"/>
      <c r="K5963" s="6"/>
      <c r="L5963" s="13"/>
    </row>
    <row r="5964" spans="1:12" hidden="1" x14ac:dyDescent="0.25">
      <c r="A5964" s="6"/>
      <c r="B5964" s="6"/>
      <c r="C5964" s="11"/>
      <c r="D5964" s="13"/>
      <c r="E5964" s="13"/>
      <c r="F5964" s="13"/>
      <c r="G5964" s="13"/>
      <c r="H5964" s="13"/>
      <c r="I5964" s="10"/>
      <c r="J5964" s="11"/>
      <c r="K5964" s="6"/>
      <c r="L5964" s="13"/>
    </row>
    <row r="5965" spans="1:12" hidden="1" x14ac:dyDescent="0.25">
      <c r="A5965" s="6"/>
      <c r="B5965" s="6"/>
      <c r="C5965" s="11"/>
      <c r="D5965" s="13"/>
      <c r="E5965" s="13"/>
      <c r="F5965" s="13"/>
      <c r="G5965" s="13"/>
      <c r="H5965" s="13"/>
      <c r="I5965" s="10"/>
      <c r="J5965" s="11"/>
      <c r="K5965" s="6"/>
      <c r="L5965" s="13"/>
    </row>
    <row r="5966" spans="1:12" hidden="1" x14ac:dyDescent="0.25">
      <c r="A5966" s="6"/>
      <c r="B5966" s="6"/>
      <c r="C5966" s="11"/>
      <c r="D5966" s="13"/>
      <c r="E5966" s="13"/>
      <c r="F5966" s="13"/>
      <c r="G5966" s="13"/>
      <c r="H5966" s="13"/>
      <c r="I5966" s="10"/>
      <c r="J5966" s="11"/>
      <c r="K5966" s="6"/>
      <c r="L5966" s="13"/>
    </row>
    <row r="5967" spans="1:12" hidden="1" x14ac:dyDescent="0.25">
      <c r="A5967" s="6"/>
      <c r="B5967" s="6"/>
      <c r="C5967" s="11"/>
      <c r="D5967" s="13"/>
      <c r="E5967" s="13"/>
      <c r="F5967" s="13"/>
      <c r="G5967" s="13"/>
      <c r="H5967" s="13"/>
      <c r="I5967" s="10"/>
      <c r="J5967" s="11"/>
      <c r="K5967" s="6"/>
      <c r="L5967" s="114"/>
    </row>
    <row r="5968" spans="1:12" hidden="1" x14ac:dyDescent="0.25">
      <c r="A5968" s="6"/>
      <c r="B5968" s="6"/>
      <c r="C5968" s="11"/>
      <c r="D5968" s="13"/>
      <c r="E5968" s="13"/>
      <c r="F5968" s="13"/>
      <c r="G5968" s="13"/>
      <c r="H5968" s="13"/>
      <c r="I5968" s="10"/>
      <c r="J5968" s="11"/>
      <c r="K5968" s="6"/>
      <c r="L5968" s="13"/>
    </row>
    <row r="5969" spans="1:12" hidden="1" x14ac:dyDescent="0.25">
      <c r="A5969" s="6"/>
      <c r="B5969" s="6"/>
      <c r="C5969" s="11"/>
      <c r="D5969" s="13"/>
      <c r="E5969" s="13"/>
      <c r="F5969" s="13"/>
      <c r="G5969" s="13"/>
      <c r="H5969" s="13"/>
      <c r="I5969" s="10"/>
      <c r="J5969" s="11"/>
      <c r="K5969" s="6"/>
      <c r="L5969" s="13"/>
    </row>
    <row r="5970" spans="1:12" hidden="1" x14ac:dyDescent="0.25">
      <c r="A5970" s="6"/>
      <c r="B5970" s="6"/>
      <c r="C5970" s="11"/>
      <c r="D5970" s="13"/>
      <c r="E5970" s="13"/>
      <c r="F5970" s="13"/>
      <c r="G5970" s="13"/>
      <c r="H5970" s="13"/>
      <c r="I5970" s="10"/>
      <c r="J5970" s="11"/>
      <c r="K5970" s="6"/>
      <c r="L5970" s="13"/>
    </row>
    <row r="5971" spans="1:12" hidden="1" x14ac:dyDescent="0.25">
      <c r="A5971" s="6"/>
      <c r="B5971" s="6"/>
      <c r="C5971" s="11"/>
      <c r="D5971" s="13"/>
      <c r="E5971" s="13"/>
      <c r="F5971" s="13"/>
      <c r="G5971" s="13"/>
      <c r="H5971" s="13"/>
      <c r="I5971" s="10"/>
      <c r="J5971" s="11"/>
      <c r="K5971" s="6"/>
      <c r="L5971" s="13"/>
    </row>
    <row r="5972" spans="1:12" hidden="1" x14ac:dyDescent="0.25">
      <c r="A5972" s="6"/>
      <c r="B5972" s="6"/>
      <c r="C5972" s="11"/>
      <c r="D5972" s="13"/>
      <c r="E5972" s="13"/>
      <c r="F5972" s="13"/>
      <c r="G5972" s="13"/>
      <c r="H5972" s="13"/>
      <c r="I5972" s="10"/>
      <c r="J5972" s="11"/>
      <c r="K5972" s="6"/>
      <c r="L5972" s="13"/>
    </row>
    <row r="5973" spans="1:12" hidden="1" x14ac:dyDescent="0.25">
      <c r="A5973" s="6"/>
      <c r="B5973" s="6"/>
      <c r="C5973" s="11"/>
      <c r="D5973" s="13"/>
      <c r="E5973" s="13"/>
      <c r="F5973" s="13"/>
      <c r="G5973" s="13"/>
      <c r="H5973" s="13"/>
      <c r="I5973" s="10"/>
      <c r="J5973" s="11"/>
      <c r="K5973" s="6"/>
      <c r="L5973" s="13"/>
    </row>
    <row r="5974" spans="1:12" hidden="1" x14ac:dyDescent="0.25">
      <c r="A5974" s="6"/>
      <c r="B5974" s="6"/>
      <c r="C5974" s="11"/>
      <c r="D5974" s="13"/>
      <c r="E5974" s="13"/>
      <c r="F5974" s="13"/>
      <c r="G5974" s="13"/>
      <c r="H5974" s="13"/>
      <c r="I5974" s="10"/>
      <c r="J5974" s="11"/>
      <c r="K5974" s="6"/>
      <c r="L5974" s="13"/>
    </row>
    <row r="5975" spans="1:12" hidden="1" x14ac:dyDescent="0.25">
      <c r="A5975" s="6"/>
      <c r="B5975" s="6"/>
      <c r="C5975" s="11"/>
      <c r="D5975" s="13"/>
      <c r="E5975" s="13"/>
      <c r="F5975" s="13"/>
      <c r="G5975" s="13"/>
      <c r="H5975" s="13"/>
      <c r="I5975" s="10"/>
      <c r="J5975" s="11"/>
      <c r="K5975" s="6"/>
      <c r="L5975" s="13"/>
    </row>
    <row r="5976" spans="1:12" hidden="1" x14ac:dyDescent="0.25">
      <c r="A5976" s="6"/>
      <c r="B5976" s="6"/>
      <c r="C5976" s="11"/>
      <c r="D5976" s="13"/>
      <c r="E5976" s="13"/>
      <c r="F5976" s="13"/>
      <c r="G5976" s="13"/>
      <c r="H5976" s="13"/>
      <c r="I5976" s="10"/>
      <c r="J5976" s="11"/>
      <c r="K5976" s="6"/>
      <c r="L5976" s="13"/>
    </row>
    <row r="5977" spans="1:12" hidden="1" x14ac:dyDescent="0.25">
      <c r="A5977" s="6"/>
      <c r="B5977" s="6"/>
      <c r="C5977" s="11"/>
      <c r="D5977" s="13"/>
      <c r="E5977" s="13"/>
      <c r="F5977" s="13"/>
      <c r="G5977" s="13"/>
      <c r="H5977" s="13"/>
      <c r="I5977" s="10"/>
      <c r="J5977" s="11"/>
      <c r="K5977" s="6"/>
      <c r="L5977" s="13"/>
    </row>
    <row r="5978" spans="1:12" hidden="1" x14ac:dyDescent="0.25">
      <c r="A5978" s="6"/>
      <c r="B5978" s="6"/>
      <c r="C5978" s="11"/>
      <c r="D5978" s="13"/>
      <c r="E5978" s="13"/>
      <c r="F5978" s="13"/>
      <c r="G5978" s="13"/>
      <c r="H5978" s="13"/>
      <c r="I5978" s="10"/>
      <c r="J5978" s="11"/>
      <c r="K5978" s="6"/>
      <c r="L5978" s="13"/>
    </row>
    <row r="5979" spans="1:12" hidden="1" x14ac:dyDescent="0.25">
      <c r="A5979" s="6"/>
      <c r="B5979" s="6"/>
      <c r="C5979" s="11"/>
      <c r="D5979" s="13"/>
      <c r="E5979" s="13"/>
      <c r="F5979" s="13"/>
      <c r="G5979" s="13"/>
      <c r="H5979" s="13"/>
      <c r="I5979" s="10"/>
      <c r="J5979" s="11"/>
      <c r="K5979" s="6"/>
      <c r="L5979" s="13"/>
    </row>
    <row r="5980" spans="1:12" hidden="1" x14ac:dyDescent="0.25">
      <c r="A5980" s="6"/>
      <c r="B5980" s="6"/>
      <c r="C5980" s="11"/>
      <c r="D5980" s="13"/>
      <c r="E5980" s="13"/>
      <c r="F5980" s="13"/>
      <c r="G5980" s="13"/>
      <c r="H5980" s="13"/>
      <c r="I5980" s="10"/>
      <c r="J5980" s="11"/>
      <c r="K5980" s="6"/>
      <c r="L5980" s="13"/>
    </row>
    <row r="5981" spans="1:12" hidden="1" x14ac:dyDescent="0.25">
      <c r="A5981" s="6"/>
      <c r="B5981" s="6"/>
      <c r="C5981" s="11"/>
      <c r="D5981" s="13"/>
      <c r="E5981" s="13"/>
      <c r="F5981" s="13"/>
      <c r="G5981" s="13"/>
      <c r="H5981" s="13"/>
      <c r="I5981" s="10"/>
      <c r="J5981" s="11"/>
      <c r="K5981" s="6"/>
      <c r="L5981" s="13"/>
    </row>
    <row r="5982" spans="1:12" hidden="1" x14ac:dyDescent="0.25">
      <c r="A5982" s="6"/>
      <c r="B5982" s="6"/>
      <c r="C5982" s="11"/>
      <c r="D5982" s="13"/>
      <c r="E5982" s="13"/>
      <c r="F5982" s="13"/>
      <c r="G5982" s="13"/>
      <c r="H5982" s="13"/>
      <c r="I5982" s="10"/>
      <c r="J5982" s="11"/>
      <c r="K5982" s="6"/>
      <c r="L5982" s="13"/>
    </row>
    <row r="5983" spans="1:12" hidden="1" x14ac:dyDescent="0.25">
      <c r="A5983" s="6"/>
      <c r="B5983" s="6"/>
      <c r="C5983" s="11"/>
      <c r="D5983" s="13"/>
      <c r="E5983" s="13"/>
      <c r="F5983" s="13"/>
      <c r="G5983" s="13"/>
      <c r="H5983" s="13"/>
      <c r="I5983" s="10"/>
      <c r="J5983" s="11"/>
      <c r="K5983" s="6"/>
      <c r="L5983" s="13"/>
    </row>
    <row r="5984" spans="1:12" hidden="1" x14ac:dyDescent="0.25">
      <c r="A5984" s="6"/>
      <c r="B5984" s="6"/>
      <c r="C5984" s="11"/>
      <c r="D5984" s="13"/>
      <c r="E5984" s="13"/>
      <c r="F5984" s="13"/>
      <c r="G5984" s="13"/>
      <c r="H5984" s="13"/>
      <c r="I5984" s="10"/>
      <c r="J5984" s="11"/>
      <c r="K5984" s="6"/>
      <c r="L5984" s="13"/>
    </row>
    <row r="5985" spans="1:12" hidden="1" x14ac:dyDescent="0.25">
      <c r="A5985" s="6"/>
      <c r="B5985" s="6"/>
      <c r="C5985" s="11"/>
      <c r="D5985" s="13"/>
      <c r="E5985" s="13"/>
      <c r="F5985" s="13"/>
      <c r="G5985" s="13"/>
      <c r="H5985" s="13"/>
      <c r="I5985" s="10"/>
      <c r="J5985" s="11"/>
      <c r="K5985" s="6"/>
      <c r="L5985" s="13"/>
    </row>
    <row r="5986" spans="1:12" hidden="1" x14ac:dyDescent="0.25">
      <c r="A5986" s="6"/>
      <c r="B5986" s="6"/>
      <c r="C5986" s="11"/>
      <c r="D5986" s="13"/>
      <c r="E5986" s="13"/>
      <c r="F5986" s="13"/>
      <c r="G5986" s="13"/>
      <c r="H5986" s="13"/>
      <c r="I5986" s="10"/>
      <c r="J5986" s="11"/>
      <c r="K5986" s="6"/>
      <c r="L5986" s="13"/>
    </row>
    <row r="5987" spans="1:12" hidden="1" x14ac:dyDescent="0.25">
      <c r="A5987" s="6"/>
      <c r="B5987" s="6"/>
      <c r="C5987" s="11"/>
      <c r="D5987" s="13"/>
      <c r="E5987" s="13"/>
      <c r="F5987" s="13"/>
      <c r="G5987" s="13"/>
      <c r="H5987" s="13"/>
      <c r="I5987" s="10"/>
      <c r="J5987" s="11"/>
      <c r="K5987" s="6"/>
      <c r="L5987" s="13"/>
    </row>
    <row r="5988" spans="1:12" hidden="1" x14ac:dyDescent="0.25">
      <c r="A5988" s="6"/>
      <c r="B5988" s="6"/>
      <c r="C5988" s="11"/>
      <c r="D5988" s="13"/>
      <c r="E5988" s="13"/>
      <c r="F5988" s="13"/>
      <c r="G5988" s="13"/>
      <c r="H5988" s="13"/>
      <c r="I5988" s="10"/>
      <c r="J5988" s="11"/>
      <c r="K5988" s="6"/>
      <c r="L5988" s="13"/>
    </row>
    <row r="5989" spans="1:12" hidden="1" x14ac:dyDescent="0.25">
      <c r="A5989" s="6"/>
      <c r="B5989" s="6"/>
      <c r="C5989" s="11"/>
      <c r="D5989" s="13"/>
      <c r="E5989" s="13"/>
      <c r="F5989" s="13"/>
      <c r="G5989" s="13"/>
      <c r="H5989" s="13"/>
      <c r="I5989" s="10"/>
      <c r="J5989" s="11"/>
      <c r="K5989" s="6"/>
      <c r="L5989" s="13"/>
    </row>
    <row r="5990" spans="1:12" hidden="1" x14ac:dyDescent="0.25">
      <c r="A5990" s="6"/>
      <c r="B5990" s="6"/>
      <c r="C5990" s="11"/>
      <c r="D5990" s="13"/>
      <c r="E5990" s="13"/>
      <c r="F5990" s="13"/>
      <c r="G5990" s="13"/>
      <c r="H5990" s="13"/>
      <c r="I5990" s="10"/>
      <c r="J5990" s="11"/>
      <c r="K5990" s="6"/>
      <c r="L5990" s="13"/>
    </row>
    <row r="5991" spans="1:12" hidden="1" x14ac:dyDescent="0.25">
      <c r="A5991" s="6"/>
      <c r="B5991" s="6"/>
      <c r="C5991" s="11"/>
      <c r="D5991" s="13"/>
      <c r="E5991" s="13"/>
      <c r="F5991" s="13"/>
      <c r="G5991" s="13"/>
      <c r="H5991" s="13"/>
      <c r="I5991" s="10"/>
      <c r="J5991" s="11"/>
      <c r="K5991" s="6"/>
      <c r="L5991" s="13"/>
    </row>
    <row r="5992" spans="1:12" hidden="1" x14ac:dyDescent="0.25">
      <c r="A5992" s="6"/>
      <c r="B5992" s="6"/>
      <c r="C5992" s="11"/>
      <c r="D5992" s="13"/>
      <c r="E5992" s="13"/>
      <c r="F5992" s="13"/>
      <c r="G5992" s="13"/>
      <c r="H5992" s="13"/>
      <c r="I5992" s="10"/>
      <c r="J5992" s="11"/>
      <c r="K5992" s="6"/>
      <c r="L5992" s="13"/>
    </row>
    <row r="5993" spans="1:12" hidden="1" x14ac:dyDescent="0.25">
      <c r="A5993" s="6"/>
      <c r="B5993" s="6"/>
      <c r="C5993" s="11"/>
      <c r="D5993" s="13"/>
      <c r="E5993" s="13"/>
      <c r="F5993" s="13"/>
      <c r="G5993" s="13"/>
      <c r="H5993" s="13"/>
      <c r="I5993" s="10"/>
      <c r="J5993" s="11"/>
      <c r="K5993" s="6"/>
      <c r="L5993" s="13"/>
    </row>
    <row r="5994" spans="1:12" hidden="1" x14ac:dyDescent="0.25">
      <c r="A5994" s="6"/>
      <c r="B5994" s="6"/>
      <c r="C5994" s="11"/>
      <c r="D5994" s="13"/>
      <c r="E5994" s="13"/>
      <c r="F5994" s="13"/>
      <c r="G5994" s="13"/>
      <c r="H5994" s="13"/>
      <c r="I5994" s="10"/>
      <c r="J5994" s="11"/>
      <c r="K5994" s="6"/>
      <c r="L5994" s="13"/>
    </row>
    <row r="5995" spans="1:12" hidden="1" x14ac:dyDescent="0.25">
      <c r="A5995" s="6"/>
      <c r="B5995" s="6"/>
      <c r="C5995" s="11"/>
      <c r="D5995" s="13"/>
      <c r="E5995" s="13"/>
      <c r="F5995" s="13"/>
      <c r="G5995" s="13"/>
      <c r="H5995" s="13"/>
      <c r="I5995" s="10"/>
      <c r="J5995" s="11"/>
      <c r="K5995" s="6"/>
      <c r="L5995" s="13"/>
    </row>
    <row r="5996" spans="1:12" hidden="1" x14ac:dyDescent="0.25">
      <c r="A5996" s="6"/>
      <c r="B5996" s="6"/>
      <c r="C5996" s="11"/>
      <c r="D5996" s="13"/>
      <c r="E5996" s="13"/>
      <c r="F5996" s="13"/>
      <c r="G5996" s="13"/>
      <c r="H5996" s="13"/>
      <c r="I5996" s="10"/>
      <c r="J5996" s="11"/>
      <c r="K5996" s="6"/>
      <c r="L5996" s="13"/>
    </row>
    <row r="5997" spans="1:12" hidden="1" x14ac:dyDescent="0.25">
      <c r="A5997" s="6"/>
      <c r="B5997" s="6"/>
      <c r="C5997" s="11"/>
      <c r="D5997" s="13"/>
      <c r="E5997" s="13"/>
      <c r="F5997" s="13"/>
      <c r="G5997" s="13"/>
      <c r="H5997" s="13"/>
      <c r="I5997" s="10"/>
      <c r="J5997" s="11"/>
      <c r="K5997" s="6"/>
      <c r="L5997" s="13"/>
    </row>
    <row r="5998" spans="1:12" hidden="1" x14ac:dyDescent="0.25">
      <c r="A5998" s="6"/>
      <c r="B5998" s="6"/>
      <c r="C5998" s="11"/>
      <c r="D5998" s="13"/>
      <c r="E5998" s="13"/>
      <c r="F5998" s="13"/>
      <c r="G5998" s="13"/>
      <c r="H5998" s="13"/>
      <c r="I5998" s="10"/>
      <c r="J5998" s="11"/>
      <c r="K5998" s="6"/>
      <c r="L5998" s="13"/>
    </row>
    <row r="5999" spans="1:12" hidden="1" x14ac:dyDescent="0.25">
      <c r="A5999" s="6"/>
      <c r="B5999" s="6"/>
      <c r="C5999" s="11"/>
      <c r="D5999" s="13"/>
      <c r="E5999" s="13"/>
      <c r="F5999" s="13"/>
      <c r="G5999" s="13"/>
      <c r="H5999" s="13"/>
      <c r="I5999" s="10"/>
      <c r="J5999" s="11"/>
      <c r="K5999" s="6"/>
      <c r="L5999" s="13"/>
    </row>
    <row r="6000" spans="1:12" hidden="1" x14ac:dyDescent="0.25">
      <c r="A6000" s="6"/>
      <c r="B6000" s="6"/>
      <c r="C6000" s="11"/>
      <c r="D6000" s="13"/>
      <c r="E6000" s="13"/>
      <c r="F6000" s="13"/>
      <c r="G6000" s="13"/>
      <c r="H6000" s="13"/>
      <c r="I6000" s="10"/>
      <c r="J6000" s="11"/>
      <c r="K6000" s="6"/>
      <c r="L6000" s="13"/>
    </row>
    <row r="6001" spans="1:12" hidden="1" x14ac:dyDescent="0.25">
      <c r="A6001" s="6"/>
      <c r="B6001" s="6"/>
      <c r="C6001" s="11"/>
      <c r="D6001" s="13"/>
      <c r="E6001" s="13"/>
      <c r="F6001" s="13"/>
      <c r="G6001" s="13"/>
      <c r="H6001" s="13"/>
      <c r="I6001" s="10"/>
      <c r="J6001" s="11"/>
      <c r="K6001" s="6"/>
      <c r="L6001" s="13"/>
    </row>
    <row r="6002" spans="1:12" hidden="1" x14ac:dyDescent="0.25">
      <c r="A6002" s="6"/>
      <c r="B6002" s="6"/>
      <c r="C6002" s="11"/>
      <c r="D6002" s="13"/>
      <c r="E6002" s="13"/>
      <c r="F6002" s="13"/>
      <c r="G6002" s="13"/>
      <c r="H6002" s="13"/>
      <c r="I6002" s="10"/>
      <c r="J6002" s="11"/>
      <c r="K6002" s="6"/>
      <c r="L6002" s="13"/>
    </row>
    <row r="6003" spans="1:12" hidden="1" x14ac:dyDescent="0.25">
      <c r="A6003" s="6"/>
      <c r="B6003" s="6"/>
      <c r="C6003" s="11"/>
      <c r="D6003" s="13"/>
      <c r="E6003" s="13"/>
      <c r="F6003" s="13"/>
      <c r="G6003" s="13"/>
      <c r="H6003" s="13"/>
      <c r="I6003" s="10"/>
      <c r="J6003" s="11"/>
      <c r="K6003" s="6"/>
      <c r="L6003" s="13"/>
    </row>
    <row r="6004" spans="1:12" hidden="1" x14ac:dyDescent="0.25">
      <c r="A6004" s="6"/>
      <c r="B6004" s="6"/>
      <c r="C6004" s="11"/>
      <c r="D6004" s="13"/>
      <c r="E6004" s="13"/>
      <c r="F6004" s="13"/>
      <c r="G6004" s="13"/>
      <c r="H6004" s="13"/>
      <c r="I6004" s="10"/>
      <c r="J6004" s="11"/>
      <c r="K6004" s="6"/>
      <c r="L6004" s="13"/>
    </row>
    <row r="6005" spans="1:12" hidden="1" x14ac:dyDescent="0.25">
      <c r="A6005" s="6"/>
      <c r="B6005" s="6"/>
      <c r="C6005" s="11"/>
      <c r="D6005" s="13"/>
      <c r="E6005" s="13"/>
      <c r="F6005" s="13"/>
      <c r="G6005" s="13"/>
      <c r="H6005" s="13"/>
      <c r="I6005" s="10"/>
      <c r="J6005" s="11"/>
      <c r="K6005" s="6"/>
      <c r="L6005" s="13"/>
    </row>
    <row r="6006" spans="1:12" hidden="1" x14ac:dyDescent="0.25">
      <c r="A6006" s="6"/>
      <c r="B6006" s="6"/>
      <c r="C6006" s="11"/>
      <c r="D6006" s="13"/>
      <c r="E6006" s="13"/>
      <c r="F6006" s="13"/>
      <c r="G6006" s="13"/>
      <c r="H6006" s="13"/>
      <c r="I6006" s="10"/>
      <c r="J6006" s="11"/>
      <c r="K6006" s="6"/>
      <c r="L6006" s="13"/>
    </row>
    <row r="6007" spans="1:12" hidden="1" x14ac:dyDescent="0.25">
      <c r="A6007" s="6"/>
      <c r="B6007" s="6"/>
      <c r="C6007" s="11"/>
      <c r="D6007" s="13"/>
      <c r="E6007" s="13"/>
      <c r="F6007" s="13"/>
      <c r="G6007" s="13"/>
      <c r="H6007" s="13"/>
      <c r="I6007" s="10"/>
      <c r="J6007" s="11"/>
      <c r="K6007" s="6"/>
      <c r="L6007" s="13"/>
    </row>
    <row r="6008" spans="1:12" hidden="1" x14ac:dyDescent="0.25">
      <c r="A6008" s="6"/>
      <c r="B6008" s="6"/>
      <c r="C6008" s="11"/>
      <c r="D6008" s="13"/>
      <c r="E6008" s="13"/>
      <c r="F6008" s="13"/>
      <c r="G6008" s="13"/>
      <c r="H6008" s="13"/>
      <c r="I6008" s="10"/>
      <c r="J6008" s="11"/>
      <c r="K6008" s="6"/>
      <c r="L6008" s="13"/>
    </row>
    <row r="6009" spans="1:12" hidden="1" x14ac:dyDescent="0.25">
      <c r="A6009" s="6"/>
      <c r="B6009" s="6"/>
      <c r="C6009" s="11"/>
      <c r="D6009" s="13"/>
      <c r="E6009" s="13"/>
      <c r="F6009" s="13"/>
      <c r="G6009" s="13"/>
      <c r="H6009" s="13"/>
      <c r="I6009" s="10"/>
      <c r="J6009" s="11"/>
      <c r="K6009" s="6"/>
      <c r="L6009" s="13"/>
    </row>
    <row r="6010" spans="1:12" hidden="1" x14ac:dyDescent="0.25">
      <c r="A6010" s="6"/>
      <c r="B6010" s="6"/>
      <c r="C6010" s="11"/>
      <c r="D6010" s="13"/>
      <c r="E6010" s="13"/>
      <c r="F6010" s="13"/>
      <c r="G6010" s="13"/>
      <c r="H6010" s="13"/>
      <c r="I6010" s="10"/>
      <c r="J6010" s="11"/>
      <c r="K6010" s="6"/>
      <c r="L6010" s="13"/>
    </row>
    <row r="6011" spans="1:12" hidden="1" x14ac:dyDescent="0.25">
      <c r="A6011" s="6"/>
      <c r="B6011" s="6"/>
      <c r="C6011" s="11"/>
      <c r="D6011" s="13"/>
      <c r="E6011" s="13"/>
      <c r="F6011" s="13"/>
      <c r="G6011" s="13"/>
      <c r="H6011" s="13"/>
      <c r="I6011" s="10"/>
      <c r="J6011" s="11"/>
      <c r="K6011" s="6"/>
      <c r="L6011" s="13"/>
    </row>
    <row r="6012" spans="1:12" hidden="1" x14ac:dyDescent="0.25">
      <c r="A6012" s="6"/>
      <c r="B6012" s="6"/>
      <c r="C6012" s="11"/>
      <c r="D6012" s="13"/>
      <c r="E6012" s="13"/>
      <c r="F6012" s="13"/>
      <c r="G6012" s="13"/>
      <c r="H6012" s="13"/>
      <c r="I6012" s="10"/>
      <c r="J6012" s="11"/>
      <c r="K6012" s="6"/>
      <c r="L6012" s="13"/>
    </row>
    <row r="6013" spans="1:12" hidden="1" x14ac:dyDescent="0.25">
      <c r="A6013" s="6"/>
      <c r="B6013" s="6"/>
      <c r="C6013" s="11"/>
      <c r="D6013" s="13"/>
      <c r="E6013" s="13"/>
      <c r="F6013" s="13"/>
      <c r="G6013" s="13"/>
      <c r="H6013" s="13"/>
      <c r="I6013" s="10"/>
      <c r="J6013" s="11"/>
      <c r="K6013" s="6"/>
      <c r="L6013" s="13"/>
    </row>
    <row r="6014" spans="1:12" hidden="1" x14ac:dyDescent="0.25">
      <c r="A6014" s="6"/>
      <c r="B6014" s="6"/>
      <c r="C6014" s="11"/>
      <c r="D6014" s="13"/>
      <c r="E6014" s="13"/>
      <c r="F6014" s="13"/>
      <c r="G6014" s="13"/>
      <c r="H6014" s="13"/>
      <c r="I6014" s="10"/>
      <c r="J6014" s="11"/>
      <c r="K6014" s="6"/>
      <c r="L6014" s="13"/>
    </row>
    <row r="6015" spans="1:12" hidden="1" x14ac:dyDescent="0.25">
      <c r="A6015" s="6"/>
      <c r="B6015" s="6"/>
      <c r="C6015" s="11"/>
      <c r="D6015" s="13"/>
      <c r="E6015" s="13"/>
      <c r="F6015" s="13"/>
      <c r="G6015" s="13"/>
      <c r="H6015" s="13"/>
      <c r="I6015" s="10"/>
      <c r="J6015" s="11"/>
      <c r="K6015" s="6"/>
      <c r="L6015" s="13"/>
    </row>
    <row r="6016" spans="1:12" hidden="1" x14ac:dyDescent="0.25">
      <c r="A6016" s="6"/>
      <c r="B6016" s="6"/>
      <c r="C6016" s="11"/>
      <c r="D6016" s="13"/>
      <c r="E6016" s="13"/>
      <c r="F6016" s="13"/>
      <c r="G6016" s="13"/>
      <c r="H6016" s="13"/>
      <c r="I6016" s="10"/>
      <c r="J6016" s="11"/>
      <c r="K6016" s="6"/>
      <c r="L6016" s="13"/>
    </row>
    <row r="6017" spans="1:12" hidden="1" x14ac:dyDescent="0.25">
      <c r="A6017" s="6"/>
      <c r="B6017" s="6"/>
      <c r="C6017" s="11"/>
      <c r="D6017" s="13"/>
      <c r="E6017" s="13"/>
      <c r="F6017" s="13"/>
      <c r="G6017" s="13"/>
      <c r="H6017" s="13"/>
      <c r="I6017" s="10"/>
      <c r="J6017" s="11"/>
      <c r="K6017" s="6"/>
      <c r="L6017" s="13"/>
    </row>
    <row r="6018" spans="1:12" hidden="1" x14ac:dyDescent="0.25">
      <c r="A6018" s="6"/>
      <c r="B6018" s="6"/>
      <c r="C6018" s="11"/>
      <c r="D6018" s="13"/>
      <c r="E6018" s="13"/>
      <c r="F6018" s="13"/>
      <c r="G6018" s="13"/>
      <c r="H6018" s="13"/>
      <c r="I6018" s="10"/>
      <c r="J6018" s="11"/>
      <c r="K6018" s="6"/>
      <c r="L6018" s="13"/>
    </row>
    <row r="6019" spans="1:12" hidden="1" x14ac:dyDescent="0.25">
      <c r="A6019" s="6"/>
      <c r="B6019" s="6"/>
      <c r="C6019" s="11"/>
      <c r="D6019" s="13"/>
      <c r="E6019" s="13"/>
      <c r="F6019" s="13"/>
      <c r="G6019" s="13"/>
      <c r="H6019" s="13"/>
      <c r="I6019" s="10"/>
      <c r="J6019" s="11"/>
      <c r="K6019" s="6"/>
      <c r="L6019" s="13"/>
    </row>
    <row r="6020" spans="1:12" hidden="1" x14ac:dyDescent="0.25">
      <c r="A6020" s="6"/>
      <c r="B6020" s="6"/>
      <c r="C6020" s="11"/>
      <c r="D6020" s="13"/>
      <c r="E6020" s="13"/>
      <c r="F6020" s="13"/>
      <c r="G6020" s="13"/>
      <c r="H6020" s="13"/>
      <c r="I6020" s="10"/>
      <c r="J6020" s="11"/>
      <c r="K6020" s="6"/>
      <c r="L6020" s="13"/>
    </row>
    <row r="6021" spans="1:12" hidden="1" x14ac:dyDescent="0.25">
      <c r="A6021" s="6"/>
      <c r="B6021" s="6"/>
      <c r="C6021" s="11"/>
      <c r="D6021" s="13"/>
      <c r="E6021" s="13"/>
      <c r="F6021" s="13"/>
      <c r="G6021" s="13"/>
      <c r="H6021" s="13"/>
      <c r="I6021" s="10"/>
      <c r="J6021" s="11"/>
      <c r="K6021" s="6"/>
      <c r="L6021" s="13"/>
    </row>
    <row r="6022" spans="1:12" hidden="1" x14ac:dyDescent="0.25">
      <c r="A6022" s="6"/>
      <c r="B6022" s="6"/>
      <c r="C6022" s="11"/>
      <c r="D6022" s="13"/>
      <c r="E6022" s="13"/>
      <c r="F6022" s="13"/>
      <c r="G6022" s="13"/>
      <c r="H6022" s="13"/>
      <c r="I6022" s="10"/>
      <c r="J6022" s="11"/>
      <c r="K6022" s="6"/>
      <c r="L6022" s="13"/>
    </row>
    <row r="6023" spans="1:12" hidden="1" x14ac:dyDescent="0.25">
      <c r="A6023" s="6"/>
      <c r="B6023" s="6"/>
      <c r="C6023" s="11"/>
      <c r="D6023" s="13"/>
      <c r="E6023" s="13"/>
      <c r="F6023" s="13"/>
      <c r="G6023" s="13"/>
      <c r="H6023" s="13"/>
      <c r="I6023" s="10"/>
      <c r="J6023" s="11"/>
      <c r="K6023" s="6"/>
      <c r="L6023" s="13"/>
    </row>
    <row r="6024" spans="1:12" hidden="1" x14ac:dyDescent="0.25">
      <c r="A6024" s="6"/>
      <c r="B6024" s="6"/>
      <c r="C6024" s="11"/>
      <c r="D6024" s="13"/>
      <c r="E6024" s="13"/>
      <c r="F6024" s="13"/>
      <c r="G6024" s="13"/>
      <c r="H6024" s="13"/>
      <c r="I6024" s="10"/>
      <c r="J6024" s="11"/>
      <c r="K6024" s="6"/>
      <c r="L6024" s="13"/>
    </row>
    <row r="6025" spans="1:12" hidden="1" x14ac:dyDescent="0.25">
      <c r="A6025" s="6"/>
      <c r="B6025" s="6"/>
      <c r="C6025" s="11"/>
      <c r="D6025" s="13"/>
      <c r="E6025" s="13"/>
      <c r="F6025" s="13"/>
      <c r="G6025" s="13"/>
      <c r="H6025" s="13"/>
      <c r="I6025" s="10"/>
      <c r="J6025" s="11"/>
      <c r="K6025" s="6"/>
      <c r="L6025" s="13"/>
    </row>
    <row r="6026" spans="1:12" hidden="1" x14ac:dyDescent="0.25">
      <c r="A6026" s="6"/>
      <c r="B6026" s="6"/>
      <c r="C6026" s="11"/>
      <c r="D6026" s="13"/>
      <c r="E6026" s="13"/>
      <c r="F6026" s="13"/>
      <c r="G6026" s="13"/>
      <c r="H6026" s="13"/>
      <c r="I6026" s="10"/>
      <c r="J6026" s="11"/>
      <c r="K6026" s="6"/>
      <c r="L6026" s="13"/>
    </row>
    <row r="6027" spans="1:12" hidden="1" x14ac:dyDescent="0.25">
      <c r="A6027" s="6"/>
      <c r="B6027" s="6"/>
      <c r="C6027" s="11"/>
      <c r="D6027" s="13"/>
      <c r="E6027" s="13"/>
      <c r="F6027" s="13"/>
      <c r="G6027" s="13"/>
      <c r="H6027" s="13"/>
      <c r="I6027" s="10"/>
      <c r="J6027" s="11"/>
      <c r="K6027" s="6"/>
      <c r="L6027" s="13"/>
    </row>
    <row r="6028" spans="1:12" hidden="1" x14ac:dyDescent="0.25">
      <c r="A6028" s="6"/>
      <c r="B6028" s="6"/>
      <c r="C6028" s="11"/>
      <c r="D6028" s="13"/>
      <c r="E6028" s="13"/>
      <c r="F6028" s="13"/>
      <c r="G6028" s="13"/>
      <c r="H6028" s="13"/>
      <c r="I6028" s="10"/>
      <c r="J6028" s="11"/>
      <c r="K6028" s="6"/>
      <c r="L6028" s="13"/>
    </row>
    <row r="6029" spans="1:12" hidden="1" x14ac:dyDescent="0.25">
      <c r="A6029" s="6"/>
      <c r="B6029" s="6"/>
      <c r="C6029" s="11"/>
      <c r="D6029" s="13"/>
      <c r="E6029" s="13"/>
      <c r="F6029" s="13"/>
      <c r="G6029" s="13"/>
      <c r="H6029" s="13"/>
      <c r="I6029" s="10"/>
      <c r="J6029" s="11"/>
      <c r="K6029" s="6"/>
      <c r="L6029" s="13"/>
    </row>
    <row r="6030" spans="1:12" hidden="1" x14ac:dyDescent="0.25">
      <c r="A6030" s="6"/>
      <c r="B6030" s="6"/>
      <c r="C6030" s="11"/>
      <c r="D6030" s="13"/>
      <c r="E6030" s="13"/>
      <c r="F6030" s="13"/>
      <c r="G6030" s="13"/>
      <c r="H6030" s="13"/>
      <c r="I6030" s="10"/>
      <c r="J6030" s="11"/>
      <c r="K6030" s="6"/>
      <c r="L6030" s="13"/>
    </row>
    <row r="6031" spans="1:12" hidden="1" x14ac:dyDescent="0.25">
      <c r="A6031" s="6"/>
      <c r="B6031" s="6"/>
      <c r="C6031" s="11"/>
      <c r="D6031" s="13"/>
      <c r="E6031" s="13"/>
      <c r="F6031" s="13"/>
      <c r="G6031" s="13"/>
      <c r="H6031" s="13"/>
      <c r="I6031" s="10"/>
      <c r="J6031" s="11"/>
      <c r="K6031" s="6"/>
      <c r="L6031" s="13"/>
    </row>
    <row r="6032" spans="1:12" hidden="1" x14ac:dyDescent="0.25">
      <c r="A6032" s="6"/>
      <c r="B6032" s="6"/>
      <c r="C6032" s="11"/>
      <c r="D6032" s="13"/>
      <c r="E6032" s="13"/>
      <c r="F6032" s="13"/>
      <c r="G6032" s="13"/>
      <c r="H6032" s="13"/>
      <c r="I6032" s="10"/>
      <c r="J6032" s="11"/>
      <c r="K6032" s="6"/>
      <c r="L6032" s="13"/>
    </row>
    <row r="6033" spans="1:12" hidden="1" x14ac:dyDescent="0.25">
      <c r="A6033" s="6"/>
      <c r="B6033" s="6"/>
      <c r="C6033" s="11"/>
      <c r="D6033" s="13"/>
      <c r="E6033" s="13"/>
      <c r="F6033" s="13"/>
      <c r="G6033" s="13"/>
      <c r="H6033" s="13"/>
      <c r="I6033" s="10"/>
      <c r="J6033" s="11"/>
      <c r="K6033" s="6"/>
      <c r="L6033" s="13"/>
    </row>
    <row r="6034" spans="1:12" hidden="1" x14ac:dyDescent="0.25">
      <c r="A6034" s="6"/>
      <c r="B6034" s="6"/>
      <c r="C6034" s="11"/>
      <c r="D6034" s="13"/>
      <c r="E6034" s="13"/>
      <c r="F6034" s="13"/>
      <c r="G6034" s="13"/>
      <c r="H6034" s="13"/>
      <c r="I6034" s="10"/>
      <c r="J6034" s="11"/>
      <c r="K6034" s="6"/>
      <c r="L6034" s="13"/>
    </row>
    <row r="6035" spans="1:12" hidden="1" x14ac:dyDescent="0.25">
      <c r="A6035" s="6"/>
      <c r="B6035" s="6"/>
      <c r="C6035" s="11"/>
      <c r="D6035" s="13"/>
      <c r="E6035" s="13"/>
      <c r="F6035" s="13"/>
      <c r="G6035" s="13"/>
      <c r="H6035" s="13"/>
      <c r="I6035" s="10"/>
      <c r="J6035" s="11"/>
      <c r="K6035" s="6"/>
      <c r="L6035" s="13"/>
    </row>
    <row r="6036" spans="1:12" hidden="1" x14ac:dyDescent="0.25">
      <c r="A6036" s="6"/>
      <c r="B6036" s="6"/>
      <c r="C6036" s="11"/>
      <c r="D6036" s="13"/>
      <c r="E6036" s="13"/>
      <c r="F6036" s="13"/>
      <c r="G6036" s="13"/>
      <c r="H6036" s="13"/>
      <c r="I6036" s="10"/>
      <c r="J6036" s="11"/>
      <c r="K6036" s="6"/>
      <c r="L6036" s="13"/>
    </row>
    <row r="6037" spans="1:12" hidden="1" x14ac:dyDescent="0.25">
      <c r="A6037" s="6"/>
      <c r="B6037" s="6"/>
      <c r="C6037" s="11"/>
      <c r="D6037" s="13"/>
      <c r="E6037" s="13"/>
      <c r="F6037" s="13"/>
      <c r="G6037" s="13"/>
      <c r="H6037" s="13"/>
      <c r="I6037" s="10"/>
      <c r="J6037" s="11"/>
      <c r="K6037" s="6"/>
      <c r="L6037" s="13"/>
    </row>
    <row r="6038" spans="1:12" hidden="1" x14ac:dyDescent="0.25">
      <c r="A6038" s="6"/>
      <c r="B6038" s="6"/>
      <c r="C6038" s="11"/>
      <c r="D6038" s="13"/>
      <c r="E6038" s="13"/>
      <c r="F6038" s="13"/>
      <c r="G6038" s="13"/>
      <c r="H6038" s="13"/>
      <c r="I6038" s="10"/>
      <c r="J6038" s="11"/>
      <c r="K6038" s="6"/>
      <c r="L6038" s="13"/>
    </row>
    <row r="6039" spans="1:12" hidden="1" x14ac:dyDescent="0.25">
      <c r="A6039" s="6"/>
      <c r="B6039" s="6"/>
      <c r="C6039" s="11"/>
      <c r="D6039" s="13"/>
      <c r="E6039" s="13"/>
      <c r="F6039" s="13"/>
      <c r="G6039" s="13"/>
      <c r="H6039" s="13"/>
      <c r="I6039" s="10"/>
      <c r="J6039" s="11"/>
      <c r="K6039" s="6"/>
      <c r="L6039" s="13"/>
    </row>
    <row r="6040" spans="1:12" hidden="1" x14ac:dyDescent="0.25">
      <c r="A6040" s="6"/>
      <c r="B6040" s="6"/>
      <c r="C6040" s="11"/>
      <c r="D6040" s="13"/>
      <c r="E6040" s="13"/>
      <c r="F6040" s="13"/>
      <c r="G6040" s="13"/>
      <c r="H6040" s="13"/>
      <c r="I6040" s="10"/>
      <c r="J6040" s="11"/>
      <c r="K6040" s="6"/>
      <c r="L6040" s="13"/>
    </row>
    <row r="6041" spans="1:12" hidden="1" x14ac:dyDescent="0.25">
      <c r="A6041" s="6"/>
      <c r="B6041" s="6"/>
      <c r="C6041" s="11"/>
      <c r="D6041" s="13"/>
      <c r="E6041" s="13"/>
      <c r="F6041" s="13"/>
      <c r="G6041" s="13"/>
      <c r="H6041" s="13"/>
      <c r="I6041" s="10"/>
      <c r="J6041" s="11"/>
      <c r="K6041" s="6"/>
      <c r="L6041" s="13"/>
    </row>
    <row r="6042" spans="1:12" hidden="1" x14ac:dyDescent="0.25">
      <c r="A6042" s="6"/>
      <c r="B6042" s="6"/>
      <c r="C6042" s="11"/>
      <c r="D6042" s="13"/>
      <c r="E6042" s="13"/>
      <c r="F6042" s="13"/>
      <c r="G6042" s="13"/>
      <c r="H6042" s="13"/>
      <c r="I6042" s="10"/>
      <c r="J6042" s="11"/>
      <c r="K6042" s="6"/>
      <c r="L6042" s="13"/>
    </row>
    <row r="6043" spans="1:12" hidden="1" x14ac:dyDescent="0.25">
      <c r="A6043" s="6"/>
      <c r="B6043" s="6"/>
      <c r="C6043" s="11"/>
      <c r="D6043" s="13"/>
      <c r="E6043" s="13"/>
      <c r="F6043" s="13"/>
      <c r="G6043" s="13"/>
      <c r="H6043" s="13"/>
      <c r="I6043" s="10"/>
      <c r="J6043" s="11"/>
      <c r="K6043" s="6"/>
      <c r="L6043" s="13"/>
    </row>
    <row r="6044" spans="1:12" hidden="1" x14ac:dyDescent="0.25">
      <c r="A6044" s="6"/>
      <c r="B6044" s="6"/>
      <c r="C6044" s="11"/>
      <c r="D6044" s="13"/>
      <c r="E6044" s="13"/>
      <c r="F6044" s="13"/>
      <c r="G6044" s="13"/>
      <c r="H6044" s="13"/>
      <c r="I6044" s="10"/>
      <c r="J6044" s="11"/>
      <c r="K6044" s="6"/>
      <c r="L6044" s="13"/>
    </row>
    <row r="6045" spans="1:12" hidden="1" x14ac:dyDescent="0.25">
      <c r="A6045" s="6"/>
      <c r="B6045" s="6"/>
      <c r="C6045" s="11"/>
      <c r="D6045" s="13"/>
      <c r="E6045" s="13"/>
      <c r="F6045" s="13"/>
      <c r="G6045" s="13"/>
      <c r="H6045" s="13"/>
      <c r="I6045" s="10"/>
      <c r="J6045" s="11"/>
      <c r="K6045" s="6"/>
      <c r="L6045" s="13"/>
    </row>
    <row r="6046" spans="1:12" hidden="1" x14ac:dyDescent="0.25">
      <c r="A6046" s="6"/>
      <c r="B6046" s="6"/>
      <c r="C6046" s="11"/>
      <c r="D6046" s="13"/>
      <c r="E6046" s="13"/>
      <c r="F6046" s="13"/>
      <c r="G6046" s="13"/>
      <c r="H6046" s="13"/>
      <c r="I6046" s="10"/>
      <c r="J6046" s="11"/>
      <c r="K6046" s="6"/>
      <c r="L6046" s="13"/>
    </row>
    <row r="6047" spans="1:12" hidden="1" x14ac:dyDescent="0.25">
      <c r="A6047" s="6"/>
      <c r="B6047" s="6"/>
      <c r="C6047" s="11"/>
      <c r="D6047" s="13"/>
      <c r="E6047" s="13"/>
      <c r="F6047" s="13"/>
      <c r="G6047" s="13"/>
      <c r="H6047" s="13"/>
      <c r="I6047" s="10"/>
      <c r="J6047" s="11"/>
      <c r="K6047" s="6"/>
      <c r="L6047" s="13"/>
    </row>
    <row r="6048" spans="1:12" hidden="1" x14ac:dyDescent="0.25">
      <c r="A6048" s="6"/>
      <c r="B6048" s="6"/>
      <c r="C6048" s="11"/>
      <c r="D6048" s="13"/>
      <c r="E6048" s="13"/>
      <c r="F6048" s="13"/>
      <c r="G6048" s="13"/>
      <c r="H6048" s="13"/>
      <c r="I6048" s="10"/>
      <c r="J6048" s="11"/>
      <c r="K6048" s="6"/>
      <c r="L6048" s="13"/>
    </row>
    <row r="6049" spans="1:12" hidden="1" x14ac:dyDescent="0.25">
      <c r="A6049" s="6"/>
      <c r="B6049" s="6"/>
      <c r="C6049" s="11"/>
      <c r="D6049" s="13"/>
      <c r="E6049" s="13"/>
      <c r="F6049" s="13"/>
      <c r="G6049" s="13"/>
      <c r="H6049" s="13"/>
      <c r="I6049" s="10"/>
      <c r="J6049" s="11"/>
      <c r="K6049" s="6"/>
      <c r="L6049" s="13"/>
    </row>
    <row r="6050" spans="1:12" hidden="1" x14ac:dyDescent="0.25">
      <c r="A6050" s="6"/>
      <c r="B6050" s="6"/>
      <c r="C6050" s="11"/>
      <c r="D6050" s="13"/>
      <c r="E6050" s="13"/>
      <c r="F6050" s="13"/>
      <c r="G6050" s="13"/>
      <c r="H6050" s="13"/>
      <c r="I6050" s="10"/>
      <c r="J6050" s="11"/>
      <c r="K6050" s="6"/>
      <c r="L6050" s="13"/>
    </row>
    <row r="6051" spans="1:12" hidden="1" x14ac:dyDescent="0.25">
      <c r="A6051" s="6"/>
      <c r="B6051" s="6"/>
      <c r="C6051" s="11"/>
      <c r="D6051" s="13"/>
      <c r="E6051" s="13"/>
      <c r="F6051" s="13"/>
      <c r="G6051" s="13"/>
      <c r="H6051" s="13"/>
      <c r="I6051" s="10"/>
      <c r="J6051" s="11"/>
      <c r="K6051" s="6"/>
      <c r="L6051" s="13"/>
    </row>
    <row r="6052" spans="1:12" hidden="1" x14ac:dyDescent="0.25">
      <c r="A6052" s="6"/>
      <c r="B6052" s="6"/>
      <c r="C6052" s="11"/>
      <c r="D6052" s="13"/>
      <c r="E6052" s="13"/>
      <c r="F6052" s="13"/>
      <c r="G6052" s="13"/>
      <c r="H6052" s="13"/>
      <c r="I6052" s="10"/>
      <c r="J6052" s="11"/>
      <c r="K6052" s="6"/>
      <c r="L6052" s="13"/>
    </row>
    <row r="6053" spans="1:12" hidden="1" x14ac:dyDescent="0.25">
      <c r="A6053" s="6"/>
      <c r="B6053" s="6"/>
      <c r="C6053" s="11"/>
      <c r="D6053" s="13"/>
      <c r="E6053" s="13"/>
      <c r="F6053" s="13"/>
      <c r="G6053" s="13"/>
      <c r="H6053" s="13"/>
      <c r="I6053" s="10"/>
      <c r="J6053" s="11"/>
      <c r="K6053" s="6"/>
      <c r="L6053" s="13"/>
    </row>
    <row r="6054" spans="1:12" hidden="1" x14ac:dyDescent="0.25">
      <c r="A6054" s="6"/>
      <c r="B6054" s="6"/>
      <c r="C6054" s="11"/>
      <c r="D6054" s="13"/>
      <c r="E6054" s="13"/>
      <c r="F6054" s="13"/>
      <c r="G6054" s="13"/>
      <c r="H6054" s="13"/>
      <c r="I6054" s="10"/>
      <c r="J6054" s="11"/>
      <c r="K6054" s="6"/>
      <c r="L6054" s="13"/>
    </row>
    <row r="6055" spans="1:12" hidden="1" x14ac:dyDescent="0.25">
      <c r="A6055" s="6"/>
      <c r="B6055" s="6"/>
      <c r="C6055" s="11"/>
      <c r="D6055" s="13"/>
      <c r="E6055" s="13"/>
      <c r="F6055" s="13"/>
      <c r="G6055" s="13"/>
      <c r="H6055" s="13"/>
      <c r="I6055" s="10"/>
      <c r="J6055" s="11"/>
      <c r="K6055" s="6"/>
      <c r="L6055" s="13"/>
    </row>
    <row r="6056" spans="1:12" hidden="1" x14ac:dyDescent="0.25">
      <c r="A6056" s="6"/>
      <c r="B6056" s="6"/>
      <c r="C6056" s="11"/>
      <c r="D6056" s="13"/>
      <c r="E6056" s="13"/>
      <c r="F6056" s="13"/>
      <c r="G6056" s="13"/>
      <c r="H6056" s="13"/>
      <c r="I6056" s="10"/>
      <c r="J6056" s="11"/>
      <c r="K6056" s="6"/>
      <c r="L6056" s="13"/>
    </row>
    <row r="6057" spans="1:12" hidden="1" x14ac:dyDescent="0.25">
      <c r="A6057" s="6"/>
      <c r="B6057" s="6"/>
      <c r="C6057" s="11"/>
      <c r="D6057" s="13"/>
      <c r="E6057" s="13"/>
      <c r="F6057" s="13"/>
      <c r="G6057" s="13"/>
      <c r="H6057" s="13"/>
      <c r="I6057" s="10"/>
      <c r="J6057" s="11"/>
      <c r="K6057" s="6"/>
      <c r="L6057" s="13"/>
    </row>
    <row r="6058" spans="1:12" hidden="1" x14ac:dyDescent="0.25">
      <c r="A6058" s="6"/>
      <c r="B6058" s="6"/>
      <c r="C6058" s="11"/>
      <c r="D6058" s="13"/>
      <c r="E6058" s="13"/>
      <c r="F6058" s="13"/>
      <c r="G6058" s="13"/>
      <c r="H6058" s="13"/>
      <c r="I6058" s="10"/>
      <c r="J6058" s="11"/>
      <c r="K6058" s="6"/>
      <c r="L6058" s="13"/>
    </row>
    <row r="6059" spans="1:12" hidden="1" x14ac:dyDescent="0.25">
      <c r="A6059" s="6"/>
      <c r="B6059" s="6"/>
      <c r="C6059" s="11"/>
      <c r="D6059" s="13"/>
      <c r="E6059" s="13"/>
      <c r="F6059" s="13"/>
      <c r="G6059" s="13"/>
      <c r="H6059" s="13"/>
      <c r="I6059" s="10"/>
      <c r="J6059" s="11"/>
      <c r="K6059" s="6"/>
      <c r="L6059" s="13"/>
    </row>
    <row r="6060" spans="1:12" hidden="1" x14ac:dyDescent="0.25">
      <c r="A6060" s="6"/>
      <c r="B6060" s="6"/>
      <c r="C6060" s="11"/>
      <c r="D6060" s="13"/>
      <c r="E6060" s="13"/>
      <c r="F6060" s="13"/>
      <c r="G6060" s="13"/>
      <c r="H6060" s="13"/>
      <c r="I6060" s="10"/>
      <c r="J6060" s="11"/>
      <c r="K6060" s="6"/>
      <c r="L6060" s="13"/>
    </row>
    <row r="6061" spans="1:12" hidden="1" x14ac:dyDescent="0.25">
      <c r="A6061" s="6"/>
      <c r="B6061" s="6"/>
      <c r="C6061" s="11"/>
      <c r="D6061" s="13"/>
      <c r="E6061" s="13"/>
      <c r="F6061" s="13"/>
      <c r="G6061" s="13"/>
      <c r="H6061" s="13"/>
      <c r="I6061" s="10"/>
      <c r="J6061" s="11"/>
      <c r="K6061" s="6"/>
      <c r="L6061" s="13"/>
    </row>
    <row r="6062" spans="1:12" hidden="1" x14ac:dyDescent="0.25">
      <c r="A6062" s="6"/>
      <c r="B6062" s="6"/>
      <c r="C6062" s="11"/>
      <c r="D6062" s="13"/>
      <c r="E6062" s="13"/>
      <c r="F6062" s="13"/>
      <c r="G6062" s="13"/>
      <c r="H6062" s="13"/>
      <c r="I6062" s="10"/>
      <c r="J6062" s="11"/>
      <c r="K6062" s="6"/>
      <c r="L6062" s="13"/>
    </row>
    <row r="6063" spans="1:12" hidden="1" x14ac:dyDescent="0.25">
      <c r="A6063" s="6"/>
      <c r="B6063" s="6"/>
      <c r="C6063" s="11"/>
      <c r="D6063" s="13"/>
      <c r="E6063" s="13"/>
      <c r="F6063" s="13"/>
      <c r="G6063" s="13"/>
      <c r="H6063" s="13"/>
      <c r="I6063" s="10"/>
      <c r="J6063" s="11"/>
      <c r="K6063" s="6"/>
      <c r="L6063" s="13"/>
    </row>
    <row r="6064" spans="1:12" hidden="1" x14ac:dyDescent="0.25">
      <c r="A6064" s="6"/>
      <c r="B6064" s="6"/>
      <c r="C6064" s="11"/>
      <c r="D6064" s="13"/>
      <c r="E6064" s="13"/>
      <c r="F6064" s="13"/>
      <c r="G6064" s="13"/>
      <c r="H6064" s="13"/>
      <c r="I6064" s="10"/>
      <c r="J6064" s="11"/>
      <c r="K6064" s="6"/>
      <c r="L6064" s="13"/>
    </row>
    <row r="6065" spans="1:12" hidden="1" x14ac:dyDescent="0.25">
      <c r="A6065" s="6"/>
      <c r="B6065" s="6"/>
      <c r="C6065" s="11"/>
      <c r="D6065" s="13"/>
      <c r="E6065" s="13"/>
      <c r="F6065" s="13"/>
      <c r="G6065" s="13"/>
      <c r="H6065" s="13"/>
      <c r="I6065" s="10"/>
      <c r="J6065" s="11"/>
      <c r="K6065" s="6"/>
      <c r="L6065" s="13"/>
    </row>
    <row r="6066" spans="1:12" hidden="1" x14ac:dyDescent="0.25">
      <c r="A6066" s="6"/>
      <c r="B6066" s="6"/>
      <c r="C6066" s="11"/>
      <c r="D6066" s="13"/>
      <c r="E6066" s="13"/>
      <c r="F6066" s="13"/>
      <c r="G6066" s="13"/>
      <c r="H6066" s="13"/>
      <c r="I6066" s="10"/>
      <c r="J6066" s="11"/>
      <c r="K6066" s="6"/>
      <c r="L6066" s="13"/>
    </row>
    <row r="6067" spans="1:12" hidden="1" x14ac:dyDescent="0.25">
      <c r="A6067" s="6"/>
      <c r="B6067" s="6"/>
      <c r="C6067" s="11"/>
      <c r="D6067" s="13"/>
      <c r="E6067" s="13"/>
      <c r="F6067" s="13"/>
      <c r="G6067" s="13"/>
      <c r="H6067" s="13"/>
      <c r="I6067" s="10"/>
      <c r="J6067" s="11"/>
      <c r="K6067" s="6"/>
      <c r="L6067" s="13"/>
    </row>
    <row r="6068" spans="1:12" hidden="1" x14ac:dyDescent="0.25">
      <c r="A6068" s="6"/>
      <c r="B6068" s="6"/>
      <c r="C6068" s="11"/>
      <c r="D6068" s="13"/>
      <c r="E6068" s="13"/>
      <c r="F6068" s="13"/>
      <c r="G6068" s="13"/>
      <c r="H6068" s="13"/>
      <c r="I6068" s="10"/>
      <c r="J6068" s="11"/>
      <c r="K6068" s="6"/>
      <c r="L6068" s="13"/>
    </row>
    <row r="6069" spans="1:12" hidden="1" x14ac:dyDescent="0.25">
      <c r="A6069" s="6"/>
      <c r="B6069" s="6"/>
      <c r="C6069" s="11"/>
      <c r="D6069" s="13"/>
      <c r="E6069" s="13"/>
      <c r="F6069" s="13"/>
      <c r="G6069" s="13"/>
      <c r="H6069" s="13"/>
      <c r="I6069" s="10"/>
      <c r="J6069" s="11"/>
      <c r="K6069" s="6"/>
      <c r="L6069" s="13"/>
    </row>
    <row r="6070" spans="1:12" hidden="1" x14ac:dyDescent="0.25">
      <c r="A6070" s="6"/>
      <c r="B6070" s="6"/>
      <c r="C6070" s="11"/>
      <c r="D6070" s="13"/>
      <c r="E6070" s="13"/>
      <c r="F6070" s="13"/>
      <c r="G6070" s="13"/>
      <c r="H6070" s="13"/>
      <c r="I6070" s="10"/>
      <c r="J6070" s="11"/>
      <c r="K6070" s="6"/>
      <c r="L6070" s="13"/>
    </row>
    <row r="6071" spans="1:12" hidden="1" x14ac:dyDescent="0.25">
      <c r="A6071" s="6"/>
      <c r="B6071" s="6"/>
      <c r="C6071" s="11"/>
      <c r="D6071" s="13"/>
      <c r="E6071" s="13"/>
      <c r="F6071" s="13"/>
      <c r="G6071" s="13"/>
      <c r="H6071" s="13"/>
      <c r="I6071" s="10"/>
      <c r="J6071" s="11"/>
      <c r="K6071" s="6"/>
      <c r="L6071" s="13"/>
    </row>
    <row r="6072" spans="1:12" hidden="1" x14ac:dyDescent="0.25">
      <c r="A6072" s="6"/>
      <c r="B6072" s="6"/>
      <c r="C6072" s="11"/>
      <c r="D6072" s="13"/>
      <c r="E6072" s="13"/>
      <c r="F6072" s="13"/>
      <c r="G6072" s="13"/>
      <c r="H6072" s="13"/>
      <c r="I6072" s="10"/>
      <c r="J6072" s="11"/>
      <c r="K6072" s="6"/>
      <c r="L6072" s="13"/>
    </row>
    <row r="6073" spans="1:12" hidden="1" x14ac:dyDescent="0.25">
      <c r="A6073" s="6"/>
      <c r="B6073" s="6"/>
      <c r="C6073" s="11"/>
      <c r="D6073" s="13"/>
      <c r="E6073" s="13"/>
      <c r="F6073" s="13"/>
      <c r="G6073" s="13"/>
      <c r="H6073" s="13"/>
      <c r="I6073" s="10"/>
      <c r="J6073" s="11"/>
      <c r="K6073" s="6"/>
      <c r="L6073" s="13"/>
    </row>
    <row r="6074" spans="1:12" hidden="1" x14ac:dyDescent="0.25">
      <c r="A6074" s="6"/>
      <c r="B6074" s="6"/>
      <c r="C6074" s="11"/>
      <c r="D6074" s="13"/>
      <c r="E6074" s="13"/>
      <c r="F6074" s="13"/>
      <c r="G6074" s="13"/>
      <c r="H6074" s="13"/>
      <c r="I6074" s="10"/>
      <c r="J6074" s="11"/>
      <c r="K6074" s="6"/>
      <c r="L6074" s="13"/>
    </row>
    <row r="6075" spans="1:12" hidden="1" x14ac:dyDescent="0.25">
      <c r="A6075" s="6"/>
      <c r="B6075" s="6"/>
      <c r="C6075" s="11"/>
      <c r="D6075" s="13"/>
      <c r="E6075" s="13"/>
      <c r="F6075" s="13"/>
      <c r="G6075" s="13"/>
      <c r="H6075" s="13"/>
      <c r="I6075" s="10"/>
      <c r="J6075" s="11"/>
      <c r="K6075" s="6"/>
      <c r="L6075" s="13"/>
    </row>
    <row r="6076" spans="1:12" hidden="1" x14ac:dyDescent="0.25">
      <c r="A6076" s="6"/>
      <c r="B6076" s="6"/>
      <c r="C6076" s="11"/>
      <c r="D6076" s="13"/>
      <c r="E6076" s="13"/>
      <c r="F6076" s="13"/>
      <c r="G6076" s="13"/>
      <c r="H6076" s="13"/>
      <c r="I6076" s="10"/>
      <c r="J6076" s="11"/>
      <c r="K6076" s="6"/>
      <c r="L6076" s="13"/>
    </row>
    <row r="6077" spans="1:12" hidden="1" x14ac:dyDescent="0.25">
      <c r="A6077" s="6"/>
      <c r="B6077" s="6"/>
      <c r="C6077" s="11"/>
      <c r="D6077" s="13"/>
      <c r="E6077" s="13"/>
      <c r="F6077" s="13"/>
      <c r="G6077" s="13"/>
      <c r="H6077" s="13"/>
      <c r="I6077" s="10"/>
      <c r="J6077" s="11"/>
      <c r="K6077" s="6"/>
      <c r="L6077" s="13"/>
    </row>
    <row r="6078" spans="1:12" hidden="1" x14ac:dyDescent="0.25">
      <c r="A6078" s="6"/>
      <c r="B6078" s="6"/>
      <c r="C6078" s="11"/>
      <c r="D6078" s="13"/>
      <c r="E6078" s="13"/>
      <c r="F6078" s="13"/>
      <c r="G6078" s="13"/>
      <c r="H6078" s="13"/>
      <c r="I6078" s="10"/>
      <c r="J6078" s="11"/>
      <c r="K6078" s="6"/>
      <c r="L6078" s="13"/>
    </row>
    <row r="6079" spans="1:12" hidden="1" x14ac:dyDescent="0.25">
      <c r="A6079" s="6"/>
      <c r="B6079" s="6"/>
      <c r="C6079" s="11"/>
      <c r="D6079" s="13"/>
      <c r="E6079" s="13"/>
      <c r="F6079" s="13"/>
      <c r="G6079" s="13"/>
      <c r="H6079" s="13"/>
      <c r="I6079" s="10"/>
      <c r="J6079" s="11"/>
      <c r="K6079" s="6"/>
      <c r="L6079" s="13"/>
    </row>
    <row r="6080" spans="1:12" hidden="1" x14ac:dyDescent="0.25">
      <c r="A6080" s="6"/>
      <c r="B6080" s="6"/>
      <c r="C6080" s="11"/>
      <c r="D6080" s="13"/>
      <c r="E6080" s="13"/>
      <c r="F6080" s="13"/>
      <c r="G6080" s="13"/>
      <c r="H6080" s="13"/>
      <c r="I6080" s="10"/>
      <c r="J6080" s="11"/>
      <c r="K6080" s="6"/>
      <c r="L6080" s="13"/>
    </row>
    <row r="6081" spans="1:12" hidden="1" x14ac:dyDescent="0.25">
      <c r="A6081" s="6"/>
      <c r="B6081" s="6"/>
      <c r="C6081" s="11"/>
      <c r="D6081" s="13"/>
      <c r="E6081" s="13"/>
      <c r="F6081" s="13"/>
      <c r="G6081" s="13"/>
      <c r="H6081" s="13"/>
      <c r="I6081" s="10"/>
      <c r="J6081" s="11"/>
      <c r="K6081" s="6"/>
      <c r="L6081" s="13"/>
    </row>
    <row r="6082" spans="1:12" hidden="1" x14ac:dyDescent="0.25">
      <c r="A6082" s="6"/>
      <c r="B6082" s="6"/>
      <c r="C6082" s="11"/>
      <c r="D6082" s="13"/>
      <c r="E6082" s="13"/>
      <c r="F6082" s="13"/>
      <c r="G6082" s="13"/>
      <c r="H6082" s="13"/>
      <c r="I6082" s="10"/>
      <c r="J6082" s="11"/>
      <c r="K6082" s="6"/>
      <c r="L6082" s="13"/>
    </row>
    <row r="6083" spans="1:12" hidden="1" x14ac:dyDescent="0.25">
      <c r="A6083" s="6"/>
      <c r="B6083" s="6"/>
      <c r="C6083" s="11"/>
      <c r="D6083" s="13"/>
      <c r="E6083" s="13"/>
      <c r="F6083" s="13"/>
      <c r="G6083" s="13"/>
      <c r="H6083" s="13"/>
      <c r="I6083" s="10"/>
      <c r="J6083" s="11"/>
      <c r="K6083" s="6"/>
      <c r="L6083" s="13"/>
    </row>
    <row r="6084" spans="1:12" hidden="1" x14ac:dyDescent="0.25">
      <c r="A6084" s="6"/>
      <c r="B6084" s="6"/>
      <c r="C6084" s="11"/>
      <c r="D6084" s="13"/>
      <c r="E6084" s="13"/>
      <c r="F6084" s="13"/>
      <c r="G6084" s="13"/>
      <c r="H6084" s="13"/>
      <c r="I6084" s="10"/>
      <c r="J6084" s="11"/>
      <c r="K6084" s="6"/>
      <c r="L6084" s="13"/>
    </row>
    <row r="6085" spans="1:12" hidden="1" x14ac:dyDescent="0.25">
      <c r="A6085" s="6"/>
      <c r="B6085" s="6"/>
      <c r="C6085" s="11"/>
      <c r="D6085" s="13"/>
      <c r="E6085" s="13"/>
      <c r="F6085" s="13"/>
      <c r="G6085" s="13"/>
      <c r="H6085" s="13"/>
      <c r="I6085" s="10"/>
      <c r="J6085" s="11"/>
      <c r="K6085" s="6"/>
      <c r="L6085" s="13"/>
    </row>
    <row r="6086" spans="1:12" hidden="1" x14ac:dyDescent="0.25">
      <c r="A6086" s="6"/>
      <c r="B6086" s="6"/>
      <c r="C6086" s="11"/>
      <c r="D6086" s="13"/>
      <c r="E6086" s="13"/>
      <c r="F6086" s="13"/>
      <c r="G6086" s="13"/>
      <c r="H6086" s="13"/>
      <c r="I6086" s="10"/>
      <c r="J6086" s="11"/>
      <c r="K6086" s="6"/>
      <c r="L6086" s="13"/>
    </row>
    <row r="6087" spans="1:12" hidden="1" x14ac:dyDescent="0.25">
      <c r="A6087" s="6"/>
      <c r="B6087" s="6"/>
      <c r="C6087" s="11"/>
      <c r="D6087" s="13"/>
      <c r="E6087" s="13"/>
      <c r="F6087" s="13"/>
      <c r="G6087" s="13"/>
      <c r="H6087" s="13"/>
      <c r="I6087" s="10"/>
      <c r="J6087" s="11"/>
      <c r="K6087" s="6"/>
      <c r="L6087" s="13"/>
    </row>
    <row r="6088" spans="1:12" hidden="1" x14ac:dyDescent="0.25">
      <c r="A6088" s="6"/>
      <c r="B6088" s="6"/>
      <c r="C6088" s="11"/>
      <c r="D6088" s="13"/>
      <c r="E6088" s="13"/>
      <c r="F6088" s="13"/>
      <c r="G6088" s="13"/>
      <c r="H6088" s="13"/>
      <c r="I6088" s="10"/>
      <c r="J6088" s="11"/>
      <c r="K6088" s="6"/>
      <c r="L6088" s="13"/>
    </row>
    <row r="6089" spans="1:12" hidden="1" x14ac:dyDescent="0.25">
      <c r="A6089" s="6"/>
      <c r="B6089" s="6"/>
      <c r="C6089" s="11"/>
      <c r="D6089" s="13"/>
      <c r="E6089" s="13"/>
      <c r="F6089" s="13"/>
      <c r="G6089" s="13"/>
      <c r="H6089" s="13"/>
      <c r="I6089" s="10"/>
      <c r="J6089" s="11"/>
      <c r="K6089" s="6"/>
      <c r="L6089" s="13"/>
    </row>
    <row r="6090" spans="1:12" hidden="1" x14ac:dyDescent="0.25">
      <c r="A6090" s="6"/>
      <c r="B6090" s="6"/>
      <c r="C6090" s="11"/>
      <c r="D6090" s="13"/>
      <c r="E6090" s="13"/>
      <c r="F6090" s="13"/>
      <c r="G6090" s="13"/>
      <c r="H6090" s="13"/>
      <c r="I6090" s="10"/>
      <c r="J6090" s="11"/>
      <c r="K6090" s="6"/>
      <c r="L6090" s="13"/>
    </row>
    <row r="6091" spans="1:12" hidden="1" x14ac:dyDescent="0.25">
      <c r="A6091" s="6"/>
      <c r="B6091" s="6"/>
      <c r="C6091" s="11"/>
      <c r="D6091" s="13"/>
      <c r="E6091" s="13"/>
      <c r="F6091" s="13"/>
      <c r="G6091" s="13"/>
      <c r="H6091" s="13"/>
      <c r="I6091" s="10"/>
      <c r="J6091" s="11"/>
      <c r="K6091" s="6"/>
      <c r="L6091" s="13"/>
    </row>
    <row r="6092" spans="1:12" hidden="1" x14ac:dyDescent="0.25">
      <c r="A6092" s="6"/>
      <c r="B6092" s="6"/>
      <c r="C6092" s="11"/>
      <c r="D6092" s="13"/>
      <c r="E6092" s="13"/>
      <c r="F6092" s="13"/>
      <c r="G6092" s="13"/>
      <c r="H6092" s="13"/>
      <c r="I6092" s="10"/>
      <c r="J6092" s="11"/>
      <c r="K6092" s="6"/>
      <c r="L6092" s="13"/>
    </row>
    <row r="6093" spans="1:12" hidden="1" x14ac:dyDescent="0.25">
      <c r="A6093" s="6"/>
      <c r="B6093" s="6"/>
      <c r="C6093" s="11"/>
      <c r="D6093" s="13"/>
      <c r="E6093" s="13"/>
      <c r="F6093" s="13"/>
      <c r="G6093" s="13"/>
      <c r="H6093" s="13"/>
      <c r="I6093" s="10"/>
      <c r="J6093" s="11"/>
      <c r="K6093" s="6"/>
      <c r="L6093" s="13"/>
    </row>
    <row r="6094" spans="1:12" hidden="1" x14ac:dyDescent="0.25">
      <c r="A6094" s="6"/>
      <c r="B6094" s="6"/>
      <c r="C6094" s="11"/>
      <c r="D6094" s="13"/>
      <c r="E6094" s="13"/>
      <c r="F6094" s="13"/>
      <c r="G6094" s="13"/>
      <c r="H6094" s="13"/>
      <c r="I6094" s="10"/>
      <c r="J6094" s="11"/>
      <c r="K6094" s="6"/>
      <c r="L6094" s="13"/>
    </row>
    <row r="6095" spans="1:12" hidden="1" x14ac:dyDescent="0.25">
      <c r="A6095" s="6"/>
      <c r="B6095" s="6"/>
      <c r="C6095" s="11"/>
      <c r="D6095" s="13"/>
      <c r="E6095" s="13"/>
      <c r="F6095" s="13"/>
      <c r="G6095" s="13"/>
      <c r="H6095" s="13"/>
      <c r="I6095" s="10"/>
      <c r="J6095" s="11"/>
      <c r="K6095" s="6"/>
      <c r="L6095" s="13"/>
    </row>
    <row r="6096" spans="1:12" hidden="1" x14ac:dyDescent="0.25">
      <c r="A6096" s="6"/>
      <c r="B6096" s="6"/>
      <c r="C6096" s="11"/>
      <c r="D6096" s="13"/>
      <c r="E6096" s="13"/>
      <c r="F6096" s="13"/>
      <c r="G6096" s="13"/>
      <c r="H6096" s="13"/>
      <c r="I6096" s="10"/>
      <c r="J6096" s="11"/>
      <c r="K6096" s="6"/>
      <c r="L6096" s="13"/>
    </row>
    <row r="6097" spans="1:12" hidden="1" x14ac:dyDescent="0.25">
      <c r="A6097" s="6"/>
      <c r="B6097" s="6"/>
      <c r="C6097" s="11"/>
      <c r="D6097" s="13"/>
      <c r="E6097" s="13"/>
      <c r="F6097" s="13"/>
      <c r="G6097" s="13"/>
      <c r="H6097" s="13"/>
      <c r="I6097" s="10"/>
      <c r="J6097" s="11"/>
      <c r="K6097" s="6"/>
      <c r="L6097" s="13"/>
    </row>
    <row r="6098" spans="1:12" hidden="1" x14ac:dyDescent="0.25">
      <c r="A6098" s="6"/>
      <c r="B6098" s="6"/>
      <c r="C6098" s="11"/>
      <c r="D6098" s="13"/>
      <c r="E6098" s="13"/>
      <c r="F6098" s="13"/>
      <c r="G6098" s="13"/>
      <c r="H6098" s="13"/>
      <c r="I6098" s="10"/>
      <c r="J6098" s="11"/>
      <c r="K6098" s="6"/>
      <c r="L6098" s="13"/>
    </row>
    <row r="6099" spans="1:12" hidden="1" x14ac:dyDescent="0.25">
      <c r="A6099" s="6"/>
      <c r="B6099" s="6"/>
      <c r="C6099" s="11"/>
      <c r="D6099" s="13"/>
      <c r="E6099" s="13"/>
      <c r="F6099" s="13"/>
      <c r="G6099" s="13"/>
      <c r="H6099" s="13"/>
      <c r="I6099" s="10"/>
      <c r="J6099" s="11"/>
      <c r="K6099" s="6"/>
      <c r="L6099" s="13"/>
    </row>
    <row r="6100" spans="1:12" hidden="1" x14ac:dyDescent="0.25">
      <c r="A6100" s="6"/>
      <c r="B6100" s="6"/>
      <c r="C6100" s="11"/>
      <c r="D6100" s="13"/>
      <c r="E6100" s="13"/>
      <c r="F6100" s="13"/>
      <c r="G6100" s="13"/>
      <c r="H6100" s="13"/>
      <c r="I6100" s="10"/>
      <c r="J6100" s="11"/>
      <c r="K6100" s="6"/>
      <c r="L6100" s="13"/>
    </row>
    <row r="6101" spans="1:12" hidden="1" x14ac:dyDescent="0.25">
      <c r="A6101" s="6"/>
      <c r="B6101" s="6"/>
      <c r="C6101" s="11"/>
      <c r="D6101" s="13"/>
      <c r="E6101" s="13"/>
      <c r="F6101" s="13"/>
      <c r="G6101" s="13"/>
      <c r="H6101" s="13"/>
      <c r="I6101" s="10"/>
      <c r="J6101" s="11"/>
      <c r="K6101" s="6"/>
      <c r="L6101" s="13"/>
    </row>
    <row r="6102" spans="1:12" hidden="1" x14ac:dyDescent="0.25">
      <c r="A6102" s="6"/>
      <c r="B6102" s="6"/>
      <c r="C6102" s="11"/>
      <c r="D6102" s="13"/>
      <c r="E6102" s="13"/>
      <c r="F6102" s="13"/>
      <c r="G6102" s="13"/>
      <c r="H6102" s="13"/>
      <c r="I6102" s="10"/>
      <c r="J6102" s="11"/>
      <c r="K6102" s="6"/>
      <c r="L6102" s="13"/>
    </row>
    <row r="6103" spans="1:12" hidden="1" x14ac:dyDescent="0.25">
      <c r="A6103" s="6"/>
      <c r="B6103" s="6"/>
      <c r="C6103" s="11"/>
      <c r="D6103" s="13"/>
      <c r="E6103" s="13"/>
      <c r="F6103" s="13"/>
      <c r="G6103" s="13"/>
      <c r="H6103" s="13"/>
      <c r="I6103" s="10"/>
      <c r="J6103" s="11"/>
      <c r="K6103" s="6"/>
      <c r="L6103" s="13"/>
    </row>
    <row r="6104" spans="1:12" hidden="1" x14ac:dyDescent="0.25">
      <c r="A6104" s="6"/>
      <c r="B6104" s="6"/>
      <c r="C6104" s="11"/>
      <c r="D6104" s="13"/>
      <c r="E6104" s="13"/>
      <c r="F6104" s="13"/>
      <c r="G6104" s="13"/>
      <c r="H6104" s="13"/>
      <c r="I6104" s="10"/>
      <c r="J6104" s="11"/>
      <c r="K6104" s="6"/>
      <c r="L6104" s="13"/>
    </row>
    <row r="6105" spans="1:12" hidden="1" x14ac:dyDescent="0.25">
      <c r="A6105" s="6"/>
      <c r="B6105" s="6"/>
      <c r="C6105" s="11"/>
      <c r="D6105" s="13"/>
      <c r="E6105" s="13"/>
      <c r="F6105" s="13"/>
      <c r="G6105" s="13"/>
      <c r="H6105" s="13"/>
      <c r="I6105" s="10"/>
      <c r="J6105" s="11"/>
      <c r="K6105" s="6"/>
      <c r="L6105" s="13"/>
    </row>
    <row r="6106" spans="1:12" hidden="1" x14ac:dyDescent="0.25">
      <c r="A6106" s="6"/>
      <c r="B6106" s="6"/>
      <c r="C6106" s="11"/>
      <c r="D6106" s="13"/>
      <c r="E6106" s="13"/>
      <c r="F6106" s="13"/>
      <c r="G6106" s="13"/>
      <c r="H6106" s="13"/>
      <c r="I6106" s="10"/>
      <c r="J6106" s="11"/>
      <c r="K6106" s="6"/>
      <c r="L6106" s="13"/>
    </row>
    <row r="6107" spans="1:12" hidden="1" x14ac:dyDescent="0.25">
      <c r="A6107" s="6"/>
      <c r="B6107" s="6"/>
      <c r="C6107" s="11"/>
      <c r="D6107" s="13"/>
      <c r="E6107" s="13"/>
      <c r="F6107" s="13"/>
      <c r="G6107" s="13"/>
      <c r="H6107" s="13"/>
      <c r="I6107" s="10"/>
      <c r="J6107" s="11"/>
      <c r="K6107" s="6"/>
      <c r="L6107" s="13"/>
    </row>
    <row r="6108" spans="1:12" hidden="1" x14ac:dyDescent="0.25">
      <c r="A6108" s="6"/>
      <c r="B6108" s="6"/>
      <c r="C6108" s="11"/>
      <c r="D6108" s="13"/>
      <c r="E6108" s="13"/>
      <c r="F6108" s="13"/>
      <c r="G6108" s="13"/>
      <c r="H6108" s="13"/>
      <c r="I6108" s="10"/>
      <c r="J6108" s="11"/>
      <c r="K6108" s="6"/>
      <c r="L6108" s="13"/>
    </row>
    <row r="6109" spans="1:12" hidden="1" x14ac:dyDescent="0.25">
      <c r="A6109" s="6"/>
      <c r="B6109" s="6"/>
      <c r="C6109" s="11"/>
      <c r="D6109" s="13"/>
      <c r="E6109" s="13"/>
      <c r="F6109" s="13"/>
      <c r="G6109" s="13"/>
      <c r="H6109" s="13"/>
      <c r="I6109" s="10"/>
      <c r="J6109" s="11"/>
      <c r="K6109" s="6"/>
      <c r="L6109" s="13"/>
    </row>
    <row r="6110" spans="1:12" hidden="1" x14ac:dyDescent="0.25">
      <c r="A6110" s="6"/>
      <c r="B6110" s="6"/>
      <c r="C6110" s="11"/>
      <c r="D6110" s="13"/>
      <c r="E6110" s="13"/>
      <c r="F6110" s="13"/>
      <c r="G6110" s="13"/>
      <c r="H6110" s="13"/>
      <c r="I6110" s="10"/>
      <c r="J6110" s="11"/>
      <c r="K6110" s="6"/>
      <c r="L6110" s="13"/>
    </row>
    <row r="6111" spans="1:12" hidden="1" x14ac:dyDescent="0.25">
      <c r="A6111" s="6"/>
      <c r="B6111" s="6"/>
      <c r="C6111" s="11"/>
      <c r="D6111" s="13"/>
      <c r="E6111" s="13"/>
      <c r="F6111" s="13"/>
      <c r="G6111" s="13"/>
      <c r="H6111" s="13"/>
      <c r="I6111" s="10"/>
      <c r="J6111" s="11"/>
      <c r="K6111" s="6"/>
      <c r="L6111" s="13"/>
    </row>
    <row r="6112" spans="1:12" hidden="1" x14ac:dyDescent="0.25">
      <c r="A6112" s="6"/>
      <c r="B6112" s="6"/>
      <c r="C6112" s="11"/>
      <c r="D6112" s="13"/>
      <c r="E6112" s="13"/>
      <c r="F6112" s="13"/>
      <c r="G6112" s="13"/>
      <c r="H6112" s="13"/>
      <c r="I6112" s="10"/>
      <c r="J6112" s="11"/>
      <c r="K6112" s="6"/>
      <c r="L6112" s="13"/>
    </row>
    <row r="6113" spans="1:12" hidden="1" x14ac:dyDescent="0.25">
      <c r="A6113" s="6"/>
      <c r="B6113" s="6"/>
      <c r="C6113" s="11"/>
      <c r="D6113" s="13"/>
      <c r="E6113" s="13"/>
      <c r="F6113" s="13"/>
      <c r="G6113" s="13"/>
      <c r="H6113" s="13"/>
      <c r="I6113" s="10"/>
      <c r="J6113" s="11"/>
      <c r="K6113" s="6"/>
      <c r="L6113" s="13"/>
    </row>
    <row r="6114" spans="1:12" hidden="1" x14ac:dyDescent="0.25">
      <c r="A6114" s="6"/>
      <c r="B6114" s="6"/>
      <c r="C6114" s="11"/>
      <c r="D6114" s="13"/>
      <c r="E6114" s="13"/>
      <c r="F6114" s="13"/>
      <c r="G6114" s="13"/>
      <c r="H6114" s="13"/>
      <c r="I6114" s="10"/>
      <c r="J6114" s="11"/>
      <c r="K6114" s="6"/>
      <c r="L6114" s="13"/>
    </row>
    <row r="6115" spans="1:12" hidden="1" x14ac:dyDescent="0.25">
      <c r="A6115" s="6"/>
      <c r="B6115" s="6"/>
      <c r="C6115" s="11"/>
      <c r="D6115" s="13"/>
      <c r="E6115" s="13"/>
      <c r="F6115" s="13"/>
      <c r="G6115" s="13"/>
      <c r="H6115" s="13"/>
      <c r="I6115" s="10"/>
      <c r="J6115" s="11"/>
      <c r="K6115" s="6"/>
      <c r="L6115" s="13"/>
    </row>
    <row r="6116" spans="1:12" hidden="1" x14ac:dyDescent="0.25">
      <c r="A6116" s="6"/>
      <c r="B6116" s="6"/>
      <c r="C6116" s="11"/>
      <c r="D6116" s="13"/>
      <c r="E6116" s="13"/>
      <c r="F6116" s="13"/>
      <c r="G6116" s="13"/>
      <c r="H6116" s="13"/>
      <c r="I6116" s="10"/>
      <c r="J6116" s="11"/>
      <c r="K6116" s="6"/>
      <c r="L6116" s="13"/>
    </row>
    <row r="6117" spans="1:12" hidden="1" x14ac:dyDescent="0.25">
      <c r="A6117" s="6"/>
      <c r="B6117" s="6"/>
      <c r="C6117" s="11"/>
      <c r="D6117" s="13"/>
      <c r="E6117" s="13"/>
      <c r="F6117" s="13"/>
      <c r="G6117" s="13"/>
      <c r="H6117" s="13"/>
      <c r="I6117" s="10"/>
      <c r="J6117" s="11"/>
      <c r="K6117" s="6"/>
      <c r="L6117" s="13"/>
    </row>
    <row r="6118" spans="1:12" hidden="1" x14ac:dyDescent="0.25">
      <c r="A6118" s="6"/>
      <c r="B6118" s="6"/>
      <c r="C6118" s="11"/>
      <c r="D6118" s="13"/>
      <c r="E6118" s="13"/>
      <c r="F6118" s="13"/>
      <c r="G6118" s="13"/>
      <c r="H6118" s="13"/>
      <c r="I6118" s="10"/>
      <c r="J6118" s="11"/>
      <c r="K6118" s="6"/>
      <c r="L6118" s="13"/>
    </row>
    <row r="6119" spans="1:12" hidden="1" x14ac:dyDescent="0.25">
      <c r="A6119" s="6"/>
      <c r="B6119" s="6"/>
      <c r="C6119" s="11"/>
      <c r="D6119" s="13"/>
      <c r="E6119" s="13"/>
      <c r="F6119" s="13"/>
      <c r="G6119" s="13"/>
      <c r="H6119" s="13"/>
      <c r="I6119" s="10"/>
      <c r="J6119" s="11"/>
      <c r="K6119" s="6"/>
      <c r="L6119" s="13"/>
    </row>
    <row r="6120" spans="1:12" hidden="1" x14ac:dyDescent="0.25">
      <c r="A6120" s="6"/>
      <c r="B6120" s="6"/>
      <c r="C6120" s="11"/>
      <c r="D6120" s="13"/>
      <c r="E6120" s="13"/>
      <c r="F6120" s="13"/>
      <c r="G6120" s="13"/>
      <c r="H6120" s="13"/>
      <c r="I6120" s="10"/>
      <c r="J6120" s="11"/>
      <c r="K6120" s="6"/>
      <c r="L6120" s="13"/>
    </row>
    <row r="6121" spans="1:12" hidden="1" x14ac:dyDescent="0.25">
      <c r="A6121" s="6"/>
      <c r="B6121" s="6"/>
      <c r="C6121" s="11"/>
      <c r="D6121" s="13"/>
      <c r="E6121" s="13"/>
      <c r="F6121" s="13"/>
      <c r="G6121" s="13"/>
      <c r="H6121" s="13"/>
      <c r="I6121" s="10"/>
      <c r="J6121" s="11"/>
      <c r="K6121" s="6"/>
      <c r="L6121" s="13"/>
    </row>
    <row r="6122" spans="1:12" hidden="1" x14ac:dyDescent="0.25">
      <c r="A6122" s="6"/>
      <c r="B6122" s="6"/>
      <c r="C6122" s="11"/>
      <c r="D6122" s="13"/>
      <c r="E6122" s="13"/>
      <c r="F6122" s="13"/>
      <c r="G6122" s="13"/>
      <c r="H6122" s="13"/>
      <c r="I6122" s="10"/>
      <c r="J6122" s="11"/>
      <c r="K6122" s="6"/>
      <c r="L6122" s="13"/>
    </row>
    <row r="6123" spans="1:12" hidden="1" x14ac:dyDescent="0.25">
      <c r="A6123" s="6"/>
      <c r="B6123" s="6"/>
      <c r="C6123" s="11"/>
      <c r="D6123" s="13"/>
      <c r="E6123" s="13"/>
      <c r="F6123" s="13"/>
      <c r="G6123" s="13"/>
      <c r="H6123" s="13"/>
      <c r="I6123" s="10"/>
      <c r="J6123" s="11"/>
      <c r="K6123" s="6"/>
      <c r="L6123" s="13"/>
    </row>
    <row r="6124" spans="1:12" hidden="1" x14ac:dyDescent="0.25">
      <c r="A6124" s="6"/>
      <c r="B6124" s="6"/>
      <c r="C6124" s="11"/>
      <c r="D6124" s="13"/>
      <c r="E6124" s="13"/>
      <c r="F6124" s="13"/>
      <c r="G6124" s="13"/>
      <c r="H6124" s="13"/>
      <c r="I6124" s="10"/>
      <c r="J6124" s="11"/>
      <c r="K6124" s="6"/>
      <c r="L6124" s="13"/>
    </row>
    <row r="6125" spans="1:12" hidden="1" x14ac:dyDescent="0.25">
      <c r="A6125" s="6"/>
      <c r="B6125" s="6"/>
      <c r="C6125" s="11"/>
      <c r="D6125" s="13"/>
      <c r="E6125" s="13"/>
      <c r="F6125" s="13"/>
      <c r="G6125" s="13"/>
      <c r="H6125" s="13"/>
      <c r="I6125" s="10"/>
      <c r="J6125" s="11"/>
      <c r="K6125" s="6"/>
      <c r="L6125" s="13"/>
    </row>
    <row r="6126" spans="1:12" hidden="1" x14ac:dyDescent="0.25">
      <c r="A6126" s="6"/>
      <c r="B6126" s="6"/>
      <c r="C6126" s="11"/>
      <c r="D6126" s="13"/>
      <c r="E6126" s="13"/>
      <c r="F6126" s="13"/>
      <c r="G6126" s="13"/>
      <c r="H6126" s="13"/>
      <c r="I6126" s="10"/>
      <c r="J6126" s="11"/>
      <c r="K6126" s="6"/>
      <c r="L6126" s="13"/>
    </row>
    <row r="6127" spans="1:12" hidden="1" x14ac:dyDescent="0.25">
      <c r="A6127" s="6"/>
      <c r="B6127" s="6"/>
      <c r="C6127" s="11"/>
      <c r="D6127" s="13"/>
      <c r="E6127" s="13"/>
      <c r="F6127" s="13"/>
      <c r="G6127" s="13"/>
      <c r="H6127" s="13"/>
      <c r="I6127" s="10"/>
      <c r="J6127" s="11"/>
      <c r="K6127" s="6"/>
      <c r="L6127" s="13"/>
    </row>
    <row r="6128" spans="1:12" hidden="1" x14ac:dyDescent="0.25">
      <c r="A6128" s="6"/>
      <c r="B6128" s="6"/>
      <c r="C6128" s="11"/>
      <c r="D6128" s="13"/>
      <c r="E6128" s="13"/>
      <c r="F6128" s="13"/>
      <c r="G6128" s="13"/>
      <c r="H6128" s="13"/>
      <c r="I6128" s="10"/>
      <c r="J6128" s="11"/>
      <c r="K6128" s="6"/>
      <c r="L6128" s="13"/>
    </row>
    <row r="6129" spans="1:12" hidden="1" x14ac:dyDescent="0.25">
      <c r="A6129" s="6"/>
      <c r="B6129" s="6"/>
      <c r="C6129" s="11"/>
      <c r="D6129" s="13"/>
      <c r="E6129" s="13"/>
      <c r="F6129" s="13"/>
      <c r="G6129" s="13"/>
      <c r="H6129" s="13"/>
      <c r="I6129" s="10"/>
      <c r="J6129" s="11"/>
      <c r="K6129" s="6"/>
      <c r="L6129" s="13"/>
    </row>
    <row r="6130" spans="1:12" hidden="1" x14ac:dyDescent="0.25">
      <c r="A6130" s="6"/>
      <c r="B6130" s="6"/>
      <c r="C6130" s="11"/>
      <c r="D6130" s="13"/>
      <c r="E6130" s="13"/>
      <c r="F6130" s="13"/>
      <c r="G6130" s="13"/>
      <c r="H6130" s="13"/>
      <c r="I6130" s="10"/>
      <c r="J6130" s="11"/>
      <c r="K6130" s="6"/>
      <c r="L6130" s="13"/>
    </row>
    <row r="6131" spans="1:12" hidden="1" x14ac:dyDescent="0.25">
      <c r="A6131" s="6"/>
      <c r="B6131" s="6"/>
      <c r="C6131" s="11"/>
      <c r="D6131" s="13"/>
      <c r="E6131" s="13"/>
      <c r="F6131" s="13"/>
      <c r="G6131" s="13"/>
      <c r="H6131" s="13"/>
      <c r="I6131" s="10"/>
      <c r="J6131" s="11"/>
      <c r="K6131" s="6"/>
      <c r="L6131" s="13"/>
    </row>
    <row r="6132" spans="1:12" hidden="1" x14ac:dyDescent="0.25">
      <c r="A6132" s="6"/>
      <c r="B6132" s="6"/>
      <c r="C6132" s="11"/>
      <c r="D6132" s="13"/>
      <c r="E6132" s="13"/>
      <c r="F6132" s="13"/>
      <c r="G6132" s="13"/>
      <c r="H6132" s="13"/>
      <c r="I6132" s="10"/>
      <c r="J6132" s="11"/>
      <c r="K6132" s="6"/>
      <c r="L6132" s="13"/>
    </row>
    <row r="6133" spans="1:12" hidden="1" x14ac:dyDescent="0.25">
      <c r="A6133" s="6"/>
      <c r="B6133" s="6"/>
      <c r="C6133" s="11"/>
      <c r="D6133" s="13"/>
      <c r="E6133" s="13"/>
      <c r="F6133" s="13"/>
      <c r="G6133" s="13"/>
      <c r="H6133" s="13"/>
      <c r="I6133" s="10"/>
      <c r="J6133" s="11"/>
      <c r="K6133" s="6"/>
      <c r="L6133" s="13"/>
    </row>
    <row r="6134" spans="1:12" hidden="1" x14ac:dyDescent="0.25">
      <c r="A6134" s="6"/>
      <c r="B6134" s="6"/>
      <c r="C6134" s="11"/>
      <c r="D6134" s="13"/>
      <c r="E6134" s="13"/>
      <c r="F6134" s="13"/>
      <c r="G6134" s="13"/>
      <c r="H6134" s="13"/>
      <c r="I6134" s="10"/>
      <c r="J6134" s="11"/>
      <c r="K6134" s="6"/>
      <c r="L6134" s="13"/>
    </row>
    <row r="6135" spans="1:12" hidden="1" x14ac:dyDescent="0.25">
      <c r="A6135" s="6"/>
      <c r="B6135" s="6"/>
      <c r="C6135" s="11"/>
      <c r="D6135" s="13"/>
      <c r="E6135" s="13"/>
      <c r="F6135" s="13"/>
      <c r="G6135" s="13"/>
      <c r="H6135" s="13"/>
      <c r="I6135" s="10"/>
      <c r="J6135" s="11"/>
      <c r="K6135" s="6"/>
      <c r="L6135" s="13"/>
    </row>
    <row r="6136" spans="1:12" hidden="1" x14ac:dyDescent="0.25">
      <c r="A6136" s="6"/>
      <c r="B6136" s="6"/>
      <c r="C6136" s="11"/>
      <c r="D6136" s="13"/>
      <c r="E6136" s="13"/>
      <c r="F6136" s="13"/>
      <c r="G6136" s="13"/>
      <c r="H6136" s="13"/>
      <c r="I6136" s="10"/>
      <c r="J6136" s="11"/>
      <c r="K6136" s="6"/>
      <c r="L6136" s="13"/>
    </row>
    <row r="6137" spans="1:12" hidden="1" x14ac:dyDescent="0.25">
      <c r="A6137" s="6"/>
      <c r="B6137" s="6"/>
      <c r="C6137" s="11"/>
      <c r="D6137" s="13"/>
      <c r="E6137" s="13"/>
      <c r="F6137" s="13"/>
      <c r="G6137" s="13"/>
      <c r="H6137" s="13"/>
      <c r="I6137" s="10"/>
      <c r="J6137" s="11"/>
      <c r="K6137" s="6"/>
      <c r="L6137" s="13"/>
    </row>
    <row r="6138" spans="1:12" hidden="1" x14ac:dyDescent="0.25">
      <c r="A6138" s="6"/>
      <c r="B6138" s="6"/>
      <c r="C6138" s="11"/>
      <c r="D6138" s="13"/>
      <c r="E6138" s="13"/>
      <c r="F6138" s="13"/>
      <c r="G6138" s="13"/>
      <c r="H6138" s="13"/>
      <c r="I6138" s="10"/>
      <c r="J6138" s="11"/>
      <c r="K6138" s="6"/>
      <c r="L6138" s="13"/>
    </row>
    <row r="6139" spans="1:12" hidden="1" x14ac:dyDescent="0.25">
      <c r="A6139" s="6"/>
      <c r="B6139" s="6"/>
      <c r="C6139" s="11"/>
      <c r="D6139" s="13"/>
      <c r="E6139" s="13"/>
      <c r="F6139" s="13"/>
      <c r="G6139" s="13"/>
      <c r="H6139" s="13"/>
      <c r="I6139" s="10"/>
      <c r="J6139" s="11"/>
      <c r="K6139" s="6"/>
      <c r="L6139" s="13"/>
    </row>
    <row r="6140" spans="1:12" hidden="1" x14ac:dyDescent="0.25">
      <c r="A6140" s="6"/>
      <c r="B6140" s="6"/>
      <c r="C6140" s="11"/>
      <c r="D6140" s="13"/>
      <c r="E6140" s="13"/>
      <c r="F6140" s="13"/>
      <c r="G6140" s="13"/>
      <c r="H6140" s="13"/>
      <c r="I6140" s="10"/>
      <c r="J6140" s="11"/>
      <c r="K6140" s="6"/>
      <c r="L6140" s="13"/>
    </row>
    <row r="6141" spans="1:12" hidden="1" x14ac:dyDescent="0.25">
      <c r="A6141" s="6"/>
      <c r="B6141" s="6"/>
      <c r="C6141" s="11"/>
      <c r="D6141" s="13"/>
      <c r="E6141" s="13"/>
      <c r="F6141" s="13"/>
      <c r="G6141" s="13"/>
      <c r="H6141" s="13"/>
      <c r="I6141" s="10"/>
      <c r="J6141" s="11"/>
      <c r="K6141" s="6"/>
      <c r="L6141" s="13"/>
    </row>
    <row r="6142" spans="1:12" hidden="1" x14ac:dyDescent="0.25">
      <c r="A6142" s="6"/>
      <c r="B6142" s="6"/>
      <c r="C6142" s="11"/>
      <c r="D6142" s="13"/>
      <c r="E6142" s="13"/>
      <c r="F6142" s="13"/>
      <c r="G6142" s="13"/>
      <c r="H6142" s="13"/>
      <c r="I6142" s="10"/>
      <c r="J6142" s="11"/>
      <c r="K6142" s="6"/>
      <c r="L6142" s="13"/>
    </row>
    <row r="6143" spans="1:12" hidden="1" x14ac:dyDescent="0.25">
      <c r="A6143" s="6"/>
      <c r="B6143" s="6"/>
      <c r="C6143" s="11"/>
      <c r="D6143" s="13"/>
      <c r="E6143" s="13"/>
      <c r="F6143" s="13"/>
      <c r="G6143" s="13"/>
      <c r="H6143" s="13"/>
      <c r="I6143" s="10"/>
      <c r="J6143" s="11"/>
      <c r="K6143" s="6"/>
      <c r="L6143" s="13"/>
    </row>
    <row r="6144" spans="1:12" hidden="1" x14ac:dyDescent="0.25">
      <c r="A6144" s="6"/>
      <c r="B6144" s="6"/>
      <c r="C6144" s="11"/>
      <c r="D6144" s="13"/>
      <c r="E6144" s="13"/>
      <c r="F6144" s="13"/>
      <c r="G6144" s="13"/>
      <c r="H6144" s="13"/>
      <c r="I6144" s="10"/>
      <c r="J6144" s="11"/>
      <c r="K6144" s="6"/>
      <c r="L6144" s="13"/>
    </row>
    <row r="6145" spans="1:12" hidden="1" x14ac:dyDescent="0.25">
      <c r="A6145" s="6"/>
      <c r="B6145" s="6"/>
      <c r="C6145" s="11"/>
      <c r="D6145" s="13"/>
      <c r="E6145" s="13"/>
      <c r="F6145" s="13"/>
      <c r="G6145" s="13"/>
      <c r="H6145" s="13"/>
      <c r="I6145" s="10"/>
      <c r="J6145" s="11"/>
      <c r="K6145" s="6"/>
      <c r="L6145" s="13"/>
    </row>
    <row r="6146" spans="1:12" hidden="1" x14ac:dyDescent="0.25">
      <c r="A6146" s="6"/>
      <c r="B6146" s="6"/>
      <c r="C6146" s="11"/>
      <c r="D6146" s="13"/>
      <c r="E6146" s="13"/>
      <c r="F6146" s="13"/>
      <c r="G6146" s="13"/>
      <c r="H6146" s="13"/>
      <c r="I6146" s="10"/>
      <c r="J6146" s="11"/>
      <c r="K6146" s="6"/>
      <c r="L6146" s="13"/>
    </row>
    <row r="6147" spans="1:12" hidden="1" x14ac:dyDescent="0.25">
      <c r="A6147" s="6"/>
      <c r="B6147" s="6"/>
      <c r="C6147" s="11"/>
      <c r="D6147" s="13"/>
      <c r="E6147" s="13"/>
      <c r="F6147" s="13"/>
      <c r="G6147" s="13"/>
      <c r="H6147" s="13"/>
      <c r="I6147" s="10"/>
      <c r="J6147" s="11"/>
      <c r="K6147" s="6"/>
      <c r="L6147" s="13"/>
    </row>
    <row r="6148" spans="1:12" hidden="1" x14ac:dyDescent="0.25">
      <c r="A6148" s="6"/>
      <c r="B6148" s="6"/>
      <c r="C6148" s="11"/>
      <c r="D6148" s="13"/>
      <c r="E6148" s="13"/>
      <c r="F6148" s="13"/>
      <c r="G6148" s="13"/>
      <c r="H6148" s="13"/>
      <c r="I6148" s="10"/>
      <c r="J6148" s="11"/>
      <c r="K6148" s="6"/>
      <c r="L6148" s="13"/>
    </row>
    <row r="6149" spans="1:12" hidden="1" x14ac:dyDescent="0.25">
      <c r="A6149" s="6"/>
      <c r="B6149" s="6"/>
      <c r="C6149" s="11"/>
      <c r="D6149" s="13"/>
      <c r="E6149" s="13"/>
      <c r="F6149" s="13"/>
      <c r="G6149" s="13"/>
      <c r="H6149" s="13"/>
      <c r="I6149" s="10"/>
      <c r="J6149" s="11"/>
      <c r="K6149" s="6"/>
      <c r="L6149" s="13"/>
    </row>
    <row r="6150" spans="1:12" hidden="1" x14ac:dyDescent="0.25">
      <c r="A6150" s="6"/>
      <c r="B6150" s="6"/>
      <c r="C6150" s="11"/>
      <c r="D6150" s="13"/>
      <c r="E6150" s="13"/>
      <c r="F6150" s="13"/>
      <c r="G6150" s="13"/>
      <c r="H6150" s="13"/>
      <c r="I6150" s="10"/>
      <c r="J6150" s="11"/>
      <c r="K6150" s="6"/>
      <c r="L6150" s="13"/>
    </row>
    <row r="6151" spans="1:12" hidden="1" x14ac:dyDescent="0.25">
      <c r="A6151" s="6"/>
      <c r="B6151" s="6"/>
      <c r="C6151" s="11"/>
      <c r="D6151" s="13"/>
      <c r="E6151" s="13"/>
      <c r="F6151" s="13"/>
      <c r="G6151" s="13"/>
      <c r="H6151" s="13"/>
      <c r="I6151" s="10"/>
      <c r="J6151" s="11"/>
      <c r="K6151" s="6"/>
      <c r="L6151" s="13"/>
    </row>
    <row r="6152" spans="1:12" hidden="1" x14ac:dyDescent="0.25">
      <c r="A6152" s="6"/>
      <c r="B6152" s="6"/>
      <c r="C6152" s="11"/>
      <c r="D6152" s="13"/>
      <c r="E6152" s="13"/>
      <c r="F6152" s="13"/>
      <c r="G6152" s="13"/>
      <c r="H6152" s="13"/>
      <c r="I6152" s="10"/>
      <c r="J6152" s="11"/>
      <c r="K6152" s="6"/>
      <c r="L6152" s="13"/>
    </row>
    <row r="6153" spans="1:12" hidden="1" x14ac:dyDescent="0.25">
      <c r="A6153" s="6"/>
      <c r="B6153" s="6"/>
      <c r="C6153" s="11"/>
      <c r="D6153" s="13"/>
      <c r="E6153" s="13"/>
      <c r="F6153" s="13"/>
      <c r="G6153" s="13"/>
      <c r="H6153" s="13"/>
      <c r="I6153" s="10"/>
      <c r="J6153" s="11"/>
      <c r="K6153" s="6"/>
      <c r="L6153" s="13"/>
    </row>
    <row r="6154" spans="1:12" hidden="1" x14ac:dyDescent="0.25">
      <c r="A6154" s="6"/>
      <c r="B6154" s="6"/>
      <c r="C6154" s="11"/>
      <c r="D6154" s="13"/>
      <c r="E6154" s="13"/>
      <c r="F6154" s="13"/>
      <c r="G6154" s="13"/>
      <c r="H6154" s="13"/>
      <c r="I6154" s="10"/>
      <c r="J6154" s="11"/>
      <c r="K6154" s="6"/>
      <c r="L6154" s="13"/>
    </row>
    <row r="6155" spans="1:12" hidden="1" x14ac:dyDescent="0.25">
      <c r="A6155" s="6"/>
      <c r="B6155" s="6"/>
      <c r="C6155" s="11"/>
      <c r="D6155" s="13"/>
      <c r="E6155" s="13"/>
      <c r="F6155" s="13"/>
      <c r="G6155" s="13"/>
      <c r="H6155" s="13"/>
      <c r="I6155" s="10"/>
      <c r="J6155" s="11"/>
      <c r="K6155" s="6"/>
      <c r="L6155" s="13"/>
    </row>
    <row r="6156" spans="1:12" hidden="1" x14ac:dyDescent="0.25">
      <c r="A6156" s="6"/>
      <c r="B6156" s="6"/>
      <c r="C6156" s="11"/>
      <c r="D6156" s="13"/>
      <c r="E6156" s="13"/>
      <c r="F6156" s="13"/>
      <c r="G6156" s="13"/>
      <c r="H6156" s="13"/>
      <c r="I6156" s="10"/>
      <c r="J6156" s="11"/>
      <c r="K6156" s="6"/>
      <c r="L6156" s="13"/>
    </row>
    <row r="6157" spans="1:12" hidden="1" x14ac:dyDescent="0.25">
      <c r="A6157" s="6"/>
      <c r="B6157" s="6"/>
      <c r="C6157" s="11"/>
      <c r="D6157" s="13"/>
      <c r="E6157" s="13"/>
      <c r="F6157" s="13"/>
      <c r="G6157" s="13"/>
      <c r="H6157" s="13"/>
      <c r="I6157" s="10"/>
      <c r="J6157" s="11"/>
      <c r="K6157" s="6"/>
      <c r="L6157" s="13"/>
    </row>
    <row r="6158" spans="1:12" hidden="1" x14ac:dyDescent="0.25">
      <c r="A6158" s="6"/>
      <c r="B6158" s="6"/>
      <c r="C6158" s="11"/>
      <c r="D6158" s="13"/>
      <c r="E6158" s="13"/>
      <c r="F6158" s="13"/>
      <c r="G6158" s="13"/>
      <c r="H6158" s="13"/>
      <c r="I6158" s="10"/>
      <c r="J6158" s="11"/>
      <c r="K6158" s="6"/>
      <c r="L6158" s="13"/>
    </row>
    <row r="6159" spans="1:12" hidden="1" x14ac:dyDescent="0.25">
      <c r="A6159" s="6"/>
      <c r="B6159" s="6"/>
      <c r="C6159" s="11"/>
      <c r="D6159" s="13"/>
      <c r="E6159" s="13"/>
      <c r="F6159" s="13"/>
      <c r="G6159" s="13"/>
      <c r="H6159" s="13"/>
      <c r="I6159" s="10"/>
      <c r="J6159" s="11"/>
      <c r="K6159" s="6"/>
      <c r="L6159" s="13"/>
    </row>
    <row r="6160" spans="1:12" hidden="1" x14ac:dyDescent="0.25">
      <c r="A6160" s="6"/>
      <c r="B6160" s="6"/>
      <c r="C6160" s="11"/>
      <c r="D6160" s="13"/>
      <c r="E6160" s="13"/>
      <c r="F6160" s="13"/>
      <c r="G6160" s="13"/>
      <c r="H6160" s="13"/>
      <c r="I6160" s="10"/>
      <c r="J6160" s="11"/>
      <c r="K6160" s="6"/>
      <c r="L6160" s="13"/>
    </row>
    <row r="6161" spans="1:12" hidden="1" x14ac:dyDescent="0.25">
      <c r="A6161" s="6"/>
      <c r="B6161" s="6"/>
      <c r="C6161" s="11"/>
      <c r="D6161" s="13"/>
      <c r="E6161" s="13"/>
      <c r="F6161" s="13"/>
      <c r="G6161" s="13"/>
      <c r="H6161" s="13"/>
      <c r="I6161" s="10"/>
      <c r="J6161" s="11"/>
      <c r="K6161" s="6"/>
      <c r="L6161" s="13"/>
    </row>
    <row r="6162" spans="1:12" hidden="1" x14ac:dyDescent="0.25">
      <c r="A6162" s="6"/>
      <c r="B6162" s="6"/>
      <c r="C6162" s="11"/>
      <c r="D6162" s="13"/>
      <c r="E6162" s="13"/>
      <c r="F6162" s="13"/>
      <c r="G6162" s="13"/>
      <c r="H6162" s="13"/>
      <c r="I6162" s="10"/>
      <c r="J6162" s="11"/>
      <c r="K6162" s="6"/>
      <c r="L6162" s="13"/>
    </row>
    <row r="6163" spans="1:12" hidden="1" x14ac:dyDescent="0.25">
      <c r="A6163" s="6"/>
      <c r="B6163" s="6"/>
      <c r="C6163" s="11"/>
      <c r="D6163" s="13"/>
      <c r="E6163" s="13"/>
      <c r="F6163" s="13"/>
      <c r="G6163" s="13"/>
      <c r="H6163" s="13"/>
      <c r="I6163" s="10"/>
      <c r="J6163" s="11"/>
      <c r="K6163" s="6"/>
      <c r="L6163" s="13"/>
    </row>
    <row r="6164" spans="1:12" hidden="1" x14ac:dyDescent="0.25">
      <c r="A6164" s="6"/>
      <c r="B6164" s="6"/>
      <c r="C6164" s="11"/>
      <c r="D6164" s="13"/>
      <c r="E6164" s="13"/>
      <c r="F6164" s="13"/>
      <c r="G6164" s="13"/>
      <c r="H6164" s="13"/>
      <c r="I6164" s="10"/>
      <c r="J6164" s="11"/>
      <c r="K6164" s="6"/>
      <c r="L6164" s="13"/>
    </row>
    <row r="6165" spans="1:12" hidden="1" x14ac:dyDescent="0.25">
      <c r="A6165" s="6"/>
      <c r="B6165" s="6"/>
      <c r="C6165" s="11"/>
      <c r="D6165" s="13"/>
      <c r="E6165" s="13"/>
      <c r="F6165" s="13"/>
      <c r="G6165" s="13"/>
      <c r="H6165" s="13"/>
      <c r="I6165" s="10"/>
      <c r="J6165" s="11"/>
      <c r="K6165" s="6"/>
      <c r="L6165" s="13"/>
    </row>
    <row r="6166" spans="1:12" hidden="1" x14ac:dyDescent="0.25">
      <c r="A6166" s="6"/>
      <c r="B6166" s="6"/>
      <c r="C6166" s="11"/>
      <c r="D6166" s="13"/>
      <c r="E6166" s="13"/>
      <c r="F6166" s="13"/>
      <c r="G6166" s="13"/>
      <c r="H6166" s="13"/>
      <c r="I6166" s="10"/>
      <c r="J6166" s="11"/>
      <c r="K6166" s="6"/>
      <c r="L6166" s="13"/>
    </row>
    <row r="6167" spans="1:12" hidden="1" x14ac:dyDescent="0.25">
      <c r="A6167" s="6"/>
      <c r="B6167" s="6"/>
      <c r="C6167" s="11"/>
      <c r="D6167" s="13"/>
      <c r="E6167" s="13"/>
      <c r="F6167" s="13"/>
      <c r="G6167" s="13"/>
      <c r="H6167" s="13"/>
      <c r="I6167" s="10"/>
      <c r="J6167" s="11"/>
      <c r="K6167" s="6"/>
      <c r="L6167" s="13"/>
    </row>
    <row r="6168" spans="1:12" hidden="1" x14ac:dyDescent="0.25">
      <c r="A6168" s="6"/>
      <c r="B6168" s="6"/>
      <c r="C6168" s="11"/>
      <c r="D6168" s="13"/>
      <c r="E6168" s="13"/>
      <c r="F6168" s="13"/>
      <c r="G6168" s="13"/>
      <c r="H6168" s="13"/>
      <c r="I6168" s="10"/>
      <c r="J6168" s="11"/>
      <c r="K6168" s="6"/>
      <c r="L6168" s="13"/>
    </row>
    <row r="6169" spans="1:12" hidden="1" x14ac:dyDescent="0.25">
      <c r="A6169" s="6"/>
      <c r="B6169" s="6"/>
      <c r="C6169" s="11"/>
      <c r="D6169" s="13"/>
      <c r="E6169" s="13"/>
      <c r="F6169" s="13"/>
      <c r="G6169" s="13"/>
      <c r="H6169" s="13"/>
      <c r="I6169" s="10"/>
      <c r="J6169" s="11"/>
      <c r="K6169" s="6"/>
      <c r="L6169" s="13"/>
    </row>
    <row r="6170" spans="1:12" hidden="1" x14ac:dyDescent="0.25">
      <c r="A6170" s="6"/>
      <c r="B6170" s="6"/>
      <c r="C6170" s="11"/>
      <c r="D6170" s="13"/>
      <c r="E6170" s="13"/>
      <c r="F6170" s="13"/>
      <c r="G6170" s="13"/>
      <c r="H6170" s="13"/>
      <c r="I6170" s="10"/>
      <c r="J6170" s="11"/>
      <c r="K6170" s="6"/>
      <c r="L6170" s="13"/>
    </row>
    <row r="6171" spans="1:12" hidden="1" x14ac:dyDescent="0.25">
      <c r="A6171" s="6"/>
      <c r="B6171" s="6"/>
      <c r="C6171" s="11"/>
      <c r="D6171" s="13"/>
      <c r="E6171" s="13"/>
      <c r="F6171" s="13"/>
      <c r="G6171" s="13"/>
      <c r="H6171" s="13"/>
      <c r="I6171" s="10"/>
      <c r="J6171" s="11"/>
      <c r="K6171" s="6"/>
      <c r="L6171" s="13"/>
    </row>
    <row r="6172" spans="1:12" hidden="1" x14ac:dyDescent="0.25">
      <c r="A6172" s="6"/>
      <c r="B6172" s="6"/>
      <c r="C6172" s="11"/>
      <c r="D6172" s="13"/>
      <c r="E6172" s="13"/>
      <c r="F6172" s="13"/>
      <c r="G6172" s="13"/>
      <c r="H6172" s="13"/>
      <c r="I6172" s="10"/>
      <c r="J6172" s="11"/>
      <c r="K6172" s="6"/>
      <c r="L6172" s="13"/>
    </row>
    <row r="6173" spans="1:12" hidden="1" x14ac:dyDescent="0.25">
      <c r="A6173" s="6"/>
      <c r="B6173" s="6"/>
      <c r="C6173" s="11"/>
      <c r="D6173" s="13"/>
      <c r="E6173" s="13"/>
      <c r="F6173" s="13"/>
      <c r="G6173" s="13"/>
      <c r="H6173" s="13"/>
      <c r="I6173" s="10"/>
      <c r="J6173" s="11"/>
      <c r="K6173" s="6"/>
      <c r="L6173" s="13"/>
    </row>
    <row r="6174" spans="1:12" hidden="1" x14ac:dyDescent="0.25">
      <c r="A6174" s="6"/>
      <c r="B6174" s="6"/>
      <c r="C6174" s="11"/>
      <c r="D6174" s="13"/>
      <c r="E6174" s="13"/>
      <c r="F6174" s="13"/>
      <c r="G6174" s="13"/>
      <c r="H6174" s="13"/>
      <c r="I6174" s="10"/>
      <c r="J6174" s="11"/>
      <c r="K6174" s="6"/>
      <c r="L6174" s="13"/>
    </row>
    <row r="6175" spans="1:12" hidden="1" x14ac:dyDescent="0.25">
      <c r="A6175" s="6"/>
      <c r="B6175" s="6"/>
      <c r="C6175" s="11"/>
      <c r="D6175" s="13"/>
      <c r="E6175" s="13"/>
      <c r="F6175" s="13"/>
      <c r="G6175" s="13"/>
      <c r="H6175" s="13"/>
      <c r="I6175" s="10"/>
      <c r="J6175" s="11"/>
      <c r="K6175" s="6"/>
      <c r="L6175" s="13"/>
    </row>
    <row r="6176" spans="1:12" hidden="1" x14ac:dyDescent="0.25">
      <c r="A6176" s="6"/>
      <c r="B6176" s="6"/>
      <c r="C6176" s="11"/>
      <c r="D6176" s="13"/>
      <c r="E6176" s="13"/>
      <c r="F6176" s="13"/>
      <c r="G6176" s="13"/>
      <c r="H6176" s="13"/>
      <c r="I6176" s="10"/>
      <c r="J6176" s="11"/>
      <c r="K6176" s="6"/>
      <c r="L6176" s="13"/>
    </row>
    <row r="6177" spans="1:12" hidden="1" x14ac:dyDescent="0.25">
      <c r="A6177" s="6"/>
      <c r="B6177" s="6"/>
      <c r="C6177" s="11"/>
      <c r="D6177" s="13"/>
      <c r="E6177" s="13"/>
      <c r="F6177" s="13"/>
      <c r="G6177" s="13"/>
      <c r="H6177" s="13"/>
      <c r="I6177" s="10"/>
      <c r="J6177" s="11"/>
      <c r="K6177" s="6"/>
      <c r="L6177" s="13"/>
    </row>
    <row r="6178" spans="1:12" hidden="1" x14ac:dyDescent="0.25">
      <c r="A6178" s="6"/>
      <c r="B6178" s="6"/>
      <c r="C6178" s="11"/>
      <c r="D6178" s="13"/>
      <c r="E6178" s="13"/>
      <c r="F6178" s="13"/>
      <c r="G6178" s="13"/>
      <c r="H6178" s="13"/>
      <c r="I6178" s="10"/>
      <c r="J6178" s="11"/>
      <c r="K6178" s="6"/>
      <c r="L6178" s="13"/>
    </row>
    <row r="6179" spans="1:12" hidden="1" x14ac:dyDescent="0.25">
      <c r="A6179" s="6"/>
      <c r="B6179" s="6"/>
      <c r="C6179" s="11"/>
      <c r="D6179" s="13"/>
      <c r="E6179" s="13"/>
      <c r="F6179" s="13"/>
      <c r="G6179" s="13"/>
      <c r="H6179" s="13"/>
      <c r="I6179" s="10"/>
      <c r="J6179" s="11"/>
      <c r="K6179" s="6"/>
      <c r="L6179" s="13"/>
    </row>
    <row r="6180" spans="1:12" hidden="1" x14ac:dyDescent="0.25">
      <c r="A6180" s="6"/>
      <c r="B6180" s="6"/>
      <c r="C6180" s="11"/>
      <c r="D6180" s="13"/>
      <c r="E6180" s="13"/>
      <c r="F6180" s="13"/>
      <c r="G6180" s="13"/>
      <c r="H6180" s="13"/>
      <c r="I6180" s="10"/>
      <c r="J6180" s="11"/>
      <c r="K6180" s="6"/>
      <c r="L6180" s="13"/>
    </row>
    <row r="6181" spans="1:12" hidden="1" x14ac:dyDescent="0.25">
      <c r="A6181" s="6"/>
      <c r="B6181" s="6"/>
      <c r="C6181" s="11"/>
      <c r="D6181" s="13"/>
      <c r="E6181" s="13"/>
      <c r="F6181" s="13"/>
      <c r="G6181" s="13"/>
      <c r="H6181" s="13"/>
      <c r="I6181" s="10"/>
      <c r="J6181" s="11"/>
      <c r="K6181" s="6"/>
      <c r="L6181" s="13"/>
    </row>
    <row r="6182" spans="1:12" hidden="1" x14ac:dyDescent="0.25">
      <c r="A6182" s="6"/>
      <c r="B6182" s="6"/>
      <c r="C6182" s="11"/>
      <c r="D6182" s="13"/>
      <c r="E6182" s="13"/>
      <c r="F6182" s="13"/>
      <c r="G6182" s="13"/>
      <c r="H6182" s="13"/>
      <c r="I6182" s="10"/>
      <c r="J6182" s="11"/>
      <c r="K6182" s="6"/>
      <c r="L6182" s="13"/>
    </row>
    <row r="6183" spans="1:12" hidden="1" x14ac:dyDescent="0.25">
      <c r="A6183" s="6"/>
      <c r="B6183" s="6"/>
      <c r="C6183" s="11"/>
      <c r="D6183" s="13"/>
      <c r="E6183" s="13"/>
      <c r="F6183" s="13"/>
      <c r="G6183" s="13"/>
      <c r="H6183" s="13"/>
      <c r="I6183" s="10"/>
      <c r="J6183" s="11"/>
      <c r="K6183" s="6"/>
      <c r="L6183" s="13"/>
    </row>
    <row r="6184" spans="1:12" hidden="1" x14ac:dyDescent="0.25">
      <c r="A6184" s="6"/>
      <c r="B6184" s="6"/>
      <c r="C6184" s="11"/>
      <c r="D6184" s="13"/>
      <c r="E6184" s="13"/>
      <c r="F6184" s="13"/>
      <c r="G6184" s="13"/>
      <c r="H6184" s="13"/>
      <c r="I6184" s="10"/>
      <c r="J6184" s="11"/>
      <c r="K6184" s="6"/>
      <c r="L6184" s="13"/>
    </row>
    <row r="6185" spans="1:12" hidden="1" x14ac:dyDescent="0.25">
      <c r="A6185" s="6"/>
      <c r="B6185" s="6"/>
      <c r="C6185" s="11"/>
      <c r="D6185" s="13"/>
      <c r="E6185" s="13"/>
      <c r="F6185" s="13"/>
      <c r="G6185" s="13"/>
      <c r="H6185" s="13"/>
      <c r="I6185" s="10"/>
      <c r="J6185" s="11"/>
      <c r="K6185" s="6"/>
      <c r="L6185" s="13"/>
    </row>
    <row r="6186" spans="1:12" hidden="1" x14ac:dyDescent="0.25">
      <c r="A6186" s="6"/>
      <c r="B6186" s="6"/>
      <c r="C6186" s="11"/>
      <c r="D6186" s="13"/>
      <c r="E6186" s="13"/>
      <c r="F6186" s="13"/>
      <c r="G6186" s="13"/>
      <c r="H6186" s="13"/>
      <c r="I6186" s="10"/>
      <c r="J6186" s="11"/>
      <c r="K6186" s="6"/>
      <c r="L6186" s="13"/>
    </row>
    <row r="6187" spans="1:12" hidden="1" x14ac:dyDescent="0.25">
      <c r="A6187" s="6"/>
      <c r="B6187" s="6"/>
      <c r="C6187" s="11"/>
      <c r="D6187" s="13"/>
      <c r="E6187" s="13"/>
      <c r="F6187" s="13"/>
      <c r="G6187" s="13"/>
      <c r="H6187" s="13"/>
      <c r="I6187" s="10"/>
      <c r="J6187" s="11"/>
      <c r="K6187" s="6"/>
      <c r="L6187" s="13"/>
    </row>
    <row r="6188" spans="1:12" hidden="1" x14ac:dyDescent="0.25">
      <c r="A6188" s="6"/>
      <c r="B6188" s="6"/>
      <c r="C6188" s="11"/>
      <c r="D6188" s="13"/>
      <c r="E6188" s="13"/>
      <c r="F6188" s="13"/>
      <c r="G6188" s="13"/>
      <c r="H6188" s="13"/>
      <c r="I6188" s="10"/>
      <c r="J6188" s="11"/>
      <c r="K6188" s="6"/>
      <c r="L6188" s="13"/>
    </row>
    <row r="6189" spans="1:12" hidden="1" x14ac:dyDescent="0.25">
      <c r="A6189" s="6"/>
      <c r="B6189" s="6"/>
      <c r="C6189" s="11"/>
      <c r="D6189" s="13"/>
      <c r="E6189" s="13"/>
      <c r="F6189" s="13"/>
      <c r="G6189" s="13"/>
      <c r="H6189" s="13"/>
      <c r="I6189" s="10"/>
      <c r="J6189" s="11"/>
      <c r="K6189" s="6"/>
      <c r="L6189" s="13"/>
    </row>
    <row r="6190" spans="1:12" hidden="1" x14ac:dyDescent="0.25">
      <c r="A6190" s="6"/>
      <c r="B6190" s="6"/>
      <c r="C6190" s="11"/>
      <c r="D6190" s="13"/>
      <c r="E6190" s="13"/>
      <c r="F6190" s="13"/>
      <c r="G6190" s="13"/>
      <c r="H6190" s="13"/>
      <c r="I6190" s="10"/>
      <c r="J6190" s="11"/>
      <c r="K6190" s="6"/>
      <c r="L6190" s="13"/>
    </row>
    <row r="6191" spans="1:12" hidden="1" x14ac:dyDescent="0.25">
      <c r="A6191" s="6"/>
      <c r="B6191" s="6"/>
      <c r="C6191" s="11"/>
      <c r="D6191" s="13"/>
      <c r="E6191" s="13"/>
      <c r="F6191" s="13"/>
      <c r="G6191" s="13"/>
      <c r="H6191" s="13"/>
      <c r="I6191" s="10"/>
      <c r="J6191" s="11"/>
      <c r="K6191" s="6"/>
      <c r="L6191" s="13"/>
    </row>
    <row r="6192" spans="1:12" hidden="1" x14ac:dyDescent="0.25">
      <c r="A6192" s="6"/>
      <c r="B6192" s="6"/>
      <c r="C6192" s="11"/>
      <c r="D6192" s="13"/>
      <c r="E6192" s="13"/>
      <c r="F6192" s="13"/>
      <c r="G6192" s="13"/>
      <c r="H6192" s="13"/>
      <c r="I6192" s="10"/>
      <c r="J6192" s="11"/>
      <c r="K6192" s="6"/>
      <c r="L6192" s="13"/>
    </row>
    <row r="6193" spans="1:12" hidden="1" x14ac:dyDescent="0.25">
      <c r="A6193" s="6"/>
      <c r="B6193" s="6"/>
      <c r="C6193" s="11"/>
      <c r="D6193" s="13"/>
      <c r="E6193" s="13"/>
      <c r="F6193" s="13"/>
      <c r="G6193" s="13"/>
      <c r="H6193" s="13"/>
      <c r="I6193" s="10"/>
      <c r="J6193" s="11"/>
      <c r="K6193" s="6"/>
      <c r="L6193" s="13"/>
    </row>
    <row r="6194" spans="1:12" hidden="1" x14ac:dyDescent="0.25">
      <c r="A6194" s="6"/>
      <c r="B6194" s="6"/>
      <c r="C6194" s="11"/>
      <c r="D6194" s="13"/>
      <c r="E6194" s="13"/>
      <c r="F6194" s="13"/>
      <c r="G6194" s="13"/>
      <c r="H6194" s="13"/>
      <c r="I6194" s="10"/>
      <c r="J6194" s="11"/>
      <c r="K6194" s="6"/>
      <c r="L6194" s="13"/>
    </row>
    <row r="6195" spans="1:12" hidden="1" x14ac:dyDescent="0.25">
      <c r="A6195" s="6"/>
      <c r="B6195" s="6"/>
      <c r="C6195" s="11"/>
      <c r="D6195" s="13"/>
      <c r="E6195" s="13"/>
      <c r="F6195" s="13"/>
      <c r="G6195" s="13"/>
      <c r="H6195" s="13"/>
      <c r="I6195" s="10"/>
      <c r="J6195" s="11"/>
      <c r="K6195" s="6"/>
      <c r="L6195" s="13"/>
    </row>
    <row r="6196" spans="1:12" hidden="1" x14ac:dyDescent="0.25">
      <c r="A6196" s="6"/>
      <c r="B6196" s="6"/>
      <c r="C6196" s="11"/>
      <c r="D6196" s="13"/>
      <c r="E6196" s="13"/>
      <c r="F6196" s="13"/>
      <c r="G6196" s="13"/>
      <c r="H6196" s="13"/>
      <c r="I6196" s="10"/>
      <c r="J6196" s="11"/>
      <c r="K6196" s="6"/>
      <c r="L6196" s="13"/>
    </row>
    <row r="6197" spans="1:12" hidden="1" x14ac:dyDescent="0.25">
      <c r="A6197" s="6"/>
      <c r="B6197" s="6"/>
      <c r="C6197" s="11"/>
      <c r="D6197" s="13"/>
      <c r="E6197" s="13"/>
      <c r="F6197" s="13"/>
      <c r="G6197" s="13"/>
      <c r="H6197" s="13"/>
      <c r="I6197" s="10"/>
      <c r="J6197" s="11"/>
      <c r="K6197" s="6"/>
      <c r="L6197" s="13"/>
    </row>
    <row r="6198" spans="1:12" hidden="1" x14ac:dyDescent="0.25">
      <c r="A6198" s="6"/>
      <c r="B6198" s="6"/>
      <c r="C6198" s="11"/>
      <c r="D6198" s="13"/>
      <c r="E6198" s="13"/>
      <c r="F6198" s="13"/>
      <c r="G6198" s="13"/>
      <c r="H6198" s="13"/>
      <c r="I6198" s="10"/>
      <c r="J6198" s="11"/>
      <c r="K6198" s="6"/>
      <c r="L6198" s="13"/>
    </row>
    <row r="6199" spans="1:12" hidden="1" x14ac:dyDescent="0.25">
      <c r="A6199" s="6"/>
      <c r="B6199" s="6"/>
      <c r="C6199" s="11"/>
      <c r="D6199" s="13"/>
      <c r="E6199" s="13"/>
      <c r="F6199" s="13"/>
      <c r="G6199" s="13"/>
      <c r="H6199" s="13"/>
      <c r="I6199" s="10"/>
      <c r="J6199" s="11"/>
      <c r="K6199" s="6"/>
      <c r="L6199" s="13"/>
    </row>
    <row r="6200" spans="1:12" hidden="1" x14ac:dyDescent="0.25">
      <c r="A6200" s="6"/>
      <c r="B6200" s="6"/>
      <c r="C6200" s="11"/>
      <c r="D6200" s="13"/>
      <c r="E6200" s="13"/>
      <c r="F6200" s="13"/>
      <c r="G6200" s="13"/>
      <c r="H6200" s="13"/>
      <c r="I6200" s="10"/>
      <c r="J6200" s="11"/>
      <c r="K6200" s="6"/>
      <c r="L6200" s="13"/>
    </row>
    <row r="6201" spans="1:12" hidden="1" x14ac:dyDescent="0.25">
      <c r="A6201" s="6"/>
      <c r="B6201" s="6"/>
      <c r="C6201" s="11"/>
      <c r="D6201" s="13"/>
      <c r="E6201" s="13"/>
      <c r="F6201" s="13"/>
      <c r="G6201" s="13"/>
      <c r="H6201" s="13"/>
      <c r="I6201" s="10"/>
      <c r="J6201" s="11"/>
      <c r="K6201" s="6"/>
      <c r="L6201" s="13"/>
    </row>
    <row r="6202" spans="1:12" hidden="1" x14ac:dyDescent="0.25">
      <c r="A6202" s="6"/>
      <c r="B6202" s="6"/>
      <c r="C6202" s="11"/>
      <c r="D6202" s="13"/>
      <c r="E6202" s="13"/>
      <c r="F6202" s="13"/>
      <c r="G6202" s="13"/>
      <c r="H6202" s="13"/>
      <c r="I6202" s="10"/>
      <c r="J6202" s="11"/>
      <c r="K6202" s="6"/>
      <c r="L6202" s="13"/>
    </row>
    <row r="6203" spans="1:12" hidden="1" x14ac:dyDescent="0.25">
      <c r="A6203" s="6"/>
      <c r="B6203" s="6"/>
      <c r="C6203" s="11"/>
      <c r="D6203" s="13"/>
      <c r="E6203" s="13"/>
      <c r="F6203" s="13"/>
      <c r="G6203" s="13"/>
      <c r="H6203" s="13"/>
      <c r="I6203" s="10"/>
      <c r="J6203" s="11"/>
      <c r="K6203" s="6"/>
      <c r="L6203" s="13"/>
    </row>
    <row r="6204" spans="1:12" hidden="1" x14ac:dyDescent="0.25">
      <c r="A6204" s="6"/>
      <c r="B6204" s="6"/>
      <c r="C6204" s="11"/>
      <c r="D6204" s="13"/>
      <c r="E6204" s="13"/>
      <c r="F6204" s="13"/>
      <c r="G6204" s="13"/>
      <c r="H6204" s="13"/>
      <c r="I6204" s="10"/>
      <c r="J6204" s="11"/>
      <c r="K6204" s="6"/>
      <c r="L6204" s="13"/>
    </row>
    <row r="6205" spans="1:12" hidden="1" x14ac:dyDescent="0.25">
      <c r="A6205" s="6"/>
      <c r="B6205" s="6"/>
      <c r="C6205" s="11"/>
      <c r="D6205" s="13"/>
      <c r="E6205" s="13"/>
      <c r="F6205" s="13"/>
      <c r="G6205" s="13"/>
      <c r="H6205" s="13"/>
      <c r="I6205" s="10"/>
      <c r="J6205" s="11"/>
      <c r="K6205" s="6"/>
      <c r="L6205" s="13"/>
    </row>
    <row r="6206" spans="1:12" hidden="1" x14ac:dyDescent="0.25">
      <c r="A6206" s="6"/>
      <c r="B6206" s="6"/>
      <c r="C6206" s="11"/>
      <c r="D6206" s="13"/>
      <c r="E6206" s="13"/>
      <c r="F6206" s="13"/>
      <c r="G6206" s="13"/>
      <c r="H6206" s="13"/>
      <c r="I6206" s="10"/>
      <c r="J6206" s="11"/>
      <c r="K6206" s="6"/>
      <c r="L6206" s="13"/>
    </row>
    <row r="6207" spans="1:12" hidden="1" x14ac:dyDescent="0.25">
      <c r="A6207" s="6"/>
      <c r="B6207" s="6"/>
      <c r="C6207" s="11"/>
      <c r="D6207" s="13"/>
      <c r="E6207" s="13"/>
      <c r="F6207" s="13"/>
      <c r="G6207" s="13"/>
      <c r="H6207" s="13"/>
      <c r="I6207" s="10"/>
      <c r="J6207" s="11"/>
      <c r="K6207" s="6"/>
      <c r="L6207" s="13"/>
    </row>
    <row r="6208" spans="1:12" hidden="1" x14ac:dyDescent="0.25">
      <c r="A6208" s="6"/>
      <c r="B6208" s="6"/>
      <c r="C6208" s="11"/>
      <c r="D6208" s="13"/>
      <c r="E6208" s="13"/>
      <c r="F6208" s="13"/>
      <c r="G6208" s="13"/>
      <c r="H6208" s="13"/>
      <c r="I6208" s="10"/>
      <c r="J6208" s="11"/>
      <c r="K6208" s="6"/>
      <c r="L6208" s="13"/>
    </row>
    <row r="6209" spans="1:12" hidden="1" x14ac:dyDescent="0.25">
      <c r="A6209" s="6"/>
      <c r="B6209" s="6"/>
      <c r="C6209" s="11"/>
      <c r="D6209" s="13"/>
      <c r="E6209" s="13"/>
      <c r="F6209" s="13"/>
      <c r="G6209" s="13"/>
      <c r="H6209" s="13"/>
      <c r="I6209" s="10"/>
      <c r="J6209" s="11"/>
      <c r="K6209" s="6"/>
      <c r="L6209" s="13"/>
    </row>
    <row r="6210" spans="1:12" hidden="1" x14ac:dyDescent="0.25">
      <c r="A6210" s="6"/>
      <c r="B6210" s="6"/>
      <c r="C6210" s="11"/>
      <c r="D6210" s="13"/>
      <c r="E6210" s="13"/>
      <c r="F6210" s="13"/>
      <c r="G6210" s="13"/>
      <c r="H6210" s="13"/>
      <c r="I6210" s="10"/>
      <c r="J6210" s="11"/>
      <c r="K6210" s="6"/>
      <c r="L6210" s="13"/>
    </row>
    <row r="6211" spans="1:12" hidden="1" x14ac:dyDescent="0.25">
      <c r="A6211" s="6"/>
      <c r="B6211" s="6"/>
      <c r="C6211" s="11"/>
      <c r="D6211" s="13"/>
      <c r="E6211" s="13"/>
      <c r="F6211" s="13"/>
      <c r="G6211" s="13"/>
      <c r="H6211" s="13"/>
      <c r="I6211" s="10"/>
      <c r="J6211" s="11"/>
      <c r="K6211" s="6"/>
      <c r="L6211" s="13"/>
    </row>
    <row r="6212" spans="1:12" hidden="1" x14ac:dyDescent="0.25">
      <c r="A6212" s="6"/>
      <c r="B6212" s="6"/>
      <c r="C6212" s="11"/>
      <c r="D6212" s="13"/>
      <c r="E6212" s="13"/>
      <c r="F6212" s="13"/>
      <c r="G6212" s="13"/>
      <c r="H6212" s="13"/>
      <c r="I6212" s="10"/>
      <c r="J6212" s="11"/>
      <c r="K6212" s="6"/>
      <c r="L6212" s="13"/>
    </row>
    <row r="6213" spans="1:12" hidden="1" x14ac:dyDescent="0.25">
      <c r="A6213" s="6"/>
      <c r="B6213" s="6"/>
      <c r="C6213" s="11"/>
      <c r="D6213" s="13"/>
      <c r="E6213" s="13"/>
      <c r="F6213" s="13"/>
      <c r="G6213" s="13"/>
      <c r="H6213" s="13"/>
      <c r="I6213" s="10"/>
      <c r="J6213" s="11"/>
      <c r="K6213" s="6"/>
      <c r="L6213" s="13"/>
    </row>
    <row r="6214" spans="1:12" hidden="1" x14ac:dyDescent="0.25">
      <c r="A6214" s="6"/>
      <c r="B6214" s="6"/>
      <c r="C6214" s="11"/>
      <c r="D6214" s="13"/>
      <c r="E6214" s="13"/>
      <c r="F6214" s="13"/>
      <c r="G6214" s="13"/>
      <c r="H6214" s="13"/>
      <c r="I6214" s="10"/>
      <c r="J6214" s="11"/>
      <c r="K6214" s="6"/>
      <c r="L6214" s="13"/>
    </row>
    <row r="6215" spans="1:12" hidden="1" x14ac:dyDescent="0.25">
      <c r="A6215" s="6"/>
      <c r="B6215" s="6"/>
      <c r="C6215" s="11"/>
      <c r="D6215" s="13"/>
      <c r="E6215" s="13"/>
      <c r="F6215" s="13"/>
      <c r="G6215" s="13"/>
      <c r="H6215" s="13"/>
      <c r="I6215" s="10"/>
      <c r="J6215" s="11"/>
      <c r="K6215" s="6"/>
      <c r="L6215" s="13"/>
    </row>
    <row r="6216" spans="1:12" hidden="1" x14ac:dyDescent="0.25">
      <c r="A6216" s="6"/>
      <c r="B6216" s="6"/>
      <c r="C6216" s="11"/>
      <c r="D6216" s="13"/>
      <c r="E6216" s="13"/>
      <c r="F6216" s="13"/>
      <c r="G6216" s="13"/>
      <c r="H6216" s="13"/>
      <c r="I6216" s="10"/>
      <c r="J6216" s="11"/>
      <c r="K6216" s="6"/>
      <c r="L6216" s="13"/>
    </row>
    <row r="6217" spans="1:12" hidden="1" x14ac:dyDescent="0.25">
      <c r="A6217" s="6"/>
      <c r="B6217" s="6"/>
      <c r="C6217" s="11"/>
      <c r="D6217" s="13"/>
      <c r="E6217" s="13"/>
      <c r="F6217" s="13"/>
      <c r="G6217" s="13"/>
      <c r="H6217" s="13"/>
      <c r="I6217" s="10"/>
      <c r="J6217" s="11"/>
      <c r="K6217" s="6"/>
      <c r="L6217" s="13"/>
    </row>
    <row r="6218" spans="1:12" hidden="1" x14ac:dyDescent="0.25">
      <c r="A6218" s="6"/>
      <c r="B6218" s="6"/>
      <c r="C6218" s="11"/>
      <c r="D6218" s="13"/>
      <c r="E6218" s="13"/>
      <c r="F6218" s="13"/>
      <c r="G6218" s="13"/>
      <c r="H6218" s="13"/>
      <c r="I6218" s="10"/>
      <c r="J6218" s="11"/>
      <c r="K6218" s="6"/>
      <c r="L6218" s="13"/>
    </row>
    <row r="6219" spans="1:12" hidden="1" x14ac:dyDescent="0.25">
      <c r="A6219" s="6"/>
      <c r="B6219" s="6"/>
      <c r="C6219" s="11"/>
      <c r="D6219" s="13"/>
      <c r="E6219" s="13"/>
      <c r="F6219" s="13"/>
      <c r="G6219" s="13"/>
      <c r="H6219" s="13"/>
      <c r="I6219" s="10"/>
      <c r="J6219" s="11"/>
      <c r="K6219" s="6"/>
      <c r="L6219" s="13"/>
    </row>
    <row r="6220" spans="1:12" hidden="1" x14ac:dyDescent="0.25">
      <c r="A6220" s="6"/>
      <c r="B6220" s="6"/>
      <c r="C6220" s="11"/>
      <c r="D6220" s="13"/>
      <c r="E6220" s="13"/>
      <c r="F6220" s="13"/>
      <c r="G6220" s="13"/>
      <c r="H6220" s="13"/>
      <c r="I6220" s="10"/>
      <c r="J6220" s="11"/>
      <c r="K6220" s="6"/>
      <c r="L6220" s="13"/>
    </row>
    <row r="6221" spans="1:12" hidden="1" x14ac:dyDescent="0.25">
      <c r="A6221" s="6"/>
      <c r="B6221" s="6"/>
      <c r="C6221" s="11"/>
      <c r="D6221" s="13"/>
      <c r="E6221" s="13"/>
      <c r="F6221" s="13"/>
      <c r="G6221" s="13"/>
      <c r="H6221" s="13"/>
      <c r="I6221" s="10"/>
      <c r="J6221" s="11"/>
      <c r="K6221" s="6"/>
      <c r="L6221" s="13"/>
    </row>
    <row r="6222" spans="1:12" hidden="1" x14ac:dyDescent="0.25">
      <c r="A6222" s="6"/>
      <c r="B6222" s="6"/>
      <c r="C6222" s="11"/>
      <c r="D6222" s="13"/>
      <c r="E6222" s="13"/>
      <c r="F6222" s="13"/>
      <c r="G6222" s="13"/>
      <c r="H6222" s="13"/>
      <c r="I6222" s="10"/>
      <c r="J6222" s="11"/>
      <c r="K6222" s="6"/>
      <c r="L6222" s="13"/>
    </row>
    <row r="6223" spans="1:12" hidden="1" x14ac:dyDescent="0.25">
      <c r="A6223" s="6"/>
      <c r="B6223" s="6"/>
      <c r="C6223" s="11"/>
      <c r="D6223" s="13"/>
      <c r="E6223" s="13"/>
      <c r="F6223" s="13"/>
      <c r="G6223" s="13"/>
      <c r="H6223" s="13"/>
      <c r="I6223" s="10"/>
      <c r="J6223" s="11"/>
      <c r="K6223" s="6"/>
      <c r="L6223" s="13"/>
    </row>
    <row r="6224" spans="1:12" hidden="1" x14ac:dyDescent="0.25">
      <c r="A6224" s="6"/>
      <c r="B6224" s="6"/>
      <c r="C6224" s="11"/>
      <c r="D6224" s="13"/>
      <c r="E6224" s="13"/>
      <c r="F6224" s="13"/>
      <c r="G6224" s="13"/>
      <c r="H6224" s="13"/>
      <c r="I6224" s="10"/>
      <c r="J6224" s="11"/>
      <c r="K6224" s="6"/>
      <c r="L6224" s="13"/>
    </row>
    <row r="6225" spans="1:12" hidden="1" x14ac:dyDescent="0.25">
      <c r="A6225" s="6"/>
      <c r="B6225" s="6"/>
      <c r="C6225" s="11"/>
      <c r="D6225" s="13"/>
      <c r="E6225" s="13"/>
      <c r="F6225" s="13"/>
      <c r="G6225" s="13"/>
      <c r="H6225" s="13"/>
      <c r="I6225" s="10"/>
      <c r="J6225" s="11"/>
      <c r="K6225" s="6"/>
      <c r="L6225" s="13"/>
    </row>
    <row r="6226" spans="1:12" hidden="1" x14ac:dyDescent="0.25">
      <c r="A6226" s="6"/>
      <c r="B6226" s="6"/>
      <c r="C6226" s="11"/>
      <c r="D6226" s="13"/>
      <c r="E6226" s="13"/>
      <c r="F6226" s="13"/>
      <c r="G6226" s="13"/>
      <c r="H6226" s="13"/>
      <c r="I6226" s="10"/>
      <c r="J6226" s="11"/>
      <c r="K6226" s="6"/>
      <c r="L6226" s="13"/>
    </row>
    <row r="6227" spans="1:12" hidden="1" x14ac:dyDescent="0.25">
      <c r="A6227" s="6"/>
      <c r="B6227" s="6"/>
      <c r="C6227" s="11"/>
      <c r="D6227" s="13"/>
      <c r="E6227" s="13"/>
      <c r="F6227" s="13"/>
      <c r="G6227" s="13"/>
      <c r="H6227" s="13"/>
      <c r="I6227" s="10"/>
      <c r="J6227" s="11"/>
      <c r="K6227" s="6"/>
      <c r="L6227" s="13"/>
    </row>
    <row r="6228" spans="1:12" hidden="1" x14ac:dyDescent="0.25">
      <c r="A6228" s="6"/>
      <c r="B6228" s="6"/>
      <c r="C6228" s="11"/>
      <c r="D6228" s="13"/>
      <c r="E6228" s="13"/>
      <c r="F6228" s="13"/>
      <c r="G6228" s="13"/>
      <c r="H6228" s="13"/>
      <c r="I6228" s="10"/>
      <c r="J6228" s="11"/>
      <c r="K6228" s="6"/>
      <c r="L6228" s="13"/>
    </row>
    <row r="6229" spans="1:12" hidden="1" x14ac:dyDescent="0.25">
      <c r="A6229" s="6"/>
      <c r="B6229" s="6"/>
      <c r="C6229" s="11"/>
      <c r="D6229" s="13"/>
      <c r="E6229" s="13"/>
      <c r="F6229" s="13"/>
      <c r="G6229" s="13"/>
      <c r="H6229" s="13"/>
      <c r="I6229" s="10"/>
      <c r="J6229" s="11"/>
      <c r="K6229" s="6"/>
      <c r="L6229" s="13"/>
    </row>
    <row r="6230" spans="1:12" hidden="1" x14ac:dyDescent="0.25">
      <c r="A6230" s="6"/>
      <c r="B6230" s="6"/>
      <c r="C6230" s="11"/>
      <c r="D6230" s="13"/>
      <c r="E6230" s="13"/>
      <c r="F6230" s="13"/>
      <c r="G6230" s="13"/>
      <c r="H6230" s="13"/>
      <c r="I6230" s="10"/>
      <c r="J6230" s="11"/>
      <c r="K6230" s="6"/>
      <c r="L6230" s="13"/>
    </row>
    <row r="6231" spans="1:12" hidden="1" x14ac:dyDescent="0.25">
      <c r="A6231" s="6"/>
      <c r="B6231" s="6"/>
      <c r="C6231" s="11"/>
      <c r="D6231" s="13"/>
      <c r="E6231" s="13"/>
      <c r="F6231" s="13"/>
      <c r="G6231" s="13"/>
      <c r="H6231" s="13"/>
      <c r="I6231" s="10"/>
      <c r="J6231" s="11"/>
      <c r="K6231" s="6"/>
      <c r="L6231" s="13"/>
    </row>
    <row r="6232" spans="1:12" hidden="1" x14ac:dyDescent="0.25">
      <c r="A6232" s="6"/>
      <c r="B6232" s="6"/>
      <c r="C6232" s="11"/>
      <c r="D6232" s="13"/>
      <c r="E6232" s="13"/>
      <c r="F6232" s="13"/>
      <c r="G6232" s="13"/>
      <c r="H6232" s="13"/>
      <c r="I6232" s="10"/>
      <c r="J6232" s="11"/>
      <c r="K6232" s="6"/>
      <c r="L6232" s="13"/>
    </row>
    <row r="6233" spans="1:12" hidden="1" x14ac:dyDescent="0.25">
      <c r="A6233" s="6"/>
      <c r="B6233" s="6"/>
      <c r="C6233" s="11"/>
      <c r="D6233" s="13"/>
      <c r="E6233" s="13"/>
      <c r="F6233" s="13"/>
      <c r="G6233" s="13"/>
      <c r="H6233" s="13"/>
      <c r="I6233" s="10"/>
      <c r="J6233" s="11"/>
      <c r="K6233" s="6"/>
      <c r="L6233" s="13"/>
    </row>
    <row r="6234" spans="1:12" hidden="1" x14ac:dyDescent="0.25">
      <c r="A6234" s="6"/>
      <c r="B6234" s="6"/>
      <c r="C6234" s="11"/>
      <c r="D6234" s="13"/>
      <c r="E6234" s="13"/>
      <c r="F6234" s="13"/>
      <c r="G6234" s="13"/>
      <c r="H6234" s="13"/>
      <c r="I6234" s="10"/>
      <c r="J6234" s="11"/>
      <c r="K6234" s="6"/>
      <c r="L6234" s="13"/>
    </row>
    <row r="6235" spans="1:12" hidden="1" x14ac:dyDescent="0.25">
      <c r="A6235" s="6"/>
      <c r="B6235" s="6"/>
      <c r="C6235" s="11"/>
      <c r="D6235" s="13"/>
      <c r="E6235" s="13"/>
      <c r="F6235" s="13"/>
      <c r="G6235" s="13"/>
      <c r="H6235" s="13"/>
      <c r="I6235" s="10"/>
      <c r="J6235" s="11"/>
      <c r="K6235" s="6"/>
      <c r="L6235" s="13"/>
    </row>
    <row r="6236" spans="1:12" hidden="1" x14ac:dyDescent="0.25">
      <c r="A6236" s="6"/>
      <c r="B6236" s="6"/>
      <c r="C6236" s="11"/>
      <c r="D6236" s="13"/>
      <c r="E6236" s="13"/>
      <c r="F6236" s="13"/>
      <c r="G6236" s="13"/>
      <c r="H6236" s="13"/>
      <c r="I6236" s="10"/>
      <c r="J6236" s="11"/>
      <c r="K6236" s="6"/>
      <c r="L6236" s="13"/>
    </row>
    <row r="6237" spans="1:12" hidden="1" x14ac:dyDescent="0.25">
      <c r="A6237" s="6"/>
      <c r="B6237" s="6"/>
      <c r="C6237" s="11"/>
      <c r="D6237" s="13"/>
      <c r="E6237" s="13"/>
      <c r="F6237" s="13"/>
      <c r="G6237" s="13"/>
      <c r="H6237" s="13"/>
      <c r="I6237" s="10"/>
      <c r="J6237" s="11"/>
      <c r="K6237" s="6"/>
      <c r="L6237" s="13"/>
    </row>
    <row r="6238" spans="1:12" hidden="1" x14ac:dyDescent="0.25">
      <c r="A6238" s="6"/>
      <c r="B6238" s="6"/>
      <c r="C6238" s="11"/>
      <c r="D6238" s="13"/>
      <c r="E6238" s="13"/>
      <c r="F6238" s="13"/>
      <c r="G6238" s="13"/>
      <c r="H6238" s="13"/>
      <c r="I6238" s="10"/>
      <c r="J6238" s="11"/>
      <c r="K6238" s="6"/>
      <c r="L6238" s="13"/>
    </row>
    <row r="6239" spans="1:12" hidden="1" x14ac:dyDescent="0.25">
      <c r="A6239" s="6"/>
      <c r="B6239" s="6"/>
      <c r="C6239" s="11"/>
      <c r="D6239" s="13"/>
      <c r="E6239" s="13"/>
      <c r="F6239" s="13"/>
      <c r="G6239" s="13"/>
      <c r="H6239" s="13"/>
      <c r="I6239" s="10"/>
      <c r="J6239" s="11"/>
      <c r="K6239" s="6"/>
      <c r="L6239" s="13"/>
    </row>
    <row r="6240" spans="1:12" hidden="1" x14ac:dyDescent="0.25">
      <c r="A6240" s="6"/>
      <c r="B6240" s="6"/>
      <c r="C6240" s="11"/>
      <c r="D6240" s="13"/>
      <c r="E6240" s="13"/>
      <c r="F6240" s="13"/>
      <c r="G6240" s="13"/>
      <c r="H6240" s="13"/>
      <c r="I6240" s="10"/>
      <c r="J6240" s="11"/>
      <c r="K6240" s="6"/>
      <c r="L6240" s="13"/>
    </row>
    <row r="6241" spans="1:12" hidden="1" x14ac:dyDescent="0.25">
      <c r="A6241" s="6"/>
      <c r="B6241" s="6"/>
      <c r="C6241" s="11"/>
      <c r="D6241" s="13"/>
      <c r="E6241" s="13"/>
      <c r="F6241" s="13"/>
      <c r="G6241" s="13"/>
      <c r="H6241" s="13"/>
      <c r="I6241" s="10"/>
      <c r="J6241" s="11"/>
      <c r="K6241" s="6"/>
      <c r="L6241" s="13"/>
    </row>
    <row r="6242" spans="1:12" hidden="1" x14ac:dyDescent="0.25">
      <c r="A6242" s="6"/>
      <c r="B6242" s="6"/>
      <c r="C6242" s="11"/>
      <c r="D6242" s="13"/>
      <c r="E6242" s="13"/>
      <c r="F6242" s="13"/>
      <c r="G6242" s="13"/>
      <c r="H6242" s="13"/>
      <c r="I6242" s="10"/>
      <c r="J6242" s="11"/>
      <c r="K6242" s="6"/>
      <c r="L6242" s="13"/>
    </row>
    <row r="6243" spans="1:12" hidden="1" x14ac:dyDescent="0.25">
      <c r="A6243" s="6"/>
      <c r="B6243" s="6"/>
      <c r="C6243" s="11"/>
      <c r="D6243" s="13"/>
      <c r="E6243" s="13"/>
      <c r="F6243" s="13"/>
      <c r="G6243" s="13"/>
      <c r="H6243" s="13"/>
      <c r="I6243" s="10"/>
      <c r="J6243" s="11"/>
      <c r="K6243" s="6"/>
      <c r="L6243" s="13"/>
    </row>
    <row r="6244" spans="1:12" hidden="1" x14ac:dyDescent="0.25">
      <c r="A6244" s="6"/>
      <c r="B6244" s="6"/>
      <c r="C6244" s="11"/>
      <c r="D6244" s="13"/>
      <c r="E6244" s="13"/>
      <c r="F6244" s="13"/>
      <c r="G6244" s="13"/>
      <c r="H6244" s="13"/>
      <c r="I6244" s="10"/>
      <c r="J6244" s="11"/>
      <c r="K6244" s="6"/>
      <c r="L6244" s="13"/>
    </row>
    <row r="6245" spans="1:12" hidden="1" x14ac:dyDescent="0.25">
      <c r="A6245" s="6"/>
      <c r="B6245" s="6"/>
      <c r="C6245" s="11"/>
      <c r="D6245" s="13"/>
      <c r="E6245" s="13"/>
      <c r="F6245" s="13"/>
      <c r="G6245" s="13"/>
      <c r="H6245" s="13"/>
      <c r="I6245" s="10"/>
      <c r="J6245" s="11"/>
      <c r="K6245" s="6"/>
      <c r="L6245" s="13"/>
    </row>
    <row r="6246" spans="1:12" hidden="1" x14ac:dyDescent="0.25">
      <c r="A6246" s="6"/>
      <c r="B6246" s="6"/>
      <c r="C6246" s="11"/>
      <c r="D6246" s="13"/>
      <c r="E6246" s="13"/>
      <c r="F6246" s="13"/>
      <c r="G6246" s="13"/>
      <c r="H6246" s="13"/>
      <c r="I6246" s="10"/>
      <c r="J6246" s="11"/>
      <c r="K6246" s="6"/>
      <c r="L6246" s="13"/>
    </row>
    <row r="6247" spans="1:12" hidden="1" x14ac:dyDescent="0.25">
      <c r="A6247" s="6"/>
      <c r="B6247" s="6"/>
      <c r="C6247" s="11"/>
      <c r="D6247" s="13"/>
      <c r="E6247" s="13"/>
      <c r="F6247" s="13"/>
      <c r="G6247" s="13"/>
      <c r="H6247" s="13"/>
      <c r="I6247" s="10"/>
      <c r="J6247" s="11"/>
      <c r="K6247" s="6"/>
      <c r="L6247" s="13"/>
    </row>
    <row r="6248" spans="1:12" hidden="1" x14ac:dyDescent="0.25">
      <c r="A6248" s="6"/>
      <c r="B6248" s="6"/>
      <c r="C6248" s="11"/>
      <c r="D6248" s="13"/>
      <c r="E6248" s="13"/>
      <c r="F6248" s="13"/>
      <c r="G6248" s="13"/>
      <c r="H6248" s="13"/>
      <c r="I6248" s="10"/>
      <c r="J6248" s="11"/>
      <c r="K6248" s="6"/>
      <c r="L6248" s="13"/>
    </row>
    <row r="6249" spans="1:12" hidden="1" x14ac:dyDescent="0.25">
      <c r="A6249" s="6"/>
      <c r="B6249" s="6"/>
      <c r="C6249" s="11"/>
      <c r="D6249" s="13"/>
      <c r="E6249" s="13"/>
      <c r="F6249" s="13"/>
      <c r="G6249" s="13"/>
      <c r="H6249" s="13"/>
      <c r="I6249" s="10"/>
      <c r="J6249" s="11"/>
      <c r="K6249" s="6"/>
      <c r="L6249" s="13"/>
    </row>
    <row r="6250" spans="1:12" hidden="1" x14ac:dyDescent="0.25">
      <c r="A6250" s="6"/>
      <c r="B6250" s="6"/>
      <c r="C6250" s="11"/>
      <c r="D6250" s="13"/>
      <c r="E6250" s="13"/>
      <c r="F6250" s="13"/>
      <c r="G6250" s="13"/>
      <c r="H6250" s="13"/>
      <c r="I6250" s="10"/>
      <c r="J6250" s="11"/>
      <c r="K6250" s="6"/>
      <c r="L6250" s="13"/>
    </row>
    <row r="6251" spans="1:12" hidden="1" x14ac:dyDescent="0.25">
      <c r="A6251" s="6"/>
      <c r="B6251" s="6"/>
      <c r="C6251" s="11"/>
      <c r="D6251" s="13"/>
      <c r="E6251" s="13"/>
      <c r="F6251" s="13"/>
      <c r="G6251" s="13"/>
      <c r="H6251" s="13"/>
      <c r="I6251" s="10"/>
      <c r="J6251" s="11"/>
      <c r="K6251" s="6"/>
      <c r="L6251" s="13"/>
    </row>
    <row r="6252" spans="1:12" hidden="1" x14ac:dyDescent="0.25">
      <c r="A6252" s="6"/>
      <c r="B6252" s="6"/>
      <c r="C6252" s="11"/>
      <c r="D6252" s="13"/>
      <c r="E6252" s="13"/>
      <c r="F6252" s="13"/>
      <c r="G6252" s="13"/>
      <c r="H6252" s="13"/>
      <c r="I6252" s="10"/>
      <c r="J6252" s="11"/>
      <c r="K6252" s="6"/>
      <c r="L6252" s="13"/>
    </row>
    <row r="6253" spans="1:12" hidden="1" x14ac:dyDescent="0.25">
      <c r="A6253" s="6"/>
      <c r="B6253" s="6"/>
      <c r="C6253" s="11"/>
      <c r="D6253" s="13"/>
      <c r="E6253" s="13"/>
      <c r="F6253" s="13"/>
      <c r="G6253" s="13"/>
      <c r="H6253" s="13"/>
      <c r="I6253" s="10"/>
      <c r="J6253" s="11"/>
      <c r="K6253" s="6"/>
      <c r="L6253" s="13"/>
    </row>
    <row r="6254" spans="1:12" hidden="1" x14ac:dyDescent="0.25">
      <c r="A6254" s="6"/>
      <c r="B6254" s="6"/>
      <c r="C6254" s="11"/>
      <c r="D6254" s="13"/>
      <c r="E6254" s="13"/>
      <c r="F6254" s="13"/>
      <c r="G6254" s="13"/>
      <c r="H6254" s="13"/>
      <c r="I6254" s="10"/>
      <c r="J6254" s="11"/>
      <c r="K6254" s="6"/>
      <c r="L6254" s="13"/>
    </row>
    <row r="6255" spans="1:12" hidden="1" x14ac:dyDescent="0.25">
      <c r="A6255" s="6"/>
      <c r="B6255" s="6"/>
      <c r="C6255" s="11"/>
      <c r="D6255" s="13"/>
      <c r="E6255" s="13"/>
      <c r="F6255" s="13"/>
      <c r="G6255" s="13"/>
      <c r="H6255" s="13"/>
      <c r="I6255" s="10"/>
      <c r="J6255" s="11"/>
      <c r="K6255" s="6"/>
      <c r="L6255" s="13"/>
    </row>
    <row r="6256" spans="1:12" hidden="1" x14ac:dyDescent="0.25">
      <c r="A6256" s="6"/>
      <c r="B6256" s="6"/>
      <c r="C6256" s="11"/>
      <c r="D6256" s="13"/>
      <c r="E6256" s="13"/>
      <c r="F6256" s="13"/>
      <c r="G6256" s="13"/>
      <c r="H6256" s="13"/>
      <c r="I6256" s="10"/>
      <c r="J6256" s="11"/>
      <c r="K6256" s="6"/>
      <c r="L6256" s="13"/>
    </row>
    <row r="6257" spans="1:12" hidden="1" x14ac:dyDescent="0.25">
      <c r="A6257" s="6"/>
      <c r="B6257" s="6"/>
      <c r="C6257" s="11"/>
      <c r="D6257" s="13"/>
      <c r="E6257" s="13"/>
      <c r="F6257" s="13"/>
      <c r="G6257" s="13"/>
      <c r="H6257" s="13"/>
      <c r="I6257" s="10"/>
      <c r="J6257" s="11"/>
      <c r="K6257" s="6"/>
      <c r="L6257" s="13"/>
    </row>
    <row r="6258" spans="1:12" hidden="1" x14ac:dyDescent="0.25">
      <c r="A6258" s="6"/>
      <c r="B6258" s="6"/>
      <c r="C6258" s="11"/>
      <c r="D6258" s="13"/>
      <c r="E6258" s="13"/>
      <c r="F6258" s="13"/>
      <c r="G6258" s="13"/>
      <c r="H6258" s="13"/>
      <c r="I6258" s="10"/>
      <c r="J6258" s="11"/>
      <c r="K6258" s="6"/>
      <c r="L6258" s="13"/>
    </row>
    <row r="6259" spans="1:12" hidden="1" x14ac:dyDescent="0.25">
      <c r="A6259" s="6"/>
      <c r="B6259" s="6"/>
      <c r="C6259" s="11"/>
      <c r="D6259" s="13"/>
      <c r="E6259" s="13"/>
      <c r="F6259" s="13"/>
      <c r="G6259" s="13"/>
      <c r="H6259" s="13"/>
      <c r="I6259" s="10"/>
      <c r="J6259" s="11"/>
      <c r="K6259" s="6"/>
      <c r="L6259" s="13"/>
    </row>
    <row r="6260" spans="1:12" hidden="1" x14ac:dyDescent="0.25">
      <c r="A6260" s="6"/>
      <c r="B6260" s="6"/>
      <c r="C6260" s="11"/>
      <c r="D6260" s="13"/>
      <c r="E6260" s="13"/>
      <c r="F6260" s="13"/>
      <c r="G6260" s="13"/>
      <c r="H6260" s="13"/>
      <c r="I6260" s="10"/>
      <c r="J6260" s="11"/>
      <c r="K6260" s="6"/>
      <c r="L6260" s="13"/>
    </row>
    <row r="6261" spans="1:12" hidden="1" x14ac:dyDescent="0.25">
      <c r="A6261" s="6"/>
      <c r="B6261" s="6"/>
      <c r="C6261" s="11"/>
      <c r="D6261" s="13"/>
      <c r="E6261" s="13"/>
      <c r="F6261" s="13"/>
      <c r="G6261" s="13"/>
      <c r="H6261" s="13"/>
      <c r="I6261" s="10"/>
      <c r="J6261" s="11"/>
      <c r="K6261" s="6"/>
      <c r="L6261" s="13"/>
    </row>
    <row r="6262" spans="1:12" hidden="1" x14ac:dyDescent="0.25">
      <c r="A6262" s="6"/>
      <c r="B6262" s="6"/>
      <c r="C6262" s="11"/>
      <c r="D6262" s="13"/>
      <c r="E6262" s="13"/>
      <c r="F6262" s="13"/>
      <c r="G6262" s="13"/>
      <c r="H6262" s="13"/>
      <c r="I6262" s="10"/>
      <c r="J6262" s="11"/>
      <c r="K6262" s="6"/>
      <c r="L6262" s="13"/>
    </row>
    <row r="6263" spans="1:12" hidden="1" x14ac:dyDescent="0.25">
      <c r="A6263" s="6"/>
      <c r="B6263" s="6"/>
      <c r="C6263" s="11"/>
      <c r="D6263" s="13"/>
      <c r="E6263" s="13"/>
      <c r="F6263" s="13"/>
      <c r="G6263" s="13"/>
      <c r="H6263" s="13"/>
      <c r="I6263" s="10"/>
      <c r="J6263" s="11"/>
      <c r="K6263" s="6"/>
      <c r="L6263" s="13"/>
    </row>
    <row r="6264" spans="1:12" hidden="1" x14ac:dyDescent="0.25">
      <c r="A6264" s="6"/>
      <c r="B6264" s="6"/>
      <c r="C6264" s="11"/>
      <c r="D6264" s="13"/>
      <c r="E6264" s="13"/>
      <c r="F6264" s="13"/>
      <c r="G6264" s="13"/>
      <c r="H6264" s="13"/>
      <c r="I6264" s="10"/>
      <c r="J6264" s="11"/>
      <c r="K6264" s="6"/>
      <c r="L6264" s="13"/>
    </row>
    <row r="6265" spans="1:12" hidden="1" x14ac:dyDescent="0.25">
      <c r="A6265" s="6"/>
      <c r="B6265" s="6"/>
      <c r="C6265" s="11"/>
      <c r="D6265" s="13"/>
      <c r="E6265" s="13"/>
      <c r="F6265" s="13"/>
      <c r="G6265" s="13"/>
      <c r="H6265" s="13"/>
      <c r="I6265" s="10"/>
      <c r="J6265" s="11"/>
      <c r="K6265" s="6"/>
      <c r="L6265" s="13"/>
    </row>
    <row r="6266" spans="1:12" hidden="1" x14ac:dyDescent="0.25">
      <c r="A6266" s="6"/>
      <c r="B6266" s="6"/>
      <c r="C6266" s="11"/>
      <c r="D6266" s="13"/>
      <c r="E6266" s="13"/>
      <c r="F6266" s="13"/>
      <c r="G6266" s="13"/>
      <c r="H6266" s="13"/>
      <c r="I6266" s="10"/>
      <c r="J6266" s="11"/>
      <c r="K6266" s="6"/>
      <c r="L6266" s="13"/>
    </row>
    <row r="6267" spans="1:12" hidden="1" x14ac:dyDescent="0.25">
      <c r="A6267" s="6"/>
      <c r="B6267" s="6"/>
      <c r="C6267" s="11"/>
      <c r="D6267" s="13"/>
      <c r="E6267" s="13"/>
      <c r="F6267" s="13"/>
      <c r="G6267" s="13"/>
      <c r="H6267" s="13"/>
      <c r="I6267" s="10"/>
      <c r="J6267" s="11"/>
      <c r="K6267" s="6"/>
      <c r="L6267" s="13"/>
    </row>
    <row r="6268" spans="1:12" hidden="1" x14ac:dyDescent="0.25">
      <c r="A6268" s="6"/>
      <c r="B6268" s="6"/>
      <c r="C6268" s="11"/>
      <c r="D6268" s="13"/>
      <c r="E6268" s="13"/>
      <c r="F6268" s="13"/>
      <c r="G6268" s="13"/>
      <c r="H6268" s="13"/>
      <c r="I6268" s="10"/>
      <c r="J6268" s="11"/>
      <c r="K6268" s="6"/>
      <c r="L6268" s="13"/>
    </row>
    <row r="6269" spans="1:12" hidden="1" x14ac:dyDescent="0.25">
      <c r="A6269" s="6"/>
      <c r="B6269" s="6"/>
      <c r="C6269" s="11"/>
      <c r="D6269" s="13"/>
      <c r="E6269" s="13"/>
      <c r="F6269" s="13"/>
      <c r="G6269" s="13"/>
      <c r="H6269" s="13"/>
      <c r="I6269" s="10"/>
      <c r="J6269" s="11"/>
      <c r="K6269" s="6"/>
      <c r="L6269" s="13"/>
    </row>
    <row r="6270" spans="1:12" hidden="1" x14ac:dyDescent="0.25">
      <c r="A6270" s="6"/>
      <c r="B6270" s="6"/>
      <c r="C6270" s="11"/>
      <c r="D6270" s="13"/>
      <c r="E6270" s="13"/>
      <c r="F6270" s="13"/>
      <c r="G6270" s="13"/>
      <c r="H6270" s="13"/>
      <c r="I6270" s="10"/>
      <c r="J6270" s="11"/>
      <c r="K6270" s="6"/>
      <c r="L6270" s="13"/>
    </row>
    <row r="6271" spans="1:12" hidden="1" x14ac:dyDescent="0.25">
      <c r="A6271" s="6"/>
      <c r="B6271" s="6"/>
      <c r="C6271" s="11"/>
      <c r="D6271" s="13"/>
      <c r="E6271" s="13"/>
      <c r="F6271" s="13"/>
      <c r="G6271" s="13"/>
      <c r="H6271" s="13"/>
      <c r="I6271" s="10"/>
      <c r="J6271" s="11"/>
      <c r="K6271" s="6"/>
      <c r="L6271" s="13"/>
    </row>
    <row r="6272" spans="1:12" hidden="1" x14ac:dyDescent="0.25">
      <c r="A6272" s="6"/>
      <c r="B6272" s="6"/>
      <c r="C6272" s="11"/>
      <c r="D6272" s="13"/>
      <c r="E6272" s="13"/>
      <c r="F6272" s="13"/>
      <c r="G6272" s="13"/>
      <c r="H6272" s="13"/>
      <c r="I6272" s="10"/>
      <c r="J6272" s="11"/>
      <c r="K6272" s="6"/>
      <c r="L6272" s="13"/>
    </row>
    <row r="6273" spans="1:12" hidden="1" x14ac:dyDescent="0.25">
      <c r="A6273" s="6"/>
      <c r="B6273" s="6"/>
      <c r="C6273" s="11"/>
      <c r="D6273" s="13"/>
      <c r="E6273" s="13"/>
      <c r="F6273" s="13"/>
      <c r="G6273" s="13"/>
      <c r="H6273" s="13"/>
      <c r="I6273" s="10"/>
      <c r="J6273" s="11"/>
      <c r="K6273" s="6"/>
      <c r="L6273" s="13"/>
    </row>
    <row r="6274" spans="1:12" hidden="1" x14ac:dyDescent="0.25">
      <c r="A6274" s="6"/>
      <c r="B6274" s="6"/>
      <c r="C6274" s="11"/>
      <c r="D6274" s="13"/>
      <c r="E6274" s="13"/>
      <c r="F6274" s="13"/>
      <c r="G6274" s="13"/>
      <c r="H6274" s="13"/>
      <c r="I6274" s="10"/>
      <c r="J6274" s="11"/>
      <c r="K6274" s="6"/>
      <c r="L6274" s="13"/>
    </row>
    <row r="6275" spans="1:12" hidden="1" x14ac:dyDescent="0.25">
      <c r="A6275" s="6"/>
      <c r="B6275" s="6"/>
      <c r="C6275" s="11"/>
      <c r="D6275" s="13"/>
      <c r="E6275" s="13"/>
      <c r="F6275" s="13"/>
      <c r="G6275" s="13"/>
      <c r="H6275" s="13"/>
      <c r="I6275" s="10"/>
      <c r="J6275" s="11"/>
      <c r="K6275" s="6"/>
      <c r="L6275" s="13"/>
    </row>
    <row r="6276" spans="1:12" hidden="1" x14ac:dyDescent="0.25">
      <c r="A6276" s="6"/>
      <c r="B6276" s="6"/>
      <c r="C6276" s="11"/>
      <c r="D6276" s="13"/>
      <c r="E6276" s="13"/>
      <c r="F6276" s="13"/>
      <c r="G6276" s="13"/>
      <c r="H6276" s="13"/>
      <c r="I6276" s="10"/>
      <c r="J6276" s="11"/>
      <c r="K6276" s="6"/>
      <c r="L6276" s="13"/>
    </row>
    <row r="6277" spans="1:12" hidden="1" x14ac:dyDescent="0.25">
      <c r="A6277" s="6"/>
      <c r="B6277" s="6"/>
      <c r="C6277" s="11"/>
      <c r="D6277" s="13"/>
      <c r="E6277" s="13"/>
      <c r="F6277" s="13"/>
      <c r="G6277" s="13"/>
      <c r="H6277" s="13"/>
      <c r="I6277" s="10"/>
      <c r="J6277" s="11"/>
      <c r="K6277" s="6"/>
      <c r="L6277" s="13"/>
    </row>
    <row r="6278" spans="1:12" hidden="1" x14ac:dyDescent="0.25">
      <c r="A6278" s="6"/>
      <c r="B6278" s="6"/>
      <c r="C6278" s="11"/>
      <c r="D6278" s="13"/>
      <c r="E6278" s="13"/>
      <c r="F6278" s="13"/>
      <c r="G6278" s="13"/>
      <c r="H6278" s="13"/>
      <c r="I6278" s="10"/>
      <c r="J6278" s="11"/>
      <c r="K6278" s="6"/>
      <c r="L6278" s="13"/>
    </row>
    <row r="6279" spans="1:12" hidden="1" x14ac:dyDescent="0.25">
      <c r="A6279" s="6"/>
      <c r="B6279" s="6"/>
      <c r="C6279" s="11"/>
      <c r="D6279" s="13"/>
      <c r="E6279" s="13"/>
      <c r="F6279" s="13"/>
      <c r="G6279" s="13"/>
      <c r="H6279" s="13"/>
      <c r="I6279" s="10"/>
      <c r="J6279" s="11"/>
      <c r="K6279" s="6"/>
      <c r="L6279" s="13"/>
    </row>
    <row r="6280" spans="1:12" hidden="1" x14ac:dyDescent="0.25">
      <c r="A6280" s="6"/>
      <c r="B6280" s="6"/>
      <c r="C6280" s="11"/>
      <c r="D6280" s="13"/>
      <c r="E6280" s="13"/>
      <c r="F6280" s="13"/>
      <c r="G6280" s="13"/>
      <c r="H6280" s="13"/>
      <c r="I6280" s="10"/>
      <c r="J6280" s="11"/>
      <c r="K6280" s="6"/>
      <c r="L6280" s="13"/>
    </row>
    <row r="6281" spans="1:12" hidden="1" x14ac:dyDescent="0.25">
      <c r="A6281" s="6"/>
      <c r="B6281" s="6"/>
      <c r="C6281" s="11"/>
      <c r="D6281" s="13"/>
      <c r="E6281" s="13"/>
      <c r="F6281" s="13"/>
      <c r="G6281" s="13"/>
      <c r="H6281" s="13"/>
      <c r="I6281" s="10"/>
      <c r="J6281" s="11"/>
      <c r="K6281" s="6"/>
      <c r="L6281" s="13"/>
    </row>
    <row r="6282" spans="1:12" hidden="1" x14ac:dyDescent="0.25">
      <c r="A6282" s="6"/>
      <c r="B6282" s="6"/>
      <c r="C6282" s="11"/>
      <c r="D6282" s="13"/>
      <c r="E6282" s="13"/>
      <c r="F6282" s="13"/>
      <c r="G6282" s="13"/>
      <c r="H6282" s="13"/>
      <c r="I6282" s="10"/>
      <c r="J6282" s="11"/>
      <c r="K6282" s="6"/>
      <c r="L6282" s="13"/>
    </row>
    <row r="6283" spans="1:12" hidden="1" x14ac:dyDescent="0.25">
      <c r="A6283" s="6"/>
      <c r="B6283" s="6"/>
      <c r="C6283" s="11"/>
      <c r="D6283" s="13"/>
      <c r="E6283" s="13"/>
      <c r="F6283" s="13"/>
      <c r="G6283" s="13"/>
      <c r="H6283" s="13"/>
      <c r="I6283" s="10"/>
      <c r="J6283" s="11"/>
      <c r="K6283" s="6"/>
      <c r="L6283" s="13"/>
    </row>
    <row r="6284" spans="1:12" hidden="1" x14ac:dyDescent="0.25">
      <c r="A6284" s="6"/>
      <c r="B6284" s="6"/>
      <c r="C6284" s="11"/>
      <c r="D6284" s="13"/>
      <c r="E6284" s="13"/>
      <c r="F6284" s="13"/>
      <c r="G6284" s="13"/>
      <c r="H6284" s="13"/>
      <c r="I6284" s="10"/>
      <c r="J6284" s="11"/>
      <c r="K6284" s="6"/>
      <c r="L6284" s="13"/>
    </row>
    <row r="6285" spans="1:12" hidden="1" x14ac:dyDescent="0.25">
      <c r="A6285" s="6"/>
      <c r="B6285" s="6"/>
      <c r="C6285" s="11"/>
      <c r="D6285" s="13"/>
      <c r="E6285" s="13"/>
      <c r="F6285" s="13"/>
      <c r="G6285" s="13"/>
      <c r="H6285" s="13"/>
      <c r="I6285" s="10"/>
      <c r="J6285" s="11"/>
      <c r="K6285" s="6"/>
      <c r="L6285" s="13"/>
    </row>
    <row r="6286" spans="1:12" hidden="1" x14ac:dyDescent="0.25">
      <c r="A6286" s="6"/>
      <c r="B6286" s="6"/>
      <c r="C6286" s="11"/>
      <c r="D6286" s="13"/>
      <c r="E6286" s="13"/>
      <c r="F6286" s="13"/>
      <c r="G6286" s="13"/>
      <c r="H6286" s="13"/>
      <c r="I6286" s="10"/>
      <c r="J6286" s="11"/>
      <c r="K6286" s="6"/>
      <c r="L6286" s="13"/>
    </row>
    <row r="6287" spans="1:12" hidden="1" x14ac:dyDescent="0.25">
      <c r="A6287" s="6"/>
      <c r="B6287" s="6"/>
      <c r="C6287" s="11"/>
      <c r="D6287" s="13"/>
      <c r="E6287" s="13"/>
      <c r="F6287" s="13"/>
      <c r="G6287" s="13"/>
      <c r="H6287" s="13"/>
      <c r="I6287" s="10"/>
      <c r="J6287" s="11"/>
      <c r="K6287" s="6"/>
      <c r="L6287" s="13"/>
    </row>
    <row r="6288" spans="1:12" hidden="1" x14ac:dyDescent="0.25">
      <c r="A6288" s="6"/>
      <c r="B6288" s="6"/>
      <c r="C6288" s="11"/>
      <c r="D6288" s="13"/>
      <c r="E6288" s="13"/>
      <c r="F6288" s="13"/>
      <c r="G6288" s="13"/>
      <c r="H6288" s="13"/>
      <c r="I6288" s="10"/>
      <c r="J6288" s="11"/>
      <c r="K6288" s="6"/>
      <c r="L6288" s="13"/>
    </row>
    <row r="6289" spans="1:12" hidden="1" x14ac:dyDescent="0.25">
      <c r="A6289" s="6"/>
      <c r="B6289" s="6"/>
      <c r="C6289" s="11"/>
      <c r="D6289" s="13"/>
      <c r="E6289" s="13"/>
      <c r="F6289" s="13"/>
      <c r="G6289" s="13"/>
      <c r="H6289" s="13"/>
      <c r="I6289" s="10"/>
      <c r="J6289" s="11"/>
      <c r="K6289" s="6"/>
      <c r="L6289" s="13"/>
    </row>
    <row r="6290" spans="1:12" hidden="1" x14ac:dyDescent="0.25">
      <c r="A6290" s="6"/>
      <c r="B6290" s="6"/>
      <c r="C6290" s="11"/>
      <c r="D6290" s="13"/>
      <c r="E6290" s="13"/>
      <c r="F6290" s="13"/>
      <c r="G6290" s="13"/>
      <c r="H6290" s="13"/>
      <c r="I6290" s="10"/>
      <c r="J6290" s="11"/>
      <c r="K6290" s="6"/>
      <c r="L6290" s="13"/>
    </row>
    <row r="6291" spans="1:12" hidden="1" x14ac:dyDescent="0.25">
      <c r="A6291" s="6"/>
      <c r="B6291" s="6"/>
      <c r="C6291" s="11"/>
      <c r="D6291" s="13"/>
      <c r="E6291" s="13"/>
      <c r="F6291" s="13"/>
      <c r="G6291" s="13"/>
      <c r="H6291" s="13"/>
      <c r="I6291" s="10"/>
      <c r="J6291" s="11"/>
      <c r="K6291" s="99"/>
      <c r="L6291" s="13"/>
    </row>
    <row r="6292" spans="1:12" hidden="1" x14ac:dyDescent="0.25">
      <c r="A6292" s="6"/>
      <c r="B6292" s="6"/>
      <c r="C6292" s="11"/>
      <c r="D6292" s="13"/>
      <c r="E6292" s="13"/>
      <c r="F6292" s="13"/>
      <c r="G6292" s="13"/>
      <c r="H6292" s="13"/>
      <c r="I6292" s="10"/>
      <c r="J6292" s="11"/>
      <c r="K6292" s="6"/>
      <c r="L6292" s="13"/>
    </row>
    <row r="6293" spans="1:12" hidden="1" x14ac:dyDescent="0.25">
      <c r="A6293" s="6"/>
      <c r="B6293" s="6"/>
      <c r="C6293" s="11"/>
      <c r="D6293" s="13"/>
      <c r="E6293" s="13"/>
      <c r="F6293" s="13"/>
      <c r="G6293" s="13"/>
      <c r="H6293" s="13"/>
      <c r="I6293" s="10"/>
      <c r="J6293" s="11"/>
      <c r="K6293" s="6"/>
      <c r="L6293" s="13"/>
    </row>
    <row r="6294" spans="1:12" hidden="1" x14ac:dyDescent="0.25">
      <c r="A6294" s="6"/>
      <c r="B6294" s="6"/>
      <c r="C6294" s="11"/>
      <c r="D6294" s="13"/>
      <c r="E6294" s="13"/>
      <c r="F6294" s="13"/>
      <c r="G6294" s="13"/>
      <c r="H6294" s="13"/>
      <c r="I6294" s="10"/>
      <c r="J6294" s="11"/>
      <c r="K6294" s="6"/>
      <c r="L6294" s="13"/>
    </row>
    <row r="6295" spans="1:12" hidden="1" x14ac:dyDescent="0.25">
      <c r="A6295" s="6"/>
      <c r="B6295" s="6"/>
      <c r="C6295" s="11"/>
      <c r="D6295" s="13"/>
      <c r="E6295" s="13"/>
      <c r="F6295" s="13"/>
      <c r="G6295" s="13"/>
      <c r="H6295" s="13"/>
      <c r="I6295" s="10"/>
      <c r="J6295" s="11"/>
      <c r="K6295" s="6"/>
      <c r="L6295" s="13"/>
    </row>
    <row r="6296" spans="1:12" hidden="1" x14ac:dyDescent="0.25">
      <c r="A6296" s="6"/>
      <c r="B6296" s="6"/>
      <c r="C6296" s="11"/>
      <c r="D6296" s="13"/>
      <c r="E6296" s="13"/>
      <c r="F6296" s="13"/>
      <c r="G6296" s="13"/>
      <c r="H6296" s="13"/>
      <c r="I6296" s="10"/>
      <c r="J6296" s="11"/>
      <c r="K6296" s="6"/>
      <c r="L6296" s="13"/>
    </row>
    <row r="6297" spans="1:12" hidden="1" x14ac:dyDescent="0.25">
      <c r="A6297" s="6"/>
      <c r="B6297" s="6"/>
      <c r="C6297" s="11"/>
      <c r="D6297" s="13"/>
      <c r="E6297" s="13"/>
      <c r="F6297" s="13"/>
      <c r="G6297" s="13"/>
      <c r="H6297" s="13"/>
      <c r="I6297" s="10"/>
      <c r="J6297" s="11"/>
      <c r="K6297" s="6"/>
      <c r="L6297" s="13"/>
    </row>
    <row r="6298" spans="1:12" hidden="1" x14ac:dyDescent="0.25">
      <c r="A6298" s="6"/>
      <c r="B6298" s="6"/>
      <c r="C6298" s="11"/>
      <c r="D6298" s="13"/>
      <c r="E6298" s="13"/>
      <c r="F6298" s="13"/>
      <c r="G6298" s="13"/>
      <c r="H6298" s="13"/>
      <c r="I6298" s="10"/>
      <c r="J6298" s="11"/>
      <c r="K6298" s="6"/>
      <c r="L6298" s="13"/>
    </row>
    <row r="6299" spans="1:12" hidden="1" x14ac:dyDescent="0.25">
      <c r="A6299" s="6"/>
      <c r="B6299" s="6"/>
      <c r="C6299" s="11"/>
      <c r="D6299" s="13"/>
      <c r="E6299" s="13"/>
      <c r="F6299" s="13"/>
      <c r="G6299" s="13"/>
      <c r="H6299" s="13"/>
      <c r="I6299" s="10"/>
      <c r="J6299" s="11"/>
      <c r="K6299" s="6"/>
      <c r="L6299" s="13"/>
    </row>
    <row r="6300" spans="1:12" hidden="1" x14ac:dyDescent="0.25">
      <c r="A6300" s="6"/>
      <c r="B6300" s="6"/>
      <c r="C6300" s="11"/>
      <c r="D6300" s="13"/>
      <c r="E6300" s="13"/>
      <c r="F6300" s="13"/>
      <c r="G6300" s="13"/>
      <c r="H6300" s="13"/>
      <c r="I6300" s="10"/>
      <c r="J6300" s="11"/>
      <c r="K6300" s="6"/>
      <c r="L6300" s="13"/>
    </row>
    <row r="6301" spans="1:12" hidden="1" x14ac:dyDescent="0.25">
      <c r="A6301" s="6"/>
      <c r="B6301" s="6"/>
      <c r="C6301" s="11"/>
      <c r="D6301" s="13"/>
      <c r="E6301" s="13"/>
      <c r="F6301" s="13"/>
      <c r="G6301" s="13"/>
      <c r="H6301" s="13"/>
      <c r="I6301" s="10"/>
      <c r="J6301" s="11"/>
      <c r="K6301" s="6"/>
      <c r="L6301" s="13"/>
    </row>
    <row r="6302" spans="1:12" hidden="1" x14ac:dyDescent="0.25">
      <c r="A6302" s="6"/>
      <c r="B6302" s="6"/>
      <c r="C6302" s="11"/>
      <c r="D6302" s="13"/>
      <c r="E6302" s="13"/>
      <c r="F6302" s="13"/>
      <c r="G6302" s="13"/>
      <c r="H6302" s="13"/>
      <c r="I6302" s="10"/>
      <c r="J6302" s="11"/>
      <c r="K6302" s="6"/>
      <c r="L6302" s="13"/>
    </row>
    <row r="6303" spans="1:12" hidden="1" x14ac:dyDescent="0.25">
      <c r="A6303" s="6"/>
      <c r="B6303" s="6"/>
      <c r="C6303" s="11"/>
      <c r="D6303" s="13"/>
      <c r="E6303" s="13"/>
      <c r="F6303" s="13"/>
      <c r="G6303" s="13"/>
      <c r="H6303" s="13"/>
      <c r="I6303" s="10"/>
      <c r="J6303" s="11"/>
      <c r="K6303" s="6"/>
      <c r="L6303" s="13"/>
    </row>
    <row r="6304" spans="1:12" hidden="1" x14ac:dyDescent="0.25">
      <c r="A6304" s="6"/>
      <c r="B6304" s="6"/>
      <c r="C6304" s="11"/>
      <c r="D6304" s="13"/>
      <c r="E6304" s="13"/>
      <c r="F6304" s="13"/>
      <c r="G6304" s="13"/>
      <c r="H6304" s="13"/>
      <c r="I6304" s="10"/>
      <c r="J6304" s="11"/>
      <c r="K6304" s="6"/>
      <c r="L6304" s="13"/>
    </row>
    <row r="6305" spans="1:12" hidden="1" x14ac:dyDescent="0.25">
      <c r="A6305" s="6"/>
      <c r="B6305" s="6"/>
      <c r="C6305" s="11"/>
      <c r="D6305" s="13"/>
      <c r="E6305" s="13"/>
      <c r="F6305" s="13"/>
      <c r="G6305" s="13"/>
      <c r="H6305" s="13"/>
      <c r="I6305" s="10"/>
      <c r="J6305" s="11"/>
      <c r="K6305" s="6"/>
      <c r="L6305" s="114"/>
    </row>
    <row r="6306" spans="1:12" hidden="1" x14ac:dyDescent="0.25">
      <c r="A6306" s="6"/>
      <c r="B6306" s="6"/>
      <c r="C6306" s="11"/>
      <c r="D6306" s="13"/>
      <c r="E6306" s="13"/>
      <c r="F6306" s="13"/>
      <c r="G6306" s="13"/>
      <c r="H6306" s="13"/>
      <c r="I6306" s="10"/>
      <c r="J6306" s="11"/>
      <c r="K6306" s="6"/>
      <c r="L6306" s="13"/>
    </row>
    <row r="6307" spans="1:12" hidden="1" x14ac:dyDescent="0.25">
      <c r="A6307" s="6"/>
      <c r="B6307" s="6"/>
      <c r="C6307" s="11"/>
      <c r="D6307" s="13"/>
      <c r="E6307" s="13"/>
      <c r="F6307" s="13"/>
      <c r="G6307" s="13"/>
      <c r="H6307" s="13"/>
      <c r="I6307" s="10"/>
      <c r="J6307" s="11"/>
      <c r="K6307" s="6"/>
      <c r="L6307" s="13"/>
    </row>
    <row r="6308" spans="1:12" hidden="1" x14ac:dyDescent="0.25">
      <c r="A6308" s="6"/>
      <c r="B6308" s="6"/>
      <c r="C6308" s="11"/>
      <c r="D6308" s="13"/>
      <c r="E6308" s="13"/>
      <c r="F6308" s="13"/>
      <c r="G6308" s="13"/>
      <c r="H6308" s="13"/>
      <c r="I6308" s="10"/>
      <c r="J6308" s="11"/>
      <c r="K6308" s="6"/>
      <c r="L6308" s="13"/>
    </row>
    <row r="6309" spans="1:12" hidden="1" x14ac:dyDescent="0.25">
      <c r="A6309" s="6"/>
      <c r="B6309" s="6"/>
      <c r="C6309" s="11"/>
      <c r="D6309" s="13"/>
      <c r="E6309" s="13"/>
      <c r="F6309" s="13"/>
      <c r="G6309" s="13"/>
      <c r="H6309" s="13"/>
      <c r="I6309" s="10"/>
      <c r="J6309" s="11"/>
      <c r="K6309" s="6"/>
      <c r="L6309" s="13"/>
    </row>
    <row r="6310" spans="1:12" hidden="1" x14ac:dyDescent="0.25">
      <c r="A6310" s="6"/>
      <c r="B6310" s="6"/>
      <c r="C6310" s="11"/>
      <c r="D6310" s="13"/>
      <c r="E6310" s="13"/>
      <c r="F6310" s="13"/>
      <c r="G6310" s="13"/>
      <c r="H6310" s="13"/>
      <c r="I6310" s="10"/>
      <c r="J6310" s="11"/>
      <c r="K6310" s="6"/>
      <c r="L6310" s="13"/>
    </row>
    <row r="6311" spans="1:12" hidden="1" x14ac:dyDescent="0.25">
      <c r="A6311" s="6"/>
      <c r="B6311" s="6"/>
      <c r="C6311" s="11"/>
      <c r="D6311" s="13"/>
      <c r="E6311" s="13"/>
      <c r="F6311" s="13"/>
      <c r="G6311" s="13"/>
      <c r="H6311" s="13"/>
      <c r="I6311" s="10"/>
      <c r="J6311" s="11"/>
      <c r="K6311" s="6"/>
      <c r="L6311" s="114"/>
    </row>
    <row r="6312" spans="1:12" hidden="1" x14ac:dyDescent="0.25">
      <c r="A6312" s="6"/>
      <c r="B6312" s="6"/>
      <c r="C6312" s="11"/>
      <c r="D6312" s="13"/>
      <c r="E6312" s="13"/>
      <c r="F6312" s="13"/>
      <c r="G6312" s="13"/>
      <c r="H6312" s="13"/>
      <c r="I6312" s="10"/>
      <c r="J6312" s="11"/>
      <c r="K6312" s="6"/>
      <c r="L6312" s="13"/>
    </row>
    <row r="6313" spans="1:12" hidden="1" x14ac:dyDescent="0.25">
      <c r="A6313" s="6"/>
      <c r="B6313" s="6"/>
      <c r="C6313" s="11"/>
      <c r="D6313" s="13"/>
      <c r="E6313" s="13"/>
      <c r="F6313" s="13"/>
      <c r="G6313" s="13"/>
      <c r="H6313" s="13"/>
      <c r="I6313" s="10"/>
      <c r="J6313" s="11"/>
      <c r="K6313" s="6"/>
      <c r="L6313" s="13"/>
    </row>
    <row r="6314" spans="1:12" hidden="1" x14ac:dyDescent="0.25">
      <c r="A6314" s="6"/>
      <c r="B6314" s="6"/>
      <c r="C6314" s="11"/>
      <c r="D6314" s="13"/>
      <c r="E6314" s="13"/>
      <c r="F6314" s="13"/>
      <c r="G6314" s="13"/>
      <c r="H6314" s="13"/>
      <c r="I6314" s="10"/>
      <c r="J6314" s="11"/>
      <c r="K6314" s="6"/>
      <c r="L6314" s="13"/>
    </row>
    <row r="6315" spans="1:12" hidden="1" x14ac:dyDescent="0.25">
      <c r="A6315" s="6"/>
      <c r="B6315" s="6"/>
      <c r="C6315" s="11"/>
      <c r="D6315" s="13"/>
      <c r="E6315" s="13"/>
      <c r="F6315" s="13"/>
      <c r="G6315" s="13"/>
      <c r="H6315" s="13"/>
      <c r="I6315" s="10"/>
      <c r="J6315" s="11"/>
      <c r="K6315" s="6"/>
      <c r="L6315" s="13"/>
    </row>
    <row r="6316" spans="1:12" hidden="1" x14ac:dyDescent="0.25">
      <c r="A6316" s="6"/>
      <c r="B6316" s="6"/>
      <c r="C6316" s="11"/>
      <c r="D6316" s="13"/>
      <c r="E6316" s="13"/>
      <c r="F6316" s="13"/>
      <c r="G6316" s="13"/>
      <c r="H6316" s="13"/>
      <c r="I6316" s="10"/>
      <c r="J6316" s="11"/>
      <c r="K6316" s="6"/>
      <c r="L6316" s="13"/>
    </row>
    <row r="6317" spans="1:12" hidden="1" x14ac:dyDescent="0.25">
      <c r="A6317" s="6"/>
      <c r="B6317" s="6"/>
      <c r="C6317" s="11"/>
      <c r="D6317" s="13"/>
      <c r="E6317" s="13"/>
      <c r="F6317" s="13"/>
      <c r="G6317" s="13"/>
      <c r="H6317" s="13"/>
      <c r="I6317" s="10"/>
      <c r="J6317" s="11"/>
      <c r="K6317" s="6"/>
      <c r="L6317" s="13"/>
    </row>
    <row r="6318" spans="1:12" hidden="1" x14ac:dyDescent="0.25">
      <c r="A6318" s="6"/>
      <c r="B6318" s="6"/>
      <c r="C6318" s="11"/>
      <c r="D6318" s="13"/>
      <c r="E6318" s="13"/>
      <c r="F6318" s="13"/>
      <c r="G6318" s="13"/>
      <c r="H6318" s="13"/>
      <c r="I6318" s="10"/>
      <c r="J6318" s="11"/>
      <c r="K6318" s="6"/>
      <c r="L6318" s="13"/>
    </row>
    <row r="6319" spans="1:12" hidden="1" x14ac:dyDescent="0.25">
      <c r="A6319" s="6"/>
      <c r="B6319" s="6"/>
      <c r="C6319" s="11"/>
      <c r="D6319" s="13"/>
      <c r="E6319" s="13"/>
      <c r="F6319" s="13"/>
      <c r="G6319" s="13"/>
      <c r="H6319" s="13"/>
      <c r="I6319" s="10"/>
      <c r="J6319" s="11"/>
      <c r="K6319" s="6"/>
      <c r="L6319" s="13"/>
    </row>
    <row r="6320" spans="1:12" hidden="1" x14ac:dyDescent="0.25">
      <c r="A6320" s="6"/>
      <c r="B6320" s="6"/>
      <c r="C6320" s="11"/>
      <c r="D6320" s="13"/>
      <c r="E6320" s="13"/>
      <c r="F6320" s="13"/>
      <c r="G6320" s="13"/>
      <c r="H6320" s="13"/>
      <c r="I6320" s="10"/>
      <c r="J6320" s="11"/>
      <c r="K6320" s="6"/>
      <c r="L6320" s="13"/>
    </row>
    <row r="6321" spans="1:12" hidden="1" x14ac:dyDescent="0.25">
      <c r="A6321" s="6"/>
      <c r="B6321" s="6"/>
      <c r="C6321" s="11"/>
      <c r="D6321" s="13"/>
      <c r="E6321" s="13"/>
      <c r="F6321" s="13"/>
      <c r="G6321" s="13"/>
      <c r="H6321" s="13"/>
      <c r="I6321" s="10"/>
      <c r="J6321" s="11"/>
      <c r="K6321" s="6"/>
      <c r="L6321" s="13"/>
    </row>
    <row r="6322" spans="1:12" hidden="1" x14ac:dyDescent="0.25">
      <c r="A6322" s="6"/>
      <c r="B6322" s="6"/>
      <c r="C6322" s="11"/>
      <c r="D6322" s="13"/>
      <c r="E6322" s="13"/>
      <c r="F6322" s="13"/>
      <c r="G6322" s="13"/>
      <c r="H6322" s="13"/>
      <c r="I6322" s="10"/>
      <c r="J6322" s="11"/>
      <c r="K6322" s="6"/>
      <c r="L6322" s="13"/>
    </row>
    <row r="6323" spans="1:12" hidden="1" x14ac:dyDescent="0.25">
      <c r="A6323" s="6"/>
      <c r="B6323" s="6"/>
      <c r="C6323" s="11"/>
      <c r="D6323" s="13"/>
      <c r="E6323" s="13"/>
      <c r="F6323" s="13"/>
      <c r="G6323" s="13"/>
      <c r="H6323" s="13"/>
      <c r="I6323" s="10"/>
      <c r="J6323" s="11"/>
      <c r="K6323" s="6"/>
      <c r="L6323" s="13"/>
    </row>
    <row r="6324" spans="1:12" hidden="1" x14ac:dyDescent="0.25">
      <c r="A6324" s="6"/>
      <c r="B6324" s="6"/>
      <c r="C6324" s="11"/>
      <c r="D6324" s="13"/>
      <c r="E6324" s="13"/>
      <c r="F6324" s="13"/>
      <c r="G6324" s="13"/>
      <c r="H6324" s="13"/>
      <c r="I6324" s="10"/>
      <c r="J6324" s="11"/>
      <c r="K6324" s="6"/>
      <c r="L6324" s="13"/>
    </row>
    <row r="6325" spans="1:12" hidden="1" x14ac:dyDescent="0.25">
      <c r="A6325" s="6"/>
      <c r="B6325" s="6"/>
      <c r="C6325" s="11"/>
      <c r="D6325" s="13"/>
      <c r="E6325" s="13"/>
      <c r="F6325" s="13"/>
      <c r="G6325" s="13"/>
      <c r="H6325" s="13"/>
      <c r="I6325" s="10"/>
      <c r="J6325" s="11"/>
      <c r="K6325" s="6"/>
      <c r="L6325" s="13"/>
    </row>
    <row r="6326" spans="1:12" hidden="1" x14ac:dyDescent="0.25">
      <c r="A6326" s="6"/>
      <c r="B6326" s="6"/>
      <c r="C6326" s="11"/>
      <c r="D6326" s="13"/>
      <c r="E6326" s="13"/>
      <c r="F6326" s="13"/>
      <c r="G6326" s="13"/>
      <c r="H6326" s="13"/>
      <c r="I6326" s="10"/>
      <c r="J6326" s="11"/>
      <c r="K6326" s="6"/>
      <c r="L6326" s="13"/>
    </row>
    <row r="6327" spans="1:12" hidden="1" x14ac:dyDescent="0.25">
      <c r="A6327" s="6"/>
      <c r="B6327" s="6"/>
      <c r="C6327" s="11"/>
      <c r="D6327" s="13"/>
      <c r="E6327" s="13"/>
      <c r="F6327" s="13"/>
      <c r="G6327" s="13"/>
      <c r="H6327" s="13"/>
      <c r="I6327" s="10"/>
      <c r="J6327" s="11"/>
      <c r="K6327" s="6"/>
      <c r="L6327" s="13"/>
    </row>
    <row r="6328" spans="1:12" hidden="1" x14ac:dyDescent="0.25">
      <c r="A6328" s="6"/>
      <c r="B6328" s="6"/>
      <c r="C6328" s="11"/>
      <c r="D6328" s="13"/>
      <c r="E6328" s="13"/>
      <c r="F6328" s="13"/>
      <c r="G6328" s="13"/>
      <c r="H6328" s="13"/>
      <c r="I6328" s="10"/>
      <c r="J6328" s="11"/>
      <c r="K6328" s="6"/>
      <c r="L6328" s="13"/>
    </row>
    <row r="6329" spans="1:12" hidden="1" x14ac:dyDescent="0.25">
      <c r="A6329" s="6"/>
      <c r="B6329" s="6"/>
      <c r="C6329" s="11"/>
      <c r="D6329" s="13"/>
      <c r="E6329" s="13"/>
      <c r="F6329" s="13"/>
      <c r="G6329" s="13"/>
      <c r="H6329" s="13"/>
      <c r="I6329" s="10"/>
      <c r="J6329" s="11"/>
      <c r="K6329" s="6"/>
      <c r="L6329" s="13"/>
    </row>
    <row r="6330" spans="1:12" hidden="1" x14ac:dyDescent="0.25">
      <c r="A6330" s="6"/>
      <c r="B6330" s="6"/>
      <c r="C6330" s="11"/>
      <c r="D6330" s="13"/>
      <c r="E6330" s="13"/>
      <c r="F6330" s="13"/>
      <c r="G6330" s="13"/>
      <c r="H6330" s="13"/>
      <c r="I6330" s="10"/>
      <c r="J6330" s="11"/>
      <c r="K6330" s="6"/>
      <c r="L6330" s="13"/>
    </row>
    <row r="6331" spans="1:12" hidden="1" x14ac:dyDescent="0.25">
      <c r="A6331" s="6"/>
      <c r="B6331" s="6"/>
      <c r="C6331" s="11"/>
      <c r="D6331" s="13"/>
      <c r="E6331" s="13"/>
      <c r="F6331" s="13"/>
      <c r="G6331" s="13"/>
      <c r="H6331" s="13"/>
      <c r="I6331" s="10"/>
      <c r="J6331" s="11"/>
      <c r="K6331" s="6"/>
      <c r="L6331" s="13"/>
    </row>
    <row r="6332" spans="1:12" hidden="1" x14ac:dyDescent="0.25">
      <c r="A6332" s="6"/>
      <c r="B6332" s="6"/>
      <c r="C6332" s="11"/>
      <c r="D6332" s="13"/>
      <c r="E6332" s="13"/>
      <c r="F6332" s="13"/>
      <c r="G6332" s="13"/>
      <c r="H6332" s="13"/>
      <c r="I6332" s="10"/>
      <c r="J6332" s="11"/>
      <c r="K6332" s="6"/>
      <c r="L6332" s="13"/>
    </row>
    <row r="6333" spans="1:12" hidden="1" x14ac:dyDescent="0.25">
      <c r="A6333" s="6"/>
      <c r="B6333" s="6"/>
      <c r="C6333" s="11"/>
      <c r="D6333" s="13"/>
      <c r="E6333" s="13"/>
      <c r="F6333" s="13"/>
      <c r="G6333" s="13"/>
      <c r="H6333" s="13"/>
      <c r="I6333" s="10"/>
      <c r="J6333" s="11"/>
      <c r="K6333" s="6"/>
      <c r="L6333" s="13"/>
    </row>
    <row r="6334" spans="1:12" hidden="1" x14ac:dyDescent="0.25">
      <c r="A6334" s="6"/>
      <c r="B6334" s="6"/>
      <c r="C6334" s="11"/>
      <c r="D6334" s="13"/>
      <c r="E6334" s="13"/>
      <c r="F6334" s="13"/>
      <c r="G6334" s="13"/>
      <c r="H6334" s="13"/>
      <c r="I6334" s="10"/>
      <c r="J6334" s="11"/>
      <c r="K6334" s="6"/>
      <c r="L6334" s="13"/>
    </row>
    <row r="6335" spans="1:12" hidden="1" x14ac:dyDescent="0.25">
      <c r="A6335" s="6"/>
      <c r="B6335" s="6"/>
      <c r="C6335" s="11"/>
      <c r="D6335" s="13"/>
      <c r="E6335" s="13"/>
      <c r="F6335" s="13"/>
      <c r="G6335" s="13"/>
      <c r="H6335" s="13"/>
      <c r="I6335" s="10"/>
      <c r="J6335" s="11"/>
      <c r="K6335" s="6"/>
      <c r="L6335" s="13"/>
    </row>
    <row r="6336" spans="1:12" hidden="1" x14ac:dyDescent="0.25">
      <c r="A6336" s="6"/>
      <c r="B6336" s="6"/>
      <c r="C6336" s="11"/>
      <c r="D6336" s="13"/>
      <c r="E6336" s="13"/>
      <c r="F6336" s="13"/>
      <c r="G6336" s="13"/>
      <c r="H6336" s="13"/>
      <c r="I6336" s="10"/>
      <c r="J6336" s="11"/>
      <c r="K6336" s="6"/>
      <c r="L6336" s="13"/>
    </row>
    <row r="6337" spans="1:12" hidden="1" x14ac:dyDescent="0.25">
      <c r="A6337" s="6"/>
      <c r="B6337" s="6"/>
      <c r="C6337" s="11"/>
      <c r="D6337" s="13"/>
      <c r="E6337" s="13"/>
      <c r="F6337" s="13"/>
      <c r="G6337" s="13"/>
      <c r="H6337" s="13"/>
      <c r="I6337" s="10"/>
      <c r="J6337" s="11"/>
      <c r="K6337" s="6"/>
      <c r="L6337" s="13"/>
    </row>
    <row r="6338" spans="1:12" hidden="1" x14ac:dyDescent="0.25">
      <c r="A6338" s="6"/>
      <c r="B6338" s="6"/>
      <c r="C6338" s="11"/>
      <c r="D6338" s="13"/>
      <c r="E6338" s="13"/>
      <c r="F6338" s="13"/>
      <c r="G6338" s="13"/>
      <c r="H6338" s="13"/>
      <c r="I6338" s="10"/>
      <c r="J6338" s="11"/>
      <c r="K6338" s="6"/>
      <c r="L6338" s="13"/>
    </row>
    <row r="6339" spans="1:12" hidden="1" x14ac:dyDescent="0.25">
      <c r="A6339" s="6"/>
      <c r="B6339" s="6"/>
      <c r="C6339" s="11"/>
      <c r="D6339" s="13"/>
      <c r="E6339" s="13"/>
      <c r="F6339" s="13"/>
      <c r="G6339" s="13"/>
      <c r="H6339" s="13"/>
      <c r="I6339" s="10"/>
      <c r="J6339" s="11"/>
      <c r="K6339" s="6"/>
      <c r="L6339" s="13"/>
    </row>
    <row r="6340" spans="1:12" hidden="1" x14ac:dyDescent="0.25">
      <c r="A6340" s="6"/>
      <c r="B6340" s="6"/>
      <c r="C6340" s="11"/>
      <c r="D6340" s="13"/>
      <c r="E6340" s="13"/>
      <c r="F6340" s="13"/>
      <c r="G6340" s="13"/>
      <c r="H6340" s="13"/>
      <c r="I6340" s="10"/>
      <c r="J6340" s="11"/>
      <c r="K6340" s="6"/>
      <c r="L6340" s="13"/>
    </row>
    <row r="6341" spans="1:12" hidden="1" x14ac:dyDescent="0.25">
      <c r="A6341" s="6"/>
      <c r="B6341" s="6"/>
      <c r="C6341" s="11"/>
      <c r="D6341" s="13"/>
      <c r="E6341" s="13"/>
      <c r="F6341" s="13"/>
      <c r="G6341" s="13"/>
      <c r="H6341" s="13"/>
      <c r="I6341" s="10"/>
      <c r="J6341" s="11"/>
      <c r="K6341" s="6"/>
      <c r="L6341" s="13"/>
    </row>
    <row r="6342" spans="1:12" hidden="1" x14ac:dyDescent="0.25">
      <c r="A6342" s="6"/>
      <c r="B6342" s="6"/>
      <c r="C6342" s="11"/>
      <c r="D6342" s="13"/>
      <c r="E6342" s="13"/>
      <c r="F6342" s="13"/>
      <c r="G6342" s="13"/>
      <c r="H6342" s="13"/>
      <c r="I6342" s="10"/>
      <c r="J6342" s="11"/>
      <c r="K6342" s="6"/>
      <c r="L6342" s="13"/>
    </row>
    <row r="6343" spans="1:12" hidden="1" x14ac:dyDescent="0.25">
      <c r="A6343" s="6"/>
      <c r="B6343" s="6"/>
      <c r="C6343" s="11"/>
      <c r="D6343" s="13"/>
      <c r="E6343" s="13"/>
      <c r="F6343" s="13"/>
      <c r="G6343" s="13"/>
      <c r="H6343" s="13"/>
      <c r="I6343" s="10"/>
      <c r="J6343" s="11"/>
      <c r="K6343" s="6"/>
      <c r="L6343" s="13"/>
    </row>
    <row r="6344" spans="1:12" hidden="1" x14ac:dyDescent="0.25">
      <c r="A6344" s="6"/>
      <c r="B6344" s="6"/>
      <c r="C6344" s="11"/>
      <c r="D6344" s="13"/>
      <c r="E6344" s="13"/>
      <c r="F6344" s="13"/>
      <c r="G6344" s="13"/>
      <c r="H6344" s="13"/>
      <c r="I6344" s="10"/>
      <c r="J6344" s="11"/>
      <c r="K6344" s="6"/>
      <c r="L6344" s="13"/>
    </row>
    <row r="6345" spans="1:12" hidden="1" x14ac:dyDescent="0.25">
      <c r="A6345" s="6"/>
      <c r="B6345" s="6"/>
      <c r="C6345" s="11"/>
      <c r="D6345" s="13"/>
      <c r="E6345" s="13"/>
      <c r="F6345" s="13"/>
      <c r="G6345" s="13"/>
      <c r="H6345" s="13"/>
      <c r="I6345" s="10"/>
      <c r="J6345" s="11"/>
      <c r="K6345" s="6"/>
      <c r="L6345" s="13"/>
    </row>
    <row r="6346" spans="1:12" hidden="1" x14ac:dyDescent="0.25">
      <c r="A6346" s="6"/>
      <c r="B6346" s="6"/>
      <c r="C6346" s="11"/>
      <c r="D6346" s="13"/>
      <c r="E6346" s="13"/>
      <c r="F6346" s="13"/>
      <c r="G6346" s="13"/>
      <c r="H6346" s="13"/>
      <c r="I6346" s="10"/>
      <c r="J6346" s="11"/>
      <c r="K6346" s="6"/>
      <c r="L6346" s="13"/>
    </row>
    <row r="6347" spans="1:12" hidden="1" x14ac:dyDescent="0.25">
      <c r="A6347" s="6"/>
      <c r="B6347" s="6"/>
      <c r="C6347" s="11"/>
      <c r="D6347" s="13"/>
      <c r="E6347" s="13"/>
      <c r="F6347" s="13"/>
      <c r="G6347" s="13"/>
      <c r="H6347" s="13"/>
      <c r="I6347" s="10"/>
      <c r="J6347" s="11"/>
      <c r="K6347" s="6"/>
      <c r="L6347" s="13"/>
    </row>
    <row r="6348" spans="1:12" hidden="1" x14ac:dyDescent="0.25">
      <c r="A6348" s="6"/>
      <c r="B6348" s="6"/>
      <c r="C6348" s="11"/>
      <c r="D6348" s="13"/>
      <c r="E6348" s="13"/>
      <c r="F6348" s="13"/>
      <c r="G6348" s="13"/>
      <c r="H6348" s="13"/>
      <c r="I6348" s="10"/>
      <c r="J6348" s="11"/>
      <c r="K6348" s="6"/>
      <c r="L6348" s="13"/>
    </row>
    <row r="6349" spans="1:12" hidden="1" x14ac:dyDescent="0.25">
      <c r="A6349" s="6"/>
      <c r="B6349" s="6"/>
      <c r="C6349" s="11"/>
      <c r="D6349" s="13"/>
      <c r="E6349" s="13"/>
      <c r="F6349" s="13"/>
      <c r="G6349" s="13"/>
      <c r="H6349" s="13"/>
      <c r="I6349" s="10"/>
      <c r="J6349" s="11"/>
      <c r="K6349" s="6"/>
      <c r="L6349" s="13"/>
    </row>
    <row r="6350" spans="1:12" hidden="1" x14ac:dyDescent="0.25">
      <c r="A6350" s="6"/>
      <c r="B6350" s="6"/>
      <c r="C6350" s="11"/>
      <c r="D6350" s="13"/>
      <c r="E6350" s="13"/>
      <c r="F6350" s="13"/>
      <c r="G6350" s="13"/>
      <c r="H6350" s="13"/>
      <c r="I6350" s="10"/>
      <c r="J6350" s="11"/>
      <c r="K6350" s="6"/>
      <c r="L6350" s="13"/>
    </row>
    <row r="6351" spans="1:12" hidden="1" x14ac:dyDescent="0.25">
      <c r="A6351" s="6"/>
      <c r="B6351" s="6"/>
      <c r="C6351" s="11"/>
      <c r="D6351" s="13"/>
      <c r="E6351" s="13"/>
      <c r="F6351" s="13"/>
      <c r="G6351" s="13"/>
      <c r="H6351" s="13"/>
      <c r="I6351" s="10"/>
      <c r="J6351" s="11"/>
      <c r="K6351" s="6"/>
      <c r="L6351" s="13"/>
    </row>
    <row r="6352" spans="1:12" hidden="1" x14ac:dyDescent="0.25">
      <c r="A6352" s="6"/>
      <c r="B6352" s="6"/>
      <c r="C6352" s="11"/>
      <c r="D6352" s="13"/>
      <c r="E6352" s="13"/>
      <c r="F6352" s="13"/>
      <c r="G6352" s="13"/>
      <c r="H6352" s="13"/>
      <c r="I6352" s="10"/>
      <c r="J6352" s="11"/>
      <c r="K6352" s="6"/>
      <c r="L6352" s="13"/>
    </row>
    <row r="6353" spans="1:12" hidden="1" x14ac:dyDescent="0.25">
      <c r="A6353" s="6"/>
      <c r="B6353" s="6"/>
      <c r="C6353" s="11"/>
      <c r="D6353" s="13"/>
      <c r="E6353" s="13"/>
      <c r="F6353" s="13"/>
      <c r="G6353" s="13"/>
      <c r="H6353" s="13"/>
      <c r="I6353" s="10"/>
      <c r="J6353" s="11"/>
      <c r="K6353" s="6"/>
      <c r="L6353" s="13"/>
    </row>
    <row r="6354" spans="1:12" hidden="1" x14ac:dyDescent="0.25">
      <c r="A6354" s="6"/>
      <c r="B6354" s="6"/>
      <c r="C6354" s="11"/>
      <c r="D6354" s="13"/>
      <c r="E6354" s="13"/>
      <c r="F6354" s="13"/>
      <c r="G6354" s="13"/>
      <c r="H6354" s="13"/>
      <c r="I6354" s="10"/>
      <c r="J6354" s="11"/>
      <c r="K6354" s="6"/>
      <c r="L6354" s="13"/>
    </row>
    <row r="6355" spans="1:12" hidden="1" x14ac:dyDescent="0.25">
      <c r="A6355" s="6"/>
      <c r="B6355" s="6"/>
      <c r="C6355" s="11"/>
      <c r="D6355" s="13"/>
      <c r="E6355" s="13"/>
      <c r="F6355" s="13"/>
      <c r="G6355" s="13"/>
      <c r="H6355" s="13"/>
      <c r="I6355" s="10"/>
      <c r="J6355" s="11"/>
      <c r="K6355" s="6"/>
      <c r="L6355" s="13"/>
    </row>
    <row r="6356" spans="1:12" hidden="1" x14ac:dyDescent="0.25">
      <c r="A6356" s="6"/>
      <c r="B6356" s="6"/>
      <c r="C6356" s="11"/>
      <c r="D6356" s="13"/>
      <c r="E6356" s="13"/>
      <c r="F6356" s="13"/>
      <c r="G6356" s="13"/>
      <c r="H6356" s="13"/>
      <c r="I6356" s="10"/>
      <c r="J6356" s="11"/>
      <c r="K6356" s="6"/>
      <c r="L6356" s="13"/>
    </row>
    <row r="6357" spans="1:12" hidden="1" x14ac:dyDescent="0.25">
      <c r="A6357" s="6"/>
      <c r="B6357" s="6"/>
      <c r="C6357" s="11"/>
      <c r="D6357" s="13"/>
      <c r="E6357" s="13"/>
      <c r="F6357" s="13"/>
      <c r="G6357" s="13"/>
      <c r="H6357" s="13"/>
      <c r="I6357" s="10"/>
      <c r="J6357" s="11"/>
      <c r="K6357" s="6"/>
      <c r="L6357" s="13"/>
    </row>
    <row r="6358" spans="1:12" hidden="1" x14ac:dyDescent="0.25">
      <c r="A6358" s="6"/>
      <c r="B6358" s="6"/>
      <c r="C6358" s="11"/>
      <c r="D6358" s="13"/>
      <c r="E6358" s="13"/>
      <c r="F6358" s="13"/>
      <c r="G6358" s="13"/>
      <c r="H6358" s="13"/>
      <c r="I6358" s="10"/>
      <c r="J6358" s="11"/>
      <c r="K6358" s="6"/>
      <c r="L6358" s="13"/>
    </row>
    <row r="6359" spans="1:12" hidden="1" x14ac:dyDescent="0.25">
      <c r="A6359" s="6"/>
      <c r="B6359" s="6"/>
      <c r="C6359" s="11"/>
      <c r="D6359" s="13"/>
      <c r="E6359" s="13"/>
      <c r="F6359" s="13"/>
      <c r="G6359" s="13"/>
      <c r="H6359" s="13"/>
      <c r="I6359" s="10"/>
      <c r="J6359" s="11"/>
      <c r="K6359" s="6"/>
      <c r="L6359" s="13"/>
    </row>
    <row r="6360" spans="1:12" hidden="1" x14ac:dyDescent="0.25">
      <c r="A6360" s="6"/>
      <c r="B6360" s="6"/>
      <c r="C6360" s="11"/>
      <c r="D6360" s="13"/>
      <c r="E6360" s="13"/>
      <c r="F6360" s="13"/>
      <c r="G6360" s="13"/>
      <c r="H6360" s="13"/>
      <c r="I6360" s="10"/>
      <c r="J6360" s="11"/>
      <c r="K6360" s="6"/>
      <c r="L6360" s="13"/>
    </row>
    <row r="6361" spans="1:12" hidden="1" x14ac:dyDescent="0.25">
      <c r="A6361" s="6"/>
      <c r="B6361" s="6"/>
      <c r="C6361" s="11"/>
      <c r="D6361" s="13"/>
      <c r="E6361" s="13"/>
      <c r="F6361" s="13"/>
      <c r="G6361" s="13"/>
      <c r="H6361" s="13"/>
      <c r="I6361" s="10"/>
      <c r="J6361" s="11"/>
      <c r="K6361" s="6"/>
      <c r="L6361" s="13"/>
    </row>
    <row r="6362" spans="1:12" hidden="1" x14ac:dyDescent="0.25">
      <c r="A6362" s="6"/>
      <c r="B6362" s="6"/>
      <c r="C6362" s="11"/>
      <c r="D6362" s="13"/>
      <c r="E6362" s="13"/>
      <c r="F6362" s="13"/>
      <c r="G6362" s="13"/>
      <c r="H6362" s="13"/>
      <c r="I6362" s="10"/>
      <c r="J6362" s="11"/>
      <c r="K6362" s="6"/>
      <c r="L6362" s="13"/>
    </row>
    <row r="6363" spans="1:12" hidden="1" x14ac:dyDescent="0.25">
      <c r="A6363" s="6"/>
      <c r="B6363" s="6"/>
      <c r="C6363" s="11"/>
      <c r="D6363" s="13"/>
      <c r="E6363" s="13"/>
      <c r="F6363" s="13"/>
      <c r="G6363" s="13"/>
      <c r="H6363" s="13"/>
      <c r="I6363" s="10"/>
      <c r="J6363" s="11"/>
      <c r="K6363" s="6"/>
      <c r="L6363" s="13"/>
    </row>
    <row r="6364" spans="1:12" hidden="1" x14ac:dyDescent="0.25">
      <c r="A6364" s="6"/>
      <c r="B6364" s="6"/>
      <c r="C6364" s="11"/>
      <c r="D6364" s="13"/>
      <c r="E6364" s="13"/>
      <c r="F6364" s="13"/>
      <c r="G6364" s="13"/>
      <c r="H6364" s="13"/>
      <c r="I6364" s="10"/>
      <c r="J6364" s="11"/>
      <c r="K6364" s="6"/>
      <c r="L6364" s="13"/>
    </row>
    <row r="6365" spans="1:12" hidden="1" x14ac:dyDescent="0.25">
      <c r="A6365" s="6"/>
      <c r="B6365" s="6"/>
      <c r="C6365" s="11"/>
      <c r="D6365" s="13"/>
      <c r="E6365" s="13"/>
      <c r="F6365" s="13"/>
      <c r="G6365" s="13"/>
      <c r="H6365" s="13"/>
      <c r="I6365" s="10"/>
      <c r="J6365" s="11"/>
      <c r="K6365" s="6"/>
      <c r="L6365" s="13"/>
    </row>
    <row r="6366" spans="1:12" hidden="1" x14ac:dyDescent="0.25">
      <c r="A6366" s="6"/>
      <c r="B6366" s="6"/>
      <c r="C6366" s="11"/>
      <c r="D6366" s="13"/>
      <c r="E6366" s="13"/>
      <c r="F6366" s="13"/>
      <c r="G6366" s="13"/>
      <c r="H6366" s="13"/>
      <c r="I6366" s="10"/>
      <c r="J6366" s="11"/>
      <c r="K6366" s="6"/>
      <c r="L6366" s="13"/>
    </row>
    <row r="6367" spans="1:12" hidden="1" x14ac:dyDescent="0.25">
      <c r="A6367" s="6"/>
      <c r="B6367" s="6"/>
      <c r="C6367" s="11"/>
      <c r="D6367" s="13"/>
      <c r="E6367" s="13"/>
      <c r="F6367" s="13"/>
      <c r="G6367" s="13"/>
      <c r="H6367" s="13"/>
      <c r="I6367" s="10"/>
      <c r="J6367" s="11"/>
      <c r="K6367" s="6"/>
      <c r="L6367" s="13"/>
    </row>
    <row r="6368" spans="1:12" hidden="1" x14ac:dyDescent="0.25">
      <c r="A6368" s="6"/>
      <c r="B6368" s="6"/>
      <c r="C6368" s="11"/>
      <c r="D6368" s="13"/>
      <c r="E6368" s="13"/>
      <c r="F6368" s="13"/>
      <c r="G6368" s="13"/>
      <c r="H6368" s="13"/>
      <c r="I6368" s="10"/>
      <c r="J6368" s="11"/>
      <c r="K6368" s="6"/>
      <c r="L6368" s="13"/>
    </row>
    <row r="6369" spans="1:12" hidden="1" x14ac:dyDescent="0.25">
      <c r="A6369" s="6"/>
      <c r="B6369" s="6"/>
      <c r="C6369" s="11"/>
      <c r="D6369" s="13"/>
      <c r="E6369" s="13"/>
      <c r="F6369" s="13"/>
      <c r="G6369" s="13"/>
      <c r="H6369" s="13"/>
      <c r="I6369" s="10"/>
      <c r="J6369" s="11"/>
      <c r="K6369" s="6"/>
      <c r="L6369" s="13"/>
    </row>
    <row r="6370" spans="1:12" hidden="1" x14ac:dyDescent="0.25">
      <c r="A6370" s="6"/>
      <c r="B6370" s="6"/>
      <c r="C6370" s="11"/>
      <c r="D6370" s="13"/>
      <c r="E6370" s="13"/>
      <c r="F6370" s="13"/>
      <c r="G6370" s="13"/>
      <c r="H6370" s="13"/>
      <c r="I6370" s="10"/>
      <c r="J6370" s="11"/>
      <c r="K6370" s="6"/>
      <c r="L6370" s="13"/>
    </row>
    <row r="6371" spans="1:12" hidden="1" x14ac:dyDescent="0.25">
      <c r="A6371" s="6"/>
      <c r="B6371" s="6"/>
      <c r="C6371" s="11"/>
      <c r="D6371" s="13"/>
      <c r="E6371" s="13"/>
      <c r="F6371" s="13"/>
      <c r="G6371" s="13"/>
      <c r="H6371" s="13"/>
      <c r="I6371" s="10"/>
      <c r="J6371" s="11"/>
      <c r="K6371" s="6"/>
      <c r="L6371" s="13"/>
    </row>
    <row r="6372" spans="1:12" hidden="1" x14ac:dyDescent="0.25">
      <c r="A6372" s="6"/>
      <c r="B6372" s="6"/>
      <c r="C6372" s="11"/>
      <c r="D6372" s="13"/>
      <c r="E6372" s="13"/>
      <c r="F6372" s="13"/>
      <c r="G6372" s="13"/>
      <c r="H6372" s="13"/>
      <c r="I6372" s="10"/>
      <c r="J6372" s="11"/>
      <c r="K6372" s="6"/>
      <c r="L6372" s="13"/>
    </row>
    <row r="6373" spans="1:12" hidden="1" x14ac:dyDescent="0.25">
      <c r="A6373" s="6"/>
      <c r="B6373" s="6"/>
      <c r="C6373" s="11"/>
      <c r="D6373" s="13"/>
      <c r="E6373" s="13"/>
      <c r="F6373" s="13"/>
      <c r="G6373" s="13"/>
      <c r="H6373" s="13"/>
      <c r="I6373" s="10"/>
      <c r="J6373" s="11"/>
      <c r="K6373" s="6"/>
      <c r="L6373" s="13"/>
    </row>
    <row r="6374" spans="1:12" hidden="1" x14ac:dyDescent="0.25">
      <c r="A6374" s="6"/>
      <c r="B6374" s="6"/>
      <c r="C6374" s="11"/>
      <c r="D6374" s="13"/>
      <c r="E6374" s="13"/>
      <c r="F6374" s="13"/>
      <c r="G6374" s="13"/>
      <c r="H6374" s="13"/>
      <c r="I6374" s="10"/>
      <c r="J6374" s="11"/>
      <c r="K6374" s="6"/>
      <c r="L6374" s="13"/>
    </row>
    <row r="6375" spans="1:12" hidden="1" x14ac:dyDescent="0.25">
      <c r="A6375" s="6"/>
      <c r="B6375" s="6"/>
      <c r="C6375" s="11"/>
      <c r="D6375" s="13"/>
      <c r="E6375" s="13"/>
      <c r="F6375" s="13"/>
      <c r="G6375" s="13"/>
      <c r="H6375" s="13"/>
      <c r="I6375" s="10"/>
      <c r="J6375" s="11"/>
      <c r="K6375" s="6"/>
      <c r="L6375" s="13"/>
    </row>
    <row r="6376" spans="1:12" hidden="1" x14ac:dyDescent="0.25">
      <c r="A6376" s="6"/>
      <c r="B6376" s="6"/>
      <c r="C6376" s="11"/>
      <c r="D6376" s="13"/>
      <c r="E6376" s="13"/>
      <c r="F6376" s="13"/>
      <c r="G6376" s="13"/>
      <c r="H6376" s="13"/>
      <c r="I6376" s="10"/>
      <c r="J6376" s="11"/>
      <c r="K6376" s="6"/>
      <c r="L6376" s="13"/>
    </row>
    <row r="6377" spans="1:12" hidden="1" x14ac:dyDescent="0.25">
      <c r="A6377" s="6"/>
      <c r="B6377" s="6"/>
      <c r="C6377" s="11"/>
      <c r="D6377" s="13"/>
      <c r="E6377" s="13"/>
      <c r="F6377" s="13"/>
      <c r="G6377" s="13"/>
      <c r="H6377" s="13"/>
      <c r="I6377" s="10"/>
      <c r="J6377" s="11"/>
      <c r="K6377" s="6"/>
      <c r="L6377" s="13"/>
    </row>
    <row r="6378" spans="1:12" hidden="1" x14ac:dyDescent="0.25">
      <c r="A6378" s="6"/>
      <c r="B6378" s="6"/>
      <c r="C6378" s="11"/>
      <c r="D6378" s="13"/>
      <c r="E6378" s="13"/>
      <c r="F6378" s="13"/>
      <c r="G6378" s="13"/>
      <c r="H6378" s="13"/>
      <c r="I6378" s="10"/>
      <c r="J6378" s="11"/>
      <c r="K6378" s="6"/>
      <c r="L6378" s="13"/>
    </row>
    <row r="6379" spans="1:12" hidden="1" x14ac:dyDescent="0.25">
      <c r="A6379" s="6"/>
      <c r="B6379" s="6"/>
      <c r="C6379" s="11"/>
      <c r="D6379" s="13"/>
      <c r="E6379" s="13"/>
      <c r="F6379" s="13"/>
      <c r="G6379" s="13"/>
      <c r="H6379" s="13"/>
      <c r="I6379" s="10"/>
      <c r="J6379" s="11"/>
      <c r="K6379" s="6"/>
      <c r="L6379" s="13"/>
    </row>
    <row r="6380" spans="1:12" hidden="1" x14ac:dyDescent="0.25">
      <c r="A6380" s="6"/>
      <c r="B6380" s="6"/>
      <c r="C6380" s="11"/>
      <c r="D6380" s="13"/>
      <c r="E6380" s="13"/>
      <c r="F6380" s="13"/>
      <c r="G6380" s="13"/>
      <c r="H6380" s="13"/>
      <c r="I6380" s="10"/>
      <c r="J6380" s="11"/>
      <c r="K6380" s="6"/>
      <c r="L6380" s="13"/>
    </row>
    <row r="6381" spans="1:12" hidden="1" x14ac:dyDescent="0.25">
      <c r="A6381" s="6"/>
      <c r="B6381" s="6"/>
      <c r="C6381" s="11"/>
      <c r="D6381" s="13"/>
      <c r="E6381" s="13"/>
      <c r="F6381" s="13"/>
      <c r="G6381" s="13"/>
      <c r="H6381" s="13"/>
      <c r="I6381" s="10"/>
      <c r="J6381" s="11"/>
      <c r="K6381" s="6"/>
      <c r="L6381" s="13"/>
    </row>
    <row r="6382" spans="1:12" hidden="1" x14ac:dyDescent="0.25">
      <c r="A6382" s="6"/>
      <c r="B6382" s="6"/>
      <c r="C6382" s="11"/>
      <c r="D6382" s="13"/>
      <c r="E6382" s="13"/>
      <c r="F6382" s="13"/>
      <c r="G6382" s="13"/>
      <c r="H6382" s="13"/>
      <c r="I6382" s="10"/>
      <c r="J6382" s="11"/>
      <c r="K6382" s="6"/>
      <c r="L6382" s="13"/>
    </row>
    <row r="6383" spans="1:12" hidden="1" x14ac:dyDescent="0.25">
      <c r="A6383" s="6"/>
      <c r="B6383" s="6"/>
      <c r="C6383" s="11"/>
      <c r="D6383" s="13"/>
      <c r="E6383" s="13"/>
      <c r="F6383" s="13"/>
      <c r="G6383" s="13"/>
      <c r="H6383" s="13"/>
      <c r="I6383" s="10"/>
      <c r="J6383" s="11"/>
      <c r="K6383" s="6"/>
      <c r="L6383" s="13"/>
    </row>
    <row r="6384" spans="1:12" hidden="1" x14ac:dyDescent="0.25">
      <c r="A6384" s="6"/>
      <c r="B6384" s="6"/>
      <c r="C6384" s="11"/>
      <c r="D6384" s="13"/>
      <c r="E6384" s="13"/>
      <c r="F6384" s="13"/>
      <c r="G6384" s="13"/>
      <c r="H6384" s="13"/>
      <c r="I6384" s="10"/>
      <c r="J6384" s="11"/>
      <c r="K6384" s="6"/>
      <c r="L6384" s="13"/>
    </row>
    <row r="6385" spans="1:12" hidden="1" x14ac:dyDescent="0.25">
      <c r="A6385" s="6"/>
      <c r="B6385" s="6"/>
      <c r="C6385" s="11"/>
      <c r="D6385" s="13"/>
      <c r="E6385" s="13"/>
      <c r="F6385" s="13"/>
      <c r="G6385" s="13"/>
      <c r="H6385" s="13"/>
      <c r="I6385" s="10"/>
      <c r="J6385" s="11"/>
      <c r="K6385" s="6"/>
      <c r="L6385" s="13"/>
    </row>
    <row r="6386" spans="1:12" hidden="1" x14ac:dyDescent="0.25">
      <c r="A6386" s="6"/>
      <c r="B6386" s="6"/>
      <c r="C6386" s="11"/>
      <c r="D6386" s="13"/>
      <c r="E6386" s="13"/>
      <c r="F6386" s="13"/>
      <c r="G6386" s="13"/>
      <c r="H6386" s="13"/>
      <c r="I6386" s="10"/>
      <c r="J6386" s="11"/>
      <c r="K6386" s="6"/>
      <c r="L6386" s="13"/>
    </row>
    <row r="6387" spans="1:12" hidden="1" x14ac:dyDescent="0.25">
      <c r="A6387" s="6"/>
      <c r="B6387" s="6"/>
      <c r="C6387" s="11"/>
      <c r="D6387" s="13"/>
      <c r="E6387" s="13"/>
      <c r="F6387" s="13"/>
      <c r="G6387" s="13"/>
      <c r="H6387" s="13"/>
      <c r="I6387" s="10"/>
      <c r="J6387" s="11"/>
      <c r="K6387" s="6"/>
      <c r="L6387" s="13"/>
    </row>
    <row r="6388" spans="1:12" hidden="1" x14ac:dyDescent="0.25">
      <c r="A6388" s="6"/>
      <c r="B6388" s="6"/>
      <c r="C6388" s="11"/>
      <c r="D6388" s="13"/>
      <c r="E6388" s="13"/>
      <c r="F6388" s="13"/>
      <c r="G6388" s="13"/>
      <c r="H6388" s="13"/>
      <c r="I6388" s="10"/>
      <c r="J6388" s="11"/>
      <c r="K6388" s="6"/>
      <c r="L6388" s="13"/>
    </row>
    <row r="6389" spans="1:12" hidden="1" x14ac:dyDescent="0.25">
      <c r="A6389" s="6"/>
      <c r="B6389" s="6"/>
      <c r="C6389" s="11"/>
      <c r="D6389" s="13"/>
      <c r="E6389" s="13"/>
      <c r="F6389" s="13"/>
      <c r="G6389" s="13"/>
      <c r="H6389" s="13"/>
      <c r="I6389" s="10"/>
      <c r="J6389" s="11"/>
      <c r="K6389" s="6"/>
      <c r="L6389" s="13"/>
    </row>
    <row r="6390" spans="1:12" hidden="1" x14ac:dyDescent="0.25">
      <c r="A6390" s="6"/>
      <c r="B6390" s="6"/>
      <c r="C6390" s="11"/>
      <c r="D6390" s="13"/>
      <c r="E6390" s="13"/>
      <c r="F6390" s="13"/>
      <c r="G6390" s="13"/>
      <c r="H6390" s="13"/>
      <c r="I6390" s="10"/>
      <c r="J6390" s="11"/>
      <c r="K6390" s="6"/>
      <c r="L6390" s="13"/>
    </row>
    <row r="6391" spans="1:12" hidden="1" x14ac:dyDescent="0.25">
      <c r="A6391" s="6"/>
      <c r="B6391" s="6"/>
      <c r="C6391" s="11"/>
      <c r="D6391" s="13"/>
      <c r="E6391" s="13"/>
      <c r="F6391" s="13"/>
      <c r="G6391" s="13"/>
      <c r="H6391" s="13"/>
      <c r="I6391" s="10"/>
      <c r="J6391" s="11"/>
      <c r="K6391" s="6"/>
      <c r="L6391" s="13"/>
    </row>
    <row r="6392" spans="1:12" hidden="1" x14ac:dyDescent="0.25">
      <c r="A6392" s="6"/>
      <c r="B6392" s="6"/>
      <c r="C6392" s="11"/>
      <c r="D6392" s="13"/>
      <c r="E6392" s="13"/>
      <c r="F6392" s="13"/>
      <c r="G6392" s="13"/>
      <c r="H6392" s="13"/>
      <c r="I6392" s="10"/>
      <c r="J6392" s="11"/>
      <c r="K6392" s="6"/>
      <c r="L6392" s="13"/>
    </row>
    <row r="6393" spans="1:12" hidden="1" x14ac:dyDescent="0.25">
      <c r="A6393" s="6"/>
      <c r="B6393" s="6"/>
      <c r="C6393" s="11"/>
      <c r="D6393" s="13"/>
      <c r="E6393" s="13"/>
      <c r="F6393" s="13"/>
      <c r="G6393" s="13"/>
      <c r="H6393" s="13"/>
      <c r="I6393" s="10"/>
      <c r="J6393" s="11"/>
      <c r="K6393" s="6"/>
      <c r="L6393" s="13"/>
    </row>
    <row r="6394" spans="1:12" hidden="1" x14ac:dyDescent="0.25">
      <c r="A6394" s="6"/>
      <c r="B6394" s="6"/>
      <c r="C6394" s="11"/>
      <c r="D6394" s="13"/>
      <c r="E6394" s="13"/>
      <c r="F6394" s="13"/>
      <c r="G6394" s="13"/>
      <c r="H6394" s="13"/>
      <c r="I6394" s="10"/>
      <c r="J6394" s="11"/>
      <c r="K6394" s="6"/>
      <c r="L6394" s="13"/>
    </row>
    <row r="6395" spans="1:12" hidden="1" x14ac:dyDescent="0.25">
      <c r="A6395" s="6"/>
      <c r="B6395" s="6"/>
      <c r="C6395" s="11"/>
      <c r="D6395" s="13"/>
      <c r="E6395" s="13"/>
      <c r="F6395" s="13"/>
      <c r="G6395" s="13"/>
      <c r="H6395" s="13"/>
      <c r="I6395" s="10"/>
      <c r="J6395" s="11"/>
      <c r="K6395" s="6"/>
      <c r="L6395" s="13"/>
    </row>
    <row r="6396" spans="1:12" hidden="1" x14ac:dyDescent="0.25">
      <c r="A6396" s="6"/>
      <c r="B6396" s="6"/>
      <c r="C6396" s="11"/>
      <c r="D6396" s="13"/>
      <c r="E6396" s="13"/>
      <c r="F6396" s="13"/>
      <c r="G6396" s="13"/>
      <c r="H6396" s="13"/>
      <c r="I6396" s="10"/>
      <c r="J6396" s="11"/>
      <c r="K6396" s="6"/>
      <c r="L6396" s="13"/>
    </row>
    <row r="6397" spans="1:12" hidden="1" x14ac:dyDescent="0.25">
      <c r="A6397" s="6"/>
      <c r="B6397" s="6"/>
      <c r="C6397" s="11"/>
      <c r="D6397" s="13"/>
      <c r="E6397" s="13"/>
      <c r="F6397" s="13"/>
      <c r="G6397" s="13"/>
      <c r="H6397" s="13"/>
      <c r="I6397" s="10"/>
      <c r="J6397" s="11"/>
      <c r="K6397" s="6"/>
      <c r="L6397" s="13"/>
    </row>
    <row r="6398" spans="1:12" hidden="1" x14ac:dyDescent="0.25">
      <c r="A6398" s="6"/>
      <c r="B6398" s="6"/>
      <c r="C6398" s="11"/>
      <c r="D6398" s="13"/>
      <c r="E6398" s="13"/>
      <c r="F6398" s="13"/>
      <c r="G6398" s="13"/>
      <c r="H6398" s="13"/>
      <c r="I6398" s="10"/>
      <c r="J6398" s="11"/>
      <c r="K6398" s="6"/>
      <c r="L6398" s="13"/>
    </row>
    <row r="6399" spans="1:12" hidden="1" x14ac:dyDescent="0.25">
      <c r="A6399" s="6"/>
      <c r="B6399" s="6"/>
      <c r="C6399" s="11"/>
      <c r="D6399" s="13"/>
      <c r="E6399" s="13"/>
      <c r="F6399" s="13"/>
      <c r="G6399" s="13"/>
      <c r="H6399" s="13"/>
      <c r="I6399" s="10"/>
      <c r="J6399" s="11"/>
      <c r="K6399" s="6"/>
      <c r="L6399" s="13"/>
    </row>
    <row r="6400" spans="1:12" hidden="1" x14ac:dyDescent="0.25">
      <c r="A6400" s="6"/>
      <c r="B6400" s="6"/>
      <c r="C6400" s="11"/>
      <c r="D6400" s="13"/>
      <c r="E6400" s="13"/>
      <c r="F6400" s="13"/>
      <c r="G6400" s="13"/>
      <c r="H6400" s="13"/>
      <c r="I6400" s="10"/>
      <c r="J6400" s="11"/>
      <c r="K6400" s="6"/>
      <c r="L6400" s="13"/>
    </row>
    <row r="6401" spans="1:12" hidden="1" x14ac:dyDescent="0.25">
      <c r="A6401" s="6"/>
      <c r="B6401" s="6"/>
      <c r="C6401" s="11"/>
      <c r="D6401" s="13"/>
      <c r="E6401" s="13"/>
      <c r="F6401" s="13"/>
      <c r="G6401" s="13"/>
      <c r="H6401" s="13"/>
      <c r="I6401" s="10"/>
      <c r="J6401" s="11"/>
      <c r="K6401" s="6"/>
      <c r="L6401" s="13"/>
    </row>
    <row r="6402" spans="1:12" hidden="1" x14ac:dyDescent="0.25">
      <c r="A6402" s="6"/>
      <c r="B6402" s="6"/>
      <c r="C6402" s="11"/>
      <c r="D6402" s="13"/>
      <c r="E6402" s="13"/>
      <c r="F6402" s="13"/>
      <c r="G6402" s="13"/>
      <c r="H6402" s="13"/>
      <c r="I6402" s="10"/>
      <c r="J6402" s="11"/>
      <c r="K6402" s="6"/>
      <c r="L6402" s="13"/>
    </row>
    <row r="6403" spans="1:12" hidden="1" x14ac:dyDescent="0.25">
      <c r="A6403" s="6"/>
      <c r="B6403" s="6"/>
      <c r="C6403" s="11"/>
      <c r="D6403" s="13"/>
      <c r="E6403" s="13"/>
      <c r="F6403" s="13"/>
      <c r="G6403" s="13"/>
      <c r="H6403" s="13"/>
      <c r="I6403" s="10"/>
      <c r="J6403" s="11"/>
      <c r="K6403" s="6"/>
      <c r="L6403" s="13"/>
    </row>
    <row r="6404" spans="1:12" hidden="1" x14ac:dyDescent="0.25">
      <c r="A6404" s="6"/>
      <c r="B6404" s="6"/>
      <c r="C6404" s="11"/>
      <c r="D6404" s="13"/>
      <c r="E6404" s="13"/>
      <c r="F6404" s="13"/>
      <c r="G6404" s="13"/>
      <c r="H6404" s="13"/>
      <c r="I6404" s="10"/>
      <c r="J6404" s="11"/>
      <c r="K6404" s="6"/>
      <c r="L6404" s="13"/>
    </row>
    <row r="6405" spans="1:12" hidden="1" x14ac:dyDescent="0.25">
      <c r="A6405" s="6"/>
      <c r="B6405" s="6"/>
      <c r="C6405" s="11"/>
      <c r="D6405" s="13"/>
      <c r="E6405" s="13"/>
      <c r="F6405" s="13"/>
      <c r="G6405" s="13"/>
      <c r="H6405" s="13"/>
      <c r="I6405" s="10"/>
      <c r="J6405" s="11"/>
      <c r="K6405" s="6"/>
      <c r="L6405" s="13"/>
    </row>
    <row r="6406" spans="1:12" hidden="1" x14ac:dyDescent="0.25">
      <c r="A6406" s="6"/>
      <c r="B6406" s="6"/>
      <c r="C6406" s="11"/>
      <c r="D6406" s="13"/>
      <c r="E6406" s="13"/>
      <c r="F6406" s="13"/>
      <c r="G6406" s="13"/>
      <c r="H6406" s="13"/>
      <c r="I6406" s="10"/>
      <c r="J6406" s="11"/>
      <c r="K6406" s="6"/>
      <c r="L6406" s="13"/>
    </row>
    <row r="6407" spans="1:12" hidden="1" x14ac:dyDescent="0.25">
      <c r="A6407" s="6"/>
      <c r="B6407" s="6"/>
      <c r="C6407" s="11"/>
      <c r="D6407" s="13"/>
      <c r="E6407" s="13"/>
      <c r="F6407" s="13"/>
      <c r="G6407" s="13"/>
      <c r="H6407" s="13"/>
      <c r="I6407" s="10"/>
      <c r="J6407" s="11"/>
      <c r="K6407" s="6"/>
      <c r="L6407" s="13"/>
    </row>
    <row r="6408" spans="1:12" hidden="1" x14ac:dyDescent="0.25">
      <c r="A6408" s="6"/>
      <c r="B6408" s="6"/>
      <c r="C6408" s="11"/>
      <c r="D6408" s="13"/>
      <c r="E6408" s="13"/>
      <c r="F6408" s="13"/>
      <c r="G6408" s="13"/>
      <c r="H6408" s="13"/>
      <c r="I6408" s="10"/>
      <c r="J6408" s="11"/>
      <c r="K6408" s="6"/>
      <c r="L6408" s="13"/>
    </row>
    <row r="6409" spans="1:12" hidden="1" x14ac:dyDescent="0.25">
      <c r="A6409" s="6"/>
      <c r="B6409" s="6"/>
      <c r="C6409" s="11"/>
      <c r="D6409" s="13"/>
      <c r="E6409" s="13"/>
      <c r="F6409" s="13"/>
      <c r="G6409" s="13"/>
      <c r="H6409" s="13"/>
      <c r="I6409" s="10"/>
      <c r="J6409" s="11"/>
      <c r="K6409" s="6"/>
      <c r="L6409" s="13"/>
    </row>
    <row r="6410" spans="1:12" hidden="1" x14ac:dyDescent="0.25">
      <c r="A6410" s="6"/>
      <c r="B6410" s="6"/>
      <c r="C6410" s="11"/>
      <c r="D6410" s="13"/>
      <c r="E6410" s="13"/>
      <c r="F6410" s="13"/>
      <c r="G6410" s="13"/>
      <c r="H6410" s="13"/>
      <c r="I6410" s="10"/>
      <c r="J6410" s="11"/>
      <c r="K6410" s="6"/>
      <c r="L6410" s="13"/>
    </row>
    <row r="6411" spans="1:12" hidden="1" x14ac:dyDescent="0.25">
      <c r="A6411" s="6"/>
      <c r="B6411" s="6"/>
      <c r="C6411" s="11"/>
      <c r="D6411" s="13"/>
      <c r="E6411" s="13"/>
      <c r="F6411" s="13"/>
      <c r="G6411" s="13"/>
      <c r="H6411" s="13"/>
      <c r="I6411" s="10"/>
      <c r="J6411" s="11"/>
      <c r="K6411" s="6"/>
      <c r="L6411" s="13"/>
    </row>
    <row r="6412" spans="1:12" hidden="1" x14ac:dyDescent="0.25">
      <c r="A6412" s="6"/>
      <c r="B6412" s="6"/>
      <c r="C6412" s="11"/>
      <c r="D6412" s="13"/>
      <c r="E6412" s="13"/>
      <c r="F6412" s="13"/>
      <c r="G6412" s="13"/>
      <c r="H6412" s="13"/>
      <c r="I6412" s="10"/>
      <c r="J6412" s="11"/>
      <c r="K6412" s="6"/>
      <c r="L6412" s="114"/>
    </row>
    <row r="6413" spans="1:12" hidden="1" x14ac:dyDescent="0.25">
      <c r="A6413" s="103"/>
      <c r="B6413" s="103"/>
      <c r="C6413" s="104"/>
      <c r="D6413" s="105"/>
      <c r="E6413" s="105"/>
      <c r="F6413" s="105"/>
      <c r="G6413" s="105"/>
      <c r="H6413" s="105"/>
      <c r="I6413" s="106"/>
      <c r="J6413" s="104"/>
      <c r="K6413" s="103"/>
      <c r="L6413" s="13"/>
    </row>
    <row r="6414" spans="1:12" hidden="1" x14ac:dyDescent="0.25">
      <c r="A6414" s="103"/>
      <c r="B6414" s="103"/>
      <c r="C6414" s="104"/>
      <c r="D6414" s="105"/>
      <c r="E6414" s="105"/>
      <c r="F6414" s="105"/>
      <c r="G6414" s="105"/>
      <c r="H6414" s="105"/>
      <c r="I6414" s="106"/>
      <c r="J6414" s="104"/>
      <c r="K6414" s="103"/>
      <c r="L6414" s="13"/>
    </row>
    <row r="6415" spans="1:12" hidden="1" x14ac:dyDescent="0.25">
      <c r="A6415" s="103"/>
      <c r="B6415" s="103"/>
      <c r="C6415" s="104"/>
      <c r="D6415" s="105"/>
      <c r="E6415" s="105"/>
      <c r="F6415" s="105"/>
      <c r="G6415" s="105"/>
      <c r="H6415" s="105"/>
      <c r="I6415" s="106"/>
      <c r="J6415" s="104"/>
      <c r="K6415" s="103"/>
      <c r="L6415" s="13"/>
    </row>
    <row r="6416" spans="1:12" hidden="1" x14ac:dyDescent="0.25">
      <c r="A6416" s="103"/>
      <c r="B6416" s="103"/>
      <c r="C6416" s="104"/>
      <c r="D6416" s="105"/>
      <c r="E6416" s="105"/>
      <c r="F6416" s="105"/>
      <c r="G6416" s="105"/>
      <c r="H6416" s="105"/>
      <c r="I6416" s="106"/>
      <c r="J6416" s="104"/>
      <c r="K6416" s="103"/>
      <c r="L6416" s="13"/>
    </row>
    <row r="6417" spans="1:12" hidden="1" x14ac:dyDescent="0.25">
      <c r="A6417" s="103"/>
      <c r="B6417" s="103"/>
      <c r="C6417" s="104"/>
      <c r="D6417" s="105"/>
      <c r="E6417" s="105"/>
      <c r="F6417" s="105"/>
      <c r="G6417" s="105"/>
      <c r="H6417" s="105"/>
      <c r="I6417" s="106"/>
      <c r="J6417" s="104"/>
      <c r="K6417" s="103"/>
      <c r="L6417" s="13"/>
    </row>
    <row r="6418" spans="1:12" hidden="1" x14ac:dyDescent="0.25">
      <c r="A6418" s="103"/>
      <c r="B6418" s="103"/>
      <c r="C6418" s="104"/>
      <c r="D6418" s="105"/>
      <c r="E6418" s="105"/>
      <c r="F6418" s="105"/>
      <c r="G6418" s="105"/>
      <c r="H6418" s="105"/>
      <c r="I6418" s="106"/>
      <c r="J6418" s="104"/>
      <c r="K6418" s="103"/>
      <c r="L6418" s="13"/>
    </row>
    <row r="6419" spans="1:12" hidden="1" x14ac:dyDescent="0.25">
      <c r="A6419" s="6"/>
      <c r="B6419" s="6"/>
      <c r="C6419" s="11"/>
      <c r="D6419" s="13"/>
      <c r="E6419" s="13"/>
      <c r="F6419" s="13"/>
      <c r="G6419" s="13"/>
      <c r="H6419" s="13"/>
      <c r="I6419" s="10"/>
      <c r="J6419" s="11"/>
      <c r="K6419" s="6"/>
      <c r="L6419" s="13"/>
    </row>
    <row r="6420" spans="1:12" hidden="1" x14ac:dyDescent="0.25">
      <c r="A6420" s="6"/>
      <c r="B6420" s="6"/>
      <c r="C6420" s="11"/>
      <c r="D6420" s="13"/>
      <c r="E6420" s="13"/>
      <c r="F6420" s="13"/>
      <c r="G6420" s="13"/>
      <c r="H6420" s="13"/>
      <c r="I6420" s="10"/>
      <c r="J6420" s="11"/>
      <c r="K6420" s="6"/>
      <c r="L6420" s="13"/>
    </row>
    <row r="6421" spans="1:12" hidden="1" x14ac:dyDescent="0.25">
      <c r="A6421" s="6"/>
      <c r="B6421" s="6"/>
      <c r="C6421" s="11"/>
      <c r="D6421" s="13"/>
      <c r="E6421" s="13"/>
      <c r="F6421" s="13"/>
      <c r="G6421" s="13"/>
      <c r="H6421" s="13"/>
      <c r="I6421" s="10"/>
      <c r="J6421" s="11"/>
      <c r="K6421" s="6"/>
      <c r="L6421" s="13"/>
    </row>
    <row r="6422" spans="1:12" hidden="1" x14ac:dyDescent="0.25">
      <c r="A6422" s="6"/>
      <c r="B6422" s="6"/>
      <c r="C6422" s="11"/>
      <c r="D6422" s="13"/>
      <c r="E6422" s="13"/>
      <c r="F6422" s="13"/>
      <c r="G6422" s="13"/>
      <c r="H6422" s="13"/>
      <c r="I6422" s="10"/>
      <c r="J6422" s="11"/>
      <c r="K6422" s="6"/>
      <c r="L6422" s="13"/>
    </row>
    <row r="6423" spans="1:12" hidden="1" x14ac:dyDescent="0.25">
      <c r="A6423" s="6"/>
      <c r="B6423" s="6"/>
      <c r="C6423" s="11"/>
      <c r="D6423" s="13"/>
      <c r="E6423" s="13"/>
      <c r="F6423" s="13"/>
      <c r="G6423" s="13"/>
      <c r="H6423" s="13"/>
      <c r="I6423" s="10"/>
      <c r="J6423" s="11"/>
      <c r="K6423" s="6"/>
      <c r="L6423" s="13"/>
    </row>
    <row r="6424" spans="1:12" hidden="1" x14ac:dyDescent="0.25">
      <c r="A6424" s="6"/>
      <c r="B6424" s="6"/>
      <c r="C6424" s="11"/>
      <c r="D6424" s="13"/>
      <c r="E6424" s="13"/>
      <c r="F6424" s="13"/>
      <c r="G6424" s="13"/>
      <c r="H6424" s="13"/>
      <c r="I6424" s="10"/>
      <c r="J6424" s="11"/>
      <c r="K6424" s="6"/>
      <c r="L6424" s="13"/>
    </row>
    <row r="6425" spans="1:12" hidden="1" x14ac:dyDescent="0.25">
      <c r="A6425" s="6"/>
      <c r="B6425" s="6"/>
      <c r="C6425" s="11"/>
      <c r="D6425" s="13"/>
      <c r="E6425" s="13"/>
      <c r="F6425" s="13"/>
      <c r="G6425" s="13"/>
      <c r="H6425" s="13"/>
      <c r="I6425" s="10"/>
      <c r="J6425" s="11"/>
      <c r="K6425" s="6"/>
      <c r="L6425" s="13"/>
    </row>
    <row r="6426" spans="1:12" hidden="1" x14ac:dyDescent="0.25">
      <c r="A6426" s="6"/>
      <c r="B6426" s="6"/>
      <c r="C6426" s="11"/>
      <c r="D6426" s="13"/>
      <c r="E6426" s="13"/>
      <c r="F6426" s="13"/>
      <c r="G6426" s="13"/>
      <c r="H6426" s="13"/>
      <c r="I6426" s="10"/>
      <c r="J6426" s="11"/>
      <c r="K6426" s="6"/>
      <c r="L6426" s="13"/>
    </row>
    <row r="6427" spans="1:12" hidden="1" x14ac:dyDescent="0.25">
      <c r="A6427" s="6"/>
      <c r="B6427" s="6"/>
      <c r="C6427" s="11"/>
      <c r="D6427" s="13"/>
      <c r="E6427" s="13"/>
      <c r="F6427" s="13"/>
      <c r="G6427" s="13"/>
      <c r="H6427" s="13"/>
      <c r="I6427" s="10"/>
      <c r="J6427" s="11"/>
      <c r="K6427" s="6"/>
      <c r="L6427" s="13"/>
    </row>
    <row r="6428" spans="1:12" hidden="1" x14ac:dyDescent="0.25">
      <c r="A6428" s="6"/>
      <c r="B6428" s="6"/>
      <c r="C6428" s="11"/>
      <c r="D6428" s="13"/>
      <c r="E6428" s="13"/>
      <c r="F6428" s="13"/>
      <c r="G6428" s="13"/>
      <c r="H6428" s="13"/>
      <c r="I6428" s="10"/>
      <c r="J6428" s="11"/>
      <c r="K6428" s="6"/>
      <c r="L6428" s="13"/>
    </row>
    <row r="6429" spans="1:12" hidden="1" x14ac:dyDescent="0.25">
      <c r="A6429" s="6"/>
      <c r="B6429" s="6"/>
      <c r="C6429" s="11"/>
      <c r="D6429" s="13"/>
      <c r="E6429" s="13"/>
      <c r="F6429" s="13"/>
      <c r="G6429" s="13"/>
      <c r="H6429" s="13"/>
      <c r="I6429" s="10"/>
      <c r="J6429" s="11"/>
      <c r="K6429" s="6"/>
      <c r="L6429" s="13"/>
    </row>
    <row r="6430" spans="1:12" hidden="1" x14ac:dyDescent="0.25">
      <c r="A6430" s="6"/>
      <c r="B6430" s="6"/>
      <c r="C6430" s="11"/>
      <c r="D6430" s="13"/>
      <c r="E6430" s="13"/>
      <c r="F6430" s="13"/>
      <c r="G6430" s="13"/>
      <c r="H6430" s="13"/>
      <c r="I6430" s="10"/>
      <c r="J6430" s="11"/>
      <c r="K6430" s="6"/>
      <c r="L6430" s="13"/>
    </row>
    <row r="6431" spans="1:12" hidden="1" x14ac:dyDescent="0.25">
      <c r="A6431" s="6"/>
      <c r="B6431" s="6"/>
      <c r="C6431" s="11"/>
      <c r="D6431" s="13"/>
      <c r="E6431" s="13"/>
      <c r="F6431" s="13"/>
      <c r="G6431" s="13"/>
      <c r="H6431" s="13"/>
      <c r="I6431" s="10"/>
      <c r="J6431" s="11"/>
      <c r="K6431" s="6"/>
      <c r="L6431" s="13"/>
    </row>
    <row r="6432" spans="1:12" hidden="1" x14ac:dyDescent="0.25">
      <c r="A6432" s="6"/>
      <c r="B6432" s="6"/>
      <c r="C6432" s="11"/>
      <c r="D6432" s="13"/>
      <c r="E6432" s="13"/>
      <c r="F6432" s="13"/>
      <c r="G6432" s="13"/>
      <c r="H6432" s="13"/>
      <c r="I6432" s="10"/>
      <c r="J6432" s="11"/>
      <c r="K6432" s="6"/>
      <c r="L6432" s="13"/>
    </row>
    <row r="6433" spans="1:12" hidden="1" x14ac:dyDescent="0.25">
      <c r="A6433" s="6"/>
      <c r="B6433" s="6"/>
      <c r="C6433" s="11"/>
      <c r="D6433" s="13"/>
      <c r="E6433" s="13"/>
      <c r="F6433" s="13"/>
      <c r="G6433" s="13"/>
      <c r="H6433" s="13"/>
      <c r="I6433" s="10"/>
      <c r="J6433" s="11"/>
      <c r="K6433" s="6"/>
      <c r="L6433" s="13"/>
    </row>
    <row r="6434" spans="1:12" hidden="1" x14ac:dyDescent="0.25">
      <c r="A6434" s="6"/>
      <c r="B6434" s="6"/>
      <c r="C6434" s="11"/>
      <c r="D6434" s="13"/>
      <c r="E6434" s="13"/>
      <c r="F6434" s="13"/>
      <c r="G6434" s="13"/>
      <c r="H6434" s="13"/>
      <c r="I6434" s="10"/>
      <c r="J6434" s="11"/>
      <c r="K6434" s="6"/>
      <c r="L6434" s="13"/>
    </row>
    <row r="6435" spans="1:12" hidden="1" x14ac:dyDescent="0.25">
      <c r="A6435" s="6"/>
      <c r="B6435" s="6"/>
      <c r="C6435" s="11"/>
      <c r="D6435" s="13"/>
      <c r="E6435" s="13"/>
      <c r="F6435" s="13"/>
      <c r="G6435" s="13"/>
      <c r="H6435" s="13"/>
      <c r="I6435" s="10"/>
      <c r="J6435" s="11"/>
      <c r="K6435" s="6"/>
      <c r="L6435" s="13"/>
    </row>
    <row r="6436" spans="1:12" hidden="1" x14ac:dyDescent="0.25">
      <c r="A6436" s="6"/>
      <c r="B6436" s="6"/>
      <c r="C6436" s="11"/>
      <c r="D6436" s="13"/>
      <c r="E6436" s="13"/>
      <c r="F6436" s="13"/>
      <c r="G6436" s="13"/>
      <c r="H6436" s="13"/>
      <c r="I6436" s="10"/>
      <c r="J6436" s="11"/>
      <c r="K6436" s="6"/>
      <c r="L6436" s="13"/>
    </row>
    <row r="6437" spans="1:12" hidden="1" x14ac:dyDescent="0.25">
      <c r="A6437" s="6"/>
      <c r="B6437" s="6"/>
      <c r="C6437" s="11"/>
      <c r="D6437" s="13"/>
      <c r="E6437" s="13"/>
      <c r="F6437" s="13"/>
      <c r="G6437" s="13"/>
      <c r="H6437" s="13"/>
      <c r="I6437" s="10"/>
      <c r="J6437" s="11"/>
      <c r="K6437" s="6"/>
      <c r="L6437" s="13"/>
    </row>
    <row r="6438" spans="1:12" hidden="1" x14ac:dyDescent="0.25">
      <c r="A6438" s="6"/>
      <c r="B6438" s="6"/>
      <c r="C6438" s="11"/>
      <c r="D6438" s="13"/>
      <c r="E6438" s="13"/>
      <c r="F6438" s="13"/>
      <c r="G6438" s="13"/>
      <c r="H6438" s="13"/>
      <c r="I6438" s="10"/>
      <c r="J6438" s="11"/>
      <c r="K6438" s="6"/>
      <c r="L6438" s="13"/>
    </row>
    <row r="6439" spans="1:12" hidden="1" x14ac:dyDescent="0.25">
      <c r="A6439" s="6"/>
      <c r="B6439" s="6"/>
      <c r="C6439" s="11"/>
      <c r="D6439" s="13"/>
      <c r="E6439" s="13"/>
      <c r="F6439" s="13"/>
      <c r="G6439" s="13"/>
      <c r="H6439" s="13"/>
      <c r="I6439" s="10"/>
      <c r="J6439" s="11"/>
      <c r="K6439" s="6"/>
      <c r="L6439" s="13"/>
    </row>
    <row r="6440" spans="1:12" hidden="1" x14ac:dyDescent="0.25">
      <c r="A6440" s="6"/>
      <c r="B6440" s="6"/>
      <c r="C6440" s="11"/>
      <c r="D6440" s="13"/>
      <c r="E6440" s="13"/>
      <c r="F6440" s="13"/>
      <c r="G6440" s="13"/>
      <c r="H6440" s="13"/>
      <c r="I6440" s="10"/>
      <c r="J6440" s="11"/>
      <c r="K6440" s="6"/>
      <c r="L6440" s="13"/>
    </row>
    <row r="6441" spans="1:12" hidden="1" x14ac:dyDescent="0.25">
      <c r="A6441" s="6"/>
      <c r="B6441" s="6"/>
      <c r="C6441" s="11"/>
      <c r="D6441" s="13"/>
      <c r="E6441" s="13"/>
      <c r="F6441" s="13"/>
      <c r="G6441" s="13"/>
      <c r="H6441" s="13"/>
      <c r="I6441" s="10"/>
      <c r="J6441" s="11"/>
      <c r="K6441" s="6"/>
      <c r="L6441" s="13"/>
    </row>
    <row r="6442" spans="1:12" hidden="1" x14ac:dyDescent="0.25">
      <c r="A6442" s="6"/>
      <c r="B6442" s="6"/>
      <c r="C6442" s="11"/>
      <c r="D6442" s="13"/>
      <c r="E6442" s="13"/>
      <c r="F6442" s="13"/>
      <c r="G6442" s="13"/>
      <c r="H6442" s="13"/>
      <c r="I6442" s="10"/>
      <c r="J6442" s="11"/>
      <c r="K6442" s="6"/>
      <c r="L6442" s="13"/>
    </row>
    <row r="6443" spans="1:12" hidden="1" x14ac:dyDescent="0.25">
      <c r="A6443" s="6"/>
      <c r="B6443" s="6"/>
      <c r="C6443" s="11"/>
      <c r="D6443" s="13"/>
      <c r="E6443" s="13"/>
      <c r="F6443" s="13"/>
      <c r="G6443" s="13"/>
      <c r="H6443" s="13"/>
      <c r="I6443" s="10"/>
      <c r="J6443" s="11"/>
      <c r="K6443" s="6"/>
      <c r="L6443" s="13"/>
    </row>
    <row r="6444" spans="1:12" hidden="1" x14ac:dyDescent="0.25">
      <c r="A6444" s="6"/>
      <c r="B6444" s="6"/>
      <c r="C6444" s="11"/>
      <c r="D6444" s="13"/>
      <c r="E6444" s="13"/>
      <c r="F6444" s="13"/>
      <c r="G6444" s="13"/>
      <c r="H6444" s="13"/>
      <c r="I6444" s="10"/>
      <c r="J6444" s="11"/>
      <c r="K6444" s="6"/>
      <c r="L6444" s="13"/>
    </row>
    <row r="6445" spans="1:12" hidden="1" x14ac:dyDescent="0.25">
      <c r="A6445" s="6"/>
      <c r="B6445" s="6"/>
      <c r="C6445" s="11"/>
      <c r="D6445" s="13"/>
      <c r="E6445" s="13"/>
      <c r="F6445" s="13"/>
      <c r="G6445" s="13"/>
      <c r="H6445" s="13"/>
      <c r="I6445" s="10"/>
      <c r="J6445" s="11"/>
      <c r="K6445" s="6"/>
      <c r="L6445" s="13"/>
    </row>
    <row r="6446" spans="1:12" hidden="1" x14ac:dyDescent="0.25">
      <c r="A6446" s="6"/>
      <c r="B6446" s="6"/>
      <c r="C6446" s="11"/>
      <c r="D6446" s="13"/>
      <c r="E6446" s="13"/>
      <c r="F6446" s="13"/>
      <c r="G6446" s="13"/>
      <c r="H6446" s="13"/>
      <c r="I6446" s="10"/>
      <c r="J6446" s="11"/>
      <c r="K6446" s="6"/>
      <c r="L6446" s="13"/>
    </row>
    <row r="6447" spans="1:12" hidden="1" x14ac:dyDescent="0.25">
      <c r="A6447" s="6"/>
      <c r="B6447" s="6"/>
      <c r="C6447" s="11"/>
      <c r="D6447" s="13"/>
      <c r="E6447" s="13"/>
      <c r="F6447" s="13"/>
      <c r="G6447" s="13"/>
      <c r="H6447" s="13"/>
      <c r="I6447" s="10"/>
      <c r="J6447" s="11"/>
      <c r="K6447" s="6"/>
      <c r="L6447" s="13"/>
    </row>
    <row r="6448" spans="1:12" hidden="1" x14ac:dyDescent="0.25">
      <c r="A6448" s="6"/>
      <c r="B6448" s="6"/>
      <c r="C6448" s="11"/>
      <c r="D6448" s="13"/>
      <c r="E6448" s="13"/>
      <c r="F6448" s="13"/>
      <c r="G6448" s="13"/>
      <c r="H6448" s="13"/>
      <c r="I6448" s="10"/>
      <c r="J6448" s="11"/>
      <c r="K6448" s="6"/>
      <c r="L6448" s="13"/>
    </row>
    <row r="6449" spans="1:12" hidden="1" x14ac:dyDescent="0.25">
      <c r="A6449" s="6"/>
      <c r="B6449" s="6"/>
      <c r="C6449" s="11"/>
      <c r="D6449" s="13"/>
      <c r="E6449" s="13"/>
      <c r="F6449" s="13"/>
      <c r="G6449" s="13"/>
      <c r="H6449" s="13"/>
      <c r="I6449" s="10"/>
      <c r="J6449" s="11"/>
      <c r="K6449" s="6"/>
      <c r="L6449" s="13"/>
    </row>
    <row r="6450" spans="1:12" hidden="1" x14ac:dyDescent="0.25">
      <c r="A6450" s="6"/>
      <c r="B6450" s="6"/>
      <c r="C6450" s="11"/>
      <c r="D6450" s="13"/>
      <c r="E6450" s="13"/>
      <c r="F6450" s="13"/>
      <c r="G6450" s="13"/>
      <c r="H6450" s="13"/>
      <c r="I6450" s="10"/>
      <c r="J6450" s="11"/>
      <c r="K6450" s="6"/>
      <c r="L6450" s="13"/>
    </row>
    <row r="6451" spans="1:12" hidden="1" x14ac:dyDescent="0.25">
      <c r="A6451" s="6"/>
      <c r="B6451" s="6"/>
      <c r="C6451" s="11"/>
      <c r="D6451" s="13"/>
      <c r="E6451" s="13"/>
      <c r="F6451" s="13"/>
      <c r="G6451" s="13"/>
      <c r="H6451" s="13"/>
      <c r="I6451" s="10"/>
      <c r="J6451" s="11"/>
      <c r="K6451" s="6"/>
      <c r="L6451" s="13"/>
    </row>
    <row r="6452" spans="1:12" hidden="1" x14ac:dyDescent="0.25">
      <c r="A6452" s="6"/>
      <c r="B6452" s="6"/>
      <c r="C6452" s="11"/>
      <c r="D6452" s="13"/>
      <c r="E6452" s="13"/>
      <c r="F6452" s="13"/>
      <c r="G6452" s="13"/>
      <c r="H6452" s="13"/>
      <c r="I6452" s="10"/>
      <c r="J6452" s="11"/>
      <c r="K6452" s="6"/>
      <c r="L6452" s="13"/>
    </row>
    <row r="6453" spans="1:12" hidden="1" x14ac:dyDescent="0.25">
      <c r="A6453" s="6"/>
      <c r="B6453" s="6"/>
      <c r="C6453" s="11"/>
      <c r="D6453" s="13"/>
      <c r="E6453" s="13"/>
      <c r="F6453" s="13"/>
      <c r="G6453" s="13"/>
      <c r="H6453" s="13"/>
      <c r="I6453" s="10"/>
      <c r="J6453" s="11"/>
      <c r="K6453" s="6"/>
      <c r="L6453" s="13"/>
    </row>
    <row r="6454" spans="1:12" hidden="1" x14ac:dyDescent="0.25">
      <c r="A6454" s="6"/>
      <c r="B6454" s="6"/>
      <c r="C6454" s="11"/>
      <c r="D6454" s="13"/>
      <c r="E6454" s="13"/>
      <c r="F6454" s="13"/>
      <c r="G6454" s="13"/>
      <c r="H6454" s="13"/>
      <c r="I6454" s="10"/>
      <c r="J6454" s="11"/>
      <c r="K6454" s="6"/>
      <c r="L6454" s="13"/>
    </row>
    <row r="6455" spans="1:12" hidden="1" x14ac:dyDescent="0.25">
      <c r="A6455" s="6"/>
      <c r="B6455" s="6"/>
      <c r="C6455" s="11"/>
      <c r="D6455" s="13"/>
      <c r="E6455" s="13"/>
      <c r="F6455" s="13"/>
      <c r="G6455" s="13"/>
      <c r="H6455" s="13"/>
      <c r="I6455" s="10"/>
      <c r="J6455" s="11"/>
      <c r="K6455" s="6"/>
      <c r="L6455" s="13"/>
    </row>
    <row r="6456" spans="1:12" hidden="1" x14ac:dyDescent="0.25">
      <c r="A6456" s="6"/>
      <c r="B6456" s="6"/>
      <c r="C6456" s="11"/>
      <c r="D6456" s="13"/>
      <c r="E6456" s="13"/>
      <c r="F6456" s="13"/>
      <c r="G6456" s="13"/>
      <c r="H6456" s="13"/>
      <c r="I6456" s="10"/>
      <c r="J6456" s="11"/>
      <c r="K6456" s="6"/>
      <c r="L6456" s="13"/>
    </row>
    <row r="6457" spans="1:12" hidden="1" x14ac:dyDescent="0.25">
      <c r="A6457" s="6"/>
      <c r="B6457" s="6"/>
      <c r="C6457" s="11"/>
      <c r="D6457" s="13"/>
      <c r="E6457" s="13"/>
      <c r="F6457" s="13"/>
      <c r="G6457" s="13"/>
      <c r="H6457" s="13"/>
      <c r="I6457" s="10"/>
      <c r="J6457" s="11"/>
      <c r="K6457" s="6"/>
      <c r="L6457" s="13"/>
    </row>
    <row r="6458" spans="1:12" hidden="1" x14ac:dyDescent="0.25">
      <c r="A6458" s="6"/>
      <c r="B6458" s="6"/>
      <c r="C6458" s="11"/>
      <c r="D6458" s="13"/>
      <c r="E6458" s="13"/>
      <c r="F6458" s="13"/>
      <c r="G6458" s="13"/>
      <c r="H6458" s="13"/>
      <c r="I6458" s="10"/>
      <c r="J6458" s="11"/>
      <c r="K6458" s="6"/>
      <c r="L6458" s="13"/>
    </row>
    <row r="6459" spans="1:12" hidden="1" x14ac:dyDescent="0.25">
      <c r="A6459" s="6"/>
      <c r="B6459" s="6"/>
      <c r="C6459" s="11"/>
      <c r="D6459" s="13"/>
      <c r="E6459" s="13"/>
      <c r="F6459" s="13"/>
      <c r="G6459" s="13"/>
      <c r="H6459" s="13"/>
      <c r="I6459" s="10"/>
      <c r="J6459" s="11"/>
      <c r="K6459" s="6"/>
      <c r="L6459" s="13"/>
    </row>
    <row r="6460" spans="1:12" hidden="1" x14ac:dyDescent="0.25">
      <c r="A6460" s="6"/>
      <c r="B6460" s="6"/>
      <c r="C6460" s="11"/>
      <c r="D6460" s="13"/>
      <c r="E6460" s="13"/>
      <c r="F6460" s="13"/>
      <c r="G6460" s="13"/>
      <c r="H6460" s="13"/>
      <c r="I6460" s="10"/>
      <c r="J6460" s="11"/>
      <c r="K6460" s="6"/>
      <c r="L6460" s="13"/>
    </row>
    <row r="6461" spans="1:12" hidden="1" x14ac:dyDescent="0.25">
      <c r="A6461" s="6"/>
      <c r="B6461" s="6"/>
      <c r="C6461" s="11"/>
      <c r="D6461" s="13"/>
      <c r="E6461" s="13"/>
      <c r="F6461" s="13"/>
      <c r="G6461" s="13"/>
      <c r="H6461" s="13"/>
      <c r="I6461" s="10"/>
      <c r="J6461" s="11"/>
      <c r="K6461" s="6"/>
      <c r="L6461" s="13"/>
    </row>
    <row r="6462" spans="1:12" hidden="1" x14ac:dyDescent="0.25">
      <c r="A6462" s="6"/>
      <c r="B6462" s="6"/>
      <c r="C6462" s="11"/>
      <c r="D6462" s="13"/>
      <c r="E6462" s="13"/>
      <c r="F6462" s="13"/>
      <c r="G6462" s="13"/>
      <c r="H6462" s="13"/>
      <c r="I6462" s="10"/>
      <c r="J6462" s="11"/>
      <c r="K6462" s="6"/>
      <c r="L6462" s="13"/>
    </row>
    <row r="6463" spans="1:12" hidden="1" x14ac:dyDescent="0.25">
      <c r="A6463" s="6"/>
      <c r="B6463" s="6"/>
      <c r="C6463" s="11"/>
      <c r="D6463" s="13"/>
      <c r="E6463" s="13"/>
      <c r="F6463" s="13"/>
      <c r="G6463" s="13"/>
      <c r="H6463" s="13"/>
      <c r="I6463" s="10"/>
      <c r="J6463" s="11"/>
      <c r="K6463" s="6"/>
      <c r="L6463" s="13"/>
    </row>
    <row r="6464" spans="1:12" hidden="1" x14ac:dyDescent="0.25">
      <c r="A6464" s="6"/>
      <c r="B6464" s="6"/>
      <c r="C6464" s="11"/>
      <c r="D6464" s="13"/>
      <c r="E6464" s="13"/>
      <c r="F6464" s="13"/>
      <c r="G6464" s="13"/>
      <c r="H6464" s="13"/>
      <c r="I6464" s="10"/>
      <c r="J6464" s="11"/>
      <c r="K6464" s="6"/>
      <c r="L6464" s="13"/>
    </row>
    <row r="6465" spans="1:12" hidden="1" x14ac:dyDescent="0.25">
      <c r="A6465" s="6"/>
      <c r="B6465" s="6"/>
      <c r="C6465" s="11"/>
      <c r="D6465" s="13"/>
      <c r="E6465" s="13"/>
      <c r="F6465" s="13"/>
      <c r="G6465" s="13"/>
      <c r="H6465" s="13"/>
      <c r="I6465" s="10"/>
      <c r="J6465" s="11"/>
      <c r="K6465" s="6"/>
      <c r="L6465" s="13"/>
    </row>
    <row r="6466" spans="1:12" hidden="1" x14ac:dyDescent="0.25">
      <c r="A6466" s="6"/>
      <c r="B6466" s="6"/>
      <c r="C6466" s="11"/>
      <c r="D6466" s="13"/>
      <c r="E6466" s="13"/>
      <c r="F6466" s="13"/>
      <c r="G6466" s="13"/>
      <c r="H6466" s="13"/>
      <c r="I6466" s="10"/>
      <c r="J6466" s="11"/>
      <c r="K6466" s="6"/>
      <c r="L6466" s="13"/>
    </row>
    <row r="6467" spans="1:12" hidden="1" x14ac:dyDescent="0.25">
      <c r="A6467" s="6"/>
      <c r="B6467" s="6"/>
      <c r="C6467" s="11"/>
      <c r="D6467" s="13"/>
      <c r="E6467" s="13"/>
      <c r="F6467" s="13"/>
      <c r="G6467" s="13"/>
      <c r="H6467" s="13"/>
      <c r="I6467" s="10"/>
      <c r="J6467" s="11"/>
      <c r="K6467" s="6"/>
      <c r="L6467" s="13"/>
    </row>
    <row r="6468" spans="1:12" hidden="1" x14ac:dyDescent="0.25">
      <c r="A6468" s="6"/>
      <c r="B6468" s="6"/>
      <c r="C6468" s="11"/>
      <c r="D6468" s="13"/>
      <c r="E6468" s="13"/>
      <c r="F6468" s="13"/>
      <c r="G6468" s="13"/>
      <c r="H6468" s="13"/>
      <c r="I6468" s="10"/>
      <c r="J6468" s="11"/>
      <c r="K6468" s="6"/>
      <c r="L6468" s="13"/>
    </row>
    <row r="6469" spans="1:12" hidden="1" x14ac:dyDescent="0.25">
      <c r="A6469" s="6"/>
      <c r="B6469" s="6"/>
      <c r="C6469" s="11"/>
      <c r="D6469" s="13"/>
      <c r="E6469" s="13"/>
      <c r="F6469" s="13"/>
      <c r="G6469" s="13"/>
      <c r="H6469" s="13"/>
      <c r="I6469" s="10"/>
      <c r="J6469" s="11"/>
      <c r="K6469" s="6"/>
      <c r="L6469" s="13"/>
    </row>
    <row r="6470" spans="1:12" hidden="1" x14ac:dyDescent="0.25">
      <c r="A6470" s="6"/>
      <c r="B6470" s="6"/>
      <c r="C6470" s="11"/>
      <c r="D6470" s="13"/>
      <c r="E6470" s="13"/>
      <c r="F6470" s="13"/>
      <c r="G6470" s="13"/>
      <c r="H6470" s="13"/>
      <c r="I6470" s="10"/>
      <c r="J6470" s="11"/>
      <c r="K6470" s="6"/>
      <c r="L6470" s="13"/>
    </row>
    <row r="6471" spans="1:12" hidden="1" x14ac:dyDescent="0.25">
      <c r="A6471" s="6"/>
      <c r="B6471" s="6"/>
      <c r="C6471" s="11"/>
      <c r="D6471" s="13"/>
      <c r="E6471" s="13"/>
      <c r="F6471" s="13"/>
      <c r="G6471" s="13"/>
      <c r="H6471" s="13"/>
      <c r="I6471" s="10"/>
      <c r="J6471" s="11"/>
      <c r="K6471" s="6"/>
      <c r="L6471" s="13"/>
    </row>
    <row r="6472" spans="1:12" hidden="1" x14ac:dyDescent="0.25">
      <c r="A6472" s="6"/>
      <c r="B6472" s="6"/>
      <c r="C6472" s="11"/>
      <c r="D6472" s="13"/>
      <c r="E6472" s="13"/>
      <c r="F6472" s="13"/>
      <c r="G6472" s="13"/>
      <c r="H6472" s="13"/>
      <c r="I6472" s="10"/>
      <c r="J6472" s="11"/>
      <c r="K6472" s="6"/>
      <c r="L6472" s="13"/>
    </row>
    <row r="6473" spans="1:12" hidden="1" x14ac:dyDescent="0.25">
      <c r="A6473" s="6"/>
      <c r="B6473" s="6"/>
      <c r="C6473" s="11"/>
      <c r="D6473" s="13"/>
      <c r="E6473" s="13"/>
      <c r="F6473" s="13"/>
      <c r="G6473" s="13"/>
      <c r="H6473" s="13"/>
      <c r="I6473" s="10"/>
      <c r="J6473" s="11"/>
      <c r="K6473" s="6"/>
      <c r="L6473" s="13"/>
    </row>
    <row r="6474" spans="1:12" hidden="1" x14ac:dyDescent="0.25">
      <c r="A6474" s="6"/>
      <c r="B6474" s="6"/>
      <c r="C6474" s="11"/>
      <c r="D6474" s="13"/>
      <c r="E6474" s="13"/>
      <c r="F6474" s="13"/>
      <c r="G6474" s="13"/>
      <c r="H6474" s="13"/>
      <c r="I6474" s="10"/>
      <c r="J6474" s="11"/>
      <c r="K6474" s="6"/>
      <c r="L6474" s="13"/>
    </row>
    <row r="6475" spans="1:12" hidden="1" x14ac:dyDescent="0.25">
      <c r="A6475" s="6"/>
      <c r="B6475" s="6"/>
      <c r="C6475" s="11"/>
      <c r="D6475" s="13"/>
      <c r="E6475" s="13"/>
      <c r="F6475" s="13"/>
      <c r="G6475" s="13"/>
      <c r="H6475" s="13"/>
      <c r="I6475" s="10"/>
      <c r="J6475" s="11"/>
      <c r="K6475" s="6"/>
      <c r="L6475" s="13"/>
    </row>
    <row r="6476" spans="1:12" hidden="1" x14ac:dyDescent="0.25">
      <c r="A6476" s="6"/>
      <c r="B6476" s="6"/>
      <c r="C6476" s="11"/>
      <c r="D6476" s="13"/>
      <c r="E6476" s="13"/>
      <c r="F6476" s="13"/>
      <c r="G6476" s="13"/>
      <c r="H6476" s="13"/>
      <c r="I6476" s="10"/>
      <c r="J6476" s="11"/>
      <c r="K6476" s="6"/>
      <c r="L6476" s="13"/>
    </row>
    <row r="6477" spans="1:12" hidden="1" x14ac:dyDescent="0.25">
      <c r="A6477" s="6"/>
      <c r="B6477" s="6"/>
      <c r="C6477" s="11"/>
      <c r="D6477" s="13"/>
      <c r="E6477" s="13"/>
      <c r="F6477" s="13"/>
      <c r="G6477" s="13"/>
      <c r="H6477" s="13"/>
      <c r="I6477" s="10"/>
      <c r="J6477" s="11"/>
      <c r="K6477" s="6"/>
      <c r="L6477" s="13"/>
    </row>
    <row r="6478" spans="1:12" hidden="1" x14ac:dyDescent="0.25">
      <c r="A6478" s="6"/>
      <c r="B6478" s="6"/>
      <c r="C6478" s="11"/>
      <c r="D6478" s="13"/>
      <c r="E6478" s="13"/>
      <c r="F6478" s="13"/>
      <c r="G6478" s="13"/>
      <c r="H6478" s="13"/>
      <c r="I6478" s="10"/>
      <c r="J6478" s="11"/>
      <c r="K6478" s="6"/>
      <c r="L6478" s="13"/>
    </row>
    <row r="6479" spans="1:12" hidden="1" x14ac:dyDescent="0.25">
      <c r="A6479" s="6"/>
      <c r="B6479" s="6"/>
      <c r="C6479" s="11"/>
      <c r="D6479" s="13"/>
      <c r="E6479" s="13"/>
      <c r="F6479" s="13"/>
      <c r="G6479" s="13"/>
      <c r="H6479" s="13"/>
      <c r="I6479" s="10"/>
      <c r="J6479" s="11"/>
      <c r="K6479" s="6"/>
      <c r="L6479" s="13"/>
    </row>
    <row r="6480" spans="1:12" hidden="1" x14ac:dyDescent="0.25">
      <c r="A6480" s="6"/>
      <c r="B6480" s="6"/>
      <c r="C6480" s="11"/>
      <c r="D6480" s="13"/>
      <c r="E6480" s="13"/>
      <c r="F6480" s="13"/>
      <c r="G6480" s="13"/>
      <c r="H6480" s="13"/>
      <c r="I6480" s="10"/>
      <c r="J6480" s="11"/>
      <c r="K6480" s="6"/>
      <c r="L6480" s="13"/>
    </row>
    <row r="6481" spans="1:12" hidden="1" x14ac:dyDescent="0.25">
      <c r="A6481" s="6"/>
      <c r="B6481" s="6"/>
      <c r="C6481" s="11"/>
      <c r="D6481" s="13"/>
      <c r="E6481" s="13"/>
      <c r="F6481" s="13"/>
      <c r="G6481" s="13"/>
      <c r="H6481" s="13"/>
      <c r="I6481" s="10"/>
      <c r="J6481" s="11"/>
      <c r="K6481" s="6"/>
      <c r="L6481" s="13"/>
    </row>
    <row r="6482" spans="1:12" hidden="1" x14ac:dyDescent="0.25">
      <c r="A6482" s="6"/>
      <c r="B6482" s="6"/>
      <c r="C6482" s="11"/>
      <c r="D6482" s="13"/>
      <c r="E6482" s="13"/>
      <c r="F6482" s="13"/>
      <c r="G6482" s="13"/>
      <c r="H6482" s="13"/>
      <c r="I6482" s="10"/>
      <c r="J6482" s="11"/>
      <c r="K6482" s="6"/>
      <c r="L6482" s="13"/>
    </row>
    <row r="6483" spans="1:12" hidden="1" x14ac:dyDescent="0.25">
      <c r="A6483" s="6"/>
      <c r="B6483" s="6"/>
      <c r="C6483" s="11"/>
      <c r="D6483" s="13"/>
      <c r="E6483" s="13"/>
      <c r="F6483" s="13"/>
      <c r="G6483" s="13"/>
      <c r="H6483" s="13"/>
      <c r="I6483" s="10"/>
      <c r="J6483" s="11"/>
      <c r="K6483" s="6"/>
      <c r="L6483" s="13"/>
    </row>
    <row r="6484" spans="1:12" hidden="1" x14ac:dyDescent="0.25">
      <c r="A6484" s="6"/>
      <c r="B6484" s="6"/>
      <c r="C6484" s="11"/>
      <c r="D6484" s="13"/>
      <c r="E6484" s="13"/>
      <c r="F6484" s="13"/>
      <c r="G6484" s="13"/>
      <c r="H6484" s="13"/>
      <c r="I6484" s="10"/>
      <c r="J6484" s="11"/>
      <c r="K6484" s="6"/>
      <c r="L6484" s="13"/>
    </row>
    <row r="6485" spans="1:12" hidden="1" x14ac:dyDescent="0.25">
      <c r="A6485" s="6"/>
      <c r="B6485" s="6"/>
      <c r="C6485" s="11"/>
      <c r="D6485" s="13"/>
      <c r="E6485" s="13"/>
      <c r="F6485" s="13"/>
      <c r="G6485" s="13"/>
      <c r="H6485" s="13"/>
      <c r="I6485" s="10"/>
      <c r="J6485" s="11"/>
      <c r="K6485" s="6"/>
      <c r="L6485" s="13"/>
    </row>
    <row r="6486" spans="1:12" hidden="1" x14ac:dyDescent="0.25">
      <c r="A6486" s="6"/>
      <c r="B6486" s="6"/>
      <c r="C6486" s="11"/>
      <c r="D6486" s="13"/>
      <c r="E6486" s="13"/>
      <c r="F6486" s="13"/>
      <c r="G6486" s="13"/>
      <c r="H6486" s="13"/>
      <c r="I6486" s="10"/>
      <c r="J6486" s="11"/>
      <c r="K6486" s="6"/>
      <c r="L6486" s="13"/>
    </row>
    <row r="6487" spans="1:12" hidden="1" x14ac:dyDescent="0.25">
      <c r="A6487" s="6"/>
      <c r="B6487" s="6"/>
      <c r="C6487" s="11"/>
      <c r="D6487" s="13"/>
      <c r="E6487" s="13"/>
      <c r="F6487" s="13"/>
      <c r="G6487" s="13"/>
      <c r="H6487" s="13"/>
      <c r="I6487" s="10"/>
      <c r="J6487" s="11"/>
      <c r="K6487" s="6"/>
      <c r="L6487" s="13"/>
    </row>
    <row r="6488" spans="1:12" hidden="1" x14ac:dyDescent="0.25">
      <c r="A6488" s="6"/>
      <c r="B6488" s="6"/>
      <c r="C6488" s="11"/>
      <c r="D6488" s="13"/>
      <c r="E6488" s="13"/>
      <c r="F6488" s="13"/>
      <c r="G6488" s="13"/>
      <c r="H6488" s="13"/>
      <c r="I6488" s="10"/>
      <c r="J6488" s="11"/>
      <c r="K6488" s="6"/>
      <c r="L6488" s="13"/>
    </row>
    <row r="6489" spans="1:12" hidden="1" x14ac:dyDescent="0.25">
      <c r="A6489" s="6"/>
      <c r="B6489" s="6"/>
      <c r="C6489" s="11"/>
      <c r="D6489" s="13"/>
      <c r="E6489" s="13"/>
      <c r="F6489" s="13"/>
      <c r="G6489" s="13"/>
      <c r="H6489" s="13"/>
      <c r="I6489" s="10"/>
      <c r="J6489" s="11"/>
      <c r="K6489" s="6"/>
      <c r="L6489" s="13"/>
    </row>
    <row r="6490" spans="1:12" hidden="1" x14ac:dyDescent="0.25">
      <c r="A6490" s="6"/>
      <c r="B6490" s="6"/>
      <c r="C6490" s="11"/>
      <c r="D6490" s="13"/>
      <c r="E6490" s="13"/>
      <c r="F6490" s="13"/>
      <c r="G6490" s="13"/>
      <c r="H6490" s="13"/>
      <c r="I6490" s="10"/>
      <c r="J6490" s="11"/>
      <c r="K6490" s="6"/>
      <c r="L6490" s="13"/>
    </row>
    <row r="6491" spans="1:12" hidden="1" x14ac:dyDescent="0.25">
      <c r="A6491" s="6"/>
      <c r="B6491" s="6"/>
      <c r="C6491" s="11"/>
      <c r="D6491" s="13"/>
      <c r="E6491" s="13"/>
      <c r="F6491" s="13"/>
      <c r="G6491" s="13"/>
      <c r="H6491" s="13"/>
      <c r="I6491" s="10"/>
      <c r="J6491" s="11"/>
      <c r="K6491" s="6"/>
      <c r="L6491" s="13"/>
    </row>
    <row r="6492" spans="1:12" hidden="1" x14ac:dyDescent="0.25">
      <c r="A6492" s="6"/>
      <c r="B6492" s="6"/>
      <c r="C6492" s="11"/>
      <c r="D6492" s="13"/>
      <c r="E6492" s="13"/>
      <c r="F6492" s="13"/>
      <c r="G6492" s="13"/>
      <c r="H6492" s="13"/>
      <c r="I6492" s="10"/>
      <c r="J6492" s="11"/>
      <c r="K6492" s="6"/>
      <c r="L6492" s="13"/>
    </row>
    <row r="6493" spans="1:12" hidden="1" x14ac:dyDescent="0.25">
      <c r="A6493" s="6"/>
      <c r="B6493" s="6"/>
      <c r="C6493" s="11"/>
      <c r="D6493" s="13"/>
      <c r="E6493" s="13"/>
      <c r="F6493" s="13"/>
      <c r="G6493" s="13"/>
      <c r="H6493" s="13"/>
      <c r="I6493" s="10"/>
      <c r="J6493" s="11"/>
      <c r="K6493" s="6"/>
      <c r="L6493" s="13"/>
    </row>
    <row r="6494" spans="1:12" hidden="1" x14ac:dyDescent="0.25">
      <c r="A6494" s="6"/>
      <c r="B6494" s="6"/>
      <c r="C6494" s="11"/>
      <c r="D6494" s="13"/>
      <c r="E6494" s="13"/>
      <c r="F6494" s="13"/>
      <c r="G6494" s="13"/>
      <c r="H6494" s="13"/>
      <c r="I6494" s="10"/>
      <c r="J6494" s="11"/>
      <c r="K6494" s="6"/>
      <c r="L6494" s="13"/>
    </row>
    <row r="6495" spans="1:12" hidden="1" x14ac:dyDescent="0.25">
      <c r="A6495" s="6"/>
      <c r="B6495" s="6"/>
      <c r="C6495" s="11"/>
      <c r="D6495" s="13"/>
      <c r="E6495" s="13"/>
      <c r="F6495" s="13"/>
      <c r="G6495" s="13"/>
      <c r="H6495" s="13"/>
      <c r="I6495" s="10"/>
      <c r="J6495" s="11"/>
      <c r="K6495" s="6"/>
      <c r="L6495" s="13"/>
    </row>
    <row r="6496" spans="1:12" hidden="1" x14ac:dyDescent="0.25">
      <c r="A6496" s="6"/>
      <c r="B6496" s="6"/>
      <c r="C6496" s="11"/>
      <c r="D6496" s="13"/>
      <c r="E6496" s="13"/>
      <c r="F6496" s="13"/>
      <c r="G6496" s="13"/>
      <c r="H6496" s="13"/>
      <c r="I6496" s="10"/>
      <c r="J6496" s="11"/>
      <c r="K6496" s="6"/>
      <c r="L6496" s="13"/>
    </row>
    <row r="6497" spans="1:12" hidden="1" x14ac:dyDescent="0.25">
      <c r="A6497" s="6"/>
      <c r="B6497" s="6"/>
      <c r="C6497" s="11"/>
      <c r="D6497" s="13"/>
      <c r="E6497" s="13"/>
      <c r="F6497" s="13"/>
      <c r="G6497" s="13"/>
      <c r="H6497" s="13"/>
      <c r="I6497" s="10"/>
      <c r="J6497" s="11"/>
      <c r="K6497" s="6"/>
      <c r="L6497" s="13"/>
    </row>
    <row r="6498" spans="1:12" hidden="1" x14ac:dyDescent="0.25">
      <c r="A6498" s="6"/>
      <c r="B6498" s="6"/>
      <c r="C6498" s="11"/>
      <c r="D6498" s="13"/>
      <c r="E6498" s="13"/>
      <c r="F6498" s="13"/>
      <c r="G6498" s="13"/>
      <c r="H6498" s="13"/>
      <c r="I6498" s="10"/>
      <c r="J6498" s="11"/>
      <c r="K6498" s="6"/>
      <c r="L6498" s="13"/>
    </row>
    <row r="6499" spans="1:12" hidden="1" x14ac:dyDescent="0.25">
      <c r="A6499" s="6"/>
      <c r="B6499" s="6"/>
      <c r="C6499" s="11"/>
      <c r="D6499" s="13"/>
      <c r="E6499" s="13"/>
      <c r="F6499" s="13"/>
      <c r="G6499" s="13"/>
      <c r="H6499" s="13"/>
      <c r="I6499" s="10"/>
      <c r="J6499" s="11"/>
      <c r="K6499" s="6"/>
      <c r="L6499" s="13"/>
    </row>
    <row r="6500" spans="1:12" hidden="1" x14ac:dyDescent="0.25">
      <c r="A6500" s="6"/>
      <c r="B6500" s="6"/>
      <c r="C6500" s="11"/>
      <c r="D6500" s="13"/>
      <c r="E6500" s="13"/>
      <c r="F6500" s="13"/>
      <c r="G6500" s="13"/>
      <c r="H6500" s="13"/>
      <c r="I6500" s="10"/>
      <c r="J6500" s="11"/>
      <c r="K6500" s="6"/>
      <c r="L6500" s="13"/>
    </row>
    <row r="6501" spans="1:12" hidden="1" x14ac:dyDescent="0.25">
      <c r="A6501" s="6"/>
      <c r="B6501" s="6"/>
      <c r="C6501" s="11"/>
      <c r="D6501" s="13"/>
      <c r="E6501" s="13"/>
      <c r="F6501" s="13"/>
      <c r="G6501" s="13"/>
      <c r="H6501" s="13"/>
      <c r="I6501" s="10"/>
      <c r="J6501" s="11"/>
      <c r="K6501" s="6"/>
      <c r="L6501" s="13"/>
    </row>
    <row r="6502" spans="1:12" hidden="1" x14ac:dyDescent="0.25">
      <c r="A6502" s="6"/>
      <c r="B6502" s="6"/>
      <c r="C6502" s="11"/>
      <c r="D6502" s="13"/>
      <c r="E6502" s="13"/>
      <c r="F6502" s="13"/>
      <c r="G6502" s="13"/>
      <c r="H6502" s="13"/>
      <c r="I6502" s="10"/>
      <c r="J6502" s="11"/>
      <c r="K6502" s="6"/>
      <c r="L6502" s="13"/>
    </row>
    <row r="6503" spans="1:12" hidden="1" x14ac:dyDescent="0.25">
      <c r="A6503" s="6"/>
      <c r="B6503" s="6"/>
      <c r="C6503" s="11"/>
      <c r="D6503" s="13"/>
      <c r="E6503" s="13"/>
      <c r="F6503" s="13"/>
      <c r="G6503" s="13"/>
      <c r="H6503" s="13"/>
      <c r="I6503" s="10"/>
      <c r="J6503" s="11"/>
      <c r="K6503" s="6"/>
      <c r="L6503" s="13"/>
    </row>
    <row r="6504" spans="1:12" hidden="1" x14ac:dyDescent="0.25">
      <c r="A6504" s="6"/>
      <c r="B6504" s="6"/>
      <c r="C6504" s="11"/>
      <c r="D6504" s="13"/>
      <c r="E6504" s="13"/>
      <c r="F6504" s="13"/>
      <c r="G6504" s="13"/>
      <c r="H6504" s="13"/>
      <c r="I6504" s="10"/>
      <c r="J6504" s="11"/>
      <c r="K6504" s="6"/>
      <c r="L6504" s="13"/>
    </row>
    <row r="6505" spans="1:12" hidden="1" x14ac:dyDescent="0.25">
      <c r="A6505" s="6"/>
      <c r="B6505" s="6"/>
      <c r="C6505" s="11"/>
      <c r="D6505" s="13"/>
      <c r="E6505" s="13"/>
      <c r="F6505" s="13"/>
      <c r="G6505" s="13"/>
      <c r="H6505" s="13"/>
      <c r="I6505" s="10"/>
      <c r="J6505" s="11"/>
      <c r="K6505" s="6"/>
      <c r="L6505" s="13"/>
    </row>
    <row r="6506" spans="1:12" hidden="1" x14ac:dyDescent="0.25">
      <c r="A6506" s="6"/>
      <c r="B6506" s="6"/>
      <c r="C6506" s="11"/>
      <c r="D6506" s="13"/>
      <c r="E6506" s="13"/>
      <c r="F6506" s="13"/>
      <c r="G6506" s="13"/>
      <c r="H6506" s="13"/>
      <c r="I6506" s="10"/>
      <c r="J6506" s="11"/>
      <c r="K6506" s="6"/>
      <c r="L6506" s="13"/>
    </row>
    <row r="6507" spans="1:12" hidden="1" x14ac:dyDescent="0.25">
      <c r="A6507" s="6"/>
      <c r="B6507" s="6"/>
      <c r="C6507" s="11"/>
      <c r="D6507" s="13"/>
      <c r="E6507" s="13"/>
      <c r="F6507" s="13"/>
      <c r="G6507" s="13"/>
      <c r="H6507" s="13"/>
      <c r="I6507" s="10"/>
      <c r="J6507" s="11"/>
      <c r="K6507" s="6"/>
      <c r="L6507" s="13"/>
    </row>
    <row r="6508" spans="1:12" hidden="1" x14ac:dyDescent="0.25">
      <c r="A6508" s="6"/>
      <c r="B6508" s="6"/>
      <c r="C6508" s="11"/>
      <c r="D6508" s="13"/>
      <c r="E6508" s="13"/>
      <c r="F6508" s="13"/>
      <c r="G6508" s="13"/>
      <c r="H6508" s="13"/>
      <c r="I6508" s="10"/>
      <c r="J6508" s="11"/>
      <c r="K6508" s="6"/>
      <c r="L6508" s="13"/>
    </row>
    <row r="6509" spans="1:12" hidden="1" x14ac:dyDescent="0.25">
      <c r="A6509" s="6"/>
      <c r="B6509" s="6"/>
      <c r="C6509" s="11"/>
      <c r="D6509" s="13"/>
      <c r="E6509" s="13"/>
      <c r="F6509" s="13"/>
      <c r="G6509" s="13"/>
      <c r="H6509" s="13"/>
      <c r="I6509" s="10"/>
      <c r="J6509" s="11"/>
      <c r="K6509" s="6"/>
      <c r="L6509" s="13"/>
    </row>
    <row r="6510" spans="1:12" hidden="1" x14ac:dyDescent="0.25">
      <c r="A6510" s="6"/>
      <c r="B6510" s="6"/>
      <c r="C6510" s="11"/>
      <c r="D6510" s="13"/>
      <c r="E6510" s="13"/>
      <c r="F6510" s="13"/>
      <c r="G6510" s="13"/>
      <c r="H6510" s="13"/>
      <c r="I6510" s="10"/>
      <c r="J6510" s="11"/>
      <c r="K6510" s="6"/>
      <c r="L6510" s="13"/>
    </row>
    <row r="6511" spans="1:12" hidden="1" x14ac:dyDescent="0.25">
      <c r="A6511" s="6"/>
      <c r="B6511" s="6"/>
      <c r="C6511" s="11"/>
      <c r="D6511" s="13"/>
      <c r="E6511" s="13"/>
      <c r="F6511" s="13"/>
      <c r="G6511" s="13"/>
      <c r="H6511" s="13"/>
      <c r="I6511" s="10"/>
      <c r="J6511" s="11"/>
      <c r="K6511" s="6"/>
      <c r="L6511" s="13"/>
    </row>
    <row r="6512" spans="1:12" hidden="1" x14ac:dyDescent="0.25">
      <c r="A6512" s="6"/>
      <c r="B6512" s="6"/>
      <c r="C6512" s="11"/>
      <c r="D6512" s="13"/>
      <c r="E6512" s="13"/>
      <c r="F6512" s="13"/>
      <c r="G6512" s="13"/>
      <c r="H6512" s="13"/>
      <c r="I6512" s="10"/>
      <c r="J6512" s="11"/>
      <c r="K6512" s="6"/>
      <c r="L6512" s="13"/>
    </row>
    <row r="6513" spans="1:12" hidden="1" x14ac:dyDescent="0.25">
      <c r="A6513" s="6"/>
      <c r="B6513" s="6"/>
      <c r="C6513" s="11"/>
      <c r="D6513" s="13"/>
      <c r="E6513" s="13"/>
      <c r="F6513" s="13"/>
      <c r="G6513" s="13"/>
      <c r="H6513" s="13"/>
      <c r="I6513" s="10"/>
      <c r="J6513" s="11"/>
      <c r="K6513" s="6"/>
      <c r="L6513" s="13"/>
    </row>
    <row r="6514" spans="1:12" hidden="1" x14ac:dyDescent="0.25">
      <c r="A6514" s="6"/>
      <c r="B6514" s="6"/>
      <c r="C6514" s="11"/>
      <c r="D6514" s="13"/>
      <c r="E6514" s="13"/>
      <c r="F6514" s="13"/>
      <c r="G6514" s="13"/>
      <c r="H6514" s="13"/>
      <c r="I6514" s="10"/>
      <c r="J6514" s="11"/>
      <c r="K6514" s="6"/>
      <c r="L6514" s="13"/>
    </row>
    <row r="6515" spans="1:12" hidden="1" x14ac:dyDescent="0.25">
      <c r="A6515" s="6"/>
      <c r="B6515" s="6"/>
      <c r="C6515" s="11"/>
      <c r="D6515" s="13"/>
      <c r="E6515" s="13"/>
      <c r="F6515" s="13"/>
      <c r="G6515" s="13"/>
      <c r="H6515" s="13"/>
      <c r="I6515" s="10"/>
      <c r="J6515" s="11"/>
      <c r="K6515" s="6"/>
      <c r="L6515" s="13"/>
    </row>
    <row r="6516" spans="1:12" hidden="1" x14ac:dyDescent="0.25">
      <c r="A6516" s="6"/>
      <c r="B6516" s="6"/>
      <c r="C6516" s="11"/>
      <c r="D6516" s="13"/>
      <c r="E6516" s="13"/>
      <c r="F6516" s="13"/>
      <c r="G6516" s="13"/>
      <c r="H6516" s="13"/>
      <c r="I6516" s="10"/>
      <c r="J6516" s="11"/>
      <c r="K6516" s="6"/>
      <c r="L6516" s="13"/>
    </row>
    <row r="6517" spans="1:12" hidden="1" x14ac:dyDescent="0.25">
      <c r="A6517" s="6"/>
      <c r="B6517" s="6"/>
      <c r="C6517" s="11"/>
      <c r="D6517" s="13"/>
      <c r="E6517" s="13"/>
      <c r="F6517" s="13"/>
      <c r="G6517" s="13"/>
      <c r="H6517" s="13"/>
      <c r="I6517" s="10"/>
      <c r="J6517" s="11"/>
      <c r="K6517" s="6"/>
      <c r="L6517" s="13"/>
    </row>
    <row r="6518" spans="1:12" hidden="1" x14ac:dyDescent="0.25">
      <c r="A6518" s="6"/>
      <c r="B6518" s="6"/>
      <c r="C6518" s="11"/>
      <c r="D6518" s="13"/>
      <c r="E6518" s="13"/>
      <c r="F6518" s="13"/>
      <c r="G6518" s="13"/>
      <c r="H6518" s="13"/>
      <c r="I6518" s="10"/>
      <c r="J6518" s="11"/>
      <c r="K6518" s="6"/>
      <c r="L6518" s="13"/>
    </row>
    <row r="6519" spans="1:12" hidden="1" x14ac:dyDescent="0.25">
      <c r="A6519" s="6"/>
      <c r="B6519" s="6"/>
      <c r="C6519" s="11"/>
      <c r="D6519" s="13"/>
      <c r="E6519" s="13"/>
      <c r="F6519" s="13"/>
      <c r="G6519" s="13"/>
      <c r="H6519" s="13"/>
      <c r="I6519" s="10"/>
      <c r="J6519" s="11"/>
      <c r="K6519" s="6"/>
      <c r="L6519" s="13"/>
    </row>
    <row r="6520" spans="1:12" hidden="1" x14ac:dyDescent="0.25">
      <c r="A6520" s="6"/>
      <c r="B6520" s="6"/>
      <c r="C6520" s="11"/>
      <c r="D6520" s="13"/>
      <c r="E6520" s="13"/>
      <c r="F6520" s="13"/>
      <c r="G6520" s="13"/>
      <c r="H6520" s="13"/>
      <c r="I6520" s="10"/>
      <c r="J6520" s="11"/>
      <c r="K6520" s="6"/>
      <c r="L6520" s="13"/>
    </row>
    <row r="6521" spans="1:12" hidden="1" x14ac:dyDescent="0.25">
      <c r="A6521" s="6"/>
      <c r="B6521" s="6"/>
      <c r="C6521" s="11"/>
      <c r="D6521" s="13"/>
      <c r="E6521" s="13"/>
      <c r="F6521" s="13"/>
      <c r="G6521" s="13"/>
      <c r="H6521" s="13"/>
      <c r="I6521" s="10"/>
      <c r="J6521" s="11"/>
      <c r="K6521" s="6"/>
      <c r="L6521" s="13"/>
    </row>
    <row r="6522" spans="1:12" hidden="1" x14ac:dyDescent="0.25">
      <c r="A6522" s="6"/>
      <c r="B6522" s="6"/>
      <c r="C6522" s="11"/>
      <c r="D6522" s="13"/>
      <c r="E6522" s="13"/>
      <c r="F6522" s="13"/>
      <c r="G6522" s="13"/>
      <c r="H6522" s="13"/>
      <c r="I6522" s="10"/>
      <c r="J6522" s="11"/>
      <c r="K6522" s="6"/>
      <c r="L6522" s="13"/>
    </row>
    <row r="6523" spans="1:12" hidden="1" x14ac:dyDescent="0.25">
      <c r="A6523" s="6"/>
      <c r="B6523" s="6"/>
      <c r="C6523" s="11"/>
      <c r="D6523" s="13"/>
      <c r="E6523" s="13"/>
      <c r="F6523" s="13"/>
      <c r="G6523" s="13"/>
      <c r="H6523" s="13"/>
      <c r="I6523" s="10"/>
      <c r="J6523" s="11"/>
      <c r="K6523" s="6"/>
      <c r="L6523" s="13"/>
    </row>
    <row r="6524" spans="1:12" hidden="1" x14ac:dyDescent="0.25">
      <c r="A6524" s="6"/>
      <c r="B6524" s="6"/>
      <c r="C6524" s="11"/>
      <c r="D6524" s="13"/>
      <c r="E6524" s="13"/>
      <c r="F6524" s="13"/>
      <c r="G6524" s="13"/>
      <c r="H6524" s="13"/>
      <c r="I6524" s="10"/>
      <c r="J6524" s="11"/>
      <c r="K6524" s="6"/>
      <c r="L6524" s="13"/>
    </row>
    <row r="6525" spans="1:12" hidden="1" x14ac:dyDescent="0.25">
      <c r="A6525" s="6"/>
      <c r="B6525" s="6"/>
      <c r="C6525" s="11"/>
      <c r="D6525" s="13"/>
      <c r="E6525" s="13"/>
      <c r="F6525" s="13"/>
      <c r="G6525" s="13"/>
      <c r="H6525" s="13"/>
      <c r="I6525" s="10"/>
      <c r="J6525" s="11"/>
      <c r="K6525" s="6"/>
      <c r="L6525" s="13"/>
    </row>
    <row r="6526" spans="1:12" hidden="1" x14ac:dyDescent="0.25">
      <c r="A6526" s="6"/>
      <c r="B6526" s="6"/>
      <c r="C6526" s="11"/>
      <c r="D6526" s="13"/>
      <c r="E6526" s="13"/>
      <c r="F6526" s="13"/>
      <c r="G6526" s="13"/>
      <c r="H6526" s="13"/>
      <c r="I6526" s="10"/>
      <c r="J6526" s="11"/>
      <c r="K6526" s="6"/>
      <c r="L6526" s="13"/>
    </row>
    <row r="6527" spans="1:12" hidden="1" x14ac:dyDescent="0.25">
      <c r="A6527" s="6"/>
      <c r="B6527" s="6"/>
      <c r="C6527" s="11"/>
      <c r="D6527" s="13"/>
      <c r="E6527" s="13"/>
      <c r="F6527" s="13"/>
      <c r="G6527" s="13"/>
      <c r="H6527" s="13"/>
      <c r="I6527" s="10"/>
      <c r="J6527" s="11"/>
      <c r="K6527" s="6"/>
      <c r="L6527" s="13"/>
    </row>
    <row r="6528" spans="1:12" hidden="1" x14ac:dyDescent="0.25">
      <c r="A6528" s="6"/>
      <c r="B6528" s="6"/>
      <c r="C6528" s="11"/>
      <c r="D6528" s="13"/>
      <c r="E6528" s="13"/>
      <c r="F6528" s="13"/>
      <c r="G6528" s="13"/>
      <c r="H6528" s="13"/>
      <c r="I6528" s="10"/>
      <c r="J6528" s="11"/>
      <c r="K6528" s="6"/>
      <c r="L6528" s="13"/>
    </row>
    <row r="6529" spans="1:12" hidden="1" x14ac:dyDescent="0.25">
      <c r="A6529" s="6"/>
      <c r="B6529" s="6"/>
      <c r="C6529" s="11"/>
      <c r="D6529" s="13"/>
      <c r="E6529" s="13"/>
      <c r="F6529" s="13"/>
      <c r="G6529" s="13"/>
      <c r="H6529" s="13"/>
      <c r="I6529" s="10"/>
      <c r="J6529" s="11"/>
      <c r="K6529" s="6"/>
      <c r="L6529" s="13"/>
    </row>
    <row r="6530" spans="1:12" hidden="1" x14ac:dyDescent="0.25">
      <c r="A6530" s="6"/>
      <c r="B6530" s="6"/>
      <c r="C6530" s="11"/>
      <c r="D6530" s="13"/>
      <c r="E6530" s="13"/>
      <c r="F6530" s="13"/>
      <c r="G6530" s="13"/>
      <c r="H6530" s="13"/>
      <c r="I6530" s="10"/>
      <c r="J6530" s="11"/>
      <c r="K6530" s="6"/>
      <c r="L6530" s="13"/>
    </row>
    <row r="6531" spans="1:12" hidden="1" x14ac:dyDescent="0.25">
      <c r="A6531" s="6"/>
      <c r="B6531" s="6"/>
      <c r="C6531" s="11"/>
      <c r="D6531" s="13"/>
      <c r="E6531" s="13"/>
      <c r="F6531" s="13"/>
      <c r="G6531" s="13"/>
      <c r="H6531" s="13"/>
      <c r="I6531" s="10"/>
      <c r="J6531" s="11"/>
      <c r="K6531" s="6"/>
      <c r="L6531" s="13"/>
    </row>
    <row r="6532" spans="1:12" hidden="1" x14ac:dyDescent="0.25">
      <c r="A6532" s="6"/>
      <c r="B6532" s="6"/>
      <c r="C6532" s="11"/>
      <c r="D6532" s="13"/>
      <c r="E6532" s="13"/>
      <c r="F6532" s="13"/>
      <c r="G6532" s="13"/>
      <c r="H6532" s="13"/>
      <c r="I6532" s="10"/>
      <c r="J6532" s="11"/>
      <c r="K6532" s="6"/>
      <c r="L6532" s="13"/>
    </row>
    <row r="6533" spans="1:12" hidden="1" x14ac:dyDescent="0.25">
      <c r="A6533" s="6"/>
      <c r="B6533" s="6"/>
      <c r="C6533" s="11"/>
      <c r="D6533" s="13"/>
      <c r="E6533" s="13"/>
      <c r="F6533" s="13"/>
      <c r="G6533" s="13"/>
      <c r="H6533" s="13"/>
      <c r="I6533" s="10"/>
      <c r="J6533" s="11"/>
      <c r="K6533" s="6"/>
      <c r="L6533" s="13"/>
    </row>
    <row r="6534" spans="1:12" hidden="1" x14ac:dyDescent="0.25">
      <c r="A6534" s="6"/>
      <c r="B6534" s="6"/>
      <c r="C6534" s="11"/>
      <c r="D6534" s="13"/>
      <c r="E6534" s="13"/>
      <c r="F6534" s="13"/>
      <c r="G6534" s="13"/>
      <c r="H6534" s="13"/>
      <c r="I6534" s="10"/>
      <c r="J6534" s="11"/>
      <c r="K6534" s="6"/>
      <c r="L6534" s="13"/>
    </row>
    <row r="6535" spans="1:12" hidden="1" x14ac:dyDescent="0.25">
      <c r="A6535" s="6"/>
      <c r="B6535" s="6"/>
      <c r="C6535" s="11"/>
      <c r="D6535" s="13"/>
      <c r="E6535" s="13"/>
      <c r="F6535" s="13"/>
      <c r="G6535" s="13"/>
      <c r="H6535" s="13"/>
      <c r="I6535" s="10"/>
      <c r="J6535" s="11"/>
      <c r="K6535" s="6"/>
      <c r="L6535" s="13"/>
    </row>
    <row r="6536" spans="1:12" hidden="1" x14ac:dyDescent="0.25">
      <c r="A6536" s="6"/>
      <c r="B6536" s="6"/>
      <c r="C6536" s="11"/>
      <c r="D6536" s="13"/>
      <c r="E6536" s="13"/>
      <c r="F6536" s="13"/>
      <c r="G6536" s="13"/>
      <c r="H6536" s="13"/>
      <c r="I6536" s="10"/>
      <c r="J6536" s="11"/>
      <c r="K6536" s="6"/>
      <c r="L6536" s="13"/>
    </row>
    <row r="6537" spans="1:12" hidden="1" x14ac:dyDescent="0.25">
      <c r="A6537" s="6"/>
      <c r="B6537" s="6"/>
      <c r="C6537" s="11"/>
      <c r="D6537" s="13"/>
      <c r="E6537" s="13"/>
      <c r="F6537" s="13"/>
      <c r="G6537" s="13"/>
      <c r="H6537" s="13"/>
      <c r="I6537" s="10"/>
      <c r="J6537" s="11"/>
      <c r="K6537" s="6"/>
      <c r="L6537" s="13"/>
    </row>
    <row r="6538" spans="1:12" hidden="1" x14ac:dyDescent="0.25">
      <c r="A6538" s="6"/>
      <c r="B6538" s="6"/>
      <c r="C6538" s="11"/>
      <c r="D6538" s="13"/>
      <c r="E6538" s="13"/>
      <c r="F6538" s="13"/>
      <c r="G6538" s="13"/>
      <c r="H6538" s="13"/>
      <c r="I6538" s="10"/>
      <c r="J6538" s="11"/>
      <c r="K6538" s="6"/>
      <c r="L6538" s="13"/>
    </row>
    <row r="6539" spans="1:12" hidden="1" x14ac:dyDescent="0.25">
      <c r="A6539" s="6"/>
      <c r="B6539" s="6"/>
      <c r="C6539" s="11"/>
      <c r="D6539" s="13"/>
      <c r="E6539" s="13"/>
      <c r="F6539" s="13"/>
      <c r="G6539" s="13"/>
      <c r="H6539" s="13"/>
      <c r="I6539" s="10"/>
      <c r="J6539" s="11"/>
      <c r="K6539" s="6"/>
      <c r="L6539" s="13"/>
    </row>
    <row r="6540" spans="1:12" hidden="1" x14ac:dyDescent="0.25">
      <c r="A6540" s="6"/>
      <c r="B6540" s="6"/>
      <c r="C6540" s="11"/>
      <c r="D6540" s="13"/>
      <c r="E6540" s="13"/>
      <c r="F6540" s="13"/>
      <c r="G6540" s="13"/>
      <c r="H6540" s="13"/>
      <c r="I6540" s="10"/>
      <c r="J6540" s="11"/>
      <c r="K6540" s="6"/>
      <c r="L6540" s="13"/>
    </row>
    <row r="6541" spans="1:12" hidden="1" x14ac:dyDescent="0.25">
      <c r="A6541" s="6"/>
      <c r="B6541" s="6"/>
      <c r="C6541" s="11"/>
      <c r="D6541" s="13"/>
      <c r="E6541" s="13"/>
      <c r="F6541" s="13"/>
      <c r="G6541" s="13"/>
      <c r="H6541" s="13"/>
      <c r="I6541" s="10"/>
      <c r="J6541" s="11"/>
      <c r="K6541" s="6"/>
      <c r="L6541" s="13"/>
    </row>
    <row r="6542" spans="1:12" hidden="1" x14ac:dyDescent="0.25">
      <c r="A6542" s="6"/>
      <c r="B6542" s="6"/>
      <c r="C6542" s="11"/>
      <c r="D6542" s="13"/>
      <c r="E6542" s="13"/>
      <c r="F6542" s="13"/>
      <c r="G6542" s="13"/>
      <c r="H6542" s="13"/>
      <c r="I6542" s="10"/>
      <c r="J6542" s="11"/>
      <c r="K6542" s="6"/>
      <c r="L6542" s="13"/>
    </row>
    <row r="6543" spans="1:12" hidden="1" x14ac:dyDescent="0.25">
      <c r="A6543" s="6"/>
      <c r="B6543" s="6"/>
      <c r="C6543" s="11"/>
      <c r="D6543" s="13"/>
      <c r="E6543" s="13"/>
      <c r="F6543" s="13"/>
      <c r="G6543" s="13"/>
      <c r="H6543" s="13"/>
      <c r="I6543" s="10"/>
      <c r="J6543" s="11"/>
      <c r="K6543" s="6"/>
      <c r="L6543" s="13"/>
    </row>
    <row r="6544" spans="1:12" hidden="1" x14ac:dyDescent="0.25">
      <c r="A6544" s="6"/>
      <c r="B6544" s="6"/>
      <c r="C6544" s="11"/>
      <c r="D6544" s="13"/>
      <c r="E6544" s="13"/>
      <c r="F6544" s="13"/>
      <c r="G6544" s="13"/>
      <c r="H6544" s="13"/>
      <c r="I6544" s="10"/>
      <c r="J6544" s="11"/>
      <c r="K6544" s="6"/>
      <c r="L6544" s="13"/>
    </row>
    <row r="6545" spans="1:12" hidden="1" x14ac:dyDescent="0.25">
      <c r="A6545" s="6"/>
      <c r="B6545" s="6"/>
      <c r="C6545" s="11"/>
      <c r="D6545" s="13"/>
      <c r="E6545" s="13"/>
      <c r="F6545" s="13"/>
      <c r="G6545" s="13"/>
      <c r="H6545" s="13"/>
      <c r="I6545" s="10"/>
      <c r="J6545" s="11"/>
      <c r="K6545" s="6"/>
      <c r="L6545" s="13"/>
    </row>
    <row r="6546" spans="1:12" hidden="1" x14ac:dyDescent="0.25">
      <c r="A6546" s="6"/>
      <c r="B6546" s="6"/>
      <c r="C6546" s="11"/>
      <c r="D6546" s="13"/>
      <c r="E6546" s="13"/>
      <c r="F6546" s="13"/>
      <c r="G6546" s="13"/>
      <c r="H6546" s="13"/>
      <c r="I6546" s="10"/>
      <c r="J6546" s="11"/>
      <c r="K6546" s="6"/>
      <c r="L6546" s="13"/>
    </row>
    <row r="6547" spans="1:12" hidden="1" x14ac:dyDescent="0.25">
      <c r="A6547" s="6"/>
      <c r="B6547" s="6"/>
      <c r="C6547" s="11"/>
      <c r="D6547" s="13"/>
      <c r="E6547" s="13"/>
      <c r="F6547" s="13"/>
      <c r="G6547" s="13"/>
      <c r="H6547" s="13"/>
      <c r="I6547" s="10"/>
      <c r="J6547" s="11"/>
      <c r="K6547" s="6"/>
      <c r="L6547" s="13"/>
    </row>
    <row r="6548" spans="1:12" hidden="1" x14ac:dyDescent="0.25">
      <c r="A6548" s="6"/>
      <c r="B6548" s="6"/>
      <c r="C6548" s="11"/>
      <c r="D6548" s="13"/>
      <c r="E6548" s="13"/>
      <c r="F6548" s="13"/>
      <c r="G6548" s="13"/>
      <c r="H6548" s="13"/>
      <c r="I6548" s="10"/>
      <c r="J6548" s="11"/>
      <c r="K6548" s="6"/>
      <c r="L6548" s="13"/>
    </row>
    <row r="6549" spans="1:12" hidden="1" x14ac:dyDescent="0.25">
      <c r="A6549" s="6"/>
      <c r="B6549" s="6"/>
      <c r="C6549" s="11"/>
      <c r="D6549" s="13"/>
      <c r="E6549" s="13"/>
      <c r="F6549" s="13"/>
      <c r="G6549" s="13"/>
      <c r="H6549" s="13"/>
      <c r="I6549" s="10"/>
      <c r="J6549" s="11"/>
      <c r="K6549" s="6"/>
      <c r="L6549" s="13"/>
    </row>
    <row r="6550" spans="1:12" hidden="1" x14ac:dyDescent="0.25">
      <c r="A6550" s="6"/>
      <c r="B6550" s="6"/>
      <c r="C6550" s="11"/>
      <c r="D6550" s="13"/>
      <c r="E6550" s="13"/>
      <c r="F6550" s="13"/>
      <c r="G6550" s="13"/>
      <c r="H6550" s="13"/>
      <c r="I6550" s="10"/>
      <c r="J6550" s="11"/>
      <c r="K6550" s="6"/>
      <c r="L6550" s="13"/>
    </row>
    <row r="6551" spans="1:12" hidden="1" x14ac:dyDescent="0.25">
      <c r="A6551" s="6"/>
      <c r="B6551" s="6"/>
      <c r="C6551" s="11"/>
      <c r="D6551" s="13"/>
      <c r="E6551" s="13"/>
      <c r="F6551" s="13"/>
      <c r="G6551" s="13"/>
      <c r="H6551" s="13"/>
      <c r="I6551" s="10"/>
      <c r="J6551" s="11"/>
      <c r="K6551" s="6"/>
      <c r="L6551" s="13"/>
    </row>
    <row r="6552" spans="1:12" hidden="1" x14ac:dyDescent="0.25">
      <c r="A6552" s="6"/>
      <c r="B6552" s="6"/>
      <c r="C6552" s="11"/>
      <c r="D6552" s="13"/>
      <c r="E6552" s="13"/>
      <c r="F6552" s="13"/>
      <c r="G6552" s="13"/>
      <c r="H6552" s="13"/>
      <c r="I6552" s="10"/>
      <c r="J6552" s="11"/>
      <c r="K6552" s="6"/>
      <c r="L6552" s="13"/>
    </row>
    <row r="6553" spans="1:12" hidden="1" x14ac:dyDescent="0.25">
      <c r="A6553" s="6"/>
      <c r="B6553" s="6"/>
      <c r="C6553" s="11"/>
      <c r="D6553" s="13"/>
      <c r="E6553" s="13"/>
      <c r="F6553" s="13"/>
      <c r="G6553" s="13"/>
      <c r="H6553" s="13"/>
      <c r="I6553" s="10"/>
      <c r="J6553" s="11"/>
      <c r="K6553" s="6"/>
      <c r="L6553" s="13"/>
    </row>
    <row r="6554" spans="1:12" hidden="1" x14ac:dyDescent="0.25">
      <c r="A6554" s="6"/>
      <c r="B6554" s="6"/>
      <c r="C6554" s="11"/>
      <c r="D6554" s="13"/>
      <c r="E6554" s="13"/>
      <c r="F6554" s="13"/>
      <c r="G6554" s="13"/>
      <c r="H6554" s="13"/>
      <c r="I6554" s="10"/>
      <c r="J6554" s="11"/>
      <c r="K6554" s="6"/>
      <c r="L6554" s="13"/>
    </row>
    <row r="6555" spans="1:12" hidden="1" x14ac:dyDescent="0.25">
      <c r="A6555" s="6"/>
      <c r="B6555" s="6"/>
      <c r="C6555" s="11"/>
      <c r="D6555" s="13"/>
      <c r="E6555" s="13"/>
      <c r="F6555" s="13"/>
      <c r="G6555" s="13"/>
      <c r="H6555" s="13"/>
      <c r="I6555" s="10"/>
      <c r="J6555" s="11"/>
      <c r="K6555" s="6"/>
      <c r="L6555" s="13"/>
    </row>
    <row r="6556" spans="1:12" hidden="1" x14ac:dyDescent="0.25">
      <c r="A6556" s="6"/>
      <c r="B6556" s="6"/>
      <c r="C6556" s="11"/>
      <c r="D6556" s="13"/>
      <c r="E6556" s="13"/>
      <c r="F6556" s="13"/>
      <c r="G6556" s="13"/>
      <c r="H6556" s="13"/>
      <c r="I6556" s="10"/>
      <c r="J6556" s="11"/>
      <c r="K6556" s="6"/>
      <c r="L6556" s="13"/>
    </row>
    <row r="6557" spans="1:12" hidden="1" x14ac:dyDescent="0.25">
      <c r="A6557" s="6"/>
      <c r="B6557" s="6"/>
      <c r="C6557" s="11"/>
      <c r="D6557" s="13"/>
      <c r="E6557" s="13"/>
      <c r="F6557" s="13"/>
      <c r="G6557" s="13"/>
      <c r="H6557" s="13"/>
      <c r="I6557" s="10"/>
      <c r="J6557" s="11"/>
      <c r="K6557" s="6"/>
      <c r="L6557" s="13"/>
    </row>
    <row r="6558" spans="1:12" hidden="1" x14ac:dyDescent="0.25">
      <c r="A6558" s="6"/>
      <c r="B6558" s="6"/>
      <c r="C6558" s="11"/>
      <c r="D6558" s="13"/>
      <c r="E6558" s="13"/>
      <c r="F6558" s="13"/>
      <c r="G6558" s="13"/>
      <c r="H6558" s="13"/>
      <c r="I6558" s="10"/>
      <c r="J6558" s="11"/>
      <c r="K6558" s="6"/>
      <c r="L6558" s="13"/>
    </row>
    <row r="6559" spans="1:12" hidden="1" x14ac:dyDescent="0.25">
      <c r="A6559" s="6"/>
      <c r="B6559" s="6"/>
      <c r="C6559" s="11"/>
      <c r="D6559" s="13"/>
      <c r="E6559" s="13"/>
      <c r="F6559" s="13"/>
      <c r="G6559" s="13"/>
      <c r="H6559" s="13"/>
      <c r="I6559" s="10"/>
      <c r="J6559" s="11"/>
      <c r="K6559" s="6"/>
      <c r="L6559" s="13"/>
    </row>
    <row r="6560" spans="1:12" hidden="1" x14ac:dyDescent="0.25">
      <c r="A6560" s="6"/>
      <c r="B6560" s="6"/>
      <c r="C6560" s="11"/>
      <c r="D6560" s="13"/>
      <c r="E6560" s="13"/>
      <c r="F6560" s="13"/>
      <c r="G6560" s="13"/>
      <c r="H6560" s="13"/>
      <c r="I6560" s="10"/>
      <c r="J6560" s="11"/>
      <c r="K6560" s="6"/>
      <c r="L6560" s="13"/>
    </row>
    <row r="6561" spans="1:12" hidden="1" x14ac:dyDescent="0.25">
      <c r="A6561" s="6"/>
      <c r="B6561" s="6"/>
      <c r="C6561" s="11"/>
      <c r="D6561" s="13"/>
      <c r="E6561" s="13"/>
      <c r="F6561" s="13"/>
      <c r="G6561" s="13"/>
      <c r="H6561" s="13"/>
      <c r="I6561" s="10"/>
      <c r="J6561" s="11"/>
      <c r="K6561" s="6"/>
      <c r="L6561" s="13"/>
    </row>
    <row r="6562" spans="1:12" hidden="1" x14ac:dyDescent="0.25">
      <c r="A6562" s="6"/>
      <c r="B6562" s="6"/>
      <c r="C6562" s="11"/>
      <c r="D6562" s="13"/>
      <c r="E6562" s="13"/>
      <c r="F6562" s="13"/>
      <c r="G6562" s="13"/>
      <c r="H6562" s="13"/>
      <c r="I6562" s="10"/>
      <c r="J6562" s="11"/>
      <c r="K6562" s="6"/>
      <c r="L6562" s="13"/>
    </row>
    <row r="6563" spans="1:12" hidden="1" x14ac:dyDescent="0.25">
      <c r="A6563" s="6"/>
      <c r="B6563" s="6"/>
      <c r="C6563" s="11"/>
      <c r="D6563" s="13"/>
      <c r="E6563" s="13"/>
      <c r="F6563" s="13"/>
      <c r="G6563" s="13"/>
      <c r="H6563" s="13"/>
      <c r="I6563" s="10"/>
      <c r="J6563" s="11"/>
      <c r="K6563" s="6"/>
      <c r="L6563" s="13"/>
    </row>
    <row r="6564" spans="1:12" hidden="1" x14ac:dyDescent="0.25">
      <c r="A6564" s="6"/>
      <c r="B6564" s="6"/>
      <c r="C6564" s="11"/>
      <c r="D6564" s="13"/>
      <c r="E6564" s="13"/>
      <c r="F6564" s="13"/>
      <c r="G6564" s="13"/>
      <c r="H6564" s="13"/>
      <c r="I6564" s="10"/>
      <c r="J6564" s="11"/>
      <c r="K6564" s="6"/>
      <c r="L6564" s="13"/>
    </row>
    <row r="6565" spans="1:12" hidden="1" x14ac:dyDescent="0.25">
      <c r="A6565" s="6"/>
      <c r="B6565" s="6"/>
      <c r="C6565" s="11"/>
      <c r="D6565" s="13"/>
      <c r="E6565" s="13"/>
      <c r="F6565" s="13"/>
      <c r="G6565" s="13"/>
      <c r="H6565" s="13"/>
      <c r="I6565" s="10"/>
      <c r="J6565" s="11"/>
      <c r="K6565" s="6"/>
      <c r="L6565" s="13"/>
    </row>
    <row r="6566" spans="1:12" hidden="1" x14ac:dyDescent="0.25">
      <c r="A6566" s="6"/>
      <c r="B6566" s="6"/>
      <c r="C6566" s="11"/>
      <c r="D6566" s="13"/>
      <c r="E6566" s="13"/>
      <c r="F6566" s="13"/>
      <c r="G6566" s="13"/>
      <c r="H6566" s="13"/>
      <c r="I6566" s="10"/>
      <c r="J6566" s="11"/>
      <c r="K6566" s="6"/>
      <c r="L6566" s="13"/>
    </row>
    <row r="6567" spans="1:12" hidden="1" x14ac:dyDescent="0.25">
      <c r="A6567" s="6"/>
      <c r="B6567" s="6"/>
      <c r="C6567" s="11"/>
      <c r="D6567" s="13"/>
      <c r="E6567" s="13"/>
      <c r="F6567" s="13"/>
      <c r="G6567" s="13"/>
      <c r="H6567" s="13"/>
      <c r="I6567" s="10"/>
      <c r="J6567" s="11"/>
      <c r="K6567" s="6"/>
      <c r="L6567" s="13"/>
    </row>
    <row r="6568" spans="1:12" hidden="1" x14ac:dyDescent="0.25">
      <c r="A6568" s="6"/>
      <c r="B6568" s="6"/>
      <c r="C6568" s="11"/>
      <c r="D6568" s="13"/>
      <c r="E6568" s="13"/>
      <c r="F6568" s="13"/>
      <c r="G6568" s="13"/>
      <c r="H6568" s="13"/>
      <c r="I6568" s="10"/>
      <c r="J6568" s="11"/>
      <c r="K6568" s="6"/>
      <c r="L6568" s="13"/>
    </row>
    <row r="6569" spans="1:12" hidden="1" x14ac:dyDescent="0.25">
      <c r="A6569" s="6"/>
      <c r="B6569" s="6"/>
      <c r="C6569" s="11"/>
      <c r="D6569" s="13"/>
      <c r="E6569" s="13"/>
      <c r="F6569" s="13"/>
      <c r="G6569" s="13"/>
      <c r="H6569" s="13"/>
      <c r="I6569" s="10"/>
      <c r="J6569" s="11"/>
      <c r="K6569" s="6"/>
      <c r="L6569" s="13"/>
    </row>
    <row r="6570" spans="1:12" hidden="1" x14ac:dyDescent="0.25">
      <c r="A6570" s="6"/>
      <c r="B6570" s="6"/>
      <c r="C6570" s="11"/>
      <c r="D6570" s="13"/>
      <c r="E6570" s="13"/>
      <c r="F6570" s="13"/>
      <c r="G6570" s="13"/>
      <c r="H6570" s="13"/>
      <c r="I6570" s="10"/>
      <c r="J6570" s="11"/>
      <c r="K6570" s="6"/>
      <c r="L6570" s="13"/>
    </row>
    <row r="6571" spans="1:12" hidden="1" x14ac:dyDescent="0.25">
      <c r="A6571" s="6"/>
      <c r="B6571" s="6"/>
      <c r="C6571" s="11"/>
      <c r="D6571" s="13"/>
      <c r="E6571" s="13"/>
      <c r="F6571" s="13"/>
      <c r="G6571" s="13"/>
      <c r="H6571" s="13"/>
      <c r="I6571" s="10"/>
      <c r="J6571" s="11"/>
      <c r="K6571" s="6"/>
      <c r="L6571" s="13"/>
    </row>
    <row r="6572" spans="1:12" hidden="1" x14ac:dyDescent="0.25">
      <c r="A6572" s="6"/>
      <c r="B6572" s="6"/>
      <c r="C6572" s="11"/>
      <c r="D6572" s="13"/>
      <c r="E6572" s="13"/>
      <c r="F6572" s="13"/>
      <c r="G6572" s="13"/>
      <c r="H6572" s="13"/>
      <c r="I6572" s="10"/>
      <c r="J6572" s="11"/>
      <c r="K6572" s="6"/>
      <c r="L6572" s="13"/>
    </row>
    <row r="6573" spans="1:12" hidden="1" x14ac:dyDescent="0.25">
      <c r="A6573" s="6"/>
      <c r="B6573" s="6"/>
      <c r="C6573" s="11"/>
      <c r="D6573" s="13"/>
      <c r="E6573" s="13"/>
      <c r="F6573" s="13"/>
      <c r="G6573" s="13"/>
      <c r="H6573" s="13"/>
      <c r="I6573" s="10"/>
      <c r="J6573" s="11"/>
      <c r="K6573" s="6"/>
      <c r="L6573" s="13"/>
    </row>
    <row r="6574" spans="1:12" hidden="1" x14ac:dyDescent="0.25">
      <c r="A6574" s="6"/>
      <c r="B6574" s="6"/>
      <c r="C6574" s="11"/>
      <c r="D6574" s="13"/>
      <c r="E6574" s="13"/>
      <c r="F6574" s="13"/>
      <c r="G6574" s="13"/>
      <c r="H6574" s="13"/>
      <c r="I6574" s="10"/>
      <c r="J6574" s="11"/>
      <c r="K6574" s="6"/>
      <c r="L6574" s="13"/>
    </row>
    <row r="6575" spans="1:12" hidden="1" x14ac:dyDescent="0.25">
      <c r="A6575" s="6"/>
      <c r="B6575" s="6"/>
      <c r="C6575" s="11"/>
      <c r="D6575" s="13"/>
      <c r="E6575" s="13"/>
      <c r="F6575" s="13"/>
      <c r="G6575" s="13"/>
      <c r="H6575" s="13"/>
      <c r="I6575" s="10"/>
      <c r="J6575" s="11"/>
      <c r="K6575" s="6"/>
      <c r="L6575" s="13"/>
    </row>
    <row r="6576" spans="1:12" hidden="1" x14ac:dyDescent="0.25">
      <c r="A6576" s="6"/>
      <c r="B6576" s="6"/>
      <c r="C6576" s="11"/>
      <c r="D6576" s="13"/>
      <c r="E6576" s="13"/>
      <c r="F6576" s="13"/>
      <c r="G6576" s="13"/>
      <c r="H6576" s="13"/>
      <c r="I6576" s="10"/>
      <c r="J6576" s="11"/>
      <c r="K6576" s="6"/>
      <c r="L6576" s="13"/>
    </row>
    <row r="6577" spans="1:12" hidden="1" x14ac:dyDescent="0.25">
      <c r="A6577" s="6"/>
      <c r="B6577" s="6"/>
      <c r="C6577" s="11"/>
      <c r="D6577" s="13"/>
      <c r="E6577" s="13"/>
      <c r="F6577" s="13"/>
      <c r="G6577" s="13"/>
      <c r="H6577" s="13"/>
      <c r="I6577" s="10"/>
      <c r="J6577" s="11"/>
      <c r="K6577" s="6"/>
      <c r="L6577" s="13"/>
    </row>
    <row r="6578" spans="1:12" hidden="1" x14ac:dyDescent="0.25">
      <c r="A6578" s="6"/>
      <c r="B6578" s="6"/>
      <c r="C6578" s="11"/>
      <c r="D6578" s="13"/>
      <c r="E6578" s="13"/>
      <c r="F6578" s="13"/>
      <c r="G6578" s="13"/>
      <c r="H6578" s="13"/>
      <c r="I6578" s="10"/>
      <c r="J6578" s="11"/>
      <c r="K6578" s="6"/>
      <c r="L6578" s="13"/>
    </row>
    <row r="6579" spans="1:12" hidden="1" x14ac:dyDescent="0.25">
      <c r="A6579" s="6"/>
      <c r="B6579" s="6"/>
      <c r="C6579" s="11"/>
      <c r="D6579" s="13"/>
      <c r="E6579" s="13"/>
      <c r="F6579" s="13"/>
      <c r="G6579" s="13"/>
      <c r="H6579" s="13"/>
      <c r="I6579" s="10"/>
      <c r="J6579" s="11"/>
      <c r="K6579" s="6"/>
      <c r="L6579" s="13"/>
    </row>
    <row r="6580" spans="1:12" hidden="1" x14ac:dyDescent="0.25">
      <c r="A6580" s="6"/>
      <c r="B6580" s="6"/>
      <c r="C6580" s="11"/>
      <c r="D6580" s="13"/>
      <c r="E6580" s="13"/>
      <c r="F6580" s="13"/>
      <c r="G6580" s="13"/>
      <c r="H6580" s="13"/>
      <c r="I6580" s="10"/>
      <c r="J6580" s="11"/>
      <c r="K6580" s="6"/>
      <c r="L6580" s="13"/>
    </row>
    <row r="6581" spans="1:12" hidden="1" x14ac:dyDescent="0.25">
      <c r="A6581" s="6"/>
      <c r="B6581" s="6"/>
      <c r="C6581" s="11"/>
      <c r="D6581" s="13"/>
      <c r="E6581" s="13"/>
      <c r="F6581" s="13"/>
      <c r="G6581" s="13"/>
      <c r="H6581" s="13"/>
      <c r="I6581" s="10"/>
      <c r="J6581" s="11"/>
      <c r="K6581" s="6"/>
      <c r="L6581" s="13"/>
    </row>
    <row r="6582" spans="1:12" hidden="1" x14ac:dyDescent="0.25">
      <c r="A6582" s="6"/>
      <c r="B6582" s="6"/>
      <c r="C6582" s="11"/>
      <c r="D6582" s="13"/>
      <c r="E6582" s="13"/>
      <c r="F6582" s="13"/>
      <c r="G6582" s="13"/>
      <c r="H6582" s="13"/>
      <c r="I6582" s="10"/>
      <c r="J6582" s="11"/>
      <c r="K6582" s="6"/>
      <c r="L6582" s="13"/>
    </row>
    <row r="6583" spans="1:12" hidden="1" x14ac:dyDescent="0.25">
      <c r="A6583" s="6"/>
      <c r="B6583" s="6"/>
      <c r="C6583" s="11"/>
      <c r="D6583" s="13"/>
      <c r="E6583" s="13"/>
      <c r="F6583" s="13"/>
      <c r="G6583" s="13"/>
      <c r="H6583" s="13"/>
      <c r="I6583" s="10"/>
      <c r="J6583" s="11"/>
      <c r="K6583" s="6"/>
      <c r="L6583" s="13"/>
    </row>
    <row r="6584" spans="1:12" hidden="1" x14ac:dyDescent="0.25">
      <c r="A6584" s="6"/>
      <c r="B6584" s="6"/>
      <c r="C6584" s="11"/>
      <c r="D6584" s="13"/>
      <c r="E6584" s="13"/>
      <c r="F6584" s="13"/>
      <c r="G6584" s="13"/>
      <c r="H6584" s="13"/>
      <c r="I6584" s="10"/>
      <c r="J6584" s="11"/>
      <c r="K6584" s="6"/>
      <c r="L6584" s="13"/>
    </row>
    <row r="6585" spans="1:12" hidden="1" x14ac:dyDescent="0.25">
      <c r="A6585" s="6"/>
      <c r="B6585" s="6"/>
      <c r="C6585" s="11"/>
      <c r="D6585" s="13"/>
      <c r="E6585" s="13"/>
      <c r="F6585" s="13"/>
      <c r="G6585" s="13"/>
      <c r="H6585" s="13"/>
      <c r="I6585" s="10"/>
      <c r="J6585" s="11"/>
      <c r="K6585" s="6"/>
      <c r="L6585" s="13"/>
    </row>
    <row r="6586" spans="1:12" hidden="1" x14ac:dyDescent="0.25">
      <c r="A6586" s="6"/>
      <c r="B6586" s="6"/>
      <c r="C6586" s="11"/>
      <c r="D6586" s="13"/>
      <c r="E6586" s="13"/>
      <c r="F6586" s="13"/>
      <c r="G6586" s="13"/>
      <c r="H6586" s="13"/>
      <c r="I6586" s="10"/>
      <c r="J6586" s="11"/>
      <c r="K6586" s="6"/>
      <c r="L6586" s="13"/>
    </row>
    <row r="6587" spans="1:12" hidden="1" x14ac:dyDescent="0.25">
      <c r="A6587" s="6"/>
      <c r="B6587" s="6"/>
      <c r="C6587" s="11"/>
      <c r="D6587" s="13"/>
      <c r="E6587" s="13"/>
      <c r="F6587" s="13"/>
      <c r="G6587" s="13"/>
      <c r="H6587" s="13"/>
      <c r="I6587" s="10"/>
      <c r="J6587" s="11"/>
      <c r="K6587" s="6"/>
      <c r="L6587" s="13"/>
    </row>
    <row r="6588" spans="1:12" hidden="1" x14ac:dyDescent="0.25">
      <c r="A6588" s="6"/>
      <c r="B6588" s="6"/>
      <c r="C6588" s="11"/>
      <c r="D6588" s="13"/>
      <c r="E6588" s="13"/>
      <c r="F6588" s="13"/>
      <c r="G6588" s="13"/>
      <c r="H6588" s="13"/>
      <c r="I6588" s="10"/>
      <c r="J6588" s="11"/>
      <c r="K6588" s="6"/>
      <c r="L6588" s="13"/>
    </row>
    <row r="6589" spans="1:12" hidden="1" x14ac:dyDescent="0.25">
      <c r="A6589" s="6"/>
      <c r="B6589" s="6"/>
      <c r="C6589" s="11"/>
      <c r="D6589" s="13"/>
      <c r="E6589" s="13"/>
      <c r="F6589" s="13"/>
      <c r="G6589" s="13"/>
      <c r="H6589" s="13"/>
      <c r="I6589" s="10"/>
      <c r="J6589" s="11"/>
      <c r="K6589" s="6"/>
      <c r="L6589" s="13"/>
    </row>
    <row r="6590" spans="1:12" hidden="1" x14ac:dyDescent="0.25">
      <c r="A6590" s="6"/>
      <c r="B6590" s="6"/>
      <c r="C6590" s="11"/>
      <c r="D6590" s="13"/>
      <c r="E6590" s="13"/>
      <c r="F6590" s="13"/>
      <c r="G6590" s="13"/>
      <c r="H6590" s="13"/>
      <c r="I6590" s="10"/>
      <c r="J6590" s="11"/>
      <c r="K6590" s="6"/>
      <c r="L6590" s="13"/>
    </row>
    <row r="6591" spans="1:12" hidden="1" x14ac:dyDescent="0.25">
      <c r="A6591" s="6"/>
      <c r="B6591" s="6"/>
      <c r="C6591" s="11"/>
      <c r="D6591" s="13"/>
      <c r="E6591" s="13"/>
      <c r="F6591" s="13"/>
      <c r="G6591" s="13"/>
      <c r="H6591" s="13"/>
      <c r="I6591" s="10"/>
      <c r="J6591" s="11"/>
      <c r="K6591" s="6"/>
      <c r="L6591" s="13"/>
    </row>
    <row r="6592" spans="1:12" hidden="1" x14ac:dyDescent="0.25">
      <c r="A6592" s="6"/>
      <c r="B6592" s="6"/>
      <c r="C6592" s="11"/>
      <c r="D6592" s="13"/>
      <c r="E6592" s="13"/>
      <c r="F6592" s="13"/>
      <c r="G6592" s="13"/>
      <c r="H6592" s="13"/>
      <c r="I6592" s="10"/>
      <c r="J6592" s="11"/>
      <c r="K6592" s="6"/>
      <c r="L6592" s="13"/>
    </row>
    <row r="6593" spans="1:12" hidden="1" x14ac:dyDescent="0.25">
      <c r="A6593" s="6"/>
      <c r="B6593" s="6"/>
      <c r="C6593" s="11"/>
      <c r="D6593" s="13"/>
      <c r="E6593" s="13"/>
      <c r="F6593" s="13"/>
      <c r="G6593" s="13"/>
      <c r="H6593" s="13"/>
      <c r="I6593" s="10"/>
      <c r="J6593" s="11"/>
      <c r="K6593" s="6"/>
      <c r="L6593" s="13"/>
    </row>
    <row r="6594" spans="1:12" hidden="1" x14ac:dyDescent="0.25">
      <c r="A6594" s="6"/>
      <c r="B6594" s="6"/>
      <c r="C6594" s="11"/>
      <c r="D6594" s="13"/>
      <c r="E6594" s="13"/>
      <c r="F6594" s="13"/>
      <c r="G6594" s="13"/>
      <c r="H6594" s="13"/>
      <c r="I6594" s="10"/>
      <c r="J6594" s="11"/>
      <c r="K6594" s="6"/>
      <c r="L6594" s="13"/>
    </row>
    <row r="6595" spans="1:12" hidden="1" x14ac:dyDescent="0.25">
      <c r="A6595" s="6"/>
      <c r="B6595" s="6"/>
      <c r="C6595" s="11"/>
      <c r="D6595" s="13"/>
      <c r="E6595" s="13"/>
      <c r="F6595" s="13"/>
      <c r="G6595" s="13"/>
      <c r="H6595" s="13"/>
      <c r="I6595" s="10"/>
      <c r="J6595" s="11"/>
      <c r="K6595" s="6"/>
      <c r="L6595" s="13"/>
    </row>
    <row r="6596" spans="1:12" hidden="1" x14ac:dyDescent="0.25">
      <c r="A6596" s="6"/>
      <c r="B6596" s="6"/>
      <c r="C6596" s="11"/>
      <c r="D6596" s="13"/>
      <c r="E6596" s="13"/>
      <c r="F6596" s="13"/>
      <c r="G6596" s="13"/>
      <c r="H6596" s="13"/>
      <c r="I6596" s="10"/>
      <c r="J6596" s="11"/>
      <c r="K6596" s="6"/>
      <c r="L6596" s="13"/>
    </row>
    <row r="6597" spans="1:12" hidden="1" x14ac:dyDescent="0.25">
      <c r="A6597" s="6"/>
      <c r="B6597" s="6"/>
      <c r="C6597" s="11"/>
      <c r="D6597" s="13"/>
      <c r="E6597" s="13"/>
      <c r="F6597" s="13"/>
      <c r="G6597" s="13"/>
      <c r="H6597" s="13"/>
      <c r="I6597" s="10"/>
      <c r="J6597" s="11"/>
      <c r="K6597" s="6"/>
      <c r="L6597" s="13"/>
    </row>
    <row r="6598" spans="1:12" hidden="1" x14ac:dyDescent="0.25">
      <c r="A6598" s="6"/>
      <c r="B6598" s="6"/>
      <c r="C6598" s="11"/>
      <c r="D6598" s="13"/>
      <c r="E6598" s="13"/>
      <c r="F6598" s="13"/>
      <c r="G6598" s="13"/>
      <c r="H6598" s="13"/>
      <c r="I6598" s="10"/>
      <c r="J6598" s="11"/>
      <c r="K6598" s="6"/>
      <c r="L6598" s="13"/>
    </row>
    <row r="6599" spans="1:12" hidden="1" x14ac:dyDescent="0.25">
      <c r="A6599" s="6"/>
      <c r="B6599" s="6"/>
      <c r="C6599" s="11"/>
      <c r="D6599" s="13"/>
      <c r="E6599" s="13"/>
      <c r="F6599" s="13"/>
      <c r="G6599" s="13"/>
      <c r="H6599" s="13"/>
      <c r="I6599" s="10"/>
      <c r="J6599" s="11"/>
      <c r="K6599" s="6"/>
      <c r="L6599" s="13"/>
    </row>
    <row r="6600" spans="1:12" hidden="1" x14ac:dyDescent="0.25">
      <c r="A6600" s="6"/>
      <c r="B6600" s="6"/>
      <c r="C6600" s="11"/>
      <c r="D6600" s="13"/>
      <c r="E6600" s="13"/>
      <c r="F6600" s="13"/>
      <c r="G6600" s="13"/>
      <c r="H6600" s="13"/>
      <c r="I6600" s="10"/>
      <c r="J6600" s="11"/>
      <c r="K6600" s="6"/>
      <c r="L6600" s="13"/>
    </row>
    <row r="6601" spans="1:12" hidden="1" x14ac:dyDescent="0.25">
      <c r="A6601" s="6"/>
      <c r="B6601" s="6"/>
      <c r="C6601" s="11"/>
      <c r="D6601" s="13"/>
      <c r="E6601" s="13"/>
      <c r="F6601" s="13"/>
      <c r="G6601" s="13"/>
      <c r="H6601" s="13"/>
      <c r="I6601" s="10"/>
      <c r="J6601" s="11"/>
      <c r="K6601" s="6"/>
      <c r="L6601" s="13"/>
    </row>
    <row r="6602" spans="1:12" hidden="1" x14ac:dyDescent="0.25">
      <c r="A6602" s="6"/>
      <c r="B6602" s="6"/>
      <c r="C6602" s="11"/>
      <c r="D6602" s="13"/>
      <c r="E6602" s="13"/>
      <c r="F6602" s="13"/>
      <c r="G6602" s="13"/>
      <c r="H6602" s="13"/>
      <c r="I6602" s="10"/>
      <c r="J6602" s="11"/>
      <c r="K6602" s="6"/>
      <c r="L6602" s="13"/>
    </row>
    <row r="6603" spans="1:12" hidden="1" x14ac:dyDescent="0.25">
      <c r="A6603" s="6"/>
      <c r="B6603" s="6"/>
      <c r="C6603" s="11"/>
      <c r="D6603" s="13"/>
      <c r="E6603" s="13"/>
      <c r="F6603" s="13"/>
      <c r="G6603" s="13"/>
      <c r="H6603" s="13"/>
      <c r="I6603" s="10"/>
      <c r="J6603" s="11"/>
      <c r="K6603" s="6"/>
      <c r="L6603" s="13"/>
    </row>
    <row r="6604" spans="1:12" hidden="1" x14ac:dyDescent="0.25">
      <c r="A6604" s="6"/>
      <c r="B6604" s="6"/>
      <c r="C6604" s="11"/>
      <c r="D6604" s="13"/>
      <c r="E6604" s="13"/>
      <c r="F6604" s="13"/>
      <c r="G6604" s="13"/>
      <c r="H6604" s="13"/>
      <c r="I6604" s="10"/>
      <c r="J6604" s="11"/>
      <c r="K6604" s="6"/>
      <c r="L6604" s="13"/>
    </row>
    <row r="6605" spans="1:12" hidden="1" x14ac:dyDescent="0.25">
      <c r="A6605" s="6"/>
      <c r="B6605" s="6"/>
      <c r="C6605" s="11"/>
      <c r="D6605" s="13"/>
      <c r="E6605" s="13"/>
      <c r="F6605" s="13"/>
      <c r="G6605" s="13"/>
      <c r="H6605" s="13"/>
      <c r="I6605" s="10"/>
      <c r="J6605" s="11"/>
      <c r="K6605" s="6"/>
      <c r="L6605" s="13"/>
    </row>
    <row r="6606" spans="1:12" hidden="1" x14ac:dyDescent="0.25">
      <c r="A6606" s="6"/>
      <c r="B6606" s="6"/>
      <c r="C6606" s="11"/>
      <c r="D6606" s="13"/>
      <c r="E6606" s="13"/>
      <c r="F6606" s="13"/>
      <c r="G6606" s="13"/>
      <c r="H6606" s="13"/>
      <c r="I6606" s="10"/>
      <c r="J6606" s="11"/>
      <c r="K6606" s="6"/>
      <c r="L6606" s="13"/>
    </row>
    <row r="6607" spans="1:12" hidden="1" x14ac:dyDescent="0.25">
      <c r="A6607" s="6"/>
      <c r="B6607" s="6"/>
      <c r="C6607" s="11"/>
      <c r="D6607" s="13"/>
      <c r="E6607" s="13"/>
      <c r="F6607" s="13"/>
      <c r="G6607" s="13"/>
      <c r="H6607" s="13"/>
      <c r="I6607" s="10"/>
      <c r="J6607" s="11"/>
      <c r="K6607" s="6"/>
      <c r="L6607" s="13"/>
    </row>
    <row r="6608" spans="1:12" hidden="1" x14ac:dyDescent="0.25">
      <c r="A6608" s="6"/>
      <c r="B6608" s="6"/>
      <c r="C6608" s="11"/>
      <c r="D6608" s="13"/>
      <c r="E6608" s="13"/>
      <c r="F6608" s="13"/>
      <c r="G6608" s="13"/>
      <c r="H6608" s="13"/>
      <c r="I6608" s="10"/>
      <c r="J6608" s="11"/>
      <c r="K6608" s="6"/>
      <c r="L6608" s="13"/>
    </row>
    <row r="6609" spans="1:12" hidden="1" x14ac:dyDescent="0.25">
      <c r="A6609" s="6"/>
      <c r="B6609" s="6"/>
      <c r="C6609" s="11"/>
      <c r="D6609" s="13"/>
      <c r="E6609" s="13"/>
      <c r="F6609" s="13"/>
      <c r="G6609" s="13"/>
      <c r="H6609" s="13"/>
      <c r="I6609" s="10"/>
      <c r="J6609" s="11"/>
      <c r="K6609" s="6"/>
      <c r="L6609" s="13"/>
    </row>
    <row r="6610" spans="1:12" hidden="1" x14ac:dyDescent="0.25">
      <c r="A6610" s="6"/>
      <c r="B6610" s="6"/>
      <c r="C6610" s="11"/>
      <c r="D6610" s="13"/>
      <c r="E6610" s="13"/>
      <c r="F6610" s="13"/>
      <c r="G6610" s="13"/>
      <c r="H6610" s="13"/>
      <c r="I6610" s="10"/>
      <c r="J6610" s="11"/>
      <c r="K6610" s="6"/>
      <c r="L6610" s="13"/>
    </row>
    <row r="6611" spans="1:12" hidden="1" x14ac:dyDescent="0.25">
      <c r="A6611" s="6"/>
      <c r="B6611" s="6"/>
      <c r="C6611" s="11"/>
      <c r="D6611" s="13"/>
      <c r="E6611" s="13"/>
      <c r="F6611" s="13"/>
      <c r="G6611" s="13"/>
      <c r="H6611" s="13"/>
      <c r="I6611" s="10"/>
      <c r="J6611" s="11"/>
      <c r="K6611" s="6"/>
      <c r="L6611" s="13"/>
    </row>
    <row r="6612" spans="1:12" hidden="1" x14ac:dyDescent="0.25">
      <c r="A6612" s="6"/>
      <c r="B6612" s="6"/>
      <c r="C6612" s="11"/>
      <c r="D6612" s="13"/>
      <c r="E6612" s="13"/>
      <c r="F6612" s="13"/>
      <c r="G6612" s="13"/>
      <c r="H6612" s="13"/>
      <c r="I6612" s="10"/>
      <c r="J6612" s="11"/>
      <c r="K6612" s="6"/>
      <c r="L6612" s="114"/>
    </row>
    <row r="6613" spans="1:12" hidden="1" x14ac:dyDescent="0.25">
      <c r="A6613" s="6"/>
      <c r="B6613" s="6"/>
      <c r="C6613" s="11"/>
      <c r="D6613" s="13"/>
      <c r="E6613" s="13"/>
      <c r="F6613" s="13"/>
      <c r="G6613" s="13"/>
      <c r="H6613" s="13"/>
      <c r="I6613" s="10"/>
      <c r="J6613" s="11"/>
      <c r="K6613" s="6"/>
      <c r="L6613" s="13"/>
    </row>
    <row r="6614" spans="1:12" hidden="1" x14ac:dyDescent="0.25">
      <c r="A6614" s="6"/>
      <c r="B6614" s="6"/>
      <c r="C6614" s="11"/>
      <c r="D6614" s="13"/>
      <c r="E6614" s="13"/>
      <c r="F6614" s="13"/>
      <c r="G6614" s="13"/>
      <c r="H6614" s="13"/>
      <c r="I6614" s="10"/>
      <c r="J6614" s="11"/>
      <c r="K6614" s="6"/>
      <c r="L6614" s="13"/>
    </row>
    <row r="6615" spans="1:12" hidden="1" x14ac:dyDescent="0.25">
      <c r="A6615" s="6"/>
      <c r="B6615" s="6"/>
      <c r="C6615" s="11"/>
      <c r="D6615" s="13"/>
      <c r="E6615" s="13"/>
      <c r="F6615" s="13"/>
      <c r="G6615" s="13"/>
      <c r="H6615" s="13"/>
      <c r="I6615" s="10"/>
      <c r="J6615" s="11"/>
      <c r="K6615" s="6"/>
      <c r="L6615" s="13"/>
    </row>
    <row r="6616" spans="1:12" hidden="1" x14ac:dyDescent="0.25">
      <c r="A6616" s="6"/>
      <c r="B6616" s="6"/>
      <c r="C6616" s="11"/>
      <c r="D6616" s="13"/>
      <c r="E6616" s="13"/>
      <c r="F6616" s="13"/>
      <c r="G6616" s="13"/>
      <c r="H6616" s="13"/>
      <c r="I6616" s="10"/>
      <c r="J6616" s="11"/>
      <c r="K6616" s="6"/>
      <c r="L6616" s="13"/>
    </row>
    <row r="6617" spans="1:12" hidden="1" x14ac:dyDescent="0.25">
      <c r="A6617" s="6"/>
      <c r="B6617" s="6"/>
      <c r="C6617" s="11"/>
      <c r="D6617" s="13"/>
      <c r="E6617" s="13"/>
      <c r="F6617" s="13"/>
      <c r="G6617" s="13"/>
      <c r="H6617" s="13"/>
      <c r="I6617" s="10"/>
      <c r="J6617" s="11"/>
      <c r="K6617" s="6"/>
      <c r="L6617" s="13"/>
    </row>
    <row r="6618" spans="1:12" hidden="1" x14ac:dyDescent="0.25">
      <c r="A6618" s="6"/>
      <c r="B6618" s="6"/>
      <c r="C6618" s="11"/>
      <c r="D6618" s="13"/>
      <c r="E6618" s="13"/>
      <c r="F6618" s="13"/>
      <c r="G6618" s="13"/>
      <c r="H6618" s="13"/>
      <c r="I6618" s="10"/>
      <c r="J6618" s="11"/>
      <c r="K6618" s="6"/>
      <c r="L6618" s="13"/>
    </row>
    <row r="6619" spans="1:12" hidden="1" x14ac:dyDescent="0.25">
      <c r="A6619" s="6"/>
      <c r="B6619" s="6"/>
      <c r="C6619" s="11"/>
      <c r="D6619" s="13"/>
      <c r="E6619" s="13"/>
      <c r="F6619" s="13"/>
      <c r="G6619" s="13"/>
      <c r="H6619" s="13"/>
      <c r="I6619" s="10"/>
      <c r="J6619" s="11"/>
      <c r="K6619" s="6"/>
      <c r="L6619" s="13"/>
    </row>
    <row r="6620" spans="1:12" hidden="1" x14ac:dyDescent="0.25">
      <c r="A6620" s="6"/>
      <c r="B6620" s="6"/>
      <c r="C6620" s="11"/>
      <c r="D6620" s="13"/>
      <c r="E6620" s="13"/>
      <c r="F6620" s="13"/>
      <c r="G6620" s="13"/>
      <c r="H6620" s="13"/>
      <c r="I6620" s="10"/>
      <c r="J6620" s="11"/>
      <c r="K6620" s="6"/>
      <c r="L6620" s="13"/>
    </row>
    <row r="6621" spans="1:12" hidden="1" x14ac:dyDescent="0.25">
      <c r="A6621" s="6"/>
      <c r="B6621" s="6"/>
      <c r="C6621" s="11"/>
      <c r="D6621" s="13"/>
      <c r="E6621" s="13"/>
      <c r="F6621" s="13"/>
      <c r="G6621" s="13"/>
      <c r="H6621" s="13"/>
      <c r="I6621" s="10"/>
      <c r="J6621" s="11"/>
      <c r="K6621" s="6"/>
      <c r="L6621" s="13"/>
    </row>
    <row r="6622" spans="1:12" hidden="1" x14ac:dyDescent="0.25">
      <c r="A6622" s="6"/>
      <c r="B6622" s="6"/>
      <c r="C6622" s="11"/>
      <c r="D6622" s="13"/>
      <c r="E6622" s="13"/>
      <c r="F6622" s="13"/>
      <c r="G6622" s="13"/>
      <c r="H6622" s="13"/>
      <c r="I6622" s="10"/>
      <c r="J6622" s="11"/>
      <c r="K6622" s="6"/>
      <c r="L6622" s="13"/>
    </row>
    <row r="6623" spans="1:12" hidden="1" x14ac:dyDescent="0.25">
      <c r="A6623" s="6"/>
      <c r="B6623" s="6"/>
      <c r="C6623" s="11"/>
      <c r="D6623" s="13"/>
      <c r="E6623" s="13"/>
      <c r="F6623" s="13"/>
      <c r="G6623" s="13"/>
      <c r="H6623" s="13"/>
      <c r="I6623" s="10"/>
      <c r="J6623" s="11"/>
      <c r="K6623" s="6"/>
      <c r="L6623" s="13"/>
    </row>
    <row r="6624" spans="1:12" hidden="1" x14ac:dyDescent="0.25">
      <c r="A6624" s="6"/>
      <c r="B6624" s="6"/>
      <c r="C6624" s="11"/>
      <c r="D6624" s="13"/>
      <c r="E6624" s="13"/>
      <c r="F6624" s="13"/>
      <c r="G6624" s="13"/>
      <c r="H6624" s="13"/>
      <c r="I6624" s="10"/>
      <c r="J6624" s="11"/>
      <c r="K6624" s="6"/>
      <c r="L6624" s="13"/>
    </row>
    <row r="6625" spans="1:12" hidden="1" x14ac:dyDescent="0.25">
      <c r="A6625" s="6"/>
      <c r="B6625" s="6"/>
      <c r="C6625" s="11"/>
      <c r="D6625" s="13"/>
      <c r="E6625" s="13"/>
      <c r="F6625" s="13"/>
      <c r="G6625" s="13"/>
      <c r="H6625" s="13"/>
      <c r="I6625" s="10"/>
      <c r="J6625" s="11"/>
      <c r="K6625" s="6"/>
      <c r="L6625" s="13"/>
    </row>
    <row r="6626" spans="1:12" hidden="1" x14ac:dyDescent="0.25">
      <c r="A6626" s="6"/>
      <c r="B6626" s="6"/>
      <c r="C6626" s="11"/>
      <c r="D6626" s="13"/>
      <c r="E6626" s="13"/>
      <c r="F6626" s="13"/>
      <c r="G6626" s="13"/>
      <c r="H6626" s="13"/>
      <c r="I6626" s="10"/>
      <c r="J6626" s="11"/>
      <c r="K6626" s="6"/>
      <c r="L6626" s="13"/>
    </row>
    <row r="6627" spans="1:12" hidden="1" x14ac:dyDescent="0.25">
      <c r="A6627" s="6"/>
      <c r="B6627" s="6"/>
      <c r="C6627" s="11"/>
      <c r="D6627" s="13"/>
      <c r="E6627" s="13"/>
      <c r="F6627" s="13"/>
      <c r="G6627" s="13"/>
      <c r="H6627" s="13"/>
      <c r="I6627" s="10"/>
      <c r="J6627" s="11"/>
      <c r="K6627" s="6"/>
      <c r="L6627" s="13"/>
    </row>
    <row r="6628" spans="1:12" hidden="1" x14ac:dyDescent="0.25">
      <c r="A6628" s="6"/>
      <c r="B6628" s="6"/>
      <c r="C6628" s="11"/>
      <c r="D6628" s="13"/>
      <c r="E6628" s="13"/>
      <c r="F6628" s="13"/>
      <c r="G6628" s="13"/>
      <c r="H6628" s="13"/>
      <c r="I6628" s="10"/>
      <c r="J6628" s="11"/>
      <c r="K6628" s="6"/>
      <c r="L6628" s="13"/>
    </row>
    <row r="6629" spans="1:12" hidden="1" x14ac:dyDescent="0.25">
      <c r="A6629" s="6"/>
      <c r="B6629" s="6"/>
      <c r="C6629" s="11"/>
      <c r="D6629" s="13"/>
      <c r="E6629" s="13"/>
      <c r="F6629" s="13"/>
      <c r="G6629" s="13"/>
      <c r="H6629" s="13"/>
      <c r="I6629" s="10"/>
      <c r="J6629" s="11"/>
      <c r="K6629" s="6"/>
      <c r="L6629" s="13"/>
    </row>
    <row r="6630" spans="1:12" hidden="1" x14ac:dyDescent="0.25">
      <c r="A6630" s="6"/>
      <c r="B6630" s="6"/>
      <c r="C6630" s="11"/>
      <c r="D6630" s="13"/>
      <c r="E6630" s="13"/>
      <c r="F6630" s="13"/>
      <c r="G6630" s="13"/>
      <c r="H6630" s="13"/>
      <c r="I6630" s="10"/>
      <c r="J6630" s="11"/>
      <c r="K6630" s="6"/>
      <c r="L6630" s="13"/>
    </row>
    <row r="6631" spans="1:12" hidden="1" x14ac:dyDescent="0.25">
      <c r="A6631" s="6"/>
      <c r="B6631" s="6"/>
      <c r="C6631" s="11"/>
      <c r="D6631" s="13"/>
      <c r="E6631" s="13"/>
      <c r="F6631" s="13"/>
      <c r="G6631" s="13"/>
      <c r="H6631" s="13"/>
      <c r="I6631" s="10"/>
      <c r="J6631" s="11"/>
      <c r="K6631" s="6"/>
      <c r="L6631" s="13"/>
    </row>
    <row r="6632" spans="1:12" hidden="1" x14ac:dyDescent="0.25">
      <c r="A6632" s="6"/>
      <c r="B6632" s="6"/>
      <c r="C6632" s="11"/>
      <c r="D6632" s="13"/>
      <c r="E6632" s="13"/>
      <c r="F6632" s="13"/>
      <c r="G6632" s="13"/>
      <c r="H6632" s="13"/>
      <c r="I6632" s="10"/>
      <c r="J6632" s="11"/>
      <c r="K6632" s="6"/>
      <c r="L6632" s="13"/>
    </row>
    <row r="6633" spans="1:12" hidden="1" x14ac:dyDescent="0.25">
      <c r="A6633" s="6"/>
      <c r="B6633" s="6"/>
      <c r="C6633" s="11"/>
      <c r="D6633" s="13"/>
      <c r="E6633" s="13"/>
      <c r="F6633" s="13"/>
      <c r="G6633" s="13"/>
      <c r="H6633" s="13"/>
      <c r="I6633" s="10"/>
      <c r="J6633" s="11"/>
      <c r="K6633" s="6"/>
      <c r="L6633" s="13"/>
    </row>
    <row r="6634" spans="1:12" hidden="1" x14ac:dyDescent="0.25">
      <c r="A6634" s="6"/>
      <c r="B6634" s="6"/>
      <c r="C6634" s="11"/>
      <c r="D6634" s="13"/>
      <c r="E6634" s="13"/>
      <c r="F6634" s="13"/>
      <c r="G6634" s="13"/>
      <c r="H6634" s="13"/>
      <c r="I6634" s="10"/>
      <c r="J6634" s="11"/>
      <c r="K6634" s="6"/>
      <c r="L6634" s="13"/>
    </row>
    <row r="6635" spans="1:12" hidden="1" x14ac:dyDescent="0.25">
      <c r="A6635" s="6"/>
      <c r="B6635" s="6"/>
      <c r="C6635" s="11"/>
      <c r="D6635" s="13"/>
      <c r="E6635" s="13"/>
      <c r="F6635" s="13"/>
      <c r="G6635" s="13"/>
      <c r="H6635" s="13"/>
      <c r="I6635" s="10"/>
      <c r="J6635" s="11"/>
      <c r="K6635" s="6"/>
      <c r="L6635" s="13"/>
    </row>
    <row r="6636" spans="1:12" hidden="1" x14ac:dyDescent="0.25">
      <c r="A6636" s="6"/>
      <c r="B6636" s="6"/>
      <c r="C6636" s="11"/>
      <c r="D6636" s="13"/>
      <c r="E6636" s="13"/>
      <c r="F6636" s="13"/>
      <c r="G6636" s="13"/>
      <c r="H6636" s="13"/>
      <c r="I6636" s="10"/>
      <c r="J6636" s="11"/>
      <c r="K6636" s="6"/>
      <c r="L6636" s="13"/>
    </row>
    <row r="6637" spans="1:12" hidden="1" x14ac:dyDescent="0.25">
      <c r="A6637" s="6"/>
      <c r="B6637" s="6"/>
      <c r="C6637" s="11"/>
      <c r="D6637" s="13"/>
      <c r="E6637" s="13"/>
      <c r="F6637" s="13"/>
      <c r="G6637" s="13"/>
      <c r="H6637" s="13"/>
      <c r="I6637" s="10"/>
      <c r="J6637" s="11"/>
      <c r="K6637" s="6"/>
      <c r="L6637" s="13"/>
    </row>
    <row r="6638" spans="1:12" hidden="1" x14ac:dyDescent="0.25">
      <c r="A6638" s="125"/>
      <c r="B6638" s="125"/>
      <c r="C6638" s="126"/>
      <c r="D6638" s="127"/>
      <c r="E6638" s="127"/>
      <c r="F6638" s="127"/>
      <c r="G6638" s="127"/>
      <c r="H6638" s="127"/>
      <c r="I6638" s="128"/>
      <c r="J6638" s="126"/>
      <c r="K6638" s="125"/>
      <c r="L6638" s="13"/>
    </row>
    <row r="6639" spans="1:12" hidden="1" x14ac:dyDescent="0.25">
      <c r="A6639" s="125"/>
      <c r="B6639" s="125"/>
      <c r="C6639" s="126"/>
      <c r="D6639" s="127"/>
      <c r="E6639" s="127"/>
      <c r="F6639" s="127"/>
      <c r="G6639" s="127"/>
      <c r="H6639" s="127"/>
      <c r="I6639" s="128"/>
      <c r="J6639" s="126"/>
      <c r="K6639" s="125"/>
      <c r="L6639" s="13"/>
    </row>
    <row r="6640" spans="1:12" hidden="1" x14ac:dyDescent="0.25">
      <c r="A6640" s="125"/>
      <c r="B6640" s="125"/>
      <c r="C6640" s="126"/>
      <c r="D6640" s="127"/>
      <c r="E6640" s="127"/>
      <c r="F6640" s="127"/>
      <c r="G6640" s="127"/>
      <c r="H6640" s="127"/>
      <c r="I6640" s="128"/>
      <c r="J6640" s="126"/>
      <c r="K6640" s="125"/>
      <c r="L6640" s="13"/>
    </row>
    <row r="6641" spans="1:12" hidden="1" x14ac:dyDescent="0.25">
      <c r="A6641" s="125"/>
      <c r="B6641" s="125"/>
      <c r="C6641" s="126"/>
      <c r="D6641" s="127"/>
      <c r="E6641" s="127"/>
      <c r="F6641" s="127"/>
      <c r="G6641" s="127"/>
      <c r="H6641" s="127"/>
      <c r="I6641" s="128"/>
      <c r="J6641" s="126"/>
      <c r="K6641" s="125"/>
      <c r="L6641" s="13"/>
    </row>
    <row r="6642" spans="1:12" hidden="1" x14ac:dyDescent="0.25">
      <c r="A6642" s="125"/>
      <c r="B6642" s="125"/>
      <c r="C6642" s="126"/>
      <c r="D6642" s="127"/>
      <c r="E6642" s="127"/>
      <c r="F6642" s="127"/>
      <c r="G6642" s="127"/>
      <c r="H6642" s="127"/>
      <c r="I6642" s="128"/>
      <c r="J6642" s="126"/>
      <c r="K6642" s="125"/>
      <c r="L6642" s="13"/>
    </row>
    <row r="6643" spans="1:12" hidden="1" x14ac:dyDescent="0.25">
      <c r="A6643" s="125"/>
      <c r="B6643" s="125"/>
      <c r="C6643" s="126"/>
      <c r="D6643" s="127"/>
      <c r="E6643" s="127"/>
      <c r="F6643" s="127"/>
      <c r="G6643" s="127"/>
      <c r="H6643" s="127"/>
      <c r="I6643" s="128"/>
      <c r="J6643" s="126"/>
      <c r="K6643" s="125"/>
      <c r="L6643" s="13"/>
    </row>
    <row r="6644" spans="1:12" hidden="1" x14ac:dyDescent="0.25">
      <c r="A6644" s="125"/>
      <c r="B6644" s="125"/>
      <c r="C6644" s="126"/>
      <c r="D6644" s="127"/>
      <c r="E6644" s="127"/>
      <c r="F6644" s="127"/>
      <c r="G6644" s="127"/>
      <c r="H6644" s="127"/>
      <c r="I6644" s="128"/>
      <c r="J6644" s="126"/>
      <c r="K6644" s="125"/>
      <c r="L6644" s="13"/>
    </row>
    <row r="6645" spans="1:12" hidden="1" x14ac:dyDescent="0.25">
      <c r="A6645" s="125"/>
      <c r="B6645" s="125"/>
      <c r="C6645" s="126"/>
      <c r="D6645" s="127"/>
      <c r="E6645" s="127"/>
      <c r="F6645" s="127"/>
      <c r="G6645" s="127"/>
      <c r="H6645" s="127"/>
      <c r="I6645" s="128"/>
      <c r="J6645" s="126"/>
      <c r="K6645" s="125"/>
      <c r="L6645" s="13"/>
    </row>
    <row r="6646" spans="1:12" hidden="1" x14ac:dyDescent="0.25">
      <c r="A6646" s="125"/>
      <c r="B6646" s="125"/>
      <c r="C6646" s="126"/>
      <c r="D6646" s="127"/>
      <c r="E6646" s="127"/>
      <c r="F6646" s="127"/>
      <c r="G6646" s="127"/>
      <c r="H6646" s="127"/>
      <c r="I6646" s="128"/>
      <c r="J6646" s="126"/>
      <c r="K6646" s="125"/>
      <c r="L6646" s="13"/>
    </row>
    <row r="6647" spans="1:12" hidden="1" x14ac:dyDescent="0.25">
      <c r="A6647" s="125"/>
      <c r="B6647" s="125"/>
      <c r="C6647" s="126"/>
      <c r="D6647" s="127"/>
      <c r="E6647" s="127"/>
      <c r="F6647" s="127"/>
      <c r="G6647" s="127"/>
      <c r="H6647" s="127"/>
      <c r="I6647" s="128"/>
      <c r="J6647" s="126"/>
      <c r="K6647" s="125"/>
      <c r="L6647" s="13"/>
    </row>
    <row r="6648" spans="1:12" hidden="1" x14ac:dyDescent="0.25">
      <c r="A6648" s="125"/>
      <c r="B6648" s="125"/>
      <c r="C6648" s="126"/>
      <c r="D6648" s="127"/>
      <c r="E6648" s="127"/>
      <c r="F6648" s="127"/>
      <c r="G6648" s="127"/>
      <c r="H6648" s="127"/>
      <c r="I6648" s="128"/>
      <c r="J6648" s="126"/>
      <c r="K6648" s="125"/>
      <c r="L6648" s="13"/>
    </row>
    <row r="6649" spans="1:12" hidden="1" x14ac:dyDescent="0.25">
      <c r="A6649" s="125"/>
      <c r="B6649" s="125"/>
      <c r="C6649" s="126"/>
      <c r="D6649" s="127"/>
      <c r="E6649" s="127"/>
      <c r="F6649" s="127"/>
      <c r="G6649" s="127"/>
      <c r="H6649" s="127"/>
      <c r="I6649" s="128"/>
      <c r="J6649" s="126"/>
      <c r="K6649" s="125"/>
      <c r="L6649" s="13"/>
    </row>
    <row r="6650" spans="1:12" hidden="1" x14ac:dyDescent="0.25">
      <c r="A6650" s="125"/>
      <c r="B6650" s="125"/>
      <c r="C6650" s="126"/>
      <c r="D6650" s="127"/>
      <c r="E6650" s="127"/>
      <c r="F6650" s="127"/>
      <c r="G6650" s="127"/>
      <c r="H6650" s="127"/>
      <c r="I6650" s="128"/>
      <c r="J6650" s="126"/>
      <c r="K6650" s="125"/>
      <c r="L6650" s="13"/>
    </row>
    <row r="6651" spans="1:12" hidden="1" x14ac:dyDescent="0.25">
      <c r="A6651" s="125"/>
      <c r="B6651" s="125"/>
      <c r="C6651" s="126"/>
      <c r="D6651" s="127"/>
      <c r="E6651" s="127"/>
      <c r="F6651" s="127"/>
      <c r="G6651" s="127"/>
      <c r="H6651" s="127"/>
      <c r="I6651" s="128"/>
      <c r="J6651" s="126"/>
      <c r="K6651" s="125"/>
      <c r="L6651" s="13"/>
    </row>
    <row r="6652" spans="1:12" hidden="1" x14ac:dyDescent="0.25">
      <c r="A6652" s="125"/>
      <c r="B6652" s="125"/>
      <c r="C6652" s="126"/>
      <c r="D6652" s="127"/>
      <c r="E6652" s="127"/>
      <c r="F6652" s="127"/>
      <c r="G6652" s="127"/>
      <c r="H6652" s="127"/>
      <c r="I6652" s="128"/>
      <c r="J6652" s="126"/>
      <c r="K6652" s="125"/>
      <c r="L6652" s="13"/>
    </row>
    <row r="6653" spans="1:12" hidden="1" x14ac:dyDescent="0.25">
      <c r="A6653" s="125"/>
      <c r="B6653" s="125"/>
      <c r="C6653" s="126"/>
      <c r="D6653" s="127"/>
      <c r="E6653" s="127"/>
      <c r="F6653" s="127"/>
      <c r="G6653" s="127"/>
      <c r="H6653" s="127"/>
      <c r="I6653" s="128"/>
      <c r="J6653" s="126"/>
      <c r="K6653" s="125"/>
      <c r="L6653" s="13"/>
    </row>
    <row r="6654" spans="1:12" hidden="1" x14ac:dyDescent="0.25">
      <c r="A6654" s="125"/>
      <c r="B6654" s="125"/>
      <c r="C6654" s="126"/>
      <c r="D6654" s="127"/>
      <c r="E6654" s="127"/>
      <c r="F6654" s="127"/>
      <c r="G6654" s="127"/>
      <c r="H6654" s="127"/>
      <c r="I6654" s="128"/>
      <c r="J6654" s="126"/>
      <c r="K6654" s="125"/>
      <c r="L6654" s="13"/>
    </row>
    <row r="6655" spans="1:12" hidden="1" x14ac:dyDescent="0.25">
      <c r="A6655" s="125"/>
      <c r="B6655" s="125"/>
      <c r="C6655" s="126"/>
      <c r="D6655" s="127"/>
      <c r="E6655" s="127"/>
      <c r="F6655" s="127"/>
      <c r="G6655" s="127"/>
      <c r="H6655" s="127"/>
      <c r="I6655" s="128"/>
      <c r="J6655" s="126"/>
      <c r="K6655" s="125"/>
      <c r="L6655" s="13"/>
    </row>
    <row r="6656" spans="1:12" hidden="1" x14ac:dyDescent="0.25">
      <c r="A6656" s="125"/>
      <c r="B6656" s="125"/>
      <c r="C6656" s="126"/>
      <c r="D6656" s="127"/>
      <c r="E6656" s="127"/>
      <c r="F6656" s="127"/>
      <c r="G6656" s="127"/>
      <c r="H6656" s="127"/>
      <c r="I6656" s="128"/>
      <c r="J6656" s="126"/>
      <c r="K6656" s="125"/>
      <c r="L6656" s="13"/>
    </row>
    <row r="6657" spans="1:12" hidden="1" x14ac:dyDescent="0.25">
      <c r="A6657" s="125"/>
      <c r="B6657" s="125"/>
      <c r="C6657" s="126"/>
      <c r="D6657" s="127"/>
      <c r="E6657" s="127"/>
      <c r="F6657" s="127"/>
      <c r="G6657" s="127"/>
      <c r="H6657" s="127"/>
      <c r="I6657" s="128"/>
      <c r="J6657" s="126"/>
      <c r="K6657" s="125"/>
      <c r="L6657" s="13"/>
    </row>
    <row r="6658" spans="1:12" hidden="1" x14ac:dyDescent="0.25">
      <c r="A6658" s="125"/>
      <c r="B6658" s="125"/>
      <c r="C6658" s="126"/>
      <c r="D6658" s="127"/>
      <c r="E6658" s="127"/>
      <c r="F6658" s="127"/>
      <c r="G6658" s="127"/>
      <c r="H6658" s="127"/>
      <c r="I6658" s="128"/>
      <c r="J6658" s="126"/>
      <c r="K6658" s="125"/>
      <c r="L6658" s="13"/>
    </row>
    <row r="6659" spans="1:12" hidden="1" x14ac:dyDescent="0.25">
      <c r="A6659" s="6"/>
      <c r="B6659" s="6"/>
      <c r="C6659" s="11"/>
      <c r="D6659" s="13"/>
      <c r="E6659" s="13"/>
      <c r="F6659" s="13"/>
      <c r="G6659" s="13"/>
      <c r="H6659" s="13"/>
      <c r="I6659" s="10"/>
      <c r="J6659" s="11"/>
      <c r="K6659" s="6"/>
      <c r="L6659" s="129"/>
    </row>
    <row r="6660" spans="1:12" hidden="1" x14ac:dyDescent="0.25">
      <c r="A6660" s="6"/>
      <c r="B6660" s="6"/>
      <c r="C6660" s="11"/>
      <c r="D6660" s="13"/>
      <c r="E6660" s="13"/>
      <c r="F6660" s="13"/>
      <c r="G6660" s="13"/>
      <c r="H6660" s="13"/>
      <c r="I6660" s="10"/>
      <c r="J6660" s="11"/>
      <c r="K6660" s="6"/>
      <c r="L6660" s="129"/>
    </row>
    <row r="6661" spans="1:12" hidden="1" x14ac:dyDescent="0.25">
      <c r="A6661" s="103"/>
      <c r="B6661" s="103"/>
      <c r="C6661" s="104"/>
      <c r="D6661" s="105"/>
      <c r="E6661" s="105"/>
      <c r="F6661" s="105"/>
      <c r="G6661" s="105"/>
      <c r="H6661" s="105"/>
      <c r="I6661" s="106"/>
      <c r="J6661" s="104"/>
      <c r="K6661" s="103"/>
      <c r="L6661" s="129"/>
    </row>
    <row r="6662" spans="1:12" hidden="1" x14ac:dyDescent="0.25">
      <c r="A6662" s="103"/>
      <c r="B6662" s="103"/>
      <c r="C6662" s="104"/>
      <c r="D6662" s="105"/>
      <c r="E6662" s="105"/>
      <c r="F6662" s="105"/>
      <c r="G6662" s="105"/>
      <c r="H6662" s="105"/>
      <c r="I6662" s="106"/>
      <c r="J6662" s="104"/>
      <c r="K6662" s="103"/>
      <c r="L6662" s="129"/>
    </row>
    <row r="6663" spans="1:12" hidden="1" x14ac:dyDescent="0.25">
      <c r="A6663" s="103"/>
      <c r="B6663" s="103"/>
      <c r="C6663" s="104"/>
      <c r="D6663" s="105"/>
      <c r="E6663" s="105"/>
      <c r="F6663" s="105"/>
      <c r="G6663" s="105"/>
      <c r="H6663" s="105"/>
      <c r="I6663" s="106"/>
      <c r="J6663" s="104"/>
      <c r="K6663" s="103"/>
      <c r="L6663" s="129"/>
    </row>
    <row r="6664" spans="1:12" hidden="1" x14ac:dyDescent="0.25">
      <c r="A6664" s="103"/>
      <c r="B6664" s="103"/>
      <c r="C6664" s="104"/>
      <c r="D6664" s="105"/>
      <c r="E6664" s="105"/>
      <c r="F6664" s="105"/>
      <c r="G6664" s="105"/>
      <c r="H6664" s="105"/>
      <c r="I6664" s="106"/>
      <c r="J6664" s="104"/>
      <c r="K6664" s="103"/>
      <c r="L6664" s="129"/>
    </row>
    <row r="6665" spans="1:12" hidden="1" x14ac:dyDescent="0.25">
      <c r="A6665" s="103"/>
      <c r="B6665" s="103"/>
      <c r="C6665" s="104"/>
      <c r="D6665" s="105"/>
      <c r="E6665" s="105"/>
      <c r="F6665" s="105"/>
      <c r="G6665" s="105"/>
      <c r="H6665" s="105"/>
      <c r="I6665" s="106"/>
      <c r="J6665" s="104"/>
      <c r="K6665" s="103"/>
      <c r="L6665" s="129"/>
    </row>
    <row r="6666" spans="1:12" hidden="1" x14ac:dyDescent="0.25">
      <c r="A6666" s="103"/>
      <c r="B6666" s="103"/>
      <c r="C6666" s="104"/>
      <c r="D6666" s="105"/>
      <c r="E6666" s="105"/>
      <c r="F6666" s="105"/>
      <c r="G6666" s="105"/>
      <c r="H6666" s="105"/>
      <c r="I6666" s="106"/>
      <c r="J6666" s="104"/>
      <c r="K6666" s="103"/>
      <c r="L6666" s="129"/>
    </row>
    <row r="6667" spans="1:12" hidden="1" x14ac:dyDescent="0.25">
      <c r="A6667" s="103"/>
      <c r="B6667" s="103"/>
      <c r="C6667" s="104"/>
      <c r="D6667" s="105"/>
      <c r="E6667" s="105"/>
      <c r="F6667" s="105"/>
      <c r="G6667" s="105"/>
      <c r="H6667" s="105"/>
      <c r="I6667" s="106"/>
      <c r="J6667" s="104"/>
      <c r="K6667" s="103"/>
      <c r="L6667" s="129"/>
    </row>
    <row r="6668" spans="1:12" hidden="1" x14ac:dyDescent="0.25">
      <c r="A6668" s="103"/>
      <c r="B6668" s="103"/>
      <c r="C6668" s="104"/>
      <c r="D6668" s="105"/>
      <c r="E6668" s="105"/>
      <c r="F6668" s="105"/>
      <c r="G6668" s="105"/>
      <c r="H6668" s="105"/>
      <c r="I6668" s="106"/>
      <c r="J6668" s="104"/>
      <c r="K6668" s="103"/>
      <c r="L6668" s="129"/>
    </row>
    <row r="6669" spans="1:12" hidden="1" x14ac:dyDescent="0.25">
      <c r="A6669" s="103"/>
      <c r="B6669" s="103"/>
      <c r="C6669" s="104"/>
      <c r="D6669" s="105"/>
      <c r="E6669" s="105"/>
      <c r="F6669" s="105"/>
      <c r="G6669" s="105"/>
      <c r="H6669" s="105"/>
      <c r="I6669" s="106"/>
      <c r="J6669" s="104"/>
      <c r="K6669" s="103"/>
      <c r="L6669" s="129"/>
    </row>
    <row r="6670" spans="1:12" hidden="1" x14ac:dyDescent="0.25">
      <c r="A6670" s="103"/>
      <c r="B6670" s="103"/>
      <c r="C6670" s="104"/>
      <c r="D6670" s="105"/>
      <c r="E6670" s="105"/>
      <c r="F6670" s="105"/>
      <c r="G6670" s="105"/>
      <c r="H6670" s="105"/>
      <c r="I6670" s="106"/>
      <c r="J6670" s="104"/>
      <c r="K6670" s="103"/>
      <c r="L6670" s="129"/>
    </row>
    <row r="6671" spans="1:12" hidden="1" x14ac:dyDescent="0.25">
      <c r="A6671" s="103"/>
      <c r="B6671" s="103"/>
      <c r="C6671" s="104"/>
      <c r="D6671" s="105"/>
      <c r="E6671" s="105"/>
      <c r="F6671" s="105"/>
      <c r="G6671" s="105"/>
      <c r="H6671" s="105"/>
      <c r="I6671" s="106"/>
      <c r="J6671" s="104"/>
      <c r="K6671" s="103"/>
      <c r="L6671" s="129"/>
    </row>
    <row r="6672" spans="1:12" hidden="1" x14ac:dyDescent="0.25">
      <c r="A6672" s="103"/>
      <c r="B6672" s="103"/>
      <c r="C6672" s="104"/>
      <c r="D6672" s="105"/>
      <c r="E6672" s="105"/>
      <c r="F6672" s="105"/>
      <c r="G6672" s="105"/>
      <c r="H6672" s="105"/>
      <c r="I6672" s="106"/>
      <c r="J6672" s="104"/>
      <c r="K6672" s="103"/>
      <c r="L6672" s="129"/>
    </row>
    <row r="6673" spans="1:12" hidden="1" x14ac:dyDescent="0.25">
      <c r="A6673" s="103"/>
      <c r="B6673" s="103"/>
      <c r="C6673" s="104"/>
      <c r="D6673" s="105"/>
      <c r="E6673" s="105"/>
      <c r="F6673" s="105"/>
      <c r="G6673" s="105"/>
      <c r="H6673" s="105"/>
      <c r="I6673" s="106"/>
      <c r="J6673" s="104"/>
      <c r="K6673" s="103"/>
      <c r="L6673" s="129"/>
    </row>
    <row r="6674" spans="1:12" hidden="1" x14ac:dyDescent="0.25">
      <c r="A6674" s="103"/>
      <c r="B6674" s="103"/>
      <c r="C6674" s="104"/>
      <c r="D6674" s="105"/>
      <c r="E6674" s="105"/>
      <c r="F6674" s="105"/>
      <c r="G6674" s="105"/>
      <c r="H6674" s="105"/>
      <c r="I6674" s="106"/>
      <c r="J6674" s="104"/>
      <c r="K6674" s="103"/>
      <c r="L6674" s="129"/>
    </row>
    <row r="6675" spans="1:12" hidden="1" x14ac:dyDescent="0.25">
      <c r="A6675" s="103"/>
      <c r="B6675" s="103"/>
      <c r="C6675" s="104"/>
      <c r="D6675" s="105"/>
      <c r="E6675" s="105"/>
      <c r="F6675" s="105"/>
      <c r="G6675" s="105"/>
      <c r="H6675" s="105"/>
      <c r="I6675" s="106"/>
      <c r="J6675" s="104"/>
      <c r="K6675" s="103"/>
      <c r="L6675" s="129"/>
    </row>
    <row r="6676" spans="1:12" hidden="1" x14ac:dyDescent="0.25">
      <c r="A6676" s="103"/>
      <c r="B6676" s="103"/>
      <c r="C6676" s="104"/>
      <c r="D6676" s="105"/>
      <c r="E6676" s="105"/>
      <c r="F6676" s="105"/>
      <c r="G6676" s="105"/>
      <c r="H6676" s="105"/>
      <c r="I6676" s="106"/>
      <c r="J6676" s="104"/>
      <c r="K6676" s="103"/>
      <c r="L6676" s="129"/>
    </row>
    <row r="6677" spans="1:12" hidden="1" x14ac:dyDescent="0.25">
      <c r="A6677" s="103"/>
      <c r="B6677" s="103"/>
      <c r="C6677" s="104"/>
      <c r="D6677" s="105"/>
      <c r="E6677" s="105"/>
      <c r="F6677" s="105"/>
      <c r="G6677" s="105"/>
      <c r="H6677" s="105"/>
      <c r="I6677" s="106"/>
      <c r="J6677" s="104"/>
      <c r="K6677" s="103"/>
      <c r="L6677" s="129"/>
    </row>
    <row r="6678" spans="1:12" hidden="1" x14ac:dyDescent="0.25">
      <c r="A6678" s="103"/>
      <c r="B6678" s="103"/>
      <c r="C6678" s="104"/>
      <c r="D6678" s="105"/>
      <c r="E6678" s="105"/>
      <c r="F6678" s="105"/>
      <c r="G6678" s="105"/>
      <c r="H6678" s="105"/>
      <c r="I6678" s="106"/>
      <c r="J6678" s="104"/>
      <c r="K6678" s="103"/>
      <c r="L6678" s="129"/>
    </row>
    <row r="6679" spans="1:12" hidden="1" x14ac:dyDescent="0.25">
      <c r="A6679" s="103"/>
      <c r="B6679" s="103"/>
      <c r="C6679" s="104"/>
      <c r="D6679" s="105"/>
      <c r="E6679" s="105"/>
      <c r="F6679" s="105"/>
      <c r="G6679" s="105"/>
      <c r="H6679" s="105"/>
      <c r="I6679" s="106"/>
      <c r="J6679" s="104"/>
      <c r="K6679" s="103"/>
      <c r="L6679" s="129"/>
    </row>
    <row r="6680" spans="1:12" hidden="1" x14ac:dyDescent="0.25">
      <c r="A6680" s="103"/>
      <c r="B6680" s="103"/>
      <c r="C6680" s="104"/>
      <c r="D6680" s="105"/>
      <c r="E6680" s="105"/>
      <c r="F6680" s="105"/>
      <c r="G6680" s="105"/>
      <c r="H6680" s="105"/>
      <c r="I6680" s="106"/>
      <c r="J6680" s="104"/>
      <c r="K6680" s="103"/>
      <c r="L6680" s="129"/>
    </row>
    <row r="6681" spans="1:12" hidden="1" x14ac:dyDescent="0.25">
      <c r="A6681" s="103"/>
      <c r="B6681" s="103"/>
      <c r="C6681" s="104"/>
      <c r="D6681" s="105"/>
      <c r="E6681" s="105"/>
      <c r="F6681" s="105"/>
      <c r="G6681" s="105"/>
      <c r="H6681" s="105"/>
      <c r="I6681" s="106"/>
      <c r="J6681" s="104"/>
      <c r="K6681" s="103"/>
      <c r="L6681" s="129"/>
    </row>
    <row r="6682" spans="1:12" hidden="1" x14ac:dyDescent="0.25">
      <c r="A6682" s="103"/>
      <c r="B6682" s="103"/>
      <c r="C6682" s="104"/>
      <c r="D6682" s="105"/>
      <c r="E6682" s="105"/>
      <c r="F6682" s="105"/>
      <c r="G6682" s="105"/>
      <c r="H6682" s="105"/>
      <c r="I6682" s="106"/>
      <c r="J6682" s="104"/>
      <c r="K6682" s="103"/>
      <c r="L6682" s="129"/>
    </row>
    <row r="6683" spans="1:12" hidden="1" x14ac:dyDescent="0.25">
      <c r="A6683" s="103"/>
      <c r="B6683" s="103"/>
      <c r="C6683" s="104"/>
      <c r="D6683" s="105"/>
      <c r="E6683" s="105"/>
      <c r="F6683" s="105"/>
      <c r="G6683" s="105"/>
      <c r="H6683" s="105"/>
      <c r="I6683" s="106"/>
      <c r="J6683" s="104"/>
      <c r="K6683" s="103"/>
      <c r="L6683" s="129"/>
    </row>
    <row r="6684" spans="1:12" hidden="1" x14ac:dyDescent="0.25">
      <c r="A6684" s="103"/>
      <c r="B6684" s="103"/>
      <c r="C6684" s="104"/>
      <c r="D6684" s="105"/>
      <c r="E6684" s="105"/>
      <c r="F6684" s="105"/>
      <c r="G6684" s="105"/>
      <c r="H6684" s="105"/>
      <c r="I6684" s="106"/>
      <c r="J6684" s="104"/>
      <c r="K6684" s="103"/>
      <c r="L6684" s="129"/>
    </row>
    <row r="6685" spans="1:12" hidden="1" x14ac:dyDescent="0.25">
      <c r="A6685" s="103"/>
      <c r="B6685" s="103"/>
      <c r="C6685" s="104"/>
      <c r="D6685" s="105"/>
      <c r="E6685" s="105"/>
      <c r="F6685" s="105"/>
      <c r="G6685" s="105"/>
      <c r="H6685" s="105"/>
      <c r="I6685" s="106"/>
      <c r="J6685" s="104"/>
      <c r="K6685" s="103"/>
      <c r="L6685" s="129"/>
    </row>
    <row r="6686" spans="1:12" hidden="1" x14ac:dyDescent="0.25">
      <c r="A6686" s="103"/>
      <c r="B6686" s="103"/>
      <c r="C6686" s="104"/>
      <c r="D6686" s="105"/>
      <c r="E6686" s="105"/>
      <c r="F6686" s="105"/>
      <c r="G6686" s="105"/>
      <c r="H6686" s="105"/>
      <c r="I6686" s="106"/>
      <c r="J6686" s="104"/>
      <c r="K6686" s="103"/>
      <c r="L6686" s="129"/>
    </row>
    <row r="6687" spans="1:12" hidden="1" x14ac:dyDescent="0.25">
      <c r="A6687" s="6"/>
      <c r="B6687" s="6"/>
      <c r="C6687" s="11"/>
      <c r="D6687" s="13"/>
      <c r="E6687" s="13"/>
      <c r="F6687" s="13"/>
      <c r="G6687" s="13"/>
      <c r="H6687" s="13"/>
      <c r="I6687" s="10"/>
      <c r="J6687" s="11"/>
      <c r="K6687" s="6"/>
      <c r="L6687" s="129"/>
    </row>
    <row r="6688" spans="1:12" hidden="1" x14ac:dyDescent="0.25">
      <c r="A6688" s="6"/>
      <c r="B6688" s="6"/>
      <c r="C6688" s="11"/>
      <c r="D6688" s="13"/>
      <c r="E6688" s="13"/>
      <c r="F6688" s="13"/>
      <c r="G6688" s="13"/>
      <c r="H6688" s="13"/>
      <c r="I6688" s="10"/>
      <c r="J6688" s="11"/>
      <c r="K6688" s="6"/>
      <c r="L6688" s="129"/>
    </row>
    <row r="6689" spans="1:12" hidden="1" x14ac:dyDescent="0.25">
      <c r="A6689" s="6"/>
      <c r="B6689" s="6"/>
      <c r="C6689" s="11"/>
      <c r="D6689" s="13"/>
      <c r="E6689" s="13"/>
      <c r="F6689" s="13"/>
      <c r="G6689" s="13"/>
      <c r="H6689" s="13"/>
      <c r="I6689" s="10"/>
      <c r="J6689" s="11"/>
      <c r="K6689" s="6"/>
      <c r="L6689" s="129"/>
    </row>
    <row r="6690" spans="1:12" hidden="1" x14ac:dyDescent="0.25">
      <c r="A6690" s="6"/>
      <c r="B6690" s="6"/>
      <c r="C6690" s="11"/>
      <c r="D6690" s="13"/>
      <c r="E6690" s="13"/>
      <c r="F6690" s="13"/>
      <c r="G6690" s="13"/>
      <c r="H6690" s="13"/>
      <c r="I6690" s="10"/>
      <c r="J6690" s="11"/>
      <c r="K6690" s="6"/>
      <c r="L6690" s="129"/>
    </row>
    <row r="6691" spans="1:12" hidden="1" x14ac:dyDescent="0.25">
      <c r="A6691" s="6"/>
      <c r="B6691" s="6"/>
      <c r="C6691" s="11"/>
      <c r="D6691" s="13"/>
      <c r="E6691" s="13"/>
      <c r="F6691" s="13"/>
      <c r="G6691" s="13"/>
      <c r="H6691" s="13"/>
      <c r="I6691" s="10"/>
      <c r="J6691" s="11"/>
      <c r="K6691" s="6"/>
      <c r="L6691" s="129"/>
    </row>
    <row r="6692" spans="1:12" hidden="1" x14ac:dyDescent="0.25">
      <c r="A6692" s="6"/>
      <c r="B6692" s="6"/>
      <c r="C6692" s="11"/>
      <c r="D6692" s="13"/>
      <c r="E6692" s="13"/>
      <c r="F6692" s="13"/>
      <c r="G6692" s="13"/>
      <c r="H6692" s="13"/>
      <c r="I6692" s="10"/>
      <c r="J6692" s="11"/>
      <c r="K6692" s="6"/>
      <c r="L6692" s="129"/>
    </row>
    <row r="6693" spans="1:12" hidden="1" x14ac:dyDescent="0.25">
      <c r="A6693" s="6"/>
      <c r="B6693" s="6"/>
      <c r="C6693" s="11"/>
      <c r="D6693" s="13"/>
      <c r="E6693" s="13"/>
      <c r="F6693" s="13"/>
      <c r="G6693" s="13"/>
      <c r="H6693" s="13"/>
      <c r="I6693" s="10"/>
      <c r="J6693" s="11"/>
      <c r="K6693" s="6"/>
      <c r="L6693" s="129"/>
    </row>
    <row r="6694" spans="1:12" hidden="1" x14ac:dyDescent="0.25">
      <c r="A6694" s="6"/>
      <c r="B6694" s="6"/>
      <c r="C6694" s="11"/>
      <c r="D6694" s="13"/>
      <c r="E6694" s="13"/>
      <c r="F6694" s="13"/>
      <c r="G6694" s="13"/>
      <c r="H6694" s="13"/>
      <c r="I6694" s="10"/>
      <c r="J6694" s="11"/>
      <c r="K6694" s="6"/>
      <c r="L6694" s="129"/>
    </row>
    <row r="6695" spans="1:12" hidden="1" x14ac:dyDescent="0.25">
      <c r="A6695" s="6"/>
      <c r="B6695" s="6"/>
      <c r="C6695" s="11"/>
      <c r="D6695" s="13"/>
      <c r="E6695" s="13"/>
      <c r="F6695" s="13"/>
      <c r="G6695" s="13"/>
      <c r="H6695" s="13"/>
      <c r="I6695" s="10"/>
      <c r="J6695" s="11"/>
      <c r="K6695" s="6"/>
      <c r="L6695" s="129"/>
    </row>
    <row r="6696" spans="1:12" hidden="1" x14ac:dyDescent="0.25">
      <c r="A6696" s="6"/>
      <c r="B6696" s="6"/>
      <c r="C6696" s="11"/>
      <c r="D6696" s="13"/>
      <c r="E6696" s="13"/>
      <c r="F6696" s="13"/>
      <c r="G6696" s="13"/>
      <c r="H6696" s="13"/>
      <c r="I6696" s="10"/>
      <c r="J6696" s="11"/>
      <c r="K6696" s="6"/>
      <c r="L6696" s="129"/>
    </row>
    <row r="6697" spans="1:12" hidden="1" x14ac:dyDescent="0.25">
      <c r="A6697" s="6"/>
      <c r="B6697" s="6"/>
      <c r="C6697" s="11"/>
      <c r="D6697" s="13"/>
      <c r="E6697" s="13"/>
      <c r="F6697" s="13"/>
      <c r="G6697" s="13"/>
      <c r="H6697" s="13"/>
      <c r="I6697" s="10"/>
      <c r="J6697" s="11"/>
      <c r="K6697" s="6"/>
      <c r="L6697" s="129"/>
    </row>
    <row r="6698" spans="1:12" hidden="1" x14ac:dyDescent="0.25">
      <c r="A6698" s="6"/>
      <c r="B6698" s="6"/>
      <c r="C6698" s="11"/>
      <c r="D6698" s="13"/>
      <c r="E6698" s="13"/>
      <c r="F6698" s="13"/>
      <c r="G6698" s="13"/>
      <c r="H6698" s="13"/>
      <c r="I6698" s="10"/>
      <c r="J6698" s="11"/>
      <c r="K6698" s="6"/>
      <c r="L6698" s="129"/>
    </row>
    <row r="6699" spans="1:12" hidden="1" x14ac:dyDescent="0.25">
      <c r="A6699" s="6"/>
      <c r="B6699" s="6"/>
      <c r="C6699" s="11"/>
      <c r="D6699" s="13"/>
      <c r="E6699" s="13"/>
      <c r="F6699" s="13"/>
      <c r="G6699" s="13"/>
      <c r="H6699" s="13"/>
      <c r="I6699" s="10"/>
      <c r="J6699" s="11"/>
      <c r="K6699" s="6"/>
      <c r="L6699" s="129"/>
    </row>
    <row r="6700" spans="1:12" hidden="1" x14ac:dyDescent="0.25">
      <c r="A6700" s="6"/>
      <c r="B6700" s="6"/>
      <c r="C6700" s="11"/>
      <c r="D6700" s="13"/>
      <c r="E6700" s="13"/>
      <c r="F6700" s="13"/>
      <c r="G6700" s="13"/>
      <c r="H6700" s="13"/>
      <c r="I6700" s="10"/>
      <c r="J6700" s="11"/>
      <c r="K6700" s="6"/>
      <c r="L6700" s="129"/>
    </row>
    <row r="6701" spans="1:12" hidden="1" x14ac:dyDescent="0.25">
      <c r="A6701" s="6"/>
      <c r="B6701" s="6"/>
      <c r="C6701" s="11"/>
      <c r="D6701" s="13"/>
      <c r="E6701" s="13"/>
      <c r="F6701" s="13"/>
      <c r="G6701" s="13"/>
      <c r="H6701" s="13"/>
      <c r="I6701" s="10"/>
      <c r="J6701" s="11"/>
      <c r="K6701" s="6"/>
      <c r="L6701" s="129"/>
    </row>
    <row r="6702" spans="1:12" hidden="1" x14ac:dyDescent="0.25">
      <c r="A6702" s="6"/>
      <c r="B6702" s="6"/>
      <c r="C6702" s="11"/>
      <c r="D6702" s="13"/>
      <c r="E6702" s="13"/>
      <c r="F6702" s="13"/>
      <c r="G6702" s="13"/>
      <c r="H6702" s="13"/>
      <c r="I6702" s="10"/>
      <c r="J6702" s="11"/>
      <c r="K6702" s="6"/>
      <c r="L6702" s="129"/>
    </row>
    <row r="6703" spans="1:12" hidden="1" x14ac:dyDescent="0.25">
      <c r="A6703" s="6"/>
      <c r="B6703" s="6"/>
      <c r="C6703" s="11"/>
      <c r="D6703" s="13"/>
      <c r="E6703" s="13"/>
      <c r="F6703" s="13"/>
      <c r="G6703" s="13"/>
      <c r="H6703" s="13"/>
      <c r="I6703" s="10"/>
      <c r="J6703" s="11"/>
      <c r="K6703" s="6"/>
      <c r="L6703" s="129"/>
    </row>
    <row r="6704" spans="1:12" hidden="1" x14ac:dyDescent="0.25">
      <c r="A6704" s="6"/>
      <c r="B6704" s="6"/>
      <c r="C6704" s="11"/>
      <c r="D6704" s="13"/>
      <c r="E6704" s="13"/>
      <c r="F6704" s="13"/>
      <c r="G6704" s="13"/>
      <c r="H6704" s="13"/>
      <c r="I6704" s="10"/>
      <c r="J6704" s="11"/>
      <c r="K6704" s="6"/>
      <c r="L6704" s="129"/>
    </row>
    <row r="6705" spans="1:12" hidden="1" x14ac:dyDescent="0.25">
      <c r="A6705" s="6"/>
      <c r="B6705" s="6"/>
      <c r="C6705" s="11"/>
      <c r="D6705" s="13"/>
      <c r="E6705" s="13"/>
      <c r="F6705" s="13"/>
      <c r="G6705" s="13"/>
      <c r="H6705" s="13"/>
      <c r="I6705" s="10"/>
      <c r="J6705" s="11"/>
      <c r="K6705" s="6"/>
      <c r="L6705" s="129"/>
    </row>
    <row r="6706" spans="1:12" hidden="1" x14ac:dyDescent="0.25">
      <c r="A6706" s="6"/>
      <c r="B6706" s="6"/>
      <c r="C6706" s="11"/>
      <c r="D6706" s="13"/>
      <c r="E6706" s="13"/>
      <c r="F6706" s="13"/>
      <c r="G6706" s="13"/>
      <c r="H6706" s="13"/>
      <c r="I6706" s="10"/>
      <c r="J6706" s="11"/>
      <c r="K6706" s="6"/>
      <c r="L6706" s="129"/>
    </row>
    <row r="6707" spans="1:12" hidden="1" x14ac:dyDescent="0.25">
      <c r="A6707" s="6"/>
      <c r="B6707" s="6"/>
      <c r="C6707" s="11"/>
      <c r="D6707" s="13"/>
      <c r="E6707" s="13"/>
      <c r="F6707" s="13"/>
      <c r="G6707" s="13"/>
      <c r="H6707" s="13"/>
      <c r="I6707" s="10"/>
      <c r="J6707" s="11"/>
      <c r="K6707" s="6"/>
      <c r="L6707" s="129"/>
    </row>
    <row r="6708" spans="1:12" hidden="1" x14ac:dyDescent="0.25">
      <c r="A6708" s="6"/>
      <c r="B6708" s="6"/>
      <c r="C6708" s="11"/>
      <c r="D6708" s="13"/>
      <c r="E6708" s="13"/>
      <c r="F6708" s="13"/>
      <c r="G6708" s="13"/>
      <c r="H6708" s="13"/>
      <c r="I6708" s="10"/>
      <c r="J6708" s="11"/>
      <c r="K6708" s="6"/>
      <c r="L6708" s="129"/>
    </row>
    <row r="6709" spans="1:12" hidden="1" x14ac:dyDescent="0.25">
      <c r="A6709" s="6"/>
      <c r="B6709" s="6"/>
      <c r="C6709" s="11"/>
      <c r="D6709" s="13"/>
      <c r="E6709" s="13"/>
      <c r="F6709" s="13"/>
      <c r="G6709" s="13"/>
      <c r="H6709" s="13"/>
      <c r="I6709" s="10"/>
      <c r="J6709" s="11"/>
      <c r="K6709" s="6"/>
      <c r="L6709" s="129"/>
    </row>
    <row r="6710" spans="1:12" hidden="1" x14ac:dyDescent="0.25">
      <c r="A6710" s="6"/>
      <c r="B6710" s="6"/>
      <c r="C6710" s="11"/>
      <c r="D6710" s="13"/>
      <c r="E6710" s="13"/>
      <c r="F6710" s="13"/>
      <c r="G6710" s="13"/>
      <c r="H6710" s="13"/>
      <c r="I6710" s="10"/>
      <c r="J6710" s="11"/>
      <c r="K6710" s="6"/>
      <c r="L6710" s="129"/>
    </row>
    <row r="6711" spans="1:12" hidden="1" x14ac:dyDescent="0.25">
      <c r="A6711" s="6"/>
      <c r="B6711" s="6"/>
      <c r="C6711" s="11"/>
      <c r="D6711" s="13"/>
      <c r="E6711" s="13"/>
      <c r="F6711" s="13"/>
      <c r="G6711" s="13"/>
      <c r="H6711" s="13"/>
      <c r="I6711" s="10"/>
      <c r="J6711" s="11"/>
      <c r="K6711" s="6"/>
      <c r="L6711" s="129"/>
    </row>
    <row r="6712" spans="1:12" hidden="1" x14ac:dyDescent="0.25">
      <c r="A6712" s="6"/>
      <c r="B6712" s="6"/>
      <c r="C6712" s="11"/>
      <c r="D6712" s="13"/>
      <c r="E6712" s="13"/>
      <c r="F6712" s="13"/>
      <c r="G6712" s="13"/>
      <c r="H6712" s="13"/>
      <c r="I6712" s="10"/>
      <c r="J6712" s="11"/>
      <c r="K6712" s="6"/>
      <c r="L6712" s="129"/>
    </row>
    <row r="6713" spans="1:12" hidden="1" x14ac:dyDescent="0.25">
      <c r="A6713" s="6"/>
      <c r="B6713" s="6"/>
      <c r="C6713" s="11"/>
      <c r="D6713" s="13"/>
      <c r="E6713" s="13"/>
      <c r="F6713" s="13"/>
      <c r="G6713" s="13"/>
      <c r="H6713" s="13"/>
      <c r="I6713" s="10"/>
      <c r="J6713" s="11"/>
      <c r="K6713" s="6"/>
      <c r="L6713" s="129"/>
    </row>
    <row r="6714" spans="1:12" hidden="1" x14ac:dyDescent="0.25">
      <c r="A6714" s="6"/>
      <c r="B6714" s="6"/>
      <c r="C6714" s="11"/>
      <c r="D6714" s="13"/>
      <c r="E6714" s="13"/>
      <c r="F6714" s="13"/>
      <c r="G6714" s="13"/>
      <c r="H6714" s="13"/>
      <c r="I6714" s="10"/>
      <c r="J6714" s="11"/>
      <c r="K6714" s="6"/>
      <c r="L6714" s="129"/>
    </row>
    <row r="6715" spans="1:12" hidden="1" x14ac:dyDescent="0.25">
      <c r="A6715" s="6"/>
      <c r="B6715" s="6"/>
      <c r="C6715" s="11"/>
      <c r="D6715" s="13"/>
      <c r="E6715" s="13"/>
      <c r="F6715" s="13"/>
      <c r="G6715" s="13"/>
      <c r="H6715" s="13"/>
      <c r="I6715" s="10"/>
      <c r="J6715" s="11"/>
      <c r="K6715" s="6"/>
      <c r="L6715" s="129"/>
    </row>
    <row r="6716" spans="1:12" hidden="1" x14ac:dyDescent="0.25">
      <c r="A6716" s="6"/>
      <c r="B6716" s="6"/>
      <c r="C6716" s="11"/>
      <c r="D6716" s="13"/>
      <c r="E6716" s="13"/>
      <c r="F6716" s="13"/>
      <c r="G6716" s="13"/>
      <c r="H6716" s="13"/>
      <c r="I6716" s="10"/>
      <c r="J6716" s="11"/>
      <c r="K6716" s="6"/>
      <c r="L6716" s="129"/>
    </row>
    <row r="6717" spans="1:12" hidden="1" x14ac:dyDescent="0.25">
      <c r="A6717" s="6"/>
      <c r="B6717" s="6"/>
      <c r="C6717" s="11"/>
      <c r="D6717" s="13"/>
      <c r="E6717" s="13"/>
      <c r="F6717" s="13"/>
      <c r="G6717" s="13"/>
      <c r="H6717" s="13"/>
      <c r="I6717" s="10"/>
      <c r="J6717" s="11"/>
      <c r="K6717" s="6"/>
      <c r="L6717" s="129"/>
    </row>
    <row r="6718" spans="1:12" hidden="1" x14ac:dyDescent="0.25">
      <c r="A6718" s="6"/>
      <c r="B6718" s="6"/>
      <c r="C6718" s="11"/>
      <c r="D6718" s="13"/>
      <c r="E6718" s="13"/>
      <c r="F6718" s="13"/>
      <c r="G6718" s="13"/>
      <c r="H6718" s="13"/>
      <c r="I6718" s="10"/>
      <c r="J6718" s="11"/>
      <c r="K6718" s="6"/>
      <c r="L6718" s="129"/>
    </row>
    <row r="6719" spans="1:12" hidden="1" x14ac:dyDescent="0.25">
      <c r="A6719" s="6"/>
      <c r="B6719" s="6"/>
      <c r="C6719" s="11"/>
      <c r="D6719" s="13"/>
      <c r="E6719" s="13"/>
      <c r="F6719" s="13"/>
      <c r="G6719" s="13"/>
      <c r="H6719" s="13"/>
      <c r="I6719" s="10"/>
      <c r="J6719" s="11"/>
      <c r="K6719" s="6"/>
      <c r="L6719" s="129"/>
    </row>
    <row r="6720" spans="1:12" hidden="1" x14ac:dyDescent="0.25">
      <c r="A6720" s="6"/>
      <c r="B6720" s="6"/>
      <c r="C6720" s="11"/>
      <c r="D6720" s="13"/>
      <c r="E6720" s="13"/>
      <c r="F6720" s="13"/>
      <c r="G6720" s="13"/>
      <c r="H6720" s="13"/>
      <c r="I6720" s="10"/>
      <c r="J6720" s="11"/>
      <c r="K6720" s="6"/>
      <c r="L6720" s="129"/>
    </row>
    <row r="6721" spans="1:12" hidden="1" x14ac:dyDescent="0.25">
      <c r="A6721" s="6"/>
      <c r="B6721" s="6"/>
      <c r="C6721" s="11"/>
      <c r="D6721" s="13"/>
      <c r="E6721" s="13"/>
      <c r="F6721" s="13"/>
      <c r="G6721" s="13"/>
      <c r="H6721" s="13"/>
      <c r="I6721" s="10"/>
      <c r="J6721" s="11"/>
      <c r="K6721" s="6"/>
      <c r="L6721" s="129"/>
    </row>
    <row r="6722" spans="1:12" hidden="1" x14ac:dyDescent="0.25">
      <c r="A6722" s="6"/>
      <c r="B6722" s="6"/>
      <c r="C6722" s="11"/>
      <c r="D6722" s="13"/>
      <c r="E6722" s="13"/>
      <c r="F6722" s="13"/>
      <c r="G6722" s="13"/>
      <c r="H6722" s="13"/>
      <c r="I6722" s="10"/>
      <c r="J6722" s="11"/>
      <c r="K6722" s="6"/>
      <c r="L6722" s="129"/>
    </row>
    <row r="6723" spans="1:12" hidden="1" x14ac:dyDescent="0.25">
      <c r="A6723" s="6"/>
      <c r="B6723" s="6"/>
      <c r="C6723" s="11"/>
      <c r="D6723" s="13"/>
      <c r="E6723" s="13"/>
      <c r="F6723" s="13"/>
      <c r="G6723" s="13"/>
      <c r="H6723" s="13"/>
      <c r="I6723" s="10"/>
      <c r="J6723" s="11"/>
      <c r="K6723" s="6"/>
      <c r="L6723" s="129"/>
    </row>
    <row r="6724" spans="1:12" hidden="1" x14ac:dyDescent="0.25">
      <c r="A6724" s="6"/>
      <c r="B6724" s="6"/>
      <c r="C6724" s="11"/>
      <c r="D6724" s="13"/>
      <c r="E6724" s="13"/>
      <c r="F6724" s="13"/>
      <c r="G6724" s="13"/>
      <c r="H6724" s="13"/>
      <c r="I6724" s="10"/>
      <c r="J6724" s="11"/>
      <c r="K6724" s="6"/>
      <c r="L6724" s="129"/>
    </row>
    <row r="6725" spans="1:12" hidden="1" x14ac:dyDescent="0.25">
      <c r="A6725" s="6"/>
      <c r="B6725" s="6"/>
      <c r="C6725" s="11"/>
      <c r="D6725" s="13"/>
      <c r="E6725" s="13"/>
      <c r="F6725" s="13"/>
      <c r="G6725" s="13"/>
      <c r="H6725" s="13"/>
      <c r="I6725" s="10"/>
      <c r="J6725" s="11"/>
      <c r="K6725" s="6"/>
      <c r="L6725" s="129"/>
    </row>
    <row r="6726" spans="1:12" hidden="1" x14ac:dyDescent="0.25">
      <c r="A6726" s="6"/>
      <c r="B6726" s="6"/>
      <c r="C6726" s="11"/>
      <c r="D6726" s="13"/>
      <c r="E6726" s="13"/>
      <c r="F6726" s="13"/>
      <c r="G6726" s="13"/>
      <c r="H6726" s="13"/>
      <c r="I6726" s="10"/>
      <c r="J6726" s="11"/>
      <c r="K6726" s="6"/>
      <c r="L6726" s="129"/>
    </row>
    <row r="6727" spans="1:12" hidden="1" x14ac:dyDescent="0.25">
      <c r="A6727" s="6"/>
      <c r="B6727" s="6"/>
      <c r="C6727" s="11"/>
      <c r="D6727" s="13"/>
      <c r="E6727" s="13"/>
      <c r="F6727" s="13"/>
      <c r="G6727" s="13"/>
      <c r="H6727" s="13"/>
      <c r="I6727" s="10"/>
      <c r="J6727" s="11"/>
      <c r="K6727" s="6"/>
      <c r="L6727" s="129"/>
    </row>
    <row r="6728" spans="1:12" hidden="1" x14ac:dyDescent="0.25">
      <c r="A6728" s="6"/>
      <c r="B6728" s="6"/>
      <c r="C6728" s="11"/>
      <c r="D6728" s="13"/>
      <c r="E6728" s="13"/>
      <c r="F6728" s="13"/>
      <c r="G6728" s="13"/>
      <c r="H6728" s="13"/>
      <c r="I6728" s="10"/>
      <c r="J6728" s="11"/>
      <c r="K6728" s="6"/>
      <c r="L6728" s="129"/>
    </row>
    <row r="6729" spans="1:12" hidden="1" x14ac:dyDescent="0.25">
      <c r="A6729" s="6"/>
      <c r="B6729" s="6"/>
      <c r="C6729" s="11"/>
      <c r="D6729" s="13"/>
      <c r="E6729" s="13"/>
      <c r="F6729" s="13"/>
      <c r="G6729" s="13"/>
      <c r="H6729" s="13"/>
      <c r="I6729" s="10"/>
      <c r="J6729" s="11"/>
      <c r="K6729" s="6"/>
      <c r="L6729" s="129"/>
    </row>
    <row r="6730" spans="1:12" hidden="1" x14ac:dyDescent="0.25">
      <c r="A6730" s="6"/>
      <c r="B6730" s="6"/>
      <c r="C6730" s="11"/>
      <c r="D6730" s="13"/>
      <c r="E6730" s="13"/>
      <c r="F6730" s="13"/>
      <c r="G6730" s="13"/>
      <c r="H6730" s="13"/>
      <c r="I6730" s="10"/>
      <c r="J6730" s="11"/>
      <c r="K6730" s="6"/>
      <c r="L6730" s="129"/>
    </row>
    <row r="6731" spans="1:12" hidden="1" x14ac:dyDescent="0.25">
      <c r="A6731" s="6"/>
      <c r="B6731" s="6"/>
      <c r="C6731" s="11"/>
      <c r="D6731" s="13"/>
      <c r="E6731" s="13"/>
      <c r="F6731" s="13"/>
      <c r="G6731" s="13"/>
      <c r="H6731" s="13"/>
      <c r="I6731" s="10"/>
      <c r="J6731" s="11"/>
      <c r="K6731" s="6"/>
      <c r="L6731" s="129"/>
    </row>
    <row r="6732" spans="1:12" hidden="1" x14ac:dyDescent="0.25">
      <c r="A6732" s="6"/>
      <c r="B6732" s="6"/>
      <c r="C6732" s="11"/>
      <c r="D6732" s="13"/>
      <c r="E6732" s="13"/>
      <c r="F6732" s="13"/>
      <c r="G6732" s="13"/>
      <c r="H6732" s="13"/>
      <c r="I6732" s="10"/>
      <c r="J6732" s="11"/>
      <c r="K6732" s="6"/>
      <c r="L6732" s="129"/>
    </row>
    <row r="6733" spans="1:12" hidden="1" x14ac:dyDescent="0.25">
      <c r="A6733" s="6"/>
      <c r="B6733" s="6"/>
      <c r="C6733" s="11"/>
      <c r="D6733" s="13"/>
      <c r="E6733" s="13"/>
      <c r="F6733" s="13"/>
      <c r="G6733" s="13"/>
      <c r="H6733" s="13"/>
      <c r="I6733" s="10"/>
      <c r="J6733" s="11"/>
      <c r="K6733" s="6"/>
      <c r="L6733" s="129"/>
    </row>
    <row r="6734" spans="1:12" hidden="1" x14ac:dyDescent="0.25">
      <c r="A6734" s="6"/>
      <c r="B6734" s="6"/>
      <c r="C6734" s="11"/>
      <c r="D6734" s="13"/>
      <c r="E6734" s="13"/>
      <c r="F6734" s="13"/>
      <c r="G6734" s="13"/>
      <c r="H6734" s="13"/>
      <c r="I6734" s="10"/>
      <c r="J6734" s="11"/>
      <c r="K6734" s="6"/>
      <c r="L6734" s="129"/>
    </row>
    <row r="6735" spans="1:12" hidden="1" x14ac:dyDescent="0.25">
      <c r="A6735" s="6"/>
      <c r="B6735" s="6"/>
      <c r="C6735" s="11"/>
      <c r="D6735" s="13"/>
      <c r="E6735" s="13"/>
      <c r="F6735" s="13"/>
      <c r="G6735" s="13"/>
      <c r="H6735" s="13"/>
      <c r="I6735" s="10"/>
      <c r="J6735" s="11"/>
      <c r="K6735" s="6"/>
      <c r="L6735" s="129"/>
    </row>
    <row r="6736" spans="1:12" hidden="1" x14ac:dyDescent="0.25">
      <c r="A6736" s="6"/>
      <c r="B6736" s="6"/>
      <c r="C6736" s="11"/>
      <c r="D6736" s="13"/>
      <c r="E6736" s="13"/>
      <c r="F6736" s="13"/>
      <c r="G6736" s="13"/>
      <c r="H6736" s="13"/>
      <c r="I6736" s="10"/>
      <c r="J6736" s="11"/>
      <c r="K6736" s="6"/>
      <c r="L6736" s="129"/>
    </row>
    <row r="6737" spans="1:12" hidden="1" x14ac:dyDescent="0.25">
      <c r="A6737" s="6"/>
      <c r="B6737" s="6"/>
      <c r="C6737" s="11"/>
      <c r="D6737" s="13"/>
      <c r="E6737" s="13"/>
      <c r="F6737" s="13"/>
      <c r="G6737" s="13"/>
      <c r="H6737" s="13"/>
      <c r="I6737" s="10"/>
      <c r="J6737" s="11"/>
      <c r="K6737" s="6"/>
      <c r="L6737" s="129"/>
    </row>
    <row r="6738" spans="1:12" hidden="1" x14ac:dyDescent="0.25">
      <c r="A6738" s="6"/>
      <c r="B6738" s="6"/>
      <c r="C6738" s="11"/>
      <c r="D6738" s="13"/>
      <c r="E6738" s="13"/>
      <c r="F6738" s="13"/>
      <c r="G6738" s="13"/>
      <c r="H6738" s="13"/>
      <c r="I6738" s="10"/>
      <c r="J6738" s="11"/>
      <c r="K6738" s="6"/>
      <c r="L6738" s="129"/>
    </row>
    <row r="6739" spans="1:12" hidden="1" x14ac:dyDescent="0.25">
      <c r="A6739" s="6"/>
      <c r="B6739" s="6"/>
      <c r="C6739" s="11"/>
      <c r="D6739" s="13"/>
      <c r="E6739" s="13"/>
      <c r="F6739" s="13"/>
      <c r="G6739" s="13"/>
      <c r="H6739" s="13"/>
      <c r="I6739" s="10"/>
      <c r="J6739" s="11"/>
      <c r="K6739" s="6"/>
      <c r="L6739" s="129"/>
    </row>
    <row r="6740" spans="1:12" hidden="1" x14ac:dyDescent="0.25">
      <c r="A6740" s="6"/>
      <c r="B6740" s="6"/>
      <c r="C6740" s="11"/>
      <c r="D6740" s="13"/>
      <c r="E6740" s="13"/>
      <c r="F6740" s="13"/>
      <c r="G6740" s="13"/>
      <c r="H6740" s="13"/>
      <c r="I6740" s="10"/>
      <c r="J6740" s="11"/>
      <c r="K6740" s="6"/>
      <c r="L6740" s="129"/>
    </row>
    <row r="6741" spans="1:12" hidden="1" x14ac:dyDescent="0.25">
      <c r="A6741" s="6"/>
      <c r="B6741" s="6"/>
      <c r="C6741" s="11"/>
      <c r="D6741" s="13"/>
      <c r="E6741" s="13"/>
      <c r="F6741" s="13"/>
      <c r="G6741" s="13"/>
      <c r="H6741" s="13"/>
      <c r="I6741" s="10"/>
      <c r="J6741" s="11"/>
      <c r="K6741" s="6"/>
      <c r="L6741" s="129"/>
    </row>
    <row r="6742" spans="1:12" hidden="1" x14ac:dyDescent="0.25">
      <c r="A6742" s="6"/>
      <c r="B6742" s="6"/>
      <c r="C6742" s="11"/>
      <c r="D6742" s="13"/>
      <c r="E6742" s="13"/>
      <c r="F6742" s="13"/>
      <c r="G6742" s="13"/>
      <c r="H6742" s="13"/>
      <c r="I6742" s="10"/>
      <c r="J6742" s="11"/>
      <c r="K6742" s="6"/>
      <c r="L6742" s="129"/>
    </row>
    <row r="6743" spans="1:12" hidden="1" x14ac:dyDescent="0.25">
      <c r="A6743" s="6"/>
      <c r="B6743" s="6"/>
      <c r="C6743" s="11"/>
      <c r="D6743" s="13"/>
      <c r="E6743" s="13"/>
      <c r="F6743" s="13"/>
      <c r="G6743" s="13"/>
      <c r="H6743" s="13"/>
      <c r="I6743" s="10"/>
      <c r="J6743" s="11"/>
      <c r="K6743" s="6"/>
      <c r="L6743" s="129"/>
    </row>
    <row r="6744" spans="1:12" hidden="1" x14ac:dyDescent="0.25">
      <c r="A6744" s="6"/>
      <c r="B6744" s="6"/>
      <c r="C6744" s="11"/>
      <c r="D6744" s="13"/>
      <c r="E6744" s="13"/>
      <c r="F6744" s="13"/>
      <c r="G6744" s="13"/>
      <c r="H6744" s="13"/>
      <c r="I6744" s="10"/>
      <c r="J6744" s="11"/>
      <c r="K6744" s="6"/>
      <c r="L6744" s="129"/>
    </row>
    <row r="6745" spans="1:12" hidden="1" x14ac:dyDescent="0.25">
      <c r="A6745" s="6"/>
      <c r="B6745" s="6"/>
      <c r="C6745" s="11"/>
      <c r="D6745" s="13"/>
      <c r="E6745" s="13"/>
      <c r="F6745" s="13"/>
      <c r="G6745" s="13"/>
      <c r="H6745" s="13"/>
      <c r="I6745" s="10"/>
      <c r="J6745" s="11"/>
      <c r="K6745" s="6"/>
      <c r="L6745" s="129"/>
    </row>
    <row r="6746" spans="1:12" hidden="1" x14ac:dyDescent="0.25">
      <c r="A6746" s="6"/>
      <c r="B6746" s="6"/>
      <c r="C6746" s="11"/>
      <c r="D6746" s="13"/>
      <c r="E6746" s="13"/>
      <c r="F6746" s="13"/>
      <c r="G6746" s="13"/>
      <c r="H6746" s="13"/>
      <c r="I6746" s="10"/>
      <c r="J6746" s="11"/>
      <c r="K6746" s="6"/>
      <c r="L6746" s="129"/>
    </row>
    <row r="6747" spans="1:12" hidden="1" x14ac:dyDescent="0.25">
      <c r="A6747" s="6"/>
      <c r="B6747" s="6"/>
      <c r="C6747" s="11"/>
      <c r="D6747" s="13"/>
      <c r="E6747" s="13"/>
      <c r="F6747" s="13"/>
      <c r="G6747" s="13"/>
      <c r="H6747" s="13"/>
      <c r="I6747" s="10"/>
      <c r="J6747" s="11"/>
      <c r="K6747" s="6"/>
      <c r="L6747" s="129"/>
    </row>
    <row r="6748" spans="1:12" hidden="1" x14ac:dyDescent="0.25">
      <c r="A6748" s="6"/>
      <c r="B6748" s="6"/>
      <c r="C6748" s="11"/>
      <c r="D6748" s="13"/>
      <c r="E6748" s="13"/>
      <c r="F6748" s="13"/>
      <c r="G6748" s="13"/>
      <c r="H6748" s="13"/>
      <c r="I6748" s="10"/>
      <c r="J6748" s="11"/>
      <c r="K6748" s="6"/>
      <c r="L6748" s="129"/>
    </row>
    <row r="6749" spans="1:12" hidden="1" x14ac:dyDescent="0.25">
      <c r="A6749" s="6"/>
      <c r="B6749" s="6"/>
      <c r="C6749" s="11"/>
      <c r="D6749" s="13"/>
      <c r="E6749" s="13"/>
      <c r="F6749" s="13"/>
      <c r="G6749" s="13"/>
      <c r="H6749" s="13"/>
      <c r="I6749" s="10"/>
      <c r="J6749" s="11"/>
      <c r="K6749" s="6"/>
      <c r="L6749" s="129"/>
    </row>
    <row r="6750" spans="1:12" hidden="1" x14ac:dyDescent="0.25">
      <c r="A6750" s="6"/>
      <c r="B6750" s="6"/>
      <c r="C6750" s="11"/>
      <c r="D6750" s="13"/>
      <c r="E6750" s="13"/>
      <c r="F6750" s="13"/>
      <c r="G6750" s="13"/>
      <c r="H6750" s="13"/>
      <c r="I6750" s="10"/>
      <c r="J6750" s="11"/>
      <c r="K6750" s="6"/>
      <c r="L6750" s="129"/>
    </row>
    <row r="6751" spans="1:12" hidden="1" x14ac:dyDescent="0.25">
      <c r="A6751" s="6"/>
      <c r="B6751" s="6"/>
      <c r="C6751" s="11"/>
      <c r="D6751" s="13"/>
      <c r="E6751" s="13"/>
      <c r="F6751" s="13"/>
      <c r="G6751" s="13"/>
      <c r="H6751" s="13"/>
      <c r="I6751" s="10"/>
      <c r="J6751" s="11"/>
      <c r="K6751" s="6"/>
      <c r="L6751" s="129"/>
    </row>
    <row r="6752" spans="1:12" hidden="1" x14ac:dyDescent="0.25">
      <c r="A6752" s="6"/>
      <c r="B6752" s="6"/>
      <c r="C6752" s="11"/>
      <c r="D6752" s="13"/>
      <c r="E6752" s="13"/>
      <c r="F6752" s="13"/>
      <c r="G6752" s="13"/>
      <c r="H6752" s="13"/>
      <c r="I6752" s="10"/>
      <c r="J6752" s="11"/>
      <c r="K6752" s="6"/>
      <c r="L6752" s="129"/>
    </row>
    <row r="6753" spans="1:12" hidden="1" x14ac:dyDescent="0.25">
      <c r="A6753" s="6"/>
      <c r="B6753" s="6"/>
      <c r="C6753" s="11"/>
      <c r="D6753" s="13"/>
      <c r="E6753" s="13"/>
      <c r="F6753" s="13"/>
      <c r="G6753" s="13"/>
      <c r="H6753" s="13"/>
      <c r="I6753" s="10"/>
      <c r="J6753" s="11"/>
      <c r="K6753" s="6"/>
      <c r="L6753" s="129"/>
    </row>
    <row r="6754" spans="1:12" hidden="1" x14ac:dyDescent="0.25">
      <c r="A6754" s="6"/>
      <c r="B6754" s="6"/>
      <c r="C6754" s="11"/>
      <c r="D6754" s="13"/>
      <c r="E6754" s="13"/>
      <c r="F6754" s="13"/>
      <c r="G6754" s="13"/>
      <c r="H6754" s="13"/>
      <c r="I6754" s="10"/>
      <c r="J6754" s="11"/>
      <c r="K6754" s="6"/>
      <c r="L6754" s="129"/>
    </row>
    <row r="6755" spans="1:12" hidden="1" x14ac:dyDescent="0.25">
      <c r="A6755" s="6"/>
      <c r="B6755" s="6"/>
      <c r="C6755" s="11"/>
      <c r="D6755" s="13"/>
      <c r="E6755" s="13"/>
      <c r="F6755" s="13"/>
      <c r="G6755" s="13"/>
      <c r="H6755" s="13"/>
      <c r="I6755" s="10"/>
      <c r="J6755" s="11"/>
      <c r="K6755" s="6"/>
      <c r="L6755" s="129"/>
    </row>
    <row r="6756" spans="1:12" hidden="1" x14ac:dyDescent="0.25">
      <c r="A6756" s="6"/>
      <c r="B6756" s="6"/>
      <c r="C6756" s="11"/>
      <c r="D6756" s="13"/>
      <c r="E6756" s="13"/>
      <c r="F6756" s="13"/>
      <c r="G6756" s="13"/>
      <c r="H6756" s="13"/>
      <c r="I6756" s="10"/>
      <c r="J6756" s="11"/>
      <c r="K6756" s="6"/>
      <c r="L6756" s="129"/>
    </row>
    <row r="6757" spans="1:12" hidden="1" x14ac:dyDescent="0.25">
      <c r="A6757" s="6"/>
      <c r="B6757" s="6"/>
      <c r="C6757" s="11"/>
      <c r="D6757" s="13"/>
      <c r="E6757" s="13"/>
      <c r="F6757" s="13"/>
      <c r="G6757" s="13"/>
      <c r="H6757" s="13"/>
      <c r="I6757" s="10"/>
      <c r="J6757" s="11"/>
      <c r="K6757" s="6"/>
      <c r="L6757" s="129"/>
    </row>
    <row r="6758" spans="1:12" hidden="1" x14ac:dyDescent="0.25">
      <c r="A6758" s="6"/>
      <c r="B6758" s="6"/>
      <c r="C6758" s="11"/>
      <c r="D6758" s="13"/>
      <c r="E6758" s="13"/>
      <c r="F6758" s="13"/>
      <c r="G6758" s="13"/>
      <c r="H6758" s="13"/>
      <c r="I6758" s="10"/>
      <c r="J6758" s="11"/>
      <c r="K6758" s="6"/>
      <c r="L6758" s="129"/>
    </row>
    <row r="6759" spans="1:12" hidden="1" x14ac:dyDescent="0.25">
      <c r="A6759" s="6"/>
      <c r="B6759" s="6"/>
      <c r="C6759" s="11"/>
      <c r="D6759" s="13"/>
      <c r="E6759" s="13"/>
      <c r="F6759" s="13"/>
      <c r="G6759" s="13"/>
      <c r="H6759" s="13"/>
      <c r="I6759" s="10"/>
      <c r="J6759" s="11"/>
      <c r="K6759" s="6"/>
      <c r="L6759" s="129"/>
    </row>
    <row r="6760" spans="1:12" hidden="1" x14ac:dyDescent="0.25">
      <c r="A6760" s="6"/>
      <c r="B6760" s="6"/>
      <c r="C6760" s="11"/>
      <c r="D6760" s="13"/>
      <c r="E6760" s="13"/>
      <c r="F6760" s="13"/>
      <c r="G6760" s="13"/>
      <c r="H6760" s="13"/>
      <c r="I6760" s="10"/>
      <c r="J6760" s="11"/>
      <c r="K6760" s="6"/>
      <c r="L6760" s="129"/>
    </row>
    <row r="6761" spans="1:12" hidden="1" x14ac:dyDescent="0.25">
      <c r="A6761" s="6"/>
      <c r="B6761" s="6"/>
      <c r="C6761" s="11"/>
      <c r="D6761" s="13"/>
      <c r="E6761" s="13"/>
      <c r="F6761" s="13"/>
      <c r="G6761" s="13"/>
      <c r="H6761" s="13"/>
      <c r="I6761" s="10"/>
      <c r="J6761" s="11"/>
      <c r="K6761" s="6"/>
      <c r="L6761" s="129"/>
    </row>
    <row r="6762" spans="1:12" hidden="1" x14ac:dyDescent="0.25">
      <c r="A6762" s="6"/>
      <c r="B6762" s="6"/>
      <c r="C6762" s="11"/>
      <c r="D6762" s="13"/>
      <c r="E6762" s="13"/>
      <c r="F6762" s="13"/>
      <c r="G6762" s="13"/>
      <c r="H6762" s="13"/>
      <c r="I6762" s="10"/>
      <c r="J6762" s="11"/>
      <c r="K6762" s="6"/>
      <c r="L6762" s="129"/>
    </row>
    <row r="6763" spans="1:12" hidden="1" x14ac:dyDescent="0.25">
      <c r="A6763" s="6"/>
      <c r="B6763" s="6"/>
      <c r="C6763" s="11"/>
      <c r="D6763" s="13"/>
      <c r="E6763" s="13"/>
      <c r="F6763" s="13"/>
      <c r="G6763" s="13"/>
      <c r="H6763" s="13"/>
      <c r="I6763" s="10"/>
      <c r="J6763" s="11"/>
      <c r="K6763" s="6"/>
      <c r="L6763" s="129"/>
    </row>
    <row r="6764" spans="1:12" hidden="1" x14ac:dyDescent="0.25">
      <c r="A6764" s="6"/>
      <c r="B6764" s="6"/>
      <c r="C6764" s="11"/>
      <c r="D6764" s="13"/>
      <c r="E6764" s="13"/>
      <c r="F6764" s="13"/>
      <c r="G6764" s="13"/>
      <c r="H6764" s="13"/>
      <c r="I6764" s="10"/>
      <c r="J6764" s="11"/>
      <c r="K6764" s="6"/>
      <c r="L6764" s="129"/>
    </row>
    <row r="6765" spans="1:12" hidden="1" x14ac:dyDescent="0.25">
      <c r="A6765" s="6"/>
      <c r="B6765" s="6"/>
      <c r="C6765" s="11"/>
      <c r="D6765" s="13"/>
      <c r="E6765" s="13"/>
      <c r="F6765" s="13"/>
      <c r="G6765" s="13"/>
      <c r="H6765" s="13"/>
      <c r="I6765" s="10"/>
      <c r="J6765" s="11"/>
      <c r="K6765" s="6"/>
      <c r="L6765" s="129"/>
    </row>
    <row r="6766" spans="1:12" hidden="1" x14ac:dyDescent="0.25">
      <c r="A6766" s="6"/>
      <c r="B6766" s="6"/>
      <c r="C6766" s="11"/>
      <c r="D6766" s="13"/>
      <c r="E6766" s="13"/>
      <c r="F6766" s="13"/>
      <c r="G6766" s="13"/>
      <c r="H6766" s="13"/>
      <c r="I6766" s="10"/>
      <c r="J6766" s="11"/>
      <c r="K6766" s="6"/>
      <c r="L6766" s="129"/>
    </row>
    <row r="6767" spans="1:12" hidden="1" x14ac:dyDescent="0.25">
      <c r="A6767" s="6"/>
      <c r="B6767" s="6"/>
      <c r="C6767" s="11"/>
      <c r="D6767" s="13"/>
      <c r="E6767" s="13"/>
      <c r="F6767" s="13"/>
      <c r="G6767" s="13"/>
      <c r="H6767" s="13"/>
      <c r="I6767" s="10"/>
      <c r="J6767" s="11"/>
      <c r="K6767" s="6"/>
      <c r="L6767" s="129"/>
    </row>
    <row r="6768" spans="1:12" hidden="1" x14ac:dyDescent="0.25">
      <c r="A6768" s="6"/>
      <c r="B6768" s="6"/>
      <c r="C6768" s="11"/>
      <c r="D6768" s="13"/>
      <c r="E6768" s="13"/>
      <c r="F6768" s="13"/>
      <c r="G6768" s="13"/>
      <c r="H6768" s="13"/>
      <c r="I6768" s="10"/>
      <c r="J6768" s="11"/>
      <c r="K6768" s="6"/>
      <c r="L6768" s="129"/>
    </row>
    <row r="6769" spans="1:12" hidden="1" x14ac:dyDescent="0.25">
      <c r="A6769" s="6"/>
      <c r="B6769" s="6"/>
      <c r="C6769" s="11"/>
      <c r="D6769" s="13"/>
      <c r="E6769" s="13"/>
      <c r="F6769" s="13"/>
      <c r="G6769" s="13"/>
      <c r="H6769" s="13"/>
      <c r="I6769" s="10"/>
      <c r="J6769" s="11"/>
      <c r="K6769" s="6"/>
      <c r="L6769" s="129"/>
    </row>
    <row r="6770" spans="1:12" hidden="1" x14ac:dyDescent="0.25">
      <c r="A6770" s="6"/>
      <c r="B6770" s="6"/>
      <c r="C6770" s="11"/>
      <c r="D6770" s="13"/>
      <c r="E6770" s="13"/>
      <c r="F6770" s="13"/>
      <c r="G6770" s="13"/>
      <c r="H6770" s="13"/>
      <c r="I6770" s="10"/>
      <c r="J6770" s="11"/>
      <c r="K6770" s="6"/>
      <c r="L6770" s="129"/>
    </row>
    <row r="6771" spans="1:12" hidden="1" x14ac:dyDescent="0.25">
      <c r="A6771" s="6"/>
      <c r="B6771" s="6"/>
      <c r="C6771" s="11"/>
      <c r="D6771" s="13"/>
      <c r="E6771" s="13"/>
      <c r="F6771" s="13"/>
      <c r="G6771" s="13"/>
      <c r="H6771" s="13"/>
      <c r="I6771" s="10"/>
      <c r="J6771" s="11"/>
      <c r="K6771" s="6"/>
      <c r="L6771" s="129"/>
    </row>
    <row r="6772" spans="1:12" hidden="1" x14ac:dyDescent="0.25">
      <c r="A6772" s="6"/>
      <c r="B6772" s="6"/>
      <c r="C6772" s="11"/>
      <c r="D6772" s="13"/>
      <c r="E6772" s="13"/>
      <c r="F6772" s="13"/>
      <c r="G6772" s="13"/>
      <c r="H6772" s="13"/>
      <c r="I6772" s="10"/>
      <c r="J6772" s="11"/>
      <c r="K6772" s="6"/>
      <c r="L6772" s="129"/>
    </row>
    <row r="6773" spans="1:12" hidden="1" x14ac:dyDescent="0.25">
      <c r="A6773" s="6"/>
      <c r="B6773" s="6"/>
      <c r="C6773" s="11"/>
      <c r="D6773" s="13"/>
      <c r="E6773" s="13"/>
      <c r="F6773" s="13"/>
      <c r="G6773" s="13"/>
      <c r="H6773" s="13"/>
      <c r="I6773" s="10"/>
      <c r="J6773" s="11"/>
      <c r="K6773" s="6"/>
      <c r="L6773" s="129"/>
    </row>
    <row r="6774" spans="1:12" hidden="1" x14ac:dyDescent="0.25">
      <c r="A6774" s="6"/>
      <c r="B6774" s="6"/>
      <c r="C6774" s="11"/>
      <c r="D6774" s="13"/>
      <c r="E6774" s="13"/>
      <c r="F6774" s="13"/>
      <c r="G6774" s="13"/>
      <c r="H6774" s="13"/>
      <c r="I6774" s="10"/>
      <c r="J6774" s="11"/>
      <c r="K6774" s="6"/>
      <c r="L6774" s="129"/>
    </row>
    <row r="6775" spans="1:12" hidden="1" x14ac:dyDescent="0.25">
      <c r="A6775" s="6"/>
      <c r="B6775" s="6"/>
      <c r="C6775" s="11"/>
      <c r="D6775" s="13"/>
      <c r="E6775" s="13"/>
      <c r="F6775" s="13"/>
      <c r="G6775" s="13"/>
      <c r="H6775" s="13"/>
      <c r="I6775" s="10"/>
      <c r="J6775" s="11"/>
      <c r="K6775" s="6"/>
      <c r="L6775" s="129"/>
    </row>
    <row r="6776" spans="1:12" hidden="1" x14ac:dyDescent="0.25">
      <c r="A6776" s="6"/>
      <c r="B6776" s="6"/>
      <c r="C6776" s="11"/>
      <c r="D6776" s="13"/>
      <c r="E6776" s="13"/>
      <c r="F6776" s="13"/>
      <c r="G6776" s="13"/>
      <c r="H6776" s="13"/>
      <c r="I6776" s="10"/>
      <c r="J6776" s="11"/>
      <c r="K6776" s="6"/>
      <c r="L6776" s="129"/>
    </row>
    <row r="6777" spans="1:12" hidden="1" x14ac:dyDescent="0.25">
      <c r="A6777" s="6"/>
      <c r="B6777" s="6"/>
      <c r="C6777" s="11"/>
      <c r="D6777" s="13"/>
      <c r="E6777" s="13"/>
      <c r="F6777" s="13"/>
      <c r="G6777" s="13"/>
      <c r="H6777" s="13"/>
      <c r="I6777" s="10"/>
      <c r="J6777" s="11"/>
      <c r="K6777" s="6"/>
      <c r="L6777" s="129"/>
    </row>
    <row r="6778" spans="1:12" hidden="1" x14ac:dyDescent="0.25">
      <c r="A6778" s="6"/>
      <c r="B6778" s="6"/>
      <c r="C6778" s="11"/>
      <c r="D6778" s="13"/>
      <c r="E6778" s="13"/>
      <c r="F6778" s="13"/>
      <c r="G6778" s="13"/>
      <c r="H6778" s="13"/>
      <c r="I6778" s="10"/>
      <c r="J6778" s="11"/>
      <c r="K6778" s="6"/>
      <c r="L6778" s="129"/>
    </row>
    <row r="6779" spans="1:12" hidden="1" x14ac:dyDescent="0.25">
      <c r="A6779" s="6"/>
      <c r="B6779" s="6"/>
      <c r="C6779" s="11"/>
      <c r="D6779" s="13"/>
      <c r="E6779" s="13"/>
      <c r="F6779" s="13"/>
      <c r="G6779" s="13"/>
      <c r="H6779" s="13"/>
      <c r="I6779" s="10"/>
      <c r="J6779" s="11"/>
      <c r="K6779" s="6"/>
      <c r="L6779" s="129"/>
    </row>
    <row r="6780" spans="1:12" hidden="1" x14ac:dyDescent="0.25">
      <c r="A6780" s="6"/>
      <c r="B6780" s="6"/>
      <c r="C6780" s="11"/>
      <c r="D6780" s="13"/>
      <c r="E6780" s="13"/>
      <c r="F6780" s="13"/>
      <c r="G6780" s="13"/>
      <c r="H6780" s="13"/>
      <c r="I6780" s="10"/>
      <c r="J6780" s="11"/>
      <c r="K6780" s="6"/>
      <c r="L6780" s="129"/>
    </row>
    <row r="6781" spans="1:12" hidden="1" x14ac:dyDescent="0.25">
      <c r="A6781" s="6"/>
      <c r="B6781" s="6"/>
      <c r="C6781" s="11"/>
      <c r="D6781" s="13"/>
      <c r="E6781" s="13"/>
      <c r="F6781" s="13"/>
      <c r="G6781" s="13"/>
      <c r="H6781" s="13"/>
      <c r="I6781" s="10"/>
      <c r="J6781" s="11"/>
      <c r="K6781" s="6"/>
      <c r="L6781" s="129"/>
    </row>
    <row r="6782" spans="1:12" hidden="1" x14ac:dyDescent="0.25">
      <c r="A6782" s="6"/>
      <c r="B6782" s="6"/>
      <c r="C6782" s="11"/>
      <c r="D6782" s="13"/>
      <c r="E6782" s="13"/>
      <c r="F6782" s="13"/>
      <c r="G6782" s="13"/>
      <c r="H6782" s="13"/>
      <c r="I6782" s="10"/>
      <c r="J6782" s="11"/>
      <c r="K6782" s="6"/>
      <c r="L6782" s="129"/>
    </row>
    <row r="6783" spans="1:12" hidden="1" x14ac:dyDescent="0.25">
      <c r="A6783" s="6"/>
      <c r="B6783" s="6"/>
      <c r="C6783" s="11"/>
      <c r="D6783" s="13"/>
      <c r="E6783" s="13"/>
      <c r="F6783" s="13"/>
      <c r="G6783" s="13"/>
      <c r="H6783" s="13"/>
      <c r="I6783" s="10"/>
      <c r="J6783" s="11"/>
      <c r="K6783" s="6"/>
      <c r="L6783" s="129"/>
    </row>
    <row r="6784" spans="1:12" hidden="1" x14ac:dyDescent="0.25">
      <c r="A6784" s="6"/>
      <c r="B6784" s="6"/>
      <c r="C6784" s="11"/>
      <c r="D6784" s="13"/>
      <c r="E6784" s="13"/>
      <c r="F6784" s="13"/>
      <c r="G6784" s="13"/>
      <c r="H6784" s="13"/>
      <c r="I6784" s="10"/>
      <c r="J6784" s="11"/>
      <c r="K6784" s="6"/>
      <c r="L6784" s="129"/>
    </row>
    <row r="6785" spans="1:12" hidden="1" x14ac:dyDescent="0.25">
      <c r="A6785" s="6"/>
      <c r="B6785" s="6"/>
      <c r="C6785" s="11"/>
      <c r="D6785" s="13"/>
      <c r="E6785" s="13"/>
      <c r="F6785" s="13"/>
      <c r="G6785" s="13"/>
      <c r="H6785" s="13"/>
      <c r="I6785" s="10"/>
      <c r="J6785" s="11"/>
      <c r="K6785" s="6"/>
      <c r="L6785" s="129"/>
    </row>
    <row r="6786" spans="1:12" hidden="1" x14ac:dyDescent="0.25">
      <c r="A6786" s="6"/>
      <c r="B6786" s="6"/>
      <c r="C6786" s="11"/>
      <c r="D6786" s="13"/>
      <c r="E6786" s="13"/>
      <c r="F6786" s="13"/>
      <c r="G6786" s="13"/>
      <c r="H6786" s="13"/>
      <c r="I6786" s="10"/>
      <c r="J6786" s="11"/>
      <c r="K6786" s="6"/>
      <c r="L6786" s="129"/>
    </row>
    <row r="6787" spans="1:12" hidden="1" x14ac:dyDescent="0.25">
      <c r="A6787" s="6"/>
      <c r="B6787" s="6"/>
      <c r="C6787" s="11"/>
      <c r="D6787" s="13"/>
      <c r="E6787" s="13"/>
      <c r="F6787" s="13"/>
      <c r="G6787" s="13"/>
      <c r="H6787" s="13"/>
      <c r="I6787" s="10"/>
      <c r="J6787" s="11"/>
      <c r="K6787" s="6"/>
      <c r="L6787" s="129"/>
    </row>
    <row r="6788" spans="1:12" hidden="1" x14ac:dyDescent="0.25">
      <c r="A6788" s="6"/>
      <c r="B6788" s="6"/>
      <c r="C6788" s="11"/>
      <c r="D6788" s="13"/>
      <c r="E6788" s="13"/>
      <c r="F6788" s="13"/>
      <c r="G6788" s="13"/>
      <c r="H6788" s="13"/>
      <c r="I6788" s="10"/>
      <c r="J6788" s="11"/>
      <c r="K6788" s="6"/>
      <c r="L6788" s="129"/>
    </row>
    <row r="6789" spans="1:12" hidden="1" x14ac:dyDescent="0.25">
      <c r="A6789" s="6"/>
      <c r="B6789" s="6"/>
      <c r="C6789" s="11"/>
      <c r="D6789" s="13"/>
      <c r="E6789" s="13"/>
      <c r="F6789" s="13"/>
      <c r="G6789" s="13"/>
      <c r="H6789" s="13"/>
      <c r="I6789" s="10"/>
      <c r="J6789" s="11"/>
      <c r="K6789" s="6"/>
      <c r="L6789" s="129"/>
    </row>
    <row r="6790" spans="1:12" hidden="1" x14ac:dyDescent="0.25">
      <c r="A6790" s="6"/>
      <c r="B6790" s="6"/>
      <c r="C6790" s="11"/>
      <c r="D6790" s="13"/>
      <c r="E6790" s="13"/>
      <c r="F6790" s="13"/>
      <c r="G6790" s="13"/>
      <c r="H6790" s="13"/>
      <c r="I6790" s="10"/>
      <c r="J6790" s="11"/>
      <c r="K6790" s="6"/>
      <c r="L6790" s="129"/>
    </row>
    <row r="6791" spans="1:12" hidden="1" x14ac:dyDescent="0.25">
      <c r="A6791" s="6"/>
      <c r="B6791" s="6"/>
      <c r="C6791" s="11"/>
      <c r="D6791" s="13"/>
      <c r="E6791" s="13"/>
      <c r="F6791" s="13"/>
      <c r="G6791" s="13"/>
      <c r="H6791" s="13"/>
      <c r="I6791" s="10"/>
      <c r="J6791" s="11"/>
      <c r="K6791" s="6"/>
      <c r="L6791" s="129"/>
    </row>
    <row r="6792" spans="1:12" hidden="1" x14ac:dyDescent="0.25">
      <c r="A6792" s="6"/>
      <c r="B6792" s="6"/>
      <c r="C6792" s="11"/>
      <c r="D6792" s="13"/>
      <c r="E6792" s="13"/>
      <c r="F6792" s="13"/>
      <c r="G6792" s="13"/>
      <c r="H6792" s="13"/>
      <c r="I6792" s="10"/>
      <c r="J6792" s="11"/>
      <c r="K6792" s="6"/>
      <c r="L6792" s="129"/>
    </row>
    <row r="6793" spans="1:12" hidden="1" x14ac:dyDescent="0.25">
      <c r="A6793" s="6"/>
      <c r="B6793" s="6"/>
      <c r="C6793" s="11"/>
      <c r="D6793" s="13"/>
      <c r="E6793" s="13"/>
      <c r="F6793" s="13"/>
      <c r="G6793" s="13"/>
      <c r="H6793" s="13"/>
      <c r="I6793" s="10"/>
      <c r="J6793" s="11"/>
      <c r="K6793" s="6"/>
      <c r="L6793" s="129"/>
    </row>
    <row r="6794" spans="1:12" hidden="1" x14ac:dyDescent="0.25">
      <c r="A6794" s="6"/>
      <c r="B6794" s="6"/>
      <c r="C6794" s="11"/>
      <c r="D6794" s="13"/>
      <c r="E6794" s="13"/>
      <c r="F6794" s="13"/>
      <c r="G6794" s="13"/>
      <c r="H6794" s="13"/>
      <c r="I6794" s="10"/>
      <c r="J6794" s="11"/>
      <c r="K6794" s="6"/>
      <c r="L6794" s="129"/>
    </row>
    <row r="6795" spans="1:12" hidden="1" x14ac:dyDescent="0.25">
      <c r="A6795" s="6"/>
      <c r="B6795" s="6"/>
      <c r="C6795" s="11"/>
      <c r="D6795" s="13"/>
      <c r="E6795" s="13"/>
      <c r="F6795" s="13"/>
      <c r="G6795" s="13"/>
      <c r="H6795" s="13"/>
      <c r="I6795" s="10"/>
      <c r="J6795" s="11"/>
      <c r="K6795" s="6"/>
      <c r="L6795" s="129"/>
    </row>
    <row r="6796" spans="1:12" hidden="1" x14ac:dyDescent="0.25">
      <c r="A6796" s="6"/>
      <c r="B6796" s="6"/>
      <c r="C6796" s="11"/>
      <c r="D6796" s="13"/>
      <c r="E6796" s="13"/>
      <c r="F6796" s="13"/>
      <c r="G6796" s="13"/>
      <c r="H6796" s="13"/>
      <c r="I6796" s="10"/>
      <c r="J6796" s="11"/>
      <c r="K6796" s="6"/>
      <c r="L6796" s="129"/>
    </row>
    <row r="6797" spans="1:12" hidden="1" x14ac:dyDescent="0.25">
      <c r="A6797" s="6"/>
      <c r="B6797" s="6"/>
      <c r="C6797" s="11"/>
      <c r="D6797" s="13"/>
      <c r="E6797" s="13"/>
      <c r="F6797" s="13"/>
      <c r="G6797" s="13"/>
      <c r="H6797" s="13"/>
      <c r="I6797" s="10"/>
      <c r="J6797" s="11"/>
      <c r="K6797" s="6"/>
      <c r="L6797" s="129"/>
    </row>
    <row r="6798" spans="1:12" hidden="1" x14ac:dyDescent="0.25">
      <c r="A6798" s="6"/>
      <c r="B6798" s="6"/>
      <c r="C6798" s="11"/>
      <c r="D6798" s="13"/>
      <c r="E6798" s="13"/>
      <c r="F6798" s="13"/>
      <c r="G6798" s="13"/>
      <c r="H6798" s="13"/>
      <c r="I6798" s="10"/>
      <c r="J6798" s="11"/>
      <c r="K6798" s="6"/>
      <c r="L6798" s="129"/>
    </row>
    <row r="6799" spans="1:12" hidden="1" x14ac:dyDescent="0.25">
      <c r="A6799" s="6"/>
      <c r="B6799" s="6"/>
      <c r="C6799" s="11"/>
      <c r="D6799" s="13"/>
      <c r="E6799" s="13"/>
      <c r="F6799" s="13"/>
      <c r="G6799" s="13"/>
      <c r="H6799" s="13"/>
      <c r="I6799" s="10"/>
      <c r="J6799" s="11"/>
      <c r="K6799" s="6"/>
      <c r="L6799" s="129"/>
    </row>
    <row r="6800" spans="1:12" hidden="1" x14ac:dyDescent="0.25">
      <c r="A6800" s="6"/>
      <c r="B6800" s="6"/>
      <c r="C6800" s="11"/>
      <c r="D6800" s="13"/>
      <c r="E6800" s="13"/>
      <c r="F6800" s="13"/>
      <c r="G6800" s="13"/>
      <c r="H6800" s="13"/>
      <c r="I6800" s="10"/>
      <c r="J6800" s="11"/>
      <c r="K6800" s="6"/>
      <c r="L6800" s="129"/>
    </row>
    <row r="6801" spans="1:12" hidden="1" x14ac:dyDescent="0.25">
      <c r="A6801" s="6"/>
      <c r="B6801" s="6"/>
      <c r="C6801" s="11"/>
      <c r="D6801" s="13"/>
      <c r="E6801" s="13"/>
      <c r="F6801" s="13"/>
      <c r="G6801" s="13"/>
      <c r="H6801" s="13"/>
      <c r="I6801" s="10"/>
      <c r="J6801" s="11"/>
      <c r="K6801" s="6"/>
      <c r="L6801" s="129"/>
    </row>
    <row r="6802" spans="1:12" hidden="1" x14ac:dyDescent="0.25">
      <c r="A6802" s="6"/>
      <c r="B6802" s="6"/>
      <c r="C6802" s="11"/>
      <c r="D6802" s="13"/>
      <c r="E6802" s="13"/>
      <c r="F6802" s="13"/>
      <c r="G6802" s="13"/>
      <c r="H6802" s="13"/>
      <c r="I6802" s="10"/>
      <c r="J6802" s="11"/>
      <c r="K6802" s="6"/>
      <c r="L6802" s="129"/>
    </row>
    <row r="6803" spans="1:12" hidden="1" x14ac:dyDescent="0.25">
      <c r="A6803" s="6"/>
      <c r="B6803" s="6"/>
      <c r="C6803" s="11"/>
      <c r="D6803" s="13"/>
      <c r="E6803" s="13"/>
      <c r="F6803" s="13"/>
      <c r="G6803" s="13"/>
      <c r="H6803" s="13"/>
      <c r="I6803" s="10"/>
      <c r="J6803" s="11"/>
      <c r="K6803" s="6"/>
      <c r="L6803" s="129"/>
    </row>
    <row r="6804" spans="1:12" hidden="1" x14ac:dyDescent="0.25">
      <c r="A6804" s="6"/>
      <c r="B6804" s="6"/>
      <c r="C6804" s="11"/>
      <c r="D6804" s="13"/>
      <c r="E6804" s="13"/>
      <c r="F6804" s="13"/>
      <c r="G6804" s="13"/>
      <c r="H6804" s="13"/>
      <c r="I6804" s="10"/>
      <c r="J6804" s="11"/>
      <c r="K6804" s="6"/>
      <c r="L6804" s="129"/>
    </row>
    <row r="6805" spans="1:12" hidden="1" x14ac:dyDescent="0.25">
      <c r="A6805" s="6"/>
      <c r="B6805" s="6"/>
      <c r="C6805" s="11"/>
      <c r="D6805" s="13"/>
      <c r="E6805" s="13"/>
      <c r="F6805" s="13"/>
      <c r="G6805" s="13"/>
      <c r="H6805" s="13"/>
      <c r="I6805" s="10"/>
      <c r="J6805" s="11"/>
      <c r="K6805" s="6"/>
      <c r="L6805" s="129"/>
    </row>
    <row r="6806" spans="1:12" hidden="1" x14ac:dyDescent="0.25">
      <c r="A6806" s="6"/>
      <c r="B6806" s="6"/>
      <c r="C6806" s="11"/>
      <c r="D6806" s="13"/>
      <c r="E6806" s="13"/>
      <c r="F6806" s="13"/>
      <c r="G6806" s="13"/>
      <c r="H6806" s="13"/>
      <c r="I6806" s="10"/>
      <c r="J6806" s="11"/>
      <c r="K6806" s="6"/>
      <c r="L6806" s="129"/>
    </row>
    <row r="6807" spans="1:12" hidden="1" x14ac:dyDescent="0.25">
      <c r="A6807" s="6"/>
      <c r="B6807" s="6"/>
      <c r="C6807" s="11"/>
      <c r="D6807" s="13"/>
      <c r="E6807" s="13"/>
      <c r="F6807" s="13"/>
      <c r="G6807" s="13"/>
      <c r="H6807" s="13"/>
      <c r="I6807" s="10"/>
      <c r="J6807" s="11"/>
      <c r="K6807" s="6"/>
      <c r="L6807" s="129"/>
    </row>
    <row r="6808" spans="1:12" hidden="1" x14ac:dyDescent="0.25">
      <c r="A6808" s="6"/>
      <c r="B6808" s="6"/>
      <c r="C6808" s="11"/>
      <c r="D6808" s="13"/>
      <c r="E6808" s="13"/>
      <c r="F6808" s="13"/>
      <c r="G6808" s="13"/>
      <c r="H6808" s="13"/>
      <c r="I6808" s="10"/>
      <c r="J6808" s="11"/>
      <c r="K6808" s="6"/>
      <c r="L6808" s="129"/>
    </row>
    <row r="6809" spans="1:12" hidden="1" x14ac:dyDescent="0.25">
      <c r="A6809" s="6"/>
      <c r="B6809" s="6"/>
      <c r="C6809" s="11"/>
      <c r="D6809" s="13"/>
      <c r="E6809" s="13"/>
      <c r="F6809" s="13"/>
      <c r="G6809" s="13"/>
      <c r="H6809" s="13"/>
      <c r="I6809" s="10"/>
      <c r="J6809" s="11"/>
      <c r="K6809" s="6"/>
      <c r="L6809" s="129"/>
    </row>
    <row r="6810" spans="1:12" hidden="1" x14ac:dyDescent="0.25">
      <c r="A6810" s="6"/>
      <c r="B6810" s="6"/>
      <c r="C6810" s="11"/>
      <c r="D6810" s="13"/>
      <c r="E6810" s="13"/>
      <c r="F6810" s="13"/>
      <c r="G6810" s="13"/>
      <c r="H6810" s="13"/>
      <c r="I6810" s="10"/>
      <c r="J6810" s="11"/>
      <c r="K6810" s="6"/>
      <c r="L6810" s="129"/>
    </row>
    <row r="6811" spans="1:12" hidden="1" x14ac:dyDescent="0.25">
      <c r="A6811" s="6"/>
      <c r="B6811" s="6"/>
      <c r="C6811" s="11"/>
      <c r="D6811" s="13"/>
      <c r="E6811" s="13"/>
      <c r="F6811" s="13"/>
      <c r="G6811" s="13"/>
      <c r="H6811" s="13"/>
      <c r="I6811" s="10"/>
      <c r="J6811" s="11"/>
      <c r="K6811" s="6"/>
      <c r="L6811" s="129"/>
    </row>
    <row r="6812" spans="1:12" hidden="1" x14ac:dyDescent="0.25">
      <c r="A6812" s="6"/>
      <c r="B6812" s="6"/>
      <c r="C6812" s="11"/>
      <c r="D6812" s="13"/>
      <c r="E6812" s="13"/>
      <c r="F6812" s="13"/>
      <c r="G6812" s="13"/>
      <c r="H6812" s="13"/>
      <c r="I6812" s="10"/>
      <c r="J6812" s="11"/>
      <c r="K6812" s="6"/>
      <c r="L6812" s="129"/>
    </row>
    <row r="6813" spans="1:12" hidden="1" x14ac:dyDescent="0.25">
      <c r="A6813" s="6"/>
      <c r="B6813" s="6"/>
      <c r="C6813" s="11"/>
      <c r="D6813" s="13"/>
      <c r="E6813" s="13"/>
      <c r="F6813" s="13"/>
      <c r="G6813" s="13"/>
      <c r="H6813" s="13"/>
      <c r="I6813" s="10"/>
      <c r="J6813" s="11"/>
      <c r="K6813" s="6"/>
      <c r="L6813" s="129"/>
    </row>
    <row r="6814" spans="1:12" hidden="1" x14ac:dyDescent="0.25">
      <c r="A6814" s="6"/>
      <c r="B6814" s="6"/>
      <c r="C6814" s="11"/>
      <c r="D6814" s="13"/>
      <c r="E6814" s="13"/>
      <c r="F6814" s="13"/>
      <c r="G6814" s="13"/>
      <c r="H6814" s="13"/>
      <c r="I6814" s="10"/>
      <c r="J6814" s="11"/>
      <c r="K6814" s="6"/>
      <c r="L6814" s="129"/>
    </row>
    <row r="6815" spans="1:12" hidden="1" x14ac:dyDescent="0.25">
      <c r="A6815" s="6"/>
      <c r="B6815" s="6"/>
      <c r="C6815" s="11"/>
      <c r="D6815" s="13"/>
      <c r="E6815" s="13"/>
      <c r="F6815" s="13"/>
      <c r="G6815" s="13"/>
      <c r="H6815" s="13"/>
      <c r="I6815" s="10"/>
      <c r="J6815" s="11"/>
      <c r="K6815" s="6"/>
      <c r="L6815" s="129"/>
    </row>
    <row r="6816" spans="1:12" hidden="1" x14ac:dyDescent="0.25">
      <c r="A6816" s="6"/>
      <c r="B6816" s="6"/>
      <c r="C6816" s="11"/>
      <c r="D6816" s="13"/>
      <c r="E6816" s="13"/>
      <c r="F6816" s="13"/>
      <c r="G6816" s="13"/>
      <c r="H6816" s="13"/>
      <c r="I6816" s="10"/>
      <c r="J6816" s="11"/>
      <c r="K6816" s="6"/>
      <c r="L6816" s="129"/>
    </row>
    <row r="6817" spans="1:12" hidden="1" x14ac:dyDescent="0.25">
      <c r="A6817" s="6"/>
      <c r="B6817" s="6"/>
      <c r="C6817" s="11"/>
      <c r="D6817" s="13"/>
      <c r="E6817" s="13"/>
      <c r="F6817" s="13"/>
      <c r="G6817" s="13"/>
      <c r="H6817" s="13"/>
      <c r="I6817" s="10"/>
      <c r="J6817" s="11"/>
      <c r="K6817" s="6"/>
      <c r="L6817" s="129"/>
    </row>
    <row r="6818" spans="1:12" hidden="1" x14ac:dyDescent="0.25">
      <c r="A6818" s="6"/>
      <c r="B6818" s="6"/>
      <c r="C6818" s="11"/>
      <c r="D6818" s="13"/>
      <c r="E6818" s="13"/>
      <c r="F6818" s="13"/>
      <c r="G6818" s="13"/>
      <c r="H6818" s="13"/>
      <c r="I6818" s="10"/>
      <c r="J6818" s="11"/>
      <c r="K6818" s="6"/>
      <c r="L6818" s="129"/>
    </row>
    <row r="6819" spans="1:12" hidden="1" x14ac:dyDescent="0.25">
      <c r="A6819" s="6"/>
      <c r="B6819" s="6"/>
      <c r="C6819" s="11"/>
      <c r="D6819" s="13"/>
      <c r="E6819" s="13"/>
      <c r="F6819" s="13"/>
      <c r="G6819" s="13"/>
      <c r="H6819" s="13"/>
      <c r="I6819" s="10"/>
      <c r="J6819" s="11"/>
      <c r="K6819" s="6"/>
      <c r="L6819" s="129"/>
    </row>
    <row r="6820" spans="1:12" hidden="1" x14ac:dyDescent="0.25">
      <c r="A6820" s="6"/>
      <c r="B6820" s="6"/>
      <c r="C6820" s="11"/>
      <c r="D6820" s="13"/>
      <c r="E6820" s="13"/>
      <c r="F6820" s="13"/>
      <c r="G6820" s="13"/>
      <c r="H6820" s="13"/>
      <c r="I6820" s="10"/>
      <c r="J6820" s="11"/>
      <c r="K6820" s="6"/>
      <c r="L6820" s="129"/>
    </row>
    <row r="6821" spans="1:12" hidden="1" x14ac:dyDescent="0.25">
      <c r="A6821" s="6"/>
      <c r="B6821" s="6"/>
      <c r="C6821" s="11"/>
      <c r="D6821" s="13"/>
      <c r="E6821" s="13"/>
      <c r="F6821" s="13"/>
      <c r="G6821" s="13"/>
      <c r="H6821" s="13"/>
      <c r="I6821" s="10"/>
      <c r="J6821" s="11"/>
      <c r="K6821" s="6"/>
      <c r="L6821" s="129"/>
    </row>
    <row r="6822" spans="1:12" hidden="1" x14ac:dyDescent="0.25">
      <c r="A6822" s="6"/>
      <c r="B6822" s="6"/>
      <c r="C6822" s="11"/>
      <c r="D6822" s="13"/>
      <c r="E6822" s="13"/>
      <c r="F6822" s="13"/>
      <c r="G6822" s="13"/>
      <c r="H6822" s="13"/>
      <c r="I6822" s="10"/>
      <c r="J6822" s="11"/>
      <c r="K6822" s="6"/>
      <c r="L6822" s="129"/>
    </row>
    <row r="6823" spans="1:12" hidden="1" x14ac:dyDescent="0.25">
      <c r="A6823" s="6"/>
      <c r="B6823" s="6"/>
      <c r="C6823" s="11"/>
      <c r="D6823" s="13"/>
      <c r="E6823" s="13"/>
      <c r="F6823" s="13"/>
      <c r="G6823" s="13"/>
      <c r="H6823" s="13"/>
      <c r="I6823" s="10"/>
      <c r="J6823" s="11"/>
      <c r="K6823" s="6"/>
      <c r="L6823" s="129"/>
    </row>
    <row r="6824" spans="1:12" hidden="1" x14ac:dyDescent="0.25">
      <c r="A6824" s="6"/>
      <c r="B6824" s="6"/>
      <c r="C6824" s="11"/>
      <c r="D6824" s="13"/>
      <c r="E6824" s="13"/>
      <c r="F6824" s="13"/>
      <c r="G6824" s="13"/>
      <c r="H6824" s="13"/>
      <c r="I6824" s="10"/>
      <c r="J6824" s="11"/>
      <c r="K6824" s="6"/>
      <c r="L6824" s="129"/>
    </row>
    <row r="6825" spans="1:12" hidden="1" x14ac:dyDescent="0.25">
      <c r="A6825" s="6"/>
      <c r="B6825" s="6"/>
      <c r="C6825" s="11"/>
      <c r="D6825" s="13"/>
      <c r="E6825" s="13"/>
      <c r="F6825" s="13"/>
      <c r="G6825" s="13"/>
      <c r="H6825" s="13"/>
      <c r="I6825" s="10"/>
      <c r="J6825" s="11"/>
      <c r="K6825" s="6"/>
      <c r="L6825" s="129"/>
    </row>
    <row r="6826" spans="1:12" hidden="1" x14ac:dyDescent="0.25">
      <c r="A6826" s="6"/>
      <c r="B6826" s="6"/>
      <c r="C6826" s="11"/>
      <c r="D6826" s="13"/>
      <c r="E6826" s="13"/>
      <c r="F6826" s="13"/>
      <c r="G6826" s="13"/>
      <c r="H6826" s="13"/>
      <c r="I6826" s="10"/>
      <c r="J6826" s="11"/>
      <c r="K6826" s="6"/>
      <c r="L6826" s="129"/>
    </row>
    <row r="6827" spans="1:12" hidden="1" x14ac:dyDescent="0.25">
      <c r="A6827" s="6"/>
      <c r="B6827" s="6"/>
      <c r="C6827" s="11"/>
      <c r="D6827" s="13"/>
      <c r="E6827" s="13"/>
      <c r="F6827" s="13"/>
      <c r="G6827" s="13"/>
      <c r="H6827" s="13"/>
      <c r="I6827" s="10"/>
      <c r="J6827" s="11"/>
      <c r="K6827" s="6"/>
      <c r="L6827" s="129"/>
    </row>
    <row r="6828" spans="1:12" hidden="1" x14ac:dyDescent="0.25">
      <c r="A6828" s="6"/>
      <c r="B6828" s="6"/>
      <c r="C6828" s="11"/>
      <c r="D6828" s="13"/>
      <c r="E6828" s="13"/>
      <c r="F6828" s="13"/>
      <c r="G6828" s="13"/>
      <c r="H6828" s="13"/>
      <c r="I6828" s="10"/>
      <c r="J6828" s="11"/>
      <c r="K6828" s="6"/>
      <c r="L6828" s="129"/>
    </row>
    <row r="6829" spans="1:12" hidden="1" x14ac:dyDescent="0.25">
      <c r="A6829" s="6"/>
      <c r="B6829" s="6"/>
      <c r="C6829" s="11"/>
      <c r="D6829" s="13"/>
      <c r="E6829" s="13"/>
      <c r="F6829" s="13"/>
      <c r="G6829" s="13"/>
      <c r="H6829" s="13"/>
      <c r="I6829" s="10"/>
      <c r="J6829" s="11"/>
      <c r="K6829" s="6"/>
      <c r="L6829" s="129"/>
    </row>
    <row r="6830" spans="1:12" hidden="1" x14ac:dyDescent="0.25">
      <c r="A6830" s="6"/>
      <c r="B6830" s="6"/>
      <c r="C6830" s="11"/>
      <c r="D6830" s="13"/>
      <c r="E6830" s="13"/>
      <c r="F6830" s="13"/>
      <c r="G6830" s="13"/>
      <c r="H6830" s="13"/>
      <c r="I6830" s="10"/>
      <c r="J6830" s="11"/>
      <c r="K6830" s="6"/>
      <c r="L6830" s="129"/>
    </row>
    <row r="6831" spans="1:12" hidden="1" x14ac:dyDescent="0.25">
      <c r="A6831" s="6"/>
      <c r="B6831" s="6"/>
      <c r="C6831" s="11"/>
      <c r="D6831" s="13"/>
      <c r="E6831" s="13"/>
      <c r="F6831" s="13"/>
      <c r="G6831" s="13"/>
      <c r="H6831" s="13"/>
      <c r="I6831" s="10"/>
      <c r="J6831" s="11"/>
      <c r="K6831" s="6"/>
      <c r="L6831" s="129"/>
    </row>
    <row r="6832" spans="1:12" hidden="1" x14ac:dyDescent="0.25">
      <c r="A6832" s="6"/>
      <c r="B6832" s="6"/>
      <c r="C6832" s="11"/>
      <c r="D6832" s="13"/>
      <c r="E6832" s="13"/>
      <c r="F6832" s="13"/>
      <c r="G6832" s="13"/>
      <c r="H6832" s="13"/>
      <c r="I6832" s="10"/>
      <c r="J6832" s="11"/>
      <c r="K6832" s="6"/>
      <c r="L6832" s="129"/>
    </row>
    <row r="6833" spans="1:12" hidden="1" x14ac:dyDescent="0.25">
      <c r="A6833" s="6"/>
      <c r="B6833" s="6"/>
      <c r="C6833" s="11"/>
      <c r="D6833" s="13"/>
      <c r="E6833" s="13"/>
      <c r="F6833" s="13"/>
      <c r="G6833" s="13"/>
      <c r="H6833" s="13"/>
      <c r="I6833" s="10"/>
      <c r="J6833" s="11"/>
      <c r="K6833" s="6"/>
      <c r="L6833" s="129"/>
    </row>
    <row r="6834" spans="1:12" hidden="1" x14ac:dyDescent="0.25">
      <c r="A6834" s="6"/>
      <c r="B6834" s="6"/>
      <c r="C6834" s="11"/>
      <c r="D6834" s="13"/>
      <c r="E6834" s="13"/>
      <c r="F6834" s="13"/>
      <c r="G6834" s="13"/>
      <c r="H6834" s="13"/>
      <c r="I6834" s="10"/>
      <c r="J6834" s="11"/>
      <c r="K6834" s="6"/>
      <c r="L6834" s="129"/>
    </row>
    <row r="6835" spans="1:12" hidden="1" x14ac:dyDescent="0.25">
      <c r="A6835" s="6"/>
      <c r="B6835" s="6"/>
      <c r="C6835" s="11"/>
      <c r="D6835" s="13"/>
      <c r="E6835" s="13"/>
      <c r="F6835" s="13"/>
      <c r="G6835" s="13"/>
      <c r="H6835" s="13"/>
      <c r="I6835" s="10"/>
      <c r="J6835" s="11"/>
      <c r="K6835" s="6"/>
      <c r="L6835" s="129"/>
    </row>
    <row r="6836" spans="1:12" hidden="1" x14ac:dyDescent="0.25">
      <c r="A6836" s="6"/>
      <c r="B6836" s="6"/>
      <c r="C6836" s="11"/>
      <c r="D6836" s="13"/>
      <c r="E6836" s="13"/>
      <c r="F6836" s="13"/>
      <c r="G6836" s="13"/>
      <c r="H6836" s="13"/>
      <c r="I6836" s="10"/>
      <c r="J6836" s="11"/>
      <c r="K6836" s="6"/>
      <c r="L6836" s="129"/>
    </row>
    <row r="6837" spans="1:12" hidden="1" x14ac:dyDescent="0.25">
      <c r="A6837" s="6"/>
      <c r="B6837" s="6"/>
      <c r="C6837" s="11"/>
      <c r="D6837" s="13"/>
      <c r="E6837" s="13"/>
      <c r="F6837" s="13"/>
      <c r="G6837" s="13"/>
      <c r="H6837" s="13"/>
      <c r="I6837" s="10"/>
      <c r="J6837" s="11"/>
      <c r="K6837" s="6"/>
      <c r="L6837" s="129"/>
    </row>
    <row r="6838" spans="1:12" hidden="1" x14ac:dyDescent="0.25">
      <c r="A6838" s="6"/>
      <c r="B6838" s="6"/>
      <c r="C6838" s="11"/>
      <c r="D6838" s="13"/>
      <c r="E6838" s="13"/>
      <c r="F6838" s="13"/>
      <c r="G6838" s="13"/>
      <c r="H6838" s="13"/>
      <c r="I6838" s="10"/>
      <c r="J6838" s="11"/>
      <c r="K6838" s="6"/>
      <c r="L6838" s="129"/>
    </row>
    <row r="6839" spans="1:12" hidden="1" x14ac:dyDescent="0.25">
      <c r="A6839" s="6"/>
      <c r="B6839" s="6"/>
      <c r="C6839" s="11"/>
      <c r="D6839" s="13"/>
      <c r="E6839" s="13"/>
      <c r="F6839" s="13"/>
      <c r="G6839" s="13"/>
      <c r="H6839" s="13"/>
      <c r="I6839" s="10"/>
      <c r="J6839" s="11"/>
      <c r="K6839" s="6"/>
      <c r="L6839" s="129"/>
    </row>
    <row r="6840" spans="1:12" hidden="1" x14ac:dyDescent="0.25">
      <c r="A6840" s="6"/>
      <c r="B6840" s="6"/>
      <c r="C6840" s="11"/>
      <c r="D6840" s="13"/>
      <c r="E6840" s="13"/>
      <c r="F6840" s="13"/>
      <c r="G6840" s="13"/>
      <c r="H6840" s="13"/>
      <c r="I6840" s="10"/>
      <c r="J6840" s="11"/>
      <c r="K6840" s="6"/>
      <c r="L6840" s="129"/>
    </row>
    <row r="6841" spans="1:12" hidden="1" x14ac:dyDescent="0.25">
      <c r="A6841" s="6"/>
      <c r="B6841" s="6"/>
      <c r="C6841" s="11"/>
      <c r="D6841" s="13"/>
      <c r="E6841" s="13"/>
      <c r="F6841" s="13"/>
      <c r="G6841" s="13"/>
      <c r="H6841" s="13"/>
      <c r="I6841" s="10"/>
      <c r="J6841" s="11"/>
      <c r="K6841" s="6"/>
      <c r="L6841" s="129"/>
    </row>
    <row r="6842" spans="1:12" hidden="1" x14ac:dyDescent="0.25">
      <c r="A6842" s="6"/>
      <c r="B6842" s="6"/>
      <c r="C6842" s="11"/>
      <c r="D6842" s="13"/>
      <c r="E6842" s="13"/>
      <c r="F6842" s="13"/>
      <c r="G6842" s="13"/>
      <c r="H6842" s="13"/>
      <c r="I6842" s="10"/>
      <c r="J6842" s="11"/>
      <c r="K6842" s="6"/>
      <c r="L6842" s="129"/>
    </row>
    <row r="6843" spans="1:12" hidden="1" x14ac:dyDescent="0.25">
      <c r="A6843" s="6"/>
      <c r="B6843" s="6"/>
      <c r="C6843" s="11"/>
      <c r="D6843" s="13"/>
      <c r="E6843" s="13"/>
      <c r="F6843" s="13"/>
      <c r="G6843" s="13"/>
      <c r="H6843" s="13"/>
      <c r="I6843" s="10"/>
      <c r="J6843" s="11"/>
      <c r="K6843" s="6"/>
      <c r="L6843" s="129"/>
    </row>
    <row r="6844" spans="1:12" hidden="1" x14ac:dyDescent="0.25">
      <c r="A6844" s="6"/>
      <c r="B6844" s="6"/>
      <c r="C6844" s="11"/>
      <c r="D6844" s="13"/>
      <c r="E6844" s="13"/>
      <c r="F6844" s="13"/>
      <c r="G6844" s="13"/>
      <c r="H6844" s="13"/>
      <c r="I6844" s="10"/>
      <c r="J6844" s="11"/>
      <c r="K6844" s="6"/>
      <c r="L6844" s="129"/>
    </row>
    <row r="6845" spans="1:12" hidden="1" x14ac:dyDescent="0.25">
      <c r="A6845" s="6"/>
      <c r="B6845" s="6"/>
      <c r="C6845" s="11"/>
      <c r="D6845" s="13"/>
      <c r="E6845" s="13"/>
      <c r="F6845" s="13"/>
      <c r="G6845" s="13"/>
      <c r="H6845" s="13"/>
      <c r="I6845" s="10"/>
      <c r="J6845" s="11"/>
      <c r="K6845" s="6"/>
      <c r="L6845" s="129"/>
    </row>
    <row r="6846" spans="1:12" hidden="1" x14ac:dyDescent="0.25">
      <c r="A6846" s="6"/>
      <c r="B6846" s="6"/>
      <c r="C6846" s="11"/>
      <c r="D6846" s="13"/>
      <c r="E6846" s="13"/>
      <c r="F6846" s="13"/>
      <c r="G6846" s="13"/>
      <c r="H6846" s="13"/>
      <c r="I6846" s="10"/>
      <c r="J6846" s="11"/>
      <c r="K6846" s="6"/>
      <c r="L6846" s="129"/>
    </row>
    <row r="6847" spans="1:12" hidden="1" x14ac:dyDescent="0.25">
      <c r="A6847" s="6"/>
      <c r="B6847" s="6"/>
      <c r="C6847" s="11"/>
      <c r="D6847" s="13"/>
      <c r="E6847" s="13"/>
      <c r="F6847" s="13"/>
      <c r="G6847" s="13"/>
      <c r="H6847" s="13"/>
      <c r="I6847" s="10"/>
      <c r="J6847" s="11"/>
      <c r="K6847" s="6"/>
      <c r="L6847" s="129"/>
    </row>
    <row r="6848" spans="1:12" hidden="1" x14ac:dyDescent="0.25">
      <c r="A6848" s="6"/>
      <c r="B6848" s="6"/>
      <c r="C6848" s="11"/>
      <c r="D6848" s="13"/>
      <c r="E6848" s="13"/>
      <c r="F6848" s="13"/>
      <c r="G6848" s="13"/>
      <c r="H6848" s="13"/>
      <c r="I6848" s="10"/>
      <c r="J6848" s="11"/>
      <c r="K6848" s="6"/>
      <c r="L6848" s="129"/>
    </row>
    <row r="6849" spans="1:12" hidden="1" x14ac:dyDescent="0.25">
      <c r="A6849" s="6"/>
      <c r="B6849" s="6"/>
      <c r="C6849" s="11"/>
      <c r="D6849" s="13"/>
      <c r="E6849" s="13"/>
      <c r="F6849" s="13"/>
      <c r="G6849" s="13"/>
      <c r="H6849" s="13"/>
      <c r="I6849" s="10"/>
      <c r="J6849" s="11"/>
      <c r="K6849" s="6"/>
      <c r="L6849" s="129"/>
    </row>
    <row r="6850" spans="1:12" hidden="1" x14ac:dyDescent="0.25">
      <c r="A6850" s="6"/>
      <c r="B6850" s="6"/>
      <c r="C6850" s="11"/>
      <c r="D6850" s="13"/>
      <c r="E6850" s="13"/>
      <c r="F6850" s="13"/>
      <c r="G6850" s="13"/>
      <c r="H6850" s="13"/>
      <c r="I6850" s="10"/>
      <c r="J6850" s="11"/>
      <c r="K6850" s="6"/>
      <c r="L6850" s="129"/>
    </row>
    <row r="6851" spans="1:12" hidden="1" x14ac:dyDescent="0.25">
      <c r="A6851" s="6"/>
      <c r="B6851" s="6"/>
      <c r="C6851" s="11"/>
      <c r="D6851" s="13"/>
      <c r="E6851" s="13"/>
      <c r="F6851" s="13"/>
      <c r="G6851" s="13"/>
      <c r="H6851" s="13"/>
      <c r="I6851" s="10"/>
      <c r="J6851" s="11"/>
      <c r="K6851" s="6"/>
      <c r="L6851" s="129"/>
    </row>
    <row r="6852" spans="1:12" hidden="1" x14ac:dyDescent="0.25">
      <c r="A6852" s="6"/>
      <c r="B6852" s="6"/>
      <c r="C6852" s="11"/>
      <c r="D6852" s="13"/>
      <c r="E6852" s="13"/>
      <c r="F6852" s="13"/>
      <c r="G6852" s="13"/>
      <c r="H6852" s="13"/>
      <c r="I6852" s="10"/>
      <c r="J6852" s="11"/>
      <c r="K6852" s="6"/>
      <c r="L6852" s="129"/>
    </row>
    <row r="6853" spans="1:12" hidden="1" x14ac:dyDescent="0.25">
      <c r="A6853" s="6"/>
      <c r="B6853" s="6"/>
      <c r="C6853" s="11"/>
      <c r="D6853" s="13"/>
      <c r="E6853" s="13"/>
      <c r="F6853" s="13"/>
      <c r="G6853" s="13"/>
      <c r="H6853" s="13"/>
      <c r="I6853" s="10"/>
      <c r="J6853" s="11"/>
      <c r="K6853" s="6"/>
      <c r="L6853" s="129"/>
    </row>
    <row r="6854" spans="1:12" hidden="1" x14ac:dyDescent="0.25">
      <c r="A6854" s="6"/>
      <c r="B6854" s="6"/>
      <c r="C6854" s="11"/>
      <c r="D6854" s="13"/>
      <c r="E6854" s="13"/>
      <c r="F6854" s="13"/>
      <c r="G6854" s="13"/>
      <c r="H6854" s="13"/>
      <c r="I6854" s="10"/>
      <c r="J6854" s="11"/>
      <c r="K6854" s="6"/>
      <c r="L6854" s="129"/>
    </row>
    <row r="6855" spans="1:12" hidden="1" x14ac:dyDescent="0.25">
      <c r="A6855" s="6"/>
      <c r="B6855" s="6"/>
      <c r="C6855" s="11"/>
      <c r="D6855" s="13"/>
      <c r="E6855" s="13"/>
      <c r="F6855" s="13"/>
      <c r="G6855" s="13"/>
      <c r="H6855" s="13"/>
      <c r="I6855" s="10"/>
      <c r="J6855" s="11"/>
      <c r="K6855" s="6"/>
      <c r="L6855" s="129"/>
    </row>
    <row r="6856" spans="1:12" hidden="1" x14ac:dyDescent="0.25">
      <c r="A6856" s="6"/>
      <c r="B6856" s="6"/>
      <c r="C6856" s="11"/>
      <c r="D6856" s="13"/>
      <c r="E6856" s="13"/>
      <c r="F6856" s="13"/>
      <c r="G6856" s="13"/>
      <c r="H6856" s="13"/>
      <c r="I6856" s="10"/>
      <c r="J6856" s="11"/>
      <c r="K6856" s="6"/>
      <c r="L6856" s="129"/>
    </row>
    <row r="6857" spans="1:12" hidden="1" x14ac:dyDescent="0.25">
      <c r="A6857" s="6"/>
      <c r="B6857" s="6"/>
      <c r="C6857" s="11"/>
      <c r="D6857" s="13"/>
      <c r="E6857" s="13"/>
      <c r="F6857" s="13"/>
      <c r="G6857" s="13"/>
      <c r="H6857" s="13"/>
      <c r="I6857" s="10"/>
      <c r="J6857" s="11"/>
      <c r="K6857" s="6"/>
      <c r="L6857" s="129"/>
    </row>
    <row r="6858" spans="1:12" hidden="1" x14ac:dyDescent="0.25">
      <c r="A6858" s="130"/>
      <c r="B6858" s="130"/>
      <c r="C6858" s="132"/>
      <c r="D6858" s="129"/>
      <c r="E6858" s="129"/>
      <c r="F6858" s="129"/>
      <c r="G6858" s="129"/>
      <c r="H6858" s="129"/>
      <c r="I6858" s="131"/>
      <c r="J6858" s="132"/>
      <c r="K6858" s="130"/>
      <c r="L6858" s="129"/>
    </row>
    <row r="6859" spans="1:12" hidden="1" x14ac:dyDescent="0.25">
      <c r="A6859" s="130"/>
      <c r="B6859" s="130"/>
      <c r="C6859" s="132"/>
      <c r="D6859" s="129"/>
      <c r="E6859" s="129"/>
      <c r="F6859" s="129"/>
      <c r="G6859" s="129"/>
      <c r="H6859" s="129"/>
      <c r="I6859" s="131"/>
      <c r="J6859" s="132"/>
      <c r="K6859" s="130"/>
      <c r="L6859" s="129"/>
    </row>
    <row r="6860" spans="1:12" hidden="1" x14ac:dyDescent="0.25">
      <c r="A6860" s="130"/>
      <c r="B6860" s="130"/>
      <c r="C6860" s="132"/>
      <c r="D6860" s="129"/>
      <c r="E6860" s="129"/>
      <c r="F6860" s="129"/>
      <c r="G6860" s="129"/>
      <c r="H6860" s="129"/>
      <c r="I6860" s="131"/>
      <c r="J6860" s="132"/>
      <c r="K6860" s="130"/>
      <c r="L6860" s="129"/>
    </row>
    <row r="6861" spans="1:12" hidden="1" x14ac:dyDescent="0.25">
      <c r="A6861" s="130"/>
      <c r="B6861" s="130"/>
      <c r="C6861" s="132"/>
      <c r="D6861" s="129"/>
      <c r="E6861" s="129"/>
      <c r="F6861" s="129"/>
      <c r="G6861" s="129"/>
      <c r="H6861" s="129"/>
      <c r="I6861" s="131"/>
      <c r="J6861" s="132"/>
      <c r="K6861" s="130"/>
      <c r="L6861" s="129"/>
    </row>
    <row r="6862" spans="1:12" hidden="1" x14ac:dyDescent="0.25">
      <c r="A6862" s="130"/>
      <c r="B6862" s="130"/>
      <c r="C6862" s="132"/>
      <c r="D6862" s="129"/>
      <c r="E6862" s="129"/>
      <c r="F6862" s="129"/>
      <c r="G6862" s="129"/>
      <c r="H6862" s="129"/>
      <c r="I6862" s="131"/>
      <c r="J6862" s="132"/>
      <c r="K6862" s="130"/>
      <c r="L6862" s="129"/>
    </row>
    <row r="6863" spans="1:12" hidden="1" x14ac:dyDescent="0.25">
      <c r="A6863" s="130"/>
      <c r="B6863" s="130"/>
      <c r="C6863" s="132"/>
      <c r="D6863" s="129"/>
      <c r="E6863" s="129"/>
      <c r="F6863" s="129"/>
      <c r="G6863" s="129"/>
      <c r="H6863" s="129"/>
      <c r="I6863" s="131"/>
      <c r="J6863" s="132"/>
      <c r="K6863" s="130"/>
      <c r="L6863" s="129"/>
    </row>
    <row r="6864" spans="1:12" hidden="1" x14ac:dyDescent="0.25">
      <c r="A6864" s="130"/>
      <c r="B6864" s="130"/>
      <c r="C6864" s="132"/>
      <c r="D6864" s="129"/>
      <c r="E6864" s="129"/>
      <c r="F6864" s="129"/>
      <c r="G6864" s="129"/>
      <c r="H6864" s="129"/>
      <c r="I6864" s="131"/>
      <c r="J6864" s="132"/>
      <c r="K6864" s="130"/>
      <c r="L6864" s="129"/>
    </row>
    <row r="6865" spans="1:12" hidden="1" x14ac:dyDescent="0.25">
      <c r="A6865" s="130"/>
      <c r="B6865" s="130"/>
      <c r="C6865" s="132"/>
      <c r="D6865" s="129"/>
      <c r="E6865" s="129"/>
      <c r="F6865" s="129"/>
      <c r="G6865" s="129"/>
      <c r="H6865" s="129"/>
      <c r="I6865" s="131"/>
      <c r="J6865" s="132"/>
      <c r="K6865" s="130"/>
      <c r="L6865" s="129"/>
    </row>
    <row r="6866" spans="1:12" hidden="1" x14ac:dyDescent="0.25">
      <c r="A6866" s="130"/>
      <c r="B6866" s="130"/>
      <c r="C6866" s="132"/>
      <c r="D6866" s="129"/>
      <c r="E6866" s="129"/>
      <c r="F6866" s="129"/>
      <c r="G6866" s="129"/>
      <c r="H6866" s="129"/>
      <c r="I6866" s="131"/>
      <c r="J6866" s="132"/>
      <c r="K6866" s="130"/>
      <c r="L6866" s="129"/>
    </row>
    <row r="6867" spans="1:12" hidden="1" x14ac:dyDescent="0.25">
      <c r="A6867" s="130"/>
      <c r="B6867" s="130"/>
      <c r="C6867" s="132"/>
      <c r="D6867" s="129"/>
      <c r="E6867" s="129"/>
      <c r="F6867" s="129"/>
      <c r="G6867" s="129"/>
      <c r="H6867" s="129"/>
      <c r="I6867" s="131"/>
      <c r="J6867" s="132"/>
      <c r="K6867" s="130"/>
      <c r="L6867" s="129"/>
    </row>
    <row r="6868" spans="1:12" hidden="1" x14ac:dyDescent="0.25">
      <c r="A6868" s="130"/>
      <c r="B6868" s="130"/>
      <c r="C6868" s="132"/>
      <c r="D6868" s="129"/>
      <c r="E6868" s="129"/>
      <c r="F6868" s="129"/>
      <c r="G6868" s="129"/>
      <c r="H6868" s="129"/>
      <c r="I6868" s="131"/>
      <c r="J6868" s="132"/>
      <c r="K6868" s="130"/>
      <c r="L6868" s="129"/>
    </row>
    <row r="6869" spans="1:12" hidden="1" x14ac:dyDescent="0.25">
      <c r="A6869" s="130"/>
      <c r="B6869" s="130"/>
      <c r="C6869" s="132"/>
      <c r="D6869" s="129"/>
      <c r="E6869" s="129"/>
      <c r="F6869" s="129"/>
      <c r="G6869" s="129"/>
      <c r="H6869" s="129"/>
      <c r="I6869" s="131"/>
      <c r="J6869" s="132"/>
      <c r="K6869" s="130"/>
      <c r="L6869" s="129"/>
    </row>
    <row r="6870" spans="1:12" hidden="1" x14ac:dyDescent="0.25">
      <c r="A6870" s="130"/>
      <c r="B6870" s="130"/>
      <c r="C6870" s="132"/>
      <c r="D6870" s="129"/>
      <c r="E6870" s="129"/>
      <c r="F6870" s="129"/>
      <c r="G6870" s="129"/>
      <c r="H6870" s="129"/>
      <c r="I6870" s="131"/>
      <c r="J6870" s="132"/>
      <c r="K6870" s="130"/>
      <c r="L6870" s="129"/>
    </row>
    <row r="6871" spans="1:12" hidden="1" x14ac:dyDescent="0.25">
      <c r="A6871" s="130"/>
      <c r="B6871" s="130"/>
      <c r="C6871" s="132"/>
      <c r="D6871" s="129"/>
      <c r="E6871" s="129"/>
      <c r="F6871" s="129"/>
      <c r="G6871" s="129"/>
      <c r="H6871" s="129"/>
      <c r="I6871" s="131"/>
      <c r="J6871" s="132"/>
      <c r="K6871" s="130"/>
      <c r="L6871" s="129"/>
    </row>
    <row r="6872" spans="1:12" hidden="1" x14ac:dyDescent="0.25">
      <c r="A6872" s="130"/>
      <c r="B6872" s="130"/>
      <c r="C6872" s="132"/>
      <c r="D6872" s="129"/>
      <c r="E6872" s="129"/>
      <c r="F6872" s="129"/>
      <c r="G6872" s="129"/>
      <c r="H6872" s="129"/>
      <c r="I6872" s="131"/>
      <c r="J6872" s="132"/>
      <c r="K6872" s="130"/>
      <c r="L6872" s="129"/>
    </row>
    <row r="6873" spans="1:12" hidden="1" x14ac:dyDescent="0.25">
      <c r="A6873" s="134"/>
      <c r="B6873" s="134"/>
      <c r="C6873" s="135"/>
      <c r="D6873" s="136"/>
      <c r="E6873" s="136"/>
      <c r="F6873" s="136"/>
      <c r="G6873" s="136"/>
      <c r="H6873" s="136"/>
      <c r="I6873" s="137"/>
      <c r="J6873" s="135"/>
      <c r="K6873" s="134"/>
      <c r="L6873" s="129"/>
    </row>
    <row r="6874" spans="1:12" hidden="1" x14ac:dyDescent="0.25">
      <c r="A6874" s="134"/>
      <c r="B6874" s="134"/>
      <c r="C6874" s="135"/>
      <c r="D6874" s="136"/>
      <c r="E6874" s="136"/>
      <c r="F6874" s="136"/>
      <c r="G6874" s="136"/>
      <c r="H6874" s="136"/>
      <c r="I6874" s="137"/>
      <c r="J6874" s="135"/>
      <c r="K6874" s="134"/>
      <c r="L6874" s="129"/>
    </row>
    <row r="6875" spans="1:12" hidden="1" x14ac:dyDescent="0.25">
      <c r="A6875" s="134"/>
      <c r="B6875" s="134"/>
      <c r="C6875" s="135"/>
      <c r="D6875" s="136"/>
      <c r="E6875" s="136"/>
      <c r="F6875" s="136"/>
      <c r="G6875" s="136"/>
      <c r="H6875" s="136"/>
      <c r="I6875" s="137"/>
      <c r="J6875" s="135"/>
      <c r="K6875" s="134"/>
      <c r="L6875" s="129"/>
    </row>
    <row r="6876" spans="1:12" hidden="1" x14ac:dyDescent="0.25">
      <c r="A6876" s="134"/>
      <c r="B6876" s="134"/>
      <c r="C6876" s="135"/>
      <c r="D6876" s="136"/>
      <c r="E6876" s="136"/>
      <c r="F6876" s="136"/>
      <c r="G6876" s="136"/>
      <c r="H6876" s="136"/>
      <c r="I6876" s="137"/>
      <c r="J6876" s="135"/>
      <c r="K6876" s="134"/>
      <c r="L6876" s="129"/>
    </row>
    <row r="6877" spans="1:12" hidden="1" x14ac:dyDescent="0.25">
      <c r="A6877" s="134"/>
      <c r="B6877" s="134"/>
      <c r="C6877" s="135"/>
      <c r="D6877" s="136"/>
      <c r="E6877" s="136"/>
      <c r="F6877" s="136"/>
      <c r="G6877" s="136"/>
      <c r="H6877" s="136"/>
      <c r="I6877" s="137"/>
      <c r="J6877" s="135"/>
      <c r="K6877" s="134"/>
      <c r="L6877" s="129"/>
    </row>
    <row r="6878" spans="1:12" hidden="1" x14ac:dyDescent="0.25">
      <c r="A6878" s="134"/>
      <c r="B6878" s="134"/>
      <c r="C6878" s="135"/>
      <c r="D6878" s="136"/>
      <c r="E6878" s="136"/>
      <c r="F6878" s="136"/>
      <c r="G6878" s="136"/>
      <c r="H6878" s="136"/>
      <c r="I6878" s="137"/>
      <c r="J6878" s="135"/>
      <c r="K6878" s="134"/>
      <c r="L6878" s="129"/>
    </row>
    <row r="6879" spans="1:12" hidden="1" x14ac:dyDescent="0.25">
      <c r="A6879" s="134"/>
      <c r="B6879" s="134"/>
      <c r="C6879" s="135"/>
      <c r="D6879" s="136"/>
      <c r="E6879" s="136"/>
      <c r="F6879" s="136"/>
      <c r="G6879" s="136"/>
      <c r="H6879" s="136"/>
      <c r="I6879" s="137"/>
      <c r="J6879" s="135"/>
      <c r="K6879" s="134"/>
      <c r="L6879" s="129"/>
    </row>
    <row r="6880" spans="1:12" hidden="1" x14ac:dyDescent="0.25">
      <c r="A6880" s="134"/>
      <c r="B6880" s="134"/>
      <c r="C6880" s="135"/>
      <c r="D6880" s="136"/>
      <c r="E6880" s="136"/>
      <c r="F6880" s="136"/>
      <c r="G6880" s="136"/>
      <c r="H6880" s="136"/>
      <c r="I6880" s="137"/>
      <c r="J6880" s="135"/>
      <c r="K6880" s="134"/>
      <c r="L6880" s="129"/>
    </row>
    <row r="6881" spans="1:12" hidden="1" x14ac:dyDescent="0.25">
      <c r="A6881" s="134"/>
      <c r="B6881" s="134"/>
      <c r="C6881" s="135"/>
      <c r="D6881" s="136"/>
      <c r="E6881" s="136"/>
      <c r="F6881" s="136"/>
      <c r="G6881" s="136"/>
      <c r="H6881" s="136"/>
      <c r="I6881" s="137"/>
      <c r="J6881" s="135"/>
      <c r="K6881" s="134"/>
      <c r="L6881" s="129"/>
    </row>
    <row r="6882" spans="1:12" hidden="1" x14ac:dyDescent="0.25">
      <c r="A6882" s="125"/>
      <c r="B6882" s="125"/>
      <c r="C6882" s="126"/>
      <c r="D6882" s="127"/>
      <c r="E6882" s="127"/>
      <c r="F6882" s="127"/>
      <c r="G6882" s="127"/>
      <c r="H6882" s="127"/>
      <c r="I6882" s="128"/>
      <c r="J6882" s="126"/>
      <c r="K6882" s="125"/>
      <c r="L6882" s="129"/>
    </row>
    <row r="6883" spans="1:12" hidden="1" x14ac:dyDescent="0.25">
      <c r="A6883" s="125"/>
      <c r="B6883" s="125"/>
      <c r="C6883" s="126"/>
      <c r="D6883" s="127"/>
      <c r="E6883" s="127"/>
      <c r="F6883" s="127"/>
      <c r="G6883" s="127"/>
      <c r="H6883" s="127"/>
      <c r="I6883" s="128"/>
      <c r="J6883" s="126"/>
      <c r="K6883" s="125"/>
      <c r="L6883" s="129"/>
    </row>
    <row r="6884" spans="1:12" hidden="1" x14ac:dyDescent="0.25">
      <c r="A6884" s="125"/>
      <c r="B6884" s="125"/>
      <c r="C6884" s="126"/>
      <c r="D6884" s="127"/>
      <c r="E6884" s="127"/>
      <c r="F6884" s="127"/>
      <c r="G6884" s="127"/>
      <c r="H6884" s="127"/>
      <c r="I6884" s="128"/>
      <c r="J6884" s="126"/>
      <c r="K6884" s="125"/>
      <c r="L6884" s="129"/>
    </row>
    <row r="6885" spans="1:12" hidden="1" x14ac:dyDescent="0.25">
      <c r="A6885" s="125"/>
      <c r="B6885" s="125"/>
      <c r="C6885" s="126"/>
      <c r="D6885" s="127"/>
      <c r="E6885" s="127"/>
      <c r="F6885" s="127"/>
      <c r="G6885" s="127"/>
      <c r="H6885" s="127"/>
      <c r="I6885" s="128"/>
      <c r="J6885" s="126"/>
      <c r="K6885" s="125"/>
      <c r="L6885" s="129"/>
    </row>
    <row r="6886" spans="1:12" hidden="1" x14ac:dyDescent="0.25">
      <c r="A6886" s="125"/>
      <c r="B6886" s="125"/>
      <c r="C6886" s="126"/>
      <c r="D6886" s="127"/>
      <c r="E6886" s="127"/>
      <c r="F6886" s="127"/>
      <c r="G6886" s="127"/>
      <c r="H6886" s="127"/>
      <c r="I6886" s="128"/>
      <c r="J6886" s="126"/>
      <c r="K6886" s="125"/>
      <c r="L6886" s="129"/>
    </row>
    <row r="6887" spans="1:12" hidden="1" x14ac:dyDescent="0.25">
      <c r="A6887" s="125"/>
      <c r="B6887" s="125"/>
      <c r="C6887" s="126"/>
      <c r="D6887" s="127"/>
      <c r="E6887" s="127"/>
      <c r="F6887" s="127"/>
      <c r="G6887" s="127"/>
      <c r="H6887" s="127"/>
      <c r="I6887" s="128"/>
      <c r="J6887" s="126"/>
      <c r="K6887" s="125"/>
      <c r="L6887" s="129"/>
    </row>
    <row r="6888" spans="1:12" hidden="1" x14ac:dyDescent="0.25">
      <c r="A6888" s="125"/>
      <c r="B6888" s="125"/>
      <c r="C6888" s="126"/>
      <c r="D6888" s="127"/>
      <c r="E6888" s="127"/>
      <c r="F6888" s="127"/>
      <c r="G6888" s="127"/>
      <c r="H6888" s="127"/>
      <c r="I6888" s="128"/>
      <c r="J6888" s="126"/>
      <c r="K6888" s="125"/>
      <c r="L6888" s="129"/>
    </row>
    <row r="6889" spans="1:12" hidden="1" x14ac:dyDescent="0.25">
      <c r="A6889" s="125"/>
      <c r="B6889" s="125"/>
      <c r="C6889" s="126"/>
      <c r="D6889" s="127"/>
      <c r="E6889" s="127"/>
      <c r="F6889" s="127"/>
      <c r="G6889" s="127"/>
      <c r="H6889" s="127"/>
      <c r="I6889" s="128"/>
      <c r="J6889" s="126"/>
      <c r="K6889" s="125"/>
      <c r="L6889" s="129"/>
    </row>
    <row r="6890" spans="1:12" hidden="1" x14ac:dyDescent="0.25">
      <c r="A6890" s="125"/>
      <c r="B6890" s="125"/>
      <c r="C6890" s="126"/>
      <c r="D6890" s="127"/>
      <c r="E6890" s="127"/>
      <c r="F6890" s="127"/>
      <c r="G6890" s="127"/>
      <c r="H6890" s="127"/>
      <c r="I6890" s="128"/>
      <c r="J6890" s="126"/>
      <c r="K6890" s="125"/>
      <c r="L6890" s="129"/>
    </row>
    <row r="6891" spans="1:12" hidden="1" x14ac:dyDescent="0.25">
      <c r="A6891" s="125"/>
      <c r="B6891" s="125"/>
      <c r="C6891" s="126"/>
      <c r="D6891" s="127"/>
      <c r="E6891" s="127"/>
      <c r="F6891" s="127"/>
      <c r="G6891" s="127"/>
      <c r="H6891" s="127"/>
      <c r="I6891" s="128"/>
      <c r="J6891" s="126"/>
      <c r="K6891" s="125"/>
      <c r="L6891" s="129"/>
    </row>
    <row r="6892" spans="1:12" hidden="1" x14ac:dyDescent="0.25">
      <c r="A6892" s="125"/>
      <c r="B6892" s="125"/>
      <c r="C6892" s="126"/>
      <c r="D6892" s="127"/>
      <c r="E6892" s="127"/>
      <c r="F6892" s="127"/>
      <c r="G6892" s="127"/>
      <c r="H6892" s="127"/>
      <c r="I6892" s="128"/>
      <c r="J6892" s="126"/>
      <c r="K6892" s="125"/>
      <c r="L6892" s="129"/>
    </row>
    <row r="6893" spans="1:12" hidden="1" x14ac:dyDescent="0.25">
      <c r="A6893" s="125"/>
      <c r="B6893" s="125"/>
      <c r="C6893" s="126"/>
      <c r="D6893" s="127"/>
      <c r="E6893" s="127"/>
      <c r="F6893" s="127"/>
      <c r="G6893" s="127"/>
      <c r="H6893" s="127"/>
      <c r="I6893" s="128"/>
      <c r="J6893" s="126"/>
      <c r="K6893" s="125"/>
      <c r="L6893" s="129"/>
    </row>
    <row r="6894" spans="1:12" hidden="1" x14ac:dyDescent="0.25">
      <c r="A6894" s="125"/>
      <c r="B6894" s="125"/>
      <c r="C6894" s="126"/>
      <c r="D6894" s="127"/>
      <c r="E6894" s="127"/>
      <c r="F6894" s="127"/>
      <c r="G6894" s="127"/>
      <c r="H6894" s="127"/>
      <c r="I6894" s="128"/>
      <c r="J6894" s="126"/>
      <c r="K6894" s="125"/>
      <c r="L6894" s="129"/>
    </row>
    <row r="6895" spans="1:12" hidden="1" x14ac:dyDescent="0.25">
      <c r="A6895" s="125"/>
      <c r="B6895" s="125"/>
      <c r="C6895" s="126"/>
      <c r="D6895" s="127"/>
      <c r="E6895" s="127"/>
      <c r="F6895" s="127"/>
      <c r="G6895" s="127"/>
      <c r="H6895" s="127"/>
      <c r="I6895" s="128"/>
      <c r="J6895" s="126"/>
      <c r="K6895" s="125"/>
      <c r="L6895" s="129"/>
    </row>
    <row r="6896" spans="1:12" hidden="1" x14ac:dyDescent="0.25">
      <c r="A6896" s="125"/>
      <c r="B6896" s="125"/>
      <c r="C6896" s="126"/>
      <c r="D6896" s="127"/>
      <c r="E6896" s="127"/>
      <c r="F6896" s="127"/>
      <c r="G6896" s="127"/>
      <c r="H6896" s="127"/>
      <c r="I6896" s="128"/>
      <c r="J6896" s="126"/>
      <c r="K6896" s="125"/>
      <c r="L6896" s="129"/>
    </row>
    <row r="6897" spans="1:12" hidden="1" x14ac:dyDescent="0.25">
      <c r="A6897" s="125"/>
      <c r="B6897" s="125"/>
      <c r="C6897" s="126"/>
      <c r="D6897" s="127"/>
      <c r="E6897" s="127"/>
      <c r="F6897" s="127"/>
      <c r="G6897" s="127"/>
      <c r="H6897" s="127"/>
      <c r="I6897" s="128"/>
      <c r="J6897" s="126"/>
      <c r="K6897" s="125"/>
      <c r="L6897" s="129"/>
    </row>
    <row r="6898" spans="1:12" hidden="1" x14ac:dyDescent="0.25">
      <c r="A6898" s="125"/>
      <c r="B6898" s="125"/>
      <c r="C6898" s="126"/>
      <c r="D6898" s="127"/>
      <c r="E6898" s="127"/>
      <c r="F6898" s="127"/>
      <c r="G6898" s="127"/>
      <c r="H6898" s="127"/>
      <c r="I6898" s="128"/>
      <c r="J6898" s="126"/>
      <c r="K6898" s="125"/>
      <c r="L6898" s="129"/>
    </row>
    <row r="6899" spans="1:12" hidden="1" x14ac:dyDescent="0.25">
      <c r="A6899" s="125"/>
      <c r="B6899" s="125"/>
      <c r="C6899" s="126"/>
      <c r="D6899" s="127"/>
      <c r="E6899" s="127"/>
      <c r="F6899" s="127"/>
      <c r="G6899" s="127"/>
      <c r="H6899" s="127"/>
      <c r="I6899" s="128"/>
      <c r="J6899" s="126"/>
      <c r="K6899" s="125"/>
      <c r="L6899" s="129"/>
    </row>
    <row r="6900" spans="1:12" hidden="1" x14ac:dyDescent="0.25">
      <c r="A6900" s="125"/>
      <c r="B6900" s="125"/>
      <c r="C6900" s="126"/>
      <c r="D6900" s="127"/>
      <c r="E6900" s="127"/>
      <c r="F6900" s="127"/>
      <c r="G6900" s="127"/>
      <c r="H6900" s="127"/>
      <c r="I6900" s="128"/>
      <c r="J6900" s="126"/>
      <c r="K6900" s="125"/>
      <c r="L6900" s="129"/>
    </row>
    <row r="6901" spans="1:12" hidden="1" x14ac:dyDescent="0.25">
      <c r="A6901" s="125"/>
      <c r="B6901" s="125"/>
      <c r="C6901" s="126"/>
      <c r="D6901" s="127"/>
      <c r="E6901" s="127"/>
      <c r="F6901" s="127"/>
      <c r="G6901" s="127"/>
      <c r="H6901" s="127"/>
      <c r="I6901" s="128"/>
      <c r="J6901" s="126"/>
      <c r="K6901" s="125"/>
      <c r="L6901" s="129"/>
    </row>
    <row r="6902" spans="1:12" hidden="1" x14ac:dyDescent="0.25">
      <c r="A6902" s="125"/>
      <c r="B6902" s="125"/>
      <c r="C6902" s="126"/>
      <c r="D6902" s="127"/>
      <c r="E6902" s="127"/>
      <c r="F6902" s="127"/>
      <c r="G6902" s="127"/>
      <c r="H6902" s="127"/>
      <c r="I6902" s="128"/>
      <c r="J6902" s="126"/>
      <c r="K6902" s="125"/>
      <c r="L6902" s="129"/>
    </row>
    <row r="6903" spans="1:12" hidden="1" x14ac:dyDescent="0.25">
      <c r="A6903" s="125"/>
      <c r="B6903" s="125"/>
      <c r="C6903" s="126"/>
      <c r="D6903" s="127"/>
      <c r="E6903" s="127"/>
      <c r="F6903" s="127"/>
      <c r="G6903" s="127"/>
      <c r="H6903" s="127"/>
      <c r="I6903" s="128"/>
      <c r="J6903" s="126"/>
      <c r="K6903" s="125"/>
      <c r="L6903" s="129"/>
    </row>
    <row r="6904" spans="1:12" hidden="1" x14ac:dyDescent="0.25">
      <c r="A6904" s="125"/>
      <c r="B6904" s="125"/>
      <c r="C6904" s="126"/>
      <c r="D6904" s="127"/>
      <c r="E6904" s="127"/>
      <c r="F6904" s="127"/>
      <c r="G6904" s="127"/>
      <c r="H6904" s="127"/>
      <c r="I6904" s="128"/>
      <c r="J6904" s="126"/>
      <c r="K6904" s="125"/>
      <c r="L6904" s="129"/>
    </row>
    <row r="6905" spans="1:12" hidden="1" x14ac:dyDescent="0.25">
      <c r="A6905" s="125"/>
      <c r="B6905" s="125"/>
      <c r="C6905" s="126"/>
      <c r="D6905" s="127"/>
      <c r="E6905" s="127"/>
      <c r="F6905" s="127"/>
      <c r="G6905" s="127"/>
      <c r="H6905" s="127"/>
      <c r="I6905" s="128"/>
      <c r="J6905" s="126"/>
      <c r="K6905" s="125"/>
      <c r="L6905" s="129"/>
    </row>
    <row r="6906" spans="1:12" hidden="1" x14ac:dyDescent="0.25">
      <c r="A6906" s="125"/>
      <c r="B6906" s="125"/>
      <c r="C6906" s="126"/>
      <c r="D6906" s="127"/>
      <c r="E6906" s="127"/>
      <c r="F6906" s="127"/>
      <c r="G6906" s="127"/>
      <c r="H6906" s="127"/>
      <c r="I6906" s="128"/>
      <c r="J6906" s="126"/>
      <c r="K6906" s="125"/>
      <c r="L6906" s="129"/>
    </row>
    <row r="6907" spans="1:12" hidden="1" x14ac:dyDescent="0.25">
      <c r="A6907" s="125"/>
      <c r="B6907" s="125"/>
      <c r="C6907" s="126"/>
      <c r="D6907" s="127"/>
      <c r="E6907" s="127"/>
      <c r="F6907" s="127"/>
      <c r="G6907" s="127"/>
      <c r="H6907" s="127"/>
      <c r="I6907" s="128"/>
      <c r="J6907" s="126"/>
      <c r="K6907" s="125"/>
      <c r="L6907" s="129"/>
    </row>
    <row r="6908" spans="1:12" hidden="1" x14ac:dyDescent="0.25">
      <c r="A6908" s="125"/>
      <c r="B6908" s="125"/>
      <c r="C6908" s="126"/>
      <c r="D6908" s="127"/>
      <c r="E6908" s="127"/>
      <c r="F6908" s="127"/>
      <c r="G6908" s="127"/>
      <c r="H6908" s="127"/>
      <c r="I6908" s="128"/>
      <c r="J6908" s="126"/>
      <c r="K6908" s="125"/>
      <c r="L6908" s="129"/>
    </row>
    <row r="6909" spans="1:12" hidden="1" x14ac:dyDescent="0.25">
      <c r="A6909" s="125"/>
      <c r="B6909" s="125"/>
      <c r="C6909" s="126"/>
      <c r="D6909" s="127"/>
      <c r="E6909" s="127"/>
      <c r="F6909" s="127"/>
      <c r="G6909" s="127"/>
      <c r="H6909" s="127"/>
      <c r="I6909" s="128"/>
      <c r="J6909" s="126"/>
      <c r="K6909" s="125"/>
      <c r="L6909" s="129"/>
    </row>
    <row r="6910" spans="1:12" hidden="1" x14ac:dyDescent="0.25">
      <c r="A6910" s="125"/>
      <c r="B6910" s="125"/>
      <c r="C6910" s="126"/>
      <c r="D6910" s="127"/>
      <c r="E6910" s="127"/>
      <c r="F6910" s="127"/>
      <c r="G6910" s="127"/>
      <c r="H6910" s="127"/>
      <c r="I6910" s="128"/>
      <c r="J6910" s="126"/>
      <c r="K6910" s="125"/>
      <c r="L6910" s="129"/>
    </row>
    <row r="6911" spans="1:12" hidden="1" x14ac:dyDescent="0.25">
      <c r="A6911" s="125"/>
      <c r="B6911" s="125"/>
      <c r="C6911" s="126"/>
      <c r="D6911" s="127"/>
      <c r="E6911" s="127"/>
      <c r="F6911" s="127"/>
      <c r="G6911" s="127"/>
      <c r="H6911" s="127"/>
      <c r="I6911" s="128"/>
      <c r="J6911" s="126"/>
      <c r="K6911" s="125"/>
      <c r="L6911" s="129"/>
    </row>
    <row r="6912" spans="1:12" hidden="1" x14ac:dyDescent="0.25">
      <c r="A6912" s="125"/>
      <c r="B6912" s="125"/>
      <c r="C6912" s="126"/>
      <c r="D6912" s="127"/>
      <c r="E6912" s="127"/>
      <c r="F6912" s="127"/>
      <c r="G6912" s="127"/>
      <c r="H6912" s="127"/>
      <c r="I6912" s="128"/>
      <c r="J6912" s="126"/>
      <c r="K6912" s="125"/>
      <c r="L6912" s="129"/>
    </row>
    <row r="6913" spans="1:12" hidden="1" x14ac:dyDescent="0.25">
      <c r="A6913" s="125"/>
      <c r="B6913" s="125"/>
      <c r="C6913" s="126"/>
      <c r="D6913" s="127"/>
      <c r="E6913" s="127"/>
      <c r="F6913" s="127"/>
      <c r="G6913" s="127"/>
      <c r="H6913" s="127"/>
      <c r="I6913" s="128"/>
      <c r="J6913" s="126"/>
      <c r="K6913" s="125"/>
      <c r="L6913" s="129"/>
    </row>
    <row r="6914" spans="1:12" hidden="1" x14ac:dyDescent="0.25">
      <c r="A6914" s="125"/>
      <c r="B6914" s="125"/>
      <c r="C6914" s="126"/>
      <c r="D6914" s="127"/>
      <c r="E6914" s="127"/>
      <c r="F6914" s="127"/>
      <c r="G6914" s="127"/>
      <c r="H6914" s="127"/>
      <c r="I6914" s="128"/>
      <c r="J6914" s="126"/>
      <c r="K6914" s="125"/>
      <c r="L6914" s="129"/>
    </row>
    <row r="6915" spans="1:12" hidden="1" x14ac:dyDescent="0.25">
      <c r="A6915" s="125"/>
      <c r="B6915" s="125"/>
      <c r="C6915" s="126"/>
      <c r="D6915" s="127"/>
      <c r="E6915" s="127"/>
      <c r="F6915" s="127"/>
      <c r="G6915" s="127"/>
      <c r="H6915" s="127"/>
      <c r="I6915" s="128"/>
      <c r="J6915" s="126"/>
      <c r="K6915" s="125"/>
      <c r="L6915" s="129"/>
    </row>
    <row r="6916" spans="1:12" hidden="1" x14ac:dyDescent="0.25">
      <c r="A6916" s="125"/>
      <c r="B6916" s="125"/>
      <c r="C6916" s="126"/>
      <c r="D6916" s="127"/>
      <c r="E6916" s="127"/>
      <c r="F6916" s="127"/>
      <c r="G6916" s="127"/>
      <c r="H6916" s="127"/>
      <c r="I6916" s="128"/>
      <c r="J6916" s="126"/>
      <c r="K6916" s="125"/>
      <c r="L6916" s="129"/>
    </row>
    <row r="6917" spans="1:12" hidden="1" x14ac:dyDescent="0.25">
      <c r="A6917" s="125"/>
      <c r="B6917" s="125"/>
      <c r="C6917" s="126"/>
      <c r="D6917" s="127"/>
      <c r="E6917" s="127"/>
      <c r="F6917" s="127"/>
      <c r="G6917" s="127"/>
      <c r="H6917" s="127"/>
      <c r="I6917" s="128"/>
      <c r="J6917" s="126"/>
      <c r="K6917" s="125"/>
      <c r="L6917" s="129"/>
    </row>
    <row r="6918" spans="1:12" hidden="1" x14ac:dyDescent="0.25">
      <c r="A6918" s="125"/>
      <c r="B6918" s="125"/>
      <c r="C6918" s="126"/>
      <c r="D6918" s="127"/>
      <c r="E6918" s="127"/>
      <c r="F6918" s="127"/>
      <c r="G6918" s="127"/>
      <c r="H6918" s="127"/>
      <c r="I6918" s="128"/>
      <c r="J6918" s="126"/>
      <c r="K6918" s="125"/>
      <c r="L6918" s="129"/>
    </row>
    <row r="6919" spans="1:12" hidden="1" x14ac:dyDescent="0.25">
      <c r="A6919" s="125"/>
      <c r="B6919" s="125"/>
      <c r="C6919" s="126"/>
      <c r="D6919" s="127"/>
      <c r="E6919" s="127"/>
      <c r="F6919" s="127"/>
      <c r="G6919" s="127"/>
      <c r="H6919" s="127"/>
      <c r="I6919" s="128"/>
      <c r="J6919" s="126"/>
      <c r="K6919" s="125"/>
      <c r="L6919" s="129"/>
    </row>
    <row r="6920" spans="1:12" hidden="1" x14ac:dyDescent="0.25">
      <c r="A6920" s="125"/>
      <c r="B6920" s="125"/>
      <c r="C6920" s="126"/>
      <c r="D6920" s="127"/>
      <c r="E6920" s="127"/>
      <c r="F6920" s="127"/>
      <c r="G6920" s="127"/>
      <c r="H6920" s="127"/>
      <c r="I6920" s="128"/>
      <c r="J6920" s="126"/>
      <c r="K6920" s="125"/>
      <c r="L6920" s="129"/>
    </row>
    <row r="6921" spans="1:12" hidden="1" x14ac:dyDescent="0.25">
      <c r="A6921" s="125"/>
      <c r="B6921" s="125"/>
      <c r="C6921" s="126"/>
      <c r="D6921" s="127"/>
      <c r="E6921" s="127"/>
      <c r="F6921" s="127"/>
      <c r="G6921" s="127"/>
      <c r="H6921" s="127"/>
      <c r="I6921" s="128"/>
      <c r="J6921" s="126"/>
      <c r="K6921" s="125"/>
      <c r="L6921" s="129"/>
    </row>
    <row r="6922" spans="1:12" hidden="1" x14ac:dyDescent="0.25">
      <c r="A6922" s="125"/>
      <c r="B6922" s="125"/>
      <c r="C6922" s="126"/>
      <c r="D6922" s="127"/>
      <c r="E6922" s="127"/>
      <c r="F6922" s="127"/>
      <c r="G6922" s="127"/>
      <c r="H6922" s="127"/>
      <c r="I6922" s="128"/>
      <c r="J6922" s="126"/>
      <c r="K6922" s="125"/>
      <c r="L6922" s="129"/>
    </row>
    <row r="6923" spans="1:12" hidden="1" x14ac:dyDescent="0.25">
      <c r="A6923" s="125"/>
      <c r="B6923" s="125"/>
      <c r="C6923" s="126"/>
      <c r="D6923" s="127"/>
      <c r="E6923" s="127"/>
      <c r="F6923" s="127"/>
      <c r="G6923" s="127"/>
      <c r="H6923" s="127"/>
      <c r="I6923" s="128"/>
      <c r="J6923" s="126"/>
      <c r="K6923" s="125"/>
      <c r="L6923" s="129"/>
    </row>
    <row r="6924" spans="1:12" hidden="1" x14ac:dyDescent="0.25">
      <c r="A6924" s="125"/>
      <c r="B6924" s="125"/>
      <c r="C6924" s="126"/>
      <c r="D6924" s="127"/>
      <c r="E6924" s="127"/>
      <c r="F6924" s="127"/>
      <c r="G6924" s="127"/>
      <c r="H6924" s="127"/>
      <c r="I6924" s="128"/>
      <c r="J6924" s="126"/>
      <c r="K6924" s="125"/>
      <c r="L6924" s="129"/>
    </row>
    <row r="6925" spans="1:12" hidden="1" x14ac:dyDescent="0.25">
      <c r="A6925" s="125"/>
      <c r="B6925" s="125"/>
      <c r="C6925" s="126"/>
      <c r="D6925" s="127"/>
      <c r="E6925" s="127"/>
      <c r="F6925" s="127"/>
      <c r="G6925" s="127"/>
      <c r="H6925" s="127"/>
      <c r="I6925" s="128"/>
      <c r="J6925" s="126"/>
      <c r="K6925" s="125"/>
      <c r="L6925" s="129"/>
    </row>
    <row r="6926" spans="1:12" hidden="1" x14ac:dyDescent="0.25">
      <c r="A6926" s="125"/>
      <c r="B6926" s="125"/>
      <c r="C6926" s="126"/>
      <c r="D6926" s="127"/>
      <c r="E6926" s="127"/>
      <c r="F6926" s="127"/>
      <c r="G6926" s="127"/>
      <c r="H6926" s="127"/>
      <c r="I6926" s="128"/>
      <c r="J6926" s="126"/>
      <c r="K6926" s="125"/>
      <c r="L6926" s="129"/>
    </row>
    <row r="6927" spans="1:12" hidden="1" x14ac:dyDescent="0.25">
      <c r="A6927" s="125"/>
      <c r="B6927" s="125"/>
      <c r="C6927" s="126"/>
      <c r="D6927" s="127"/>
      <c r="E6927" s="127"/>
      <c r="F6927" s="127"/>
      <c r="G6927" s="127"/>
      <c r="H6927" s="127"/>
      <c r="I6927" s="128"/>
      <c r="J6927" s="126"/>
      <c r="K6927" s="125"/>
      <c r="L6927" s="129"/>
    </row>
    <row r="6928" spans="1:12" hidden="1" x14ac:dyDescent="0.25">
      <c r="A6928" s="125"/>
      <c r="B6928" s="125"/>
      <c r="C6928" s="126"/>
      <c r="D6928" s="127"/>
      <c r="E6928" s="127"/>
      <c r="F6928" s="127"/>
      <c r="G6928" s="127"/>
      <c r="H6928" s="127"/>
      <c r="I6928" s="128"/>
      <c r="J6928" s="126"/>
      <c r="K6928" s="125"/>
      <c r="L6928" s="129"/>
    </row>
    <row r="6929" spans="1:12" hidden="1" x14ac:dyDescent="0.25">
      <c r="A6929" s="125"/>
      <c r="B6929" s="125"/>
      <c r="C6929" s="126"/>
      <c r="D6929" s="127"/>
      <c r="E6929" s="127"/>
      <c r="F6929" s="127"/>
      <c r="G6929" s="127"/>
      <c r="H6929" s="127"/>
      <c r="I6929" s="128"/>
      <c r="J6929" s="126"/>
      <c r="K6929" s="125"/>
      <c r="L6929" s="129"/>
    </row>
    <row r="6930" spans="1:12" hidden="1" x14ac:dyDescent="0.25">
      <c r="A6930" s="125"/>
      <c r="B6930" s="125"/>
      <c r="C6930" s="126"/>
      <c r="D6930" s="127"/>
      <c r="E6930" s="127"/>
      <c r="F6930" s="127"/>
      <c r="G6930" s="127"/>
      <c r="H6930" s="127"/>
      <c r="I6930" s="128"/>
      <c r="J6930" s="126"/>
      <c r="K6930" s="125"/>
      <c r="L6930" s="129"/>
    </row>
    <row r="6931" spans="1:12" hidden="1" x14ac:dyDescent="0.25">
      <c r="A6931" s="125"/>
      <c r="B6931" s="125"/>
      <c r="C6931" s="126"/>
      <c r="D6931" s="127"/>
      <c r="E6931" s="127"/>
      <c r="F6931" s="127"/>
      <c r="G6931" s="127"/>
      <c r="H6931" s="127"/>
      <c r="I6931" s="128"/>
      <c r="J6931" s="126"/>
      <c r="K6931" s="125"/>
      <c r="L6931" s="129"/>
    </row>
    <row r="6932" spans="1:12" hidden="1" x14ac:dyDescent="0.25">
      <c r="A6932" s="125"/>
      <c r="B6932" s="125"/>
      <c r="C6932" s="126"/>
      <c r="D6932" s="127"/>
      <c r="E6932" s="127"/>
      <c r="F6932" s="127"/>
      <c r="G6932" s="127"/>
      <c r="H6932" s="127"/>
      <c r="I6932" s="128"/>
      <c r="J6932" s="126"/>
      <c r="K6932" s="125"/>
      <c r="L6932" s="129"/>
    </row>
    <row r="6933" spans="1:12" hidden="1" x14ac:dyDescent="0.25">
      <c r="A6933" s="125"/>
      <c r="B6933" s="125"/>
      <c r="C6933" s="126"/>
      <c r="D6933" s="127"/>
      <c r="E6933" s="127"/>
      <c r="F6933" s="127"/>
      <c r="G6933" s="127"/>
      <c r="H6933" s="127"/>
      <c r="I6933" s="128"/>
      <c r="J6933" s="126"/>
      <c r="K6933" s="125"/>
      <c r="L6933" s="129"/>
    </row>
    <row r="6934" spans="1:12" hidden="1" x14ac:dyDescent="0.25">
      <c r="A6934" s="125"/>
      <c r="B6934" s="125"/>
      <c r="C6934" s="126"/>
      <c r="D6934" s="127"/>
      <c r="E6934" s="127"/>
      <c r="F6934" s="127"/>
      <c r="G6934" s="127"/>
      <c r="H6934" s="127"/>
      <c r="I6934" s="128"/>
      <c r="J6934" s="126"/>
      <c r="K6934" s="125"/>
      <c r="L6934" s="129"/>
    </row>
    <row r="6935" spans="1:12" hidden="1" x14ac:dyDescent="0.25">
      <c r="A6935" s="125"/>
      <c r="B6935" s="125"/>
      <c r="C6935" s="126"/>
      <c r="D6935" s="127"/>
      <c r="E6935" s="127"/>
      <c r="F6935" s="127"/>
      <c r="G6935" s="127"/>
      <c r="H6935" s="127"/>
      <c r="I6935" s="128"/>
      <c r="J6935" s="126"/>
      <c r="K6935" s="125"/>
      <c r="L6935" s="129"/>
    </row>
    <row r="6936" spans="1:12" hidden="1" x14ac:dyDescent="0.25">
      <c r="A6936" s="125"/>
      <c r="B6936" s="125"/>
      <c r="C6936" s="126"/>
      <c r="D6936" s="127"/>
      <c r="E6936" s="127"/>
      <c r="F6936" s="127"/>
      <c r="G6936" s="127"/>
      <c r="H6936" s="127"/>
      <c r="I6936" s="128"/>
      <c r="J6936" s="126"/>
      <c r="K6936" s="125"/>
      <c r="L6936" s="129"/>
    </row>
    <row r="6937" spans="1:12" hidden="1" x14ac:dyDescent="0.25">
      <c r="A6937" s="125"/>
      <c r="B6937" s="125"/>
      <c r="C6937" s="126"/>
      <c r="D6937" s="127"/>
      <c r="E6937" s="127"/>
      <c r="F6937" s="127"/>
      <c r="G6937" s="127"/>
      <c r="H6937" s="127"/>
      <c r="I6937" s="128"/>
      <c r="J6937" s="126"/>
      <c r="K6937" s="125"/>
      <c r="L6937" s="129"/>
    </row>
    <row r="6938" spans="1:12" hidden="1" x14ac:dyDescent="0.25">
      <c r="A6938" s="125"/>
      <c r="B6938" s="125"/>
      <c r="C6938" s="126"/>
      <c r="D6938" s="127"/>
      <c r="E6938" s="127"/>
      <c r="F6938" s="127"/>
      <c r="G6938" s="127"/>
      <c r="H6938" s="127"/>
      <c r="I6938" s="128"/>
      <c r="J6938" s="126"/>
      <c r="K6938" s="125"/>
      <c r="L6938" s="129"/>
    </row>
    <row r="6939" spans="1:12" hidden="1" x14ac:dyDescent="0.25">
      <c r="A6939" s="125"/>
      <c r="B6939" s="125"/>
      <c r="C6939" s="126"/>
      <c r="D6939" s="127"/>
      <c r="E6939" s="127"/>
      <c r="F6939" s="127"/>
      <c r="G6939" s="127"/>
      <c r="H6939" s="127"/>
      <c r="I6939" s="128"/>
      <c r="J6939" s="126"/>
      <c r="K6939" s="125"/>
      <c r="L6939" s="129"/>
    </row>
    <row r="6940" spans="1:12" hidden="1" x14ac:dyDescent="0.25">
      <c r="A6940" s="125"/>
      <c r="B6940" s="125"/>
      <c r="C6940" s="126"/>
      <c r="D6940" s="127"/>
      <c r="E6940" s="127"/>
      <c r="F6940" s="127"/>
      <c r="G6940" s="127"/>
      <c r="H6940" s="127"/>
      <c r="I6940" s="128"/>
      <c r="J6940" s="126"/>
      <c r="K6940" s="125"/>
      <c r="L6940" s="129"/>
    </row>
    <row r="6941" spans="1:12" hidden="1" x14ac:dyDescent="0.25">
      <c r="A6941" s="125"/>
      <c r="B6941" s="125"/>
      <c r="C6941" s="126"/>
      <c r="D6941" s="127"/>
      <c r="E6941" s="127"/>
      <c r="F6941" s="127"/>
      <c r="G6941" s="127"/>
      <c r="H6941" s="127"/>
      <c r="I6941" s="128"/>
      <c r="J6941" s="126"/>
      <c r="K6941" s="125"/>
      <c r="L6941" s="129"/>
    </row>
    <row r="6942" spans="1:12" hidden="1" x14ac:dyDescent="0.25">
      <c r="A6942" s="125"/>
      <c r="B6942" s="125"/>
      <c r="C6942" s="126"/>
      <c r="D6942" s="127"/>
      <c r="E6942" s="127"/>
      <c r="F6942" s="127"/>
      <c r="G6942" s="127"/>
      <c r="H6942" s="127"/>
      <c r="I6942" s="128"/>
      <c r="J6942" s="126"/>
      <c r="K6942" s="125"/>
      <c r="L6942" s="129"/>
    </row>
    <row r="6943" spans="1:12" hidden="1" x14ac:dyDescent="0.25">
      <c r="A6943" s="125"/>
      <c r="B6943" s="125"/>
      <c r="C6943" s="126"/>
      <c r="D6943" s="127"/>
      <c r="E6943" s="127"/>
      <c r="F6943" s="127"/>
      <c r="G6943" s="127"/>
      <c r="H6943" s="127"/>
      <c r="I6943" s="128"/>
      <c r="J6943" s="126"/>
      <c r="K6943" s="125"/>
      <c r="L6943" s="129"/>
    </row>
    <row r="6944" spans="1:12" hidden="1" x14ac:dyDescent="0.25">
      <c r="A6944" s="125"/>
      <c r="B6944" s="125"/>
      <c r="C6944" s="126"/>
      <c r="D6944" s="127"/>
      <c r="E6944" s="127"/>
      <c r="F6944" s="127"/>
      <c r="G6944" s="127"/>
      <c r="H6944" s="127"/>
      <c r="I6944" s="128"/>
      <c r="J6944" s="126"/>
      <c r="K6944" s="125"/>
      <c r="L6944" s="129"/>
    </row>
    <row r="6945" spans="1:12" hidden="1" x14ac:dyDescent="0.25">
      <c r="A6945" s="125"/>
      <c r="B6945" s="125"/>
      <c r="C6945" s="126"/>
      <c r="D6945" s="127"/>
      <c r="E6945" s="127"/>
      <c r="F6945" s="127"/>
      <c r="G6945" s="127"/>
      <c r="H6945" s="127"/>
      <c r="I6945" s="128"/>
      <c r="J6945" s="126"/>
      <c r="K6945" s="125"/>
      <c r="L6945" s="129"/>
    </row>
    <row r="6946" spans="1:12" hidden="1" x14ac:dyDescent="0.25">
      <c r="A6946" s="125"/>
      <c r="B6946" s="125"/>
      <c r="C6946" s="126"/>
      <c r="D6946" s="127"/>
      <c r="E6946" s="127"/>
      <c r="F6946" s="127"/>
      <c r="G6946" s="127"/>
      <c r="H6946" s="127"/>
      <c r="I6946" s="128"/>
      <c r="J6946" s="126"/>
      <c r="K6946" s="125"/>
      <c r="L6946" s="129"/>
    </row>
    <row r="6947" spans="1:12" hidden="1" x14ac:dyDescent="0.25">
      <c r="A6947" s="125"/>
      <c r="B6947" s="125"/>
      <c r="C6947" s="126"/>
      <c r="D6947" s="127"/>
      <c r="E6947" s="127"/>
      <c r="F6947" s="127"/>
      <c r="G6947" s="127"/>
      <c r="H6947" s="127"/>
      <c r="I6947" s="128"/>
      <c r="J6947" s="126"/>
      <c r="K6947" s="125"/>
      <c r="L6947" s="129"/>
    </row>
    <row r="6948" spans="1:12" hidden="1" x14ac:dyDescent="0.25">
      <c r="A6948" s="125"/>
      <c r="B6948" s="125"/>
      <c r="C6948" s="126"/>
      <c r="D6948" s="127"/>
      <c r="E6948" s="127"/>
      <c r="F6948" s="127"/>
      <c r="G6948" s="127"/>
      <c r="H6948" s="127"/>
      <c r="I6948" s="128"/>
      <c r="J6948" s="126"/>
      <c r="K6948" s="125"/>
      <c r="L6948" s="129"/>
    </row>
    <row r="6949" spans="1:12" hidden="1" x14ac:dyDescent="0.25">
      <c r="A6949" s="125"/>
      <c r="B6949" s="125"/>
      <c r="C6949" s="126"/>
      <c r="D6949" s="127"/>
      <c r="E6949" s="127"/>
      <c r="F6949" s="127"/>
      <c r="G6949" s="127"/>
      <c r="H6949" s="127"/>
      <c r="I6949" s="128"/>
      <c r="J6949" s="126"/>
      <c r="K6949" s="125"/>
      <c r="L6949" s="129"/>
    </row>
    <row r="6950" spans="1:12" hidden="1" x14ac:dyDescent="0.25">
      <c r="A6950" s="125"/>
      <c r="B6950" s="125"/>
      <c r="C6950" s="126"/>
      <c r="D6950" s="127"/>
      <c r="E6950" s="127"/>
      <c r="F6950" s="127"/>
      <c r="G6950" s="127"/>
      <c r="H6950" s="127"/>
      <c r="I6950" s="128"/>
      <c r="J6950" s="126"/>
      <c r="K6950" s="125"/>
      <c r="L6950" s="129"/>
    </row>
    <row r="6951" spans="1:12" hidden="1" x14ac:dyDescent="0.25">
      <c r="A6951" s="125"/>
      <c r="B6951" s="125"/>
      <c r="C6951" s="126"/>
      <c r="D6951" s="127"/>
      <c r="E6951" s="127"/>
      <c r="F6951" s="127"/>
      <c r="G6951" s="127"/>
      <c r="H6951" s="127"/>
      <c r="I6951" s="128"/>
      <c r="J6951" s="126"/>
      <c r="K6951" s="125"/>
      <c r="L6951" s="129"/>
    </row>
    <row r="6952" spans="1:12" hidden="1" x14ac:dyDescent="0.25">
      <c r="A6952" s="125"/>
      <c r="B6952" s="125"/>
      <c r="C6952" s="126"/>
      <c r="D6952" s="127"/>
      <c r="E6952" s="127"/>
      <c r="F6952" s="127"/>
      <c r="G6952" s="127"/>
      <c r="H6952" s="127"/>
      <c r="I6952" s="128"/>
      <c r="J6952" s="126"/>
      <c r="K6952" s="125"/>
      <c r="L6952" s="129"/>
    </row>
    <row r="6953" spans="1:12" hidden="1" x14ac:dyDescent="0.25">
      <c r="A6953" s="125"/>
      <c r="B6953" s="125"/>
      <c r="C6953" s="126"/>
      <c r="D6953" s="127"/>
      <c r="E6953" s="127"/>
      <c r="F6953" s="127"/>
      <c r="G6953" s="127"/>
      <c r="H6953" s="127"/>
      <c r="I6953" s="128"/>
      <c r="J6953" s="126"/>
      <c r="K6953" s="125"/>
      <c r="L6953" s="129"/>
    </row>
    <row r="6954" spans="1:12" hidden="1" x14ac:dyDescent="0.25">
      <c r="A6954" s="125"/>
      <c r="B6954" s="125"/>
      <c r="C6954" s="126"/>
      <c r="D6954" s="127"/>
      <c r="E6954" s="127"/>
      <c r="F6954" s="127"/>
      <c r="G6954" s="127"/>
      <c r="H6954" s="127"/>
      <c r="I6954" s="128"/>
      <c r="J6954" s="126"/>
      <c r="K6954" s="125"/>
      <c r="L6954" s="129"/>
    </row>
    <row r="6955" spans="1:12" hidden="1" x14ac:dyDescent="0.25">
      <c r="A6955" s="125"/>
      <c r="B6955" s="125"/>
      <c r="C6955" s="126"/>
      <c r="D6955" s="127"/>
      <c r="E6955" s="127"/>
      <c r="F6955" s="127"/>
      <c r="G6955" s="127"/>
      <c r="H6955" s="127"/>
      <c r="I6955" s="128"/>
      <c r="J6955" s="126"/>
      <c r="K6955" s="125"/>
      <c r="L6955" s="129"/>
    </row>
    <row r="6956" spans="1:12" hidden="1" x14ac:dyDescent="0.25">
      <c r="A6956" s="125"/>
      <c r="B6956" s="125"/>
      <c r="C6956" s="126"/>
      <c r="D6956" s="127"/>
      <c r="E6956" s="127"/>
      <c r="F6956" s="127"/>
      <c r="G6956" s="127"/>
      <c r="H6956" s="127"/>
      <c r="I6956" s="128"/>
      <c r="J6956" s="126"/>
      <c r="K6956" s="125"/>
      <c r="L6956" s="129"/>
    </row>
    <row r="6957" spans="1:12" hidden="1" x14ac:dyDescent="0.25">
      <c r="A6957" s="125"/>
      <c r="B6957" s="125"/>
      <c r="C6957" s="126"/>
      <c r="D6957" s="127"/>
      <c r="E6957" s="127"/>
      <c r="F6957" s="127"/>
      <c r="G6957" s="127"/>
      <c r="H6957" s="127"/>
      <c r="I6957" s="128"/>
      <c r="J6957" s="126"/>
      <c r="K6957" s="125"/>
      <c r="L6957" s="129"/>
    </row>
    <row r="6958" spans="1:12" hidden="1" x14ac:dyDescent="0.25">
      <c r="A6958" s="125"/>
      <c r="B6958" s="125"/>
      <c r="C6958" s="126"/>
      <c r="D6958" s="127"/>
      <c r="E6958" s="127"/>
      <c r="F6958" s="127"/>
      <c r="G6958" s="127"/>
      <c r="H6958" s="127"/>
      <c r="I6958" s="128"/>
      <c r="J6958" s="126"/>
      <c r="K6958" s="125"/>
      <c r="L6958" s="129"/>
    </row>
    <row r="6959" spans="1:12" hidden="1" x14ac:dyDescent="0.25">
      <c r="A6959" s="125"/>
      <c r="B6959" s="125"/>
      <c r="C6959" s="126"/>
      <c r="D6959" s="127"/>
      <c r="E6959" s="127"/>
      <c r="F6959" s="127"/>
      <c r="G6959" s="127"/>
      <c r="H6959" s="127"/>
      <c r="I6959" s="128"/>
      <c r="J6959" s="126"/>
      <c r="K6959" s="125"/>
      <c r="L6959" s="129"/>
    </row>
    <row r="6960" spans="1:12" hidden="1" x14ac:dyDescent="0.25">
      <c r="A6960" s="125"/>
      <c r="B6960" s="125"/>
      <c r="C6960" s="126"/>
      <c r="D6960" s="127"/>
      <c r="E6960" s="127"/>
      <c r="F6960" s="127"/>
      <c r="G6960" s="127"/>
      <c r="H6960" s="127"/>
      <c r="I6960" s="128"/>
      <c r="J6960" s="126"/>
      <c r="K6960" s="125"/>
      <c r="L6960" s="129"/>
    </row>
    <row r="6961" spans="1:12" hidden="1" x14ac:dyDescent="0.25">
      <c r="A6961" s="125"/>
      <c r="B6961" s="125"/>
      <c r="C6961" s="126"/>
      <c r="D6961" s="127"/>
      <c r="E6961" s="127"/>
      <c r="F6961" s="127"/>
      <c r="G6961" s="127"/>
      <c r="H6961" s="127"/>
      <c r="I6961" s="128"/>
      <c r="J6961" s="126"/>
      <c r="K6961" s="125"/>
      <c r="L6961" s="129"/>
    </row>
    <row r="6962" spans="1:12" hidden="1" x14ac:dyDescent="0.25">
      <c r="A6962" s="125"/>
      <c r="B6962" s="125"/>
      <c r="C6962" s="126"/>
      <c r="D6962" s="127"/>
      <c r="E6962" s="127"/>
      <c r="F6962" s="127"/>
      <c r="G6962" s="127"/>
      <c r="H6962" s="127"/>
      <c r="I6962" s="128"/>
      <c r="J6962" s="126"/>
      <c r="K6962" s="125"/>
      <c r="L6962" s="129"/>
    </row>
    <row r="6963" spans="1:12" hidden="1" x14ac:dyDescent="0.25">
      <c r="A6963" s="125"/>
      <c r="B6963" s="125"/>
      <c r="C6963" s="126"/>
      <c r="D6963" s="127"/>
      <c r="E6963" s="127"/>
      <c r="F6963" s="127"/>
      <c r="G6963" s="127"/>
      <c r="H6963" s="127"/>
      <c r="I6963" s="128"/>
      <c r="J6963" s="126"/>
      <c r="K6963" s="125"/>
      <c r="L6963" s="129"/>
    </row>
    <row r="6964" spans="1:12" hidden="1" x14ac:dyDescent="0.25">
      <c r="A6964" s="125"/>
      <c r="B6964" s="125"/>
      <c r="C6964" s="126"/>
      <c r="D6964" s="127"/>
      <c r="E6964" s="127"/>
      <c r="F6964" s="127"/>
      <c r="G6964" s="127"/>
      <c r="H6964" s="127"/>
      <c r="I6964" s="128"/>
      <c r="J6964" s="126"/>
      <c r="K6964" s="125"/>
      <c r="L6964" s="129"/>
    </row>
    <row r="6965" spans="1:12" hidden="1" x14ac:dyDescent="0.25">
      <c r="A6965" s="125"/>
      <c r="B6965" s="125"/>
      <c r="C6965" s="126"/>
      <c r="D6965" s="127"/>
      <c r="E6965" s="127"/>
      <c r="F6965" s="127"/>
      <c r="G6965" s="127"/>
      <c r="H6965" s="127"/>
      <c r="I6965" s="128"/>
      <c r="J6965" s="126"/>
      <c r="K6965" s="125"/>
      <c r="L6965" s="129"/>
    </row>
    <row r="6966" spans="1:12" hidden="1" x14ac:dyDescent="0.25">
      <c r="A6966" s="125"/>
      <c r="B6966" s="125"/>
      <c r="C6966" s="126"/>
      <c r="D6966" s="127"/>
      <c r="E6966" s="127"/>
      <c r="F6966" s="127"/>
      <c r="G6966" s="127"/>
      <c r="H6966" s="127"/>
      <c r="I6966" s="128"/>
      <c r="J6966" s="126"/>
      <c r="K6966" s="125"/>
      <c r="L6966" s="129"/>
    </row>
    <row r="6967" spans="1:12" hidden="1" x14ac:dyDescent="0.25">
      <c r="A6967" s="125"/>
      <c r="B6967" s="125"/>
      <c r="C6967" s="126"/>
      <c r="D6967" s="127"/>
      <c r="E6967" s="127"/>
      <c r="F6967" s="127"/>
      <c r="G6967" s="127"/>
      <c r="H6967" s="127"/>
      <c r="I6967" s="128"/>
      <c r="J6967" s="126"/>
      <c r="K6967" s="125"/>
      <c r="L6967" s="129"/>
    </row>
    <row r="6968" spans="1:12" hidden="1" x14ac:dyDescent="0.25">
      <c r="A6968" s="125"/>
      <c r="B6968" s="125"/>
      <c r="C6968" s="126"/>
      <c r="D6968" s="127"/>
      <c r="E6968" s="127"/>
      <c r="F6968" s="127"/>
      <c r="G6968" s="127"/>
      <c r="H6968" s="127"/>
      <c r="I6968" s="128"/>
      <c r="J6968" s="126"/>
      <c r="K6968" s="125"/>
      <c r="L6968" s="129"/>
    </row>
    <row r="6969" spans="1:12" hidden="1" x14ac:dyDescent="0.25">
      <c r="A6969" s="125"/>
      <c r="B6969" s="125"/>
      <c r="C6969" s="126"/>
      <c r="D6969" s="127"/>
      <c r="E6969" s="127"/>
      <c r="F6969" s="127"/>
      <c r="G6969" s="127"/>
      <c r="H6969" s="127"/>
      <c r="I6969" s="128"/>
      <c r="J6969" s="126"/>
      <c r="K6969" s="125"/>
      <c r="L6969" s="129"/>
    </row>
    <row r="6970" spans="1:12" hidden="1" x14ac:dyDescent="0.25">
      <c r="A6970" s="125"/>
      <c r="B6970" s="125"/>
      <c r="C6970" s="126"/>
      <c r="D6970" s="127"/>
      <c r="E6970" s="127"/>
      <c r="F6970" s="127"/>
      <c r="G6970" s="127"/>
      <c r="H6970" s="127"/>
      <c r="I6970" s="128"/>
      <c r="J6970" s="126"/>
      <c r="K6970" s="125"/>
      <c r="L6970" s="129"/>
    </row>
    <row r="6971" spans="1:12" hidden="1" x14ac:dyDescent="0.25">
      <c r="A6971" s="125"/>
      <c r="B6971" s="125"/>
      <c r="C6971" s="126"/>
      <c r="D6971" s="127"/>
      <c r="E6971" s="127"/>
      <c r="F6971" s="127"/>
      <c r="G6971" s="127"/>
      <c r="H6971" s="127"/>
      <c r="I6971" s="128"/>
      <c r="J6971" s="126"/>
      <c r="K6971" s="125"/>
      <c r="L6971" s="129"/>
    </row>
    <row r="6972" spans="1:12" hidden="1" x14ac:dyDescent="0.25">
      <c r="A6972" s="125"/>
      <c r="B6972" s="125"/>
      <c r="C6972" s="126"/>
      <c r="D6972" s="127"/>
      <c r="E6972" s="127"/>
      <c r="F6972" s="127"/>
      <c r="G6972" s="127"/>
      <c r="H6972" s="127"/>
      <c r="I6972" s="128"/>
      <c r="J6972" s="126"/>
      <c r="K6972" s="125"/>
      <c r="L6972" s="129"/>
    </row>
    <row r="6973" spans="1:12" hidden="1" x14ac:dyDescent="0.25">
      <c r="A6973" s="125"/>
      <c r="B6973" s="125"/>
      <c r="C6973" s="126"/>
      <c r="D6973" s="127"/>
      <c r="E6973" s="127"/>
      <c r="F6973" s="127"/>
      <c r="G6973" s="127"/>
      <c r="H6973" s="127"/>
      <c r="I6973" s="128"/>
      <c r="J6973" s="126"/>
      <c r="K6973" s="125"/>
      <c r="L6973" s="129"/>
    </row>
    <row r="6974" spans="1:12" hidden="1" x14ac:dyDescent="0.25">
      <c r="A6974" s="125"/>
      <c r="B6974" s="125"/>
      <c r="C6974" s="126"/>
      <c r="D6974" s="127"/>
      <c r="E6974" s="127"/>
      <c r="F6974" s="127"/>
      <c r="G6974" s="127"/>
      <c r="H6974" s="127"/>
      <c r="I6974" s="128"/>
      <c r="J6974" s="126"/>
      <c r="K6974" s="125"/>
      <c r="L6974" s="129"/>
    </row>
    <row r="6975" spans="1:12" hidden="1" x14ac:dyDescent="0.25">
      <c r="A6975" s="125"/>
      <c r="B6975" s="125"/>
      <c r="C6975" s="126"/>
      <c r="D6975" s="127"/>
      <c r="E6975" s="127"/>
      <c r="F6975" s="127"/>
      <c r="G6975" s="127"/>
      <c r="H6975" s="127"/>
      <c r="I6975" s="128"/>
      <c r="J6975" s="126"/>
      <c r="K6975" s="125"/>
      <c r="L6975" s="129"/>
    </row>
    <row r="6976" spans="1:12" hidden="1" x14ac:dyDescent="0.25">
      <c r="A6976" s="125"/>
      <c r="B6976" s="125"/>
      <c r="C6976" s="126"/>
      <c r="D6976" s="127"/>
      <c r="E6976" s="127"/>
      <c r="F6976" s="127"/>
      <c r="G6976" s="127"/>
      <c r="H6976" s="127"/>
      <c r="I6976" s="128"/>
      <c r="J6976" s="126"/>
      <c r="K6976" s="125"/>
      <c r="L6976" s="129"/>
    </row>
    <row r="6977" spans="1:12" hidden="1" x14ac:dyDescent="0.25">
      <c r="A6977" s="125"/>
      <c r="B6977" s="125"/>
      <c r="C6977" s="126"/>
      <c r="D6977" s="127"/>
      <c r="E6977" s="127"/>
      <c r="F6977" s="127"/>
      <c r="G6977" s="127"/>
      <c r="H6977" s="127"/>
      <c r="I6977" s="128"/>
      <c r="J6977" s="126"/>
      <c r="K6977" s="125"/>
      <c r="L6977" s="129"/>
    </row>
    <row r="6978" spans="1:12" hidden="1" x14ac:dyDescent="0.25">
      <c r="A6978" s="125"/>
      <c r="B6978" s="125"/>
      <c r="C6978" s="126"/>
      <c r="D6978" s="127"/>
      <c r="E6978" s="127"/>
      <c r="F6978" s="127"/>
      <c r="G6978" s="127"/>
      <c r="H6978" s="127"/>
      <c r="I6978" s="128"/>
      <c r="J6978" s="126"/>
      <c r="K6978" s="125"/>
      <c r="L6978" s="129"/>
    </row>
    <row r="6979" spans="1:12" hidden="1" x14ac:dyDescent="0.25">
      <c r="A6979" s="125"/>
      <c r="B6979" s="125"/>
      <c r="C6979" s="126"/>
      <c r="D6979" s="127"/>
      <c r="E6979" s="127"/>
      <c r="F6979" s="127"/>
      <c r="G6979" s="127"/>
      <c r="H6979" s="127"/>
      <c r="I6979" s="128"/>
      <c r="J6979" s="126"/>
      <c r="K6979" s="125"/>
      <c r="L6979" s="129"/>
    </row>
    <row r="6980" spans="1:12" hidden="1" x14ac:dyDescent="0.25">
      <c r="A6980" s="125"/>
      <c r="B6980" s="125"/>
      <c r="C6980" s="126"/>
      <c r="D6980" s="127"/>
      <c r="E6980" s="127"/>
      <c r="F6980" s="127"/>
      <c r="G6980" s="127"/>
      <c r="H6980" s="127"/>
      <c r="I6980" s="128"/>
      <c r="J6980" s="126"/>
      <c r="K6980" s="125"/>
      <c r="L6980" s="129"/>
    </row>
    <row r="6981" spans="1:12" hidden="1" x14ac:dyDescent="0.25">
      <c r="A6981" s="125"/>
      <c r="B6981" s="125"/>
      <c r="C6981" s="126"/>
      <c r="D6981" s="127"/>
      <c r="E6981" s="127"/>
      <c r="F6981" s="127"/>
      <c r="G6981" s="127"/>
      <c r="H6981" s="127"/>
      <c r="I6981" s="128"/>
      <c r="J6981" s="126"/>
      <c r="K6981" s="125"/>
      <c r="L6981" s="129"/>
    </row>
    <row r="6982" spans="1:12" hidden="1" x14ac:dyDescent="0.25">
      <c r="A6982" s="125"/>
      <c r="B6982" s="125"/>
      <c r="C6982" s="126"/>
      <c r="D6982" s="127"/>
      <c r="E6982" s="127"/>
      <c r="F6982" s="127"/>
      <c r="G6982" s="127"/>
      <c r="H6982" s="127"/>
      <c r="I6982" s="128"/>
      <c r="J6982" s="126"/>
      <c r="K6982" s="125"/>
      <c r="L6982" s="129"/>
    </row>
    <row r="6983" spans="1:12" hidden="1" x14ac:dyDescent="0.25">
      <c r="A6983" s="125"/>
      <c r="B6983" s="125"/>
      <c r="C6983" s="126"/>
      <c r="D6983" s="127"/>
      <c r="E6983" s="127"/>
      <c r="F6983" s="127"/>
      <c r="G6983" s="127"/>
      <c r="H6983" s="127"/>
      <c r="I6983" s="128"/>
      <c r="J6983" s="126"/>
      <c r="K6983" s="125"/>
      <c r="L6983" s="129"/>
    </row>
    <row r="6984" spans="1:12" hidden="1" x14ac:dyDescent="0.25">
      <c r="A6984" s="125"/>
      <c r="B6984" s="125"/>
      <c r="C6984" s="126"/>
      <c r="D6984" s="127"/>
      <c r="E6984" s="127"/>
      <c r="F6984" s="127"/>
      <c r="G6984" s="127"/>
      <c r="H6984" s="127"/>
      <c r="I6984" s="128"/>
      <c r="J6984" s="126"/>
      <c r="K6984" s="125"/>
      <c r="L6984" s="129"/>
    </row>
    <row r="6985" spans="1:12" hidden="1" x14ac:dyDescent="0.25">
      <c r="A6985" s="125"/>
      <c r="B6985" s="125"/>
      <c r="C6985" s="126"/>
      <c r="D6985" s="127"/>
      <c r="E6985" s="127"/>
      <c r="F6985" s="127"/>
      <c r="G6985" s="127"/>
      <c r="H6985" s="127"/>
      <c r="I6985" s="128"/>
      <c r="J6985" s="126"/>
      <c r="K6985" s="125"/>
      <c r="L6985" s="129"/>
    </row>
    <row r="6986" spans="1:12" hidden="1" x14ac:dyDescent="0.25">
      <c r="A6986" s="125"/>
      <c r="B6986" s="125"/>
      <c r="C6986" s="126"/>
      <c r="D6986" s="127"/>
      <c r="E6986" s="127"/>
      <c r="F6986" s="127"/>
      <c r="G6986" s="127"/>
      <c r="H6986" s="127"/>
      <c r="I6986" s="128"/>
      <c r="J6986" s="126"/>
      <c r="K6986" s="125"/>
      <c r="L6986" s="129"/>
    </row>
    <row r="6987" spans="1:12" hidden="1" x14ac:dyDescent="0.25">
      <c r="A6987" s="125"/>
      <c r="B6987" s="125"/>
      <c r="C6987" s="126"/>
      <c r="D6987" s="127"/>
      <c r="E6987" s="127"/>
      <c r="F6987" s="127"/>
      <c r="G6987" s="127"/>
      <c r="H6987" s="127"/>
      <c r="I6987" s="128"/>
      <c r="J6987" s="126"/>
      <c r="K6987" s="125"/>
      <c r="L6987" s="129"/>
    </row>
    <row r="6988" spans="1:12" hidden="1" x14ac:dyDescent="0.25">
      <c r="A6988" s="125"/>
      <c r="B6988" s="125"/>
      <c r="C6988" s="126"/>
      <c r="D6988" s="127"/>
      <c r="E6988" s="127"/>
      <c r="F6988" s="127"/>
      <c r="G6988" s="127"/>
      <c r="H6988" s="127"/>
      <c r="I6988" s="128"/>
      <c r="J6988" s="126"/>
      <c r="K6988" s="125"/>
      <c r="L6988" s="129"/>
    </row>
    <row r="6989" spans="1:12" hidden="1" x14ac:dyDescent="0.25">
      <c r="A6989" s="125"/>
      <c r="B6989" s="125"/>
      <c r="C6989" s="126"/>
      <c r="D6989" s="127"/>
      <c r="E6989" s="127"/>
      <c r="F6989" s="127"/>
      <c r="G6989" s="127"/>
      <c r="H6989" s="127"/>
      <c r="I6989" s="128"/>
      <c r="J6989" s="126"/>
      <c r="K6989" s="125"/>
      <c r="L6989" s="129"/>
    </row>
    <row r="6990" spans="1:12" hidden="1" x14ac:dyDescent="0.25">
      <c r="A6990" s="125"/>
      <c r="B6990" s="125"/>
      <c r="C6990" s="126"/>
      <c r="D6990" s="127"/>
      <c r="E6990" s="127"/>
      <c r="F6990" s="127"/>
      <c r="G6990" s="127"/>
      <c r="H6990" s="127"/>
      <c r="I6990" s="128"/>
      <c r="J6990" s="126"/>
      <c r="K6990" s="125"/>
      <c r="L6990" s="129"/>
    </row>
    <row r="6991" spans="1:12" hidden="1" x14ac:dyDescent="0.25">
      <c r="A6991" s="125"/>
      <c r="B6991" s="125"/>
      <c r="C6991" s="126"/>
      <c r="D6991" s="127"/>
      <c r="E6991" s="127"/>
      <c r="F6991" s="127"/>
      <c r="G6991" s="127"/>
      <c r="H6991" s="127"/>
      <c r="I6991" s="128"/>
      <c r="J6991" s="126"/>
      <c r="K6991" s="125"/>
      <c r="L6991" s="129"/>
    </row>
    <row r="6992" spans="1:12" hidden="1" x14ac:dyDescent="0.25">
      <c r="A6992" s="125"/>
      <c r="B6992" s="125"/>
      <c r="C6992" s="126"/>
      <c r="D6992" s="127"/>
      <c r="E6992" s="127"/>
      <c r="F6992" s="127"/>
      <c r="G6992" s="127"/>
      <c r="H6992" s="127"/>
      <c r="I6992" s="128"/>
      <c r="J6992" s="126"/>
      <c r="K6992" s="125"/>
      <c r="L6992" s="129"/>
    </row>
    <row r="6993" spans="1:12" hidden="1" x14ac:dyDescent="0.25">
      <c r="A6993" s="125"/>
      <c r="B6993" s="125"/>
      <c r="C6993" s="126"/>
      <c r="D6993" s="127"/>
      <c r="E6993" s="127"/>
      <c r="F6993" s="127"/>
      <c r="G6993" s="127"/>
      <c r="H6993" s="127"/>
      <c r="I6993" s="128"/>
      <c r="J6993" s="126"/>
      <c r="K6993" s="125"/>
      <c r="L6993" s="129"/>
    </row>
    <row r="6994" spans="1:12" hidden="1" x14ac:dyDescent="0.25">
      <c r="A6994" s="125"/>
      <c r="B6994" s="125"/>
      <c r="C6994" s="126"/>
      <c r="D6994" s="127"/>
      <c r="E6994" s="127"/>
      <c r="F6994" s="127"/>
      <c r="G6994" s="127"/>
      <c r="H6994" s="127"/>
      <c r="I6994" s="128"/>
      <c r="J6994" s="126"/>
      <c r="K6994" s="125"/>
      <c r="L6994" s="129"/>
    </row>
    <row r="6995" spans="1:12" hidden="1" x14ac:dyDescent="0.25">
      <c r="A6995" s="125"/>
      <c r="B6995" s="125"/>
      <c r="C6995" s="126"/>
      <c r="D6995" s="127"/>
      <c r="E6995" s="127"/>
      <c r="F6995" s="127"/>
      <c r="G6995" s="127"/>
      <c r="H6995" s="127"/>
      <c r="I6995" s="128"/>
      <c r="J6995" s="126"/>
      <c r="K6995" s="125"/>
      <c r="L6995" s="129"/>
    </row>
    <row r="6996" spans="1:12" hidden="1" x14ac:dyDescent="0.25">
      <c r="A6996" s="125"/>
      <c r="B6996" s="125"/>
      <c r="C6996" s="126"/>
      <c r="D6996" s="127"/>
      <c r="E6996" s="127"/>
      <c r="F6996" s="127"/>
      <c r="G6996" s="127"/>
      <c r="H6996" s="127"/>
      <c r="I6996" s="128"/>
      <c r="J6996" s="126"/>
      <c r="K6996" s="125"/>
      <c r="L6996" s="129"/>
    </row>
    <row r="6997" spans="1:12" hidden="1" x14ac:dyDescent="0.25">
      <c r="A6997" s="125"/>
      <c r="B6997" s="125"/>
      <c r="C6997" s="126"/>
      <c r="D6997" s="127"/>
      <c r="E6997" s="127"/>
      <c r="F6997" s="127"/>
      <c r="G6997" s="127"/>
      <c r="H6997" s="127"/>
      <c r="I6997" s="128"/>
      <c r="J6997" s="126"/>
      <c r="K6997" s="125"/>
      <c r="L6997" s="129"/>
    </row>
    <row r="6998" spans="1:12" hidden="1" x14ac:dyDescent="0.25">
      <c r="A6998" s="125"/>
      <c r="B6998" s="125"/>
      <c r="C6998" s="126"/>
      <c r="D6998" s="127"/>
      <c r="E6998" s="127"/>
      <c r="F6998" s="127"/>
      <c r="G6998" s="127"/>
      <c r="H6998" s="127"/>
      <c r="I6998" s="128"/>
      <c r="J6998" s="126"/>
      <c r="K6998" s="125"/>
      <c r="L6998" s="129"/>
    </row>
    <row r="6999" spans="1:12" hidden="1" x14ac:dyDescent="0.25">
      <c r="A6999" s="125"/>
      <c r="B6999" s="125"/>
      <c r="C6999" s="126"/>
      <c r="D6999" s="127"/>
      <c r="E6999" s="127"/>
      <c r="F6999" s="127"/>
      <c r="G6999" s="127"/>
      <c r="H6999" s="127"/>
      <c r="I6999" s="128"/>
      <c r="J6999" s="126"/>
      <c r="K6999" s="125"/>
      <c r="L6999" s="129"/>
    </row>
    <row r="7000" spans="1:12" hidden="1" x14ac:dyDescent="0.25">
      <c r="A7000" s="125"/>
      <c r="B7000" s="125"/>
      <c r="C7000" s="126"/>
      <c r="D7000" s="127"/>
      <c r="E7000" s="127"/>
      <c r="F7000" s="127"/>
      <c r="G7000" s="127"/>
      <c r="H7000" s="127"/>
      <c r="I7000" s="128"/>
      <c r="J7000" s="126"/>
      <c r="K7000" s="125"/>
      <c r="L7000" s="129"/>
    </row>
    <row r="7001" spans="1:12" hidden="1" x14ac:dyDescent="0.25">
      <c r="A7001" s="125"/>
      <c r="B7001" s="125"/>
      <c r="C7001" s="126"/>
      <c r="D7001" s="127"/>
      <c r="E7001" s="127"/>
      <c r="F7001" s="127"/>
      <c r="G7001" s="127"/>
      <c r="H7001" s="127"/>
      <c r="I7001" s="128"/>
      <c r="J7001" s="126"/>
      <c r="K7001" s="125"/>
      <c r="L7001" s="129"/>
    </row>
    <row r="7002" spans="1:12" hidden="1" x14ac:dyDescent="0.25">
      <c r="A7002" s="125"/>
      <c r="B7002" s="125"/>
      <c r="C7002" s="126"/>
      <c r="D7002" s="127"/>
      <c r="E7002" s="127"/>
      <c r="F7002" s="127"/>
      <c r="G7002" s="127"/>
      <c r="H7002" s="127"/>
      <c r="I7002" s="128"/>
      <c r="J7002" s="126"/>
      <c r="K7002" s="125"/>
      <c r="L7002" s="129"/>
    </row>
    <row r="7003" spans="1:12" hidden="1" x14ac:dyDescent="0.25">
      <c r="A7003" s="125"/>
      <c r="B7003" s="125"/>
      <c r="C7003" s="126"/>
      <c r="D7003" s="127"/>
      <c r="E7003" s="127"/>
      <c r="F7003" s="127"/>
      <c r="G7003" s="127"/>
      <c r="H7003" s="127"/>
      <c r="I7003" s="128"/>
      <c r="J7003" s="126"/>
      <c r="K7003" s="125"/>
      <c r="L7003" s="129"/>
    </row>
    <row r="7004" spans="1:12" hidden="1" x14ac:dyDescent="0.25">
      <c r="A7004" s="125"/>
      <c r="B7004" s="125"/>
      <c r="C7004" s="126"/>
      <c r="D7004" s="127"/>
      <c r="E7004" s="127"/>
      <c r="F7004" s="127"/>
      <c r="G7004" s="127"/>
      <c r="H7004" s="127"/>
      <c r="I7004" s="128"/>
      <c r="J7004" s="126"/>
      <c r="K7004" s="125"/>
      <c r="L7004" s="129"/>
    </row>
    <row r="7005" spans="1:12" hidden="1" x14ac:dyDescent="0.25">
      <c r="A7005" s="125"/>
      <c r="B7005" s="125"/>
      <c r="C7005" s="126"/>
      <c r="D7005" s="127"/>
      <c r="E7005" s="127"/>
      <c r="F7005" s="127"/>
      <c r="G7005" s="127"/>
      <c r="H7005" s="127"/>
      <c r="I7005" s="128"/>
      <c r="J7005" s="126"/>
      <c r="K7005" s="125"/>
      <c r="L7005" s="129"/>
    </row>
    <row r="7006" spans="1:12" hidden="1" x14ac:dyDescent="0.25">
      <c r="A7006" s="125"/>
      <c r="B7006" s="125"/>
      <c r="C7006" s="126"/>
      <c r="D7006" s="127"/>
      <c r="E7006" s="127"/>
      <c r="F7006" s="127"/>
      <c r="G7006" s="127"/>
      <c r="H7006" s="127"/>
      <c r="I7006" s="128"/>
      <c r="J7006" s="126"/>
      <c r="K7006" s="125"/>
      <c r="L7006" s="129"/>
    </row>
    <row r="7007" spans="1:12" hidden="1" x14ac:dyDescent="0.25">
      <c r="A7007" s="125"/>
      <c r="B7007" s="125"/>
      <c r="C7007" s="126"/>
      <c r="D7007" s="127"/>
      <c r="E7007" s="127"/>
      <c r="F7007" s="127"/>
      <c r="G7007" s="127"/>
      <c r="H7007" s="127"/>
      <c r="I7007" s="128"/>
      <c r="J7007" s="126"/>
      <c r="K7007" s="125"/>
      <c r="L7007" s="129"/>
    </row>
    <row r="7008" spans="1:12" hidden="1" x14ac:dyDescent="0.25">
      <c r="A7008" s="125"/>
      <c r="B7008" s="125"/>
      <c r="C7008" s="126"/>
      <c r="D7008" s="127"/>
      <c r="E7008" s="127"/>
      <c r="F7008" s="127"/>
      <c r="G7008" s="127"/>
      <c r="H7008" s="127"/>
      <c r="I7008" s="128"/>
      <c r="J7008" s="126"/>
      <c r="K7008" s="125"/>
      <c r="L7008" s="129"/>
    </row>
    <row r="7009" spans="1:12" hidden="1" x14ac:dyDescent="0.25">
      <c r="A7009" s="125"/>
      <c r="B7009" s="125"/>
      <c r="C7009" s="126"/>
      <c r="D7009" s="127"/>
      <c r="E7009" s="127"/>
      <c r="F7009" s="127"/>
      <c r="G7009" s="127"/>
      <c r="H7009" s="127"/>
      <c r="I7009" s="128"/>
      <c r="J7009" s="126"/>
      <c r="K7009" s="125"/>
      <c r="L7009" s="129"/>
    </row>
    <row r="7010" spans="1:12" hidden="1" x14ac:dyDescent="0.25">
      <c r="A7010" s="125"/>
      <c r="B7010" s="125"/>
      <c r="C7010" s="126"/>
      <c r="D7010" s="127"/>
      <c r="E7010" s="127"/>
      <c r="F7010" s="127"/>
      <c r="G7010" s="127"/>
      <c r="H7010" s="127"/>
      <c r="I7010" s="128"/>
      <c r="J7010" s="126"/>
      <c r="K7010" s="125"/>
      <c r="L7010" s="129"/>
    </row>
    <row r="7011" spans="1:12" hidden="1" x14ac:dyDescent="0.25">
      <c r="A7011" s="125"/>
      <c r="B7011" s="125"/>
      <c r="C7011" s="126"/>
      <c r="D7011" s="127"/>
      <c r="E7011" s="140"/>
      <c r="F7011" s="140"/>
      <c r="G7011" s="140"/>
      <c r="H7011" s="140"/>
      <c r="I7011" s="128"/>
      <c r="J7011" s="126"/>
      <c r="K7011" s="125"/>
      <c r="L7011" s="129"/>
    </row>
    <row r="7012" spans="1:12" hidden="1" x14ac:dyDescent="0.25">
      <c r="A7012" s="125"/>
      <c r="B7012" s="125"/>
      <c r="C7012" s="126"/>
      <c r="D7012" s="127"/>
      <c r="E7012" s="127"/>
      <c r="F7012" s="127"/>
      <c r="G7012" s="127"/>
      <c r="H7012" s="127"/>
      <c r="I7012" s="128"/>
      <c r="J7012" s="126"/>
      <c r="K7012" s="125"/>
      <c r="L7012" s="129"/>
    </row>
    <row r="7013" spans="1:12" hidden="1" x14ac:dyDescent="0.25">
      <c r="A7013" s="125"/>
      <c r="B7013" s="125"/>
      <c r="C7013" s="126"/>
      <c r="D7013" s="127"/>
      <c r="E7013" s="127"/>
      <c r="F7013" s="127"/>
      <c r="G7013" s="127"/>
      <c r="H7013" s="127"/>
      <c r="I7013" s="128"/>
      <c r="J7013" s="126"/>
      <c r="K7013" s="125"/>
      <c r="L7013" s="129"/>
    </row>
    <row r="7014" spans="1:12" hidden="1" x14ac:dyDescent="0.25">
      <c r="A7014" s="125"/>
      <c r="B7014" s="125"/>
      <c r="C7014" s="126"/>
      <c r="D7014" s="127"/>
      <c r="E7014" s="140"/>
      <c r="F7014" s="140"/>
      <c r="G7014" s="140"/>
      <c r="H7014" s="140"/>
      <c r="I7014" s="128"/>
      <c r="J7014" s="126"/>
      <c r="K7014" s="125"/>
      <c r="L7014" s="129"/>
    </row>
    <row r="7015" spans="1:12" hidden="1" x14ac:dyDescent="0.25">
      <c r="A7015" s="125"/>
      <c r="B7015" s="125"/>
      <c r="C7015" s="126"/>
      <c r="D7015" s="127"/>
      <c r="E7015" s="127"/>
      <c r="F7015" s="127"/>
      <c r="G7015" s="127"/>
      <c r="H7015" s="127"/>
      <c r="I7015" s="128"/>
      <c r="J7015" s="126"/>
      <c r="K7015" s="125"/>
      <c r="L7015" s="129"/>
    </row>
    <row r="7016" spans="1:12" hidden="1" x14ac:dyDescent="0.25">
      <c r="A7016" s="125"/>
      <c r="B7016" s="125"/>
      <c r="C7016" s="126"/>
      <c r="D7016" s="127"/>
      <c r="E7016" s="127"/>
      <c r="F7016" s="127"/>
      <c r="G7016" s="127"/>
      <c r="H7016" s="127"/>
      <c r="I7016" s="128"/>
      <c r="J7016" s="126"/>
      <c r="K7016" s="125"/>
      <c r="L7016" s="129"/>
    </row>
    <row r="7017" spans="1:12" hidden="1" x14ac:dyDescent="0.25">
      <c r="A7017" s="125"/>
      <c r="B7017" s="125"/>
      <c r="C7017" s="126"/>
      <c r="D7017" s="127"/>
      <c r="E7017" s="140"/>
      <c r="F7017" s="140"/>
      <c r="G7017" s="140"/>
      <c r="H7017" s="140"/>
      <c r="I7017" s="128"/>
      <c r="J7017" s="126"/>
      <c r="K7017" s="125"/>
      <c r="L7017" s="129"/>
    </row>
    <row r="7018" spans="1:12" hidden="1" x14ac:dyDescent="0.25">
      <c r="A7018" s="125"/>
      <c r="B7018" s="125"/>
      <c r="C7018" s="126"/>
      <c r="D7018" s="127"/>
      <c r="E7018" s="127"/>
      <c r="F7018" s="127"/>
      <c r="G7018" s="127"/>
      <c r="H7018" s="127"/>
      <c r="I7018" s="128"/>
      <c r="J7018" s="126"/>
      <c r="K7018" s="125"/>
      <c r="L7018" s="129"/>
    </row>
    <row r="7019" spans="1:12" hidden="1" x14ac:dyDescent="0.25">
      <c r="A7019" s="125"/>
      <c r="B7019" s="125"/>
      <c r="C7019" s="126"/>
      <c r="D7019" s="127"/>
      <c r="E7019" s="127"/>
      <c r="F7019" s="127"/>
      <c r="G7019" s="127"/>
      <c r="H7019" s="127"/>
      <c r="I7019" s="128"/>
      <c r="J7019" s="126"/>
      <c r="K7019" s="125"/>
      <c r="L7019" s="129"/>
    </row>
    <row r="7020" spans="1:12" hidden="1" x14ac:dyDescent="0.25">
      <c r="A7020" s="125"/>
      <c r="B7020" s="125"/>
      <c r="C7020" s="126"/>
      <c r="D7020" s="127"/>
      <c r="E7020" s="140"/>
      <c r="F7020" s="140"/>
      <c r="G7020" s="140"/>
      <c r="H7020" s="140"/>
      <c r="I7020" s="128"/>
      <c r="J7020" s="126"/>
      <c r="K7020" s="125"/>
      <c r="L7020" s="129"/>
    </row>
    <row r="7021" spans="1:12" hidden="1" x14ac:dyDescent="0.25">
      <c r="A7021" s="125"/>
      <c r="B7021" s="125"/>
      <c r="C7021" s="126"/>
      <c r="D7021" s="127"/>
      <c r="E7021" s="127"/>
      <c r="F7021" s="127"/>
      <c r="G7021" s="127"/>
      <c r="H7021" s="127"/>
      <c r="I7021" s="128"/>
      <c r="J7021" s="126"/>
      <c r="K7021" s="125"/>
      <c r="L7021" s="129"/>
    </row>
    <row r="7022" spans="1:12" hidden="1" x14ac:dyDescent="0.25">
      <c r="A7022" s="125"/>
      <c r="B7022" s="125"/>
      <c r="C7022" s="126"/>
      <c r="D7022" s="127"/>
      <c r="E7022" s="127"/>
      <c r="F7022" s="127"/>
      <c r="G7022" s="127"/>
      <c r="H7022" s="127"/>
      <c r="I7022" s="128"/>
      <c r="J7022" s="126"/>
      <c r="K7022" s="125"/>
      <c r="L7022" s="129"/>
    </row>
    <row r="7023" spans="1:12" hidden="1" x14ac:dyDescent="0.25">
      <c r="A7023" s="125"/>
      <c r="B7023" s="125"/>
      <c r="C7023" s="126"/>
      <c r="D7023" s="127"/>
      <c r="E7023" s="140"/>
      <c r="F7023" s="140"/>
      <c r="G7023" s="140"/>
      <c r="H7023" s="140"/>
      <c r="I7023" s="128"/>
      <c r="J7023" s="126"/>
      <c r="K7023" s="125"/>
      <c r="L7023" s="129"/>
    </row>
    <row r="7024" spans="1:12" hidden="1" x14ac:dyDescent="0.25">
      <c r="A7024" s="125"/>
      <c r="B7024" s="125"/>
      <c r="C7024" s="126"/>
      <c r="D7024" s="127"/>
      <c r="E7024" s="127"/>
      <c r="F7024" s="127"/>
      <c r="G7024" s="127"/>
      <c r="H7024" s="127"/>
      <c r="I7024" s="128"/>
      <c r="J7024" s="126"/>
      <c r="K7024" s="125"/>
      <c r="L7024" s="129"/>
    </row>
    <row r="7025" spans="1:12" hidden="1" x14ac:dyDescent="0.25">
      <c r="A7025" s="125"/>
      <c r="B7025" s="125"/>
      <c r="C7025" s="126"/>
      <c r="D7025" s="127"/>
      <c r="E7025" s="127"/>
      <c r="F7025" s="127"/>
      <c r="G7025" s="127"/>
      <c r="H7025" s="127"/>
      <c r="I7025" s="128"/>
      <c r="J7025" s="126"/>
      <c r="K7025" s="125"/>
      <c r="L7025" s="129"/>
    </row>
    <row r="7026" spans="1:12" hidden="1" x14ac:dyDescent="0.25">
      <c r="A7026" s="125"/>
      <c r="B7026" s="125"/>
      <c r="C7026" s="126"/>
      <c r="D7026" s="127"/>
      <c r="E7026" s="140"/>
      <c r="F7026" s="140"/>
      <c r="G7026" s="140"/>
      <c r="H7026" s="140"/>
      <c r="I7026" s="128"/>
      <c r="J7026" s="126"/>
      <c r="K7026" s="125"/>
      <c r="L7026" s="129"/>
    </row>
    <row r="7027" spans="1:12" hidden="1" x14ac:dyDescent="0.25">
      <c r="A7027" s="125"/>
      <c r="B7027" s="125"/>
      <c r="C7027" s="126"/>
      <c r="D7027" s="127"/>
      <c r="E7027" s="127"/>
      <c r="F7027" s="127"/>
      <c r="G7027" s="127"/>
      <c r="H7027" s="127"/>
      <c r="I7027" s="128"/>
      <c r="J7027" s="126"/>
      <c r="K7027" s="125"/>
      <c r="L7027" s="129"/>
    </row>
    <row r="7028" spans="1:12" hidden="1" x14ac:dyDescent="0.25">
      <c r="A7028" s="125"/>
      <c r="B7028" s="125"/>
      <c r="C7028" s="126"/>
      <c r="D7028" s="127"/>
      <c r="E7028" s="127"/>
      <c r="F7028" s="127"/>
      <c r="G7028" s="127"/>
      <c r="H7028" s="127"/>
      <c r="I7028" s="128"/>
      <c r="J7028" s="126"/>
      <c r="K7028" s="125"/>
      <c r="L7028" s="129"/>
    </row>
    <row r="7029" spans="1:12" hidden="1" x14ac:dyDescent="0.25">
      <c r="A7029" s="125"/>
      <c r="B7029" s="125"/>
      <c r="C7029" s="126"/>
      <c r="D7029" s="127"/>
      <c r="E7029" s="140"/>
      <c r="F7029" s="140"/>
      <c r="G7029" s="140"/>
      <c r="H7029" s="140"/>
      <c r="I7029" s="128"/>
      <c r="J7029" s="126"/>
      <c r="K7029" s="125"/>
      <c r="L7029" s="129"/>
    </row>
    <row r="7030" spans="1:12" hidden="1" x14ac:dyDescent="0.25">
      <c r="A7030" s="125"/>
      <c r="B7030" s="125"/>
      <c r="C7030" s="126"/>
      <c r="D7030" s="127"/>
      <c r="E7030" s="127"/>
      <c r="F7030" s="127"/>
      <c r="G7030" s="127"/>
      <c r="H7030" s="127"/>
      <c r="I7030" s="128"/>
      <c r="J7030" s="126"/>
      <c r="K7030" s="125"/>
      <c r="L7030" s="129"/>
    </row>
    <row r="7031" spans="1:12" hidden="1" x14ac:dyDescent="0.25">
      <c r="A7031" s="125"/>
      <c r="B7031" s="125"/>
      <c r="C7031" s="126"/>
      <c r="D7031" s="127"/>
      <c r="E7031" s="127"/>
      <c r="F7031" s="127"/>
      <c r="G7031" s="127"/>
      <c r="H7031" s="127"/>
      <c r="I7031" s="128"/>
      <c r="J7031" s="126"/>
      <c r="K7031" s="125"/>
      <c r="L7031" s="129"/>
    </row>
    <row r="7032" spans="1:12" hidden="1" x14ac:dyDescent="0.25">
      <c r="A7032" s="125"/>
      <c r="B7032" s="125"/>
      <c r="C7032" s="126"/>
      <c r="D7032" s="127"/>
      <c r="E7032" s="140"/>
      <c r="F7032" s="140"/>
      <c r="G7032" s="140"/>
      <c r="H7032" s="140"/>
      <c r="I7032" s="128"/>
      <c r="J7032" s="126"/>
      <c r="K7032" s="125"/>
      <c r="L7032" s="129"/>
    </row>
    <row r="7033" spans="1:12" hidden="1" x14ac:dyDescent="0.25">
      <c r="A7033" s="125"/>
      <c r="B7033" s="125"/>
      <c r="C7033" s="126"/>
      <c r="D7033" s="127"/>
      <c r="E7033" s="127"/>
      <c r="F7033" s="127"/>
      <c r="G7033" s="127"/>
      <c r="H7033" s="127"/>
      <c r="I7033" s="128"/>
      <c r="J7033" s="126"/>
      <c r="K7033" s="125"/>
      <c r="L7033" s="129"/>
    </row>
    <row r="7034" spans="1:12" hidden="1" x14ac:dyDescent="0.25">
      <c r="A7034" s="125"/>
      <c r="B7034" s="125"/>
      <c r="C7034" s="126"/>
      <c r="D7034" s="127"/>
      <c r="E7034" s="127"/>
      <c r="F7034" s="127"/>
      <c r="G7034" s="127"/>
      <c r="H7034" s="127"/>
      <c r="I7034" s="128"/>
      <c r="J7034" s="126"/>
      <c r="K7034" s="125"/>
      <c r="L7034" s="129"/>
    </row>
    <row r="7035" spans="1:12" hidden="1" x14ac:dyDescent="0.25">
      <c r="A7035" s="125"/>
      <c r="B7035" s="125"/>
      <c r="C7035" s="126"/>
      <c r="D7035" s="127"/>
      <c r="E7035" s="127"/>
      <c r="F7035" s="127"/>
      <c r="G7035" s="127"/>
      <c r="H7035" s="127"/>
      <c r="I7035" s="128"/>
      <c r="J7035" s="126"/>
      <c r="K7035" s="125"/>
      <c r="L7035" s="129"/>
    </row>
    <row r="7036" spans="1:12" hidden="1" x14ac:dyDescent="0.25">
      <c r="A7036" s="125"/>
      <c r="B7036" s="125"/>
      <c r="C7036" s="126"/>
      <c r="D7036" s="127"/>
      <c r="E7036" s="140"/>
      <c r="F7036" s="140"/>
      <c r="G7036" s="140"/>
      <c r="H7036" s="140"/>
      <c r="I7036" s="128"/>
      <c r="J7036" s="126"/>
      <c r="K7036" s="125"/>
      <c r="L7036" s="129"/>
    </row>
    <row r="7037" spans="1:12" hidden="1" x14ac:dyDescent="0.25">
      <c r="A7037" s="125"/>
      <c r="B7037" s="125"/>
      <c r="C7037" s="126"/>
      <c r="D7037" s="127"/>
      <c r="E7037" s="127"/>
      <c r="F7037" s="127"/>
      <c r="G7037" s="127"/>
      <c r="H7037" s="127"/>
      <c r="I7037" s="128"/>
      <c r="J7037" s="126"/>
      <c r="K7037" s="125"/>
      <c r="L7037" s="129"/>
    </row>
    <row r="7038" spans="1:12" hidden="1" x14ac:dyDescent="0.25">
      <c r="A7038" s="125"/>
      <c r="B7038" s="125"/>
      <c r="C7038" s="126"/>
      <c r="D7038" s="127"/>
      <c r="E7038" s="127"/>
      <c r="F7038" s="127"/>
      <c r="G7038" s="127"/>
      <c r="H7038" s="127"/>
      <c r="I7038" s="128"/>
      <c r="J7038" s="126"/>
      <c r="K7038" s="125"/>
      <c r="L7038" s="129"/>
    </row>
    <row r="7039" spans="1:12" hidden="1" x14ac:dyDescent="0.25">
      <c r="A7039" s="125"/>
      <c r="B7039" s="125"/>
      <c r="C7039" s="126"/>
      <c r="D7039" s="127"/>
      <c r="E7039" s="127"/>
      <c r="F7039" s="127"/>
      <c r="G7039" s="127"/>
      <c r="H7039" s="127"/>
      <c r="I7039" s="128"/>
      <c r="J7039" s="126"/>
      <c r="K7039" s="125"/>
      <c r="L7039" s="129"/>
    </row>
    <row r="7040" spans="1:12" hidden="1" x14ac:dyDescent="0.25">
      <c r="A7040" s="125"/>
      <c r="B7040" s="125"/>
      <c r="C7040" s="126"/>
      <c r="D7040" s="127"/>
      <c r="E7040" s="140"/>
      <c r="F7040" s="140"/>
      <c r="G7040" s="140"/>
      <c r="H7040" s="140"/>
      <c r="I7040" s="128"/>
      <c r="J7040" s="126"/>
      <c r="K7040" s="125"/>
      <c r="L7040" s="129"/>
    </row>
    <row r="7041" spans="1:12" hidden="1" x14ac:dyDescent="0.25">
      <c r="A7041" s="125"/>
      <c r="B7041" s="125"/>
      <c r="C7041" s="126"/>
      <c r="D7041" s="127"/>
      <c r="E7041" s="127"/>
      <c r="F7041" s="127"/>
      <c r="G7041" s="127"/>
      <c r="H7041" s="127"/>
      <c r="I7041" s="128"/>
      <c r="J7041" s="126"/>
      <c r="K7041" s="125"/>
      <c r="L7041" s="129"/>
    </row>
    <row r="7042" spans="1:12" hidden="1" x14ac:dyDescent="0.25">
      <c r="A7042" s="125"/>
      <c r="B7042" s="125"/>
      <c r="C7042" s="126"/>
      <c r="D7042" s="127"/>
      <c r="E7042" s="127"/>
      <c r="F7042" s="127"/>
      <c r="G7042" s="127"/>
      <c r="H7042" s="127"/>
      <c r="I7042" s="128"/>
      <c r="J7042" s="126"/>
      <c r="K7042" s="125"/>
      <c r="L7042" s="129"/>
    </row>
    <row r="7043" spans="1:12" hidden="1" x14ac:dyDescent="0.25">
      <c r="A7043" s="125"/>
      <c r="B7043" s="125"/>
      <c r="C7043" s="126"/>
      <c r="D7043" s="127"/>
      <c r="E7043" s="127"/>
      <c r="F7043" s="127"/>
      <c r="G7043" s="127"/>
      <c r="H7043" s="127"/>
      <c r="I7043" s="128"/>
      <c r="J7043" s="126"/>
      <c r="K7043" s="125"/>
      <c r="L7043" s="129"/>
    </row>
    <row r="7044" spans="1:12" hidden="1" x14ac:dyDescent="0.25">
      <c r="A7044" s="125"/>
      <c r="B7044" s="125"/>
      <c r="C7044" s="126"/>
      <c r="D7044" s="127"/>
      <c r="E7044" s="127"/>
      <c r="F7044" s="127"/>
      <c r="G7044" s="127"/>
      <c r="H7044" s="127"/>
      <c r="I7044" s="128"/>
      <c r="J7044" s="126"/>
      <c r="K7044" s="125"/>
      <c r="L7044" s="129"/>
    </row>
    <row r="7045" spans="1:12" hidden="1" x14ac:dyDescent="0.25">
      <c r="A7045" s="125"/>
      <c r="B7045" s="125"/>
      <c r="C7045" s="126"/>
      <c r="D7045" s="127"/>
      <c r="E7045" s="127"/>
      <c r="F7045" s="127"/>
      <c r="G7045" s="127"/>
      <c r="H7045" s="127"/>
      <c r="I7045" s="128"/>
      <c r="J7045" s="126"/>
      <c r="K7045" s="125"/>
      <c r="L7045" s="129"/>
    </row>
    <row r="7046" spans="1:12" hidden="1" x14ac:dyDescent="0.25">
      <c r="A7046" s="125"/>
      <c r="B7046" s="125"/>
      <c r="C7046" s="126"/>
      <c r="D7046" s="127"/>
      <c r="E7046" s="127"/>
      <c r="F7046" s="127"/>
      <c r="G7046" s="127"/>
      <c r="H7046" s="127"/>
      <c r="I7046" s="128"/>
      <c r="J7046" s="126"/>
      <c r="K7046" s="125"/>
      <c r="L7046" s="129"/>
    </row>
    <row r="7047" spans="1:12" hidden="1" x14ac:dyDescent="0.25">
      <c r="A7047" s="125"/>
      <c r="B7047" s="125"/>
      <c r="C7047" s="126"/>
      <c r="D7047" s="127"/>
      <c r="E7047" s="127"/>
      <c r="F7047" s="127"/>
      <c r="G7047" s="127"/>
      <c r="H7047" s="127"/>
      <c r="I7047" s="128"/>
      <c r="J7047" s="126"/>
      <c r="K7047" s="125"/>
      <c r="L7047" s="129"/>
    </row>
    <row r="7048" spans="1:12" hidden="1" x14ac:dyDescent="0.25">
      <c r="A7048" s="125"/>
      <c r="B7048" s="125"/>
      <c r="C7048" s="126"/>
      <c r="D7048" s="127"/>
      <c r="E7048" s="127"/>
      <c r="F7048" s="127"/>
      <c r="G7048" s="127"/>
      <c r="H7048" s="127"/>
      <c r="I7048" s="128"/>
      <c r="J7048" s="126"/>
      <c r="K7048" s="125"/>
      <c r="L7048" s="129"/>
    </row>
    <row r="7049" spans="1:12" hidden="1" x14ac:dyDescent="0.25">
      <c r="A7049" s="125"/>
      <c r="B7049" s="125"/>
      <c r="C7049" s="126"/>
      <c r="D7049" s="127"/>
      <c r="E7049" s="127"/>
      <c r="F7049" s="127"/>
      <c r="G7049" s="127"/>
      <c r="H7049" s="127"/>
      <c r="I7049" s="128"/>
      <c r="J7049" s="126"/>
      <c r="K7049" s="125"/>
      <c r="L7049" s="129"/>
    </row>
    <row r="7050" spans="1:12" hidden="1" x14ac:dyDescent="0.25">
      <c r="A7050" s="125"/>
      <c r="B7050" s="125"/>
      <c r="C7050" s="126"/>
      <c r="D7050" s="127"/>
      <c r="E7050" s="127"/>
      <c r="F7050" s="127"/>
      <c r="G7050" s="127"/>
      <c r="H7050" s="127"/>
      <c r="I7050" s="128"/>
      <c r="J7050" s="126"/>
      <c r="K7050" s="125"/>
      <c r="L7050" s="129"/>
    </row>
    <row r="7051" spans="1:12" hidden="1" x14ac:dyDescent="0.25">
      <c r="A7051" s="125"/>
      <c r="B7051" s="125"/>
      <c r="C7051" s="126"/>
      <c r="D7051" s="127"/>
      <c r="E7051" s="127"/>
      <c r="F7051" s="127"/>
      <c r="G7051" s="127"/>
      <c r="H7051" s="127"/>
      <c r="I7051" s="128"/>
      <c r="J7051" s="126"/>
      <c r="K7051" s="125"/>
      <c r="L7051" s="129"/>
    </row>
    <row r="7052" spans="1:12" hidden="1" x14ac:dyDescent="0.25">
      <c r="A7052" s="125"/>
      <c r="B7052" s="125"/>
      <c r="C7052" s="126"/>
      <c r="D7052" s="127"/>
      <c r="E7052" s="127"/>
      <c r="F7052" s="127"/>
      <c r="G7052" s="127"/>
      <c r="H7052" s="127"/>
      <c r="I7052" s="128"/>
      <c r="J7052" s="126"/>
      <c r="K7052" s="125"/>
      <c r="L7052" s="129"/>
    </row>
    <row r="7053" spans="1:12" hidden="1" x14ac:dyDescent="0.25">
      <c r="A7053" s="125"/>
      <c r="B7053" s="125"/>
      <c r="C7053" s="126"/>
      <c r="D7053" s="127"/>
      <c r="E7053" s="127"/>
      <c r="F7053" s="127"/>
      <c r="G7053" s="127"/>
      <c r="H7053" s="127"/>
      <c r="I7053" s="128"/>
      <c r="J7053" s="126"/>
      <c r="K7053" s="125"/>
      <c r="L7053" s="129"/>
    </row>
    <row r="7054" spans="1:12" hidden="1" x14ac:dyDescent="0.25">
      <c r="A7054" s="125"/>
      <c r="B7054" s="125"/>
      <c r="C7054" s="126"/>
      <c r="D7054" s="127"/>
      <c r="E7054" s="140"/>
      <c r="F7054" s="140"/>
      <c r="G7054" s="140"/>
      <c r="H7054" s="140"/>
      <c r="I7054" s="128"/>
      <c r="J7054" s="126"/>
      <c r="K7054" s="125"/>
      <c r="L7054" s="129"/>
    </row>
    <row r="7055" spans="1:12" hidden="1" x14ac:dyDescent="0.25">
      <c r="A7055" s="125"/>
      <c r="B7055" s="125"/>
      <c r="C7055" s="126"/>
      <c r="D7055" s="127"/>
      <c r="E7055" s="127"/>
      <c r="F7055" s="127"/>
      <c r="G7055" s="127"/>
      <c r="H7055" s="127"/>
      <c r="I7055" s="128"/>
      <c r="J7055" s="126"/>
      <c r="K7055" s="125"/>
      <c r="L7055" s="129"/>
    </row>
    <row r="7056" spans="1:12" hidden="1" x14ac:dyDescent="0.25">
      <c r="A7056" s="125"/>
      <c r="B7056" s="125"/>
      <c r="C7056" s="126"/>
      <c r="D7056" s="127"/>
      <c r="E7056" s="127"/>
      <c r="F7056" s="127"/>
      <c r="G7056" s="127"/>
      <c r="H7056" s="127"/>
      <c r="I7056" s="128"/>
      <c r="J7056" s="126"/>
      <c r="K7056" s="125"/>
      <c r="L7056" s="129"/>
    </row>
    <row r="7057" spans="1:12" hidden="1" x14ac:dyDescent="0.25">
      <c r="A7057" s="125"/>
      <c r="B7057" s="125"/>
      <c r="C7057" s="126"/>
      <c r="D7057" s="127"/>
      <c r="E7057" s="140"/>
      <c r="F7057" s="140"/>
      <c r="G7057" s="140"/>
      <c r="H7057" s="140"/>
      <c r="I7057" s="128"/>
      <c r="J7057" s="126"/>
      <c r="K7057" s="125"/>
      <c r="L7057" s="129"/>
    </row>
    <row r="7058" spans="1:12" hidden="1" x14ac:dyDescent="0.25">
      <c r="A7058" s="125"/>
      <c r="B7058" s="125"/>
      <c r="C7058" s="126"/>
      <c r="D7058" s="127"/>
      <c r="E7058" s="127"/>
      <c r="F7058" s="127"/>
      <c r="G7058" s="127"/>
      <c r="H7058" s="127"/>
      <c r="I7058" s="128"/>
      <c r="J7058" s="126"/>
      <c r="K7058" s="125"/>
      <c r="L7058" s="129"/>
    </row>
    <row r="7059" spans="1:12" hidden="1" x14ac:dyDescent="0.25">
      <c r="A7059" s="125"/>
      <c r="B7059" s="125"/>
      <c r="C7059" s="126"/>
      <c r="D7059" s="127"/>
      <c r="E7059" s="127"/>
      <c r="F7059" s="127"/>
      <c r="G7059" s="127"/>
      <c r="H7059" s="127"/>
      <c r="I7059" s="128"/>
      <c r="J7059" s="126"/>
      <c r="K7059" s="125"/>
      <c r="L7059" s="129"/>
    </row>
    <row r="7060" spans="1:12" hidden="1" x14ac:dyDescent="0.25">
      <c r="A7060" s="125"/>
      <c r="B7060" s="125"/>
      <c r="C7060" s="126"/>
      <c r="D7060" s="127"/>
      <c r="E7060" s="140"/>
      <c r="F7060" s="140"/>
      <c r="G7060" s="140"/>
      <c r="H7060" s="140"/>
      <c r="I7060" s="128"/>
      <c r="J7060" s="126"/>
      <c r="K7060" s="125"/>
      <c r="L7060" s="129"/>
    </row>
    <row r="7061" spans="1:12" hidden="1" x14ac:dyDescent="0.25">
      <c r="A7061" s="125"/>
      <c r="B7061" s="125"/>
      <c r="C7061" s="126"/>
      <c r="D7061" s="127"/>
      <c r="E7061" s="127"/>
      <c r="F7061" s="127"/>
      <c r="G7061" s="127"/>
      <c r="H7061" s="127"/>
      <c r="I7061" s="128"/>
      <c r="J7061" s="126"/>
      <c r="K7061" s="125"/>
      <c r="L7061" s="129"/>
    </row>
    <row r="7062" spans="1:12" hidden="1" x14ac:dyDescent="0.25">
      <c r="A7062" s="125"/>
      <c r="B7062" s="125"/>
      <c r="C7062" s="126"/>
      <c r="D7062" s="127"/>
      <c r="E7062" s="127"/>
      <c r="F7062" s="127"/>
      <c r="G7062" s="127"/>
      <c r="H7062" s="127"/>
      <c r="I7062" s="128"/>
      <c r="J7062" s="126"/>
      <c r="K7062" s="125"/>
      <c r="L7062" s="129"/>
    </row>
    <row r="7063" spans="1:12" hidden="1" x14ac:dyDescent="0.25">
      <c r="A7063" s="125"/>
      <c r="B7063" s="125"/>
      <c r="C7063" s="126"/>
      <c r="D7063" s="127"/>
      <c r="E7063" s="140"/>
      <c r="F7063" s="140"/>
      <c r="G7063" s="140"/>
      <c r="H7063" s="140"/>
      <c r="I7063" s="128"/>
      <c r="J7063" s="126"/>
      <c r="K7063" s="125"/>
      <c r="L7063" s="129"/>
    </row>
    <row r="7064" spans="1:12" hidden="1" x14ac:dyDescent="0.25">
      <c r="A7064" s="125"/>
      <c r="B7064" s="125"/>
      <c r="C7064" s="126"/>
      <c r="D7064" s="127"/>
      <c r="E7064" s="127"/>
      <c r="F7064" s="127"/>
      <c r="G7064" s="127"/>
      <c r="H7064" s="127"/>
      <c r="I7064" s="128"/>
      <c r="J7064" s="126"/>
      <c r="K7064" s="125"/>
      <c r="L7064" s="129"/>
    </row>
    <row r="7065" spans="1:12" hidden="1" x14ac:dyDescent="0.25">
      <c r="A7065" s="125"/>
      <c r="B7065" s="125"/>
      <c r="C7065" s="126"/>
      <c r="D7065" s="127"/>
      <c r="E7065" s="127"/>
      <c r="F7065" s="127"/>
      <c r="G7065" s="127"/>
      <c r="H7065" s="127"/>
      <c r="I7065" s="128"/>
      <c r="J7065" s="126"/>
      <c r="K7065" s="125"/>
      <c r="L7065" s="129"/>
    </row>
    <row r="7066" spans="1:12" hidden="1" x14ac:dyDescent="0.25">
      <c r="A7066" s="125"/>
      <c r="B7066" s="125"/>
      <c r="C7066" s="126"/>
      <c r="D7066" s="127"/>
      <c r="E7066" s="127"/>
      <c r="F7066" s="127"/>
      <c r="G7066" s="127"/>
      <c r="H7066" s="127"/>
      <c r="I7066" s="128"/>
      <c r="J7066" s="126"/>
      <c r="K7066" s="125"/>
      <c r="L7066" s="129"/>
    </row>
    <row r="7067" spans="1:12" hidden="1" x14ac:dyDescent="0.25">
      <c r="A7067" s="125"/>
      <c r="B7067" s="125"/>
      <c r="C7067" s="126"/>
      <c r="D7067" s="127"/>
      <c r="E7067" s="127"/>
      <c r="F7067" s="127"/>
      <c r="G7067" s="127"/>
      <c r="H7067" s="127"/>
      <c r="I7067" s="128"/>
      <c r="J7067" s="126"/>
      <c r="K7067" s="125"/>
      <c r="L7067" s="129"/>
    </row>
    <row r="7068" spans="1:12" hidden="1" x14ac:dyDescent="0.25">
      <c r="A7068" s="125"/>
      <c r="B7068" s="125"/>
      <c r="C7068" s="126"/>
      <c r="D7068" s="127"/>
      <c r="E7068" s="140"/>
      <c r="F7068" s="140"/>
      <c r="G7068" s="140"/>
      <c r="H7068" s="140"/>
      <c r="I7068" s="128"/>
      <c r="J7068" s="126"/>
      <c r="K7068" s="125"/>
      <c r="L7068" s="129"/>
    </row>
    <row r="7069" spans="1:12" hidden="1" x14ac:dyDescent="0.25">
      <c r="A7069" s="125"/>
      <c r="B7069" s="125"/>
      <c r="C7069" s="126"/>
      <c r="D7069" s="127"/>
      <c r="E7069" s="127"/>
      <c r="F7069" s="127"/>
      <c r="G7069" s="127"/>
      <c r="H7069" s="127"/>
      <c r="I7069" s="128"/>
      <c r="J7069" s="126"/>
      <c r="K7069" s="125"/>
      <c r="L7069" s="129"/>
    </row>
    <row r="7070" spans="1:12" hidden="1" x14ac:dyDescent="0.25">
      <c r="A7070" s="125"/>
      <c r="B7070" s="125"/>
      <c r="C7070" s="126"/>
      <c r="D7070" s="127"/>
      <c r="E7070" s="127"/>
      <c r="F7070" s="127"/>
      <c r="G7070" s="127"/>
      <c r="H7070" s="127"/>
      <c r="I7070" s="128"/>
      <c r="J7070" s="126"/>
      <c r="K7070" s="125"/>
      <c r="L7070" s="129"/>
    </row>
    <row r="7071" spans="1:12" hidden="1" x14ac:dyDescent="0.25">
      <c r="A7071" s="125"/>
      <c r="B7071" s="125"/>
      <c r="C7071" s="126"/>
      <c r="D7071" s="127"/>
      <c r="E7071" s="140"/>
      <c r="F7071" s="140"/>
      <c r="G7071" s="140"/>
      <c r="H7071" s="140"/>
      <c r="I7071" s="128"/>
      <c r="J7071" s="126"/>
      <c r="K7071" s="125"/>
      <c r="L7071" s="129"/>
    </row>
    <row r="7072" spans="1:12" hidden="1" x14ac:dyDescent="0.25">
      <c r="A7072" s="125"/>
      <c r="B7072" s="125"/>
      <c r="C7072" s="126"/>
      <c r="D7072" s="127"/>
      <c r="E7072" s="127"/>
      <c r="F7072" s="127"/>
      <c r="G7072" s="127"/>
      <c r="H7072" s="127"/>
      <c r="I7072" s="128"/>
      <c r="J7072" s="126"/>
      <c r="K7072" s="125"/>
      <c r="L7072" s="129"/>
    </row>
    <row r="7073" spans="1:12" hidden="1" x14ac:dyDescent="0.25">
      <c r="A7073" s="125"/>
      <c r="B7073" s="125"/>
      <c r="C7073" s="126"/>
      <c r="D7073" s="127"/>
      <c r="E7073" s="127"/>
      <c r="F7073" s="127"/>
      <c r="G7073" s="127"/>
      <c r="H7073" s="127"/>
      <c r="I7073" s="128"/>
      <c r="J7073" s="126"/>
      <c r="K7073" s="125"/>
      <c r="L7073" s="129"/>
    </row>
    <row r="7074" spans="1:12" hidden="1" x14ac:dyDescent="0.25">
      <c r="A7074" s="125"/>
      <c r="B7074" s="125"/>
      <c r="C7074" s="126"/>
      <c r="D7074" s="127"/>
      <c r="E7074" s="127"/>
      <c r="F7074" s="127"/>
      <c r="G7074" s="127"/>
      <c r="H7074" s="127"/>
      <c r="I7074" s="128"/>
      <c r="J7074" s="126"/>
      <c r="K7074" s="125"/>
      <c r="L7074" s="129"/>
    </row>
    <row r="7075" spans="1:12" hidden="1" x14ac:dyDescent="0.25">
      <c r="A7075" s="125"/>
      <c r="B7075" s="125"/>
      <c r="C7075" s="126"/>
      <c r="D7075" s="127"/>
      <c r="E7075" s="127"/>
      <c r="F7075" s="127"/>
      <c r="G7075" s="127"/>
      <c r="H7075" s="127"/>
      <c r="I7075" s="128"/>
      <c r="J7075" s="126"/>
      <c r="K7075" s="125"/>
      <c r="L7075" s="129"/>
    </row>
    <row r="7076" spans="1:12" hidden="1" x14ac:dyDescent="0.25">
      <c r="A7076" s="125"/>
      <c r="B7076" s="125"/>
      <c r="C7076" s="126"/>
      <c r="D7076" s="127"/>
      <c r="E7076" s="127"/>
      <c r="F7076" s="127"/>
      <c r="G7076" s="127"/>
      <c r="H7076" s="127"/>
      <c r="I7076" s="128"/>
      <c r="J7076" s="126"/>
      <c r="K7076" s="125"/>
      <c r="L7076" s="129"/>
    </row>
    <row r="7077" spans="1:12" hidden="1" x14ac:dyDescent="0.25">
      <c r="A7077" s="125"/>
      <c r="B7077" s="125"/>
      <c r="C7077" s="126"/>
      <c r="D7077" s="127"/>
      <c r="E7077" s="140"/>
      <c r="F7077" s="140"/>
      <c r="G7077" s="140"/>
      <c r="H7077" s="140"/>
      <c r="I7077" s="128"/>
      <c r="J7077" s="126"/>
      <c r="K7077" s="125"/>
      <c r="L7077" s="129"/>
    </row>
    <row r="7078" spans="1:12" hidden="1" x14ac:dyDescent="0.25">
      <c r="A7078" s="125"/>
      <c r="B7078" s="125"/>
      <c r="C7078" s="126"/>
      <c r="D7078" s="127"/>
      <c r="E7078" s="127"/>
      <c r="F7078" s="127"/>
      <c r="G7078" s="127"/>
      <c r="H7078" s="127"/>
      <c r="I7078" s="128"/>
      <c r="J7078" s="126"/>
      <c r="K7078" s="125"/>
      <c r="L7078" s="129"/>
    </row>
    <row r="7079" spans="1:12" hidden="1" x14ac:dyDescent="0.25">
      <c r="A7079" s="125"/>
      <c r="B7079" s="125"/>
      <c r="C7079" s="126"/>
      <c r="D7079" s="127"/>
      <c r="E7079" s="127"/>
      <c r="F7079" s="127"/>
      <c r="G7079" s="127"/>
      <c r="H7079" s="127"/>
      <c r="I7079" s="128"/>
      <c r="J7079" s="126"/>
      <c r="K7079" s="125"/>
      <c r="L7079" s="129"/>
    </row>
    <row r="7080" spans="1:12" hidden="1" x14ac:dyDescent="0.25">
      <c r="A7080" s="125"/>
      <c r="B7080" s="125"/>
      <c r="C7080" s="126"/>
      <c r="D7080" s="127"/>
      <c r="E7080" s="127"/>
      <c r="F7080" s="127"/>
      <c r="G7080" s="127"/>
      <c r="H7080" s="127"/>
      <c r="I7080" s="128"/>
      <c r="J7080" s="126"/>
      <c r="K7080" s="125"/>
      <c r="L7080" s="129"/>
    </row>
    <row r="7081" spans="1:12" hidden="1" x14ac:dyDescent="0.25">
      <c r="A7081" s="125"/>
      <c r="B7081" s="125"/>
      <c r="C7081" s="126"/>
      <c r="D7081" s="127"/>
      <c r="E7081" s="127"/>
      <c r="F7081" s="127"/>
      <c r="G7081" s="127"/>
      <c r="H7081" s="127"/>
      <c r="I7081" s="128"/>
      <c r="J7081" s="126"/>
      <c r="K7081" s="125"/>
      <c r="L7081" s="129"/>
    </row>
    <row r="7082" spans="1:12" hidden="1" x14ac:dyDescent="0.25">
      <c r="A7082" s="125"/>
      <c r="B7082" s="125"/>
      <c r="C7082" s="126"/>
      <c r="D7082" s="127"/>
      <c r="E7082" s="127"/>
      <c r="F7082" s="127"/>
      <c r="G7082" s="127"/>
      <c r="H7082" s="127"/>
      <c r="I7082" s="128"/>
      <c r="J7082" s="126"/>
      <c r="K7082" s="125"/>
      <c r="L7082" s="129"/>
    </row>
    <row r="7083" spans="1:12" hidden="1" x14ac:dyDescent="0.25">
      <c r="A7083" s="125"/>
      <c r="B7083" s="125"/>
      <c r="C7083" s="126"/>
      <c r="D7083" s="127"/>
      <c r="E7083" s="140"/>
      <c r="F7083" s="140"/>
      <c r="G7083" s="140"/>
      <c r="H7083" s="140"/>
      <c r="I7083" s="128"/>
      <c r="J7083" s="126"/>
      <c r="K7083" s="125"/>
      <c r="L7083" s="129"/>
    </row>
    <row r="7084" spans="1:12" hidden="1" x14ac:dyDescent="0.25">
      <c r="A7084" s="141"/>
      <c r="B7084" s="141"/>
      <c r="C7084" s="142"/>
      <c r="D7084" s="143"/>
      <c r="E7084" s="143"/>
      <c r="F7084" s="143"/>
      <c r="G7084" s="143"/>
      <c r="H7084" s="143"/>
      <c r="I7084" s="144"/>
      <c r="J7084" s="142"/>
      <c r="K7084" s="141"/>
      <c r="L7084" s="129"/>
    </row>
    <row r="7085" spans="1:12" hidden="1" x14ac:dyDescent="0.25">
      <c r="A7085" s="125"/>
      <c r="B7085" s="125"/>
      <c r="C7085" s="126"/>
      <c r="D7085" s="127"/>
      <c r="E7085" s="127"/>
      <c r="F7085" s="127"/>
      <c r="G7085" s="127"/>
      <c r="H7085" s="127"/>
      <c r="I7085" s="128"/>
      <c r="J7085" s="126"/>
      <c r="K7085" s="125"/>
      <c r="L7085" s="129"/>
    </row>
    <row r="7086" spans="1:12" hidden="1" x14ac:dyDescent="0.25">
      <c r="A7086" s="141"/>
      <c r="B7086" s="141"/>
      <c r="C7086" s="142"/>
      <c r="D7086" s="143"/>
      <c r="E7086" s="143"/>
      <c r="F7086" s="143"/>
      <c r="G7086" s="143"/>
      <c r="H7086" s="143"/>
      <c r="I7086" s="144"/>
      <c r="J7086" s="142"/>
      <c r="K7086" s="141"/>
      <c r="L7086" s="129"/>
    </row>
    <row r="7087" spans="1:12" hidden="1" x14ac:dyDescent="0.25">
      <c r="A7087" s="125"/>
      <c r="B7087" s="125"/>
      <c r="C7087" s="126"/>
      <c r="D7087" s="127"/>
      <c r="E7087" s="140"/>
      <c r="F7087" s="140"/>
      <c r="G7087" s="140"/>
      <c r="H7087" s="140"/>
      <c r="I7087" s="128"/>
      <c r="J7087" s="126"/>
      <c r="K7087" s="125"/>
      <c r="L7087" s="129"/>
    </row>
    <row r="7088" spans="1:12" hidden="1" x14ac:dyDescent="0.25">
      <c r="A7088" s="125"/>
      <c r="B7088" s="125"/>
      <c r="C7088" s="126"/>
      <c r="D7088" s="127"/>
      <c r="E7088" s="127"/>
      <c r="F7088" s="127"/>
      <c r="G7088" s="127"/>
      <c r="H7088" s="127"/>
      <c r="I7088" s="128"/>
      <c r="J7088" s="126"/>
      <c r="K7088" s="125"/>
      <c r="L7088" s="129"/>
    </row>
    <row r="7089" spans="1:12" hidden="1" x14ac:dyDescent="0.25">
      <c r="A7089" s="125"/>
      <c r="B7089" s="125"/>
      <c r="C7089" s="126"/>
      <c r="D7089" s="127"/>
      <c r="E7089" s="127"/>
      <c r="F7089" s="127"/>
      <c r="G7089" s="127"/>
      <c r="H7089" s="127"/>
      <c r="I7089" s="128"/>
      <c r="J7089" s="126"/>
      <c r="K7089" s="125"/>
      <c r="L7089" s="129"/>
    </row>
    <row r="7090" spans="1:12" hidden="1" x14ac:dyDescent="0.25">
      <c r="A7090" s="125"/>
      <c r="B7090" s="125"/>
      <c r="C7090" s="126"/>
      <c r="D7090" s="127"/>
      <c r="E7090" s="127"/>
      <c r="F7090" s="127"/>
      <c r="G7090" s="127"/>
      <c r="H7090" s="127"/>
      <c r="I7090" s="128"/>
      <c r="J7090" s="126"/>
      <c r="K7090" s="125"/>
      <c r="L7090" s="129"/>
    </row>
    <row r="7091" spans="1:12" hidden="1" x14ac:dyDescent="0.25">
      <c r="A7091" s="125"/>
      <c r="B7091" s="125"/>
      <c r="C7091" s="126"/>
      <c r="D7091" s="127"/>
      <c r="E7091" s="127"/>
      <c r="F7091" s="127"/>
      <c r="G7091" s="127"/>
      <c r="H7091" s="127"/>
      <c r="I7091" s="128"/>
      <c r="J7091" s="126"/>
      <c r="K7091" s="125"/>
      <c r="L7091" s="129"/>
    </row>
    <row r="7092" spans="1:12" hidden="1" x14ac:dyDescent="0.25">
      <c r="A7092" s="125"/>
      <c r="B7092" s="125"/>
      <c r="C7092" s="126"/>
      <c r="D7092" s="127"/>
      <c r="E7092" s="127"/>
      <c r="F7092" s="127"/>
      <c r="G7092" s="127"/>
      <c r="H7092" s="127"/>
      <c r="I7092" s="128"/>
      <c r="J7092" s="126"/>
      <c r="K7092" s="125"/>
      <c r="L7092" s="129"/>
    </row>
    <row r="7093" spans="1:12" hidden="1" x14ac:dyDescent="0.25">
      <c r="A7093" s="125"/>
      <c r="B7093" s="125"/>
      <c r="C7093" s="126"/>
      <c r="D7093" s="127"/>
      <c r="E7093" s="127"/>
      <c r="F7093" s="127"/>
      <c r="G7093" s="127"/>
      <c r="H7093" s="127"/>
      <c r="I7093" s="128"/>
      <c r="J7093" s="126"/>
      <c r="K7093" s="125"/>
      <c r="L7093" s="129"/>
    </row>
    <row r="7094" spans="1:12" hidden="1" x14ac:dyDescent="0.25">
      <c r="A7094" s="125"/>
      <c r="B7094" s="125"/>
      <c r="C7094" s="126"/>
      <c r="D7094" s="127"/>
      <c r="E7094" s="140"/>
      <c r="F7094" s="140"/>
      <c r="G7094" s="140"/>
      <c r="H7094" s="140"/>
      <c r="I7094" s="128"/>
      <c r="J7094" s="126"/>
      <c r="K7094" s="125"/>
      <c r="L7094" s="129"/>
    </row>
    <row r="7095" spans="1:12" hidden="1" x14ac:dyDescent="0.25">
      <c r="A7095" s="125"/>
      <c r="B7095" s="125"/>
      <c r="C7095" s="126"/>
      <c r="D7095" s="127"/>
      <c r="E7095" s="127"/>
      <c r="F7095" s="127"/>
      <c r="G7095" s="127"/>
      <c r="H7095" s="127"/>
      <c r="I7095" s="128"/>
      <c r="J7095" s="126"/>
      <c r="K7095" s="125"/>
      <c r="L7095" s="129"/>
    </row>
    <row r="7096" spans="1:12" hidden="1" x14ac:dyDescent="0.25">
      <c r="A7096" s="125"/>
      <c r="B7096" s="125"/>
      <c r="C7096" s="126"/>
      <c r="D7096" s="127"/>
      <c r="E7096" s="127"/>
      <c r="F7096" s="127"/>
      <c r="G7096" s="127"/>
      <c r="H7096" s="127"/>
      <c r="I7096" s="128"/>
      <c r="J7096" s="126"/>
      <c r="K7096" s="125"/>
      <c r="L7096" s="129"/>
    </row>
    <row r="7097" spans="1:12" hidden="1" x14ac:dyDescent="0.25">
      <c r="A7097" s="125"/>
      <c r="B7097" s="125"/>
      <c r="C7097" s="126"/>
      <c r="D7097" s="127"/>
      <c r="E7097" s="127"/>
      <c r="F7097" s="127"/>
      <c r="G7097" s="127"/>
      <c r="H7097" s="127"/>
      <c r="I7097" s="128"/>
      <c r="J7097" s="126"/>
      <c r="K7097" s="125"/>
      <c r="L7097" s="129"/>
    </row>
    <row r="7098" spans="1:12" hidden="1" x14ac:dyDescent="0.25">
      <c r="A7098" s="125"/>
      <c r="B7098" s="125"/>
      <c r="C7098" s="126"/>
      <c r="D7098" s="127"/>
      <c r="E7098" s="127"/>
      <c r="F7098" s="127"/>
      <c r="G7098" s="127"/>
      <c r="H7098" s="127"/>
      <c r="I7098" s="128"/>
      <c r="J7098" s="126"/>
      <c r="K7098" s="125"/>
      <c r="L7098" s="129"/>
    </row>
    <row r="7099" spans="1:12" hidden="1" x14ac:dyDescent="0.25">
      <c r="A7099" s="125"/>
      <c r="B7099" s="125"/>
      <c r="C7099" s="126"/>
      <c r="D7099" s="127"/>
      <c r="E7099" s="140"/>
      <c r="F7099" s="140"/>
      <c r="G7099" s="140"/>
      <c r="H7099" s="140"/>
      <c r="I7099" s="128"/>
      <c r="J7099" s="126"/>
      <c r="K7099" s="125"/>
      <c r="L7099" s="129"/>
    </row>
    <row r="7100" spans="1:12" hidden="1" x14ac:dyDescent="0.25">
      <c r="A7100" s="125"/>
      <c r="B7100" s="125"/>
      <c r="C7100" s="126"/>
      <c r="D7100" s="127"/>
      <c r="E7100" s="127"/>
      <c r="F7100" s="127"/>
      <c r="G7100" s="127"/>
      <c r="H7100" s="127"/>
      <c r="I7100" s="128"/>
      <c r="J7100" s="126"/>
      <c r="K7100" s="125"/>
      <c r="L7100" s="129"/>
    </row>
    <row r="7101" spans="1:12" hidden="1" x14ac:dyDescent="0.25">
      <c r="A7101" s="125"/>
      <c r="B7101" s="125"/>
      <c r="C7101" s="126"/>
      <c r="D7101" s="127"/>
      <c r="E7101" s="127"/>
      <c r="F7101" s="127"/>
      <c r="G7101" s="127"/>
      <c r="H7101" s="127"/>
      <c r="I7101" s="128"/>
      <c r="J7101" s="126"/>
      <c r="K7101" s="125"/>
      <c r="L7101" s="129"/>
    </row>
    <row r="7102" spans="1:12" hidden="1" x14ac:dyDescent="0.25">
      <c r="A7102" s="125"/>
      <c r="B7102" s="125"/>
      <c r="C7102" s="126"/>
      <c r="D7102" s="127"/>
      <c r="E7102" s="127"/>
      <c r="F7102" s="127"/>
      <c r="G7102" s="127"/>
      <c r="H7102" s="127"/>
      <c r="I7102" s="128"/>
      <c r="J7102" s="126"/>
      <c r="K7102" s="125"/>
      <c r="L7102" s="129"/>
    </row>
    <row r="7103" spans="1:12" hidden="1" x14ac:dyDescent="0.25">
      <c r="A7103" s="125"/>
      <c r="B7103" s="125"/>
      <c r="C7103" s="126"/>
      <c r="D7103" s="127"/>
      <c r="E7103" s="127"/>
      <c r="F7103" s="127"/>
      <c r="G7103" s="127"/>
      <c r="H7103" s="127"/>
      <c r="I7103" s="128"/>
      <c r="J7103" s="126"/>
      <c r="K7103" s="125"/>
      <c r="L7103" s="129"/>
    </row>
    <row r="7104" spans="1:12" hidden="1" x14ac:dyDescent="0.25">
      <c r="A7104" s="125"/>
      <c r="B7104" s="125"/>
      <c r="C7104" s="126"/>
      <c r="D7104" s="127"/>
      <c r="E7104" s="127"/>
      <c r="F7104" s="127"/>
      <c r="G7104" s="127"/>
      <c r="H7104" s="127"/>
      <c r="I7104" s="128"/>
      <c r="J7104" s="126"/>
      <c r="K7104" s="125"/>
      <c r="L7104" s="129"/>
    </row>
    <row r="7105" spans="1:12" hidden="1" x14ac:dyDescent="0.25">
      <c r="A7105" s="125"/>
      <c r="B7105" s="125"/>
      <c r="C7105" s="126"/>
      <c r="D7105" s="127"/>
      <c r="E7105" s="140"/>
      <c r="F7105" s="140"/>
      <c r="G7105" s="140"/>
      <c r="H7105" s="140"/>
      <c r="I7105" s="128"/>
      <c r="J7105" s="126"/>
      <c r="K7105" s="125"/>
      <c r="L7105" s="129"/>
    </row>
    <row r="7106" spans="1:12" hidden="1" x14ac:dyDescent="0.25">
      <c r="A7106" s="125"/>
      <c r="B7106" s="125"/>
      <c r="C7106" s="126"/>
      <c r="D7106" s="127"/>
      <c r="E7106" s="127"/>
      <c r="F7106" s="127"/>
      <c r="G7106" s="127"/>
      <c r="H7106" s="127"/>
      <c r="I7106" s="128"/>
      <c r="J7106" s="126"/>
      <c r="K7106" s="125"/>
      <c r="L7106" s="129"/>
    </row>
    <row r="7107" spans="1:12" hidden="1" x14ac:dyDescent="0.25">
      <c r="A7107" s="125"/>
      <c r="B7107" s="125"/>
      <c r="C7107" s="126"/>
      <c r="D7107" s="127"/>
      <c r="E7107" s="127"/>
      <c r="F7107" s="127"/>
      <c r="G7107" s="127"/>
      <c r="H7107" s="127"/>
      <c r="I7107" s="128"/>
      <c r="J7107" s="126"/>
      <c r="K7107" s="125"/>
      <c r="L7107" s="129"/>
    </row>
    <row r="7108" spans="1:12" hidden="1" x14ac:dyDescent="0.25">
      <c r="A7108" s="125"/>
      <c r="B7108" s="125"/>
      <c r="C7108" s="126"/>
      <c r="D7108" s="127"/>
      <c r="E7108" s="127"/>
      <c r="F7108" s="127"/>
      <c r="G7108" s="127"/>
      <c r="H7108" s="127"/>
      <c r="I7108" s="128"/>
      <c r="J7108" s="126"/>
      <c r="K7108" s="125"/>
      <c r="L7108" s="129"/>
    </row>
    <row r="7109" spans="1:12" hidden="1" x14ac:dyDescent="0.25">
      <c r="A7109" s="125"/>
      <c r="B7109" s="125"/>
      <c r="C7109" s="126"/>
      <c r="D7109" s="127"/>
      <c r="E7109" s="127"/>
      <c r="F7109" s="127"/>
      <c r="G7109" s="127"/>
      <c r="H7109" s="127"/>
      <c r="I7109" s="128"/>
      <c r="J7109" s="126"/>
      <c r="K7109" s="125"/>
      <c r="L7109" s="129"/>
    </row>
    <row r="7110" spans="1:12" hidden="1" x14ac:dyDescent="0.25">
      <c r="A7110" s="130"/>
      <c r="B7110" s="130"/>
      <c r="C7110" s="132"/>
      <c r="D7110" s="129"/>
      <c r="E7110" s="129"/>
      <c r="F7110" s="129"/>
      <c r="G7110" s="129"/>
      <c r="H7110" s="129"/>
      <c r="I7110" s="131"/>
      <c r="J7110" s="132"/>
      <c r="K7110" s="130"/>
      <c r="L7110" s="129"/>
    </row>
    <row r="7111" spans="1:12" hidden="1" x14ac:dyDescent="0.25">
      <c r="A7111" s="130"/>
      <c r="B7111" s="130"/>
      <c r="C7111" s="132"/>
      <c r="D7111" s="129"/>
      <c r="E7111" s="129"/>
      <c r="F7111" s="129"/>
      <c r="G7111" s="129"/>
      <c r="H7111" s="129"/>
      <c r="I7111" s="131"/>
      <c r="J7111" s="132"/>
      <c r="K7111" s="130"/>
      <c r="L7111" s="129"/>
    </row>
    <row r="7112" spans="1:12" hidden="1" x14ac:dyDescent="0.25">
      <c r="A7112" s="130"/>
      <c r="B7112" s="130"/>
      <c r="C7112" s="132"/>
      <c r="D7112" s="129"/>
      <c r="E7112" s="129"/>
      <c r="F7112" s="129"/>
      <c r="G7112" s="129"/>
      <c r="H7112" s="129"/>
      <c r="I7112" s="131"/>
      <c r="J7112" s="132"/>
      <c r="K7112" s="130"/>
      <c r="L7112" s="129"/>
    </row>
    <row r="7113" spans="1:12" hidden="1" x14ac:dyDescent="0.25">
      <c r="A7113" s="130"/>
      <c r="B7113" s="130"/>
      <c r="C7113" s="132"/>
      <c r="D7113" s="129"/>
      <c r="E7113" s="129"/>
      <c r="F7113" s="129"/>
      <c r="G7113" s="129"/>
      <c r="H7113" s="129"/>
      <c r="I7113" s="131"/>
      <c r="J7113" s="132"/>
      <c r="K7113" s="130"/>
      <c r="L7113" s="129"/>
    </row>
    <row r="7114" spans="1:12" hidden="1" x14ac:dyDescent="0.25">
      <c r="A7114" s="130"/>
      <c r="B7114" s="130"/>
      <c r="C7114" s="132"/>
      <c r="D7114" s="129"/>
      <c r="E7114" s="129"/>
      <c r="F7114" s="129"/>
      <c r="G7114" s="129"/>
      <c r="H7114" s="129"/>
      <c r="I7114" s="131"/>
      <c r="J7114" s="132"/>
      <c r="K7114" s="130"/>
      <c r="L7114" s="129"/>
    </row>
    <row r="7115" spans="1:12" hidden="1" x14ac:dyDescent="0.25">
      <c r="A7115" s="130"/>
      <c r="B7115" s="130"/>
      <c r="C7115" s="132"/>
      <c r="D7115" s="129"/>
      <c r="E7115" s="129"/>
      <c r="F7115" s="129"/>
      <c r="G7115" s="129"/>
      <c r="H7115" s="129"/>
      <c r="I7115" s="131"/>
      <c r="J7115" s="132"/>
      <c r="K7115" s="130"/>
      <c r="L7115" s="129"/>
    </row>
    <row r="7116" spans="1:12" hidden="1" x14ac:dyDescent="0.25">
      <c r="A7116" s="130"/>
      <c r="B7116" s="130"/>
      <c r="C7116" s="132"/>
      <c r="D7116" s="129"/>
      <c r="E7116" s="129"/>
      <c r="F7116" s="129"/>
      <c r="G7116" s="129"/>
      <c r="H7116" s="129"/>
      <c r="I7116" s="131"/>
      <c r="J7116" s="132"/>
      <c r="K7116" s="130"/>
      <c r="L7116" s="129"/>
    </row>
    <row r="7117" spans="1:12" hidden="1" x14ac:dyDescent="0.25">
      <c r="A7117" s="130"/>
      <c r="B7117" s="130"/>
      <c r="C7117" s="132"/>
      <c r="D7117" s="129"/>
      <c r="E7117" s="129"/>
      <c r="F7117" s="129"/>
      <c r="G7117" s="129"/>
      <c r="H7117" s="129"/>
      <c r="I7117" s="131"/>
      <c r="J7117" s="132"/>
      <c r="K7117" s="130"/>
      <c r="L7117" s="129"/>
    </row>
    <row r="7118" spans="1:12" hidden="1" x14ac:dyDescent="0.25">
      <c r="A7118" s="130"/>
      <c r="B7118" s="130"/>
      <c r="C7118" s="132"/>
      <c r="D7118" s="129"/>
      <c r="E7118" s="129"/>
      <c r="F7118" s="129"/>
      <c r="G7118" s="129"/>
      <c r="H7118" s="129"/>
      <c r="I7118" s="131"/>
      <c r="J7118" s="132"/>
      <c r="K7118" s="130"/>
      <c r="L7118" s="129"/>
    </row>
    <row r="7119" spans="1:12" hidden="1" x14ac:dyDescent="0.25">
      <c r="A7119" s="130"/>
      <c r="B7119" s="130"/>
      <c r="C7119" s="132"/>
      <c r="D7119" s="129"/>
      <c r="E7119" s="129"/>
      <c r="F7119" s="129"/>
      <c r="G7119" s="129"/>
      <c r="H7119" s="129"/>
      <c r="I7119" s="131"/>
      <c r="J7119" s="132"/>
      <c r="K7119" s="130"/>
      <c r="L7119" s="129"/>
    </row>
    <row r="7120" spans="1:12" hidden="1" x14ac:dyDescent="0.25">
      <c r="A7120" s="130"/>
      <c r="B7120" s="130"/>
      <c r="C7120" s="132"/>
      <c r="D7120" s="129"/>
      <c r="E7120" s="129"/>
      <c r="F7120" s="129"/>
      <c r="G7120" s="129"/>
      <c r="H7120" s="129"/>
      <c r="I7120" s="131"/>
      <c r="J7120" s="132"/>
      <c r="K7120" s="130"/>
      <c r="L7120" s="129"/>
    </row>
    <row r="7121" spans="1:12" hidden="1" x14ac:dyDescent="0.25">
      <c r="A7121" s="130"/>
      <c r="B7121" s="130"/>
      <c r="C7121" s="132"/>
      <c r="D7121" s="129"/>
      <c r="E7121" s="129"/>
      <c r="F7121" s="129"/>
      <c r="G7121" s="129"/>
      <c r="H7121" s="129"/>
      <c r="I7121" s="131"/>
      <c r="J7121" s="132"/>
      <c r="K7121" s="130"/>
      <c r="L7121" s="129"/>
    </row>
    <row r="7122" spans="1:12" hidden="1" x14ac:dyDescent="0.25">
      <c r="A7122" s="130"/>
      <c r="B7122" s="130"/>
      <c r="C7122" s="132"/>
      <c r="D7122" s="129"/>
      <c r="E7122" s="129"/>
      <c r="F7122" s="129"/>
      <c r="G7122" s="129"/>
      <c r="H7122" s="129"/>
      <c r="I7122" s="131"/>
      <c r="J7122" s="132"/>
      <c r="K7122" s="130"/>
      <c r="L7122" s="129"/>
    </row>
    <row r="7123" spans="1:12" hidden="1" x14ac:dyDescent="0.25">
      <c r="A7123" s="130"/>
      <c r="B7123" s="130"/>
      <c r="C7123" s="132"/>
      <c r="D7123" s="129"/>
      <c r="E7123" s="129"/>
      <c r="F7123" s="129"/>
      <c r="G7123" s="129"/>
      <c r="H7123" s="129"/>
      <c r="I7123" s="131"/>
      <c r="J7123" s="132"/>
      <c r="K7123" s="130"/>
      <c r="L7123" s="129"/>
    </row>
    <row r="7124" spans="1:12" hidden="1" x14ac:dyDescent="0.25">
      <c r="A7124" s="130"/>
      <c r="B7124" s="130"/>
      <c r="C7124" s="132"/>
      <c r="D7124" s="129"/>
      <c r="E7124" s="129"/>
      <c r="F7124" s="129"/>
      <c r="G7124" s="129"/>
      <c r="H7124" s="129"/>
      <c r="I7124" s="131"/>
      <c r="J7124" s="132"/>
      <c r="K7124" s="130"/>
      <c r="L7124" s="129"/>
    </row>
    <row r="7125" spans="1:12" hidden="1" x14ac:dyDescent="0.25">
      <c r="A7125" s="130"/>
      <c r="B7125" s="130"/>
      <c r="C7125" s="132"/>
      <c r="D7125" s="129"/>
      <c r="E7125" s="129"/>
      <c r="F7125" s="129"/>
      <c r="G7125" s="129"/>
      <c r="H7125" s="129"/>
      <c r="I7125" s="131"/>
      <c r="J7125" s="132"/>
      <c r="K7125" s="130"/>
      <c r="L7125" s="129"/>
    </row>
    <row r="7126" spans="1:12" hidden="1" x14ac:dyDescent="0.25">
      <c r="A7126" s="130"/>
      <c r="B7126" s="130"/>
      <c r="C7126" s="132"/>
      <c r="D7126" s="129"/>
      <c r="E7126" s="129"/>
      <c r="F7126" s="129"/>
      <c r="G7126" s="129"/>
      <c r="H7126" s="129"/>
      <c r="I7126" s="131"/>
      <c r="J7126" s="132"/>
      <c r="K7126" s="130"/>
      <c r="L7126" s="129"/>
    </row>
    <row r="7127" spans="1:12" hidden="1" x14ac:dyDescent="0.25">
      <c r="A7127" s="130"/>
      <c r="B7127" s="130"/>
      <c r="C7127" s="132"/>
      <c r="D7127" s="129"/>
      <c r="E7127" s="129"/>
      <c r="F7127" s="129"/>
      <c r="G7127" s="129"/>
      <c r="H7127" s="129"/>
      <c r="I7127" s="131"/>
      <c r="J7127" s="132"/>
      <c r="K7127" s="130"/>
      <c r="L7127" s="129"/>
    </row>
    <row r="7128" spans="1:12" hidden="1" x14ac:dyDescent="0.25">
      <c r="A7128" s="130"/>
      <c r="B7128" s="130"/>
      <c r="C7128" s="132"/>
      <c r="D7128" s="129"/>
      <c r="E7128" s="129"/>
      <c r="F7128" s="129"/>
      <c r="G7128" s="129"/>
      <c r="H7128" s="129"/>
      <c r="I7128" s="131"/>
      <c r="J7128" s="132"/>
      <c r="K7128" s="130"/>
      <c r="L7128" s="129"/>
    </row>
    <row r="7129" spans="1:12" hidden="1" x14ac:dyDescent="0.25">
      <c r="A7129" s="130"/>
      <c r="B7129" s="130"/>
      <c r="C7129" s="132"/>
      <c r="D7129" s="129"/>
      <c r="E7129" s="129"/>
      <c r="F7129" s="129"/>
      <c r="G7129" s="129"/>
      <c r="H7129" s="129"/>
      <c r="I7129" s="131"/>
      <c r="J7129" s="132"/>
      <c r="K7129" s="130"/>
      <c r="L7129" s="129"/>
    </row>
    <row r="7130" spans="1:12" hidden="1" x14ac:dyDescent="0.25">
      <c r="A7130" s="130"/>
      <c r="B7130" s="130"/>
      <c r="C7130" s="132"/>
      <c r="D7130" s="129"/>
      <c r="E7130" s="129"/>
      <c r="F7130" s="129"/>
      <c r="G7130" s="129"/>
      <c r="H7130" s="129"/>
      <c r="I7130" s="131"/>
      <c r="J7130" s="132"/>
      <c r="K7130" s="130"/>
      <c r="L7130" s="129"/>
    </row>
    <row r="7131" spans="1:12" hidden="1" x14ac:dyDescent="0.25">
      <c r="A7131" s="130"/>
      <c r="B7131" s="130"/>
      <c r="C7131" s="132"/>
      <c r="D7131" s="129"/>
      <c r="E7131" s="129"/>
      <c r="F7131" s="129"/>
      <c r="G7131" s="129"/>
      <c r="H7131" s="129"/>
      <c r="I7131" s="131"/>
      <c r="J7131" s="132"/>
      <c r="K7131" s="130"/>
      <c r="L7131" s="129"/>
    </row>
    <row r="7132" spans="1:12" hidden="1" x14ac:dyDescent="0.25">
      <c r="A7132" s="130"/>
      <c r="B7132" s="130"/>
      <c r="C7132" s="132"/>
      <c r="D7132" s="129"/>
      <c r="E7132" s="129"/>
      <c r="F7132" s="129"/>
      <c r="G7132" s="129"/>
      <c r="H7132" s="129"/>
      <c r="I7132" s="131"/>
      <c r="J7132" s="132"/>
      <c r="K7132" s="130"/>
      <c r="L7132" s="129"/>
    </row>
    <row r="7133" spans="1:12" hidden="1" x14ac:dyDescent="0.25">
      <c r="A7133" s="125"/>
      <c r="B7133" s="125"/>
      <c r="C7133" s="126"/>
      <c r="D7133" s="127"/>
      <c r="E7133" s="127"/>
      <c r="F7133" s="127"/>
      <c r="G7133" s="127"/>
      <c r="H7133" s="127"/>
      <c r="I7133" s="128"/>
      <c r="J7133" s="126"/>
      <c r="K7133" s="125"/>
      <c r="L7133" s="129"/>
    </row>
    <row r="7134" spans="1:12" hidden="1" x14ac:dyDescent="0.25">
      <c r="A7134" s="125"/>
      <c r="B7134" s="125"/>
      <c r="C7134" s="126"/>
      <c r="D7134" s="127"/>
      <c r="E7134" s="127"/>
      <c r="F7134" s="127"/>
      <c r="G7134" s="127"/>
      <c r="H7134" s="127"/>
      <c r="I7134" s="128"/>
      <c r="J7134" s="126"/>
      <c r="K7134" s="125"/>
      <c r="L7134" s="129"/>
    </row>
    <row r="7135" spans="1:12" hidden="1" x14ac:dyDescent="0.25">
      <c r="A7135" s="125"/>
      <c r="B7135" s="125"/>
      <c r="C7135" s="126"/>
      <c r="D7135" s="127"/>
      <c r="E7135" s="127"/>
      <c r="F7135" s="127"/>
      <c r="G7135" s="127"/>
      <c r="H7135" s="127"/>
      <c r="I7135" s="128"/>
      <c r="J7135" s="126"/>
      <c r="K7135" s="125"/>
      <c r="L7135" s="129"/>
    </row>
    <row r="7136" spans="1:12" hidden="1" x14ac:dyDescent="0.25">
      <c r="A7136" s="125"/>
      <c r="B7136" s="125"/>
      <c r="C7136" s="126"/>
      <c r="D7136" s="127"/>
      <c r="E7136" s="127"/>
      <c r="F7136" s="127"/>
      <c r="G7136" s="127"/>
      <c r="H7136" s="127"/>
      <c r="I7136" s="128"/>
      <c r="J7136" s="126"/>
      <c r="K7136" s="125"/>
      <c r="L7136" s="129"/>
    </row>
    <row r="7137" spans="1:12" hidden="1" x14ac:dyDescent="0.25">
      <c r="A7137" s="125"/>
      <c r="B7137" s="125"/>
      <c r="C7137" s="126"/>
      <c r="D7137" s="127"/>
      <c r="E7137" s="127"/>
      <c r="F7137" s="127"/>
      <c r="G7137" s="127"/>
      <c r="H7137" s="127"/>
      <c r="I7137" s="128"/>
      <c r="J7137" s="126"/>
      <c r="K7137" s="125"/>
      <c r="L7137" s="129"/>
    </row>
    <row r="7138" spans="1:12" hidden="1" x14ac:dyDescent="0.25">
      <c r="A7138" s="125"/>
      <c r="B7138" s="125"/>
      <c r="C7138" s="126"/>
      <c r="D7138" s="127"/>
      <c r="E7138" s="127"/>
      <c r="F7138" s="127"/>
      <c r="G7138" s="127"/>
      <c r="H7138" s="127"/>
      <c r="I7138" s="128"/>
      <c r="J7138" s="126"/>
      <c r="K7138" s="125"/>
      <c r="L7138" s="129"/>
    </row>
    <row r="7139" spans="1:12" hidden="1" x14ac:dyDescent="0.25">
      <c r="A7139" s="125"/>
      <c r="B7139" s="125"/>
      <c r="C7139" s="126"/>
      <c r="D7139" s="127"/>
      <c r="E7139" s="127"/>
      <c r="F7139" s="127"/>
      <c r="G7139" s="127"/>
      <c r="H7139" s="127"/>
      <c r="I7139" s="128"/>
      <c r="J7139" s="126"/>
      <c r="K7139" s="125"/>
      <c r="L7139" s="129"/>
    </row>
    <row r="7140" spans="1:12" hidden="1" x14ac:dyDescent="0.25">
      <c r="A7140" s="125"/>
      <c r="B7140" s="125"/>
      <c r="C7140" s="126"/>
      <c r="D7140" s="127"/>
      <c r="E7140" s="127"/>
      <c r="F7140" s="127"/>
      <c r="G7140" s="127"/>
      <c r="H7140" s="127"/>
      <c r="I7140" s="128"/>
      <c r="J7140" s="126"/>
      <c r="K7140" s="125"/>
      <c r="L7140" s="129"/>
    </row>
    <row r="7141" spans="1:12" hidden="1" x14ac:dyDescent="0.25">
      <c r="A7141" s="125"/>
      <c r="B7141" s="125"/>
      <c r="C7141" s="126"/>
      <c r="D7141" s="127"/>
      <c r="E7141" s="127"/>
      <c r="F7141" s="127"/>
      <c r="G7141" s="127"/>
      <c r="H7141" s="127"/>
      <c r="I7141" s="128"/>
      <c r="J7141" s="126"/>
      <c r="K7141" s="125"/>
      <c r="L7141" s="129"/>
    </row>
    <row r="7142" spans="1:12" hidden="1" x14ac:dyDescent="0.25">
      <c r="A7142" s="125"/>
      <c r="B7142" s="125"/>
      <c r="C7142" s="126"/>
      <c r="D7142" s="127"/>
      <c r="E7142" s="127"/>
      <c r="F7142" s="127"/>
      <c r="G7142" s="127"/>
      <c r="H7142" s="127"/>
      <c r="I7142" s="128"/>
      <c r="J7142" s="126"/>
      <c r="K7142" s="125"/>
      <c r="L7142" s="129"/>
    </row>
    <row r="7143" spans="1:12" hidden="1" x14ac:dyDescent="0.25">
      <c r="A7143" s="125"/>
      <c r="B7143" s="125"/>
      <c r="C7143" s="126"/>
      <c r="D7143" s="127"/>
      <c r="E7143" s="127"/>
      <c r="F7143" s="127"/>
      <c r="G7143" s="127"/>
      <c r="H7143" s="127"/>
      <c r="I7143" s="128"/>
      <c r="J7143" s="126"/>
      <c r="K7143" s="125"/>
      <c r="L7143" s="129"/>
    </row>
    <row r="7144" spans="1:12" hidden="1" x14ac:dyDescent="0.25">
      <c r="A7144" s="125"/>
      <c r="B7144" s="125"/>
      <c r="C7144" s="126"/>
      <c r="D7144" s="127"/>
      <c r="E7144" s="127"/>
      <c r="F7144" s="127"/>
      <c r="G7144" s="127"/>
      <c r="H7144" s="127"/>
      <c r="I7144" s="128"/>
      <c r="J7144" s="126"/>
      <c r="K7144" s="125"/>
      <c r="L7144" s="129"/>
    </row>
    <row r="7145" spans="1:12" hidden="1" x14ac:dyDescent="0.25">
      <c r="A7145" s="125"/>
      <c r="B7145" s="125"/>
      <c r="C7145" s="126"/>
      <c r="D7145" s="127"/>
      <c r="E7145" s="127"/>
      <c r="F7145" s="127"/>
      <c r="G7145" s="127"/>
      <c r="H7145" s="127"/>
      <c r="I7145" s="128"/>
      <c r="J7145" s="126"/>
      <c r="K7145" s="125"/>
      <c r="L7145" s="129"/>
    </row>
    <row r="7146" spans="1:12" hidden="1" x14ac:dyDescent="0.25">
      <c r="A7146" s="125"/>
      <c r="B7146" s="125"/>
      <c r="C7146" s="126"/>
      <c r="D7146" s="127"/>
      <c r="E7146" s="127"/>
      <c r="F7146" s="127"/>
      <c r="G7146" s="127"/>
      <c r="H7146" s="127"/>
      <c r="I7146" s="128"/>
      <c r="J7146" s="126"/>
      <c r="K7146" s="125"/>
      <c r="L7146" s="129"/>
    </row>
    <row r="7147" spans="1:12" hidden="1" x14ac:dyDescent="0.25">
      <c r="A7147" s="125"/>
      <c r="B7147" s="125"/>
      <c r="C7147" s="126"/>
      <c r="D7147" s="127"/>
      <c r="E7147" s="127"/>
      <c r="F7147" s="127"/>
      <c r="G7147" s="127"/>
      <c r="H7147" s="127"/>
      <c r="I7147" s="128"/>
      <c r="J7147" s="126"/>
      <c r="K7147" s="125"/>
      <c r="L7147" s="129"/>
    </row>
    <row r="7148" spans="1:12" hidden="1" x14ac:dyDescent="0.25">
      <c r="A7148" s="125"/>
      <c r="B7148" s="125"/>
      <c r="C7148" s="126"/>
      <c r="D7148" s="127"/>
      <c r="E7148" s="127"/>
      <c r="F7148" s="127"/>
      <c r="G7148" s="127"/>
      <c r="H7148" s="127"/>
      <c r="I7148" s="128"/>
      <c r="J7148" s="126"/>
      <c r="K7148" s="125"/>
      <c r="L7148" s="129"/>
    </row>
    <row r="7149" spans="1:12" hidden="1" x14ac:dyDescent="0.25">
      <c r="A7149" s="125"/>
      <c r="B7149" s="125"/>
      <c r="C7149" s="126"/>
      <c r="D7149" s="127"/>
      <c r="E7149" s="127"/>
      <c r="F7149" s="127"/>
      <c r="G7149" s="127"/>
      <c r="H7149" s="127"/>
      <c r="I7149" s="128"/>
      <c r="J7149" s="126"/>
      <c r="K7149" s="125"/>
      <c r="L7149" s="129"/>
    </row>
    <row r="7150" spans="1:12" hidden="1" x14ac:dyDescent="0.25">
      <c r="A7150" s="125"/>
      <c r="B7150" s="125"/>
      <c r="C7150" s="126"/>
      <c r="D7150" s="127"/>
      <c r="E7150" s="127"/>
      <c r="F7150" s="127"/>
      <c r="G7150" s="127"/>
      <c r="H7150" s="127"/>
      <c r="I7150" s="128"/>
      <c r="J7150" s="126"/>
      <c r="K7150" s="125"/>
      <c r="L7150" s="129"/>
    </row>
    <row r="7151" spans="1:12" hidden="1" x14ac:dyDescent="0.25">
      <c r="A7151" s="125"/>
      <c r="B7151" s="125"/>
      <c r="C7151" s="126"/>
      <c r="D7151" s="127"/>
      <c r="E7151" s="127"/>
      <c r="F7151" s="127"/>
      <c r="G7151" s="127"/>
      <c r="H7151" s="127"/>
      <c r="I7151" s="128"/>
      <c r="J7151" s="126"/>
      <c r="K7151" s="125"/>
      <c r="L7151" s="129"/>
    </row>
    <row r="7152" spans="1:12" hidden="1" x14ac:dyDescent="0.25">
      <c r="A7152" s="125"/>
      <c r="B7152" s="125"/>
      <c r="C7152" s="126"/>
      <c r="D7152" s="127"/>
      <c r="E7152" s="127"/>
      <c r="F7152" s="127"/>
      <c r="G7152" s="127"/>
      <c r="H7152" s="127"/>
      <c r="I7152" s="128"/>
      <c r="J7152" s="126"/>
      <c r="K7152" s="125"/>
      <c r="L7152" s="129"/>
    </row>
    <row r="7153" spans="1:12" hidden="1" x14ac:dyDescent="0.25">
      <c r="A7153" s="125"/>
      <c r="B7153" s="125"/>
      <c r="C7153" s="126"/>
      <c r="D7153" s="127"/>
      <c r="E7153" s="127"/>
      <c r="F7153" s="127"/>
      <c r="G7153" s="127"/>
      <c r="H7153" s="127"/>
      <c r="I7153" s="128"/>
      <c r="J7153" s="126"/>
      <c r="K7153" s="125"/>
      <c r="L7153" s="129"/>
    </row>
    <row r="7154" spans="1:12" hidden="1" x14ac:dyDescent="0.25">
      <c r="A7154" s="125"/>
      <c r="B7154" s="125"/>
      <c r="C7154" s="126"/>
      <c r="D7154" s="127"/>
      <c r="E7154" s="127"/>
      <c r="F7154" s="127"/>
      <c r="G7154" s="127"/>
      <c r="H7154" s="127"/>
      <c r="I7154" s="128"/>
      <c r="J7154" s="126"/>
      <c r="K7154" s="125"/>
      <c r="L7154" s="129"/>
    </row>
    <row r="7155" spans="1:12" hidden="1" x14ac:dyDescent="0.25">
      <c r="A7155" s="125"/>
      <c r="B7155" s="125"/>
      <c r="C7155" s="126"/>
      <c r="D7155" s="127"/>
      <c r="E7155" s="127"/>
      <c r="F7155" s="127"/>
      <c r="G7155" s="127"/>
      <c r="H7155" s="127"/>
      <c r="I7155" s="128"/>
      <c r="J7155" s="126"/>
      <c r="K7155" s="125"/>
      <c r="L7155" s="129"/>
    </row>
    <row r="7156" spans="1:12" hidden="1" x14ac:dyDescent="0.25">
      <c r="A7156" s="125"/>
      <c r="B7156" s="125"/>
      <c r="C7156" s="126"/>
      <c r="D7156" s="127"/>
      <c r="E7156" s="127"/>
      <c r="F7156" s="127"/>
      <c r="G7156" s="127"/>
      <c r="H7156" s="127"/>
      <c r="I7156" s="128"/>
      <c r="J7156" s="126"/>
      <c r="K7156" s="125"/>
      <c r="L7156" s="129"/>
    </row>
    <row r="7157" spans="1:12" hidden="1" x14ac:dyDescent="0.25">
      <c r="A7157" s="125"/>
      <c r="B7157" s="125"/>
      <c r="C7157" s="126"/>
      <c r="D7157" s="127"/>
      <c r="E7157" s="127"/>
      <c r="F7157" s="127"/>
      <c r="G7157" s="127"/>
      <c r="H7157" s="127"/>
      <c r="I7157" s="128"/>
      <c r="J7157" s="126"/>
      <c r="K7157" s="125"/>
      <c r="L7157" s="129"/>
    </row>
    <row r="7158" spans="1:12" hidden="1" x14ac:dyDescent="0.25">
      <c r="A7158" s="125"/>
      <c r="B7158" s="125"/>
      <c r="C7158" s="126"/>
      <c r="D7158" s="127"/>
      <c r="E7158" s="127"/>
      <c r="F7158" s="127"/>
      <c r="G7158" s="127"/>
      <c r="H7158" s="127"/>
      <c r="I7158" s="128"/>
      <c r="J7158" s="126"/>
      <c r="K7158" s="125"/>
      <c r="L7158" s="129"/>
    </row>
    <row r="7159" spans="1:12" hidden="1" x14ac:dyDescent="0.25">
      <c r="A7159" s="125"/>
      <c r="B7159" s="125"/>
      <c r="C7159" s="126"/>
      <c r="D7159" s="127"/>
      <c r="E7159" s="127"/>
      <c r="F7159" s="127"/>
      <c r="G7159" s="127"/>
      <c r="H7159" s="127"/>
      <c r="I7159" s="128"/>
      <c r="J7159" s="126"/>
      <c r="K7159" s="125"/>
      <c r="L7159" s="129"/>
    </row>
    <row r="7160" spans="1:12" hidden="1" x14ac:dyDescent="0.25">
      <c r="A7160" s="125"/>
      <c r="B7160" s="125"/>
      <c r="C7160" s="126"/>
      <c r="D7160" s="127"/>
      <c r="E7160" s="127"/>
      <c r="F7160" s="127"/>
      <c r="G7160" s="127"/>
      <c r="H7160" s="127"/>
      <c r="I7160" s="128"/>
      <c r="J7160" s="126"/>
      <c r="K7160" s="125"/>
      <c r="L7160" s="129"/>
    </row>
    <row r="7161" spans="1:12" hidden="1" x14ac:dyDescent="0.25">
      <c r="A7161" s="125"/>
      <c r="B7161" s="125"/>
      <c r="C7161" s="126"/>
      <c r="D7161" s="127"/>
      <c r="E7161" s="127"/>
      <c r="F7161" s="127"/>
      <c r="G7161" s="127"/>
      <c r="H7161" s="127"/>
      <c r="I7161" s="128"/>
      <c r="J7161" s="126"/>
      <c r="K7161" s="125"/>
      <c r="L7161" s="129"/>
    </row>
    <row r="7162" spans="1:12" hidden="1" x14ac:dyDescent="0.25">
      <c r="A7162" s="125"/>
      <c r="B7162" s="125"/>
      <c r="C7162" s="126"/>
      <c r="D7162" s="127"/>
      <c r="E7162" s="127"/>
      <c r="F7162" s="127"/>
      <c r="G7162" s="127"/>
      <c r="H7162" s="127"/>
      <c r="I7162" s="128"/>
      <c r="J7162" s="126"/>
      <c r="K7162" s="125"/>
      <c r="L7162" s="129"/>
    </row>
    <row r="7163" spans="1:12" hidden="1" x14ac:dyDescent="0.25">
      <c r="A7163" s="125"/>
      <c r="B7163" s="125"/>
      <c r="C7163" s="126"/>
      <c r="D7163" s="127"/>
      <c r="E7163" s="127"/>
      <c r="F7163" s="127"/>
      <c r="G7163" s="127"/>
      <c r="H7163" s="127"/>
      <c r="I7163" s="128"/>
      <c r="J7163" s="126"/>
      <c r="K7163" s="125"/>
      <c r="L7163" s="129"/>
    </row>
    <row r="7164" spans="1:12" hidden="1" x14ac:dyDescent="0.25">
      <c r="A7164" s="125"/>
      <c r="B7164" s="125"/>
      <c r="C7164" s="126"/>
      <c r="D7164" s="127"/>
      <c r="E7164" s="127"/>
      <c r="F7164" s="127"/>
      <c r="G7164" s="127"/>
      <c r="H7164" s="127"/>
      <c r="I7164" s="128"/>
      <c r="J7164" s="126"/>
      <c r="K7164" s="125"/>
      <c r="L7164" s="129"/>
    </row>
    <row r="7165" spans="1:12" hidden="1" x14ac:dyDescent="0.25">
      <c r="A7165" s="125"/>
      <c r="B7165" s="125"/>
      <c r="C7165" s="126"/>
      <c r="D7165" s="127"/>
      <c r="E7165" s="127"/>
      <c r="F7165" s="127"/>
      <c r="G7165" s="127"/>
      <c r="H7165" s="127"/>
      <c r="I7165" s="128"/>
      <c r="J7165" s="126"/>
      <c r="K7165" s="125"/>
      <c r="L7165" s="129"/>
    </row>
    <row r="7166" spans="1:12" hidden="1" x14ac:dyDescent="0.25">
      <c r="A7166" s="125"/>
      <c r="B7166" s="125"/>
      <c r="C7166" s="126"/>
      <c r="D7166" s="127"/>
      <c r="E7166" s="127"/>
      <c r="F7166" s="127"/>
      <c r="G7166" s="127"/>
      <c r="H7166" s="127"/>
      <c r="I7166" s="128"/>
      <c r="J7166" s="126"/>
      <c r="K7166" s="125"/>
      <c r="L7166" s="129"/>
    </row>
    <row r="7167" spans="1:12" hidden="1" x14ac:dyDescent="0.25">
      <c r="A7167" s="125"/>
      <c r="B7167" s="125"/>
      <c r="C7167" s="126"/>
      <c r="D7167" s="127"/>
      <c r="E7167" s="127"/>
      <c r="F7167" s="127"/>
      <c r="G7167" s="127"/>
      <c r="H7167" s="127"/>
      <c r="I7167" s="128"/>
      <c r="J7167" s="126"/>
      <c r="K7167" s="125"/>
      <c r="L7167" s="129"/>
    </row>
    <row r="7168" spans="1:12" hidden="1" x14ac:dyDescent="0.25">
      <c r="A7168" s="125"/>
      <c r="B7168" s="125"/>
      <c r="C7168" s="126"/>
      <c r="D7168" s="127"/>
      <c r="E7168" s="127"/>
      <c r="F7168" s="127"/>
      <c r="G7168" s="127"/>
      <c r="H7168" s="127"/>
      <c r="I7168" s="128"/>
      <c r="J7168" s="126"/>
      <c r="K7168" s="125"/>
      <c r="L7168" s="129"/>
    </row>
    <row r="7169" spans="1:12" hidden="1" x14ac:dyDescent="0.25">
      <c r="A7169" s="125"/>
      <c r="B7169" s="125"/>
      <c r="C7169" s="126"/>
      <c r="D7169" s="127"/>
      <c r="E7169" s="127"/>
      <c r="F7169" s="127"/>
      <c r="G7169" s="127"/>
      <c r="H7169" s="127"/>
      <c r="I7169" s="128"/>
      <c r="J7169" s="126"/>
      <c r="K7169" s="125"/>
      <c r="L7169" s="129"/>
    </row>
    <row r="7170" spans="1:12" hidden="1" x14ac:dyDescent="0.25">
      <c r="A7170" s="125"/>
      <c r="B7170" s="125"/>
      <c r="C7170" s="126"/>
      <c r="D7170" s="127"/>
      <c r="E7170" s="127"/>
      <c r="F7170" s="127"/>
      <c r="G7170" s="127"/>
      <c r="H7170" s="127"/>
      <c r="I7170" s="128"/>
      <c r="J7170" s="126"/>
      <c r="K7170" s="125"/>
      <c r="L7170" s="129"/>
    </row>
    <row r="7171" spans="1:12" hidden="1" x14ac:dyDescent="0.25">
      <c r="A7171" s="125"/>
      <c r="B7171" s="125"/>
      <c r="C7171" s="126"/>
      <c r="D7171" s="127"/>
      <c r="E7171" s="127"/>
      <c r="F7171" s="127"/>
      <c r="G7171" s="127"/>
      <c r="H7171" s="127"/>
      <c r="I7171" s="128"/>
      <c r="J7171" s="126"/>
      <c r="K7171" s="125"/>
      <c r="L7171" s="129"/>
    </row>
    <row r="7172" spans="1:12" hidden="1" x14ac:dyDescent="0.25">
      <c r="A7172" s="125"/>
      <c r="B7172" s="125"/>
      <c r="C7172" s="126"/>
      <c r="D7172" s="127"/>
      <c r="E7172" s="127"/>
      <c r="F7172" s="127"/>
      <c r="G7172" s="127"/>
      <c r="H7172" s="127"/>
      <c r="I7172" s="128"/>
      <c r="J7172" s="126"/>
      <c r="K7172" s="125"/>
      <c r="L7172" s="129"/>
    </row>
    <row r="7173" spans="1:12" hidden="1" x14ac:dyDescent="0.25">
      <c r="A7173" s="125"/>
      <c r="B7173" s="125"/>
      <c r="C7173" s="126"/>
      <c r="D7173" s="127"/>
      <c r="E7173" s="127"/>
      <c r="F7173" s="127"/>
      <c r="G7173" s="127"/>
      <c r="H7173" s="127"/>
      <c r="I7173" s="128"/>
      <c r="J7173" s="126"/>
      <c r="K7173" s="125"/>
      <c r="L7173" s="129"/>
    </row>
    <row r="7174" spans="1:12" hidden="1" x14ac:dyDescent="0.25">
      <c r="A7174" s="125"/>
      <c r="B7174" s="125"/>
      <c r="C7174" s="126"/>
      <c r="D7174" s="127"/>
      <c r="E7174" s="127"/>
      <c r="F7174" s="127"/>
      <c r="G7174" s="127"/>
      <c r="H7174" s="127"/>
      <c r="I7174" s="128"/>
      <c r="J7174" s="126"/>
      <c r="K7174" s="125"/>
      <c r="L7174" s="129"/>
    </row>
    <row r="7175" spans="1:12" hidden="1" x14ac:dyDescent="0.25">
      <c r="A7175" s="125"/>
      <c r="B7175" s="125"/>
      <c r="C7175" s="126"/>
      <c r="D7175" s="127"/>
      <c r="E7175" s="127"/>
      <c r="F7175" s="127"/>
      <c r="G7175" s="127"/>
      <c r="H7175" s="127"/>
      <c r="I7175" s="128"/>
      <c r="J7175" s="126"/>
      <c r="K7175" s="125"/>
      <c r="L7175" s="129"/>
    </row>
    <row r="7176" spans="1:12" hidden="1" x14ac:dyDescent="0.25">
      <c r="A7176" s="125"/>
      <c r="B7176" s="125"/>
      <c r="C7176" s="126"/>
      <c r="D7176" s="127"/>
      <c r="E7176" s="127"/>
      <c r="F7176" s="127"/>
      <c r="G7176" s="127"/>
      <c r="H7176" s="127"/>
      <c r="I7176" s="128"/>
      <c r="J7176" s="126"/>
      <c r="K7176" s="125"/>
      <c r="L7176" s="129"/>
    </row>
    <row r="7177" spans="1:12" hidden="1" x14ac:dyDescent="0.25">
      <c r="A7177" s="125"/>
      <c r="B7177" s="125"/>
      <c r="C7177" s="126"/>
      <c r="D7177" s="127"/>
      <c r="E7177" s="127"/>
      <c r="F7177" s="127"/>
      <c r="G7177" s="127"/>
      <c r="H7177" s="127"/>
      <c r="I7177" s="128"/>
      <c r="J7177" s="126"/>
      <c r="K7177" s="125"/>
      <c r="L7177" s="129"/>
    </row>
    <row r="7178" spans="1:12" hidden="1" x14ac:dyDescent="0.25">
      <c r="A7178" s="125"/>
      <c r="B7178" s="125"/>
      <c r="C7178" s="126"/>
      <c r="D7178" s="127"/>
      <c r="E7178" s="127"/>
      <c r="F7178" s="127"/>
      <c r="G7178" s="127"/>
      <c r="H7178" s="127"/>
      <c r="I7178" s="128"/>
      <c r="J7178" s="126"/>
      <c r="K7178" s="125"/>
      <c r="L7178" s="129"/>
    </row>
    <row r="7179" spans="1:12" hidden="1" x14ac:dyDescent="0.25">
      <c r="A7179" s="125"/>
      <c r="B7179" s="125"/>
      <c r="C7179" s="126"/>
      <c r="D7179" s="127"/>
      <c r="E7179" s="127"/>
      <c r="F7179" s="127"/>
      <c r="G7179" s="127"/>
      <c r="H7179" s="127"/>
      <c r="I7179" s="128"/>
      <c r="J7179" s="126"/>
      <c r="K7179" s="125"/>
      <c r="L7179" s="129"/>
    </row>
    <row r="7180" spans="1:12" hidden="1" x14ac:dyDescent="0.25">
      <c r="A7180" s="125"/>
      <c r="B7180" s="125"/>
      <c r="C7180" s="126"/>
      <c r="D7180" s="127"/>
      <c r="E7180" s="127"/>
      <c r="F7180" s="127"/>
      <c r="G7180" s="127"/>
      <c r="H7180" s="127"/>
      <c r="I7180" s="128"/>
      <c r="J7180" s="126"/>
      <c r="K7180" s="125"/>
      <c r="L7180" s="129"/>
    </row>
    <row r="7181" spans="1:12" hidden="1" x14ac:dyDescent="0.25">
      <c r="A7181" s="125"/>
      <c r="B7181" s="125"/>
      <c r="C7181" s="126"/>
      <c r="D7181" s="127"/>
      <c r="E7181" s="127"/>
      <c r="F7181" s="127"/>
      <c r="G7181" s="127"/>
      <c r="H7181" s="127"/>
      <c r="I7181" s="128"/>
      <c r="J7181" s="126"/>
      <c r="K7181" s="125"/>
      <c r="L7181" s="129"/>
    </row>
    <row r="7182" spans="1:12" hidden="1" x14ac:dyDescent="0.25">
      <c r="A7182" s="125"/>
      <c r="B7182" s="125"/>
      <c r="C7182" s="126"/>
      <c r="D7182" s="127"/>
      <c r="E7182" s="127"/>
      <c r="F7182" s="127"/>
      <c r="G7182" s="127"/>
      <c r="H7182" s="127"/>
      <c r="I7182" s="128"/>
      <c r="J7182" s="126"/>
      <c r="K7182" s="125"/>
      <c r="L7182" s="129"/>
    </row>
    <row r="7183" spans="1:12" hidden="1" x14ac:dyDescent="0.25">
      <c r="A7183" s="125"/>
      <c r="B7183" s="125"/>
      <c r="C7183" s="126"/>
      <c r="D7183" s="127"/>
      <c r="E7183" s="127"/>
      <c r="F7183" s="127"/>
      <c r="G7183" s="127"/>
      <c r="H7183" s="127"/>
      <c r="I7183" s="128"/>
      <c r="J7183" s="126"/>
      <c r="K7183" s="125"/>
      <c r="L7183" s="129"/>
    </row>
    <row r="7184" spans="1:12" hidden="1" x14ac:dyDescent="0.25">
      <c r="A7184" s="125"/>
      <c r="B7184" s="125"/>
      <c r="C7184" s="126"/>
      <c r="D7184" s="127"/>
      <c r="E7184" s="127"/>
      <c r="F7184" s="127"/>
      <c r="G7184" s="127"/>
      <c r="H7184" s="127"/>
      <c r="I7184" s="128"/>
      <c r="J7184" s="126"/>
      <c r="K7184" s="125"/>
      <c r="L7184" s="129"/>
    </row>
    <row r="7185" spans="1:12" hidden="1" x14ac:dyDescent="0.25">
      <c r="A7185" s="125"/>
      <c r="B7185" s="125"/>
      <c r="C7185" s="126"/>
      <c r="D7185" s="127"/>
      <c r="E7185" s="127"/>
      <c r="F7185" s="127"/>
      <c r="G7185" s="127"/>
      <c r="H7185" s="127"/>
      <c r="I7185" s="128"/>
      <c r="J7185" s="126"/>
      <c r="K7185" s="125"/>
      <c r="L7185" s="129"/>
    </row>
    <row r="7186" spans="1:12" hidden="1" x14ac:dyDescent="0.25">
      <c r="A7186" s="125"/>
      <c r="B7186" s="125"/>
      <c r="C7186" s="126"/>
      <c r="D7186" s="127"/>
      <c r="E7186" s="127"/>
      <c r="F7186" s="127"/>
      <c r="G7186" s="127"/>
      <c r="H7186" s="127"/>
      <c r="I7186" s="128"/>
      <c r="J7186" s="126"/>
      <c r="K7186" s="125"/>
      <c r="L7186" s="129"/>
    </row>
    <row r="7187" spans="1:12" hidden="1" x14ac:dyDescent="0.25">
      <c r="A7187" s="125"/>
      <c r="B7187" s="125"/>
      <c r="C7187" s="126"/>
      <c r="D7187" s="127"/>
      <c r="E7187" s="127"/>
      <c r="F7187" s="127"/>
      <c r="G7187" s="127"/>
      <c r="H7187" s="127"/>
      <c r="I7187" s="128"/>
      <c r="J7187" s="126"/>
      <c r="K7187" s="125"/>
      <c r="L7187" s="129"/>
    </row>
    <row r="7188" spans="1:12" hidden="1" x14ac:dyDescent="0.25">
      <c r="A7188" s="125"/>
      <c r="B7188" s="125"/>
      <c r="C7188" s="126"/>
      <c r="D7188" s="127"/>
      <c r="E7188" s="127"/>
      <c r="F7188" s="127"/>
      <c r="G7188" s="127"/>
      <c r="H7188" s="127"/>
      <c r="I7188" s="128"/>
      <c r="J7188" s="126"/>
      <c r="K7188" s="125"/>
      <c r="L7188" s="129"/>
    </row>
    <row r="7189" spans="1:12" hidden="1" x14ac:dyDescent="0.25">
      <c r="A7189" s="125"/>
      <c r="B7189" s="125"/>
      <c r="C7189" s="126"/>
      <c r="D7189" s="127"/>
      <c r="E7189" s="127"/>
      <c r="F7189" s="127"/>
      <c r="G7189" s="127"/>
      <c r="H7189" s="127"/>
      <c r="I7189" s="128"/>
      <c r="J7189" s="126"/>
      <c r="K7189" s="125"/>
      <c r="L7189" s="129"/>
    </row>
    <row r="7190" spans="1:12" hidden="1" x14ac:dyDescent="0.25">
      <c r="A7190" s="125"/>
      <c r="B7190" s="125"/>
      <c r="C7190" s="126"/>
      <c r="D7190" s="127"/>
      <c r="E7190" s="127"/>
      <c r="F7190" s="127"/>
      <c r="G7190" s="127"/>
      <c r="H7190" s="127"/>
      <c r="I7190" s="128"/>
      <c r="J7190" s="126"/>
      <c r="K7190" s="125"/>
      <c r="L7190" s="129"/>
    </row>
    <row r="7191" spans="1:12" hidden="1" x14ac:dyDescent="0.25">
      <c r="A7191" s="125"/>
      <c r="B7191" s="125"/>
      <c r="C7191" s="126"/>
      <c r="D7191" s="127"/>
      <c r="E7191" s="127"/>
      <c r="F7191" s="127"/>
      <c r="G7191" s="127"/>
      <c r="H7191" s="127"/>
      <c r="I7191" s="128"/>
      <c r="J7191" s="126"/>
      <c r="K7191" s="125"/>
      <c r="L7191" s="129"/>
    </row>
    <row r="7192" spans="1:12" hidden="1" x14ac:dyDescent="0.25">
      <c r="A7192" s="125"/>
      <c r="B7192" s="125"/>
      <c r="C7192" s="126"/>
      <c r="D7192" s="127"/>
      <c r="E7192" s="127"/>
      <c r="F7192" s="127"/>
      <c r="G7192" s="127"/>
      <c r="H7192" s="127"/>
      <c r="I7192" s="128"/>
      <c r="J7192" s="126"/>
      <c r="K7192" s="125"/>
      <c r="L7192" s="129"/>
    </row>
    <row r="7193" spans="1:12" hidden="1" x14ac:dyDescent="0.25">
      <c r="A7193" s="125"/>
      <c r="B7193" s="125"/>
      <c r="C7193" s="126"/>
      <c r="D7193" s="127"/>
      <c r="E7193" s="127"/>
      <c r="F7193" s="127"/>
      <c r="G7193" s="127"/>
      <c r="H7193" s="127"/>
      <c r="I7193" s="128"/>
      <c r="J7193" s="126"/>
      <c r="K7193" s="125"/>
      <c r="L7193" s="129"/>
    </row>
    <row r="7194" spans="1:12" hidden="1" x14ac:dyDescent="0.25">
      <c r="A7194" s="125"/>
      <c r="B7194" s="125"/>
      <c r="C7194" s="126"/>
      <c r="D7194" s="127"/>
      <c r="E7194" s="127"/>
      <c r="F7194" s="127"/>
      <c r="G7194" s="127"/>
      <c r="H7194" s="127"/>
      <c r="I7194" s="128"/>
      <c r="J7194" s="126"/>
      <c r="K7194" s="125"/>
      <c r="L7194" s="129"/>
    </row>
    <row r="7195" spans="1:12" hidden="1" x14ac:dyDescent="0.25">
      <c r="A7195" s="125"/>
      <c r="B7195" s="125"/>
      <c r="C7195" s="126"/>
      <c r="D7195" s="127"/>
      <c r="E7195" s="127"/>
      <c r="F7195" s="127"/>
      <c r="G7195" s="127"/>
      <c r="H7195" s="127"/>
      <c r="I7195" s="128"/>
      <c r="J7195" s="126"/>
      <c r="K7195" s="125"/>
      <c r="L7195" s="129"/>
    </row>
    <row r="7196" spans="1:12" hidden="1" x14ac:dyDescent="0.25">
      <c r="A7196" s="125"/>
      <c r="B7196" s="125"/>
      <c r="C7196" s="126"/>
      <c r="D7196" s="127"/>
      <c r="E7196" s="127"/>
      <c r="F7196" s="127"/>
      <c r="G7196" s="127"/>
      <c r="H7196" s="127"/>
      <c r="I7196" s="128"/>
      <c r="J7196" s="126"/>
      <c r="K7196" s="125"/>
      <c r="L7196" s="129"/>
    </row>
    <row r="7197" spans="1:12" hidden="1" x14ac:dyDescent="0.25">
      <c r="A7197" s="125"/>
      <c r="B7197" s="125"/>
      <c r="C7197" s="126"/>
      <c r="D7197" s="127"/>
      <c r="E7197" s="127"/>
      <c r="F7197" s="127"/>
      <c r="G7197" s="127"/>
      <c r="H7197" s="127"/>
      <c r="I7197" s="128"/>
      <c r="J7197" s="126"/>
      <c r="K7197" s="125"/>
      <c r="L7197" s="129"/>
    </row>
    <row r="7198" spans="1:12" hidden="1" x14ac:dyDescent="0.25">
      <c r="A7198" s="125"/>
      <c r="B7198" s="125"/>
      <c r="C7198" s="126"/>
      <c r="D7198" s="127"/>
      <c r="E7198" s="127"/>
      <c r="F7198" s="127"/>
      <c r="G7198" s="127"/>
      <c r="H7198" s="127"/>
      <c r="I7198" s="128"/>
      <c r="J7198" s="126"/>
      <c r="K7198" s="125"/>
      <c r="L7198" s="129"/>
    </row>
    <row r="7199" spans="1:12" hidden="1" x14ac:dyDescent="0.25">
      <c r="A7199" s="125"/>
      <c r="B7199" s="125"/>
      <c r="C7199" s="126"/>
      <c r="D7199" s="127"/>
      <c r="E7199" s="127"/>
      <c r="F7199" s="127"/>
      <c r="G7199" s="127"/>
      <c r="H7199" s="127"/>
      <c r="I7199" s="128"/>
      <c r="J7199" s="126"/>
      <c r="K7199" s="125"/>
      <c r="L7199" s="129"/>
    </row>
    <row r="7200" spans="1:12" hidden="1" x14ac:dyDescent="0.25">
      <c r="A7200" s="125"/>
      <c r="B7200" s="125"/>
      <c r="C7200" s="126"/>
      <c r="D7200" s="127"/>
      <c r="E7200" s="127"/>
      <c r="F7200" s="127"/>
      <c r="G7200" s="127"/>
      <c r="H7200" s="127"/>
      <c r="I7200" s="128"/>
      <c r="J7200" s="126"/>
      <c r="K7200" s="125"/>
      <c r="L7200" s="129"/>
    </row>
    <row r="7201" spans="1:12" hidden="1" x14ac:dyDescent="0.25">
      <c r="A7201" s="125"/>
      <c r="B7201" s="125"/>
      <c r="C7201" s="126"/>
      <c r="D7201" s="127"/>
      <c r="E7201" s="127"/>
      <c r="F7201" s="127"/>
      <c r="G7201" s="127"/>
      <c r="H7201" s="127"/>
      <c r="I7201" s="128"/>
      <c r="J7201" s="126"/>
      <c r="K7201" s="125"/>
      <c r="L7201" s="129"/>
    </row>
    <row r="7202" spans="1:12" hidden="1" x14ac:dyDescent="0.25">
      <c r="A7202" s="125"/>
      <c r="B7202" s="125"/>
      <c r="C7202" s="126"/>
      <c r="D7202" s="127"/>
      <c r="E7202" s="127"/>
      <c r="F7202" s="127"/>
      <c r="G7202" s="127"/>
      <c r="H7202" s="127"/>
      <c r="I7202" s="128"/>
      <c r="J7202" s="126"/>
      <c r="K7202" s="125"/>
      <c r="L7202" s="129"/>
    </row>
    <row r="7203" spans="1:12" hidden="1" x14ac:dyDescent="0.25">
      <c r="A7203" s="125"/>
      <c r="B7203" s="125"/>
      <c r="C7203" s="126"/>
      <c r="D7203" s="127"/>
      <c r="E7203" s="127"/>
      <c r="F7203" s="127"/>
      <c r="G7203" s="127"/>
      <c r="H7203" s="127"/>
      <c r="I7203" s="128"/>
      <c r="J7203" s="126"/>
      <c r="K7203" s="125"/>
      <c r="L7203" s="129"/>
    </row>
    <row r="7204" spans="1:12" hidden="1" x14ac:dyDescent="0.25">
      <c r="A7204" s="125"/>
      <c r="B7204" s="125"/>
      <c r="C7204" s="126"/>
      <c r="D7204" s="127"/>
      <c r="E7204" s="127"/>
      <c r="F7204" s="127"/>
      <c r="G7204" s="127"/>
      <c r="H7204" s="127"/>
      <c r="I7204" s="128"/>
      <c r="J7204" s="126"/>
      <c r="K7204" s="125"/>
      <c r="L7204" s="129"/>
    </row>
    <row r="7205" spans="1:12" hidden="1" x14ac:dyDescent="0.25">
      <c r="A7205" s="125"/>
      <c r="B7205" s="125"/>
      <c r="C7205" s="126"/>
      <c r="D7205" s="127"/>
      <c r="E7205" s="127"/>
      <c r="F7205" s="127"/>
      <c r="G7205" s="127"/>
      <c r="H7205" s="127"/>
      <c r="I7205" s="128"/>
      <c r="J7205" s="126"/>
      <c r="K7205" s="125"/>
      <c r="L7205" s="129"/>
    </row>
    <row r="7206" spans="1:12" hidden="1" x14ac:dyDescent="0.25">
      <c r="A7206" s="125"/>
      <c r="B7206" s="125"/>
      <c r="C7206" s="126"/>
      <c r="D7206" s="127"/>
      <c r="E7206" s="127"/>
      <c r="F7206" s="127"/>
      <c r="G7206" s="127"/>
      <c r="H7206" s="127"/>
      <c r="I7206" s="128"/>
      <c r="J7206" s="126"/>
      <c r="K7206" s="125"/>
      <c r="L7206" s="129"/>
    </row>
    <row r="7207" spans="1:12" hidden="1" x14ac:dyDescent="0.25">
      <c r="A7207" s="125"/>
      <c r="B7207" s="125"/>
      <c r="C7207" s="126"/>
      <c r="D7207" s="127"/>
      <c r="E7207" s="127"/>
      <c r="F7207" s="127"/>
      <c r="G7207" s="127"/>
      <c r="H7207" s="127"/>
      <c r="I7207" s="128"/>
      <c r="J7207" s="126"/>
      <c r="K7207" s="125"/>
      <c r="L7207" s="129"/>
    </row>
    <row r="7208" spans="1:12" hidden="1" x14ac:dyDescent="0.25">
      <c r="A7208" s="125"/>
      <c r="B7208" s="125"/>
      <c r="C7208" s="126"/>
      <c r="D7208" s="127"/>
      <c r="E7208" s="127"/>
      <c r="F7208" s="127"/>
      <c r="G7208" s="127"/>
      <c r="H7208" s="127"/>
      <c r="I7208" s="128"/>
      <c r="J7208" s="126"/>
      <c r="K7208" s="125"/>
      <c r="L7208" s="129"/>
    </row>
    <row r="7209" spans="1:12" hidden="1" x14ac:dyDescent="0.25">
      <c r="A7209" s="125"/>
      <c r="B7209" s="125"/>
      <c r="C7209" s="126"/>
      <c r="D7209" s="127"/>
      <c r="E7209" s="127"/>
      <c r="F7209" s="127"/>
      <c r="G7209" s="127"/>
      <c r="H7209" s="127"/>
      <c r="I7209" s="128"/>
      <c r="J7209" s="126"/>
      <c r="K7209" s="125"/>
      <c r="L7209" s="129"/>
    </row>
    <row r="7210" spans="1:12" hidden="1" x14ac:dyDescent="0.25">
      <c r="A7210" s="125"/>
      <c r="B7210" s="125"/>
      <c r="C7210" s="126"/>
      <c r="D7210" s="127"/>
      <c r="E7210" s="127"/>
      <c r="F7210" s="127"/>
      <c r="G7210" s="127"/>
      <c r="H7210" s="127"/>
      <c r="I7210" s="128"/>
      <c r="J7210" s="126"/>
      <c r="K7210" s="125"/>
      <c r="L7210" s="129"/>
    </row>
    <row r="7211" spans="1:12" hidden="1" x14ac:dyDescent="0.25">
      <c r="A7211" s="125"/>
      <c r="B7211" s="125"/>
      <c r="C7211" s="126"/>
      <c r="D7211" s="127"/>
      <c r="E7211" s="127"/>
      <c r="F7211" s="127"/>
      <c r="G7211" s="127"/>
      <c r="H7211" s="127"/>
      <c r="I7211" s="128"/>
      <c r="J7211" s="126"/>
      <c r="K7211" s="125"/>
      <c r="L7211" s="129"/>
    </row>
    <row r="7212" spans="1:12" hidden="1" x14ac:dyDescent="0.25">
      <c r="A7212" s="125"/>
      <c r="B7212" s="125"/>
      <c r="C7212" s="126"/>
      <c r="D7212" s="127"/>
      <c r="E7212" s="127"/>
      <c r="F7212" s="127"/>
      <c r="G7212" s="127"/>
      <c r="H7212" s="127"/>
      <c r="I7212" s="128"/>
      <c r="J7212" s="126"/>
      <c r="K7212" s="125"/>
      <c r="L7212" s="129"/>
    </row>
    <row r="7213" spans="1:12" hidden="1" x14ac:dyDescent="0.25">
      <c r="A7213" s="125"/>
      <c r="B7213" s="125"/>
      <c r="C7213" s="126"/>
      <c r="D7213" s="127"/>
      <c r="E7213" s="140"/>
      <c r="F7213" s="140"/>
      <c r="G7213" s="140"/>
      <c r="H7213" s="140"/>
      <c r="I7213" s="128"/>
      <c r="J7213" s="126"/>
      <c r="K7213" s="125"/>
      <c r="L7213" s="129"/>
    </row>
    <row r="7214" spans="1:12" hidden="1" x14ac:dyDescent="0.25">
      <c r="A7214" s="125"/>
      <c r="B7214" s="125"/>
      <c r="C7214" s="126"/>
      <c r="D7214" s="127"/>
      <c r="E7214" s="127"/>
      <c r="F7214" s="127"/>
      <c r="G7214" s="127"/>
      <c r="H7214" s="127"/>
      <c r="I7214" s="128"/>
      <c r="J7214" s="126"/>
      <c r="K7214" s="125"/>
      <c r="L7214" s="129"/>
    </row>
    <row r="7215" spans="1:12" hidden="1" x14ac:dyDescent="0.25">
      <c r="A7215" s="125"/>
      <c r="B7215" s="125"/>
      <c r="C7215" s="126"/>
      <c r="D7215" s="127"/>
      <c r="E7215" s="127"/>
      <c r="F7215" s="127"/>
      <c r="G7215" s="127"/>
      <c r="H7215" s="127"/>
      <c r="I7215" s="128"/>
      <c r="J7215" s="126"/>
      <c r="K7215" s="125"/>
      <c r="L7215" s="129"/>
    </row>
    <row r="7216" spans="1:12" hidden="1" x14ac:dyDescent="0.25">
      <c r="A7216" s="125"/>
      <c r="B7216" s="125"/>
      <c r="C7216" s="126"/>
      <c r="D7216" s="127"/>
      <c r="E7216" s="140"/>
      <c r="F7216" s="140"/>
      <c r="G7216" s="140"/>
      <c r="H7216" s="140"/>
      <c r="I7216" s="128"/>
      <c r="J7216" s="126"/>
      <c r="K7216" s="125"/>
      <c r="L7216" s="129"/>
    </row>
    <row r="7217" spans="1:12" hidden="1" x14ac:dyDescent="0.25">
      <c r="A7217" s="125"/>
      <c r="B7217" s="125"/>
      <c r="C7217" s="126"/>
      <c r="D7217" s="127"/>
      <c r="E7217" s="127"/>
      <c r="F7217" s="127"/>
      <c r="G7217" s="127"/>
      <c r="H7217" s="127"/>
      <c r="I7217" s="128"/>
      <c r="J7217" s="126"/>
      <c r="K7217" s="125"/>
      <c r="L7217" s="129"/>
    </row>
    <row r="7218" spans="1:12" hidden="1" x14ac:dyDescent="0.25">
      <c r="A7218" s="125"/>
      <c r="B7218" s="125"/>
      <c r="C7218" s="126"/>
      <c r="D7218" s="127"/>
      <c r="E7218" s="127"/>
      <c r="F7218" s="127"/>
      <c r="G7218" s="127"/>
      <c r="H7218" s="127"/>
      <c r="I7218" s="128"/>
      <c r="J7218" s="126"/>
      <c r="K7218" s="125"/>
      <c r="L7218" s="129"/>
    </row>
    <row r="7219" spans="1:12" hidden="1" x14ac:dyDescent="0.25">
      <c r="A7219" s="125"/>
      <c r="B7219" s="125"/>
      <c r="C7219" s="126"/>
      <c r="D7219" s="127"/>
      <c r="E7219" s="140"/>
      <c r="F7219" s="140"/>
      <c r="G7219" s="140"/>
      <c r="H7219" s="140"/>
      <c r="I7219" s="128"/>
      <c r="J7219" s="126"/>
      <c r="K7219" s="125"/>
      <c r="L7219" s="129"/>
    </row>
    <row r="7220" spans="1:12" hidden="1" x14ac:dyDescent="0.25">
      <c r="A7220" s="125"/>
      <c r="B7220" s="125"/>
      <c r="C7220" s="126"/>
      <c r="D7220" s="127"/>
      <c r="E7220" s="127"/>
      <c r="F7220" s="127"/>
      <c r="G7220" s="127"/>
      <c r="H7220" s="127"/>
      <c r="I7220" s="128"/>
      <c r="J7220" s="126"/>
      <c r="K7220" s="125"/>
      <c r="L7220" s="129"/>
    </row>
    <row r="7221" spans="1:12" hidden="1" x14ac:dyDescent="0.25">
      <c r="A7221" s="125"/>
      <c r="B7221" s="125"/>
      <c r="C7221" s="126"/>
      <c r="D7221" s="127"/>
      <c r="E7221" s="127"/>
      <c r="F7221" s="127"/>
      <c r="G7221" s="127"/>
      <c r="H7221" s="127"/>
      <c r="I7221" s="128"/>
      <c r="J7221" s="126"/>
      <c r="K7221" s="125"/>
      <c r="L7221" s="129"/>
    </row>
    <row r="7222" spans="1:12" hidden="1" x14ac:dyDescent="0.25">
      <c r="A7222" s="125"/>
      <c r="B7222" s="125"/>
      <c r="C7222" s="126"/>
      <c r="D7222" s="127"/>
      <c r="E7222" s="127"/>
      <c r="F7222" s="127"/>
      <c r="G7222" s="127"/>
      <c r="H7222" s="127"/>
      <c r="I7222" s="128"/>
      <c r="J7222" s="126"/>
      <c r="K7222" s="125"/>
      <c r="L7222" s="129"/>
    </row>
    <row r="7223" spans="1:12" hidden="1" x14ac:dyDescent="0.25">
      <c r="A7223" s="125"/>
      <c r="B7223" s="125"/>
      <c r="C7223" s="126"/>
      <c r="D7223" s="127"/>
      <c r="E7223" s="127"/>
      <c r="F7223" s="127"/>
      <c r="G7223" s="127"/>
      <c r="H7223" s="127"/>
      <c r="I7223" s="128"/>
      <c r="J7223" s="126"/>
      <c r="K7223" s="125"/>
      <c r="L7223" s="129"/>
    </row>
    <row r="7224" spans="1:12" hidden="1" x14ac:dyDescent="0.25">
      <c r="A7224" s="125"/>
      <c r="B7224" s="125"/>
      <c r="C7224" s="126"/>
      <c r="D7224" s="127"/>
      <c r="E7224" s="140"/>
      <c r="F7224" s="140"/>
      <c r="G7224" s="140"/>
      <c r="H7224" s="140"/>
      <c r="I7224" s="128"/>
      <c r="J7224" s="126"/>
      <c r="K7224" s="125"/>
      <c r="L7224" s="129"/>
    </row>
    <row r="7225" spans="1:12" hidden="1" x14ac:dyDescent="0.25">
      <c r="A7225" s="125"/>
      <c r="B7225" s="125"/>
      <c r="C7225" s="126"/>
      <c r="D7225" s="127"/>
      <c r="E7225" s="127"/>
      <c r="F7225" s="127"/>
      <c r="G7225" s="127"/>
      <c r="H7225" s="127"/>
      <c r="I7225" s="128"/>
      <c r="J7225" s="126"/>
      <c r="K7225" s="125"/>
      <c r="L7225" s="129"/>
    </row>
    <row r="7226" spans="1:12" hidden="1" x14ac:dyDescent="0.25">
      <c r="A7226" s="125"/>
      <c r="B7226" s="125"/>
      <c r="C7226" s="126"/>
      <c r="D7226" s="127"/>
      <c r="E7226" s="127"/>
      <c r="F7226" s="127"/>
      <c r="G7226" s="127"/>
      <c r="H7226" s="127"/>
      <c r="I7226" s="128"/>
      <c r="J7226" s="126"/>
      <c r="K7226" s="125"/>
      <c r="L7226" s="129"/>
    </row>
    <row r="7227" spans="1:12" hidden="1" x14ac:dyDescent="0.25">
      <c r="A7227" s="125"/>
      <c r="B7227" s="125"/>
      <c r="C7227" s="126"/>
      <c r="D7227" s="127"/>
      <c r="E7227" s="127"/>
      <c r="F7227" s="127"/>
      <c r="G7227" s="127"/>
      <c r="H7227" s="127"/>
      <c r="I7227" s="128"/>
      <c r="J7227" s="126"/>
      <c r="K7227" s="125"/>
      <c r="L7227" s="129"/>
    </row>
    <row r="7228" spans="1:12" hidden="1" x14ac:dyDescent="0.25">
      <c r="A7228" s="125"/>
      <c r="B7228" s="125"/>
      <c r="C7228" s="126"/>
      <c r="D7228" s="127"/>
      <c r="E7228" s="127"/>
      <c r="F7228" s="127"/>
      <c r="G7228" s="127"/>
      <c r="H7228" s="127"/>
      <c r="I7228" s="128"/>
      <c r="J7228" s="126"/>
      <c r="K7228" s="125"/>
      <c r="L7228" s="129"/>
    </row>
    <row r="7229" spans="1:12" hidden="1" x14ac:dyDescent="0.25">
      <c r="A7229" s="125"/>
      <c r="B7229" s="125"/>
      <c r="C7229" s="126"/>
      <c r="D7229" s="127"/>
      <c r="E7229" s="127"/>
      <c r="F7229" s="127"/>
      <c r="G7229" s="127"/>
      <c r="H7229" s="127"/>
      <c r="I7229" s="128"/>
      <c r="J7229" s="126"/>
      <c r="K7229" s="125"/>
      <c r="L7229" s="129"/>
    </row>
    <row r="7230" spans="1:12" hidden="1" x14ac:dyDescent="0.25">
      <c r="A7230" s="125"/>
      <c r="B7230" s="125"/>
      <c r="C7230" s="126"/>
      <c r="D7230" s="127"/>
      <c r="E7230" s="140"/>
      <c r="F7230" s="140"/>
      <c r="G7230" s="140"/>
      <c r="H7230" s="140"/>
      <c r="I7230" s="128"/>
      <c r="J7230" s="126"/>
      <c r="K7230" s="125"/>
      <c r="L7230" s="129"/>
    </row>
    <row r="7231" spans="1:12" hidden="1" x14ac:dyDescent="0.25">
      <c r="A7231" s="125"/>
      <c r="B7231" s="125"/>
      <c r="C7231" s="126"/>
      <c r="D7231" s="127"/>
      <c r="E7231" s="127"/>
      <c r="F7231" s="127"/>
      <c r="G7231" s="127"/>
      <c r="H7231" s="127"/>
      <c r="I7231" s="128"/>
      <c r="J7231" s="126"/>
      <c r="K7231" s="125"/>
      <c r="L7231" s="129"/>
    </row>
    <row r="7232" spans="1:12" hidden="1" x14ac:dyDescent="0.25">
      <c r="A7232" s="125"/>
      <c r="B7232" s="125"/>
      <c r="C7232" s="126"/>
      <c r="D7232" s="127"/>
      <c r="E7232" s="127"/>
      <c r="F7232" s="127"/>
      <c r="G7232" s="127"/>
      <c r="H7232" s="127"/>
      <c r="I7232" s="128"/>
      <c r="J7232" s="126"/>
      <c r="K7232" s="125"/>
      <c r="L7232" s="129"/>
    </row>
    <row r="7233" spans="1:12" hidden="1" x14ac:dyDescent="0.25">
      <c r="A7233" s="125"/>
      <c r="B7233" s="125"/>
      <c r="C7233" s="126"/>
      <c r="D7233" s="127"/>
      <c r="E7233" s="127"/>
      <c r="F7233" s="127"/>
      <c r="G7233" s="127"/>
      <c r="H7233" s="127"/>
      <c r="I7233" s="128"/>
      <c r="J7233" s="126"/>
      <c r="K7233" s="125"/>
      <c r="L7233" s="129"/>
    </row>
    <row r="7234" spans="1:12" hidden="1" x14ac:dyDescent="0.25">
      <c r="A7234" s="125"/>
      <c r="B7234" s="125"/>
      <c r="C7234" s="126"/>
      <c r="D7234" s="127"/>
      <c r="E7234" s="127"/>
      <c r="F7234" s="127"/>
      <c r="G7234" s="127"/>
      <c r="H7234" s="127"/>
      <c r="I7234" s="128"/>
      <c r="J7234" s="126"/>
      <c r="K7234" s="125"/>
      <c r="L7234" s="129"/>
    </row>
    <row r="7235" spans="1:12" hidden="1" x14ac:dyDescent="0.25">
      <c r="A7235" s="125"/>
      <c r="B7235" s="125"/>
      <c r="C7235" s="126"/>
      <c r="D7235" s="127"/>
      <c r="E7235" s="127"/>
      <c r="F7235" s="127"/>
      <c r="G7235" s="127"/>
      <c r="H7235" s="127"/>
      <c r="I7235" s="128"/>
      <c r="J7235" s="126"/>
      <c r="K7235" s="125"/>
      <c r="L7235" s="129"/>
    </row>
    <row r="7236" spans="1:12" hidden="1" x14ac:dyDescent="0.25">
      <c r="A7236" s="125"/>
      <c r="B7236" s="125"/>
      <c r="C7236" s="126"/>
      <c r="D7236" s="127"/>
      <c r="E7236" s="140"/>
      <c r="F7236" s="140"/>
      <c r="G7236" s="140"/>
      <c r="H7236" s="140"/>
      <c r="I7236" s="128"/>
      <c r="J7236" s="126"/>
      <c r="K7236" s="125"/>
      <c r="L7236" s="129"/>
    </row>
    <row r="7237" spans="1:12" hidden="1" x14ac:dyDescent="0.25">
      <c r="A7237" s="125"/>
      <c r="B7237" s="125"/>
      <c r="C7237" s="126"/>
      <c r="D7237" s="127"/>
      <c r="E7237" s="127"/>
      <c r="F7237" s="127"/>
      <c r="G7237" s="127"/>
      <c r="H7237" s="127"/>
      <c r="I7237" s="128"/>
      <c r="J7237" s="126"/>
      <c r="K7237" s="125"/>
      <c r="L7237" s="129"/>
    </row>
    <row r="7238" spans="1:12" hidden="1" x14ac:dyDescent="0.25">
      <c r="A7238" s="125"/>
      <c r="B7238" s="125"/>
      <c r="C7238" s="126"/>
      <c r="D7238" s="127"/>
      <c r="E7238" s="127"/>
      <c r="F7238" s="127"/>
      <c r="G7238" s="127"/>
      <c r="H7238" s="127"/>
      <c r="I7238" s="128"/>
      <c r="J7238" s="126"/>
      <c r="K7238" s="125"/>
      <c r="L7238" s="129"/>
    </row>
    <row r="7239" spans="1:12" hidden="1" x14ac:dyDescent="0.25">
      <c r="A7239" s="125"/>
      <c r="B7239" s="125"/>
      <c r="C7239" s="126"/>
      <c r="D7239" s="127"/>
      <c r="E7239" s="127"/>
      <c r="F7239" s="127"/>
      <c r="G7239" s="127"/>
      <c r="H7239" s="127"/>
      <c r="I7239" s="128"/>
      <c r="J7239" s="126"/>
      <c r="K7239" s="125"/>
      <c r="L7239" s="129"/>
    </row>
    <row r="7240" spans="1:12" hidden="1" x14ac:dyDescent="0.25">
      <c r="A7240" s="125"/>
      <c r="B7240" s="125"/>
      <c r="C7240" s="126"/>
      <c r="D7240" s="127"/>
      <c r="E7240" s="127"/>
      <c r="F7240" s="127"/>
      <c r="G7240" s="127"/>
      <c r="H7240" s="127"/>
      <c r="I7240" s="128"/>
      <c r="J7240" s="126"/>
      <c r="K7240" s="125"/>
      <c r="L7240" s="129"/>
    </row>
    <row r="7241" spans="1:12" hidden="1" x14ac:dyDescent="0.25">
      <c r="A7241" s="125"/>
      <c r="B7241" s="125"/>
      <c r="C7241" s="126"/>
      <c r="D7241" s="127"/>
      <c r="E7241" s="127"/>
      <c r="F7241" s="127"/>
      <c r="G7241" s="127"/>
      <c r="H7241" s="127"/>
      <c r="I7241" s="128"/>
      <c r="J7241" s="126"/>
      <c r="K7241" s="125"/>
      <c r="L7241" s="129"/>
    </row>
    <row r="7242" spans="1:12" hidden="1" x14ac:dyDescent="0.25">
      <c r="A7242" s="125"/>
      <c r="B7242" s="125"/>
      <c r="C7242" s="126"/>
      <c r="D7242" s="127"/>
      <c r="E7242" s="140"/>
      <c r="F7242" s="140"/>
      <c r="G7242" s="140"/>
      <c r="H7242" s="140"/>
      <c r="I7242" s="128"/>
      <c r="J7242" s="126"/>
      <c r="K7242" s="125"/>
      <c r="L7242" s="129"/>
    </row>
    <row r="7243" spans="1:12" hidden="1" x14ac:dyDescent="0.25">
      <c r="A7243" s="125"/>
      <c r="B7243" s="125"/>
      <c r="C7243" s="126"/>
      <c r="D7243" s="127"/>
      <c r="E7243" s="127"/>
      <c r="F7243" s="127"/>
      <c r="G7243" s="127"/>
      <c r="H7243" s="127"/>
      <c r="I7243" s="128"/>
      <c r="J7243" s="126"/>
      <c r="K7243" s="125"/>
      <c r="L7243" s="129"/>
    </row>
    <row r="7244" spans="1:12" hidden="1" x14ac:dyDescent="0.25">
      <c r="A7244" s="125"/>
      <c r="B7244" s="125"/>
      <c r="C7244" s="126"/>
      <c r="D7244" s="127"/>
      <c r="E7244" s="127"/>
      <c r="F7244" s="127"/>
      <c r="G7244" s="127"/>
      <c r="H7244" s="127"/>
      <c r="I7244" s="128"/>
      <c r="J7244" s="126"/>
      <c r="K7244" s="125"/>
      <c r="L7244" s="129"/>
    </row>
    <row r="7245" spans="1:12" hidden="1" x14ac:dyDescent="0.25">
      <c r="A7245" s="125"/>
      <c r="B7245" s="125"/>
      <c r="C7245" s="126"/>
      <c r="D7245" s="127"/>
      <c r="E7245" s="140"/>
      <c r="F7245" s="140"/>
      <c r="G7245" s="140"/>
      <c r="H7245" s="140"/>
      <c r="I7245" s="128"/>
      <c r="J7245" s="126"/>
      <c r="K7245" s="125"/>
      <c r="L7245" s="129"/>
    </row>
    <row r="7246" spans="1:12" hidden="1" x14ac:dyDescent="0.25">
      <c r="A7246" s="125"/>
      <c r="B7246" s="125"/>
      <c r="C7246" s="126"/>
      <c r="D7246" s="127"/>
      <c r="E7246" s="127"/>
      <c r="F7246" s="127"/>
      <c r="G7246" s="127"/>
      <c r="H7246" s="127"/>
      <c r="I7246" s="128"/>
      <c r="J7246" s="126"/>
      <c r="K7246" s="125"/>
      <c r="L7246" s="129"/>
    </row>
    <row r="7247" spans="1:12" hidden="1" x14ac:dyDescent="0.25">
      <c r="A7247" s="125"/>
      <c r="B7247" s="125"/>
      <c r="C7247" s="126"/>
      <c r="D7247" s="127"/>
      <c r="E7247" s="127"/>
      <c r="F7247" s="127"/>
      <c r="G7247" s="127"/>
      <c r="H7247" s="127"/>
      <c r="I7247" s="128"/>
      <c r="J7247" s="126"/>
      <c r="K7247" s="125"/>
      <c r="L7247" s="129"/>
    </row>
    <row r="7248" spans="1:12" hidden="1" x14ac:dyDescent="0.25">
      <c r="A7248" s="125"/>
      <c r="B7248" s="125"/>
      <c r="C7248" s="126"/>
      <c r="D7248" s="127"/>
      <c r="E7248" s="127"/>
      <c r="F7248" s="127"/>
      <c r="G7248" s="127"/>
      <c r="H7248" s="127"/>
      <c r="I7248" s="128"/>
      <c r="J7248" s="126"/>
      <c r="K7248" s="125"/>
      <c r="L7248" s="129"/>
    </row>
    <row r="7249" spans="1:12" hidden="1" x14ac:dyDescent="0.25">
      <c r="A7249" s="125"/>
      <c r="B7249" s="125"/>
      <c r="C7249" s="126"/>
      <c r="D7249" s="127"/>
      <c r="E7249" s="127"/>
      <c r="F7249" s="127"/>
      <c r="G7249" s="127"/>
      <c r="H7249" s="127"/>
      <c r="I7249" s="128"/>
      <c r="J7249" s="126"/>
      <c r="K7249" s="125"/>
      <c r="L7249" s="129"/>
    </row>
    <row r="7250" spans="1:12" hidden="1" x14ac:dyDescent="0.25">
      <c r="A7250" s="125"/>
      <c r="B7250" s="125"/>
      <c r="C7250" s="126"/>
      <c r="D7250" s="127"/>
      <c r="E7250" s="127"/>
      <c r="F7250" s="127"/>
      <c r="G7250" s="127"/>
      <c r="H7250" s="127"/>
      <c r="I7250" s="128"/>
      <c r="J7250" s="126"/>
      <c r="K7250" s="125"/>
      <c r="L7250" s="129"/>
    </row>
    <row r="7251" spans="1:12" hidden="1" x14ac:dyDescent="0.25">
      <c r="A7251" s="125"/>
      <c r="B7251" s="125"/>
      <c r="C7251" s="126"/>
      <c r="D7251" s="127"/>
      <c r="E7251" s="127"/>
      <c r="F7251" s="127"/>
      <c r="G7251" s="127"/>
      <c r="H7251" s="127"/>
      <c r="I7251" s="128"/>
      <c r="J7251" s="126"/>
      <c r="K7251" s="125"/>
      <c r="L7251" s="129"/>
    </row>
    <row r="7252" spans="1:12" hidden="1" x14ac:dyDescent="0.25">
      <c r="A7252" s="125"/>
      <c r="B7252" s="125"/>
      <c r="C7252" s="126"/>
      <c r="D7252" s="127"/>
      <c r="E7252" s="127"/>
      <c r="F7252" s="127"/>
      <c r="G7252" s="127"/>
      <c r="H7252" s="127"/>
      <c r="I7252" s="128"/>
      <c r="J7252" s="126"/>
      <c r="K7252" s="125"/>
      <c r="L7252" s="129"/>
    </row>
    <row r="7253" spans="1:12" hidden="1" x14ac:dyDescent="0.25">
      <c r="A7253" s="125"/>
      <c r="B7253" s="125"/>
      <c r="C7253" s="126"/>
      <c r="D7253" s="127"/>
      <c r="E7253" s="127"/>
      <c r="F7253" s="127"/>
      <c r="G7253" s="127"/>
      <c r="H7253" s="127"/>
      <c r="I7253" s="128"/>
      <c r="J7253" s="126"/>
      <c r="K7253" s="125"/>
      <c r="L7253" s="129"/>
    </row>
    <row r="7254" spans="1:12" hidden="1" x14ac:dyDescent="0.25">
      <c r="A7254" s="125"/>
      <c r="B7254" s="125"/>
      <c r="C7254" s="126"/>
      <c r="D7254" s="127"/>
      <c r="E7254" s="140"/>
      <c r="F7254" s="140"/>
      <c r="G7254" s="140"/>
      <c r="H7254" s="140"/>
      <c r="I7254" s="128"/>
      <c r="J7254" s="126"/>
      <c r="K7254" s="125"/>
      <c r="L7254" s="129"/>
    </row>
    <row r="7255" spans="1:12" hidden="1" x14ac:dyDescent="0.25">
      <c r="A7255" s="125"/>
      <c r="B7255" s="125"/>
      <c r="C7255" s="126"/>
      <c r="D7255" s="127"/>
      <c r="E7255" s="127"/>
      <c r="F7255" s="127"/>
      <c r="G7255" s="127"/>
      <c r="H7255" s="127"/>
      <c r="I7255" s="128"/>
      <c r="J7255" s="126"/>
      <c r="K7255" s="125"/>
      <c r="L7255" s="129"/>
    </row>
    <row r="7256" spans="1:12" hidden="1" x14ac:dyDescent="0.25">
      <c r="A7256" s="125"/>
      <c r="B7256" s="125"/>
      <c r="C7256" s="126"/>
      <c r="D7256" s="127"/>
      <c r="E7256" s="127"/>
      <c r="F7256" s="127"/>
      <c r="G7256" s="127"/>
      <c r="H7256" s="127"/>
      <c r="I7256" s="128"/>
      <c r="J7256" s="126"/>
      <c r="K7256" s="125"/>
      <c r="L7256" s="129"/>
    </row>
    <row r="7257" spans="1:12" hidden="1" x14ac:dyDescent="0.25">
      <c r="A7257" s="125"/>
      <c r="B7257" s="125"/>
      <c r="C7257" s="126"/>
      <c r="D7257" s="127"/>
      <c r="E7257" s="140"/>
      <c r="F7257" s="140"/>
      <c r="G7257" s="140"/>
      <c r="H7257" s="140"/>
      <c r="I7257" s="128"/>
      <c r="J7257" s="126"/>
      <c r="K7257" s="125"/>
      <c r="L7257" s="129"/>
    </row>
    <row r="7258" spans="1:12" hidden="1" x14ac:dyDescent="0.25">
      <c r="A7258" s="125"/>
      <c r="B7258" s="125"/>
      <c r="C7258" s="126"/>
      <c r="D7258" s="127"/>
      <c r="E7258" s="127"/>
      <c r="F7258" s="127"/>
      <c r="G7258" s="127"/>
      <c r="H7258" s="127"/>
      <c r="I7258" s="128"/>
      <c r="J7258" s="126"/>
      <c r="K7258" s="125"/>
      <c r="L7258" s="129"/>
    </row>
    <row r="7259" spans="1:12" hidden="1" x14ac:dyDescent="0.25">
      <c r="A7259" s="125"/>
      <c r="B7259" s="125"/>
      <c r="C7259" s="126"/>
      <c r="D7259" s="127"/>
      <c r="E7259" s="127"/>
      <c r="F7259" s="127"/>
      <c r="G7259" s="127"/>
      <c r="H7259" s="127"/>
      <c r="I7259" s="128"/>
      <c r="J7259" s="126"/>
      <c r="K7259" s="125"/>
      <c r="L7259" s="129"/>
    </row>
    <row r="7260" spans="1:12" hidden="1" x14ac:dyDescent="0.25">
      <c r="A7260" s="125"/>
      <c r="B7260" s="125"/>
      <c r="C7260" s="126"/>
      <c r="D7260" s="127"/>
      <c r="E7260" s="127"/>
      <c r="F7260" s="127"/>
      <c r="G7260" s="127"/>
      <c r="H7260" s="127"/>
      <c r="I7260" s="128"/>
      <c r="J7260" s="126"/>
      <c r="K7260" s="125"/>
      <c r="L7260" s="129"/>
    </row>
    <row r="7261" spans="1:12" hidden="1" x14ac:dyDescent="0.25">
      <c r="A7261" s="125"/>
      <c r="B7261" s="125"/>
      <c r="C7261" s="126"/>
      <c r="D7261" s="127"/>
      <c r="E7261" s="140"/>
      <c r="F7261" s="140"/>
      <c r="G7261" s="140"/>
      <c r="H7261" s="140"/>
      <c r="I7261" s="128"/>
      <c r="J7261" s="126"/>
      <c r="K7261" s="125"/>
      <c r="L7261" s="129"/>
    </row>
    <row r="7262" spans="1:12" hidden="1" x14ac:dyDescent="0.25">
      <c r="A7262" s="125"/>
      <c r="B7262" s="125"/>
      <c r="C7262" s="126"/>
      <c r="D7262" s="127"/>
      <c r="E7262" s="127"/>
      <c r="F7262" s="127"/>
      <c r="G7262" s="127"/>
      <c r="H7262" s="127"/>
      <c r="I7262" s="128"/>
      <c r="J7262" s="126"/>
      <c r="K7262" s="125"/>
      <c r="L7262" s="129"/>
    </row>
    <row r="7263" spans="1:12" hidden="1" x14ac:dyDescent="0.25">
      <c r="A7263" s="125"/>
      <c r="B7263" s="125"/>
      <c r="C7263" s="126"/>
      <c r="D7263" s="127"/>
      <c r="E7263" s="127"/>
      <c r="F7263" s="127"/>
      <c r="G7263" s="127"/>
      <c r="H7263" s="127"/>
      <c r="I7263" s="128"/>
      <c r="J7263" s="126"/>
      <c r="K7263" s="125"/>
      <c r="L7263" s="129"/>
    </row>
    <row r="7264" spans="1:12" hidden="1" x14ac:dyDescent="0.25">
      <c r="A7264" s="125"/>
      <c r="B7264" s="125"/>
      <c r="C7264" s="126"/>
      <c r="D7264" s="127"/>
      <c r="E7264" s="127"/>
      <c r="F7264" s="127"/>
      <c r="G7264" s="127"/>
      <c r="H7264" s="127"/>
      <c r="I7264" s="128"/>
      <c r="J7264" s="126"/>
      <c r="K7264" s="125"/>
      <c r="L7264" s="129"/>
    </row>
    <row r="7265" spans="1:12" hidden="1" x14ac:dyDescent="0.25">
      <c r="A7265" s="125"/>
      <c r="B7265" s="125"/>
      <c r="C7265" s="126"/>
      <c r="D7265" s="127"/>
      <c r="E7265" s="140"/>
      <c r="F7265" s="140"/>
      <c r="G7265" s="140"/>
      <c r="H7265" s="140"/>
      <c r="I7265" s="128"/>
      <c r="J7265" s="126"/>
      <c r="K7265" s="125"/>
      <c r="L7265" s="129"/>
    </row>
    <row r="7266" spans="1:12" hidden="1" x14ac:dyDescent="0.25">
      <c r="A7266" s="125"/>
      <c r="B7266" s="125"/>
      <c r="C7266" s="126"/>
      <c r="D7266" s="127"/>
      <c r="E7266" s="127"/>
      <c r="F7266" s="127"/>
      <c r="G7266" s="127"/>
      <c r="H7266" s="127"/>
      <c r="I7266" s="128"/>
      <c r="J7266" s="126"/>
      <c r="K7266" s="125"/>
      <c r="L7266" s="129"/>
    </row>
    <row r="7267" spans="1:12" hidden="1" x14ac:dyDescent="0.25">
      <c r="A7267" s="125"/>
      <c r="B7267" s="125"/>
      <c r="C7267" s="126"/>
      <c r="D7267" s="127"/>
      <c r="E7267" s="127"/>
      <c r="F7267" s="127"/>
      <c r="G7267" s="127"/>
      <c r="H7267" s="127"/>
      <c r="I7267" s="128"/>
      <c r="J7267" s="126"/>
      <c r="K7267" s="125"/>
      <c r="L7267" s="129"/>
    </row>
    <row r="7268" spans="1:12" hidden="1" x14ac:dyDescent="0.25">
      <c r="A7268" s="125"/>
      <c r="B7268" s="125"/>
      <c r="C7268" s="126"/>
      <c r="D7268" s="127"/>
      <c r="E7268" s="140"/>
      <c r="F7268" s="140"/>
      <c r="G7268" s="140"/>
      <c r="H7268" s="140"/>
      <c r="I7268" s="128"/>
      <c r="J7268" s="126"/>
      <c r="K7268" s="125"/>
      <c r="L7268" s="129"/>
    </row>
    <row r="7269" spans="1:12" hidden="1" x14ac:dyDescent="0.25">
      <c r="A7269" s="125"/>
      <c r="B7269" s="125"/>
      <c r="C7269" s="126"/>
      <c r="D7269" s="127"/>
      <c r="E7269" s="127"/>
      <c r="F7269" s="127"/>
      <c r="G7269" s="127"/>
      <c r="H7269" s="127"/>
      <c r="I7269" s="128"/>
      <c r="J7269" s="126"/>
      <c r="K7269" s="125"/>
      <c r="L7269" s="129"/>
    </row>
    <row r="7270" spans="1:12" hidden="1" x14ac:dyDescent="0.25">
      <c r="A7270" s="125"/>
      <c r="B7270" s="125"/>
      <c r="C7270" s="126"/>
      <c r="D7270" s="127"/>
      <c r="E7270" s="127"/>
      <c r="F7270" s="127"/>
      <c r="G7270" s="127"/>
      <c r="H7270" s="127"/>
      <c r="I7270" s="128"/>
      <c r="J7270" s="126"/>
      <c r="K7270" s="125"/>
      <c r="L7270" s="129"/>
    </row>
    <row r="7271" spans="1:12" hidden="1" x14ac:dyDescent="0.25">
      <c r="A7271" s="125"/>
      <c r="B7271" s="125"/>
      <c r="C7271" s="126"/>
      <c r="D7271" s="127"/>
      <c r="E7271" s="140"/>
      <c r="F7271" s="140"/>
      <c r="G7271" s="140"/>
      <c r="H7271" s="140"/>
      <c r="I7271" s="128"/>
      <c r="J7271" s="126"/>
      <c r="K7271" s="125"/>
      <c r="L7271" s="129"/>
    </row>
    <row r="7272" spans="1:12" hidden="1" x14ac:dyDescent="0.25">
      <c r="A7272" s="125"/>
      <c r="B7272" s="125"/>
      <c r="C7272" s="126"/>
      <c r="D7272" s="127"/>
      <c r="E7272" s="127"/>
      <c r="F7272" s="127"/>
      <c r="G7272" s="127"/>
      <c r="H7272" s="127"/>
      <c r="I7272" s="128"/>
      <c r="J7272" s="126"/>
      <c r="K7272" s="125"/>
      <c r="L7272" s="129"/>
    </row>
    <row r="7273" spans="1:12" hidden="1" x14ac:dyDescent="0.25">
      <c r="A7273" s="125"/>
      <c r="B7273" s="125"/>
      <c r="C7273" s="126"/>
      <c r="D7273" s="127"/>
      <c r="E7273" s="127"/>
      <c r="F7273" s="127"/>
      <c r="G7273" s="127"/>
      <c r="H7273" s="127"/>
      <c r="I7273" s="128"/>
      <c r="J7273" s="126"/>
      <c r="K7273" s="125"/>
      <c r="L7273" s="129"/>
    </row>
    <row r="7274" spans="1:12" hidden="1" x14ac:dyDescent="0.25">
      <c r="A7274" s="125"/>
      <c r="B7274" s="125"/>
      <c r="C7274" s="126"/>
      <c r="D7274" s="127"/>
      <c r="E7274" s="127"/>
      <c r="F7274" s="127"/>
      <c r="G7274" s="127"/>
      <c r="H7274" s="127"/>
      <c r="I7274" s="128"/>
      <c r="J7274" s="126"/>
      <c r="K7274" s="125"/>
      <c r="L7274" s="129"/>
    </row>
    <row r="7275" spans="1:12" hidden="1" x14ac:dyDescent="0.25">
      <c r="A7275" s="125"/>
      <c r="B7275" s="125"/>
      <c r="C7275" s="126"/>
      <c r="D7275" s="127"/>
      <c r="E7275" s="127"/>
      <c r="F7275" s="127"/>
      <c r="G7275" s="127"/>
      <c r="H7275" s="127"/>
      <c r="I7275" s="128"/>
      <c r="J7275" s="126"/>
      <c r="K7275" s="125"/>
      <c r="L7275" s="129"/>
    </row>
    <row r="7276" spans="1:12" hidden="1" x14ac:dyDescent="0.25">
      <c r="A7276" s="125"/>
      <c r="B7276" s="125"/>
      <c r="C7276" s="126"/>
      <c r="D7276" s="127"/>
      <c r="E7276" s="127"/>
      <c r="F7276" s="127"/>
      <c r="G7276" s="127"/>
      <c r="H7276" s="127"/>
      <c r="I7276" s="128"/>
      <c r="J7276" s="126"/>
      <c r="K7276" s="125"/>
      <c r="L7276" s="129"/>
    </row>
    <row r="7277" spans="1:12" hidden="1" x14ac:dyDescent="0.25">
      <c r="A7277" s="125"/>
      <c r="B7277" s="125"/>
      <c r="C7277" s="126"/>
      <c r="D7277" s="127"/>
      <c r="E7277" s="127"/>
      <c r="F7277" s="127"/>
      <c r="G7277" s="127"/>
      <c r="H7277" s="127"/>
      <c r="I7277" s="128"/>
      <c r="J7277" s="126"/>
      <c r="K7277" s="125"/>
      <c r="L7277" s="129"/>
    </row>
    <row r="7278" spans="1:12" hidden="1" x14ac:dyDescent="0.25">
      <c r="A7278" s="125"/>
      <c r="B7278" s="125"/>
      <c r="C7278" s="126"/>
      <c r="D7278" s="127"/>
      <c r="E7278" s="127"/>
      <c r="F7278" s="127"/>
      <c r="G7278" s="127"/>
      <c r="H7278" s="127"/>
      <c r="I7278" s="128"/>
      <c r="J7278" s="126"/>
      <c r="K7278" s="125"/>
      <c r="L7278" s="129"/>
    </row>
    <row r="7279" spans="1:12" hidden="1" x14ac:dyDescent="0.25">
      <c r="A7279" s="125"/>
      <c r="B7279" s="125"/>
      <c r="C7279" s="126"/>
      <c r="D7279" s="127"/>
      <c r="E7279" s="127"/>
      <c r="F7279" s="127"/>
      <c r="G7279" s="127"/>
      <c r="H7279" s="127"/>
      <c r="I7279" s="128"/>
      <c r="J7279" s="126"/>
      <c r="K7279" s="125"/>
      <c r="L7279" s="129"/>
    </row>
    <row r="7280" spans="1:12" hidden="1" x14ac:dyDescent="0.25">
      <c r="A7280" s="125"/>
      <c r="B7280" s="125"/>
      <c r="C7280" s="126"/>
      <c r="D7280" s="127"/>
      <c r="E7280" s="127"/>
      <c r="F7280" s="127"/>
      <c r="G7280" s="127"/>
      <c r="H7280" s="127"/>
      <c r="I7280" s="128"/>
      <c r="J7280" s="126"/>
      <c r="K7280" s="125"/>
      <c r="L7280" s="129"/>
    </row>
    <row r="7281" spans="1:12" hidden="1" x14ac:dyDescent="0.25">
      <c r="A7281" s="125"/>
      <c r="B7281" s="125"/>
      <c r="C7281" s="126"/>
      <c r="D7281" s="127"/>
      <c r="E7281" s="127"/>
      <c r="F7281" s="127"/>
      <c r="G7281" s="127"/>
      <c r="H7281" s="127"/>
      <c r="I7281" s="128"/>
      <c r="J7281" s="126"/>
      <c r="K7281" s="125"/>
      <c r="L7281" s="129"/>
    </row>
    <row r="7282" spans="1:12" hidden="1" x14ac:dyDescent="0.25">
      <c r="A7282" s="125"/>
      <c r="B7282" s="125"/>
      <c r="C7282" s="126"/>
      <c r="D7282" s="127"/>
      <c r="E7282" s="127"/>
      <c r="F7282" s="127"/>
      <c r="G7282" s="127"/>
      <c r="H7282" s="127"/>
      <c r="I7282" s="128"/>
      <c r="J7282" s="126"/>
      <c r="K7282" s="125"/>
      <c r="L7282" s="129"/>
    </row>
    <row r="7283" spans="1:12" hidden="1" x14ac:dyDescent="0.25">
      <c r="A7283" s="125"/>
      <c r="B7283" s="125"/>
      <c r="C7283" s="126"/>
      <c r="D7283" s="127"/>
      <c r="E7283" s="127"/>
      <c r="F7283" s="127"/>
      <c r="G7283" s="127"/>
      <c r="H7283" s="127"/>
      <c r="I7283" s="128"/>
      <c r="J7283" s="126"/>
      <c r="K7283" s="125"/>
      <c r="L7283" s="129"/>
    </row>
    <row r="7284" spans="1:12" hidden="1" x14ac:dyDescent="0.25">
      <c r="A7284" s="125"/>
      <c r="B7284" s="125"/>
      <c r="C7284" s="126"/>
      <c r="D7284" s="127"/>
      <c r="E7284" s="127"/>
      <c r="F7284" s="127"/>
      <c r="G7284" s="127"/>
      <c r="H7284" s="127"/>
      <c r="I7284" s="128"/>
      <c r="J7284" s="126"/>
      <c r="K7284" s="125"/>
      <c r="L7284" s="129"/>
    </row>
    <row r="7285" spans="1:12" hidden="1" x14ac:dyDescent="0.25">
      <c r="A7285" s="125"/>
      <c r="B7285" s="125"/>
      <c r="C7285" s="126"/>
      <c r="D7285" s="127"/>
      <c r="E7285" s="127"/>
      <c r="F7285" s="127"/>
      <c r="G7285" s="127"/>
      <c r="H7285" s="127"/>
      <c r="I7285" s="128"/>
      <c r="J7285" s="126"/>
      <c r="K7285" s="125"/>
      <c r="L7285" s="129"/>
    </row>
    <row r="7286" spans="1:12" hidden="1" x14ac:dyDescent="0.25">
      <c r="A7286" s="125"/>
      <c r="B7286" s="125"/>
      <c r="C7286" s="126"/>
      <c r="D7286" s="127"/>
      <c r="E7286" s="127"/>
      <c r="F7286" s="127"/>
      <c r="G7286" s="127"/>
      <c r="H7286" s="127"/>
      <c r="I7286" s="128"/>
      <c r="J7286" s="126"/>
      <c r="K7286" s="125"/>
      <c r="L7286" s="129"/>
    </row>
    <row r="7287" spans="1:12" hidden="1" x14ac:dyDescent="0.25">
      <c r="A7287" s="125"/>
      <c r="B7287" s="125"/>
      <c r="C7287" s="126"/>
      <c r="D7287" s="127"/>
      <c r="E7287" s="127"/>
      <c r="F7287" s="127"/>
      <c r="G7287" s="127"/>
      <c r="H7287" s="127"/>
      <c r="I7287" s="128"/>
      <c r="J7287" s="126"/>
      <c r="K7287" s="125"/>
      <c r="L7287" s="129"/>
    </row>
    <row r="7288" spans="1:12" hidden="1" x14ac:dyDescent="0.25">
      <c r="A7288" s="125"/>
      <c r="B7288" s="125"/>
      <c r="C7288" s="126"/>
      <c r="D7288" s="127"/>
      <c r="E7288" s="127"/>
      <c r="F7288" s="127"/>
      <c r="G7288" s="127"/>
      <c r="H7288" s="127"/>
      <c r="I7288" s="128"/>
      <c r="J7288" s="126"/>
      <c r="K7288" s="125"/>
      <c r="L7288" s="133"/>
    </row>
    <row r="7289" spans="1:12" hidden="1" x14ac:dyDescent="0.25">
      <c r="A7289" s="125"/>
      <c r="B7289" s="125"/>
      <c r="C7289" s="126"/>
      <c r="D7289" s="127"/>
      <c r="E7289" s="127"/>
      <c r="F7289" s="127"/>
      <c r="G7289" s="127"/>
      <c r="H7289" s="127"/>
      <c r="I7289" s="128"/>
      <c r="J7289" s="126"/>
      <c r="K7289" s="125"/>
      <c r="L7289" s="133"/>
    </row>
    <row r="7290" spans="1:12" hidden="1" x14ac:dyDescent="0.25">
      <c r="A7290" s="125"/>
      <c r="B7290" s="125"/>
      <c r="C7290" s="126"/>
      <c r="D7290" s="127"/>
      <c r="E7290" s="127"/>
      <c r="F7290" s="127"/>
      <c r="G7290" s="127"/>
      <c r="H7290" s="127"/>
      <c r="I7290" s="128"/>
      <c r="J7290" s="126"/>
      <c r="K7290" s="125"/>
      <c r="L7290" s="133"/>
    </row>
    <row r="7291" spans="1:12" hidden="1" x14ac:dyDescent="0.25">
      <c r="A7291" s="125"/>
      <c r="B7291" s="125"/>
      <c r="C7291" s="126"/>
      <c r="D7291" s="127"/>
      <c r="E7291" s="127"/>
      <c r="F7291" s="127"/>
      <c r="G7291" s="127"/>
      <c r="H7291" s="127"/>
      <c r="I7291" s="128"/>
      <c r="J7291" s="126"/>
      <c r="K7291" s="125"/>
      <c r="L7291" s="133"/>
    </row>
    <row r="7292" spans="1:12" hidden="1" x14ac:dyDescent="0.25">
      <c r="A7292" s="125"/>
      <c r="B7292" s="125"/>
      <c r="C7292" s="126"/>
      <c r="D7292" s="127"/>
      <c r="E7292" s="127"/>
      <c r="F7292" s="127"/>
      <c r="G7292" s="127"/>
      <c r="H7292" s="127"/>
      <c r="I7292" s="128"/>
      <c r="J7292" s="126"/>
      <c r="K7292" s="125"/>
      <c r="L7292" s="133"/>
    </row>
    <row r="7293" spans="1:12" hidden="1" x14ac:dyDescent="0.25">
      <c r="A7293" s="125"/>
      <c r="B7293" s="125"/>
      <c r="C7293" s="126"/>
      <c r="D7293" s="127"/>
      <c r="E7293" s="127"/>
      <c r="F7293" s="127"/>
      <c r="G7293" s="127"/>
      <c r="H7293" s="127"/>
      <c r="I7293" s="128"/>
      <c r="J7293" s="126"/>
      <c r="K7293" s="125"/>
      <c r="L7293" s="133"/>
    </row>
    <row r="7294" spans="1:12" hidden="1" x14ac:dyDescent="0.25">
      <c r="A7294" s="125"/>
      <c r="B7294" s="125"/>
      <c r="C7294" s="126"/>
      <c r="D7294" s="127"/>
      <c r="E7294" s="127"/>
      <c r="F7294" s="127"/>
      <c r="G7294" s="127"/>
      <c r="H7294" s="127"/>
      <c r="I7294" s="128"/>
      <c r="J7294" s="126"/>
      <c r="K7294" s="125"/>
      <c r="L7294" s="133"/>
    </row>
    <row r="7295" spans="1:12" hidden="1" x14ac:dyDescent="0.25">
      <c r="A7295" s="125"/>
      <c r="B7295" s="125"/>
      <c r="C7295" s="126"/>
      <c r="D7295" s="127"/>
      <c r="E7295" s="127"/>
      <c r="F7295" s="127"/>
      <c r="G7295" s="127"/>
      <c r="H7295" s="127"/>
      <c r="I7295" s="128"/>
      <c r="J7295" s="126"/>
      <c r="K7295" s="125"/>
      <c r="L7295" s="133"/>
    </row>
    <row r="7296" spans="1:12" hidden="1" x14ac:dyDescent="0.25">
      <c r="A7296" s="125"/>
      <c r="B7296" s="125"/>
      <c r="C7296" s="126"/>
      <c r="D7296" s="127"/>
      <c r="E7296" s="127"/>
      <c r="F7296" s="127"/>
      <c r="G7296" s="127"/>
      <c r="H7296" s="127"/>
      <c r="I7296" s="128"/>
      <c r="J7296" s="126"/>
      <c r="K7296" s="125"/>
      <c r="L7296" s="133"/>
    </row>
    <row r="7297" spans="1:12" hidden="1" x14ac:dyDescent="0.25">
      <c r="A7297" s="125"/>
      <c r="B7297" s="125"/>
      <c r="C7297" s="126"/>
      <c r="D7297" s="127"/>
      <c r="E7297" s="127"/>
      <c r="F7297" s="127"/>
      <c r="G7297" s="127"/>
      <c r="H7297" s="127"/>
      <c r="I7297" s="128"/>
      <c r="J7297" s="126"/>
      <c r="K7297" s="125"/>
      <c r="L7297" s="133"/>
    </row>
    <row r="7298" spans="1:12" hidden="1" x14ac:dyDescent="0.25">
      <c r="A7298" s="125"/>
      <c r="B7298" s="125"/>
      <c r="C7298" s="126"/>
      <c r="D7298" s="127"/>
      <c r="E7298" s="127"/>
      <c r="F7298" s="127"/>
      <c r="G7298" s="127"/>
      <c r="H7298" s="127"/>
      <c r="I7298" s="128"/>
      <c r="J7298" s="126"/>
      <c r="K7298" s="125"/>
      <c r="L7298" s="133"/>
    </row>
    <row r="7299" spans="1:12" hidden="1" x14ac:dyDescent="0.25">
      <c r="A7299" s="125"/>
      <c r="B7299" s="125"/>
      <c r="C7299" s="126"/>
      <c r="D7299" s="127"/>
      <c r="E7299" s="127"/>
      <c r="F7299" s="127"/>
      <c r="G7299" s="127"/>
      <c r="H7299" s="127"/>
      <c r="I7299" s="128"/>
      <c r="J7299" s="126"/>
      <c r="K7299" s="125"/>
      <c r="L7299" s="133"/>
    </row>
    <row r="7300" spans="1:12" hidden="1" x14ac:dyDescent="0.25">
      <c r="A7300" s="125"/>
      <c r="B7300" s="125"/>
      <c r="C7300" s="126"/>
      <c r="D7300" s="127"/>
      <c r="E7300" s="127"/>
      <c r="F7300" s="127"/>
      <c r="G7300" s="127"/>
      <c r="H7300" s="127"/>
      <c r="I7300" s="128"/>
      <c r="J7300" s="126"/>
      <c r="K7300" s="125"/>
      <c r="L7300" s="133"/>
    </row>
    <row r="7301" spans="1:12" hidden="1" x14ac:dyDescent="0.25">
      <c r="A7301" s="125"/>
      <c r="B7301" s="125"/>
      <c r="C7301" s="126"/>
      <c r="D7301" s="127"/>
      <c r="E7301" s="127"/>
      <c r="F7301" s="127"/>
      <c r="G7301" s="127"/>
      <c r="H7301" s="127"/>
      <c r="I7301" s="128"/>
      <c r="J7301" s="126"/>
      <c r="K7301" s="125"/>
      <c r="L7301" s="133"/>
    </row>
    <row r="7302" spans="1:12" hidden="1" x14ac:dyDescent="0.25">
      <c r="A7302" s="125"/>
      <c r="B7302" s="125"/>
      <c r="C7302" s="126"/>
      <c r="D7302" s="127"/>
      <c r="E7302" s="127"/>
      <c r="F7302" s="127"/>
      <c r="G7302" s="127"/>
      <c r="H7302" s="127"/>
      <c r="I7302" s="128"/>
      <c r="J7302" s="126"/>
      <c r="K7302" s="125"/>
      <c r="L7302" s="133"/>
    </row>
    <row r="7303" spans="1:12" hidden="1" x14ac:dyDescent="0.25">
      <c r="A7303" s="130"/>
      <c r="B7303" s="130"/>
      <c r="C7303" s="132"/>
      <c r="D7303" s="129"/>
      <c r="E7303" s="129"/>
      <c r="F7303" s="129"/>
      <c r="G7303" s="129"/>
      <c r="H7303" s="129"/>
      <c r="I7303" s="131"/>
      <c r="J7303" s="132"/>
      <c r="K7303" s="130"/>
      <c r="L7303" s="133"/>
    </row>
    <row r="7304" spans="1:12" hidden="1" x14ac:dyDescent="0.25">
      <c r="A7304" s="130"/>
      <c r="B7304" s="130"/>
      <c r="C7304" s="132"/>
      <c r="D7304" s="129"/>
      <c r="E7304" s="129"/>
      <c r="F7304" s="129"/>
      <c r="G7304" s="129"/>
      <c r="H7304" s="129"/>
      <c r="I7304" s="131"/>
      <c r="J7304" s="132"/>
      <c r="K7304" s="130"/>
      <c r="L7304" s="133"/>
    </row>
    <row r="7305" spans="1:12" hidden="1" x14ac:dyDescent="0.25">
      <c r="A7305" s="130"/>
      <c r="B7305" s="130"/>
      <c r="C7305" s="132"/>
      <c r="D7305" s="129"/>
      <c r="E7305" s="129"/>
      <c r="F7305" s="129"/>
      <c r="G7305" s="129"/>
      <c r="H7305" s="129"/>
      <c r="I7305" s="131"/>
      <c r="J7305" s="132"/>
      <c r="K7305" s="130"/>
      <c r="L7305" s="133"/>
    </row>
    <row r="7306" spans="1:12" hidden="1" x14ac:dyDescent="0.25">
      <c r="A7306" s="130"/>
      <c r="B7306" s="130"/>
      <c r="C7306" s="132"/>
      <c r="D7306" s="129"/>
      <c r="E7306" s="129"/>
      <c r="F7306" s="129"/>
      <c r="G7306" s="129"/>
      <c r="H7306" s="129"/>
      <c r="I7306" s="131"/>
      <c r="J7306" s="132"/>
      <c r="K7306" s="130"/>
      <c r="L7306" s="133"/>
    </row>
    <row r="7307" spans="1:12" hidden="1" x14ac:dyDescent="0.25">
      <c r="A7307" s="130"/>
      <c r="B7307" s="130"/>
      <c r="C7307" s="132"/>
      <c r="D7307" s="129"/>
      <c r="E7307" s="129"/>
      <c r="F7307" s="129"/>
      <c r="G7307" s="129"/>
      <c r="H7307" s="129"/>
      <c r="I7307" s="131"/>
      <c r="J7307" s="132"/>
      <c r="K7307" s="130"/>
      <c r="L7307" s="133"/>
    </row>
    <row r="7308" spans="1:12" hidden="1" x14ac:dyDescent="0.25">
      <c r="A7308" s="130"/>
      <c r="B7308" s="130"/>
      <c r="C7308" s="132"/>
      <c r="D7308" s="129"/>
      <c r="E7308" s="129"/>
      <c r="F7308" s="129"/>
      <c r="G7308" s="129"/>
      <c r="H7308" s="129"/>
      <c r="I7308" s="131"/>
      <c r="J7308" s="132"/>
      <c r="K7308" s="130"/>
      <c r="L7308" s="133"/>
    </row>
    <row r="7309" spans="1:12" hidden="1" x14ac:dyDescent="0.25">
      <c r="A7309" s="130"/>
      <c r="B7309" s="130"/>
      <c r="C7309" s="132"/>
      <c r="D7309" s="129"/>
      <c r="E7309" s="129"/>
      <c r="F7309" s="129"/>
      <c r="G7309" s="129"/>
      <c r="H7309" s="129"/>
      <c r="I7309" s="131"/>
      <c r="J7309" s="132"/>
      <c r="K7309" s="130"/>
      <c r="L7309" s="133"/>
    </row>
    <row r="7310" spans="1:12" hidden="1" x14ac:dyDescent="0.25">
      <c r="A7310" s="130"/>
      <c r="B7310" s="130"/>
      <c r="C7310" s="132"/>
      <c r="D7310" s="129"/>
      <c r="E7310" s="129"/>
      <c r="F7310" s="129"/>
      <c r="G7310" s="129"/>
      <c r="H7310" s="129"/>
      <c r="I7310" s="131"/>
      <c r="J7310" s="132"/>
      <c r="K7310" s="130"/>
      <c r="L7310" s="133"/>
    </row>
    <row r="7311" spans="1:12" hidden="1" x14ac:dyDescent="0.25">
      <c r="A7311" s="130"/>
      <c r="B7311" s="130"/>
      <c r="C7311" s="132"/>
      <c r="D7311" s="129"/>
      <c r="E7311" s="129"/>
      <c r="F7311" s="129"/>
      <c r="G7311" s="129"/>
      <c r="H7311" s="129"/>
      <c r="I7311" s="131"/>
      <c r="J7311" s="132"/>
      <c r="K7311" s="130"/>
      <c r="L7311" s="133"/>
    </row>
    <row r="7312" spans="1:12" hidden="1" x14ac:dyDescent="0.25">
      <c r="A7312" s="130"/>
      <c r="B7312" s="130"/>
      <c r="C7312" s="132"/>
      <c r="D7312" s="129"/>
      <c r="E7312" s="129"/>
      <c r="F7312" s="129"/>
      <c r="G7312" s="129"/>
      <c r="H7312" s="129"/>
      <c r="I7312" s="131"/>
      <c r="J7312" s="132"/>
      <c r="K7312" s="130"/>
      <c r="L7312" s="133"/>
    </row>
    <row r="7313" spans="1:12" hidden="1" x14ac:dyDescent="0.25">
      <c r="A7313" s="130"/>
      <c r="B7313" s="130"/>
      <c r="C7313" s="132"/>
      <c r="D7313" s="129"/>
      <c r="E7313" s="129"/>
      <c r="F7313" s="129"/>
      <c r="G7313" s="129"/>
      <c r="H7313" s="129"/>
      <c r="I7313" s="131"/>
      <c r="J7313" s="132"/>
      <c r="K7313" s="130"/>
      <c r="L7313" s="133"/>
    </row>
    <row r="7314" spans="1:12" hidden="1" x14ac:dyDescent="0.25">
      <c r="A7314" s="130"/>
      <c r="B7314" s="130"/>
      <c r="C7314" s="132"/>
      <c r="D7314" s="129"/>
      <c r="E7314" s="129"/>
      <c r="F7314" s="129"/>
      <c r="G7314" s="129"/>
      <c r="H7314" s="129"/>
      <c r="I7314" s="131"/>
      <c r="J7314" s="132"/>
      <c r="K7314" s="130"/>
      <c r="L7314" s="133"/>
    </row>
    <row r="7315" spans="1:12" hidden="1" x14ac:dyDescent="0.25">
      <c r="A7315" s="130"/>
      <c r="B7315" s="130"/>
      <c r="C7315" s="132"/>
      <c r="D7315" s="129"/>
      <c r="E7315" s="129"/>
      <c r="F7315" s="129"/>
      <c r="G7315" s="129"/>
      <c r="H7315" s="129"/>
      <c r="I7315" s="131"/>
      <c r="J7315" s="132"/>
      <c r="K7315" s="130"/>
      <c r="L7315" s="133"/>
    </row>
    <row r="7316" spans="1:12" hidden="1" x14ac:dyDescent="0.25">
      <c r="A7316" s="130"/>
      <c r="B7316" s="130"/>
      <c r="C7316" s="132"/>
      <c r="D7316" s="129"/>
      <c r="E7316" s="129"/>
      <c r="F7316" s="129"/>
      <c r="G7316" s="129"/>
      <c r="H7316" s="129"/>
      <c r="I7316" s="131"/>
      <c r="J7316" s="132"/>
      <c r="K7316" s="130"/>
      <c r="L7316" s="133"/>
    </row>
    <row r="7317" spans="1:12" hidden="1" x14ac:dyDescent="0.25">
      <c r="A7317" s="130"/>
      <c r="B7317" s="130"/>
      <c r="C7317" s="132"/>
      <c r="D7317" s="129"/>
      <c r="E7317" s="129"/>
      <c r="F7317" s="129"/>
      <c r="G7317" s="129"/>
      <c r="H7317" s="129"/>
      <c r="I7317" s="131"/>
      <c r="J7317" s="132"/>
      <c r="K7317" s="130"/>
      <c r="L7317" s="133"/>
    </row>
    <row r="7318" spans="1:12" hidden="1" x14ac:dyDescent="0.25">
      <c r="A7318" s="130"/>
      <c r="B7318" s="130"/>
      <c r="C7318" s="132"/>
      <c r="D7318" s="129"/>
      <c r="E7318" s="129"/>
      <c r="F7318" s="129"/>
      <c r="G7318" s="129"/>
      <c r="H7318" s="129"/>
      <c r="I7318" s="131"/>
      <c r="J7318" s="132"/>
      <c r="K7318" s="130"/>
      <c r="L7318" s="133"/>
    </row>
    <row r="7319" spans="1:12" hidden="1" x14ac:dyDescent="0.25">
      <c r="A7319" s="130"/>
      <c r="B7319" s="130"/>
      <c r="C7319" s="132"/>
      <c r="D7319" s="129"/>
      <c r="E7319" s="129"/>
      <c r="F7319" s="129"/>
      <c r="G7319" s="129"/>
      <c r="H7319" s="129"/>
      <c r="I7319" s="131"/>
      <c r="J7319" s="132"/>
      <c r="K7319" s="130"/>
      <c r="L7319" s="133"/>
    </row>
    <row r="7320" spans="1:12" hidden="1" x14ac:dyDescent="0.25">
      <c r="A7320" s="130"/>
      <c r="B7320" s="130"/>
      <c r="C7320" s="132"/>
      <c r="D7320" s="129"/>
      <c r="E7320" s="129"/>
      <c r="F7320" s="129"/>
      <c r="G7320" s="129"/>
      <c r="H7320" s="129"/>
      <c r="I7320" s="131"/>
      <c r="J7320" s="132"/>
      <c r="K7320" s="130"/>
      <c r="L7320" s="133"/>
    </row>
    <row r="7321" spans="1:12" hidden="1" x14ac:dyDescent="0.25">
      <c r="A7321" s="130"/>
      <c r="B7321" s="130"/>
      <c r="C7321" s="132"/>
      <c r="D7321" s="129"/>
      <c r="E7321" s="129"/>
      <c r="F7321" s="129"/>
      <c r="G7321" s="129"/>
      <c r="H7321" s="129"/>
      <c r="I7321" s="131"/>
      <c r="J7321" s="132"/>
      <c r="K7321" s="130"/>
      <c r="L7321" s="133"/>
    </row>
    <row r="7322" spans="1:12" hidden="1" x14ac:dyDescent="0.25">
      <c r="A7322" s="130"/>
      <c r="B7322" s="130"/>
      <c r="C7322" s="132"/>
      <c r="D7322" s="129"/>
      <c r="E7322" s="129"/>
      <c r="F7322" s="129"/>
      <c r="G7322" s="129"/>
      <c r="H7322" s="129"/>
      <c r="I7322" s="131"/>
      <c r="J7322" s="132"/>
      <c r="K7322" s="130"/>
      <c r="L7322" s="133"/>
    </row>
    <row r="7323" spans="1:12" hidden="1" x14ac:dyDescent="0.25">
      <c r="A7323" s="130"/>
      <c r="B7323" s="130"/>
      <c r="C7323" s="132"/>
      <c r="D7323" s="129"/>
      <c r="E7323" s="129"/>
      <c r="F7323" s="129"/>
      <c r="G7323" s="129"/>
      <c r="H7323" s="129"/>
      <c r="I7323" s="131"/>
      <c r="J7323" s="132"/>
      <c r="K7323" s="130"/>
      <c r="L7323" s="133"/>
    </row>
    <row r="7324" spans="1:12" hidden="1" x14ac:dyDescent="0.25">
      <c r="A7324" s="130"/>
      <c r="B7324" s="130"/>
      <c r="C7324" s="132"/>
      <c r="D7324" s="129"/>
      <c r="E7324" s="129"/>
      <c r="F7324" s="129"/>
      <c r="G7324" s="129"/>
      <c r="H7324" s="129"/>
      <c r="I7324" s="131"/>
      <c r="J7324" s="132"/>
      <c r="K7324" s="130"/>
      <c r="L7324" s="133"/>
    </row>
    <row r="7325" spans="1:12" hidden="1" x14ac:dyDescent="0.25">
      <c r="A7325" s="130"/>
      <c r="B7325" s="130"/>
      <c r="C7325" s="132"/>
      <c r="D7325" s="129"/>
      <c r="E7325" s="129"/>
      <c r="F7325" s="129"/>
      <c r="G7325" s="129"/>
      <c r="H7325" s="129"/>
      <c r="I7325" s="131"/>
      <c r="J7325" s="132"/>
      <c r="K7325" s="130"/>
      <c r="L7325" s="133"/>
    </row>
    <row r="7326" spans="1:12" hidden="1" x14ac:dyDescent="0.25">
      <c r="A7326" s="130"/>
      <c r="B7326" s="130"/>
      <c r="C7326" s="132"/>
      <c r="D7326" s="129"/>
      <c r="E7326" s="129"/>
      <c r="F7326" s="129"/>
      <c r="G7326" s="129"/>
      <c r="H7326" s="129"/>
      <c r="I7326" s="131"/>
      <c r="J7326" s="132"/>
      <c r="K7326" s="130"/>
      <c r="L7326" s="133"/>
    </row>
    <row r="7327" spans="1:12" hidden="1" x14ac:dyDescent="0.25">
      <c r="A7327" s="130"/>
      <c r="B7327" s="130"/>
      <c r="C7327" s="132"/>
      <c r="D7327" s="129"/>
      <c r="E7327" s="129"/>
      <c r="F7327" s="129"/>
      <c r="G7327" s="129"/>
      <c r="H7327" s="129"/>
      <c r="I7327" s="131"/>
      <c r="J7327" s="132"/>
      <c r="K7327" s="130"/>
      <c r="L7327" s="133"/>
    </row>
    <row r="7328" spans="1:12" hidden="1" x14ac:dyDescent="0.25">
      <c r="A7328" s="130"/>
      <c r="B7328" s="130"/>
      <c r="C7328" s="132"/>
      <c r="D7328" s="129"/>
      <c r="E7328" s="129"/>
      <c r="F7328" s="129"/>
      <c r="G7328" s="129"/>
      <c r="H7328" s="129"/>
      <c r="I7328" s="131"/>
      <c r="J7328" s="132"/>
      <c r="K7328" s="130"/>
      <c r="L7328" s="133"/>
    </row>
    <row r="7329" spans="1:12" hidden="1" x14ac:dyDescent="0.25">
      <c r="A7329" s="130"/>
      <c r="B7329" s="130"/>
      <c r="C7329" s="132"/>
      <c r="D7329" s="129"/>
      <c r="E7329" s="129"/>
      <c r="F7329" s="129"/>
      <c r="G7329" s="129"/>
      <c r="H7329" s="129"/>
      <c r="I7329" s="131"/>
      <c r="J7329" s="132"/>
      <c r="K7329" s="130"/>
      <c r="L7329" s="133"/>
    </row>
    <row r="7330" spans="1:12" hidden="1" x14ac:dyDescent="0.25">
      <c r="A7330" s="130"/>
      <c r="B7330" s="130"/>
      <c r="C7330" s="132"/>
      <c r="D7330" s="129"/>
      <c r="E7330" s="129"/>
      <c r="F7330" s="129"/>
      <c r="G7330" s="129"/>
      <c r="H7330" s="129"/>
      <c r="I7330" s="131"/>
      <c r="J7330" s="132"/>
      <c r="K7330" s="130"/>
      <c r="L7330" s="133"/>
    </row>
    <row r="7331" spans="1:12" hidden="1" x14ac:dyDescent="0.25">
      <c r="A7331" s="130"/>
      <c r="B7331" s="130"/>
      <c r="C7331" s="132"/>
      <c r="D7331" s="129"/>
      <c r="E7331" s="129"/>
      <c r="F7331" s="129"/>
      <c r="G7331" s="129"/>
      <c r="H7331" s="129"/>
      <c r="I7331" s="131"/>
      <c r="J7331" s="132"/>
      <c r="K7331" s="130"/>
      <c r="L7331" s="133"/>
    </row>
    <row r="7332" spans="1:12" hidden="1" x14ac:dyDescent="0.25">
      <c r="A7332" s="130"/>
      <c r="B7332" s="130"/>
      <c r="C7332" s="132"/>
      <c r="D7332" s="129"/>
      <c r="E7332" s="129"/>
      <c r="F7332" s="129"/>
      <c r="G7332" s="129"/>
      <c r="H7332" s="129"/>
      <c r="I7332" s="131"/>
      <c r="J7332" s="132"/>
      <c r="K7332" s="130"/>
      <c r="L7332" s="133"/>
    </row>
    <row r="7333" spans="1:12" hidden="1" x14ac:dyDescent="0.25">
      <c r="A7333" s="130"/>
      <c r="B7333" s="130"/>
      <c r="C7333" s="132"/>
      <c r="D7333" s="129"/>
      <c r="E7333" s="129"/>
      <c r="F7333" s="129"/>
      <c r="G7333" s="129"/>
      <c r="H7333" s="129"/>
      <c r="I7333" s="131"/>
      <c r="J7333" s="132"/>
      <c r="K7333" s="130"/>
      <c r="L7333" s="133"/>
    </row>
    <row r="7334" spans="1:12" hidden="1" x14ac:dyDescent="0.25">
      <c r="A7334" s="130"/>
      <c r="B7334" s="130"/>
      <c r="C7334" s="132"/>
      <c r="D7334" s="129"/>
      <c r="E7334" s="129"/>
      <c r="F7334" s="129"/>
      <c r="G7334" s="129"/>
      <c r="H7334" s="129"/>
      <c r="I7334" s="131"/>
      <c r="J7334" s="132"/>
      <c r="K7334" s="130"/>
      <c r="L7334" s="133"/>
    </row>
    <row r="7335" spans="1:12" hidden="1" x14ac:dyDescent="0.25">
      <c r="A7335" s="130"/>
      <c r="B7335" s="130"/>
      <c r="C7335" s="132"/>
      <c r="D7335" s="129"/>
      <c r="E7335" s="129"/>
      <c r="F7335" s="129"/>
      <c r="G7335" s="129"/>
      <c r="H7335" s="129"/>
      <c r="I7335" s="131"/>
      <c r="J7335" s="132"/>
      <c r="K7335" s="130"/>
      <c r="L7335" s="133"/>
    </row>
    <row r="7336" spans="1:12" hidden="1" x14ac:dyDescent="0.25">
      <c r="A7336" s="130"/>
      <c r="B7336" s="130"/>
      <c r="C7336" s="132"/>
      <c r="D7336" s="129"/>
      <c r="E7336" s="129"/>
      <c r="F7336" s="129"/>
      <c r="G7336" s="129"/>
      <c r="H7336" s="129"/>
      <c r="I7336" s="131"/>
      <c r="J7336" s="132"/>
      <c r="K7336" s="130"/>
      <c r="L7336" s="133"/>
    </row>
    <row r="7337" spans="1:12" hidden="1" x14ac:dyDescent="0.25">
      <c r="A7337" s="130"/>
      <c r="B7337" s="130"/>
      <c r="C7337" s="132"/>
      <c r="D7337" s="129"/>
      <c r="E7337" s="129"/>
      <c r="F7337" s="129"/>
      <c r="G7337" s="129"/>
      <c r="H7337" s="129"/>
      <c r="I7337" s="131"/>
      <c r="J7337" s="132"/>
      <c r="K7337" s="130"/>
      <c r="L7337" s="133"/>
    </row>
    <row r="7338" spans="1:12" hidden="1" x14ac:dyDescent="0.25">
      <c r="A7338" s="130"/>
      <c r="B7338" s="130"/>
      <c r="C7338" s="132"/>
      <c r="D7338" s="129"/>
      <c r="E7338" s="129"/>
      <c r="F7338" s="129"/>
      <c r="G7338" s="129"/>
      <c r="H7338" s="129"/>
      <c r="I7338" s="131"/>
      <c r="J7338" s="132"/>
      <c r="K7338" s="130"/>
      <c r="L7338" s="133"/>
    </row>
    <row r="7339" spans="1:12" hidden="1" x14ac:dyDescent="0.25">
      <c r="A7339" s="130"/>
      <c r="B7339" s="130"/>
      <c r="C7339" s="132"/>
      <c r="D7339" s="129"/>
      <c r="E7339" s="129"/>
      <c r="F7339" s="129"/>
      <c r="G7339" s="129"/>
      <c r="H7339" s="129"/>
      <c r="I7339" s="131"/>
      <c r="J7339" s="132"/>
      <c r="K7339" s="130"/>
      <c r="L7339" s="133"/>
    </row>
    <row r="7340" spans="1:12" hidden="1" x14ac:dyDescent="0.25">
      <c r="A7340" s="130"/>
      <c r="B7340" s="130"/>
      <c r="C7340" s="132"/>
      <c r="D7340" s="129"/>
      <c r="E7340" s="129"/>
      <c r="F7340" s="129"/>
      <c r="G7340" s="129"/>
      <c r="H7340" s="129"/>
      <c r="I7340" s="131"/>
      <c r="J7340" s="132"/>
      <c r="K7340" s="130"/>
      <c r="L7340" s="133"/>
    </row>
    <row r="7341" spans="1:12" hidden="1" x14ac:dyDescent="0.25">
      <c r="A7341" s="130"/>
      <c r="B7341" s="130"/>
      <c r="C7341" s="132"/>
      <c r="D7341" s="129"/>
      <c r="E7341" s="129"/>
      <c r="F7341" s="129"/>
      <c r="G7341" s="129"/>
      <c r="H7341" s="129"/>
      <c r="I7341" s="131"/>
      <c r="J7341" s="132"/>
      <c r="K7341" s="130"/>
      <c r="L7341" s="133"/>
    </row>
    <row r="7342" spans="1:12" hidden="1" x14ac:dyDescent="0.25">
      <c r="A7342" s="130"/>
      <c r="B7342" s="130"/>
      <c r="C7342" s="132"/>
      <c r="D7342" s="129"/>
      <c r="E7342" s="129"/>
      <c r="F7342" s="129"/>
      <c r="G7342" s="129"/>
      <c r="H7342" s="129"/>
      <c r="I7342" s="131"/>
      <c r="J7342" s="132"/>
      <c r="K7342" s="130"/>
      <c r="L7342" s="133"/>
    </row>
    <row r="7343" spans="1:12" hidden="1" x14ac:dyDescent="0.25">
      <c r="A7343" s="130"/>
      <c r="B7343" s="130"/>
      <c r="C7343" s="132"/>
      <c r="D7343" s="129"/>
      <c r="E7343" s="129"/>
      <c r="F7343" s="129"/>
      <c r="G7343" s="129"/>
      <c r="H7343" s="129"/>
      <c r="I7343" s="131"/>
      <c r="J7343" s="132"/>
      <c r="K7343" s="130"/>
      <c r="L7343" s="133"/>
    </row>
    <row r="7344" spans="1:12" hidden="1" x14ac:dyDescent="0.25">
      <c r="A7344" s="130"/>
      <c r="B7344" s="130"/>
      <c r="C7344" s="132"/>
      <c r="D7344" s="129"/>
      <c r="E7344" s="129"/>
      <c r="F7344" s="129"/>
      <c r="G7344" s="129"/>
      <c r="H7344" s="129"/>
      <c r="I7344" s="131"/>
      <c r="J7344" s="132"/>
      <c r="K7344" s="130"/>
      <c r="L7344" s="133"/>
    </row>
    <row r="7345" spans="1:12" hidden="1" x14ac:dyDescent="0.25">
      <c r="A7345" s="130"/>
      <c r="B7345" s="130"/>
      <c r="C7345" s="132"/>
      <c r="D7345" s="129"/>
      <c r="E7345" s="129"/>
      <c r="F7345" s="129"/>
      <c r="G7345" s="129"/>
      <c r="H7345" s="129"/>
      <c r="I7345" s="131"/>
      <c r="J7345" s="132"/>
      <c r="K7345" s="130"/>
      <c r="L7345" s="133"/>
    </row>
    <row r="7346" spans="1:12" hidden="1" x14ac:dyDescent="0.25">
      <c r="A7346" s="130"/>
      <c r="B7346" s="130"/>
      <c r="C7346" s="132"/>
      <c r="D7346" s="129"/>
      <c r="E7346" s="129"/>
      <c r="F7346" s="129"/>
      <c r="G7346" s="129"/>
      <c r="H7346" s="129"/>
      <c r="I7346" s="131"/>
      <c r="J7346" s="132"/>
      <c r="K7346" s="130"/>
      <c r="L7346" s="133"/>
    </row>
    <row r="7347" spans="1:12" hidden="1" x14ac:dyDescent="0.25">
      <c r="A7347" s="130"/>
      <c r="B7347" s="130"/>
      <c r="C7347" s="132"/>
      <c r="D7347" s="129"/>
      <c r="E7347" s="129"/>
      <c r="F7347" s="129"/>
      <c r="G7347" s="129"/>
      <c r="H7347" s="129"/>
      <c r="I7347" s="131"/>
      <c r="J7347" s="132"/>
      <c r="K7347" s="130"/>
      <c r="L7347" s="133"/>
    </row>
    <row r="7348" spans="1:12" hidden="1" x14ac:dyDescent="0.25">
      <c r="A7348" s="130"/>
      <c r="B7348" s="130"/>
      <c r="C7348" s="132"/>
      <c r="D7348" s="129"/>
      <c r="E7348" s="129"/>
      <c r="F7348" s="129"/>
      <c r="G7348" s="129"/>
      <c r="H7348" s="129"/>
      <c r="I7348" s="131"/>
      <c r="J7348" s="132"/>
      <c r="K7348" s="130"/>
      <c r="L7348" s="133"/>
    </row>
    <row r="7349" spans="1:12" hidden="1" x14ac:dyDescent="0.25">
      <c r="A7349" s="130"/>
      <c r="B7349" s="130"/>
      <c r="C7349" s="132"/>
      <c r="D7349" s="129"/>
      <c r="E7349" s="129"/>
      <c r="F7349" s="129"/>
      <c r="G7349" s="129"/>
      <c r="H7349" s="129"/>
      <c r="I7349" s="131"/>
      <c r="J7349" s="132"/>
      <c r="K7349" s="130"/>
      <c r="L7349" s="133"/>
    </row>
    <row r="7350" spans="1:12" hidden="1" x14ac:dyDescent="0.25">
      <c r="A7350" s="130"/>
      <c r="B7350" s="130"/>
      <c r="C7350" s="132"/>
      <c r="D7350" s="129"/>
      <c r="E7350" s="129"/>
      <c r="F7350" s="129"/>
      <c r="G7350" s="129"/>
      <c r="H7350" s="129"/>
      <c r="I7350" s="131"/>
      <c r="J7350" s="132"/>
      <c r="K7350" s="130"/>
      <c r="L7350" s="133"/>
    </row>
    <row r="7351" spans="1:12" hidden="1" x14ac:dyDescent="0.25">
      <c r="A7351" s="130"/>
      <c r="B7351" s="130"/>
      <c r="C7351" s="132"/>
      <c r="D7351" s="129"/>
      <c r="E7351" s="129"/>
      <c r="F7351" s="129"/>
      <c r="G7351" s="129"/>
      <c r="H7351" s="129"/>
      <c r="I7351" s="131"/>
      <c r="J7351" s="132"/>
      <c r="K7351" s="130"/>
      <c r="L7351" s="133"/>
    </row>
    <row r="7352" spans="1:12" hidden="1" x14ac:dyDescent="0.25">
      <c r="A7352" s="130"/>
      <c r="B7352" s="130"/>
      <c r="C7352" s="132"/>
      <c r="D7352" s="129"/>
      <c r="E7352" s="129"/>
      <c r="F7352" s="129"/>
      <c r="G7352" s="129"/>
      <c r="H7352" s="129"/>
      <c r="I7352" s="131"/>
      <c r="J7352" s="132"/>
      <c r="K7352" s="130"/>
      <c r="L7352" s="133"/>
    </row>
    <row r="7353" spans="1:12" hidden="1" x14ac:dyDescent="0.25">
      <c r="A7353" s="130"/>
      <c r="B7353" s="130"/>
      <c r="C7353" s="132"/>
      <c r="D7353" s="129"/>
      <c r="E7353" s="129"/>
      <c r="F7353" s="129"/>
      <c r="G7353" s="129"/>
      <c r="H7353" s="129"/>
      <c r="I7353" s="131"/>
      <c r="J7353" s="132"/>
      <c r="K7353" s="130"/>
      <c r="L7353" s="133"/>
    </row>
    <row r="7354" spans="1:12" hidden="1" x14ac:dyDescent="0.25">
      <c r="A7354" s="130"/>
      <c r="B7354" s="130"/>
      <c r="C7354" s="132"/>
      <c r="D7354" s="129"/>
      <c r="E7354" s="129"/>
      <c r="F7354" s="129"/>
      <c r="G7354" s="129"/>
      <c r="H7354" s="129"/>
      <c r="I7354" s="131"/>
      <c r="J7354" s="132"/>
      <c r="K7354" s="130"/>
      <c r="L7354" s="133"/>
    </row>
    <row r="7355" spans="1:12" hidden="1" x14ac:dyDescent="0.25">
      <c r="A7355" s="130"/>
      <c r="B7355" s="130"/>
      <c r="C7355" s="132"/>
      <c r="D7355" s="129"/>
      <c r="E7355" s="129"/>
      <c r="F7355" s="129"/>
      <c r="G7355" s="129"/>
      <c r="H7355" s="129"/>
      <c r="I7355" s="131"/>
      <c r="J7355" s="132"/>
      <c r="K7355" s="130"/>
      <c r="L7355" s="133"/>
    </row>
    <row r="7356" spans="1:12" hidden="1" x14ac:dyDescent="0.25">
      <c r="A7356" s="130"/>
      <c r="B7356" s="130"/>
      <c r="C7356" s="132"/>
      <c r="D7356" s="129"/>
      <c r="E7356" s="129"/>
      <c r="F7356" s="129"/>
      <c r="G7356" s="129"/>
      <c r="H7356" s="129"/>
      <c r="I7356" s="131"/>
      <c r="J7356" s="132"/>
      <c r="K7356" s="130"/>
      <c r="L7356" s="133"/>
    </row>
    <row r="7357" spans="1:12" hidden="1" x14ac:dyDescent="0.25">
      <c r="A7357" s="130"/>
      <c r="B7357" s="130"/>
      <c r="C7357" s="132"/>
      <c r="D7357" s="129"/>
      <c r="E7357" s="129"/>
      <c r="F7357" s="129"/>
      <c r="G7357" s="129"/>
      <c r="H7357" s="129"/>
      <c r="I7357" s="131"/>
      <c r="J7357" s="132"/>
      <c r="K7357" s="130"/>
      <c r="L7357" s="133"/>
    </row>
    <row r="7358" spans="1:12" hidden="1" x14ac:dyDescent="0.25">
      <c r="A7358" s="130"/>
      <c r="B7358" s="130"/>
      <c r="C7358" s="132"/>
      <c r="D7358" s="129"/>
      <c r="E7358" s="129"/>
      <c r="F7358" s="129"/>
      <c r="G7358" s="129"/>
      <c r="H7358" s="129"/>
      <c r="I7358" s="131"/>
      <c r="J7358" s="132"/>
      <c r="K7358" s="130"/>
      <c r="L7358" s="133"/>
    </row>
    <row r="7359" spans="1:12" hidden="1" x14ac:dyDescent="0.25">
      <c r="A7359" s="130"/>
      <c r="B7359" s="130"/>
      <c r="C7359" s="132"/>
      <c r="D7359" s="129"/>
      <c r="E7359" s="129"/>
      <c r="F7359" s="129"/>
      <c r="G7359" s="129"/>
      <c r="H7359" s="129"/>
      <c r="I7359" s="131"/>
      <c r="J7359" s="132"/>
      <c r="K7359" s="130"/>
      <c r="L7359" s="133"/>
    </row>
    <row r="7360" spans="1:12" hidden="1" x14ac:dyDescent="0.25">
      <c r="A7360" s="130"/>
      <c r="B7360" s="130"/>
      <c r="C7360" s="132"/>
      <c r="D7360" s="129"/>
      <c r="E7360" s="129"/>
      <c r="F7360" s="129"/>
      <c r="G7360" s="129"/>
      <c r="H7360" s="129"/>
      <c r="I7360" s="131"/>
      <c r="J7360" s="132"/>
      <c r="K7360" s="130"/>
      <c r="L7360" s="133"/>
    </row>
    <row r="7361" spans="1:12" hidden="1" x14ac:dyDescent="0.25">
      <c r="A7361" s="130"/>
      <c r="B7361" s="130"/>
      <c r="C7361" s="132"/>
      <c r="D7361" s="129"/>
      <c r="E7361" s="129"/>
      <c r="F7361" s="129"/>
      <c r="G7361" s="129"/>
      <c r="H7361" s="129"/>
      <c r="I7361" s="131"/>
      <c r="J7361" s="132"/>
      <c r="K7361" s="130"/>
      <c r="L7361" s="133"/>
    </row>
    <row r="7362" spans="1:12" hidden="1" x14ac:dyDescent="0.25">
      <c r="A7362" s="130"/>
      <c r="B7362" s="130"/>
      <c r="C7362" s="132"/>
      <c r="D7362" s="129"/>
      <c r="E7362" s="129"/>
      <c r="F7362" s="129"/>
      <c r="G7362" s="129"/>
      <c r="H7362" s="129"/>
      <c r="I7362" s="131"/>
      <c r="J7362" s="132"/>
      <c r="K7362" s="130"/>
      <c r="L7362" s="133"/>
    </row>
    <row r="7363" spans="1:12" hidden="1" x14ac:dyDescent="0.25">
      <c r="A7363" s="130"/>
      <c r="B7363" s="130"/>
      <c r="C7363" s="132"/>
      <c r="D7363" s="129"/>
      <c r="E7363" s="129"/>
      <c r="F7363" s="129"/>
      <c r="G7363" s="129"/>
      <c r="H7363" s="129"/>
      <c r="I7363" s="131"/>
      <c r="J7363" s="132"/>
      <c r="K7363" s="99"/>
      <c r="L7363" s="133"/>
    </row>
    <row r="7364" spans="1:12" hidden="1" x14ac:dyDescent="0.25">
      <c r="A7364" s="130"/>
      <c r="B7364" s="130"/>
      <c r="C7364" s="132"/>
      <c r="D7364" s="129"/>
      <c r="E7364" s="129"/>
      <c r="F7364" s="129"/>
      <c r="G7364" s="129"/>
      <c r="H7364" s="129"/>
      <c r="I7364" s="131"/>
      <c r="J7364" s="132"/>
      <c r="K7364" s="130"/>
      <c r="L7364" s="133"/>
    </row>
    <row r="7365" spans="1:12" hidden="1" x14ac:dyDescent="0.25">
      <c r="A7365" s="130"/>
      <c r="B7365" s="130"/>
      <c r="C7365" s="132"/>
      <c r="D7365" s="129"/>
      <c r="E7365" s="129"/>
      <c r="F7365" s="129"/>
      <c r="G7365" s="129"/>
      <c r="H7365" s="129"/>
      <c r="I7365" s="131"/>
      <c r="J7365" s="132"/>
      <c r="K7365" s="130"/>
      <c r="L7365" s="133"/>
    </row>
    <row r="7366" spans="1:12" hidden="1" x14ac:dyDescent="0.25">
      <c r="A7366" s="130"/>
      <c r="B7366" s="130"/>
      <c r="C7366" s="132"/>
      <c r="D7366" s="129"/>
      <c r="E7366" s="129"/>
      <c r="F7366" s="129"/>
      <c r="G7366" s="129"/>
      <c r="H7366" s="129"/>
      <c r="I7366" s="131"/>
      <c r="J7366" s="132"/>
      <c r="K7366" s="130"/>
      <c r="L7366" s="133"/>
    </row>
    <row r="7367" spans="1:12" hidden="1" x14ac:dyDescent="0.25">
      <c r="A7367" s="130"/>
      <c r="B7367" s="130"/>
      <c r="C7367" s="132"/>
      <c r="D7367" s="129"/>
      <c r="E7367" s="129"/>
      <c r="F7367" s="129"/>
      <c r="G7367" s="129"/>
      <c r="H7367" s="129"/>
      <c r="I7367" s="131"/>
      <c r="J7367" s="132"/>
      <c r="K7367" s="130"/>
      <c r="L7367" s="133"/>
    </row>
    <row r="7368" spans="1:12" hidden="1" x14ac:dyDescent="0.25">
      <c r="A7368" s="130"/>
      <c r="B7368" s="130"/>
      <c r="C7368" s="132"/>
      <c r="D7368" s="129"/>
      <c r="E7368" s="129"/>
      <c r="F7368" s="129"/>
      <c r="G7368" s="129"/>
      <c r="H7368" s="129"/>
      <c r="I7368" s="131"/>
      <c r="J7368" s="132"/>
      <c r="K7368" s="130"/>
      <c r="L7368" s="133"/>
    </row>
    <row r="7369" spans="1:12" hidden="1" x14ac:dyDescent="0.25">
      <c r="A7369" s="130"/>
      <c r="B7369" s="130"/>
      <c r="C7369" s="132"/>
      <c r="D7369" s="129"/>
      <c r="E7369" s="129"/>
      <c r="F7369" s="129"/>
      <c r="G7369" s="129"/>
      <c r="H7369" s="129"/>
      <c r="I7369" s="131"/>
      <c r="J7369" s="132"/>
      <c r="K7369" s="130"/>
      <c r="L7369" s="133"/>
    </row>
    <row r="7370" spans="1:12" hidden="1" x14ac:dyDescent="0.25">
      <c r="A7370" s="130"/>
      <c r="B7370" s="130"/>
      <c r="C7370" s="132"/>
      <c r="D7370" s="129"/>
      <c r="E7370" s="129"/>
      <c r="F7370" s="129"/>
      <c r="G7370" s="129"/>
      <c r="H7370" s="129"/>
      <c r="I7370" s="131"/>
      <c r="J7370" s="132"/>
      <c r="K7370" s="130"/>
      <c r="L7370" s="133"/>
    </row>
    <row r="7371" spans="1:12" hidden="1" x14ac:dyDescent="0.25">
      <c r="A7371" s="130"/>
      <c r="B7371" s="130"/>
      <c r="C7371" s="132"/>
      <c r="D7371" s="129"/>
      <c r="E7371" s="129"/>
      <c r="F7371" s="129"/>
      <c r="G7371" s="129"/>
      <c r="H7371" s="129"/>
      <c r="I7371" s="131"/>
      <c r="J7371" s="132"/>
      <c r="K7371" s="130"/>
      <c r="L7371" s="133"/>
    </row>
    <row r="7372" spans="1:12" hidden="1" x14ac:dyDescent="0.25">
      <c r="A7372" s="130"/>
      <c r="B7372" s="130"/>
      <c r="C7372" s="132"/>
      <c r="D7372" s="129"/>
      <c r="E7372" s="129"/>
      <c r="F7372" s="129"/>
      <c r="G7372" s="129"/>
      <c r="H7372" s="129"/>
      <c r="I7372" s="131"/>
      <c r="J7372" s="132"/>
      <c r="K7372" s="130"/>
      <c r="L7372" s="133"/>
    </row>
    <row r="7373" spans="1:12" hidden="1" x14ac:dyDescent="0.25">
      <c r="A7373" s="130"/>
      <c r="B7373" s="130"/>
      <c r="C7373" s="132"/>
      <c r="D7373" s="129"/>
      <c r="E7373" s="129"/>
      <c r="F7373" s="129"/>
      <c r="G7373" s="129"/>
      <c r="H7373" s="129"/>
      <c r="I7373" s="131"/>
      <c r="J7373" s="132"/>
      <c r="K7373" s="130"/>
      <c r="L7373" s="133"/>
    </row>
    <row r="7374" spans="1:12" hidden="1" x14ac:dyDescent="0.25">
      <c r="A7374" s="130"/>
      <c r="B7374" s="130"/>
      <c r="C7374" s="132"/>
      <c r="D7374" s="129"/>
      <c r="E7374" s="129"/>
      <c r="F7374" s="129"/>
      <c r="G7374" s="129"/>
      <c r="H7374" s="129"/>
      <c r="I7374" s="131"/>
      <c r="J7374" s="132"/>
      <c r="K7374" s="130"/>
      <c r="L7374" s="133"/>
    </row>
    <row r="7375" spans="1:12" hidden="1" x14ac:dyDescent="0.25">
      <c r="A7375" s="130"/>
      <c r="B7375" s="130"/>
      <c r="C7375" s="132"/>
      <c r="D7375" s="129"/>
      <c r="E7375" s="129"/>
      <c r="F7375" s="129"/>
      <c r="G7375" s="129"/>
      <c r="H7375" s="129"/>
      <c r="I7375" s="131"/>
      <c r="J7375" s="132"/>
      <c r="K7375" s="130"/>
      <c r="L7375" s="133"/>
    </row>
    <row r="7376" spans="1:12" hidden="1" x14ac:dyDescent="0.25">
      <c r="A7376" s="130"/>
      <c r="B7376" s="130"/>
      <c r="C7376" s="132"/>
      <c r="D7376" s="129"/>
      <c r="E7376" s="129"/>
      <c r="F7376" s="129"/>
      <c r="G7376" s="129"/>
      <c r="H7376" s="129"/>
      <c r="I7376" s="131"/>
      <c r="J7376" s="132"/>
      <c r="K7376" s="130"/>
      <c r="L7376" s="133"/>
    </row>
    <row r="7377" spans="1:12" hidden="1" x14ac:dyDescent="0.25">
      <c r="A7377" s="130"/>
      <c r="B7377" s="130"/>
      <c r="C7377" s="132"/>
      <c r="D7377" s="129"/>
      <c r="E7377" s="129"/>
      <c r="F7377" s="129"/>
      <c r="G7377" s="129"/>
      <c r="H7377" s="129"/>
      <c r="I7377" s="131"/>
      <c r="J7377" s="132"/>
      <c r="K7377" s="130"/>
      <c r="L7377" s="133"/>
    </row>
    <row r="7378" spans="1:12" hidden="1" x14ac:dyDescent="0.25">
      <c r="A7378" s="130"/>
      <c r="B7378" s="130"/>
      <c r="C7378" s="132"/>
      <c r="D7378" s="129"/>
      <c r="E7378" s="129"/>
      <c r="F7378" s="129"/>
      <c r="G7378" s="129"/>
      <c r="H7378" s="129"/>
      <c r="I7378" s="131"/>
      <c r="J7378" s="132"/>
      <c r="K7378" s="130"/>
      <c r="L7378" s="133"/>
    </row>
    <row r="7379" spans="1:12" hidden="1" x14ac:dyDescent="0.25">
      <c r="A7379" s="130"/>
      <c r="B7379" s="130"/>
      <c r="C7379" s="132"/>
      <c r="D7379" s="129"/>
      <c r="E7379" s="129"/>
      <c r="F7379" s="129"/>
      <c r="G7379" s="129"/>
      <c r="H7379" s="129"/>
      <c r="I7379" s="131"/>
      <c r="J7379" s="132"/>
      <c r="K7379" s="130"/>
      <c r="L7379" s="133"/>
    </row>
    <row r="7380" spans="1:12" hidden="1" x14ac:dyDescent="0.25">
      <c r="A7380" s="130"/>
      <c r="B7380" s="130"/>
      <c r="C7380" s="132"/>
      <c r="D7380" s="129"/>
      <c r="E7380" s="129"/>
      <c r="F7380" s="129"/>
      <c r="G7380" s="129"/>
      <c r="H7380" s="129"/>
      <c r="I7380" s="131"/>
      <c r="J7380" s="132"/>
      <c r="K7380" s="130"/>
      <c r="L7380" s="133"/>
    </row>
    <row r="7381" spans="1:12" hidden="1" x14ac:dyDescent="0.25">
      <c r="A7381" s="130"/>
      <c r="B7381" s="130"/>
      <c r="C7381" s="132"/>
      <c r="D7381" s="129"/>
      <c r="E7381" s="129"/>
      <c r="F7381" s="129"/>
      <c r="G7381" s="129"/>
      <c r="H7381" s="129"/>
      <c r="I7381" s="131"/>
      <c r="J7381" s="132"/>
      <c r="K7381" s="130"/>
      <c r="L7381" s="133"/>
    </row>
    <row r="7382" spans="1:12" hidden="1" x14ac:dyDescent="0.25">
      <c r="A7382" s="130"/>
      <c r="B7382" s="130"/>
      <c r="C7382" s="132"/>
      <c r="D7382" s="129"/>
      <c r="E7382" s="129"/>
      <c r="F7382" s="129"/>
      <c r="G7382" s="129"/>
      <c r="H7382" s="129"/>
      <c r="I7382" s="131"/>
      <c r="J7382" s="132"/>
      <c r="K7382" s="130"/>
      <c r="L7382" s="133"/>
    </row>
    <row r="7383" spans="1:12" hidden="1" x14ac:dyDescent="0.25">
      <c r="A7383" s="130"/>
      <c r="B7383" s="130"/>
      <c r="C7383" s="132"/>
      <c r="D7383" s="129"/>
      <c r="E7383" s="129"/>
      <c r="F7383" s="129"/>
      <c r="G7383" s="129"/>
      <c r="H7383" s="129"/>
      <c r="I7383" s="131"/>
      <c r="J7383" s="132"/>
      <c r="K7383" s="130"/>
      <c r="L7383" s="133"/>
    </row>
    <row r="7384" spans="1:12" hidden="1" x14ac:dyDescent="0.25">
      <c r="A7384" s="130"/>
      <c r="B7384" s="130"/>
      <c r="C7384" s="132"/>
      <c r="D7384" s="129"/>
      <c r="E7384" s="129"/>
      <c r="F7384" s="129"/>
      <c r="G7384" s="129"/>
      <c r="H7384" s="129"/>
      <c r="I7384" s="131"/>
      <c r="J7384" s="132"/>
      <c r="K7384" s="130"/>
      <c r="L7384" s="133"/>
    </row>
    <row r="7385" spans="1:12" hidden="1" x14ac:dyDescent="0.25">
      <c r="A7385" s="130"/>
      <c r="B7385" s="130"/>
      <c r="C7385" s="132"/>
      <c r="D7385" s="129"/>
      <c r="E7385" s="129"/>
      <c r="F7385" s="129"/>
      <c r="G7385" s="129"/>
      <c r="H7385" s="129"/>
      <c r="I7385" s="131"/>
      <c r="J7385" s="132"/>
      <c r="K7385" s="130"/>
      <c r="L7385" s="133"/>
    </row>
    <row r="7386" spans="1:12" hidden="1" x14ac:dyDescent="0.25">
      <c r="A7386" s="130"/>
      <c r="B7386" s="130"/>
      <c r="C7386" s="132"/>
      <c r="D7386" s="129"/>
      <c r="E7386" s="129"/>
      <c r="F7386" s="129"/>
      <c r="G7386" s="129"/>
      <c r="H7386" s="129"/>
      <c r="I7386" s="131"/>
      <c r="J7386" s="132"/>
      <c r="K7386" s="130"/>
      <c r="L7386" s="133"/>
    </row>
    <row r="7387" spans="1:12" hidden="1" x14ac:dyDescent="0.25">
      <c r="A7387" s="130"/>
      <c r="B7387" s="130"/>
      <c r="C7387" s="132"/>
      <c r="D7387" s="129"/>
      <c r="E7387" s="129"/>
      <c r="F7387" s="129"/>
      <c r="G7387" s="129"/>
      <c r="H7387" s="129"/>
      <c r="I7387" s="131"/>
      <c r="J7387" s="132"/>
      <c r="K7387" s="130"/>
      <c r="L7387" s="133"/>
    </row>
    <row r="7388" spans="1:12" hidden="1" x14ac:dyDescent="0.25">
      <c r="A7388" s="130"/>
      <c r="B7388" s="130"/>
      <c r="C7388" s="132"/>
      <c r="D7388" s="129"/>
      <c r="E7388" s="129"/>
      <c r="F7388" s="129"/>
      <c r="G7388" s="129"/>
      <c r="H7388" s="129"/>
      <c r="I7388" s="131"/>
      <c r="J7388" s="132"/>
      <c r="K7388" s="130"/>
      <c r="L7388" s="133"/>
    </row>
    <row r="7389" spans="1:12" hidden="1" x14ac:dyDescent="0.25">
      <c r="A7389" s="130"/>
      <c r="B7389" s="130"/>
      <c r="C7389" s="132"/>
      <c r="D7389" s="129"/>
      <c r="E7389" s="129"/>
      <c r="F7389" s="129"/>
      <c r="G7389" s="129"/>
      <c r="H7389" s="129"/>
      <c r="I7389" s="131"/>
      <c r="J7389" s="132"/>
      <c r="K7389" s="130"/>
      <c r="L7389" s="133"/>
    </row>
    <row r="7390" spans="1:12" hidden="1" x14ac:dyDescent="0.25">
      <c r="A7390" s="130"/>
      <c r="B7390" s="130"/>
      <c r="C7390" s="132"/>
      <c r="D7390" s="129"/>
      <c r="E7390" s="129"/>
      <c r="F7390" s="129"/>
      <c r="G7390" s="129"/>
      <c r="H7390" s="129"/>
      <c r="I7390" s="131"/>
      <c r="J7390" s="132"/>
      <c r="K7390" s="130"/>
      <c r="L7390" s="133"/>
    </row>
    <row r="7391" spans="1:12" hidden="1" x14ac:dyDescent="0.25">
      <c r="A7391" s="130"/>
      <c r="B7391" s="130"/>
      <c r="C7391" s="132"/>
      <c r="D7391" s="129"/>
      <c r="E7391" s="129"/>
      <c r="F7391" s="129"/>
      <c r="G7391" s="129"/>
      <c r="H7391" s="129"/>
      <c r="I7391" s="131"/>
      <c r="J7391" s="132"/>
      <c r="K7391" s="130"/>
      <c r="L7391" s="133"/>
    </row>
    <row r="7392" spans="1:12" hidden="1" x14ac:dyDescent="0.25">
      <c r="A7392" s="130"/>
      <c r="B7392" s="130"/>
      <c r="C7392" s="132"/>
      <c r="D7392" s="129"/>
      <c r="E7392" s="129"/>
      <c r="F7392" s="129"/>
      <c r="G7392" s="129"/>
      <c r="H7392" s="129"/>
      <c r="I7392" s="131"/>
      <c r="J7392" s="132"/>
      <c r="K7392" s="130"/>
      <c r="L7392" s="133"/>
    </row>
    <row r="7393" spans="1:12" hidden="1" x14ac:dyDescent="0.25">
      <c r="A7393" s="130"/>
      <c r="B7393" s="130"/>
      <c r="C7393" s="132"/>
      <c r="D7393" s="129"/>
      <c r="E7393" s="129"/>
      <c r="F7393" s="129"/>
      <c r="G7393" s="129"/>
      <c r="H7393" s="129"/>
      <c r="I7393" s="131"/>
      <c r="J7393" s="132"/>
      <c r="K7393" s="130"/>
      <c r="L7393" s="133"/>
    </row>
    <row r="7394" spans="1:12" hidden="1" x14ac:dyDescent="0.25">
      <c r="A7394" s="130"/>
      <c r="B7394" s="130"/>
      <c r="C7394" s="132"/>
      <c r="D7394" s="129"/>
      <c r="E7394" s="129"/>
      <c r="F7394" s="129"/>
      <c r="G7394" s="129"/>
      <c r="H7394" s="129"/>
      <c r="I7394" s="131"/>
      <c r="J7394" s="132"/>
      <c r="K7394" s="130"/>
      <c r="L7394" s="133"/>
    </row>
    <row r="7395" spans="1:12" hidden="1" x14ac:dyDescent="0.25">
      <c r="A7395" s="130"/>
      <c r="B7395" s="130"/>
      <c r="C7395" s="132"/>
      <c r="D7395" s="129"/>
      <c r="E7395" s="129"/>
      <c r="F7395" s="129"/>
      <c r="G7395" s="129"/>
      <c r="H7395" s="129"/>
      <c r="I7395" s="131"/>
      <c r="J7395" s="132"/>
      <c r="K7395" s="130"/>
      <c r="L7395" s="133"/>
    </row>
    <row r="7396" spans="1:12" hidden="1" x14ac:dyDescent="0.25">
      <c r="A7396" s="130"/>
      <c r="B7396" s="130"/>
      <c r="C7396" s="132"/>
      <c r="D7396" s="129"/>
      <c r="E7396" s="129"/>
      <c r="F7396" s="129"/>
      <c r="G7396" s="129"/>
      <c r="H7396" s="129"/>
      <c r="I7396" s="131"/>
      <c r="J7396" s="132"/>
      <c r="K7396" s="130"/>
      <c r="L7396" s="133"/>
    </row>
    <row r="7397" spans="1:12" hidden="1" x14ac:dyDescent="0.25">
      <c r="A7397" s="130"/>
      <c r="B7397" s="130"/>
      <c r="C7397" s="132"/>
      <c r="D7397" s="129"/>
      <c r="E7397" s="129"/>
      <c r="F7397" s="129"/>
      <c r="G7397" s="129"/>
      <c r="H7397" s="129"/>
      <c r="I7397" s="131"/>
      <c r="J7397" s="132"/>
      <c r="K7397" s="130"/>
      <c r="L7397" s="133"/>
    </row>
    <row r="7398" spans="1:12" hidden="1" x14ac:dyDescent="0.25">
      <c r="A7398" s="130"/>
      <c r="B7398" s="130"/>
      <c r="C7398" s="132"/>
      <c r="D7398" s="129"/>
      <c r="E7398" s="129"/>
      <c r="F7398" s="129"/>
      <c r="G7398" s="129"/>
      <c r="H7398" s="129"/>
      <c r="I7398" s="131"/>
      <c r="J7398" s="132"/>
      <c r="K7398" s="130"/>
      <c r="L7398" s="133"/>
    </row>
    <row r="7399" spans="1:12" hidden="1" x14ac:dyDescent="0.25">
      <c r="A7399" s="130"/>
      <c r="B7399" s="130"/>
      <c r="C7399" s="132"/>
      <c r="D7399" s="129"/>
      <c r="E7399" s="129"/>
      <c r="F7399" s="129"/>
      <c r="G7399" s="129"/>
      <c r="H7399" s="129"/>
      <c r="I7399" s="131"/>
      <c r="J7399" s="132"/>
      <c r="K7399" s="130"/>
      <c r="L7399" s="133"/>
    </row>
    <row r="7400" spans="1:12" hidden="1" x14ac:dyDescent="0.25">
      <c r="A7400" s="130"/>
      <c r="B7400" s="130"/>
      <c r="C7400" s="132"/>
      <c r="D7400" s="129"/>
      <c r="E7400" s="129"/>
      <c r="F7400" s="129"/>
      <c r="G7400" s="129"/>
      <c r="H7400" s="129"/>
      <c r="I7400" s="131"/>
      <c r="J7400" s="132"/>
      <c r="K7400" s="130"/>
      <c r="L7400" s="133"/>
    </row>
    <row r="7401" spans="1:12" hidden="1" x14ac:dyDescent="0.25">
      <c r="A7401" s="130"/>
      <c r="B7401" s="130"/>
      <c r="C7401" s="132"/>
      <c r="D7401" s="129"/>
      <c r="E7401" s="129"/>
      <c r="F7401" s="129"/>
      <c r="G7401" s="129"/>
      <c r="H7401" s="129"/>
      <c r="I7401" s="131"/>
      <c r="J7401" s="132"/>
      <c r="K7401" s="130"/>
      <c r="L7401" s="133"/>
    </row>
    <row r="7402" spans="1:12" hidden="1" x14ac:dyDescent="0.25">
      <c r="A7402" s="130"/>
      <c r="B7402" s="130"/>
      <c r="C7402" s="132"/>
      <c r="D7402" s="129"/>
      <c r="E7402" s="129"/>
      <c r="F7402" s="129"/>
      <c r="G7402" s="129"/>
      <c r="H7402" s="129"/>
      <c r="I7402" s="131"/>
      <c r="J7402" s="132"/>
      <c r="K7402" s="130"/>
      <c r="L7402" s="133"/>
    </row>
    <row r="7403" spans="1:12" hidden="1" x14ac:dyDescent="0.25">
      <c r="A7403" s="130"/>
      <c r="B7403" s="130"/>
      <c r="C7403" s="132"/>
      <c r="D7403" s="129"/>
      <c r="E7403" s="129"/>
      <c r="F7403" s="129"/>
      <c r="G7403" s="129"/>
      <c r="H7403" s="129"/>
      <c r="I7403" s="131"/>
      <c r="J7403" s="132"/>
      <c r="K7403" s="130"/>
      <c r="L7403" s="133"/>
    </row>
    <row r="7404" spans="1:12" hidden="1" x14ac:dyDescent="0.25">
      <c r="A7404" s="130"/>
      <c r="B7404" s="130"/>
      <c r="C7404" s="132"/>
      <c r="D7404" s="129"/>
      <c r="E7404" s="129"/>
      <c r="F7404" s="129"/>
      <c r="G7404" s="129"/>
      <c r="H7404" s="129"/>
      <c r="I7404" s="131"/>
      <c r="J7404" s="132"/>
      <c r="K7404" s="130"/>
      <c r="L7404" s="133"/>
    </row>
    <row r="7405" spans="1:12" hidden="1" x14ac:dyDescent="0.25">
      <c r="A7405" s="130"/>
      <c r="B7405" s="130"/>
      <c r="C7405" s="132"/>
      <c r="D7405" s="129"/>
      <c r="E7405" s="129"/>
      <c r="F7405" s="129"/>
      <c r="G7405" s="129"/>
      <c r="H7405" s="129"/>
      <c r="I7405" s="131"/>
      <c r="J7405" s="132"/>
      <c r="K7405" s="130"/>
      <c r="L7405" s="133"/>
    </row>
    <row r="7406" spans="1:12" hidden="1" x14ac:dyDescent="0.25">
      <c r="A7406" s="130"/>
      <c r="B7406" s="130"/>
      <c r="C7406" s="132"/>
      <c r="D7406" s="129"/>
      <c r="E7406" s="129"/>
      <c r="F7406" s="129"/>
      <c r="G7406" s="129"/>
      <c r="H7406" s="129"/>
      <c r="I7406" s="131"/>
      <c r="J7406" s="132"/>
      <c r="K7406" s="130"/>
      <c r="L7406" s="133"/>
    </row>
    <row r="7407" spans="1:12" hidden="1" x14ac:dyDescent="0.25">
      <c r="A7407" s="130"/>
      <c r="B7407" s="130"/>
      <c r="C7407" s="132"/>
      <c r="D7407" s="129"/>
      <c r="E7407" s="129"/>
      <c r="F7407" s="129"/>
      <c r="G7407" s="129"/>
      <c r="H7407" s="129"/>
      <c r="I7407" s="131"/>
      <c r="J7407" s="132"/>
      <c r="K7407" s="130"/>
      <c r="L7407" s="133"/>
    </row>
    <row r="7408" spans="1:12" hidden="1" x14ac:dyDescent="0.25">
      <c r="A7408" s="130"/>
      <c r="B7408" s="130"/>
      <c r="C7408" s="132"/>
      <c r="D7408" s="129"/>
      <c r="E7408" s="129"/>
      <c r="F7408" s="129"/>
      <c r="G7408" s="129"/>
      <c r="H7408" s="129"/>
      <c r="I7408" s="131"/>
      <c r="J7408" s="132"/>
      <c r="K7408" s="130"/>
      <c r="L7408" s="133"/>
    </row>
    <row r="7409" spans="1:12" hidden="1" x14ac:dyDescent="0.25">
      <c r="A7409" s="130"/>
      <c r="B7409" s="130"/>
      <c r="C7409" s="132"/>
      <c r="D7409" s="129"/>
      <c r="E7409" s="129"/>
      <c r="F7409" s="129"/>
      <c r="G7409" s="129"/>
      <c r="H7409" s="129"/>
      <c r="I7409" s="131"/>
      <c r="J7409" s="132"/>
      <c r="K7409" s="130"/>
      <c r="L7409" s="133"/>
    </row>
    <row r="7410" spans="1:12" hidden="1" x14ac:dyDescent="0.25">
      <c r="A7410" s="130"/>
      <c r="B7410" s="130"/>
      <c r="C7410" s="132"/>
      <c r="D7410" s="129"/>
      <c r="E7410" s="129"/>
      <c r="F7410" s="129"/>
      <c r="G7410" s="129"/>
      <c r="H7410" s="129"/>
      <c r="I7410" s="131"/>
      <c r="J7410" s="132"/>
      <c r="K7410" s="130"/>
      <c r="L7410" s="133"/>
    </row>
    <row r="7411" spans="1:12" hidden="1" x14ac:dyDescent="0.25">
      <c r="A7411" s="130"/>
      <c r="B7411" s="130"/>
      <c r="C7411" s="132"/>
      <c r="D7411" s="129"/>
      <c r="E7411" s="129"/>
      <c r="F7411" s="129"/>
      <c r="G7411" s="129"/>
      <c r="H7411" s="129"/>
      <c r="I7411" s="131"/>
      <c r="J7411" s="132"/>
      <c r="K7411" s="130"/>
      <c r="L7411" s="133"/>
    </row>
    <row r="7412" spans="1:12" hidden="1" x14ac:dyDescent="0.25">
      <c r="A7412" s="130"/>
      <c r="B7412" s="130"/>
      <c r="C7412" s="132"/>
      <c r="D7412" s="129"/>
      <c r="E7412" s="129"/>
      <c r="F7412" s="129"/>
      <c r="G7412" s="129"/>
      <c r="H7412" s="129"/>
      <c r="I7412" s="131"/>
      <c r="J7412" s="132"/>
      <c r="K7412" s="130"/>
      <c r="L7412" s="133"/>
    </row>
    <row r="7413" spans="1:12" hidden="1" x14ac:dyDescent="0.25">
      <c r="A7413" s="130"/>
      <c r="B7413" s="130"/>
      <c r="C7413" s="132"/>
      <c r="D7413" s="129"/>
      <c r="E7413" s="129"/>
      <c r="F7413" s="129"/>
      <c r="G7413" s="129"/>
      <c r="H7413" s="129"/>
      <c r="I7413" s="131"/>
      <c r="J7413" s="132"/>
      <c r="K7413" s="130"/>
      <c r="L7413" s="133"/>
    </row>
    <row r="7414" spans="1:12" hidden="1" x14ac:dyDescent="0.25">
      <c r="A7414" s="130"/>
      <c r="B7414" s="130"/>
      <c r="C7414" s="132"/>
      <c r="D7414" s="129"/>
      <c r="E7414" s="129"/>
      <c r="F7414" s="129"/>
      <c r="G7414" s="129"/>
      <c r="H7414" s="129"/>
      <c r="I7414" s="131"/>
      <c r="J7414" s="132"/>
      <c r="K7414" s="130"/>
      <c r="L7414" s="133"/>
    </row>
    <row r="7415" spans="1:12" hidden="1" x14ac:dyDescent="0.25">
      <c r="A7415" s="130"/>
      <c r="B7415" s="130"/>
      <c r="C7415" s="132"/>
      <c r="D7415" s="129"/>
      <c r="E7415" s="129"/>
      <c r="F7415" s="129"/>
      <c r="G7415" s="129"/>
      <c r="H7415" s="129"/>
      <c r="I7415" s="131"/>
      <c r="J7415" s="132"/>
      <c r="K7415" s="130"/>
      <c r="L7415" s="133"/>
    </row>
    <row r="7416" spans="1:12" hidden="1" x14ac:dyDescent="0.25">
      <c r="A7416" s="130"/>
      <c r="B7416" s="130"/>
      <c r="C7416" s="132"/>
      <c r="D7416" s="129"/>
      <c r="E7416" s="129"/>
      <c r="F7416" s="129"/>
      <c r="G7416" s="129"/>
      <c r="H7416" s="129"/>
      <c r="I7416" s="131"/>
      <c r="J7416" s="132"/>
      <c r="K7416" s="130"/>
      <c r="L7416" s="133"/>
    </row>
    <row r="7417" spans="1:12" hidden="1" x14ac:dyDescent="0.25">
      <c r="A7417" s="130"/>
      <c r="B7417" s="130"/>
      <c r="C7417" s="132"/>
      <c r="D7417" s="129"/>
      <c r="E7417" s="129"/>
      <c r="F7417" s="129"/>
      <c r="G7417" s="129"/>
      <c r="H7417" s="129"/>
      <c r="I7417" s="131"/>
      <c r="J7417" s="132"/>
      <c r="K7417" s="130"/>
      <c r="L7417" s="133"/>
    </row>
    <row r="7418" spans="1:12" hidden="1" x14ac:dyDescent="0.25">
      <c r="A7418" s="130"/>
      <c r="B7418" s="130"/>
      <c r="C7418" s="132"/>
      <c r="D7418" s="129"/>
      <c r="E7418" s="129"/>
      <c r="F7418" s="129"/>
      <c r="G7418" s="129"/>
      <c r="H7418" s="129"/>
      <c r="I7418" s="131"/>
      <c r="J7418" s="132"/>
      <c r="K7418" s="130"/>
      <c r="L7418" s="133"/>
    </row>
    <row r="7419" spans="1:12" hidden="1" x14ac:dyDescent="0.25">
      <c r="A7419" s="130"/>
      <c r="B7419" s="130"/>
      <c r="C7419" s="132"/>
      <c r="D7419" s="129"/>
      <c r="E7419" s="129"/>
      <c r="F7419" s="129"/>
      <c r="G7419" s="129"/>
      <c r="H7419" s="129"/>
      <c r="I7419" s="131"/>
      <c r="J7419" s="132"/>
      <c r="K7419" s="130"/>
      <c r="L7419" s="133"/>
    </row>
    <row r="7420" spans="1:12" hidden="1" x14ac:dyDescent="0.25">
      <c r="A7420" s="130"/>
      <c r="B7420" s="130"/>
      <c r="C7420" s="132"/>
      <c r="D7420" s="129"/>
      <c r="E7420" s="129"/>
      <c r="F7420" s="129"/>
      <c r="G7420" s="129"/>
      <c r="H7420" s="129"/>
      <c r="I7420" s="131"/>
      <c r="J7420" s="132"/>
      <c r="K7420" s="130"/>
      <c r="L7420" s="133"/>
    </row>
    <row r="7421" spans="1:12" hidden="1" x14ac:dyDescent="0.25">
      <c r="A7421" s="130"/>
      <c r="B7421" s="130"/>
      <c r="C7421" s="132"/>
      <c r="D7421" s="129"/>
      <c r="E7421" s="129"/>
      <c r="F7421" s="129"/>
      <c r="G7421" s="129"/>
      <c r="H7421" s="129"/>
      <c r="I7421" s="131"/>
      <c r="J7421" s="132"/>
      <c r="K7421" s="130"/>
      <c r="L7421" s="133"/>
    </row>
    <row r="7422" spans="1:12" hidden="1" x14ac:dyDescent="0.25">
      <c r="A7422" s="130"/>
      <c r="B7422" s="130"/>
      <c r="C7422" s="132"/>
      <c r="D7422" s="129"/>
      <c r="E7422" s="129"/>
      <c r="F7422" s="129"/>
      <c r="G7422" s="129"/>
      <c r="H7422" s="129"/>
      <c r="I7422" s="131"/>
      <c r="J7422" s="132"/>
      <c r="K7422" s="130"/>
      <c r="L7422" s="133"/>
    </row>
    <row r="7423" spans="1:12" hidden="1" x14ac:dyDescent="0.25">
      <c r="A7423" s="130"/>
      <c r="B7423" s="130"/>
      <c r="C7423" s="132"/>
      <c r="D7423" s="129"/>
      <c r="E7423" s="129"/>
      <c r="F7423" s="129"/>
      <c r="G7423" s="129"/>
      <c r="H7423" s="129"/>
      <c r="I7423" s="131"/>
      <c r="J7423" s="132"/>
      <c r="K7423" s="130"/>
      <c r="L7423" s="133"/>
    </row>
    <row r="7424" spans="1:12" hidden="1" x14ac:dyDescent="0.25">
      <c r="A7424" s="130"/>
      <c r="B7424" s="130"/>
      <c r="C7424" s="132"/>
      <c r="D7424" s="129"/>
      <c r="E7424" s="129"/>
      <c r="F7424" s="129"/>
      <c r="G7424" s="129"/>
      <c r="H7424" s="129"/>
      <c r="I7424" s="131"/>
      <c r="J7424" s="132"/>
      <c r="K7424" s="130"/>
      <c r="L7424" s="133"/>
    </row>
    <row r="7425" spans="1:12" hidden="1" x14ac:dyDescent="0.25">
      <c r="A7425" s="130"/>
      <c r="B7425" s="130"/>
      <c r="C7425" s="132"/>
      <c r="D7425" s="129"/>
      <c r="E7425" s="129"/>
      <c r="F7425" s="129"/>
      <c r="G7425" s="129"/>
      <c r="H7425" s="129"/>
      <c r="I7425" s="131"/>
      <c r="J7425" s="132"/>
      <c r="K7425" s="130"/>
      <c r="L7425" s="133"/>
    </row>
    <row r="7426" spans="1:12" hidden="1" x14ac:dyDescent="0.25">
      <c r="A7426" s="130"/>
      <c r="B7426" s="130"/>
      <c r="C7426" s="132"/>
      <c r="D7426" s="129"/>
      <c r="E7426" s="129"/>
      <c r="F7426" s="129"/>
      <c r="G7426" s="129"/>
      <c r="H7426" s="129"/>
      <c r="I7426" s="131"/>
      <c r="J7426" s="132"/>
      <c r="K7426" s="130"/>
      <c r="L7426" s="133"/>
    </row>
    <row r="7427" spans="1:12" hidden="1" x14ac:dyDescent="0.25">
      <c r="A7427" s="130"/>
      <c r="B7427" s="130"/>
      <c r="C7427" s="132"/>
      <c r="D7427" s="129"/>
      <c r="E7427" s="129"/>
      <c r="F7427" s="129"/>
      <c r="G7427" s="129"/>
      <c r="H7427" s="129"/>
      <c r="I7427" s="131"/>
      <c r="J7427" s="132"/>
      <c r="K7427" s="130"/>
      <c r="L7427" s="133"/>
    </row>
    <row r="7428" spans="1:12" hidden="1" x14ac:dyDescent="0.25">
      <c r="A7428" s="130"/>
      <c r="B7428" s="130"/>
      <c r="C7428" s="132"/>
      <c r="D7428" s="129"/>
      <c r="E7428" s="129"/>
      <c r="F7428" s="129"/>
      <c r="G7428" s="129"/>
      <c r="H7428" s="129"/>
      <c r="I7428" s="131"/>
      <c r="J7428" s="132"/>
      <c r="K7428" s="130"/>
      <c r="L7428" s="133"/>
    </row>
    <row r="7429" spans="1:12" hidden="1" x14ac:dyDescent="0.25">
      <c r="A7429" s="130"/>
      <c r="B7429" s="130"/>
      <c r="C7429" s="132"/>
      <c r="D7429" s="129"/>
      <c r="E7429" s="129"/>
      <c r="F7429" s="129"/>
      <c r="G7429" s="129"/>
      <c r="H7429" s="129"/>
      <c r="I7429" s="131"/>
      <c r="J7429" s="132"/>
      <c r="K7429" s="130"/>
      <c r="L7429" s="133"/>
    </row>
    <row r="7430" spans="1:12" hidden="1" x14ac:dyDescent="0.25">
      <c r="A7430" s="130"/>
      <c r="B7430" s="130"/>
      <c r="C7430" s="132"/>
      <c r="D7430" s="129"/>
      <c r="E7430" s="129"/>
      <c r="F7430" s="129"/>
      <c r="G7430" s="129"/>
      <c r="H7430" s="129"/>
      <c r="I7430" s="131"/>
      <c r="J7430" s="132"/>
      <c r="K7430" s="130"/>
      <c r="L7430" s="133"/>
    </row>
    <row r="7431" spans="1:12" hidden="1" x14ac:dyDescent="0.25">
      <c r="A7431" s="130"/>
      <c r="B7431" s="130"/>
      <c r="C7431" s="132"/>
      <c r="D7431" s="129"/>
      <c r="E7431" s="129"/>
      <c r="F7431" s="129"/>
      <c r="G7431" s="129"/>
      <c r="H7431" s="129"/>
      <c r="I7431" s="131"/>
      <c r="J7431" s="132"/>
      <c r="K7431" s="130"/>
      <c r="L7431" s="133"/>
    </row>
    <row r="7432" spans="1:12" hidden="1" x14ac:dyDescent="0.25">
      <c r="A7432" s="130"/>
      <c r="B7432" s="130"/>
      <c r="C7432" s="132"/>
      <c r="D7432" s="129"/>
      <c r="E7432" s="129"/>
      <c r="F7432" s="129"/>
      <c r="G7432" s="129"/>
      <c r="H7432" s="129"/>
      <c r="I7432" s="131"/>
      <c r="J7432" s="132"/>
      <c r="K7432" s="130"/>
      <c r="L7432" s="133"/>
    </row>
    <row r="7433" spans="1:12" hidden="1" x14ac:dyDescent="0.25">
      <c r="A7433" s="130"/>
      <c r="B7433" s="130"/>
      <c r="C7433" s="132"/>
      <c r="D7433" s="129"/>
      <c r="E7433" s="129"/>
      <c r="F7433" s="129"/>
      <c r="G7433" s="129"/>
      <c r="H7433" s="129"/>
      <c r="I7433" s="131"/>
      <c r="J7433" s="132"/>
      <c r="K7433" s="130"/>
      <c r="L7433" s="133"/>
    </row>
    <row r="7434" spans="1:12" hidden="1" x14ac:dyDescent="0.25">
      <c r="A7434" s="130"/>
      <c r="B7434" s="130"/>
      <c r="C7434" s="132"/>
      <c r="D7434" s="129"/>
      <c r="E7434" s="129"/>
      <c r="F7434" s="129"/>
      <c r="G7434" s="129"/>
      <c r="H7434" s="129"/>
      <c r="I7434" s="131"/>
      <c r="J7434" s="132"/>
      <c r="K7434" s="130"/>
      <c r="L7434" s="133"/>
    </row>
    <row r="7435" spans="1:12" hidden="1" x14ac:dyDescent="0.25">
      <c r="A7435" s="130"/>
      <c r="B7435" s="130"/>
      <c r="C7435" s="132"/>
      <c r="D7435" s="129"/>
      <c r="E7435" s="129"/>
      <c r="F7435" s="129"/>
      <c r="G7435" s="129"/>
      <c r="H7435" s="129"/>
      <c r="I7435" s="131"/>
      <c r="J7435" s="132"/>
      <c r="K7435" s="130"/>
      <c r="L7435" s="133"/>
    </row>
    <row r="7436" spans="1:12" hidden="1" x14ac:dyDescent="0.25">
      <c r="A7436" s="130"/>
      <c r="B7436" s="130"/>
      <c r="C7436" s="132"/>
      <c r="D7436" s="129"/>
      <c r="E7436" s="129"/>
      <c r="F7436" s="129"/>
      <c r="G7436" s="129"/>
      <c r="H7436" s="129"/>
      <c r="I7436" s="131"/>
      <c r="J7436" s="132"/>
      <c r="K7436" s="130"/>
      <c r="L7436" s="133"/>
    </row>
    <row r="7437" spans="1:12" hidden="1" x14ac:dyDescent="0.25">
      <c r="A7437" s="130"/>
      <c r="B7437" s="130"/>
      <c r="C7437" s="132"/>
      <c r="D7437" s="129"/>
      <c r="E7437" s="129"/>
      <c r="F7437" s="129"/>
      <c r="G7437" s="129"/>
      <c r="H7437" s="129"/>
      <c r="I7437" s="131"/>
      <c r="J7437" s="132"/>
      <c r="K7437" s="130"/>
      <c r="L7437" s="133"/>
    </row>
    <row r="7438" spans="1:12" hidden="1" x14ac:dyDescent="0.25">
      <c r="A7438" s="130"/>
      <c r="B7438" s="130"/>
      <c r="C7438" s="132"/>
      <c r="D7438" s="129"/>
      <c r="E7438" s="129"/>
      <c r="F7438" s="129"/>
      <c r="G7438" s="129"/>
      <c r="H7438" s="129"/>
      <c r="I7438" s="131"/>
      <c r="J7438" s="132"/>
      <c r="K7438" s="130"/>
      <c r="L7438" s="133"/>
    </row>
    <row r="7439" spans="1:12" hidden="1" x14ac:dyDescent="0.25">
      <c r="A7439" s="130"/>
      <c r="B7439" s="130"/>
      <c r="C7439" s="132"/>
      <c r="D7439" s="129"/>
      <c r="E7439" s="129"/>
      <c r="F7439" s="129"/>
      <c r="G7439" s="129"/>
      <c r="H7439" s="129"/>
      <c r="I7439" s="131"/>
      <c r="J7439" s="132"/>
      <c r="K7439" s="130"/>
      <c r="L7439" s="133"/>
    </row>
    <row r="7440" spans="1:12" hidden="1" x14ac:dyDescent="0.25">
      <c r="A7440" s="130"/>
      <c r="B7440" s="130"/>
      <c r="C7440" s="132"/>
      <c r="D7440" s="129"/>
      <c r="E7440" s="129"/>
      <c r="F7440" s="129"/>
      <c r="G7440" s="129"/>
      <c r="H7440" s="129"/>
      <c r="I7440" s="131"/>
      <c r="J7440" s="132"/>
      <c r="K7440" s="130"/>
      <c r="L7440" s="133"/>
    </row>
    <row r="7441" spans="1:12" hidden="1" x14ac:dyDescent="0.25">
      <c r="A7441" s="130"/>
      <c r="B7441" s="130"/>
      <c r="C7441" s="132"/>
      <c r="D7441" s="129"/>
      <c r="E7441" s="129"/>
      <c r="F7441" s="129"/>
      <c r="G7441" s="129"/>
      <c r="H7441" s="129"/>
      <c r="I7441" s="131"/>
      <c r="J7441" s="132"/>
      <c r="K7441" s="130"/>
      <c r="L7441" s="133"/>
    </row>
    <row r="7442" spans="1:12" hidden="1" x14ac:dyDescent="0.25">
      <c r="A7442" s="130"/>
      <c r="B7442" s="130"/>
      <c r="C7442" s="132"/>
      <c r="D7442" s="129"/>
      <c r="E7442" s="129"/>
      <c r="F7442" s="129"/>
      <c r="G7442" s="129"/>
      <c r="H7442" s="129"/>
      <c r="I7442" s="131"/>
      <c r="J7442" s="132"/>
      <c r="K7442" s="130"/>
      <c r="L7442" s="133"/>
    </row>
    <row r="7443" spans="1:12" hidden="1" x14ac:dyDescent="0.25">
      <c r="A7443" s="130"/>
      <c r="B7443" s="130"/>
      <c r="C7443" s="132"/>
      <c r="D7443" s="129"/>
      <c r="E7443" s="129"/>
      <c r="F7443" s="129"/>
      <c r="G7443" s="129"/>
      <c r="H7443" s="129"/>
      <c r="I7443" s="131"/>
      <c r="J7443" s="132"/>
      <c r="K7443" s="130"/>
      <c r="L7443" s="133"/>
    </row>
    <row r="7444" spans="1:12" hidden="1" x14ac:dyDescent="0.25">
      <c r="A7444" s="130"/>
      <c r="B7444" s="130"/>
      <c r="C7444" s="132"/>
      <c r="D7444" s="129"/>
      <c r="E7444" s="129"/>
      <c r="F7444" s="129"/>
      <c r="G7444" s="129"/>
      <c r="H7444" s="129"/>
      <c r="I7444" s="131"/>
      <c r="J7444" s="132"/>
      <c r="K7444" s="130"/>
      <c r="L7444" s="133"/>
    </row>
    <row r="7445" spans="1:12" hidden="1" x14ac:dyDescent="0.25">
      <c r="A7445" s="130"/>
      <c r="B7445" s="130"/>
      <c r="C7445" s="132"/>
      <c r="D7445" s="129"/>
      <c r="E7445" s="129"/>
      <c r="F7445" s="129"/>
      <c r="G7445" s="129"/>
      <c r="H7445" s="129"/>
      <c r="I7445" s="131"/>
      <c r="J7445" s="132"/>
      <c r="K7445" s="130"/>
      <c r="L7445" s="133"/>
    </row>
    <row r="7446" spans="1:12" hidden="1" x14ac:dyDescent="0.25">
      <c r="A7446" s="130"/>
      <c r="B7446" s="130"/>
      <c r="C7446" s="132"/>
      <c r="D7446" s="129"/>
      <c r="E7446" s="129"/>
      <c r="F7446" s="129"/>
      <c r="G7446" s="129"/>
      <c r="H7446" s="129"/>
      <c r="I7446" s="131"/>
      <c r="J7446" s="132"/>
      <c r="K7446" s="130"/>
      <c r="L7446" s="133"/>
    </row>
    <row r="7447" spans="1:12" hidden="1" x14ac:dyDescent="0.25">
      <c r="A7447" s="130"/>
      <c r="B7447" s="130"/>
      <c r="C7447" s="132"/>
      <c r="D7447" s="129"/>
      <c r="E7447" s="129"/>
      <c r="F7447" s="129"/>
      <c r="G7447" s="129"/>
      <c r="H7447" s="129"/>
      <c r="I7447" s="131"/>
      <c r="J7447" s="132"/>
      <c r="K7447" s="130"/>
      <c r="L7447" s="133"/>
    </row>
    <row r="7448" spans="1:12" hidden="1" x14ac:dyDescent="0.25">
      <c r="A7448" s="130"/>
      <c r="B7448" s="130"/>
      <c r="C7448" s="132"/>
      <c r="D7448" s="129"/>
      <c r="E7448" s="129"/>
      <c r="F7448" s="129"/>
      <c r="G7448" s="129"/>
      <c r="H7448" s="129"/>
      <c r="I7448" s="131"/>
      <c r="J7448" s="132"/>
      <c r="K7448" s="130"/>
      <c r="L7448" s="133"/>
    </row>
    <row r="7449" spans="1:12" hidden="1" x14ac:dyDescent="0.25">
      <c r="A7449" s="130"/>
      <c r="B7449" s="130"/>
      <c r="C7449" s="132"/>
      <c r="D7449" s="129"/>
      <c r="E7449" s="129"/>
      <c r="F7449" s="129"/>
      <c r="G7449" s="129"/>
      <c r="H7449" s="129"/>
      <c r="I7449" s="131"/>
      <c r="J7449" s="132"/>
      <c r="K7449" s="130"/>
      <c r="L7449" s="133"/>
    </row>
    <row r="7450" spans="1:12" hidden="1" x14ac:dyDescent="0.25">
      <c r="A7450" s="130"/>
      <c r="B7450" s="130"/>
      <c r="C7450" s="132"/>
      <c r="D7450" s="129"/>
      <c r="E7450" s="129"/>
      <c r="F7450" s="129"/>
      <c r="G7450" s="129"/>
      <c r="H7450" s="129"/>
      <c r="I7450" s="131"/>
      <c r="J7450" s="132"/>
      <c r="K7450" s="130"/>
      <c r="L7450" s="133"/>
    </row>
    <row r="7451" spans="1:12" hidden="1" x14ac:dyDescent="0.25">
      <c r="A7451" s="130"/>
      <c r="B7451" s="130"/>
      <c r="C7451" s="132"/>
      <c r="D7451" s="129"/>
      <c r="E7451" s="129"/>
      <c r="F7451" s="129"/>
      <c r="G7451" s="129"/>
      <c r="H7451" s="129"/>
      <c r="I7451" s="131"/>
      <c r="J7451" s="132"/>
      <c r="K7451" s="130"/>
      <c r="L7451" s="133"/>
    </row>
    <row r="7452" spans="1:12" hidden="1" x14ac:dyDescent="0.25">
      <c r="A7452" s="130"/>
      <c r="B7452" s="130"/>
      <c r="C7452" s="132"/>
      <c r="D7452" s="129"/>
      <c r="E7452" s="129"/>
      <c r="F7452" s="129"/>
      <c r="G7452" s="129"/>
      <c r="H7452" s="129"/>
      <c r="I7452" s="131"/>
      <c r="J7452" s="132"/>
      <c r="K7452" s="130"/>
      <c r="L7452" s="133"/>
    </row>
    <row r="7453" spans="1:12" hidden="1" x14ac:dyDescent="0.25">
      <c r="A7453" s="130"/>
      <c r="B7453" s="130"/>
      <c r="C7453" s="132"/>
      <c r="D7453" s="129"/>
      <c r="E7453" s="129"/>
      <c r="F7453" s="129"/>
      <c r="G7453" s="129"/>
      <c r="H7453" s="129"/>
      <c r="I7453" s="131"/>
      <c r="J7453" s="132"/>
      <c r="K7453" s="130"/>
      <c r="L7453" s="133"/>
    </row>
    <row r="7454" spans="1:12" hidden="1" x14ac:dyDescent="0.25">
      <c r="A7454" s="130"/>
      <c r="B7454" s="130"/>
      <c r="C7454" s="132"/>
      <c r="D7454" s="129"/>
      <c r="E7454" s="129"/>
      <c r="F7454" s="129"/>
      <c r="G7454" s="129"/>
      <c r="H7454" s="129"/>
      <c r="I7454" s="131"/>
      <c r="J7454" s="132"/>
      <c r="K7454" s="130"/>
      <c r="L7454" s="133"/>
    </row>
    <row r="7455" spans="1:12" hidden="1" x14ac:dyDescent="0.25">
      <c r="A7455" s="130"/>
      <c r="B7455" s="130"/>
      <c r="C7455" s="132"/>
      <c r="D7455" s="129"/>
      <c r="E7455" s="129"/>
      <c r="F7455" s="129"/>
      <c r="G7455" s="129"/>
      <c r="H7455" s="129"/>
      <c r="I7455" s="131"/>
      <c r="J7455" s="132"/>
      <c r="K7455" s="130"/>
      <c r="L7455" s="133"/>
    </row>
    <row r="7456" spans="1:12" hidden="1" x14ac:dyDescent="0.25">
      <c r="A7456" s="130"/>
      <c r="B7456" s="130"/>
      <c r="C7456" s="132"/>
      <c r="D7456" s="129"/>
      <c r="E7456" s="129"/>
      <c r="F7456" s="129"/>
      <c r="G7456" s="129"/>
      <c r="H7456" s="129"/>
      <c r="I7456" s="131"/>
      <c r="J7456" s="132"/>
      <c r="K7456" s="130"/>
      <c r="L7456" s="133"/>
    </row>
    <row r="7457" spans="1:12" hidden="1" x14ac:dyDescent="0.25">
      <c r="A7457" s="130"/>
      <c r="B7457" s="130"/>
      <c r="C7457" s="132"/>
      <c r="D7457" s="129"/>
      <c r="E7457" s="129"/>
      <c r="F7457" s="129"/>
      <c r="G7457" s="129"/>
      <c r="H7457" s="129"/>
      <c r="I7457" s="131"/>
      <c r="J7457" s="132"/>
      <c r="K7457" s="130"/>
      <c r="L7457" s="133"/>
    </row>
    <row r="7458" spans="1:12" hidden="1" x14ac:dyDescent="0.25">
      <c r="A7458" s="130"/>
      <c r="B7458" s="130"/>
      <c r="C7458" s="132"/>
      <c r="D7458" s="129"/>
      <c r="E7458" s="129"/>
      <c r="F7458" s="129"/>
      <c r="G7458" s="129"/>
      <c r="H7458" s="129"/>
      <c r="I7458" s="131"/>
      <c r="J7458" s="132"/>
      <c r="K7458" s="130"/>
      <c r="L7458" s="133"/>
    </row>
    <row r="7459" spans="1:12" hidden="1" x14ac:dyDescent="0.25">
      <c r="A7459" s="130"/>
      <c r="B7459" s="130"/>
      <c r="C7459" s="132"/>
      <c r="D7459" s="129"/>
      <c r="E7459" s="129"/>
      <c r="F7459" s="129"/>
      <c r="G7459" s="129"/>
      <c r="H7459" s="129"/>
      <c r="I7459" s="131"/>
      <c r="J7459" s="132"/>
      <c r="K7459" s="130"/>
      <c r="L7459" s="133"/>
    </row>
    <row r="7460" spans="1:12" hidden="1" x14ac:dyDescent="0.25">
      <c r="A7460" s="130"/>
      <c r="B7460" s="130"/>
      <c r="C7460" s="132"/>
      <c r="D7460" s="129"/>
      <c r="E7460" s="129"/>
      <c r="F7460" s="129"/>
      <c r="G7460" s="129"/>
      <c r="H7460" s="129"/>
      <c r="I7460" s="131"/>
      <c r="J7460" s="132"/>
      <c r="K7460" s="130"/>
      <c r="L7460" s="133"/>
    </row>
    <row r="7461" spans="1:12" hidden="1" x14ac:dyDescent="0.25">
      <c r="A7461" s="130"/>
      <c r="B7461" s="130"/>
      <c r="C7461" s="132"/>
      <c r="D7461" s="129"/>
      <c r="E7461" s="129"/>
      <c r="F7461" s="129"/>
      <c r="G7461" s="129"/>
      <c r="H7461" s="129"/>
      <c r="I7461" s="131"/>
      <c r="J7461" s="132"/>
      <c r="K7461" s="130"/>
      <c r="L7461" s="133"/>
    </row>
    <row r="7462" spans="1:12" hidden="1" x14ac:dyDescent="0.25">
      <c r="A7462" s="130"/>
      <c r="B7462" s="130"/>
      <c r="C7462" s="132"/>
      <c r="D7462" s="129"/>
      <c r="E7462" s="129"/>
      <c r="F7462" s="129"/>
      <c r="G7462" s="129"/>
      <c r="H7462" s="129"/>
      <c r="I7462" s="131"/>
      <c r="J7462" s="132"/>
      <c r="K7462" s="130"/>
      <c r="L7462" s="133"/>
    </row>
    <row r="7463" spans="1:12" hidden="1" x14ac:dyDescent="0.25">
      <c r="A7463" s="130"/>
      <c r="B7463" s="130"/>
      <c r="C7463" s="132"/>
      <c r="D7463" s="129"/>
      <c r="E7463" s="129"/>
      <c r="F7463" s="129"/>
      <c r="G7463" s="129"/>
      <c r="H7463" s="129"/>
      <c r="I7463" s="131"/>
      <c r="J7463" s="132"/>
      <c r="K7463" s="130"/>
      <c r="L7463" s="133"/>
    </row>
    <row r="7464" spans="1:12" hidden="1" x14ac:dyDescent="0.25">
      <c r="A7464" s="130"/>
      <c r="B7464" s="130"/>
      <c r="C7464" s="132"/>
      <c r="D7464" s="129"/>
      <c r="E7464" s="129"/>
      <c r="F7464" s="129"/>
      <c r="G7464" s="129"/>
      <c r="H7464" s="129"/>
      <c r="I7464" s="131"/>
      <c r="J7464" s="132"/>
      <c r="K7464" s="130"/>
      <c r="L7464" s="133"/>
    </row>
    <row r="7465" spans="1:12" hidden="1" x14ac:dyDescent="0.25">
      <c r="A7465" s="130"/>
      <c r="B7465" s="130"/>
      <c r="C7465" s="132"/>
      <c r="D7465" s="129"/>
      <c r="E7465" s="129"/>
      <c r="F7465" s="129"/>
      <c r="G7465" s="129"/>
      <c r="H7465" s="129"/>
      <c r="I7465" s="131"/>
      <c r="J7465" s="132"/>
      <c r="K7465" s="130"/>
      <c r="L7465" s="133"/>
    </row>
    <row r="7466" spans="1:12" hidden="1" x14ac:dyDescent="0.25">
      <c r="A7466" s="130"/>
      <c r="B7466" s="130"/>
      <c r="C7466" s="132"/>
      <c r="D7466" s="129"/>
      <c r="E7466" s="129"/>
      <c r="F7466" s="129"/>
      <c r="G7466" s="129"/>
      <c r="H7466" s="129"/>
      <c r="I7466" s="131"/>
      <c r="J7466" s="132"/>
      <c r="K7466" s="130"/>
      <c r="L7466" s="133"/>
    </row>
    <row r="7467" spans="1:12" hidden="1" x14ac:dyDescent="0.25">
      <c r="A7467" s="130"/>
      <c r="B7467" s="130"/>
      <c r="C7467" s="132"/>
      <c r="D7467" s="129"/>
      <c r="E7467" s="129"/>
      <c r="F7467" s="129"/>
      <c r="G7467" s="129"/>
      <c r="H7467" s="129"/>
      <c r="I7467" s="131"/>
      <c r="J7467" s="132"/>
      <c r="K7467" s="130"/>
      <c r="L7467" s="133"/>
    </row>
    <row r="7468" spans="1:12" hidden="1" x14ac:dyDescent="0.25">
      <c r="A7468" s="130"/>
      <c r="B7468" s="130"/>
      <c r="C7468" s="132"/>
      <c r="D7468" s="129"/>
      <c r="E7468" s="129"/>
      <c r="F7468" s="129"/>
      <c r="G7468" s="129"/>
      <c r="H7468" s="129"/>
      <c r="I7468" s="131"/>
      <c r="J7468" s="132"/>
      <c r="K7468" s="130"/>
      <c r="L7468" s="133"/>
    </row>
    <row r="7469" spans="1:12" hidden="1" x14ac:dyDescent="0.25">
      <c r="A7469" s="130"/>
      <c r="B7469" s="130"/>
      <c r="C7469" s="132"/>
      <c r="D7469" s="129"/>
      <c r="E7469" s="129"/>
      <c r="F7469" s="129"/>
      <c r="G7469" s="129"/>
      <c r="H7469" s="129"/>
      <c r="I7469" s="131"/>
      <c r="J7469" s="132"/>
      <c r="K7469" s="130"/>
      <c r="L7469" s="133"/>
    </row>
    <row r="7470" spans="1:12" hidden="1" x14ac:dyDescent="0.25">
      <c r="A7470" s="130"/>
      <c r="B7470" s="130"/>
      <c r="C7470" s="132"/>
      <c r="D7470" s="129"/>
      <c r="E7470" s="129"/>
      <c r="F7470" s="129"/>
      <c r="G7470" s="129"/>
      <c r="H7470" s="129"/>
      <c r="I7470" s="131"/>
      <c r="J7470" s="132"/>
      <c r="K7470" s="130"/>
      <c r="L7470" s="133"/>
    </row>
    <row r="7471" spans="1:12" hidden="1" x14ac:dyDescent="0.25">
      <c r="A7471" s="130"/>
      <c r="B7471" s="130"/>
      <c r="C7471" s="132"/>
      <c r="D7471" s="129"/>
      <c r="E7471" s="129"/>
      <c r="F7471" s="129"/>
      <c r="G7471" s="129"/>
      <c r="H7471" s="129"/>
      <c r="I7471" s="131"/>
      <c r="J7471" s="132"/>
      <c r="K7471" s="130"/>
      <c r="L7471" s="133"/>
    </row>
    <row r="7472" spans="1:12" hidden="1" x14ac:dyDescent="0.25">
      <c r="A7472" s="130"/>
      <c r="B7472" s="130"/>
      <c r="C7472" s="132"/>
      <c r="D7472" s="129"/>
      <c r="E7472" s="129"/>
      <c r="F7472" s="129"/>
      <c r="G7472" s="129"/>
      <c r="H7472" s="129"/>
      <c r="I7472" s="131"/>
      <c r="J7472" s="132"/>
      <c r="K7472" s="130"/>
      <c r="L7472" s="133"/>
    </row>
    <row r="7473" spans="1:12" hidden="1" x14ac:dyDescent="0.25">
      <c r="A7473" s="130"/>
      <c r="B7473" s="130"/>
      <c r="C7473" s="132"/>
      <c r="D7473" s="129"/>
      <c r="E7473" s="129"/>
      <c r="F7473" s="129"/>
      <c r="G7473" s="129"/>
      <c r="H7473" s="129"/>
      <c r="I7473" s="131"/>
      <c r="J7473" s="132"/>
      <c r="K7473" s="130"/>
      <c r="L7473" s="133"/>
    </row>
    <row r="7474" spans="1:12" hidden="1" x14ac:dyDescent="0.25">
      <c r="A7474" s="130"/>
      <c r="B7474" s="130"/>
      <c r="C7474" s="132"/>
      <c r="D7474" s="129"/>
      <c r="E7474" s="129"/>
      <c r="F7474" s="129"/>
      <c r="G7474" s="129"/>
      <c r="H7474" s="129"/>
      <c r="I7474" s="131"/>
      <c r="J7474" s="132"/>
      <c r="K7474" s="130"/>
      <c r="L7474" s="133"/>
    </row>
    <row r="7475" spans="1:12" hidden="1" x14ac:dyDescent="0.25">
      <c r="A7475" s="130"/>
      <c r="B7475" s="130"/>
      <c r="C7475" s="132"/>
      <c r="D7475" s="129"/>
      <c r="E7475" s="129"/>
      <c r="F7475" s="129"/>
      <c r="G7475" s="129"/>
      <c r="H7475" s="129"/>
      <c r="I7475" s="131"/>
      <c r="J7475" s="132"/>
      <c r="K7475" s="130"/>
      <c r="L7475" s="133"/>
    </row>
    <row r="7476" spans="1:12" hidden="1" x14ac:dyDescent="0.25">
      <c r="A7476" s="130"/>
      <c r="B7476" s="130"/>
      <c r="C7476" s="132"/>
      <c r="D7476" s="129"/>
      <c r="E7476" s="129"/>
      <c r="F7476" s="129"/>
      <c r="G7476" s="129"/>
      <c r="H7476" s="129"/>
      <c r="I7476" s="131"/>
      <c r="J7476" s="132"/>
      <c r="K7476" s="130"/>
      <c r="L7476" s="133"/>
    </row>
    <row r="7477" spans="1:12" hidden="1" x14ac:dyDescent="0.25">
      <c r="A7477" s="130"/>
      <c r="B7477" s="130"/>
      <c r="C7477" s="132"/>
      <c r="D7477" s="129"/>
      <c r="E7477" s="129"/>
      <c r="F7477" s="129"/>
      <c r="G7477" s="129"/>
      <c r="H7477" s="129"/>
      <c r="I7477" s="131"/>
      <c r="J7477" s="132"/>
      <c r="K7477" s="130"/>
      <c r="L7477" s="133"/>
    </row>
    <row r="7478" spans="1:12" hidden="1" x14ac:dyDescent="0.25">
      <c r="A7478" s="130"/>
      <c r="B7478" s="130"/>
      <c r="C7478" s="132"/>
      <c r="D7478" s="129"/>
      <c r="E7478" s="129"/>
      <c r="F7478" s="129"/>
      <c r="G7478" s="129"/>
      <c r="H7478" s="129"/>
      <c r="I7478" s="131"/>
      <c r="J7478" s="132"/>
      <c r="K7478" s="130"/>
      <c r="L7478" s="133"/>
    </row>
    <row r="7479" spans="1:12" hidden="1" x14ac:dyDescent="0.25">
      <c r="A7479" s="130"/>
      <c r="B7479" s="130"/>
      <c r="C7479" s="132"/>
      <c r="D7479" s="129"/>
      <c r="E7479" s="129"/>
      <c r="F7479" s="129"/>
      <c r="G7479" s="129"/>
      <c r="H7479" s="129"/>
      <c r="I7479" s="131"/>
      <c r="J7479" s="132"/>
      <c r="K7479" s="130"/>
      <c r="L7479" s="133"/>
    </row>
    <row r="7480" spans="1:12" hidden="1" x14ac:dyDescent="0.25">
      <c r="A7480" s="130"/>
      <c r="B7480" s="130"/>
      <c r="C7480" s="132"/>
      <c r="D7480" s="129"/>
      <c r="E7480" s="129"/>
      <c r="F7480" s="129"/>
      <c r="G7480" s="129"/>
      <c r="H7480" s="129"/>
      <c r="I7480" s="131"/>
      <c r="J7480" s="132"/>
      <c r="K7480" s="130"/>
      <c r="L7480" s="133"/>
    </row>
    <row r="7481" spans="1:12" hidden="1" x14ac:dyDescent="0.25">
      <c r="A7481" s="130"/>
      <c r="B7481" s="130"/>
      <c r="C7481" s="132"/>
      <c r="D7481" s="129"/>
      <c r="E7481" s="129"/>
      <c r="F7481" s="129"/>
      <c r="G7481" s="129"/>
      <c r="H7481" s="129"/>
      <c r="I7481" s="131"/>
      <c r="J7481" s="132"/>
      <c r="K7481" s="130"/>
      <c r="L7481" s="133"/>
    </row>
    <row r="7482" spans="1:12" hidden="1" x14ac:dyDescent="0.25">
      <c r="A7482" s="130"/>
      <c r="B7482" s="130"/>
      <c r="C7482" s="132"/>
      <c r="D7482" s="129"/>
      <c r="E7482" s="129"/>
      <c r="F7482" s="129"/>
      <c r="G7482" s="129"/>
      <c r="H7482" s="129"/>
      <c r="I7482" s="131"/>
      <c r="J7482" s="132"/>
      <c r="K7482" s="130"/>
      <c r="L7482" s="133"/>
    </row>
    <row r="7483" spans="1:12" hidden="1" x14ac:dyDescent="0.25">
      <c r="A7483" s="130"/>
      <c r="B7483" s="130"/>
      <c r="C7483" s="132"/>
      <c r="D7483" s="129"/>
      <c r="E7483" s="129"/>
      <c r="F7483" s="129"/>
      <c r="G7483" s="129"/>
      <c r="H7483" s="129"/>
      <c r="I7483" s="131"/>
      <c r="J7483" s="132"/>
      <c r="K7483" s="130"/>
      <c r="L7483" s="133"/>
    </row>
    <row r="7484" spans="1:12" hidden="1" x14ac:dyDescent="0.25">
      <c r="A7484" s="130"/>
      <c r="B7484" s="130"/>
      <c r="C7484" s="132"/>
      <c r="D7484" s="129"/>
      <c r="E7484" s="129"/>
      <c r="F7484" s="129"/>
      <c r="G7484" s="129"/>
      <c r="H7484" s="129"/>
      <c r="I7484" s="131"/>
      <c r="J7484" s="132"/>
      <c r="K7484" s="130"/>
      <c r="L7484" s="133"/>
    </row>
    <row r="7485" spans="1:12" hidden="1" x14ac:dyDescent="0.25">
      <c r="A7485" s="130"/>
      <c r="B7485" s="130"/>
      <c r="C7485" s="132"/>
      <c r="D7485" s="129"/>
      <c r="E7485" s="129"/>
      <c r="F7485" s="129"/>
      <c r="G7485" s="129"/>
      <c r="H7485" s="129"/>
      <c r="I7485" s="131"/>
      <c r="J7485" s="132"/>
      <c r="K7485" s="130"/>
      <c r="L7485" s="133"/>
    </row>
    <row r="7486" spans="1:12" hidden="1" x14ac:dyDescent="0.25">
      <c r="A7486" s="130"/>
      <c r="B7486" s="130"/>
      <c r="C7486" s="132"/>
      <c r="D7486" s="129"/>
      <c r="E7486" s="129"/>
      <c r="F7486" s="129"/>
      <c r="G7486" s="129"/>
      <c r="H7486" s="129"/>
      <c r="I7486" s="131"/>
      <c r="J7486" s="132"/>
      <c r="K7486" s="130"/>
      <c r="L7486" s="133"/>
    </row>
    <row r="7487" spans="1:12" hidden="1" x14ac:dyDescent="0.25">
      <c r="A7487" s="130"/>
      <c r="B7487" s="130"/>
      <c r="C7487" s="132"/>
      <c r="D7487" s="129"/>
      <c r="E7487" s="129"/>
      <c r="F7487" s="129"/>
      <c r="G7487" s="129"/>
      <c r="H7487" s="129"/>
      <c r="I7487" s="131"/>
      <c r="J7487" s="132"/>
      <c r="K7487" s="130"/>
      <c r="L7487" s="133"/>
    </row>
    <row r="7488" spans="1:12" hidden="1" x14ac:dyDescent="0.25">
      <c r="A7488" s="130"/>
      <c r="B7488" s="130"/>
      <c r="C7488" s="132"/>
      <c r="D7488" s="129"/>
      <c r="E7488" s="129"/>
      <c r="F7488" s="129"/>
      <c r="G7488" s="129"/>
      <c r="H7488" s="129"/>
      <c r="I7488" s="131"/>
      <c r="J7488" s="132"/>
      <c r="K7488" s="130"/>
      <c r="L7488" s="133"/>
    </row>
    <row r="7489" spans="1:12" hidden="1" x14ac:dyDescent="0.25">
      <c r="A7489" s="130"/>
      <c r="B7489" s="130"/>
      <c r="C7489" s="132"/>
      <c r="D7489" s="129"/>
      <c r="E7489" s="129"/>
      <c r="F7489" s="129"/>
      <c r="G7489" s="129"/>
      <c r="H7489" s="129"/>
      <c r="I7489" s="131"/>
      <c r="J7489" s="132"/>
      <c r="K7489" s="130"/>
      <c r="L7489" s="133"/>
    </row>
    <row r="7490" spans="1:12" hidden="1" x14ac:dyDescent="0.25">
      <c r="A7490" s="130"/>
      <c r="B7490" s="130"/>
      <c r="C7490" s="132"/>
      <c r="D7490" s="129"/>
      <c r="E7490" s="129"/>
      <c r="F7490" s="129"/>
      <c r="G7490" s="129"/>
      <c r="H7490" s="129"/>
      <c r="I7490" s="131"/>
      <c r="J7490" s="132"/>
      <c r="K7490" s="130"/>
      <c r="L7490" s="133"/>
    </row>
    <row r="7491" spans="1:12" hidden="1" x14ac:dyDescent="0.25">
      <c r="A7491" s="130"/>
      <c r="B7491" s="130"/>
      <c r="C7491" s="132"/>
      <c r="D7491" s="129"/>
      <c r="E7491" s="129"/>
      <c r="F7491" s="129"/>
      <c r="G7491" s="129"/>
      <c r="H7491" s="129"/>
      <c r="I7491" s="131"/>
      <c r="J7491" s="132"/>
      <c r="K7491" s="130"/>
      <c r="L7491" s="133"/>
    </row>
    <row r="7492" spans="1:12" hidden="1" x14ac:dyDescent="0.25">
      <c r="A7492" s="130"/>
      <c r="B7492" s="130"/>
      <c r="C7492" s="132"/>
      <c r="D7492" s="129"/>
      <c r="E7492" s="129"/>
      <c r="F7492" s="129"/>
      <c r="G7492" s="129"/>
      <c r="H7492" s="129"/>
      <c r="I7492" s="131"/>
      <c r="J7492" s="132"/>
      <c r="K7492" s="130"/>
      <c r="L7492" s="133"/>
    </row>
    <row r="7493" spans="1:12" hidden="1" x14ac:dyDescent="0.25">
      <c r="A7493" s="130"/>
      <c r="B7493" s="130"/>
      <c r="C7493" s="132"/>
      <c r="D7493" s="129"/>
      <c r="E7493" s="129"/>
      <c r="F7493" s="129"/>
      <c r="G7493" s="129"/>
      <c r="H7493" s="129"/>
      <c r="I7493" s="131"/>
      <c r="J7493" s="132"/>
      <c r="K7493" s="130"/>
      <c r="L7493" s="133"/>
    </row>
    <row r="7494" spans="1:12" hidden="1" x14ac:dyDescent="0.25">
      <c r="A7494" s="130"/>
      <c r="B7494" s="130"/>
      <c r="C7494" s="132"/>
      <c r="D7494" s="129"/>
      <c r="E7494" s="129"/>
      <c r="F7494" s="129"/>
      <c r="G7494" s="129"/>
      <c r="H7494" s="129"/>
      <c r="I7494" s="131"/>
      <c r="J7494" s="132"/>
      <c r="K7494" s="130"/>
      <c r="L7494" s="133"/>
    </row>
    <row r="7495" spans="1:12" hidden="1" x14ac:dyDescent="0.25">
      <c r="A7495" s="130"/>
      <c r="B7495" s="130"/>
      <c r="C7495" s="132"/>
      <c r="D7495" s="129"/>
      <c r="E7495" s="129"/>
      <c r="F7495" s="129"/>
      <c r="G7495" s="129"/>
      <c r="H7495" s="129"/>
      <c r="I7495" s="131"/>
      <c r="J7495" s="132"/>
      <c r="K7495" s="130"/>
      <c r="L7495" s="133"/>
    </row>
    <row r="7496" spans="1:12" hidden="1" x14ac:dyDescent="0.25">
      <c r="A7496" s="130"/>
      <c r="B7496" s="130"/>
      <c r="C7496" s="132"/>
      <c r="D7496" s="129"/>
      <c r="E7496" s="129"/>
      <c r="F7496" s="129"/>
      <c r="G7496" s="129"/>
      <c r="H7496" s="129"/>
      <c r="I7496" s="131"/>
      <c r="J7496" s="132"/>
      <c r="K7496" s="130"/>
      <c r="L7496" s="133"/>
    </row>
    <row r="7497" spans="1:12" hidden="1" x14ac:dyDescent="0.25">
      <c r="A7497" s="130"/>
      <c r="B7497" s="130"/>
      <c r="C7497" s="132"/>
      <c r="D7497" s="129"/>
      <c r="E7497" s="129"/>
      <c r="F7497" s="129"/>
      <c r="G7497" s="129"/>
      <c r="H7497" s="129"/>
      <c r="I7497" s="131"/>
      <c r="J7497" s="132"/>
      <c r="K7497" s="130"/>
      <c r="L7497" s="133"/>
    </row>
    <row r="7498" spans="1:12" hidden="1" x14ac:dyDescent="0.25">
      <c r="A7498" s="130"/>
      <c r="B7498" s="130"/>
      <c r="C7498" s="132"/>
      <c r="D7498" s="129"/>
      <c r="E7498" s="129"/>
      <c r="F7498" s="129"/>
      <c r="G7498" s="129"/>
      <c r="H7498" s="129"/>
      <c r="I7498" s="131"/>
      <c r="J7498" s="132"/>
      <c r="K7498" s="130"/>
      <c r="L7498" s="133"/>
    </row>
    <row r="7499" spans="1:12" hidden="1" x14ac:dyDescent="0.25">
      <c r="A7499" s="130"/>
      <c r="B7499" s="130"/>
      <c r="C7499" s="132"/>
      <c r="D7499" s="129"/>
      <c r="E7499" s="129"/>
      <c r="F7499" s="129"/>
      <c r="G7499" s="129"/>
      <c r="H7499" s="129"/>
      <c r="I7499" s="131"/>
      <c r="J7499" s="132"/>
      <c r="K7499" s="130"/>
      <c r="L7499" s="133"/>
    </row>
    <row r="7500" spans="1:12" hidden="1" x14ac:dyDescent="0.25">
      <c r="A7500" s="130"/>
      <c r="B7500" s="130"/>
      <c r="C7500" s="132"/>
      <c r="D7500" s="129"/>
      <c r="E7500" s="129"/>
      <c r="F7500" s="129"/>
      <c r="G7500" s="129"/>
      <c r="H7500" s="129"/>
      <c r="I7500" s="131"/>
      <c r="J7500" s="132"/>
      <c r="K7500" s="130"/>
      <c r="L7500" s="133"/>
    </row>
    <row r="7501" spans="1:12" hidden="1" x14ac:dyDescent="0.25">
      <c r="A7501" s="130"/>
      <c r="B7501" s="130"/>
      <c r="C7501" s="132"/>
      <c r="D7501" s="129"/>
      <c r="E7501" s="129"/>
      <c r="F7501" s="129"/>
      <c r="G7501" s="129"/>
      <c r="H7501" s="129"/>
      <c r="I7501" s="131"/>
      <c r="J7501" s="132"/>
      <c r="K7501" s="130"/>
      <c r="L7501" s="133"/>
    </row>
    <row r="7502" spans="1:12" hidden="1" x14ac:dyDescent="0.25">
      <c r="A7502" s="130"/>
      <c r="B7502" s="130"/>
      <c r="C7502" s="132"/>
      <c r="D7502" s="129"/>
      <c r="E7502" s="129"/>
      <c r="F7502" s="129"/>
      <c r="G7502" s="129"/>
      <c r="H7502" s="129"/>
      <c r="I7502" s="131"/>
      <c r="J7502" s="132"/>
      <c r="K7502" s="130"/>
      <c r="L7502" s="133"/>
    </row>
    <row r="7503" spans="1:12" hidden="1" x14ac:dyDescent="0.25">
      <c r="A7503" s="130"/>
      <c r="B7503" s="130"/>
      <c r="C7503" s="132"/>
      <c r="D7503" s="129"/>
      <c r="E7503" s="129"/>
      <c r="F7503" s="129"/>
      <c r="G7503" s="129"/>
      <c r="H7503" s="129"/>
      <c r="I7503" s="131"/>
      <c r="J7503" s="132"/>
      <c r="K7503" s="130"/>
      <c r="L7503" s="133"/>
    </row>
    <row r="7504" spans="1:12" hidden="1" x14ac:dyDescent="0.25">
      <c r="A7504" s="130"/>
      <c r="B7504" s="130"/>
      <c r="C7504" s="132"/>
      <c r="D7504" s="129"/>
      <c r="E7504" s="129"/>
      <c r="F7504" s="129"/>
      <c r="G7504" s="129"/>
      <c r="H7504" s="129"/>
      <c r="I7504" s="131"/>
      <c r="J7504" s="132"/>
      <c r="K7504" s="130"/>
      <c r="L7504" s="133"/>
    </row>
    <row r="7505" spans="1:12" hidden="1" x14ac:dyDescent="0.25">
      <c r="A7505" s="130"/>
      <c r="B7505" s="130"/>
      <c r="C7505" s="132"/>
      <c r="D7505" s="129"/>
      <c r="E7505" s="129"/>
      <c r="F7505" s="129"/>
      <c r="G7505" s="129"/>
      <c r="H7505" s="129"/>
      <c r="I7505" s="131"/>
      <c r="J7505" s="132"/>
      <c r="K7505" s="130"/>
      <c r="L7505" s="133"/>
    </row>
    <row r="7506" spans="1:12" hidden="1" x14ac:dyDescent="0.25">
      <c r="A7506" s="130"/>
      <c r="B7506" s="130"/>
      <c r="C7506" s="132"/>
      <c r="D7506" s="129"/>
      <c r="E7506" s="129"/>
      <c r="F7506" s="129"/>
      <c r="G7506" s="129"/>
      <c r="H7506" s="129"/>
      <c r="I7506" s="131"/>
      <c r="J7506" s="132"/>
      <c r="K7506" s="130"/>
      <c r="L7506" s="133"/>
    </row>
    <row r="7507" spans="1:12" hidden="1" x14ac:dyDescent="0.25">
      <c r="A7507" s="130"/>
      <c r="B7507" s="130"/>
      <c r="C7507" s="132"/>
      <c r="D7507" s="129"/>
      <c r="E7507" s="129"/>
      <c r="F7507" s="129"/>
      <c r="G7507" s="129"/>
      <c r="H7507" s="129"/>
      <c r="I7507" s="131"/>
      <c r="J7507" s="132"/>
      <c r="K7507" s="130"/>
      <c r="L7507" s="133"/>
    </row>
    <row r="7508" spans="1:12" hidden="1" x14ac:dyDescent="0.25">
      <c r="A7508" s="130"/>
      <c r="B7508" s="130"/>
      <c r="C7508" s="132"/>
      <c r="D7508" s="129"/>
      <c r="E7508" s="129"/>
      <c r="F7508" s="129"/>
      <c r="G7508" s="129"/>
      <c r="H7508" s="129"/>
      <c r="I7508" s="131"/>
      <c r="J7508" s="132"/>
      <c r="K7508" s="130"/>
      <c r="L7508" s="133"/>
    </row>
    <row r="7509" spans="1:12" hidden="1" x14ac:dyDescent="0.25">
      <c r="A7509" s="130"/>
      <c r="B7509" s="130"/>
      <c r="C7509" s="132"/>
      <c r="D7509" s="129"/>
      <c r="E7509" s="129"/>
      <c r="F7509" s="129"/>
      <c r="G7509" s="129"/>
      <c r="H7509" s="129"/>
      <c r="I7509" s="131"/>
      <c r="J7509" s="132"/>
      <c r="K7509" s="130"/>
      <c r="L7509" s="133"/>
    </row>
    <row r="7510" spans="1:12" hidden="1" x14ac:dyDescent="0.25">
      <c r="A7510" s="130"/>
      <c r="B7510" s="130"/>
      <c r="C7510" s="132"/>
      <c r="D7510" s="129"/>
      <c r="E7510" s="129"/>
      <c r="F7510" s="129"/>
      <c r="G7510" s="129"/>
      <c r="H7510" s="129"/>
      <c r="I7510" s="131"/>
      <c r="J7510" s="132"/>
      <c r="K7510" s="130"/>
      <c r="L7510" s="133"/>
    </row>
    <row r="7511" spans="1:12" hidden="1" x14ac:dyDescent="0.25">
      <c r="A7511" s="130"/>
      <c r="B7511" s="130"/>
      <c r="C7511" s="132"/>
      <c r="D7511" s="129"/>
      <c r="E7511" s="129"/>
      <c r="F7511" s="129"/>
      <c r="G7511" s="129"/>
      <c r="H7511" s="129"/>
      <c r="I7511" s="131"/>
      <c r="J7511" s="132"/>
      <c r="K7511" s="130"/>
      <c r="L7511" s="133"/>
    </row>
    <row r="7512" spans="1:12" hidden="1" x14ac:dyDescent="0.25">
      <c r="A7512" s="130"/>
      <c r="B7512" s="130"/>
      <c r="C7512" s="132"/>
      <c r="D7512" s="129"/>
      <c r="E7512" s="129"/>
      <c r="F7512" s="129"/>
      <c r="G7512" s="129"/>
      <c r="H7512" s="129"/>
      <c r="I7512" s="131"/>
      <c r="J7512" s="132"/>
      <c r="K7512" s="130"/>
      <c r="L7512" s="133"/>
    </row>
    <row r="7513" spans="1:12" hidden="1" x14ac:dyDescent="0.25">
      <c r="A7513" s="130"/>
      <c r="B7513" s="130"/>
      <c r="C7513" s="132"/>
      <c r="D7513" s="129"/>
      <c r="E7513" s="129"/>
      <c r="F7513" s="129"/>
      <c r="G7513" s="129"/>
      <c r="H7513" s="129"/>
      <c r="I7513" s="131"/>
      <c r="J7513" s="132"/>
      <c r="K7513" s="130"/>
      <c r="L7513" s="133"/>
    </row>
    <row r="7514" spans="1:12" hidden="1" x14ac:dyDescent="0.25">
      <c r="A7514" s="130"/>
      <c r="B7514" s="130"/>
      <c r="C7514" s="132"/>
      <c r="D7514" s="129"/>
      <c r="E7514" s="129"/>
      <c r="F7514" s="129"/>
      <c r="G7514" s="129"/>
      <c r="H7514" s="129"/>
      <c r="I7514" s="131"/>
      <c r="J7514" s="132"/>
      <c r="K7514" s="130"/>
      <c r="L7514" s="133"/>
    </row>
    <row r="7515" spans="1:12" hidden="1" x14ac:dyDescent="0.25">
      <c r="A7515" s="130"/>
      <c r="B7515" s="130"/>
      <c r="C7515" s="132"/>
      <c r="D7515" s="129"/>
      <c r="E7515" s="129"/>
      <c r="F7515" s="129"/>
      <c r="G7515" s="129"/>
      <c r="H7515" s="129"/>
      <c r="I7515" s="131"/>
      <c r="J7515" s="132"/>
      <c r="K7515" s="130"/>
      <c r="L7515" s="133"/>
    </row>
    <row r="7516" spans="1:12" hidden="1" x14ac:dyDescent="0.25">
      <c r="A7516" s="130"/>
      <c r="B7516" s="130"/>
      <c r="C7516" s="132"/>
      <c r="D7516" s="129"/>
      <c r="E7516" s="129"/>
      <c r="F7516" s="129"/>
      <c r="G7516" s="129"/>
      <c r="H7516" s="129"/>
      <c r="I7516" s="131"/>
      <c r="J7516" s="132"/>
      <c r="K7516" s="130"/>
      <c r="L7516" s="133"/>
    </row>
    <row r="7517" spans="1:12" hidden="1" x14ac:dyDescent="0.25">
      <c r="A7517" s="130"/>
      <c r="B7517" s="130"/>
      <c r="C7517" s="132"/>
      <c r="D7517" s="129"/>
      <c r="E7517" s="129"/>
      <c r="F7517" s="129"/>
      <c r="G7517" s="129"/>
      <c r="H7517" s="129"/>
      <c r="I7517" s="131"/>
      <c r="J7517" s="132"/>
      <c r="K7517" s="130"/>
      <c r="L7517" s="133"/>
    </row>
    <row r="7518" spans="1:12" hidden="1" x14ac:dyDescent="0.25">
      <c r="A7518" s="130"/>
      <c r="B7518" s="130"/>
      <c r="C7518" s="132"/>
      <c r="D7518" s="129"/>
      <c r="E7518" s="129"/>
      <c r="F7518" s="129"/>
      <c r="G7518" s="129"/>
      <c r="H7518" s="129"/>
      <c r="I7518" s="131"/>
      <c r="J7518" s="132"/>
      <c r="K7518" s="130"/>
      <c r="L7518" s="133"/>
    </row>
    <row r="7519" spans="1:12" hidden="1" x14ac:dyDescent="0.25">
      <c r="A7519" s="130"/>
      <c r="B7519" s="130"/>
      <c r="C7519" s="132"/>
      <c r="D7519" s="129"/>
      <c r="E7519" s="129"/>
      <c r="F7519" s="129"/>
      <c r="G7519" s="129"/>
      <c r="H7519" s="129"/>
      <c r="I7519" s="131"/>
      <c r="J7519" s="132"/>
      <c r="K7519" s="130"/>
      <c r="L7519" s="133"/>
    </row>
    <row r="7520" spans="1:12" hidden="1" x14ac:dyDescent="0.25">
      <c r="A7520" s="130"/>
      <c r="B7520" s="130"/>
      <c r="C7520" s="132"/>
      <c r="D7520" s="129"/>
      <c r="E7520" s="129"/>
      <c r="F7520" s="129"/>
      <c r="G7520" s="129"/>
      <c r="H7520" s="129"/>
      <c r="I7520" s="131"/>
      <c r="J7520" s="132"/>
      <c r="K7520" s="130"/>
      <c r="L7520" s="133"/>
    </row>
    <row r="7521" spans="1:12" hidden="1" x14ac:dyDescent="0.25">
      <c r="A7521" s="130"/>
      <c r="B7521" s="130"/>
      <c r="C7521" s="132"/>
      <c r="D7521" s="129"/>
      <c r="E7521" s="129"/>
      <c r="F7521" s="129"/>
      <c r="G7521" s="129"/>
      <c r="H7521" s="129"/>
      <c r="I7521" s="131"/>
      <c r="J7521" s="132"/>
      <c r="K7521" s="130"/>
      <c r="L7521" s="133"/>
    </row>
    <row r="7522" spans="1:12" hidden="1" x14ac:dyDescent="0.25">
      <c r="A7522" s="130"/>
      <c r="B7522" s="130"/>
      <c r="C7522" s="132"/>
      <c r="D7522" s="129"/>
      <c r="E7522" s="129"/>
      <c r="F7522" s="129"/>
      <c r="G7522" s="129"/>
      <c r="H7522" s="129"/>
      <c r="I7522" s="131"/>
      <c r="J7522" s="132"/>
      <c r="K7522" s="130"/>
      <c r="L7522" s="133"/>
    </row>
    <row r="7523" spans="1:12" hidden="1" x14ac:dyDescent="0.25">
      <c r="A7523" s="130"/>
      <c r="B7523" s="130"/>
      <c r="C7523" s="132"/>
      <c r="D7523" s="129"/>
      <c r="E7523" s="129"/>
      <c r="F7523" s="129"/>
      <c r="G7523" s="129"/>
      <c r="H7523" s="129"/>
      <c r="I7523" s="131"/>
      <c r="J7523" s="132"/>
      <c r="K7523" s="130"/>
      <c r="L7523" s="133"/>
    </row>
    <row r="7524" spans="1:12" hidden="1" x14ac:dyDescent="0.25">
      <c r="A7524" s="130"/>
      <c r="B7524" s="130"/>
      <c r="C7524" s="132"/>
      <c r="D7524" s="129"/>
      <c r="E7524" s="129"/>
      <c r="F7524" s="129"/>
      <c r="G7524" s="129"/>
      <c r="H7524" s="129"/>
      <c r="I7524" s="131"/>
      <c r="J7524" s="132"/>
      <c r="K7524" s="130"/>
      <c r="L7524" s="133"/>
    </row>
    <row r="7525" spans="1:12" hidden="1" x14ac:dyDescent="0.25">
      <c r="A7525" s="130"/>
      <c r="B7525" s="130"/>
      <c r="C7525" s="132"/>
      <c r="D7525" s="129"/>
      <c r="E7525" s="129"/>
      <c r="F7525" s="129"/>
      <c r="G7525" s="129"/>
      <c r="H7525" s="129"/>
      <c r="I7525" s="131"/>
      <c r="J7525" s="132"/>
      <c r="K7525" s="130"/>
      <c r="L7525" s="133"/>
    </row>
    <row r="7526" spans="1:12" hidden="1" x14ac:dyDescent="0.25">
      <c r="A7526" s="130"/>
      <c r="B7526" s="130"/>
      <c r="C7526" s="132"/>
      <c r="D7526" s="129"/>
      <c r="E7526" s="129"/>
      <c r="F7526" s="129"/>
      <c r="G7526" s="129"/>
      <c r="H7526" s="129"/>
      <c r="I7526" s="131"/>
      <c r="J7526" s="132"/>
      <c r="K7526" s="130"/>
      <c r="L7526" s="133"/>
    </row>
    <row r="7527" spans="1:12" hidden="1" x14ac:dyDescent="0.25">
      <c r="A7527" s="130"/>
      <c r="B7527" s="130"/>
      <c r="C7527" s="132"/>
      <c r="D7527" s="129"/>
      <c r="E7527" s="129"/>
      <c r="F7527" s="129"/>
      <c r="G7527" s="129"/>
      <c r="H7527" s="129"/>
      <c r="I7527" s="131"/>
      <c r="J7527" s="132"/>
      <c r="K7527" s="130"/>
      <c r="L7527" s="133"/>
    </row>
    <row r="7528" spans="1:12" hidden="1" x14ac:dyDescent="0.25">
      <c r="A7528" s="130"/>
      <c r="B7528" s="130"/>
      <c r="C7528" s="132"/>
      <c r="D7528" s="129"/>
      <c r="E7528" s="129"/>
      <c r="F7528" s="129"/>
      <c r="G7528" s="129"/>
      <c r="H7528" s="129"/>
      <c r="I7528" s="131"/>
      <c r="J7528" s="132"/>
      <c r="K7528" s="130"/>
      <c r="L7528" s="133"/>
    </row>
    <row r="7529" spans="1:12" hidden="1" x14ac:dyDescent="0.25">
      <c r="A7529" s="130"/>
      <c r="B7529" s="130"/>
      <c r="C7529" s="132"/>
      <c r="D7529" s="129"/>
      <c r="E7529" s="129"/>
      <c r="F7529" s="129"/>
      <c r="G7529" s="129"/>
      <c r="H7529" s="129"/>
      <c r="I7529" s="131"/>
      <c r="J7529" s="132"/>
      <c r="K7529" s="130"/>
      <c r="L7529" s="133"/>
    </row>
    <row r="7530" spans="1:12" hidden="1" x14ac:dyDescent="0.25">
      <c r="A7530" s="130"/>
      <c r="B7530" s="130"/>
      <c r="C7530" s="132"/>
      <c r="D7530" s="129"/>
      <c r="E7530" s="129"/>
      <c r="F7530" s="129"/>
      <c r="G7530" s="129"/>
      <c r="H7530" s="129"/>
      <c r="I7530" s="131"/>
      <c r="J7530" s="132"/>
      <c r="K7530" s="130"/>
      <c r="L7530" s="133"/>
    </row>
    <row r="7531" spans="1:12" hidden="1" x14ac:dyDescent="0.25">
      <c r="A7531" s="130"/>
      <c r="B7531" s="130"/>
      <c r="C7531" s="132"/>
      <c r="D7531" s="129"/>
      <c r="E7531" s="129"/>
      <c r="F7531" s="129"/>
      <c r="G7531" s="129"/>
      <c r="H7531" s="129"/>
      <c r="I7531" s="131"/>
      <c r="J7531" s="132"/>
      <c r="K7531" s="130"/>
      <c r="L7531" s="133"/>
    </row>
    <row r="7532" spans="1:12" hidden="1" x14ac:dyDescent="0.25">
      <c r="A7532" s="130"/>
      <c r="B7532" s="130"/>
      <c r="C7532" s="132"/>
      <c r="D7532" s="129"/>
      <c r="E7532" s="129"/>
      <c r="F7532" s="129"/>
      <c r="G7532" s="129"/>
      <c r="H7532" s="129"/>
      <c r="I7532" s="131"/>
      <c r="J7532" s="132"/>
      <c r="K7532" s="130"/>
      <c r="L7532" s="133"/>
    </row>
    <row r="7533" spans="1:12" hidden="1" x14ac:dyDescent="0.25">
      <c r="A7533" s="130"/>
      <c r="B7533" s="130"/>
      <c r="C7533" s="132"/>
      <c r="D7533" s="129"/>
      <c r="E7533" s="129"/>
      <c r="F7533" s="129"/>
      <c r="G7533" s="129"/>
      <c r="H7533" s="129"/>
      <c r="I7533" s="131"/>
      <c r="J7533" s="132"/>
      <c r="K7533" s="130"/>
      <c r="L7533" s="133"/>
    </row>
    <row r="7534" spans="1:12" hidden="1" x14ac:dyDescent="0.25">
      <c r="A7534" s="130"/>
      <c r="B7534" s="130"/>
      <c r="C7534" s="132"/>
      <c r="D7534" s="129"/>
      <c r="E7534" s="129"/>
      <c r="F7534" s="129"/>
      <c r="G7534" s="129"/>
      <c r="H7534" s="129"/>
      <c r="I7534" s="131"/>
      <c r="J7534" s="132"/>
      <c r="K7534" s="130"/>
      <c r="L7534" s="133"/>
    </row>
    <row r="7535" spans="1:12" hidden="1" x14ac:dyDescent="0.25">
      <c r="A7535" s="130"/>
      <c r="B7535" s="130"/>
      <c r="C7535" s="132"/>
      <c r="D7535" s="129"/>
      <c r="E7535" s="129"/>
      <c r="F7535" s="129"/>
      <c r="G7535" s="129"/>
      <c r="H7535" s="129"/>
      <c r="I7535" s="131"/>
      <c r="J7535" s="132"/>
      <c r="K7535" s="130"/>
      <c r="L7535" s="133"/>
    </row>
    <row r="7536" spans="1:12" hidden="1" x14ac:dyDescent="0.25">
      <c r="A7536" s="130"/>
      <c r="B7536" s="130"/>
      <c r="C7536" s="132"/>
      <c r="D7536" s="129"/>
      <c r="E7536" s="129"/>
      <c r="F7536" s="129"/>
      <c r="G7536" s="129"/>
      <c r="H7536" s="129"/>
      <c r="I7536" s="131"/>
      <c r="J7536" s="132"/>
      <c r="K7536" s="130"/>
      <c r="L7536" s="133"/>
    </row>
    <row r="7537" spans="1:12" hidden="1" x14ac:dyDescent="0.25">
      <c r="A7537" s="130"/>
      <c r="B7537" s="130"/>
      <c r="C7537" s="132"/>
      <c r="D7537" s="129"/>
      <c r="E7537" s="129"/>
      <c r="F7537" s="129"/>
      <c r="G7537" s="129"/>
      <c r="H7537" s="129"/>
      <c r="I7537" s="131"/>
      <c r="J7537" s="132"/>
      <c r="K7537" s="130"/>
      <c r="L7537" s="133"/>
    </row>
    <row r="7538" spans="1:12" hidden="1" x14ac:dyDescent="0.25">
      <c r="A7538" s="130"/>
      <c r="B7538" s="130"/>
      <c r="C7538" s="132"/>
      <c r="D7538" s="129"/>
      <c r="E7538" s="129"/>
      <c r="F7538" s="129"/>
      <c r="G7538" s="129"/>
      <c r="H7538" s="129"/>
      <c r="I7538" s="131"/>
      <c r="J7538" s="132"/>
      <c r="K7538" s="130"/>
      <c r="L7538" s="133"/>
    </row>
    <row r="7539" spans="1:12" hidden="1" x14ac:dyDescent="0.25">
      <c r="A7539" s="130"/>
      <c r="B7539" s="130"/>
      <c r="C7539" s="132"/>
      <c r="D7539" s="129"/>
      <c r="E7539" s="129"/>
      <c r="F7539" s="129"/>
      <c r="G7539" s="129"/>
      <c r="H7539" s="129"/>
      <c r="I7539" s="131"/>
      <c r="J7539" s="132"/>
      <c r="K7539" s="130"/>
      <c r="L7539" s="133"/>
    </row>
    <row r="7540" spans="1:12" hidden="1" x14ac:dyDescent="0.25">
      <c r="A7540" s="130"/>
      <c r="B7540" s="130"/>
      <c r="C7540" s="132"/>
      <c r="D7540" s="129"/>
      <c r="E7540" s="129"/>
      <c r="F7540" s="129"/>
      <c r="G7540" s="129"/>
      <c r="H7540" s="129"/>
      <c r="I7540" s="131"/>
      <c r="J7540" s="132"/>
      <c r="K7540" s="130"/>
      <c r="L7540" s="133"/>
    </row>
    <row r="7541" spans="1:12" hidden="1" x14ac:dyDescent="0.25">
      <c r="A7541" s="130"/>
      <c r="B7541" s="130"/>
      <c r="C7541" s="132"/>
      <c r="D7541" s="129"/>
      <c r="E7541" s="129"/>
      <c r="F7541" s="129"/>
      <c r="G7541" s="129"/>
      <c r="H7541" s="129"/>
      <c r="I7541" s="131"/>
      <c r="J7541" s="132"/>
      <c r="K7541" s="130"/>
      <c r="L7541" s="133"/>
    </row>
    <row r="7542" spans="1:12" hidden="1" x14ac:dyDescent="0.25">
      <c r="A7542" s="130"/>
      <c r="B7542" s="130"/>
      <c r="C7542" s="132"/>
      <c r="D7542" s="129"/>
      <c r="E7542" s="129"/>
      <c r="F7542" s="129"/>
      <c r="G7542" s="129"/>
      <c r="H7542" s="129"/>
      <c r="I7542" s="131"/>
      <c r="J7542" s="132"/>
      <c r="K7542" s="130"/>
      <c r="L7542" s="133"/>
    </row>
    <row r="7543" spans="1:12" hidden="1" x14ac:dyDescent="0.25">
      <c r="A7543" s="130"/>
      <c r="B7543" s="130"/>
      <c r="C7543" s="132"/>
      <c r="D7543" s="129"/>
      <c r="E7543" s="129"/>
      <c r="F7543" s="129"/>
      <c r="G7543" s="129"/>
      <c r="H7543" s="129"/>
      <c r="I7543" s="131"/>
      <c r="J7543" s="132"/>
      <c r="K7543" s="130"/>
      <c r="L7543" s="133"/>
    </row>
    <row r="7544" spans="1:12" hidden="1" x14ac:dyDescent="0.25">
      <c r="A7544" s="130"/>
      <c r="B7544" s="130"/>
      <c r="C7544" s="132"/>
      <c r="D7544" s="129"/>
      <c r="E7544" s="129"/>
      <c r="F7544" s="129"/>
      <c r="G7544" s="129"/>
      <c r="H7544" s="129"/>
      <c r="I7544" s="131"/>
      <c r="J7544" s="132"/>
      <c r="K7544" s="130"/>
      <c r="L7544" s="133"/>
    </row>
    <row r="7545" spans="1:12" hidden="1" x14ac:dyDescent="0.25">
      <c r="A7545" s="130"/>
      <c r="B7545" s="130"/>
      <c r="C7545" s="132"/>
      <c r="D7545" s="129"/>
      <c r="E7545" s="129"/>
      <c r="F7545" s="129"/>
      <c r="G7545" s="129"/>
      <c r="H7545" s="129"/>
      <c r="I7545" s="131"/>
      <c r="J7545" s="132"/>
      <c r="K7545" s="130"/>
      <c r="L7545" s="133"/>
    </row>
    <row r="7546" spans="1:12" hidden="1" x14ac:dyDescent="0.25">
      <c r="A7546" s="130"/>
      <c r="B7546" s="130"/>
      <c r="C7546" s="132"/>
      <c r="D7546" s="129"/>
      <c r="E7546" s="129"/>
      <c r="F7546" s="129"/>
      <c r="G7546" s="129"/>
      <c r="H7546" s="129"/>
      <c r="I7546" s="131"/>
      <c r="J7546" s="132"/>
      <c r="K7546" s="130"/>
      <c r="L7546" s="133"/>
    </row>
    <row r="7547" spans="1:12" hidden="1" x14ac:dyDescent="0.25">
      <c r="A7547" s="130"/>
      <c r="B7547" s="130"/>
      <c r="C7547" s="132"/>
      <c r="D7547" s="129"/>
      <c r="E7547" s="129"/>
      <c r="F7547" s="129"/>
      <c r="G7547" s="129"/>
      <c r="H7547" s="129"/>
      <c r="I7547" s="131"/>
      <c r="J7547" s="132"/>
      <c r="K7547" s="130"/>
      <c r="L7547" s="133"/>
    </row>
    <row r="7548" spans="1:12" hidden="1" x14ac:dyDescent="0.25">
      <c r="A7548" s="130"/>
      <c r="B7548" s="130"/>
      <c r="C7548" s="132"/>
      <c r="D7548" s="129"/>
      <c r="E7548" s="129"/>
      <c r="F7548" s="129"/>
      <c r="G7548" s="129"/>
      <c r="H7548" s="129"/>
      <c r="I7548" s="131"/>
      <c r="J7548" s="132"/>
      <c r="K7548" s="130"/>
      <c r="L7548" s="133"/>
    </row>
    <row r="7549" spans="1:12" hidden="1" x14ac:dyDescent="0.25">
      <c r="A7549" s="130"/>
      <c r="B7549" s="130"/>
      <c r="C7549" s="132"/>
      <c r="D7549" s="129"/>
      <c r="E7549" s="129"/>
      <c r="F7549" s="129"/>
      <c r="G7549" s="129"/>
      <c r="H7549" s="129"/>
      <c r="I7549" s="131"/>
      <c r="J7549" s="132"/>
      <c r="K7549" s="130"/>
      <c r="L7549" s="133"/>
    </row>
    <row r="7550" spans="1:12" hidden="1" x14ac:dyDescent="0.25">
      <c r="A7550" s="130"/>
      <c r="B7550" s="130"/>
      <c r="C7550" s="132"/>
      <c r="D7550" s="129"/>
      <c r="E7550" s="129"/>
      <c r="F7550" s="129"/>
      <c r="G7550" s="129"/>
      <c r="H7550" s="129"/>
      <c r="I7550" s="131"/>
      <c r="J7550" s="132"/>
      <c r="K7550" s="130"/>
      <c r="L7550" s="133"/>
    </row>
    <row r="7551" spans="1:12" hidden="1" x14ac:dyDescent="0.25">
      <c r="A7551" s="130"/>
      <c r="B7551" s="130"/>
      <c r="C7551" s="132"/>
      <c r="D7551" s="129"/>
      <c r="E7551" s="129"/>
      <c r="F7551" s="129"/>
      <c r="G7551" s="129"/>
      <c r="H7551" s="129"/>
      <c r="I7551" s="131"/>
      <c r="J7551" s="132"/>
      <c r="K7551" s="130"/>
      <c r="L7551" s="133"/>
    </row>
    <row r="7552" spans="1:12" hidden="1" x14ac:dyDescent="0.25">
      <c r="A7552" s="130"/>
      <c r="B7552" s="130"/>
      <c r="C7552" s="132"/>
      <c r="D7552" s="129"/>
      <c r="E7552" s="129"/>
      <c r="F7552" s="129"/>
      <c r="G7552" s="129"/>
      <c r="H7552" s="129"/>
      <c r="I7552" s="131"/>
      <c r="J7552" s="132"/>
      <c r="K7552" s="130"/>
      <c r="L7552" s="133"/>
    </row>
    <row r="7553" spans="1:12" hidden="1" x14ac:dyDescent="0.25">
      <c r="A7553" s="130"/>
      <c r="B7553" s="130"/>
      <c r="C7553" s="132"/>
      <c r="D7553" s="129"/>
      <c r="E7553" s="129"/>
      <c r="F7553" s="129"/>
      <c r="G7553" s="129"/>
      <c r="H7553" s="129"/>
      <c r="I7553" s="131"/>
      <c r="J7553" s="132"/>
      <c r="K7553" s="130"/>
      <c r="L7553" s="133"/>
    </row>
    <row r="7554" spans="1:12" hidden="1" x14ac:dyDescent="0.25">
      <c r="A7554" s="130"/>
      <c r="B7554" s="130"/>
      <c r="C7554" s="132"/>
      <c r="D7554" s="129"/>
      <c r="E7554" s="129"/>
      <c r="F7554" s="129"/>
      <c r="G7554" s="129"/>
      <c r="H7554" s="129"/>
      <c r="I7554" s="131"/>
      <c r="J7554" s="132"/>
      <c r="K7554" s="130"/>
      <c r="L7554" s="133"/>
    </row>
    <row r="7555" spans="1:12" hidden="1" x14ac:dyDescent="0.25">
      <c r="A7555" s="130"/>
      <c r="B7555" s="130"/>
      <c r="C7555" s="132"/>
      <c r="D7555" s="129"/>
      <c r="E7555" s="129"/>
      <c r="F7555" s="129"/>
      <c r="G7555" s="129"/>
      <c r="H7555" s="129"/>
      <c r="I7555" s="131"/>
      <c r="J7555" s="132"/>
      <c r="K7555" s="130"/>
      <c r="L7555" s="133"/>
    </row>
    <row r="7556" spans="1:12" hidden="1" x14ac:dyDescent="0.25">
      <c r="A7556" s="130"/>
      <c r="B7556" s="130"/>
      <c r="C7556" s="132"/>
      <c r="D7556" s="129"/>
      <c r="E7556" s="129"/>
      <c r="F7556" s="129"/>
      <c r="G7556" s="129"/>
      <c r="H7556" s="129"/>
      <c r="I7556" s="131"/>
      <c r="J7556" s="132"/>
      <c r="K7556" s="130"/>
      <c r="L7556" s="133"/>
    </row>
    <row r="7557" spans="1:12" hidden="1" x14ac:dyDescent="0.25">
      <c r="A7557" s="130"/>
      <c r="B7557" s="130"/>
      <c r="C7557" s="132"/>
      <c r="D7557" s="129"/>
      <c r="E7557" s="129"/>
      <c r="F7557" s="129"/>
      <c r="G7557" s="129"/>
      <c r="H7557" s="129"/>
      <c r="I7557" s="131"/>
      <c r="J7557" s="132"/>
      <c r="K7557" s="130"/>
      <c r="L7557" s="133"/>
    </row>
    <row r="7558" spans="1:12" hidden="1" x14ac:dyDescent="0.25">
      <c r="A7558" s="130"/>
      <c r="B7558" s="130"/>
      <c r="C7558" s="132"/>
      <c r="D7558" s="129"/>
      <c r="E7558" s="129"/>
      <c r="F7558" s="129"/>
      <c r="G7558" s="129"/>
      <c r="H7558" s="129"/>
      <c r="I7558" s="131"/>
      <c r="J7558" s="132"/>
      <c r="K7558" s="130"/>
      <c r="L7558" s="133"/>
    </row>
    <row r="7559" spans="1:12" hidden="1" x14ac:dyDescent="0.25">
      <c r="A7559" s="130"/>
      <c r="B7559" s="130"/>
      <c r="C7559" s="132"/>
      <c r="D7559" s="129"/>
      <c r="E7559" s="129"/>
      <c r="F7559" s="129"/>
      <c r="G7559" s="129"/>
      <c r="H7559" s="129"/>
      <c r="I7559" s="131"/>
      <c r="J7559" s="132"/>
      <c r="K7559" s="130"/>
      <c r="L7559" s="133"/>
    </row>
    <row r="7560" spans="1:12" hidden="1" x14ac:dyDescent="0.25">
      <c r="A7560" s="130"/>
      <c r="B7560" s="130"/>
      <c r="C7560" s="132"/>
      <c r="D7560" s="129"/>
      <c r="E7560" s="129"/>
      <c r="F7560" s="129"/>
      <c r="G7560" s="129"/>
      <c r="H7560" s="129"/>
      <c r="I7560" s="131"/>
      <c r="J7560" s="132"/>
      <c r="K7560" s="130"/>
      <c r="L7560" s="133"/>
    </row>
    <row r="7561" spans="1:12" hidden="1" x14ac:dyDescent="0.25">
      <c r="A7561" s="130"/>
      <c r="B7561" s="130"/>
      <c r="C7561" s="132"/>
      <c r="D7561" s="129"/>
      <c r="E7561" s="129"/>
      <c r="F7561" s="129"/>
      <c r="G7561" s="129"/>
      <c r="H7561" s="129"/>
      <c r="I7561" s="131"/>
      <c r="J7561" s="132"/>
      <c r="K7561" s="130"/>
      <c r="L7561" s="133"/>
    </row>
    <row r="7562" spans="1:12" hidden="1" x14ac:dyDescent="0.25">
      <c r="A7562" s="130"/>
      <c r="B7562" s="130"/>
      <c r="C7562" s="132"/>
      <c r="D7562" s="129"/>
      <c r="E7562" s="129"/>
      <c r="F7562" s="129"/>
      <c r="G7562" s="129"/>
      <c r="H7562" s="129"/>
      <c r="I7562" s="131"/>
      <c r="J7562" s="132"/>
      <c r="K7562" s="130"/>
      <c r="L7562" s="133"/>
    </row>
    <row r="7563" spans="1:12" hidden="1" x14ac:dyDescent="0.25">
      <c r="A7563" s="130"/>
      <c r="B7563" s="130"/>
      <c r="C7563" s="132"/>
      <c r="D7563" s="129"/>
      <c r="E7563" s="129"/>
      <c r="F7563" s="129"/>
      <c r="G7563" s="129"/>
      <c r="H7563" s="129"/>
      <c r="I7563" s="131"/>
      <c r="J7563" s="132"/>
      <c r="K7563" s="130"/>
      <c r="L7563" s="133"/>
    </row>
    <row r="7564" spans="1:12" hidden="1" x14ac:dyDescent="0.25">
      <c r="A7564" s="130"/>
      <c r="B7564" s="130"/>
      <c r="C7564" s="132"/>
      <c r="D7564" s="129"/>
      <c r="E7564" s="129"/>
      <c r="F7564" s="129"/>
      <c r="G7564" s="129"/>
      <c r="H7564" s="129"/>
      <c r="I7564" s="131"/>
      <c r="J7564" s="132"/>
      <c r="K7564" s="130"/>
      <c r="L7564" s="133"/>
    </row>
    <row r="7565" spans="1:12" hidden="1" x14ac:dyDescent="0.25">
      <c r="A7565" s="130"/>
      <c r="B7565" s="130"/>
      <c r="C7565" s="132"/>
      <c r="D7565" s="129"/>
      <c r="E7565" s="129"/>
      <c r="F7565" s="129"/>
      <c r="G7565" s="129"/>
      <c r="H7565" s="129"/>
      <c r="I7565" s="131"/>
      <c r="J7565" s="132"/>
      <c r="K7565" s="130"/>
      <c r="L7565" s="133"/>
    </row>
    <row r="7566" spans="1:12" hidden="1" x14ac:dyDescent="0.25">
      <c r="A7566" s="130"/>
      <c r="B7566" s="130"/>
      <c r="C7566" s="132"/>
      <c r="D7566" s="129"/>
      <c r="E7566" s="129"/>
      <c r="F7566" s="129"/>
      <c r="G7566" s="129"/>
      <c r="H7566" s="129"/>
      <c r="I7566" s="131"/>
      <c r="J7566" s="132"/>
      <c r="K7566" s="130"/>
      <c r="L7566" s="133"/>
    </row>
    <row r="7567" spans="1:12" hidden="1" x14ac:dyDescent="0.25">
      <c r="A7567" s="130"/>
      <c r="B7567" s="130"/>
      <c r="C7567" s="132"/>
      <c r="D7567" s="129"/>
      <c r="E7567" s="129"/>
      <c r="F7567" s="129"/>
      <c r="G7567" s="129"/>
      <c r="H7567" s="129"/>
      <c r="I7567" s="131"/>
      <c r="J7567" s="132"/>
      <c r="K7567" s="130"/>
      <c r="L7567" s="133"/>
    </row>
    <row r="7568" spans="1:12" hidden="1" x14ac:dyDescent="0.25">
      <c r="A7568" s="130"/>
      <c r="B7568" s="130"/>
      <c r="C7568" s="132"/>
      <c r="D7568" s="129"/>
      <c r="E7568" s="129"/>
      <c r="F7568" s="129"/>
      <c r="G7568" s="129"/>
      <c r="H7568" s="129"/>
      <c r="I7568" s="131"/>
      <c r="J7568" s="132"/>
      <c r="K7568" s="130"/>
      <c r="L7568" s="133"/>
    </row>
    <row r="7569" spans="1:12" hidden="1" x14ac:dyDescent="0.25">
      <c r="A7569" s="130"/>
      <c r="B7569" s="130"/>
      <c r="C7569" s="132"/>
      <c r="D7569" s="129"/>
      <c r="E7569" s="129"/>
      <c r="F7569" s="129"/>
      <c r="G7569" s="129"/>
      <c r="H7569" s="129"/>
      <c r="I7569" s="131"/>
      <c r="J7569" s="132"/>
      <c r="K7569" s="130"/>
      <c r="L7569" s="133"/>
    </row>
    <row r="7570" spans="1:12" hidden="1" x14ac:dyDescent="0.25">
      <c r="A7570" s="130"/>
      <c r="B7570" s="130"/>
      <c r="C7570" s="132"/>
      <c r="D7570" s="129"/>
      <c r="E7570" s="129"/>
      <c r="F7570" s="129"/>
      <c r="G7570" s="129"/>
      <c r="H7570" s="129"/>
      <c r="I7570" s="131"/>
      <c r="J7570" s="132"/>
      <c r="K7570" s="130"/>
      <c r="L7570" s="133"/>
    </row>
    <row r="7571" spans="1:12" hidden="1" x14ac:dyDescent="0.25">
      <c r="A7571" s="130"/>
      <c r="B7571" s="130"/>
      <c r="C7571" s="132"/>
      <c r="D7571" s="129"/>
      <c r="E7571" s="129"/>
      <c r="F7571" s="129"/>
      <c r="G7571" s="129"/>
      <c r="H7571" s="129"/>
      <c r="I7571" s="131"/>
      <c r="J7571" s="132"/>
      <c r="K7571" s="130"/>
      <c r="L7571" s="133"/>
    </row>
    <row r="7572" spans="1:12" hidden="1" x14ac:dyDescent="0.25">
      <c r="A7572" s="130"/>
      <c r="B7572" s="130"/>
      <c r="C7572" s="132"/>
      <c r="D7572" s="129"/>
      <c r="E7572" s="129"/>
      <c r="F7572" s="129"/>
      <c r="G7572" s="129"/>
      <c r="H7572" s="129"/>
      <c r="I7572" s="131"/>
      <c r="J7572" s="132"/>
      <c r="K7572" s="130"/>
      <c r="L7572" s="133"/>
    </row>
    <row r="7573" spans="1:12" hidden="1" x14ac:dyDescent="0.25">
      <c r="A7573" s="130"/>
      <c r="B7573" s="130"/>
      <c r="C7573" s="132"/>
      <c r="D7573" s="129"/>
      <c r="E7573" s="129"/>
      <c r="F7573" s="129"/>
      <c r="G7573" s="129"/>
      <c r="H7573" s="129"/>
      <c r="I7573" s="131"/>
      <c r="J7573" s="132"/>
      <c r="K7573" s="130"/>
      <c r="L7573" s="133"/>
    </row>
    <row r="7574" spans="1:12" hidden="1" x14ac:dyDescent="0.25">
      <c r="A7574" s="130"/>
      <c r="B7574" s="130"/>
      <c r="C7574" s="132"/>
      <c r="D7574" s="129"/>
      <c r="E7574" s="129"/>
      <c r="F7574" s="129"/>
      <c r="G7574" s="129"/>
      <c r="H7574" s="129"/>
      <c r="I7574" s="131"/>
      <c r="J7574" s="132"/>
      <c r="K7574" s="130"/>
      <c r="L7574" s="133"/>
    </row>
    <row r="7575" spans="1:12" hidden="1" x14ac:dyDescent="0.25">
      <c r="A7575" s="130"/>
      <c r="B7575" s="130"/>
      <c r="C7575" s="132"/>
      <c r="D7575" s="129"/>
      <c r="E7575" s="129"/>
      <c r="F7575" s="129"/>
      <c r="G7575" s="129"/>
      <c r="H7575" s="129"/>
      <c r="I7575" s="131"/>
      <c r="J7575" s="132"/>
      <c r="K7575" s="130"/>
      <c r="L7575" s="133"/>
    </row>
    <row r="7576" spans="1:12" hidden="1" x14ac:dyDescent="0.25">
      <c r="A7576" s="130"/>
      <c r="B7576" s="130"/>
      <c r="C7576" s="132"/>
      <c r="D7576" s="129"/>
      <c r="E7576" s="129"/>
      <c r="F7576" s="129"/>
      <c r="G7576" s="129"/>
      <c r="H7576" s="129"/>
      <c r="I7576" s="131"/>
      <c r="J7576" s="132"/>
      <c r="K7576" s="130"/>
      <c r="L7576" s="133"/>
    </row>
    <row r="7577" spans="1:12" hidden="1" x14ac:dyDescent="0.25">
      <c r="A7577" s="130"/>
      <c r="B7577" s="130"/>
      <c r="C7577" s="132"/>
      <c r="D7577" s="129"/>
      <c r="E7577" s="129"/>
      <c r="F7577" s="129"/>
      <c r="G7577" s="129"/>
      <c r="H7577" s="129"/>
      <c r="I7577" s="131"/>
      <c r="J7577" s="132"/>
      <c r="K7577" s="130"/>
      <c r="L7577" s="133"/>
    </row>
    <row r="7578" spans="1:12" hidden="1" x14ac:dyDescent="0.25">
      <c r="A7578" s="130"/>
      <c r="B7578" s="130"/>
      <c r="C7578" s="132"/>
      <c r="D7578" s="129"/>
      <c r="E7578" s="129"/>
      <c r="F7578" s="129"/>
      <c r="G7578" s="129"/>
      <c r="H7578" s="129"/>
      <c r="I7578" s="131"/>
      <c r="J7578" s="132"/>
      <c r="K7578" s="130"/>
      <c r="L7578" s="133"/>
    </row>
    <row r="7579" spans="1:12" hidden="1" x14ac:dyDescent="0.25">
      <c r="A7579" s="130"/>
      <c r="B7579" s="130"/>
      <c r="C7579" s="132"/>
      <c r="D7579" s="129"/>
      <c r="E7579" s="129"/>
      <c r="F7579" s="129"/>
      <c r="G7579" s="129"/>
      <c r="H7579" s="129"/>
      <c r="I7579" s="131"/>
      <c r="J7579" s="132"/>
      <c r="K7579" s="130"/>
      <c r="L7579" s="133"/>
    </row>
    <row r="7580" spans="1:12" hidden="1" x14ac:dyDescent="0.25">
      <c r="A7580" s="130"/>
      <c r="B7580" s="130"/>
      <c r="C7580" s="132"/>
      <c r="D7580" s="129"/>
      <c r="E7580" s="129"/>
      <c r="F7580" s="129"/>
      <c r="G7580" s="129"/>
      <c r="H7580" s="129"/>
      <c r="I7580" s="131"/>
      <c r="J7580" s="132"/>
      <c r="K7580" s="130"/>
      <c r="L7580" s="133"/>
    </row>
    <row r="7581" spans="1:12" hidden="1" x14ac:dyDescent="0.25">
      <c r="A7581" s="130"/>
      <c r="B7581" s="130"/>
      <c r="C7581" s="132"/>
      <c r="D7581" s="129"/>
      <c r="E7581" s="129"/>
      <c r="F7581" s="129"/>
      <c r="G7581" s="129"/>
      <c r="H7581" s="129"/>
      <c r="I7581" s="131"/>
      <c r="J7581" s="132"/>
      <c r="K7581" s="130"/>
      <c r="L7581" s="133"/>
    </row>
    <row r="7582" spans="1:12" hidden="1" x14ac:dyDescent="0.25">
      <c r="A7582" s="130"/>
      <c r="B7582" s="130"/>
      <c r="C7582" s="132"/>
      <c r="D7582" s="129"/>
      <c r="E7582" s="129"/>
      <c r="F7582" s="129"/>
      <c r="G7582" s="129"/>
      <c r="H7582" s="129"/>
      <c r="I7582" s="131"/>
      <c r="J7582" s="132"/>
      <c r="K7582" s="130"/>
      <c r="L7582" s="133"/>
    </row>
    <row r="7583" spans="1:12" hidden="1" x14ac:dyDescent="0.25">
      <c r="A7583" s="130"/>
      <c r="B7583" s="130"/>
      <c r="C7583" s="132"/>
      <c r="D7583" s="129"/>
      <c r="E7583" s="129"/>
      <c r="F7583" s="129"/>
      <c r="G7583" s="129"/>
      <c r="H7583" s="129"/>
      <c r="I7583" s="131"/>
      <c r="J7583" s="132"/>
      <c r="K7583" s="130"/>
      <c r="L7583" s="133"/>
    </row>
    <row r="7584" spans="1:12" hidden="1" x14ac:dyDescent="0.25">
      <c r="A7584" s="130"/>
      <c r="B7584" s="130"/>
      <c r="C7584" s="132"/>
      <c r="D7584" s="129"/>
      <c r="E7584" s="129"/>
      <c r="F7584" s="129"/>
      <c r="G7584" s="129"/>
      <c r="H7584" s="129"/>
      <c r="I7584" s="131"/>
      <c r="J7584" s="132"/>
      <c r="K7584" s="130"/>
      <c r="L7584" s="133"/>
    </row>
    <row r="7585" spans="1:12" hidden="1" x14ac:dyDescent="0.25">
      <c r="A7585" s="130"/>
      <c r="B7585" s="130"/>
      <c r="C7585" s="132"/>
      <c r="D7585" s="129"/>
      <c r="E7585" s="129"/>
      <c r="F7585" s="129"/>
      <c r="G7585" s="129"/>
      <c r="H7585" s="129"/>
      <c r="I7585" s="131"/>
      <c r="J7585" s="132"/>
      <c r="K7585" s="130"/>
      <c r="L7585" s="133"/>
    </row>
    <row r="7586" spans="1:12" hidden="1" x14ac:dyDescent="0.25">
      <c r="A7586" s="130"/>
      <c r="B7586" s="130"/>
      <c r="C7586" s="132"/>
      <c r="D7586" s="129"/>
      <c r="E7586" s="129"/>
      <c r="F7586" s="129"/>
      <c r="G7586" s="129"/>
      <c r="H7586" s="129"/>
      <c r="I7586" s="131"/>
      <c r="J7586" s="132"/>
      <c r="K7586" s="130"/>
      <c r="L7586" s="133"/>
    </row>
    <row r="7587" spans="1:12" hidden="1" x14ac:dyDescent="0.25">
      <c r="A7587" s="130"/>
      <c r="B7587" s="130"/>
      <c r="C7587" s="132"/>
      <c r="D7587" s="129"/>
      <c r="E7587" s="129"/>
      <c r="F7587" s="129"/>
      <c r="G7587" s="129"/>
      <c r="H7587" s="129"/>
      <c r="I7587" s="131"/>
      <c r="J7587" s="132"/>
      <c r="K7587" s="130"/>
      <c r="L7587" s="133"/>
    </row>
    <row r="7588" spans="1:12" hidden="1" x14ac:dyDescent="0.25">
      <c r="A7588" s="130"/>
      <c r="B7588" s="130"/>
      <c r="C7588" s="132"/>
      <c r="D7588" s="129"/>
      <c r="E7588" s="129"/>
      <c r="F7588" s="129"/>
      <c r="G7588" s="129"/>
      <c r="H7588" s="129"/>
      <c r="I7588" s="131"/>
      <c r="J7588" s="132"/>
      <c r="K7588" s="130"/>
      <c r="L7588" s="133"/>
    </row>
    <row r="7589" spans="1:12" hidden="1" x14ac:dyDescent="0.25">
      <c r="A7589" s="130"/>
      <c r="B7589" s="130"/>
      <c r="C7589" s="132"/>
      <c r="D7589" s="129"/>
      <c r="E7589" s="129"/>
      <c r="F7589" s="129"/>
      <c r="G7589" s="129"/>
      <c r="H7589" s="129"/>
      <c r="I7589" s="131"/>
      <c r="J7589" s="132"/>
      <c r="K7589" s="130"/>
      <c r="L7589" s="133"/>
    </row>
    <row r="7590" spans="1:12" hidden="1" x14ac:dyDescent="0.25">
      <c r="A7590" s="130"/>
      <c r="B7590" s="130"/>
      <c r="C7590" s="132"/>
      <c r="D7590" s="129"/>
      <c r="E7590" s="129"/>
      <c r="F7590" s="129"/>
      <c r="G7590" s="129"/>
      <c r="H7590" s="129"/>
      <c r="I7590" s="131"/>
      <c r="J7590" s="132"/>
      <c r="K7590" s="130"/>
      <c r="L7590" s="133"/>
    </row>
    <row r="7591" spans="1:12" hidden="1" x14ac:dyDescent="0.25">
      <c r="A7591" s="130"/>
      <c r="B7591" s="130"/>
      <c r="C7591" s="132"/>
      <c r="D7591" s="129"/>
      <c r="E7591" s="129"/>
      <c r="F7591" s="129"/>
      <c r="G7591" s="129"/>
      <c r="H7591" s="129"/>
      <c r="I7591" s="131"/>
      <c r="J7591" s="132"/>
      <c r="K7591" s="130"/>
      <c r="L7591" s="133"/>
    </row>
    <row r="7592" spans="1:12" hidden="1" x14ac:dyDescent="0.25">
      <c r="A7592" s="130"/>
      <c r="B7592" s="130"/>
      <c r="C7592" s="132"/>
      <c r="D7592" s="129"/>
      <c r="E7592" s="129"/>
      <c r="F7592" s="129"/>
      <c r="G7592" s="129"/>
      <c r="H7592" s="129"/>
      <c r="I7592" s="131"/>
      <c r="J7592" s="132"/>
      <c r="K7592" s="130"/>
      <c r="L7592" s="133"/>
    </row>
    <row r="7593" spans="1:12" hidden="1" x14ac:dyDescent="0.25">
      <c r="A7593" s="130"/>
      <c r="B7593" s="130"/>
      <c r="C7593" s="132"/>
      <c r="D7593" s="129"/>
      <c r="E7593" s="129"/>
      <c r="F7593" s="129"/>
      <c r="G7593" s="129"/>
      <c r="H7593" s="129"/>
      <c r="I7593" s="131"/>
      <c r="J7593" s="132"/>
      <c r="K7593" s="130"/>
      <c r="L7593" s="133"/>
    </row>
    <row r="7594" spans="1:12" hidden="1" x14ac:dyDescent="0.25">
      <c r="A7594" s="130"/>
      <c r="B7594" s="130"/>
      <c r="C7594" s="132"/>
      <c r="D7594" s="129"/>
      <c r="E7594" s="129"/>
      <c r="F7594" s="129"/>
      <c r="G7594" s="129"/>
      <c r="H7594" s="129"/>
      <c r="I7594" s="131"/>
      <c r="J7594" s="132"/>
      <c r="K7594" s="130"/>
      <c r="L7594" s="133"/>
    </row>
    <row r="7595" spans="1:12" hidden="1" x14ac:dyDescent="0.25">
      <c r="A7595" s="130"/>
      <c r="B7595" s="130"/>
      <c r="C7595" s="132"/>
      <c r="D7595" s="129"/>
      <c r="E7595" s="129"/>
      <c r="F7595" s="129"/>
      <c r="G7595" s="129"/>
      <c r="H7595" s="129"/>
      <c r="I7595" s="131"/>
      <c r="J7595" s="132"/>
      <c r="K7595" s="130"/>
      <c r="L7595" s="133"/>
    </row>
    <row r="7596" spans="1:12" hidden="1" x14ac:dyDescent="0.25">
      <c r="A7596" s="130"/>
      <c r="B7596" s="130"/>
      <c r="C7596" s="132"/>
      <c r="D7596" s="129"/>
      <c r="E7596" s="129"/>
      <c r="F7596" s="129"/>
      <c r="G7596" s="129"/>
      <c r="H7596" s="129"/>
      <c r="I7596" s="131"/>
      <c r="J7596" s="132"/>
      <c r="K7596" s="130"/>
      <c r="L7596" s="133"/>
    </row>
    <row r="7597" spans="1:12" hidden="1" x14ac:dyDescent="0.25">
      <c r="A7597" s="130"/>
      <c r="B7597" s="130"/>
      <c r="C7597" s="132"/>
      <c r="D7597" s="129"/>
      <c r="E7597" s="129"/>
      <c r="F7597" s="129"/>
      <c r="G7597" s="129"/>
      <c r="H7597" s="129"/>
      <c r="I7597" s="131"/>
      <c r="J7597" s="132"/>
      <c r="K7597" s="130"/>
      <c r="L7597" s="133"/>
    </row>
    <row r="7598" spans="1:12" hidden="1" x14ac:dyDescent="0.25">
      <c r="A7598" s="130"/>
      <c r="B7598" s="130"/>
      <c r="C7598" s="132"/>
      <c r="D7598" s="129"/>
      <c r="E7598" s="129"/>
      <c r="F7598" s="129"/>
      <c r="G7598" s="129"/>
      <c r="H7598" s="129"/>
      <c r="I7598" s="131"/>
      <c r="J7598" s="132"/>
      <c r="K7598" s="130"/>
      <c r="L7598" s="133"/>
    </row>
    <row r="7599" spans="1:12" hidden="1" x14ac:dyDescent="0.25">
      <c r="A7599" s="130"/>
      <c r="B7599" s="130"/>
      <c r="C7599" s="132"/>
      <c r="D7599" s="129"/>
      <c r="E7599" s="129"/>
      <c r="F7599" s="129"/>
      <c r="G7599" s="129"/>
      <c r="H7599" s="129"/>
      <c r="I7599" s="131"/>
      <c r="J7599" s="132"/>
      <c r="K7599" s="130"/>
      <c r="L7599" s="133"/>
    </row>
    <row r="7600" spans="1:12" hidden="1" x14ac:dyDescent="0.25">
      <c r="A7600" s="130"/>
      <c r="B7600" s="130"/>
      <c r="C7600" s="132"/>
      <c r="D7600" s="129"/>
      <c r="E7600" s="129"/>
      <c r="F7600" s="129"/>
      <c r="G7600" s="129"/>
      <c r="H7600" s="129"/>
      <c r="I7600" s="131"/>
      <c r="J7600" s="132"/>
      <c r="K7600" s="130"/>
      <c r="L7600" s="133"/>
    </row>
    <row r="7601" spans="1:12" hidden="1" x14ac:dyDescent="0.25">
      <c r="A7601" s="130"/>
      <c r="B7601" s="130"/>
      <c r="C7601" s="132"/>
      <c r="D7601" s="129"/>
      <c r="E7601" s="129"/>
      <c r="F7601" s="129"/>
      <c r="G7601" s="129"/>
      <c r="H7601" s="129"/>
      <c r="I7601" s="131"/>
      <c r="J7601" s="132"/>
      <c r="K7601" s="130"/>
      <c r="L7601" s="133"/>
    </row>
    <row r="7602" spans="1:12" hidden="1" x14ac:dyDescent="0.25">
      <c r="A7602" s="130"/>
      <c r="B7602" s="130"/>
      <c r="C7602" s="132"/>
      <c r="D7602" s="129"/>
      <c r="E7602" s="129"/>
      <c r="F7602" s="129"/>
      <c r="G7602" s="129"/>
      <c r="H7602" s="129"/>
      <c r="I7602" s="131"/>
      <c r="J7602" s="132"/>
      <c r="K7602" s="130"/>
      <c r="L7602" s="133"/>
    </row>
    <row r="7603" spans="1:12" hidden="1" x14ac:dyDescent="0.25">
      <c r="A7603" s="130"/>
      <c r="B7603" s="130"/>
      <c r="C7603" s="132"/>
      <c r="D7603" s="129"/>
      <c r="E7603" s="129"/>
      <c r="F7603" s="129"/>
      <c r="G7603" s="129"/>
      <c r="H7603" s="129"/>
      <c r="I7603" s="131"/>
      <c r="J7603" s="132"/>
      <c r="K7603" s="130"/>
      <c r="L7603" s="133"/>
    </row>
    <row r="7604" spans="1:12" hidden="1" x14ac:dyDescent="0.25">
      <c r="A7604" s="130"/>
      <c r="B7604" s="130"/>
      <c r="C7604" s="132"/>
      <c r="D7604" s="129"/>
      <c r="E7604" s="129"/>
      <c r="F7604" s="129"/>
      <c r="G7604" s="129"/>
      <c r="H7604" s="129"/>
      <c r="I7604" s="131"/>
      <c r="J7604" s="132"/>
      <c r="K7604" s="130"/>
      <c r="L7604" s="133"/>
    </row>
    <row r="7605" spans="1:12" hidden="1" x14ac:dyDescent="0.25">
      <c r="A7605" s="130"/>
      <c r="B7605" s="130"/>
      <c r="C7605" s="132"/>
      <c r="D7605" s="129"/>
      <c r="E7605" s="129"/>
      <c r="F7605" s="129"/>
      <c r="G7605" s="129"/>
      <c r="H7605" s="129"/>
      <c r="I7605" s="131"/>
      <c r="J7605" s="132"/>
      <c r="K7605" s="130"/>
      <c r="L7605" s="133"/>
    </row>
    <row r="7606" spans="1:12" hidden="1" x14ac:dyDescent="0.25">
      <c r="A7606" s="130"/>
      <c r="B7606" s="130"/>
      <c r="C7606" s="132"/>
      <c r="D7606" s="129"/>
      <c r="E7606" s="129"/>
      <c r="F7606" s="129"/>
      <c r="G7606" s="129"/>
      <c r="H7606" s="129"/>
      <c r="I7606" s="131"/>
      <c r="J7606" s="132"/>
      <c r="K7606" s="130"/>
      <c r="L7606" s="133"/>
    </row>
    <row r="7607" spans="1:12" hidden="1" x14ac:dyDescent="0.25">
      <c r="A7607" s="130"/>
      <c r="B7607" s="130"/>
      <c r="C7607" s="132"/>
      <c r="D7607" s="129"/>
      <c r="E7607" s="129"/>
      <c r="F7607" s="129"/>
      <c r="G7607" s="129"/>
      <c r="H7607" s="129"/>
      <c r="I7607" s="131"/>
      <c r="J7607" s="132"/>
      <c r="K7607" s="130"/>
      <c r="L7607" s="133"/>
    </row>
    <row r="7608" spans="1:12" hidden="1" x14ac:dyDescent="0.25">
      <c r="A7608" s="130"/>
      <c r="B7608" s="130"/>
      <c r="C7608" s="132"/>
      <c r="D7608" s="129"/>
      <c r="E7608" s="129"/>
      <c r="F7608" s="129"/>
      <c r="G7608" s="129"/>
      <c r="H7608" s="129"/>
      <c r="I7608" s="131"/>
      <c r="J7608" s="132"/>
      <c r="K7608" s="130"/>
      <c r="L7608" s="133"/>
    </row>
    <row r="7609" spans="1:12" hidden="1" x14ac:dyDescent="0.25">
      <c r="A7609" s="130"/>
      <c r="B7609" s="130"/>
      <c r="C7609" s="132"/>
      <c r="D7609" s="129"/>
      <c r="E7609" s="129"/>
      <c r="F7609" s="129"/>
      <c r="G7609" s="129"/>
      <c r="H7609" s="129"/>
      <c r="I7609" s="131"/>
      <c r="J7609" s="132"/>
      <c r="K7609" s="130"/>
      <c r="L7609" s="133"/>
    </row>
    <row r="7610" spans="1:12" hidden="1" x14ac:dyDescent="0.25">
      <c r="A7610" s="130"/>
      <c r="B7610" s="130"/>
      <c r="C7610" s="132"/>
      <c r="D7610" s="129"/>
      <c r="E7610" s="129"/>
      <c r="F7610" s="129"/>
      <c r="G7610" s="129"/>
      <c r="H7610" s="129"/>
      <c r="I7610" s="131"/>
      <c r="J7610" s="132"/>
      <c r="K7610" s="130"/>
      <c r="L7610" s="133"/>
    </row>
    <row r="7611" spans="1:12" hidden="1" x14ac:dyDescent="0.25">
      <c r="A7611" s="130"/>
      <c r="B7611" s="130"/>
      <c r="C7611" s="132"/>
      <c r="D7611" s="129"/>
      <c r="E7611" s="129"/>
      <c r="F7611" s="129"/>
      <c r="G7611" s="129"/>
      <c r="H7611" s="129"/>
      <c r="I7611" s="131"/>
      <c r="J7611" s="132"/>
      <c r="K7611" s="130"/>
      <c r="L7611" s="133"/>
    </row>
    <row r="7612" spans="1:12" hidden="1" x14ac:dyDescent="0.25">
      <c r="A7612" s="130"/>
      <c r="B7612" s="130"/>
      <c r="C7612" s="132"/>
      <c r="D7612" s="129"/>
      <c r="E7612" s="129"/>
      <c r="F7612" s="129"/>
      <c r="G7612" s="129"/>
      <c r="H7612" s="129"/>
      <c r="I7612" s="131"/>
      <c r="J7612" s="132"/>
      <c r="K7612" s="130"/>
      <c r="L7612" s="133"/>
    </row>
    <row r="7613" spans="1:12" hidden="1" x14ac:dyDescent="0.25">
      <c r="A7613" s="130"/>
      <c r="B7613" s="130"/>
      <c r="C7613" s="132"/>
      <c r="D7613" s="129"/>
      <c r="E7613" s="129"/>
      <c r="F7613" s="129"/>
      <c r="G7613" s="129"/>
      <c r="H7613" s="129"/>
      <c r="I7613" s="131"/>
      <c r="J7613" s="132"/>
      <c r="K7613" s="130"/>
      <c r="L7613" s="133"/>
    </row>
    <row r="7614" spans="1:12" hidden="1" x14ac:dyDescent="0.25">
      <c r="A7614" s="130"/>
      <c r="B7614" s="130"/>
      <c r="C7614" s="132"/>
      <c r="D7614" s="129"/>
      <c r="E7614" s="129"/>
      <c r="F7614" s="129"/>
      <c r="G7614" s="129"/>
      <c r="H7614" s="129"/>
      <c r="I7614" s="131"/>
      <c r="J7614" s="132"/>
      <c r="K7614" s="130"/>
      <c r="L7614" s="133"/>
    </row>
    <row r="7615" spans="1:12" hidden="1" x14ac:dyDescent="0.25">
      <c r="A7615" s="130"/>
      <c r="B7615" s="130"/>
      <c r="C7615" s="132"/>
      <c r="D7615" s="129"/>
      <c r="E7615" s="129"/>
      <c r="F7615" s="129"/>
      <c r="G7615" s="129"/>
      <c r="H7615" s="129"/>
      <c r="I7615" s="131"/>
      <c r="J7615" s="132"/>
      <c r="K7615" s="130"/>
      <c r="L7615" s="133"/>
    </row>
    <row r="7616" spans="1:12" hidden="1" x14ac:dyDescent="0.25">
      <c r="A7616" s="130"/>
      <c r="B7616" s="130"/>
      <c r="C7616" s="132"/>
      <c r="D7616" s="129"/>
      <c r="E7616" s="129"/>
      <c r="F7616" s="129"/>
      <c r="G7616" s="129"/>
      <c r="H7616" s="129"/>
      <c r="I7616" s="131"/>
      <c r="J7616" s="132"/>
      <c r="K7616" s="130"/>
      <c r="L7616" s="133"/>
    </row>
    <row r="7617" spans="1:12" hidden="1" x14ac:dyDescent="0.25">
      <c r="A7617" s="130"/>
      <c r="B7617" s="130"/>
      <c r="C7617" s="132"/>
      <c r="D7617" s="129"/>
      <c r="E7617" s="129"/>
      <c r="F7617" s="129"/>
      <c r="G7617" s="129"/>
      <c r="H7617" s="129"/>
      <c r="I7617" s="131"/>
      <c r="J7617" s="132"/>
      <c r="K7617" s="130"/>
      <c r="L7617" s="133"/>
    </row>
    <row r="7618" spans="1:12" hidden="1" x14ac:dyDescent="0.25">
      <c r="A7618" s="130"/>
      <c r="B7618" s="130"/>
      <c r="C7618" s="132"/>
      <c r="D7618" s="129"/>
      <c r="E7618" s="129"/>
      <c r="F7618" s="129"/>
      <c r="G7618" s="129"/>
      <c r="H7618" s="129"/>
      <c r="I7618" s="131"/>
      <c r="J7618" s="132"/>
      <c r="K7618" s="130"/>
      <c r="L7618" s="133"/>
    </row>
    <row r="7619" spans="1:12" hidden="1" x14ac:dyDescent="0.25">
      <c r="A7619" s="130"/>
      <c r="B7619" s="130"/>
      <c r="C7619" s="132"/>
      <c r="D7619" s="129"/>
      <c r="E7619" s="129"/>
      <c r="F7619" s="129"/>
      <c r="G7619" s="129"/>
      <c r="H7619" s="129"/>
      <c r="I7619" s="131"/>
      <c r="J7619" s="132"/>
      <c r="K7619" s="130"/>
      <c r="L7619" s="133"/>
    </row>
    <row r="7620" spans="1:12" hidden="1" x14ac:dyDescent="0.25">
      <c r="A7620" s="130"/>
      <c r="B7620" s="130"/>
      <c r="C7620" s="132"/>
      <c r="D7620" s="129"/>
      <c r="E7620" s="129"/>
      <c r="F7620" s="129"/>
      <c r="G7620" s="129"/>
      <c r="H7620" s="129"/>
      <c r="I7620" s="131"/>
      <c r="J7620" s="132"/>
      <c r="K7620" s="130"/>
      <c r="L7620" s="133"/>
    </row>
    <row r="7621" spans="1:12" hidden="1" x14ac:dyDescent="0.25">
      <c r="A7621" s="130"/>
      <c r="B7621" s="130"/>
      <c r="C7621" s="132"/>
      <c r="D7621" s="129"/>
      <c r="E7621" s="129"/>
      <c r="F7621" s="129"/>
      <c r="G7621" s="129"/>
      <c r="H7621" s="129"/>
      <c r="I7621" s="131"/>
      <c r="J7621" s="132"/>
      <c r="K7621" s="130"/>
      <c r="L7621" s="133"/>
    </row>
    <row r="7622" spans="1:12" hidden="1" x14ac:dyDescent="0.25">
      <c r="A7622" s="130"/>
      <c r="B7622" s="130"/>
      <c r="C7622" s="132"/>
      <c r="D7622" s="129"/>
      <c r="E7622" s="129"/>
      <c r="F7622" s="129"/>
      <c r="G7622" s="129"/>
      <c r="H7622" s="129"/>
      <c r="I7622" s="131"/>
      <c r="J7622" s="132"/>
      <c r="K7622" s="130"/>
      <c r="L7622" s="133"/>
    </row>
    <row r="7623" spans="1:12" hidden="1" x14ac:dyDescent="0.25">
      <c r="A7623" s="130"/>
      <c r="B7623" s="130"/>
      <c r="C7623" s="132"/>
      <c r="D7623" s="129"/>
      <c r="E7623" s="129"/>
      <c r="F7623" s="129"/>
      <c r="G7623" s="129"/>
      <c r="H7623" s="129"/>
      <c r="I7623" s="131"/>
      <c r="J7623" s="132"/>
      <c r="K7623" s="130"/>
      <c r="L7623" s="133"/>
    </row>
    <row r="7624" spans="1:12" hidden="1" x14ac:dyDescent="0.25">
      <c r="A7624" s="130"/>
      <c r="B7624" s="130"/>
      <c r="C7624" s="132"/>
      <c r="D7624" s="129"/>
      <c r="E7624" s="129"/>
      <c r="F7624" s="129"/>
      <c r="G7624" s="129"/>
      <c r="H7624" s="129"/>
      <c r="I7624" s="131"/>
      <c r="J7624" s="132"/>
      <c r="K7624" s="130"/>
      <c r="L7624" s="133"/>
    </row>
    <row r="7625" spans="1:12" hidden="1" x14ac:dyDescent="0.25">
      <c r="A7625" s="130"/>
      <c r="B7625" s="130"/>
      <c r="C7625" s="132"/>
      <c r="D7625" s="129"/>
      <c r="E7625" s="129"/>
      <c r="F7625" s="129"/>
      <c r="G7625" s="129"/>
      <c r="H7625" s="129"/>
      <c r="I7625" s="131"/>
      <c r="J7625" s="132"/>
      <c r="K7625" s="130"/>
      <c r="L7625" s="133"/>
    </row>
    <row r="7626" spans="1:12" hidden="1" x14ac:dyDescent="0.25">
      <c r="A7626" s="130"/>
      <c r="B7626" s="130"/>
      <c r="C7626" s="132"/>
      <c r="D7626" s="129"/>
      <c r="E7626" s="129"/>
      <c r="F7626" s="129"/>
      <c r="G7626" s="129"/>
      <c r="H7626" s="129"/>
      <c r="I7626" s="131"/>
      <c r="J7626" s="132"/>
      <c r="K7626" s="130"/>
      <c r="L7626" s="133"/>
    </row>
    <row r="7627" spans="1:12" hidden="1" x14ac:dyDescent="0.25">
      <c r="A7627" s="130"/>
      <c r="B7627" s="130"/>
      <c r="C7627" s="132"/>
      <c r="D7627" s="129"/>
      <c r="E7627" s="129"/>
      <c r="F7627" s="129"/>
      <c r="G7627" s="129"/>
      <c r="H7627" s="129"/>
      <c r="I7627" s="131"/>
      <c r="J7627" s="132"/>
      <c r="K7627" s="130"/>
      <c r="L7627" s="133"/>
    </row>
    <row r="7628" spans="1:12" hidden="1" x14ac:dyDescent="0.25">
      <c r="A7628" s="130"/>
      <c r="B7628" s="130"/>
      <c r="C7628" s="132"/>
      <c r="D7628" s="129"/>
      <c r="E7628" s="129"/>
      <c r="F7628" s="129"/>
      <c r="G7628" s="129"/>
      <c r="H7628" s="129"/>
      <c r="I7628" s="131"/>
      <c r="J7628" s="132"/>
      <c r="K7628" s="130"/>
      <c r="L7628" s="133"/>
    </row>
    <row r="7629" spans="1:12" hidden="1" x14ac:dyDescent="0.25">
      <c r="A7629" s="130"/>
      <c r="B7629" s="130"/>
      <c r="C7629" s="132"/>
      <c r="D7629" s="129"/>
      <c r="E7629" s="129"/>
      <c r="F7629" s="129"/>
      <c r="G7629" s="129"/>
      <c r="H7629" s="129"/>
      <c r="I7629" s="131"/>
      <c r="J7629" s="132"/>
      <c r="K7629" s="130"/>
      <c r="L7629" s="133"/>
    </row>
    <row r="7630" spans="1:12" hidden="1" x14ac:dyDescent="0.25">
      <c r="A7630" s="130"/>
      <c r="B7630" s="130"/>
      <c r="C7630" s="132"/>
      <c r="D7630" s="129"/>
      <c r="E7630" s="129"/>
      <c r="F7630" s="129"/>
      <c r="G7630" s="129"/>
      <c r="H7630" s="129"/>
      <c r="I7630" s="131"/>
      <c r="J7630" s="132"/>
      <c r="K7630" s="130"/>
      <c r="L7630" s="133"/>
    </row>
    <row r="7631" spans="1:12" hidden="1" x14ac:dyDescent="0.25">
      <c r="A7631" s="130"/>
      <c r="B7631" s="130"/>
      <c r="C7631" s="132"/>
      <c r="D7631" s="129"/>
      <c r="E7631" s="129"/>
      <c r="F7631" s="129"/>
      <c r="G7631" s="129"/>
      <c r="H7631" s="129"/>
      <c r="I7631" s="131"/>
      <c r="J7631" s="132"/>
      <c r="K7631" s="130"/>
      <c r="L7631" s="133"/>
    </row>
    <row r="7632" spans="1:12" hidden="1" x14ac:dyDescent="0.25">
      <c r="A7632" s="130"/>
      <c r="B7632" s="130"/>
      <c r="C7632" s="132"/>
      <c r="D7632" s="129"/>
      <c r="E7632" s="129"/>
      <c r="F7632" s="129"/>
      <c r="G7632" s="129"/>
      <c r="H7632" s="129"/>
      <c r="I7632" s="131"/>
      <c r="J7632" s="132"/>
      <c r="K7632" s="130"/>
      <c r="L7632" s="133"/>
    </row>
    <row r="7633" spans="1:12" hidden="1" x14ac:dyDescent="0.25">
      <c r="A7633" s="130"/>
      <c r="B7633" s="130"/>
      <c r="C7633" s="132"/>
      <c r="D7633" s="129"/>
      <c r="E7633" s="129"/>
      <c r="F7633" s="129"/>
      <c r="G7633" s="129"/>
      <c r="H7633" s="129"/>
      <c r="I7633" s="131"/>
      <c r="J7633" s="132"/>
      <c r="K7633" s="130"/>
      <c r="L7633" s="133"/>
    </row>
    <row r="7634" spans="1:12" hidden="1" x14ac:dyDescent="0.25">
      <c r="A7634" s="130"/>
      <c r="B7634" s="130"/>
      <c r="C7634" s="132"/>
      <c r="D7634" s="129"/>
      <c r="E7634" s="129"/>
      <c r="F7634" s="129"/>
      <c r="G7634" s="129"/>
      <c r="H7634" s="129"/>
      <c r="I7634" s="131"/>
      <c r="J7634" s="132"/>
      <c r="K7634" s="130"/>
      <c r="L7634" s="133"/>
    </row>
    <row r="7635" spans="1:12" hidden="1" x14ac:dyDescent="0.25">
      <c r="A7635" s="130"/>
      <c r="B7635" s="130"/>
      <c r="C7635" s="132"/>
      <c r="D7635" s="129"/>
      <c r="E7635" s="129"/>
      <c r="F7635" s="129"/>
      <c r="G7635" s="129"/>
      <c r="H7635" s="129"/>
      <c r="I7635" s="131"/>
      <c r="J7635" s="132"/>
      <c r="K7635" s="130"/>
      <c r="L7635" s="133"/>
    </row>
    <row r="7636" spans="1:12" hidden="1" x14ac:dyDescent="0.25">
      <c r="A7636" s="130"/>
      <c r="B7636" s="130"/>
      <c r="C7636" s="132"/>
      <c r="D7636" s="129"/>
      <c r="E7636" s="129"/>
      <c r="F7636" s="129"/>
      <c r="G7636" s="129"/>
      <c r="H7636" s="129"/>
      <c r="I7636" s="131"/>
      <c r="J7636" s="132"/>
      <c r="K7636" s="130"/>
      <c r="L7636" s="133"/>
    </row>
    <row r="7637" spans="1:12" hidden="1" x14ac:dyDescent="0.25">
      <c r="A7637" s="130"/>
      <c r="B7637" s="130"/>
      <c r="C7637" s="132"/>
      <c r="D7637" s="129"/>
      <c r="E7637" s="129"/>
      <c r="F7637" s="129"/>
      <c r="G7637" s="129"/>
      <c r="H7637" s="129"/>
      <c r="I7637" s="131"/>
      <c r="J7637" s="132"/>
      <c r="K7637" s="130"/>
      <c r="L7637" s="133"/>
    </row>
    <row r="7638" spans="1:12" hidden="1" x14ac:dyDescent="0.25">
      <c r="A7638" s="130"/>
      <c r="B7638" s="130"/>
      <c r="C7638" s="132"/>
      <c r="D7638" s="129"/>
      <c r="E7638" s="129"/>
      <c r="F7638" s="129"/>
      <c r="G7638" s="129"/>
      <c r="H7638" s="129"/>
      <c r="I7638" s="131"/>
      <c r="J7638" s="132"/>
      <c r="K7638" s="130"/>
      <c r="L7638" s="133"/>
    </row>
    <row r="7639" spans="1:12" hidden="1" x14ac:dyDescent="0.25">
      <c r="A7639" s="130"/>
      <c r="B7639" s="130"/>
      <c r="C7639" s="132"/>
      <c r="D7639" s="129"/>
      <c r="E7639" s="129"/>
      <c r="F7639" s="129"/>
      <c r="G7639" s="129"/>
      <c r="H7639" s="129"/>
      <c r="I7639" s="131"/>
      <c r="J7639" s="132"/>
      <c r="K7639" s="130"/>
      <c r="L7639" s="133"/>
    </row>
    <row r="7640" spans="1:12" hidden="1" x14ac:dyDescent="0.25">
      <c r="A7640" s="130"/>
      <c r="B7640" s="130"/>
      <c r="C7640" s="132"/>
      <c r="D7640" s="129"/>
      <c r="E7640" s="129"/>
      <c r="F7640" s="129"/>
      <c r="G7640" s="129"/>
      <c r="H7640" s="129"/>
      <c r="I7640" s="131"/>
      <c r="J7640" s="132"/>
      <c r="K7640" s="130"/>
      <c r="L7640" s="133"/>
    </row>
    <row r="7641" spans="1:12" hidden="1" x14ac:dyDescent="0.25">
      <c r="A7641" s="130"/>
      <c r="B7641" s="130"/>
      <c r="C7641" s="132"/>
      <c r="D7641" s="129"/>
      <c r="E7641" s="129"/>
      <c r="F7641" s="129"/>
      <c r="G7641" s="129"/>
      <c r="H7641" s="129"/>
      <c r="I7641" s="131"/>
      <c r="J7641" s="132"/>
      <c r="K7641" s="130"/>
      <c r="L7641" s="133"/>
    </row>
    <row r="7642" spans="1:12" hidden="1" x14ac:dyDescent="0.25">
      <c r="A7642" s="130"/>
      <c r="B7642" s="130"/>
      <c r="C7642" s="132"/>
      <c r="D7642" s="129"/>
      <c r="E7642" s="129"/>
      <c r="F7642" s="129"/>
      <c r="G7642" s="129"/>
      <c r="H7642" s="129"/>
      <c r="I7642" s="131"/>
      <c r="J7642" s="132"/>
      <c r="K7642" s="130"/>
      <c r="L7642" s="133"/>
    </row>
    <row r="7643" spans="1:12" hidden="1" x14ac:dyDescent="0.25">
      <c r="A7643" s="130"/>
      <c r="B7643" s="130"/>
      <c r="C7643" s="132"/>
      <c r="D7643" s="129"/>
      <c r="E7643" s="129"/>
      <c r="F7643" s="129"/>
      <c r="G7643" s="129"/>
      <c r="H7643" s="129"/>
      <c r="I7643" s="131"/>
      <c r="J7643" s="132"/>
      <c r="K7643" s="130"/>
      <c r="L7643" s="133"/>
    </row>
    <row r="7644" spans="1:12" hidden="1" x14ac:dyDescent="0.25">
      <c r="A7644" s="130"/>
      <c r="B7644" s="130"/>
      <c r="C7644" s="132"/>
      <c r="D7644" s="129"/>
      <c r="E7644" s="129"/>
      <c r="F7644" s="129"/>
      <c r="G7644" s="129"/>
      <c r="H7644" s="129"/>
      <c r="I7644" s="131"/>
      <c r="J7644" s="132"/>
      <c r="K7644" s="130"/>
      <c r="L7644" s="133"/>
    </row>
    <row r="7645" spans="1:12" hidden="1" x14ac:dyDescent="0.25">
      <c r="A7645" s="130"/>
      <c r="B7645" s="130"/>
      <c r="C7645" s="132"/>
      <c r="D7645" s="129"/>
      <c r="E7645" s="129"/>
      <c r="F7645" s="129"/>
      <c r="G7645" s="129"/>
      <c r="H7645" s="129"/>
      <c r="I7645" s="131"/>
      <c r="J7645" s="132"/>
      <c r="K7645" s="130"/>
      <c r="L7645" s="133"/>
    </row>
    <row r="7646" spans="1:12" hidden="1" x14ac:dyDescent="0.25">
      <c r="A7646" s="130"/>
      <c r="B7646" s="130"/>
      <c r="C7646" s="132"/>
      <c r="D7646" s="129"/>
      <c r="E7646" s="129"/>
      <c r="F7646" s="129"/>
      <c r="G7646" s="129"/>
      <c r="H7646" s="129"/>
      <c r="I7646" s="131"/>
      <c r="J7646" s="132"/>
      <c r="K7646" s="130"/>
      <c r="L7646" s="133"/>
    </row>
    <row r="7647" spans="1:12" hidden="1" x14ac:dyDescent="0.25">
      <c r="A7647" s="130"/>
      <c r="B7647" s="130"/>
      <c r="C7647" s="132"/>
      <c r="D7647" s="129"/>
      <c r="E7647" s="129"/>
      <c r="F7647" s="129"/>
      <c r="G7647" s="129"/>
      <c r="H7647" s="129"/>
      <c r="I7647" s="131"/>
      <c r="J7647" s="132"/>
      <c r="K7647" s="130"/>
      <c r="L7647" s="133"/>
    </row>
    <row r="7648" spans="1:12" hidden="1" x14ac:dyDescent="0.25">
      <c r="A7648" s="130"/>
      <c r="B7648" s="130"/>
      <c r="C7648" s="132"/>
      <c r="D7648" s="129"/>
      <c r="E7648" s="129"/>
      <c r="F7648" s="129"/>
      <c r="G7648" s="129"/>
      <c r="H7648" s="129"/>
      <c r="I7648" s="131"/>
      <c r="J7648" s="132"/>
      <c r="K7648" s="130"/>
      <c r="L7648" s="133"/>
    </row>
    <row r="7649" spans="1:12" hidden="1" x14ac:dyDescent="0.25">
      <c r="A7649" s="130"/>
      <c r="B7649" s="130"/>
      <c r="C7649" s="132"/>
      <c r="D7649" s="129"/>
      <c r="E7649" s="129"/>
      <c r="F7649" s="129"/>
      <c r="G7649" s="129"/>
      <c r="H7649" s="129"/>
      <c r="I7649" s="131"/>
      <c r="J7649" s="132"/>
      <c r="K7649" s="130"/>
      <c r="L7649" s="133"/>
    </row>
    <row r="7650" spans="1:12" hidden="1" x14ac:dyDescent="0.25">
      <c r="A7650" s="130"/>
      <c r="B7650" s="130"/>
      <c r="C7650" s="132"/>
      <c r="D7650" s="129"/>
      <c r="E7650" s="129"/>
      <c r="F7650" s="129"/>
      <c r="G7650" s="129"/>
      <c r="H7650" s="129"/>
      <c r="I7650" s="131"/>
      <c r="J7650" s="132"/>
      <c r="K7650" s="130"/>
      <c r="L7650" s="133"/>
    </row>
    <row r="7651" spans="1:12" hidden="1" x14ac:dyDescent="0.25">
      <c r="A7651" s="130"/>
      <c r="B7651" s="130"/>
      <c r="C7651" s="132"/>
      <c r="D7651" s="129"/>
      <c r="E7651" s="129"/>
      <c r="F7651" s="129"/>
      <c r="G7651" s="129"/>
      <c r="H7651" s="129"/>
      <c r="I7651" s="131"/>
      <c r="J7651" s="132"/>
      <c r="K7651" s="130"/>
      <c r="L7651" s="133"/>
    </row>
    <row r="7652" spans="1:12" hidden="1" x14ac:dyDescent="0.25">
      <c r="A7652" s="130"/>
      <c r="B7652" s="130"/>
      <c r="C7652" s="132"/>
      <c r="D7652" s="129"/>
      <c r="E7652" s="129"/>
      <c r="F7652" s="129"/>
      <c r="G7652" s="129"/>
      <c r="H7652" s="129"/>
      <c r="I7652" s="131"/>
      <c r="J7652" s="132"/>
      <c r="K7652" s="130"/>
      <c r="L7652" s="133"/>
    </row>
    <row r="7653" spans="1:12" hidden="1" x14ac:dyDescent="0.25">
      <c r="A7653" s="130"/>
      <c r="B7653" s="130"/>
      <c r="C7653" s="132"/>
      <c r="D7653" s="129"/>
      <c r="E7653" s="129"/>
      <c r="F7653" s="129"/>
      <c r="G7653" s="129"/>
      <c r="H7653" s="129"/>
      <c r="I7653" s="131"/>
      <c r="J7653" s="132"/>
      <c r="K7653" s="130"/>
      <c r="L7653" s="133"/>
    </row>
    <row r="7654" spans="1:12" hidden="1" x14ac:dyDescent="0.25">
      <c r="A7654" s="130"/>
      <c r="B7654" s="130"/>
      <c r="C7654" s="132"/>
      <c r="D7654" s="129"/>
      <c r="E7654" s="129"/>
      <c r="F7654" s="129"/>
      <c r="G7654" s="129"/>
      <c r="H7654" s="129"/>
      <c r="I7654" s="131"/>
      <c r="J7654" s="132"/>
      <c r="K7654" s="130"/>
      <c r="L7654" s="133"/>
    </row>
    <row r="7655" spans="1:12" hidden="1" x14ac:dyDescent="0.25">
      <c r="A7655" s="130"/>
      <c r="B7655" s="130"/>
      <c r="C7655" s="132"/>
      <c r="D7655" s="129"/>
      <c r="E7655" s="129"/>
      <c r="F7655" s="129"/>
      <c r="G7655" s="129"/>
      <c r="H7655" s="129"/>
      <c r="I7655" s="131"/>
      <c r="J7655" s="132"/>
      <c r="K7655" s="130"/>
      <c r="L7655" s="133"/>
    </row>
    <row r="7656" spans="1:12" hidden="1" x14ac:dyDescent="0.25">
      <c r="A7656" s="130"/>
      <c r="B7656" s="130"/>
      <c r="C7656" s="132"/>
      <c r="D7656" s="129"/>
      <c r="E7656" s="129"/>
      <c r="F7656" s="129"/>
      <c r="G7656" s="129"/>
      <c r="H7656" s="129"/>
      <c r="I7656" s="131"/>
      <c r="J7656" s="132"/>
      <c r="K7656" s="130"/>
      <c r="L7656" s="133"/>
    </row>
    <row r="7657" spans="1:12" hidden="1" x14ac:dyDescent="0.25">
      <c r="A7657" s="130"/>
      <c r="B7657" s="130"/>
      <c r="C7657" s="132"/>
      <c r="D7657" s="129"/>
      <c r="E7657" s="129"/>
      <c r="F7657" s="129"/>
      <c r="G7657" s="129"/>
      <c r="H7657" s="129"/>
      <c r="I7657" s="131"/>
      <c r="J7657" s="132"/>
      <c r="K7657" s="130"/>
      <c r="L7657" s="133"/>
    </row>
    <row r="7658" spans="1:12" hidden="1" x14ac:dyDescent="0.25">
      <c r="A7658" s="130"/>
      <c r="B7658" s="130"/>
      <c r="C7658" s="132"/>
      <c r="D7658" s="129"/>
      <c r="E7658" s="129"/>
      <c r="F7658" s="129"/>
      <c r="G7658" s="129"/>
      <c r="H7658" s="129"/>
      <c r="I7658" s="131"/>
      <c r="J7658" s="132"/>
      <c r="K7658" s="130"/>
      <c r="L7658" s="133"/>
    </row>
    <row r="7659" spans="1:12" hidden="1" x14ac:dyDescent="0.25">
      <c r="A7659" s="130"/>
      <c r="B7659" s="130"/>
      <c r="C7659" s="132"/>
      <c r="D7659" s="129"/>
      <c r="E7659" s="129"/>
      <c r="F7659" s="129"/>
      <c r="G7659" s="129"/>
      <c r="H7659" s="129"/>
      <c r="I7659" s="131"/>
      <c r="J7659" s="132"/>
      <c r="K7659" s="130"/>
      <c r="L7659" s="133"/>
    </row>
    <row r="7660" spans="1:12" hidden="1" x14ac:dyDescent="0.25">
      <c r="A7660" s="130"/>
      <c r="B7660" s="130"/>
      <c r="C7660" s="132"/>
      <c r="D7660" s="129"/>
      <c r="E7660" s="129"/>
      <c r="F7660" s="129"/>
      <c r="G7660" s="129"/>
      <c r="H7660" s="129"/>
      <c r="I7660" s="131"/>
      <c r="J7660" s="132"/>
      <c r="K7660" s="130"/>
      <c r="L7660" s="133"/>
    </row>
    <row r="7661" spans="1:12" hidden="1" x14ac:dyDescent="0.25">
      <c r="A7661" s="130"/>
      <c r="B7661" s="130"/>
      <c r="C7661" s="132"/>
      <c r="D7661" s="129"/>
      <c r="E7661" s="129"/>
      <c r="F7661" s="129"/>
      <c r="G7661" s="129"/>
      <c r="H7661" s="129"/>
      <c r="I7661" s="131"/>
      <c r="J7661" s="132"/>
      <c r="K7661" s="130"/>
      <c r="L7661" s="133"/>
    </row>
    <row r="7662" spans="1:12" hidden="1" x14ac:dyDescent="0.25">
      <c r="A7662" s="130"/>
      <c r="B7662" s="130"/>
      <c r="C7662" s="132"/>
      <c r="D7662" s="129"/>
      <c r="E7662" s="129"/>
      <c r="F7662" s="129"/>
      <c r="G7662" s="129"/>
      <c r="H7662" s="129"/>
      <c r="I7662" s="131"/>
      <c r="J7662" s="132"/>
      <c r="K7662" s="130"/>
      <c r="L7662" s="133"/>
    </row>
    <row r="7663" spans="1:12" hidden="1" x14ac:dyDescent="0.25">
      <c r="A7663" s="130"/>
      <c r="B7663" s="130"/>
      <c r="C7663" s="132"/>
      <c r="D7663" s="129"/>
      <c r="E7663" s="129"/>
      <c r="F7663" s="129"/>
      <c r="G7663" s="129"/>
      <c r="H7663" s="129"/>
      <c r="I7663" s="131"/>
      <c r="J7663" s="132"/>
      <c r="K7663" s="130"/>
      <c r="L7663" s="133"/>
    </row>
    <row r="7664" spans="1:12" hidden="1" x14ac:dyDescent="0.25">
      <c r="A7664" s="130"/>
      <c r="B7664" s="130"/>
      <c r="C7664" s="132"/>
      <c r="D7664" s="129"/>
      <c r="E7664" s="129"/>
      <c r="F7664" s="129"/>
      <c r="G7664" s="129"/>
      <c r="H7664" s="129"/>
      <c r="I7664" s="131"/>
      <c r="J7664" s="132"/>
      <c r="K7664" s="130"/>
      <c r="L7664" s="133"/>
    </row>
    <row r="7665" spans="1:12" hidden="1" x14ac:dyDescent="0.25">
      <c r="A7665" s="130"/>
      <c r="B7665" s="130"/>
      <c r="C7665" s="132"/>
      <c r="D7665" s="129"/>
      <c r="E7665" s="129"/>
      <c r="F7665" s="129"/>
      <c r="G7665" s="129"/>
      <c r="H7665" s="129"/>
      <c r="I7665" s="131"/>
      <c r="J7665" s="132"/>
      <c r="K7665" s="130"/>
      <c r="L7665" s="133"/>
    </row>
    <row r="7666" spans="1:12" hidden="1" x14ac:dyDescent="0.25">
      <c r="A7666" s="130"/>
      <c r="B7666" s="130"/>
      <c r="C7666" s="132"/>
      <c r="D7666" s="129"/>
      <c r="E7666" s="129"/>
      <c r="F7666" s="129"/>
      <c r="G7666" s="129"/>
      <c r="H7666" s="129"/>
      <c r="I7666" s="131"/>
      <c r="J7666" s="132"/>
      <c r="K7666" s="130"/>
      <c r="L7666" s="133"/>
    </row>
    <row r="7667" spans="1:12" hidden="1" x14ac:dyDescent="0.25">
      <c r="A7667" s="130"/>
      <c r="B7667" s="130"/>
      <c r="C7667" s="132"/>
      <c r="D7667" s="129"/>
      <c r="E7667" s="129"/>
      <c r="F7667" s="129"/>
      <c r="G7667" s="129"/>
      <c r="H7667" s="129"/>
      <c r="I7667" s="131"/>
      <c r="J7667" s="132"/>
      <c r="K7667" s="130"/>
      <c r="L7667" s="133"/>
    </row>
    <row r="7668" spans="1:12" hidden="1" x14ac:dyDescent="0.25">
      <c r="A7668" s="130"/>
      <c r="B7668" s="130"/>
      <c r="C7668" s="132"/>
      <c r="D7668" s="129"/>
      <c r="E7668" s="129"/>
      <c r="F7668" s="129"/>
      <c r="G7668" s="129"/>
      <c r="H7668" s="129"/>
      <c r="I7668" s="131"/>
      <c r="J7668" s="132"/>
      <c r="K7668" s="130"/>
      <c r="L7668" s="133"/>
    </row>
    <row r="7669" spans="1:12" hidden="1" x14ac:dyDescent="0.25">
      <c r="A7669" s="148"/>
      <c r="B7669" s="148"/>
      <c r="C7669" s="149"/>
      <c r="D7669" s="150"/>
      <c r="E7669" s="150"/>
      <c r="F7669" s="150"/>
      <c r="G7669" s="150"/>
      <c r="H7669" s="150"/>
      <c r="I7669" s="151"/>
      <c r="J7669" s="149"/>
      <c r="K7669" s="148"/>
      <c r="L7669" s="133"/>
    </row>
    <row r="7670" spans="1:12" hidden="1" x14ac:dyDescent="0.25">
      <c r="A7670" s="148"/>
      <c r="B7670" s="148"/>
      <c r="C7670" s="149"/>
      <c r="D7670" s="150"/>
      <c r="E7670" s="150"/>
      <c r="F7670" s="150"/>
      <c r="G7670" s="150"/>
      <c r="H7670" s="150"/>
      <c r="I7670" s="151"/>
      <c r="J7670" s="149"/>
      <c r="K7670" s="148"/>
      <c r="L7670" s="133"/>
    </row>
    <row r="7671" spans="1:12" hidden="1" x14ac:dyDescent="0.25">
      <c r="A7671" s="148"/>
      <c r="B7671" s="148"/>
      <c r="C7671" s="149"/>
      <c r="D7671" s="150"/>
      <c r="E7671" s="150"/>
      <c r="F7671" s="150"/>
      <c r="G7671" s="150"/>
      <c r="H7671" s="150"/>
      <c r="I7671" s="151"/>
      <c r="J7671" s="149"/>
      <c r="K7671" s="148"/>
      <c r="L7671" s="133"/>
    </row>
    <row r="7672" spans="1:12" hidden="1" x14ac:dyDescent="0.25">
      <c r="A7672" s="148"/>
      <c r="B7672" s="148"/>
      <c r="C7672" s="149"/>
      <c r="D7672" s="150"/>
      <c r="E7672" s="150"/>
      <c r="F7672" s="150"/>
      <c r="G7672" s="150"/>
      <c r="H7672" s="150"/>
      <c r="I7672" s="151"/>
      <c r="J7672" s="149"/>
      <c r="K7672" s="148"/>
      <c r="L7672" s="133"/>
    </row>
    <row r="7673" spans="1:12" hidden="1" x14ac:dyDescent="0.25">
      <c r="A7673" s="148"/>
      <c r="B7673" s="148"/>
      <c r="C7673" s="149"/>
      <c r="D7673" s="150"/>
      <c r="E7673" s="150"/>
      <c r="F7673" s="150"/>
      <c r="G7673" s="150"/>
      <c r="H7673" s="150"/>
      <c r="I7673" s="151"/>
      <c r="J7673" s="149"/>
      <c r="K7673" s="148"/>
      <c r="L7673" s="133"/>
    </row>
    <row r="7674" spans="1:12" hidden="1" x14ac:dyDescent="0.25">
      <c r="A7674" s="148"/>
      <c r="B7674" s="148"/>
      <c r="C7674" s="149"/>
      <c r="D7674" s="150"/>
      <c r="E7674" s="150"/>
      <c r="F7674" s="150"/>
      <c r="G7674" s="150"/>
      <c r="H7674" s="150"/>
      <c r="I7674" s="151"/>
      <c r="J7674" s="149"/>
      <c r="K7674" s="148"/>
      <c r="L7674" s="133"/>
    </row>
    <row r="7675" spans="1:12" hidden="1" x14ac:dyDescent="0.25">
      <c r="A7675" s="148"/>
      <c r="B7675" s="148"/>
      <c r="C7675" s="149"/>
      <c r="D7675" s="150"/>
      <c r="E7675" s="150"/>
      <c r="F7675" s="150"/>
      <c r="G7675" s="150"/>
      <c r="H7675" s="150"/>
      <c r="I7675" s="151"/>
      <c r="J7675" s="149"/>
      <c r="K7675" s="148"/>
      <c r="L7675" s="133"/>
    </row>
    <row r="7676" spans="1:12" hidden="1" x14ac:dyDescent="0.25">
      <c r="A7676" s="148"/>
      <c r="B7676" s="148"/>
      <c r="C7676" s="149"/>
      <c r="D7676" s="150"/>
      <c r="E7676" s="150"/>
      <c r="F7676" s="150"/>
      <c r="G7676" s="150"/>
      <c r="H7676" s="150"/>
      <c r="I7676" s="151"/>
      <c r="J7676" s="149"/>
      <c r="K7676" s="148"/>
      <c r="L7676" s="133"/>
    </row>
    <row r="7677" spans="1:12" hidden="1" x14ac:dyDescent="0.25">
      <c r="A7677" s="148"/>
      <c r="B7677" s="148"/>
      <c r="C7677" s="149"/>
      <c r="D7677" s="150"/>
      <c r="E7677" s="150"/>
      <c r="F7677" s="150"/>
      <c r="G7677" s="150"/>
      <c r="H7677" s="150"/>
      <c r="I7677" s="151"/>
      <c r="J7677" s="149"/>
      <c r="K7677" s="148"/>
      <c r="L7677" s="133"/>
    </row>
    <row r="7678" spans="1:12" hidden="1" x14ac:dyDescent="0.25">
      <c r="A7678" s="148"/>
      <c r="B7678" s="148"/>
      <c r="C7678" s="149"/>
      <c r="D7678" s="150"/>
      <c r="E7678" s="150"/>
      <c r="F7678" s="150"/>
      <c r="G7678" s="150"/>
      <c r="H7678" s="150"/>
      <c r="I7678" s="151"/>
      <c r="J7678" s="149"/>
      <c r="K7678" s="148"/>
      <c r="L7678" s="133"/>
    </row>
    <row r="7679" spans="1:12" hidden="1" x14ac:dyDescent="0.25">
      <c r="A7679" s="148"/>
      <c r="B7679" s="148"/>
      <c r="C7679" s="149"/>
      <c r="D7679" s="150"/>
      <c r="E7679" s="150"/>
      <c r="F7679" s="150"/>
      <c r="G7679" s="150"/>
      <c r="H7679" s="150"/>
      <c r="I7679" s="151"/>
      <c r="J7679" s="149"/>
      <c r="K7679" s="148"/>
      <c r="L7679" s="133"/>
    </row>
    <row r="7680" spans="1:12" hidden="1" x14ac:dyDescent="0.25">
      <c r="A7680" s="148"/>
      <c r="B7680" s="148"/>
      <c r="C7680" s="149"/>
      <c r="D7680" s="150"/>
      <c r="E7680" s="150"/>
      <c r="F7680" s="150"/>
      <c r="G7680" s="150"/>
      <c r="H7680" s="150"/>
      <c r="I7680" s="151"/>
      <c r="J7680" s="149"/>
      <c r="K7680" s="148"/>
      <c r="L7680" s="133"/>
    </row>
    <row r="7681" spans="1:12" hidden="1" x14ac:dyDescent="0.25">
      <c r="A7681" s="148"/>
      <c r="B7681" s="148"/>
      <c r="C7681" s="149"/>
      <c r="D7681" s="150"/>
      <c r="E7681" s="150"/>
      <c r="F7681" s="150"/>
      <c r="G7681" s="150"/>
      <c r="H7681" s="150"/>
      <c r="I7681" s="151"/>
      <c r="J7681" s="149"/>
      <c r="K7681" s="148"/>
      <c r="L7681" s="133"/>
    </row>
    <row r="7682" spans="1:12" hidden="1" x14ac:dyDescent="0.25">
      <c r="A7682" s="148"/>
      <c r="B7682" s="148"/>
      <c r="C7682" s="149"/>
      <c r="D7682" s="150"/>
      <c r="E7682" s="150"/>
      <c r="F7682" s="150"/>
      <c r="G7682" s="150"/>
      <c r="H7682" s="150"/>
      <c r="I7682" s="151"/>
      <c r="J7682" s="149"/>
      <c r="K7682" s="148"/>
      <c r="L7682" s="133"/>
    </row>
    <row r="7683" spans="1:12" hidden="1" x14ac:dyDescent="0.25">
      <c r="A7683" s="148"/>
      <c r="B7683" s="148"/>
      <c r="C7683" s="149"/>
      <c r="D7683" s="150"/>
      <c r="E7683" s="150"/>
      <c r="F7683" s="150"/>
      <c r="G7683" s="150"/>
      <c r="H7683" s="150"/>
      <c r="I7683" s="151"/>
      <c r="J7683" s="149"/>
      <c r="K7683" s="148"/>
      <c r="L7683" s="133"/>
    </row>
    <row r="7684" spans="1:12" hidden="1" x14ac:dyDescent="0.25">
      <c r="A7684" s="148"/>
      <c r="B7684" s="148"/>
      <c r="C7684" s="149"/>
      <c r="D7684" s="150"/>
      <c r="E7684" s="150"/>
      <c r="F7684" s="150"/>
      <c r="G7684" s="150"/>
      <c r="H7684" s="150"/>
      <c r="I7684" s="151"/>
      <c r="J7684" s="149"/>
      <c r="K7684" s="148"/>
      <c r="L7684" s="133"/>
    </row>
    <row r="7685" spans="1:12" hidden="1" x14ac:dyDescent="0.25">
      <c r="A7685" s="148"/>
      <c r="B7685" s="148"/>
      <c r="C7685" s="149"/>
      <c r="D7685" s="150"/>
      <c r="E7685" s="150"/>
      <c r="F7685" s="150"/>
      <c r="G7685" s="150"/>
      <c r="H7685" s="150"/>
      <c r="I7685" s="151"/>
      <c r="J7685" s="149"/>
      <c r="K7685" s="148"/>
      <c r="L7685" s="133"/>
    </row>
    <row r="7686" spans="1:12" hidden="1" x14ac:dyDescent="0.25">
      <c r="A7686" s="148"/>
      <c r="B7686" s="148"/>
      <c r="C7686" s="149"/>
      <c r="D7686" s="150"/>
      <c r="E7686" s="150"/>
      <c r="F7686" s="150"/>
      <c r="G7686" s="150"/>
      <c r="H7686" s="150"/>
      <c r="I7686" s="151"/>
      <c r="J7686" s="149"/>
      <c r="K7686" s="148"/>
      <c r="L7686" s="133"/>
    </row>
    <row r="7687" spans="1:12" hidden="1" x14ac:dyDescent="0.25">
      <c r="A7687" s="130"/>
      <c r="B7687" s="130"/>
      <c r="C7687" s="132"/>
      <c r="D7687" s="129"/>
      <c r="E7687" s="129"/>
      <c r="F7687" s="129"/>
      <c r="G7687" s="129"/>
      <c r="H7687" s="129"/>
      <c r="I7687" s="131"/>
      <c r="J7687" s="132"/>
      <c r="K7687" s="130"/>
      <c r="L7687" s="133"/>
    </row>
    <row r="7688" spans="1:12" hidden="1" x14ac:dyDescent="0.25">
      <c r="A7688" s="130"/>
      <c r="B7688" s="130"/>
      <c r="C7688" s="132"/>
      <c r="D7688" s="129"/>
      <c r="E7688" s="129"/>
      <c r="F7688" s="129"/>
      <c r="G7688" s="129"/>
      <c r="H7688" s="129"/>
      <c r="I7688" s="131"/>
      <c r="J7688" s="132"/>
      <c r="K7688" s="130"/>
      <c r="L7688" s="133"/>
    </row>
    <row r="7689" spans="1:12" hidden="1" x14ac:dyDescent="0.25">
      <c r="A7689" s="130"/>
      <c r="B7689" s="130"/>
      <c r="C7689" s="132"/>
      <c r="D7689" s="129"/>
      <c r="E7689" s="129"/>
      <c r="F7689" s="129"/>
      <c r="G7689" s="129"/>
      <c r="H7689" s="129"/>
      <c r="I7689" s="131"/>
      <c r="J7689" s="132"/>
      <c r="K7689" s="130"/>
      <c r="L7689" s="133"/>
    </row>
    <row r="7690" spans="1:12" hidden="1" x14ac:dyDescent="0.25">
      <c r="A7690" s="130"/>
      <c r="B7690" s="130"/>
      <c r="C7690" s="132"/>
      <c r="D7690" s="129"/>
      <c r="E7690" s="129"/>
      <c r="F7690" s="129"/>
      <c r="G7690" s="129"/>
      <c r="H7690" s="129"/>
      <c r="I7690" s="131"/>
      <c r="J7690" s="132"/>
      <c r="K7690" s="130"/>
      <c r="L7690" s="133"/>
    </row>
    <row r="7691" spans="1:12" hidden="1" x14ac:dyDescent="0.25">
      <c r="A7691" s="130"/>
      <c r="B7691" s="130"/>
      <c r="C7691" s="132"/>
      <c r="D7691" s="129"/>
      <c r="E7691" s="129"/>
      <c r="F7691" s="129"/>
      <c r="G7691" s="129"/>
      <c r="H7691" s="129"/>
      <c r="I7691" s="131"/>
      <c r="J7691" s="132"/>
      <c r="K7691" s="130"/>
      <c r="L7691" s="133"/>
    </row>
    <row r="7692" spans="1:12" hidden="1" x14ac:dyDescent="0.25">
      <c r="A7692" s="130"/>
      <c r="B7692" s="130"/>
      <c r="C7692" s="132"/>
      <c r="D7692" s="129"/>
      <c r="E7692" s="129"/>
      <c r="F7692" s="129"/>
      <c r="G7692" s="129"/>
      <c r="H7692" s="129"/>
      <c r="I7692" s="131"/>
      <c r="J7692" s="132"/>
      <c r="K7692" s="130"/>
      <c r="L7692" s="133"/>
    </row>
    <row r="7693" spans="1:12" hidden="1" x14ac:dyDescent="0.25">
      <c r="A7693" s="130"/>
      <c r="B7693" s="130"/>
      <c r="C7693" s="132"/>
      <c r="D7693" s="129"/>
      <c r="E7693" s="129"/>
      <c r="F7693" s="129"/>
      <c r="G7693" s="129"/>
      <c r="H7693" s="129"/>
      <c r="I7693" s="131"/>
      <c r="J7693" s="132"/>
      <c r="K7693" s="130"/>
      <c r="L7693" s="133"/>
    </row>
    <row r="7694" spans="1:12" hidden="1" x14ac:dyDescent="0.25">
      <c r="A7694" s="130"/>
      <c r="B7694" s="130"/>
      <c r="C7694" s="132"/>
      <c r="D7694" s="129"/>
      <c r="E7694" s="129"/>
      <c r="F7694" s="129"/>
      <c r="G7694" s="129"/>
      <c r="H7694" s="129"/>
      <c r="I7694" s="131"/>
      <c r="J7694" s="132"/>
      <c r="K7694" s="130"/>
      <c r="L7694" s="133"/>
    </row>
    <row r="7695" spans="1:12" hidden="1" x14ac:dyDescent="0.25">
      <c r="A7695" s="130"/>
      <c r="B7695" s="130"/>
      <c r="C7695" s="132"/>
      <c r="D7695" s="129"/>
      <c r="E7695" s="129"/>
      <c r="F7695" s="129"/>
      <c r="G7695" s="129"/>
      <c r="H7695" s="129"/>
      <c r="I7695" s="131"/>
      <c r="J7695" s="132"/>
      <c r="K7695" s="130"/>
      <c r="L7695" s="133"/>
    </row>
    <row r="7696" spans="1:12" hidden="1" x14ac:dyDescent="0.25">
      <c r="A7696" s="130"/>
      <c r="B7696" s="130"/>
      <c r="C7696" s="132"/>
      <c r="D7696" s="129"/>
      <c r="E7696" s="129"/>
      <c r="F7696" s="129"/>
      <c r="G7696" s="129"/>
      <c r="H7696" s="129"/>
      <c r="I7696" s="131"/>
      <c r="J7696" s="132"/>
      <c r="K7696" s="130"/>
      <c r="L7696" s="133"/>
    </row>
    <row r="7697" spans="1:12" hidden="1" x14ac:dyDescent="0.25">
      <c r="A7697" s="130"/>
      <c r="B7697" s="130"/>
      <c r="C7697" s="132"/>
      <c r="D7697" s="129"/>
      <c r="E7697" s="129"/>
      <c r="F7697" s="129"/>
      <c r="G7697" s="129"/>
      <c r="H7697" s="129"/>
      <c r="I7697" s="131"/>
      <c r="J7697" s="132"/>
      <c r="K7697" s="130"/>
      <c r="L7697" s="133"/>
    </row>
    <row r="7698" spans="1:12" hidden="1" x14ac:dyDescent="0.25">
      <c r="A7698" s="130"/>
      <c r="B7698" s="130"/>
      <c r="C7698" s="132"/>
      <c r="D7698" s="129"/>
      <c r="E7698" s="129"/>
      <c r="F7698" s="129"/>
      <c r="G7698" s="129"/>
      <c r="H7698" s="129"/>
      <c r="I7698" s="131"/>
      <c r="J7698" s="132"/>
      <c r="K7698" s="130"/>
      <c r="L7698" s="133"/>
    </row>
    <row r="7699" spans="1:12" hidden="1" x14ac:dyDescent="0.25">
      <c r="A7699" s="148"/>
      <c r="B7699" s="148"/>
      <c r="C7699" s="149"/>
      <c r="D7699" s="150"/>
      <c r="E7699" s="150"/>
      <c r="F7699" s="150"/>
      <c r="G7699" s="150"/>
      <c r="H7699" s="150"/>
      <c r="I7699" s="151"/>
      <c r="J7699" s="149"/>
      <c r="K7699" s="148"/>
      <c r="L7699" s="133"/>
    </row>
    <row r="7700" spans="1:12" hidden="1" x14ac:dyDescent="0.25">
      <c r="A7700" s="148"/>
      <c r="B7700" s="148"/>
      <c r="C7700" s="149"/>
      <c r="D7700" s="150"/>
      <c r="E7700" s="150"/>
      <c r="F7700" s="150"/>
      <c r="G7700" s="150"/>
      <c r="H7700" s="150"/>
      <c r="I7700" s="151"/>
      <c r="J7700" s="149"/>
      <c r="K7700" s="148"/>
      <c r="L7700" s="133"/>
    </row>
    <row r="7701" spans="1:12" hidden="1" x14ac:dyDescent="0.25">
      <c r="A7701" s="148"/>
      <c r="B7701" s="148"/>
      <c r="C7701" s="149"/>
      <c r="D7701" s="150"/>
      <c r="E7701" s="150"/>
      <c r="F7701" s="150"/>
      <c r="G7701" s="150"/>
      <c r="H7701" s="150"/>
      <c r="I7701" s="151"/>
      <c r="J7701" s="149"/>
      <c r="K7701" s="148"/>
      <c r="L7701" s="133"/>
    </row>
    <row r="7702" spans="1:12" hidden="1" x14ac:dyDescent="0.25">
      <c r="A7702" s="148"/>
      <c r="B7702" s="148"/>
      <c r="C7702" s="149"/>
      <c r="D7702" s="150"/>
      <c r="E7702" s="150"/>
      <c r="F7702" s="150"/>
      <c r="G7702" s="150"/>
      <c r="H7702" s="150"/>
      <c r="I7702" s="151"/>
      <c r="J7702" s="149"/>
      <c r="K7702" s="148"/>
      <c r="L7702" s="133"/>
    </row>
    <row r="7703" spans="1:12" hidden="1" x14ac:dyDescent="0.25">
      <c r="A7703" s="148"/>
      <c r="B7703" s="148"/>
      <c r="C7703" s="149"/>
      <c r="D7703" s="150"/>
      <c r="E7703" s="150"/>
      <c r="F7703" s="150"/>
      <c r="G7703" s="150"/>
      <c r="H7703" s="150"/>
      <c r="I7703" s="151"/>
      <c r="J7703" s="149"/>
      <c r="K7703" s="148"/>
      <c r="L7703" s="133"/>
    </row>
    <row r="7704" spans="1:12" hidden="1" x14ac:dyDescent="0.25">
      <c r="A7704" s="148"/>
      <c r="B7704" s="148"/>
      <c r="C7704" s="149"/>
      <c r="D7704" s="150"/>
      <c r="E7704" s="150"/>
      <c r="F7704" s="150"/>
      <c r="G7704" s="150"/>
      <c r="H7704" s="150"/>
      <c r="I7704" s="151"/>
      <c r="J7704" s="149"/>
      <c r="K7704" s="148"/>
      <c r="L7704" s="133"/>
    </row>
    <row r="7705" spans="1:12" hidden="1" x14ac:dyDescent="0.25">
      <c r="A7705" s="148"/>
      <c r="B7705" s="148"/>
      <c r="C7705" s="149"/>
      <c r="D7705" s="150"/>
      <c r="E7705" s="150"/>
      <c r="F7705" s="150"/>
      <c r="G7705" s="150"/>
      <c r="H7705" s="150"/>
      <c r="I7705" s="151"/>
      <c r="J7705" s="149"/>
      <c r="K7705" s="148"/>
      <c r="L7705" s="133"/>
    </row>
    <row r="7706" spans="1:12" hidden="1" x14ac:dyDescent="0.25">
      <c r="A7706" s="148"/>
      <c r="B7706" s="148"/>
      <c r="C7706" s="149"/>
      <c r="D7706" s="150"/>
      <c r="E7706" s="150"/>
      <c r="F7706" s="150"/>
      <c r="G7706" s="150"/>
      <c r="H7706" s="150"/>
      <c r="I7706" s="151"/>
      <c r="J7706" s="149"/>
      <c r="K7706" s="148"/>
      <c r="L7706" s="133"/>
    </row>
    <row r="7707" spans="1:12" hidden="1" x14ac:dyDescent="0.25">
      <c r="A7707" s="148"/>
      <c r="B7707" s="148"/>
      <c r="C7707" s="149"/>
      <c r="D7707" s="150"/>
      <c r="E7707" s="150"/>
      <c r="F7707" s="150"/>
      <c r="G7707" s="150"/>
      <c r="H7707" s="150"/>
      <c r="I7707" s="151"/>
      <c r="J7707" s="149"/>
      <c r="K7707" s="148"/>
      <c r="L7707" s="133"/>
    </row>
    <row r="7708" spans="1:12" hidden="1" x14ac:dyDescent="0.25">
      <c r="A7708" s="148"/>
      <c r="B7708" s="148"/>
      <c r="C7708" s="149"/>
      <c r="D7708" s="150"/>
      <c r="E7708" s="150"/>
      <c r="F7708" s="150"/>
      <c r="G7708" s="150"/>
      <c r="H7708" s="150"/>
      <c r="I7708" s="151"/>
      <c r="J7708" s="149"/>
      <c r="K7708" s="148"/>
      <c r="L7708" s="133"/>
    </row>
    <row r="7709" spans="1:12" hidden="1" x14ac:dyDescent="0.25">
      <c r="A7709" s="148"/>
      <c r="B7709" s="148"/>
      <c r="C7709" s="149"/>
      <c r="D7709" s="150"/>
      <c r="E7709" s="150"/>
      <c r="F7709" s="150"/>
      <c r="G7709" s="150"/>
      <c r="H7709" s="150"/>
      <c r="I7709" s="151"/>
      <c r="J7709" s="149"/>
      <c r="K7709" s="148"/>
      <c r="L7709" s="133"/>
    </row>
    <row r="7710" spans="1:12" hidden="1" x14ac:dyDescent="0.25">
      <c r="A7710" s="148"/>
      <c r="B7710" s="148"/>
      <c r="C7710" s="149"/>
      <c r="D7710" s="150"/>
      <c r="E7710" s="150"/>
      <c r="F7710" s="150"/>
      <c r="G7710" s="150"/>
      <c r="H7710" s="150"/>
      <c r="I7710" s="151"/>
      <c r="J7710" s="149"/>
      <c r="K7710" s="148"/>
      <c r="L7710" s="133"/>
    </row>
    <row r="7711" spans="1:12" hidden="1" x14ac:dyDescent="0.25">
      <c r="A7711" s="148"/>
      <c r="B7711" s="148"/>
      <c r="C7711" s="149"/>
      <c r="D7711" s="150"/>
      <c r="E7711" s="150"/>
      <c r="F7711" s="150"/>
      <c r="G7711" s="150"/>
      <c r="H7711" s="150"/>
      <c r="I7711" s="151"/>
      <c r="J7711" s="149"/>
      <c r="K7711" s="148"/>
      <c r="L7711" s="133"/>
    </row>
    <row r="7712" spans="1:12" hidden="1" x14ac:dyDescent="0.25">
      <c r="A7712" s="148"/>
      <c r="B7712" s="148"/>
      <c r="C7712" s="149"/>
      <c r="D7712" s="150"/>
      <c r="E7712" s="150"/>
      <c r="F7712" s="150"/>
      <c r="G7712" s="150"/>
      <c r="H7712" s="150"/>
      <c r="I7712" s="151"/>
      <c r="J7712" s="149"/>
      <c r="K7712" s="148"/>
      <c r="L7712" s="133"/>
    </row>
    <row r="7713" spans="1:12" hidden="1" x14ac:dyDescent="0.25">
      <c r="A7713" s="148"/>
      <c r="B7713" s="148"/>
      <c r="C7713" s="149"/>
      <c r="D7713" s="150"/>
      <c r="E7713" s="150"/>
      <c r="F7713" s="150"/>
      <c r="G7713" s="150"/>
      <c r="H7713" s="150"/>
      <c r="I7713" s="151"/>
      <c r="J7713" s="149"/>
      <c r="K7713" s="148"/>
      <c r="L7713" s="133"/>
    </row>
    <row r="7714" spans="1:12" hidden="1" x14ac:dyDescent="0.25">
      <c r="A7714" s="148"/>
      <c r="B7714" s="148"/>
      <c r="C7714" s="149"/>
      <c r="D7714" s="150"/>
      <c r="E7714" s="150"/>
      <c r="F7714" s="150"/>
      <c r="G7714" s="150"/>
      <c r="H7714" s="150"/>
      <c r="I7714" s="151"/>
      <c r="J7714" s="149"/>
      <c r="K7714" s="148"/>
      <c r="L7714" s="133"/>
    </row>
    <row r="7715" spans="1:12" hidden="1" x14ac:dyDescent="0.25">
      <c r="A7715" s="148"/>
      <c r="B7715" s="148"/>
      <c r="C7715" s="149"/>
      <c r="D7715" s="150"/>
      <c r="E7715" s="150"/>
      <c r="F7715" s="150"/>
      <c r="G7715" s="150"/>
      <c r="H7715" s="150"/>
      <c r="I7715" s="151"/>
      <c r="J7715" s="149"/>
      <c r="K7715" s="148"/>
      <c r="L7715" s="133"/>
    </row>
    <row r="7716" spans="1:12" hidden="1" x14ac:dyDescent="0.25">
      <c r="A7716" s="148"/>
      <c r="B7716" s="148"/>
      <c r="C7716" s="149"/>
      <c r="D7716" s="150"/>
      <c r="E7716" s="150"/>
      <c r="F7716" s="150"/>
      <c r="G7716" s="150"/>
      <c r="H7716" s="150"/>
      <c r="I7716" s="151"/>
      <c r="J7716" s="149"/>
      <c r="K7716" s="148"/>
      <c r="L7716" s="133"/>
    </row>
    <row r="7717" spans="1:12" hidden="1" x14ac:dyDescent="0.25">
      <c r="A7717" s="148"/>
      <c r="B7717" s="148"/>
      <c r="C7717" s="149"/>
      <c r="D7717" s="150"/>
      <c r="E7717" s="150"/>
      <c r="F7717" s="150"/>
      <c r="G7717" s="150"/>
      <c r="H7717" s="150"/>
      <c r="I7717" s="151"/>
      <c r="J7717" s="149"/>
      <c r="K7717" s="148"/>
      <c r="L7717" s="133"/>
    </row>
    <row r="7718" spans="1:12" hidden="1" x14ac:dyDescent="0.25">
      <c r="A7718" s="148"/>
      <c r="B7718" s="148"/>
      <c r="C7718" s="149"/>
      <c r="D7718" s="150"/>
      <c r="E7718" s="150"/>
      <c r="F7718" s="150"/>
      <c r="G7718" s="150"/>
      <c r="H7718" s="150"/>
      <c r="I7718" s="151"/>
      <c r="J7718" s="149"/>
      <c r="K7718" s="148"/>
      <c r="L7718" s="133"/>
    </row>
    <row r="7719" spans="1:12" hidden="1" x14ac:dyDescent="0.25">
      <c r="A7719" s="148"/>
      <c r="B7719" s="148"/>
      <c r="C7719" s="149"/>
      <c r="D7719" s="150"/>
      <c r="E7719" s="150"/>
      <c r="F7719" s="150"/>
      <c r="G7719" s="150"/>
      <c r="H7719" s="150"/>
      <c r="I7719" s="151"/>
      <c r="J7719" s="149"/>
      <c r="K7719" s="148"/>
      <c r="L7719" s="133"/>
    </row>
    <row r="7720" spans="1:12" hidden="1" x14ac:dyDescent="0.25">
      <c r="A7720" s="130"/>
      <c r="B7720" s="130"/>
      <c r="C7720" s="132"/>
      <c r="D7720" s="129"/>
      <c r="E7720" s="129"/>
      <c r="F7720" s="129"/>
      <c r="G7720" s="129"/>
      <c r="H7720" s="129"/>
      <c r="I7720" s="131"/>
      <c r="J7720" s="132"/>
      <c r="K7720" s="130"/>
      <c r="L7720" s="133"/>
    </row>
    <row r="7721" spans="1:12" hidden="1" x14ac:dyDescent="0.25">
      <c r="A7721" s="130"/>
      <c r="B7721" s="130"/>
      <c r="C7721" s="132"/>
      <c r="D7721" s="129"/>
      <c r="E7721" s="129"/>
      <c r="F7721" s="129"/>
      <c r="G7721" s="129"/>
      <c r="H7721" s="129"/>
      <c r="I7721" s="131"/>
      <c r="J7721" s="132"/>
      <c r="K7721" s="130"/>
      <c r="L7721" s="133"/>
    </row>
    <row r="7722" spans="1:12" hidden="1" x14ac:dyDescent="0.25">
      <c r="A7722" s="130"/>
      <c r="B7722" s="130"/>
      <c r="C7722" s="132"/>
      <c r="D7722" s="129"/>
      <c r="E7722" s="129"/>
      <c r="F7722" s="129"/>
      <c r="G7722" s="129"/>
      <c r="H7722" s="129"/>
      <c r="I7722" s="131"/>
      <c r="J7722" s="132"/>
      <c r="K7722" s="130"/>
      <c r="L7722" s="133"/>
    </row>
    <row r="7723" spans="1:12" hidden="1" x14ac:dyDescent="0.25">
      <c r="A7723" s="130"/>
      <c r="B7723" s="130"/>
      <c r="C7723" s="132"/>
      <c r="D7723" s="129"/>
      <c r="E7723" s="129"/>
      <c r="F7723" s="129"/>
      <c r="G7723" s="129"/>
      <c r="H7723" s="129"/>
      <c r="I7723" s="131"/>
      <c r="J7723" s="132"/>
      <c r="K7723" s="130"/>
      <c r="L7723" s="133"/>
    </row>
    <row r="7724" spans="1:12" hidden="1" x14ac:dyDescent="0.25">
      <c r="A7724" s="130"/>
      <c r="B7724" s="130"/>
      <c r="C7724" s="132"/>
      <c r="D7724" s="129"/>
      <c r="E7724" s="129"/>
      <c r="F7724" s="129"/>
      <c r="G7724" s="129"/>
      <c r="H7724" s="129"/>
      <c r="I7724" s="131"/>
      <c r="J7724" s="132"/>
      <c r="K7724" s="130"/>
      <c r="L7724" s="133"/>
    </row>
    <row r="7725" spans="1:12" hidden="1" x14ac:dyDescent="0.25">
      <c r="A7725" s="130"/>
      <c r="B7725" s="130"/>
      <c r="C7725" s="132"/>
      <c r="D7725" s="129"/>
      <c r="E7725" s="129"/>
      <c r="F7725" s="129"/>
      <c r="G7725" s="129"/>
      <c r="H7725" s="129"/>
      <c r="I7725" s="131"/>
      <c r="J7725" s="132"/>
      <c r="K7725" s="130"/>
      <c r="L7725" s="133"/>
    </row>
    <row r="7726" spans="1:12" hidden="1" x14ac:dyDescent="0.25">
      <c r="A7726" s="130"/>
      <c r="B7726" s="130"/>
      <c r="C7726" s="132"/>
      <c r="D7726" s="129"/>
      <c r="E7726" s="129"/>
      <c r="F7726" s="129"/>
      <c r="G7726" s="129"/>
      <c r="H7726" s="129"/>
      <c r="I7726" s="131"/>
      <c r="J7726" s="132"/>
      <c r="K7726" s="130"/>
      <c r="L7726" s="133"/>
    </row>
    <row r="7727" spans="1:12" hidden="1" x14ac:dyDescent="0.25">
      <c r="A7727" s="130"/>
      <c r="B7727" s="130"/>
      <c r="C7727" s="132"/>
      <c r="D7727" s="129"/>
      <c r="E7727" s="129"/>
      <c r="F7727" s="129"/>
      <c r="G7727" s="129"/>
      <c r="H7727" s="129"/>
      <c r="I7727" s="131"/>
      <c r="J7727" s="132"/>
      <c r="K7727" s="130"/>
      <c r="L7727" s="133"/>
    </row>
    <row r="7728" spans="1:12" hidden="1" x14ac:dyDescent="0.25">
      <c r="A7728" s="130"/>
      <c r="B7728" s="130"/>
      <c r="C7728" s="132"/>
      <c r="D7728" s="129"/>
      <c r="E7728" s="129"/>
      <c r="F7728" s="129"/>
      <c r="G7728" s="129"/>
      <c r="H7728" s="129"/>
      <c r="I7728" s="131"/>
      <c r="J7728" s="132"/>
      <c r="K7728" s="130"/>
      <c r="L7728" s="133"/>
    </row>
    <row r="7729" spans="1:12" hidden="1" x14ac:dyDescent="0.25">
      <c r="A7729" s="130"/>
      <c r="B7729" s="130"/>
      <c r="C7729" s="132"/>
      <c r="D7729" s="129"/>
      <c r="E7729" s="129"/>
      <c r="F7729" s="129"/>
      <c r="G7729" s="129"/>
      <c r="H7729" s="129"/>
      <c r="I7729" s="131"/>
      <c r="J7729" s="132"/>
      <c r="K7729" s="130"/>
      <c r="L7729" s="133"/>
    </row>
    <row r="7730" spans="1:12" hidden="1" x14ac:dyDescent="0.25">
      <c r="A7730" s="130"/>
      <c r="B7730" s="130"/>
      <c r="C7730" s="132"/>
      <c r="D7730" s="129"/>
      <c r="E7730" s="129"/>
      <c r="F7730" s="129"/>
      <c r="G7730" s="129"/>
      <c r="H7730" s="129"/>
      <c r="I7730" s="131"/>
      <c r="J7730" s="132"/>
      <c r="K7730" s="130"/>
      <c r="L7730" s="133"/>
    </row>
    <row r="7731" spans="1:12" hidden="1" x14ac:dyDescent="0.25">
      <c r="A7731" s="130"/>
      <c r="B7731" s="130"/>
      <c r="C7731" s="132"/>
      <c r="D7731" s="129"/>
      <c r="E7731" s="129"/>
      <c r="F7731" s="129"/>
      <c r="G7731" s="129"/>
      <c r="H7731" s="129"/>
      <c r="I7731" s="131"/>
      <c r="J7731" s="132"/>
      <c r="K7731" s="130"/>
      <c r="L7731" s="133"/>
    </row>
    <row r="7732" spans="1:12" hidden="1" x14ac:dyDescent="0.25">
      <c r="A7732" s="130"/>
      <c r="B7732" s="130"/>
      <c r="C7732" s="132"/>
      <c r="D7732" s="129"/>
      <c r="E7732" s="129"/>
      <c r="F7732" s="129"/>
      <c r="G7732" s="129"/>
      <c r="H7732" s="129"/>
      <c r="I7732" s="131"/>
      <c r="J7732" s="132"/>
      <c r="K7732" s="130"/>
      <c r="L7732" s="133"/>
    </row>
    <row r="7733" spans="1:12" hidden="1" x14ac:dyDescent="0.25">
      <c r="A7733" s="130"/>
      <c r="B7733" s="130"/>
      <c r="C7733" s="132"/>
      <c r="D7733" s="129"/>
      <c r="E7733" s="129"/>
      <c r="F7733" s="129"/>
      <c r="G7733" s="129"/>
      <c r="H7733" s="129"/>
      <c r="I7733" s="131"/>
      <c r="J7733" s="132"/>
      <c r="K7733" s="130"/>
      <c r="L7733" s="133"/>
    </row>
    <row r="7734" spans="1:12" hidden="1" x14ac:dyDescent="0.25">
      <c r="A7734" s="130"/>
      <c r="B7734" s="130"/>
      <c r="C7734" s="132"/>
      <c r="D7734" s="129"/>
      <c r="E7734" s="129"/>
      <c r="F7734" s="129"/>
      <c r="G7734" s="129"/>
      <c r="H7734" s="129"/>
      <c r="I7734" s="131"/>
      <c r="J7734" s="132"/>
      <c r="K7734" s="130"/>
      <c r="L7734" s="133"/>
    </row>
    <row r="7735" spans="1:12" hidden="1" x14ac:dyDescent="0.25">
      <c r="A7735" s="130"/>
      <c r="B7735" s="130"/>
      <c r="C7735" s="132"/>
      <c r="D7735" s="129"/>
      <c r="E7735" s="129"/>
      <c r="F7735" s="129"/>
      <c r="G7735" s="129"/>
      <c r="H7735" s="129"/>
      <c r="I7735" s="131"/>
      <c r="J7735" s="132"/>
      <c r="K7735" s="130"/>
      <c r="L7735" s="133"/>
    </row>
    <row r="7736" spans="1:12" hidden="1" x14ac:dyDescent="0.25">
      <c r="A7736" s="130"/>
      <c r="B7736" s="130"/>
      <c r="C7736" s="132"/>
      <c r="D7736" s="129"/>
      <c r="E7736" s="129"/>
      <c r="F7736" s="129"/>
      <c r="G7736" s="129"/>
      <c r="H7736" s="129"/>
      <c r="I7736" s="131"/>
      <c r="J7736" s="132"/>
      <c r="K7736" s="130"/>
      <c r="L7736" s="133"/>
    </row>
    <row r="7737" spans="1:12" hidden="1" x14ac:dyDescent="0.25">
      <c r="A7737" s="130"/>
      <c r="B7737" s="130"/>
      <c r="C7737" s="132"/>
      <c r="D7737" s="129"/>
      <c r="E7737" s="129"/>
      <c r="F7737" s="129"/>
      <c r="G7737" s="129"/>
      <c r="H7737" s="129"/>
      <c r="I7737" s="131"/>
      <c r="J7737" s="132"/>
      <c r="K7737" s="130"/>
      <c r="L7737" s="133"/>
    </row>
    <row r="7738" spans="1:12" hidden="1" x14ac:dyDescent="0.25">
      <c r="A7738" s="130"/>
      <c r="B7738" s="130"/>
      <c r="C7738" s="132"/>
      <c r="D7738" s="129"/>
      <c r="E7738" s="129"/>
      <c r="F7738" s="129"/>
      <c r="G7738" s="129"/>
      <c r="H7738" s="129"/>
      <c r="I7738" s="131"/>
      <c r="J7738" s="132"/>
      <c r="K7738" s="130"/>
      <c r="L7738" s="133"/>
    </row>
    <row r="7739" spans="1:12" hidden="1" x14ac:dyDescent="0.25">
      <c r="A7739" s="130"/>
      <c r="B7739" s="130"/>
      <c r="C7739" s="132"/>
      <c r="D7739" s="129"/>
      <c r="E7739" s="129"/>
      <c r="F7739" s="129"/>
      <c r="G7739" s="129"/>
      <c r="H7739" s="129"/>
      <c r="I7739" s="131"/>
      <c r="J7739" s="132"/>
      <c r="K7739" s="130"/>
      <c r="L7739" s="133"/>
    </row>
    <row r="7740" spans="1:12" hidden="1" x14ac:dyDescent="0.25">
      <c r="A7740" s="130"/>
      <c r="B7740" s="130"/>
      <c r="C7740" s="132"/>
      <c r="D7740" s="129"/>
      <c r="E7740" s="129"/>
      <c r="F7740" s="129"/>
      <c r="G7740" s="129"/>
      <c r="H7740" s="129"/>
      <c r="I7740" s="131"/>
      <c r="J7740" s="132"/>
      <c r="K7740" s="130"/>
      <c r="L7740" s="133"/>
    </row>
    <row r="7741" spans="1:12" hidden="1" x14ac:dyDescent="0.25">
      <c r="A7741" s="130"/>
      <c r="B7741" s="130"/>
      <c r="C7741" s="132"/>
      <c r="D7741" s="129"/>
      <c r="E7741" s="129"/>
      <c r="F7741" s="129"/>
      <c r="G7741" s="129"/>
      <c r="H7741" s="129"/>
      <c r="I7741" s="131"/>
      <c r="J7741" s="132"/>
      <c r="K7741" s="130"/>
      <c r="L7741" s="133"/>
    </row>
    <row r="7742" spans="1:12" hidden="1" x14ac:dyDescent="0.25">
      <c r="A7742" s="130"/>
      <c r="B7742" s="130"/>
      <c r="C7742" s="132"/>
      <c r="D7742" s="129"/>
      <c r="E7742" s="129"/>
      <c r="F7742" s="129"/>
      <c r="G7742" s="129"/>
      <c r="H7742" s="129"/>
      <c r="I7742" s="131"/>
      <c r="J7742" s="132"/>
      <c r="K7742" s="130"/>
      <c r="L7742" s="133"/>
    </row>
    <row r="7743" spans="1:12" hidden="1" x14ac:dyDescent="0.25">
      <c r="A7743" s="130"/>
      <c r="B7743" s="130"/>
      <c r="C7743" s="132"/>
      <c r="D7743" s="129"/>
      <c r="E7743" s="129"/>
      <c r="F7743" s="129"/>
      <c r="G7743" s="129"/>
      <c r="H7743" s="129"/>
      <c r="I7743" s="131"/>
      <c r="J7743" s="132"/>
      <c r="K7743" s="130"/>
      <c r="L7743" s="133"/>
    </row>
    <row r="7744" spans="1:12" hidden="1" x14ac:dyDescent="0.25">
      <c r="A7744" s="130"/>
      <c r="B7744" s="130"/>
      <c r="C7744" s="132"/>
      <c r="D7744" s="129"/>
      <c r="E7744" s="129"/>
      <c r="F7744" s="129"/>
      <c r="G7744" s="129"/>
      <c r="H7744" s="129"/>
      <c r="I7744" s="131"/>
      <c r="J7744" s="132"/>
      <c r="K7744" s="130"/>
      <c r="L7744" s="133"/>
    </row>
    <row r="7745" spans="1:12" hidden="1" x14ac:dyDescent="0.25">
      <c r="A7745" s="130"/>
      <c r="B7745" s="130"/>
      <c r="C7745" s="132"/>
      <c r="D7745" s="129"/>
      <c r="E7745" s="129"/>
      <c r="F7745" s="129"/>
      <c r="G7745" s="129"/>
      <c r="H7745" s="129"/>
      <c r="I7745" s="131"/>
      <c r="J7745" s="132"/>
      <c r="K7745" s="130"/>
      <c r="L7745" s="133"/>
    </row>
    <row r="7746" spans="1:12" hidden="1" x14ac:dyDescent="0.25">
      <c r="A7746" s="130"/>
      <c r="B7746" s="130"/>
      <c r="C7746" s="132"/>
      <c r="D7746" s="129"/>
      <c r="E7746" s="129"/>
      <c r="F7746" s="129"/>
      <c r="G7746" s="129"/>
      <c r="H7746" s="129"/>
      <c r="I7746" s="131"/>
      <c r="J7746" s="132"/>
      <c r="K7746" s="130"/>
      <c r="L7746" s="133"/>
    </row>
    <row r="7747" spans="1:12" hidden="1" x14ac:dyDescent="0.25">
      <c r="A7747" s="130"/>
      <c r="B7747" s="130"/>
      <c r="C7747" s="132"/>
      <c r="D7747" s="129"/>
      <c r="E7747" s="129"/>
      <c r="F7747" s="129"/>
      <c r="G7747" s="129"/>
      <c r="H7747" s="129"/>
      <c r="I7747" s="131"/>
      <c r="J7747" s="132"/>
      <c r="K7747" s="130"/>
      <c r="L7747" s="133"/>
    </row>
    <row r="7748" spans="1:12" hidden="1" x14ac:dyDescent="0.25">
      <c r="A7748" s="130"/>
      <c r="B7748" s="130"/>
      <c r="C7748" s="132"/>
      <c r="D7748" s="129"/>
      <c r="E7748" s="129"/>
      <c r="F7748" s="129"/>
      <c r="G7748" s="129"/>
      <c r="H7748" s="129"/>
      <c r="I7748" s="131"/>
      <c r="J7748" s="132"/>
      <c r="K7748" s="130"/>
      <c r="L7748" s="133"/>
    </row>
    <row r="7749" spans="1:12" hidden="1" x14ac:dyDescent="0.25">
      <c r="A7749" s="130"/>
      <c r="B7749" s="130"/>
      <c r="C7749" s="132"/>
      <c r="D7749" s="129"/>
      <c r="E7749" s="129"/>
      <c r="F7749" s="129"/>
      <c r="G7749" s="129"/>
      <c r="H7749" s="129"/>
      <c r="I7749" s="131"/>
      <c r="J7749" s="132"/>
      <c r="K7749" s="130"/>
      <c r="L7749" s="133"/>
    </row>
    <row r="7750" spans="1:12" hidden="1" x14ac:dyDescent="0.25">
      <c r="A7750" s="130"/>
      <c r="B7750" s="130"/>
      <c r="C7750" s="132"/>
      <c r="D7750" s="129"/>
      <c r="E7750" s="129"/>
      <c r="F7750" s="129"/>
      <c r="G7750" s="129"/>
      <c r="H7750" s="129"/>
      <c r="I7750" s="131"/>
      <c r="J7750" s="132"/>
      <c r="K7750" s="130"/>
      <c r="L7750" s="133"/>
    </row>
    <row r="7751" spans="1:12" hidden="1" x14ac:dyDescent="0.25">
      <c r="A7751" s="130"/>
      <c r="B7751" s="130"/>
      <c r="C7751" s="132"/>
      <c r="D7751" s="129"/>
      <c r="E7751" s="129"/>
      <c r="F7751" s="129"/>
      <c r="G7751" s="129"/>
      <c r="H7751" s="129"/>
      <c r="I7751" s="131"/>
      <c r="J7751" s="132"/>
      <c r="K7751" s="130"/>
      <c r="L7751" s="133"/>
    </row>
    <row r="7752" spans="1:12" hidden="1" x14ac:dyDescent="0.25">
      <c r="A7752" s="130"/>
      <c r="B7752" s="130"/>
      <c r="C7752" s="132"/>
      <c r="D7752" s="129"/>
      <c r="E7752" s="129"/>
      <c r="F7752" s="129"/>
      <c r="G7752" s="129"/>
      <c r="H7752" s="129"/>
      <c r="I7752" s="131"/>
      <c r="J7752" s="132"/>
      <c r="K7752" s="130"/>
      <c r="L7752" s="133"/>
    </row>
    <row r="7753" spans="1:12" hidden="1" x14ac:dyDescent="0.25">
      <c r="A7753" s="130"/>
      <c r="B7753" s="130"/>
      <c r="C7753" s="132"/>
      <c r="D7753" s="129"/>
      <c r="E7753" s="129"/>
      <c r="F7753" s="129"/>
      <c r="G7753" s="129"/>
      <c r="H7753" s="129"/>
      <c r="I7753" s="131"/>
      <c r="J7753" s="132"/>
      <c r="K7753" s="130"/>
      <c r="L7753" s="133"/>
    </row>
    <row r="7754" spans="1:12" hidden="1" x14ac:dyDescent="0.25">
      <c r="A7754" s="130"/>
      <c r="B7754" s="130"/>
      <c r="C7754" s="132"/>
      <c r="D7754" s="129"/>
      <c r="E7754" s="129"/>
      <c r="F7754" s="129"/>
      <c r="G7754" s="129"/>
      <c r="H7754" s="129"/>
      <c r="I7754" s="131"/>
      <c r="J7754" s="132"/>
      <c r="K7754" s="130"/>
      <c r="L7754" s="133"/>
    </row>
    <row r="7755" spans="1:12" hidden="1" x14ac:dyDescent="0.25">
      <c r="A7755" s="130"/>
      <c r="B7755" s="130"/>
      <c r="C7755" s="132"/>
      <c r="D7755" s="129"/>
      <c r="E7755" s="129"/>
      <c r="F7755" s="129"/>
      <c r="G7755" s="129"/>
      <c r="H7755" s="129"/>
      <c r="I7755" s="131"/>
      <c r="J7755" s="132"/>
      <c r="K7755" s="130"/>
      <c r="L7755" s="133"/>
    </row>
    <row r="7756" spans="1:12" hidden="1" x14ac:dyDescent="0.25">
      <c r="A7756" s="130"/>
      <c r="B7756" s="130"/>
      <c r="C7756" s="132"/>
      <c r="D7756" s="129"/>
      <c r="E7756" s="129"/>
      <c r="F7756" s="129"/>
      <c r="G7756" s="129"/>
      <c r="H7756" s="129"/>
      <c r="I7756" s="131"/>
      <c r="J7756" s="132"/>
      <c r="K7756" s="130"/>
      <c r="L7756" s="133"/>
    </row>
    <row r="7757" spans="1:12" hidden="1" x14ac:dyDescent="0.25">
      <c r="A7757" s="130"/>
      <c r="B7757" s="130"/>
      <c r="C7757" s="132"/>
      <c r="D7757" s="129"/>
      <c r="E7757" s="129"/>
      <c r="F7757" s="129"/>
      <c r="G7757" s="129"/>
      <c r="H7757" s="129"/>
      <c r="I7757" s="131"/>
      <c r="J7757" s="132"/>
      <c r="K7757" s="130"/>
      <c r="L7757" s="133"/>
    </row>
    <row r="7758" spans="1:12" hidden="1" x14ac:dyDescent="0.25">
      <c r="A7758" s="130"/>
      <c r="B7758" s="130"/>
      <c r="C7758" s="132"/>
      <c r="D7758" s="129"/>
      <c r="E7758" s="129"/>
      <c r="F7758" s="129"/>
      <c r="G7758" s="129"/>
      <c r="H7758" s="129"/>
      <c r="I7758" s="131"/>
      <c r="J7758" s="132"/>
      <c r="K7758" s="130"/>
      <c r="L7758" s="133"/>
    </row>
    <row r="7759" spans="1:12" hidden="1" x14ac:dyDescent="0.25">
      <c r="A7759" s="130"/>
      <c r="B7759" s="130"/>
      <c r="C7759" s="132"/>
      <c r="D7759" s="129"/>
      <c r="E7759" s="129"/>
      <c r="F7759" s="129"/>
      <c r="G7759" s="129"/>
      <c r="H7759" s="129"/>
      <c r="I7759" s="131"/>
      <c r="J7759" s="132"/>
      <c r="K7759" s="130"/>
      <c r="L7759" s="133"/>
    </row>
    <row r="7760" spans="1:12" hidden="1" x14ac:dyDescent="0.25">
      <c r="A7760" s="130"/>
      <c r="B7760" s="130"/>
      <c r="C7760" s="132"/>
      <c r="D7760" s="129"/>
      <c r="E7760" s="129"/>
      <c r="F7760" s="129"/>
      <c r="G7760" s="129"/>
      <c r="H7760" s="129"/>
      <c r="I7760" s="131"/>
      <c r="J7760" s="132"/>
      <c r="K7760" s="130"/>
      <c r="L7760" s="133"/>
    </row>
    <row r="7761" spans="1:12" hidden="1" x14ac:dyDescent="0.25">
      <c r="A7761" s="130"/>
      <c r="B7761" s="130"/>
      <c r="C7761" s="132"/>
      <c r="D7761" s="129"/>
      <c r="E7761" s="129"/>
      <c r="F7761" s="129"/>
      <c r="G7761" s="129"/>
      <c r="H7761" s="129"/>
      <c r="I7761" s="131"/>
      <c r="J7761" s="132"/>
      <c r="K7761" s="130"/>
      <c r="L7761" s="133"/>
    </row>
    <row r="7762" spans="1:12" hidden="1" x14ac:dyDescent="0.25">
      <c r="A7762" s="130"/>
      <c r="B7762" s="130"/>
      <c r="C7762" s="132"/>
      <c r="D7762" s="129"/>
      <c r="E7762" s="129"/>
      <c r="F7762" s="129"/>
      <c r="G7762" s="129"/>
      <c r="H7762" s="129"/>
      <c r="I7762" s="131"/>
      <c r="J7762" s="132"/>
      <c r="K7762" s="130"/>
      <c r="L7762" s="133"/>
    </row>
    <row r="7763" spans="1:12" hidden="1" x14ac:dyDescent="0.25">
      <c r="A7763" s="130"/>
      <c r="B7763" s="130"/>
      <c r="C7763" s="132"/>
      <c r="D7763" s="129"/>
      <c r="E7763" s="129"/>
      <c r="F7763" s="129"/>
      <c r="G7763" s="129"/>
      <c r="H7763" s="129"/>
      <c r="I7763" s="131"/>
      <c r="J7763" s="132"/>
      <c r="K7763" s="130"/>
      <c r="L7763" s="133"/>
    </row>
    <row r="7764" spans="1:12" hidden="1" x14ac:dyDescent="0.25">
      <c r="A7764" s="130"/>
      <c r="B7764" s="130"/>
      <c r="C7764" s="132"/>
      <c r="D7764" s="129"/>
      <c r="E7764" s="129"/>
      <c r="F7764" s="129"/>
      <c r="G7764" s="129"/>
      <c r="H7764" s="129"/>
      <c r="I7764" s="131"/>
      <c r="J7764" s="132"/>
      <c r="K7764" s="130"/>
      <c r="L7764" s="133"/>
    </row>
    <row r="7765" spans="1:12" hidden="1" x14ac:dyDescent="0.25">
      <c r="A7765" s="130"/>
      <c r="B7765" s="130"/>
      <c r="C7765" s="132"/>
      <c r="D7765" s="129"/>
      <c r="E7765" s="129"/>
      <c r="F7765" s="129"/>
      <c r="G7765" s="129"/>
      <c r="H7765" s="129"/>
      <c r="I7765" s="131"/>
      <c r="J7765" s="132"/>
      <c r="K7765" s="130"/>
      <c r="L7765" s="133"/>
    </row>
    <row r="7766" spans="1:12" hidden="1" x14ac:dyDescent="0.25">
      <c r="A7766" s="130"/>
      <c r="B7766" s="130"/>
      <c r="C7766" s="132"/>
      <c r="D7766" s="129"/>
      <c r="E7766" s="129"/>
      <c r="F7766" s="129"/>
      <c r="G7766" s="129"/>
      <c r="H7766" s="129"/>
      <c r="I7766" s="131"/>
      <c r="J7766" s="132"/>
      <c r="K7766" s="130"/>
      <c r="L7766" s="133"/>
    </row>
    <row r="7767" spans="1:12" hidden="1" x14ac:dyDescent="0.25">
      <c r="A7767" s="130"/>
      <c r="B7767" s="130"/>
      <c r="C7767" s="132"/>
      <c r="D7767" s="129"/>
      <c r="E7767" s="129"/>
      <c r="F7767" s="129"/>
      <c r="G7767" s="129"/>
      <c r="H7767" s="129"/>
      <c r="I7767" s="131"/>
      <c r="J7767" s="132"/>
      <c r="K7767" s="130"/>
      <c r="L7767" s="133"/>
    </row>
    <row r="7768" spans="1:12" hidden="1" x14ac:dyDescent="0.25">
      <c r="A7768" s="130"/>
      <c r="B7768" s="130"/>
      <c r="C7768" s="132"/>
      <c r="D7768" s="129"/>
      <c r="E7768" s="129"/>
      <c r="F7768" s="129"/>
      <c r="G7768" s="129"/>
      <c r="H7768" s="129"/>
      <c r="I7768" s="131"/>
      <c r="J7768" s="132"/>
      <c r="K7768" s="130"/>
      <c r="L7768" s="133"/>
    </row>
    <row r="7769" spans="1:12" hidden="1" x14ac:dyDescent="0.25">
      <c r="A7769" s="130"/>
      <c r="B7769" s="130"/>
      <c r="C7769" s="132"/>
      <c r="D7769" s="129"/>
      <c r="E7769" s="129"/>
      <c r="F7769" s="129"/>
      <c r="G7769" s="129"/>
      <c r="H7769" s="129"/>
      <c r="I7769" s="131"/>
      <c r="J7769" s="132"/>
      <c r="K7769" s="130"/>
      <c r="L7769" s="133"/>
    </row>
    <row r="7770" spans="1:12" hidden="1" x14ac:dyDescent="0.25">
      <c r="A7770" s="130"/>
      <c r="B7770" s="130"/>
      <c r="C7770" s="132"/>
      <c r="D7770" s="129"/>
      <c r="E7770" s="129"/>
      <c r="F7770" s="129"/>
      <c r="G7770" s="129"/>
      <c r="H7770" s="129"/>
      <c r="I7770" s="131"/>
      <c r="J7770" s="132"/>
      <c r="K7770" s="130"/>
      <c r="L7770" s="133"/>
    </row>
    <row r="7771" spans="1:12" hidden="1" x14ac:dyDescent="0.25">
      <c r="A7771" s="130"/>
      <c r="B7771" s="130"/>
      <c r="C7771" s="132"/>
      <c r="D7771" s="129"/>
      <c r="E7771" s="129"/>
      <c r="F7771" s="129"/>
      <c r="G7771" s="129"/>
      <c r="H7771" s="129"/>
      <c r="I7771" s="131"/>
      <c r="J7771" s="132"/>
      <c r="K7771" s="130"/>
      <c r="L7771" s="133"/>
    </row>
    <row r="7772" spans="1:12" hidden="1" x14ac:dyDescent="0.25">
      <c r="A7772" s="130"/>
      <c r="B7772" s="130"/>
      <c r="C7772" s="132"/>
      <c r="D7772" s="129"/>
      <c r="E7772" s="129"/>
      <c r="F7772" s="129"/>
      <c r="G7772" s="129"/>
      <c r="H7772" s="129"/>
      <c r="I7772" s="131"/>
      <c r="J7772" s="132"/>
      <c r="K7772" s="130"/>
      <c r="L7772" s="133"/>
    </row>
    <row r="7773" spans="1:12" hidden="1" x14ac:dyDescent="0.25">
      <c r="A7773" s="130"/>
      <c r="B7773" s="130"/>
      <c r="C7773" s="132"/>
      <c r="D7773" s="129"/>
      <c r="E7773" s="129"/>
      <c r="F7773" s="129"/>
      <c r="G7773" s="129"/>
      <c r="H7773" s="129"/>
      <c r="I7773" s="131"/>
      <c r="J7773" s="132"/>
      <c r="K7773" s="130"/>
      <c r="L7773" s="133"/>
    </row>
    <row r="7774" spans="1:12" hidden="1" x14ac:dyDescent="0.25">
      <c r="A7774" s="130"/>
      <c r="B7774" s="130"/>
      <c r="C7774" s="132"/>
      <c r="D7774" s="129"/>
      <c r="E7774" s="129"/>
      <c r="F7774" s="129"/>
      <c r="G7774" s="129"/>
      <c r="H7774" s="129"/>
      <c r="I7774" s="131"/>
      <c r="J7774" s="132"/>
      <c r="K7774" s="130"/>
      <c r="L7774" s="133"/>
    </row>
    <row r="7775" spans="1:12" hidden="1" x14ac:dyDescent="0.25">
      <c r="A7775" s="130"/>
      <c r="B7775" s="130"/>
      <c r="C7775" s="132"/>
      <c r="D7775" s="129"/>
      <c r="E7775" s="129"/>
      <c r="F7775" s="129"/>
      <c r="G7775" s="129"/>
      <c r="H7775" s="129"/>
      <c r="I7775" s="131"/>
      <c r="J7775" s="132"/>
      <c r="K7775" s="130"/>
      <c r="L7775" s="133"/>
    </row>
    <row r="7776" spans="1:12" hidden="1" x14ac:dyDescent="0.25">
      <c r="A7776" s="130"/>
      <c r="B7776" s="130"/>
      <c r="C7776" s="132"/>
      <c r="D7776" s="129"/>
      <c r="E7776" s="129"/>
      <c r="F7776" s="129"/>
      <c r="G7776" s="129"/>
      <c r="H7776" s="129"/>
      <c r="I7776" s="131"/>
      <c r="J7776" s="132"/>
      <c r="K7776" s="130"/>
      <c r="L7776" s="133"/>
    </row>
    <row r="7777" spans="1:12" hidden="1" x14ac:dyDescent="0.25">
      <c r="A7777" s="130"/>
      <c r="B7777" s="130"/>
      <c r="C7777" s="132"/>
      <c r="D7777" s="129"/>
      <c r="E7777" s="129"/>
      <c r="F7777" s="129"/>
      <c r="G7777" s="129"/>
      <c r="H7777" s="129"/>
      <c r="I7777" s="131"/>
      <c r="J7777" s="132"/>
      <c r="K7777" s="130"/>
      <c r="L7777" s="133"/>
    </row>
    <row r="7778" spans="1:12" hidden="1" x14ac:dyDescent="0.25">
      <c r="A7778" s="130"/>
      <c r="B7778" s="130"/>
      <c r="C7778" s="132"/>
      <c r="D7778" s="129"/>
      <c r="E7778" s="129"/>
      <c r="F7778" s="129"/>
      <c r="G7778" s="129"/>
      <c r="H7778" s="129"/>
      <c r="I7778" s="131"/>
      <c r="J7778" s="132"/>
      <c r="K7778" s="130"/>
      <c r="L7778" s="133"/>
    </row>
    <row r="7779" spans="1:12" hidden="1" x14ac:dyDescent="0.25">
      <c r="A7779" s="130"/>
      <c r="B7779" s="130"/>
      <c r="C7779" s="132"/>
      <c r="D7779" s="129"/>
      <c r="E7779" s="129"/>
      <c r="F7779" s="129"/>
      <c r="G7779" s="129"/>
      <c r="H7779" s="129"/>
      <c r="I7779" s="131"/>
      <c r="J7779" s="132"/>
      <c r="K7779" s="130"/>
      <c r="L7779" s="133"/>
    </row>
    <row r="7780" spans="1:12" hidden="1" x14ac:dyDescent="0.25">
      <c r="A7780" s="130"/>
      <c r="B7780" s="130"/>
      <c r="C7780" s="132"/>
      <c r="D7780" s="129"/>
      <c r="E7780" s="129"/>
      <c r="F7780" s="129"/>
      <c r="G7780" s="129"/>
      <c r="H7780" s="129"/>
      <c r="I7780" s="131"/>
      <c r="J7780" s="132"/>
      <c r="K7780" s="130"/>
      <c r="L7780" s="133"/>
    </row>
    <row r="7781" spans="1:12" hidden="1" x14ac:dyDescent="0.25">
      <c r="A7781" s="130"/>
      <c r="B7781" s="130"/>
      <c r="C7781" s="132"/>
      <c r="D7781" s="129"/>
      <c r="E7781" s="129"/>
      <c r="F7781" s="129"/>
      <c r="G7781" s="129"/>
      <c r="H7781" s="129"/>
      <c r="I7781" s="131"/>
      <c r="J7781" s="132"/>
      <c r="K7781" s="130"/>
      <c r="L7781" s="133"/>
    </row>
    <row r="7782" spans="1:12" hidden="1" x14ac:dyDescent="0.25">
      <c r="A7782" s="130"/>
      <c r="B7782" s="130"/>
      <c r="C7782" s="132"/>
      <c r="D7782" s="129"/>
      <c r="E7782" s="129"/>
      <c r="F7782" s="129"/>
      <c r="G7782" s="129"/>
      <c r="H7782" s="129"/>
      <c r="I7782" s="131"/>
      <c r="J7782" s="132"/>
      <c r="K7782" s="130"/>
      <c r="L7782" s="133"/>
    </row>
    <row r="7783" spans="1:12" hidden="1" x14ac:dyDescent="0.25">
      <c r="A7783" s="130"/>
      <c r="B7783" s="130"/>
      <c r="C7783" s="132"/>
      <c r="D7783" s="129"/>
      <c r="E7783" s="129"/>
      <c r="F7783" s="129"/>
      <c r="G7783" s="129"/>
      <c r="H7783" s="129"/>
      <c r="I7783" s="131"/>
      <c r="J7783" s="132"/>
      <c r="K7783" s="130"/>
      <c r="L7783" s="133"/>
    </row>
    <row r="7784" spans="1:12" hidden="1" x14ac:dyDescent="0.25">
      <c r="A7784" s="130"/>
      <c r="B7784" s="130"/>
      <c r="C7784" s="132"/>
      <c r="D7784" s="129"/>
      <c r="E7784" s="129"/>
      <c r="F7784" s="129"/>
      <c r="G7784" s="129"/>
      <c r="H7784" s="129"/>
      <c r="I7784" s="131"/>
      <c r="J7784" s="132"/>
      <c r="K7784" s="130"/>
      <c r="L7784" s="133"/>
    </row>
    <row r="7785" spans="1:12" hidden="1" x14ac:dyDescent="0.25">
      <c r="A7785" s="130"/>
      <c r="B7785" s="130"/>
      <c r="C7785" s="132"/>
      <c r="D7785" s="129"/>
      <c r="E7785" s="129"/>
      <c r="F7785" s="129"/>
      <c r="G7785" s="129"/>
      <c r="H7785" s="129"/>
      <c r="I7785" s="131"/>
      <c r="J7785" s="132"/>
      <c r="K7785" s="130"/>
      <c r="L7785" s="133"/>
    </row>
    <row r="7786" spans="1:12" hidden="1" x14ac:dyDescent="0.25">
      <c r="A7786" s="130"/>
      <c r="B7786" s="130"/>
      <c r="C7786" s="132"/>
      <c r="D7786" s="129"/>
      <c r="E7786" s="129"/>
      <c r="F7786" s="129"/>
      <c r="G7786" s="129"/>
      <c r="H7786" s="129"/>
      <c r="I7786" s="131"/>
      <c r="J7786" s="132"/>
      <c r="K7786" s="130"/>
      <c r="L7786" s="133"/>
    </row>
    <row r="7787" spans="1:12" hidden="1" x14ac:dyDescent="0.25">
      <c r="A7787" s="130"/>
      <c r="B7787" s="130"/>
      <c r="C7787" s="132"/>
      <c r="D7787" s="129"/>
      <c r="E7787" s="129"/>
      <c r="F7787" s="129"/>
      <c r="G7787" s="129"/>
      <c r="H7787" s="129"/>
      <c r="I7787" s="131"/>
      <c r="J7787" s="132"/>
      <c r="K7787" s="130"/>
      <c r="L7787" s="133"/>
    </row>
    <row r="7788" spans="1:12" hidden="1" x14ac:dyDescent="0.25">
      <c r="A7788" s="130"/>
      <c r="B7788" s="130"/>
      <c r="C7788" s="132"/>
      <c r="D7788" s="129"/>
      <c r="E7788" s="129"/>
      <c r="F7788" s="129"/>
      <c r="G7788" s="129"/>
      <c r="H7788" s="129"/>
      <c r="I7788" s="131"/>
      <c r="J7788" s="132"/>
      <c r="K7788" s="130"/>
      <c r="L7788" s="133"/>
    </row>
    <row r="7789" spans="1:12" hidden="1" x14ac:dyDescent="0.25">
      <c r="A7789" s="130"/>
      <c r="B7789" s="130"/>
      <c r="C7789" s="132"/>
      <c r="D7789" s="129"/>
      <c r="E7789" s="129"/>
      <c r="F7789" s="129"/>
      <c r="G7789" s="129"/>
      <c r="H7789" s="129"/>
      <c r="I7789" s="131"/>
      <c r="J7789" s="132"/>
      <c r="K7789" s="130"/>
      <c r="L7789" s="133"/>
    </row>
    <row r="7790" spans="1:12" hidden="1" x14ac:dyDescent="0.25">
      <c r="A7790" s="130"/>
      <c r="B7790" s="130"/>
      <c r="C7790" s="132"/>
      <c r="D7790" s="129"/>
      <c r="E7790" s="129"/>
      <c r="F7790" s="129"/>
      <c r="G7790" s="129"/>
      <c r="H7790" s="129"/>
      <c r="I7790" s="131"/>
      <c r="J7790" s="132"/>
      <c r="K7790" s="130"/>
      <c r="L7790" s="133"/>
    </row>
    <row r="7791" spans="1:12" hidden="1" x14ac:dyDescent="0.25">
      <c r="A7791" s="130"/>
      <c r="B7791" s="130"/>
      <c r="C7791" s="132"/>
      <c r="D7791" s="129"/>
      <c r="E7791" s="129"/>
      <c r="F7791" s="129"/>
      <c r="G7791" s="129"/>
      <c r="H7791" s="129"/>
      <c r="I7791" s="131"/>
      <c r="J7791" s="132"/>
      <c r="K7791" s="130"/>
      <c r="L7791" s="133"/>
    </row>
    <row r="7792" spans="1:12" hidden="1" x14ac:dyDescent="0.25">
      <c r="A7792" s="130"/>
      <c r="B7792" s="130"/>
      <c r="C7792" s="132"/>
      <c r="D7792" s="129"/>
      <c r="E7792" s="129"/>
      <c r="F7792" s="129"/>
      <c r="G7792" s="129"/>
      <c r="H7792" s="129"/>
      <c r="I7792" s="131"/>
      <c r="J7792" s="132"/>
      <c r="K7792" s="130"/>
      <c r="L7792" s="133"/>
    </row>
    <row r="7793" spans="1:12" hidden="1" x14ac:dyDescent="0.25">
      <c r="A7793" s="130"/>
      <c r="B7793" s="130"/>
      <c r="C7793" s="132"/>
      <c r="D7793" s="129"/>
      <c r="E7793" s="129"/>
      <c r="F7793" s="129"/>
      <c r="G7793" s="129"/>
      <c r="H7793" s="129"/>
      <c r="I7793" s="131"/>
      <c r="J7793" s="132"/>
      <c r="K7793" s="130"/>
      <c r="L7793" s="133"/>
    </row>
    <row r="7794" spans="1:12" hidden="1" x14ac:dyDescent="0.25">
      <c r="A7794" s="130"/>
      <c r="B7794" s="130"/>
      <c r="C7794" s="132"/>
      <c r="D7794" s="129"/>
      <c r="E7794" s="129"/>
      <c r="F7794" s="129"/>
      <c r="G7794" s="129"/>
      <c r="H7794" s="129"/>
      <c r="I7794" s="131"/>
      <c r="J7794" s="132"/>
      <c r="K7794" s="130"/>
      <c r="L7794" s="133"/>
    </row>
    <row r="7795" spans="1:12" hidden="1" x14ac:dyDescent="0.25">
      <c r="A7795" s="130"/>
      <c r="B7795" s="130"/>
      <c r="C7795" s="132"/>
      <c r="D7795" s="129"/>
      <c r="E7795" s="129"/>
      <c r="F7795" s="129"/>
      <c r="G7795" s="129"/>
      <c r="H7795" s="129"/>
      <c r="I7795" s="131"/>
      <c r="J7795" s="132"/>
      <c r="K7795" s="130"/>
      <c r="L7795" s="133"/>
    </row>
    <row r="7796" spans="1:12" hidden="1" x14ac:dyDescent="0.25">
      <c r="A7796" s="130"/>
      <c r="B7796" s="130"/>
      <c r="C7796" s="132"/>
      <c r="D7796" s="129"/>
      <c r="E7796" s="129"/>
      <c r="F7796" s="129"/>
      <c r="G7796" s="129"/>
      <c r="H7796" s="129"/>
      <c r="I7796" s="131"/>
      <c r="J7796" s="132"/>
      <c r="K7796" s="130"/>
      <c r="L7796" s="133"/>
    </row>
    <row r="7797" spans="1:12" hidden="1" x14ac:dyDescent="0.25">
      <c r="A7797" s="130"/>
      <c r="B7797" s="130"/>
      <c r="C7797" s="132"/>
      <c r="D7797" s="129"/>
      <c r="E7797" s="129"/>
      <c r="F7797" s="129"/>
      <c r="G7797" s="129"/>
      <c r="H7797" s="129"/>
      <c r="I7797" s="131"/>
      <c r="J7797" s="132"/>
      <c r="K7797" s="130"/>
      <c r="L7797" s="133"/>
    </row>
    <row r="7798" spans="1:12" hidden="1" x14ac:dyDescent="0.25">
      <c r="A7798" s="130"/>
      <c r="B7798" s="130"/>
      <c r="C7798" s="132"/>
      <c r="D7798" s="129"/>
      <c r="E7798" s="129"/>
      <c r="F7798" s="129"/>
      <c r="G7798" s="129"/>
      <c r="H7798" s="129"/>
      <c r="I7798" s="131"/>
      <c r="J7798" s="132"/>
      <c r="K7798" s="130"/>
      <c r="L7798" s="133"/>
    </row>
    <row r="7799" spans="1:12" hidden="1" x14ac:dyDescent="0.25">
      <c r="A7799" s="130"/>
      <c r="B7799" s="130"/>
      <c r="C7799" s="132"/>
      <c r="D7799" s="129"/>
      <c r="E7799" s="129"/>
      <c r="F7799" s="129"/>
      <c r="G7799" s="129"/>
      <c r="H7799" s="129"/>
      <c r="I7799" s="131"/>
      <c r="J7799" s="132"/>
      <c r="K7799" s="130"/>
      <c r="L7799" s="133"/>
    </row>
    <row r="7800" spans="1:12" hidden="1" x14ac:dyDescent="0.25">
      <c r="A7800" s="130"/>
      <c r="B7800" s="130"/>
      <c r="C7800" s="132"/>
      <c r="D7800" s="129"/>
      <c r="E7800" s="129"/>
      <c r="F7800" s="129"/>
      <c r="G7800" s="129"/>
      <c r="H7800" s="129"/>
      <c r="I7800" s="131"/>
      <c r="J7800" s="132"/>
      <c r="K7800" s="130"/>
      <c r="L7800" s="133"/>
    </row>
    <row r="7801" spans="1:12" hidden="1" x14ac:dyDescent="0.25">
      <c r="A7801" s="130"/>
      <c r="B7801" s="130"/>
      <c r="C7801" s="132"/>
      <c r="D7801" s="129"/>
      <c r="E7801" s="129"/>
      <c r="F7801" s="129"/>
      <c r="G7801" s="129"/>
      <c r="H7801" s="129"/>
      <c r="I7801" s="131"/>
      <c r="J7801" s="132"/>
      <c r="K7801" s="130"/>
      <c r="L7801" s="133"/>
    </row>
    <row r="7802" spans="1:12" hidden="1" x14ac:dyDescent="0.25">
      <c r="A7802" s="130"/>
      <c r="B7802" s="130"/>
      <c r="C7802" s="132"/>
      <c r="D7802" s="129"/>
      <c r="E7802" s="129"/>
      <c r="F7802" s="129"/>
      <c r="G7802" s="129"/>
      <c r="H7802" s="129"/>
      <c r="I7802" s="131"/>
      <c r="J7802" s="132"/>
      <c r="K7802" s="130"/>
      <c r="L7802" s="133"/>
    </row>
    <row r="7803" spans="1:12" hidden="1" x14ac:dyDescent="0.25">
      <c r="A7803" s="130"/>
      <c r="B7803" s="130"/>
      <c r="C7803" s="132"/>
      <c r="D7803" s="129"/>
      <c r="E7803" s="129"/>
      <c r="F7803" s="129"/>
      <c r="G7803" s="129"/>
      <c r="H7803" s="129"/>
      <c r="I7803" s="131"/>
      <c r="J7803" s="132"/>
      <c r="K7803" s="130"/>
      <c r="L7803" s="133"/>
    </row>
    <row r="7804" spans="1:12" hidden="1" x14ac:dyDescent="0.25">
      <c r="A7804" s="130"/>
      <c r="B7804" s="130"/>
      <c r="C7804" s="132"/>
      <c r="D7804" s="129"/>
      <c r="E7804" s="129"/>
      <c r="F7804" s="129"/>
      <c r="G7804" s="129"/>
      <c r="H7804" s="129"/>
      <c r="I7804" s="131"/>
      <c r="J7804" s="132"/>
      <c r="K7804" s="130"/>
      <c r="L7804" s="133"/>
    </row>
    <row r="7805" spans="1:12" hidden="1" x14ac:dyDescent="0.25">
      <c r="A7805" s="130"/>
      <c r="B7805" s="130"/>
      <c r="C7805" s="132"/>
      <c r="D7805" s="129"/>
      <c r="E7805" s="129"/>
      <c r="F7805" s="129"/>
      <c r="G7805" s="129"/>
      <c r="H7805" s="129"/>
      <c r="I7805" s="131"/>
      <c r="J7805" s="132"/>
      <c r="K7805" s="130"/>
      <c r="L7805" s="133"/>
    </row>
    <row r="7806" spans="1:12" hidden="1" x14ac:dyDescent="0.25">
      <c r="A7806" s="130"/>
      <c r="B7806" s="130"/>
      <c r="C7806" s="132"/>
      <c r="D7806" s="129"/>
      <c r="E7806" s="129"/>
      <c r="F7806" s="129"/>
      <c r="G7806" s="129"/>
      <c r="H7806" s="129"/>
      <c r="I7806" s="131"/>
      <c r="J7806" s="132"/>
      <c r="K7806" s="130"/>
      <c r="L7806" s="133"/>
    </row>
    <row r="7807" spans="1:12" hidden="1" x14ac:dyDescent="0.25">
      <c r="A7807" s="130"/>
      <c r="B7807" s="130"/>
      <c r="C7807" s="132"/>
      <c r="D7807" s="129"/>
      <c r="E7807" s="129"/>
      <c r="F7807" s="129"/>
      <c r="G7807" s="129"/>
      <c r="H7807" s="129"/>
      <c r="I7807" s="131"/>
      <c r="J7807" s="132"/>
      <c r="K7807" s="130"/>
      <c r="L7807" s="133"/>
    </row>
    <row r="7808" spans="1:12" hidden="1" x14ac:dyDescent="0.25">
      <c r="A7808" s="130"/>
      <c r="B7808" s="130"/>
      <c r="C7808" s="132"/>
      <c r="D7808" s="129"/>
      <c r="E7808" s="129"/>
      <c r="F7808" s="129"/>
      <c r="G7808" s="129"/>
      <c r="H7808" s="129"/>
      <c r="I7808" s="131"/>
      <c r="J7808" s="132"/>
      <c r="K7808" s="130"/>
      <c r="L7808" s="133"/>
    </row>
    <row r="7809" spans="1:12" hidden="1" x14ac:dyDescent="0.25">
      <c r="A7809" s="130"/>
      <c r="B7809" s="130"/>
      <c r="C7809" s="132"/>
      <c r="D7809" s="129"/>
      <c r="E7809" s="129"/>
      <c r="F7809" s="129"/>
      <c r="G7809" s="129"/>
      <c r="H7809" s="129"/>
      <c r="I7809" s="131"/>
      <c r="J7809" s="132"/>
      <c r="K7809" s="130"/>
      <c r="L7809" s="133"/>
    </row>
    <row r="7810" spans="1:12" hidden="1" x14ac:dyDescent="0.25">
      <c r="A7810" s="148"/>
      <c r="B7810" s="148"/>
      <c r="C7810" s="149"/>
      <c r="D7810" s="150"/>
      <c r="E7810" s="150"/>
      <c r="F7810" s="150"/>
      <c r="G7810" s="150"/>
      <c r="H7810" s="150"/>
      <c r="I7810" s="151"/>
      <c r="J7810" s="149"/>
      <c r="K7810" s="148"/>
      <c r="L7810" s="133"/>
    </row>
    <row r="7811" spans="1:12" hidden="1" x14ac:dyDescent="0.25">
      <c r="A7811" s="148"/>
      <c r="B7811" s="148"/>
      <c r="C7811" s="149"/>
      <c r="D7811" s="150"/>
      <c r="E7811" s="150"/>
      <c r="F7811" s="150"/>
      <c r="G7811" s="150"/>
      <c r="H7811" s="150"/>
      <c r="I7811" s="151"/>
      <c r="J7811" s="149"/>
      <c r="K7811" s="148"/>
      <c r="L7811" s="133"/>
    </row>
    <row r="7812" spans="1:12" hidden="1" x14ac:dyDescent="0.25">
      <c r="A7812" s="148"/>
      <c r="B7812" s="148"/>
      <c r="C7812" s="149"/>
      <c r="D7812" s="150"/>
      <c r="E7812" s="150"/>
      <c r="F7812" s="150"/>
      <c r="G7812" s="150"/>
      <c r="H7812" s="150"/>
      <c r="I7812" s="151"/>
      <c r="J7812" s="149"/>
      <c r="K7812" s="148"/>
      <c r="L7812" s="133"/>
    </row>
    <row r="7813" spans="1:12" hidden="1" x14ac:dyDescent="0.25">
      <c r="A7813" s="148"/>
      <c r="B7813" s="148"/>
      <c r="C7813" s="149"/>
      <c r="D7813" s="150"/>
      <c r="E7813" s="150"/>
      <c r="F7813" s="150"/>
      <c r="G7813" s="150"/>
      <c r="H7813" s="150"/>
      <c r="I7813" s="151"/>
      <c r="J7813" s="149"/>
      <c r="K7813" s="148"/>
      <c r="L7813" s="133"/>
    </row>
    <row r="7814" spans="1:12" hidden="1" x14ac:dyDescent="0.25">
      <c r="A7814" s="148"/>
      <c r="B7814" s="148"/>
      <c r="C7814" s="149"/>
      <c r="D7814" s="150"/>
      <c r="E7814" s="150"/>
      <c r="F7814" s="150"/>
      <c r="G7814" s="150"/>
      <c r="H7814" s="150"/>
      <c r="I7814" s="151"/>
      <c r="J7814" s="149"/>
      <c r="K7814" s="148"/>
      <c r="L7814" s="133"/>
    </row>
    <row r="7815" spans="1:12" hidden="1" x14ac:dyDescent="0.25">
      <c r="A7815" s="148"/>
      <c r="B7815" s="148"/>
      <c r="C7815" s="149"/>
      <c r="D7815" s="150"/>
      <c r="E7815" s="150"/>
      <c r="F7815" s="150"/>
      <c r="G7815" s="150"/>
      <c r="H7815" s="150"/>
      <c r="I7815" s="151"/>
      <c r="J7815" s="149"/>
      <c r="K7815" s="148"/>
      <c r="L7815" s="133"/>
    </row>
    <row r="7816" spans="1:12" hidden="1" x14ac:dyDescent="0.25">
      <c r="A7816" s="148"/>
      <c r="B7816" s="148"/>
      <c r="C7816" s="149"/>
      <c r="D7816" s="150"/>
      <c r="E7816" s="150"/>
      <c r="F7816" s="150"/>
      <c r="G7816" s="150"/>
      <c r="H7816" s="150"/>
      <c r="I7816" s="151"/>
      <c r="J7816" s="149"/>
      <c r="K7816" s="148"/>
      <c r="L7816" s="133"/>
    </row>
    <row r="7817" spans="1:12" hidden="1" x14ac:dyDescent="0.25">
      <c r="A7817" s="148"/>
      <c r="B7817" s="148"/>
      <c r="C7817" s="149"/>
      <c r="D7817" s="150"/>
      <c r="E7817" s="150"/>
      <c r="F7817" s="150"/>
      <c r="G7817" s="150"/>
      <c r="H7817" s="150"/>
      <c r="I7817" s="151"/>
      <c r="J7817" s="149"/>
      <c r="K7817" s="148"/>
      <c r="L7817" s="133"/>
    </row>
    <row r="7818" spans="1:12" hidden="1" x14ac:dyDescent="0.25">
      <c r="A7818" s="148"/>
      <c r="B7818" s="148"/>
      <c r="C7818" s="149"/>
      <c r="D7818" s="150"/>
      <c r="E7818" s="150"/>
      <c r="F7818" s="150"/>
      <c r="G7818" s="150"/>
      <c r="H7818" s="150"/>
      <c r="I7818" s="151"/>
      <c r="J7818" s="149"/>
      <c r="K7818" s="148"/>
      <c r="L7818" s="133"/>
    </row>
    <row r="7819" spans="1:12" hidden="1" x14ac:dyDescent="0.25">
      <c r="A7819" s="148"/>
      <c r="B7819" s="148"/>
      <c r="C7819" s="149"/>
      <c r="D7819" s="150"/>
      <c r="E7819" s="150"/>
      <c r="F7819" s="150"/>
      <c r="G7819" s="150"/>
      <c r="H7819" s="150"/>
      <c r="I7819" s="151"/>
      <c r="J7819" s="149"/>
      <c r="K7819" s="148"/>
      <c r="L7819" s="133"/>
    </row>
    <row r="7820" spans="1:12" hidden="1" x14ac:dyDescent="0.25">
      <c r="A7820" s="148"/>
      <c r="B7820" s="148"/>
      <c r="C7820" s="149"/>
      <c r="D7820" s="150"/>
      <c r="E7820" s="150"/>
      <c r="F7820" s="150"/>
      <c r="G7820" s="150"/>
      <c r="H7820" s="150"/>
      <c r="I7820" s="151"/>
      <c r="J7820" s="149"/>
      <c r="K7820" s="148"/>
      <c r="L7820" s="133"/>
    </row>
    <row r="7821" spans="1:12" hidden="1" x14ac:dyDescent="0.25">
      <c r="A7821" s="148"/>
      <c r="B7821" s="148"/>
      <c r="C7821" s="149"/>
      <c r="D7821" s="150"/>
      <c r="E7821" s="150"/>
      <c r="F7821" s="150"/>
      <c r="G7821" s="150"/>
      <c r="H7821" s="150"/>
      <c r="I7821" s="151"/>
      <c r="J7821" s="149"/>
      <c r="K7821" s="148"/>
      <c r="L7821" s="133"/>
    </row>
    <row r="7822" spans="1:12" hidden="1" x14ac:dyDescent="0.25">
      <c r="A7822" s="148"/>
      <c r="B7822" s="148"/>
      <c r="C7822" s="149"/>
      <c r="D7822" s="150"/>
      <c r="E7822" s="150"/>
      <c r="F7822" s="150"/>
      <c r="G7822" s="150"/>
      <c r="H7822" s="150"/>
      <c r="I7822" s="151"/>
      <c r="J7822" s="149"/>
      <c r="K7822" s="148"/>
      <c r="L7822" s="133"/>
    </row>
    <row r="7823" spans="1:12" hidden="1" x14ac:dyDescent="0.25">
      <c r="A7823" s="148"/>
      <c r="B7823" s="148"/>
      <c r="C7823" s="149"/>
      <c r="D7823" s="150"/>
      <c r="E7823" s="150"/>
      <c r="F7823" s="150"/>
      <c r="G7823" s="150"/>
      <c r="H7823" s="150"/>
      <c r="I7823" s="151"/>
      <c r="J7823" s="149"/>
      <c r="K7823" s="148"/>
      <c r="L7823" s="133"/>
    </row>
    <row r="7824" spans="1:12" hidden="1" x14ac:dyDescent="0.25">
      <c r="A7824" s="148"/>
      <c r="B7824" s="148"/>
      <c r="C7824" s="149"/>
      <c r="D7824" s="150"/>
      <c r="E7824" s="150"/>
      <c r="F7824" s="150"/>
      <c r="G7824" s="150"/>
      <c r="H7824" s="150"/>
      <c r="I7824" s="151"/>
      <c r="J7824" s="149"/>
      <c r="K7824" s="148"/>
      <c r="L7824" s="133"/>
    </row>
    <row r="7825" spans="1:12" hidden="1" x14ac:dyDescent="0.25">
      <c r="A7825" s="148"/>
      <c r="B7825" s="148"/>
      <c r="C7825" s="149"/>
      <c r="D7825" s="150"/>
      <c r="E7825" s="150"/>
      <c r="F7825" s="150"/>
      <c r="G7825" s="150"/>
      <c r="H7825" s="150"/>
      <c r="I7825" s="151"/>
      <c r="J7825" s="149"/>
      <c r="K7825" s="148"/>
      <c r="L7825" s="133"/>
    </row>
    <row r="7826" spans="1:12" hidden="1" x14ac:dyDescent="0.25">
      <c r="A7826" s="148"/>
      <c r="B7826" s="148"/>
      <c r="C7826" s="149"/>
      <c r="D7826" s="150"/>
      <c r="E7826" s="150"/>
      <c r="F7826" s="150"/>
      <c r="G7826" s="150"/>
      <c r="H7826" s="150"/>
      <c r="I7826" s="151"/>
      <c r="J7826" s="149"/>
      <c r="K7826" s="148"/>
      <c r="L7826" s="133"/>
    </row>
    <row r="7827" spans="1:12" hidden="1" x14ac:dyDescent="0.25">
      <c r="A7827" s="148"/>
      <c r="B7827" s="148"/>
      <c r="C7827" s="149"/>
      <c r="D7827" s="150"/>
      <c r="E7827" s="150"/>
      <c r="F7827" s="150"/>
      <c r="G7827" s="150"/>
      <c r="H7827" s="150"/>
      <c r="I7827" s="151"/>
      <c r="J7827" s="149"/>
      <c r="K7827" s="148"/>
      <c r="L7827" s="133"/>
    </row>
    <row r="7828" spans="1:12" hidden="1" x14ac:dyDescent="0.25">
      <c r="A7828" s="148"/>
      <c r="B7828" s="148"/>
      <c r="C7828" s="149"/>
      <c r="D7828" s="150"/>
      <c r="E7828" s="150"/>
      <c r="F7828" s="150"/>
      <c r="G7828" s="150"/>
      <c r="H7828" s="150"/>
      <c r="I7828" s="151"/>
      <c r="J7828" s="149"/>
      <c r="K7828" s="148"/>
      <c r="L7828" s="133"/>
    </row>
    <row r="7829" spans="1:12" hidden="1" x14ac:dyDescent="0.25">
      <c r="A7829" s="148"/>
      <c r="B7829" s="148"/>
      <c r="C7829" s="149"/>
      <c r="D7829" s="150"/>
      <c r="E7829" s="150"/>
      <c r="F7829" s="150"/>
      <c r="G7829" s="150"/>
      <c r="H7829" s="150"/>
      <c r="I7829" s="151"/>
      <c r="J7829" s="149"/>
      <c r="K7829" s="148"/>
      <c r="L7829" s="133"/>
    </row>
    <row r="7830" spans="1:12" hidden="1" x14ac:dyDescent="0.25">
      <c r="A7830" s="148"/>
      <c r="B7830" s="148"/>
      <c r="C7830" s="149"/>
      <c r="D7830" s="150"/>
      <c r="E7830" s="150"/>
      <c r="F7830" s="150"/>
      <c r="G7830" s="150"/>
      <c r="H7830" s="150"/>
      <c r="I7830" s="151"/>
      <c r="J7830" s="149"/>
      <c r="K7830" s="148"/>
      <c r="L7830" s="133"/>
    </row>
    <row r="7831" spans="1:12" hidden="1" x14ac:dyDescent="0.25">
      <c r="A7831" s="148"/>
      <c r="B7831" s="148"/>
      <c r="C7831" s="149"/>
      <c r="D7831" s="150"/>
      <c r="E7831" s="150"/>
      <c r="F7831" s="150"/>
      <c r="G7831" s="150"/>
      <c r="H7831" s="150"/>
      <c r="I7831" s="151"/>
      <c r="J7831" s="149"/>
      <c r="K7831" s="148"/>
      <c r="L7831" s="133"/>
    </row>
    <row r="7832" spans="1:12" hidden="1" x14ac:dyDescent="0.25">
      <c r="A7832" s="148"/>
      <c r="B7832" s="148"/>
      <c r="C7832" s="149"/>
      <c r="D7832" s="150"/>
      <c r="E7832" s="150"/>
      <c r="F7832" s="150"/>
      <c r="G7832" s="150"/>
      <c r="H7832" s="150"/>
      <c r="I7832" s="151"/>
      <c r="J7832" s="149"/>
      <c r="K7832" s="148"/>
      <c r="L7832" s="133"/>
    </row>
    <row r="7833" spans="1:12" hidden="1" x14ac:dyDescent="0.25">
      <c r="A7833" s="148"/>
      <c r="B7833" s="148"/>
      <c r="C7833" s="149"/>
      <c r="D7833" s="150"/>
      <c r="E7833" s="150"/>
      <c r="F7833" s="150"/>
      <c r="G7833" s="150"/>
      <c r="H7833" s="150"/>
      <c r="I7833" s="151"/>
      <c r="J7833" s="149"/>
      <c r="K7833" s="148"/>
      <c r="L7833" s="133"/>
    </row>
    <row r="7834" spans="1:12" hidden="1" x14ac:dyDescent="0.25">
      <c r="A7834" s="148"/>
      <c r="B7834" s="148"/>
      <c r="C7834" s="149"/>
      <c r="D7834" s="150"/>
      <c r="E7834" s="150"/>
      <c r="F7834" s="150"/>
      <c r="G7834" s="150"/>
      <c r="H7834" s="150"/>
      <c r="I7834" s="151"/>
      <c r="J7834" s="149"/>
      <c r="K7834" s="148"/>
      <c r="L7834" s="133"/>
    </row>
    <row r="7835" spans="1:12" hidden="1" x14ac:dyDescent="0.25">
      <c r="A7835" s="148"/>
      <c r="B7835" s="148"/>
      <c r="C7835" s="149"/>
      <c r="D7835" s="150"/>
      <c r="E7835" s="150"/>
      <c r="F7835" s="150"/>
      <c r="G7835" s="150"/>
      <c r="H7835" s="150"/>
      <c r="I7835" s="151"/>
      <c r="J7835" s="149"/>
      <c r="K7835" s="148"/>
      <c r="L7835" s="133"/>
    </row>
    <row r="7836" spans="1:12" hidden="1" x14ac:dyDescent="0.25">
      <c r="A7836" s="148"/>
      <c r="B7836" s="148"/>
      <c r="C7836" s="149"/>
      <c r="D7836" s="150"/>
      <c r="E7836" s="150"/>
      <c r="F7836" s="150"/>
      <c r="G7836" s="150"/>
      <c r="H7836" s="150"/>
      <c r="I7836" s="151"/>
      <c r="J7836" s="149"/>
      <c r="K7836" s="148"/>
      <c r="L7836" s="133"/>
    </row>
    <row r="7837" spans="1:12" hidden="1" x14ac:dyDescent="0.25">
      <c r="A7837" s="148"/>
      <c r="B7837" s="148"/>
      <c r="C7837" s="149"/>
      <c r="D7837" s="150"/>
      <c r="E7837" s="150"/>
      <c r="F7837" s="150"/>
      <c r="G7837" s="150"/>
      <c r="H7837" s="150"/>
      <c r="I7837" s="151"/>
      <c r="J7837" s="149"/>
      <c r="K7837" s="148"/>
      <c r="L7837" s="133"/>
    </row>
    <row r="7838" spans="1:12" hidden="1" x14ac:dyDescent="0.25">
      <c r="A7838" s="148"/>
      <c r="B7838" s="148"/>
      <c r="C7838" s="149"/>
      <c r="D7838" s="150"/>
      <c r="E7838" s="150"/>
      <c r="F7838" s="150"/>
      <c r="G7838" s="150"/>
      <c r="H7838" s="150"/>
      <c r="I7838" s="151"/>
      <c r="J7838" s="149"/>
      <c r="K7838" s="148"/>
      <c r="L7838" s="133"/>
    </row>
    <row r="7839" spans="1:12" hidden="1" x14ac:dyDescent="0.25">
      <c r="A7839" s="148"/>
      <c r="B7839" s="148"/>
      <c r="C7839" s="149"/>
      <c r="D7839" s="150"/>
      <c r="E7839" s="150"/>
      <c r="F7839" s="150"/>
      <c r="G7839" s="150"/>
      <c r="H7839" s="150"/>
      <c r="I7839" s="151"/>
      <c r="J7839" s="149"/>
      <c r="K7839" s="148"/>
      <c r="L7839" s="133"/>
    </row>
    <row r="7840" spans="1:12" hidden="1" x14ac:dyDescent="0.25">
      <c r="A7840" s="148"/>
      <c r="B7840" s="148"/>
      <c r="C7840" s="149"/>
      <c r="D7840" s="150"/>
      <c r="E7840" s="150"/>
      <c r="F7840" s="150"/>
      <c r="G7840" s="150"/>
      <c r="H7840" s="150"/>
      <c r="I7840" s="151"/>
      <c r="J7840" s="149"/>
      <c r="K7840" s="148"/>
      <c r="L7840" s="133"/>
    </row>
    <row r="7841" spans="1:12" hidden="1" x14ac:dyDescent="0.25">
      <c r="A7841" s="148"/>
      <c r="B7841" s="148"/>
      <c r="C7841" s="149"/>
      <c r="D7841" s="150"/>
      <c r="E7841" s="150"/>
      <c r="F7841" s="150"/>
      <c r="G7841" s="150"/>
      <c r="H7841" s="150"/>
      <c r="I7841" s="151"/>
      <c r="J7841" s="149"/>
      <c r="K7841" s="148"/>
      <c r="L7841" s="133"/>
    </row>
    <row r="7842" spans="1:12" hidden="1" x14ac:dyDescent="0.25">
      <c r="A7842" s="148"/>
      <c r="B7842" s="148"/>
      <c r="C7842" s="149"/>
      <c r="D7842" s="150"/>
      <c r="E7842" s="150"/>
      <c r="F7842" s="150"/>
      <c r="G7842" s="150"/>
      <c r="H7842" s="150"/>
      <c r="I7842" s="151"/>
      <c r="J7842" s="149"/>
      <c r="K7842" s="148"/>
      <c r="L7842" s="133"/>
    </row>
    <row r="7843" spans="1:12" hidden="1" x14ac:dyDescent="0.25">
      <c r="A7843" s="148"/>
      <c r="B7843" s="148"/>
      <c r="C7843" s="149"/>
      <c r="D7843" s="150"/>
      <c r="E7843" s="150"/>
      <c r="F7843" s="150"/>
      <c r="G7843" s="150"/>
      <c r="H7843" s="150"/>
      <c r="I7843" s="151"/>
      <c r="J7843" s="149"/>
      <c r="K7843" s="148"/>
      <c r="L7843" s="133"/>
    </row>
    <row r="7844" spans="1:12" hidden="1" x14ac:dyDescent="0.25">
      <c r="A7844" s="148"/>
      <c r="B7844" s="148"/>
      <c r="C7844" s="149"/>
      <c r="D7844" s="150"/>
      <c r="E7844" s="150"/>
      <c r="F7844" s="150"/>
      <c r="G7844" s="150"/>
      <c r="H7844" s="150"/>
      <c r="I7844" s="151"/>
      <c r="J7844" s="149"/>
      <c r="K7844" s="148"/>
      <c r="L7844" s="133"/>
    </row>
    <row r="7845" spans="1:12" hidden="1" x14ac:dyDescent="0.25">
      <c r="A7845" s="148"/>
      <c r="B7845" s="148"/>
      <c r="C7845" s="149"/>
      <c r="D7845" s="150"/>
      <c r="E7845" s="150"/>
      <c r="F7845" s="150"/>
      <c r="G7845" s="150"/>
      <c r="H7845" s="150"/>
      <c r="I7845" s="151"/>
      <c r="J7845" s="149"/>
      <c r="K7845" s="148"/>
      <c r="L7845" s="133"/>
    </row>
    <row r="7846" spans="1:12" hidden="1" x14ac:dyDescent="0.25">
      <c r="A7846" s="148"/>
      <c r="B7846" s="148"/>
      <c r="C7846" s="149"/>
      <c r="D7846" s="150"/>
      <c r="E7846" s="150"/>
      <c r="F7846" s="150"/>
      <c r="G7846" s="150"/>
      <c r="H7846" s="150"/>
      <c r="I7846" s="151"/>
      <c r="J7846" s="149"/>
      <c r="K7846" s="148"/>
      <c r="L7846" s="133"/>
    </row>
    <row r="7847" spans="1:12" hidden="1" x14ac:dyDescent="0.25">
      <c r="A7847" s="148"/>
      <c r="B7847" s="148"/>
      <c r="C7847" s="149"/>
      <c r="D7847" s="150"/>
      <c r="E7847" s="150"/>
      <c r="F7847" s="150"/>
      <c r="G7847" s="150"/>
      <c r="H7847" s="150"/>
      <c r="I7847" s="151"/>
      <c r="J7847" s="149"/>
      <c r="K7847" s="148"/>
      <c r="L7847" s="133"/>
    </row>
    <row r="7848" spans="1:12" hidden="1" x14ac:dyDescent="0.25">
      <c r="A7848" s="148"/>
      <c r="B7848" s="148"/>
      <c r="C7848" s="149"/>
      <c r="D7848" s="150"/>
      <c r="E7848" s="150"/>
      <c r="F7848" s="150"/>
      <c r="G7848" s="150"/>
      <c r="H7848" s="150"/>
      <c r="I7848" s="151"/>
      <c r="J7848" s="149"/>
      <c r="K7848" s="148"/>
      <c r="L7848" s="133"/>
    </row>
    <row r="7849" spans="1:12" hidden="1" x14ac:dyDescent="0.25">
      <c r="A7849" s="148"/>
      <c r="B7849" s="148"/>
      <c r="C7849" s="149"/>
      <c r="D7849" s="150"/>
      <c r="E7849" s="150"/>
      <c r="F7849" s="150"/>
      <c r="G7849" s="150"/>
      <c r="H7849" s="150"/>
      <c r="I7849" s="151"/>
      <c r="J7849" s="149"/>
      <c r="K7849" s="148"/>
      <c r="L7849" s="133"/>
    </row>
    <row r="7850" spans="1:12" hidden="1" x14ac:dyDescent="0.25">
      <c r="A7850" s="148"/>
      <c r="B7850" s="148"/>
      <c r="C7850" s="149"/>
      <c r="D7850" s="150"/>
      <c r="E7850" s="150"/>
      <c r="F7850" s="150"/>
      <c r="G7850" s="150"/>
      <c r="H7850" s="150"/>
      <c r="I7850" s="151"/>
      <c r="J7850" s="149"/>
      <c r="K7850" s="148"/>
      <c r="L7850" s="133"/>
    </row>
    <row r="7851" spans="1:12" hidden="1" x14ac:dyDescent="0.25">
      <c r="A7851" s="148"/>
      <c r="B7851" s="148"/>
      <c r="C7851" s="149"/>
      <c r="D7851" s="150"/>
      <c r="E7851" s="150"/>
      <c r="F7851" s="150"/>
      <c r="G7851" s="150"/>
      <c r="H7851" s="150"/>
      <c r="I7851" s="151"/>
      <c r="J7851" s="149"/>
      <c r="K7851" s="148"/>
      <c r="L7851" s="133"/>
    </row>
    <row r="7852" spans="1:12" hidden="1" x14ac:dyDescent="0.25">
      <c r="A7852" s="148"/>
      <c r="B7852" s="148"/>
      <c r="C7852" s="149"/>
      <c r="D7852" s="150"/>
      <c r="E7852" s="150"/>
      <c r="F7852" s="150"/>
      <c r="G7852" s="150"/>
      <c r="H7852" s="150"/>
      <c r="I7852" s="151"/>
      <c r="J7852" s="149"/>
      <c r="K7852" s="148"/>
      <c r="L7852" s="133"/>
    </row>
    <row r="7853" spans="1:12" hidden="1" x14ac:dyDescent="0.25">
      <c r="A7853" s="148"/>
      <c r="B7853" s="148"/>
      <c r="C7853" s="149"/>
      <c r="D7853" s="150"/>
      <c r="E7853" s="150"/>
      <c r="F7853" s="150"/>
      <c r="G7853" s="150"/>
      <c r="H7853" s="150"/>
      <c r="I7853" s="151"/>
      <c r="J7853" s="149"/>
      <c r="K7853" s="148"/>
      <c r="L7853" s="133"/>
    </row>
    <row r="7854" spans="1:12" hidden="1" x14ac:dyDescent="0.25">
      <c r="A7854" s="148"/>
      <c r="B7854" s="148"/>
      <c r="C7854" s="149"/>
      <c r="D7854" s="150"/>
      <c r="E7854" s="150"/>
      <c r="F7854" s="150"/>
      <c r="G7854" s="150"/>
      <c r="H7854" s="150"/>
      <c r="I7854" s="151"/>
      <c r="J7854" s="149"/>
      <c r="K7854" s="148"/>
      <c r="L7854" s="133"/>
    </row>
    <row r="7855" spans="1:12" hidden="1" x14ac:dyDescent="0.25">
      <c r="A7855" s="148"/>
      <c r="B7855" s="148"/>
      <c r="C7855" s="149"/>
      <c r="D7855" s="150"/>
      <c r="E7855" s="150"/>
      <c r="F7855" s="150"/>
      <c r="G7855" s="150"/>
      <c r="H7855" s="150"/>
      <c r="I7855" s="151"/>
      <c r="J7855" s="149"/>
      <c r="K7855" s="148"/>
      <c r="L7855" s="133"/>
    </row>
    <row r="7856" spans="1:12" hidden="1" x14ac:dyDescent="0.25">
      <c r="A7856" s="148"/>
      <c r="B7856" s="148"/>
      <c r="C7856" s="149"/>
      <c r="D7856" s="150"/>
      <c r="E7856" s="150"/>
      <c r="F7856" s="150"/>
      <c r="G7856" s="150"/>
      <c r="H7856" s="150"/>
      <c r="I7856" s="151"/>
      <c r="J7856" s="149"/>
      <c r="K7856" s="148"/>
      <c r="L7856" s="133"/>
    </row>
    <row r="7857" spans="1:12" hidden="1" x14ac:dyDescent="0.25">
      <c r="A7857" s="148"/>
      <c r="B7857" s="148"/>
      <c r="C7857" s="149"/>
      <c r="D7857" s="150"/>
      <c r="E7857" s="150"/>
      <c r="F7857" s="150"/>
      <c r="G7857" s="150"/>
      <c r="H7857" s="150"/>
      <c r="I7857" s="151"/>
      <c r="J7857" s="149"/>
      <c r="K7857" s="148"/>
      <c r="L7857" s="133"/>
    </row>
    <row r="7858" spans="1:12" hidden="1" x14ac:dyDescent="0.25">
      <c r="A7858" s="148"/>
      <c r="B7858" s="148"/>
      <c r="C7858" s="149"/>
      <c r="D7858" s="150"/>
      <c r="E7858" s="150"/>
      <c r="F7858" s="150"/>
      <c r="G7858" s="150"/>
      <c r="H7858" s="150"/>
      <c r="I7858" s="151"/>
      <c r="J7858" s="149"/>
      <c r="K7858" s="148"/>
      <c r="L7858" s="133"/>
    </row>
    <row r="7859" spans="1:12" hidden="1" x14ac:dyDescent="0.25">
      <c r="A7859" s="148"/>
      <c r="B7859" s="148"/>
      <c r="C7859" s="149"/>
      <c r="D7859" s="150"/>
      <c r="E7859" s="150"/>
      <c r="F7859" s="150"/>
      <c r="G7859" s="150"/>
      <c r="H7859" s="150"/>
      <c r="I7859" s="151"/>
      <c r="J7859" s="149"/>
      <c r="K7859" s="148"/>
      <c r="L7859" s="133"/>
    </row>
    <row r="7860" spans="1:12" hidden="1" x14ac:dyDescent="0.25">
      <c r="A7860" s="148"/>
      <c r="B7860" s="148"/>
      <c r="C7860" s="149"/>
      <c r="D7860" s="150"/>
      <c r="E7860" s="150"/>
      <c r="F7860" s="150"/>
      <c r="G7860" s="150"/>
      <c r="H7860" s="150"/>
      <c r="I7860" s="151"/>
      <c r="J7860" s="149"/>
      <c r="K7860" s="148"/>
      <c r="L7860" s="133"/>
    </row>
    <row r="7861" spans="1:12" hidden="1" x14ac:dyDescent="0.25">
      <c r="A7861" s="148"/>
      <c r="B7861" s="148"/>
      <c r="C7861" s="149"/>
      <c r="D7861" s="150"/>
      <c r="E7861" s="150"/>
      <c r="F7861" s="150"/>
      <c r="G7861" s="150"/>
      <c r="H7861" s="150"/>
      <c r="I7861" s="151"/>
      <c r="J7861" s="149"/>
      <c r="K7861" s="148"/>
      <c r="L7861" s="133"/>
    </row>
    <row r="7862" spans="1:12" hidden="1" x14ac:dyDescent="0.25">
      <c r="A7862" s="148"/>
      <c r="B7862" s="148"/>
      <c r="C7862" s="149"/>
      <c r="D7862" s="150"/>
      <c r="E7862" s="150"/>
      <c r="F7862" s="150"/>
      <c r="G7862" s="150"/>
      <c r="H7862" s="150"/>
      <c r="I7862" s="151"/>
      <c r="J7862" s="149"/>
      <c r="K7862" s="148"/>
      <c r="L7862" s="133"/>
    </row>
    <row r="7863" spans="1:12" hidden="1" x14ac:dyDescent="0.25">
      <c r="A7863" s="148"/>
      <c r="B7863" s="148"/>
      <c r="C7863" s="149"/>
      <c r="D7863" s="150"/>
      <c r="E7863" s="150"/>
      <c r="F7863" s="150"/>
      <c r="G7863" s="150"/>
      <c r="H7863" s="150"/>
      <c r="I7863" s="151"/>
      <c r="J7863" s="149"/>
      <c r="K7863" s="148"/>
      <c r="L7863" s="133"/>
    </row>
    <row r="7864" spans="1:12" hidden="1" x14ac:dyDescent="0.25">
      <c r="A7864" s="148"/>
      <c r="B7864" s="148"/>
      <c r="C7864" s="149"/>
      <c r="D7864" s="150"/>
      <c r="E7864" s="150"/>
      <c r="F7864" s="150"/>
      <c r="G7864" s="150"/>
      <c r="H7864" s="150"/>
      <c r="I7864" s="151"/>
      <c r="J7864" s="149"/>
      <c r="K7864" s="148"/>
      <c r="L7864" s="133"/>
    </row>
    <row r="7865" spans="1:12" hidden="1" x14ac:dyDescent="0.25">
      <c r="A7865" s="148"/>
      <c r="B7865" s="148"/>
      <c r="C7865" s="149"/>
      <c r="D7865" s="150"/>
      <c r="E7865" s="150"/>
      <c r="F7865" s="150"/>
      <c r="G7865" s="150"/>
      <c r="H7865" s="150"/>
      <c r="I7865" s="151"/>
      <c r="J7865" s="149"/>
      <c r="K7865" s="148"/>
      <c r="L7865" s="133"/>
    </row>
    <row r="7866" spans="1:12" hidden="1" x14ac:dyDescent="0.25">
      <c r="A7866" s="148"/>
      <c r="B7866" s="148"/>
      <c r="C7866" s="149"/>
      <c r="D7866" s="150"/>
      <c r="E7866" s="150"/>
      <c r="F7866" s="150"/>
      <c r="G7866" s="150"/>
      <c r="H7866" s="150"/>
      <c r="I7866" s="151"/>
      <c r="J7866" s="149"/>
      <c r="K7866" s="148"/>
      <c r="L7866" s="133"/>
    </row>
    <row r="7867" spans="1:12" hidden="1" x14ac:dyDescent="0.25">
      <c r="A7867" s="148"/>
      <c r="B7867" s="148"/>
      <c r="C7867" s="149"/>
      <c r="D7867" s="150"/>
      <c r="E7867" s="150"/>
      <c r="F7867" s="150"/>
      <c r="G7867" s="150"/>
      <c r="H7867" s="150"/>
      <c r="I7867" s="151"/>
      <c r="J7867" s="149"/>
      <c r="K7867" s="148"/>
      <c r="L7867" s="133"/>
    </row>
    <row r="7868" spans="1:12" hidden="1" x14ac:dyDescent="0.25">
      <c r="A7868" s="148"/>
      <c r="B7868" s="148"/>
      <c r="C7868" s="149"/>
      <c r="D7868" s="150"/>
      <c r="E7868" s="150"/>
      <c r="F7868" s="150"/>
      <c r="G7868" s="150"/>
      <c r="H7868" s="150"/>
      <c r="I7868" s="151"/>
      <c r="J7868" s="149"/>
      <c r="K7868" s="148"/>
      <c r="L7868" s="133"/>
    </row>
    <row r="7869" spans="1:12" hidden="1" x14ac:dyDescent="0.25">
      <c r="A7869" s="148"/>
      <c r="B7869" s="148"/>
      <c r="C7869" s="149"/>
      <c r="D7869" s="150"/>
      <c r="E7869" s="150"/>
      <c r="F7869" s="150"/>
      <c r="G7869" s="150"/>
      <c r="H7869" s="150"/>
      <c r="I7869" s="151"/>
      <c r="J7869" s="149"/>
      <c r="K7869" s="148"/>
      <c r="L7869" s="133"/>
    </row>
    <row r="7870" spans="1:12" hidden="1" x14ac:dyDescent="0.25">
      <c r="A7870" s="148"/>
      <c r="B7870" s="148"/>
      <c r="C7870" s="149"/>
      <c r="D7870" s="150"/>
      <c r="E7870" s="150"/>
      <c r="F7870" s="150"/>
      <c r="G7870" s="150"/>
      <c r="H7870" s="150"/>
      <c r="I7870" s="151"/>
      <c r="J7870" s="149"/>
      <c r="K7870" s="148"/>
      <c r="L7870" s="133"/>
    </row>
    <row r="7871" spans="1:12" hidden="1" x14ac:dyDescent="0.25">
      <c r="A7871" s="148"/>
      <c r="B7871" s="148"/>
      <c r="C7871" s="149"/>
      <c r="D7871" s="150"/>
      <c r="E7871" s="150"/>
      <c r="F7871" s="150"/>
      <c r="G7871" s="150"/>
      <c r="H7871" s="150"/>
      <c r="I7871" s="151"/>
      <c r="J7871" s="149"/>
      <c r="K7871" s="148"/>
      <c r="L7871" s="133"/>
    </row>
    <row r="7872" spans="1:12" hidden="1" x14ac:dyDescent="0.25">
      <c r="A7872" s="148"/>
      <c r="B7872" s="148"/>
      <c r="C7872" s="149"/>
      <c r="D7872" s="150"/>
      <c r="E7872" s="150"/>
      <c r="F7872" s="150"/>
      <c r="G7872" s="150"/>
      <c r="H7872" s="150"/>
      <c r="I7872" s="151"/>
      <c r="J7872" s="149"/>
      <c r="K7872" s="148"/>
      <c r="L7872" s="133"/>
    </row>
    <row r="7873" spans="1:12" hidden="1" x14ac:dyDescent="0.25">
      <c r="A7873" s="148"/>
      <c r="B7873" s="148"/>
      <c r="C7873" s="149"/>
      <c r="D7873" s="150"/>
      <c r="E7873" s="150"/>
      <c r="F7873" s="150"/>
      <c r="G7873" s="150"/>
      <c r="H7873" s="150"/>
      <c r="I7873" s="151"/>
      <c r="J7873" s="149"/>
      <c r="K7873" s="148"/>
      <c r="L7873" s="133"/>
    </row>
    <row r="7874" spans="1:12" hidden="1" x14ac:dyDescent="0.25">
      <c r="A7874" s="148"/>
      <c r="B7874" s="148"/>
      <c r="C7874" s="149"/>
      <c r="D7874" s="150"/>
      <c r="E7874" s="150"/>
      <c r="F7874" s="150"/>
      <c r="G7874" s="150"/>
      <c r="H7874" s="150"/>
      <c r="I7874" s="151"/>
      <c r="J7874" s="149"/>
      <c r="K7874" s="148"/>
      <c r="L7874" s="133"/>
    </row>
    <row r="7875" spans="1:12" hidden="1" x14ac:dyDescent="0.25">
      <c r="A7875" s="148"/>
      <c r="B7875" s="148"/>
      <c r="C7875" s="149"/>
      <c r="D7875" s="150"/>
      <c r="E7875" s="150"/>
      <c r="F7875" s="150"/>
      <c r="G7875" s="150"/>
      <c r="H7875" s="150"/>
      <c r="I7875" s="151"/>
      <c r="J7875" s="149"/>
      <c r="K7875" s="148"/>
      <c r="L7875" s="133"/>
    </row>
    <row r="7876" spans="1:12" hidden="1" x14ac:dyDescent="0.25">
      <c r="A7876" s="148"/>
      <c r="B7876" s="148"/>
      <c r="C7876" s="149"/>
      <c r="D7876" s="150"/>
      <c r="E7876" s="150"/>
      <c r="F7876" s="150"/>
      <c r="G7876" s="150"/>
      <c r="H7876" s="150"/>
      <c r="I7876" s="151"/>
      <c r="J7876" s="149"/>
      <c r="K7876" s="148"/>
      <c r="L7876" s="133"/>
    </row>
    <row r="7877" spans="1:12" hidden="1" x14ac:dyDescent="0.25">
      <c r="A7877" s="148"/>
      <c r="B7877" s="148"/>
      <c r="C7877" s="149"/>
      <c r="D7877" s="150"/>
      <c r="E7877" s="150"/>
      <c r="F7877" s="150"/>
      <c r="G7877" s="150"/>
      <c r="H7877" s="150"/>
      <c r="I7877" s="151"/>
      <c r="J7877" s="149"/>
      <c r="K7877" s="148"/>
      <c r="L7877" s="133"/>
    </row>
    <row r="7878" spans="1:12" hidden="1" x14ac:dyDescent="0.25">
      <c r="A7878" s="148"/>
      <c r="B7878" s="148"/>
      <c r="C7878" s="149"/>
      <c r="D7878" s="150"/>
      <c r="E7878" s="150"/>
      <c r="F7878" s="150"/>
      <c r="G7878" s="150"/>
      <c r="H7878" s="150"/>
      <c r="I7878" s="151"/>
      <c r="J7878" s="149"/>
      <c r="K7878" s="148"/>
      <c r="L7878" s="133"/>
    </row>
    <row r="7879" spans="1:12" hidden="1" x14ac:dyDescent="0.25">
      <c r="A7879" s="148"/>
      <c r="B7879" s="148"/>
      <c r="C7879" s="149"/>
      <c r="D7879" s="150"/>
      <c r="E7879" s="150"/>
      <c r="F7879" s="150"/>
      <c r="G7879" s="150"/>
      <c r="H7879" s="150"/>
      <c r="I7879" s="151"/>
      <c r="J7879" s="149"/>
      <c r="K7879" s="148"/>
      <c r="L7879" s="133"/>
    </row>
    <row r="7880" spans="1:12" hidden="1" x14ac:dyDescent="0.25">
      <c r="A7880" s="148"/>
      <c r="B7880" s="148"/>
      <c r="C7880" s="149"/>
      <c r="D7880" s="150"/>
      <c r="E7880" s="150"/>
      <c r="F7880" s="150"/>
      <c r="G7880" s="150"/>
      <c r="H7880" s="150"/>
      <c r="I7880" s="151"/>
      <c r="J7880" s="149"/>
      <c r="K7880" s="148"/>
      <c r="L7880" s="133"/>
    </row>
    <row r="7881" spans="1:12" hidden="1" x14ac:dyDescent="0.25">
      <c r="A7881" s="148"/>
      <c r="B7881" s="148"/>
      <c r="C7881" s="149"/>
      <c r="D7881" s="150"/>
      <c r="E7881" s="150"/>
      <c r="F7881" s="150"/>
      <c r="G7881" s="150"/>
      <c r="H7881" s="150"/>
      <c r="I7881" s="151"/>
      <c r="J7881" s="149"/>
      <c r="K7881" s="148"/>
      <c r="L7881" s="133"/>
    </row>
    <row r="7882" spans="1:12" hidden="1" x14ac:dyDescent="0.25">
      <c r="A7882" s="148"/>
      <c r="B7882" s="148"/>
      <c r="C7882" s="149"/>
      <c r="D7882" s="150"/>
      <c r="E7882" s="150"/>
      <c r="F7882" s="150"/>
      <c r="G7882" s="150"/>
      <c r="H7882" s="150"/>
      <c r="I7882" s="151"/>
      <c r="J7882" s="149"/>
      <c r="K7882" s="148"/>
      <c r="L7882" s="133"/>
    </row>
    <row r="7883" spans="1:12" hidden="1" x14ac:dyDescent="0.25">
      <c r="A7883" s="148"/>
      <c r="B7883" s="148"/>
      <c r="C7883" s="149"/>
      <c r="D7883" s="150"/>
      <c r="E7883" s="150"/>
      <c r="F7883" s="150"/>
      <c r="G7883" s="150"/>
      <c r="H7883" s="150"/>
      <c r="I7883" s="151"/>
      <c r="J7883" s="149"/>
      <c r="K7883" s="148"/>
      <c r="L7883" s="133"/>
    </row>
    <row r="7884" spans="1:12" hidden="1" x14ac:dyDescent="0.25">
      <c r="A7884" s="148"/>
      <c r="B7884" s="148"/>
      <c r="C7884" s="149"/>
      <c r="D7884" s="150"/>
      <c r="E7884" s="150"/>
      <c r="F7884" s="150"/>
      <c r="G7884" s="150"/>
      <c r="H7884" s="150"/>
      <c r="I7884" s="151"/>
      <c r="J7884" s="149"/>
      <c r="K7884" s="148"/>
      <c r="L7884" s="133"/>
    </row>
    <row r="7885" spans="1:12" hidden="1" x14ac:dyDescent="0.25">
      <c r="A7885" s="148"/>
      <c r="B7885" s="148"/>
      <c r="C7885" s="149"/>
      <c r="D7885" s="150"/>
      <c r="E7885" s="150"/>
      <c r="F7885" s="150"/>
      <c r="G7885" s="150"/>
      <c r="H7885" s="150"/>
      <c r="I7885" s="151"/>
      <c r="J7885" s="149"/>
      <c r="K7885" s="148"/>
      <c r="L7885" s="133"/>
    </row>
    <row r="7886" spans="1:12" hidden="1" x14ac:dyDescent="0.25">
      <c r="A7886" s="148"/>
      <c r="B7886" s="148"/>
      <c r="C7886" s="149"/>
      <c r="D7886" s="150"/>
      <c r="E7886" s="150"/>
      <c r="F7886" s="150"/>
      <c r="G7886" s="150"/>
      <c r="H7886" s="150"/>
      <c r="I7886" s="151"/>
      <c r="J7886" s="149"/>
      <c r="K7886" s="148"/>
      <c r="L7886" s="133"/>
    </row>
    <row r="7887" spans="1:12" hidden="1" x14ac:dyDescent="0.25">
      <c r="A7887" s="148"/>
      <c r="B7887" s="148"/>
      <c r="C7887" s="149"/>
      <c r="D7887" s="150"/>
      <c r="E7887" s="150"/>
      <c r="F7887" s="150"/>
      <c r="G7887" s="150"/>
      <c r="H7887" s="150"/>
      <c r="I7887" s="151"/>
      <c r="J7887" s="149"/>
      <c r="K7887" s="148"/>
      <c r="L7887" s="133"/>
    </row>
    <row r="7888" spans="1:12" hidden="1" x14ac:dyDescent="0.25">
      <c r="A7888" s="148"/>
      <c r="B7888" s="148"/>
      <c r="C7888" s="149"/>
      <c r="D7888" s="150"/>
      <c r="E7888" s="150"/>
      <c r="F7888" s="150"/>
      <c r="G7888" s="150"/>
      <c r="H7888" s="150"/>
      <c r="I7888" s="151"/>
      <c r="J7888" s="149"/>
      <c r="K7888" s="148"/>
      <c r="L7888" s="133"/>
    </row>
    <row r="7889" spans="1:12" hidden="1" x14ac:dyDescent="0.25">
      <c r="A7889" s="148"/>
      <c r="B7889" s="148"/>
      <c r="C7889" s="149"/>
      <c r="D7889" s="150"/>
      <c r="E7889" s="150"/>
      <c r="F7889" s="150"/>
      <c r="G7889" s="150"/>
      <c r="H7889" s="150"/>
      <c r="I7889" s="151"/>
      <c r="J7889" s="149"/>
      <c r="K7889" s="148"/>
      <c r="L7889" s="133"/>
    </row>
    <row r="7890" spans="1:12" hidden="1" x14ac:dyDescent="0.25">
      <c r="A7890" s="148"/>
      <c r="B7890" s="148"/>
      <c r="C7890" s="149"/>
      <c r="D7890" s="150"/>
      <c r="E7890" s="150"/>
      <c r="F7890" s="150"/>
      <c r="G7890" s="150"/>
      <c r="H7890" s="150"/>
      <c r="I7890" s="151"/>
      <c r="J7890" s="149"/>
      <c r="K7890" s="148"/>
      <c r="L7890" s="133"/>
    </row>
    <row r="7891" spans="1:12" hidden="1" x14ac:dyDescent="0.25">
      <c r="A7891" s="148"/>
      <c r="B7891" s="148"/>
      <c r="C7891" s="149"/>
      <c r="D7891" s="150"/>
      <c r="E7891" s="150"/>
      <c r="F7891" s="150"/>
      <c r="G7891" s="150"/>
      <c r="H7891" s="150"/>
      <c r="I7891" s="151"/>
      <c r="J7891" s="149"/>
      <c r="K7891" s="148"/>
      <c r="L7891" s="133"/>
    </row>
    <row r="7892" spans="1:12" hidden="1" x14ac:dyDescent="0.25">
      <c r="A7892" s="148"/>
      <c r="B7892" s="148"/>
      <c r="C7892" s="149"/>
      <c r="D7892" s="150"/>
      <c r="E7892" s="150"/>
      <c r="F7892" s="150"/>
      <c r="G7892" s="150"/>
      <c r="H7892" s="150"/>
      <c r="I7892" s="151"/>
      <c r="J7892" s="149"/>
      <c r="K7892" s="148"/>
      <c r="L7892" s="133"/>
    </row>
    <row r="7893" spans="1:12" hidden="1" x14ac:dyDescent="0.25">
      <c r="A7893" s="148"/>
      <c r="B7893" s="148"/>
      <c r="C7893" s="149"/>
      <c r="D7893" s="150"/>
      <c r="E7893" s="150"/>
      <c r="F7893" s="150"/>
      <c r="G7893" s="150"/>
      <c r="H7893" s="150"/>
      <c r="I7893" s="151"/>
      <c r="J7893" s="149"/>
      <c r="K7893" s="148"/>
      <c r="L7893" s="133"/>
    </row>
    <row r="7894" spans="1:12" hidden="1" x14ac:dyDescent="0.25">
      <c r="A7894" s="148"/>
      <c r="B7894" s="148"/>
      <c r="C7894" s="149"/>
      <c r="D7894" s="150"/>
      <c r="E7894" s="150"/>
      <c r="F7894" s="150"/>
      <c r="G7894" s="150"/>
      <c r="H7894" s="150"/>
      <c r="I7894" s="151"/>
      <c r="J7894" s="149"/>
      <c r="K7894" s="148"/>
      <c r="L7894" s="133"/>
    </row>
    <row r="7895" spans="1:12" hidden="1" x14ac:dyDescent="0.25">
      <c r="A7895" s="148"/>
      <c r="B7895" s="148"/>
      <c r="C7895" s="149"/>
      <c r="D7895" s="150"/>
      <c r="E7895" s="150"/>
      <c r="F7895" s="150"/>
      <c r="G7895" s="150"/>
      <c r="H7895" s="150"/>
      <c r="I7895" s="151"/>
      <c r="J7895" s="149"/>
      <c r="K7895" s="148"/>
      <c r="L7895" s="133"/>
    </row>
    <row r="7896" spans="1:12" hidden="1" x14ac:dyDescent="0.25">
      <c r="A7896" s="148"/>
      <c r="B7896" s="148"/>
      <c r="C7896" s="149"/>
      <c r="D7896" s="150"/>
      <c r="E7896" s="150"/>
      <c r="F7896" s="150"/>
      <c r="G7896" s="150"/>
      <c r="H7896" s="150"/>
      <c r="I7896" s="151"/>
      <c r="J7896" s="149"/>
      <c r="K7896" s="148"/>
      <c r="L7896" s="133"/>
    </row>
    <row r="7897" spans="1:12" hidden="1" x14ac:dyDescent="0.25">
      <c r="A7897" s="148"/>
      <c r="B7897" s="148"/>
      <c r="C7897" s="149"/>
      <c r="D7897" s="150"/>
      <c r="E7897" s="150"/>
      <c r="F7897" s="150"/>
      <c r="G7897" s="150"/>
      <c r="H7897" s="150"/>
      <c r="I7897" s="151"/>
      <c r="J7897" s="149"/>
      <c r="K7897" s="148"/>
      <c r="L7897" s="133"/>
    </row>
    <row r="7898" spans="1:12" hidden="1" x14ac:dyDescent="0.25">
      <c r="A7898" s="148"/>
      <c r="B7898" s="148"/>
      <c r="C7898" s="149"/>
      <c r="D7898" s="150"/>
      <c r="E7898" s="150"/>
      <c r="F7898" s="150"/>
      <c r="G7898" s="150"/>
      <c r="H7898" s="150"/>
      <c r="I7898" s="151"/>
      <c r="J7898" s="149"/>
      <c r="K7898" s="148"/>
      <c r="L7898" s="133"/>
    </row>
    <row r="7899" spans="1:12" hidden="1" x14ac:dyDescent="0.25">
      <c r="A7899" s="148"/>
      <c r="B7899" s="148"/>
      <c r="C7899" s="149"/>
      <c r="D7899" s="150"/>
      <c r="E7899" s="150"/>
      <c r="F7899" s="150"/>
      <c r="G7899" s="150"/>
      <c r="H7899" s="150"/>
      <c r="I7899" s="151"/>
      <c r="J7899" s="149"/>
      <c r="K7899" s="148"/>
      <c r="L7899" s="133"/>
    </row>
    <row r="7900" spans="1:12" hidden="1" x14ac:dyDescent="0.25">
      <c r="A7900" s="148"/>
      <c r="B7900" s="148"/>
      <c r="C7900" s="149"/>
      <c r="D7900" s="150"/>
      <c r="E7900" s="150"/>
      <c r="F7900" s="150"/>
      <c r="G7900" s="150"/>
      <c r="H7900" s="150"/>
      <c r="I7900" s="151"/>
      <c r="J7900" s="149"/>
      <c r="K7900" s="148"/>
      <c r="L7900" s="133"/>
    </row>
    <row r="7901" spans="1:12" hidden="1" x14ac:dyDescent="0.25">
      <c r="A7901" s="148"/>
      <c r="B7901" s="148"/>
      <c r="C7901" s="149"/>
      <c r="D7901" s="150"/>
      <c r="E7901" s="150"/>
      <c r="F7901" s="150"/>
      <c r="G7901" s="150"/>
      <c r="H7901" s="150"/>
      <c r="I7901" s="151"/>
      <c r="J7901" s="149"/>
      <c r="K7901" s="148"/>
      <c r="L7901" s="133"/>
    </row>
    <row r="7902" spans="1:12" hidden="1" x14ac:dyDescent="0.25">
      <c r="A7902" s="148"/>
      <c r="B7902" s="148"/>
      <c r="C7902" s="149"/>
      <c r="D7902" s="150"/>
      <c r="E7902" s="150"/>
      <c r="F7902" s="150"/>
      <c r="G7902" s="150"/>
      <c r="H7902" s="150"/>
      <c r="I7902" s="151"/>
      <c r="J7902" s="149"/>
      <c r="K7902" s="148"/>
      <c r="L7902" s="133"/>
    </row>
    <row r="7903" spans="1:12" hidden="1" x14ac:dyDescent="0.25">
      <c r="A7903" s="148"/>
      <c r="B7903" s="148"/>
      <c r="C7903" s="149"/>
      <c r="D7903" s="150"/>
      <c r="E7903" s="150"/>
      <c r="F7903" s="150"/>
      <c r="G7903" s="150"/>
      <c r="H7903" s="150"/>
      <c r="I7903" s="151"/>
      <c r="J7903" s="149"/>
      <c r="K7903" s="148"/>
      <c r="L7903" s="133"/>
    </row>
    <row r="7904" spans="1:12" hidden="1" x14ac:dyDescent="0.25">
      <c r="A7904" s="148"/>
      <c r="B7904" s="148"/>
      <c r="C7904" s="149"/>
      <c r="D7904" s="150"/>
      <c r="E7904" s="150"/>
      <c r="F7904" s="150"/>
      <c r="G7904" s="150"/>
      <c r="H7904" s="150"/>
      <c r="I7904" s="151"/>
      <c r="J7904" s="149"/>
      <c r="K7904" s="148"/>
      <c r="L7904" s="133"/>
    </row>
    <row r="7905" spans="1:12" hidden="1" x14ac:dyDescent="0.25">
      <c r="A7905" s="148"/>
      <c r="B7905" s="148"/>
      <c r="C7905" s="149"/>
      <c r="D7905" s="150"/>
      <c r="E7905" s="150"/>
      <c r="F7905" s="150"/>
      <c r="G7905" s="150"/>
      <c r="H7905" s="150"/>
      <c r="I7905" s="151"/>
      <c r="J7905" s="149"/>
      <c r="K7905" s="148"/>
      <c r="L7905" s="133"/>
    </row>
    <row r="7906" spans="1:12" hidden="1" x14ac:dyDescent="0.25">
      <c r="A7906" s="148"/>
      <c r="B7906" s="148"/>
      <c r="C7906" s="149"/>
      <c r="D7906" s="150"/>
      <c r="E7906" s="150"/>
      <c r="F7906" s="150"/>
      <c r="G7906" s="150"/>
      <c r="H7906" s="150"/>
      <c r="I7906" s="151"/>
      <c r="J7906" s="149"/>
      <c r="K7906" s="148"/>
      <c r="L7906" s="133"/>
    </row>
    <row r="7907" spans="1:12" hidden="1" x14ac:dyDescent="0.25">
      <c r="A7907" s="148"/>
      <c r="B7907" s="148"/>
      <c r="C7907" s="149"/>
      <c r="D7907" s="150"/>
      <c r="E7907" s="150"/>
      <c r="F7907" s="150"/>
      <c r="G7907" s="150"/>
      <c r="H7907" s="150"/>
      <c r="I7907" s="151"/>
      <c r="J7907" s="149"/>
      <c r="K7907" s="148"/>
      <c r="L7907" s="133"/>
    </row>
    <row r="7908" spans="1:12" hidden="1" x14ac:dyDescent="0.25">
      <c r="A7908" s="148"/>
      <c r="B7908" s="148"/>
      <c r="C7908" s="149"/>
      <c r="D7908" s="150"/>
      <c r="E7908" s="150"/>
      <c r="F7908" s="150"/>
      <c r="G7908" s="150"/>
      <c r="H7908" s="150"/>
      <c r="I7908" s="151"/>
      <c r="J7908" s="149"/>
      <c r="K7908" s="148"/>
      <c r="L7908" s="133"/>
    </row>
    <row r="7909" spans="1:12" hidden="1" x14ac:dyDescent="0.25">
      <c r="A7909" s="148"/>
      <c r="B7909" s="148"/>
      <c r="C7909" s="149"/>
      <c r="D7909" s="150"/>
      <c r="E7909" s="150"/>
      <c r="F7909" s="150"/>
      <c r="G7909" s="150"/>
      <c r="H7909" s="150"/>
      <c r="I7909" s="151"/>
      <c r="J7909" s="149"/>
      <c r="K7909" s="148"/>
      <c r="L7909" s="133"/>
    </row>
    <row r="7910" spans="1:12" hidden="1" x14ac:dyDescent="0.25">
      <c r="A7910" s="148"/>
      <c r="B7910" s="148"/>
      <c r="C7910" s="149"/>
      <c r="D7910" s="150"/>
      <c r="E7910" s="150"/>
      <c r="F7910" s="150"/>
      <c r="G7910" s="150"/>
      <c r="H7910" s="150"/>
      <c r="I7910" s="151"/>
      <c r="J7910" s="149"/>
      <c r="K7910" s="148"/>
      <c r="L7910" s="133"/>
    </row>
    <row r="7911" spans="1:12" hidden="1" x14ac:dyDescent="0.25">
      <c r="A7911" s="148"/>
      <c r="B7911" s="148"/>
      <c r="C7911" s="149"/>
      <c r="D7911" s="150"/>
      <c r="E7911" s="150"/>
      <c r="F7911" s="150"/>
      <c r="G7911" s="150"/>
      <c r="H7911" s="150"/>
      <c r="I7911" s="151"/>
      <c r="J7911" s="149"/>
      <c r="K7911" s="148"/>
      <c r="L7911" s="133"/>
    </row>
    <row r="7912" spans="1:12" hidden="1" x14ac:dyDescent="0.25">
      <c r="A7912" s="148"/>
      <c r="B7912" s="148"/>
      <c r="C7912" s="149"/>
      <c r="D7912" s="150"/>
      <c r="E7912" s="150"/>
      <c r="F7912" s="150"/>
      <c r="G7912" s="150"/>
      <c r="H7912" s="150"/>
      <c r="I7912" s="151"/>
      <c r="J7912" s="149"/>
      <c r="K7912" s="148"/>
      <c r="L7912" s="133"/>
    </row>
    <row r="7913" spans="1:12" hidden="1" x14ac:dyDescent="0.25">
      <c r="A7913" s="148"/>
      <c r="B7913" s="148"/>
      <c r="C7913" s="149"/>
      <c r="D7913" s="150"/>
      <c r="E7913" s="150"/>
      <c r="F7913" s="150"/>
      <c r="G7913" s="150"/>
      <c r="H7913" s="150"/>
      <c r="I7913" s="151"/>
      <c r="J7913" s="149"/>
      <c r="K7913" s="148"/>
      <c r="L7913" s="133"/>
    </row>
    <row r="7914" spans="1:12" hidden="1" x14ac:dyDescent="0.25">
      <c r="A7914" s="148"/>
      <c r="B7914" s="148"/>
      <c r="C7914" s="149"/>
      <c r="D7914" s="150"/>
      <c r="E7914" s="150"/>
      <c r="F7914" s="150"/>
      <c r="G7914" s="150"/>
      <c r="H7914" s="150"/>
      <c r="I7914" s="151"/>
      <c r="J7914" s="149"/>
      <c r="K7914" s="148"/>
      <c r="L7914" s="133"/>
    </row>
    <row r="7915" spans="1:12" hidden="1" x14ac:dyDescent="0.25">
      <c r="A7915" s="148"/>
      <c r="B7915" s="148"/>
      <c r="C7915" s="149"/>
      <c r="D7915" s="150"/>
      <c r="E7915" s="150"/>
      <c r="F7915" s="150"/>
      <c r="G7915" s="150"/>
      <c r="H7915" s="150"/>
      <c r="I7915" s="151"/>
      <c r="J7915" s="149"/>
      <c r="K7915" s="148"/>
      <c r="L7915" s="133"/>
    </row>
    <row r="7916" spans="1:12" hidden="1" x14ac:dyDescent="0.25">
      <c r="A7916" s="148"/>
      <c r="B7916" s="148"/>
      <c r="C7916" s="149"/>
      <c r="D7916" s="150"/>
      <c r="E7916" s="150"/>
      <c r="F7916" s="150"/>
      <c r="G7916" s="150"/>
      <c r="H7916" s="150"/>
      <c r="I7916" s="151"/>
      <c r="J7916" s="149"/>
      <c r="K7916" s="148"/>
      <c r="L7916" s="133"/>
    </row>
    <row r="7917" spans="1:12" hidden="1" x14ac:dyDescent="0.25">
      <c r="A7917" s="148"/>
      <c r="B7917" s="148"/>
      <c r="C7917" s="149"/>
      <c r="D7917" s="150"/>
      <c r="E7917" s="150"/>
      <c r="F7917" s="150"/>
      <c r="G7917" s="150"/>
      <c r="H7917" s="150"/>
      <c r="I7917" s="151"/>
      <c r="J7917" s="149"/>
      <c r="K7917" s="148"/>
      <c r="L7917" s="133"/>
    </row>
    <row r="7918" spans="1:12" hidden="1" x14ac:dyDescent="0.25">
      <c r="A7918" s="148"/>
      <c r="B7918" s="148"/>
      <c r="C7918" s="149"/>
      <c r="D7918" s="150"/>
      <c r="E7918" s="150"/>
      <c r="F7918" s="150"/>
      <c r="G7918" s="150"/>
      <c r="H7918" s="150"/>
      <c r="I7918" s="151"/>
      <c r="J7918" s="149"/>
      <c r="K7918" s="148"/>
      <c r="L7918" s="133"/>
    </row>
    <row r="7919" spans="1:12" hidden="1" x14ac:dyDescent="0.25">
      <c r="A7919" s="148"/>
      <c r="B7919" s="148"/>
      <c r="C7919" s="149"/>
      <c r="D7919" s="150"/>
      <c r="E7919" s="150"/>
      <c r="F7919" s="150"/>
      <c r="G7919" s="150"/>
      <c r="H7919" s="150"/>
      <c r="I7919" s="151"/>
      <c r="J7919" s="149"/>
      <c r="K7919" s="148"/>
      <c r="L7919" s="133"/>
    </row>
    <row r="7920" spans="1:12" hidden="1" x14ac:dyDescent="0.25">
      <c r="A7920" s="148"/>
      <c r="B7920" s="148"/>
      <c r="C7920" s="149"/>
      <c r="D7920" s="150"/>
      <c r="E7920" s="150"/>
      <c r="F7920" s="150"/>
      <c r="G7920" s="150"/>
      <c r="H7920" s="150"/>
      <c r="I7920" s="151"/>
      <c r="J7920" s="149"/>
      <c r="K7920" s="148"/>
      <c r="L7920" s="133"/>
    </row>
    <row r="7921" spans="1:12" hidden="1" x14ac:dyDescent="0.25">
      <c r="A7921" s="148"/>
      <c r="B7921" s="148"/>
      <c r="C7921" s="149"/>
      <c r="D7921" s="150"/>
      <c r="E7921" s="150"/>
      <c r="F7921" s="150"/>
      <c r="G7921" s="150"/>
      <c r="H7921" s="150"/>
      <c r="I7921" s="151"/>
      <c r="J7921" s="149"/>
      <c r="K7921" s="148"/>
      <c r="L7921" s="133"/>
    </row>
    <row r="7922" spans="1:12" hidden="1" x14ac:dyDescent="0.25">
      <c r="A7922" s="148"/>
      <c r="B7922" s="148"/>
      <c r="C7922" s="149"/>
      <c r="D7922" s="150"/>
      <c r="E7922" s="150"/>
      <c r="F7922" s="150"/>
      <c r="G7922" s="150"/>
      <c r="H7922" s="150"/>
      <c r="I7922" s="151"/>
      <c r="J7922" s="149"/>
      <c r="K7922" s="148"/>
      <c r="L7922" s="133"/>
    </row>
    <row r="7923" spans="1:12" hidden="1" x14ac:dyDescent="0.25">
      <c r="A7923" s="148"/>
      <c r="B7923" s="148"/>
      <c r="C7923" s="149"/>
      <c r="D7923" s="150"/>
      <c r="E7923" s="150"/>
      <c r="F7923" s="150"/>
      <c r="G7923" s="150"/>
      <c r="H7923" s="150"/>
      <c r="I7923" s="151"/>
      <c r="J7923" s="149"/>
      <c r="K7923" s="148"/>
      <c r="L7923" s="133"/>
    </row>
    <row r="7924" spans="1:12" hidden="1" x14ac:dyDescent="0.25">
      <c r="A7924" s="148"/>
      <c r="B7924" s="148"/>
      <c r="C7924" s="149"/>
      <c r="D7924" s="150"/>
      <c r="E7924" s="150"/>
      <c r="F7924" s="150"/>
      <c r="G7924" s="150"/>
      <c r="H7924" s="150"/>
      <c r="I7924" s="151"/>
      <c r="J7924" s="149"/>
      <c r="K7924" s="148"/>
      <c r="L7924" s="133"/>
    </row>
    <row r="7925" spans="1:12" hidden="1" x14ac:dyDescent="0.25">
      <c r="A7925" s="148"/>
      <c r="B7925" s="148"/>
      <c r="C7925" s="149"/>
      <c r="D7925" s="150"/>
      <c r="E7925" s="150"/>
      <c r="F7925" s="150"/>
      <c r="G7925" s="150"/>
      <c r="H7925" s="150"/>
      <c r="I7925" s="151"/>
      <c r="J7925" s="149"/>
      <c r="K7925" s="148"/>
      <c r="L7925" s="133"/>
    </row>
    <row r="7926" spans="1:12" hidden="1" x14ac:dyDescent="0.25">
      <c r="A7926" s="148"/>
      <c r="B7926" s="148"/>
      <c r="C7926" s="149"/>
      <c r="D7926" s="150"/>
      <c r="E7926" s="150"/>
      <c r="F7926" s="150"/>
      <c r="G7926" s="150"/>
      <c r="H7926" s="150"/>
      <c r="I7926" s="151"/>
      <c r="J7926" s="149"/>
      <c r="K7926" s="148"/>
      <c r="L7926" s="133"/>
    </row>
    <row r="7927" spans="1:12" hidden="1" x14ac:dyDescent="0.25">
      <c r="A7927" s="148"/>
      <c r="B7927" s="148"/>
      <c r="C7927" s="149"/>
      <c r="D7927" s="150"/>
      <c r="E7927" s="150"/>
      <c r="F7927" s="150"/>
      <c r="G7927" s="150"/>
      <c r="H7927" s="150"/>
      <c r="I7927" s="151"/>
      <c r="J7927" s="149"/>
      <c r="K7927" s="148"/>
      <c r="L7927" s="133"/>
    </row>
    <row r="7928" spans="1:12" hidden="1" x14ac:dyDescent="0.25">
      <c r="A7928" s="148"/>
      <c r="B7928" s="148"/>
      <c r="C7928" s="149"/>
      <c r="D7928" s="150"/>
      <c r="E7928" s="150"/>
      <c r="F7928" s="150"/>
      <c r="G7928" s="150"/>
      <c r="H7928" s="150"/>
      <c r="I7928" s="151"/>
      <c r="J7928" s="149"/>
      <c r="K7928" s="148"/>
      <c r="L7928" s="133"/>
    </row>
    <row r="7929" spans="1:12" hidden="1" x14ac:dyDescent="0.25">
      <c r="A7929" s="148"/>
      <c r="B7929" s="148"/>
      <c r="C7929" s="149"/>
      <c r="D7929" s="150"/>
      <c r="E7929" s="150"/>
      <c r="F7929" s="150"/>
      <c r="G7929" s="150"/>
      <c r="H7929" s="150"/>
      <c r="I7929" s="151"/>
      <c r="J7929" s="149"/>
      <c r="K7929" s="148"/>
      <c r="L7929" s="133"/>
    </row>
    <row r="7930" spans="1:12" hidden="1" x14ac:dyDescent="0.25">
      <c r="A7930" s="148"/>
      <c r="B7930" s="148"/>
      <c r="C7930" s="149"/>
      <c r="D7930" s="150"/>
      <c r="E7930" s="150"/>
      <c r="F7930" s="150"/>
      <c r="G7930" s="150"/>
      <c r="H7930" s="150"/>
      <c r="I7930" s="151"/>
      <c r="J7930" s="149"/>
      <c r="K7930" s="148"/>
      <c r="L7930" s="133"/>
    </row>
    <row r="7931" spans="1:12" hidden="1" x14ac:dyDescent="0.25">
      <c r="A7931" s="148"/>
      <c r="B7931" s="148"/>
      <c r="C7931" s="149"/>
      <c r="D7931" s="150"/>
      <c r="E7931" s="150"/>
      <c r="F7931" s="150"/>
      <c r="G7931" s="150"/>
      <c r="H7931" s="150"/>
      <c r="I7931" s="151"/>
      <c r="J7931" s="149"/>
      <c r="K7931" s="148"/>
      <c r="L7931" s="133"/>
    </row>
    <row r="7932" spans="1:12" hidden="1" x14ac:dyDescent="0.25">
      <c r="A7932" s="148"/>
      <c r="B7932" s="148"/>
      <c r="C7932" s="149"/>
      <c r="D7932" s="150"/>
      <c r="E7932" s="150"/>
      <c r="F7932" s="150"/>
      <c r="G7932" s="150"/>
      <c r="H7932" s="150"/>
      <c r="I7932" s="151"/>
      <c r="J7932" s="149"/>
      <c r="K7932" s="148"/>
      <c r="L7932" s="133"/>
    </row>
    <row r="7933" spans="1:12" hidden="1" x14ac:dyDescent="0.25">
      <c r="A7933" s="148"/>
      <c r="B7933" s="148"/>
      <c r="C7933" s="149"/>
      <c r="D7933" s="150"/>
      <c r="E7933" s="150"/>
      <c r="F7933" s="150"/>
      <c r="G7933" s="150"/>
      <c r="H7933" s="150"/>
      <c r="I7933" s="151"/>
      <c r="J7933" s="149"/>
      <c r="K7933" s="148"/>
      <c r="L7933" s="133"/>
    </row>
    <row r="7934" spans="1:12" hidden="1" x14ac:dyDescent="0.25">
      <c r="A7934" s="148"/>
      <c r="B7934" s="148"/>
      <c r="C7934" s="149"/>
      <c r="D7934" s="150"/>
      <c r="E7934" s="150"/>
      <c r="F7934" s="150"/>
      <c r="G7934" s="150"/>
      <c r="H7934" s="150"/>
      <c r="I7934" s="151"/>
      <c r="J7934" s="149"/>
      <c r="K7934" s="148"/>
      <c r="L7934" s="133"/>
    </row>
    <row r="7935" spans="1:12" hidden="1" x14ac:dyDescent="0.25">
      <c r="A7935" s="148"/>
      <c r="B7935" s="148"/>
      <c r="C7935" s="149"/>
      <c r="D7935" s="150"/>
      <c r="E7935" s="150"/>
      <c r="F7935" s="150"/>
      <c r="G7935" s="150"/>
      <c r="H7935" s="150"/>
      <c r="I7935" s="151"/>
      <c r="J7935" s="149"/>
      <c r="K7935" s="148"/>
      <c r="L7935" s="133"/>
    </row>
    <row r="7936" spans="1:12" hidden="1" x14ac:dyDescent="0.25">
      <c r="A7936" s="148"/>
      <c r="B7936" s="148"/>
      <c r="C7936" s="149"/>
      <c r="D7936" s="150"/>
      <c r="E7936" s="150"/>
      <c r="F7936" s="150"/>
      <c r="G7936" s="150"/>
      <c r="H7936" s="150"/>
      <c r="I7936" s="151"/>
      <c r="J7936" s="149"/>
      <c r="K7936" s="148"/>
      <c r="L7936" s="133"/>
    </row>
    <row r="7937" spans="1:12" hidden="1" x14ac:dyDescent="0.25">
      <c r="A7937" s="148"/>
      <c r="B7937" s="148"/>
      <c r="C7937" s="149"/>
      <c r="D7937" s="150"/>
      <c r="E7937" s="150"/>
      <c r="F7937" s="150"/>
      <c r="G7937" s="150"/>
      <c r="H7937" s="150"/>
      <c r="I7937" s="151"/>
      <c r="J7937" s="149"/>
      <c r="K7937" s="148"/>
      <c r="L7937" s="133"/>
    </row>
    <row r="7938" spans="1:12" hidden="1" x14ac:dyDescent="0.25">
      <c r="A7938" s="148"/>
      <c r="B7938" s="148"/>
      <c r="C7938" s="149"/>
      <c r="D7938" s="150"/>
      <c r="E7938" s="150"/>
      <c r="F7938" s="150"/>
      <c r="G7938" s="150"/>
      <c r="H7938" s="150"/>
      <c r="I7938" s="151"/>
      <c r="J7938" s="149"/>
      <c r="K7938" s="148"/>
      <c r="L7938" s="133"/>
    </row>
    <row r="7939" spans="1:12" hidden="1" x14ac:dyDescent="0.25">
      <c r="A7939" s="148"/>
      <c r="B7939" s="148"/>
      <c r="C7939" s="149"/>
      <c r="D7939" s="150"/>
      <c r="E7939" s="150"/>
      <c r="F7939" s="150"/>
      <c r="G7939" s="150"/>
      <c r="H7939" s="150"/>
      <c r="I7939" s="151"/>
      <c r="J7939" s="149"/>
      <c r="K7939" s="148"/>
      <c r="L7939" s="133"/>
    </row>
    <row r="7940" spans="1:12" hidden="1" x14ac:dyDescent="0.25">
      <c r="A7940" s="148"/>
      <c r="B7940" s="148"/>
      <c r="C7940" s="149"/>
      <c r="D7940" s="150"/>
      <c r="E7940" s="150"/>
      <c r="F7940" s="150"/>
      <c r="G7940" s="150"/>
      <c r="H7940" s="150"/>
      <c r="I7940" s="151"/>
      <c r="J7940" s="149"/>
      <c r="K7940" s="148"/>
      <c r="L7940" s="133"/>
    </row>
    <row r="7941" spans="1:12" hidden="1" x14ac:dyDescent="0.25">
      <c r="A7941" s="148"/>
      <c r="B7941" s="148"/>
      <c r="C7941" s="149"/>
      <c r="D7941" s="150"/>
      <c r="E7941" s="150"/>
      <c r="F7941" s="150"/>
      <c r="G7941" s="150"/>
      <c r="H7941" s="150"/>
      <c r="I7941" s="151"/>
      <c r="J7941" s="149"/>
      <c r="K7941" s="148"/>
      <c r="L7941" s="133"/>
    </row>
    <row r="7942" spans="1:12" hidden="1" x14ac:dyDescent="0.25">
      <c r="A7942" s="148"/>
      <c r="B7942" s="148"/>
      <c r="C7942" s="149"/>
      <c r="D7942" s="150"/>
      <c r="E7942" s="150"/>
      <c r="F7942" s="150"/>
      <c r="G7942" s="150"/>
      <c r="H7942" s="150"/>
      <c r="I7942" s="151"/>
      <c r="J7942" s="149"/>
      <c r="K7942" s="148"/>
      <c r="L7942" s="133"/>
    </row>
    <row r="7943" spans="1:12" hidden="1" x14ac:dyDescent="0.25">
      <c r="A7943" s="148"/>
      <c r="B7943" s="148"/>
      <c r="C7943" s="149"/>
      <c r="D7943" s="150"/>
      <c r="E7943" s="150"/>
      <c r="F7943" s="150"/>
      <c r="G7943" s="150"/>
      <c r="H7943" s="150"/>
      <c r="I7943" s="151"/>
      <c r="J7943" s="149"/>
      <c r="K7943" s="148"/>
      <c r="L7943" s="133"/>
    </row>
    <row r="7944" spans="1:12" hidden="1" x14ac:dyDescent="0.25">
      <c r="A7944" s="148"/>
      <c r="B7944" s="148"/>
      <c r="C7944" s="149"/>
      <c r="D7944" s="150"/>
      <c r="E7944" s="150"/>
      <c r="F7944" s="150"/>
      <c r="G7944" s="150"/>
      <c r="H7944" s="150"/>
      <c r="I7944" s="151"/>
      <c r="J7944" s="149"/>
      <c r="K7944" s="148"/>
      <c r="L7944" s="133"/>
    </row>
    <row r="7945" spans="1:12" hidden="1" x14ac:dyDescent="0.25">
      <c r="A7945" s="148"/>
      <c r="B7945" s="148"/>
      <c r="C7945" s="149"/>
      <c r="D7945" s="150"/>
      <c r="E7945" s="150"/>
      <c r="F7945" s="150"/>
      <c r="G7945" s="150"/>
      <c r="H7945" s="150"/>
      <c r="I7945" s="151"/>
      <c r="J7945" s="149"/>
      <c r="K7945" s="148"/>
      <c r="L7945" s="133"/>
    </row>
    <row r="7946" spans="1:12" hidden="1" x14ac:dyDescent="0.25">
      <c r="A7946" s="148"/>
      <c r="B7946" s="148"/>
      <c r="C7946" s="149"/>
      <c r="D7946" s="150"/>
      <c r="E7946" s="150"/>
      <c r="F7946" s="150"/>
      <c r="G7946" s="150"/>
      <c r="H7946" s="150"/>
      <c r="I7946" s="151"/>
      <c r="J7946" s="149"/>
      <c r="K7946" s="148"/>
      <c r="L7946" s="133"/>
    </row>
    <row r="7947" spans="1:12" hidden="1" x14ac:dyDescent="0.25">
      <c r="A7947" s="148"/>
      <c r="B7947" s="148"/>
      <c r="C7947" s="149"/>
      <c r="D7947" s="150"/>
      <c r="E7947" s="150"/>
      <c r="F7947" s="150"/>
      <c r="G7947" s="150"/>
      <c r="H7947" s="150"/>
      <c r="I7947" s="151"/>
      <c r="J7947" s="149"/>
      <c r="K7947" s="148"/>
      <c r="L7947" s="133"/>
    </row>
    <row r="7948" spans="1:12" hidden="1" x14ac:dyDescent="0.25">
      <c r="A7948" s="148"/>
      <c r="B7948" s="148"/>
      <c r="C7948" s="149"/>
      <c r="D7948" s="150"/>
      <c r="E7948" s="150"/>
      <c r="F7948" s="150"/>
      <c r="G7948" s="150"/>
      <c r="H7948" s="150"/>
      <c r="I7948" s="151"/>
      <c r="J7948" s="149"/>
      <c r="K7948" s="148"/>
      <c r="L7948" s="133"/>
    </row>
    <row r="7949" spans="1:12" hidden="1" x14ac:dyDescent="0.25">
      <c r="A7949" s="148"/>
      <c r="B7949" s="148"/>
      <c r="C7949" s="149"/>
      <c r="D7949" s="150"/>
      <c r="E7949" s="150"/>
      <c r="F7949" s="150"/>
      <c r="G7949" s="150"/>
      <c r="H7949" s="150"/>
      <c r="I7949" s="151"/>
      <c r="J7949" s="149"/>
      <c r="K7949" s="148"/>
      <c r="L7949" s="133"/>
    </row>
    <row r="7950" spans="1:12" hidden="1" x14ac:dyDescent="0.25">
      <c r="A7950" s="148"/>
      <c r="B7950" s="148"/>
      <c r="C7950" s="149"/>
      <c r="D7950" s="150"/>
      <c r="E7950" s="150"/>
      <c r="F7950" s="150"/>
      <c r="G7950" s="150"/>
      <c r="H7950" s="150"/>
      <c r="I7950" s="151"/>
      <c r="J7950" s="149"/>
      <c r="K7950" s="148"/>
      <c r="L7950" s="133"/>
    </row>
    <row r="7951" spans="1:12" hidden="1" x14ac:dyDescent="0.25">
      <c r="A7951" s="148"/>
      <c r="B7951" s="148"/>
      <c r="C7951" s="149"/>
      <c r="D7951" s="150"/>
      <c r="E7951" s="150"/>
      <c r="F7951" s="150"/>
      <c r="G7951" s="150"/>
      <c r="H7951" s="150"/>
      <c r="I7951" s="151"/>
      <c r="J7951" s="149"/>
      <c r="K7951" s="148"/>
      <c r="L7951" s="133"/>
    </row>
    <row r="7952" spans="1:12" hidden="1" x14ac:dyDescent="0.25">
      <c r="A7952" s="148"/>
      <c r="B7952" s="148"/>
      <c r="C7952" s="149"/>
      <c r="D7952" s="150"/>
      <c r="E7952" s="150"/>
      <c r="F7952" s="150"/>
      <c r="G7952" s="150"/>
      <c r="H7952" s="150"/>
      <c r="I7952" s="151"/>
      <c r="J7952" s="149"/>
      <c r="K7952" s="148"/>
      <c r="L7952" s="133"/>
    </row>
    <row r="7953" spans="1:12" hidden="1" x14ac:dyDescent="0.25">
      <c r="A7953" s="148"/>
      <c r="B7953" s="148"/>
      <c r="C7953" s="149"/>
      <c r="D7953" s="150"/>
      <c r="E7953" s="150"/>
      <c r="F7953" s="150"/>
      <c r="G7953" s="150"/>
      <c r="H7953" s="150"/>
      <c r="I7953" s="151"/>
      <c r="J7953" s="149"/>
      <c r="K7953" s="148"/>
      <c r="L7953" s="133"/>
    </row>
    <row r="7954" spans="1:12" hidden="1" x14ac:dyDescent="0.25">
      <c r="A7954" s="148"/>
      <c r="B7954" s="148"/>
      <c r="C7954" s="149"/>
      <c r="D7954" s="150"/>
      <c r="E7954" s="150"/>
      <c r="F7954" s="150"/>
      <c r="G7954" s="150"/>
      <c r="H7954" s="150"/>
      <c r="I7954" s="151"/>
      <c r="J7954" s="149"/>
      <c r="K7954" s="148"/>
      <c r="L7954" s="133"/>
    </row>
    <row r="7955" spans="1:12" hidden="1" x14ac:dyDescent="0.25">
      <c r="A7955" s="148"/>
      <c r="B7955" s="148"/>
      <c r="C7955" s="149"/>
      <c r="D7955" s="150"/>
      <c r="E7955" s="150"/>
      <c r="F7955" s="150"/>
      <c r="G7955" s="150"/>
      <c r="H7955" s="150"/>
      <c r="I7955" s="151"/>
      <c r="J7955" s="149"/>
      <c r="K7955" s="148"/>
      <c r="L7955" s="133"/>
    </row>
    <row r="7956" spans="1:12" hidden="1" x14ac:dyDescent="0.25">
      <c r="A7956" s="148"/>
      <c r="B7956" s="148"/>
      <c r="C7956" s="149"/>
      <c r="D7956" s="150"/>
      <c r="E7956" s="150"/>
      <c r="F7956" s="150"/>
      <c r="G7956" s="150"/>
      <c r="H7956" s="150"/>
      <c r="I7956" s="151"/>
      <c r="J7956" s="149"/>
      <c r="K7956" s="148"/>
      <c r="L7956" s="133"/>
    </row>
    <row r="7957" spans="1:12" hidden="1" x14ac:dyDescent="0.25">
      <c r="A7957" s="148"/>
      <c r="B7957" s="148"/>
      <c r="C7957" s="149"/>
      <c r="D7957" s="150"/>
      <c r="E7957" s="150"/>
      <c r="F7957" s="150"/>
      <c r="G7957" s="150"/>
      <c r="H7957" s="150"/>
      <c r="I7957" s="151"/>
      <c r="J7957" s="149"/>
      <c r="K7957" s="148"/>
      <c r="L7957" s="133"/>
    </row>
    <row r="7958" spans="1:12" hidden="1" x14ac:dyDescent="0.25">
      <c r="A7958" s="148"/>
      <c r="B7958" s="148"/>
      <c r="C7958" s="149"/>
      <c r="D7958" s="150"/>
      <c r="E7958" s="150"/>
      <c r="F7958" s="150"/>
      <c r="G7958" s="150"/>
      <c r="H7958" s="150"/>
      <c r="I7958" s="151"/>
      <c r="J7958" s="149"/>
      <c r="K7958" s="148"/>
      <c r="L7958" s="133"/>
    </row>
    <row r="7959" spans="1:12" hidden="1" x14ac:dyDescent="0.25">
      <c r="A7959" s="148"/>
      <c r="B7959" s="148"/>
      <c r="C7959" s="149"/>
      <c r="D7959" s="150"/>
      <c r="E7959" s="150"/>
      <c r="F7959" s="150"/>
      <c r="G7959" s="150"/>
      <c r="H7959" s="150"/>
      <c r="I7959" s="151"/>
      <c r="J7959" s="149"/>
      <c r="K7959" s="148"/>
      <c r="L7959" s="133"/>
    </row>
    <row r="7960" spans="1:12" hidden="1" x14ac:dyDescent="0.25">
      <c r="A7960" s="148"/>
      <c r="B7960" s="148"/>
      <c r="C7960" s="149"/>
      <c r="D7960" s="150"/>
      <c r="E7960" s="150"/>
      <c r="F7960" s="150"/>
      <c r="G7960" s="150"/>
      <c r="H7960" s="150"/>
      <c r="I7960" s="151"/>
      <c r="J7960" s="149"/>
      <c r="K7960" s="148"/>
      <c r="L7960" s="133"/>
    </row>
    <row r="7961" spans="1:12" hidden="1" x14ac:dyDescent="0.25">
      <c r="A7961" s="148"/>
      <c r="B7961" s="148"/>
      <c r="C7961" s="149"/>
      <c r="D7961" s="150"/>
      <c r="E7961" s="150"/>
      <c r="F7961" s="150"/>
      <c r="G7961" s="150"/>
      <c r="H7961" s="150"/>
      <c r="I7961" s="151"/>
      <c r="J7961" s="149"/>
      <c r="K7961" s="148"/>
      <c r="L7961" s="133"/>
    </row>
    <row r="7962" spans="1:12" hidden="1" x14ac:dyDescent="0.25">
      <c r="A7962" s="148"/>
      <c r="B7962" s="148"/>
      <c r="C7962" s="149"/>
      <c r="D7962" s="150"/>
      <c r="E7962" s="150"/>
      <c r="F7962" s="150"/>
      <c r="G7962" s="150"/>
      <c r="H7962" s="150"/>
      <c r="I7962" s="151"/>
      <c r="J7962" s="149"/>
      <c r="K7962" s="148"/>
      <c r="L7962" s="133"/>
    </row>
    <row r="7963" spans="1:12" hidden="1" x14ac:dyDescent="0.25">
      <c r="A7963" s="148"/>
      <c r="B7963" s="148"/>
      <c r="C7963" s="149"/>
      <c r="D7963" s="150"/>
      <c r="E7963" s="150"/>
      <c r="F7963" s="150"/>
      <c r="G7963" s="150"/>
      <c r="H7963" s="150"/>
      <c r="I7963" s="151"/>
      <c r="J7963" s="149"/>
      <c r="K7963" s="148"/>
      <c r="L7963" s="133"/>
    </row>
    <row r="7964" spans="1:12" hidden="1" x14ac:dyDescent="0.25">
      <c r="A7964" s="148"/>
      <c r="B7964" s="148"/>
      <c r="C7964" s="149"/>
      <c r="D7964" s="150"/>
      <c r="E7964" s="150"/>
      <c r="F7964" s="150"/>
      <c r="G7964" s="150"/>
      <c r="H7964" s="150"/>
      <c r="I7964" s="151"/>
      <c r="J7964" s="149"/>
      <c r="K7964" s="148"/>
      <c r="L7964" s="133"/>
    </row>
    <row r="7965" spans="1:12" hidden="1" x14ac:dyDescent="0.25">
      <c r="A7965" s="148"/>
      <c r="B7965" s="148"/>
      <c r="C7965" s="149"/>
      <c r="D7965" s="150"/>
      <c r="E7965" s="150"/>
      <c r="F7965" s="150"/>
      <c r="G7965" s="150"/>
      <c r="H7965" s="150"/>
      <c r="I7965" s="151"/>
      <c r="J7965" s="149"/>
      <c r="K7965" s="148"/>
      <c r="L7965" s="133"/>
    </row>
    <row r="7966" spans="1:12" hidden="1" x14ac:dyDescent="0.25">
      <c r="A7966" s="148"/>
      <c r="B7966" s="148"/>
      <c r="C7966" s="149"/>
      <c r="D7966" s="150"/>
      <c r="E7966" s="150"/>
      <c r="F7966" s="150"/>
      <c r="G7966" s="150"/>
      <c r="H7966" s="150"/>
      <c r="I7966" s="151"/>
      <c r="J7966" s="149"/>
      <c r="K7966" s="148"/>
      <c r="L7966" s="133"/>
    </row>
    <row r="7967" spans="1:12" hidden="1" x14ac:dyDescent="0.25">
      <c r="A7967" s="148"/>
      <c r="B7967" s="148"/>
      <c r="C7967" s="149"/>
      <c r="D7967" s="150"/>
      <c r="E7967" s="150"/>
      <c r="F7967" s="150"/>
      <c r="G7967" s="150"/>
      <c r="H7967" s="150"/>
      <c r="I7967" s="151"/>
      <c r="J7967" s="149"/>
      <c r="K7967" s="148"/>
      <c r="L7967" s="133"/>
    </row>
    <row r="7968" spans="1:12" hidden="1" x14ac:dyDescent="0.25">
      <c r="A7968" s="148"/>
      <c r="B7968" s="148"/>
      <c r="C7968" s="149"/>
      <c r="D7968" s="150"/>
      <c r="E7968" s="150"/>
      <c r="F7968" s="150"/>
      <c r="G7968" s="150"/>
      <c r="H7968" s="150"/>
      <c r="I7968" s="151"/>
      <c r="J7968" s="149"/>
      <c r="K7968" s="148"/>
      <c r="L7968" s="133"/>
    </row>
    <row r="7969" spans="1:12" hidden="1" x14ac:dyDescent="0.25">
      <c r="A7969" s="148"/>
      <c r="B7969" s="148"/>
      <c r="C7969" s="149"/>
      <c r="D7969" s="150"/>
      <c r="E7969" s="150"/>
      <c r="F7969" s="150"/>
      <c r="G7969" s="150"/>
      <c r="H7969" s="150"/>
      <c r="I7969" s="151"/>
      <c r="J7969" s="149"/>
      <c r="K7969" s="148"/>
      <c r="L7969" s="133"/>
    </row>
    <row r="7970" spans="1:12" hidden="1" x14ac:dyDescent="0.25">
      <c r="A7970" s="148"/>
      <c r="B7970" s="148"/>
      <c r="C7970" s="149"/>
      <c r="D7970" s="150"/>
      <c r="E7970" s="150"/>
      <c r="F7970" s="150"/>
      <c r="G7970" s="150"/>
      <c r="H7970" s="150"/>
      <c r="I7970" s="151"/>
      <c r="J7970" s="149"/>
      <c r="K7970" s="148"/>
      <c r="L7970" s="133"/>
    </row>
    <row r="7971" spans="1:12" hidden="1" x14ac:dyDescent="0.25">
      <c r="A7971" s="148"/>
      <c r="B7971" s="148"/>
      <c r="C7971" s="149"/>
      <c r="D7971" s="150"/>
      <c r="E7971" s="150"/>
      <c r="F7971" s="150"/>
      <c r="G7971" s="150"/>
      <c r="H7971" s="150"/>
      <c r="I7971" s="151"/>
      <c r="J7971" s="149"/>
      <c r="K7971" s="148"/>
      <c r="L7971" s="133"/>
    </row>
    <row r="7972" spans="1:12" hidden="1" x14ac:dyDescent="0.25">
      <c r="A7972" s="148"/>
      <c r="B7972" s="148"/>
      <c r="C7972" s="149"/>
      <c r="D7972" s="150"/>
      <c r="E7972" s="150"/>
      <c r="F7972" s="150"/>
      <c r="G7972" s="150"/>
      <c r="H7972" s="150"/>
      <c r="I7972" s="151"/>
      <c r="J7972" s="149"/>
      <c r="K7972" s="148"/>
      <c r="L7972" s="133"/>
    </row>
    <row r="7973" spans="1:12" hidden="1" x14ac:dyDescent="0.25">
      <c r="A7973" s="148"/>
      <c r="B7973" s="148"/>
      <c r="C7973" s="149"/>
      <c r="D7973" s="150"/>
      <c r="E7973" s="150"/>
      <c r="F7973" s="150"/>
      <c r="G7973" s="150"/>
      <c r="H7973" s="150"/>
      <c r="I7973" s="151"/>
      <c r="J7973" s="149"/>
      <c r="K7973" s="148"/>
      <c r="L7973" s="133"/>
    </row>
    <row r="7974" spans="1:12" hidden="1" x14ac:dyDescent="0.25">
      <c r="A7974" s="148"/>
      <c r="B7974" s="148"/>
      <c r="C7974" s="149"/>
      <c r="D7974" s="150"/>
      <c r="E7974" s="150"/>
      <c r="F7974" s="150"/>
      <c r="G7974" s="150"/>
      <c r="H7974" s="150"/>
      <c r="I7974" s="151"/>
      <c r="J7974" s="149"/>
      <c r="K7974" s="148"/>
      <c r="L7974" s="133"/>
    </row>
    <row r="7975" spans="1:12" hidden="1" x14ac:dyDescent="0.25">
      <c r="A7975" s="148"/>
      <c r="B7975" s="148"/>
      <c r="C7975" s="149"/>
      <c r="D7975" s="150"/>
      <c r="E7975" s="150"/>
      <c r="F7975" s="150"/>
      <c r="G7975" s="150"/>
      <c r="H7975" s="150"/>
      <c r="I7975" s="151"/>
      <c r="J7975" s="149"/>
      <c r="K7975" s="148"/>
      <c r="L7975" s="133"/>
    </row>
    <row r="7976" spans="1:12" hidden="1" x14ac:dyDescent="0.25">
      <c r="A7976" s="148"/>
      <c r="B7976" s="148"/>
      <c r="C7976" s="149"/>
      <c r="D7976" s="150"/>
      <c r="E7976" s="150"/>
      <c r="F7976" s="150"/>
      <c r="G7976" s="150"/>
      <c r="H7976" s="150"/>
      <c r="I7976" s="151"/>
      <c r="J7976" s="149"/>
      <c r="K7976" s="148"/>
      <c r="L7976" s="133"/>
    </row>
    <row r="7977" spans="1:12" hidden="1" x14ac:dyDescent="0.25">
      <c r="A7977" s="148"/>
      <c r="B7977" s="148"/>
      <c r="C7977" s="149"/>
      <c r="D7977" s="150"/>
      <c r="E7977" s="150"/>
      <c r="F7977" s="150"/>
      <c r="G7977" s="150"/>
      <c r="H7977" s="150"/>
      <c r="I7977" s="151"/>
      <c r="J7977" s="149"/>
      <c r="K7977" s="148"/>
      <c r="L7977" s="133"/>
    </row>
    <row r="7978" spans="1:12" hidden="1" x14ac:dyDescent="0.25">
      <c r="A7978" s="148"/>
      <c r="B7978" s="148"/>
      <c r="C7978" s="149"/>
      <c r="D7978" s="150"/>
      <c r="E7978" s="150"/>
      <c r="F7978" s="150"/>
      <c r="G7978" s="150"/>
      <c r="H7978" s="150"/>
      <c r="I7978" s="151"/>
      <c r="J7978" s="149"/>
      <c r="K7978" s="148"/>
      <c r="L7978" s="133"/>
    </row>
    <row r="7979" spans="1:12" hidden="1" x14ac:dyDescent="0.25">
      <c r="A7979" s="148"/>
      <c r="B7979" s="148"/>
      <c r="C7979" s="149"/>
      <c r="D7979" s="150"/>
      <c r="E7979" s="150"/>
      <c r="F7979" s="150"/>
      <c r="G7979" s="150"/>
      <c r="H7979" s="150"/>
      <c r="I7979" s="151"/>
      <c r="J7979" s="149"/>
      <c r="K7979" s="148"/>
      <c r="L7979" s="133"/>
    </row>
    <row r="7980" spans="1:12" hidden="1" x14ac:dyDescent="0.25">
      <c r="A7980" s="148"/>
      <c r="B7980" s="148"/>
      <c r="C7980" s="149"/>
      <c r="D7980" s="150"/>
      <c r="E7980" s="150"/>
      <c r="F7980" s="150"/>
      <c r="G7980" s="150"/>
      <c r="H7980" s="150"/>
      <c r="I7980" s="151"/>
      <c r="J7980" s="149"/>
      <c r="K7980" s="148"/>
      <c r="L7980" s="133"/>
    </row>
    <row r="7981" spans="1:12" hidden="1" x14ac:dyDescent="0.25">
      <c r="A7981" s="148"/>
      <c r="B7981" s="148"/>
      <c r="C7981" s="149"/>
      <c r="D7981" s="150"/>
      <c r="E7981" s="150"/>
      <c r="F7981" s="150"/>
      <c r="G7981" s="150"/>
      <c r="H7981" s="150"/>
      <c r="I7981" s="151"/>
      <c r="J7981" s="149"/>
      <c r="K7981" s="148"/>
      <c r="L7981" s="133"/>
    </row>
    <row r="7982" spans="1:12" hidden="1" x14ac:dyDescent="0.25">
      <c r="A7982" s="148"/>
      <c r="B7982" s="148"/>
      <c r="C7982" s="149"/>
      <c r="D7982" s="150"/>
      <c r="E7982" s="150"/>
      <c r="F7982" s="150"/>
      <c r="G7982" s="150"/>
      <c r="H7982" s="150"/>
      <c r="I7982" s="151"/>
      <c r="J7982" s="149"/>
      <c r="K7982" s="148"/>
      <c r="L7982" s="133"/>
    </row>
    <row r="7983" spans="1:12" hidden="1" x14ac:dyDescent="0.25">
      <c r="A7983" s="148"/>
      <c r="B7983" s="148"/>
      <c r="C7983" s="149"/>
      <c r="D7983" s="150"/>
      <c r="E7983" s="150"/>
      <c r="F7983" s="150"/>
      <c r="G7983" s="150"/>
      <c r="H7983" s="150"/>
      <c r="I7983" s="151"/>
      <c r="J7983" s="149"/>
      <c r="K7983" s="148"/>
      <c r="L7983" s="133"/>
    </row>
    <row r="7984" spans="1:12" hidden="1" x14ac:dyDescent="0.25">
      <c r="A7984" s="130"/>
      <c r="B7984" s="130"/>
      <c r="C7984" s="132"/>
      <c r="D7984" s="129"/>
      <c r="E7984" s="129"/>
      <c r="F7984" s="129"/>
      <c r="G7984" s="129"/>
      <c r="H7984" s="129"/>
      <c r="I7984" s="131"/>
      <c r="J7984" s="132"/>
      <c r="K7984" s="130"/>
      <c r="L7984" s="133"/>
    </row>
    <row r="7985" spans="1:12" hidden="1" x14ac:dyDescent="0.25">
      <c r="A7985" s="130"/>
      <c r="B7985" s="130"/>
      <c r="C7985" s="132"/>
      <c r="D7985" s="129"/>
      <c r="E7985" s="129"/>
      <c r="F7985" s="129"/>
      <c r="G7985" s="129"/>
      <c r="H7985" s="129"/>
      <c r="I7985" s="131"/>
      <c r="J7985" s="132"/>
      <c r="K7985" s="130"/>
      <c r="L7985" s="133"/>
    </row>
    <row r="7986" spans="1:12" hidden="1" x14ac:dyDescent="0.25">
      <c r="A7986" s="130"/>
      <c r="B7986" s="130"/>
      <c r="C7986" s="132"/>
      <c r="D7986" s="129"/>
      <c r="E7986" s="129"/>
      <c r="F7986" s="129"/>
      <c r="G7986" s="129"/>
      <c r="H7986" s="129"/>
      <c r="I7986" s="131"/>
      <c r="J7986" s="132"/>
      <c r="K7986" s="130"/>
      <c r="L7986" s="133"/>
    </row>
    <row r="7987" spans="1:12" hidden="1" x14ac:dyDescent="0.25">
      <c r="A7987" s="130"/>
      <c r="B7987" s="130"/>
      <c r="C7987" s="132"/>
      <c r="D7987" s="129"/>
      <c r="E7987" s="129"/>
      <c r="F7987" s="129"/>
      <c r="G7987" s="129"/>
      <c r="H7987" s="129"/>
      <c r="I7987" s="131"/>
      <c r="J7987" s="132"/>
      <c r="K7987" s="130"/>
      <c r="L7987" s="133"/>
    </row>
    <row r="7988" spans="1:12" hidden="1" x14ac:dyDescent="0.25">
      <c r="A7988" s="130"/>
      <c r="B7988" s="130"/>
      <c r="C7988" s="132"/>
      <c r="D7988" s="129"/>
      <c r="E7988" s="129"/>
      <c r="F7988" s="129"/>
      <c r="G7988" s="129"/>
      <c r="H7988" s="129"/>
      <c r="I7988" s="131"/>
      <c r="J7988" s="132"/>
      <c r="K7988" s="130"/>
      <c r="L7988" s="133"/>
    </row>
    <row r="7989" spans="1:12" hidden="1" x14ac:dyDescent="0.25">
      <c r="A7989" s="130"/>
      <c r="B7989" s="130"/>
      <c r="C7989" s="132"/>
      <c r="D7989" s="129"/>
      <c r="E7989" s="129"/>
      <c r="F7989" s="129"/>
      <c r="G7989" s="129"/>
      <c r="H7989" s="129"/>
      <c r="I7989" s="131"/>
      <c r="J7989" s="132"/>
      <c r="K7989" s="130"/>
      <c r="L7989" s="133"/>
    </row>
    <row r="7990" spans="1:12" hidden="1" x14ac:dyDescent="0.25">
      <c r="A7990" s="130"/>
      <c r="B7990" s="130"/>
      <c r="C7990" s="132"/>
      <c r="D7990" s="129"/>
      <c r="E7990" s="129"/>
      <c r="F7990" s="129"/>
      <c r="G7990" s="129"/>
      <c r="H7990" s="129"/>
      <c r="I7990" s="131"/>
      <c r="J7990" s="132"/>
      <c r="K7990" s="130"/>
      <c r="L7990" s="133"/>
    </row>
    <row r="7991" spans="1:12" hidden="1" x14ac:dyDescent="0.25">
      <c r="A7991" s="130"/>
      <c r="B7991" s="130"/>
      <c r="C7991" s="132"/>
      <c r="D7991" s="129"/>
      <c r="E7991" s="129"/>
      <c r="F7991" s="129"/>
      <c r="G7991" s="129"/>
      <c r="H7991" s="129"/>
      <c r="I7991" s="131"/>
      <c r="J7991" s="132"/>
      <c r="K7991" s="130"/>
      <c r="L7991" s="133"/>
    </row>
    <row r="7992" spans="1:12" hidden="1" x14ac:dyDescent="0.25">
      <c r="A7992" s="130"/>
      <c r="B7992" s="130"/>
      <c r="C7992" s="132"/>
      <c r="D7992" s="129"/>
      <c r="E7992" s="129"/>
      <c r="F7992" s="129"/>
      <c r="G7992" s="129"/>
      <c r="H7992" s="129"/>
      <c r="I7992" s="131"/>
      <c r="J7992" s="132"/>
      <c r="K7992" s="130"/>
      <c r="L7992" s="133"/>
    </row>
    <row r="7993" spans="1:12" hidden="1" x14ac:dyDescent="0.25">
      <c r="A7993" s="130"/>
      <c r="B7993" s="130"/>
      <c r="C7993" s="132"/>
      <c r="D7993" s="129"/>
      <c r="E7993" s="129"/>
      <c r="F7993" s="129"/>
      <c r="G7993" s="129"/>
      <c r="H7993" s="129"/>
      <c r="I7993" s="131"/>
      <c r="J7993" s="132"/>
      <c r="K7993" s="130"/>
      <c r="L7993" s="133"/>
    </row>
    <row r="7994" spans="1:12" hidden="1" x14ac:dyDescent="0.25">
      <c r="A7994" s="130"/>
      <c r="B7994" s="130"/>
      <c r="C7994" s="132"/>
      <c r="D7994" s="129"/>
      <c r="E7994" s="129"/>
      <c r="F7994" s="129"/>
      <c r="G7994" s="129"/>
      <c r="H7994" s="129"/>
      <c r="I7994" s="131"/>
      <c r="J7994" s="132"/>
      <c r="K7994" s="130"/>
      <c r="L7994" s="133"/>
    </row>
    <row r="7995" spans="1:12" hidden="1" x14ac:dyDescent="0.25">
      <c r="A7995" s="130"/>
      <c r="B7995" s="130"/>
      <c r="C7995" s="132"/>
      <c r="D7995" s="129"/>
      <c r="E7995" s="129"/>
      <c r="F7995" s="129"/>
      <c r="G7995" s="129"/>
      <c r="H7995" s="129"/>
      <c r="I7995" s="131"/>
      <c r="J7995" s="132"/>
      <c r="K7995" s="130"/>
      <c r="L7995" s="133"/>
    </row>
    <row r="7996" spans="1:12" hidden="1" x14ac:dyDescent="0.25">
      <c r="A7996" s="130"/>
      <c r="B7996" s="130"/>
      <c r="C7996" s="132"/>
      <c r="D7996" s="129"/>
      <c r="E7996" s="129"/>
      <c r="F7996" s="129"/>
      <c r="G7996" s="129"/>
      <c r="H7996" s="129"/>
      <c r="I7996" s="131"/>
      <c r="J7996" s="132"/>
      <c r="K7996" s="130"/>
      <c r="L7996" s="133"/>
    </row>
    <row r="7997" spans="1:12" hidden="1" x14ac:dyDescent="0.25">
      <c r="A7997" s="130"/>
      <c r="B7997" s="130"/>
      <c r="C7997" s="132"/>
      <c r="D7997" s="129"/>
      <c r="E7997" s="129"/>
      <c r="F7997" s="129"/>
      <c r="G7997" s="129"/>
      <c r="H7997" s="129"/>
      <c r="I7997" s="131"/>
      <c r="J7997" s="132"/>
      <c r="K7997" s="130"/>
      <c r="L7997" s="133"/>
    </row>
    <row r="7998" spans="1:12" hidden="1" x14ac:dyDescent="0.25">
      <c r="A7998" s="130"/>
      <c r="B7998" s="130"/>
      <c r="C7998" s="132"/>
      <c r="D7998" s="129"/>
      <c r="E7998" s="129"/>
      <c r="F7998" s="129"/>
      <c r="G7998" s="129"/>
      <c r="H7998" s="129"/>
      <c r="I7998" s="131"/>
      <c r="J7998" s="132"/>
      <c r="K7998" s="130"/>
      <c r="L7998" s="133"/>
    </row>
    <row r="7999" spans="1:12" hidden="1" x14ac:dyDescent="0.25">
      <c r="A7999" s="130"/>
      <c r="B7999" s="130"/>
      <c r="C7999" s="132"/>
      <c r="D7999" s="129"/>
      <c r="E7999" s="129"/>
      <c r="F7999" s="129"/>
      <c r="G7999" s="129"/>
      <c r="H7999" s="129"/>
      <c r="I7999" s="131"/>
      <c r="J7999" s="132"/>
      <c r="K7999" s="130"/>
      <c r="L7999" s="133"/>
    </row>
    <row r="8000" spans="1:12" hidden="1" x14ac:dyDescent="0.25">
      <c r="A8000" s="130"/>
      <c r="B8000" s="130"/>
      <c r="C8000" s="132"/>
      <c r="D8000" s="129"/>
      <c r="E8000" s="129"/>
      <c r="F8000" s="129"/>
      <c r="G8000" s="129"/>
      <c r="H8000" s="129"/>
      <c r="I8000" s="131"/>
      <c r="J8000" s="132"/>
      <c r="K8000" s="130"/>
      <c r="L8000" s="133"/>
    </row>
    <row r="8001" spans="1:12" hidden="1" x14ac:dyDescent="0.25">
      <c r="A8001" s="130"/>
      <c r="B8001" s="130"/>
      <c r="C8001" s="132"/>
      <c r="D8001" s="129"/>
      <c r="E8001" s="129"/>
      <c r="F8001" s="129"/>
      <c r="G8001" s="129"/>
      <c r="H8001" s="129"/>
      <c r="I8001" s="131"/>
      <c r="J8001" s="132"/>
      <c r="K8001" s="130"/>
      <c r="L8001" s="133"/>
    </row>
    <row r="8002" spans="1:12" hidden="1" x14ac:dyDescent="0.25">
      <c r="A8002" s="130"/>
      <c r="B8002" s="130"/>
      <c r="C8002" s="132"/>
      <c r="D8002" s="129"/>
      <c r="E8002" s="129"/>
      <c r="F8002" s="129"/>
      <c r="G8002" s="129"/>
      <c r="H8002" s="129"/>
      <c r="I8002" s="131"/>
      <c r="J8002" s="132"/>
      <c r="K8002" s="130"/>
      <c r="L8002" s="133"/>
    </row>
    <row r="8003" spans="1:12" hidden="1" x14ac:dyDescent="0.25">
      <c r="A8003" s="130"/>
      <c r="B8003" s="130"/>
      <c r="C8003" s="132"/>
      <c r="D8003" s="129"/>
      <c r="E8003" s="129"/>
      <c r="F8003" s="129"/>
      <c r="G8003" s="129"/>
      <c r="H8003" s="129"/>
      <c r="I8003" s="131"/>
      <c r="J8003" s="132"/>
      <c r="K8003" s="130"/>
      <c r="L8003" s="133"/>
    </row>
    <row r="8004" spans="1:12" hidden="1" x14ac:dyDescent="0.25">
      <c r="A8004" s="130"/>
      <c r="B8004" s="130"/>
      <c r="C8004" s="132"/>
      <c r="D8004" s="129"/>
      <c r="E8004" s="129"/>
      <c r="F8004" s="129"/>
      <c r="G8004" s="129"/>
      <c r="H8004" s="129"/>
      <c r="I8004" s="131"/>
      <c r="J8004" s="132"/>
      <c r="K8004" s="130"/>
      <c r="L8004" s="133"/>
    </row>
    <row r="8005" spans="1:12" hidden="1" x14ac:dyDescent="0.25">
      <c r="A8005" s="130"/>
      <c r="B8005" s="130"/>
      <c r="C8005" s="132"/>
      <c r="D8005" s="129"/>
      <c r="E8005" s="129"/>
      <c r="F8005" s="129"/>
      <c r="G8005" s="129"/>
      <c r="H8005" s="129"/>
      <c r="I8005" s="131"/>
      <c r="J8005" s="132"/>
      <c r="K8005" s="130"/>
      <c r="L8005" s="133"/>
    </row>
    <row r="8006" spans="1:12" hidden="1" x14ac:dyDescent="0.25">
      <c r="A8006" s="130"/>
      <c r="B8006" s="130"/>
      <c r="C8006" s="132"/>
      <c r="D8006" s="129"/>
      <c r="E8006" s="129"/>
      <c r="F8006" s="129"/>
      <c r="G8006" s="129"/>
      <c r="H8006" s="129"/>
      <c r="I8006" s="131"/>
      <c r="J8006" s="132"/>
      <c r="K8006" s="130"/>
      <c r="L8006" s="133"/>
    </row>
    <row r="8007" spans="1:12" hidden="1" x14ac:dyDescent="0.25">
      <c r="A8007" s="130"/>
      <c r="B8007" s="130"/>
      <c r="C8007" s="132"/>
      <c r="D8007" s="129"/>
      <c r="E8007" s="129"/>
      <c r="F8007" s="129"/>
      <c r="G8007" s="129"/>
      <c r="H8007" s="129"/>
      <c r="I8007" s="131"/>
      <c r="J8007" s="132"/>
      <c r="K8007" s="130"/>
      <c r="L8007" s="133"/>
    </row>
    <row r="8008" spans="1:12" hidden="1" x14ac:dyDescent="0.25">
      <c r="A8008" s="130"/>
      <c r="B8008" s="130"/>
      <c r="C8008" s="132"/>
      <c r="D8008" s="129"/>
      <c r="E8008" s="129"/>
      <c r="F8008" s="129"/>
      <c r="G8008" s="129"/>
      <c r="H8008" s="129"/>
      <c r="I8008" s="131"/>
      <c r="J8008" s="132"/>
      <c r="K8008" s="130"/>
      <c r="L8008" s="133"/>
    </row>
    <row r="8009" spans="1:12" hidden="1" x14ac:dyDescent="0.25">
      <c r="A8009" s="130"/>
      <c r="B8009" s="130"/>
      <c r="C8009" s="132"/>
      <c r="D8009" s="129"/>
      <c r="E8009" s="129"/>
      <c r="F8009" s="129"/>
      <c r="G8009" s="129"/>
      <c r="H8009" s="129"/>
      <c r="I8009" s="131"/>
      <c r="J8009" s="132"/>
      <c r="K8009" s="130"/>
      <c r="L8009" s="133"/>
    </row>
    <row r="8010" spans="1:12" hidden="1" x14ac:dyDescent="0.25">
      <c r="A8010" s="130"/>
      <c r="B8010" s="130"/>
      <c r="C8010" s="132"/>
      <c r="D8010" s="129"/>
      <c r="E8010" s="129"/>
      <c r="F8010" s="129"/>
      <c r="G8010" s="129"/>
      <c r="H8010" s="129"/>
      <c r="I8010" s="131"/>
      <c r="J8010" s="132"/>
      <c r="K8010" s="130"/>
      <c r="L8010" s="133"/>
    </row>
    <row r="8011" spans="1:12" hidden="1" x14ac:dyDescent="0.25">
      <c r="A8011" s="130"/>
      <c r="B8011" s="130"/>
      <c r="C8011" s="132"/>
      <c r="D8011" s="129"/>
      <c r="E8011" s="129"/>
      <c r="F8011" s="129"/>
      <c r="G8011" s="129"/>
      <c r="H8011" s="129"/>
      <c r="I8011" s="131"/>
      <c r="J8011" s="132"/>
      <c r="K8011" s="130"/>
      <c r="L8011" s="133"/>
    </row>
    <row r="8012" spans="1:12" hidden="1" x14ac:dyDescent="0.25">
      <c r="A8012" s="130"/>
      <c r="B8012" s="130"/>
      <c r="C8012" s="132"/>
      <c r="D8012" s="129"/>
      <c r="E8012" s="129"/>
      <c r="F8012" s="129"/>
      <c r="G8012" s="129"/>
      <c r="H8012" s="129"/>
      <c r="I8012" s="131"/>
      <c r="J8012" s="132"/>
      <c r="K8012" s="130"/>
      <c r="L8012" s="133"/>
    </row>
    <row r="8013" spans="1:12" hidden="1" x14ac:dyDescent="0.25">
      <c r="A8013" s="130"/>
      <c r="B8013" s="130"/>
      <c r="C8013" s="132"/>
      <c r="D8013" s="129"/>
      <c r="E8013" s="129"/>
      <c r="F8013" s="129"/>
      <c r="G8013" s="129"/>
      <c r="H8013" s="129"/>
      <c r="I8013" s="131"/>
      <c r="J8013" s="132"/>
      <c r="K8013" s="130"/>
      <c r="L8013" s="133"/>
    </row>
    <row r="8014" spans="1:12" hidden="1" x14ac:dyDescent="0.25">
      <c r="A8014" s="130"/>
      <c r="B8014" s="130"/>
      <c r="C8014" s="132"/>
      <c r="D8014" s="129"/>
      <c r="E8014" s="129"/>
      <c r="F8014" s="129"/>
      <c r="G8014" s="129"/>
      <c r="H8014" s="129"/>
      <c r="I8014" s="131"/>
      <c r="J8014" s="132"/>
      <c r="K8014" s="130"/>
      <c r="L8014" s="133"/>
    </row>
    <row r="8015" spans="1:12" hidden="1" x14ac:dyDescent="0.25">
      <c r="A8015" s="130"/>
      <c r="B8015" s="130"/>
      <c r="C8015" s="132"/>
      <c r="D8015" s="129"/>
      <c r="E8015" s="129"/>
      <c r="F8015" s="129"/>
      <c r="G8015" s="129"/>
      <c r="H8015" s="129"/>
      <c r="I8015" s="131"/>
      <c r="J8015" s="132"/>
      <c r="K8015" s="130"/>
      <c r="L8015" s="133"/>
    </row>
    <row r="8016" spans="1:12" hidden="1" x14ac:dyDescent="0.25">
      <c r="A8016" s="130"/>
      <c r="B8016" s="130"/>
      <c r="C8016" s="132"/>
      <c r="D8016" s="129"/>
      <c r="E8016" s="129"/>
      <c r="F8016" s="129"/>
      <c r="G8016" s="129"/>
      <c r="H8016" s="129"/>
      <c r="I8016" s="131"/>
      <c r="J8016" s="132"/>
      <c r="K8016" s="130"/>
      <c r="L8016" s="133"/>
    </row>
    <row r="8017" spans="1:12" hidden="1" x14ac:dyDescent="0.25">
      <c r="A8017" s="130"/>
      <c r="B8017" s="130"/>
      <c r="C8017" s="132"/>
      <c r="D8017" s="129"/>
      <c r="E8017" s="129"/>
      <c r="F8017" s="129"/>
      <c r="G8017" s="129"/>
      <c r="H8017" s="129"/>
      <c r="I8017" s="131"/>
      <c r="J8017" s="132"/>
      <c r="K8017" s="130"/>
      <c r="L8017" s="133"/>
    </row>
    <row r="8018" spans="1:12" hidden="1" x14ac:dyDescent="0.25">
      <c r="A8018" s="130"/>
      <c r="B8018" s="130"/>
      <c r="C8018" s="132"/>
      <c r="D8018" s="129"/>
      <c r="E8018" s="129"/>
      <c r="F8018" s="129"/>
      <c r="G8018" s="129"/>
      <c r="H8018" s="129"/>
      <c r="I8018" s="131"/>
      <c r="J8018" s="132"/>
      <c r="K8018" s="130"/>
      <c r="L8018" s="133"/>
    </row>
    <row r="8019" spans="1:12" hidden="1" x14ac:dyDescent="0.25">
      <c r="A8019" s="130"/>
      <c r="B8019" s="130"/>
      <c r="C8019" s="132"/>
      <c r="D8019" s="129"/>
      <c r="E8019" s="129"/>
      <c r="F8019" s="129"/>
      <c r="G8019" s="129"/>
      <c r="H8019" s="129"/>
      <c r="I8019" s="131"/>
      <c r="J8019" s="132"/>
      <c r="K8019" s="130"/>
      <c r="L8019" s="133"/>
    </row>
    <row r="8020" spans="1:12" hidden="1" x14ac:dyDescent="0.25">
      <c r="A8020" s="130"/>
      <c r="B8020" s="130"/>
      <c r="C8020" s="132"/>
      <c r="D8020" s="129"/>
      <c r="E8020" s="129"/>
      <c r="F8020" s="129"/>
      <c r="G8020" s="129"/>
      <c r="H8020" s="129"/>
      <c r="I8020" s="131"/>
      <c r="J8020" s="132"/>
      <c r="K8020" s="130"/>
      <c r="L8020" s="133"/>
    </row>
    <row r="8021" spans="1:12" hidden="1" x14ac:dyDescent="0.25">
      <c r="A8021" s="130"/>
      <c r="B8021" s="130"/>
      <c r="C8021" s="132"/>
      <c r="D8021" s="129"/>
      <c r="E8021" s="129"/>
      <c r="F8021" s="129"/>
      <c r="G8021" s="129"/>
      <c r="H8021" s="129"/>
      <c r="I8021" s="131"/>
      <c r="J8021" s="132"/>
      <c r="K8021" s="130"/>
      <c r="L8021" s="133"/>
    </row>
    <row r="8022" spans="1:12" hidden="1" x14ac:dyDescent="0.25">
      <c r="A8022" s="130"/>
      <c r="B8022" s="130"/>
      <c r="C8022" s="132"/>
      <c r="D8022" s="129"/>
      <c r="E8022" s="129"/>
      <c r="F8022" s="129"/>
      <c r="G8022" s="129"/>
      <c r="H8022" s="129"/>
      <c r="I8022" s="131"/>
      <c r="J8022" s="132"/>
      <c r="K8022" s="130"/>
      <c r="L8022" s="133"/>
    </row>
    <row r="8023" spans="1:12" hidden="1" x14ac:dyDescent="0.25">
      <c r="A8023" s="130"/>
      <c r="B8023" s="130"/>
      <c r="C8023" s="132"/>
      <c r="D8023" s="129"/>
      <c r="E8023" s="129"/>
      <c r="F8023" s="129"/>
      <c r="G8023" s="129"/>
      <c r="H8023" s="129"/>
      <c r="I8023" s="131"/>
      <c r="J8023" s="132"/>
      <c r="K8023" s="130"/>
      <c r="L8023" s="133"/>
    </row>
    <row r="8024" spans="1:12" hidden="1" x14ac:dyDescent="0.25">
      <c r="A8024" s="130"/>
      <c r="B8024" s="130"/>
      <c r="C8024" s="132"/>
      <c r="D8024" s="129"/>
      <c r="E8024" s="129"/>
      <c r="F8024" s="129"/>
      <c r="G8024" s="129"/>
      <c r="H8024" s="129"/>
      <c r="I8024" s="131"/>
      <c r="J8024" s="132"/>
      <c r="K8024" s="130"/>
      <c r="L8024" s="133"/>
    </row>
    <row r="8025" spans="1:12" hidden="1" x14ac:dyDescent="0.25">
      <c r="A8025" s="130"/>
      <c r="B8025" s="130"/>
      <c r="C8025" s="132"/>
      <c r="D8025" s="129"/>
      <c r="E8025" s="129"/>
      <c r="F8025" s="129"/>
      <c r="G8025" s="129"/>
      <c r="H8025" s="129"/>
      <c r="I8025" s="131"/>
      <c r="J8025" s="132"/>
      <c r="K8025" s="130"/>
      <c r="L8025" s="133"/>
    </row>
    <row r="8026" spans="1:12" hidden="1" x14ac:dyDescent="0.25">
      <c r="A8026" s="130"/>
      <c r="B8026" s="130"/>
      <c r="C8026" s="132"/>
      <c r="D8026" s="129"/>
      <c r="E8026" s="129"/>
      <c r="F8026" s="129"/>
      <c r="G8026" s="129"/>
      <c r="H8026" s="129"/>
      <c r="I8026" s="131"/>
      <c r="J8026" s="132"/>
      <c r="K8026" s="130"/>
      <c r="L8026" s="133"/>
    </row>
    <row r="8027" spans="1:12" hidden="1" x14ac:dyDescent="0.25">
      <c r="A8027" s="130"/>
      <c r="B8027" s="130"/>
      <c r="C8027" s="132"/>
      <c r="D8027" s="129"/>
      <c r="E8027" s="129"/>
      <c r="F8027" s="129"/>
      <c r="G8027" s="129"/>
      <c r="H8027" s="129"/>
      <c r="I8027" s="131"/>
      <c r="J8027" s="132"/>
      <c r="K8027" s="130"/>
      <c r="L8027" s="133"/>
    </row>
    <row r="8028" spans="1:12" hidden="1" x14ac:dyDescent="0.25">
      <c r="A8028" s="130"/>
      <c r="B8028" s="130"/>
      <c r="C8028" s="132"/>
      <c r="D8028" s="129"/>
      <c r="E8028" s="129"/>
      <c r="F8028" s="129"/>
      <c r="G8028" s="129"/>
      <c r="H8028" s="129"/>
      <c r="I8028" s="131"/>
      <c r="J8028" s="132"/>
      <c r="K8028" s="130"/>
      <c r="L8028" s="133"/>
    </row>
    <row r="8029" spans="1:12" hidden="1" x14ac:dyDescent="0.25">
      <c r="A8029" s="130"/>
      <c r="B8029" s="130"/>
      <c r="C8029" s="132"/>
      <c r="D8029" s="129"/>
      <c r="E8029" s="129"/>
      <c r="F8029" s="129"/>
      <c r="G8029" s="129"/>
      <c r="H8029" s="129"/>
      <c r="I8029" s="131"/>
      <c r="J8029" s="132"/>
      <c r="K8029" s="130"/>
      <c r="L8029" s="133"/>
    </row>
    <row r="8030" spans="1:12" hidden="1" x14ac:dyDescent="0.25">
      <c r="A8030" s="130"/>
      <c r="B8030" s="130"/>
      <c r="C8030" s="132"/>
      <c r="D8030" s="129"/>
      <c r="E8030" s="129"/>
      <c r="F8030" s="129"/>
      <c r="G8030" s="129"/>
      <c r="H8030" s="129"/>
      <c r="I8030" s="131"/>
      <c r="J8030" s="132"/>
      <c r="K8030" s="130"/>
      <c r="L8030" s="133"/>
    </row>
    <row r="8031" spans="1:12" hidden="1" x14ac:dyDescent="0.25">
      <c r="A8031" s="130"/>
      <c r="B8031" s="130"/>
      <c r="C8031" s="132"/>
      <c r="D8031" s="129"/>
      <c r="E8031" s="129"/>
      <c r="F8031" s="129"/>
      <c r="G8031" s="129"/>
      <c r="H8031" s="129"/>
      <c r="I8031" s="131"/>
      <c r="J8031" s="132"/>
      <c r="K8031" s="130"/>
      <c r="L8031" s="133"/>
    </row>
    <row r="8032" spans="1:12" hidden="1" x14ac:dyDescent="0.25">
      <c r="A8032" s="130"/>
      <c r="B8032" s="130"/>
      <c r="C8032" s="132"/>
      <c r="D8032" s="129"/>
      <c r="E8032" s="129"/>
      <c r="F8032" s="129"/>
      <c r="G8032" s="129"/>
      <c r="H8032" s="129"/>
      <c r="I8032" s="131"/>
      <c r="J8032" s="132"/>
      <c r="K8032" s="130"/>
      <c r="L8032" s="133"/>
    </row>
    <row r="8033" spans="1:12" hidden="1" x14ac:dyDescent="0.25">
      <c r="A8033" s="130"/>
      <c r="B8033" s="130"/>
      <c r="C8033" s="132"/>
      <c r="D8033" s="129"/>
      <c r="E8033" s="129"/>
      <c r="F8033" s="129"/>
      <c r="G8033" s="129"/>
      <c r="H8033" s="129"/>
      <c r="I8033" s="131"/>
      <c r="J8033" s="132"/>
      <c r="K8033" s="130"/>
      <c r="L8033" s="133"/>
    </row>
    <row r="8034" spans="1:12" hidden="1" x14ac:dyDescent="0.25">
      <c r="A8034" s="130"/>
      <c r="B8034" s="130"/>
      <c r="C8034" s="132"/>
      <c r="D8034" s="129"/>
      <c r="E8034" s="129"/>
      <c r="F8034" s="129"/>
      <c r="G8034" s="129"/>
      <c r="H8034" s="129"/>
      <c r="I8034" s="131"/>
      <c r="J8034" s="132"/>
      <c r="K8034" s="130"/>
      <c r="L8034" s="133"/>
    </row>
    <row r="8035" spans="1:12" hidden="1" x14ac:dyDescent="0.25">
      <c r="A8035" s="130"/>
      <c r="B8035" s="130"/>
      <c r="C8035" s="132"/>
      <c r="D8035" s="129"/>
      <c r="E8035" s="129"/>
      <c r="F8035" s="129"/>
      <c r="G8035" s="129"/>
      <c r="H8035" s="129"/>
      <c r="I8035" s="131"/>
      <c r="J8035" s="132"/>
      <c r="K8035" s="130"/>
      <c r="L8035" s="133"/>
    </row>
    <row r="8036" spans="1:12" hidden="1" x14ac:dyDescent="0.25">
      <c r="A8036" s="130"/>
      <c r="B8036" s="130"/>
      <c r="C8036" s="132"/>
      <c r="D8036" s="129"/>
      <c r="E8036" s="129"/>
      <c r="F8036" s="129"/>
      <c r="G8036" s="129"/>
      <c r="H8036" s="129"/>
      <c r="I8036" s="131"/>
      <c r="J8036" s="132"/>
      <c r="K8036" s="130"/>
      <c r="L8036" s="133"/>
    </row>
    <row r="8037" spans="1:12" hidden="1" x14ac:dyDescent="0.25">
      <c r="A8037" s="130"/>
      <c r="B8037" s="130"/>
      <c r="C8037" s="132"/>
      <c r="D8037" s="129"/>
      <c r="E8037" s="129"/>
      <c r="F8037" s="129"/>
      <c r="G8037" s="129"/>
      <c r="H8037" s="129"/>
      <c r="I8037" s="131"/>
      <c r="J8037" s="132"/>
      <c r="K8037" s="130"/>
      <c r="L8037" s="133"/>
    </row>
    <row r="8038" spans="1:12" hidden="1" x14ac:dyDescent="0.25">
      <c r="A8038" s="130"/>
      <c r="B8038" s="130"/>
      <c r="C8038" s="132"/>
      <c r="D8038" s="129"/>
      <c r="E8038" s="129"/>
      <c r="F8038" s="129"/>
      <c r="G8038" s="129"/>
      <c r="H8038" s="129"/>
      <c r="I8038" s="131"/>
      <c r="J8038" s="132"/>
      <c r="K8038" s="130"/>
      <c r="L8038" s="133"/>
    </row>
    <row r="8039" spans="1:12" hidden="1" x14ac:dyDescent="0.25">
      <c r="A8039" s="130"/>
      <c r="B8039" s="130"/>
      <c r="C8039" s="132"/>
      <c r="D8039" s="129"/>
      <c r="E8039" s="129"/>
      <c r="F8039" s="129"/>
      <c r="G8039" s="129"/>
      <c r="H8039" s="129"/>
      <c r="I8039" s="131"/>
      <c r="J8039" s="132"/>
      <c r="K8039" s="130"/>
      <c r="L8039" s="133"/>
    </row>
    <row r="8040" spans="1:12" hidden="1" x14ac:dyDescent="0.25">
      <c r="A8040" s="130"/>
      <c r="B8040" s="130"/>
      <c r="C8040" s="132"/>
      <c r="D8040" s="129"/>
      <c r="E8040" s="129"/>
      <c r="F8040" s="129"/>
      <c r="G8040" s="129"/>
      <c r="H8040" s="129"/>
      <c r="I8040" s="131"/>
      <c r="J8040" s="132"/>
      <c r="K8040" s="130"/>
      <c r="L8040" s="133"/>
    </row>
    <row r="8041" spans="1:12" hidden="1" x14ac:dyDescent="0.25">
      <c r="A8041" s="130"/>
      <c r="B8041" s="130"/>
      <c r="C8041" s="132"/>
      <c r="D8041" s="129"/>
      <c r="E8041" s="129"/>
      <c r="F8041" s="129"/>
      <c r="G8041" s="129"/>
      <c r="H8041" s="129"/>
      <c r="I8041" s="131"/>
      <c r="J8041" s="132"/>
      <c r="K8041" s="130"/>
      <c r="L8041" s="133"/>
    </row>
    <row r="8042" spans="1:12" hidden="1" x14ac:dyDescent="0.25">
      <c r="A8042" s="130"/>
      <c r="B8042" s="130"/>
      <c r="C8042" s="132"/>
      <c r="D8042" s="129"/>
      <c r="E8042" s="129"/>
      <c r="F8042" s="129"/>
      <c r="G8042" s="129"/>
      <c r="H8042" s="129"/>
      <c r="I8042" s="131"/>
      <c r="J8042" s="132"/>
      <c r="K8042" s="130"/>
      <c r="L8042" s="133"/>
    </row>
    <row r="8043" spans="1:12" hidden="1" x14ac:dyDescent="0.25">
      <c r="A8043" s="130"/>
      <c r="B8043" s="130"/>
      <c r="C8043" s="132"/>
      <c r="D8043" s="129"/>
      <c r="E8043" s="129"/>
      <c r="F8043" s="129"/>
      <c r="G8043" s="129"/>
      <c r="H8043" s="129"/>
      <c r="I8043" s="131"/>
      <c r="J8043" s="132"/>
      <c r="K8043" s="130"/>
      <c r="L8043" s="133"/>
    </row>
    <row r="8044" spans="1:12" hidden="1" x14ac:dyDescent="0.25">
      <c r="A8044" s="130"/>
      <c r="B8044" s="130"/>
      <c r="C8044" s="132"/>
      <c r="D8044" s="129"/>
      <c r="E8044" s="129"/>
      <c r="F8044" s="129"/>
      <c r="G8044" s="129"/>
      <c r="H8044" s="129"/>
      <c r="I8044" s="131"/>
      <c r="J8044" s="132"/>
      <c r="K8044" s="130"/>
      <c r="L8044" s="133"/>
    </row>
    <row r="8045" spans="1:12" hidden="1" x14ac:dyDescent="0.25">
      <c r="A8045" s="130"/>
      <c r="B8045" s="130"/>
      <c r="C8045" s="132"/>
      <c r="D8045" s="129"/>
      <c r="E8045" s="129"/>
      <c r="F8045" s="129"/>
      <c r="G8045" s="129"/>
      <c r="H8045" s="129"/>
      <c r="I8045" s="131"/>
      <c r="J8045" s="132"/>
      <c r="K8045" s="130"/>
      <c r="L8045" s="133"/>
    </row>
    <row r="8046" spans="1:12" hidden="1" x14ac:dyDescent="0.25">
      <c r="A8046" s="130"/>
      <c r="B8046" s="130"/>
      <c r="C8046" s="132"/>
      <c r="D8046" s="129"/>
      <c r="E8046" s="129"/>
      <c r="F8046" s="129"/>
      <c r="G8046" s="129"/>
      <c r="H8046" s="129"/>
      <c r="I8046" s="131"/>
      <c r="J8046" s="132"/>
      <c r="K8046" s="130"/>
      <c r="L8046" s="133"/>
    </row>
    <row r="8047" spans="1:12" hidden="1" x14ac:dyDescent="0.25">
      <c r="A8047" s="130"/>
      <c r="B8047" s="130"/>
      <c r="C8047" s="132"/>
      <c r="D8047" s="129"/>
      <c r="E8047" s="129"/>
      <c r="F8047" s="129"/>
      <c r="G8047" s="129"/>
      <c r="H8047" s="129"/>
      <c r="I8047" s="131"/>
      <c r="J8047" s="132"/>
      <c r="K8047" s="130"/>
      <c r="L8047" s="133"/>
    </row>
    <row r="8048" spans="1:12" hidden="1" x14ac:dyDescent="0.25">
      <c r="A8048" s="130"/>
      <c r="B8048" s="130"/>
      <c r="C8048" s="132"/>
      <c r="D8048" s="129"/>
      <c r="E8048" s="129"/>
      <c r="F8048" s="129"/>
      <c r="G8048" s="129"/>
      <c r="H8048" s="129"/>
      <c r="I8048" s="131"/>
      <c r="J8048" s="132"/>
      <c r="K8048" s="130"/>
      <c r="L8048" s="133"/>
    </row>
    <row r="8049" spans="1:12" hidden="1" x14ac:dyDescent="0.25">
      <c r="A8049" s="130"/>
      <c r="B8049" s="130"/>
      <c r="C8049" s="132"/>
      <c r="D8049" s="129"/>
      <c r="E8049" s="129"/>
      <c r="F8049" s="129"/>
      <c r="G8049" s="129"/>
      <c r="H8049" s="129"/>
      <c r="I8049" s="131"/>
      <c r="J8049" s="132"/>
      <c r="K8049" s="130"/>
      <c r="L8049" s="133"/>
    </row>
    <row r="8050" spans="1:12" hidden="1" x14ac:dyDescent="0.25">
      <c r="A8050" s="130"/>
      <c r="B8050" s="130"/>
      <c r="C8050" s="132"/>
      <c r="D8050" s="129"/>
      <c r="E8050" s="129"/>
      <c r="F8050" s="129"/>
      <c r="G8050" s="129"/>
      <c r="H8050" s="129"/>
      <c r="I8050" s="131"/>
      <c r="J8050" s="132"/>
      <c r="K8050" s="130"/>
      <c r="L8050" s="133"/>
    </row>
    <row r="8051" spans="1:12" hidden="1" x14ac:dyDescent="0.25">
      <c r="A8051" s="130"/>
      <c r="B8051" s="130"/>
      <c r="C8051" s="132"/>
      <c r="D8051" s="129"/>
      <c r="E8051" s="129"/>
      <c r="F8051" s="129"/>
      <c r="G8051" s="129"/>
      <c r="H8051" s="129"/>
      <c r="I8051" s="131"/>
      <c r="J8051" s="132"/>
      <c r="K8051" s="130"/>
      <c r="L8051" s="133"/>
    </row>
    <row r="8052" spans="1:12" hidden="1" x14ac:dyDescent="0.25">
      <c r="A8052" s="130"/>
      <c r="B8052" s="130"/>
      <c r="C8052" s="132"/>
      <c r="D8052" s="129"/>
      <c r="E8052" s="129"/>
      <c r="F8052" s="129"/>
      <c r="G8052" s="129"/>
      <c r="H8052" s="129"/>
      <c r="I8052" s="131"/>
      <c r="J8052" s="132"/>
      <c r="K8052" s="130"/>
      <c r="L8052" s="133"/>
    </row>
    <row r="8053" spans="1:12" hidden="1" x14ac:dyDescent="0.25">
      <c r="A8053" s="130"/>
      <c r="B8053" s="130"/>
      <c r="C8053" s="132"/>
      <c r="D8053" s="129"/>
      <c r="E8053" s="129"/>
      <c r="F8053" s="129"/>
      <c r="G8053" s="129"/>
      <c r="H8053" s="129"/>
      <c r="I8053" s="131"/>
      <c r="J8053" s="132"/>
      <c r="K8053" s="130"/>
      <c r="L8053" s="133"/>
    </row>
    <row r="8054" spans="1:12" hidden="1" x14ac:dyDescent="0.25">
      <c r="A8054" s="130"/>
      <c r="B8054" s="130"/>
      <c r="C8054" s="132"/>
      <c r="D8054" s="129"/>
      <c r="E8054" s="129"/>
      <c r="F8054" s="129"/>
      <c r="G8054" s="129"/>
      <c r="H8054" s="129"/>
      <c r="I8054" s="131"/>
      <c r="J8054" s="132"/>
      <c r="K8054" s="130"/>
      <c r="L8054" s="133"/>
    </row>
    <row r="8055" spans="1:12" hidden="1" x14ac:dyDescent="0.25">
      <c r="A8055" s="130"/>
      <c r="B8055" s="130"/>
      <c r="C8055" s="132"/>
      <c r="D8055" s="129"/>
      <c r="E8055" s="129"/>
      <c r="F8055" s="129"/>
      <c r="G8055" s="129"/>
      <c r="H8055" s="129"/>
      <c r="I8055" s="131"/>
      <c r="J8055" s="132"/>
      <c r="K8055" s="130"/>
      <c r="L8055" s="133"/>
    </row>
    <row r="8056" spans="1:12" hidden="1" x14ac:dyDescent="0.25">
      <c r="A8056" s="130"/>
      <c r="B8056" s="130"/>
      <c r="C8056" s="132"/>
      <c r="D8056" s="129"/>
      <c r="E8056" s="129"/>
      <c r="F8056" s="129"/>
      <c r="G8056" s="129"/>
      <c r="H8056" s="129"/>
      <c r="I8056" s="131"/>
      <c r="J8056" s="132"/>
      <c r="K8056" s="130"/>
      <c r="L8056" s="133"/>
    </row>
    <row r="8057" spans="1:12" hidden="1" x14ac:dyDescent="0.25">
      <c r="A8057" s="130"/>
      <c r="B8057" s="130"/>
      <c r="C8057" s="132"/>
      <c r="D8057" s="129"/>
      <c r="E8057" s="129"/>
      <c r="F8057" s="129"/>
      <c r="G8057" s="129"/>
      <c r="H8057" s="129"/>
      <c r="I8057" s="131"/>
      <c r="J8057" s="132"/>
      <c r="K8057" s="130"/>
      <c r="L8057" s="133"/>
    </row>
    <row r="8058" spans="1:12" hidden="1" x14ac:dyDescent="0.25">
      <c r="A8058" s="130"/>
      <c r="B8058" s="130"/>
      <c r="C8058" s="132"/>
      <c r="D8058" s="129"/>
      <c r="E8058" s="129"/>
      <c r="F8058" s="129"/>
      <c r="G8058" s="129"/>
      <c r="H8058" s="129"/>
      <c r="I8058" s="131"/>
      <c r="J8058" s="132"/>
      <c r="K8058" s="130"/>
      <c r="L8058" s="133"/>
    </row>
    <row r="8059" spans="1:12" hidden="1" x14ac:dyDescent="0.25">
      <c r="A8059" s="130"/>
      <c r="B8059" s="130"/>
      <c r="C8059" s="132"/>
      <c r="D8059" s="129"/>
      <c r="E8059" s="129"/>
      <c r="F8059" s="129"/>
      <c r="G8059" s="129"/>
      <c r="H8059" s="129"/>
      <c r="I8059" s="131"/>
      <c r="J8059" s="132"/>
      <c r="K8059" s="130"/>
      <c r="L8059" s="133"/>
    </row>
    <row r="8060" spans="1:12" hidden="1" x14ac:dyDescent="0.25">
      <c r="A8060" s="130"/>
      <c r="B8060" s="130"/>
      <c r="C8060" s="132"/>
      <c r="D8060" s="129"/>
      <c r="E8060" s="129"/>
      <c r="F8060" s="129"/>
      <c r="G8060" s="129"/>
      <c r="H8060" s="129"/>
      <c r="I8060" s="131"/>
      <c r="J8060" s="132"/>
      <c r="K8060" s="130"/>
      <c r="L8060" s="133"/>
    </row>
    <row r="8061" spans="1:12" hidden="1" x14ac:dyDescent="0.25">
      <c r="A8061" s="130"/>
      <c r="B8061" s="130"/>
      <c r="C8061" s="132"/>
      <c r="D8061" s="129"/>
      <c r="E8061" s="129"/>
      <c r="F8061" s="129"/>
      <c r="G8061" s="129"/>
      <c r="H8061" s="129"/>
      <c r="I8061" s="131"/>
      <c r="J8061" s="132"/>
      <c r="K8061" s="130"/>
      <c r="L8061" s="133"/>
    </row>
    <row r="8062" spans="1:12" hidden="1" x14ac:dyDescent="0.25">
      <c r="A8062" s="130"/>
      <c r="B8062" s="130"/>
      <c r="C8062" s="132"/>
      <c r="D8062" s="129"/>
      <c r="E8062" s="129"/>
      <c r="F8062" s="129"/>
      <c r="G8062" s="129"/>
      <c r="H8062" s="129"/>
      <c r="I8062" s="131"/>
      <c r="J8062" s="132"/>
      <c r="K8062" s="130"/>
      <c r="L8062" s="133"/>
    </row>
    <row r="8063" spans="1:12" hidden="1" x14ac:dyDescent="0.25">
      <c r="A8063" s="130"/>
      <c r="B8063" s="130"/>
      <c r="C8063" s="132"/>
      <c r="D8063" s="129"/>
      <c r="E8063" s="129"/>
      <c r="F8063" s="129"/>
      <c r="G8063" s="129"/>
      <c r="H8063" s="129"/>
      <c r="I8063" s="131"/>
      <c r="J8063" s="132"/>
      <c r="K8063" s="130"/>
      <c r="L8063" s="133"/>
    </row>
    <row r="8064" spans="1:12" hidden="1" x14ac:dyDescent="0.25">
      <c r="A8064" s="130"/>
      <c r="B8064" s="130"/>
      <c r="C8064" s="132"/>
      <c r="D8064" s="129"/>
      <c r="E8064" s="129"/>
      <c r="F8064" s="129"/>
      <c r="G8064" s="129"/>
      <c r="H8064" s="129"/>
      <c r="I8064" s="131"/>
      <c r="J8064" s="132"/>
      <c r="K8064" s="130"/>
      <c r="L8064" s="133"/>
    </row>
    <row r="8065" spans="1:12" hidden="1" x14ac:dyDescent="0.25">
      <c r="A8065" s="130"/>
      <c r="B8065" s="130"/>
      <c r="C8065" s="132"/>
      <c r="D8065" s="129"/>
      <c r="E8065" s="129"/>
      <c r="F8065" s="129"/>
      <c r="G8065" s="129"/>
      <c r="H8065" s="129"/>
      <c r="I8065" s="131"/>
      <c r="J8065" s="132"/>
      <c r="K8065" s="130"/>
      <c r="L8065" s="133"/>
    </row>
    <row r="8066" spans="1:12" hidden="1" x14ac:dyDescent="0.25">
      <c r="A8066" s="130"/>
      <c r="B8066" s="130"/>
      <c r="C8066" s="132"/>
      <c r="D8066" s="129"/>
      <c r="E8066" s="129"/>
      <c r="F8066" s="129"/>
      <c r="G8066" s="129"/>
      <c r="H8066" s="129"/>
      <c r="I8066" s="131"/>
      <c r="J8066" s="132"/>
      <c r="K8066" s="130"/>
      <c r="L8066" s="133"/>
    </row>
    <row r="8067" spans="1:12" hidden="1" x14ac:dyDescent="0.25">
      <c r="A8067" s="130"/>
      <c r="B8067" s="130"/>
      <c r="C8067" s="132"/>
      <c r="D8067" s="129"/>
      <c r="E8067" s="129"/>
      <c r="F8067" s="129"/>
      <c r="G8067" s="129"/>
      <c r="H8067" s="129"/>
      <c r="I8067" s="131"/>
      <c r="J8067" s="132"/>
      <c r="K8067" s="130"/>
      <c r="L8067" s="133"/>
    </row>
    <row r="8068" spans="1:12" hidden="1" x14ac:dyDescent="0.25">
      <c r="A8068" s="130"/>
      <c r="B8068" s="130"/>
      <c r="C8068" s="132"/>
      <c r="D8068" s="129"/>
      <c r="E8068" s="129"/>
      <c r="F8068" s="129"/>
      <c r="G8068" s="129"/>
      <c r="H8068" s="129"/>
      <c r="I8068" s="131"/>
      <c r="J8068" s="132"/>
      <c r="K8068" s="130"/>
      <c r="L8068" s="133"/>
    </row>
    <row r="8069" spans="1:12" hidden="1" x14ac:dyDescent="0.25">
      <c r="A8069" s="130"/>
      <c r="B8069" s="130"/>
      <c r="C8069" s="132"/>
      <c r="D8069" s="129"/>
      <c r="E8069" s="129"/>
      <c r="F8069" s="129"/>
      <c r="G8069" s="129"/>
      <c r="H8069" s="129"/>
      <c r="I8069" s="131"/>
      <c r="J8069" s="132"/>
      <c r="K8069" s="130"/>
      <c r="L8069" s="133"/>
    </row>
    <row r="8070" spans="1:12" hidden="1" x14ac:dyDescent="0.25">
      <c r="A8070" s="130"/>
      <c r="B8070" s="130"/>
      <c r="C8070" s="132"/>
      <c r="D8070" s="129"/>
      <c r="E8070" s="129"/>
      <c r="F8070" s="129"/>
      <c r="G8070" s="129"/>
      <c r="H8070" s="129"/>
      <c r="I8070" s="131"/>
      <c r="J8070" s="132"/>
      <c r="K8070" s="130"/>
      <c r="L8070" s="133"/>
    </row>
    <row r="8071" spans="1:12" hidden="1" x14ac:dyDescent="0.25">
      <c r="A8071" s="130"/>
      <c r="B8071" s="130"/>
      <c r="C8071" s="132"/>
      <c r="D8071" s="129"/>
      <c r="E8071" s="129"/>
      <c r="F8071" s="129"/>
      <c r="G8071" s="129"/>
      <c r="H8071" s="129"/>
      <c r="I8071" s="131"/>
      <c r="J8071" s="132"/>
      <c r="K8071" s="130"/>
      <c r="L8071" s="133"/>
    </row>
    <row r="8072" spans="1:12" hidden="1" x14ac:dyDescent="0.25">
      <c r="A8072" s="130"/>
      <c r="B8072" s="130"/>
      <c r="C8072" s="132"/>
      <c r="D8072" s="129"/>
      <c r="E8072" s="129"/>
      <c r="F8072" s="129"/>
      <c r="G8072" s="129"/>
      <c r="H8072" s="129"/>
      <c r="I8072" s="131"/>
      <c r="J8072" s="132"/>
      <c r="K8072" s="130"/>
      <c r="L8072" s="133"/>
    </row>
    <row r="8073" spans="1:12" hidden="1" x14ac:dyDescent="0.25">
      <c r="A8073" s="130"/>
      <c r="B8073" s="130"/>
      <c r="C8073" s="132"/>
      <c r="D8073" s="129"/>
      <c r="E8073" s="129"/>
      <c r="F8073" s="129"/>
      <c r="G8073" s="129"/>
      <c r="H8073" s="129"/>
      <c r="I8073" s="131"/>
      <c r="J8073" s="132"/>
      <c r="K8073" s="130"/>
      <c r="L8073" s="133"/>
    </row>
    <row r="8074" spans="1:12" hidden="1" x14ac:dyDescent="0.25">
      <c r="A8074" s="130"/>
      <c r="B8074" s="130"/>
      <c r="C8074" s="132"/>
      <c r="D8074" s="129"/>
      <c r="E8074" s="129"/>
      <c r="F8074" s="129"/>
      <c r="G8074" s="129"/>
      <c r="H8074" s="129"/>
      <c r="I8074" s="131"/>
      <c r="J8074" s="132"/>
      <c r="K8074" s="130"/>
      <c r="L8074" s="133"/>
    </row>
    <row r="8075" spans="1:12" hidden="1" x14ac:dyDescent="0.25">
      <c r="A8075" s="130"/>
      <c r="B8075" s="130"/>
      <c r="C8075" s="132"/>
      <c r="D8075" s="129"/>
      <c r="E8075" s="129"/>
      <c r="F8075" s="129"/>
      <c r="G8075" s="129"/>
      <c r="H8075" s="129"/>
      <c r="I8075" s="131"/>
      <c r="J8075" s="132"/>
      <c r="K8075" s="130"/>
      <c r="L8075" s="133"/>
    </row>
    <row r="8076" spans="1:12" hidden="1" x14ac:dyDescent="0.25">
      <c r="A8076" s="130"/>
      <c r="B8076" s="130"/>
      <c r="C8076" s="132"/>
      <c r="D8076" s="129"/>
      <c r="E8076" s="129"/>
      <c r="F8076" s="129"/>
      <c r="G8076" s="129"/>
      <c r="H8076" s="129"/>
      <c r="I8076" s="131"/>
      <c r="J8076" s="132"/>
      <c r="K8076" s="130"/>
      <c r="L8076" s="133"/>
    </row>
    <row r="8077" spans="1:12" hidden="1" x14ac:dyDescent="0.25">
      <c r="A8077" s="130"/>
      <c r="B8077" s="130"/>
      <c r="C8077" s="132"/>
      <c r="D8077" s="129"/>
      <c r="E8077" s="129"/>
      <c r="F8077" s="129"/>
      <c r="G8077" s="129"/>
      <c r="H8077" s="129"/>
      <c r="I8077" s="131"/>
      <c r="J8077" s="132"/>
      <c r="K8077" s="130"/>
      <c r="L8077" s="133"/>
    </row>
    <row r="8078" spans="1:12" hidden="1" x14ac:dyDescent="0.25">
      <c r="A8078" s="130"/>
      <c r="B8078" s="130"/>
      <c r="C8078" s="132"/>
      <c r="D8078" s="129"/>
      <c r="E8078" s="129"/>
      <c r="F8078" s="129"/>
      <c r="G8078" s="129"/>
      <c r="H8078" s="129"/>
      <c r="I8078" s="131"/>
      <c r="J8078" s="132"/>
      <c r="K8078" s="130"/>
      <c r="L8078" s="133"/>
    </row>
    <row r="8079" spans="1:12" hidden="1" x14ac:dyDescent="0.25">
      <c r="A8079" s="130"/>
      <c r="B8079" s="130"/>
      <c r="C8079" s="132"/>
      <c r="D8079" s="129"/>
      <c r="E8079" s="129"/>
      <c r="F8079" s="129"/>
      <c r="G8079" s="129"/>
      <c r="H8079" s="129"/>
      <c r="I8079" s="131"/>
      <c r="J8079" s="132"/>
      <c r="K8079" s="130"/>
      <c r="L8079" s="133"/>
    </row>
    <row r="8080" spans="1:12" hidden="1" x14ac:dyDescent="0.25">
      <c r="A8080" s="130"/>
      <c r="B8080" s="130"/>
      <c r="C8080" s="132"/>
      <c r="D8080" s="129"/>
      <c r="E8080" s="129"/>
      <c r="F8080" s="129"/>
      <c r="G8080" s="129"/>
      <c r="H8080" s="129"/>
      <c r="I8080" s="131"/>
      <c r="J8080" s="132"/>
      <c r="K8080" s="130"/>
      <c r="L8080" s="133"/>
    </row>
    <row r="8081" spans="1:12" hidden="1" x14ac:dyDescent="0.25">
      <c r="A8081" s="130"/>
      <c r="B8081" s="130"/>
      <c r="C8081" s="132"/>
      <c r="D8081" s="129"/>
      <c r="E8081" s="129"/>
      <c r="F8081" s="129"/>
      <c r="G8081" s="129"/>
      <c r="H8081" s="129"/>
      <c r="I8081" s="131"/>
      <c r="J8081" s="132"/>
      <c r="K8081" s="130"/>
      <c r="L8081" s="133"/>
    </row>
    <row r="8082" spans="1:12" hidden="1" x14ac:dyDescent="0.25">
      <c r="A8082" s="130"/>
      <c r="B8082" s="130"/>
      <c r="C8082" s="132"/>
      <c r="D8082" s="129"/>
      <c r="E8082" s="129"/>
      <c r="F8082" s="129"/>
      <c r="G8082" s="129"/>
      <c r="H8082" s="129"/>
      <c r="I8082" s="131"/>
      <c r="J8082" s="132"/>
      <c r="K8082" s="130"/>
      <c r="L8082" s="133"/>
    </row>
    <row r="8083" spans="1:12" hidden="1" x14ac:dyDescent="0.25">
      <c r="A8083" s="130"/>
      <c r="B8083" s="130"/>
      <c r="C8083" s="132"/>
      <c r="D8083" s="129"/>
      <c r="E8083" s="129"/>
      <c r="F8083" s="129"/>
      <c r="G8083" s="129"/>
      <c r="H8083" s="129"/>
      <c r="I8083" s="131"/>
      <c r="J8083" s="132"/>
      <c r="K8083" s="130"/>
      <c r="L8083" s="133"/>
    </row>
    <row r="8084" spans="1:12" hidden="1" x14ac:dyDescent="0.25">
      <c r="A8084" s="130"/>
      <c r="B8084" s="130"/>
      <c r="C8084" s="132"/>
      <c r="D8084" s="129"/>
      <c r="E8084" s="129"/>
      <c r="F8084" s="129"/>
      <c r="G8084" s="129"/>
      <c r="H8084" s="129"/>
      <c r="I8084" s="131"/>
      <c r="J8084" s="132"/>
      <c r="K8084" s="130"/>
      <c r="L8084" s="133"/>
    </row>
    <row r="8085" spans="1:12" hidden="1" x14ac:dyDescent="0.25">
      <c r="A8085" s="130"/>
      <c r="B8085" s="130"/>
      <c r="C8085" s="132"/>
      <c r="D8085" s="129"/>
      <c r="E8085" s="129"/>
      <c r="F8085" s="129"/>
      <c r="G8085" s="129"/>
      <c r="H8085" s="129"/>
      <c r="I8085" s="131"/>
      <c r="J8085" s="132"/>
      <c r="K8085" s="130"/>
      <c r="L8085" s="133"/>
    </row>
    <row r="8086" spans="1:12" hidden="1" x14ac:dyDescent="0.25">
      <c r="A8086" s="130"/>
      <c r="B8086" s="130"/>
      <c r="C8086" s="132"/>
      <c r="D8086" s="129"/>
      <c r="E8086" s="129"/>
      <c r="F8086" s="129"/>
      <c r="G8086" s="129"/>
      <c r="H8086" s="129"/>
      <c r="I8086" s="131"/>
      <c r="J8086" s="132"/>
      <c r="K8086" s="130"/>
      <c r="L8086" s="133"/>
    </row>
    <row r="8087" spans="1:12" hidden="1" x14ac:dyDescent="0.25">
      <c r="A8087" s="130"/>
      <c r="B8087" s="130"/>
      <c r="C8087" s="132"/>
      <c r="D8087" s="129"/>
      <c r="E8087" s="129"/>
      <c r="F8087" s="129"/>
      <c r="G8087" s="129"/>
      <c r="H8087" s="129"/>
      <c r="I8087" s="131"/>
      <c r="J8087" s="132"/>
      <c r="K8087" s="130"/>
      <c r="L8087" s="133"/>
    </row>
    <row r="8088" spans="1:12" hidden="1" x14ac:dyDescent="0.25">
      <c r="A8088" s="130"/>
      <c r="B8088" s="130"/>
      <c r="C8088" s="132"/>
      <c r="D8088" s="129"/>
      <c r="E8088" s="129"/>
      <c r="F8088" s="129"/>
      <c r="G8088" s="129"/>
      <c r="H8088" s="129"/>
      <c r="I8088" s="131"/>
      <c r="J8088" s="132"/>
      <c r="K8088" s="130"/>
      <c r="L8088" s="133"/>
    </row>
    <row r="8089" spans="1:12" hidden="1" x14ac:dyDescent="0.25">
      <c r="A8089" s="130"/>
      <c r="B8089" s="130"/>
      <c r="C8089" s="132"/>
      <c r="D8089" s="129"/>
      <c r="E8089" s="129"/>
      <c r="F8089" s="129"/>
      <c r="G8089" s="129"/>
      <c r="H8089" s="129"/>
      <c r="I8089" s="131"/>
      <c r="J8089" s="132"/>
      <c r="K8089" s="130"/>
      <c r="L8089" s="133"/>
    </row>
    <row r="8090" spans="1:12" hidden="1" x14ac:dyDescent="0.25">
      <c r="A8090" s="130"/>
      <c r="B8090" s="130"/>
      <c r="C8090" s="132"/>
      <c r="D8090" s="129"/>
      <c r="E8090" s="129"/>
      <c r="F8090" s="129"/>
      <c r="G8090" s="129"/>
      <c r="H8090" s="129"/>
      <c r="I8090" s="131"/>
      <c r="J8090" s="132"/>
      <c r="K8090" s="130"/>
      <c r="L8090" s="133"/>
    </row>
    <row r="8091" spans="1:12" hidden="1" x14ac:dyDescent="0.25">
      <c r="A8091" s="130"/>
      <c r="B8091" s="130"/>
      <c r="C8091" s="132"/>
      <c r="D8091" s="129"/>
      <c r="E8091" s="129"/>
      <c r="F8091" s="129"/>
      <c r="G8091" s="129"/>
      <c r="H8091" s="129"/>
      <c r="I8091" s="131"/>
      <c r="J8091" s="132"/>
      <c r="K8091" s="130"/>
      <c r="L8091" s="133"/>
    </row>
    <row r="8092" spans="1:12" hidden="1" x14ac:dyDescent="0.25">
      <c r="A8092" s="130"/>
      <c r="B8092" s="130"/>
      <c r="C8092" s="132"/>
      <c r="D8092" s="129"/>
      <c r="E8092" s="129"/>
      <c r="F8092" s="129"/>
      <c r="G8092" s="129"/>
      <c r="H8092" s="129"/>
      <c r="I8092" s="131"/>
      <c r="J8092" s="132"/>
      <c r="K8092" s="130"/>
      <c r="L8092" s="133"/>
    </row>
    <row r="8093" spans="1:12" hidden="1" x14ac:dyDescent="0.25">
      <c r="A8093" s="130"/>
      <c r="B8093" s="130"/>
      <c r="C8093" s="132"/>
      <c r="D8093" s="129"/>
      <c r="E8093" s="129"/>
      <c r="F8093" s="129"/>
      <c r="G8093" s="129"/>
      <c r="H8093" s="129"/>
      <c r="I8093" s="131"/>
      <c r="J8093" s="132"/>
      <c r="K8093" s="130"/>
      <c r="L8093" s="133"/>
    </row>
    <row r="8094" spans="1:12" hidden="1" x14ac:dyDescent="0.25">
      <c r="A8094" s="130"/>
      <c r="B8094" s="130"/>
      <c r="C8094" s="132"/>
      <c r="D8094" s="129"/>
      <c r="E8094" s="129"/>
      <c r="F8094" s="129"/>
      <c r="G8094" s="129"/>
      <c r="H8094" s="129"/>
      <c r="I8094" s="131"/>
      <c r="J8094" s="132"/>
      <c r="K8094" s="130"/>
      <c r="L8094" s="133"/>
    </row>
    <row r="8095" spans="1:12" hidden="1" x14ac:dyDescent="0.25">
      <c r="A8095" s="130"/>
      <c r="B8095" s="130"/>
      <c r="C8095" s="132"/>
      <c r="D8095" s="129"/>
      <c r="E8095" s="129"/>
      <c r="F8095" s="129"/>
      <c r="G8095" s="129"/>
      <c r="H8095" s="129"/>
      <c r="I8095" s="131"/>
      <c r="J8095" s="132"/>
      <c r="K8095" s="130"/>
      <c r="L8095" s="133"/>
    </row>
    <row r="8096" spans="1:12" hidden="1" x14ac:dyDescent="0.25">
      <c r="A8096" s="130"/>
      <c r="B8096" s="130"/>
      <c r="C8096" s="132"/>
      <c r="D8096" s="129"/>
      <c r="E8096" s="129"/>
      <c r="F8096" s="129"/>
      <c r="G8096" s="129"/>
      <c r="H8096" s="129"/>
      <c r="I8096" s="131"/>
      <c r="J8096" s="132"/>
      <c r="K8096" s="130"/>
      <c r="L8096" s="133"/>
    </row>
    <row r="8097" spans="1:12" hidden="1" x14ac:dyDescent="0.25">
      <c r="A8097" s="130"/>
      <c r="B8097" s="130"/>
      <c r="C8097" s="132"/>
      <c r="D8097" s="129"/>
      <c r="E8097" s="129"/>
      <c r="F8097" s="129"/>
      <c r="G8097" s="129"/>
      <c r="H8097" s="129"/>
      <c r="I8097" s="131"/>
      <c r="J8097" s="132"/>
      <c r="K8097" s="130"/>
      <c r="L8097" s="133"/>
    </row>
    <row r="8098" spans="1:12" hidden="1" x14ac:dyDescent="0.25">
      <c r="A8098" s="130"/>
      <c r="B8098" s="130"/>
      <c r="C8098" s="132"/>
      <c r="D8098" s="129"/>
      <c r="E8098" s="129"/>
      <c r="F8098" s="129"/>
      <c r="G8098" s="129"/>
      <c r="H8098" s="129"/>
      <c r="I8098" s="131"/>
      <c r="J8098" s="132"/>
      <c r="K8098" s="130"/>
      <c r="L8098" s="133"/>
    </row>
    <row r="8099" spans="1:12" hidden="1" x14ac:dyDescent="0.25">
      <c r="A8099" s="130"/>
      <c r="B8099" s="130"/>
      <c r="C8099" s="132"/>
      <c r="D8099" s="129"/>
      <c r="E8099" s="129"/>
      <c r="F8099" s="129"/>
      <c r="G8099" s="129"/>
      <c r="H8099" s="129"/>
      <c r="I8099" s="131"/>
      <c r="J8099" s="132"/>
      <c r="K8099" s="130"/>
      <c r="L8099" s="133"/>
    </row>
    <row r="8100" spans="1:12" hidden="1" x14ac:dyDescent="0.25">
      <c r="A8100" s="130"/>
      <c r="B8100" s="130"/>
      <c r="C8100" s="132"/>
      <c r="D8100" s="129"/>
      <c r="E8100" s="129"/>
      <c r="F8100" s="129"/>
      <c r="G8100" s="129"/>
      <c r="H8100" s="129"/>
      <c r="I8100" s="131"/>
      <c r="J8100" s="132"/>
      <c r="K8100" s="130"/>
      <c r="L8100" s="133"/>
    </row>
    <row r="8101" spans="1:12" hidden="1" x14ac:dyDescent="0.25">
      <c r="A8101" s="130"/>
      <c r="B8101" s="130"/>
      <c r="C8101" s="132"/>
      <c r="D8101" s="129"/>
      <c r="E8101" s="129"/>
      <c r="F8101" s="129"/>
      <c r="G8101" s="129"/>
      <c r="H8101" s="129"/>
      <c r="I8101" s="131"/>
      <c r="J8101" s="132"/>
      <c r="K8101" s="130"/>
      <c r="L8101" s="133"/>
    </row>
    <row r="8102" spans="1:12" hidden="1" x14ac:dyDescent="0.25">
      <c r="A8102" s="130"/>
      <c r="B8102" s="130"/>
      <c r="C8102" s="132"/>
      <c r="D8102" s="129"/>
      <c r="E8102" s="129"/>
      <c r="F8102" s="129"/>
      <c r="G8102" s="129"/>
      <c r="H8102" s="129"/>
      <c r="I8102" s="131"/>
      <c r="J8102" s="132"/>
      <c r="K8102" s="130"/>
      <c r="L8102" s="133"/>
    </row>
    <row r="8103" spans="1:12" hidden="1" x14ac:dyDescent="0.25">
      <c r="A8103" s="130"/>
      <c r="B8103" s="130"/>
      <c r="C8103" s="132"/>
      <c r="D8103" s="129"/>
      <c r="E8103" s="129"/>
      <c r="F8103" s="129"/>
      <c r="G8103" s="129"/>
      <c r="H8103" s="129"/>
      <c r="I8103" s="131"/>
      <c r="J8103" s="132"/>
      <c r="K8103" s="130"/>
      <c r="L8103" s="133"/>
    </row>
    <row r="8104" spans="1:12" hidden="1" x14ac:dyDescent="0.25">
      <c r="A8104" s="130"/>
      <c r="B8104" s="130"/>
      <c r="C8104" s="132"/>
      <c r="D8104" s="129"/>
      <c r="E8104" s="129"/>
      <c r="F8104" s="129"/>
      <c r="G8104" s="129"/>
      <c r="H8104" s="129"/>
      <c r="I8104" s="131"/>
      <c r="J8104" s="132"/>
      <c r="K8104" s="130"/>
      <c r="L8104" s="133"/>
    </row>
    <row r="8105" spans="1:12" hidden="1" x14ac:dyDescent="0.25">
      <c r="A8105" s="130"/>
      <c r="B8105" s="130"/>
      <c r="C8105" s="132"/>
      <c r="D8105" s="129"/>
      <c r="E8105" s="129"/>
      <c r="F8105" s="129"/>
      <c r="G8105" s="129"/>
      <c r="H8105" s="129"/>
      <c r="I8105" s="131"/>
      <c r="J8105" s="132"/>
      <c r="K8105" s="130"/>
      <c r="L8105" s="133"/>
    </row>
    <row r="8106" spans="1:12" hidden="1" x14ac:dyDescent="0.25">
      <c r="A8106" s="130"/>
      <c r="B8106" s="130"/>
      <c r="C8106" s="132"/>
      <c r="D8106" s="129"/>
      <c r="E8106" s="129"/>
      <c r="F8106" s="129"/>
      <c r="G8106" s="129"/>
      <c r="H8106" s="129"/>
      <c r="I8106" s="131"/>
      <c r="J8106" s="132"/>
      <c r="K8106" s="130"/>
      <c r="L8106" s="133"/>
    </row>
    <row r="8107" spans="1:12" hidden="1" x14ac:dyDescent="0.25">
      <c r="A8107" s="130"/>
      <c r="B8107" s="130"/>
      <c r="C8107" s="132"/>
      <c r="D8107" s="129"/>
      <c r="E8107" s="129"/>
      <c r="F8107" s="129"/>
      <c r="G8107" s="129"/>
      <c r="H8107" s="129"/>
      <c r="I8107" s="131"/>
      <c r="J8107" s="132"/>
      <c r="K8107" s="130"/>
      <c r="L8107" s="133"/>
    </row>
    <row r="8108" spans="1:12" hidden="1" x14ac:dyDescent="0.25">
      <c r="A8108" s="130"/>
      <c r="B8108" s="130"/>
      <c r="C8108" s="132"/>
      <c r="D8108" s="129"/>
      <c r="E8108" s="129"/>
      <c r="F8108" s="129"/>
      <c r="G8108" s="129"/>
      <c r="H8108" s="129"/>
      <c r="I8108" s="131"/>
      <c r="J8108" s="132"/>
      <c r="K8108" s="130"/>
      <c r="L8108" s="133"/>
    </row>
    <row r="8109" spans="1:12" hidden="1" x14ac:dyDescent="0.25">
      <c r="A8109" s="130"/>
      <c r="B8109" s="130"/>
      <c r="C8109" s="132"/>
      <c r="D8109" s="129"/>
      <c r="E8109" s="129"/>
      <c r="F8109" s="129"/>
      <c r="G8109" s="129"/>
      <c r="H8109" s="129"/>
      <c r="I8109" s="131"/>
      <c r="J8109" s="132"/>
      <c r="K8109" s="130"/>
      <c r="L8109" s="133"/>
    </row>
    <row r="8110" spans="1:12" hidden="1" x14ac:dyDescent="0.25">
      <c r="A8110" s="130"/>
      <c r="B8110" s="130"/>
      <c r="C8110" s="132"/>
      <c r="D8110" s="129"/>
      <c r="E8110" s="129"/>
      <c r="F8110" s="129"/>
      <c r="G8110" s="129"/>
      <c r="H8110" s="129"/>
      <c r="I8110" s="131"/>
      <c r="J8110" s="132"/>
      <c r="K8110" s="130"/>
      <c r="L8110" s="133"/>
    </row>
    <row r="8111" spans="1:12" hidden="1" x14ac:dyDescent="0.25">
      <c r="A8111" s="130"/>
      <c r="B8111" s="130"/>
      <c r="C8111" s="132"/>
      <c r="D8111" s="129"/>
      <c r="E8111" s="129"/>
      <c r="F8111" s="129"/>
      <c r="G8111" s="129"/>
      <c r="H8111" s="129"/>
      <c r="I8111" s="131"/>
      <c r="J8111" s="132"/>
      <c r="K8111" s="130"/>
      <c r="L8111" s="133"/>
    </row>
    <row r="8112" spans="1:12" hidden="1" x14ac:dyDescent="0.25">
      <c r="A8112" s="130"/>
      <c r="B8112" s="130"/>
      <c r="C8112" s="132"/>
      <c r="D8112" s="129"/>
      <c r="E8112" s="129"/>
      <c r="F8112" s="129"/>
      <c r="G8112" s="129"/>
      <c r="H8112" s="129"/>
      <c r="I8112" s="131"/>
      <c r="J8112" s="132"/>
      <c r="K8112" s="130"/>
      <c r="L8112" s="133"/>
    </row>
    <row r="8113" spans="1:12" hidden="1" x14ac:dyDescent="0.25">
      <c r="A8113" s="130"/>
      <c r="B8113" s="130"/>
      <c r="C8113" s="132"/>
      <c r="D8113" s="129"/>
      <c r="E8113" s="129"/>
      <c r="F8113" s="129"/>
      <c r="G8113" s="129"/>
      <c r="H8113" s="129"/>
      <c r="I8113" s="131"/>
      <c r="J8113" s="132"/>
      <c r="K8113" s="130"/>
      <c r="L8113" s="133"/>
    </row>
    <row r="8114" spans="1:12" hidden="1" x14ac:dyDescent="0.25">
      <c r="A8114" s="130"/>
      <c r="B8114" s="130"/>
      <c r="C8114" s="132"/>
      <c r="D8114" s="129"/>
      <c r="E8114" s="129"/>
      <c r="F8114" s="129"/>
      <c r="G8114" s="129"/>
      <c r="H8114" s="129"/>
      <c r="I8114" s="131"/>
      <c r="J8114" s="132"/>
      <c r="K8114" s="130"/>
      <c r="L8114" s="133"/>
    </row>
    <row r="8115" spans="1:12" hidden="1" x14ac:dyDescent="0.25">
      <c r="A8115" s="130"/>
      <c r="B8115" s="130"/>
      <c r="C8115" s="132"/>
      <c r="D8115" s="129"/>
      <c r="E8115" s="129"/>
      <c r="F8115" s="129"/>
      <c r="G8115" s="129"/>
      <c r="H8115" s="129"/>
      <c r="I8115" s="131"/>
      <c r="J8115" s="132"/>
      <c r="K8115" s="130"/>
      <c r="L8115" s="133"/>
    </row>
    <row r="8116" spans="1:12" hidden="1" x14ac:dyDescent="0.25">
      <c r="A8116" s="130"/>
      <c r="B8116" s="130"/>
      <c r="C8116" s="132"/>
      <c r="D8116" s="129"/>
      <c r="E8116" s="129"/>
      <c r="F8116" s="129"/>
      <c r="G8116" s="129"/>
      <c r="H8116" s="129"/>
      <c r="I8116" s="131"/>
      <c r="J8116" s="132"/>
      <c r="K8116" s="130"/>
      <c r="L8116" s="133"/>
    </row>
    <row r="8117" spans="1:12" hidden="1" x14ac:dyDescent="0.25">
      <c r="A8117" s="130"/>
      <c r="B8117" s="130"/>
      <c r="C8117" s="132"/>
      <c r="D8117" s="129"/>
      <c r="E8117" s="129"/>
      <c r="F8117" s="129"/>
      <c r="G8117" s="129"/>
      <c r="H8117" s="129"/>
      <c r="I8117" s="131"/>
      <c r="J8117" s="132"/>
      <c r="K8117" s="130"/>
      <c r="L8117" s="133"/>
    </row>
    <row r="8118" spans="1:12" hidden="1" x14ac:dyDescent="0.25">
      <c r="A8118" s="130"/>
      <c r="B8118" s="130"/>
      <c r="C8118" s="132"/>
      <c r="D8118" s="129"/>
      <c r="E8118" s="129"/>
      <c r="F8118" s="129"/>
      <c r="G8118" s="129"/>
      <c r="H8118" s="129"/>
      <c r="I8118" s="131"/>
      <c r="J8118" s="132"/>
      <c r="K8118" s="130"/>
      <c r="L8118" s="133"/>
    </row>
    <row r="8119" spans="1:12" hidden="1" x14ac:dyDescent="0.25">
      <c r="A8119" s="130"/>
      <c r="B8119" s="130"/>
      <c r="C8119" s="132"/>
      <c r="D8119" s="129"/>
      <c r="E8119" s="129"/>
      <c r="F8119" s="129"/>
      <c r="G8119" s="129"/>
      <c r="H8119" s="129"/>
      <c r="I8119" s="131"/>
      <c r="J8119" s="132"/>
      <c r="K8119" s="130"/>
      <c r="L8119" s="133"/>
    </row>
    <row r="8120" spans="1:12" hidden="1" x14ac:dyDescent="0.25">
      <c r="A8120" s="130"/>
      <c r="B8120" s="130"/>
      <c r="C8120" s="132"/>
      <c r="D8120" s="129"/>
      <c r="E8120" s="129"/>
      <c r="F8120" s="129"/>
      <c r="G8120" s="129"/>
      <c r="H8120" s="129"/>
      <c r="I8120" s="131"/>
      <c r="J8120" s="132"/>
      <c r="K8120" s="130"/>
      <c r="L8120" s="133"/>
    </row>
    <row r="8121" spans="1:12" hidden="1" x14ac:dyDescent="0.25">
      <c r="A8121" s="130"/>
      <c r="B8121" s="130"/>
      <c r="C8121" s="132"/>
      <c r="D8121" s="129"/>
      <c r="E8121" s="129"/>
      <c r="F8121" s="129"/>
      <c r="G8121" s="129"/>
      <c r="H8121" s="129"/>
      <c r="I8121" s="131"/>
      <c r="J8121" s="132"/>
      <c r="K8121" s="130"/>
      <c r="L8121" s="133"/>
    </row>
    <row r="8122" spans="1:12" hidden="1" x14ac:dyDescent="0.25">
      <c r="A8122" s="130"/>
      <c r="B8122" s="130"/>
      <c r="C8122" s="132"/>
      <c r="D8122" s="129"/>
      <c r="E8122" s="129"/>
      <c r="F8122" s="129"/>
      <c r="G8122" s="129"/>
      <c r="H8122" s="129"/>
      <c r="I8122" s="131"/>
      <c r="J8122" s="132"/>
      <c r="K8122" s="130"/>
      <c r="L8122" s="133"/>
    </row>
    <row r="8123" spans="1:12" hidden="1" x14ac:dyDescent="0.25">
      <c r="A8123" s="130"/>
      <c r="B8123" s="130"/>
      <c r="C8123" s="132"/>
      <c r="D8123" s="129"/>
      <c r="E8123" s="129"/>
      <c r="F8123" s="129"/>
      <c r="G8123" s="129"/>
      <c r="H8123" s="129"/>
      <c r="I8123" s="131"/>
      <c r="J8123" s="132"/>
      <c r="K8123" s="130"/>
      <c r="L8123" s="133"/>
    </row>
    <row r="8124" spans="1:12" hidden="1" x14ac:dyDescent="0.25">
      <c r="A8124" s="130"/>
      <c r="B8124" s="130"/>
      <c r="C8124" s="132"/>
      <c r="D8124" s="129"/>
      <c r="E8124" s="129"/>
      <c r="F8124" s="129"/>
      <c r="G8124" s="129"/>
      <c r="H8124" s="129"/>
      <c r="I8124" s="131"/>
      <c r="J8124" s="132"/>
      <c r="K8124" s="130"/>
      <c r="L8124" s="133"/>
    </row>
    <row r="8125" spans="1:12" hidden="1" x14ac:dyDescent="0.25">
      <c r="A8125" s="130"/>
      <c r="B8125" s="130"/>
      <c r="C8125" s="132"/>
      <c r="D8125" s="129"/>
      <c r="E8125" s="129"/>
      <c r="F8125" s="129"/>
      <c r="G8125" s="129"/>
      <c r="H8125" s="129"/>
      <c r="I8125" s="131"/>
      <c r="J8125" s="132"/>
      <c r="K8125" s="130"/>
      <c r="L8125" s="133"/>
    </row>
    <row r="8126" spans="1:12" hidden="1" x14ac:dyDescent="0.25">
      <c r="A8126" s="130"/>
      <c r="B8126" s="130"/>
      <c r="C8126" s="132"/>
      <c r="D8126" s="129"/>
      <c r="E8126" s="129"/>
      <c r="F8126" s="129"/>
      <c r="G8126" s="129"/>
      <c r="H8126" s="129"/>
      <c r="I8126" s="131"/>
      <c r="J8126" s="132"/>
      <c r="K8126" s="130"/>
      <c r="L8126" s="133"/>
    </row>
    <row r="8127" spans="1:12" hidden="1" x14ac:dyDescent="0.25">
      <c r="A8127" s="130"/>
      <c r="B8127" s="130"/>
      <c r="C8127" s="132"/>
      <c r="D8127" s="129"/>
      <c r="E8127" s="129"/>
      <c r="F8127" s="129"/>
      <c r="G8127" s="129"/>
      <c r="H8127" s="129"/>
      <c r="I8127" s="131"/>
      <c r="J8127" s="132"/>
      <c r="K8127" s="130"/>
      <c r="L8127" s="133"/>
    </row>
    <row r="8128" spans="1:12" hidden="1" x14ac:dyDescent="0.25">
      <c r="A8128" s="130"/>
      <c r="B8128" s="130"/>
      <c r="C8128" s="132"/>
      <c r="D8128" s="129"/>
      <c r="E8128" s="129"/>
      <c r="F8128" s="129"/>
      <c r="G8128" s="129"/>
      <c r="H8128" s="129"/>
      <c r="I8128" s="131"/>
      <c r="J8128" s="132"/>
      <c r="K8128" s="130"/>
      <c r="L8128" s="133"/>
    </row>
    <row r="8129" spans="1:12" hidden="1" x14ac:dyDescent="0.25">
      <c r="A8129" s="130"/>
      <c r="B8129" s="130"/>
      <c r="C8129" s="132"/>
      <c r="D8129" s="129"/>
      <c r="E8129" s="129"/>
      <c r="F8129" s="129"/>
      <c r="G8129" s="129"/>
      <c r="H8129" s="129"/>
      <c r="I8129" s="131"/>
      <c r="J8129" s="132"/>
      <c r="K8129" s="99"/>
      <c r="L8129" s="133"/>
    </row>
    <row r="8130" spans="1:12" hidden="1" x14ac:dyDescent="0.25">
      <c r="A8130" s="130"/>
      <c r="B8130" s="130"/>
      <c r="C8130" s="132"/>
      <c r="D8130" s="129"/>
      <c r="E8130" s="129"/>
      <c r="F8130" s="129"/>
      <c r="G8130" s="129"/>
      <c r="H8130" s="129"/>
      <c r="I8130" s="131"/>
      <c r="J8130" s="132"/>
      <c r="K8130" s="130"/>
      <c r="L8130" s="133"/>
    </row>
    <row r="8131" spans="1:12" hidden="1" x14ac:dyDescent="0.25">
      <c r="A8131" s="130"/>
      <c r="B8131" s="130"/>
      <c r="C8131" s="132"/>
      <c r="D8131" s="129"/>
      <c r="E8131" s="129"/>
      <c r="F8131" s="129"/>
      <c r="G8131" s="129"/>
      <c r="H8131" s="129"/>
      <c r="I8131" s="131"/>
      <c r="J8131" s="132"/>
      <c r="K8131" s="130"/>
      <c r="L8131" s="133"/>
    </row>
    <row r="8132" spans="1:12" hidden="1" x14ac:dyDescent="0.25">
      <c r="A8132" s="130"/>
      <c r="B8132" s="130"/>
      <c r="C8132" s="132"/>
      <c r="D8132" s="129"/>
      <c r="E8132" s="129"/>
      <c r="F8132" s="129"/>
      <c r="G8132" s="129"/>
      <c r="H8132" s="129"/>
      <c r="I8132" s="131"/>
      <c r="J8132" s="132"/>
      <c r="K8132" s="130"/>
      <c r="L8132" s="133"/>
    </row>
    <row r="8133" spans="1:12" hidden="1" x14ac:dyDescent="0.25">
      <c r="A8133" s="130"/>
      <c r="B8133" s="130"/>
      <c r="C8133" s="132"/>
      <c r="D8133" s="129"/>
      <c r="E8133" s="129"/>
      <c r="F8133" s="129"/>
      <c r="G8133" s="129"/>
      <c r="H8133" s="129"/>
      <c r="I8133" s="131"/>
      <c r="J8133" s="132"/>
      <c r="K8133" s="130"/>
      <c r="L8133" s="133"/>
    </row>
    <row r="8134" spans="1:12" hidden="1" x14ac:dyDescent="0.25">
      <c r="A8134" s="130"/>
      <c r="B8134" s="130"/>
      <c r="C8134" s="132"/>
      <c r="D8134" s="129"/>
      <c r="E8134" s="129"/>
      <c r="F8134" s="129"/>
      <c r="G8134" s="129"/>
      <c r="H8134" s="129"/>
      <c r="I8134" s="131"/>
      <c r="J8134" s="132"/>
      <c r="K8134" s="130"/>
      <c r="L8134" s="133"/>
    </row>
    <row r="8135" spans="1:12" hidden="1" x14ac:dyDescent="0.25">
      <c r="A8135" s="130"/>
      <c r="B8135" s="130"/>
      <c r="C8135" s="132"/>
      <c r="D8135" s="129"/>
      <c r="E8135" s="129"/>
      <c r="F8135" s="129"/>
      <c r="G8135" s="129"/>
      <c r="H8135" s="129"/>
      <c r="I8135" s="131"/>
      <c r="J8135" s="132"/>
      <c r="K8135" s="130"/>
      <c r="L8135" s="133"/>
    </row>
    <row r="8136" spans="1:12" hidden="1" x14ac:dyDescent="0.25">
      <c r="A8136" s="130"/>
      <c r="B8136" s="130"/>
      <c r="C8136" s="132"/>
      <c r="D8136" s="129"/>
      <c r="E8136" s="129"/>
      <c r="F8136" s="129"/>
      <c r="G8136" s="129"/>
      <c r="H8136" s="129"/>
      <c r="I8136" s="131"/>
      <c r="J8136" s="132"/>
      <c r="K8136" s="130"/>
      <c r="L8136" s="133"/>
    </row>
    <row r="8137" spans="1:12" hidden="1" x14ac:dyDescent="0.25">
      <c r="A8137" s="130"/>
      <c r="B8137" s="130"/>
      <c r="C8137" s="132"/>
      <c r="D8137" s="129"/>
      <c r="E8137" s="129"/>
      <c r="F8137" s="129"/>
      <c r="G8137" s="129"/>
      <c r="H8137" s="129"/>
      <c r="I8137" s="131"/>
      <c r="J8137" s="132"/>
      <c r="K8137" s="130"/>
      <c r="L8137" s="133"/>
    </row>
    <row r="8138" spans="1:12" hidden="1" x14ac:dyDescent="0.25">
      <c r="A8138" s="130"/>
      <c r="B8138" s="130"/>
      <c r="C8138" s="132"/>
      <c r="D8138" s="129"/>
      <c r="E8138" s="129"/>
      <c r="F8138" s="129"/>
      <c r="G8138" s="129"/>
      <c r="H8138" s="129"/>
      <c r="I8138" s="131"/>
      <c r="J8138" s="132"/>
      <c r="K8138" s="130"/>
      <c r="L8138" s="133"/>
    </row>
    <row r="8139" spans="1:12" hidden="1" x14ac:dyDescent="0.25">
      <c r="A8139" s="130"/>
      <c r="B8139" s="130"/>
      <c r="C8139" s="132"/>
      <c r="D8139" s="129"/>
      <c r="E8139" s="129"/>
      <c r="F8139" s="129"/>
      <c r="G8139" s="129"/>
      <c r="H8139" s="129"/>
      <c r="I8139" s="131"/>
      <c r="J8139" s="132"/>
      <c r="K8139" s="130"/>
      <c r="L8139" s="133"/>
    </row>
    <row r="8140" spans="1:12" hidden="1" x14ac:dyDescent="0.25">
      <c r="A8140" s="130"/>
      <c r="B8140" s="130"/>
      <c r="C8140" s="132"/>
      <c r="D8140" s="129"/>
      <c r="E8140" s="129"/>
      <c r="F8140" s="129"/>
      <c r="G8140" s="129"/>
      <c r="H8140" s="129"/>
      <c r="I8140" s="131"/>
      <c r="J8140" s="132"/>
      <c r="K8140" s="130"/>
      <c r="L8140" s="133"/>
    </row>
    <row r="8141" spans="1:12" hidden="1" x14ac:dyDescent="0.25">
      <c r="A8141" s="130"/>
      <c r="B8141" s="130"/>
      <c r="C8141" s="132"/>
      <c r="D8141" s="129"/>
      <c r="E8141" s="129"/>
      <c r="F8141" s="129"/>
      <c r="G8141" s="129"/>
      <c r="H8141" s="129"/>
      <c r="I8141" s="131"/>
      <c r="J8141" s="132"/>
      <c r="K8141" s="130"/>
      <c r="L8141" s="133"/>
    </row>
    <row r="8142" spans="1:12" hidden="1" x14ac:dyDescent="0.25">
      <c r="A8142" s="130"/>
      <c r="B8142" s="130"/>
      <c r="C8142" s="132"/>
      <c r="D8142" s="129"/>
      <c r="E8142" s="129"/>
      <c r="F8142" s="129"/>
      <c r="G8142" s="129"/>
      <c r="H8142" s="129"/>
      <c r="I8142" s="131"/>
      <c r="J8142" s="132"/>
      <c r="K8142" s="130"/>
      <c r="L8142" s="133"/>
    </row>
    <row r="8143" spans="1:12" hidden="1" x14ac:dyDescent="0.25">
      <c r="A8143" s="130"/>
      <c r="B8143" s="130"/>
      <c r="C8143" s="132"/>
      <c r="D8143" s="129"/>
      <c r="E8143" s="129"/>
      <c r="F8143" s="129"/>
      <c r="G8143" s="129"/>
      <c r="H8143" s="129"/>
      <c r="I8143" s="131"/>
      <c r="J8143" s="132"/>
      <c r="K8143" s="130"/>
      <c r="L8143" s="133"/>
    </row>
    <row r="8144" spans="1:12" hidden="1" x14ac:dyDescent="0.25">
      <c r="A8144" s="130"/>
      <c r="B8144" s="130"/>
      <c r="C8144" s="132"/>
      <c r="D8144" s="129"/>
      <c r="E8144" s="129"/>
      <c r="F8144" s="129"/>
      <c r="G8144" s="129"/>
      <c r="H8144" s="129"/>
      <c r="I8144" s="131"/>
      <c r="J8144" s="132"/>
      <c r="K8144" s="130"/>
      <c r="L8144" s="133"/>
    </row>
    <row r="8145" spans="1:12" hidden="1" x14ac:dyDescent="0.25">
      <c r="A8145" s="130"/>
      <c r="B8145" s="130"/>
      <c r="C8145" s="132"/>
      <c r="D8145" s="129"/>
      <c r="E8145" s="129"/>
      <c r="F8145" s="129"/>
      <c r="G8145" s="129"/>
      <c r="H8145" s="129"/>
      <c r="I8145" s="131"/>
      <c r="J8145" s="132"/>
      <c r="K8145" s="130"/>
      <c r="L8145" s="133"/>
    </row>
    <row r="8146" spans="1:12" hidden="1" x14ac:dyDescent="0.25">
      <c r="A8146" s="130"/>
      <c r="B8146" s="130"/>
      <c r="C8146" s="132"/>
      <c r="D8146" s="129"/>
      <c r="E8146" s="129"/>
      <c r="F8146" s="129"/>
      <c r="G8146" s="129"/>
      <c r="H8146" s="129"/>
      <c r="I8146" s="131"/>
      <c r="J8146" s="132"/>
      <c r="K8146" s="130"/>
      <c r="L8146" s="133"/>
    </row>
    <row r="8147" spans="1:12" hidden="1" x14ac:dyDescent="0.25">
      <c r="A8147" s="130"/>
      <c r="B8147" s="130"/>
      <c r="C8147" s="132"/>
      <c r="D8147" s="129"/>
      <c r="E8147" s="129"/>
      <c r="F8147" s="129"/>
      <c r="G8147" s="129"/>
      <c r="H8147" s="129"/>
      <c r="I8147" s="131"/>
      <c r="J8147" s="132"/>
      <c r="K8147" s="130"/>
      <c r="L8147" s="133"/>
    </row>
    <row r="8148" spans="1:12" hidden="1" x14ac:dyDescent="0.25">
      <c r="A8148" s="130"/>
      <c r="B8148" s="130"/>
      <c r="C8148" s="132"/>
      <c r="D8148" s="129"/>
      <c r="E8148" s="129"/>
      <c r="F8148" s="129"/>
      <c r="G8148" s="129"/>
      <c r="H8148" s="129"/>
      <c r="I8148" s="131"/>
      <c r="J8148" s="132"/>
      <c r="K8148" s="130"/>
      <c r="L8148" s="133"/>
    </row>
    <row r="8149" spans="1:12" hidden="1" x14ac:dyDescent="0.25">
      <c r="A8149" s="130"/>
      <c r="B8149" s="130"/>
      <c r="C8149" s="132"/>
      <c r="D8149" s="129"/>
      <c r="E8149" s="129"/>
      <c r="F8149" s="129"/>
      <c r="G8149" s="129"/>
      <c r="H8149" s="129"/>
      <c r="I8149" s="131"/>
      <c r="J8149" s="132"/>
      <c r="K8149" s="130"/>
      <c r="L8149" s="133"/>
    </row>
    <row r="8150" spans="1:12" hidden="1" x14ac:dyDescent="0.25">
      <c r="A8150" s="130"/>
      <c r="B8150" s="130"/>
      <c r="C8150" s="132"/>
      <c r="D8150" s="129"/>
      <c r="E8150" s="129"/>
      <c r="F8150" s="129"/>
      <c r="G8150" s="129"/>
      <c r="H8150" s="129"/>
      <c r="I8150" s="131"/>
      <c r="J8150" s="132"/>
      <c r="K8150" s="130"/>
      <c r="L8150" s="133"/>
    </row>
    <row r="8151" spans="1:12" hidden="1" x14ac:dyDescent="0.25">
      <c r="A8151" s="130"/>
      <c r="B8151" s="130"/>
      <c r="C8151" s="132"/>
      <c r="D8151" s="129"/>
      <c r="E8151" s="129"/>
      <c r="F8151" s="129"/>
      <c r="G8151" s="129"/>
      <c r="H8151" s="129"/>
      <c r="I8151" s="131"/>
      <c r="J8151" s="132"/>
      <c r="K8151" s="130"/>
      <c r="L8151" s="133"/>
    </row>
    <row r="8152" spans="1:12" hidden="1" x14ac:dyDescent="0.25">
      <c r="A8152" s="130"/>
      <c r="B8152" s="130"/>
      <c r="C8152" s="132"/>
      <c r="D8152" s="129"/>
      <c r="E8152" s="129"/>
      <c r="F8152" s="129"/>
      <c r="G8152" s="129"/>
      <c r="H8152" s="129"/>
      <c r="I8152" s="131"/>
      <c r="J8152" s="132"/>
      <c r="K8152" s="130"/>
      <c r="L8152" s="133"/>
    </row>
    <row r="8153" spans="1:12" hidden="1" x14ac:dyDescent="0.25">
      <c r="A8153" s="130"/>
      <c r="B8153" s="130"/>
      <c r="C8153" s="132"/>
      <c r="D8153" s="129"/>
      <c r="E8153" s="129"/>
      <c r="F8153" s="129"/>
      <c r="G8153" s="129"/>
      <c r="H8153" s="129"/>
      <c r="I8153" s="131"/>
      <c r="J8153" s="132"/>
      <c r="K8153" s="130"/>
      <c r="L8153" s="133"/>
    </row>
    <row r="8154" spans="1:12" hidden="1" x14ac:dyDescent="0.25">
      <c r="A8154" s="130"/>
      <c r="B8154" s="130"/>
      <c r="C8154" s="132"/>
      <c r="D8154" s="129"/>
      <c r="E8154" s="129"/>
      <c r="F8154" s="129"/>
      <c r="G8154" s="129"/>
      <c r="H8154" s="129"/>
      <c r="I8154" s="131"/>
      <c r="J8154" s="132"/>
      <c r="K8154" s="130"/>
      <c r="L8154" s="133"/>
    </row>
    <row r="8155" spans="1:12" hidden="1" x14ac:dyDescent="0.25">
      <c r="A8155" s="130"/>
      <c r="B8155" s="130"/>
      <c r="C8155" s="132"/>
      <c r="D8155" s="129"/>
      <c r="E8155" s="129"/>
      <c r="F8155" s="129"/>
      <c r="G8155" s="129"/>
      <c r="H8155" s="129"/>
      <c r="I8155" s="131"/>
      <c r="J8155" s="132"/>
      <c r="K8155" s="130"/>
      <c r="L8155" s="133"/>
    </row>
    <row r="8156" spans="1:12" hidden="1" x14ac:dyDescent="0.25">
      <c r="A8156" s="130"/>
      <c r="B8156" s="130"/>
      <c r="C8156" s="132"/>
      <c r="D8156" s="129"/>
      <c r="E8156" s="129"/>
      <c r="F8156" s="129"/>
      <c r="G8156" s="129"/>
      <c r="H8156" s="129"/>
      <c r="I8156" s="131"/>
      <c r="J8156" s="132"/>
      <c r="K8156" s="130"/>
      <c r="L8156" s="133"/>
    </row>
    <row r="8157" spans="1:12" hidden="1" x14ac:dyDescent="0.25">
      <c r="A8157" s="130"/>
      <c r="B8157" s="130"/>
      <c r="C8157" s="132"/>
      <c r="D8157" s="129"/>
      <c r="E8157" s="129"/>
      <c r="F8157" s="129"/>
      <c r="G8157" s="129"/>
      <c r="H8157" s="129"/>
      <c r="I8157" s="131"/>
      <c r="J8157" s="132"/>
      <c r="K8157" s="130"/>
      <c r="L8157" s="133"/>
    </row>
    <row r="8158" spans="1:12" hidden="1" x14ac:dyDescent="0.25">
      <c r="A8158" s="130"/>
      <c r="B8158" s="130"/>
      <c r="C8158" s="132"/>
      <c r="D8158" s="129"/>
      <c r="E8158" s="129"/>
      <c r="F8158" s="129"/>
      <c r="G8158" s="129"/>
      <c r="H8158" s="129"/>
      <c r="I8158" s="131"/>
      <c r="J8158" s="132"/>
      <c r="K8158" s="130"/>
      <c r="L8158" s="133"/>
    </row>
    <row r="8159" spans="1:12" hidden="1" x14ac:dyDescent="0.25">
      <c r="A8159" s="130"/>
      <c r="B8159" s="130"/>
      <c r="C8159" s="132"/>
      <c r="D8159" s="129"/>
      <c r="E8159" s="129"/>
      <c r="F8159" s="129"/>
      <c r="G8159" s="129"/>
      <c r="H8159" s="129"/>
      <c r="I8159" s="131"/>
      <c r="J8159" s="132"/>
      <c r="K8159" s="130"/>
      <c r="L8159" s="133"/>
    </row>
    <row r="8160" spans="1:12" hidden="1" x14ac:dyDescent="0.25">
      <c r="A8160" s="130"/>
      <c r="B8160" s="130"/>
      <c r="C8160" s="132"/>
      <c r="D8160" s="129"/>
      <c r="E8160" s="129"/>
      <c r="F8160" s="129"/>
      <c r="G8160" s="129"/>
      <c r="H8160" s="129"/>
      <c r="I8160" s="131"/>
      <c r="J8160" s="132"/>
      <c r="K8160" s="130"/>
      <c r="L8160" s="133"/>
    </row>
    <row r="8161" spans="1:12" hidden="1" x14ac:dyDescent="0.25">
      <c r="A8161" s="130"/>
      <c r="B8161" s="130"/>
      <c r="C8161" s="132"/>
      <c r="D8161" s="129"/>
      <c r="E8161" s="129"/>
      <c r="F8161" s="129"/>
      <c r="G8161" s="129"/>
      <c r="H8161" s="129"/>
      <c r="I8161" s="131"/>
      <c r="J8161" s="132"/>
      <c r="K8161" s="130"/>
      <c r="L8161" s="133"/>
    </row>
    <row r="8162" spans="1:12" hidden="1" x14ac:dyDescent="0.25">
      <c r="A8162" s="130"/>
      <c r="B8162" s="130"/>
      <c r="C8162" s="132"/>
      <c r="D8162" s="129"/>
      <c r="E8162" s="129"/>
      <c r="F8162" s="129"/>
      <c r="G8162" s="129"/>
      <c r="H8162" s="129"/>
      <c r="I8162" s="131"/>
      <c r="J8162" s="132"/>
      <c r="K8162" s="130"/>
      <c r="L8162" s="133"/>
    </row>
    <row r="8163" spans="1:12" hidden="1" x14ac:dyDescent="0.25">
      <c r="A8163" s="130"/>
      <c r="B8163" s="130"/>
      <c r="C8163" s="132"/>
      <c r="D8163" s="129"/>
      <c r="E8163" s="129"/>
      <c r="F8163" s="129"/>
      <c r="G8163" s="129"/>
      <c r="H8163" s="129"/>
      <c r="I8163" s="131"/>
      <c r="J8163" s="132"/>
      <c r="K8163" s="130"/>
      <c r="L8163" s="133"/>
    </row>
    <row r="8164" spans="1:12" hidden="1" x14ac:dyDescent="0.25">
      <c r="A8164" s="130"/>
      <c r="B8164" s="130"/>
      <c r="C8164" s="132"/>
      <c r="D8164" s="129"/>
      <c r="E8164" s="129"/>
      <c r="F8164" s="129"/>
      <c r="G8164" s="129"/>
      <c r="H8164" s="129"/>
      <c r="I8164" s="131"/>
      <c r="J8164" s="132"/>
      <c r="K8164" s="130"/>
      <c r="L8164" s="133"/>
    </row>
    <row r="8165" spans="1:12" hidden="1" x14ac:dyDescent="0.25">
      <c r="A8165" s="130"/>
      <c r="B8165" s="130"/>
      <c r="C8165" s="132"/>
      <c r="D8165" s="129"/>
      <c r="E8165" s="129"/>
      <c r="F8165" s="129"/>
      <c r="G8165" s="129"/>
      <c r="H8165" s="129"/>
      <c r="I8165" s="131"/>
      <c r="J8165" s="132"/>
      <c r="K8165" s="130"/>
      <c r="L8165" s="133"/>
    </row>
    <row r="8166" spans="1:12" hidden="1" x14ac:dyDescent="0.25">
      <c r="A8166" s="130"/>
      <c r="B8166" s="130"/>
      <c r="C8166" s="132"/>
      <c r="D8166" s="129"/>
      <c r="E8166" s="129"/>
      <c r="F8166" s="129"/>
      <c r="G8166" s="129"/>
      <c r="H8166" s="129"/>
      <c r="I8166" s="131"/>
      <c r="J8166" s="132"/>
      <c r="K8166" s="130"/>
      <c r="L8166" s="133"/>
    </row>
    <row r="8167" spans="1:12" hidden="1" x14ac:dyDescent="0.25">
      <c r="A8167" s="130"/>
      <c r="B8167" s="130"/>
      <c r="C8167" s="132"/>
      <c r="D8167" s="129"/>
      <c r="E8167" s="129"/>
      <c r="F8167" s="129"/>
      <c r="G8167" s="129"/>
      <c r="H8167" s="129"/>
      <c r="I8167" s="131"/>
      <c r="J8167" s="132"/>
      <c r="K8167" s="130"/>
      <c r="L8167" s="133"/>
    </row>
    <row r="8168" spans="1:12" hidden="1" x14ac:dyDescent="0.25">
      <c r="A8168" s="130"/>
      <c r="B8168" s="130"/>
      <c r="C8168" s="132"/>
      <c r="D8168" s="129"/>
      <c r="E8168" s="129"/>
      <c r="F8168" s="129"/>
      <c r="G8168" s="129"/>
      <c r="H8168" s="129"/>
      <c r="I8168" s="131"/>
      <c r="J8168" s="132"/>
      <c r="K8168" s="130"/>
      <c r="L8168" s="133"/>
    </row>
    <row r="8169" spans="1:12" hidden="1" x14ac:dyDescent="0.25">
      <c r="A8169" s="130"/>
      <c r="B8169" s="130"/>
      <c r="C8169" s="132"/>
      <c r="D8169" s="129"/>
      <c r="E8169" s="129"/>
      <c r="F8169" s="129"/>
      <c r="G8169" s="129"/>
      <c r="H8169" s="129"/>
      <c r="I8169" s="131"/>
      <c r="J8169" s="132"/>
      <c r="K8169" s="130"/>
      <c r="L8169" s="133"/>
    </row>
    <row r="8170" spans="1:12" hidden="1" x14ac:dyDescent="0.25">
      <c r="A8170" s="130"/>
      <c r="B8170" s="130"/>
      <c r="C8170" s="132"/>
      <c r="D8170" s="129"/>
      <c r="E8170" s="129"/>
      <c r="F8170" s="129"/>
      <c r="G8170" s="129"/>
      <c r="H8170" s="129"/>
      <c r="I8170" s="131"/>
      <c r="J8170" s="132"/>
      <c r="K8170" s="130"/>
      <c r="L8170" s="133"/>
    </row>
    <row r="8171" spans="1:12" hidden="1" x14ac:dyDescent="0.25">
      <c r="A8171" s="130"/>
      <c r="B8171" s="130"/>
      <c r="C8171" s="132"/>
      <c r="D8171" s="129"/>
      <c r="E8171" s="129"/>
      <c r="F8171" s="129"/>
      <c r="G8171" s="129"/>
      <c r="H8171" s="129"/>
      <c r="I8171" s="131"/>
      <c r="J8171" s="132"/>
      <c r="K8171" s="130"/>
      <c r="L8171" s="133"/>
    </row>
    <row r="8172" spans="1:12" hidden="1" x14ac:dyDescent="0.25">
      <c r="A8172" s="130"/>
      <c r="B8172" s="130"/>
      <c r="C8172" s="132"/>
      <c r="D8172" s="129"/>
      <c r="E8172" s="129"/>
      <c r="F8172" s="129"/>
      <c r="G8172" s="129"/>
      <c r="H8172" s="129"/>
      <c r="I8172" s="131"/>
      <c r="J8172" s="132"/>
      <c r="K8172" s="130"/>
      <c r="L8172" s="133"/>
    </row>
    <row r="8173" spans="1:12" hidden="1" x14ac:dyDescent="0.25">
      <c r="A8173" s="130"/>
      <c r="B8173" s="130"/>
      <c r="C8173" s="132"/>
      <c r="D8173" s="129"/>
      <c r="E8173" s="129"/>
      <c r="F8173" s="129"/>
      <c r="G8173" s="129"/>
      <c r="H8173" s="129"/>
      <c r="I8173" s="131"/>
      <c r="J8173" s="132"/>
      <c r="K8173" s="130"/>
      <c r="L8173" s="133"/>
    </row>
    <row r="8174" spans="1:12" hidden="1" x14ac:dyDescent="0.25">
      <c r="A8174" s="130"/>
      <c r="B8174" s="130"/>
      <c r="C8174" s="132"/>
      <c r="D8174" s="129"/>
      <c r="E8174" s="129"/>
      <c r="F8174" s="129"/>
      <c r="G8174" s="129"/>
      <c r="H8174" s="129"/>
      <c r="I8174" s="131"/>
      <c r="J8174" s="132"/>
      <c r="K8174" s="130"/>
      <c r="L8174" s="133"/>
    </row>
    <row r="8175" spans="1:12" hidden="1" x14ac:dyDescent="0.25">
      <c r="A8175" s="130"/>
      <c r="B8175" s="130"/>
      <c r="C8175" s="132"/>
      <c r="D8175" s="129"/>
      <c r="E8175" s="129"/>
      <c r="F8175" s="129"/>
      <c r="G8175" s="129"/>
      <c r="H8175" s="129"/>
      <c r="I8175" s="131"/>
      <c r="J8175" s="132"/>
      <c r="K8175" s="130"/>
      <c r="L8175" s="133"/>
    </row>
    <row r="8176" spans="1:12" hidden="1" x14ac:dyDescent="0.25">
      <c r="A8176" s="130"/>
      <c r="B8176" s="130"/>
      <c r="C8176" s="132"/>
      <c r="D8176" s="129"/>
      <c r="E8176" s="129"/>
      <c r="F8176" s="129"/>
      <c r="G8176" s="129"/>
      <c r="H8176" s="129"/>
      <c r="I8176" s="131"/>
      <c r="J8176" s="132"/>
      <c r="K8176" s="130"/>
      <c r="L8176" s="133"/>
    </row>
    <row r="8177" spans="1:12" hidden="1" x14ac:dyDescent="0.25">
      <c r="A8177" s="130"/>
      <c r="B8177" s="130"/>
      <c r="C8177" s="132"/>
      <c r="D8177" s="129"/>
      <c r="E8177" s="129"/>
      <c r="F8177" s="129"/>
      <c r="G8177" s="129"/>
      <c r="H8177" s="129"/>
      <c r="I8177" s="131"/>
      <c r="J8177" s="132"/>
      <c r="K8177" s="130"/>
      <c r="L8177" s="133"/>
    </row>
    <row r="8178" spans="1:12" hidden="1" x14ac:dyDescent="0.25">
      <c r="A8178" s="130"/>
      <c r="B8178" s="130"/>
      <c r="C8178" s="132"/>
      <c r="D8178" s="129"/>
      <c r="E8178" s="129"/>
      <c r="F8178" s="129"/>
      <c r="G8178" s="129"/>
      <c r="H8178" s="129"/>
      <c r="I8178" s="131"/>
      <c r="J8178" s="132"/>
      <c r="K8178" s="130"/>
      <c r="L8178" s="133"/>
    </row>
    <row r="8179" spans="1:12" hidden="1" x14ac:dyDescent="0.25">
      <c r="A8179" s="130"/>
      <c r="B8179" s="130"/>
      <c r="C8179" s="132"/>
      <c r="D8179" s="129"/>
      <c r="E8179" s="129"/>
      <c r="F8179" s="129"/>
      <c r="G8179" s="129"/>
      <c r="H8179" s="129"/>
      <c r="I8179" s="131"/>
      <c r="J8179" s="132"/>
      <c r="K8179" s="130"/>
      <c r="L8179" s="133"/>
    </row>
    <row r="8180" spans="1:12" hidden="1" x14ac:dyDescent="0.25">
      <c r="A8180" s="130"/>
      <c r="B8180" s="130"/>
      <c r="C8180" s="132"/>
      <c r="D8180" s="129"/>
      <c r="E8180" s="129"/>
      <c r="F8180" s="129"/>
      <c r="G8180" s="129"/>
      <c r="H8180" s="129"/>
      <c r="I8180" s="131"/>
      <c r="J8180" s="132"/>
      <c r="K8180" s="130"/>
      <c r="L8180" s="133"/>
    </row>
    <row r="8181" spans="1:12" hidden="1" x14ac:dyDescent="0.25">
      <c r="A8181" s="130"/>
      <c r="B8181" s="130"/>
      <c r="C8181" s="132"/>
      <c r="D8181" s="129"/>
      <c r="E8181" s="129"/>
      <c r="F8181" s="129"/>
      <c r="G8181" s="129"/>
      <c r="H8181" s="129"/>
      <c r="I8181" s="131"/>
      <c r="J8181" s="132"/>
      <c r="K8181" s="130"/>
      <c r="L8181" s="133"/>
    </row>
    <row r="8182" spans="1:12" hidden="1" x14ac:dyDescent="0.25">
      <c r="A8182" s="130"/>
      <c r="B8182" s="130"/>
      <c r="C8182" s="132"/>
      <c r="D8182" s="129"/>
      <c r="E8182" s="129"/>
      <c r="F8182" s="129"/>
      <c r="G8182" s="129"/>
      <c r="H8182" s="129"/>
      <c r="I8182" s="131"/>
      <c r="J8182" s="132"/>
      <c r="K8182" s="130"/>
      <c r="L8182" s="133"/>
    </row>
    <row r="8183" spans="1:12" hidden="1" x14ac:dyDescent="0.25">
      <c r="A8183" s="130"/>
      <c r="B8183" s="130"/>
      <c r="C8183" s="132"/>
      <c r="D8183" s="129"/>
      <c r="E8183" s="129"/>
      <c r="F8183" s="129"/>
      <c r="G8183" s="129"/>
      <c r="H8183" s="129"/>
      <c r="I8183" s="131"/>
      <c r="J8183" s="132"/>
      <c r="K8183" s="130"/>
      <c r="L8183" s="133"/>
    </row>
    <row r="8184" spans="1:12" hidden="1" x14ac:dyDescent="0.25">
      <c r="A8184" s="130"/>
      <c r="B8184" s="130"/>
      <c r="C8184" s="132"/>
      <c r="D8184" s="129"/>
      <c r="E8184" s="129"/>
      <c r="F8184" s="129"/>
      <c r="G8184" s="129"/>
      <c r="H8184" s="129"/>
      <c r="I8184" s="131"/>
      <c r="J8184" s="132"/>
      <c r="K8184" s="130"/>
      <c r="L8184" s="133"/>
    </row>
    <row r="8185" spans="1:12" hidden="1" x14ac:dyDescent="0.25">
      <c r="A8185" s="130"/>
      <c r="B8185" s="130"/>
      <c r="C8185" s="132"/>
      <c r="D8185" s="129"/>
      <c r="E8185" s="129"/>
      <c r="F8185" s="129"/>
      <c r="G8185" s="129"/>
      <c r="H8185" s="129"/>
      <c r="I8185" s="131"/>
      <c r="J8185" s="132"/>
      <c r="K8185" s="130"/>
      <c r="L8185" s="133"/>
    </row>
    <row r="8186" spans="1:12" hidden="1" x14ac:dyDescent="0.25">
      <c r="A8186" s="130"/>
      <c r="B8186" s="130"/>
      <c r="C8186" s="132"/>
      <c r="D8186" s="129"/>
      <c r="E8186" s="129"/>
      <c r="F8186" s="129"/>
      <c r="G8186" s="129"/>
      <c r="H8186" s="129"/>
      <c r="I8186" s="131"/>
      <c r="J8186" s="132"/>
      <c r="K8186" s="130"/>
      <c r="L8186" s="133"/>
    </row>
    <row r="8187" spans="1:12" hidden="1" x14ac:dyDescent="0.25">
      <c r="A8187" s="130"/>
      <c r="B8187" s="130"/>
      <c r="C8187" s="132"/>
      <c r="D8187" s="129"/>
      <c r="E8187" s="129"/>
      <c r="F8187" s="129"/>
      <c r="G8187" s="129"/>
      <c r="H8187" s="129"/>
      <c r="I8187" s="131"/>
      <c r="J8187" s="132"/>
      <c r="K8187" s="130"/>
      <c r="L8187" s="133"/>
    </row>
    <row r="8188" spans="1:12" hidden="1" x14ac:dyDescent="0.25">
      <c r="A8188" s="130"/>
      <c r="B8188" s="130"/>
      <c r="C8188" s="132"/>
      <c r="D8188" s="129"/>
      <c r="E8188" s="129"/>
      <c r="F8188" s="129"/>
      <c r="G8188" s="129"/>
      <c r="H8188" s="129"/>
      <c r="I8188" s="131"/>
      <c r="J8188" s="132"/>
      <c r="K8188" s="130"/>
      <c r="L8188" s="133"/>
    </row>
    <row r="8189" spans="1:12" hidden="1" x14ac:dyDescent="0.25">
      <c r="A8189" s="130"/>
      <c r="B8189" s="130"/>
      <c r="C8189" s="132"/>
      <c r="D8189" s="129"/>
      <c r="E8189" s="129"/>
      <c r="F8189" s="129"/>
      <c r="G8189" s="129"/>
      <c r="H8189" s="129"/>
      <c r="I8189" s="131"/>
      <c r="J8189" s="132"/>
      <c r="K8189" s="130"/>
      <c r="L8189" s="133"/>
    </row>
    <row r="8190" spans="1:12" hidden="1" x14ac:dyDescent="0.25">
      <c r="A8190" s="130"/>
      <c r="B8190" s="130"/>
      <c r="C8190" s="132"/>
      <c r="D8190" s="129"/>
      <c r="E8190" s="129"/>
      <c r="F8190" s="129"/>
      <c r="G8190" s="129"/>
      <c r="H8190" s="129"/>
      <c r="I8190" s="131"/>
      <c r="J8190" s="132"/>
      <c r="K8190" s="130"/>
      <c r="L8190" s="133"/>
    </row>
    <row r="8191" spans="1:12" hidden="1" x14ac:dyDescent="0.25">
      <c r="A8191" s="130"/>
      <c r="B8191" s="130"/>
      <c r="C8191" s="132"/>
      <c r="D8191" s="129"/>
      <c r="E8191" s="129"/>
      <c r="F8191" s="129"/>
      <c r="G8191" s="129"/>
      <c r="H8191" s="129"/>
      <c r="I8191" s="131"/>
      <c r="J8191" s="132"/>
      <c r="K8191" s="130"/>
      <c r="L8191" s="133"/>
    </row>
    <row r="8192" spans="1:12" hidden="1" x14ac:dyDescent="0.25">
      <c r="A8192" s="130"/>
      <c r="B8192" s="130"/>
      <c r="C8192" s="132"/>
      <c r="D8192" s="129"/>
      <c r="E8192" s="129"/>
      <c r="F8192" s="129"/>
      <c r="G8192" s="129"/>
      <c r="H8192" s="129"/>
      <c r="I8192" s="131"/>
      <c r="J8192" s="132"/>
      <c r="K8192" s="130"/>
      <c r="L8192" s="133"/>
    </row>
    <row r="8193" spans="1:12" hidden="1" x14ac:dyDescent="0.25">
      <c r="A8193" s="130"/>
      <c r="B8193" s="130"/>
      <c r="C8193" s="132"/>
      <c r="D8193" s="129"/>
      <c r="E8193" s="129"/>
      <c r="F8193" s="129"/>
      <c r="G8193" s="129"/>
      <c r="H8193" s="129"/>
      <c r="I8193" s="131"/>
      <c r="J8193" s="132"/>
      <c r="K8193" s="130"/>
      <c r="L8193" s="133"/>
    </row>
    <row r="8194" spans="1:12" hidden="1" x14ac:dyDescent="0.25">
      <c r="A8194" s="130"/>
      <c r="B8194" s="130"/>
      <c r="C8194" s="132"/>
      <c r="D8194" s="129"/>
      <c r="E8194" s="129"/>
      <c r="F8194" s="129"/>
      <c r="G8194" s="129"/>
      <c r="H8194" s="129"/>
      <c r="I8194" s="131"/>
      <c r="J8194" s="132"/>
      <c r="K8194" s="130"/>
      <c r="L8194" s="133"/>
    </row>
    <row r="8195" spans="1:12" hidden="1" x14ac:dyDescent="0.25">
      <c r="A8195" s="130"/>
      <c r="B8195" s="130"/>
      <c r="C8195" s="132"/>
      <c r="D8195" s="129"/>
      <c r="E8195" s="129"/>
      <c r="F8195" s="129"/>
      <c r="G8195" s="129"/>
      <c r="H8195" s="129"/>
      <c r="I8195" s="131"/>
      <c r="J8195" s="132"/>
      <c r="K8195" s="130"/>
      <c r="L8195" s="133"/>
    </row>
    <row r="8196" spans="1:12" hidden="1" x14ac:dyDescent="0.25">
      <c r="A8196" s="130"/>
      <c r="B8196" s="130"/>
      <c r="C8196" s="132"/>
      <c r="D8196" s="129"/>
      <c r="E8196" s="129"/>
      <c r="F8196" s="129"/>
      <c r="G8196" s="129"/>
      <c r="H8196" s="129"/>
      <c r="I8196" s="131"/>
      <c r="J8196" s="132"/>
      <c r="K8196" s="130"/>
      <c r="L8196" s="133"/>
    </row>
    <row r="8197" spans="1:12" hidden="1" x14ac:dyDescent="0.25">
      <c r="A8197" s="130"/>
      <c r="B8197" s="130"/>
      <c r="C8197" s="132"/>
      <c r="D8197" s="129"/>
      <c r="E8197" s="129"/>
      <c r="F8197" s="129"/>
      <c r="G8197" s="129"/>
      <c r="H8197" s="129"/>
      <c r="I8197" s="131"/>
      <c r="J8197" s="132"/>
      <c r="K8197" s="130"/>
      <c r="L8197" s="133"/>
    </row>
    <row r="8198" spans="1:12" hidden="1" x14ac:dyDescent="0.25">
      <c r="A8198" s="130"/>
      <c r="B8198" s="130"/>
      <c r="C8198" s="132"/>
      <c r="D8198" s="129"/>
      <c r="E8198" s="129"/>
      <c r="F8198" s="129"/>
      <c r="G8198" s="129"/>
      <c r="H8198" s="129"/>
      <c r="I8198" s="131"/>
      <c r="J8198" s="132"/>
      <c r="K8198" s="130"/>
      <c r="L8198" s="133"/>
    </row>
    <row r="8199" spans="1:12" hidden="1" x14ac:dyDescent="0.25">
      <c r="A8199" s="130"/>
      <c r="B8199" s="130"/>
      <c r="C8199" s="132"/>
      <c r="D8199" s="129"/>
      <c r="E8199" s="129"/>
      <c r="F8199" s="129"/>
      <c r="G8199" s="129"/>
      <c r="H8199" s="129"/>
      <c r="I8199" s="131"/>
      <c r="J8199" s="132"/>
      <c r="K8199" s="130"/>
      <c r="L8199" s="133"/>
    </row>
    <row r="8200" spans="1:12" hidden="1" x14ac:dyDescent="0.25">
      <c r="A8200" s="130"/>
      <c r="B8200" s="130"/>
      <c r="C8200" s="132"/>
      <c r="D8200" s="129"/>
      <c r="E8200" s="129"/>
      <c r="F8200" s="129"/>
      <c r="G8200" s="129"/>
      <c r="H8200" s="129"/>
      <c r="I8200" s="131"/>
      <c r="J8200" s="132"/>
      <c r="K8200" s="130"/>
      <c r="L8200" s="133"/>
    </row>
    <row r="8201" spans="1:12" hidden="1" x14ac:dyDescent="0.25">
      <c r="A8201" s="130"/>
      <c r="B8201" s="130"/>
      <c r="C8201" s="132"/>
      <c r="D8201" s="129"/>
      <c r="E8201" s="129"/>
      <c r="F8201" s="129"/>
      <c r="G8201" s="129"/>
      <c r="H8201" s="129"/>
      <c r="I8201" s="131"/>
      <c r="J8201" s="132"/>
      <c r="K8201" s="130"/>
      <c r="L8201" s="133"/>
    </row>
    <row r="8202" spans="1:12" hidden="1" x14ac:dyDescent="0.25">
      <c r="A8202" s="130"/>
      <c r="B8202" s="130"/>
      <c r="C8202" s="132"/>
      <c r="D8202" s="129"/>
      <c r="E8202" s="129"/>
      <c r="F8202" s="129"/>
      <c r="G8202" s="129"/>
      <c r="H8202" s="129"/>
      <c r="I8202" s="131"/>
      <c r="J8202" s="132"/>
      <c r="K8202" s="130"/>
      <c r="L8202" s="133"/>
    </row>
    <row r="8203" spans="1:12" hidden="1" x14ac:dyDescent="0.25">
      <c r="A8203" s="130"/>
      <c r="B8203" s="130"/>
      <c r="C8203" s="132"/>
      <c r="D8203" s="129"/>
      <c r="E8203" s="129"/>
      <c r="F8203" s="129"/>
      <c r="G8203" s="129"/>
      <c r="H8203" s="129"/>
      <c r="I8203" s="131"/>
      <c r="J8203" s="132"/>
      <c r="K8203" s="130"/>
      <c r="L8203" s="133"/>
    </row>
    <row r="8204" spans="1:12" hidden="1" x14ac:dyDescent="0.25">
      <c r="A8204" s="130"/>
      <c r="B8204" s="130"/>
      <c r="C8204" s="132"/>
      <c r="D8204" s="129"/>
      <c r="E8204" s="129"/>
      <c r="F8204" s="129"/>
      <c r="G8204" s="129"/>
      <c r="H8204" s="129"/>
      <c r="I8204" s="131"/>
      <c r="J8204" s="132"/>
      <c r="K8204" s="130"/>
      <c r="L8204" s="133"/>
    </row>
    <row r="8205" spans="1:12" hidden="1" x14ac:dyDescent="0.25">
      <c r="A8205" s="130"/>
      <c r="B8205" s="130"/>
      <c r="C8205" s="132"/>
      <c r="D8205" s="129"/>
      <c r="E8205" s="129"/>
      <c r="F8205" s="129"/>
      <c r="G8205" s="129"/>
      <c r="H8205" s="129"/>
      <c r="I8205" s="131"/>
      <c r="J8205" s="132"/>
      <c r="K8205" s="130"/>
      <c r="L8205" s="133"/>
    </row>
    <row r="8206" spans="1:12" hidden="1" x14ac:dyDescent="0.25">
      <c r="A8206" s="130"/>
      <c r="B8206" s="130"/>
      <c r="C8206" s="132"/>
      <c r="D8206" s="129"/>
      <c r="E8206" s="129"/>
      <c r="F8206" s="129"/>
      <c r="G8206" s="129"/>
      <c r="H8206" s="129"/>
      <c r="I8206" s="131"/>
      <c r="J8206" s="132"/>
      <c r="K8206" s="130"/>
      <c r="L8206" s="133"/>
    </row>
    <row r="8207" spans="1:12" hidden="1" x14ac:dyDescent="0.25">
      <c r="A8207" s="130"/>
      <c r="B8207" s="130"/>
      <c r="C8207" s="132"/>
      <c r="D8207" s="129"/>
      <c r="E8207" s="129"/>
      <c r="F8207" s="129"/>
      <c r="G8207" s="129"/>
      <c r="H8207" s="129"/>
      <c r="I8207" s="131"/>
      <c r="J8207" s="132"/>
      <c r="K8207" s="130"/>
      <c r="L8207" s="133"/>
    </row>
    <row r="8208" spans="1:12" hidden="1" x14ac:dyDescent="0.25">
      <c r="A8208" s="130"/>
      <c r="B8208" s="130"/>
      <c r="C8208" s="132"/>
      <c r="D8208" s="129"/>
      <c r="E8208" s="129"/>
      <c r="F8208" s="129"/>
      <c r="G8208" s="129"/>
      <c r="H8208" s="129"/>
      <c r="I8208" s="131"/>
      <c r="J8208" s="132"/>
      <c r="K8208" s="130"/>
      <c r="L8208" s="133"/>
    </row>
    <row r="8209" spans="1:12" hidden="1" x14ac:dyDescent="0.25">
      <c r="A8209" s="130"/>
      <c r="B8209" s="130"/>
      <c r="C8209" s="132"/>
      <c r="D8209" s="129"/>
      <c r="E8209" s="129"/>
      <c r="F8209" s="129"/>
      <c r="G8209" s="129"/>
      <c r="H8209" s="129"/>
      <c r="I8209" s="131"/>
      <c r="J8209" s="132"/>
      <c r="K8209" s="130"/>
      <c r="L8209" s="133"/>
    </row>
    <row r="8210" spans="1:12" hidden="1" x14ac:dyDescent="0.25">
      <c r="A8210" s="130"/>
      <c r="B8210" s="130"/>
      <c r="C8210" s="132"/>
      <c r="D8210" s="129"/>
      <c r="E8210" s="129"/>
      <c r="F8210" s="129"/>
      <c r="G8210" s="129"/>
      <c r="H8210" s="129"/>
      <c r="I8210" s="131"/>
      <c r="J8210" s="132"/>
      <c r="K8210" s="130"/>
      <c r="L8210" s="133"/>
    </row>
    <row r="8211" spans="1:12" hidden="1" x14ac:dyDescent="0.25">
      <c r="A8211" s="130"/>
      <c r="B8211" s="130"/>
      <c r="C8211" s="132"/>
      <c r="D8211" s="129"/>
      <c r="E8211" s="129"/>
      <c r="F8211" s="129"/>
      <c r="G8211" s="129"/>
      <c r="H8211" s="129"/>
      <c r="I8211" s="131"/>
      <c r="J8211" s="132"/>
      <c r="K8211" s="130"/>
      <c r="L8211" s="133"/>
    </row>
    <row r="8212" spans="1:12" hidden="1" x14ac:dyDescent="0.25">
      <c r="A8212" s="130"/>
      <c r="B8212" s="130"/>
      <c r="C8212" s="132"/>
      <c r="D8212" s="129"/>
      <c r="E8212" s="129"/>
      <c r="F8212" s="129"/>
      <c r="G8212" s="129"/>
      <c r="H8212" s="129"/>
      <c r="I8212" s="131"/>
      <c r="J8212" s="132"/>
      <c r="K8212" s="130"/>
      <c r="L8212" s="133"/>
    </row>
    <row r="8213" spans="1:12" hidden="1" x14ac:dyDescent="0.25">
      <c r="A8213" s="130"/>
      <c r="B8213" s="130"/>
      <c r="C8213" s="132"/>
      <c r="D8213" s="129"/>
      <c r="E8213" s="129"/>
      <c r="F8213" s="129"/>
      <c r="G8213" s="129"/>
      <c r="H8213" s="129"/>
      <c r="I8213" s="131"/>
      <c r="J8213" s="132"/>
      <c r="K8213" s="130"/>
      <c r="L8213" s="133"/>
    </row>
    <row r="8214" spans="1:12" hidden="1" x14ac:dyDescent="0.25">
      <c r="A8214" s="130"/>
      <c r="B8214" s="130"/>
      <c r="C8214" s="132"/>
      <c r="D8214" s="129"/>
      <c r="E8214" s="129"/>
      <c r="F8214" s="129"/>
      <c r="G8214" s="129"/>
      <c r="H8214" s="129"/>
      <c r="I8214" s="131"/>
      <c r="J8214" s="132"/>
      <c r="K8214" s="130"/>
      <c r="L8214" s="133"/>
    </row>
    <row r="8215" spans="1:12" hidden="1" x14ac:dyDescent="0.25">
      <c r="A8215" s="130"/>
      <c r="B8215" s="130"/>
      <c r="C8215" s="132"/>
      <c r="D8215" s="129"/>
      <c r="E8215" s="129"/>
      <c r="F8215" s="129"/>
      <c r="G8215" s="129"/>
      <c r="H8215" s="129"/>
      <c r="I8215" s="131"/>
      <c r="J8215" s="132"/>
      <c r="K8215" s="130"/>
      <c r="L8215" s="133"/>
    </row>
    <row r="8216" spans="1:12" hidden="1" x14ac:dyDescent="0.25">
      <c r="A8216" s="130"/>
      <c r="B8216" s="130"/>
      <c r="C8216" s="132"/>
      <c r="D8216" s="129"/>
      <c r="E8216" s="129"/>
      <c r="F8216" s="129"/>
      <c r="G8216" s="129"/>
      <c r="H8216" s="129"/>
      <c r="I8216" s="131"/>
      <c r="J8216" s="132"/>
      <c r="K8216" s="130"/>
      <c r="L8216" s="133"/>
    </row>
    <row r="8217" spans="1:12" hidden="1" x14ac:dyDescent="0.25">
      <c r="A8217" s="130"/>
      <c r="B8217" s="130"/>
      <c r="C8217" s="132"/>
      <c r="D8217" s="129"/>
      <c r="E8217" s="129"/>
      <c r="F8217" s="129"/>
      <c r="G8217" s="129"/>
      <c r="H8217" s="129"/>
      <c r="I8217" s="131"/>
      <c r="J8217" s="132"/>
      <c r="K8217" s="130"/>
      <c r="L8217" s="133"/>
    </row>
    <row r="8218" spans="1:12" hidden="1" x14ac:dyDescent="0.25">
      <c r="A8218" s="130"/>
      <c r="B8218" s="130"/>
      <c r="C8218" s="132"/>
      <c r="D8218" s="129"/>
      <c r="E8218" s="129"/>
      <c r="F8218" s="129"/>
      <c r="G8218" s="129"/>
      <c r="H8218" s="129"/>
      <c r="I8218" s="131"/>
      <c r="J8218" s="132"/>
      <c r="K8218" s="130"/>
      <c r="L8218" s="133"/>
    </row>
    <row r="8219" spans="1:12" hidden="1" x14ac:dyDescent="0.25">
      <c r="A8219" s="130"/>
      <c r="B8219" s="130"/>
      <c r="C8219" s="132"/>
      <c r="D8219" s="129"/>
      <c r="E8219" s="129"/>
      <c r="F8219" s="129"/>
      <c r="G8219" s="129"/>
      <c r="H8219" s="129"/>
      <c r="I8219" s="131"/>
      <c r="J8219" s="132"/>
      <c r="K8219" s="130"/>
      <c r="L8219" s="133"/>
    </row>
    <row r="8220" spans="1:12" hidden="1" x14ac:dyDescent="0.25">
      <c r="A8220" s="130"/>
      <c r="B8220" s="130"/>
      <c r="C8220" s="132"/>
      <c r="D8220" s="129"/>
      <c r="E8220" s="129"/>
      <c r="F8220" s="129"/>
      <c r="G8220" s="129"/>
      <c r="H8220" s="129"/>
      <c r="I8220" s="131"/>
      <c r="J8220" s="132"/>
      <c r="K8220" s="130"/>
      <c r="L8220" s="133"/>
    </row>
    <row r="8221" spans="1:12" hidden="1" x14ac:dyDescent="0.25">
      <c r="A8221" s="130"/>
      <c r="B8221" s="130"/>
      <c r="C8221" s="132"/>
      <c r="D8221" s="129"/>
      <c r="E8221" s="129"/>
      <c r="F8221" s="129"/>
      <c r="G8221" s="129"/>
      <c r="H8221" s="129"/>
      <c r="I8221" s="131"/>
      <c r="J8221" s="132"/>
      <c r="K8221" s="130"/>
      <c r="L8221" s="133"/>
    </row>
    <row r="8222" spans="1:12" hidden="1" x14ac:dyDescent="0.25">
      <c r="A8222" s="130"/>
      <c r="B8222" s="130"/>
      <c r="C8222" s="132"/>
      <c r="D8222" s="129"/>
      <c r="E8222" s="129"/>
      <c r="F8222" s="129"/>
      <c r="G8222" s="129"/>
      <c r="H8222" s="129"/>
      <c r="I8222" s="131"/>
      <c r="J8222" s="132"/>
      <c r="K8222" s="130"/>
      <c r="L8222" s="133"/>
    </row>
    <row r="8223" spans="1:12" hidden="1" x14ac:dyDescent="0.25">
      <c r="A8223" s="130"/>
      <c r="B8223" s="130"/>
      <c r="C8223" s="132"/>
      <c r="D8223" s="129"/>
      <c r="E8223" s="129"/>
      <c r="F8223" s="129"/>
      <c r="G8223" s="129"/>
      <c r="H8223" s="129"/>
      <c r="I8223" s="131"/>
      <c r="J8223" s="132"/>
      <c r="K8223" s="130"/>
      <c r="L8223" s="133"/>
    </row>
    <row r="8224" spans="1:12" hidden="1" x14ac:dyDescent="0.25">
      <c r="A8224" s="130"/>
      <c r="B8224" s="130"/>
      <c r="C8224" s="132"/>
      <c r="D8224" s="129"/>
      <c r="E8224" s="129"/>
      <c r="F8224" s="129"/>
      <c r="G8224" s="129"/>
      <c r="H8224" s="129"/>
      <c r="I8224" s="131"/>
      <c r="J8224" s="132"/>
      <c r="K8224" s="130"/>
      <c r="L8224" s="133"/>
    </row>
    <row r="8225" spans="1:12" hidden="1" x14ac:dyDescent="0.25">
      <c r="A8225" s="130"/>
      <c r="B8225" s="130"/>
      <c r="C8225" s="132"/>
      <c r="D8225" s="129"/>
      <c r="E8225" s="129"/>
      <c r="F8225" s="129"/>
      <c r="G8225" s="129"/>
      <c r="H8225" s="129"/>
      <c r="I8225" s="131"/>
      <c r="J8225" s="132"/>
      <c r="K8225" s="130"/>
      <c r="L8225" s="133"/>
    </row>
    <row r="8226" spans="1:12" hidden="1" x14ac:dyDescent="0.25">
      <c r="A8226" s="130"/>
      <c r="B8226" s="130"/>
      <c r="C8226" s="132"/>
      <c r="D8226" s="129"/>
      <c r="E8226" s="129"/>
      <c r="F8226" s="129"/>
      <c r="G8226" s="129"/>
      <c r="H8226" s="129"/>
      <c r="I8226" s="131"/>
      <c r="J8226" s="132"/>
      <c r="K8226" s="130"/>
      <c r="L8226" s="133"/>
    </row>
    <row r="8227" spans="1:12" hidden="1" x14ac:dyDescent="0.25">
      <c r="A8227" s="130"/>
      <c r="B8227" s="130"/>
      <c r="C8227" s="132"/>
      <c r="D8227" s="129"/>
      <c r="E8227" s="129"/>
      <c r="F8227" s="129"/>
      <c r="G8227" s="129"/>
      <c r="H8227" s="129"/>
      <c r="I8227" s="131"/>
      <c r="J8227" s="132"/>
      <c r="K8227" s="130"/>
      <c r="L8227" s="133"/>
    </row>
    <row r="8228" spans="1:12" hidden="1" x14ac:dyDescent="0.25">
      <c r="A8228" s="130"/>
      <c r="B8228" s="130"/>
      <c r="C8228" s="132"/>
      <c r="D8228" s="129"/>
      <c r="E8228" s="129"/>
      <c r="F8228" s="129"/>
      <c r="G8228" s="129"/>
      <c r="H8228" s="129"/>
      <c r="I8228" s="131"/>
      <c r="J8228" s="132"/>
      <c r="K8228" s="130"/>
      <c r="L8228" s="133"/>
    </row>
    <row r="8229" spans="1:12" hidden="1" x14ac:dyDescent="0.25">
      <c r="A8229" s="130"/>
      <c r="B8229" s="130"/>
      <c r="C8229" s="132"/>
      <c r="D8229" s="129"/>
      <c r="E8229" s="129"/>
      <c r="F8229" s="129"/>
      <c r="G8229" s="129"/>
      <c r="H8229" s="129"/>
      <c r="I8229" s="131"/>
      <c r="J8229" s="132"/>
      <c r="K8229" s="130"/>
      <c r="L8229" s="133"/>
    </row>
    <row r="8230" spans="1:12" hidden="1" x14ac:dyDescent="0.25">
      <c r="A8230" s="130"/>
      <c r="B8230" s="130"/>
      <c r="C8230" s="132"/>
      <c r="D8230" s="129"/>
      <c r="E8230" s="129"/>
      <c r="F8230" s="129"/>
      <c r="G8230" s="129"/>
      <c r="H8230" s="129"/>
      <c r="I8230" s="131"/>
      <c r="J8230" s="132"/>
      <c r="K8230" s="130"/>
      <c r="L8230" s="133"/>
    </row>
    <row r="8231" spans="1:12" hidden="1" x14ac:dyDescent="0.25">
      <c r="A8231" s="130"/>
      <c r="B8231" s="130"/>
      <c r="C8231" s="132"/>
      <c r="D8231" s="129"/>
      <c r="E8231" s="129"/>
      <c r="F8231" s="129"/>
      <c r="G8231" s="129"/>
      <c r="H8231" s="129"/>
      <c r="I8231" s="131"/>
      <c r="J8231" s="132"/>
      <c r="K8231" s="130"/>
      <c r="L8231" s="133"/>
    </row>
    <row r="8232" spans="1:12" hidden="1" x14ac:dyDescent="0.25">
      <c r="A8232" s="130"/>
      <c r="B8232" s="130"/>
      <c r="C8232" s="132"/>
      <c r="D8232" s="129"/>
      <c r="E8232" s="129"/>
      <c r="F8232" s="129"/>
      <c r="G8232" s="129"/>
      <c r="H8232" s="129"/>
      <c r="I8232" s="131"/>
      <c r="J8232" s="132"/>
      <c r="K8232" s="130"/>
      <c r="L8232" s="133"/>
    </row>
    <row r="8233" spans="1:12" hidden="1" x14ac:dyDescent="0.25">
      <c r="A8233" s="130"/>
      <c r="B8233" s="130"/>
      <c r="C8233" s="132"/>
      <c r="D8233" s="129"/>
      <c r="E8233" s="129"/>
      <c r="F8233" s="129"/>
      <c r="G8233" s="129"/>
      <c r="H8233" s="129"/>
      <c r="I8233" s="131"/>
      <c r="J8233" s="132"/>
      <c r="K8233" s="130"/>
      <c r="L8233" s="133"/>
    </row>
    <row r="8234" spans="1:12" hidden="1" x14ac:dyDescent="0.25">
      <c r="A8234" s="130"/>
      <c r="B8234" s="130"/>
      <c r="C8234" s="132"/>
      <c r="D8234" s="129"/>
      <c r="E8234" s="129"/>
      <c r="F8234" s="129"/>
      <c r="G8234" s="129"/>
      <c r="H8234" s="129"/>
      <c r="I8234" s="131"/>
      <c r="J8234" s="132"/>
      <c r="K8234" s="130"/>
      <c r="L8234" s="133"/>
    </row>
    <row r="8235" spans="1:12" hidden="1" x14ac:dyDescent="0.25">
      <c r="A8235" s="130"/>
      <c r="B8235" s="130"/>
      <c r="C8235" s="132"/>
      <c r="D8235" s="129"/>
      <c r="E8235" s="129"/>
      <c r="F8235" s="129"/>
      <c r="G8235" s="129"/>
      <c r="H8235" s="129"/>
      <c r="I8235" s="131"/>
      <c r="J8235" s="132"/>
      <c r="K8235" s="130"/>
      <c r="L8235" s="133"/>
    </row>
    <row r="8236" spans="1:12" hidden="1" x14ac:dyDescent="0.25">
      <c r="A8236" s="130"/>
      <c r="B8236" s="130"/>
      <c r="C8236" s="132"/>
      <c r="D8236" s="129"/>
      <c r="E8236" s="129"/>
      <c r="F8236" s="129"/>
      <c r="G8236" s="129"/>
      <c r="H8236" s="129"/>
      <c r="I8236" s="131"/>
      <c r="J8236" s="132"/>
      <c r="K8236" s="130"/>
      <c r="L8236" s="133"/>
    </row>
    <row r="8237" spans="1:12" hidden="1" x14ac:dyDescent="0.25">
      <c r="A8237" s="130"/>
      <c r="B8237" s="130"/>
      <c r="C8237" s="132"/>
      <c r="D8237" s="129"/>
      <c r="E8237" s="129"/>
      <c r="F8237" s="129"/>
      <c r="G8237" s="129"/>
      <c r="H8237" s="129"/>
      <c r="I8237" s="131"/>
      <c r="J8237" s="132"/>
      <c r="K8237" s="130"/>
      <c r="L8237" s="133"/>
    </row>
    <row r="8238" spans="1:12" hidden="1" x14ac:dyDescent="0.25">
      <c r="A8238" s="130"/>
      <c r="B8238" s="130"/>
      <c r="C8238" s="132"/>
      <c r="D8238" s="129"/>
      <c r="E8238" s="129"/>
      <c r="F8238" s="129"/>
      <c r="G8238" s="129"/>
      <c r="H8238" s="129"/>
      <c r="I8238" s="131"/>
      <c r="J8238" s="132"/>
      <c r="K8238" s="130"/>
      <c r="L8238" s="133"/>
    </row>
    <row r="8239" spans="1:12" hidden="1" x14ac:dyDescent="0.25">
      <c r="A8239" s="130"/>
      <c r="B8239" s="130"/>
      <c r="C8239" s="132"/>
      <c r="D8239" s="129"/>
      <c r="E8239" s="129"/>
      <c r="F8239" s="129"/>
      <c r="G8239" s="129"/>
      <c r="H8239" s="129"/>
      <c r="I8239" s="131"/>
      <c r="J8239" s="132"/>
      <c r="K8239" s="130"/>
      <c r="L8239" s="133"/>
    </row>
    <row r="8240" spans="1:12" hidden="1" x14ac:dyDescent="0.25">
      <c r="A8240" s="130"/>
      <c r="B8240" s="130"/>
      <c r="C8240" s="132"/>
      <c r="D8240" s="129"/>
      <c r="E8240" s="129"/>
      <c r="F8240" s="129"/>
      <c r="G8240" s="129"/>
      <c r="H8240" s="129"/>
      <c r="I8240" s="131"/>
      <c r="J8240" s="132"/>
      <c r="K8240" s="130"/>
      <c r="L8240" s="133"/>
    </row>
    <row r="8241" spans="1:12" hidden="1" x14ac:dyDescent="0.25">
      <c r="A8241" s="80"/>
      <c r="B8241" s="80"/>
      <c r="C8241" s="81"/>
      <c r="D8241" s="82"/>
      <c r="E8241" s="82"/>
      <c r="F8241" s="82"/>
      <c r="G8241" s="82"/>
      <c r="H8241" s="82"/>
      <c r="I8241" s="83"/>
      <c r="J8241" s="81"/>
      <c r="K8241" s="80"/>
      <c r="L8241" s="133"/>
    </row>
    <row r="8242" spans="1:12" hidden="1" x14ac:dyDescent="0.25">
      <c r="A8242" s="80"/>
      <c r="B8242" s="80"/>
      <c r="C8242" s="81"/>
      <c r="D8242" s="82"/>
      <c r="E8242" s="82"/>
      <c r="F8242" s="82"/>
      <c r="G8242" s="82"/>
      <c r="H8242" s="82"/>
      <c r="I8242" s="83"/>
      <c r="J8242" s="81"/>
      <c r="K8242" s="80"/>
      <c r="L8242" s="133"/>
    </row>
    <row r="8243" spans="1:12" hidden="1" x14ac:dyDescent="0.25">
      <c r="A8243" s="80"/>
      <c r="B8243" s="80"/>
      <c r="C8243" s="81"/>
      <c r="D8243" s="82"/>
      <c r="E8243" s="82"/>
      <c r="F8243" s="82"/>
      <c r="G8243" s="82"/>
      <c r="H8243" s="82"/>
      <c r="I8243" s="83"/>
      <c r="J8243" s="81"/>
      <c r="K8243" s="80"/>
      <c r="L8243" s="133"/>
    </row>
    <row r="8244" spans="1:12" hidden="1" x14ac:dyDescent="0.25">
      <c r="A8244" s="80"/>
      <c r="B8244" s="80"/>
      <c r="C8244" s="81"/>
      <c r="D8244" s="82"/>
      <c r="E8244" s="82"/>
      <c r="F8244" s="82"/>
      <c r="G8244" s="82"/>
      <c r="H8244" s="82"/>
      <c r="I8244" s="83"/>
      <c r="J8244" s="81"/>
      <c r="K8244" s="80"/>
      <c r="L8244" s="133"/>
    </row>
    <row r="8245" spans="1:12" hidden="1" x14ac:dyDescent="0.25">
      <c r="A8245" s="80"/>
      <c r="B8245" s="80"/>
      <c r="C8245" s="81"/>
      <c r="D8245" s="82"/>
      <c r="E8245" s="82"/>
      <c r="F8245" s="82"/>
      <c r="G8245" s="82"/>
      <c r="H8245" s="82"/>
      <c r="I8245" s="83"/>
      <c r="J8245" s="81"/>
      <c r="K8245" s="80"/>
      <c r="L8245" s="133"/>
    </row>
    <row r="8246" spans="1:12" hidden="1" x14ac:dyDescent="0.25">
      <c r="A8246" s="80"/>
      <c r="B8246" s="80"/>
      <c r="C8246" s="81"/>
      <c r="D8246" s="82"/>
      <c r="E8246" s="82"/>
      <c r="F8246" s="82"/>
      <c r="G8246" s="82"/>
      <c r="H8246" s="82"/>
      <c r="I8246" s="83"/>
      <c r="J8246" s="81"/>
      <c r="K8246" s="80"/>
      <c r="L8246" s="133"/>
    </row>
    <row r="8247" spans="1:12" hidden="1" x14ac:dyDescent="0.25">
      <c r="A8247" s="80"/>
      <c r="B8247" s="80"/>
      <c r="C8247" s="81"/>
      <c r="D8247" s="82"/>
      <c r="E8247" s="82"/>
      <c r="F8247" s="82"/>
      <c r="G8247" s="82"/>
      <c r="H8247" s="82"/>
      <c r="I8247" s="83"/>
      <c r="J8247" s="81"/>
      <c r="K8247" s="80"/>
      <c r="L8247" s="133"/>
    </row>
    <row r="8248" spans="1:12" hidden="1" x14ac:dyDescent="0.25">
      <c r="A8248" s="80"/>
      <c r="B8248" s="80"/>
      <c r="C8248" s="81"/>
      <c r="D8248" s="82"/>
      <c r="E8248" s="82"/>
      <c r="F8248" s="82"/>
      <c r="G8248" s="82"/>
      <c r="H8248" s="82"/>
      <c r="I8248" s="83"/>
      <c r="J8248" s="81"/>
      <c r="K8248" s="80"/>
      <c r="L8248" s="133"/>
    </row>
    <row r="8249" spans="1:12" hidden="1" x14ac:dyDescent="0.25">
      <c r="A8249" s="80"/>
      <c r="B8249" s="80"/>
      <c r="C8249" s="81"/>
      <c r="D8249" s="82"/>
      <c r="E8249" s="82"/>
      <c r="F8249" s="82"/>
      <c r="G8249" s="82"/>
      <c r="H8249" s="82"/>
      <c r="I8249" s="83"/>
      <c r="J8249" s="81"/>
      <c r="K8249" s="80"/>
      <c r="L8249" s="133"/>
    </row>
    <row r="8250" spans="1:12" hidden="1" x14ac:dyDescent="0.25">
      <c r="A8250" s="80"/>
      <c r="B8250" s="80"/>
      <c r="C8250" s="81"/>
      <c r="D8250" s="82"/>
      <c r="E8250" s="82"/>
      <c r="F8250" s="82"/>
      <c r="G8250" s="82"/>
      <c r="H8250" s="82"/>
      <c r="I8250" s="83"/>
      <c r="J8250" s="81"/>
      <c r="K8250" s="80"/>
      <c r="L8250" s="133"/>
    </row>
    <row r="8251" spans="1:12" hidden="1" x14ac:dyDescent="0.25">
      <c r="A8251" s="80"/>
      <c r="B8251" s="80"/>
      <c r="C8251" s="81"/>
      <c r="D8251" s="82"/>
      <c r="E8251" s="82"/>
      <c r="F8251" s="82"/>
      <c r="G8251" s="82"/>
      <c r="H8251" s="82"/>
      <c r="I8251" s="83"/>
      <c r="J8251" s="81"/>
      <c r="K8251" s="80"/>
      <c r="L8251" s="133"/>
    </row>
    <row r="8252" spans="1:12" hidden="1" x14ac:dyDescent="0.25">
      <c r="A8252" s="130"/>
      <c r="B8252" s="130"/>
      <c r="C8252" s="132"/>
      <c r="D8252" s="129"/>
      <c r="E8252" s="129"/>
      <c r="F8252" s="129"/>
      <c r="G8252" s="129"/>
      <c r="H8252" s="129"/>
      <c r="I8252" s="131"/>
      <c r="J8252" s="132"/>
      <c r="K8252" s="130"/>
      <c r="L8252" s="133"/>
    </row>
    <row r="8253" spans="1:12" hidden="1" x14ac:dyDescent="0.25">
      <c r="A8253" s="130"/>
      <c r="B8253" s="130"/>
      <c r="C8253" s="132"/>
      <c r="D8253" s="129"/>
      <c r="E8253" s="129"/>
      <c r="F8253" s="129"/>
      <c r="G8253" s="129"/>
      <c r="H8253" s="129"/>
      <c r="I8253" s="131"/>
      <c r="J8253" s="132"/>
      <c r="K8253" s="130"/>
      <c r="L8253" s="133"/>
    </row>
    <row r="8254" spans="1:12" hidden="1" x14ac:dyDescent="0.25">
      <c r="A8254" s="130"/>
      <c r="B8254" s="130"/>
      <c r="C8254" s="132"/>
      <c r="D8254" s="129"/>
      <c r="E8254" s="129"/>
      <c r="F8254" s="129"/>
      <c r="G8254" s="129"/>
      <c r="H8254" s="129"/>
      <c r="I8254" s="131"/>
      <c r="J8254" s="132"/>
      <c r="K8254" s="130"/>
      <c r="L8254" s="133"/>
    </row>
    <row r="8255" spans="1:12" hidden="1" x14ac:dyDescent="0.25">
      <c r="A8255" s="130"/>
      <c r="B8255" s="130"/>
      <c r="C8255" s="132"/>
      <c r="D8255" s="129"/>
      <c r="E8255" s="129"/>
      <c r="F8255" s="129"/>
      <c r="G8255" s="129"/>
      <c r="H8255" s="129"/>
      <c r="I8255" s="131"/>
      <c r="J8255" s="132"/>
      <c r="K8255" s="130"/>
      <c r="L8255" s="133"/>
    </row>
    <row r="8256" spans="1:12" hidden="1" x14ac:dyDescent="0.25">
      <c r="A8256" s="130"/>
      <c r="B8256" s="130"/>
      <c r="C8256" s="132"/>
      <c r="D8256" s="129"/>
      <c r="E8256" s="129"/>
      <c r="F8256" s="129"/>
      <c r="G8256" s="129"/>
      <c r="H8256" s="129"/>
      <c r="I8256" s="131"/>
      <c r="J8256" s="132"/>
      <c r="K8256" s="130"/>
      <c r="L8256" s="133"/>
    </row>
    <row r="8257" spans="1:12" hidden="1" x14ac:dyDescent="0.25">
      <c r="A8257" s="130"/>
      <c r="B8257" s="130"/>
      <c r="C8257" s="132"/>
      <c r="D8257" s="129"/>
      <c r="E8257" s="129"/>
      <c r="F8257" s="129"/>
      <c r="G8257" s="129"/>
      <c r="H8257" s="129"/>
      <c r="I8257" s="131"/>
      <c r="J8257" s="132"/>
      <c r="K8257" s="130"/>
      <c r="L8257" s="133"/>
    </row>
    <row r="8258" spans="1:12" hidden="1" x14ac:dyDescent="0.25">
      <c r="A8258" s="130"/>
      <c r="B8258" s="130"/>
      <c r="C8258" s="132"/>
      <c r="D8258" s="129"/>
      <c r="E8258" s="129"/>
      <c r="F8258" s="129"/>
      <c r="G8258" s="129"/>
      <c r="H8258" s="129"/>
      <c r="I8258" s="131"/>
      <c r="J8258" s="132"/>
      <c r="K8258" s="130"/>
      <c r="L8258" s="133"/>
    </row>
    <row r="8259" spans="1:12" hidden="1" x14ac:dyDescent="0.25">
      <c r="A8259" s="130"/>
      <c r="B8259" s="130"/>
      <c r="C8259" s="132"/>
      <c r="D8259" s="129"/>
      <c r="E8259" s="129"/>
      <c r="F8259" s="129"/>
      <c r="G8259" s="129"/>
      <c r="H8259" s="129"/>
      <c r="I8259" s="131"/>
      <c r="J8259" s="132"/>
      <c r="K8259" s="130"/>
      <c r="L8259" s="133"/>
    </row>
    <row r="8260" spans="1:12" hidden="1" x14ac:dyDescent="0.25">
      <c r="A8260" s="130"/>
      <c r="B8260" s="130"/>
      <c r="C8260" s="132"/>
      <c r="D8260" s="129"/>
      <c r="E8260" s="129"/>
      <c r="F8260" s="129"/>
      <c r="G8260" s="129"/>
      <c r="H8260" s="129"/>
      <c r="I8260" s="131"/>
      <c r="J8260" s="132"/>
      <c r="K8260" s="130"/>
      <c r="L8260" s="133"/>
    </row>
    <row r="8261" spans="1:12" hidden="1" x14ac:dyDescent="0.25">
      <c r="A8261" s="130"/>
      <c r="B8261" s="130"/>
      <c r="C8261" s="132"/>
      <c r="D8261" s="129"/>
      <c r="E8261" s="129"/>
      <c r="F8261" s="129"/>
      <c r="G8261" s="129"/>
      <c r="H8261" s="129"/>
      <c r="I8261" s="131"/>
      <c r="J8261" s="132"/>
      <c r="K8261" s="130"/>
      <c r="L8261" s="133"/>
    </row>
    <row r="8262" spans="1:12" hidden="1" x14ac:dyDescent="0.25">
      <c r="A8262" s="130"/>
      <c r="B8262" s="130"/>
      <c r="C8262" s="132"/>
      <c r="D8262" s="129"/>
      <c r="E8262" s="129"/>
      <c r="F8262" s="129"/>
      <c r="G8262" s="129"/>
      <c r="H8262" s="129"/>
      <c r="I8262" s="131"/>
      <c r="J8262" s="132"/>
      <c r="K8262" s="130"/>
      <c r="L8262" s="133"/>
    </row>
    <row r="8263" spans="1:12" hidden="1" x14ac:dyDescent="0.25">
      <c r="A8263" s="130"/>
      <c r="B8263" s="130"/>
      <c r="C8263" s="132"/>
      <c r="D8263" s="129"/>
      <c r="E8263" s="129"/>
      <c r="F8263" s="129"/>
      <c r="G8263" s="129"/>
      <c r="H8263" s="129"/>
      <c r="I8263" s="131"/>
      <c r="J8263" s="132"/>
      <c r="K8263" s="130"/>
      <c r="L8263" s="133"/>
    </row>
    <row r="8264" spans="1:12" hidden="1" x14ac:dyDescent="0.25">
      <c r="A8264" s="130"/>
      <c r="B8264" s="130"/>
      <c r="C8264" s="132"/>
      <c r="D8264" s="129"/>
      <c r="E8264" s="129"/>
      <c r="F8264" s="129"/>
      <c r="G8264" s="129"/>
      <c r="H8264" s="129"/>
      <c r="I8264" s="131"/>
      <c r="J8264" s="132"/>
      <c r="K8264" s="130"/>
      <c r="L8264" s="133"/>
    </row>
    <row r="8265" spans="1:12" hidden="1" x14ac:dyDescent="0.25">
      <c r="A8265" s="130"/>
      <c r="B8265" s="130"/>
      <c r="C8265" s="132"/>
      <c r="D8265" s="129"/>
      <c r="E8265" s="129"/>
      <c r="F8265" s="129"/>
      <c r="G8265" s="129"/>
      <c r="H8265" s="129"/>
      <c r="I8265" s="131"/>
      <c r="J8265" s="132"/>
      <c r="K8265" s="130"/>
      <c r="L8265" s="133"/>
    </row>
    <row r="8266" spans="1:12" hidden="1" x14ac:dyDescent="0.25">
      <c r="A8266" s="130"/>
      <c r="B8266" s="130"/>
      <c r="C8266" s="132"/>
      <c r="D8266" s="129"/>
      <c r="E8266" s="129"/>
      <c r="F8266" s="129"/>
      <c r="G8266" s="129"/>
      <c r="H8266" s="129"/>
      <c r="I8266" s="131"/>
      <c r="J8266" s="132"/>
      <c r="K8266" s="130"/>
      <c r="L8266" s="133"/>
    </row>
    <row r="8267" spans="1:12" hidden="1" x14ac:dyDescent="0.25">
      <c r="A8267" s="130"/>
      <c r="B8267" s="130"/>
      <c r="C8267" s="132"/>
      <c r="D8267" s="129"/>
      <c r="E8267" s="129"/>
      <c r="F8267" s="129"/>
      <c r="G8267" s="129"/>
      <c r="H8267" s="129"/>
      <c r="I8267" s="131"/>
      <c r="J8267" s="132"/>
      <c r="K8267" s="130"/>
      <c r="L8267" s="133"/>
    </row>
    <row r="8268" spans="1:12" hidden="1" x14ac:dyDescent="0.25">
      <c r="A8268" s="130"/>
      <c r="B8268" s="130"/>
      <c r="C8268" s="132"/>
      <c r="D8268" s="129"/>
      <c r="E8268" s="129"/>
      <c r="F8268" s="129"/>
      <c r="G8268" s="129"/>
      <c r="H8268" s="129"/>
      <c r="I8268" s="131"/>
      <c r="J8268" s="132"/>
      <c r="K8268" s="130"/>
      <c r="L8268" s="133"/>
    </row>
    <row r="8269" spans="1:12" hidden="1" x14ac:dyDescent="0.25">
      <c r="A8269" s="130"/>
      <c r="B8269" s="130"/>
      <c r="C8269" s="132"/>
      <c r="D8269" s="129"/>
      <c r="E8269" s="129"/>
      <c r="F8269" s="129"/>
      <c r="G8269" s="129"/>
      <c r="H8269" s="129"/>
      <c r="I8269" s="131"/>
      <c r="J8269" s="132"/>
      <c r="K8269" s="130"/>
      <c r="L8269" s="133"/>
    </row>
    <row r="8270" spans="1:12" hidden="1" x14ac:dyDescent="0.25">
      <c r="A8270" s="130"/>
      <c r="B8270" s="130"/>
      <c r="C8270" s="132"/>
      <c r="D8270" s="129"/>
      <c r="E8270" s="129"/>
      <c r="F8270" s="129"/>
      <c r="G8270" s="129"/>
      <c r="H8270" s="129"/>
      <c r="I8270" s="131"/>
      <c r="J8270" s="132"/>
      <c r="K8270" s="130"/>
      <c r="L8270" s="133"/>
    </row>
    <row r="8271" spans="1:12" hidden="1" x14ac:dyDescent="0.25">
      <c r="A8271" s="130"/>
      <c r="B8271" s="130"/>
      <c r="C8271" s="132"/>
      <c r="D8271" s="129"/>
      <c r="E8271" s="129"/>
      <c r="F8271" s="129"/>
      <c r="G8271" s="129"/>
      <c r="H8271" s="129"/>
      <c r="I8271" s="131"/>
      <c r="J8271" s="132"/>
      <c r="K8271" s="130"/>
      <c r="L8271" s="133"/>
    </row>
    <row r="8272" spans="1:12" hidden="1" x14ac:dyDescent="0.25">
      <c r="A8272" s="130"/>
      <c r="B8272" s="130"/>
      <c r="C8272" s="132"/>
      <c r="D8272" s="129"/>
      <c r="E8272" s="129"/>
      <c r="F8272" s="129"/>
      <c r="G8272" s="129"/>
      <c r="H8272" s="129"/>
      <c r="I8272" s="131"/>
      <c r="J8272" s="132"/>
      <c r="K8272" s="130"/>
      <c r="L8272" s="133"/>
    </row>
    <row r="8273" spans="1:12" hidden="1" x14ac:dyDescent="0.25">
      <c r="A8273" s="130"/>
      <c r="B8273" s="130"/>
      <c r="C8273" s="132"/>
      <c r="D8273" s="129"/>
      <c r="E8273" s="129"/>
      <c r="F8273" s="129"/>
      <c r="G8273" s="129"/>
      <c r="H8273" s="129"/>
      <c r="I8273" s="131"/>
      <c r="J8273" s="132"/>
      <c r="K8273" s="130"/>
      <c r="L8273" s="133"/>
    </row>
    <row r="8274" spans="1:12" hidden="1" x14ac:dyDescent="0.25">
      <c r="A8274" s="130"/>
      <c r="B8274" s="130"/>
      <c r="C8274" s="132"/>
      <c r="D8274" s="129"/>
      <c r="E8274" s="129"/>
      <c r="F8274" s="129"/>
      <c r="G8274" s="129"/>
      <c r="H8274" s="129"/>
      <c r="I8274" s="131"/>
      <c r="J8274" s="132"/>
      <c r="K8274" s="130"/>
      <c r="L8274" s="133"/>
    </row>
    <row r="8275" spans="1:12" hidden="1" x14ac:dyDescent="0.25">
      <c r="A8275" s="130"/>
      <c r="B8275" s="130"/>
      <c r="C8275" s="132"/>
      <c r="D8275" s="129"/>
      <c r="E8275" s="129"/>
      <c r="F8275" s="129"/>
      <c r="G8275" s="129"/>
      <c r="H8275" s="129"/>
      <c r="I8275" s="131"/>
      <c r="J8275" s="132"/>
      <c r="K8275" s="130"/>
      <c r="L8275" s="133"/>
    </row>
    <row r="8276" spans="1:12" hidden="1" x14ac:dyDescent="0.25">
      <c r="A8276" s="130"/>
      <c r="B8276" s="130"/>
      <c r="C8276" s="132"/>
      <c r="D8276" s="129"/>
      <c r="E8276" s="129"/>
      <c r="F8276" s="129"/>
      <c r="G8276" s="129"/>
      <c r="H8276" s="129"/>
      <c r="I8276" s="131"/>
      <c r="J8276" s="132"/>
      <c r="K8276" s="130"/>
      <c r="L8276" s="133"/>
    </row>
    <row r="8277" spans="1:12" hidden="1" x14ac:dyDescent="0.25">
      <c r="A8277" s="130"/>
      <c r="B8277" s="130"/>
      <c r="C8277" s="132"/>
      <c r="D8277" s="129"/>
      <c r="E8277" s="129"/>
      <c r="F8277" s="129"/>
      <c r="G8277" s="129"/>
      <c r="H8277" s="129"/>
      <c r="I8277" s="131"/>
      <c r="J8277" s="132"/>
      <c r="K8277" s="130"/>
      <c r="L8277" s="133"/>
    </row>
    <row r="8278" spans="1:12" hidden="1" x14ac:dyDescent="0.25">
      <c r="A8278" s="130"/>
      <c r="B8278" s="130"/>
      <c r="C8278" s="132"/>
      <c r="D8278" s="129"/>
      <c r="E8278" s="129"/>
      <c r="F8278" s="129"/>
      <c r="G8278" s="129"/>
      <c r="H8278" s="129"/>
      <c r="I8278" s="131"/>
      <c r="J8278" s="132"/>
      <c r="K8278" s="130"/>
      <c r="L8278" s="133"/>
    </row>
    <row r="8279" spans="1:12" hidden="1" x14ac:dyDescent="0.25">
      <c r="A8279" s="130"/>
      <c r="B8279" s="130"/>
      <c r="C8279" s="132"/>
      <c r="D8279" s="129"/>
      <c r="E8279" s="129"/>
      <c r="F8279" s="129"/>
      <c r="G8279" s="129"/>
      <c r="H8279" s="129"/>
      <c r="I8279" s="131"/>
      <c r="J8279" s="132"/>
      <c r="K8279" s="130"/>
      <c r="L8279" s="133"/>
    </row>
    <row r="8280" spans="1:12" hidden="1" x14ac:dyDescent="0.25">
      <c r="A8280" s="130"/>
      <c r="B8280" s="130"/>
      <c r="C8280" s="132"/>
      <c r="D8280" s="129"/>
      <c r="E8280" s="129"/>
      <c r="F8280" s="129"/>
      <c r="G8280" s="129"/>
      <c r="H8280" s="129"/>
      <c r="I8280" s="131"/>
      <c r="J8280" s="132"/>
      <c r="K8280" s="130"/>
      <c r="L8280" s="133"/>
    </row>
    <row r="8281" spans="1:12" hidden="1" x14ac:dyDescent="0.25">
      <c r="A8281" s="130"/>
      <c r="B8281" s="130"/>
      <c r="C8281" s="132"/>
      <c r="D8281" s="129"/>
      <c r="E8281" s="129"/>
      <c r="F8281" s="129"/>
      <c r="G8281" s="129"/>
      <c r="H8281" s="129"/>
      <c r="I8281" s="131"/>
      <c r="J8281" s="132"/>
      <c r="K8281" s="130"/>
      <c r="L8281" s="133"/>
    </row>
    <row r="8282" spans="1:12" hidden="1" x14ac:dyDescent="0.25">
      <c r="A8282" s="130"/>
      <c r="B8282" s="130"/>
      <c r="C8282" s="132"/>
      <c r="D8282" s="129"/>
      <c r="E8282" s="25"/>
      <c r="F8282" s="25"/>
      <c r="G8282" s="25"/>
      <c r="H8282" s="25"/>
      <c r="I8282" s="131"/>
      <c r="J8282" s="132"/>
      <c r="K8282" s="130"/>
      <c r="L8282" s="133"/>
    </row>
    <row r="8283" spans="1:12" hidden="1" x14ac:dyDescent="0.25">
      <c r="A8283" s="130"/>
      <c r="B8283" s="130"/>
      <c r="C8283" s="132"/>
      <c r="D8283" s="129"/>
      <c r="E8283" s="129"/>
      <c r="F8283" s="129"/>
      <c r="G8283" s="129"/>
      <c r="H8283" s="129"/>
      <c r="I8283" s="131"/>
      <c r="J8283" s="132"/>
      <c r="K8283" s="130"/>
      <c r="L8283" s="133"/>
    </row>
    <row r="8284" spans="1:12" hidden="1" x14ac:dyDescent="0.25">
      <c r="A8284" s="130"/>
      <c r="B8284" s="130"/>
      <c r="C8284" s="132"/>
      <c r="D8284" s="129"/>
      <c r="E8284" s="129"/>
      <c r="F8284" s="129"/>
      <c r="G8284" s="129"/>
      <c r="H8284" s="129"/>
      <c r="I8284" s="131"/>
      <c r="J8284" s="132"/>
      <c r="K8284" s="130"/>
      <c r="L8284" s="133"/>
    </row>
    <row r="8285" spans="1:12" hidden="1" x14ac:dyDescent="0.25">
      <c r="A8285" s="130"/>
      <c r="B8285" s="130"/>
      <c r="C8285" s="132"/>
      <c r="D8285" s="129"/>
      <c r="E8285" s="25"/>
      <c r="F8285" s="25"/>
      <c r="G8285" s="25"/>
      <c r="H8285" s="25"/>
      <c r="I8285" s="131"/>
      <c r="J8285" s="132"/>
      <c r="K8285" s="130"/>
      <c r="L8285" s="133"/>
    </row>
    <row r="8286" spans="1:12" hidden="1" x14ac:dyDescent="0.25">
      <c r="A8286" s="130"/>
      <c r="B8286" s="130"/>
      <c r="C8286" s="132"/>
      <c r="D8286" s="129"/>
      <c r="E8286" s="129"/>
      <c r="F8286" s="129"/>
      <c r="G8286" s="129"/>
      <c r="H8286" s="129"/>
      <c r="I8286" s="131"/>
      <c r="J8286" s="132"/>
      <c r="K8286" s="130"/>
      <c r="L8286" s="133"/>
    </row>
    <row r="8287" spans="1:12" hidden="1" x14ac:dyDescent="0.25">
      <c r="A8287" s="130"/>
      <c r="B8287" s="130"/>
      <c r="C8287" s="132"/>
      <c r="D8287" s="129"/>
      <c r="E8287" s="129"/>
      <c r="F8287" s="129"/>
      <c r="G8287" s="129"/>
      <c r="H8287" s="129"/>
      <c r="I8287" s="131"/>
      <c r="J8287" s="132"/>
      <c r="K8287" s="130"/>
      <c r="L8287" s="133"/>
    </row>
    <row r="8288" spans="1:12" hidden="1" x14ac:dyDescent="0.25">
      <c r="A8288" s="130"/>
      <c r="B8288" s="130"/>
      <c r="C8288" s="132"/>
      <c r="D8288" s="129"/>
      <c r="E8288" s="25"/>
      <c r="F8288" s="25"/>
      <c r="G8288" s="25"/>
      <c r="H8288" s="25"/>
      <c r="I8288" s="131"/>
      <c r="J8288" s="132"/>
      <c r="K8288" s="130"/>
      <c r="L8288" s="133"/>
    </row>
    <row r="8289" spans="1:12" hidden="1" x14ac:dyDescent="0.25">
      <c r="A8289" s="130"/>
      <c r="B8289" s="130"/>
      <c r="C8289" s="132"/>
      <c r="D8289" s="129"/>
      <c r="E8289" s="129"/>
      <c r="F8289" s="129"/>
      <c r="G8289" s="129"/>
      <c r="H8289" s="129"/>
      <c r="I8289" s="131"/>
      <c r="J8289" s="132"/>
      <c r="K8289" s="130"/>
      <c r="L8289" s="133"/>
    </row>
    <row r="8290" spans="1:12" hidden="1" x14ac:dyDescent="0.25">
      <c r="A8290" s="130"/>
      <c r="B8290" s="130"/>
      <c r="C8290" s="132"/>
      <c r="D8290" s="129"/>
      <c r="E8290" s="129"/>
      <c r="F8290" s="129"/>
      <c r="G8290" s="129"/>
      <c r="H8290" s="129"/>
      <c r="I8290" s="131"/>
      <c r="J8290" s="132"/>
      <c r="K8290" s="130"/>
      <c r="L8290" s="133"/>
    </row>
    <row r="8291" spans="1:12" hidden="1" x14ac:dyDescent="0.25">
      <c r="A8291" s="130"/>
      <c r="B8291" s="130"/>
      <c r="C8291" s="132"/>
      <c r="D8291" s="129"/>
      <c r="E8291" s="25"/>
      <c r="F8291" s="25"/>
      <c r="G8291" s="25"/>
      <c r="H8291" s="25"/>
      <c r="I8291" s="131"/>
      <c r="J8291" s="132"/>
      <c r="K8291" s="130"/>
      <c r="L8291" s="133"/>
    </row>
    <row r="8292" spans="1:12" hidden="1" x14ac:dyDescent="0.25">
      <c r="A8292" s="130"/>
      <c r="B8292" s="130"/>
      <c r="C8292" s="132"/>
      <c r="D8292" s="129"/>
      <c r="E8292" s="129"/>
      <c r="F8292" s="129"/>
      <c r="G8292" s="129"/>
      <c r="H8292" s="129"/>
      <c r="I8292" s="131"/>
      <c r="J8292" s="132"/>
      <c r="K8292" s="130"/>
      <c r="L8292" s="133"/>
    </row>
    <row r="8293" spans="1:12" hidden="1" x14ac:dyDescent="0.25">
      <c r="A8293" s="130"/>
      <c r="B8293" s="130"/>
      <c r="C8293" s="132"/>
      <c r="D8293" s="129"/>
      <c r="E8293" s="129"/>
      <c r="F8293" s="129"/>
      <c r="G8293" s="129"/>
      <c r="H8293" s="129"/>
      <c r="I8293" s="131"/>
      <c r="J8293" s="132"/>
      <c r="K8293" s="130"/>
      <c r="L8293" s="133"/>
    </row>
    <row r="8294" spans="1:12" hidden="1" x14ac:dyDescent="0.25">
      <c r="A8294" s="130"/>
      <c r="B8294" s="130"/>
      <c r="C8294" s="132"/>
      <c r="D8294" s="129"/>
      <c r="E8294" s="25"/>
      <c r="F8294" s="25"/>
      <c r="G8294" s="25"/>
      <c r="H8294" s="25"/>
      <c r="I8294" s="131"/>
      <c r="J8294" s="132"/>
      <c r="K8294" s="130"/>
      <c r="L8294" s="133"/>
    </row>
    <row r="8295" spans="1:12" hidden="1" x14ac:dyDescent="0.25">
      <c r="A8295" s="130"/>
      <c r="B8295" s="130"/>
      <c r="C8295" s="132"/>
      <c r="D8295" s="129"/>
      <c r="E8295" s="129"/>
      <c r="F8295" s="129"/>
      <c r="G8295" s="129"/>
      <c r="H8295" s="129"/>
      <c r="I8295" s="131"/>
      <c r="J8295" s="132"/>
      <c r="K8295" s="130"/>
      <c r="L8295" s="133"/>
    </row>
    <row r="8296" spans="1:12" hidden="1" x14ac:dyDescent="0.25">
      <c r="A8296" s="130"/>
      <c r="B8296" s="130"/>
      <c r="C8296" s="132"/>
      <c r="D8296" s="129"/>
      <c r="E8296" s="129"/>
      <c r="F8296" s="129"/>
      <c r="G8296" s="129"/>
      <c r="H8296" s="129"/>
      <c r="I8296" s="131"/>
      <c r="J8296" s="132"/>
      <c r="K8296" s="130"/>
      <c r="L8296" s="133"/>
    </row>
    <row r="8297" spans="1:12" hidden="1" x14ac:dyDescent="0.25">
      <c r="A8297" s="130"/>
      <c r="B8297" s="130"/>
      <c r="C8297" s="132"/>
      <c r="D8297" s="129"/>
      <c r="E8297" s="25"/>
      <c r="F8297" s="25"/>
      <c r="G8297" s="25"/>
      <c r="H8297" s="25"/>
      <c r="I8297" s="131"/>
      <c r="J8297" s="132"/>
      <c r="K8297" s="130"/>
      <c r="L8297" s="133"/>
    </row>
    <row r="8298" spans="1:12" hidden="1" x14ac:dyDescent="0.25">
      <c r="A8298" s="130"/>
      <c r="B8298" s="130"/>
      <c r="C8298" s="132"/>
      <c r="D8298" s="129"/>
      <c r="E8298" s="129"/>
      <c r="F8298" s="129"/>
      <c r="G8298" s="129"/>
      <c r="H8298" s="129"/>
      <c r="I8298" s="131"/>
      <c r="J8298" s="132"/>
      <c r="K8298" s="130"/>
      <c r="L8298" s="133"/>
    </row>
    <row r="8299" spans="1:12" hidden="1" x14ac:dyDescent="0.25">
      <c r="A8299" s="130"/>
      <c r="B8299" s="130"/>
      <c r="C8299" s="132"/>
      <c r="D8299" s="129"/>
      <c r="E8299" s="129"/>
      <c r="F8299" s="129"/>
      <c r="G8299" s="129"/>
      <c r="H8299" s="129"/>
      <c r="I8299" s="131"/>
      <c r="J8299" s="132"/>
      <c r="K8299" s="130"/>
      <c r="L8299" s="133"/>
    </row>
    <row r="8300" spans="1:12" hidden="1" x14ac:dyDescent="0.25">
      <c r="A8300" s="130"/>
      <c r="B8300" s="130"/>
      <c r="C8300" s="132"/>
      <c r="D8300" s="129"/>
      <c r="E8300" s="25"/>
      <c r="F8300" s="25"/>
      <c r="G8300" s="25"/>
      <c r="H8300" s="25"/>
      <c r="I8300" s="131"/>
      <c r="J8300" s="132"/>
      <c r="K8300" s="130"/>
      <c r="L8300" s="133"/>
    </row>
    <row r="8301" spans="1:12" hidden="1" x14ac:dyDescent="0.25">
      <c r="A8301" s="130"/>
      <c r="B8301" s="130"/>
      <c r="C8301" s="132"/>
      <c r="D8301" s="129"/>
      <c r="E8301" s="129"/>
      <c r="F8301" s="129"/>
      <c r="G8301" s="129"/>
      <c r="H8301" s="129"/>
      <c r="I8301" s="131"/>
      <c r="J8301" s="132"/>
      <c r="K8301" s="130"/>
      <c r="L8301" s="133"/>
    </row>
    <row r="8302" spans="1:12" hidden="1" x14ac:dyDescent="0.25">
      <c r="A8302" s="130"/>
      <c r="B8302" s="130"/>
      <c r="C8302" s="132"/>
      <c r="D8302" s="129"/>
      <c r="E8302" s="129"/>
      <c r="F8302" s="129"/>
      <c r="G8302" s="129"/>
      <c r="H8302" s="129"/>
      <c r="I8302" s="131"/>
      <c r="J8302" s="132"/>
      <c r="K8302" s="130"/>
      <c r="L8302" s="133"/>
    </row>
    <row r="8303" spans="1:12" hidden="1" x14ac:dyDescent="0.25">
      <c r="A8303" s="130"/>
      <c r="B8303" s="130"/>
      <c r="C8303" s="132"/>
      <c r="D8303" s="129"/>
      <c r="E8303" s="25"/>
      <c r="F8303" s="25"/>
      <c r="G8303" s="25"/>
      <c r="H8303" s="25"/>
      <c r="I8303" s="131"/>
      <c r="J8303" s="132"/>
      <c r="K8303" s="130"/>
      <c r="L8303" s="133"/>
    </row>
    <row r="8304" spans="1:12" hidden="1" x14ac:dyDescent="0.25">
      <c r="A8304" s="130"/>
      <c r="B8304" s="130"/>
      <c r="C8304" s="132"/>
      <c r="D8304" s="129"/>
      <c r="E8304" s="129"/>
      <c r="F8304" s="129"/>
      <c r="G8304" s="129"/>
      <c r="H8304" s="129"/>
      <c r="I8304" s="131"/>
      <c r="J8304" s="132"/>
      <c r="K8304" s="130"/>
      <c r="L8304" s="133"/>
    </row>
    <row r="8305" spans="1:12" hidden="1" x14ac:dyDescent="0.25">
      <c r="A8305" s="130"/>
      <c r="B8305" s="130"/>
      <c r="C8305" s="132"/>
      <c r="D8305" s="129"/>
      <c r="E8305" s="129"/>
      <c r="F8305" s="129"/>
      <c r="G8305" s="129"/>
      <c r="H8305" s="129"/>
      <c r="I8305" s="131"/>
      <c r="J8305" s="132"/>
      <c r="K8305" s="130"/>
      <c r="L8305" s="133"/>
    </row>
    <row r="8306" spans="1:12" hidden="1" x14ac:dyDescent="0.25">
      <c r="A8306" s="130"/>
      <c r="B8306" s="130"/>
      <c r="C8306" s="132"/>
      <c r="D8306" s="129"/>
      <c r="E8306" s="129"/>
      <c r="F8306" s="129"/>
      <c r="G8306" s="129"/>
      <c r="H8306" s="129"/>
      <c r="I8306" s="131"/>
      <c r="J8306" s="132"/>
      <c r="K8306" s="130"/>
      <c r="L8306" s="133"/>
    </row>
    <row r="8307" spans="1:12" hidden="1" x14ac:dyDescent="0.25">
      <c r="A8307" s="130"/>
      <c r="B8307" s="130"/>
      <c r="C8307" s="132"/>
      <c r="D8307" s="129"/>
      <c r="E8307" s="129"/>
      <c r="F8307" s="129"/>
      <c r="G8307" s="129"/>
      <c r="H8307" s="129"/>
      <c r="I8307" s="131"/>
      <c r="J8307" s="132"/>
      <c r="K8307" s="130"/>
      <c r="L8307" s="133"/>
    </row>
    <row r="8308" spans="1:12" hidden="1" x14ac:dyDescent="0.25">
      <c r="A8308" s="130"/>
      <c r="B8308" s="130"/>
      <c r="C8308" s="132"/>
      <c r="D8308" s="129"/>
      <c r="E8308" s="129"/>
      <c r="F8308" s="129"/>
      <c r="G8308" s="129"/>
      <c r="H8308" s="129"/>
      <c r="I8308" s="131"/>
      <c r="J8308" s="132"/>
      <c r="K8308" s="99"/>
      <c r="L8308" s="133"/>
    </row>
    <row r="8309" spans="1:12" hidden="1" x14ac:dyDescent="0.25">
      <c r="A8309" s="130"/>
      <c r="B8309" s="130"/>
      <c r="C8309" s="132"/>
      <c r="D8309" s="129"/>
      <c r="E8309" s="129"/>
      <c r="F8309" s="129"/>
      <c r="G8309" s="129"/>
      <c r="H8309" s="129"/>
      <c r="I8309" s="131"/>
      <c r="J8309" s="132"/>
      <c r="K8309" s="130"/>
      <c r="L8309" s="133"/>
    </row>
    <row r="8310" spans="1:12" hidden="1" x14ac:dyDescent="0.25">
      <c r="A8310" s="130"/>
      <c r="B8310" s="130"/>
      <c r="C8310" s="132"/>
      <c r="D8310" s="129"/>
      <c r="E8310" s="25"/>
      <c r="F8310" s="25"/>
      <c r="G8310" s="25"/>
      <c r="H8310" s="25"/>
      <c r="I8310" s="131"/>
      <c r="J8310" s="132"/>
      <c r="K8310" s="130"/>
      <c r="L8310" s="133"/>
    </row>
    <row r="8311" spans="1:12" hidden="1" x14ac:dyDescent="0.25">
      <c r="A8311" s="130"/>
      <c r="B8311" s="130"/>
      <c r="C8311" s="132"/>
      <c r="D8311" s="129"/>
      <c r="E8311" s="129"/>
      <c r="F8311" s="129"/>
      <c r="G8311" s="129"/>
      <c r="H8311" s="129"/>
      <c r="I8311" s="131"/>
      <c r="J8311" s="132"/>
      <c r="K8311" s="130"/>
      <c r="L8311" s="133"/>
    </row>
    <row r="8312" spans="1:12" hidden="1" x14ac:dyDescent="0.25">
      <c r="A8312" s="130"/>
      <c r="B8312" s="130"/>
      <c r="C8312" s="132"/>
      <c r="D8312" s="129"/>
      <c r="E8312" s="129"/>
      <c r="F8312" s="129"/>
      <c r="G8312" s="129"/>
      <c r="H8312" s="129"/>
      <c r="I8312" s="131"/>
      <c r="J8312" s="132"/>
      <c r="K8312" s="130"/>
      <c r="L8312" s="133"/>
    </row>
    <row r="8313" spans="1:12" hidden="1" x14ac:dyDescent="0.25">
      <c r="A8313" s="130"/>
      <c r="B8313" s="130"/>
      <c r="C8313" s="132"/>
      <c r="D8313" s="129"/>
      <c r="E8313" s="129"/>
      <c r="F8313" s="129"/>
      <c r="G8313" s="129"/>
      <c r="H8313" s="129"/>
      <c r="I8313" s="131"/>
      <c r="J8313" s="132"/>
      <c r="K8313" s="130"/>
      <c r="L8313" s="133"/>
    </row>
    <row r="8314" spans="1:12" hidden="1" x14ac:dyDescent="0.25">
      <c r="A8314" s="130"/>
      <c r="B8314" s="130"/>
      <c r="C8314" s="132"/>
      <c r="D8314" s="129"/>
      <c r="E8314" s="129"/>
      <c r="F8314" s="129"/>
      <c r="G8314" s="129"/>
      <c r="H8314" s="129"/>
      <c r="I8314" s="131"/>
      <c r="J8314" s="132"/>
      <c r="K8314" s="130"/>
      <c r="L8314" s="133"/>
    </row>
    <row r="8315" spans="1:12" hidden="1" x14ac:dyDescent="0.25">
      <c r="A8315" s="130"/>
      <c r="B8315" s="130"/>
      <c r="C8315" s="132"/>
      <c r="D8315" s="129"/>
      <c r="E8315" s="129"/>
      <c r="F8315" s="129"/>
      <c r="G8315" s="129"/>
      <c r="H8315" s="129"/>
      <c r="I8315" s="131"/>
      <c r="J8315" s="132"/>
      <c r="K8315" s="130"/>
      <c r="L8315" s="133"/>
    </row>
    <row r="8316" spans="1:12" hidden="1" x14ac:dyDescent="0.25">
      <c r="A8316" s="130"/>
      <c r="B8316" s="130"/>
      <c r="C8316" s="132"/>
      <c r="D8316" s="129"/>
      <c r="E8316" s="129"/>
      <c r="F8316" s="129"/>
      <c r="G8316" s="129"/>
      <c r="H8316" s="129"/>
      <c r="I8316" s="131"/>
      <c r="J8316" s="132"/>
      <c r="K8316" s="130"/>
      <c r="L8316" s="133"/>
    </row>
    <row r="8317" spans="1:12" hidden="1" x14ac:dyDescent="0.25">
      <c r="A8317" s="130"/>
      <c r="B8317" s="130"/>
      <c r="C8317" s="132"/>
      <c r="D8317" s="129"/>
      <c r="E8317" s="129"/>
      <c r="F8317" s="129"/>
      <c r="G8317" s="129"/>
      <c r="H8317" s="129"/>
      <c r="I8317" s="131"/>
      <c r="J8317" s="132"/>
      <c r="K8317" s="130"/>
      <c r="L8317" s="133"/>
    </row>
    <row r="8318" spans="1:12" hidden="1" x14ac:dyDescent="0.25">
      <c r="A8318" s="130"/>
      <c r="B8318" s="130"/>
      <c r="C8318" s="132"/>
      <c r="D8318" s="129"/>
      <c r="E8318" s="129"/>
      <c r="F8318" s="129"/>
      <c r="G8318" s="129"/>
      <c r="H8318" s="129"/>
      <c r="I8318" s="131"/>
      <c r="J8318" s="132"/>
      <c r="K8318" s="130"/>
      <c r="L8318" s="133"/>
    </row>
    <row r="8319" spans="1:12" hidden="1" x14ac:dyDescent="0.25">
      <c r="A8319" s="130"/>
      <c r="B8319" s="130"/>
      <c r="C8319" s="132"/>
      <c r="D8319" s="129"/>
      <c r="E8319" s="129"/>
      <c r="F8319" s="129"/>
      <c r="G8319" s="129"/>
      <c r="H8319" s="129"/>
      <c r="I8319" s="131"/>
      <c r="J8319" s="132"/>
      <c r="K8319" s="130"/>
      <c r="L8319" s="133"/>
    </row>
    <row r="8320" spans="1:12" hidden="1" x14ac:dyDescent="0.25">
      <c r="A8320" s="130"/>
      <c r="B8320" s="130"/>
      <c r="C8320" s="132"/>
      <c r="D8320" s="129"/>
      <c r="E8320" s="129"/>
      <c r="F8320" s="129"/>
      <c r="G8320" s="129"/>
      <c r="H8320" s="129"/>
      <c r="I8320" s="131"/>
      <c r="J8320" s="132"/>
      <c r="K8320" s="130"/>
      <c r="L8320" s="133"/>
    </row>
    <row r="8321" spans="1:12" hidden="1" x14ac:dyDescent="0.25">
      <c r="A8321" s="130"/>
      <c r="B8321" s="130"/>
      <c r="C8321" s="132"/>
      <c r="D8321" s="129"/>
      <c r="E8321" s="129"/>
      <c r="F8321" s="129"/>
      <c r="G8321" s="129"/>
      <c r="H8321" s="129"/>
      <c r="I8321" s="131"/>
      <c r="J8321" s="132"/>
      <c r="K8321" s="130"/>
      <c r="L8321" s="133"/>
    </row>
    <row r="8322" spans="1:12" hidden="1" x14ac:dyDescent="0.25">
      <c r="A8322" s="130"/>
      <c r="B8322" s="130"/>
      <c r="C8322" s="132"/>
      <c r="D8322" s="129"/>
      <c r="E8322" s="129"/>
      <c r="F8322" s="129"/>
      <c r="G8322" s="129"/>
      <c r="H8322" s="129"/>
      <c r="I8322" s="131"/>
      <c r="J8322" s="132"/>
      <c r="K8322" s="130"/>
      <c r="L8322" s="133"/>
    </row>
    <row r="8323" spans="1:12" hidden="1" x14ac:dyDescent="0.25">
      <c r="A8323" s="130"/>
      <c r="B8323" s="130"/>
      <c r="C8323" s="132"/>
      <c r="D8323" s="129"/>
      <c r="E8323" s="129"/>
      <c r="F8323" s="129"/>
      <c r="G8323" s="129"/>
      <c r="H8323" s="129"/>
      <c r="I8323" s="131"/>
      <c r="J8323" s="132"/>
      <c r="K8323" s="130"/>
      <c r="L8323" s="133"/>
    </row>
    <row r="8324" spans="1:12" hidden="1" x14ac:dyDescent="0.25">
      <c r="A8324" s="130"/>
      <c r="B8324" s="130"/>
      <c r="C8324" s="132"/>
      <c r="D8324" s="129"/>
      <c r="E8324" s="129"/>
      <c r="F8324" s="129"/>
      <c r="G8324" s="129"/>
      <c r="H8324" s="129"/>
      <c r="I8324" s="131"/>
      <c r="J8324" s="132"/>
      <c r="K8324" s="130"/>
      <c r="L8324" s="133"/>
    </row>
    <row r="8325" spans="1:12" hidden="1" x14ac:dyDescent="0.25">
      <c r="A8325" s="130"/>
      <c r="B8325" s="130"/>
      <c r="C8325" s="132"/>
      <c r="D8325" s="129"/>
      <c r="E8325" s="129"/>
      <c r="F8325" s="129"/>
      <c r="G8325" s="129"/>
      <c r="H8325" s="129"/>
      <c r="I8325" s="131"/>
      <c r="J8325" s="132"/>
      <c r="K8325" s="130"/>
      <c r="L8325" s="133"/>
    </row>
    <row r="8326" spans="1:12" hidden="1" x14ac:dyDescent="0.25">
      <c r="A8326" s="130"/>
      <c r="B8326" s="130"/>
      <c r="C8326" s="132"/>
      <c r="D8326" s="129"/>
      <c r="E8326" s="129"/>
      <c r="F8326" s="129"/>
      <c r="G8326" s="129"/>
      <c r="H8326" s="129"/>
      <c r="I8326" s="131"/>
      <c r="J8326" s="132"/>
      <c r="K8326" s="130"/>
      <c r="L8326" s="133"/>
    </row>
    <row r="8327" spans="1:12" hidden="1" x14ac:dyDescent="0.25">
      <c r="A8327" s="130"/>
      <c r="B8327" s="130"/>
      <c r="C8327" s="132"/>
      <c r="D8327" s="129"/>
      <c r="E8327" s="129"/>
      <c r="F8327" s="129"/>
      <c r="G8327" s="129"/>
      <c r="H8327" s="129"/>
      <c r="I8327" s="131"/>
      <c r="J8327" s="132"/>
      <c r="K8327" s="130"/>
      <c r="L8327" s="133"/>
    </row>
    <row r="8328" spans="1:12" hidden="1" x14ac:dyDescent="0.25">
      <c r="A8328" s="130"/>
      <c r="B8328" s="130"/>
      <c r="C8328" s="132"/>
      <c r="D8328" s="129"/>
      <c r="E8328" s="129"/>
      <c r="F8328" s="129"/>
      <c r="G8328" s="129"/>
      <c r="H8328" s="129"/>
      <c r="I8328" s="131"/>
      <c r="J8328" s="132"/>
      <c r="K8328" s="130"/>
      <c r="L8328" s="133"/>
    </row>
    <row r="8329" spans="1:12" hidden="1" x14ac:dyDescent="0.25">
      <c r="A8329" s="130"/>
      <c r="B8329" s="130"/>
      <c r="C8329" s="132"/>
      <c r="D8329" s="129"/>
      <c r="E8329" s="129"/>
      <c r="F8329" s="129"/>
      <c r="G8329" s="129"/>
      <c r="H8329" s="129"/>
      <c r="I8329" s="131"/>
      <c r="J8329" s="132"/>
      <c r="K8329" s="130"/>
      <c r="L8329" s="133"/>
    </row>
    <row r="8330" spans="1:12" hidden="1" x14ac:dyDescent="0.25">
      <c r="A8330" s="130"/>
      <c r="B8330" s="130"/>
      <c r="C8330" s="132"/>
      <c r="D8330" s="129"/>
      <c r="E8330" s="129"/>
      <c r="F8330" s="129"/>
      <c r="G8330" s="129"/>
      <c r="H8330" s="129"/>
      <c r="I8330" s="131"/>
      <c r="J8330" s="132"/>
      <c r="K8330" s="130"/>
      <c r="L8330" s="133"/>
    </row>
    <row r="8331" spans="1:12" hidden="1" x14ac:dyDescent="0.25">
      <c r="A8331" s="130"/>
      <c r="B8331" s="130"/>
      <c r="C8331" s="132"/>
      <c r="D8331" s="129"/>
      <c r="E8331" s="129"/>
      <c r="F8331" s="129"/>
      <c r="G8331" s="129"/>
      <c r="H8331" s="129"/>
      <c r="I8331" s="131"/>
      <c r="J8331" s="132"/>
      <c r="K8331" s="130"/>
      <c r="L8331" s="133"/>
    </row>
    <row r="8332" spans="1:12" hidden="1" x14ac:dyDescent="0.25">
      <c r="A8332" s="130"/>
      <c r="B8332" s="130"/>
      <c r="C8332" s="132"/>
      <c r="D8332" s="129"/>
      <c r="E8332" s="129"/>
      <c r="F8332" s="129"/>
      <c r="G8332" s="129"/>
      <c r="H8332" s="129"/>
      <c r="I8332" s="131"/>
      <c r="J8332" s="132"/>
      <c r="K8332" s="130"/>
      <c r="L8332" s="133"/>
    </row>
    <row r="8333" spans="1:12" hidden="1" x14ac:dyDescent="0.25">
      <c r="A8333" s="130"/>
      <c r="B8333" s="130"/>
      <c r="C8333" s="132"/>
      <c r="D8333" s="129"/>
      <c r="E8333" s="129"/>
      <c r="F8333" s="129"/>
      <c r="G8333" s="129"/>
      <c r="H8333" s="129"/>
      <c r="I8333" s="131"/>
      <c r="J8333" s="132"/>
      <c r="K8333" s="130"/>
      <c r="L8333" s="133"/>
    </row>
    <row r="8334" spans="1:12" hidden="1" x14ac:dyDescent="0.25">
      <c r="A8334" s="130"/>
      <c r="B8334" s="130"/>
      <c r="C8334" s="132"/>
      <c r="D8334" s="129"/>
      <c r="E8334" s="129"/>
      <c r="F8334" s="129"/>
      <c r="G8334" s="129"/>
      <c r="H8334" s="129"/>
      <c r="I8334" s="131"/>
      <c r="J8334" s="132"/>
      <c r="K8334" s="130"/>
      <c r="L8334" s="133"/>
    </row>
    <row r="8335" spans="1:12" hidden="1" x14ac:dyDescent="0.25">
      <c r="A8335" s="130"/>
      <c r="B8335" s="130"/>
      <c r="C8335" s="132"/>
      <c r="D8335" s="129"/>
      <c r="E8335" s="129"/>
      <c r="F8335" s="129"/>
      <c r="G8335" s="129"/>
      <c r="H8335" s="129"/>
      <c r="I8335" s="131"/>
      <c r="J8335" s="132"/>
      <c r="K8335" s="130"/>
      <c r="L8335" s="133"/>
    </row>
    <row r="8336" spans="1:12" hidden="1" x14ac:dyDescent="0.25">
      <c r="A8336" s="130"/>
      <c r="B8336" s="130"/>
      <c r="C8336" s="132"/>
      <c r="D8336" s="129"/>
      <c r="E8336" s="129"/>
      <c r="F8336" s="129"/>
      <c r="G8336" s="129"/>
      <c r="H8336" s="129"/>
      <c r="I8336" s="131"/>
      <c r="J8336" s="132"/>
      <c r="K8336" s="130"/>
      <c r="L8336" s="133"/>
    </row>
    <row r="8337" spans="1:12" hidden="1" x14ac:dyDescent="0.25">
      <c r="A8337" s="130"/>
      <c r="B8337" s="130"/>
      <c r="C8337" s="132"/>
      <c r="D8337" s="129"/>
      <c r="E8337" s="129"/>
      <c r="F8337" s="129"/>
      <c r="G8337" s="129"/>
      <c r="H8337" s="129"/>
      <c r="I8337" s="131"/>
      <c r="J8337" s="132"/>
      <c r="K8337" s="130"/>
      <c r="L8337" s="133"/>
    </row>
    <row r="8338" spans="1:12" hidden="1" x14ac:dyDescent="0.25">
      <c r="A8338" s="130"/>
      <c r="B8338" s="130"/>
      <c r="C8338" s="132"/>
      <c r="D8338" s="129"/>
      <c r="E8338" s="129"/>
      <c r="F8338" s="129"/>
      <c r="G8338" s="129"/>
      <c r="H8338" s="129"/>
      <c r="I8338" s="131"/>
      <c r="J8338" s="132"/>
      <c r="K8338" s="130"/>
      <c r="L8338" s="133"/>
    </row>
    <row r="8339" spans="1:12" hidden="1" x14ac:dyDescent="0.25">
      <c r="A8339" s="130"/>
      <c r="B8339" s="130"/>
      <c r="C8339" s="132"/>
      <c r="D8339" s="129"/>
      <c r="E8339" s="129"/>
      <c r="F8339" s="129"/>
      <c r="G8339" s="129"/>
      <c r="H8339" s="129"/>
      <c r="I8339" s="131"/>
      <c r="J8339" s="132"/>
      <c r="K8339" s="130"/>
      <c r="L8339" s="133"/>
    </row>
    <row r="8340" spans="1:12" hidden="1" x14ac:dyDescent="0.25">
      <c r="A8340" s="130"/>
      <c r="B8340" s="130"/>
      <c r="C8340" s="132"/>
      <c r="D8340" s="129"/>
      <c r="E8340" s="129"/>
      <c r="F8340" s="129"/>
      <c r="G8340" s="129"/>
      <c r="H8340" s="129"/>
      <c r="I8340" s="131"/>
      <c r="J8340" s="132"/>
      <c r="K8340" s="130"/>
      <c r="L8340" s="133"/>
    </row>
    <row r="8341" spans="1:12" hidden="1" x14ac:dyDescent="0.25">
      <c r="A8341" s="130"/>
      <c r="B8341" s="130"/>
      <c r="C8341" s="132"/>
      <c r="D8341" s="129"/>
      <c r="E8341" s="129"/>
      <c r="F8341" s="129"/>
      <c r="G8341" s="129"/>
      <c r="H8341" s="129"/>
      <c r="I8341" s="131"/>
      <c r="J8341" s="132"/>
      <c r="K8341" s="130"/>
      <c r="L8341" s="133"/>
    </row>
    <row r="8342" spans="1:12" hidden="1" x14ac:dyDescent="0.25">
      <c r="A8342" s="130"/>
      <c r="B8342" s="130"/>
      <c r="C8342" s="132"/>
      <c r="D8342" s="129"/>
      <c r="E8342" s="129"/>
      <c r="F8342" s="129"/>
      <c r="G8342" s="129"/>
      <c r="H8342" s="129"/>
      <c r="I8342" s="131"/>
      <c r="J8342" s="132"/>
      <c r="K8342" s="130"/>
      <c r="L8342" s="133"/>
    </row>
    <row r="8343" spans="1:12" hidden="1" x14ac:dyDescent="0.25">
      <c r="A8343" s="130"/>
      <c r="B8343" s="130"/>
      <c r="C8343" s="132"/>
      <c r="D8343" s="129"/>
      <c r="E8343" s="129"/>
      <c r="F8343" s="129"/>
      <c r="G8343" s="129"/>
      <c r="H8343" s="129"/>
      <c r="I8343" s="131"/>
      <c r="J8343" s="132"/>
      <c r="K8343" s="130"/>
      <c r="L8343" s="133"/>
    </row>
    <row r="8344" spans="1:12" hidden="1" x14ac:dyDescent="0.25">
      <c r="A8344" s="130"/>
      <c r="B8344" s="130"/>
      <c r="C8344" s="132"/>
      <c r="D8344" s="129"/>
      <c r="E8344" s="129"/>
      <c r="F8344" s="129"/>
      <c r="G8344" s="129"/>
      <c r="H8344" s="129"/>
      <c r="I8344" s="131"/>
      <c r="J8344" s="132"/>
      <c r="K8344" s="130"/>
      <c r="L8344" s="133"/>
    </row>
    <row r="8345" spans="1:12" hidden="1" x14ac:dyDescent="0.25">
      <c r="A8345" s="130"/>
      <c r="B8345" s="130"/>
      <c r="C8345" s="132"/>
      <c r="D8345" s="129"/>
      <c r="E8345" s="129"/>
      <c r="F8345" s="129"/>
      <c r="G8345" s="129"/>
      <c r="H8345" s="129"/>
      <c r="I8345" s="131"/>
      <c r="J8345" s="132"/>
      <c r="K8345" s="130"/>
      <c r="L8345" s="133"/>
    </row>
    <row r="8346" spans="1:12" hidden="1" x14ac:dyDescent="0.25">
      <c r="A8346" s="130"/>
      <c r="B8346" s="130"/>
      <c r="C8346" s="132"/>
      <c r="D8346" s="129"/>
      <c r="E8346" s="129"/>
      <c r="F8346" s="129"/>
      <c r="G8346" s="129"/>
      <c r="H8346" s="129"/>
      <c r="I8346" s="131"/>
      <c r="J8346" s="132"/>
      <c r="K8346" s="130"/>
      <c r="L8346" s="133"/>
    </row>
    <row r="8347" spans="1:12" hidden="1" x14ac:dyDescent="0.25">
      <c r="A8347" s="130"/>
      <c r="B8347" s="130"/>
      <c r="C8347" s="132"/>
      <c r="D8347" s="129"/>
      <c r="E8347" s="129"/>
      <c r="F8347" s="129"/>
      <c r="G8347" s="129"/>
      <c r="H8347" s="129"/>
      <c r="I8347" s="131"/>
      <c r="J8347" s="132"/>
      <c r="K8347" s="130"/>
      <c r="L8347" s="133"/>
    </row>
    <row r="8348" spans="1:12" hidden="1" x14ac:dyDescent="0.25">
      <c r="A8348" s="130"/>
      <c r="B8348" s="130"/>
      <c r="C8348" s="132"/>
      <c r="D8348" s="129"/>
      <c r="E8348" s="129"/>
      <c r="F8348" s="129"/>
      <c r="G8348" s="129"/>
      <c r="H8348" s="129"/>
      <c r="I8348" s="131"/>
      <c r="J8348" s="132"/>
      <c r="K8348" s="130"/>
      <c r="L8348" s="133"/>
    </row>
    <row r="8349" spans="1:12" hidden="1" x14ac:dyDescent="0.25">
      <c r="A8349" s="130"/>
      <c r="B8349" s="130"/>
      <c r="C8349" s="132"/>
      <c r="D8349" s="129"/>
      <c r="E8349" s="129"/>
      <c r="F8349" s="129"/>
      <c r="G8349" s="129"/>
      <c r="H8349" s="129"/>
      <c r="I8349" s="131"/>
      <c r="J8349" s="132"/>
      <c r="K8349" s="130"/>
      <c r="L8349" s="133"/>
    </row>
    <row r="8350" spans="1:12" hidden="1" x14ac:dyDescent="0.25">
      <c r="A8350" s="130"/>
      <c r="B8350" s="130"/>
      <c r="C8350" s="132"/>
      <c r="D8350" s="129"/>
      <c r="E8350" s="129"/>
      <c r="F8350" s="129"/>
      <c r="G8350" s="129"/>
      <c r="H8350" s="129"/>
      <c r="I8350" s="131"/>
      <c r="J8350" s="132"/>
      <c r="K8350" s="130"/>
      <c r="L8350" s="133"/>
    </row>
    <row r="8351" spans="1:12" hidden="1" x14ac:dyDescent="0.25">
      <c r="A8351" s="130"/>
      <c r="B8351" s="130"/>
      <c r="C8351" s="132"/>
      <c r="D8351" s="129"/>
      <c r="E8351" s="129"/>
      <c r="F8351" s="129"/>
      <c r="G8351" s="129"/>
      <c r="H8351" s="129"/>
      <c r="I8351" s="131"/>
      <c r="J8351" s="132"/>
      <c r="K8351" s="130"/>
      <c r="L8351" s="133"/>
    </row>
    <row r="8352" spans="1:12" hidden="1" x14ac:dyDescent="0.25">
      <c r="A8352" s="130"/>
      <c r="B8352" s="130"/>
      <c r="C8352" s="132"/>
      <c r="D8352" s="129"/>
      <c r="E8352" s="129"/>
      <c r="F8352" s="129"/>
      <c r="G8352" s="129"/>
      <c r="H8352" s="129"/>
      <c r="I8352" s="131"/>
      <c r="J8352" s="132"/>
      <c r="K8352" s="130"/>
      <c r="L8352" s="133"/>
    </row>
    <row r="8353" spans="1:12" hidden="1" x14ac:dyDescent="0.25">
      <c r="A8353" s="130"/>
      <c r="B8353" s="130"/>
      <c r="C8353" s="132"/>
      <c r="D8353" s="129"/>
      <c r="E8353" s="129"/>
      <c r="F8353" s="129"/>
      <c r="G8353" s="129"/>
      <c r="H8353" s="129"/>
      <c r="I8353" s="131"/>
      <c r="J8353" s="132"/>
      <c r="K8353" s="130"/>
      <c r="L8353" s="133"/>
    </row>
    <row r="8354" spans="1:12" hidden="1" x14ac:dyDescent="0.25">
      <c r="A8354" s="130"/>
      <c r="B8354" s="130"/>
      <c r="C8354" s="132"/>
      <c r="D8354" s="129"/>
      <c r="E8354" s="129"/>
      <c r="F8354" s="129"/>
      <c r="G8354" s="129"/>
      <c r="H8354" s="129"/>
      <c r="I8354" s="131"/>
      <c r="J8354" s="132"/>
      <c r="K8354" s="130"/>
      <c r="L8354" s="133"/>
    </row>
    <row r="8355" spans="1:12" hidden="1" x14ac:dyDescent="0.25">
      <c r="A8355" s="130"/>
      <c r="B8355" s="130"/>
      <c r="C8355" s="132"/>
      <c r="D8355" s="129"/>
      <c r="E8355" s="129"/>
      <c r="F8355" s="129"/>
      <c r="G8355" s="129"/>
      <c r="H8355" s="129"/>
      <c r="I8355" s="131"/>
      <c r="J8355" s="132"/>
      <c r="K8355" s="130"/>
      <c r="L8355" s="133"/>
    </row>
    <row r="8356" spans="1:12" hidden="1" x14ac:dyDescent="0.25">
      <c r="A8356" s="130"/>
      <c r="B8356" s="130"/>
      <c r="C8356" s="132"/>
      <c r="D8356" s="129"/>
      <c r="E8356" s="129"/>
      <c r="F8356" s="129"/>
      <c r="G8356" s="129"/>
      <c r="H8356" s="129"/>
      <c r="I8356" s="131"/>
      <c r="J8356" s="132"/>
      <c r="K8356" s="130"/>
      <c r="L8356" s="133"/>
    </row>
    <row r="8357" spans="1:12" hidden="1" x14ac:dyDescent="0.25">
      <c r="A8357" s="130"/>
      <c r="B8357" s="130"/>
      <c r="C8357" s="132"/>
      <c r="D8357" s="129"/>
      <c r="E8357" s="129"/>
      <c r="F8357" s="129"/>
      <c r="G8357" s="129"/>
      <c r="H8357" s="129"/>
      <c r="I8357" s="131"/>
      <c r="J8357" s="132"/>
      <c r="K8357" s="130"/>
      <c r="L8357" s="133"/>
    </row>
    <row r="8358" spans="1:12" hidden="1" x14ac:dyDescent="0.25">
      <c r="A8358" s="130"/>
      <c r="B8358" s="130"/>
      <c r="C8358" s="132"/>
      <c r="D8358" s="129"/>
      <c r="E8358" s="129"/>
      <c r="F8358" s="129"/>
      <c r="G8358" s="129"/>
      <c r="H8358" s="129"/>
      <c r="I8358" s="131"/>
      <c r="J8358" s="132"/>
      <c r="K8358" s="130"/>
      <c r="L8358" s="133"/>
    </row>
    <row r="8359" spans="1:12" hidden="1" x14ac:dyDescent="0.25">
      <c r="A8359" s="130"/>
      <c r="B8359" s="130"/>
      <c r="C8359" s="132"/>
      <c r="D8359" s="129"/>
      <c r="E8359" s="129"/>
      <c r="F8359" s="129"/>
      <c r="G8359" s="129"/>
      <c r="H8359" s="129"/>
      <c r="I8359" s="131"/>
      <c r="J8359" s="132"/>
      <c r="K8359" s="130"/>
      <c r="L8359" s="133"/>
    </row>
    <row r="8360" spans="1:12" hidden="1" x14ac:dyDescent="0.25">
      <c r="A8360" s="130"/>
      <c r="B8360" s="130"/>
      <c r="C8360" s="132"/>
      <c r="D8360" s="129"/>
      <c r="E8360" s="129"/>
      <c r="F8360" s="129"/>
      <c r="G8360" s="129"/>
      <c r="H8360" s="129"/>
      <c r="I8360" s="131"/>
      <c r="J8360" s="132"/>
      <c r="K8360" s="130"/>
      <c r="L8360" s="133"/>
    </row>
    <row r="8361" spans="1:12" x14ac:dyDescent="0.25">
      <c r="A8361" s="148"/>
      <c r="B8361" s="148"/>
      <c r="C8361" s="149"/>
      <c r="D8361" s="150"/>
      <c r="E8361" s="150"/>
      <c r="F8361" s="150"/>
      <c r="G8361" s="150"/>
      <c r="H8361" s="150"/>
      <c r="I8361" s="151"/>
      <c r="J8361" s="149"/>
      <c r="K8361" s="148"/>
      <c r="L8361" s="133"/>
    </row>
    <row r="8362" spans="1:12" x14ac:dyDescent="0.25">
      <c r="A8362" s="148"/>
      <c r="B8362" s="148"/>
      <c r="C8362" s="149"/>
      <c r="D8362" s="150"/>
      <c r="E8362" s="150"/>
      <c r="F8362" s="150"/>
      <c r="G8362" s="150"/>
      <c r="H8362" s="150"/>
      <c r="I8362" s="151"/>
      <c r="J8362" s="149"/>
      <c r="K8362" s="148"/>
      <c r="L8362" s="133"/>
    </row>
    <row r="8363" spans="1:12" x14ac:dyDescent="0.25">
      <c r="A8363" s="148"/>
      <c r="B8363" s="148"/>
      <c r="C8363" s="149"/>
      <c r="D8363" s="150"/>
      <c r="E8363" s="150"/>
      <c r="F8363" s="150"/>
      <c r="G8363" s="150"/>
      <c r="H8363" s="150"/>
      <c r="I8363" s="151"/>
      <c r="J8363" s="149"/>
      <c r="K8363" s="148"/>
      <c r="L8363" s="133"/>
    </row>
    <row r="8364" spans="1:12" x14ac:dyDescent="0.25">
      <c r="A8364" s="148"/>
      <c r="B8364" s="148"/>
      <c r="C8364" s="149"/>
      <c r="D8364" s="150"/>
      <c r="E8364" s="150"/>
      <c r="F8364" s="150"/>
      <c r="G8364" s="150"/>
      <c r="H8364" s="150"/>
      <c r="I8364" s="151"/>
      <c r="J8364" s="149"/>
      <c r="K8364" s="148"/>
      <c r="L8364" s="133"/>
    </row>
    <row r="8365" spans="1:12" x14ac:dyDescent="0.25">
      <c r="A8365" s="148"/>
      <c r="B8365" s="148"/>
      <c r="C8365" s="149"/>
      <c r="D8365" s="150"/>
      <c r="E8365" s="150"/>
      <c r="F8365" s="150"/>
      <c r="G8365" s="150"/>
      <c r="H8365" s="150"/>
      <c r="I8365" s="151"/>
      <c r="J8365" s="149"/>
      <c r="K8365" s="148"/>
      <c r="L8365" s="133"/>
    </row>
    <row r="8366" spans="1:12" x14ac:dyDescent="0.25">
      <c r="A8366" s="148"/>
      <c r="B8366" s="148"/>
      <c r="C8366" s="149"/>
      <c r="D8366" s="150"/>
      <c r="E8366" s="150"/>
      <c r="F8366" s="150"/>
      <c r="G8366" s="150"/>
      <c r="H8366" s="150"/>
      <c r="I8366" s="151"/>
      <c r="J8366" s="149"/>
      <c r="K8366" s="148"/>
      <c r="L8366" s="133"/>
    </row>
    <row r="8367" spans="1:12" x14ac:dyDescent="0.25">
      <c r="A8367" s="148"/>
      <c r="B8367" s="148"/>
      <c r="C8367" s="149"/>
      <c r="D8367" s="150"/>
      <c r="E8367" s="150"/>
      <c r="F8367" s="150"/>
      <c r="G8367" s="150"/>
      <c r="H8367" s="150"/>
      <c r="I8367" s="151"/>
      <c r="J8367" s="149"/>
      <c r="K8367" s="148"/>
      <c r="L8367" s="133"/>
    </row>
    <row r="8368" spans="1:12" x14ac:dyDescent="0.25">
      <c r="A8368" s="148"/>
      <c r="B8368" s="148"/>
      <c r="C8368" s="149"/>
      <c r="D8368" s="150"/>
      <c r="E8368" s="150"/>
      <c r="F8368" s="150"/>
      <c r="G8368" s="150"/>
      <c r="H8368" s="150"/>
      <c r="I8368" s="151"/>
      <c r="J8368" s="149"/>
      <c r="K8368" s="148"/>
      <c r="L8368" s="133"/>
    </row>
    <row r="8369" spans="1:12" x14ac:dyDescent="0.25">
      <c r="A8369" s="148"/>
      <c r="B8369" s="148"/>
      <c r="C8369" s="149"/>
      <c r="D8369" s="150"/>
      <c r="E8369" s="150"/>
      <c r="F8369" s="150"/>
      <c r="G8369" s="150"/>
      <c r="H8369" s="150"/>
      <c r="I8369" s="151"/>
      <c r="J8369" s="149"/>
      <c r="K8369" s="148"/>
      <c r="L8369" s="133"/>
    </row>
    <row r="8370" spans="1:12" x14ac:dyDescent="0.25">
      <c r="A8370" s="148"/>
      <c r="B8370" s="148"/>
      <c r="C8370" s="149"/>
      <c r="D8370" s="150"/>
      <c r="E8370" s="150"/>
      <c r="F8370" s="150"/>
      <c r="G8370" s="150"/>
      <c r="H8370" s="150"/>
      <c r="I8370" s="151"/>
      <c r="J8370" s="149"/>
      <c r="K8370" s="148"/>
      <c r="L8370" s="133"/>
    </row>
    <row r="8371" spans="1:12" x14ac:dyDescent="0.25">
      <c r="A8371" s="148"/>
      <c r="B8371" s="148"/>
      <c r="C8371" s="149"/>
      <c r="D8371" s="150"/>
      <c r="E8371" s="150"/>
      <c r="F8371" s="150"/>
      <c r="G8371" s="150"/>
      <c r="H8371" s="150"/>
      <c r="I8371" s="151"/>
      <c r="J8371" s="149"/>
      <c r="K8371" s="148"/>
      <c r="L8371" s="133"/>
    </row>
    <row r="8372" spans="1:12" x14ac:dyDescent="0.25">
      <c r="A8372" s="148"/>
      <c r="B8372" s="148"/>
      <c r="C8372" s="149"/>
      <c r="D8372" s="150"/>
      <c r="E8372" s="150"/>
      <c r="F8372" s="150"/>
      <c r="G8372" s="150"/>
      <c r="H8372" s="150"/>
      <c r="I8372" s="151"/>
      <c r="J8372" s="149"/>
      <c r="K8372" s="148"/>
      <c r="L8372" s="133"/>
    </row>
    <row r="8373" spans="1:12" x14ac:dyDescent="0.25">
      <c r="A8373" s="148"/>
      <c r="B8373" s="148"/>
      <c r="C8373" s="149"/>
      <c r="D8373" s="150"/>
      <c r="E8373" s="150"/>
      <c r="F8373" s="150"/>
      <c r="G8373" s="150"/>
      <c r="H8373" s="150"/>
      <c r="I8373" s="151"/>
      <c r="J8373" s="149"/>
      <c r="K8373" s="148"/>
      <c r="L8373" s="133"/>
    </row>
    <row r="8374" spans="1:12" x14ac:dyDescent="0.25">
      <c r="A8374" s="148"/>
      <c r="B8374" s="148"/>
      <c r="C8374" s="149"/>
      <c r="D8374" s="150"/>
      <c r="E8374" s="150"/>
      <c r="F8374" s="150"/>
      <c r="G8374" s="150"/>
      <c r="H8374" s="150"/>
      <c r="I8374" s="151"/>
      <c r="J8374" s="149"/>
      <c r="K8374" s="148"/>
      <c r="L8374" s="133"/>
    </row>
    <row r="8375" spans="1:12" x14ac:dyDescent="0.25">
      <c r="A8375" s="148"/>
      <c r="B8375" s="148"/>
      <c r="C8375" s="149"/>
      <c r="D8375" s="150"/>
      <c r="E8375" s="150"/>
      <c r="F8375" s="150"/>
      <c r="G8375" s="150"/>
      <c r="H8375" s="150"/>
      <c r="I8375" s="151"/>
      <c r="J8375" s="149"/>
      <c r="K8375" s="148"/>
      <c r="L8375" s="133"/>
    </row>
    <row r="8376" spans="1:12" x14ac:dyDescent="0.25">
      <c r="A8376" s="148"/>
      <c r="B8376" s="148"/>
      <c r="C8376" s="149"/>
      <c r="D8376" s="150"/>
      <c r="E8376" s="150"/>
      <c r="F8376" s="150"/>
      <c r="G8376" s="150"/>
      <c r="H8376" s="150"/>
      <c r="I8376" s="151"/>
      <c r="J8376" s="149"/>
      <c r="K8376" s="148"/>
      <c r="L8376" s="133"/>
    </row>
    <row r="8377" spans="1:12" x14ac:dyDescent="0.25">
      <c r="A8377" s="148"/>
      <c r="B8377" s="148"/>
      <c r="C8377" s="149"/>
      <c r="D8377" s="150"/>
      <c r="E8377" s="150"/>
      <c r="F8377" s="150"/>
      <c r="G8377" s="150"/>
      <c r="H8377" s="150"/>
      <c r="I8377" s="151"/>
      <c r="J8377" s="149"/>
      <c r="K8377" s="148"/>
      <c r="L8377" s="133"/>
    </row>
    <row r="8378" spans="1:12" x14ac:dyDescent="0.25">
      <c r="A8378" s="148"/>
      <c r="B8378" s="148"/>
      <c r="C8378" s="149"/>
      <c r="D8378" s="150"/>
      <c r="E8378" s="150"/>
      <c r="F8378" s="150"/>
      <c r="G8378" s="150"/>
      <c r="H8378" s="150"/>
      <c r="I8378" s="151"/>
      <c r="J8378" s="149"/>
      <c r="K8378" s="148"/>
      <c r="L8378" s="133"/>
    </row>
    <row r="8379" spans="1:12" x14ac:dyDescent="0.25">
      <c r="A8379" s="148"/>
      <c r="B8379" s="148"/>
      <c r="C8379" s="149"/>
      <c r="D8379" s="150"/>
      <c r="E8379" s="150"/>
      <c r="F8379" s="150"/>
      <c r="G8379" s="150"/>
      <c r="H8379" s="150"/>
      <c r="I8379" s="151"/>
      <c r="J8379" s="149"/>
      <c r="K8379" s="148"/>
      <c r="L8379" s="133"/>
    </row>
    <row r="8380" spans="1:12" x14ac:dyDescent="0.25">
      <c r="A8380" s="148"/>
      <c r="B8380" s="148"/>
      <c r="C8380" s="149"/>
      <c r="D8380" s="150"/>
      <c r="E8380" s="150"/>
      <c r="F8380" s="150"/>
      <c r="G8380" s="150"/>
      <c r="H8380" s="150"/>
      <c r="I8380" s="151"/>
      <c r="J8380" s="149"/>
      <c r="K8380" s="148"/>
      <c r="L8380" s="133"/>
    </row>
    <row r="8381" spans="1:12" x14ac:dyDescent="0.25">
      <c r="A8381" s="148"/>
      <c r="B8381" s="148"/>
      <c r="C8381" s="149"/>
      <c r="D8381" s="150"/>
      <c r="E8381" s="150"/>
      <c r="F8381" s="150"/>
      <c r="G8381" s="150"/>
      <c r="H8381" s="150"/>
      <c r="I8381" s="151"/>
      <c r="J8381" s="149"/>
      <c r="K8381" s="148"/>
      <c r="L8381" s="133"/>
    </row>
    <row r="8382" spans="1:12" x14ac:dyDescent="0.25">
      <c r="A8382" s="148"/>
      <c r="B8382" s="148"/>
      <c r="C8382" s="149"/>
      <c r="D8382" s="150"/>
      <c r="E8382" s="150"/>
      <c r="F8382" s="150"/>
      <c r="G8382" s="150"/>
      <c r="H8382" s="150"/>
      <c r="I8382" s="151"/>
      <c r="J8382" s="149"/>
      <c r="K8382" s="148"/>
      <c r="L8382" s="133"/>
    </row>
    <row r="8383" spans="1:12" x14ac:dyDescent="0.25">
      <c r="A8383" s="148"/>
      <c r="B8383" s="148"/>
      <c r="C8383" s="149"/>
      <c r="D8383" s="150"/>
      <c r="E8383" s="150"/>
      <c r="F8383" s="150"/>
      <c r="G8383" s="150"/>
      <c r="H8383" s="150"/>
      <c r="I8383" s="151"/>
      <c r="J8383" s="149"/>
      <c r="K8383" s="148"/>
      <c r="L8383" s="133"/>
    </row>
    <row r="8384" spans="1:12" x14ac:dyDescent="0.25">
      <c r="A8384" s="148"/>
      <c r="B8384" s="148"/>
      <c r="C8384" s="149"/>
      <c r="D8384" s="150"/>
      <c r="E8384" s="150"/>
      <c r="F8384" s="150"/>
      <c r="G8384" s="150"/>
      <c r="H8384" s="150"/>
      <c r="I8384" s="151"/>
      <c r="J8384" s="149"/>
      <c r="K8384" s="148"/>
      <c r="L8384" s="133"/>
    </row>
    <row r="8385" spans="1:12" x14ac:dyDescent="0.25">
      <c r="A8385" s="148"/>
      <c r="B8385" s="148"/>
      <c r="C8385" s="149"/>
      <c r="D8385" s="150"/>
      <c r="E8385" s="150"/>
      <c r="F8385" s="150"/>
      <c r="G8385" s="150"/>
      <c r="H8385" s="150"/>
      <c r="I8385" s="151"/>
      <c r="J8385" s="149"/>
      <c r="K8385" s="148"/>
      <c r="L8385" s="133"/>
    </row>
    <row r="8386" spans="1:12" x14ac:dyDescent="0.25">
      <c r="A8386" s="148"/>
      <c r="B8386" s="148"/>
      <c r="C8386" s="149"/>
      <c r="D8386" s="150"/>
      <c r="E8386" s="150"/>
      <c r="F8386" s="150"/>
      <c r="G8386" s="150"/>
      <c r="H8386" s="150"/>
      <c r="I8386" s="151"/>
      <c r="J8386" s="149"/>
      <c r="K8386" s="148"/>
      <c r="L8386" s="133"/>
    </row>
    <row r="8387" spans="1:12" x14ac:dyDescent="0.25">
      <c r="A8387" s="148"/>
      <c r="B8387" s="148"/>
      <c r="C8387" s="149"/>
      <c r="D8387" s="150"/>
      <c r="E8387" s="150"/>
      <c r="F8387" s="150"/>
      <c r="G8387" s="150"/>
      <c r="H8387" s="150"/>
      <c r="I8387" s="151"/>
      <c r="J8387" s="149"/>
      <c r="K8387" s="148"/>
      <c r="L8387" s="133"/>
    </row>
    <row r="8388" spans="1:12" x14ac:dyDescent="0.25">
      <c r="A8388" s="148"/>
      <c r="B8388" s="148"/>
      <c r="C8388" s="149"/>
      <c r="D8388" s="150"/>
      <c r="E8388" s="150"/>
      <c r="F8388" s="150"/>
      <c r="G8388" s="150"/>
      <c r="H8388" s="150"/>
      <c r="I8388" s="151"/>
      <c r="J8388" s="149"/>
      <c r="K8388" s="148"/>
      <c r="L8388" s="133"/>
    </row>
    <row r="8389" spans="1:12" x14ac:dyDescent="0.25">
      <c r="A8389" s="148"/>
      <c r="B8389" s="148"/>
      <c r="C8389" s="149"/>
      <c r="D8389" s="150"/>
      <c r="E8389" s="150"/>
      <c r="F8389" s="150"/>
      <c r="G8389" s="150"/>
      <c r="H8389" s="150"/>
      <c r="I8389" s="151"/>
      <c r="J8389" s="149"/>
      <c r="K8389" s="148"/>
      <c r="L8389" s="133"/>
    </row>
    <row r="8390" spans="1:12" x14ac:dyDescent="0.25">
      <c r="A8390" s="148"/>
      <c r="B8390" s="148"/>
      <c r="C8390" s="149"/>
      <c r="D8390" s="150"/>
      <c r="E8390" s="150"/>
      <c r="F8390" s="150"/>
      <c r="G8390" s="150"/>
      <c r="H8390" s="150"/>
      <c r="I8390" s="151"/>
      <c r="J8390" s="149"/>
      <c r="K8390" s="148"/>
      <c r="L8390" s="133"/>
    </row>
    <row r="8391" spans="1:12" x14ac:dyDescent="0.25">
      <c r="A8391" s="148"/>
      <c r="B8391" s="148"/>
      <c r="C8391" s="149"/>
      <c r="D8391" s="150"/>
      <c r="E8391" s="150"/>
      <c r="F8391" s="150"/>
      <c r="G8391" s="150"/>
      <c r="H8391" s="150"/>
      <c r="I8391" s="151"/>
      <c r="J8391" s="149"/>
      <c r="K8391" s="148"/>
      <c r="L8391" s="133"/>
    </row>
    <row r="8392" spans="1:12" x14ac:dyDescent="0.25">
      <c r="A8392" s="148"/>
      <c r="B8392" s="148"/>
      <c r="C8392" s="149"/>
      <c r="D8392" s="150"/>
      <c r="E8392" s="150"/>
      <c r="F8392" s="150"/>
      <c r="G8392" s="150"/>
      <c r="H8392" s="150"/>
      <c r="I8392" s="151"/>
      <c r="J8392" s="149"/>
      <c r="K8392" s="148"/>
      <c r="L8392" s="133"/>
    </row>
    <row r="8393" spans="1:12" x14ac:dyDescent="0.25">
      <c r="A8393" s="148"/>
      <c r="B8393" s="148"/>
      <c r="C8393" s="149"/>
      <c r="D8393" s="150"/>
      <c r="E8393" s="150"/>
      <c r="F8393" s="150"/>
      <c r="G8393" s="150"/>
      <c r="H8393" s="150"/>
      <c r="I8393" s="151"/>
      <c r="J8393" s="149"/>
      <c r="K8393" s="148"/>
      <c r="L8393" s="133"/>
    </row>
    <row r="8394" spans="1:12" x14ac:dyDescent="0.25">
      <c r="A8394" s="148"/>
      <c r="B8394" s="148"/>
      <c r="C8394" s="149"/>
      <c r="D8394" s="150"/>
      <c r="E8394" s="150"/>
      <c r="F8394" s="150"/>
      <c r="G8394" s="150"/>
      <c r="H8394" s="150"/>
      <c r="I8394" s="151"/>
      <c r="J8394" s="149"/>
      <c r="K8394" s="148"/>
      <c r="L8394" s="133"/>
    </row>
    <row r="8395" spans="1:12" x14ac:dyDescent="0.25">
      <c r="A8395" s="148"/>
      <c r="B8395" s="148"/>
      <c r="C8395" s="149"/>
      <c r="D8395" s="150"/>
      <c r="E8395" s="150"/>
      <c r="F8395" s="150"/>
      <c r="G8395" s="150"/>
      <c r="H8395" s="150"/>
      <c r="I8395" s="151"/>
      <c r="J8395" s="149"/>
      <c r="K8395" s="148"/>
      <c r="L8395" s="133"/>
    </row>
    <row r="8396" spans="1:12" x14ac:dyDescent="0.25">
      <c r="A8396" s="148"/>
      <c r="B8396" s="148"/>
      <c r="C8396" s="149"/>
      <c r="D8396" s="150"/>
      <c r="E8396" s="150"/>
      <c r="F8396" s="150"/>
      <c r="G8396" s="150"/>
      <c r="H8396" s="150"/>
      <c r="I8396" s="151"/>
      <c r="J8396" s="149"/>
      <c r="K8396" s="148"/>
      <c r="L8396" s="133"/>
    </row>
    <row r="8397" spans="1:12" x14ac:dyDescent="0.25">
      <c r="A8397" s="148"/>
      <c r="B8397" s="148"/>
      <c r="C8397" s="149"/>
      <c r="D8397" s="150"/>
      <c r="E8397" s="150"/>
      <c r="F8397" s="150"/>
      <c r="G8397" s="150"/>
      <c r="H8397" s="150"/>
      <c r="I8397" s="151"/>
      <c r="J8397" s="149"/>
      <c r="K8397" s="148"/>
      <c r="L8397" s="133"/>
    </row>
    <row r="8398" spans="1:12" x14ac:dyDescent="0.25">
      <c r="A8398" s="148"/>
      <c r="B8398" s="148"/>
      <c r="C8398" s="149"/>
      <c r="D8398" s="150"/>
      <c r="E8398" s="150"/>
      <c r="F8398" s="150"/>
      <c r="G8398" s="150"/>
      <c r="H8398" s="150"/>
      <c r="I8398" s="151"/>
      <c r="J8398" s="149"/>
      <c r="K8398" s="148"/>
      <c r="L8398" s="133"/>
    </row>
    <row r="8399" spans="1:12" x14ac:dyDescent="0.25">
      <c r="A8399" s="148"/>
      <c r="B8399" s="148"/>
      <c r="C8399" s="149"/>
      <c r="D8399" s="150"/>
      <c r="E8399" s="150"/>
      <c r="F8399" s="150"/>
      <c r="G8399" s="150"/>
      <c r="H8399" s="150"/>
      <c r="I8399" s="151"/>
      <c r="J8399" s="149"/>
      <c r="K8399" s="148"/>
      <c r="L8399" s="133"/>
    </row>
    <row r="8400" spans="1:12" x14ac:dyDescent="0.25">
      <c r="A8400" s="148"/>
      <c r="B8400" s="148"/>
      <c r="C8400" s="149"/>
      <c r="D8400" s="150"/>
      <c r="E8400" s="150"/>
      <c r="F8400" s="150"/>
      <c r="G8400" s="150"/>
      <c r="H8400" s="150"/>
      <c r="I8400" s="151"/>
      <c r="J8400" s="149"/>
      <c r="K8400" s="148"/>
      <c r="L8400" s="133"/>
    </row>
    <row r="8401" spans="1:12" x14ac:dyDescent="0.25">
      <c r="A8401" s="148"/>
      <c r="B8401" s="148"/>
      <c r="C8401" s="149"/>
      <c r="D8401" s="150"/>
      <c r="E8401" s="150"/>
      <c r="F8401" s="150"/>
      <c r="G8401" s="150"/>
      <c r="H8401" s="150"/>
      <c r="I8401" s="151"/>
      <c r="J8401" s="149"/>
      <c r="K8401" s="148"/>
      <c r="L8401" s="133"/>
    </row>
    <row r="8402" spans="1:12" x14ac:dyDescent="0.25">
      <c r="A8402" s="148"/>
      <c r="B8402" s="148"/>
      <c r="C8402" s="149"/>
      <c r="D8402" s="150"/>
      <c r="E8402" s="150"/>
      <c r="F8402" s="150"/>
      <c r="G8402" s="150"/>
      <c r="H8402" s="150"/>
      <c r="I8402" s="151"/>
      <c r="J8402" s="149"/>
      <c r="K8402" s="148"/>
      <c r="L8402" s="133"/>
    </row>
    <row r="8403" spans="1:12" x14ac:dyDescent="0.25">
      <c r="A8403" s="148"/>
      <c r="B8403" s="148"/>
      <c r="C8403" s="149"/>
      <c r="D8403" s="150"/>
      <c r="E8403" s="150"/>
      <c r="F8403" s="150"/>
      <c r="G8403" s="150"/>
      <c r="H8403" s="150"/>
      <c r="I8403" s="151"/>
      <c r="J8403" s="149"/>
      <c r="K8403" s="148"/>
      <c r="L8403" s="133"/>
    </row>
    <row r="8404" spans="1:12" x14ac:dyDescent="0.25">
      <c r="A8404" s="148"/>
      <c r="B8404" s="148"/>
      <c r="C8404" s="149"/>
      <c r="D8404" s="150"/>
      <c r="E8404" s="150"/>
      <c r="F8404" s="150"/>
      <c r="G8404" s="150"/>
      <c r="H8404" s="150"/>
      <c r="I8404" s="151"/>
      <c r="J8404" s="149"/>
      <c r="K8404" s="148"/>
      <c r="L8404" s="133"/>
    </row>
    <row r="8405" spans="1:12" x14ac:dyDescent="0.25">
      <c r="A8405" s="148"/>
      <c r="B8405" s="148"/>
      <c r="C8405" s="149"/>
      <c r="D8405" s="150"/>
      <c r="E8405" s="150"/>
      <c r="F8405" s="150"/>
      <c r="G8405" s="150"/>
      <c r="H8405" s="150"/>
      <c r="I8405" s="151"/>
      <c r="J8405" s="149"/>
      <c r="K8405" s="148"/>
      <c r="L8405" s="133"/>
    </row>
    <row r="8406" spans="1:12" x14ac:dyDescent="0.25">
      <c r="A8406" s="148"/>
      <c r="B8406" s="148"/>
      <c r="C8406" s="149"/>
      <c r="D8406" s="150"/>
      <c r="E8406" s="150"/>
      <c r="F8406" s="150"/>
      <c r="G8406" s="150"/>
      <c r="H8406" s="150"/>
      <c r="I8406" s="151"/>
      <c r="J8406" s="149"/>
      <c r="K8406" s="148"/>
      <c r="L8406" s="133"/>
    </row>
    <row r="8407" spans="1:12" x14ac:dyDescent="0.25">
      <c r="A8407" s="148"/>
      <c r="B8407" s="148"/>
      <c r="C8407" s="149"/>
      <c r="D8407" s="150"/>
      <c r="E8407" s="150"/>
      <c r="F8407" s="150"/>
      <c r="G8407" s="150"/>
      <c r="H8407" s="150"/>
      <c r="I8407" s="151"/>
      <c r="J8407" s="149"/>
      <c r="K8407" s="148"/>
      <c r="L8407" s="133"/>
    </row>
    <row r="8408" spans="1:12" x14ac:dyDescent="0.25">
      <c r="A8408" s="148"/>
      <c r="B8408" s="148"/>
      <c r="C8408" s="149"/>
      <c r="D8408" s="150"/>
      <c r="E8408" s="150"/>
      <c r="F8408" s="150"/>
      <c r="G8408" s="150"/>
      <c r="H8408" s="150"/>
      <c r="I8408" s="151"/>
      <c r="J8408" s="149"/>
      <c r="K8408" s="148"/>
      <c r="L8408" s="133"/>
    </row>
    <row r="8409" spans="1:12" x14ac:dyDescent="0.25">
      <c r="A8409" s="148"/>
      <c r="B8409" s="148"/>
      <c r="C8409" s="149"/>
      <c r="D8409" s="150"/>
      <c r="E8409" s="150"/>
      <c r="F8409" s="150"/>
      <c r="G8409" s="150"/>
      <c r="H8409" s="150"/>
      <c r="I8409" s="151"/>
      <c r="J8409" s="149"/>
      <c r="K8409" s="148"/>
      <c r="L8409" s="133"/>
    </row>
    <row r="8410" spans="1:12" x14ac:dyDescent="0.25">
      <c r="A8410" s="148"/>
      <c r="B8410" s="148"/>
      <c r="C8410" s="149"/>
      <c r="D8410" s="150"/>
      <c r="E8410" s="150"/>
      <c r="F8410" s="150"/>
      <c r="G8410" s="150"/>
      <c r="H8410" s="150"/>
      <c r="I8410" s="151"/>
      <c r="J8410" s="149"/>
      <c r="K8410" s="148"/>
      <c r="L8410" s="133"/>
    </row>
    <row r="8411" spans="1:12" x14ac:dyDescent="0.25">
      <c r="A8411" s="148"/>
      <c r="B8411" s="148"/>
      <c r="C8411" s="149"/>
      <c r="D8411" s="150"/>
      <c r="E8411" s="150"/>
      <c r="F8411" s="150"/>
      <c r="G8411" s="150"/>
      <c r="H8411" s="150"/>
      <c r="I8411" s="151"/>
      <c r="J8411" s="149"/>
      <c r="K8411" s="148"/>
      <c r="L8411" s="133"/>
    </row>
    <row r="8412" spans="1:12" x14ac:dyDescent="0.25">
      <c r="A8412" s="148"/>
      <c r="B8412" s="148"/>
      <c r="C8412" s="149"/>
      <c r="D8412" s="150"/>
      <c r="E8412" s="150"/>
      <c r="F8412" s="150"/>
      <c r="G8412" s="150"/>
      <c r="H8412" s="150"/>
      <c r="I8412" s="151"/>
      <c r="J8412" s="149"/>
      <c r="K8412" s="148"/>
      <c r="L8412" s="133"/>
    </row>
    <row r="8413" spans="1:12" x14ac:dyDescent="0.25">
      <c r="A8413" s="148"/>
      <c r="B8413" s="148"/>
      <c r="C8413" s="149"/>
      <c r="D8413" s="150"/>
      <c r="E8413" s="150"/>
      <c r="F8413" s="150"/>
      <c r="G8413" s="150"/>
      <c r="H8413" s="150"/>
      <c r="I8413" s="151"/>
      <c r="J8413" s="149"/>
      <c r="K8413" s="148"/>
      <c r="L8413" s="133"/>
    </row>
    <row r="8414" spans="1:12" x14ac:dyDescent="0.25">
      <c r="A8414" s="148"/>
      <c r="B8414" s="148"/>
      <c r="C8414" s="149"/>
      <c r="D8414" s="150"/>
      <c r="E8414" s="150"/>
      <c r="F8414" s="150"/>
      <c r="G8414" s="150"/>
      <c r="H8414" s="150"/>
      <c r="I8414" s="151"/>
      <c r="J8414" s="149"/>
      <c r="K8414" s="148"/>
      <c r="L8414" s="133"/>
    </row>
    <row r="8415" spans="1:12" x14ac:dyDescent="0.25">
      <c r="A8415" s="148"/>
      <c r="B8415" s="148"/>
      <c r="C8415" s="149"/>
      <c r="D8415" s="150"/>
      <c r="E8415" s="150"/>
      <c r="F8415" s="150"/>
      <c r="G8415" s="150"/>
      <c r="H8415" s="150"/>
      <c r="I8415" s="151"/>
      <c r="J8415" s="149"/>
      <c r="K8415" s="148"/>
      <c r="L8415" s="133"/>
    </row>
    <row r="8416" spans="1:12" x14ac:dyDescent="0.25">
      <c r="A8416" s="148"/>
      <c r="B8416" s="148"/>
      <c r="C8416" s="149"/>
      <c r="D8416" s="150"/>
      <c r="E8416" s="150"/>
      <c r="F8416" s="150"/>
      <c r="G8416" s="150"/>
      <c r="H8416" s="150"/>
      <c r="I8416" s="151"/>
      <c r="J8416" s="149"/>
      <c r="K8416" s="148"/>
      <c r="L8416" s="133"/>
    </row>
    <row r="8417" spans="1:12" x14ac:dyDescent="0.25">
      <c r="A8417" s="148"/>
      <c r="B8417" s="148"/>
      <c r="C8417" s="149"/>
      <c r="D8417" s="150"/>
      <c r="E8417" s="150"/>
      <c r="F8417" s="150"/>
      <c r="G8417" s="150"/>
      <c r="H8417" s="150"/>
      <c r="I8417" s="151"/>
      <c r="J8417" s="149"/>
      <c r="K8417" s="148"/>
      <c r="L8417" s="133"/>
    </row>
    <row r="8418" spans="1:12" x14ac:dyDescent="0.25">
      <c r="A8418" s="148"/>
      <c r="B8418" s="148"/>
      <c r="C8418" s="149"/>
      <c r="D8418" s="150"/>
      <c r="E8418" s="150"/>
      <c r="F8418" s="150"/>
      <c r="G8418" s="150"/>
      <c r="H8418" s="150"/>
      <c r="I8418" s="151"/>
      <c r="J8418" s="149"/>
      <c r="K8418" s="148"/>
      <c r="L8418" s="133"/>
    </row>
    <row r="8419" spans="1:12" x14ac:dyDescent="0.25">
      <c r="A8419" s="148"/>
      <c r="B8419" s="148"/>
      <c r="C8419" s="149"/>
      <c r="D8419" s="150"/>
      <c r="E8419" s="150"/>
      <c r="F8419" s="150"/>
      <c r="G8419" s="150"/>
      <c r="H8419" s="150"/>
      <c r="I8419" s="151"/>
      <c r="J8419" s="149"/>
      <c r="K8419" s="148"/>
      <c r="L8419" s="133"/>
    </row>
    <row r="8420" spans="1:12" x14ac:dyDescent="0.25">
      <c r="A8420" s="148"/>
      <c r="B8420" s="148"/>
      <c r="C8420" s="149"/>
      <c r="D8420" s="150"/>
      <c r="E8420" s="150"/>
      <c r="F8420" s="150"/>
      <c r="G8420" s="150"/>
      <c r="H8420" s="150"/>
      <c r="I8420" s="151"/>
      <c r="J8420" s="149"/>
      <c r="K8420" s="148"/>
      <c r="L8420" s="133"/>
    </row>
    <row r="8421" spans="1:12" x14ac:dyDescent="0.25">
      <c r="A8421" s="148"/>
      <c r="B8421" s="148"/>
      <c r="C8421" s="149"/>
      <c r="D8421" s="150"/>
      <c r="E8421" s="150"/>
      <c r="F8421" s="150"/>
      <c r="G8421" s="150"/>
      <c r="H8421" s="150"/>
      <c r="I8421" s="151"/>
      <c r="J8421" s="149"/>
      <c r="K8421" s="148"/>
      <c r="L8421" s="133"/>
    </row>
    <row r="8422" spans="1:12" x14ac:dyDescent="0.25">
      <c r="A8422" s="148"/>
      <c r="B8422" s="148"/>
      <c r="C8422" s="149"/>
      <c r="D8422" s="150"/>
      <c r="E8422" s="150"/>
      <c r="F8422" s="150"/>
      <c r="G8422" s="150"/>
      <c r="H8422" s="150"/>
      <c r="I8422" s="151"/>
      <c r="J8422" s="149"/>
      <c r="K8422" s="148"/>
      <c r="L8422" s="133"/>
    </row>
    <row r="8423" spans="1:12" x14ac:dyDescent="0.25">
      <c r="A8423" s="148"/>
      <c r="B8423" s="148"/>
      <c r="C8423" s="149"/>
      <c r="D8423" s="150"/>
      <c r="E8423" s="150"/>
      <c r="F8423" s="150"/>
      <c r="G8423" s="150"/>
      <c r="H8423" s="150"/>
      <c r="I8423" s="151"/>
      <c r="J8423" s="149"/>
      <c r="K8423" s="148"/>
      <c r="L8423" s="133"/>
    </row>
    <row r="8424" spans="1:12" x14ac:dyDescent="0.25">
      <c r="A8424" s="148"/>
      <c r="B8424" s="148"/>
      <c r="C8424" s="149"/>
      <c r="D8424" s="150"/>
      <c r="E8424" s="150"/>
      <c r="F8424" s="150"/>
      <c r="G8424" s="150"/>
      <c r="H8424" s="150"/>
      <c r="I8424" s="151"/>
      <c r="J8424" s="149"/>
      <c r="K8424" s="148"/>
      <c r="L8424" s="133"/>
    </row>
    <row r="8425" spans="1:12" x14ac:dyDescent="0.25">
      <c r="A8425" s="148"/>
      <c r="B8425" s="148"/>
      <c r="C8425" s="149"/>
      <c r="D8425" s="150"/>
      <c r="E8425" s="150"/>
      <c r="F8425" s="150"/>
      <c r="G8425" s="150"/>
      <c r="H8425" s="150"/>
      <c r="I8425" s="151"/>
      <c r="J8425" s="149"/>
      <c r="K8425" s="148"/>
      <c r="L8425" s="133"/>
    </row>
    <row r="8426" spans="1:12" x14ac:dyDescent="0.25">
      <c r="A8426" s="148"/>
      <c r="B8426" s="148"/>
      <c r="C8426" s="149"/>
      <c r="D8426" s="150"/>
      <c r="E8426" s="150"/>
      <c r="F8426" s="150"/>
      <c r="G8426" s="150"/>
      <c r="H8426" s="150"/>
      <c r="I8426" s="151"/>
      <c r="J8426" s="149"/>
      <c r="K8426" s="148"/>
      <c r="L8426" s="133"/>
    </row>
    <row r="8427" spans="1:12" x14ac:dyDescent="0.25">
      <c r="A8427" s="148"/>
      <c r="B8427" s="148"/>
      <c r="C8427" s="149"/>
      <c r="D8427" s="150"/>
      <c r="E8427" s="150"/>
      <c r="F8427" s="150"/>
      <c r="G8427" s="150"/>
      <c r="H8427" s="150"/>
      <c r="I8427" s="151"/>
      <c r="J8427" s="149"/>
      <c r="K8427" s="148"/>
      <c r="L8427" s="133"/>
    </row>
    <row r="8428" spans="1:12" x14ac:dyDescent="0.25">
      <c r="A8428" s="148"/>
      <c r="B8428" s="148"/>
      <c r="C8428" s="149"/>
      <c r="D8428" s="150"/>
      <c r="E8428" s="150"/>
      <c r="F8428" s="150"/>
      <c r="G8428" s="150"/>
      <c r="H8428" s="150"/>
      <c r="I8428" s="151"/>
      <c r="J8428" s="149"/>
      <c r="K8428" s="148"/>
      <c r="L8428" s="133"/>
    </row>
    <row r="8429" spans="1:12" x14ac:dyDescent="0.25">
      <c r="A8429" s="148"/>
      <c r="B8429" s="148"/>
      <c r="C8429" s="149"/>
      <c r="D8429" s="150"/>
      <c r="E8429" s="150"/>
      <c r="F8429" s="150"/>
      <c r="G8429" s="150"/>
      <c r="H8429" s="150"/>
      <c r="I8429" s="151"/>
      <c r="J8429" s="149"/>
      <c r="K8429" s="148"/>
      <c r="L8429" s="133"/>
    </row>
    <row r="8430" spans="1:12" x14ac:dyDescent="0.25">
      <c r="A8430" s="148"/>
      <c r="B8430" s="148"/>
      <c r="C8430" s="149"/>
      <c r="D8430" s="150"/>
      <c r="E8430" s="150"/>
      <c r="F8430" s="150"/>
      <c r="G8430" s="150"/>
      <c r="H8430" s="150"/>
      <c r="I8430" s="151"/>
      <c r="J8430" s="149"/>
      <c r="K8430" s="148"/>
      <c r="L8430" s="133"/>
    </row>
    <row r="8431" spans="1:12" x14ac:dyDescent="0.25">
      <c r="A8431" s="148"/>
      <c r="B8431" s="148"/>
      <c r="C8431" s="149"/>
      <c r="D8431" s="150"/>
      <c r="E8431" s="150"/>
      <c r="F8431" s="150"/>
      <c r="G8431" s="150"/>
      <c r="H8431" s="150"/>
      <c r="I8431" s="151"/>
      <c r="J8431" s="149"/>
      <c r="K8431" s="148"/>
      <c r="L8431" s="133"/>
    </row>
    <row r="8432" spans="1:12" x14ac:dyDescent="0.25">
      <c r="A8432" s="148"/>
      <c r="B8432" s="148"/>
      <c r="C8432" s="149"/>
      <c r="D8432" s="150"/>
      <c r="E8432" s="150"/>
      <c r="F8432" s="150"/>
      <c r="G8432" s="150"/>
      <c r="H8432" s="150"/>
      <c r="I8432" s="151"/>
      <c r="J8432" s="149"/>
      <c r="K8432" s="148"/>
      <c r="L8432" s="133"/>
    </row>
    <row r="8433" spans="1:12" x14ac:dyDescent="0.25">
      <c r="A8433" s="148"/>
      <c r="B8433" s="148"/>
      <c r="C8433" s="149"/>
      <c r="D8433" s="150"/>
      <c r="E8433" s="150"/>
      <c r="F8433" s="150"/>
      <c r="G8433" s="150"/>
      <c r="H8433" s="150"/>
      <c r="I8433" s="151"/>
      <c r="J8433" s="149"/>
      <c r="K8433" s="148"/>
      <c r="L8433" s="133"/>
    </row>
    <row r="8434" spans="1:12" x14ac:dyDescent="0.25">
      <c r="A8434" s="148"/>
      <c r="B8434" s="148"/>
      <c r="C8434" s="149"/>
      <c r="D8434" s="150"/>
      <c r="E8434" s="150"/>
      <c r="F8434" s="150"/>
      <c r="G8434" s="150"/>
      <c r="H8434" s="150"/>
      <c r="I8434" s="151"/>
      <c r="J8434" s="149"/>
      <c r="K8434" s="148"/>
      <c r="L8434" s="133"/>
    </row>
    <row r="8435" spans="1:12" x14ac:dyDescent="0.25">
      <c r="A8435" s="148"/>
      <c r="B8435" s="148"/>
      <c r="C8435" s="149"/>
      <c r="D8435" s="150"/>
      <c r="E8435" s="150"/>
      <c r="F8435" s="150"/>
      <c r="G8435" s="150"/>
      <c r="H8435" s="150"/>
      <c r="I8435" s="151"/>
      <c r="J8435" s="149"/>
      <c r="K8435" s="148"/>
      <c r="L8435" s="133"/>
    </row>
    <row r="8436" spans="1:12" x14ac:dyDescent="0.25">
      <c r="A8436" s="148"/>
      <c r="B8436" s="148"/>
      <c r="C8436" s="149"/>
      <c r="D8436" s="150"/>
      <c r="E8436" s="150"/>
      <c r="F8436" s="150"/>
      <c r="G8436" s="150"/>
      <c r="H8436" s="150"/>
      <c r="I8436" s="151"/>
      <c r="J8436" s="149"/>
      <c r="K8436" s="148"/>
      <c r="L8436" s="133"/>
    </row>
    <row r="8437" spans="1:12" x14ac:dyDescent="0.25">
      <c r="A8437" s="148"/>
      <c r="B8437" s="148"/>
      <c r="C8437" s="149"/>
      <c r="D8437" s="150"/>
      <c r="E8437" s="150"/>
      <c r="F8437" s="150"/>
      <c r="G8437" s="150"/>
      <c r="H8437" s="150"/>
      <c r="I8437" s="151"/>
      <c r="J8437" s="149"/>
      <c r="K8437" s="148"/>
      <c r="L8437" s="133"/>
    </row>
    <row r="8438" spans="1:12" x14ac:dyDescent="0.25">
      <c r="A8438" s="148"/>
      <c r="B8438" s="148"/>
      <c r="C8438" s="149"/>
      <c r="D8438" s="150"/>
      <c r="E8438" s="150"/>
      <c r="F8438" s="150"/>
      <c r="G8438" s="150"/>
      <c r="H8438" s="150"/>
      <c r="I8438" s="151"/>
      <c r="J8438" s="149"/>
      <c r="K8438" s="148"/>
      <c r="L8438" s="133"/>
    </row>
    <row r="8439" spans="1:12" x14ac:dyDescent="0.25">
      <c r="A8439" s="148"/>
      <c r="B8439" s="148"/>
      <c r="C8439" s="149"/>
      <c r="D8439" s="150"/>
      <c r="E8439" s="150"/>
      <c r="F8439" s="150"/>
      <c r="G8439" s="150"/>
      <c r="H8439" s="150"/>
      <c r="I8439" s="151"/>
      <c r="J8439" s="149"/>
      <c r="K8439" s="148"/>
      <c r="L8439" s="133"/>
    </row>
    <row r="8440" spans="1:12" x14ac:dyDescent="0.25">
      <c r="A8440" s="148"/>
      <c r="B8440" s="148"/>
      <c r="C8440" s="149"/>
      <c r="D8440" s="150"/>
      <c r="E8440" s="150"/>
      <c r="F8440" s="150"/>
      <c r="G8440" s="150"/>
      <c r="H8440" s="150"/>
      <c r="I8440" s="151"/>
      <c r="J8440" s="149"/>
      <c r="K8440" s="148"/>
      <c r="L8440" s="133"/>
    </row>
    <row r="8441" spans="1:12" x14ac:dyDescent="0.25">
      <c r="A8441" s="148"/>
      <c r="B8441" s="148"/>
      <c r="C8441" s="149"/>
      <c r="D8441" s="150"/>
      <c r="E8441" s="150"/>
      <c r="F8441" s="150"/>
      <c r="G8441" s="150"/>
      <c r="H8441" s="150"/>
      <c r="I8441" s="151"/>
      <c r="J8441" s="149"/>
      <c r="K8441" s="148"/>
      <c r="L8441" s="133"/>
    </row>
    <row r="8442" spans="1:12" x14ac:dyDescent="0.25">
      <c r="A8442" s="148"/>
      <c r="B8442" s="148"/>
      <c r="C8442" s="149"/>
      <c r="D8442" s="150"/>
      <c r="E8442" s="150"/>
      <c r="F8442" s="150"/>
      <c r="G8442" s="150"/>
      <c r="H8442" s="150"/>
      <c r="I8442" s="151"/>
      <c r="J8442" s="149"/>
      <c r="K8442" s="148"/>
      <c r="L8442" s="133"/>
    </row>
    <row r="8443" spans="1:12" x14ac:dyDescent="0.25">
      <c r="A8443" s="148"/>
      <c r="B8443" s="148"/>
      <c r="C8443" s="149"/>
      <c r="D8443" s="150"/>
      <c r="E8443" s="150"/>
      <c r="F8443" s="150"/>
      <c r="G8443" s="150"/>
      <c r="H8443" s="150"/>
      <c r="I8443" s="151"/>
      <c r="J8443" s="149"/>
      <c r="K8443" s="148"/>
      <c r="L8443" s="133"/>
    </row>
    <row r="8444" spans="1:12" x14ac:dyDescent="0.25">
      <c r="A8444" s="148"/>
      <c r="B8444" s="148"/>
      <c r="C8444" s="149"/>
      <c r="D8444" s="150"/>
      <c r="E8444" s="150"/>
      <c r="F8444" s="150"/>
      <c r="G8444" s="150"/>
      <c r="H8444" s="150"/>
      <c r="I8444" s="151"/>
      <c r="J8444" s="149"/>
      <c r="K8444" s="148"/>
      <c r="L8444" s="133"/>
    </row>
    <row r="8445" spans="1:12" x14ac:dyDescent="0.25">
      <c r="A8445" s="148"/>
      <c r="B8445" s="148"/>
      <c r="C8445" s="149"/>
      <c r="D8445" s="150"/>
      <c r="E8445" s="150"/>
      <c r="F8445" s="150"/>
      <c r="G8445" s="150"/>
      <c r="H8445" s="150"/>
      <c r="I8445" s="151"/>
      <c r="J8445" s="149"/>
      <c r="K8445" s="148"/>
      <c r="L8445" s="133"/>
    </row>
    <row r="8446" spans="1:12" x14ac:dyDescent="0.25">
      <c r="A8446" s="130"/>
      <c r="B8446" s="130"/>
      <c r="C8446" s="132"/>
      <c r="D8446" s="129"/>
      <c r="E8446" s="129"/>
      <c r="F8446" s="129"/>
      <c r="G8446" s="129"/>
      <c r="H8446" s="129"/>
      <c r="I8446" s="131"/>
      <c r="J8446" s="132"/>
      <c r="K8446" s="130"/>
      <c r="L8446" s="133"/>
    </row>
    <row r="8447" spans="1:12" x14ac:dyDescent="0.25">
      <c r="A8447" s="130"/>
      <c r="B8447" s="130"/>
      <c r="C8447" s="132"/>
      <c r="D8447" s="129"/>
      <c r="E8447" s="129"/>
      <c r="F8447" s="129"/>
      <c r="G8447" s="129"/>
      <c r="H8447" s="129"/>
      <c r="I8447" s="131"/>
      <c r="J8447" s="132"/>
      <c r="K8447" s="130"/>
      <c r="L8447" s="133"/>
    </row>
    <row r="8448" spans="1:12" x14ac:dyDescent="0.25">
      <c r="A8448" s="130"/>
      <c r="B8448" s="130"/>
      <c r="C8448" s="132"/>
      <c r="D8448" s="129"/>
      <c r="E8448" s="129"/>
      <c r="F8448" s="129"/>
      <c r="G8448" s="129"/>
      <c r="H8448" s="129"/>
      <c r="I8448" s="131"/>
      <c r="J8448" s="132"/>
      <c r="K8448" s="130"/>
      <c r="L8448" s="133"/>
    </row>
    <row r="8449" spans="1:12" x14ac:dyDescent="0.25">
      <c r="A8449" s="130"/>
      <c r="B8449" s="130"/>
      <c r="C8449" s="132"/>
      <c r="D8449" s="129"/>
      <c r="E8449" s="129"/>
      <c r="F8449" s="129"/>
      <c r="G8449" s="129"/>
      <c r="H8449" s="129"/>
      <c r="I8449" s="131"/>
      <c r="J8449" s="132"/>
      <c r="K8449" s="130"/>
      <c r="L8449" s="133"/>
    </row>
    <row r="8450" spans="1:12" x14ac:dyDescent="0.25">
      <c r="A8450" s="130"/>
      <c r="B8450" s="130"/>
      <c r="C8450" s="132"/>
      <c r="D8450" s="129"/>
      <c r="E8450" s="129"/>
      <c r="F8450" s="129"/>
      <c r="G8450" s="129"/>
      <c r="H8450" s="129"/>
      <c r="I8450" s="131"/>
      <c r="J8450" s="132"/>
      <c r="K8450" s="130"/>
      <c r="L8450" s="133"/>
    </row>
    <row r="8451" spans="1:12" x14ac:dyDescent="0.25">
      <c r="A8451" s="130"/>
      <c r="B8451" s="130"/>
      <c r="C8451" s="132"/>
      <c r="D8451" s="129"/>
      <c r="E8451" s="129"/>
      <c r="F8451" s="129"/>
      <c r="G8451" s="129"/>
      <c r="H8451" s="129"/>
      <c r="I8451" s="131"/>
      <c r="J8451" s="132"/>
      <c r="K8451" s="130"/>
      <c r="L8451" s="133"/>
    </row>
    <row r="8452" spans="1:12" x14ac:dyDescent="0.25">
      <c r="A8452" s="130"/>
      <c r="B8452" s="130"/>
      <c r="C8452" s="132"/>
      <c r="D8452" s="129"/>
      <c r="E8452" s="129"/>
      <c r="F8452" s="129"/>
      <c r="G8452" s="129"/>
      <c r="H8452" s="129"/>
      <c r="I8452" s="131"/>
      <c r="J8452" s="132"/>
      <c r="K8452" s="130"/>
      <c r="L8452" s="133"/>
    </row>
    <row r="8453" spans="1:12" x14ac:dyDescent="0.25">
      <c r="A8453" s="130"/>
      <c r="B8453" s="130"/>
      <c r="C8453" s="132"/>
      <c r="D8453" s="129"/>
      <c r="E8453" s="129"/>
      <c r="F8453" s="129"/>
      <c r="G8453" s="129"/>
      <c r="H8453" s="129"/>
      <c r="I8453" s="131"/>
      <c r="J8453" s="132"/>
      <c r="K8453" s="130"/>
      <c r="L8453" s="133"/>
    </row>
    <row r="8454" spans="1:12" x14ac:dyDescent="0.25">
      <c r="A8454" s="130"/>
      <c r="B8454" s="130"/>
      <c r="C8454" s="132"/>
      <c r="D8454" s="129"/>
      <c r="E8454" s="129"/>
      <c r="F8454" s="129"/>
      <c r="G8454" s="129"/>
      <c r="H8454" s="129"/>
      <c r="I8454" s="131"/>
      <c r="J8454" s="132"/>
      <c r="K8454" s="130"/>
      <c r="L8454" s="133"/>
    </row>
    <row r="8455" spans="1:12" x14ac:dyDescent="0.25">
      <c r="A8455" s="130"/>
      <c r="B8455" s="130"/>
      <c r="C8455" s="132"/>
      <c r="D8455" s="129"/>
      <c r="E8455" s="129"/>
      <c r="F8455" s="129"/>
      <c r="G8455" s="129"/>
      <c r="H8455" s="129"/>
      <c r="I8455" s="131"/>
      <c r="J8455" s="132"/>
      <c r="K8455" s="130"/>
      <c r="L8455" s="133"/>
    </row>
    <row r="8456" spans="1:12" x14ac:dyDescent="0.25">
      <c r="A8456" s="130"/>
      <c r="B8456" s="130"/>
      <c r="C8456" s="132"/>
      <c r="D8456" s="129"/>
      <c r="E8456" s="129"/>
      <c r="F8456" s="129"/>
      <c r="G8456" s="129"/>
      <c r="H8456" s="129"/>
      <c r="I8456" s="131"/>
      <c r="J8456" s="132"/>
      <c r="K8456" s="130"/>
      <c r="L8456" s="133"/>
    </row>
    <row r="8457" spans="1:12" x14ac:dyDescent="0.25">
      <c r="A8457" s="130"/>
      <c r="B8457" s="130"/>
      <c r="C8457" s="132"/>
      <c r="D8457" s="129"/>
      <c r="E8457" s="129"/>
      <c r="F8457" s="129"/>
      <c r="G8457" s="129"/>
      <c r="H8457" s="129"/>
      <c r="I8457" s="131"/>
      <c r="J8457" s="132"/>
      <c r="K8457" s="130"/>
      <c r="L8457" s="133"/>
    </row>
    <row r="8458" spans="1:12" x14ac:dyDescent="0.25">
      <c r="A8458" s="130"/>
      <c r="B8458" s="130"/>
      <c r="C8458" s="132"/>
      <c r="D8458" s="129"/>
      <c r="E8458" s="129"/>
      <c r="F8458" s="129"/>
      <c r="G8458" s="129"/>
      <c r="H8458" s="129"/>
      <c r="I8458" s="131"/>
      <c r="J8458" s="132"/>
      <c r="K8458" s="130"/>
      <c r="L8458" s="133"/>
    </row>
    <row r="8459" spans="1:12" x14ac:dyDescent="0.25">
      <c r="A8459" s="130"/>
      <c r="B8459" s="130"/>
      <c r="C8459" s="132"/>
      <c r="D8459" s="129"/>
      <c r="E8459" s="129"/>
      <c r="F8459" s="129"/>
      <c r="G8459" s="129"/>
      <c r="H8459" s="129"/>
      <c r="I8459" s="131"/>
      <c r="J8459" s="132"/>
      <c r="K8459" s="130"/>
      <c r="L8459" s="133"/>
    </row>
    <row r="8460" spans="1:12" x14ac:dyDescent="0.25">
      <c r="A8460" s="130"/>
      <c r="B8460" s="130"/>
      <c r="C8460" s="132"/>
      <c r="D8460" s="129"/>
      <c r="E8460" s="129"/>
      <c r="F8460" s="129"/>
      <c r="G8460" s="129"/>
      <c r="H8460" s="129"/>
      <c r="I8460" s="131"/>
      <c r="J8460" s="132"/>
      <c r="K8460" s="130"/>
      <c r="L8460" s="133"/>
    </row>
    <row r="8461" spans="1:12" x14ac:dyDescent="0.25">
      <c r="A8461" s="130"/>
      <c r="B8461" s="130"/>
      <c r="C8461" s="132"/>
      <c r="D8461" s="129"/>
      <c r="E8461" s="129"/>
      <c r="F8461" s="129"/>
      <c r="G8461" s="129"/>
      <c r="H8461" s="129"/>
      <c r="I8461" s="131"/>
      <c r="J8461" s="132"/>
      <c r="K8461" s="130"/>
      <c r="L8461" s="133"/>
    </row>
    <row r="8462" spans="1:12" x14ac:dyDescent="0.25">
      <c r="A8462" s="130"/>
      <c r="B8462" s="130"/>
      <c r="C8462" s="132"/>
      <c r="D8462" s="129"/>
      <c r="E8462" s="129"/>
      <c r="F8462" s="129"/>
      <c r="G8462" s="129"/>
      <c r="H8462" s="129"/>
      <c r="I8462" s="131"/>
      <c r="J8462" s="132"/>
      <c r="K8462" s="130"/>
      <c r="L8462" s="133"/>
    </row>
    <row r="8463" spans="1:12" x14ac:dyDescent="0.25">
      <c r="A8463" s="130"/>
      <c r="B8463" s="130"/>
      <c r="C8463" s="132"/>
      <c r="D8463" s="129"/>
      <c r="E8463" s="129"/>
      <c r="F8463" s="129"/>
      <c r="G8463" s="129"/>
      <c r="H8463" s="129"/>
      <c r="I8463" s="131"/>
      <c r="J8463" s="132"/>
      <c r="K8463" s="130"/>
      <c r="L8463" s="133"/>
    </row>
    <row r="8464" spans="1:12" x14ac:dyDescent="0.25">
      <c r="A8464" s="130"/>
      <c r="B8464" s="130"/>
      <c r="C8464" s="132"/>
      <c r="D8464" s="129"/>
      <c r="E8464" s="129"/>
      <c r="F8464" s="129"/>
      <c r="G8464" s="129"/>
      <c r="H8464" s="129"/>
      <c r="I8464" s="131"/>
      <c r="J8464" s="132"/>
      <c r="K8464" s="130"/>
      <c r="L8464" s="133"/>
    </row>
    <row r="8465" spans="1:12" x14ac:dyDescent="0.25">
      <c r="A8465" s="130"/>
      <c r="B8465" s="130"/>
      <c r="C8465" s="132"/>
      <c r="D8465" s="129"/>
      <c r="E8465" s="129"/>
      <c r="F8465" s="129"/>
      <c r="G8465" s="129"/>
      <c r="H8465" s="129"/>
      <c r="I8465" s="131"/>
      <c r="J8465" s="132"/>
      <c r="K8465" s="130"/>
      <c r="L8465" s="133"/>
    </row>
    <row r="8466" spans="1:12" x14ac:dyDescent="0.25">
      <c r="A8466" s="130"/>
      <c r="B8466" s="130"/>
      <c r="C8466" s="132"/>
      <c r="D8466" s="129"/>
      <c r="E8466" s="129"/>
      <c r="F8466" s="129"/>
      <c r="G8466" s="129"/>
      <c r="H8466" s="129"/>
      <c r="I8466" s="131"/>
      <c r="J8466" s="132"/>
      <c r="K8466" s="130"/>
      <c r="L8466" s="133"/>
    </row>
    <row r="8467" spans="1:12" x14ac:dyDescent="0.25">
      <c r="A8467" s="130"/>
      <c r="B8467" s="130"/>
      <c r="C8467" s="132"/>
      <c r="D8467" s="129"/>
      <c r="E8467" s="129"/>
      <c r="F8467" s="129"/>
      <c r="G8467" s="129"/>
      <c r="H8467" s="129"/>
      <c r="I8467" s="131"/>
      <c r="J8467" s="132"/>
      <c r="K8467" s="130"/>
      <c r="L8467" s="133"/>
    </row>
    <row r="8468" spans="1:12" x14ac:dyDescent="0.25">
      <c r="A8468" s="130"/>
      <c r="B8468" s="130"/>
      <c r="C8468" s="132"/>
      <c r="D8468" s="129"/>
      <c r="E8468" s="129"/>
      <c r="F8468" s="129"/>
      <c r="G8468" s="129"/>
      <c r="H8468" s="129"/>
      <c r="I8468" s="131"/>
      <c r="J8468" s="132"/>
      <c r="K8468" s="130"/>
      <c r="L8468" s="133"/>
    </row>
    <row r="8469" spans="1:12" x14ac:dyDescent="0.25">
      <c r="A8469" s="130"/>
      <c r="B8469" s="130"/>
      <c r="C8469" s="132"/>
      <c r="D8469" s="129"/>
      <c r="E8469" s="129"/>
      <c r="F8469" s="129"/>
      <c r="G8469" s="129"/>
      <c r="H8469" s="129"/>
      <c r="I8469" s="131"/>
      <c r="J8469" s="132"/>
      <c r="K8469" s="130"/>
      <c r="L8469" s="133"/>
    </row>
    <row r="8470" spans="1:12" x14ac:dyDescent="0.25">
      <c r="A8470" s="130"/>
      <c r="B8470" s="130"/>
      <c r="C8470" s="132"/>
      <c r="D8470" s="129"/>
      <c r="E8470" s="129"/>
      <c r="F8470" s="129"/>
      <c r="G8470" s="129"/>
      <c r="H8470" s="129"/>
      <c r="I8470" s="131"/>
      <c r="J8470" s="132"/>
      <c r="K8470" s="130"/>
      <c r="L8470" s="133"/>
    </row>
    <row r="8471" spans="1:12" x14ac:dyDescent="0.25">
      <c r="A8471" s="130"/>
      <c r="B8471" s="130"/>
      <c r="C8471" s="132"/>
      <c r="D8471" s="129"/>
      <c r="E8471" s="129"/>
      <c r="F8471" s="129"/>
      <c r="G8471" s="129"/>
      <c r="H8471" s="129"/>
      <c r="I8471" s="131"/>
      <c r="J8471" s="132"/>
      <c r="K8471" s="130"/>
      <c r="L8471" s="133"/>
    </row>
    <row r="8472" spans="1:12" x14ac:dyDescent="0.25">
      <c r="A8472" s="130"/>
      <c r="B8472" s="130"/>
      <c r="C8472" s="132"/>
      <c r="D8472" s="129"/>
      <c r="E8472" s="129"/>
      <c r="F8472" s="129"/>
      <c r="G8472" s="129"/>
      <c r="H8472" s="129"/>
      <c r="I8472" s="131"/>
      <c r="J8472" s="132"/>
      <c r="K8472" s="130"/>
      <c r="L8472" s="133"/>
    </row>
    <row r="8473" spans="1:12" x14ac:dyDescent="0.25">
      <c r="A8473" s="130"/>
      <c r="B8473" s="130"/>
      <c r="C8473" s="132"/>
      <c r="D8473" s="129"/>
      <c r="E8473" s="129"/>
      <c r="F8473" s="129"/>
      <c r="G8473" s="129"/>
      <c r="H8473" s="129"/>
      <c r="I8473" s="131"/>
      <c r="J8473" s="132"/>
      <c r="K8473" s="130"/>
      <c r="L8473" s="133"/>
    </row>
    <row r="8474" spans="1:12" x14ac:dyDescent="0.25">
      <c r="A8474" s="130"/>
      <c r="B8474" s="130"/>
      <c r="C8474" s="132"/>
      <c r="D8474" s="129"/>
      <c r="E8474" s="129"/>
      <c r="F8474" s="129"/>
      <c r="G8474" s="129"/>
      <c r="H8474" s="129"/>
      <c r="I8474" s="131"/>
      <c r="J8474" s="132"/>
      <c r="K8474" s="130"/>
      <c r="L8474" s="133"/>
    </row>
    <row r="8475" spans="1:12" x14ac:dyDescent="0.25">
      <c r="A8475" s="130"/>
      <c r="B8475" s="130"/>
      <c r="C8475" s="132"/>
      <c r="D8475" s="129"/>
      <c r="E8475" s="129"/>
      <c r="F8475" s="129"/>
      <c r="G8475" s="129"/>
      <c r="H8475" s="129"/>
      <c r="I8475" s="131"/>
      <c r="J8475" s="132"/>
      <c r="K8475" s="130"/>
      <c r="L8475" s="133"/>
    </row>
    <row r="8476" spans="1:12" x14ac:dyDescent="0.25">
      <c r="A8476" s="130"/>
      <c r="B8476" s="130"/>
      <c r="C8476" s="132"/>
      <c r="D8476" s="129"/>
      <c r="E8476" s="129"/>
      <c r="F8476" s="129"/>
      <c r="G8476" s="129"/>
      <c r="H8476" s="129"/>
      <c r="I8476" s="131"/>
      <c r="J8476" s="132"/>
      <c r="K8476" s="130"/>
      <c r="L8476" s="133"/>
    </row>
    <row r="8477" spans="1:12" x14ac:dyDescent="0.25">
      <c r="A8477" s="130"/>
      <c r="B8477" s="130"/>
      <c r="C8477" s="132"/>
      <c r="D8477" s="129"/>
      <c r="E8477" s="129"/>
      <c r="F8477" s="129"/>
      <c r="G8477" s="129"/>
      <c r="H8477" s="129"/>
      <c r="I8477" s="131"/>
      <c r="J8477" s="132"/>
      <c r="K8477" s="130"/>
      <c r="L8477" s="133"/>
    </row>
    <row r="8478" spans="1:12" x14ac:dyDescent="0.25">
      <c r="A8478" s="130"/>
      <c r="B8478" s="130"/>
      <c r="C8478" s="132"/>
      <c r="D8478" s="129"/>
      <c r="E8478" s="129"/>
      <c r="F8478" s="129"/>
      <c r="G8478" s="129"/>
      <c r="H8478" s="129"/>
      <c r="I8478" s="131"/>
      <c r="J8478" s="132"/>
      <c r="K8478" s="130"/>
      <c r="L8478" s="133"/>
    </row>
    <row r="8479" spans="1:12" x14ac:dyDescent="0.25">
      <c r="A8479" s="130"/>
      <c r="B8479" s="130"/>
      <c r="C8479" s="132"/>
      <c r="D8479" s="129"/>
      <c r="E8479" s="129"/>
      <c r="F8479" s="129"/>
      <c r="G8479" s="129"/>
      <c r="H8479" s="129"/>
      <c r="I8479" s="131"/>
      <c r="J8479" s="132"/>
      <c r="K8479" s="130"/>
      <c r="L8479" s="133"/>
    </row>
    <row r="8480" spans="1:12" x14ac:dyDescent="0.25">
      <c r="A8480" s="130"/>
      <c r="B8480" s="130"/>
      <c r="C8480" s="132"/>
      <c r="D8480" s="129"/>
      <c r="E8480" s="129"/>
      <c r="F8480" s="129"/>
      <c r="G8480" s="129"/>
      <c r="H8480" s="129"/>
      <c r="I8480" s="131"/>
      <c r="J8480" s="132"/>
      <c r="K8480" s="130"/>
      <c r="L8480" s="133"/>
    </row>
    <row r="8481" spans="1:12" x14ac:dyDescent="0.25">
      <c r="A8481" s="130"/>
      <c r="B8481" s="130"/>
      <c r="C8481" s="132"/>
      <c r="D8481" s="129"/>
      <c r="E8481" s="129"/>
      <c r="F8481" s="129"/>
      <c r="G8481" s="129"/>
      <c r="H8481" s="129"/>
      <c r="I8481" s="131"/>
      <c r="J8481" s="132"/>
      <c r="K8481" s="130"/>
      <c r="L8481" s="133"/>
    </row>
    <row r="8482" spans="1:12" x14ac:dyDescent="0.25">
      <c r="A8482" s="130"/>
      <c r="B8482" s="130"/>
      <c r="C8482" s="132"/>
      <c r="D8482" s="129"/>
      <c r="E8482" s="129"/>
      <c r="F8482" s="129"/>
      <c r="G8482" s="129"/>
      <c r="H8482" s="129"/>
      <c r="I8482" s="131"/>
      <c r="J8482" s="132"/>
      <c r="K8482" s="130"/>
      <c r="L8482" s="133"/>
    </row>
    <row r="8483" spans="1:12" x14ac:dyDescent="0.25">
      <c r="A8483" s="130"/>
      <c r="B8483" s="130"/>
      <c r="C8483" s="132"/>
      <c r="D8483" s="129"/>
      <c r="E8483" s="129"/>
      <c r="F8483" s="129"/>
      <c r="G8483" s="129"/>
      <c r="H8483" s="129"/>
      <c r="I8483" s="131"/>
      <c r="J8483" s="132"/>
      <c r="K8483" s="130"/>
      <c r="L8483" s="133"/>
    </row>
    <row r="8484" spans="1:12" x14ac:dyDescent="0.25">
      <c r="A8484" s="130"/>
      <c r="B8484" s="130"/>
      <c r="C8484" s="132"/>
      <c r="D8484" s="129"/>
      <c r="E8484" s="129"/>
      <c r="F8484" s="129"/>
      <c r="G8484" s="129"/>
      <c r="H8484" s="129"/>
      <c r="I8484" s="131"/>
      <c r="J8484" s="132"/>
      <c r="K8484" s="130"/>
      <c r="L8484" s="133"/>
    </row>
  </sheetData>
  <autoFilter ref="A4:M8360" xr:uid="{00000000-0009-0000-0000-000002000000}">
    <filterColumn colId="1">
      <filters>
        <filter val="ANTENA"/>
        <filter val="ANTENA (ALT)"/>
      </filters>
    </filterColumn>
  </autoFilter>
  <sortState xmlns:xlrd2="http://schemas.microsoft.com/office/spreadsheetml/2017/richdata2" ref="A5:L1791">
    <sortCondition ref="L5:L1791"/>
  </sortState>
  <pageMargins left="0.25" right="0.25" top="0.75" bottom="0.75" header="0.3" footer="0.3"/>
  <pageSetup paperSize="9" scale="93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CC20E-7988-49A3-9186-5272F36CFFC1}">
  <dimension ref="A1:E25"/>
  <sheetViews>
    <sheetView workbookViewId="0">
      <selection activeCell="F19" sqref="F19"/>
    </sheetView>
  </sheetViews>
  <sheetFormatPr defaultColWidth="11.42578125" defaultRowHeight="15" x14ac:dyDescent="0.25"/>
  <cols>
    <col min="1" max="1" width="17.5703125" bestFit="1" customWidth="1"/>
    <col min="2" max="2" width="24.140625" bestFit="1" customWidth="1"/>
    <col min="3" max="3" width="22.140625" bestFit="1" customWidth="1"/>
    <col min="4" max="4" width="21.7109375" bestFit="1" customWidth="1"/>
    <col min="5" max="5" width="22" bestFit="1" customWidth="1"/>
  </cols>
  <sheetData>
    <row r="1" spans="1:5" x14ac:dyDescent="0.25">
      <c r="A1" s="43" t="s">
        <v>287</v>
      </c>
      <c r="B1" s="100">
        <v>2020</v>
      </c>
    </row>
    <row r="2" spans="1:5" x14ac:dyDescent="0.25">
      <c r="A2" s="43" t="s">
        <v>271</v>
      </c>
      <c r="B2" s="12" t="s">
        <v>3137</v>
      </c>
    </row>
    <row r="4" spans="1:5" x14ac:dyDescent="0.25">
      <c r="A4" s="43" t="s">
        <v>290</v>
      </c>
      <c r="B4" s="12" t="s">
        <v>3157</v>
      </c>
      <c r="C4" s="12" t="s">
        <v>3158</v>
      </c>
      <c r="D4" s="12" t="s">
        <v>3159</v>
      </c>
      <c r="E4" s="12" t="s">
        <v>3160</v>
      </c>
    </row>
    <row r="5" spans="1:5" x14ac:dyDescent="0.25">
      <c r="A5" s="44" t="s">
        <v>603</v>
      </c>
      <c r="B5" s="46">
        <v>421.96640140000011</v>
      </c>
      <c r="C5" s="46">
        <v>0</v>
      </c>
      <c r="D5" s="46">
        <v>832.81203389830512</v>
      </c>
      <c r="E5" s="46">
        <v>0</v>
      </c>
    </row>
    <row r="6" spans="1:5" x14ac:dyDescent="0.25">
      <c r="A6" s="44" t="s">
        <v>3156</v>
      </c>
      <c r="B6" s="46">
        <v>5.4759001999999999</v>
      </c>
      <c r="C6" s="46">
        <v>42.37</v>
      </c>
      <c r="D6" s="46">
        <v>1905.6870338983051</v>
      </c>
      <c r="E6" s="46">
        <v>0</v>
      </c>
    </row>
    <row r="7" spans="1:5" x14ac:dyDescent="0.25">
      <c r="A7" s="44" t="s">
        <v>289</v>
      </c>
      <c r="B7" s="46">
        <v>427.44230160000012</v>
      </c>
      <c r="C7" s="46">
        <v>42.37</v>
      </c>
      <c r="D7" s="46">
        <v>2738.4990677966102</v>
      </c>
      <c r="E7" s="46">
        <v>0</v>
      </c>
    </row>
    <row r="10" spans="1:5" x14ac:dyDescent="0.25">
      <c r="A10" s="43" t="s">
        <v>287</v>
      </c>
      <c r="B10" s="100">
        <v>2020</v>
      </c>
      <c r="C10" s="12"/>
      <c r="D10" s="12"/>
      <c r="E10" s="12"/>
    </row>
    <row r="11" spans="1:5" x14ac:dyDescent="0.25">
      <c r="A11" s="43" t="s">
        <v>271</v>
      </c>
      <c r="B11" s="12" t="s">
        <v>121</v>
      </c>
      <c r="C11" s="12"/>
      <c r="D11" s="12"/>
      <c r="E11" s="12"/>
    </row>
    <row r="12" spans="1:5" x14ac:dyDescent="0.25">
      <c r="A12" s="12"/>
      <c r="B12" s="12"/>
      <c r="C12" s="12"/>
      <c r="D12" s="12"/>
      <c r="E12" s="12"/>
    </row>
    <row r="13" spans="1:5" x14ac:dyDescent="0.25">
      <c r="A13" s="43" t="s">
        <v>290</v>
      </c>
      <c r="B13" s="12" t="s">
        <v>3157</v>
      </c>
      <c r="C13" s="12" t="s">
        <v>3158</v>
      </c>
      <c r="D13" s="12" t="s">
        <v>3159</v>
      </c>
      <c r="E13" s="12" t="s">
        <v>3160</v>
      </c>
    </row>
    <row r="14" spans="1:5" x14ac:dyDescent="0.25">
      <c r="A14" s="44" t="s">
        <v>603</v>
      </c>
      <c r="B14" s="46">
        <v>11786.168335100001</v>
      </c>
      <c r="C14" s="46">
        <v>175.42000000000002</v>
      </c>
      <c r="D14" s="46">
        <v>3183.8133898305086</v>
      </c>
      <c r="E14" s="46">
        <v>0</v>
      </c>
    </row>
    <row r="15" spans="1:5" x14ac:dyDescent="0.25">
      <c r="A15" s="44" t="s">
        <v>3156</v>
      </c>
      <c r="B15" s="46">
        <v>159.07990009999997</v>
      </c>
      <c r="C15" s="46">
        <v>0</v>
      </c>
      <c r="D15" s="46">
        <v>59.32</v>
      </c>
      <c r="E15" s="46">
        <v>0</v>
      </c>
    </row>
    <row r="16" spans="1:5" x14ac:dyDescent="0.25">
      <c r="A16" s="44" t="s">
        <v>289</v>
      </c>
      <c r="B16" s="46">
        <v>11945.248235200001</v>
      </c>
      <c r="C16" s="46">
        <v>175.42000000000002</v>
      </c>
      <c r="D16" s="46">
        <v>3243.1333898305088</v>
      </c>
      <c r="E16" s="46">
        <v>0</v>
      </c>
    </row>
    <row r="19" spans="1:5" x14ac:dyDescent="0.25">
      <c r="A19" s="43" t="s">
        <v>287</v>
      </c>
      <c r="B19" s="100">
        <v>2020</v>
      </c>
      <c r="C19" s="12"/>
      <c r="D19" s="12"/>
      <c r="E19" s="12"/>
    </row>
    <row r="20" spans="1:5" x14ac:dyDescent="0.25">
      <c r="A20" s="43" t="s">
        <v>271</v>
      </c>
      <c r="B20" s="12" t="s">
        <v>770</v>
      </c>
      <c r="C20" s="12"/>
      <c r="D20" s="12"/>
      <c r="E20" s="12"/>
    </row>
    <row r="21" spans="1:5" x14ac:dyDescent="0.25">
      <c r="A21" s="12"/>
      <c r="B21" s="12"/>
      <c r="C21" s="12"/>
      <c r="D21" s="12"/>
      <c r="E21" s="12"/>
    </row>
    <row r="22" spans="1:5" x14ac:dyDescent="0.25">
      <c r="A22" s="43" t="s">
        <v>290</v>
      </c>
      <c r="B22" s="12" t="s">
        <v>3157</v>
      </c>
      <c r="C22" s="12" t="s">
        <v>3158</v>
      </c>
      <c r="D22" s="12" t="s">
        <v>3159</v>
      </c>
      <c r="E22" s="12" t="s">
        <v>3160</v>
      </c>
    </row>
    <row r="23" spans="1:5" x14ac:dyDescent="0.25">
      <c r="A23" s="44" t="s">
        <v>603</v>
      </c>
      <c r="B23" s="46">
        <v>63848.676254940015</v>
      </c>
      <c r="C23" s="46">
        <v>2870.5644067796611</v>
      </c>
      <c r="D23" s="46">
        <v>9605.39</v>
      </c>
      <c r="E23" s="46">
        <v>0</v>
      </c>
    </row>
    <row r="24" spans="1:5" x14ac:dyDescent="0.25">
      <c r="A24" s="44" t="s">
        <v>3156</v>
      </c>
      <c r="B24" s="46">
        <v>12112.941180099999</v>
      </c>
      <c r="C24" s="46">
        <v>647.26649717514124</v>
      </c>
      <c r="D24" s="46">
        <v>1759.72</v>
      </c>
      <c r="E24" s="46">
        <v>0</v>
      </c>
    </row>
    <row r="25" spans="1:5" x14ac:dyDescent="0.25">
      <c r="A25" s="44" t="s">
        <v>289</v>
      </c>
      <c r="B25" s="46">
        <v>75961.617435040011</v>
      </c>
      <c r="C25" s="46">
        <v>3517.8309039548021</v>
      </c>
      <c r="D25" s="46">
        <v>11365.109999999999</v>
      </c>
      <c r="E25" s="46">
        <v>0</v>
      </c>
    </row>
  </sheetData>
  <pageMargins left="0.7" right="0.7" top="0.75" bottom="0.75" header="0.3" footer="0.3"/>
  <pageSetup paperSize="9" orientation="landscape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B0F0"/>
    <pageSetUpPr fitToPage="1"/>
  </sheetPr>
  <dimension ref="A3:AV1791"/>
  <sheetViews>
    <sheetView tabSelected="1" topLeftCell="A3" zoomScale="145" zoomScaleNormal="145" workbookViewId="0">
      <pane ySplit="1" topLeftCell="A4" activePane="bottomLeft" state="frozen"/>
      <selection activeCell="A3" sqref="A3"/>
      <selection pane="bottomLeft" activeCell="A4" sqref="A4"/>
    </sheetView>
  </sheetViews>
  <sheetFormatPr defaultColWidth="11.42578125" defaultRowHeight="11.25" x14ac:dyDescent="0.2"/>
  <cols>
    <col min="1" max="1" width="11.7109375" style="26" bestFit="1" customWidth="1"/>
    <col min="2" max="2" width="6.5703125" style="26" bestFit="1" customWidth="1"/>
    <col min="3" max="3" width="7.42578125" style="26" bestFit="1" customWidth="1"/>
    <col min="4" max="4" width="10.140625" style="26" bestFit="1" customWidth="1"/>
    <col min="5" max="5" width="11.42578125" style="26" bestFit="1" customWidth="1"/>
    <col min="6" max="6" width="9.5703125" style="26" bestFit="1" customWidth="1"/>
    <col min="7" max="7" width="9.28515625" style="26" customWidth="1"/>
    <col min="8" max="8" width="11.42578125" style="26"/>
    <col min="9" max="9" width="32.28515625" style="26" customWidth="1"/>
    <col min="10" max="10" width="10" style="26" customWidth="1"/>
    <col min="11" max="11" width="19.5703125" style="26" customWidth="1"/>
    <col min="12" max="12" width="4.5703125" style="26" customWidth="1"/>
    <col min="13" max="13" width="5.140625" style="26" customWidth="1"/>
    <col min="14" max="14" width="11.42578125" style="26"/>
    <col min="15" max="15" width="5" style="26" customWidth="1"/>
    <col min="16" max="16" width="20.85546875" style="26" bestFit="1" customWidth="1"/>
    <col min="17" max="17" width="6.28515625" style="26" customWidth="1"/>
    <col min="18" max="18" width="6.5703125" style="28" customWidth="1"/>
    <col min="19" max="19" width="5.140625" style="28" customWidth="1"/>
    <col min="20" max="20" width="8.140625" style="28" customWidth="1"/>
    <col min="21" max="21" width="7.42578125" style="28" customWidth="1"/>
    <col min="22" max="22" width="8.28515625" style="28" customWidth="1"/>
    <col min="23" max="23" width="7.7109375" style="28" customWidth="1"/>
    <col min="24" max="24" width="8.42578125" style="28" customWidth="1"/>
    <col min="25" max="25" width="9.140625" style="30" customWidth="1"/>
    <col min="26" max="26" width="11.42578125" style="26"/>
    <col min="27" max="27" width="12.7109375" style="26" customWidth="1"/>
    <col min="28" max="36" width="11.42578125" style="28"/>
    <col min="37" max="37" width="11.42578125" style="31"/>
    <col min="38" max="39" width="8.140625" style="26" customWidth="1"/>
    <col min="40" max="40" width="10.140625" style="26" bestFit="1" customWidth="1"/>
    <col min="41" max="41" width="4.42578125" style="42" customWidth="1"/>
    <col min="42" max="42" width="11.85546875" style="42" bestFit="1" customWidth="1"/>
    <col min="43" max="43" width="12" style="26" bestFit="1" customWidth="1"/>
    <col min="44" max="44" width="11.42578125" style="30" customWidth="1"/>
    <col min="45" max="45" width="8.5703125" style="30" bestFit="1" customWidth="1"/>
    <col min="46" max="47" width="11.42578125" style="26" customWidth="1"/>
    <col min="48" max="48" width="29.42578125" style="26" customWidth="1"/>
    <col min="49" max="268" width="11.42578125" style="26"/>
    <col min="269" max="269" width="13" style="26" bestFit="1" customWidth="1"/>
    <col min="270" max="524" width="11.42578125" style="26"/>
    <col min="525" max="525" width="13" style="26" bestFit="1" customWidth="1"/>
    <col min="526" max="780" width="11.42578125" style="26"/>
    <col min="781" max="781" width="13" style="26" bestFit="1" customWidth="1"/>
    <col min="782" max="1036" width="11.42578125" style="26"/>
    <col min="1037" max="1037" width="13" style="26" bestFit="1" customWidth="1"/>
    <col min="1038" max="1292" width="11.42578125" style="26"/>
    <col min="1293" max="1293" width="13" style="26" bestFit="1" customWidth="1"/>
    <col min="1294" max="1548" width="11.42578125" style="26"/>
    <col min="1549" max="1549" width="13" style="26" bestFit="1" customWidth="1"/>
    <col min="1550" max="1804" width="11.42578125" style="26"/>
    <col min="1805" max="1805" width="13" style="26" bestFit="1" customWidth="1"/>
    <col min="1806" max="2060" width="11.42578125" style="26"/>
    <col min="2061" max="2061" width="13" style="26" bestFit="1" customWidth="1"/>
    <col min="2062" max="2316" width="11.42578125" style="26"/>
    <col min="2317" max="2317" width="13" style="26" bestFit="1" customWidth="1"/>
    <col min="2318" max="2572" width="11.42578125" style="26"/>
    <col min="2573" max="2573" width="13" style="26" bestFit="1" customWidth="1"/>
    <col min="2574" max="2828" width="11.42578125" style="26"/>
    <col min="2829" max="2829" width="13" style="26" bestFit="1" customWidth="1"/>
    <col min="2830" max="3084" width="11.42578125" style="26"/>
    <col min="3085" max="3085" width="13" style="26" bestFit="1" customWidth="1"/>
    <col min="3086" max="3340" width="11.42578125" style="26"/>
    <col min="3341" max="3341" width="13" style="26" bestFit="1" customWidth="1"/>
    <col min="3342" max="3596" width="11.42578125" style="26"/>
    <col min="3597" max="3597" width="13" style="26" bestFit="1" customWidth="1"/>
    <col min="3598" max="3852" width="11.42578125" style="26"/>
    <col min="3853" max="3853" width="13" style="26" bestFit="1" customWidth="1"/>
    <col min="3854" max="4108" width="11.42578125" style="26"/>
    <col min="4109" max="4109" width="13" style="26" bestFit="1" customWidth="1"/>
    <col min="4110" max="4364" width="11.42578125" style="26"/>
    <col min="4365" max="4365" width="13" style="26" bestFit="1" customWidth="1"/>
    <col min="4366" max="4620" width="11.42578125" style="26"/>
    <col min="4621" max="4621" width="13" style="26" bestFit="1" customWidth="1"/>
    <col min="4622" max="4876" width="11.42578125" style="26"/>
    <col min="4877" max="4877" width="13" style="26" bestFit="1" customWidth="1"/>
    <col min="4878" max="5132" width="11.42578125" style="26"/>
    <col min="5133" max="5133" width="13" style="26" bestFit="1" customWidth="1"/>
    <col min="5134" max="5388" width="11.42578125" style="26"/>
    <col min="5389" max="5389" width="13" style="26" bestFit="1" customWidth="1"/>
    <col min="5390" max="5644" width="11.42578125" style="26"/>
    <col min="5645" max="5645" width="13" style="26" bestFit="1" customWidth="1"/>
    <col min="5646" max="5900" width="11.42578125" style="26"/>
    <col min="5901" max="5901" width="13" style="26" bestFit="1" customWidth="1"/>
    <col min="5902" max="6156" width="11.42578125" style="26"/>
    <col min="6157" max="6157" width="13" style="26" bestFit="1" customWidth="1"/>
    <col min="6158" max="6412" width="11.42578125" style="26"/>
    <col min="6413" max="6413" width="13" style="26" bestFit="1" customWidth="1"/>
    <col min="6414" max="6668" width="11.42578125" style="26"/>
    <col min="6669" max="6669" width="13" style="26" bestFit="1" customWidth="1"/>
    <col min="6670" max="6924" width="11.42578125" style="26"/>
    <col min="6925" max="6925" width="13" style="26" bestFit="1" customWidth="1"/>
    <col min="6926" max="7180" width="11.42578125" style="26"/>
    <col min="7181" max="7181" width="13" style="26" bestFit="1" customWidth="1"/>
    <col min="7182" max="7436" width="11.42578125" style="26"/>
    <col min="7437" max="7437" width="13" style="26" bestFit="1" customWidth="1"/>
    <col min="7438" max="7692" width="11.42578125" style="26"/>
    <col min="7693" max="7693" width="13" style="26" bestFit="1" customWidth="1"/>
    <col min="7694" max="7948" width="11.42578125" style="26"/>
    <col min="7949" max="7949" width="13" style="26" bestFit="1" customWidth="1"/>
    <col min="7950" max="8204" width="11.42578125" style="26"/>
    <col min="8205" max="8205" width="13" style="26" bestFit="1" customWidth="1"/>
    <col min="8206" max="8460" width="11.42578125" style="26"/>
    <col min="8461" max="8461" width="13" style="26" bestFit="1" customWidth="1"/>
    <col min="8462" max="8716" width="11.42578125" style="26"/>
    <col min="8717" max="8717" width="13" style="26" bestFit="1" customWidth="1"/>
    <col min="8718" max="8972" width="11.42578125" style="26"/>
    <col min="8973" max="8973" width="13" style="26" bestFit="1" customWidth="1"/>
    <col min="8974" max="9228" width="11.42578125" style="26"/>
    <col min="9229" max="9229" width="13" style="26" bestFit="1" customWidth="1"/>
    <col min="9230" max="9484" width="11.42578125" style="26"/>
    <col min="9485" max="9485" width="13" style="26" bestFit="1" customWidth="1"/>
    <col min="9486" max="9740" width="11.42578125" style="26"/>
    <col min="9741" max="9741" width="13" style="26" bestFit="1" customWidth="1"/>
    <col min="9742" max="9996" width="11.42578125" style="26"/>
    <col min="9997" max="9997" width="13" style="26" bestFit="1" customWidth="1"/>
    <col min="9998" max="10252" width="11.42578125" style="26"/>
    <col min="10253" max="10253" width="13" style="26" bestFit="1" customWidth="1"/>
    <col min="10254" max="10508" width="11.42578125" style="26"/>
    <col min="10509" max="10509" width="13" style="26" bestFit="1" customWidth="1"/>
    <col min="10510" max="10764" width="11.42578125" style="26"/>
    <col min="10765" max="10765" width="13" style="26" bestFit="1" customWidth="1"/>
    <col min="10766" max="11020" width="11.42578125" style="26"/>
    <col min="11021" max="11021" width="13" style="26" bestFit="1" customWidth="1"/>
    <col min="11022" max="11276" width="11.42578125" style="26"/>
    <col min="11277" max="11277" width="13" style="26" bestFit="1" customWidth="1"/>
    <col min="11278" max="11532" width="11.42578125" style="26"/>
    <col min="11533" max="11533" width="13" style="26" bestFit="1" customWidth="1"/>
    <col min="11534" max="11788" width="11.42578125" style="26"/>
    <col min="11789" max="11789" width="13" style="26" bestFit="1" customWidth="1"/>
    <col min="11790" max="12044" width="11.42578125" style="26"/>
    <col min="12045" max="12045" width="13" style="26" bestFit="1" customWidth="1"/>
    <col min="12046" max="12300" width="11.42578125" style="26"/>
    <col min="12301" max="12301" width="13" style="26" bestFit="1" customWidth="1"/>
    <col min="12302" max="12556" width="11.42578125" style="26"/>
    <col min="12557" max="12557" width="13" style="26" bestFit="1" customWidth="1"/>
    <col min="12558" max="12812" width="11.42578125" style="26"/>
    <col min="12813" max="12813" width="13" style="26" bestFit="1" customWidth="1"/>
    <col min="12814" max="13068" width="11.42578125" style="26"/>
    <col min="13069" max="13069" width="13" style="26" bestFit="1" customWidth="1"/>
    <col min="13070" max="13324" width="11.42578125" style="26"/>
    <col min="13325" max="13325" width="13" style="26" bestFit="1" customWidth="1"/>
    <col min="13326" max="13580" width="11.42578125" style="26"/>
    <col min="13581" max="13581" width="13" style="26" bestFit="1" customWidth="1"/>
    <col min="13582" max="13836" width="11.42578125" style="26"/>
    <col min="13837" max="13837" width="13" style="26" bestFit="1" customWidth="1"/>
    <col min="13838" max="14092" width="11.42578125" style="26"/>
    <col min="14093" max="14093" width="13" style="26" bestFit="1" customWidth="1"/>
    <col min="14094" max="14348" width="11.42578125" style="26"/>
    <col min="14349" max="14349" width="13" style="26" bestFit="1" customWidth="1"/>
    <col min="14350" max="14604" width="11.42578125" style="26"/>
    <col min="14605" max="14605" width="13" style="26" bestFit="1" customWidth="1"/>
    <col min="14606" max="14860" width="11.42578125" style="26"/>
    <col min="14861" max="14861" width="13" style="26" bestFit="1" customWidth="1"/>
    <col min="14862" max="15116" width="11.42578125" style="26"/>
    <col min="15117" max="15117" width="13" style="26" bestFit="1" customWidth="1"/>
    <col min="15118" max="15372" width="11.42578125" style="26"/>
    <col min="15373" max="15373" width="13" style="26" bestFit="1" customWidth="1"/>
    <col min="15374" max="15628" width="11.42578125" style="26"/>
    <col min="15629" max="15629" width="13" style="26" bestFit="1" customWidth="1"/>
    <col min="15630" max="15884" width="11.42578125" style="26"/>
    <col min="15885" max="15885" width="13" style="26" bestFit="1" customWidth="1"/>
    <col min="15886" max="16140" width="11.42578125" style="26"/>
    <col min="16141" max="16141" width="13" style="26" bestFit="1" customWidth="1"/>
    <col min="16142" max="16384" width="11.42578125" style="26"/>
  </cols>
  <sheetData>
    <row r="3" spans="1:48" x14ac:dyDescent="0.2">
      <c r="A3" s="32" t="s">
        <v>45</v>
      </c>
      <c r="B3" s="32" t="s">
        <v>46</v>
      </c>
      <c r="C3" s="32" t="s">
        <v>47</v>
      </c>
      <c r="D3" s="32" t="s">
        <v>48</v>
      </c>
      <c r="E3" s="33" t="s">
        <v>49</v>
      </c>
      <c r="F3" s="33" t="s">
        <v>50</v>
      </c>
      <c r="G3" s="33" t="s">
        <v>51</v>
      </c>
      <c r="H3" s="33" t="s">
        <v>52</v>
      </c>
      <c r="I3" s="32" t="s">
        <v>53</v>
      </c>
      <c r="J3" s="32" t="s">
        <v>54</v>
      </c>
      <c r="K3" s="32" t="s">
        <v>55</v>
      </c>
      <c r="L3" s="33" t="s">
        <v>56</v>
      </c>
      <c r="M3" s="32" t="s">
        <v>57</v>
      </c>
      <c r="N3" s="32" t="s">
        <v>58</v>
      </c>
      <c r="O3" s="33" t="s">
        <v>59</v>
      </c>
      <c r="P3" s="33" t="s">
        <v>60</v>
      </c>
      <c r="Q3" s="33" t="s">
        <v>61</v>
      </c>
      <c r="R3" s="34" t="s">
        <v>62</v>
      </c>
      <c r="S3" s="34" t="s">
        <v>63</v>
      </c>
      <c r="T3" s="34" t="s">
        <v>64</v>
      </c>
      <c r="U3" s="34" t="s">
        <v>65</v>
      </c>
      <c r="V3" s="34" t="s">
        <v>66</v>
      </c>
      <c r="W3" s="34" t="s">
        <v>67</v>
      </c>
      <c r="X3" s="35" t="s">
        <v>135</v>
      </c>
      <c r="Y3" s="36" t="s">
        <v>259</v>
      </c>
      <c r="Z3" s="35" t="s">
        <v>258</v>
      </c>
      <c r="AA3" s="35" t="s">
        <v>260</v>
      </c>
      <c r="AB3" s="37" t="s">
        <v>261</v>
      </c>
      <c r="AC3" s="37" t="s">
        <v>262</v>
      </c>
      <c r="AD3" s="37" t="s">
        <v>263</v>
      </c>
      <c r="AE3" s="37" t="s">
        <v>264</v>
      </c>
      <c r="AF3" s="37" t="s">
        <v>265</v>
      </c>
      <c r="AG3" s="37" t="s">
        <v>266</v>
      </c>
      <c r="AH3" s="37" t="s">
        <v>267</v>
      </c>
      <c r="AI3" s="37" t="s">
        <v>268</v>
      </c>
      <c r="AJ3" s="37" t="s">
        <v>269</v>
      </c>
      <c r="AK3" s="38" t="s">
        <v>270</v>
      </c>
      <c r="AL3" s="39" t="s">
        <v>271</v>
      </c>
      <c r="AM3" s="39" t="s">
        <v>272</v>
      </c>
      <c r="AN3" s="39" t="s">
        <v>286</v>
      </c>
      <c r="AO3" s="41" t="s">
        <v>287</v>
      </c>
      <c r="AP3" s="41" t="s">
        <v>285</v>
      </c>
      <c r="AQ3" s="39" t="s">
        <v>288</v>
      </c>
      <c r="AR3" s="54" t="s">
        <v>326</v>
      </c>
      <c r="AS3" s="54" t="s">
        <v>50</v>
      </c>
      <c r="AT3" s="54" t="s">
        <v>324</v>
      </c>
      <c r="AU3" s="54" t="s">
        <v>325</v>
      </c>
      <c r="AV3" s="54" t="s">
        <v>411</v>
      </c>
    </row>
    <row r="4" spans="1:48" x14ac:dyDescent="0.2">
      <c r="A4" s="172">
        <v>43745</v>
      </c>
      <c r="B4" s="173" t="s">
        <v>68</v>
      </c>
      <c r="C4" s="173" t="s">
        <v>102</v>
      </c>
      <c r="D4" s="173" t="s">
        <v>597</v>
      </c>
      <c r="E4" s="173" t="s">
        <v>742</v>
      </c>
      <c r="F4" s="173" t="s">
        <v>917</v>
      </c>
      <c r="G4" s="172">
        <v>43739</v>
      </c>
      <c r="H4" s="173" t="s">
        <v>1131</v>
      </c>
      <c r="I4" s="173" t="s">
        <v>1132</v>
      </c>
      <c r="J4" s="173" t="s">
        <v>97</v>
      </c>
      <c r="K4" s="173" t="s">
        <v>98</v>
      </c>
      <c r="L4" s="174" t="s">
        <v>71</v>
      </c>
      <c r="M4" s="175" t="s">
        <v>72</v>
      </c>
      <c r="N4" s="173" t="s">
        <v>73</v>
      </c>
      <c r="O4" s="176" t="s">
        <v>99</v>
      </c>
      <c r="P4" s="173" t="s">
        <v>98</v>
      </c>
      <c r="Q4" s="177" t="s">
        <v>93</v>
      </c>
      <c r="R4" s="178">
        <v>3.3780000000000001</v>
      </c>
      <c r="S4" s="179">
        <v>1</v>
      </c>
      <c r="T4" s="179">
        <v>120</v>
      </c>
      <c r="U4" s="179">
        <v>120</v>
      </c>
      <c r="V4" s="179">
        <v>21.600010000000019</v>
      </c>
      <c r="W4" s="179">
        <v>141.60001000000003</v>
      </c>
      <c r="X4" s="27">
        <f>IF(Q4="$",(U4*R4),U4)</f>
        <v>405.36</v>
      </c>
      <c r="Y4" s="29">
        <f>VLOOKUP(Z4,CHOOSE({2,1},$A$4:$A$299,$E$4:$E$299),2,0)</f>
        <v>43745</v>
      </c>
      <c r="Z4" s="26" t="str">
        <f>IFERROR(INDEX($E$4:$E$299, MATCH(0, INDEX( COUNTIF($Z$3:Z3,$E$4:$E$299), 0, 0), 0)), "")</f>
        <v>005-00000004</v>
      </c>
      <c r="AA4" s="28">
        <f t="shared" ref="AA4:AA35" ca="1" si="0">SUMIFS(Fac_Suma,Fac_OT,Z4,Fac_Fecha,Y4)</f>
        <v>955.97400000000005</v>
      </c>
      <c r="AB4" s="28">
        <f ca="1">SUMIF(Salida_OT,Facturacion!Z4,Salida_Suma)</f>
        <v>0</v>
      </c>
      <c r="AC4" s="28">
        <f t="shared" ref="AC4" ca="1" si="1">SUMIFS(Compras_Suma,Compras_OT,Z4,Compras_Tipo,"RP")</f>
        <v>0</v>
      </c>
      <c r="AD4" s="28">
        <f t="shared" ref="AD4" ca="1" si="2">SUMIFS(Compras_Suma,Compras_OT,Z4,Compras_Tipo,"ST")</f>
        <v>0</v>
      </c>
      <c r="AE4" s="28">
        <f ca="1">(SUMIF(Asig_OT,Z4,Asig_Hora_Mec))*'Costos x MO'!$B$6*'Costos x MO'!$B$7</f>
        <v>0</v>
      </c>
      <c r="AF4" s="28">
        <f ca="1">SUMIF(Asig_OT,Z4,Asig_Hora_Pla)*'Costos x MO'!$B$4*'Costos x MO'!$B$7</f>
        <v>60.300000000000004</v>
      </c>
      <c r="AG4" s="28">
        <f ca="1">SUMIF(Asig_OT,Z4,Asig_paño_Pin)*'Costos x MO'!$B$5*'Costos x MO'!$B$7</f>
        <v>140.70000000000002</v>
      </c>
      <c r="AH4" s="28">
        <f ca="1">(SUMIF(Asig_OT,Z4,Asig_Terc_Pla)*'Costos x MO'!$B$7)+(SUMIF(Asig_OT,Z4,Asig_Terc_Pin)*'Costos x MO'!$B$7)</f>
        <v>0</v>
      </c>
      <c r="AI4" s="28">
        <f t="shared" ref="AI4" ca="1" si="3">SUM(AB4:AH4)</f>
        <v>201.00000000000003</v>
      </c>
      <c r="AJ4" s="28">
        <f t="shared" ref="AJ4" ca="1" si="4">+AA4-AI4</f>
        <v>754.97400000000005</v>
      </c>
      <c r="AK4" s="31">
        <f t="shared" ref="AK4" ca="1" si="5">IFERROR(AJ4/AA4,0)</f>
        <v>0.78974323569469462</v>
      </c>
      <c r="AL4" s="28" t="str">
        <f t="shared" ref="AL4" ca="1" si="6">IFERROR(VLOOKUP(Z4,Matriz,5,0),"S/TIPO")</f>
        <v>C.C</v>
      </c>
      <c r="AM4" s="28" t="str">
        <f t="shared" ref="AM4" ca="1" si="7">IFERROR(VLOOKUP(Z4,Matriz,17,0),"S/TIPO")</f>
        <v>LEVE</v>
      </c>
      <c r="AN4" s="30" t="str">
        <f t="shared" ref="AN4" si="8">PROPER(TEXT(Y4,"mmmm"))</f>
        <v>October</v>
      </c>
      <c r="AO4" s="42">
        <f t="shared" ref="AO4" si="9">YEAR(Y4)</f>
        <v>2019</v>
      </c>
      <c r="AP4" s="42">
        <f t="shared" ref="AP4:AP5" si="10">+Y4-AR4</f>
        <v>6</v>
      </c>
      <c r="AQ4" s="26">
        <v>1</v>
      </c>
      <c r="AR4" s="30">
        <f>VLOOKUP(Z4,$E$4:$G$299,3,0)</f>
        <v>43739</v>
      </c>
      <c r="AS4" s="30" t="str">
        <f t="shared" ref="AS4" ca="1" si="11">IFERROR(VLOOKUP(Z4,Matriz,2,0),"S/PLACA")</f>
        <v>ASW-540</v>
      </c>
      <c r="AT4" s="26" t="str">
        <f ca="1">IFERROR(VLOOKUP(Z4,Matriz,3,0),"S/MARCA")</f>
        <v>KIA</v>
      </c>
      <c r="AU4" s="26" t="str">
        <f t="shared" ref="AU4" ca="1" si="12">IFERROR(VLOOKUP(Z4,Matriz,4,0),"S/MODELO")</f>
        <v>RIO</v>
      </c>
      <c r="AV4" s="26" t="str">
        <f>VLOOKUP(Z4,$E$4:$W$299,5,0)</f>
        <v>FAST ENGENHARIA E MONTAGENS SA</v>
      </c>
    </row>
    <row r="5" spans="1:48" x14ac:dyDescent="0.2">
      <c r="A5" s="172">
        <v>43745</v>
      </c>
      <c r="B5" s="173" t="s">
        <v>68</v>
      </c>
      <c r="C5" s="173" t="s">
        <v>102</v>
      </c>
      <c r="D5" s="173" t="s">
        <v>597</v>
      </c>
      <c r="E5" s="173" t="s">
        <v>742</v>
      </c>
      <c r="F5" s="173" t="s">
        <v>917</v>
      </c>
      <c r="G5" s="172">
        <v>43739</v>
      </c>
      <c r="H5" s="173" t="s">
        <v>1131</v>
      </c>
      <c r="I5" s="173" t="s">
        <v>1132</v>
      </c>
      <c r="J5" s="173" t="s">
        <v>100</v>
      </c>
      <c r="K5" s="173" t="s">
        <v>101</v>
      </c>
      <c r="L5" s="174" t="s">
        <v>71</v>
      </c>
      <c r="M5" s="175" t="s">
        <v>72</v>
      </c>
      <c r="N5" s="173" t="s">
        <v>73</v>
      </c>
      <c r="O5" s="176" t="s">
        <v>72</v>
      </c>
      <c r="P5" s="130" t="s">
        <v>101</v>
      </c>
      <c r="Q5" s="177" t="s">
        <v>93</v>
      </c>
      <c r="R5" s="178">
        <v>3.3780000000000001</v>
      </c>
      <c r="S5" s="179">
        <v>1</v>
      </c>
      <c r="T5" s="179">
        <v>75</v>
      </c>
      <c r="U5" s="179">
        <v>75</v>
      </c>
      <c r="V5" s="179">
        <v>13.5</v>
      </c>
      <c r="W5" s="179">
        <v>88.5</v>
      </c>
      <c r="X5" s="27">
        <f t="shared" ref="X5:X68" si="13">IF(Q5="$",(U5*R5),U5)</f>
        <v>253.35000000000002</v>
      </c>
      <c r="Y5" s="29">
        <f ca="1">VLOOKUP(Z5,CHOOSE({2,1},Fac_Fecha,Fac_OT),2,0)</f>
        <v>43745</v>
      </c>
      <c r="Z5" s="26" t="s">
        <v>745</v>
      </c>
      <c r="AA5" s="28">
        <f t="shared" ca="1" si="0"/>
        <v>270.24</v>
      </c>
      <c r="AB5" s="28">
        <f ca="1">SUMIF(Salida_OT,Facturacion!Z5,Salida_Suma)</f>
        <v>65.580001999999979</v>
      </c>
      <c r="AC5" s="28">
        <f t="shared" ref="AC5" ca="1" si="14">SUMIFS(Compras_Suma,Compras_OT,Z5,Compras_Tipo,"RP")</f>
        <v>0</v>
      </c>
      <c r="AD5" s="28">
        <f t="shared" ref="AD5" ca="1" si="15">SUMIFS(Compras_Suma,Compras_OT,Z5,Compras_Tipo,"ST")</f>
        <v>67.79661016949153</v>
      </c>
      <c r="AE5" s="28">
        <f ca="1">(SUMIF(Asig_OT,Z5,Asig_Hora_Mec))*'Costos x MO'!$B$6*'Costos x MO'!$B$7</f>
        <v>0</v>
      </c>
      <c r="AF5" s="28">
        <f ca="1">SUMIF(Asig_OT,Z5,Asig_Hora_Pla)*'Costos x MO'!$B$4*'Costos x MO'!$B$7</f>
        <v>0</v>
      </c>
      <c r="AG5" s="28">
        <f ca="1">SUMIF(Asig_OT,Z5,Asig_paño_Pin)*'Costos x MO'!$B$5*'Costos x MO'!$B$7</f>
        <v>0</v>
      </c>
      <c r="AH5" s="28">
        <f ca="1">(SUMIF(Asig_OT,Z5,Asig_Terc_Pla)*'Costos x MO'!$B$7)+(SUMIF(Asig_OT,Z5,Asig_Terc_Pin)*'Costos x MO'!$B$7)</f>
        <v>0</v>
      </c>
      <c r="AI5" s="28">
        <f t="shared" ref="AI5" ca="1" si="16">SUM(AB5:AH5)</f>
        <v>133.37661216949152</v>
      </c>
      <c r="AJ5" s="28">
        <f t="shared" ref="AJ5" ca="1" si="17">+AA5-AI5</f>
        <v>136.86338783050849</v>
      </c>
      <c r="AK5" s="31">
        <f t="shared" ref="AK5" ca="1" si="18">IFERROR(AJ5/AA5,0)</f>
        <v>0.50645125751372289</v>
      </c>
      <c r="AL5" s="28" t="str">
        <f t="shared" ref="AL5" ca="1" si="19">IFERROR(VLOOKUP(Z5,Matriz,5,0),"S/TIPO")</f>
        <v>C.C</v>
      </c>
      <c r="AM5" s="28" t="str">
        <f t="shared" ref="AM5" ca="1" si="20">IFERROR(VLOOKUP(Z5,Matriz,17,0),"S/TIPO")</f>
        <v>MECANICA</v>
      </c>
      <c r="AN5" s="30" t="str">
        <f t="shared" ref="AN5" ca="1" si="21">PROPER(TEXT(Y5,"mmmm"))</f>
        <v>October</v>
      </c>
      <c r="AO5" s="42">
        <f t="shared" ref="AO5" ca="1" si="22">YEAR(Y5)</f>
        <v>2019</v>
      </c>
      <c r="AP5" s="42">
        <f t="shared" ca="1" si="10"/>
        <v>5</v>
      </c>
      <c r="AQ5" s="26">
        <v>1</v>
      </c>
      <c r="AR5" s="30">
        <f t="shared" ref="AR5:AR36" ca="1" si="23">VLOOKUP(Z5,Matriz2,3,0)</f>
        <v>43740</v>
      </c>
      <c r="AS5" s="30" t="str">
        <f t="shared" ref="AS5" ca="1" si="24">IFERROR(VLOOKUP(Z5,Matriz,2,0),"S/PLACA")</f>
        <v>ASW-540</v>
      </c>
      <c r="AT5" s="26" t="str">
        <f t="shared" ref="AT5" ca="1" si="25">IFERROR(VLOOKUP(Z5,Matriz,3,0),"S/MARCA")</f>
        <v>KIA</v>
      </c>
      <c r="AU5" s="26" t="str">
        <f t="shared" ref="AU5" ca="1" si="26">IFERROR(VLOOKUP(Z5,Matriz,4,0),"S/MODELO")</f>
        <v>RIO</v>
      </c>
      <c r="AV5" s="26" t="str">
        <f t="shared" ref="AV5:AV36" ca="1" si="27">VLOOKUP(Z5,Matriz2,5,0)</f>
        <v>FAST ENGENHARIA E MONTAGENS SA</v>
      </c>
    </row>
    <row r="6" spans="1:48" x14ac:dyDescent="0.2">
      <c r="A6" s="172">
        <v>43745</v>
      </c>
      <c r="B6" s="173" t="s">
        <v>68</v>
      </c>
      <c r="C6" s="173" t="s">
        <v>102</v>
      </c>
      <c r="D6" s="173" t="s">
        <v>597</v>
      </c>
      <c r="E6" s="173" t="s">
        <v>742</v>
      </c>
      <c r="F6" s="173" t="s">
        <v>917</v>
      </c>
      <c r="G6" s="172">
        <v>43739</v>
      </c>
      <c r="H6" s="173" t="s">
        <v>1131</v>
      </c>
      <c r="I6" s="173" t="s">
        <v>1132</v>
      </c>
      <c r="J6" s="173" t="s">
        <v>92</v>
      </c>
      <c r="K6" s="173" t="s">
        <v>113</v>
      </c>
      <c r="L6" s="174" t="s">
        <v>71</v>
      </c>
      <c r="M6" s="175" t="s">
        <v>72</v>
      </c>
      <c r="N6" s="173" t="s">
        <v>73</v>
      </c>
      <c r="O6" s="176" t="s">
        <v>69</v>
      </c>
      <c r="P6" s="130" t="s">
        <v>113</v>
      </c>
      <c r="Q6" s="177" t="s">
        <v>93</v>
      </c>
      <c r="R6" s="178">
        <v>3.3780000000000001</v>
      </c>
      <c r="S6" s="179">
        <v>1</v>
      </c>
      <c r="T6" s="179">
        <v>88</v>
      </c>
      <c r="U6" s="179">
        <v>88</v>
      </c>
      <c r="V6" s="179">
        <v>15.84</v>
      </c>
      <c r="W6" s="179">
        <v>103.84</v>
      </c>
      <c r="X6" s="27">
        <f t="shared" si="13"/>
        <v>297.26400000000001</v>
      </c>
      <c r="Y6" s="29">
        <f ca="1">VLOOKUP(Z6,CHOOSE({2,1},Fac_Fecha,Fac_OT),2,0)</f>
        <v>43749</v>
      </c>
      <c r="Z6" s="26" t="s">
        <v>760</v>
      </c>
      <c r="AA6" s="28">
        <f t="shared" ca="1" si="0"/>
        <v>841.87288999999998</v>
      </c>
      <c r="AB6" s="28">
        <f ca="1">SUMIF(Salida_OT,Facturacion!Z6,Salida_Suma)</f>
        <v>209.40159500000004</v>
      </c>
      <c r="AC6" s="28">
        <f t="shared" ref="AC6:AC66" ca="1" si="28">SUMIFS(Compras_Suma,Compras_OT,Z6,Compras_Tipo,"RP")</f>
        <v>0</v>
      </c>
      <c r="AD6" s="28">
        <f t="shared" ref="AD6:AD66" ca="1" si="29">SUMIFS(Compras_Suma,Compras_OT,Z6,Compras_Tipo,"ST")</f>
        <v>115.2542372881356</v>
      </c>
      <c r="AE6" s="28">
        <f ca="1">(SUMIF(Asig_OT,Z6,Asig_Hora_Mec))*'Costos x MO'!$B$6*'Costos x MO'!$B$7</f>
        <v>40.250250000000001</v>
      </c>
      <c r="AF6" s="28">
        <f ca="1">SUMIF(Asig_OT,Z6,Asig_Hora_Pla)*'Costos x MO'!$B$4*'Costos x MO'!$B$7</f>
        <v>0</v>
      </c>
      <c r="AG6" s="28">
        <f ca="1">SUMIF(Asig_OT,Z6,Asig_paño_Pin)*'Costos x MO'!$B$5*'Costos x MO'!$B$7</f>
        <v>0</v>
      </c>
      <c r="AH6" s="28">
        <f ca="1">(SUMIF(Asig_OT,Z6,Asig_Terc_Pla)*'Costos x MO'!$B$7)+(SUMIF(Asig_OT,Z6,Asig_Terc_Pin)*'Costos x MO'!$B$7)</f>
        <v>0</v>
      </c>
      <c r="AI6" s="28">
        <f t="shared" ref="AI6:AI66" ca="1" si="30">SUM(AB6:AH6)</f>
        <v>364.90608228813562</v>
      </c>
      <c r="AJ6" s="28">
        <f t="shared" ref="AJ6:AJ66" ca="1" si="31">+AA6-AI6</f>
        <v>476.96680771186436</v>
      </c>
      <c r="AK6" s="31">
        <f t="shared" ref="AK6:AK66" ca="1" si="32">IFERROR(AJ6/AA6,0)</f>
        <v>0.56655442095523989</v>
      </c>
      <c r="AL6" s="28" t="str">
        <f t="shared" ref="AL6:AL66" ca="1" si="33">IFERROR(VLOOKUP(Z6,Matriz,5,0),"S/TIPO")</f>
        <v>C.C</v>
      </c>
      <c r="AM6" s="28" t="str">
        <f t="shared" ref="AM6:AM66" ca="1" si="34">IFERROR(VLOOKUP(Z6,Matriz,17,0),"S/TIPO")</f>
        <v>MECANICA</v>
      </c>
      <c r="AN6" s="30" t="str">
        <f t="shared" ref="AN6:AN66" ca="1" si="35">PROPER(TEXT(Y6,"mmmm"))</f>
        <v>October</v>
      </c>
      <c r="AO6" s="42">
        <f t="shared" ref="AO6:AO66" ca="1" si="36">YEAR(Y6)</f>
        <v>2019</v>
      </c>
      <c r="AP6" s="42">
        <f t="shared" ref="AP6:AP66" ca="1" si="37">+Y6-AR6</f>
        <v>2</v>
      </c>
      <c r="AQ6" s="26">
        <v>1</v>
      </c>
      <c r="AR6" s="30">
        <f t="shared" ca="1" si="23"/>
        <v>43747</v>
      </c>
      <c r="AS6" s="30" t="str">
        <f t="shared" ref="AS6:AS66" ca="1" si="38">IFERROR(VLOOKUP(Z6,Matriz,2,0),"S/PLACA")</f>
        <v>F5B-699</v>
      </c>
      <c r="AT6" s="26" t="str">
        <f t="shared" ref="AT6:AT66" ca="1" si="39">IFERROR(VLOOKUP(Z6,Matriz,3,0),"S/MARCA")</f>
        <v>NISSAN</v>
      </c>
      <c r="AU6" s="26" t="str">
        <f t="shared" ref="AU6:AU66" ca="1" si="40">IFERROR(VLOOKUP(Z6,Matriz,4,0),"S/MODELO")</f>
        <v>VERSA</v>
      </c>
      <c r="AV6" s="26" t="str">
        <f t="shared" ca="1" si="27"/>
        <v>PACHECO PALOMINO RICARDO ALONSO</v>
      </c>
    </row>
    <row r="7" spans="1:48" x14ac:dyDescent="0.2">
      <c r="A7" s="172">
        <v>43745</v>
      </c>
      <c r="B7" s="173" t="s">
        <v>68</v>
      </c>
      <c r="C7" s="173" t="s">
        <v>102</v>
      </c>
      <c r="D7" s="173" t="s">
        <v>595</v>
      </c>
      <c r="E7" s="173" t="s">
        <v>745</v>
      </c>
      <c r="F7" s="173" t="s">
        <v>917</v>
      </c>
      <c r="G7" s="172">
        <v>43740</v>
      </c>
      <c r="H7" s="173" t="s">
        <v>1131</v>
      </c>
      <c r="I7" s="173" t="s">
        <v>1132</v>
      </c>
      <c r="J7" s="173" t="s">
        <v>92</v>
      </c>
      <c r="K7" s="173" t="s">
        <v>113</v>
      </c>
      <c r="L7" s="174" t="s">
        <v>71</v>
      </c>
      <c r="M7" s="175" t="s">
        <v>72</v>
      </c>
      <c r="N7" s="173" t="s">
        <v>73</v>
      </c>
      <c r="O7" s="176" t="s">
        <v>69</v>
      </c>
      <c r="P7" s="130" t="s">
        <v>113</v>
      </c>
      <c r="Q7" s="177" t="s">
        <v>93</v>
      </c>
      <c r="R7" s="178">
        <v>3.3780000000000001</v>
      </c>
      <c r="S7" s="179">
        <v>1</v>
      </c>
      <c r="T7" s="179">
        <v>45</v>
      </c>
      <c r="U7" s="179">
        <v>45</v>
      </c>
      <c r="V7" s="179">
        <v>8.0999980000000047</v>
      </c>
      <c r="W7" s="179">
        <v>53.099998000000006</v>
      </c>
      <c r="X7" s="27">
        <f t="shared" si="13"/>
        <v>152.01</v>
      </c>
      <c r="Y7" s="29">
        <f ca="1">VLOOKUP(Z7,CHOOSE({2,1},Fac_Fecha,Fac_OT),2,0)</f>
        <v>43750</v>
      </c>
      <c r="Z7" s="26" t="s">
        <v>754</v>
      </c>
      <c r="AA7" s="28">
        <f t="shared" ca="1" si="0"/>
        <v>324.33650964999998</v>
      </c>
      <c r="AB7" s="28">
        <f ca="1">SUMIF(Salida_OT,Facturacion!Z7,Salida_Suma)</f>
        <v>0</v>
      </c>
      <c r="AC7" s="28">
        <f t="shared" ca="1" si="28"/>
        <v>0</v>
      </c>
      <c r="AD7" s="28">
        <f t="shared" ca="1" si="29"/>
        <v>0</v>
      </c>
      <c r="AE7" s="28">
        <f ca="1">(SUMIF(Asig_OT,Z7,Asig_Hora_Mec))*'Costos x MO'!$B$6*'Costos x MO'!$B$7</f>
        <v>0</v>
      </c>
      <c r="AF7" s="28">
        <f ca="1">SUMIF(Asig_OT,Z7,Asig_Hora_Pla)*'Costos x MO'!$B$4*'Costos x MO'!$B$7</f>
        <v>15.075000000000001</v>
      </c>
      <c r="AG7" s="28">
        <f ca="1">SUMIF(Asig_OT,Z7,Asig_paño_Pin)*'Costos x MO'!$B$5*'Costos x MO'!$B$7</f>
        <v>70.350000000000009</v>
      </c>
      <c r="AH7" s="28">
        <f ca="1">(SUMIF(Asig_OT,Z7,Asig_Terc_Pla)*'Costos x MO'!$B$7)+(SUMIF(Asig_OT,Z7,Asig_Terc_Pin)*'Costos x MO'!$B$7)</f>
        <v>0</v>
      </c>
      <c r="AI7" s="28">
        <f t="shared" ca="1" si="30"/>
        <v>85.425000000000011</v>
      </c>
      <c r="AJ7" s="28">
        <f t="shared" ca="1" si="31"/>
        <v>238.91150964999997</v>
      </c>
      <c r="AK7" s="31">
        <f t="shared" ca="1" si="32"/>
        <v>0.73661614570563039</v>
      </c>
      <c r="AL7" s="28" t="str">
        <f t="shared" ca="1" si="33"/>
        <v>RIMAC</v>
      </c>
      <c r="AM7" s="28" t="str">
        <f t="shared" ca="1" si="34"/>
        <v>LEVE</v>
      </c>
      <c r="AN7" s="30" t="str">
        <f t="shared" ca="1" si="35"/>
        <v>October</v>
      </c>
      <c r="AO7" s="42">
        <f t="shared" ca="1" si="36"/>
        <v>2019</v>
      </c>
      <c r="AP7" s="42">
        <f t="shared" ca="1" si="37"/>
        <v>5</v>
      </c>
      <c r="AQ7" s="26">
        <v>1</v>
      </c>
      <c r="AR7" s="30">
        <f t="shared" ca="1" si="23"/>
        <v>43745</v>
      </c>
      <c r="AS7" s="30" t="str">
        <f t="shared" ca="1" si="38"/>
        <v>AHK-141</v>
      </c>
      <c r="AT7" s="26" t="str">
        <f t="shared" ca="1" si="39"/>
        <v>NISSAN</v>
      </c>
      <c r="AU7" s="26" t="str">
        <f t="shared" ca="1" si="40"/>
        <v>XTRAIL</v>
      </c>
      <c r="AV7" s="26" t="str">
        <f t="shared" ca="1" si="27"/>
        <v>RIMAC SEGUROS  Y REASEGUROS S.A</v>
      </c>
    </row>
    <row r="8" spans="1:48" x14ac:dyDescent="0.2">
      <c r="A8" s="172">
        <v>43745</v>
      </c>
      <c r="B8" s="173" t="s">
        <v>68</v>
      </c>
      <c r="C8" s="173" t="s">
        <v>102</v>
      </c>
      <c r="D8" s="173" t="s">
        <v>595</v>
      </c>
      <c r="E8" s="173" t="s">
        <v>745</v>
      </c>
      <c r="F8" s="173" t="s">
        <v>917</v>
      </c>
      <c r="G8" s="172">
        <v>43740</v>
      </c>
      <c r="H8" s="173" t="s">
        <v>1131</v>
      </c>
      <c r="I8" s="173" t="s">
        <v>1132</v>
      </c>
      <c r="J8" s="173" t="s">
        <v>104</v>
      </c>
      <c r="K8" s="173" t="s">
        <v>105</v>
      </c>
      <c r="L8" s="174" t="s">
        <v>71</v>
      </c>
      <c r="M8" s="175" t="s">
        <v>72</v>
      </c>
      <c r="N8" s="173" t="s">
        <v>73</v>
      </c>
      <c r="O8" s="176" t="s">
        <v>69</v>
      </c>
      <c r="P8" s="173" t="s">
        <v>105</v>
      </c>
      <c r="Q8" s="177" t="s">
        <v>93</v>
      </c>
      <c r="R8" s="178">
        <v>3.3780000000000001</v>
      </c>
      <c r="S8" s="179">
        <v>1</v>
      </c>
      <c r="T8" s="179">
        <v>35</v>
      </c>
      <c r="U8" s="179">
        <v>35</v>
      </c>
      <c r="V8" s="179">
        <v>6.299998999999989</v>
      </c>
      <c r="W8" s="179">
        <v>41.299998999999985</v>
      </c>
      <c r="X8" s="27">
        <f t="shared" si="13"/>
        <v>118.23</v>
      </c>
      <c r="Y8" s="29">
        <f ca="1">VLOOKUP(Z8,CHOOSE({2,1},Fac_Fecha,Fac_OT),2,0)</f>
        <v>43750</v>
      </c>
      <c r="Z8" s="26" t="s">
        <v>750</v>
      </c>
      <c r="AA8" s="28">
        <f t="shared" ca="1" si="0"/>
        <v>302.49000899999999</v>
      </c>
      <c r="AB8" s="28">
        <f ca="1">SUMIF(Salida_OT,Facturacion!Z8,Salida_Suma)</f>
        <v>0</v>
      </c>
      <c r="AC8" s="28">
        <f t="shared" ca="1" si="28"/>
        <v>0</v>
      </c>
      <c r="AD8" s="28">
        <f t="shared" ca="1" si="29"/>
        <v>0</v>
      </c>
      <c r="AE8" s="28">
        <f ca="1">(SUMIF(Asig_OT,Z8,Asig_Hora_Mec))*'Costos x MO'!$B$6*'Costos x MO'!$B$7</f>
        <v>0</v>
      </c>
      <c r="AF8" s="28">
        <f ca="1">SUMIF(Asig_OT,Z8,Asig_Hora_Pla)*'Costos x MO'!$B$4*'Costos x MO'!$B$7</f>
        <v>0</v>
      </c>
      <c r="AG8" s="28">
        <f ca="1">SUMIF(Asig_OT,Z8,Asig_paño_Pin)*'Costos x MO'!$B$5*'Costos x MO'!$B$7</f>
        <v>0</v>
      </c>
      <c r="AH8" s="28">
        <f ca="1">(SUMIF(Asig_OT,Z8,Asig_Terc_Pla)*'Costos x MO'!$B$7)+(SUMIF(Asig_OT,Z8,Asig_Terc_Pin)*'Costos x MO'!$B$7)</f>
        <v>0</v>
      </c>
      <c r="AI8" s="28">
        <f t="shared" ca="1" si="30"/>
        <v>0</v>
      </c>
      <c r="AJ8" s="28">
        <f t="shared" ca="1" si="31"/>
        <v>302.49000899999999</v>
      </c>
      <c r="AK8" s="31">
        <f t="shared" ca="1" si="32"/>
        <v>1</v>
      </c>
      <c r="AL8" s="28" t="str">
        <f t="shared" ca="1" si="33"/>
        <v>C.C</v>
      </c>
      <c r="AM8" s="28" t="str">
        <f t="shared" ca="1" si="34"/>
        <v>MECANICA</v>
      </c>
      <c r="AN8" s="30" t="str">
        <f t="shared" ca="1" si="35"/>
        <v>October</v>
      </c>
      <c r="AO8" s="42">
        <f t="shared" ca="1" si="36"/>
        <v>2019</v>
      </c>
      <c r="AP8" s="42">
        <f t="shared" ca="1" si="37"/>
        <v>8</v>
      </c>
      <c r="AQ8" s="26">
        <v>1</v>
      </c>
      <c r="AR8" s="30">
        <f t="shared" ca="1" si="23"/>
        <v>43742</v>
      </c>
      <c r="AS8" s="30" t="str">
        <f t="shared" ca="1" si="38"/>
        <v>D9C-481</v>
      </c>
      <c r="AT8" s="26" t="str">
        <f t="shared" ca="1" si="39"/>
        <v>JEEP</v>
      </c>
      <c r="AU8" s="26" t="str">
        <f t="shared" ca="1" si="40"/>
        <v>COMPASS</v>
      </c>
      <c r="AV8" s="26" t="str">
        <f t="shared" ca="1" si="27"/>
        <v>DIGITAL CONSULTING S.A.C.</v>
      </c>
    </row>
    <row r="9" spans="1:48" x14ac:dyDescent="0.2">
      <c r="A9" s="172">
        <v>43749</v>
      </c>
      <c r="B9" s="173" t="s">
        <v>68</v>
      </c>
      <c r="C9" s="173" t="s">
        <v>102</v>
      </c>
      <c r="D9" s="173" t="s">
        <v>596</v>
      </c>
      <c r="E9" s="173" t="s">
        <v>760</v>
      </c>
      <c r="F9" s="173" t="s">
        <v>914</v>
      </c>
      <c r="G9" s="172">
        <v>43747</v>
      </c>
      <c r="H9" s="173" t="s">
        <v>1133</v>
      </c>
      <c r="I9" s="173" t="s">
        <v>1134</v>
      </c>
      <c r="J9" s="173" t="s">
        <v>92</v>
      </c>
      <c r="K9" s="173" t="s">
        <v>1135</v>
      </c>
      <c r="L9" s="174" t="s">
        <v>71</v>
      </c>
      <c r="M9" s="175" t="s">
        <v>72</v>
      </c>
      <c r="N9" s="173" t="s">
        <v>73</v>
      </c>
      <c r="O9" s="176" t="s">
        <v>69</v>
      </c>
      <c r="P9" s="173" t="s">
        <v>105</v>
      </c>
      <c r="Q9" s="177" t="s">
        <v>74</v>
      </c>
      <c r="R9" s="178">
        <v>3.3610001</v>
      </c>
      <c r="S9" s="179">
        <v>1</v>
      </c>
      <c r="T9" s="179">
        <v>310</v>
      </c>
      <c r="U9" s="179">
        <v>310</v>
      </c>
      <c r="V9" s="179">
        <v>55.799990000000037</v>
      </c>
      <c r="W9" s="179">
        <v>365.79999000000004</v>
      </c>
      <c r="X9" s="27">
        <f t="shared" si="13"/>
        <v>310</v>
      </c>
      <c r="Y9" s="29">
        <f ca="1">VLOOKUP(Z9,CHOOSE({2,1},Fac_Fecha,Fac_OT),2,0)</f>
        <v>43750</v>
      </c>
      <c r="Z9" s="26" t="s">
        <v>746</v>
      </c>
      <c r="AA9" s="28">
        <f t="shared" ca="1" si="0"/>
        <v>3293.7800979999997</v>
      </c>
      <c r="AB9" s="28">
        <f ca="1">SUMIF(Salida_OT,Facturacion!Z9,Salida_Suma)</f>
        <v>1687.6875990000001</v>
      </c>
      <c r="AC9" s="28">
        <f t="shared" ca="1" si="28"/>
        <v>0</v>
      </c>
      <c r="AD9" s="28">
        <f t="shared" ca="1" si="29"/>
        <v>0</v>
      </c>
      <c r="AE9" s="28">
        <f ca="1">(SUMIF(Asig_OT,Z9,Asig_Hora_Mec))*'Costos x MO'!$B$6*'Costos x MO'!$B$7</f>
        <v>0</v>
      </c>
      <c r="AF9" s="28">
        <f ca="1">SUMIF(Asig_OT,Z9,Asig_Hora_Pla)*'Costos x MO'!$B$4*'Costos x MO'!$B$7</f>
        <v>75.375</v>
      </c>
      <c r="AG9" s="28">
        <f ca="1">SUMIF(Asig_OT,Z9,Asig_paño_Pin)*'Costos x MO'!$B$5*'Costos x MO'!$B$7</f>
        <v>211.05</v>
      </c>
      <c r="AH9" s="28">
        <f ca="1">(SUMIF(Asig_OT,Z9,Asig_Terc_Pla)*'Costos x MO'!$B$7)+(SUMIF(Asig_OT,Z9,Asig_Terc_Pin)*'Costos x MO'!$B$7)</f>
        <v>0</v>
      </c>
      <c r="AI9" s="28">
        <f t="shared" ca="1" si="30"/>
        <v>1974.112599</v>
      </c>
      <c r="AJ9" s="28">
        <f t="shared" ca="1" si="31"/>
        <v>1319.6674989999997</v>
      </c>
      <c r="AK9" s="31">
        <f t="shared" ca="1" si="32"/>
        <v>0.40065440306756017</v>
      </c>
      <c r="AL9" s="28" t="str">
        <f t="shared" ca="1" si="33"/>
        <v>C.C</v>
      </c>
      <c r="AM9" s="28" t="str">
        <f t="shared" ca="1" si="34"/>
        <v>LEVE</v>
      </c>
      <c r="AN9" s="30" t="str">
        <f t="shared" ca="1" si="35"/>
        <v>October</v>
      </c>
      <c r="AO9" s="42">
        <f t="shared" ca="1" si="36"/>
        <v>2019</v>
      </c>
      <c r="AP9" s="42">
        <f t="shared" ca="1" si="37"/>
        <v>9</v>
      </c>
      <c r="AQ9" s="26">
        <v>1</v>
      </c>
      <c r="AR9" s="30">
        <f t="shared" ca="1" si="23"/>
        <v>43741</v>
      </c>
      <c r="AS9" s="30" t="str">
        <f t="shared" ca="1" si="38"/>
        <v>D9C-481</v>
      </c>
      <c r="AT9" s="26" t="str">
        <f t="shared" ca="1" si="39"/>
        <v>JEEP</v>
      </c>
      <c r="AU9" s="26" t="str">
        <f t="shared" ca="1" si="40"/>
        <v>COMPASS</v>
      </c>
      <c r="AV9" s="26" t="str">
        <f t="shared" ca="1" si="27"/>
        <v>DIGITAL CONSULTING S.A.C.</v>
      </c>
    </row>
    <row r="10" spans="1:48" x14ac:dyDescent="0.2">
      <c r="A10" s="172">
        <v>43749</v>
      </c>
      <c r="B10" s="173" t="s">
        <v>68</v>
      </c>
      <c r="C10" s="173" t="s">
        <v>102</v>
      </c>
      <c r="D10" s="173" t="s">
        <v>596</v>
      </c>
      <c r="E10" s="173" t="s">
        <v>760</v>
      </c>
      <c r="F10" s="173" t="s">
        <v>914</v>
      </c>
      <c r="G10" s="172">
        <v>43747</v>
      </c>
      <c r="H10" s="173" t="s">
        <v>1133</v>
      </c>
      <c r="I10" s="173" t="s">
        <v>1134</v>
      </c>
      <c r="J10" s="173" t="s">
        <v>132</v>
      </c>
      <c r="K10" s="173" t="s">
        <v>561</v>
      </c>
      <c r="L10" s="174" t="s">
        <v>71</v>
      </c>
      <c r="M10" s="175" t="s">
        <v>72</v>
      </c>
      <c r="N10" s="173" t="s">
        <v>73</v>
      </c>
      <c r="O10" s="176" t="s">
        <v>69</v>
      </c>
      <c r="P10" s="130" t="s">
        <v>113</v>
      </c>
      <c r="Q10" s="177" t="s">
        <v>74</v>
      </c>
      <c r="R10" s="178">
        <v>3.3610001</v>
      </c>
      <c r="S10" s="179">
        <v>1</v>
      </c>
      <c r="T10" s="179">
        <v>150</v>
      </c>
      <c r="U10" s="179">
        <v>150</v>
      </c>
      <c r="V10" s="179">
        <v>27</v>
      </c>
      <c r="W10" s="179">
        <v>177</v>
      </c>
      <c r="X10" s="27">
        <f t="shared" si="13"/>
        <v>150</v>
      </c>
      <c r="Y10" s="29">
        <f ca="1">VLOOKUP(Z10,CHOOSE({2,1},Fac_Fecha,Fac_OT),2,0)</f>
        <v>43752</v>
      </c>
      <c r="Z10" s="26" t="s">
        <v>762</v>
      </c>
      <c r="AA10" s="28">
        <f t="shared" ca="1" si="0"/>
        <v>1426.7250425</v>
      </c>
      <c r="AB10" s="28">
        <f ca="1">SUMIF(Salida_OT,Facturacion!Z10,Salida_Suma)</f>
        <v>0</v>
      </c>
      <c r="AC10" s="28">
        <f t="shared" ca="1" si="28"/>
        <v>0</v>
      </c>
      <c r="AD10" s="28">
        <f t="shared" ca="1" si="29"/>
        <v>0</v>
      </c>
      <c r="AE10" s="28">
        <f ca="1">(SUMIF(Asig_OT,Z10,Asig_Hora_Mec))*'Costos x MO'!$B$6*'Costos x MO'!$B$7</f>
        <v>0</v>
      </c>
      <c r="AF10" s="28">
        <f ca="1">SUMIF(Asig_OT,Z10,Asig_Hora_Pla)*'Costos x MO'!$B$4*'Costos x MO'!$B$7</f>
        <v>120.60000000000001</v>
      </c>
      <c r="AG10" s="28">
        <f ca="1">SUMIF(Asig_OT,Z10,Asig_paño_Pin)*'Costos x MO'!$B$5*'Costos x MO'!$B$7</f>
        <v>281.40000000000003</v>
      </c>
      <c r="AH10" s="28">
        <f ca="1">(SUMIF(Asig_OT,Z10,Asig_Terc_Pla)*'Costos x MO'!$B$7)+(SUMIF(Asig_OT,Z10,Asig_Terc_Pin)*'Costos x MO'!$B$7)</f>
        <v>0</v>
      </c>
      <c r="AI10" s="28">
        <f t="shared" ca="1" si="30"/>
        <v>402.00000000000006</v>
      </c>
      <c r="AJ10" s="28">
        <f t="shared" ca="1" si="31"/>
        <v>1024.7250425</v>
      </c>
      <c r="AK10" s="31">
        <f t="shared" ca="1" si="32"/>
        <v>0.7182358281904202</v>
      </c>
      <c r="AL10" s="28" t="str">
        <f t="shared" ca="1" si="33"/>
        <v>C.C</v>
      </c>
      <c r="AM10" s="28" t="str">
        <f t="shared" ca="1" si="34"/>
        <v>LEVE</v>
      </c>
      <c r="AN10" s="30" t="str">
        <f t="shared" ca="1" si="35"/>
        <v>October</v>
      </c>
      <c r="AO10" s="42">
        <f t="shared" ca="1" si="36"/>
        <v>2019</v>
      </c>
      <c r="AP10" s="42">
        <f t="shared" ca="1" si="37"/>
        <v>5</v>
      </c>
      <c r="AQ10" s="26">
        <v>1</v>
      </c>
      <c r="AR10" s="30">
        <f t="shared" ca="1" si="23"/>
        <v>43747</v>
      </c>
      <c r="AS10" s="30" t="str">
        <f t="shared" ca="1" si="38"/>
        <v>B4S-030</v>
      </c>
      <c r="AT10" s="26" t="str">
        <f t="shared" ca="1" si="39"/>
        <v>KIA</v>
      </c>
      <c r="AU10" s="26" t="str">
        <f t="shared" ca="1" si="40"/>
        <v>PICANTO</v>
      </c>
      <c r="AV10" s="26" t="str">
        <f t="shared" ca="1" si="27"/>
        <v>FAST ENGENHARIA E MONTAGENS SA</v>
      </c>
    </row>
    <row r="11" spans="1:48" x14ac:dyDescent="0.2">
      <c r="A11" s="172">
        <v>43749</v>
      </c>
      <c r="B11" s="173" t="s">
        <v>68</v>
      </c>
      <c r="C11" s="173" t="s">
        <v>102</v>
      </c>
      <c r="D11" s="173" t="s">
        <v>596</v>
      </c>
      <c r="E11" s="173" t="s">
        <v>760</v>
      </c>
      <c r="F11" s="173" t="s">
        <v>914</v>
      </c>
      <c r="G11" s="172">
        <v>43747</v>
      </c>
      <c r="H11" s="173" t="s">
        <v>1133</v>
      </c>
      <c r="I11" s="173" t="s">
        <v>1134</v>
      </c>
      <c r="J11" s="173" t="s">
        <v>70</v>
      </c>
      <c r="K11" s="173" t="s">
        <v>112</v>
      </c>
      <c r="L11" s="174" t="s">
        <v>71</v>
      </c>
      <c r="M11" s="175" t="s">
        <v>72</v>
      </c>
      <c r="N11" s="173" t="s">
        <v>73</v>
      </c>
      <c r="O11" s="176" t="s">
        <v>69</v>
      </c>
      <c r="P11" s="130" t="s">
        <v>447</v>
      </c>
      <c r="Q11" s="177" t="s">
        <v>74</v>
      </c>
      <c r="R11" s="178">
        <v>3.3610001</v>
      </c>
      <c r="S11" s="179">
        <v>1</v>
      </c>
      <c r="T11" s="179">
        <v>211.87289000000001</v>
      </c>
      <c r="U11" s="179">
        <v>211.87289000000001</v>
      </c>
      <c r="V11" s="179">
        <v>38.137099999999954</v>
      </c>
      <c r="W11" s="179">
        <v>250.00998999999996</v>
      </c>
      <c r="X11" s="27">
        <f t="shared" si="13"/>
        <v>211.87289000000001</v>
      </c>
      <c r="Y11" s="29">
        <f ca="1">VLOOKUP(Z11,CHOOSE({2,1},Fac_Fecha,Fac_OT),2,0)</f>
        <v>43760</v>
      </c>
      <c r="Z11" s="26" t="s">
        <v>766</v>
      </c>
      <c r="AA11" s="28">
        <f t="shared" ca="1" si="0"/>
        <v>803.36498979746</v>
      </c>
      <c r="AB11" s="28">
        <f ca="1">SUMIF(Salida_OT,Facturacion!Z11,Salida_Suma)</f>
        <v>0</v>
      </c>
      <c r="AC11" s="28">
        <f t="shared" ca="1" si="28"/>
        <v>0</v>
      </c>
      <c r="AD11" s="28">
        <f t="shared" ca="1" si="29"/>
        <v>0</v>
      </c>
      <c r="AE11" s="28">
        <f ca="1">(SUMIF(Asig_OT,Z11,Asig_Hora_Mec))*'Costos x MO'!$B$6*'Costos x MO'!$B$7</f>
        <v>0</v>
      </c>
      <c r="AF11" s="28">
        <f ca="1">SUMIF(Asig_OT,Z11,Asig_Hora_Pla)*'Costos x MO'!$B$4*'Costos x MO'!$B$7</f>
        <v>33.918750000000003</v>
      </c>
      <c r="AG11" s="28">
        <f ca="1">SUMIF(Asig_OT,Z11,Asig_paño_Pin)*'Costos x MO'!$B$5*'Costos x MO'!$B$7</f>
        <v>211.05</v>
      </c>
      <c r="AH11" s="28">
        <f ca="1">(SUMIF(Asig_OT,Z11,Asig_Terc_Pla)*'Costos x MO'!$B$7)+(SUMIF(Asig_OT,Z11,Asig_Terc_Pin)*'Costos x MO'!$B$7)</f>
        <v>0</v>
      </c>
      <c r="AI11" s="28">
        <f t="shared" ca="1" si="30"/>
        <v>244.96875</v>
      </c>
      <c r="AJ11" s="28">
        <f t="shared" ca="1" si="31"/>
        <v>558.39623979746</v>
      </c>
      <c r="AK11" s="31">
        <f t="shared" ca="1" si="32"/>
        <v>0.69507166342690618</v>
      </c>
      <c r="AL11" s="28" t="str">
        <f t="shared" ca="1" si="33"/>
        <v>C.C</v>
      </c>
      <c r="AM11" s="28" t="str">
        <f t="shared" ca="1" si="34"/>
        <v>LEVE</v>
      </c>
      <c r="AN11" s="30" t="str">
        <f t="shared" ca="1" si="35"/>
        <v>October</v>
      </c>
      <c r="AO11" s="42">
        <f t="shared" ca="1" si="36"/>
        <v>2019</v>
      </c>
      <c r="AP11" s="42">
        <f t="shared" ca="1" si="37"/>
        <v>13</v>
      </c>
      <c r="AQ11" s="26">
        <v>1</v>
      </c>
      <c r="AR11" s="30">
        <f t="shared" ca="1" si="23"/>
        <v>43747</v>
      </c>
      <c r="AS11" s="30" t="str">
        <f t="shared" ca="1" si="38"/>
        <v>AMY-524</v>
      </c>
      <c r="AT11" s="26" t="str">
        <f t="shared" ca="1" si="39"/>
        <v>TOYOTA</v>
      </c>
      <c r="AU11" s="26" t="str">
        <f t="shared" ca="1" si="40"/>
        <v>COROLLA</v>
      </c>
      <c r="AV11" s="26" t="str">
        <f t="shared" ca="1" si="27"/>
        <v>FAST ENGENHARIA E MONTAGENS SA</v>
      </c>
    </row>
    <row r="12" spans="1:48" x14ac:dyDescent="0.2">
      <c r="A12" s="172">
        <v>43749</v>
      </c>
      <c r="B12" s="173" t="s">
        <v>68</v>
      </c>
      <c r="C12" s="173" t="s">
        <v>102</v>
      </c>
      <c r="D12" s="173" t="s">
        <v>596</v>
      </c>
      <c r="E12" s="173" t="s">
        <v>760</v>
      </c>
      <c r="F12" s="173" t="s">
        <v>914</v>
      </c>
      <c r="G12" s="172">
        <v>43747</v>
      </c>
      <c r="H12" s="173" t="s">
        <v>1133</v>
      </c>
      <c r="I12" s="173" t="s">
        <v>1134</v>
      </c>
      <c r="J12" s="173" t="s">
        <v>106</v>
      </c>
      <c r="K12" s="173" t="s">
        <v>721</v>
      </c>
      <c r="L12" s="174" t="s">
        <v>71</v>
      </c>
      <c r="M12" s="175" t="s">
        <v>72</v>
      </c>
      <c r="N12" s="173" t="s">
        <v>73</v>
      </c>
      <c r="O12" s="176" t="s">
        <v>69</v>
      </c>
      <c r="P12" s="130" t="s">
        <v>447</v>
      </c>
      <c r="Q12" s="177" t="s">
        <v>74</v>
      </c>
      <c r="R12" s="178">
        <v>3.3610001</v>
      </c>
      <c r="S12" s="179">
        <v>1</v>
      </c>
      <c r="T12" s="179">
        <v>70</v>
      </c>
      <c r="U12" s="179">
        <v>70</v>
      </c>
      <c r="V12" s="179">
        <v>12.599997999999978</v>
      </c>
      <c r="W12" s="179">
        <v>82.599997999999971</v>
      </c>
      <c r="X12" s="27">
        <f t="shared" si="13"/>
        <v>70</v>
      </c>
      <c r="Y12" s="29">
        <f ca="1">VLOOKUP(Z12,CHOOSE({2,1},Fac_Fecha,Fac_OT),2,0)</f>
        <v>43755</v>
      </c>
      <c r="Z12" s="26" t="s">
        <v>755</v>
      </c>
      <c r="AA12" s="28">
        <f t="shared" ca="1" si="0"/>
        <v>1315.98496095</v>
      </c>
      <c r="AB12" s="28">
        <f ca="1">SUMIF(Salida_OT,Facturacion!Z12,Salida_Suma)</f>
        <v>0</v>
      </c>
      <c r="AC12" s="28">
        <f t="shared" ca="1" si="28"/>
        <v>0</v>
      </c>
      <c r="AD12" s="28">
        <f t="shared" ca="1" si="29"/>
        <v>0</v>
      </c>
      <c r="AE12" s="28">
        <f ca="1">(SUMIF(Asig_OT,Z12,Asig_Hora_Mec))*'Costos x MO'!$B$6*'Costos x MO'!$B$7</f>
        <v>52.762500000000003</v>
      </c>
      <c r="AF12" s="28">
        <f ca="1">SUMIF(Asig_OT,Z12,Asig_Hora_Pla)*'Costos x MO'!$B$4*'Costos x MO'!$B$7</f>
        <v>90.45</v>
      </c>
      <c r="AG12" s="28">
        <f ca="1">SUMIF(Asig_OT,Z12,Asig_paño_Pin)*'Costos x MO'!$B$5*'Costos x MO'!$B$7</f>
        <v>140.70000000000002</v>
      </c>
      <c r="AH12" s="28">
        <f ca="1">(SUMIF(Asig_OT,Z12,Asig_Terc_Pla)*'Costos x MO'!$B$7)+(SUMIF(Asig_OT,Z12,Asig_Terc_Pin)*'Costos x MO'!$B$7)</f>
        <v>0</v>
      </c>
      <c r="AI12" s="28">
        <f t="shared" ca="1" si="30"/>
        <v>283.91250000000002</v>
      </c>
      <c r="AJ12" s="28">
        <f t="shared" ca="1" si="31"/>
        <v>1032.0724609499998</v>
      </c>
      <c r="AK12" s="31">
        <f t="shared" ca="1" si="32"/>
        <v>0.78425855277628265</v>
      </c>
      <c r="AL12" s="28" t="str">
        <f t="shared" ca="1" si="33"/>
        <v>RIMAC</v>
      </c>
      <c r="AM12" s="28" t="str">
        <f t="shared" ca="1" si="34"/>
        <v>LEVE</v>
      </c>
      <c r="AN12" s="30" t="str">
        <f t="shared" ca="1" si="35"/>
        <v>October</v>
      </c>
      <c r="AO12" s="42">
        <f t="shared" ca="1" si="36"/>
        <v>2019</v>
      </c>
      <c r="AP12" s="42">
        <f t="shared" ca="1" si="37"/>
        <v>13</v>
      </c>
      <c r="AQ12" s="26">
        <v>1</v>
      </c>
      <c r="AR12" s="30">
        <f t="shared" ca="1" si="23"/>
        <v>43742</v>
      </c>
      <c r="AS12" s="30" t="str">
        <f t="shared" ca="1" si="38"/>
        <v>F0Z-446</v>
      </c>
      <c r="AT12" s="26" t="str">
        <f t="shared" ca="1" si="39"/>
        <v>RENAULT</v>
      </c>
      <c r="AU12" s="26" t="str">
        <f t="shared" ca="1" si="40"/>
        <v>DUSTER</v>
      </c>
      <c r="AV12" s="26" t="str">
        <f t="shared" ca="1" si="27"/>
        <v>RIMAC SEGUROS  Y REASEGUROS S.A</v>
      </c>
    </row>
    <row r="13" spans="1:48" x14ac:dyDescent="0.2">
      <c r="A13" s="172">
        <v>43749</v>
      </c>
      <c r="B13" s="173" t="s">
        <v>68</v>
      </c>
      <c r="C13" s="173" t="s">
        <v>102</v>
      </c>
      <c r="D13" s="173" t="s">
        <v>596</v>
      </c>
      <c r="E13" s="173" t="s">
        <v>760</v>
      </c>
      <c r="F13" s="173" t="s">
        <v>914</v>
      </c>
      <c r="G13" s="172">
        <v>43747</v>
      </c>
      <c r="H13" s="173" t="s">
        <v>1133</v>
      </c>
      <c r="I13" s="173" t="s">
        <v>1134</v>
      </c>
      <c r="J13" s="173" t="s">
        <v>299</v>
      </c>
      <c r="K13" s="173" t="s">
        <v>1136</v>
      </c>
      <c r="L13" s="174" t="s">
        <v>71</v>
      </c>
      <c r="M13" s="175" t="s">
        <v>72</v>
      </c>
      <c r="N13" s="173" t="s">
        <v>73</v>
      </c>
      <c r="O13" s="176" t="s">
        <v>69</v>
      </c>
      <c r="P13" s="130" t="s">
        <v>105</v>
      </c>
      <c r="Q13" s="177" t="s">
        <v>74</v>
      </c>
      <c r="R13" s="178">
        <v>3.3610001</v>
      </c>
      <c r="S13" s="179">
        <v>1</v>
      </c>
      <c r="T13" s="179">
        <v>100</v>
      </c>
      <c r="U13" s="179">
        <v>100</v>
      </c>
      <c r="V13" s="179">
        <v>18</v>
      </c>
      <c r="W13" s="179">
        <v>118</v>
      </c>
      <c r="X13" s="27">
        <f t="shared" si="13"/>
        <v>100</v>
      </c>
      <c r="Y13" s="29">
        <f ca="1">VLOOKUP(Z13,CHOOSE({2,1},Fac_Fecha,Fac_OT),2,0)</f>
        <v>43756</v>
      </c>
      <c r="Z13" s="26" t="s">
        <v>791</v>
      </c>
      <c r="AA13" s="28">
        <f t="shared" ca="1" si="0"/>
        <v>899.14</v>
      </c>
      <c r="AB13" s="28">
        <f ca="1">SUMIF(Salida_OT,Facturacion!Z13,Salida_Suma)</f>
        <v>0</v>
      </c>
      <c r="AC13" s="28">
        <f t="shared" ca="1" si="28"/>
        <v>0</v>
      </c>
      <c r="AD13" s="28">
        <f t="shared" ca="1" si="29"/>
        <v>0</v>
      </c>
      <c r="AE13" s="28">
        <f ca="1">(SUMIF(Asig_OT,Z13,Asig_Hora_Mec))*'Costos x MO'!$B$6*'Costos x MO'!$B$7</f>
        <v>0</v>
      </c>
      <c r="AF13" s="28">
        <f ca="1">SUMIF(Asig_OT,Z13,Asig_Hora_Pla)*'Costos x MO'!$B$4*'Costos x MO'!$B$7</f>
        <v>75.375</v>
      </c>
      <c r="AG13" s="28">
        <f ca="1">SUMIF(Asig_OT,Z13,Asig_paño_Pin)*'Costos x MO'!$B$5*'Costos x MO'!$B$7</f>
        <v>140.70000000000002</v>
      </c>
      <c r="AH13" s="28">
        <f ca="1">(SUMIF(Asig_OT,Z13,Asig_Terc_Pla)*'Costos x MO'!$B$7)+(SUMIF(Asig_OT,Z13,Asig_Terc_Pin)*'Costos x MO'!$B$7)</f>
        <v>0</v>
      </c>
      <c r="AI13" s="28">
        <f t="shared" ca="1" si="30"/>
        <v>216.07500000000002</v>
      </c>
      <c r="AJ13" s="28">
        <f t="shared" ca="1" si="31"/>
        <v>683.06499999999994</v>
      </c>
      <c r="AK13" s="31">
        <f t="shared" ca="1" si="32"/>
        <v>0.75968703427719819</v>
      </c>
      <c r="AL13" s="28" t="str">
        <f t="shared" ca="1" si="33"/>
        <v>RIMAC</v>
      </c>
      <c r="AM13" s="28" t="str">
        <f t="shared" ca="1" si="34"/>
        <v>LEVE</v>
      </c>
      <c r="AN13" s="30" t="str">
        <f t="shared" ca="1" si="35"/>
        <v>October</v>
      </c>
      <c r="AO13" s="42">
        <f t="shared" ca="1" si="36"/>
        <v>2019</v>
      </c>
      <c r="AP13" s="42">
        <f t="shared" ca="1" si="37"/>
        <v>8</v>
      </c>
      <c r="AQ13" s="26">
        <v>1</v>
      </c>
      <c r="AR13" s="30">
        <f t="shared" ca="1" si="23"/>
        <v>43748</v>
      </c>
      <c r="AS13" s="30" t="str">
        <f t="shared" ca="1" si="38"/>
        <v>ANX-091</v>
      </c>
      <c r="AT13" s="26" t="str">
        <f t="shared" ca="1" si="39"/>
        <v>TOYOTA</v>
      </c>
      <c r="AU13" s="26" t="str">
        <f t="shared" ca="1" si="40"/>
        <v>AVENSIS</v>
      </c>
      <c r="AV13" s="26" t="str">
        <f t="shared" ca="1" si="27"/>
        <v>RIMAC SEGUROS  Y REASEGUROS S.A</v>
      </c>
    </row>
    <row r="14" spans="1:48" x14ac:dyDescent="0.2">
      <c r="A14" s="172">
        <v>43749</v>
      </c>
      <c r="B14" s="173" t="s">
        <v>68</v>
      </c>
      <c r="C14" s="173" t="s">
        <v>102</v>
      </c>
      <c r="D14" s="173" t="s">
        <v>596</v>
      </c>
      <c r="E14" s="173" t="s">
        <v>760</v>
      </c>
      <c r="F14" s="173" t="s">
        <v>914</v>
      </c>
      <c r="G14" s="172">
        <v>43747</v>
      </c>
      <c r="H14" s="173" t="s">
        <v>1133</v>
      </c>
      <c r="I14" s="173" t="s">
        <v>1134</v>
      </c>
      <c r="J14" s="173" t="s">
        <v>104</v>
      </c>
      <c r="K14" s="173" t="s">
        <v>105</v>
      </c>
      <c r="L14" s="174" t="s">
        <v>71</v>
      </c>
      <c r="M14" s="175" t="s">
        <v>72</v>
      </c>
      <c r="N14" s="173" t="s">
        <v>73</v>
      </c>
      <c r="O14" s="176" t="s">
        <v>69</v>
      </c>
      <c r="P14" s="173" t="s">
        <v>105</v>
      </c>
      <c r="Q14" s="177" t="s">
        <v>74</v>
      </c>
      <c r="R14" s="178">
        <v>3.3610001</v>
      </c>
      <c r="S14" s="179">
        <v>1</v>
      </c>
      <c r="T14" s="179">
        <v>0</v>
      </c>
      <c r="U14" s="179">
        <v>0</v>
      </c>
      <c r="V14" s="179">
        <v>0</v>
      </c>
      <c r="W14" s="179">
        <v>0</v>
      </c>
      <c r="X14" s="27">
        <f t="shared" si="13"/>
        <v>0</v>
      </c>
      <c r="Y14" s="29">
        <f ca="1">VLOOKUP(Z14,CHOOSE({2,1},Fac_Fecha,Fac_OT),2,0)</f>
        <v>43757</v>
      </c>
      <c r="Z14" s="26" t="s">
        <v>789</v>
      </c>
      <c r="AA14" s="28">
        <f t="shared" ca="1" si="0"/>
        <v>1615</v>
      </c>
      <c r="AB14" s="28">
        <f ca="1">SUMIF(Salida_OT,Facturacion!Z14,Salida_Suma)</f>
        <v>521.80870729999992</v>
      </c>
      <c r="AC14" s="28">
        <f t="shared" ca="1" si="28"/>
        <v>16.949152542372882</v>
      </c>
      <c r="AD14" s="28">
        <f t="shared" ca="1" si="29"/>
        <v>82.37</v>
      </c>
      <c r="AE14" s="28">
        <f ca="1">(SUMIF(Asig_OT,Z14,Asig_Hora_Mec))*'Costos x MO'!$B$6*'Costos x MO'!$B$7</f>
        <v>40.250250000000001</v>
      </c>
      <c r="AF14" s="28">
        <f ca="1">SUMIF(Asig_OT,Z14,Asig_Hora_Pla)*'Costos x MO'!$B$4*'Costos x MO'!$B$7</f>
        <v>0</v>
      </c>
      <c r="AG14" s="28">
        <f ca="1">SUMIF(Asig_OT,Z14,Asig_paño_Pin)*'Costos x MO'!$B$5*'Costos x MO'!$B$7</f>
        <v>0</v>
      </c>
      <c r="AH14" s="28">
        <f ca="1">(SUMIF(Asig_OT,Z14,Asig_Terc_Pla)*'Costos x MO'!$B$7)+(SUMIF(Asig_OT,Z14,Asig_Terc_Pin)*'Costos x MO'!$B$7)</f>
        <v>0</v>
      </c>
      <c r="AI14" s="28">
        <f t="shared" ca="1" si="30"/>
        <v>661.37810984237285</v>
      </c>
      <c r="AJ14" s="28">
        <f t="shared" ca="1" si="31"/>
        <v>953.62189015762715</v>
      </c>
      <c r="AK14" s="31">
        <f t="shared" ca="1" si="32"/>
        <v>0.59047795056199825</v>
      </c>
      <c r="AL14" s="28" t="str">
        <f t="shared" ca="1" si="33"/>
        <v>ACCESO</v>
      </c>
      <c r="AM14" s="28" t="str">
        <f t="shared" ca="1" si="34"/>
        <v>MECANICA</v>
      </c>
      <c r="AN14" s="30" t="str">
        <f t="shared" ca="1" si="35"/>
        <v>October</v>
      </c>
      <c r="AO14" s="42">
        <f t="shared" ca="1" si="36"/>
        <v>2019</v>
      </c>
      <c r="AP14" s="42">
        <f t="shared" ca="1" si="37"/>
        <v>7</v>
      </c>
      <c r="AQ14" s="26">
        <v>1</v>
      </c>
      <c r="AR14" s="30">
        <f t="shared" ca="1" si="23"/>
        <v>43750</v>
      </c>
      <c r="AS14" s="30" t="str">
        <f t="shared" ca="1" si="38"/>
        <v>AHV-326</v>
      </c>
      <c r="AT14" s="26" t="str">
        <f t="shared" ca="1" si="39"/>
        <v>VOLKSWAGEN</v>
      </c>
      <c r="AU14" s="26" t="str">
        <f t="shared" ca="1" si="40"/>
        <v>GOL</v>
      </c>
      <c r="AV14" s="26" t="str">
        <f t="shared" ca="1" si="27"/>
        <v>AUTOCLASS S.A.C.</v>
      </c>
    </row>
    <row r="15" spans="1:48" x14ac:dyDescent="0.2">
      <c r="A15" s="172">
        <v>43750</v>
      </c>
      <c r="B15" s="173" t="s">
        <v>68</v>
      </c>
      <c r="C15" s="173" t="s">
        <v>102</v>
      </c>
      <c r="D15" s="173" t="s">
        <v>696</v>
      </c>
      <c r="E15" s="173" t="s">
        <v>754</v>
      </c>
      <c r="F15" s="173" t="s">
        <v>1137</v>
      </c>
      <c r="G15" s="172">
        <v>43745</v>
      </c>
      <c r="H15" s="173" t="s">
        <v>90</v>
      </c>
      <c r="I15" s="173" t="s">
        <v>91</v>
      </c>
      <c r="J15" s="173" t="s">
        <v>97</v>
      </c>
      <c r="K15" s="173" t="s">
        <v>98</v>
      </c>
      <c r="L15" s="174" t="s">
        <v>71</v>
      </c>
      <c r="M15" s="175" t="s">
        <v>190</v>
      </c>
      <c r="N15" s="173" t="s">
        <v>191</v>
      </c>
      <c r="O15" s="176" t="s">
        <v>99</v>
      </c>
      <c r="P15" s="173" t="s">
        <v>98</v>
      </c>
      <c r="Q15" s="177" t="s">
        <v>93</v>
      </c>
      <c r="R15" s="178">
        <v>3.3610001</v>
      </c>
      <c r="S15" s="179">
        <v>1</v>
      </c>
      <c r="T15" s="179">
        <v>59</v>
      </c>
      <c r="U15" s="179">
        <v>59</v>
      </c>
      <c r="V15" s="179">
        <v>10.620002999999997</v>
      </c>
      <c r="W15" s="179">
        <v>69.620002999999997</v>
      </c>
      <c r="X15" s="27">
        <f t="shared" si="13"/>
        <v>198.2990059</v>
      </c>
      <c r="Y15" s="29">
        <f ca="1">VLOOKUP(Z15,CHOOSE({2,1},Fac_Fecha,Fac_OT),2,0)</f>
        <v>43757</v>
      </c>
      <c r="Z15" s="26" t="s">
        <v>787</v>
      </c>
      <c r="AA15" s="28">
        <f t="shared" ca="1" si="0"/>
        <v>1488</v>
      </c>
      <c r="AB15" s="28">
        <f ca="1">SUMIF(Salida_OT,Facturacion!Z15,Salida_Suma)</f>
        <v>771.9944099999999</v>
      </c>
      <c r="AC15" s="28">
        <f t="shared" ca="1" si="28"/>
        <v>0</v>
      </c>
      <c r="AD15" s="28">
        <f t="shared" ca="1" si="29"/>
        <v>42.37</v>
      </c>
      <c r="AE15" s="28">
        <f ca="1">(SUMIF(Asig_OT,Z15,Asig_Hora_Mec))*'Costos x MO'!$B$6*'Costos x MO'!$B$7</f>
        <v>75.375</v>
      </c>
      <c r="AF15" s="28">
        <f ca="1">SUMIF(Asig_OT,Z15,Asig_Hora_Pla)*'Costos x MO'!$B$4*'Costos x MO'!$B$7</f>
        <v>0</v>
      </c>
      <c r="AG15" s="28">
        <f ca="1">SUMIF(Asig_OT,Z15,Asig_paño_Pin)*'Costos x MO'!$B$5*'Costos x MO'!$B$7</f>
        <v>0</v>
      </c>
      <c r="AH15" s="28">
        <f ca="1">(SUMIF(Asig_OT,Z15,Asig_Terc_Pla)*'Costos x MO'!$B$7)+(SUMIF(Asig_OT,Z15,Asig_Terc_Pin)*'Costos x MO'!$B$7)</f>
        <v>0</v>
      </c>
      <c r="AI15" s="28">
        <f t="shared" ca="1" si="30"/>
        <v>889.73940999999991</v>
      </c>
      <c r="AJ15" s="28">
        <f t="shared" ca="1" si="31"/>
        <v>598.26059000000009</v>
      </c>
      <c r="AK15" s="31">
        <f t="shared" ca="1" si="32"/>
        <v>0.40205684811827963</v>
      </c>
      <c r="AL15" s="28" t="str">
        <f t="shared" ca="1" si="33"/>
        <v>ACCESO</v>
      </c>
      <c r="AM15" s="28" t="str">
        <f t="shared" ca="1" si="34"/>
        <v>MECANICA</v>
      </c>
      <c r="AN15" s="30" t="str">
        <f t="shared" ca="1" si="35"/>
        <v>October</v>
      </c>
      <c r="AO15" s="42">
        <f t="shared" ca="1" si="36"/>
        <v>2019</v>
      </c>
      <c r="AP15" s="42">
        <f t="shared" ca="1" si="37"/>
        <v>7</v>
      </c>
      <c r="AQ15" s="26">
        <v>1</v>
      </c>
      <c r="AR15" s="30">
        <f t="shared" ca="1" si="23"/>
        <v>43750</v>
      </c>
      <c r="AS15" s="30" t="str">
        <f t="shared" ca="1" si="38"/>
        <v>AJF-554</v>
      </c>
      <c r="AT15" s="26" t="str">
        <f t="shared" ca="1" si="39"/>
        <v>CHEVROLET</v>
      </c>
      <c r="AU15" s="26" t="str">
        <f t="shared" ca="1" si="40"/>
        <v>SAIL</v>
      </c>
      <c r="AV15" s="26" t="str">
        <f t="shared" ca="1" si="27"/>
        <v>AUTOCLASS S.A.C.</v>
      </c>
    </row>
    <row r="16" spans="1:48" x14ac:dyDescent="0.2">
      <c r="A16" s="172">
        <v>43750</v>
      </c>
      <c r="B16" s="173" t="s">
        <v>68</v>
      </c>
      <c r="C16" s="173" t="s">
        <v>102</v>
      </c>
      <c r="D16" s="173" t="s">
        <v>696</v>
      </c>
      <c r="E16" s="173" t="s">
        <v>754</v>
      </c>
      <c r="F16" s="173" t="s">
        <v>1137</v>
      </c>
      <c r="G16" s="172">
        <v>43745</v>
      </c>
      <c r="H16" s="173" t="s">
        <v>90</v>
      </c>
      <c r="I16" s="173" t="s">
        <v>91</v>
      </c>
      <c r="J16" s="173" t="s">
        <v>100</v>
      </c>
      <c r="K16" s="173" t="s">
        <v>101</v>
      </c>
      <c r="L16" s="174" t="s">
        <v>71</v>
      </c>
      <c r="M16" s="175" t="s">
        <v>190</v>
      </c>
      <c r="N16" s="173" t="s">
        <v>191</v>
      </c>
      <c r="O16" s="176" t="s">
        <v>72</v>
      </c>
      <c r="P16" s="130" t="s">
        <v>101</v>
      </c>
      <c r="Q16" s="177" t="s">
        <v>93</v>
      </c>
      <c r="R16" s="178">
        <v>3.3610001</v>
      </c>
      <c r="S16" s="179">
        <v>1</v>
      </c>
      <c r="T16" s="179">
        <v>37.5</v>
      </c>
      <c r="U16" s="179">
        <v>37.5</v>
      </c>
      <c r="V16" s="179">
        <v>6.75</v>
      </c>
      <c r="W16" s="179">
        <v>44.25</v>
      </c>
      <c r="X16" s="27">
        <f t="shared" si="13"/>
        <v>126.03750375</v>
      </c>
      <c r="Y16" s="29">
        <f ca="1">VLOOKUP(Z16,CHOOSE({2,1},Fac_Fecha,Fac_OT),2,0)</f>
        <v>43761</v>
      </c>
      <c r="Z16" s="26" t="s">
        <v>795</v>
      </c>
      <c r="AA16" s="28">
        <f t="shared" ca="1" si="0"/>
        <v>890</v>
      </c>
      <c r="AB16" s="28">
        <f ca="1">SUMIF(Salida_OT,Facturacion!Z16,Salida_Suma)</f>
        <v>45.762699000000005</v>
      </c>
      <c r="AC16" s="28">
        <f t="shared" ca="1" si="28"/>
        <v>0</v>
      </c>
      <c r="AD16" s="28">
        <f t="shared" ca="1" si="29"/>
        <v>0</v>
      </c>
      <c r="AE16" s="28">
        <f ca="1">(SUMIF(Asig_OT,Z16,Asig_Hora_Mec))*'Costos x MO'!$B$6*'Costos x MO'!$B$7</f>
        <v>0</v>
      </c>
      <c r="AF16" s="28">
        <f ca="1">SUMIF(Asig_OT,Z16,Asig_Hora_Pla)*'Costos x MO'!$B$4*'Costos x MO'!$B$7</f>
        <v>15.075000000000001</v>
      </c>
      <c r="AG16" s="28">
        <f ca="1">SUMIF(Asig_OT,Z16,Asig_paño_Pin)*'Costos x MO'!$B$5*'Costos x MO'!$B$7</f>
        <v>0</v>
      </c>
      <c r="AH16" s="28">
        <f ca="1">(SUMIF(Asig_OT,Z16,Asig_Terc_Pla)*'Costos x MO'!$B$7)+(SUMIF(Asig_OT,Z16,Asig_Terc_Pin)*'Costos x MO'!$B$7)</f>
        <v>0</v>
      </c>
      <c r="AI16" s="28">
        <f t="shared" ca="1" si="30"/>
        <v>60.837699000000008</v>
      </c>
      <c r="AJ16" s="28">
        <f t="shared" ca="1" si="31"/>
        <v>829.16230099999996</v>
      </c>
      <c r="AK16" s="31">
        <f t="shared" ca="1" si="32"/>
        <v>0.9316430348314606</v>
      </c>
      <c r="AL16" s="28" t="str">
        <f t="shared" ca="1" si="33"/>
        <v>RIMAC</v>
      </c>
      <c r="AM16" s="28" t="str">
        <f t="shared" ca="1" si="34"/>
        <v>LEVE</v>
      </c>
      <c r="AN16" s="30" t="str">
        <f t="shared" ca="1" si="35"/>
        <v>October</v>
      </c>
      <c r="AO16" s="42">
        <f t="shared" ca="1" si="36"/>
        <v>2019</v>
      </c>
      <c r="AP16" s="42">
        <f t="shared" ca="1" si="37"/>
        <v>9</v>
      </c>
      <c r="AQ16" s="26">
        <v>1</v>
      </c>
      <c r="AR16" s="30">
        <f t="shared" ca="1" si="23"/>
        <v>43752</v>
      </c>
      <c r="AS16" s="30" t="str">
        <f t="shared" ca="1" si="38"/>
        <v>B5M-803</v>
      </c>
      <c r="AT16" s="26" t="str">
        <f t="shared" ca="1" si="39"/>
        <v>NISSAN</v>
      </c>
      <c r="AU16" s="26" t="str">
        <f t="shared" ca="1" si="40"/>
        <v>NAVARA</v>
      </c>
      <c r="AV16" s="26" t="str">
        <f t="shared" ca="1" si="27"/>
        <v>INDURA PERU S.A.</v>
      </c>
    </row>
    <row r="17" spans="1:48" x14ac:dyDescent="0.2">
      <c r="A17" s="172">
        <v>43750</v>
      </c>
      <c r="B17" s="173" t="s">
        <v>68</v>
      </c>
      <c r="C17" s="173" t="s">
        <v>102</v>
      </c>
      <c r="D17" s="173" t="s">
        <v>696</v>
      </c>
      <c r="E17" s="173" t="s">
        <v>754</v>
      </c>
      <c r="F17" s="173" t="s">
        <v>1137</v>
      </c>
      <c r="G17" s="172">
        <v>43745</v>
      </c>
      <c r="H17" s="173" t="s">
        <v>90</v>
      </c>
      <c r="I17" s="173" t="s">
        <v>91</v>
      </c>
      <c r="J17" s="173" t="s">
        <v>104</v>
      </c>
      <c r="K17" s="173" t="s">
        <v>105</v>
      </c>
      <c r="L17" s="174" t="s">
        <v>71</v>
      </c>
      <c r="M17" s="175" t="s">
        <v>190</v>
      </c>
      <c r="N17" s="173" t="s">
        <v>191</v>
      </c>
      <c r="O17" s="176" t="s">
        <v>69</v>
      </c>
      <c r="P17" s="173" t="s">
        <v>105</v>
      </c>
      <c r="Q17" s="177" t="s">
        <v>93</v>
      </c>
      <c r="R17" s="178">
        <v>3.3610001</v>
      </c>
      <c r="S17" s="179">
        <v>1</v>
      </c>
      <c r="T17" s="179">
        <v>0</v>
      </c>
      <c r="U17" s="179">
        <v>0</v>
      </c>
      <c r="V17" s="179">
        <v>0</v>
      </c>
      <c r="W17" s="179">
        <v>0</v>
      </c>
      <c r="X17" s="27">
        <f t="shared" si="13"/>
        <v>0</v>
      </c>
      <c r="Y17" s="29">
        <f ca="1">VLOOKUP(Z17,CHOOSE({2,1},Fac_Fecha,Fac_OT),2,0)</f>
        <v>43757</v>
      </c>
      <c r="Z17" s="26" t="s">
        <v>809</v>
      </c>
      <c r="AA17" s="28">
        <f t="shared" ca="1" si="0"/>
        <v>1617.11</v>
      </c>
      <c r="AB17" s="28">
        <f ca="1">SUMIF(Salida_OT,Facturacion!Z17,Salida_Suma)</f>
        <v>0</v>
      </c>
      <c r="AC17" s="28">
        <f t="shared" ca="1" si="28"/>
        <v>0</v>
      </c>
      <c r="AD17" s="28">
        <f t="shared" ca="1" si="29"/>
        <v>76.27</v>
      </c>
      <c r="AE17" s="28">
        <f ca="1">(SUMIF(Asig_OT,Z17,Asig_Hora_Mec))*'Costos x MO'!$B$6*'Costos x MO'!$B$7</f>
        <v>0</v>
      </c>
      <c r="AF17" s="28">
        <f ca="1">SUMIF(Asig_OT,Z17,Asig_Hora_Pla)*'Costos x MO'!$B$4*'Costos x MO'!$B$7</f>
        <v>180.9</v>
      </c>
      <c r="AG17" s="28">
        <f ca="1">SUMIF(Asig_OT,Z17,Asig_paño_Pin)*'Costos x MO'!$B$5*'Costos x MO'!$B$7</f>
        <v>211.05</v>
      </c>
      <c r="AH17" s="28">
        <f ca="1">(SUMIF(Asig_OT,Z17,Asig_Terc_Pla)*'Costos x MO'!$B$7)+(SUMIF(Asig_OT,Z17,Asig_Terc_Pin)*'Costos x MO'!$B$7)</f>
        <v>0</v>
      </c>
      <c r="AI17" s="28">
        <f t="shared" ca="1" si="30"/>
        <v>468.22</v>
      </c>
      <c r="AJ17" s="28">
        <f t="shared" ca="1" si="31"/>
        <v>1148.8899999999999</v>
      </c>
      <c r="AK17" s="31">
        <f t="shared" ca="1" si="32"/>
        <v>0.710458781406336</v>
      </c>
      <c r="AL17" s="28" t="str">
        <f t="shared" ca="1" si="33"/>
        <v>RIMAC</v>
      </c>
      <c r="AM17" s="28" t="str">
        <f t="shared" ca="1" si="34"/>
        <v>GRAVE</v>
      </c>
      <c r="AN17" s="30" t="str">
        <f t="shared" ca="1" si="35"/>
        <v>October</v>
      </c>
      <c r="AO17" s="42">
        <f t="shared" ca="1" si="36"/>
        <v>2019</v>
      </c>
      <c r="AP17" s="42">
        <f t="shared" ca="1" si="37"/>
        <v>3</v>
      </c>
      <c r="AQ17" s="26">
        <v>1</v>
      </c>
      <c r="AR17" s="30">
        <f t="shared" ca="1" si="23"/>
        <v>43754</v>
      </c>
      <c r="AS17" s="30" t="str">
        <f t="shared" ca="1" si="38"/>
        <v>ATZ-549</v>
      </c>
      <c r="AT17" s="26" t="str">
        <f t="shared" ca="1" si="39"/>
        <v>HYUNDAY</v>
      </c>
      <c r="AU17" s="26" t="str">
        <f t="shared" ca="1" si="40"/>
        <v>ACCENT</v>
      </c>
      <c r="AV17" s="26" t="str">
        <f t="shared" ca="1" si="27"/>
        <v>RIMAC SEGUROS  Y REASEGUROS S.A</v>
      </c>
    </row>
    <row r="18" spans="1:48" x14ac:dyDescent="0.2">
      <c r="A18" s="172">
        <v>43750</v>
      </c>
      <c r="B18" s="173" t="s">
        <v>68</v>
      </c>
      <c r="C18" s="173" t="s">
        <v>102</v>
      </c>
      <c r="D18" s="173" t="s">
        <v>695</v>
      </c>
      <c r="E18" s="173" t="s">
        <v>750</v>
      </c>
      <c r="F18" s="173" t="s">
        <v>1138</v>
      </c>
      <c r="G18" s="172">
        <v>43742</v>
      </c>
      <c r="H18" s="173" t="s">
        <v>1139</v>
      </c>
      <c r="I18" s="173" t="s">
        <v>1140</v>
      </c>
      <c r="J18" s="173" t="s">
        <v>92</v>
      </c>
      <c r="K18" s="173" t="s">
        <v>113</v>
      </c>
      <c r="L18" s="174" t="s">
        <v>71</v>
      </c>
      <c r="M18" s="175" t="s">
        <v>72</v>
      </c>
      <c r="N18" s="173" t="s">
        <v>73</v>
      </c>
      <c r="O18" s="176" t="s">
        <v>69</v>
      </c>
      <c r="P18" s="130" t="s">
        <v>113</v>
      </c>
      <c r="Q18" s="177" t="s">
        <v>93</v>
      </c>
      <c r="R18" s="178">
        <v>3.3610001</v>
      </c>
      <c r="S18" s="179">
        <v>1</v>
      </c>
      <c r="T18" s="179">
        <v>90</v>
      </c>
      <c r="U18" s="179">
        <v>90</v>
      </c>
      <c r="V18" s="179">
        <v>16.2</v>
      </c>
      <c r="W18" s="179">
        <v>106.2</v>
      </c>
      <c r="X18" s="27">
        <f t="shared" si="13"/>
        <v>302.49000899999999</v>
      </c>
      <c r="Y18" s="29">
        <f ca="1">VLOOKUP(Z18,CHOOSE({2,1},Fac_Fecha,Fac_OT),2,0)</f>
        <v>43757</v>
      </c>
      <c r="Z18" s="26" t="s">
        <v>765</v>
      </c>
      <c r="AA18" s="28">
        <f t="shared" ca="1" si="0"/>
        <v>697.84000000000015</v>
      </c>
      <c r="AB18" s="28">
        <f ca="1">SUMIF(Salida_OT,Facturacion!Z18,Salida_Suma)</f>
        <v>0</v>
      </c>
      <c r="AC18" s="28">
        <f t="shared" ca="1" si="28"/>
        <v>0</v>
      </c>
      <c r="AD18" s="28">
        <f t="shared" ca="1" si="29"/>
        <v>0</v>
      </c>
      <c r="AE18" s="28">
        <f ca="1">(SUMIF(Asig_OT,Z18,Asig_Hora_Mec))*'Costos x MO'!$B$6*'Costos x MO'!$B$7</f>
        <v>0</v>
      </c>
      <c r="AF18" s="28">
        <f ca="1">SUMIF(Asig_OT,Z18,Asig_Hora_Pla)*'Costos x MO'!$B$4*'Costos x MO'!$B$7</f>
        <v>45.225000000000001</v>
      </c>
      <c r="AG18" s="28">
        <f ca="1">SUMIF(Asig_OT,Z18,Asig_paño_Pin)*'Costos x MO'!$B$5*'Costos x MO'!$B$7</f>
        <v>140.70000000000002</v>
      </c>
      <c r="AH18" s="28">
        <f ca="1">(SUMIF(Asig_OT,Z18,Asig_Terc_Pla)*'Costos x MO'!$B$7)+(SUMIF(Asig_OT,Z18,Asig_Terc_Pin)*'Costos x MO'!$B$7)</f>
        <v>0</v>
      </c>
      <c r="AI18" s="28">
        <f t="shared" ca="1" si="30"/>
        <v>185.92500000000001</v>
      </c>
      <c r="AJ18" s="28">
        <f t="shared" ca="1" si="31"/>
        <v>511.91500000000013</v>
      </c>
      <c r="AK18" s="31">
        <f t="shared" ca="1" si="32"/>
        <v>0.73357073254614247</v>
      </c>
      <c r="AL18" s="28" t="str">
        <f t="shared" ca="1" si="33"/>
        <v>RIMAC</v>
      </c>
      <c r="AM18" s="28" t="str">
        <f t="shared" ca="1" si="34"/>
        <v>LEVE</v>
      </c>
      <c r="AN18" s="30" t="str">
        <f t="shared" ca="1" si="35"/>
        <v>October</v>
      </c>
      <c r="AO18" s="42">
        <f t="shared" ca="1" si="36"/>
        <v>2019</v>
      </c>
      <c r="AP18" s="42">
        <f t="shared" ca="1" si="37"/>
        <v>14</v>
      </c>
      <c r="AQ18" s="26">
        <v>1</v>
      </c>
      <c r="AR18" s="30">
        <f t="shared" ca="1" si="23"/>
        <v>43743</v>
      </c>
      <c r="AS18" s="30" t="str">
        <f t="shared" ca="1" si="38"/>
        <v>ANE-346</v>
      </c>
      <c r="AT18" s="26" t="str">
        <f t="shared" ca="1" si="39"/>
        <v>RENAULT</v>
      </c>
      <c r="AU18" s="26" t="str">
        <f t="shared" ca="1" si="40"/>
        <v>LOGAN</v>
      </c>
      <c r="AV18" s="26" t="str">
        <f t="shared" ca="1" si="27"/>
        <v>RENTAEQUIPOS LEASING PERU S.A.</v>
      </c>
    </row>
    <row r="19" spans="1:48" x14ac:dyDescent="0.2">
      <c r="A19" s="172">
        <v>43750</v>
      </c>
      <c r="B19" s="173" t="s">
        <v>68</v>
      </c>
      <c r="C19" s="173" t="s">
        <v>102</v>
      </c>
      <c r="D19" s="173" t="s">
        <v>694</v>
      </c>
      <c r="E19" s="173" t="s">
        <v>746</v>
      </c>
      <c r="F19" s="173" t="s">
        <v>1138</v>
      </c>
      <c r="G19" s="172">
        <v>43741</v>
      </c>
      <c r="H19" s="173" t="s">
        <v>1139</v>
      </c>
      <c r="I19" s="173" t="s">
        <v>1140</v>
      </c>
      <c r="J19" s="173" t="s">
        <v>97</v>
      </c>
      <c r="K19" s="173" t="s">
        <v>98</v>
      </c>
      <c r="L19" s="174" t="s">
        <v>71</v>
      </c>
      <c r="M19" s="175" t="s">
        <v>72</v>
      </c>
      <c r="N19" s="173" t="s">
        <v>73</v>
      </c>
      <c r="O19" s="176" t="s">
        <v>99</v>
      </c>
      <c r="P19" s="173" t="s">
        <v>98</v>
      </c>
      <c r="Q19" s="177" t="s">
        <v>93</v>
      </c>
      <c r="R19" s="178">
        <v>3.3610001</v>
      </c>
      <c r="S19" s="179">
        <v>1</v>
      </c>
      <c r="T19" s="179">
        <v>180</v>
      </c>
      <c r="U19" s="179">
        <v>180</v>
      </c>
      <c r="V19" s="179">
        <v>32.39998999999996</v>
      </c>
      <c r="W19" s="179">
        <v>212.39998999999997</v>
      </c>
      <c r="X19" s="27">
        <f t="shared" si="13"/>
        <v>604.98001799999997</v>
      </c>
      <c r="Y19" s="29">
        <f ca="1">VLOOKUP(Z19,CHOOSE({2,1},Fac_Fecha,Fac_OT),2,0)</f>
        <v>43757</v>
      </c>
      <c r="Z19" s="26" t="s">
        <v>764</v>
      </c>
      <c r="AA19" s="28">
        <f t="shared" ca="1" si="0"/>
        <v>898.31534099999988</v>
      </c>
      <c r="AB19" s="28">
        <f ca="1">SUMIF(Salida_OT,Facturacion!Z19,Salida_Suma)</f>
        <v>0</v>
      </c>
      <c r="AC19" s="28">
        <f t="shared" ca="1" si="28"/>
        <v>0</v>
      </c>
      <c r="AD19" s="28">
        <f t="shared" ca="1" si="29"/>
        <v>0</v>
      </c>
      <c r="AE19" s="28">
        <f ca="1">(SUMIF(Asig_OT,Z19,Asig_Hora_Mec))*'Costos x MO'!$B$6*'Costos x MO'!$B$7</f>
        <v>0</v>
      </c>
      <c r="AF19" s="28">
        <f ca="1">SUMIF(Asig_OT,Z19,Asig_Hora_Pla)*'Costos x MO'!$B$4*'Costos x MO'!$B$7</f>
        <v>75.375</v>
      </c>
      <c r="AG19" s="28">
        <f ca="1">SUMIF(Asig_OT,Z19,Asig_paño_Pin)*'Costos x MO'!$B$5*'Costos x MO'!$B$7</f>
        <v>158.28749999999999</v>
      </c>
      <c r="AH19" s="28">
        <f ca="1">(SUMIF(Asig_OT,Z19,Asig_Terc_Pla)*'Costos x MO'!$B$7)+(SUMIF(Asig_OT,Z19,Asig_Terc_Pin)*'Costos x MO'!$B$7)</f>
        <v>0</v>
      </c>
      <c r="AI19" s="28">
        <f t="shared" ca="1" si="30"/>
        <v>233.66249999999999</v>
      </c>
      <c r="AJ19" s="28">
        <f t="shared" ca="1" si="31"/>
        <v>664.65284099999985</v>
      </c>
      <c r="AK19" s="31">
        <f t="shared" ca="1" si="32"/>
        <v>0.73988811129520715</v>
      </c>
      <c r="AL19" s="28" t="str">
        <f t="shared" ca="1" si="33"/>
        <v>RIMAC</v>
      </c>
      <c r="AM19" s="28" t="str">
        <f t="shared" ca="1" si="34"/>
        <v>LEVE</v>
      </c>
      <c r="AN19" s="30" t="str">
        <f t="shared" ca="1" si="35"/>
        <v>October</v>
      </c>
      <c r="AO19" s="42">
        <f t="shared" ca="1" si="36"/>
        <v>2019</v>
      </c>
      <c r="AP19" s="42">
        <f t="shared" ca="1" si="37"/>
        <v>14</v>
      </c>
      <c r="AQ19" s="26">
        <v>1</v>
      </c>
      <c r="AR19" s="30">
        <f t="shared" ca="1" si="23"/>
        <v>43743</v>
      </c>
      <c r="AS19" s="30" t="str">
        <f t="shared" ca="1" si="38"/>
        <v>ANE-346</v>
      </c>
      <c r="AT19" s="26" t="str">
        <f t="shared" ca="1" si="39"/>
        <v>RENAULT</v>
      </c>
      <c r="AU19" s="26" t="str">
        <f t="shared" ca="1" si="40"/>
        <v>LOGAN</v>
      </c>
      <c r="AV19" s="26" t="str">
        <f t="shared" ca="1" si="27"/>
        <v>RENTAEQUIPOS LEASING PERU S.A.</v>
      </c>
    </row>
    <row r="20" spans="1:48" x14ac:dyDescent="0.2">
      <c r="A20" s="172">
        <v>43750</v>
      </c>
      <c r="B20" s="173" t="s">
        <v>68</v>
      </c>
      <c r="C20" s="173" t="s">
        <v>102</v>
      </c>
      <c r="D20" s="173" t="s">
        <v>694</v>
      </c>
      <c r="E20" s="173" t="s">
        <v>746</v>
      </c>
      <c r="F20" s="173" t="s">
        <v>1138</v>
      </c>
      <c r="G20" s="172">
        <v>43741</v>
      </c>
      <c r="H20" s="173" t="s">
        <v>1139</v>
      </c>
      <c r="I20" s="173" t="s">
        <v>1140</v>
      </c>
      <c r="J20" s="173" t="s">
        <v>100</v>
      </c>
      <c r="K20" s="173" t="s">
        <v>101</v>
      </c>
      <c r="L20" s="174" t="s">
        <v>71</v>
      </c>
      <c r="M20" s="175" t="s">
        <v>72</v>
      </c>
      <c r="N20" s="173" t="s">
        <v>73</v>
      </c>
      <c r="O20" s="176" t="s">
        <v>72</v>
      </c>
      <c r="P20" s="130" t="s">
        <v>101</v>
      </c>
      <c r="Q20" s="177" t="s">
        <v>93</v>
      </c>
      <c r="R20" s="178">
        <v>3.3610001</v>
      </c>
      <c r="S20" s="179">
        <v>1</v>
      </c>
      <c r="T20" s="179">
        <v>75</v>
      </c>
      <c r="U20" s="179">
        <v>75</v>
      </c>
      <c r="V20" s="179">
        <v>13.5</v>
      </c>
      <c r="W20" s="179">
        <v>88.5</v>
      </c>
      <c r="X20" s="27">
        <f t="shared" si="13"/>
        <v>252.0750075</v>
      </c>
      <c r="Y20" s="29">
        <f ca="1">VLOOKUP(Z20,CHOOSE({2,1},Fac_Fecha,Fac_OT),2,0)</f>
        <v>43759</v>
      </c>
      <c r="Z20" s="26" t="s">
        <v>757</v>
      </c>
      <c r="AA20" s="28">
        <v>2076.61</v>
      </c>
      <c r="AB20" s="28">
        <f ca="1">SUMIF(Salida_OT,Facturacion!Z20,Salida_Suma)</f>
        <v>0</v>
      </c>
      <c r="AC20" s="28">
        <f t="shared" ca="1" si="28"/>
        <v>0</v>
      </c>
      <c r="AD20" s="28">
        <f t="shared" ca="1" si="29"/>
        <v>84.75</v>
      </c>
      <c r="AE20" s="28">
        <f ca="1">(SUMIF(Asig_OT,Z20,Asig_Hora_Mec))*'Costos x MO'!$B$6*'Costos x MO'!$B$7</f>
        <v>30.150000000000002</v>
      </c>
      <c r="AF20" s="28">
        <f ca="1">SUMIF(Asig_OT,Z20,Asig_Hora_Pla)*'Costos x MO'!$B$4*'Costos x MO'!$B$7</f>
        <v>120.60000000000001</v>
      </c>
      <c r="AG20" s="28">
        <f ca="1">SUMIF(Asig_OT,Z20,Asig_paño_Pin)*'Costos x MO'!$B$5*'Costos x MO'!$B$7</f>
        <v>351.75</v>
      </c>
      <c r="AH20" s="28">
        <f ca="1">(SUMIF(Asig_OT,Z20,Asig_Terc_Pla)*'Costos x MO'!$B$7)+(SUMIF(Asig_OT,Z20,Asig_Terc_Pin)*'Costos x MO'!$B$7)</f>
        <v>0</v>
      </c>
      <c r="AI20" s="28">
        <f t="shared" ca="1" si="30"/>
        <v>587.25</v>
      </c>
      <c r="AJ20" s="28">
        <f t="shared" ca="1" si="31"/>
        <v>1489.3600000000001</v>
      </c>
      <c r="AK20" s="31">
        <f t="shared" ca="1" si="32"/>
        <v>0.71720737162972348</v>
      </c>
      <c r="AL20" s="28" t="str">
        <f t="shared" ca="1" si="33"/>
        <v>RIMAC</v>
      </c>
      <c r="AM20" s="28" t="str">
        <f t="shared" ca="1" si="34"/>
        <v>MEDIANO</v>
      </c>
      <c r="AN20" s="30" t="str">
        <f t="shared" ca="1" si="35"/>
        <v>October</v>
      </c>
      <c r="AO20" s="42">
        <f t="shared" ca="1" si="36"/>
        <v>2019</v>
      </c>
      <c r="AP20" s="42">
        <f t="shared" ca="1" si="37"/>
        <v>17</v>
      </c>
      <c r="AQ20" s="26">
        <v>1</v>
      </c>
      <c r="AR20" s="30">
        <f t="shared" ca="1" si="23"/>
        <v>43742</v>
      </c>
      <c r="AS20" s="30" t="str">
        <f t="shared" ca="1" si="38"/>
        <v>AMD-263</v>
      </c>
      <c r="AT20" s="26" t="str">
        <f t="shared" ca="1" si="39"/>
        <v>HYUNDAY</v>
      </c>
      <c r="AU20" s="26" t="str">
        <f t="shared" ca="1" si="40"/>
        <v>ACCENT</v>
      </c>
      <c r="AV20" s="26" t="str">
        <f t="shared" ca="1" si="27"/>
        <v>RIMAC SEGUROS  Y REASEGUROS S.A</v>
      </c>
    </row>
    <row r="21" spans="1:48" x14ac:dyDescent="0.2">
      <c r="A21" s="172">
        <v>43750</v>
      </c>
      <c r="B21" s="173" t="s">
        <v>68</v>
      </c>
      <c r="C21" s="173" t="s">
        <v>102</v>
      </c>
      <c r="D21" s="173" t="s">
        <v>694</v>
      </c>
      <c r="E21" s="173" t="s">
        <v>746</v>
      </c>
      <c r="F21" s="173" t="s">
        <v>1138</v>
      </c>
      <c r="G21" s="172">
        <v>43741</v>
      </c>
      <c r="H21" s="173" t="s">
        <v>1139</v>
      </c>
      <c r="I21" s="173" t="s">
        <v>1140</v>
      </c>
      <c r="J21" s="173" t="s">
        <v>92</v>
      </c>
      <c r="K21" s="173" t="s">
        <v>113</v>
      </c>
      <c r="L21" s="174" t="s">
        <v>71</v>
      </c>
      <c r="M21" s="175" t="s">
        <v>72</v>
      </c>
      <c r="N21" s="173" t="s">
        <v>73</v>
      </c>
      <c r="O21" s="176" t="s">
        <v>69</v>
      </c>
      <c r="P21" s="130" t="s">
        <v>113</v>
      </c>
      <c r="Q21" s="177" t="s">
        <v>93</v>
      </c>
      <c r="R21" s="178">
        <v>3.3610001</v>
      </c>
      <c r="S21" s="179">
        <v>1</v>
      </c>
      <c r="T21" s="179">
        <v>30</v>
      </c>
      <c r="U21" s="179">
        <v>30</v>
      </c>
      <c r="V21" s="179">
        <v>5.4000019999999997</v>
      </c>
      <c r="W21" s="179">
        <v>35.400002000000001</v>
      </c>
      <c r="X21" s="27">
        <f t="shared" si="13"/>
        <v>100.830003</v>
      </c>
      <c r="Y21" s="29">
        <f ca="1">VLOOKUP(Z21,CHOOSE({2,1},Fac_Fecha,Fac_OT),2,0)</f>
        <v>43759</v>
      </c>
      <c r="Z21" s="26" t="s">
        <v>796</v>
      </c>
      <c r="AA21" s="28">
        <f t="shared" ca="1" si="0"/>
        <v>699.52297909999993</v>
      </c>
      <c r="AB21" s="28">
        <f ca="1">SUMIF(Salida_OT,Facturacion!Z21,Salida_Suma)</f>
        <v>0</v>
      </c>
      <c r="AC21" s="28">
        <f t="shared" ca="1" si="28"/>
        <v>0</v>
      </c>
      <c r="AD21" s="28">
        <f t="shared" ca="1" si="29"/>
        <v>0</v>
      </c>
      <c r="AE21" s="28">
        <f ca="1">(SUMIF(Asig_OT,Z21,Asig_Hora_Mec))*'Costos x MO'!$B$6*'Costos x MO'!$B$7</f>
        <v>0</v>
      </c>
      <c r="AF21" s="28">
        <f ca="1">SUMIF(Asig_OT,Z21,Asig_Hora_Pla)*'Costos x MO'!$B$4*'Costos x MO'!$B$7</f>
        <v>105.52500000000001</v>
      </c>
      <c r="AG21" s="28">
        <f ca="1">SUMIF(Asig_OT,Z21,Asig_paño_Pin)*'Costos x MO'!$B$5*'Costos x MO'!$B$7</f>
        <v>70.350000000000009</v>
      </c>
      <c r="AH21" s="28">
        <f ca="1">(SUMIF(Asig_OT,Z21,Asig_Terc_Pla)*'Costos x MO'!$B$7)+(SUMIF(Asig_OT,Z21,Asig_Terc_Pin)*'Costos x MO'!$B$7)</f>
        <v>0</v>
      </c>
      <c r="AI21" s="28">
        <f t="shared" ca="1" si="30"/>
        <v>175.875</v>
      </c>
      <c r="AJ21" s="28">
        <f t="shared" ca="1" si="31"/>
        <v>523.64797909999993</v>
      </c>
      <c r="AK21" s="31">
        <f t="shared" ca="1" si="32"/>
        <v>0.74857866681337726</v>
      </c>
      <c r="AL21" s="28" t="str">
        <f t="shared" ca="1" si="33"/>
        <v>RIMAC</v>
      </c>
      <c r="AM21" s="28" t="str">
        <f t="shared" ca="1" si="34"/>
        <v>LEVE</v>
      </c>
      <c r="AN21" s="30" t="str">
        <f t="shared" ca="1" si="35"/>
        <v>October</v>
      </c>
      <c r="AO21" s="42">
        <f t="shared" ca="1" si="36"/>
        <v>2019</v>
      </c>
      <c r="AP21" s="42">
        <f t="shared" ca="1" si="37"/>
        <v>7</v>
      </c>
      <c r="AQ21" s="26">
        <v>1</v>
      </c>
      <c r="AR21" s="30">
        <f t="shared" ca="1" si="23"/>
        <v>43752</v>
      </c>
      <c r="AS21" s="30" t="str">
        <f t="shared" ca="1" si="38"/>
        <v>ANE-445</v>
      </c>
      <c r="AT21" s="26" t="str">
        <f t="shared" ca="1" si="39"/>
        <v>RENAULT</v>
      </c>
      <c r="AU21" s="26" t="str">
        <f t="shared" ca="1" si="40"/>
        <v>LOGAN</v>
      </c>
      <c r="AV21" s="26" t="str">
        <f t="shared" ca="1" si="27"/>
        <v>RENTAEQUIPOS LEASING PERU S.A.</v>
      </c>
    </row>
    <row r="22" spans="1:48" x14ac:dyDescent="0.2">
      <c r="A22" s="172">
        <v>43750</v>
      </c>
      <c r="B22" s="173" t="s">
        <v>68</v>
      </c>
      <c r="C22" s="173" t="s">
        <v>102</v>
      </c>
      <c r="D22" s="173" t="s">
        <v>694</v>
      </c>
      <c r="E22" s="173" t="s">
        <v>746</v>
      </c>
      <c r="F22" s="173" t="s">
        <v>1138</v>
      </c>
      <c r="G22" s="172">
        <v>43741</v>
      </c>
      <c r="H22" s="173" t="s">
        <v>1139</v>
      </c>
      <c r="I22" s="173" t="s">
        <v>1140</v>
      </c>
      <c r="J22" s="173" t="s">
        <v>104</v>
      </c>
      <c r="K22" s="173" t="s">
        <v>105</v>
      </c>
      <c r="L22" s="174" t="s">
        <v>71</v>
      </c>
      <c r="M22" s="175" t="s">
        <v>72</v>
      </c>
      <c r="N22" s="173" t="s">
        <v>73</v>
      </c>
      <c r="O22" s="176" t="s">
        <v>69</v>
      </c>
      <c r="P22" s="173" t="s">
        <v>105</v>
      </c>
      <c r="Q22" s="177" t="s">
        <v>93</v>
      </c>
      <c r="R22" s="178">
        <v>3.3610001</v>
      </c>
      <c r="S22" s="179">
        <v>1</v>
      </c>
      <c r="T22" s="179">
        <v>695</v>
      </c>
      <c r="U22" s="179">
        <v>695</v>
      </c>
      <c r="V22" s="179">
        <v>125.09998000000007</v>
      </c>
      <c r="W22" s="179">
        <v>820.09998000000007</v>
      </c>
      <c r="X22" s="27">
        <f t="shared" si="13"/>
        <v>2335.8950694999999</v>
      </c>
      <c r="Y22" s="29">
        <f ca="1">VLOOKUP(Z22,CHOOSE({2,1},Fac_Fecha,Fac_OT),2,0)</f>
        <v>43759</v>
      </c>
      <c r="Z22" s="26" t="s">
        <v>751</v>
      </c>
      <c r="AA22" s="28">
        <f t="shared" ca="1" si="0"/>
        <v>472.77780666257974</v>
      </c>
      <c r="AB22" s="28">
        <f ca="1">SUMIF(Salida_OT,Facturacion!Z22,Salida_Suma)</f>
        <v>0</v>
      </c>
      <c r="AC22" s="28">
        <f t="shared" ca="1" si="28"/>
        <v>0</v>
      </c>
      <c r="AD22" s="28">
        <f t="shared" ca="1" si="29"/>
        <v>0</v>
      </c>
      <c r="AE22" s="28">
        <f ca="1">(SUMIF(Asig_OT,Z22,Asig_Hora_Mec))*'Costos x MO'!$B$6*'Costos x MO'!$B$7</f>
        <v>0</v>
      </c>
      <c r="AF22" s="28">
        <f ca="1">SUMIF(Asig_OT,Z22,Asig_Hora_Pla)*'Costos x MO'!$B$4*'Costos x MO'!$B$7</f>
        <v>15.075000000000001</v>
      </c>
      <c r="AG22" s="28">
        <f ca="1">SUMIF(Asig_OT,Z22,Asig_paño_Pin)*'Costos x MO'!$B$5*'Costos x MO'!$B$7</f>
        <v>87.9375</v>
      </c>
      <c r="AH22" s="28">
        <f ca="1">(SUMIF(Asig_OT,Z22,Asig_Terc_Pla)*'Costos x MO'!$B$7)+(SUMIF(Asig_OT,Z22,Asig_Terc_Pin)*'Costos x MO'!$B$7)</f>
        <v>0</v>
      </c>
      <c r="AI22" s="28">
        <f t="shared" ca="1" si="30"/>
        <v>103.0125</v>
      </c>
      <c r="AJ22" s="28">
        <f t="shared" ca="1" si="31"/>
        <v>369.76530666257975</v>
      </c>
      <c r="AK22" s="31">
        <f t="shared" ca="1" si="32"/>
        <v>0.7821122342286263</v>
      </c>
      <c r="AL22" s="28" t="str">
        <f t="shared" ca="1" si="33"/>
        <v>RIMAC</v>
      </c>
      <c r="AM22" s="28" t="str">
        <f t="shared" ca="1" si="34"/>
        <v>LEVE</v>
      </c>
      <c r="AN22" s="30" t="str">
        <f t="shared" ca="1" si="35"/>
        <v>October</v>
      </c>
      <c r="AO22" s="42">
        <f t="shared" ca="1" si="36"/>
        <v>2019</v>
      </c>
      <c r="AP22" s="42">
        <f t="shared" ca="1" si="37"/>
        <v>18</v>
      </c>
      <c r="AQ22" s="26">
        <v>1</v>
      </c>
      <c r="AR22" s="30">
        <f t="shared" ca="1" si="23"/>
        <v>43741</v>
      </c>
      <c r="AS22" s="30" t="str">
        <f t="shared" ca="1" si="38"/>
        <v>AHY-439</v>
      </c>
      <c r="AT22" s="26" t="str">
        <f t="shared" ca="1" si="39"/>
        <v>MITSUBISHI</v>
      </c>
      <c r="AU22" s="26" t="str">
        <f t="shared" ca="1" si="40"/>
        <v>OUTLANDER</v>
      </c>
      <c r="AV22" s="26" t="str">
        <f t="shared" ca="1" si="27"/>
        <v>RENTAEQUIPOS LEASING PERU S.A.</v>
      </c>
    </row>
    <row r="23" spans="1:48" x14ac:dyDescent="0.2">
      <c r="A23" s="172">
        <v>43752</v>
      </c>
      <c r="B23" s="173" t="s">
        <v>68</v>
      </c>
      <c r="C23" s="173" t="s">
        <v>102</v>
      </c>
      <c r="D23" s="173" t="s">
        <v>693</v>
      </c>
      <c r="E23" s="173" t="s">
        <v>762</v>
      </c>
      <c r="F23" s="173" t="s">
        <v>1141</v>
      </c>
      <c r="G23" s="172">
        <v>43747</v>
      </c>
      <c r="H23" s="173" t="s">
        <v>1131</v>
      </c>
      <c r="I23" s="173" t="s">
        <v>1132</v>
      </c>
      <c r="J23" s="173" t="s">
        <v>97</v>
      </c>
      <c r="K23" s="173" t="s">
        <v>98</v>
      </c>
      <c r="L23" s="174" t="s">
        <v>71</v>
      </c>
      <c r="M23" s="175" t="s">
        <v>72</v>
      </c>
      <c r="N23" s="173" t="s">
        <v>73</v>
      </c>
      <c r="O23" s="176" t="s">
        <v>99</v>
      </c>
      <c r="P23" s="173" t="s">
        <v>98</v>
      </c>
      <c r="Q23" s="177" t="s">
        <v>93</v>
      </c>
      <c r="R23" s="178">
        <v>3.3570001</v>
      </c>
      <c r="S23" s="179">
        <v>1</v>
      </c>
      <c r="T23" s="179">
        <v>240</v>
      </c>
      <c r="U23" s="179">
        <v>240</v>
      </c>
      <c r="V23" s="179">
        <v>43.200010000000042</v>
      </c>
      <c r="W23" s="179">
        <v>283.20001000000002</v>
      </c>
      <c r="X23" s="27">
        <f t="shared" si="13"/>
        <v>805.680024</v>
      </c>
      <c r="Y23" s="29">
        <f ca="1">VLOOKUP(Z23,CHOOSE({2,1},Fac_Fecha,Fac_OT),2,0)</f>
        <v>43760</v>
      </c>
      <c r="Z23" s="26" t="s">
        <v>773</v>
      </c>
      <c r="AA23" s="28">
        <f t="shared" ca="1" si="0"/>
        <v>2167.7542000000003</v>
      </c>
      <c r="AB23" s="28">
        <f ca="1">SUMIF(Salida_OT,Facturacion!Z23,Salida_Suma)</f>
        <v>97.661901199999988</v>
      </c>
      <c r="AC23" s="28">
        <f t="shared" ca="1" si="28"/>
        <v>0</v>
      </c>
      <c r="AD23" s="28">
        <f t="shared" ca="1" si="29"/>
        <v>42.37</v>
      </c>
      <c r="AE23" s="28">
        <f ca="1">(SUMIF(Asig_OT,Z23,Asig_Hora_Mec))*'Costos x MO'!$B$6*'Costos x MO'!$B$7</f>
        <v>105.52500000000001</v>
      </c>
      <c r="AF23" s="28">
        <f ca="1">SUMIF(Asig_OT,Z23,Asig_Hora_Pla)*'Costos x MO'!$B$4*'Costos x MO'!$B$7</f>
        <v>105.52500000000001</v>
      </c>
      <c r="AG23" s="28">
        <f ca="1">SUMIF(Asig_OT,Z23,Asig_paño_Pin)*'Costos x MO'!$B$5*'Costos x MO'!$B$7</f>
        <v>580.38750000000005</v>
      </c>
      <c r="AH23" s="28">
        <f ca="1">(SUMIF(Asig_OT,Z23,Asig_Terc_Pla)*'Costos x MO'!$B$7)+(SUMIF(Asig_OT,Z23,Asig_Terc_Pin)*'Costos x MO'!$B$7)</f>
        <v>0</v>
      </c>
      <c r="AI23" s="28">
        <f t="shared" ca="1" si="30"/>
        <v>931.46940119999999</v>
      </c>
      <c r="AJ23" s="28">
        <f t="shared" ca="1" si="31"/>
        <v>1236.2847988000003</v>
      </c>
      <c r="AK23" s="31">
        <f t="shared" ca="1" si="32"/>
        <v>0.57030672518129599</v>
      </c>
      <c r="AL23" s="28" t="str">
        <f t="shared" ca="1" si="33"/>
        <v>ACCESO</v>
      </c>
      <c r="AM23" s="28" t="str">
        <f t="shared" ca="1" si="34"/>
        <v>LEVE</v>
      </c>
      <c r="AN23" s="30" t="str">
        <f t="shared" ca="1" si="35"/>
        <v>October</v>
      </c>
      <c r="AO23" s="42">
        <f t="shared" ca="1" si="36"/>
        <v>2019</v>
      </c>
      <c r="AP23" s="42">
        <f t="shared" ca="1" si="37"/>
        <v>13</v>
      </c>
      <c r="AQ23" s="26">
        <v>1</v>
      </c>
      <c r="AR23" s="30">
        <f t="shared" ca="1" si="23"/>
        <v>43747</v>
      </c>
      <c r="AS23" s="30" t="str">
        <f t="shared" ca="1" si="38"/>
        <v>BBH-363</v>
      </c>
      <c r="AT23" s="26" t="str">
        <f t="shared" ca="1" si="39"/>
        <v>KIA</v>
      </c>
      <c r="AU23" s="26" t="str">
        <f t="shared" ca="1" si="40"/>
        <v>RIO</v>
      </c>
      <c r="AV23" s="26" t="str">
        <f t="shared" ca="1" si="27"/>
        <v>AUTOCLASS S.A.C.</v>
      </c>
    </row>
    <row r="24" spans="1:48" x14ac:dyDescent="0.2">
      <c r="A24" s="172">
        <v>43752</v>
      </c>
      <c r="B24" s="173" t="s">
        <v>68</v>
      </c>
      <c r="C24" s="173" t="s">
        <v>102</v>
      </c>
      <c r="D24" s="173" t="s">
        <v>693</v>
      </c>
      <c r="E24" s="173" t="s">
        <v>762</v>
      </c>
      <c r="F24" s="173" t="s">
        <v>1141</v>
      </c>
      <c r="G24" s="172">
        <v>43747</v>
      </c>
      <c r="H24" s="173" t="s">
        <v>1131</v>
      </c>
      <c r="I24" s="173" t="s">
        <v>1132</v>
      </c>
      <c r="J24" s="173" t="s">
        <v>100</v>
      </c>
      <c r="K24" s="173" t="s">
        <v>101</v>
      </c>
      <c r="L24" s="174" t="s">
        <v>71</v>
      </c>
      <c r="M24" s="175" t="s">
        <v>72</v>
      </c>
      <c r="N24" s="173" t="s">
        <v>73</v>
      </c>
      <c r="O24" s="176" t="s">
        <v>72</v>
      </c>
      <c r="P24" s="130" t="s">
        <v>101</v>
      </c>
      <c r="Q24" s="177" t="s">
        <v>93</v>
      </c>
      <c r="R24" s="178">
        <v>3.3570001</v>
      </c>
      <c r="S24" s="179">
        <v>1</v>
      </c>
      <c r="T24" s="179">
        <v>120</v>
      </c>
      <c r="U24" s="179">
        <v>120</v>
      </c>
      <c r="V24" s="179">
        <v>21.600010000000019</v>
      </c>
      <c r="W24" s="179">
        <v>141.60001000000003</v>
      </c>
      <c r="X24" s="27">
        <f t="shared" si="13"/>
        <v>402.840012</v>
      </c>
      <c r="Y24" s="29">
        <f ca="1">VLOOKUP(Z24,CHOOSE({2,1},Fac_Fecha,Fac_OT),2,0)</f>
        <v>43761</v>
      </c>
      <c r="Z24" s="26" t="s">
        <v>775</v>
      </c>
      <c r="AA24" s="28">
        <f t="shared" ca="1" si="0"/>
        <v>5172</v>
      </c>
      <c r="AB24" s="28">
        <f ca="1">SUMIF(Salida_OT,Facturacion!Z24,Salida_Suma)</f>
        <v>2097.2683343999997</v>
      </c>
      <c r="AC24" s="28">
        <f t="shared" ca="1" si="28"/>
        <v>0</v>
      </c>
      <c r="AD24" s="28">
        <f t="shared" ca="1" si="29"/>
        <v>53.672881355932205</v>
      </c>
      <c r="AE24" s="28">
        <f ca="1">(SUMIF(Asig_OT,Z24,Asig_Hora_Mec))*'Costos x MO'!$B$6*'Costos x MO'!$B$7</f>
        <v>135.67500000000001</v>
      </c>
      <c r="AF24" s="28">
        <f ca="1">SUMIF(Asig_OT,Z24,Asig_Hora_Pla)*'Costos x MO'!$B$4*'Costos x MO'!$B$7</f>
        <v>180.9</v>
      </c>
      <c r="AG24" s="28">
        <f ca="1">SUMIF(Asig_OT,Z24,Asig_paño_Pin)*'Costos x MO'!$B$5*'Costos x MO'!$B$7</f>
        <v>703.5</v>
      </c>
      <c r="AH24" s="28">
        <f ca="1">(SUMIF(Asig_OT,Z24,Asig_Terc_Pla)*'Costos x MO'!$B$7)+(SUMIF(Asig_OT,Z24,Asig_Terc_Pin)*'Costos x MO'!$B$7)</f>
        <v>0</v>
      </c>
      <c r="AI24" s="28">
        <f t="shared" ca="1" si="30"/>
        <v>3171.0162157559321</v>
      </c>
      <c r="AJ24" s="28">
        <f t="shared" ca="1" si="31"/>
        <v>2000.9837842440679</v>
      </c>
      <c r="AK24" s="31">
        <f t="shared" ca="1" si="32"/>
        <v>0.38688781597913147</v>
      </c>
      <c r="AL24" s="28" t="str">
        <f t="shared" ca="1" si="33"/>
        <v>ACCESO</v>
      </c>
      <c r="AM24" s="28" t="str">
        <f t="shared" ca="1" si="34"/>
        <v>MEDIANO</v>
      </c>
      <c r="AN24" s="30" t="str">
        <f t="shared" ca="1" si="35"/>
        <v>October</v>
      </c>
      <c r="AO24" s="42">
        <f t="shared" ca="1" si="36"/>
        <v>2019</v>
      </c>
      <c r="AP24" s="42">
        <f t="shared" ca="1" si="37"/>
        <v>18</v>
      </c>
      <c r="AQ24" s="26">
        <v>1</v>
      </c>
      <c r="AR24" s="30">
        <f t="shared" ca="1" si="23"/>
        <v>43743</v>
      </c>
      <c r="AS24" s="30" t="str">
        <f t="shared" ca="1" si="38"/>
        <v>AUK-009</v>
      </c>
      <c r="AT24" s="26" t="str">
        <f t="shared" ca="1" si="39"/>
        <v>KIA</v>
      </c>
      <c r="AU24" s="26" t="str">
        <f t="shared" ca="1" si="40"/>
        <v>RIO</v>
      </c>
      <c r="AV24" s="26" t="str">
        <f t="shared" ca="1" si="27"/>
        <v>AUTOCLASS S.A.C.</v>
      </c>
    </row>
    <row r="25" spans="1:48" x14ac:dyDescent="0.2">
      <c r="A25" s="172">
        <v>43752</v>
      </c>
      <c r="B25" s="173" t="s">
        <v>68</v>
      </c>
      <c r="C25" s="173" t="s">
        <v>102</v>
      </c>
      <c r="D25" s="173" t="s">
        <v>693</v>
      </c>
      <c r="E25" s="173" t="s">
        <v>762</v>
      </c>
      <c r="F25" s="173" t="s">
        <v>1141</v>
      </c>
      <c r="G25" s="172">
        <v>43747</v>
      </c>
      <c r="H25" s="173" t="s">
        <v>1131</v>
      </c>
      <c r="I25" s="173" t="s">
        <v>1132</v>
      </c>
      <c r="J25" s="173" t="s">
        <v>92</v>
      </c>
      <c r="K25" s="173" t="s">
        <v>113</v>
      </c>
      <c r="L25" s="174" t="s">
        <v>71</v>
      </c>
      <c r="M25" s="175" t="s">
        <v>72</v>
      </c>
      <c r="N25" s="173" t="s">
        <v>73</v>
      </c>
      <c r="O25" s="176" t="s">
        <v>69</v>
      </c>
      <c r="P25" s="130" t="s">
        <v>113</v>
      </c>
      <c r="Q25" s="177" t="s">
        <v>93</v>
      </c>
      <c r="R25" s="178">
        <v>3.3570001</v>
      </c>
      <c r="S25" s="179">
        <v>1</v>
      </c>
      <c r="T25" s="179">
        <v>65</v>
      </c>
      <c r="U25" s="179">
        <v>65</v>
      </c>
      <c r="V25" s="179">
        <v>11.699996999999994</v>
      </c>
      <c r="W25" s="179">
        <v>76.699996999999996</v>
      </c>
      <c r="X25" s="27">
        <f t="shared" si="13"/>
        <v>218.2050065</v>
      </c>
      <c r="Y25" s="29">
        <f ca="1">VLOOKUP(Z25,CHOOSE({2,1},Fac_Fecha,Fac_OT),2,0)</f>
        <v>43761</v>
      </c>
      <c r="Z25" s="26" t="s">
        <v>783</v>
      </c>
      <c r="AA25" s="28">
        <f t="shared" ca="1" si="0"/>
        <v>4922.6017000000002</v>
      </c>
      <c r="AB25" s="28">
        <f ca="1">SUMIF(Salida_OT,Facturacion!Z25,Salida_Suma)</f>
        <v>988.26797169999986</v>
      </c>
      <c r="AC25" s="28">
        <f t="shared" ca="1" si="28"/>
        <v>0</v>
      </c>
      <c r="AD25" s="28">
        <f t="shared" ca="1" si="29"/>
        <v>125.71000000000001</v>
      </c>
      <c r="AE25" s="28">
        <f ca="1">(SUMIF(Asig_OT,Z25,Asig_Hora_Mec))*'Costos x MO'!$B$6*'Costos x MO'!$B$7</f>
        <v>105.52500000000001</v>
      </c>
      <c r="AF25" s="28">
        <f ca="1">SUMIF(Asig_OT,Z25,Asig_Hora_Pla)*'Costos x MO'!$B$4*'Costos x MO'!$B$7</f>
        <v>256.27500000000003</v>
      </c>
      <c r="AG25" s="28">
        <f ca="1">SUMIF(Asig_OT,Z25,Asig_paño_Pin)*'Costos x MO'!$B$5*'Costos x MO'!$B$7</f>
        <v>914.55000000000007</v>
      </c>
      <c r="AH25" s="28">
        <f ca="1">(SUMIF(Asig_OT,Z25,Asig_Terc_Pla)*'Costos x MO'!$B$7)+(SUMIF(Asig_OT,Z25,Asig_Terc_Pin)*'Costos x MO'!$B$7)</f>
        <v>0</v>
      </c>
      <c r="AI25" s="28">
        <f t="shared" ca="1" si="30"/>
        <v>2390.3279717</v>
      </c>
      <c r="AJ25" s="28">
        <f t="shared" ca="1" si="31"/>
        <v>2532.2737283000001</v>
      </c>
      <c r="AK25" s="31">
        <f t="shared" ca="1" si="32"/>
        <v>0.51441775764632758</v>
      </c>
      <c r="AL25" s="28" t="str">
        <f t="shared" ca="1" si="33"/>
        <v>ACCESO</v>
      </c>
      <c r="AM25" s="28" t="str">
        <f t="shared" ca="1" si="34"/>
        <v>GRAVE</v>
      </c>
      <c r="AN25" s="30" t="str">
        <f t="shared" ca="1" si="35"/>
        <v>October</v>
      </c>
      <c r="AO25" s="42">
        <f t="shared" ca="1" si="36"/>
        <v>2019</v>
      </c>
      <c r="AP25" s="42">
        <f t="shared" ca="1" si="37"/>
        <v>14</v>
      </c>
      <c r="AQ25" s="26">
        <v>1</v>
      </c>
      <c r="AR25" s="30">
        <f t="shared" ca="1" si="23"/>
        <v>43747</v>
      </c>
      <c r="AS25" s="30" t="str">
        <f t="shared" ca="1" si="38"/>
        <v>BEN-484</v>
      </c>
      <c r="AT25" s="26" t="str">
        <f t="shared" ca="1" si="39"/>
        <v>CHEVROLET</v>
      </c>
      <c r="AU25" s="26" t="str">
        <f t="shared" ca="1" si="40"/>
        <v>SAIL</v>
      </c>
      <c r="AV25" s="26" t="str">
        <f t="shared" ca="1" si="27"/>
        <v>AUTOCLASS S.A.C.</v>
      </c>
    </row>
    <row r="26" spans="1:48" x14ac:dyDescent="0.2">
      <c r="A26" s="172">
        <v>43755</v>
      </c>
      <c r="B26" s="173" t="s">
        <v>68</v>
      </c>
      <c r="C26" s="173" t="s">
        <v>102</v>
      </c>
      <c r="D26" s="173" t="s">
        <v>691</v>
      </c>
      <c r="E26" s="173" t="s">
        <v>755</v>
      </c>
      <c r="F26" s="173" t="s">
        <v>1143</v>
      </c>
      <c r="G26" s="172">
        <v>43742</v>
      </c>
      <c r="H26" s="173" t="s">
        <v>90</v>
      </c>
      <c r="I26" s="173" t="s">
        <v>91</v>
      </c>
      <c r="J26" s="173" t="s">
        <v>97</v>
      </c>
      <c r="K26" s="173" t="s">
        <v>98</v>
      </c>
      <c r="L26" s="174" t="s">
        <v>71</v>
      </c>
      <c r="M26" s="175" t="s">
        <v>72</v>
      </c>
      <c r="N26" s="173" t="s">
        <v>73</v>
      </c>
      <c r="O26" s="176" t="s">
        <v>99</v>
      </c>
      <c r="P26" s="173" t="s">
        <v>98</v>
      </c>
      <c r="Q26" s="177" t="s">
        <v>93</v>
      </c>
      <c r="R26" s="178">
        <v>3.3699998999999998</v>
      </c>
      <c r="S26" s="179">
        <v>1</v>
      </c>
      <c r="T26" s="179">
        <v>118</v>
      </c>
      <c r="U26" s="179">
        <v>118</v>
      </c>
      <c r="V26" s="179">
        <v>21.240010000000019</v>
      </c>
      <c r="W26" s="179">
        <v>139.24001000000001</v>
      </c>
      <c r="X26" s="27">
        <f t="shared" si="13"/>
        <v>397.65998819999999</v>
      </c>
      <c r="Y26" s="29">
        <f ca="1">VLOOKUP(Z26,CHOOSE({2,1},Fac_Fecha,Fac_OT),2,0)</f>
        <v>43761</v>
      </c>
      <c r="Z26" s="26" t="s">
        <v>832</v>
      </c>
      <c r="AA26" s="28">
        <f t="shared" ca="1" si="0"/>
        <v>100</v>
      </c>
      <c r="AB26" s="28">
        <f ca="1">SUMIF(Salida_OT,Facturacion!Z26,Salida_Suma)</f>
        <v>0</v>
      </c>
      <c r="AC26" s="28">
        <f t="shared" ca="1" si="28"/>
        <v>0</v>
      </c>
      <c r="AD26" s="28">
        <f t="shared" ca="1" si="29"/>
        <v>0</v>
      </c>
      <c r="AE26" s="28">
        <f ca="1">(SUMIF(Asig_OT,Z26,Asig_Hora_Mec))*'Costos x MO'!$B$6*'Costos x MO'!$B$7</f>
        <v>15.075000000000001</v>
      </c>
      <c r="AF26" s="28">
        <f ca="1">SUMIF(Asig_OT,Z26,Asig_Hora_Pla)*'Costos x MO'!$B$4*'Costos x MO'!$B$7</f>
        <v>0</v>
      </c>
      <c r="AG26" s="28">
        <f ca="1">SUMIF(Asig_OT,Z26,Asig_paño_Pin)*'Costos x MO'!$B$5*'Costos x MO'!$B$7</f>
        <v>0</v>
      </c>
      <c r="AH26" s="28">
        <f ca="1">(SUMIF(Asig_OT,Z26,Asig_Terc_Pla)*'Costos x MO'!$B$7)+(SUMIF(Asig_OT,Z26,Asig_Terc_Pin)*'Costos x MO'!$B$7)</f>
        <v>0</v>
      </c>
      <c r="AI26" s="28">
        <f t="shared" ca="1" si="30"/>
        <v>15.075000000000001</v>
      </c>
      <c r="AJ26" s="28">
        <f t="shared" ca="1" si="31"/>
        <v>84.924999999999997</v>
      </c>
      <c r="AK26" s="31">
        <f t="shared" ca="1" si="32"/>
        <v>0.84924999999999995</v>
      </c>
      <c r="AL26" s="28" t="str">
        <f t="shared" ca="1" si="33"/>
        <v>C.C</v>
      </c>
      <c r="AM26" s="28" t="str">
        <f t="shared" ca="1" si="34"/>
        <v>MECANICA</v>
      </c>
      <c r="AN26" s="30" t="str">
        <f t="shared" ca="1" si="35"/>
        <v>October</v>
      </c>
      <c r="AO26" s="42">
        <f t="shared" ca="1" si="36"/>
        <v>2019</v>
      </c>
      <c r="AP26" s="42">
        <f t="shared" ca="1" si="37"/>
        <v>2</v>
      </c>
      <c r="AQ26" s="26">
        <v>1</v>
      </c>
      <c r="AR26" s="30">
        <f t="shared" ca="1" si="23"/>
        <v>43759</v>
      </c>
      <c r="AS26" s="30" t="str">
        <f t="shared" ca="1" si="38"/>
        <v>ASN-143</v>
      </c>
      <c r="AT26" s="26" t="str">
        <f t="shared" ca="1" si="39"/>
        <v>NISSAN</v>
      </c>
      <c r="AU26" s="26" t="str">
        <f t="shared" ca="1" si="40"/>
        <v>QASHQAI</v>
      </c>
      <c r="AV26" s="26" t="str">
        <f t="shared" ca="1" si="27"/>
        <v>AGRIBRANDS PURINA PERU S.A</v>
      </c>
    </row>
    <row r="27" spans="1:48" x14ac:dyDescent="0.2">
      <c r="A27" s="172">
        <v>43755</v>
      </c>
      <c r="B27" s="173" t="s">
        <v>68</v>
      </c>
      <c r="C27" s="173" t="s">
        <v>102</v>
      </c>
      <c r="D27" s="173" t="s">
        <v>691</v>
      </c>
      <c r="E27" s="173" t="s">
        <v>755</v>
      </c>
      <c r="F27" s="173" t="s">
        <v>1143</v>
      </c>
      <c r="G27" s="172">
        <v>43742</v>
      </c>
      <c r="H27" s="173" t="s">
        <v>90</v>
      </c>
      <c r="I27" s="173" t="s">
        <v>91</v>
      </c>
      <c r="J27" s="173" t="s">
        <v>100</v>
      </c>
      <c r="K27" s="173" t="s">
        <v>101</v>
      </c>
      <c r="L27" s="174" t="s">
        <v>71</v>
      </c>
      <c r="M27" s="175" t="s">
        <v>72</v>
      </c>
      <c r="N27" s="173" t="s">
        <v>73</v>
      </c>
      <c r="O27" s="176" t="s">
        <v>72</v>
      </c>
      <c r="P27" s="130" t="s">
        <v>101</v>
      </c>
      <c r="Q27" s="177" t="s">
        <v>93</v>
      </c>
      <c r="R27" s="178">
        <v>3.3699998999999998</v>
      </c>
      <c r="S27" s="179">
        <v>1</v>
      </c>
      <c r="T27" s="179">
        <v>150</v>
      </c>
      <c r="U27" s="179">
        <v>150</v>
      </c>
      <c r="V27" s="179">
        <v>27</v>
      </c>
      <c r="W27" s="179">
        <v>177</v>
      </c>
      <c r="X27" s="27">
        <f t="shared" si="13"/>
        <v>505.49998499999998</v>
      </c>
      <c r="Y27" s="29">
        <f ca="1">VLOOKUP(Z27,CHOOSE({2,1},Fac_Fecha,Fac_OT),2,0)</f>
        <v>43761</v>
      </c>
      <c r="Z27" s="107" t="s">
        <v>1152</v>
      </c>
      <c r="AA27" s="28">
        <f t="shared" ca="1" si="0"/>
        <v>812.10599999999999</v>
      </c>
      <c r="AB27" s="28">
        <f ca="1">SUMIF(Salida_OT,Facturacion!Z27,Salida_Suma)</f>
        <v>0</v>
      </c>
      <c r="AC27" s="28">
        <f t="shared" ca="1" si="28"/>
        <v>0</v>
      </c>
      <c r="AD27" s="28">
        <f t="shared" ca="1" si="29"/>
        <v>0</v>
      </c>
      <c r="AE27" s="28">
        <v>105.73</v>
      </c>
      <c r="AF27" s="28">
        <f ca="1">SUMIF(Asig_OT,Z27,Asig_Hora_Pla)*'Costos x MO'!$B$4*'Costos x MO'!$B$7</f>
        <v>0</v>
      </c>
      <c r="AG27" s="28">
        <f ca="1">SUMIF(Asig_OT,Z27,Asig_paño_Pin)*'Costos x MO'!$B$5*'Costos x MO'!$B$7</f>
        <v>0</v>
      </c>
      <c r="AH27" s="28">
        <f ca="1">(SUMIF(Asig_OT,Z27,Asig_Terc_Pla)*'Costos x MO'!$B$7)+(SUMIF(Asig_OT,Z27,Asig_Terc_Pin)*'Costos x MO'!$B$7)</f>
        <v>0</v>
      </c>
      <c r="AI27" s="28">
        <f t="shared" ca="1" si="30"/>
        <v>105.73</v>
      </c>
      <c r="AJ27" s="28">
        <f t="shared" ca="1" si="31"/>
        <v>706.37599999999998</v>
      </c>
      <c r="AK27" s="31">
        <f t="shared" ca="1" si="32"/>
        <v>0.86980763594900168</v>
      </c>
      <c r="AL27" s="28" t="s">
        <v>123</v>
      </c>
      <c r="AM27" s="28" t="s">
        <v>124</v>
      </c>
      <c r="AN27" s="30" t="str">
        <f t="shared" ca="1" si="35"/>
        <v>October</v>
      </c>
      <c r="AO27" s="42">
        <f t="shared" ca="1" si="36"/>
        <v>2019</v>
      </c>
      <c r="AP27" s="42">
        <f t="shared" ca="1" si="37"/>
        <v>6</v>
      </c>
      <c r="AQ27" s="26">
        <v>1</v>
      </c>
      <c r="AR27" s="30">
        <f t="shared" ca="1" si="23"/>
        <v>43755</v>
      </c>
      <c r="AS27" s="30" t="s">
        <v>821</v>
      </c>
      <c r="AT27" s="26" t="s">
        <v>187</v>
      </c>
      <c r="AU27" s="26" t="s">
        <v>822</v>
      </c>
      <c r="AV27" s="26" t="str">
        <f t="shared" ca="1" si="27"/>
        <v>RIMAC SEGUROS  Y REASEGUROS S.A</v>
      </c>
    </row>
    <row r="28" spans="1:48" x14ac:dyDescent="0.2">
      <c r="A28" s="172">
        <v>43755</v>
      </c>
      <c r="B28" s="173" t="s">
        <v>68</v>
      </c>
      <c r="C28" s="173" t="s">
        <v>102</v>
      </c>
      <c r="D28" s="173" t="s">
        <v>691</v>
      </c>
      <c r="E28" s="173" t="s">
        <v>755</v>
      </c>
      <c r="F28" s="173" t="s">
        <v>1143</v>
      </c>
      <c r="G28" s="172">
        <v>43742</v>
      </c>
      <c r="H28" s="173" t="s">
        <v>90</v>
      </c>
      <c r="I28" s="173" t="s">
        <v>91</v>
      </c>
      <c r="J28" s="173" t="s">
        <v>92</v>
      </c>
      <c r="K28" s="173" t="s">
        <v>113</v>
      </c>
      <c r="L28" s="174" t="s">
        <v>71</v>
      </c>
      <c r="M28" s="175" t="s">
        <v>72</v>
      </c>
      <c r="N28" s="173" t="s">
        <v>73</v>
      </c>
      <c r="O28" s="176" t="s">
        <v>69</v>
      </c>
      <c r="P28" s="130" t="s">
        <v>113</v>
      </c>
      <c r="Q28" s="177" t="s">
        <v>93</v>
      </c>
      <c r="R28" s="178">
        <v>3.3699998999999998</v>
      </c>
      <c r="S28" s="179">
        <v>1</v>
      </c>
      <c r="T28" s="179">
        <v>70</v>
      </c>
      <c r="U28" s="179">
        <v>70</v>
      </c>
      <c r="V28" s="179">
        <v>12.599997999999978</v>
      </c>
      <c r="W28" s="179">
        <v>82.599997999999971</v>
      </c>
      <c r="X28" s="27">
        <f t="shared" si="13"/>
        <v>235.89999299999999</v>
      </c>
      <c r="Y28" s="29">
        <f ca="1">VLOOKUP(Z28,CHOOSE({2,1},Fac_Fecha,Fac_OT),2,0)</f>
        <v>43761</v>
      </c>
      <c r="Z28" s="26" t="s">
        <v>800</v>
      </c>
      <c r="AA28" s="28">
        <f t="shared" ca="1" si="0"/>
        <v>2585.8865698200002</v>
      </c>
      <c r="AB28" s="28">
        <f ca="1">SUMIF(Salida_OT,Facturacion!Z28,Salida_Suma)</f>
        <v>0</v>
      </c>
      <c r="AC28" s="28">
        <f t="shared" ca="1" si="28"/>
        <v>0</v>
      </c>
      <c r="AD28" s="28">
        <f t="shared" ca="1" si="29"/>
        <v>0</v>
      </c>
      <c r="AE28" s="28">
        <f ca="1">(SUMIF(Asig_OT,Z28,Asig_Hora_Mec))*'Costos x MO'!$B$6*'Costos x MO'!$B$7</f>
        <v>0</v>
      </c>
      <c r="AF28" s="28">
        <f ca="1">SUMIF(Asig_OT,Z28,Asig_Hora_Pla)*'Costos x MO'!$B$4*'Costos x MO'!$B$7</f>
        <v>256.27500000000003</v>
      </c>
      <c r="AG28" s="28">
        <f ca="1">SUMIF(Asig_OT,Z28,Asig_paño_Pin)*'Costos x MO'!$B$5*'Costos x MO'!$B$7</f>
        <v>439.6875</v>
      </c>
      <c r="AH28" s="28">
        <f ca="1">(SUMIF(Asig_OT,Z28,Asig_Terc_Pla)*'Costos x MO'!$B$7)+(SUMIF(Asig_OT,Z28,Asig_Terc_Pin)*'Costos x MO'!$B$7)</f>
        <v>0</v>
      </c>
      <c r="AI28" s="28">
        <f t="shared" ca="1" si="30"/>
        <v>695.96250000000009</v>
      </c>
      <c r="AJ28" s="28">
        <f t="shared" ca="1" si="31"/>
        <v>1889.9240698200001</v>
      </c>
      <c r="AK28" s="31">
        <f t="shared" ca="1" si="32"/>
        <v>0.73086116455276495</v>
      </c>
      <c r="AL28" s="28" t="str">
        <f t="shared" ca="1" si="33"/>
        <v>RIMAC</v>
      </c>
      <c r="AM28" s="28" t="str">
        <f t="shared" ca="1" si="34"/>
        <v>GRAVE</v>
      </c>
      <c r="AN28" s="30" t="str">
        <f t="shared" ca="1" si="35"/>
        <v>October</v>
      </c>
      <c r="AO28" s="42">
        <f t="shared" ca="1" si="36"/>
        <v>2019</v>
      </c>
      <c r="AP28" s="42">
        <f t="shared" ca="1" si="37"/>
        <v>9</v>
      </c>
      <c r="AQ28" s="26">
        <v>1</v>
      </c>
      <c r="AR28" s="30">
        <f t="shared" ca="1" si="23"/>
        <v>43752</v>
      </c>
      <c r="AS28" s="30" t="str">
        <f t="shared" ca="1" si="38"/>
        <v>BMA-272</v>
      </c>
      <c r="AT28" s="26" t="str">
        <f t="shared" ca="1" si="39"/>
        <v>GREAT WALL</v>
      </c>
      <c r="AU28" s="26" t="str">
        <f t="shared" ca="1" si="40"/>
        <v>H3</v>
      </c>
      <c r="AV28" s="26" t="str">
        <f t="shared" ca="1" si="27"/>
        <v>RIMAC SEGUROS  Y REASEGUROS S.A</v>
      </c>
    </row>
    <row r="29" spans="1:48" x14ac:dyDescent="0.2">
      <c r="A29" s="172">
        <v>43755</v>
      </c>
      <c r="B29" s="173" t="s">
        <v>68</v>
      </c>
      <c r="C29" s="173" t="s">
        <v>102</v>
      </c>
      <c r="D29" s="173" t="s">
        <v>691</v>
      </c>
      <c r="E29" s="173" t="s">
        <v>755</v>
      </c>
      <c r="F29" s="173" t="s">
        <v>1143</v>
      </c>
      <c r="G29" s="172">
        <v>43742</v>
      </c>
      <c r="H29" s="173" t="s">
        <v>90</v>
      </c>
      <c r="I29" s="173" t="s">
        <v>91</v>
      </c>
      <c r="J29" s="173" t="s">
        <v>70</v>
      </c>
      <c r="K29" s="173" t="s">
        <v>112</v>
      </c>
      <c r="L29" s="174" t="s">
        <v>71</v>
      </c>
      <c r="M29" s="175" t="s">
        <v>72</v>
      </c>
      <c r="N29" s="173" t="s">
        <v>73</v>
      </c>
      <c r="O29" s="176" t="s">
        <v>69</v>
      </c>
      <c r="P29" s="130" t="s">
        <v>447</v>
      </c>
      <c r="Q29" s="177" t="s">
        <v>93</v>
      </c>
      <c r="R29" s="178">
        <v>3.3699998999999998</v>
      </c>
      <c r="S29" s="179">
        <v>1</v>
      </c>
      <c r="T29" s="179">
        <v>52.5</v>
      </c>
      <c r="U29" s="179">
        <v>52.5</v>
      </c>
      <c r="V29" s="179">
        <v>9.4500010000000021</v>
      </c>
      <c r="W29" s="179">
        <v>61.950001</v>
      </c>
      <c r="X29" s="27">
        <f t="shared" si="13"/>
        <v>176.92499475</v>
      </c>
      <c r="Y29" s="29">
        <f ca="1">VLOOKUP(Z29,CHOOSE({2,1},Fac_Fecha,Fac_OT),2,0)</f>
        <v>43764</v>
      </c>
      <c r="Z29" s="26" t="s">
        <v>798</v>
      </c>
      <c r="AA29" s="28">
        <f t="shared" ca="1" si="0"/>
        <v>1083.7249676499996</v>
      </c>
      <c r="AB29" s="28">
        <f ca="1">SUMIF(Salida_OT,Facturacion!Z29,Salida_Suma)</f>
        <v>0</v>
      </c>
      <c r="AC29" s="28">
        <f t="shared" ca="1" si="28"/>
        <v>0</v>
      </c>
      <c r="AD29" s="28">
        <f t="shared" ca="1" si="29"/>
        <v>76.27</v>
      </c>
      <c r="AE29" s="28">
        <f ca="1">(SUMIF(Asig_OT,Z29,Asig_Hora_Mec))*'Costos x MO'!$B$6*'Costos x MO'!$B$7</f>
        <v>0</v>
      </c>
      <c r="AF29" s="28">
        <f ca="1">SUMIF(Asig_OT,Z29,Asig_Hora_Pla)*'Costos x MO'!$B$4*'Costos x MO'!$B$7</f>
        <v>90.45</v>
      </c>
      <c r="AG29" s="28">
        <f ca="1">SUMIF(Asig_OT,Z29,Asig_paño_Pin)*'Costos x MO'!$B$5*'Costos x MO'!$B$7</f>
        <v>105.52500000000001</v>
      </c>
      <c r="AH29" s="28">
        <f ca="1">(SUMIF(Asig_OT,Z29,Asig_Terc_Pla)*'Costos x MO'!$B$7)+(SUMIF(Asig_OT,Z29,Asig_Terc_Pin)*'Costos x MO'!$B$7)</f>
        <v>0</v>
      </c>
      <c r="AI29" s="28">
        <f t="shared" ca="1" si="30"/>
        <v>272.245</v>
      </c>
      <c r="AJ29" s="28">
        <f t="shared" ca="1" si="31"/>
        <v>811.47996764999959</v>
      </c>
      <c r="AK29" s="31">
        <f t="shared" ca="1" si="32"/>
        <v>0.74878773846989155</v>
      </c>
      <c r="AL29" s="28" t="str">
        <f t="shared" ca="1" si="33"/>
        <v>RIMAC</v>
      </c>
      <c r="AM29" s="28" t="str">
        <f t="shared" ca="1" si="34"/>
        <v>LEVE</v>
      </c>
      <c r="AN29" s="30" t="str">
        <f t="shared" ca="1" si="35"/>
        <v>October</v>
      </c>
      <c r="AO29" s="42">
        <f t="shared" ca="1" si="36"/>
        <v>2019</v>
      </c>
      <c r="AP29" s="42">
        <f t="shared" ca="1" si="37"/>
        <v>15</v>
      </c>
      <c r="AQ29" s="26">
        <v>1</v>
      </c>
      <c r="AR29" s="30">
        <f t="shared" ca="1" si="23"/>
        <v>43749</v>
      </c>
      <c r="AS29" s="30" t="str">
        <f t="shared" ca="1" si="38"/>
        <v>AZY-713</v>
      </c>
      <c r="AT29" s="26" t="str">
        <f t="shared" ca="1" si="39"/>
        <v>FORD</v>
      </c>
      <c r="AU29" s="26" t="str">
        <f t="shared" ca="1" si="40"/>
        <v>RANGER</v>
      </c>
      <c r="AV29" s="26" t="str">
        <f t="shared" ca="1" si="27"/>
        <v>RENTAEQUIPOS LEASING PERU S.A.</v>
      </c>
    </row>
    <row r="30" spans="1:48" x14ac:dyDescent="0.2">
      <c r="A30" s="172">
        <v>43755</v>
      </c>
      <c r="B30" s="173" t="s">
        <v>68</v>
      </c>
      <c r="C30" s="173" t="s">
        <v>102</v>
      </c>
      <c r="D30" s="173" t="s">
        <v>691</v>
      </c>
      <c r="E30" s="173" t="s">
        <v>755</v>
      </c>
      <c r="F30" s="173" t="s">
        <v>1143</v>
      </c>
      <c r="G30" s="172">
        <v>43742</v>
      </c>
      <c r="H30" s="173" t="s">
        <v>90</v>
      </c>
      <c r="I30" s="173" t="s">
        <v>91</v>
      </c>
      <c r="J30" s="173" t="s">
        <v>104</v>
      </c>
      <c r="K30" s="173" t="s">
        <v>105</v>
      </c>
      <c r="L30" s="174" t="s">
        <v>71</v>
      </c>
      <c r="M30" s="175" t="s">
        <v>72</v>
      </c>
      <c r="N30" s="173" t="s">
        <v>73</v>
      </c>
      <c r="O30" s="176" t="s">
        <v>69</v>
      </c>
      <c r="P30" s="173" t="s">
        <v>105</v>
      </c>
      <c r="Q30" s="177" t="s">
        <v>93</v>
      </c>
      <c r="R30" s="178">
        <v>3.3699998999999998</v>
      </c>
      <c r="S30" s="179">
        <v>1</v>
      </c>
      <c r="T30" s="179">
        <v>0</v>
      </c>
      <c r="U30" s="179">
        <v>0</v>
      </c>
      <c r="V30" s="179">
        <v>0</v>
      </c>
      <c r="W30" s="179">
        <v>0</v>
      </c>
      <c r="X30" s="27">
        <f t="shared" si="13"/>
        <v>0</v>
      </c>
      <c r="Y30" s="29">
        <f ca="1">VLOOKUP(Z30,CHOOSE({2,1},Fac_Fecha,Fac_OT),2,0)</f>
        <v>43764</v>
      </c>
      <c r="Z30" s="26" t="s">
        <v>834</v>
      </c>
      <c r="AA30" s="28">
        <f t="shared" ca="1" si="0"/>
        <v>1415.37495775</v>
      </c>
      <c r="AB30" s="28">
        <f ca="1">SUMIF(Salida_OT,Facturacion!Z30,Salida_Suma)</f>
        <v>0</v>
      </c>
      <c r="AC30" s="28">
        <f t="shared" ca="1" si="28"/>
        <v>0</v>
      </c>
      <c r="AD30" s="28">
        <f t="shared" ca="1" si="29"/>
        <v>20.100000000000001</v>
      </c>
      <c r="AE30" s="28">
        <f ca="1">(SUMIF(Asig_OT,Z30,Asig_Hora_Mec))*'Costos x MO'!$B$6*'Costos x MO'!$B$7</f>
        <v>0</v>
      </c>
      <c r="AF30" s="28">
        <f ca="1">SUMIF(Asig_OT,Z30,Asig_Hora_Pla)*'Costos x MO'!$B$4*'Costos x MO'!$B$7</f>
        <v>180.9</v>
      </c>
      <c r="AG30" s="28">
        <f ca="1">SUMIF(Asig_OT,Z30,Asig_paño_Pin)*'Costos x MO'!$B$5*'Costos x MO'!$B$7</f>
        <v>175.875</v>
      </c>
      <c r="AH30" s="28">
        <f ca="1">(SUMIF(Asig_OT,Z30,Asig_Terc_Pla)*'Costos x MO'!$B$7)+(SUMIF(Asig_OT,Z30,Asig_Terc_Pin)*'Costos x MO'!$B$7)</f>
        <v>0</v>
      </c>
      <c r="AI30" s="28">
        <f t="shared" ca="1" si="30"/>
        <v>376.875</v>
      </c>
      <c r="AJ30" s="28">
        <f t="shared" ca="1" si="31"/>
        <v>1038.49995775</v>
      </c>
      <c r="AK30" s="31">
        <f t="shared" ca="1" si="32"/>
        <v>0.73372780270246374</v>
      </c>
      <c r="AL30" s="28" t="str">
        <f t="shared" ca="1" si="33"/>
        <v>C.C</v>
      </c>
      <c r="AM30" s="28" t="str">
        <f t="shared" ca="1" si="34"/>
        <v>MEDIANO</v>
      </c>
      <c r="AN30" s="30" t="str">
        <f t="shared" ca="1" si="35"/>
        <v>October</v>
      </c>
      <c r="AO30" s="42">
        <f t="shared" ca="1" si="36"/>
        <v>2019</v>
      </c>
      <c r="AP30" s="42">
        <f t="shared" ca="1" si="37"/>
        <v>4</v>
      </c>
      <c r="AQ30" s="26">
        <v>1</v>
      </c>
      <c r="AR30" s="30">
        <f t="shared" ca="1" si="23"/>
        <v>43760</v>
      </c>
      <c r="AS30" s="30" t="str">
        <f t="shared" ca="1" si="38"/>
        <v>D9K-336</v>
      </c>
      <c r="AT30" s="26" t="str">
        <f t="shared" ca="1" si="39"/>
        <v>KIA</v>
      </c>
      <c r="AU30" s="26" t="str">
        <f t="shared" ca="1" si="40"/>
        <v>SPORTAGE</v>
      </c>
      <c r="AV30" s="26" t="str">
        <f t="shared" ca="1" si="27"/>
        <v>RIMAC SEGUROS  Y REASEGUROS S.A</v>
      </c>
    </row>
    <row r="31" spans="1:48" x14ac:dyDescent="0.2">
      <c r="A31" s="172">
        <v>43756</v>
      </c>
      <c r="B31" s="173" t="s">
        <v>68</v>
      </c>
      <c r="C31" s="173" t="s">
        <v>102</v>
      </c>
      <c r="D31" s="173" t="s">
        <v>689</v>
      </c>
      <c r="E31" s="173" t="s">
        <v>791</v>
      </c>
      <c r="F31" s="173" t="s">
        <v>1144</v>
      </c>
      <c r="G31" s="172">
        <v>43748</v>
      </c>
      <c r="H31" s="173" t="s">
        <v>90</v>
      </c>
      <c r="I31" s="173" t="s">
        <v>91</v>
      </c>
      <c r="J31" s="173" t="s">
        <v>97</v>
      </c>
      <c r="K31" s="173" t="s">
        <v>98</v>
      </c>
      <c r="L31" s="174" t="s">
        <v>71</v>
      </c>
      <c r="M31" s="175" t="s">
        <v>190</v>
      </c>
      <c r="N31" s="173" t="s">
        <v>191</v>
      </c>
      <c r="O31" s="176" t="s">
        <v>99</v>
      </c>
      <c r="P31" s="173" t="s">
        <v>98</v>
      </c>
      <c r="Q31" s="177" t="s">
        <v>93</v>
      </c>
      <c r="R31" s="178">
        <v>3.355</v>
      </c>
      <c r="S31" s="179">
        <v>1</v>
      </c>
      <c r="T31" s="179">
        <v>118</v>
      </c>
      <c r="U31" s="179">
        <v>118</v>
      </c>
      <c r="V31" s="179">
        <v>21.240010000000019</v>
      </c>
      <c r="W31" s="179">
        <v>139.24001000000001</v>
      </c>
      <c r="X31" s="27">
        <f t="shared" si="13"/>
        <v>395.89</v>
      </c>
      <c r="Y31" s="29">
        <f ca="1">VLOOKUP(Z31,CHOOSE({2,1},Fac_Fecha,Fac_OT),2,0)</f>
        <v>43766</v>
      </c>
      <c r="Z31" s="26" t="s">
        <v>785</v>
      </c>
      <c r="AA31" s="28">
        <f t="shared" ca="1" si="0"/>
        <v>6205.2542000000003</v>
      </c>
      <c r="AB31" s="28">
        <f ca="1">SUMIF(Salida_OT,Facturacion!Z31,Salida_Suma)</f>
        <v>951.58547179999994</v>
      </c>
      <c r="AC31" s="28">
        <f t="shared" ca="1" si="28"/>
        <v>0</v>
      </c>
      <c r="AD31" s="28">
        <f t="shared" ca="1" si="29"/>
        <v>145.59372881355932</v>
      </c>
      <c r="AE31" s="28">
        <f ca="1">(SUMIF(Asig_OT,Z31,Asig_Hora_Mec))*'Costos x MO'!$B$6*'Costos x MO'!$B$7</f>
        <v>120.60000000000001</v>
      </c>
      <c r="AF31" s="28">
        <f ca="1">SUMIF(Asig_OT,Z31,Asig_Hora_Pla)*'Costos x MO'!$B$4*'Costos x MO'!$B$7</f>
        <v>452.25</v>
      </c>
      <c r="AG31" s="28">
        <f ca="1">SUMIF(Asig_OT,Z31,Asig_paño_Pin)*'Costos x MO'!$B$5*'Costos x MO'!$B$7</f>
        <v>949.72500000000002</v>
      </c>
      <c r="AH31" s="28">
        <f ca="1">(SUMIF(Asig_OT,Z31,Asig_Terc_Pla)*'Costos x MO'!$B$7)+(SUMIF(Asig_OT,Z31,Asig_Terc_Pin)*'Costos x MO'!$B$7)</f>
        <v>0</v>
      </c>
      <c r="AI31" s="28">
        <f t="shared" ca="1" si="30"/>
        <v>2619.7542006135591</v>
      </c>
      <c r="AJ31" s="28">
        <f t="shared" ca="1" si="31"/>
        <v>3585.4999993864412</v>
      </c>
      <c r="AK31" s="31">
        <f t="shared" ca="1" si="32"/>
        <v>0.57781677975197876</v>
      </c>
      <c r="AL31" s="28" t="str">
        <f t="shared" ca="1" si="33"/>
        <v>ACCESO</v>
      </c>
      <c r="AM31" s="28" t="str">
        <f t="shared" ca="1" si="34"/>
        <v>GRAVE</v>
      </c>
      <c r="AN31" s="30" t="str">
        <f t="shared" ca="1" si="35"/>
        <v>October</v>
      </c>
      <c r="AO31" s="42">
        <f t="shared" ca="1" si="36"/>
        <v>2019</v>
      </c>
      <c r="AP31" s="42">
        <f t="shared" ca="1" si="37"/>
        <v>21</v>
      </c>
      <c r="AQ31" s="26">
        <v>1</v>
      </c>
      <c r="AR31" s="30">
        <f t="shared" ca="1" si="23"/>
        <v>43745</v>
      </c>
      <c r="AS31" s="30" t="str">
        <f t="shared" ca="1" si="38"/>
        <v>ATK-580</v>
      </c>
      <c r="AT31" s="26" t="str">
        <f t="shared" ca="1" si="39"/>
        <v>KIA</v>
      </c>
      <c r="AU31" s="26" t="str">
        <f t="shared" ca="1" si="40"/>
        <v>CERATO</v>
      </c>
      <c r="AV31" s="26" t="str">
        <f t="shared" ca="1" si="27"/>
        <v>AUTOCLASS S.A.C.</v>
      </c>
    </row>
    <row r="32" spans="1:48" x14ac:dyDescent="0.2">
      <c r="A32" s="172">
        <v>43756</v>
      </c>
      <c r="B32" s="173" t="s">
        <v>68</v>
      </c>
      <c r="C32" s="173" t="s">
        <v>102</v>
      </c>
      <c r="D32" s="173" t="s">
        <v>689</v>
      </c>
      <c r="E32" s="173" t="s">
        <v>791</v>
      </c>
      <c r="F32" s="173" t="s">
        <v>1144</v>
      </c>
      <c r="G32" s="172">
        <v>43748</v>
      </c>
      <c r="H32" s="173" t="s">
        <v>90</v>
      </c>
      <c r="I32" s="173" t="s">
        <v>91</v>
      </c>
      <c r="J32" s="173" t="s">
        <v>100</v>
      </c>
      <c r="K32" s="173" t="s">
        <v>101</v>
      </c>
      <c r="L32" s="174" t="s">
        <v>71</v>
      </c>
      <c r="M32" s="175" t="s">
        <v>190</v>
      </c>
      <c r="N32" s="173" t="s">
        <v>191</v>
      </c>
      <c r="O32" s="176" t="s">
        <v>72</v>
      </c>
      <c r="P32" s="130" t="s">
        <v>101</v>
      </c>
      <c r="Q32" s="177" t="s">
        <v>93</v>
      </c>
      <c r="R32" s="178">
        <v>3.355</v>
      </c>
      <c r="S32" s="179">
        <v>1</v>
      </c>
      <c r="T32" s="179">
        <v>150</v>
      </c>
      <c r="U32" s="179">
        <v>150</v>
      </c>
      <c r="V32" s="179">
        <v>27</v>
      </c>
      <c r="W32" s="179">
        <v>177</v>
      </c>
      <c r="X32" s="27">
        <f t="shared" si="13"/>
        <v>503.25</v>
      </c>
      <c r="Y32" s="29">
        <f ca="1">VLOOKUP(Z32,CHOOSE({2,1},Fac_Fecha,Fac_OT),2,0)</f>
        <v>43766</v>
      </c>
      <c r="Z32" s="26" t="s">
        <v>807</v>
      </c>
      <c r="AA32" s="28">
        <v>3649.98</v>
      </c>
      <c r="AB32" s="28">
        <f ca="1">SUMIF(Salida_OT,Facturacion!Z32,Salida_Suma)</f>
        <v>0</v>
      </c>
      <c r="AC32" s="28">
        <f t="shared" ca="1" si="28"/>
        <v>0</v>
      </c>
      <c r="AD32" s="28">
        <f t="shared" ca="1" si="29"/>
        <v>0</v>
      </c>
      <c r="AE32" s="28">
        <f ca="1">(SUMIF(Asig_OT,Z32,Asig_Hora_Mec))*'Costos x MO'!$B$6*'Costos x MO'!$B$7</f>
        <v>0</v>
      </c>
      <c r="AF32" s="28">
        <f ca="1">SUMIF(Asig_OT,Z32,Asig_Hora_Pla)*'Costos x MO'!$B$4*'Costos x MO'!$B$7</f>
        <v>361.8</v>
      </c>
      <c r="AG32" s="28">
        <f ca="1">SUMIF(Asig_OT,Z32,Asig_paño_Pin)*'Costos x MO'!$B$5*'Costos x MO'!$B$7</f>
        <v>545.21249999999998</v>
      </c>
      <c r="AH32" s="28">
        <f ca="1">(SUMIF(Asig_OT,Z32,Asig_Terc_Pla)*'Costos x MO'!$B$7)+(SUMIF(Asig_OT,Z32,Asig_Terc_Pin)*'Costos x MO'!$B$7)</f>
        <v>0</v>
      </c>
      <c r="AI32" s="28">
        <f t="shared" ca="1" si="30"/>
        <v>907.01250000000005</v>
      </c>
      <c r="AJ32" s="28">
        <f t="shared" ca="1" si="31"/>
        <v>2742.9674999999997</v>
      </c>
      <c r="AK32" s="31">
        <f t="shared" ca="1" si="32"/>
        <v>0.75150206302500278</v>
      </c>
      <c r="AL32" s="28" t="str">
        <f t="shared" ca="1" si="33"/>
        <v>RIMAC</v>
      </c>
      <c r="AM32" s="28" t="str">
        <f t="shared" ca="1" si="34"/>
        <v>GRAVE</v>
      </c>
      <c r="AN32" s="30" t="str">
        <f t="shared" ca="1" si="35"/>
        <v>October</v>
      </c>
      <c r="AO32" s="42">
        <f t="shared" ca="1" si="36"/>
        <v>2019</v>
      </c>
      <c r="AP32" s="42">
        <f t="shared" ca="1" si="37"/>
        <v>17</v>
      </c>
      <c r="AQ32" s="26">
        <v>1</v>
      </c>
      <c r="AR32" s="30">
        <f t="shared" ca="1" si="23"/>
        <v>43749</v>
      </c>
      <c r="AS32" s="30" t="str">
        <f t="shared" ca="1" si="38"/>
        <v>AWL-231</v>
      </c>
      <c r="AT32" s="26" t="str">
        <f t="shared" ca="1" si="39"/>
        <v>KIA</v>
      </c>
      <c r="AU32" s="26" t="str">
        <f t="shared" ca="1" si="40"/>
        <v>RIO</v>
      </c>
      <c r="AV32" s="26" t="str">
        <f t="shared" ca="1" si="27"/>
        <v>RENTAEQUIPOS LEASING PERU S.A.</v>
      </c>
    </row>
    <row r="33" spans="1:48" x14ac:dyDescent="0.2">
      <c r="A33" s="172">
        <v>43756</v>
      </c>
      <c r="B33" s="173" t="s">
        <v>68</v>
      </c>
      <c r="C33" s="173" t="s">
        <v>102</v>
      </c>
      <c r="D33" s="173" t="s">
        <v>689</v>
      </c>
      <c r="E33" s="173" t="s">
        <v>791</v>
      </c>
      <c r="F33" s="173" t="s">
        <v>1144</v>
      </c>
      <c r="G33" s="172">
        <v>43748</v>
      </c>
      <c r="H33" s="173" t="s">
        <v>90</v>
      </c>
      <c r="I33" s="173" t="s">
        <v>91</v>
      </c>
      <c r="J33" s="173" t="s">
        <v>95</v>
      </c>
      <c r="K33" s="173" t="s">
        <v>96</v>
      </c>
      <c r="L33" s="174" t="s">
        <v>71</v>
      </c>
      <c r="M33" s="175" t="s">
        <v>190</v>
      </c>
      <c r="N33" s="173" t="s">
        <v>191</v>
      </c>
      <c r="O33" s="176" t="s">
        <v>69</v>
      </c>
      <c r="P33" s="130" t="s">
        <v>96</v>
      </c>
      <c r="Q33" s="177" t="s">
        <v>93</v>
      </c>
      <c r="R33" s="178">
        <v>3.355</v>
      </c>
      <c r="S33" s="179">
        <v>-1</v>
      </c>
      <c r="T33" s="179">
        <v>100</v>
      </c>
      <c r="U33" s="179">
        <v>-100</v>
      </c>
      <c r="V33" s="179">
        <v>-18</v>
      </c>
      <c r="W33" s="179">
        <v>-118</v>
      </c>
      <c r="X33" s="27">
        <f t="shared" si="13"/>
        <v>-335.5</v>
      </c>
      <c r="Y33" s="29">
        <f ca="1">VLOOKUP(Z33,CHOOSE({2,1},Fac_Fecha,Fac_OT),2,0)</f>
        <v>43766</v>
      </c>
      <c r="Z33" s="26" t="s">
        <v>803</v>
      </c>
      <c r="AA33" s="28">
        <f t="shared" ca="1" si="0"/>
        <v>1600.9543719754197</v>
      </c>
      <c r="AB33" s="28">
        <f ca="1">SUMIF(Salida_OT,Facturacion!Z33,Salida_Suma)</f>
        <v>0</v>
      </c>
      <c r="AC33" s="28">
        <f t="shared" ca="1" si="28"/>
        <v>0</v>
      </c>
      <c r="AD33" s="28">
        <f t="shared" ca="1" si="29"/>
        <v>0</v>
      </c>
      <c r="AE33" s="28">
        <f ca="1">(SUMIF(Asig_OT,Z33,Asig_Hora_Mec))*'Costos x MO'!$B$6*'Costos x MO'!$B$7</f>
        <v>0</v>
      </c>
      <c r="AF33" s="28">
        <f ca="1">SUMIF(Asig_OT,Z33,Asig_Hora_Pla)*'Costos x MO'!$B$4*'Costos x MO'!$B$7</f>
        <v>241.20000000000002</v>
      </c>
      <c r="AG33" s="28">
        <f ca="1">SUMIF(Asig_OT,Z33,Asig_paño_Pin)*'Costos x MO'!$B$5*'Costos x MO'!$B$7</f>
        <v>158.28749999999999</v>
      </c>
      <c r="AH33" s="28">
        <f ca="1">(SUMIF(Asig_OT,Z33,Asig_Terc_Pla)*'Costos x MO'!$B$7)+(SUMIF(Asig_OT,Z33,Asig_Terc_Pin)*'Costos x MO'!$B$7)</f>
        <v>0</v>
      </c>
      <c r="AI33" s="28">
        <f t="shared" ca="1" si="30"/>
        <v>399.48750000000001</v>
      </c>
      <c r="AJ33" s="28">
        <f t="shared" ca="1" si="31"/>
        <v>1201.4668719754197</v>
      </c>
      <c r="AK33" s="31">
        <f t="shared" ca="1" si="32"/>
        <v>0.75046915327944552</v>
      </c>
      <c r="AL33" s="28" t="str">
        <f t="shared" ca="1" si="33"/>
        <v>RIMAC</v>
      </c>
      <c r="AM33" s="28" t="str">
        <f t="shared" ca="1" si="34"/>
        <v>GRAVE</v>
      </c>
      <c r="AN33" s="30" t="str">
        <f t="shared" ca="1" si="35"/>
        <v>October</v>
      </c>
      <c r="AO33" s="42">
        <f t="shared" ca="1" si="36"/>
        <v>2019</v>
      </c>
      <c r="AP33" s="42">
        <f t="shared" ca="1" si="37"/>
        <v>21</v>
      </c>
      <c r="AQ33" s="26">
        <v>1</v>
      </c>
      <c r="AR33" s="30">
        <f t="shared" ca="1" si="23"/>
        <v>43745</v>
      </c>
      <c r="AS33" s="30" t="str">
        <f t="shared" ca="1" si="38"/>
        <v>ATH-340</v>
      </c>
      <c r="AT33" s="26" t="str">
        <f t="shared" ca="1" si="39"/>
        <v>HONDA</v>
      </c>
      <c r="AU33" s="26" t="str">
        <f t="shared" ca="1" si="40"/>
        <v>PILOT</v>
      </c>
      <c r="AV33" s="26" t="str">
        <f t="shared" ca="1" si="27"/>
        <v>RENTAEQUIPOS LEASING PERU S.A.</v>
      </c>
    </row>
    <row r="34" spans="1:48" x14ac:dyDescent="0.2">
      <c r="A34" s="172">
        <v>43756</v>
      </c>
      <c r="B34" s="173" t="s">
        <v>68</v>
      </c>
      <c r="C34" s="173" t="s">
        <v>102</v>
      </c>
      <c r="D34" s="173" t="s">
        <v>689</v>
      </c>
      <c r="E34" s="173" t="s">
        <v>791</v>
      </c>
      <c r="F34" s="173" t="s">
        <v>1144</v>
      </c>
      <c r="G34" s="172">
        <v>43748</v>
      </c>
      <c r="H34" s="173" t="s">
        <v>90</v>
      </c>
      <c r="I34" s="173" t="s">
        <v>91</v>
      </c>
      <c r="J34" s="173" t="s">
        <v>104</v>
      </c>
      <c r="K34" s="173" t="s">
        <v>105</v>
      </c>
      <c r="L34" s="174" t="s">
        <v>71</v>
      </c>
      <c r="M34" s="175" t="s">
        <v>190</v>
      </c>
      <c r="N34" s="173" t="s">
        <v>191</v>
      </c>
      <c r="O34" s="176" t="s">
        <v>69</v>
      </c>
      <c r="P34" s="173" t="s">
        <v>105</v>
      </c>
      <c r="Q34" s="177" t="s">
        <v>93</v>
      </c>
      <c r="R34" s="178">
        <v>3.355</v>
      </c>
      <c r="S34" s="179">
        <v>1</v>
      </c>
      <c r="T34" s="179">
        <v>0</v>
      </c>
      <c r="U34" s="179">
        <v>0</v>
      </c>
      <c r="V34" s="179">
        <v>0</v>
      </c>
      <c r="W34" s="179">
        <v>0</v>
      </c>
      <c r="X34" s="27">
        <f t="shared" si="13"/>
        <v>0</v>
      </c>
      <c r="Y34" s="29">
        <f ca="1">VLOOKUP(Z34,CHOOSE({2,1},Fac_Fecha,Fac_OT),2,0)</f>
        <v>43767</v>
      </c>
      <c r="Z34" s="26" t="s">
        <v>842</v>
      </c>
      <c r="AA34" s="28">
        <f t="shared" ca="1" si="0"/>
        <v>777.05499999999984</v>
      </c>
      <c r="AB34" s="28">
        <f ca="1">SUMIF(Salida_OT,Facturacion!Z34,Salida_Suma)</f>
        <v>0</v>
      </c>
      <c r="AC34" s="28">
        <f t="shared" ca="1" si="28"/>
        <v>0</v>
      </c>
      <c r="AD34" s="28">
        <f t="shared" ca="1" si="29"/>
        <v>25.125</v>
      </c>
      <c r="AE34" s="28">
        <f ca="1">(SUMIF(Asig_OT,Z34,Asig_Hora_Mec))*'Costos x MO'!$B$6*'Costos x MO'!$B$7</f>
        <v>0</v>
      </c>
      <c r="AF34" s="28">
        <f ca="1">SUMIF(Asig_OT,Z34,Asig_Hora_Pla)*'Costos x MO'!$B$4*'Costos x MO'!$B$7</f>
        <v>60.300000000000004</v>
      </c>
      <c r="AG34" s="28">
        <f ca="1">SUMIF(Asig_OT,Z34,Asig_paño_Pin)*'Costos x MO'!$B$5*'Costos x MO'!$B$7</f>
        <v>140.70000000000002</v>
      </c>
      <c r="AH34" s="28">
        <f ca="1">(SUMIF(Asig_OT,Z34,Asig_Terc_Pla)*'Costos x MO'!$B$7)+(SUMIF(Asig_OT,Z34,Asig_Terc_Pin)*'Costos x MO'!$B$7)</f>
        <v>0</v>
      </c>
      <c r="AI34" s="28">
        <f t="shared" ca="1" si="30"/>
        <v>226.12500000000003</v>
      </c>
      <c r="AJ34" s="28">
        <f t="shared" ca="1" si="31"/>
        <v>550.92999999999984</v>
      </c>
      <c r="AK34" s="31">
        <f t="shared" ca="1" si="32"/>
        <v>0.70899743261416492</v>
      </c>
      <c r="AL34" s="28" t="str">
        <f t="shared" ca="1" si="33"/>
        <v>RIMAC</v>
      </c>
      <c r="AM34" s="28" t="str">
        <f t="shared" ca="1" si="34"/>
        <v>LEVE</v>
      </c>
      <c r="AN34" s="30" t="str">
        <f t="shared" ca="1" si="35"/>
        <v>October</v>
      </c>
      <c r="AO34" s="42">
        <f t="shared" ca="1" si="36"/>
        <v>2019</v>
      </c>
      <c r="AP34" s="42">
        <f t="shared" ca="1" si="37"/>
        <v>7</v>
      </c>
      <c r="AQ34" s="26">
        <v>1</v>
      </c>
      <c r="AR34" s="30">
        <f t="shared" ca="1" si="23"/>
        <v>43760</v>
      </c>
      <c r="AS34" s="30" t="str">
        <f t="shared" ca="1" si="38"/>
        <v>BCZ-165</v>
      </c>
      <c r="AT34" s="26" t="str">
        <f t="shared" ca="1" si="39"/>
        <v>CHEVROLET</v>
      </c>
      <c r="AU34" s="26" t="str">
        <f t="shared" ca="1" si="40"/>
        <v>COBALT</v>
      </c>
      <c r="AV34" s="26" t="str">
        <f t="shared" ca="1" si="27"/>
        <v>CORE MINERALS PERU S.A</v>
      </c>
    </row>
    <row r="35" spans="1:48" x14ac:dyDescent="0.2">
      <c r="A35" s="172">
        <v>43757</v>
      </c>
      <c r="B35" s="173" t="s">
        <v>68</v>
      </c>
      <c r="C35" s="173" t="s">
        <v>102</v>
      </c>
      <c r="D35" s="173" t="s">
        <v>688</v>
      </c>
      <c r="E35" s="173" t="s">
        <v>789</v>
      </c>
      <c r="F35" s="173" t="s">
        <v>912</v>
      </c>
      <c r="G35" s="172">
        <v>43750</v>
      </c>
      <c r="H35" s="173" t="s">
        <v>1145</v>
      </c>
      <c r="I35" s="173" t="s">
        <v>1146</v>
      </c>
      <c r="J35" s="173" t="s">
        <v>92</v>
      </c>
      <c r="K35" s="173" t="s">
        <v>113</v>
      </c>
      <c r="L35" s="174" t="s">
        <v>71</v>
      </c>
      <c r="M35" s="175" t="s">
        <v>102</v>
      </c>
      <c r="N35" s="173" t="s">
        <v>103</v>
      </c>
      <c r="O35" s="176" t="s">
        <v>69</v>
      </c>
      <c r="P35" s="130" t="s">
        <v>113</v>
      </c>
      <c r="Q35" s="177" t="s">
        <v>74</v>
      </c>
      <c r="R35" s="178">
        <v>3.355</v>
      </c>
      <c r="S35" s="179">
        <v>1</v>
      </c>
      <c r="T35" s="179">
        <v>200</v>
      </c>
      <c r="U35" s="179">
        <v>200</v>
      </c>
      <c r="V35" s="179">
        <v>36</v>
      </c>
      <c r="W35" s="179">
        <v>236</v>
      </c>
      <c r="X35" s="27">
        <f t="shared" si="13"/>
        <v>200</v>
      </c>
      <c r="Y35" s="29">
        <f ca="1">VLOOKUP(Z35,CHOOSE({2,1},Fac_Fecha,Fac_OT),2,0)</f>
        <v>43767</v>
      </c>
      <c r="Z35" s="26" t="s">
        <v>781</v>
      </c>
      <c r="AA35" s="28">
        <f t="shared" ca="1" si="0"/>
        <v>6158.5</v>
      </c>
      <c r="AB35" s="28">
        <f ca="1">SUMIF(Salida_OT,Facturacion!Z35,Salida_Suma)</f>
        <v>1076.6122704000002</v>
      </c>
      <c r="AC35" s="28">
        <f t="shared" ca="1" si="28"/>
        <v>0</v>
      </c>
      <c r="AD35" s="28">
        <f t="shared" ca="1" si="29"/>
        <v>172.54237288135593</v>
      </c>
      <c r="AE35" s="28">
        <f ca="1">(SUMIF(Asig_OT,Z35,Asig_Hora_Mec))*'Costos x MO'!$B$6*'Costos x MO'!$B$7</f>
        <v>241.20000000000002</v>
      </c>
      <c r="AF35" s="28">
        <f ca="1">SUMIF(Asig_OT,Z35,Asig_Hora_Pla)*'Costos x MO'!$B$4*'Costos x MO'!$B$7</f>
        <v>301.5</v>
      </c>
      <c r="AG35" s="28">
        <f ca="1">SUMIF(Asig_OT,Z35,Asig_paño_Pin)*'Costos x MO'!$B$5*'Costos x MO'!$B$7</f>
        <v>984.9</v>
      </c>
      <c r="AH35" s="28">
        <f ca="1">(SUMIF(Asig_OT,Z35,Asig_Terc_Pla)*'Costos x MO'!$B$7)+(SUMIF(Asig_OT,Z35,Asig_Terc_Pin)*'Costos x MO'!$B$7)</f>
        <v>0</v>
      </c>
      <c r="AI35" s="28">
        <f t="shared" ca="1" si="30"/>
        <v>2776.754643281356</v>
      </c>
      <c r="AJ35" s="28">
        <f t="shared" ca="1" si="31"/>
        <v>3381.745356718644</v>
      </c>
      <c r="AK35" s="31">
        <f t="shared" ca="1" si="32"/>
        <v>0.54911834971480777</v>
      </c>
      <c r="AL35" s="28" t="str">
        <f t="shared" ca="1" si="33"/>
        <v>ACCESO</v>
      </c>
      <c r="AM35" s="28" t="str">
        <f t="shared" ca="1" si="34"/>
        <v>GRAVE</v>
      </c>
      <c r="AN35" s="30" t="str">
        <f t="shared" ca="1" si="35"/>
        <v>October</v>
      </c>
      <c r="AO35" s="42">
        <f t="shared" ca="1" si="36"/>
        <v>2019</v>
      </c>
      <c r="AP35" s="42">
        <f t="shared" ca="1" si="37"/>
        <v>24</v>
      </c>
      <c r="AQ35" s="26">
        <v>1</v>
      </c>
      <c r="AR35" s="30">
        <f t="shared" ca="1" si="23"/>
        <v>43743</v>
      </c>
      <c r="AS35" s="30" t="str">
        <f t="shared" ca="1" si="38"/>
        <v>AYM-428</v>
      </c>
      <c r="AT35" s="26" t="str">
        <f t="shared" ca="1" si="39"/>
        <v>CHEVROLET</v>
      </c>
      <c r="AU35" s="26" t="str">
        <f t="shared" ca="1" si="40"/>
        <v>SAIL</v>
      </c>
      <c r="AV35" s="26" t="str">
        <f t="shared" ca="1" si="27"/>
        <v>AUTOCLASS S.A.C.</v>
      </c>
    </row>
    <row r="36" spans="1:48" x14ac:dyDescent="0.2">
      <c r="A36" s="172">
        <v>43757</v>
      </c>
      <c r="B36" s="173" t="s">
        <v>68</v>
      </c>
      <c r="C36" s="173" t="s">
        <v>102</v>
      </c>
      <c r="D36" s="173" t="s">
        <v>688</v>
      </c>
      <c r="E36" s="173" t="s">
        <v>789</v>
      </c>
      <c r="F36" s="173" t="s">
        <v>912</v>
      </c>
      <c r="G36" s="172">
        <v>43750</v>
      </c>
      <c r="H36" s="173" t="s">
        <v>1145</v>
      </c>
      <c r="I36" s="173" t="s">
        <v>1146</v>
      </c>
      <c r="J36" s="173" t="s">
        <v>132</v>
      </c>
      <c r="K36" s="173" t="s">
        <v>133</v>
      </c>
      <c r="L36" s="174" t="s">
        <v>71</v>
      </c>
      <c r="M36" s="175" t="s">
        <v>102</v>
      </c>
      <c r="N36" s="173" t="s">
        <v>103</v>
      </c>
      <c r="O36" s="176" t="s">
        <v>69</v>
      </c>
      <c r="P36" s="173" t="s">
        <v>105</v>
      </c>
      <c r="Q36" s="177" t="s">
        <v>74</v>
      </c>
      <c r="R36" s="178">
        <v>3.355</v>
      </c>
      <c r="S36" s="179">
        <v>1</v>
      </c>
      <c r="T36" s="179">
        <v>155</v>
      </c>
      <c r="U36" s="179">
        <v>155</v>
      </c>
      <c r="V36" s="179">
        <v>27.89998999999996</v>
      </c>
      <c r="W36" s="179">
        <v>182.89998999999997</v>
      </c>
      <c r="X36" s="27">
        <f t="shared" si="13"/>
        <v>155</v>
      </c>
      <c r="Y36" s="29">
        <f ca="1">VLOOKUP(Z36,CHOOSE({2,1},Fac_Fecha,Fac_OT),2,0)</f>
        <v>43767</v>
      </c>
      <c r="Z36" s="26" t="s">
        <v>768</v>
      </c>
      <c r="AA36" s="28">
        <f t="shared" ref="AA36:AA99" ca="1" si="41">SUMIFS(Fac_Suma,Fac_OT,Z36,Fac_Fecha,Y36)</f>
        <v>3044.7542000000003</v>
      </c>
      <c r="AB36" s="28">
        <f ca="1">SUMIF(Salida_OT,Facturacion!Z36,Salida_Suma)</f>
        <v>439.48892599999994</v>
      </c>
      <c r="AC36" s="28">
        <f t="shared" ca="1" si="28"/>
        <v>0</v>
      </c>
      <c r="AD36" s="28">
        <f t="shared" ca="1" si="29"/>
        <v>59.324067796610173</v>
      </c>
      <c r="AE36" s="28">
        <f ca="1">(SUMIF(Asig_OT,Z36,Asig_Hora_Mec))*'Costos x MO'!$B$6*'Costos x MO'!$B$7</f>
        <v>90.45</v>
      </c>
      <c r="AF36" s="28">
        <f ca="1">SUMIF(Asig_OT,Z36,Asig_Hora_Pla)*'Costos x MO'!$B$4*'Costos x MO'!$B$7</f>
        <v>211.05</v>
      </c>
      <c r="AG36" s="28">
        <f ca="1">SUMIF(Asig_OT,Z36,Asig_paño_Pin)*'Costos x MO'!$B$5*'Costos x MO'!$B$7</f>
        <v>633.15</v>
      </c>
      <c r="AH36" s="28">
        <f ca="1">(SUMIF(Asig_OT,Z36,Asig_Terc_Pla)*'Costos x MO'!$B$7)+(SUMIF(Asig_OT,Z36,Asig_Terc_Pin)*'Costos x MO'!$B$7)</f>
        <v>0</v>
      </c>
      <c r="AI36" s="28">
        <f t="shared" ca="1" si="30"/>
        <v>1433.4629937966101</v>
      </c>
      <c r="AJ36" s="28">
        <f t="shared" ca="1" si="31"/>
        <v>1611.2912062033902</v>
      </c>
      <c r="AK36" s="31">
        <f t="shared" ca="1" si="32"/>
        <v>0.52920239216794251</v>
      </c>
      <c r="AL36" s="28" t="str">
        <f t="shared" ca="1" si="33"/>
        <v>ACCESO</v>
      </c>
      <c r="AM36" s="28" t="str">
        <f t="shared" ca="1" si="34"/>
        <v>MEDIANO</v>
      </c>
      <c r="AN36" s="30" t="str">
        <f t="shared" ca="1" si="35"/>
        <v>October</v>
      </c>
      <c r="AO36" s="42">
        <f t="shared" ca="1" si="36"/>
        <v>2019</v>
      </c>
      <c r="AP36" s="42">
        <f t="shared" ca="1" si="37"/>
        <v>20</v>
      </c>
      <c r="AQ36" s="26">
        <v>1</v>
      </c>
      <c r="AR36" s="30">
        <f t="shared" ca="1" si="23"/>
        <v>43747</v>
      </c>
      <c r="AS36" s="30" t="str">
        <f t="shared" ca="1" si="38"/>
        <v>BHA-218</v>
      </c>
      <c r="AT36" s="26" t="str">
        <f t="shared" ca="1" si="39"/>
        <v>CHEVROLET</v>
      </c>
      <c r="AU36" s="26" t="str">
        <f t="shared" ca="1" si="40"/>
        <v>SAIL</v>
      </c>
      <c r="AV36" s="26" t="str">
        <f t="shared" ca="1" si="27"/>
        <v>AUTOCLASS S.A.C.</v>
      </c>
    </row>
    <row r="37" spans="1:48" x14ac:dyDescent="0.2">
      <c r="A37" s="172">
        <v>43757</v>
      </c>
      <c r="B37" s="173" t="s">
        <v>68</v>
      </c>
      <c r="C37" s="173" t="s">
        <v>102</v>
      </c>
      <c r="D37" s="173" t="s">
        <v>688</v>
      </c>
      <c r="E37" s="173" t="s">
        <v>789</v>
      </c>
      <c r="F37" s="173" t="s">
        <v>912</v>
      </c>
      <c r="G37" s="172">
        <v>43750</v>
      </c>
      <c r="H37" s="173" t="s">
        <v>1145</v>
      </c>
      <c r="I37" s="173" t="s">
        <v>1146</v>
      </c>
      <c r="J37" s="173" t="s">
        <v>139</v>
      </c>
      <c r="K37" s="173" t="s">
        <v>94</v>
      </c>
      <c r="L37" s="174" t="s">
        <v>71</v>
      </c>
      <c r="M37" s="175" t="s">
        <v>102</v>
      </c>
      <c r="N37" s="173" t="s">
        <v>103</v>
      </c>
      <c r="O37" s="176" t="s">
        <v>69</v>
      </c>
      <c r="P37" s="130" t="s">
        <v>113</v>
      </c>
      <c r="Q37" s="177" t="s">
        <v>74</v>
      </c>
      <c r="R37" s="178">
        <v>3.355</v>
      </c>
      <c r="S37" s="179">
        <v>1</v>
      </c>
      <c r="T37" s="179">
        <v>120</v>
      </c>
      <c r="U37" s="179">
        <v>120</v>
      </c>
      <c r="V37" s="179">
        <v>21.600010000000019</v>
      </c>
      <c r="W37" s="179">
        <v>141.60001000000003</v>
      </c>
      <c r="X37" s="27">
        <f t="shared" si="13"/>
        <v>120</v>
      </c>
      <c r="Y37" s="29">
        <f ca="1">VLOOKUP(Z37,CHOOSE({2,1},Fac_Fecha,Fac_OT),2,0)</f>
        <v>43767</v>
      </c>
      <c r="Z37" s="26" t="s">
        <v>777</v>
      </c>
      <c r="AA37" s="28">
        <f t="shared" ca="1" si="41"/>
        <v>4644.5</v>
      </c>
      <c r="AB37" s="28">
        <f ca="1">SUMIF(Salida_OT,Facturacion!Z37,Salida_Suma)</f>
        <v>621.35519875</v>
      </c>
      <c r="AC37" s="28">
        <f t="shared" ca="1" si="28"/>
        <v>0</v>
      </c>
      <c r="AD37" s="28">
        <f t="shared" ca="1" si="29"/>
        <v>111.69203389830508</v>
      </c>
      <c r="AE37" s="28">
        <f ca="1">(SUMIF(Asig_OT,Z37,Asig_Hora_Mec))*'Costos x MO'!$B$6*'Costos x MO'!$B$7</f>
        <v>120.60000000000001</v>
      </c>
      <c r="AF37" s="28">
        <f ca="1">SUMIF(Asig_OT,Z37,Asig_Hora_Pla)*'Costos x MO'!$B$4*'Costos x MO'!$B$7</f>
        <v>256.27500000000003</v>
      </c>
      <c r="AG37" s="28">
        <f ca="1">SUMIF(Asig_OT,Z37,Asig_paño_Pin)*'Costos x MO'!$B$5*'Costos x MO'!$B$7</f>
        <v>844.2</v>
      </c>
      <c r="AH37" s="28">
        <f ca="1">(SUMIF(Asig_OT,Z37,Asig_Terc_Pla)*'Costos x MO'!$B$7)+(SUMIF(Asig_OT,Z37,Asig_Terc_Pin)*'Costos x MO'!$B$7)</f>
        <v>0</v>
      </c>
      <c r="AI37" s="28">
        <f t="shared" ca="1" si="30"/>
        <v>1954.1222326483053</v>
      </c>
      <c r="AJ37" s="28">
        <f t="shared" ca="1" si="31"/>
        <v>2690.3777673516947</v>
      </c>
      <c r="AK37" s="31">
        <f t="shared" ca="1" si="32"/>
        <v>0.57926101137941532</v>
      </c>
      <c r="AL37" s="28" t="str">
        <f t="shared" ca="1" si="33"/>
        <v>ACCESO</v>
      </c>
      <c r="AM37" s="28" t="str">
        <f t="shared" ca="1" si="34"/>
        <v>MEDIANO</v>
      </c>
      <c r="AN37" s="30" t="str">
        <f t="shared" ca="1" si="35"/>
        <v>October</v>
      </c>
      <c r="AO37" s="42">
        <f t="shared" ca="1" si="36"/>
        <v>2019</v>
      </c>
      <c r="AP37" s="42">
        <f t="shared" ca="1" si="37"/>
        <v>22</v>
      </c>
      <c r="AQ37" s="26">
        <v>1</v>
      </c>
      <c r="AR37" s="30">
        <f t="shared" ref="AR37:AR66" ca="1" si="42">VLOOKUP(Z37,Matriz2,3,0)</f>
        <v>43745</v>
      </c>
      <c r="AS37" s="30" t="str">
        <f t="shared" ca="1" si="38"/>
        <v>AWG-565</v>
      </c>
      <c r="AT37" s="26" t="str">
        <f t="shared" ca="1" si="39"/>
        <v>KIA</v>
      </c>
      <c r="AU37" s="26" t="str">
        <f t="shared" ca="1" si="40"/>
        <v>CERATO</v>
      </c>
      <c r="AV37" s="26" t="str">
        <f t="shared" ref="AV37:AV66" ca="1" si="43">VLOOKUP(Z37,Matriz2,5,0)</f>
        <v>AUTOCLASS S.A.C.</v>
      </c>
    </row>
    <row r="38" spans="1:48" x14ac:dyDescent="0.2">
      <c r="A38" s="172">
        <v>43757</v>
      </c>
      <c r="B38" s="173" t="s">
        <v>68</v>
      </c>
      <c r="C38" s="173" t="s">
        <v>102</v>
      </c>
      <c r="D38" s="173" t="s">
        <v>688</v>
      </c>
      <c r="E38" s="173" t="s">
        <v>789</v>
      </c>
      <c r="F38" s="173" t="s">
        <v>912</v>
      </c>
      <c r="G38" s="172">
        <v>43750</v>
      </c>
      <c r="H38" s="173" t="s">
        <v>1145</v>
      </c>
      <c r="I38" s="173" t="s">
        <v>1146</v>
      </c>
      <c r="J38" s="173" t="s">
        <v>70</v>
      </c>
      <c r="K38" s="173" t="s">
        <v>112</v>
      </c>
      <c r="L38" s="174" t="s">
        <v>71</v>
      </c>
      <c r="M38" s="175" t="s">
        <v>102</v>
      </c>
      <c r="N38" s="173" t="s">
        <v>103</v>
      </c>
      <c r="O38" s="176" t="s">
        <v>69</v>
      </c>
      <c r="P38" s="130" t="s">
        <v>447</v>
      </c>
      <c r="Q38" s="177" t="s">
        <v>74</v>
      </c>
      <c r="R38" s="178">
        <v>3.355</v>
      </c>
      <c r="S38" s="179">
        <v>1</v>
      </c>
      <c r="T38" s="179">
        <v>300</v>
      </c>
      <c r="U38" s="179">
        <v>300</v>
      </c>
      <c r="V38" s="179">
        <v>54</v>
      </c>
      <c r="W38" s="179">
        <v>354</v>
      </c>
      <c r="X38" s="27">
        <f t="shared" si="13"/>
        <v>300</v>
      </c>
      <c r="Y38" s="29">
        <f ca="1">VLOOKUP(Z38,CHOOSE({2,1},Fac_Fecha,Fac_OT),2,0)</f>
        <v>43767</v>
      </c>
      <c r="Z38" s="26" t="s">
        <v>771</v>
      </c>
      <c r="AA38" s="28">
        <f t="shared" ca="1" si="41"/>
        <v>7582.5</v>
      </c>
      <c r="AB38" s="28">
        <f ca="1">SUMIF(Salida_OT,Facturacion!Z38,Salida_Suma)</f>
        <v>2229.3106937999996</v>
      </c>
      <c r="AC38" s="28">
        <f t="shared" ca="1" si="28"/>
        <v>59.322033898305087</v>
      </c>
      <c r="AD38" s="28">
        <f t="shared" ca="1" si="29"/>
        <v>290.9571186440678</v>
      </c>
      <c r="AE38" s="28">
        <f ca="1">(SUMIF(Asig_OT,Z38,Asig_Hora_Mec))*'Costos x MO'!$B$6*'Costos x MO'!$B$7</f>
        <v>226.125</v>
      </c>
      <c r="AF38" s="28">
        <f ca="1">SUMIF(Asig_OT,Z38,Asig_Hora_Pla)*'Costos x MO'!$B$4*'Costos x MO'!$B$7</f>
        <v>256.27500000000003</v>
      </c>
      <c r="AG38" s="28">
        <f ca="1">SUMIF(Asig_OT,Z38,Asig_paño_Pin)*'Costos x MO'!$B$5*'Costos x MO'!$B$7</f>
        <v>844.2</v>
      </c>
      <c r="AH38" s="28">
        <f ca="1">(SUMIF(Asig_OT,Z38,Asig_Terc_Pla)*'Costos x MO'!$B$7)+(SUMIF(Asig_OT,Z38,Asig_Terc_Pin)*'Costos x MO'!$B$7)</f>
        <v>0</v>
      </c>
      <c r="AI38" s="28">
        <f t="shared" ca="1" si="30"/>
        <v>3906.1898463423731</v>
      </c>
      <c r="AJ38" s="28">
        <f t="shared" ca="1" si="31"/>
        <v>3676.3101536576269</v>
      </c>
      <c r="AK38" s="31">
        <f t="shared" ca="1" si="32"/>
        <v>0.48484143140885289</v>
      </c>
      <c r="AL38" s="28" t="str">
        <f t="shared" ca="1" si="33"/>
        <v>ACCESO</v>
      </c>
      <c r="AM38" s="28" t="str">
        <f t="shared" ca="1" si="34"/>
        <v>GRAVE</v>
      </c>
      <c r="AN38" s="30" t="str">
        <f t="shared" ca="1" si="35"/>
        <v>October</v>
      </c>
      <c r="AO38" s="42">
        <f t="shared" ca="1" si="36"/>
        <v>2019</v>
      </c>
      <c r="AP38" s="42">
        <f t="shared" ca="1" si="37"/>
        <v>20</v>
      </c>
      <c r="AQ38" s="26">
        <v>1</v>
      </c>
      <c r="AR38" s="30">
        <f t="shared" ca="1" si="42"/>
        <v>43747</v>
      </c>
      <c r="AS38" s="30" t="str">
        <f t="shared" ca="1" si="38"/>
        <v>BEQ-226</v>
      </c>
      <c r="AT38" s="26" t="str">
        <f t="shared" ca="1" si="39"/>
        <v>CHEVROLET</v>
      </c>
      <c r="AU38" s="26" t="str">
        <f t="shared" ca="1" si="40"/>
        <v>SAIL</v>
      </c>
      <c r="AV38" s="26" t="str">
        <f t="shared" ca="1" si="43"/>
        <v>AUTOCLASS S.A.C.</v>
      </c>
    </row>
    <row r="39" spans="1:48" x14ac:dyDescent="0.2">
      <c r="A39" s="172">
        <v>43757</v>
      </c>
      <c r="B39" s="173" t="s">
        <v>68</v>
      </c>
      <c r="C39" s="173" t="s">
        <v>102</v>
      </c>
      <c r="D39" s="173" t="s">
        <v>688</v>
      </c>
      <c r="E39" s="173" t="s">
        <v>789</v>
      </c>
      <c r="F39" s="173" t="s">
        <v>912</v>
      </c>
      <c r="G39" s="172">
        <v>43750</v>
      </c>
      <c r="H39" s="173" t="s">
        <v>1145</v>
      </c>
      <c r="I39" s="173" t="s">
        <v>1146</v>
      </c>
      <c r="J39" s="173" t="s">
        <v>106</v>
      </c>
      <c r="K39" s="173" t="s">
        <v>467</v>
      </c>
      <c r="L39" s="174" t="s">
        <v>71</v>
      </c>
      <c r="M39" s="175" t="s">
        <v>102</v>
      </c>
      <c r="N39" s="173" t="s">
        <v>103</v>
      </c>
      <c r="O39" s="176" t="s">
        <v>69</v>
      </c>
      <c r="P39" s="130" t="s">
        <v>447</v>
      </c>
      <c r="Q39" s="177" t="s">
        <v>74</v>
      </c>
      <c r="R39" s="178">
        <v>3.355</v>
      </c>
      <c r="S39" s="179">
        <v>1</v>
      </c>
      <c r="T39" s="179">
        <v>120</v>
      </c>
      <c r="U39" s="179">
        <v>120</v>
      </c>
      <c r="V39" s="179">
        <v>21.600010000000019</v>
      </c>
      <c r="W39" s="179">
        <v>141.60001000000003</v>
      </c>
      <c r="X39" s="27">
        <f t="shared" si="13"/>
        <v>120</v>
      </c>
      <c r="Y39" s="29">
        <f ca="1">VLOOKUP(Z39,CHOOSE({2,1},Fac_Fecha,Fac_OT),2,0)</f>
        <v>43767</v>
      </c>
      <c r="Z39" s="26" t="s">
        <v>805</v>
      </c>
      <c r="AA39" s="28">
        <f t="shared" ca="1" si="41"/>
        <v>1735.04779035</v>
      </c>
      <c r="AB39" s="28">
        <f ca="1">SUMIF(Salida_OT,Facturacion!Z39,Salida_Suma)</f>
        <v>0</v>
      </c>
      <c r="AC39" s="28">
        <f t="shared" ca="1" si="28"/>
        <v>0</v>
      </c>
      <c r="AD39" s="28">
        <f t="shared" ca="1" si="29"/>
        <v>0</v>
      </c>
      <c r="AE39" s="28">
        <f ca="1">(SUMIF(Asig_OT,Z39,Asig_Hora_Mec))*'Costos x MO'!$B$6*'Costos x MO'!$B$7</f>
        <v>0</v>
      </c>
      <c r="AF39" s="28">
        <f ca="1">SUMIF(Asig_OT,Z39,Asig_Hora_Pla)*'Costos x MO'!$B$4*'Costos x MO'!$B$7</f>
        <v>150.75</v>
      </c>
      <c r="AG39" s="28">
        <f ca="1">SUMIF(Asig_OT,Z39,Asig_paño_Pin)*'Costos x MO'!$B$5*'Costos x MO'!$B$7</f>
        <v>334.16250000000002</v>
      </c>
      <c r="AH39" s="28">
        <f ca="1">(SUMIF(Asig_OT,Z39,Asig_Terc_Pla)*'Costos x MO'!$B$7)+(SUMIF(Asig_OT,Z39,Asig_Terc_Pin)*'Costos x MO'!$B$7)</f>
        <v>0</v>
      </c>
      <c r="AI39" s="28">
        <f t="shared" ca="1" si="30"/>
        <v>484.91250000000002</v>
      </c>
      <c r="AJ39" s="28">
        <f t="shared" ca="1" si="31"/>
        <v>1250.1352903500001</v>
      </c>
      <c r="AK39" s="31">
        <f t="shared" ca="1" si="32"/>
        <v>0.72051922563920756</v>
      </c>
      <c r="AL39" s="28" t="str">
        <f t="shared" ca="1" si="33"/>
        <v>RIMAC</v>
      </c>
      <c r="AM39" s="28" t="str">
        <f t="shared" ca="1" si="34"/>
        <v>MEDIANO</v>
      </c>
      <c r="AN39" s="30" t="str">
        <f t="shared" ca="1" si="35"/>
        <v>October</v>
      </c>
      <c r="AO39" s="42">
        <f t="shared" ca="1" si="36"/>
        <v>2019</v>
      </c>
      <c r="AP39" s="42">
        <f t="shared" ca="1" si="37"/>
        <v>14</v>
      </c>
      <c r="AQ39" s="26">
        <v>1</v>
      </c>
      <c r="AR39" s="30">
        <f t="shared" ca="1" si="42"/>
        <v>43753</v>
      </c>
      <c r="AS39" s="30" t="str">
        <f t="shared" ca="1" si="38"/>
        <v>BLA-251</v>
      </c>
      <c r="AT39" s="26" t="str">
        <f t="shared" ca="1" si="39"/>
        <v>CHEVROLET</v>
      </c>
      <c r="AU39" s="26" t="str">
        <f t="shared" ca="1" si="40"/>
        <v>PRISMA</v>
      </c>
      <c r="AV39" s="26" t="str">
        <f t="shared" ca="1" si="43"/>
        <v>RENTAEQUIPOS LEASING PERU S.A.</v>
      </c>
    </row>
    <row r="40" spans="1:48" x14ac:dyDescent="0.2">
      <c r="A40" s="172">
        <v>43757</v>
      </c>
      <c r="B40" s="173" t="s">
        <v>68</v>
      </c>
      <c r="C40" s="173" t="s">
        <v>102</v>
      </c>
      <c r="D40" s="173" t="s">
        <v>688</v>
      </c>
      <c r="E40" s="173" t="s">
        <v>789</v>
      </c>
      <c r="F40" s="173" t="s">
        <v>912</v>
      </c>
      <c r="G40" s="172">
        <v>43750</v>
      </c>
      <c r="H40" s="173" t="s">
        <v>1145</v>
      </c>
      <c r="I40" s="173" t="s">
        <v>1146</v>
      </c>
      <c r="J40" s="173" t="s">
        <v>104</v>
      </c>
      <c r="K40" s="173" t="s">
        <v>105</v>
      </c>
      <c r="L40" s="174" t="s">
        <v>71</v>
      </c>
      <c r="M40" s="175" t="s">
        <v>102</v>
      </c>
      <c r="N40" s="173" t="s">
        <v>103</v>
      </c>
      <c r="O40" s="176" t="s">
        <v>69</v>
      </c>
      <c r="P40" s="173" t="s">
        <v>105</v>
      </c>
      <c r="Q40" s="177" t="s">
        <v>74</v>
      </c>
      <c r="R40" s="178">
        <v>3.355</v>
      </c>
      <c r="S40" s="179">
        <v>1</v>
      </c>
      <c r="T40" s="179">
        <v>720</v>
      </c>
      <c r="U40" s="179">
        <v>720</v>
      </c>
      <c r="V40" s="179">
        <v>129.59998000000007</v>
      </c>
      <c r="W40" s="179">
        <v>849.59998000000007</v>
      </c>
      <c r="X40" s="27">
        <f t="shared" si="13"/>
        <v>720</v>
      </c>
      <c r="Y40" s="29">
        <f ca="1">VLOOKUP(Z40,CHOOSE({2,1},Fac_Fecha,Fac_OT),2,0)</f>
        <v>43767</v>
      </c>
      <c r="Z40" s="26" t="s">
        <v>871</v>
      </c>
      <c r="AA40" s="28">
        <f t="shared" ca="1" si="41"/>
        <v>1140.57</v>
      </c>
      <c r="AB40" s="28">
        <f ca="1">SUMIF(Salida_OT,Facturacion!Z40,Salida_Suma)</f>
        <v>0</v>
      </c>
      <c r="AC40" s="28">
        <f t="shared" ca="1" si="28"/>
        <v>0</v>
      </c>
      <c r="AD40" s="28">
        <f t="shared" ca="1" si="29"/>
        <v>51.150000000000006</v>
      </c>
      <c r="AE40" s="28">
        <f ca="1">(SUMIF(Asig_OT,Z40,Asig_Hora_Mec))*'Costos x MO'!$B$6*'Costos x MO'!$B$7</f>
        <v>0</v>
      </c>
      <c r="AF40" s="28">
        <f ca="1">SUMIF(Asig_OT,Z40,Asig_Hora_Pla)*'Costos x MO'!$B$4*'Costos x MO'!$B$7</f>
        <v>90.45</v>
      </c>
      <c r="AG40" s="28">
        <f ca="1">SUMIF(Asig_OT,Z40,Asig_paño_Pin)*'Costos x MO'!$B$5*'Costos x MO'!$B$7</f>
        <v>211.05</v>
      </c>
      <c r="AH40" s="28">
        <f ca="1">(SUMIF(Asig_OT,Z40,Asig_Terc_Pla)*'Costos x MO'!$B$7)+(SUMIF(Asig_OT,Z40,Asig_Terc_Pin)*'Costos x MO'!$B$7)</f>
        <v>0</v>
      </c>
      <c r="AI40" s="28">
        <f t="shared" ca="1" si="30"/>
        <v>352.65000000000003</v>
      </c>
      <c r="AJ40" s="28">
        <f t="shared" ca="1" si="31"/>
        <v>787.91999999999985</v>
      </c>
      <c r="AK40" s="31">
        <f t="shared" ca="1" si="32"/>
        <v>0.69081248849259569</v>
      </c>
      <c r="AL40" s="28" t="str">
        <f t="shared" ca="1" si="33"/>
        <v>RIMAC</v>
      </c>
      <c r="AM40" s="28" t="str">
        <f t="shared" ca="1" si="34"/>
        <v>LEVE</v>
      </c>
      <c r="AN40" s="30" t="str">
        <f t="shared" ca="1" si="35"/>
        <v>October</v>
      </c>
      <c r="AO40" s="42">
        <f t="shared" ca="1" si="36"/>
        <v>2019</v>
      </c>
      <c r="AP40" s="42">
        <f t="shared" ca="1" si="37"/>
        <v>6</v>
      </c>
      <c r="AQ40" s="26">
        <v>1</v>
      </c>
      <c r="AR40" s="30">
        <f t="shared" ca="1" si="42"/>
        <v>43761</v>
      </c>
      <c r="AS40" s="30" t="str">
        <f t="shared" ca="1" si="38"/>
        <v>BAF-310</v>
      </c>
      <c r="AT40" s="26" t="str">
        <f t="shared" ca="1" si="39"/>
        <v>MAZDA</v>
      </c>
      <c r="AU40" s="26" t="str">
        <f t="shared" ca="1" si="40"/>
        <v>MAZDA 2</v>
      </c>
      <c r="AV40" s="26" t="str">
        <f t="shared" ca="1" si="43"/>
        <v>RIMAC SEGUROS  Y REASEGUROS S.A</v>
      </c>
    </row>
    <row r="41" spans="1:48" x14ac:dyDescent="0.2">
      <c r="A41" s="172">
        <v>43757</v>
      </c>
      <c r="B41" s="173" t="s">
        <v>68</v>
      </c>
      <c r="C41" s="173" t="s">
        <v>102</v>
      </c>
      <c r="D41" s="173" t="s">
        <v>687</v>
      </c>
      <c r="E41" s="173" t="s">
        <v>787</v>
      </c>
      <c r="F41" s="173" t="s">
        <v>919</v>
      </c>
      <c r="G41" s="172">
        <v>43750</v>
      </c>
      <c r="H41" s="173" t="s">
        <v>1145</v>
      </c>
      <c r="I41" s="173" t="s">
        <v>1146</v>
      </c>
      <c r="J41" s="173" t="s">
        <v>92</v>
      </c>
      <c r="K41" s="173" t="s">
        <v>1135</v>
      </c>
      <c r="L41" s="174" t="s">
        <v>71</v>
      </c>
      <c r="M41" s="175" t="s">
        <v>102</v>
      </c>
      <c r="N41" s="173" t="s">
        <v>103</v>
      </c>
      <c r="O41" s="176" t="s">
        <v>69</v>
      </c>
      <c r="P41" s="173" t="s">
        <v>105</v>
      </c>
      <c r="Q41" s="177" t="s">
        <v>74</v>
      </c>
      <c r="R41" s="178">
        <v>3.355</v>
      </c>
      <c r="S41" s="179">
        <v>1</v>
      </c>
      <c r="T41" s="179">
        <v>630</v>
      </c>
      <c r="U41" s="179">
        <v>630</v>
      </c>
      <c r="V41" s="179">
        <v>113.40002000000023</v>
      </c>
      <c r="W41" s="179">
        <v>743.40002000000027</v>
      </c>
      <c r="X41" s="27">
        <f t="shared" si="13"/>
        <v>630</v>
      </c>
      <c r="Y41" s="29">
        <f ca="1">VLOOKUP(Z41,CHOOSE({2,1},Fac_Fecha,Fac_OT),2,0)</f>
        <v>43767</v>
      </c>
      <c r="Z41" s="26" t="s">
        <v>793</v>
      </c>
      <c r="AA41" s="28">
        <f t="shared" ca="1" si="41"/>
        <v>350</v>
      </c>
      <c r="AB41" s="28">
        <f ca="1">SUMIF(Salida_OT,Facturacion!Z41,Salida_Suma)</f>
        <v>0</v>
      </c>
      <c r="AC41" s="28">
        <f t="shared" ca="1" si="28"/>
        <v>0</v>
      </c>
      <c r="AD41" s="28">
        <f t="shared" ca="1" si="29"/>
        <v>0</v>
      </c>
      <c r="AE41" s="28">
        <f ca="1">(SUMIF(Asig_OT,Z41,Asig_Hora_Mec))*'Costos x MO'!$B$6*'Costos x MO'!$B$7</f>
        <v>15.075000000000001</v>
      </c>
      <c r="AF41" s="28">
        <f ca="1">SUMIF(Asig_OT,Z41,Asig_Hora_Pla)*'Costos x MO'!$B$4*'Costos x MO'!$B$7</f>
        <v>15.075000000000001</v>
      </c>
      <c r="AG41" s="28">
        <f ca="1">SUMIF(Asig_OT,Z41,Asig_paño_Pin)*'Costos x MO'!$B$5*'Costos x MO'!$B$7</f>
        <v>70.350000000000009</v>
      </c>
      <c r="AH41" s="28">
        <f ca="1">(SUMIF(Asig_OT,Z41,Asig_Terc_Pla)*'Costos x MO'!$B$7)+(SUMIF(Asig_OT,Z41,Asig_Terc_Pin)*'Costos x MO'!$B$7)</f>
        <v>0</v>
      </c>
      <c r="AI41" s="28">
        <f t="shared" ca="1" si="30"/>
        <v>100.50000000000001</v>
      </c>
      <c r="AJ41" s="28">
        <f t="shared" ca="1" si="31"/>
        <v>249.5</v>
      </c>
      <c r="AK41" s="31">
        <f t="shared" ca="1" si="32"/>
        <v>0.71285714285714286</v>
      </c>
      <c r="AL41" s="28" t="str">
        <f t="shared" ca="1" si="33"/>
        <v>C.C</v>
      </c>
      <c r="AM41" s="28" t="str">
        <f t="shared" ca="1" si="34"/>
        <v>LEVE</v>
      </c>
      <c r="AN41" s="30" t="str">
        <f t="shared" ca="1" si="35"/>
        <v>October</v>
      </c>
      <c r="AO41" s="42">
        <f t="shared" ca="1" si="36"/>
        <v>2019</v>
      </c>
      <c r="AP41" s="42">
        <f t="shared" ca="1" si="37"/>
        <v>15</v>
      </c>
      <c r="AQ41" s="26">
        <v>1</v>
      </c>
      <c r="AR41" s="30">
        <f t="shared" ca="1" si="42"/>
        <v>43752</v>
      </c>
      <c r="AS41" s="30" t="str">
        <f t="shared" ca="1" si="38"/>
        <v>C3A-411</v>
      </c>
      <c r="AT41" s="26" t="str">
        <f t="shared" ca="1" si="39"/>
        <v>SUZUKI</v>
      </c>
      <c r="AU41" s="26" t="str">
        <f t="shared" ca="1" si="40"/>
        <v>CELERIO</v>
      </c>
      <c r="AV41" s="26" t="str">
        <f t="shared" ca="1" si="43"/>
        <v>FAST ENGENHARIA E MONTAGENS SA</v>
      </c>
    </row>
    <row r="42" spans="1:48" x14ac:dyDescent="0.2">
      <c r="A42" s="172">
        <v>43757</v>
      </c>
      <c r="B42" s="173" t="s">
        <v>68</v>
      </c>
      <c r="C42" s="173" t="s">
        <v>102</v>
      </c>
      <c r="D42" s="173" t="s">
        <v>687</v>
      </c>
      <c r="E42" s="173" t="s">
        <v>787</v>
      </c>
      <c r="F42" s="173" t="s">
        <v>919</v>
      </c>
      <c r="G42" s="172">
        <v>43750</v>
      </c>
      <c r="H42" s="173" t="s">
        <v>1145</v>
      </c>
      <c r="I42" s="173" t="s">
        <v>1146</v>
      </c>
      <c r="J42" s="173" t="s">
        <v>70</v>
      </c>
      <c r="K42" s="173" t="s">
        <v>112</v>
      </c>
      <c r="L42" s="174" t="s">
        <v>71</v>
      </c>
      <c r="M42" s="175" t="s">
        <v>102</v>
      </c>
      <c r="N42" s="173" t="s">
        <v>103</v>
      </c>
      <c r="O42" s="176" t="s">
        <v>69</v>
      </c>
      <c r="P42" s="130" t="s">
        <v>447</v>
      </c>
      <c r="Q42" s="177" t="s">
        <v>74</v>
      </c>
      <c r="R42" s="178">
        <v>3.355</v>
      </c>
      <c r="S42" s="179">
        <v>1</v>
      </c>
      <c r="T42" s="179">
        <v>260</v>
      </c>
      <c r="U42" s="179">
        <v>260</v>
      </c>
      <c r="V42" s="179">
        <v>46.799989999999958</v>
      </c>
      <c r="W42" s="179">
        <v>306.79998999999998</v>
      </c>
      <c r="X42" s="27">
        <f t="shared" si="13"/>
        <v>260</v>
      </c>
      <c r="Y42" s="29">
        <f ca="1">VLOOKUP(Z42,CHOOSE({2,1},Fac_Fecha,Fac_OT),2,0)</f>
        <v>43768</v>
      </c>
      <c r="Z42" s="26" t="s">
        <v>779</v>
      </c>
      <c r="AA42" s="28">
        <f t="shared" ca="1" si="41"/>
        <v>6671.5</v>
      </c>
      <c r="AB42" s="28">
        <f ca="1">SUMIF(Salida_OT,Facturacion!Z42,Salida_Suma)</f>
        <v>1593.0606048</v>
      </c>
      <c r="AC42" s="28">
        <f t="shared" ca="1" si="28"/>
        <v>110.16949152542374</v>
      </c>
      <c r="AD42" s="28">
        <f t="shared" ca="1" si="29"/>
        <v>91.27118644067798</v>
      </c>
      <c r="AE42" s="28">
        <f ca="1">(SUMIF(Asig_OT,Z42,Asig_Hora_Mec))*'Costos x MO'!$B$6*'Costos x MO'!$B$7</f>
        <v>150.75</v>
      </c>
      <c r="AF42" s="28">
        <f ca="1">SUMIF(Asig_OT,Z42,Asig_Hora_Pla)*'Costos x MO'!$B$4*'Costos x MO'!$B$7</f>
        <v>376.875</v>
      </c>
      <c r="AG42" s="28">
        <f ca="1">SUMIF(Asig_OT,Z42,Asig_paño_Pin)*'Costos x MO'!$B$5*'Costos x MO'!$B$7</f>
        <v>1055.25</v>
      </c>
      <c r="AH42" s="28">
        <f ca="1">(SUMIF(Asig_OT,Z42,Asig_Terc_Pla)*'Costos x MO'!$B$7)+(SUMIF(Asig_OT,Z42,Asig_Terc_Pin)*'Costos x MO'!$B$7)</f>
        <v>0</v>
      </c>
      <c r="AI42" s="28">
        <f t="shared" ca="1" si="30"/>
        <v>3377.3762827661017</v>
      </c>
      <c r="AJ42" s="28">
        <f t="shared" ca="1" si="31"/>
        <v>3294.1237172338983</v>
      </c>
      <c r="AK42" s="31">
        <f t="shared" ca="1" si="32"/>
        <v>0.49376058116374105</v>
      </c>
      <c r="AL42" s="28" t="str">
        <f t="shared" ca="1" si="33"/>
        <v>ACCESO</v>
      </c>
      <c r="AM42" s="28" t="str">
        <f t="shared" ca="1" si="34"/>
        <v>GRAVE</v>
      </c>
      <c r="AN42" s="30" t="str">
        <f t="shared" ca="1" si="35"/>
        <v>October</v>
      </c>
      <c r="AO42" s="42">
        <f t="shared" ca="1" si="36"/>
        <v>2019</v>
      </c>
      <c r="AP42" s="42">
        <f t="shared" ca="1" si="37"/>
        <v>23</v>
      </c>
      <c r="AQ42" s="26">
        <v>1</v>
      </c>
      <c r="AR42" s="30">
        <f t="shared" ca="1" si="42"/>
        <v>43745</v>
      </c>
      <c r="AS42" s="30" t="str">
        <f t="shared" ca="1" si="38"/>
        <v>P2Y-146</v>
      </c>
      <c r="AT42" s="26" t="str">
        <f t="shared" ca="1" si="39"/>
        <v>KIA</v>
      </c>
      <c r="AU42" s="26" t="str">
        <f t="shared" ca="1" si="40"/>
        <v>RIO</v>
      </c>
      <c r="AV42" s="26" t="str">
        <f t="shared" ca="1" si="43"/>
        <v>AUTOCLASS S.A.C.</v>
      </c>
    </row>
    <row r="43" spans="1:48" x14ac:dyDescent="0.2">
      <c r="A43" s="172">
        <v>43757</v>
      </c>
      <c r="B43" s="173" t="s">
        <v>68</v>
      </c>
      <c r="C43" s="173" t="s">
        <v>102</v>
      </c>
      <c r="D43" s="173" t="s">
        <v>687</v>
      </c>
      <c r="E43" s="173" t="s">
        <v>787</v>
      </c>
      <c r="F43" s="173" t="s">
        <v>919</v>
      </c>
      <c r="G43" s="172">
        <v>43750</v>
      </c>
      <c r="H43" s="173" t="s">
        <v>1145</v>
      </c>
      <c r="I43" s="173" t="s">
        <v>1146</v>
      </c>
      <c r="J43" s="173" t="s">
        <v>104</v>
      </c>
      <c r="K43" s="173" t="s">
        <v>105</v>
      </c>
      <c r="L43" s="174" t="s">
        <v>71</v>
      </c>
      <c r="M43" s="175" t="s">
        <v>102</v>
      </c>
      <c r="N43" s="173" t="s">
        <v>103</v>
      </c>
      <c r="O43" s="176" t="s">
        <v>69</v>
      </c>
      <c r="P43" s="173" t="s">
        <v>105</v>
      </c>
      <c r="Q43" s="177" t="s">
        <v>74</v>
      </c>
      <c r="R43" s="178">
        <v>3.355</v>
      </c>
      <c r="S43" s="179">
        <v>1</v>
      </c>
      <c r="T43" s="179">
        <v>598</v>
      </c>
      <c r="U43" s="179">
        <v>598</v>
      </c>
      <c r="V43" s="179">
        <v>107.64000999999989</v>
      </c>
      <c r="W43" s="179">
        <v>705.64000999999985</v>
      </c>
      <c r="X43" s="27">
        <f t="shared" si="13"/>
        <v>598</v>
      </c>
      <c r="Y43" s="29">
        <f ca="1">VLOOKUP(Z43,CHOOSE({2,1},Fac_Fecha,Fac_OT),2,0)</f>
        <v>43768</v>
      </c>
      <c r="Z43" s="26" t="s">
        <v>823</v>
      </c>
      <c r="AA43" s="28">
        <f t="shared" ca="1" si="41"/>
        <v>3818.7542100000001</v>
      </c>
      <c r="AB43" s="28">
        <f ca="1">SUMIF(Salida_OT,Facturacion!Z43,Salida_Suma)</f>
        <v>548.89210930000002</v>
      </c>
      <c r="AC43" s="28">
        <f t="shared" ca="1" si="28"/>
        <v>0</v>
      </c>
      <c r="AD43" s="28">
        <f t="shared" ca="1" si="29"/>
        <v>41</v>
      </c>
      <c r="AE43" s="28">
        <f ca="1">(SUMIF(Asig_OT,Z43,Asig_Hora_Mec))*'Costos x MO'!$B$6*'Costos x MO'!$B$7</f>
        <v>124.36875000000001</v>
      </c>
      <c r="AF43" s="28">
        <f ca="1">SUMIF(Asig_OT,Z43,Asig_Hora_Pla)*'Costos x MO'!$B$4*'Costos x MO'!$B$7</f>
        <v>150.75</v>
      </c>
      <c r="AG43" s="28">
        <f ca="1">SUMIF(Asig_OT,Z43,Asig_paño_Pin)*'Costos x MO'!$B$5*'Costos x MO'!$B$7</f>
        <v>703.5</v>
      </c>
      <c r="AH43" s="28">
        <f ca="1">(SUMIF(Asig_OT,Z43,Asig_Terc_Pla)*'Costos x MO'!$B$7)+(SUMIF(Asig_OT,Z43,Asig_Terc_Pin)*'Costos x MO'!$B$7)</f>
        <v>0</v>
      </c>
      <c r="AI43" s="28">
        <f t="shared" ca="1" si="30"/>
        <v>1568.5108593</v>
      </c>
      <c r="AJ43" s="28">
        <f t="shared" ca="1" si="31"/>
        <v>2250.2433507000001</v>
      </c>
      <c r="AK43" s="31">
        <f t="shared" ca="1" si="32"/>
        <v>0.5892611115969153</v>
      </c>
      <c r="AL43" s="28" t="str">
        <f t="shared" ca="1" si="33"/>
        <v>ACCESO</v>
      </c>
      <c r="AM43" s="28" t="str">
        <f t="shared" ca="1" si="34"/>
        <v>MEDIANO</v>
      </c>
      <c r="AN43" s="30" t="str">
        <f t="shared" ca="1" si="35"/>
        <v>October</v>
      </c>
      <c r="AO43" s="42">
        <f t="shared" ca="1" si="36"/>
        <v>2019</v>
      </c>
      <c r="AP43" s="42">
        <f t="shared" ca="1" si="37"/>
        <v>11</v>
      </c>
      <c r="AQ43" s="26">
        <v>1</v>
      </c>
      <c r="AR43" s="30">
        <f t="shared" ca="1" si="42"/>
        <v>43757</v>
      </c>
      <c r="AS43" s="30" t="str">
        <f t="shared" ca="1" si="38"/>
        <v>APA-238</v>
      </c>
      <c r="AT43" s="26" t="str">
        <f t="shared" ca="1" si="39"/>
        <v>HYUNDAY</v>
      </c>
      <c r="AU43" s="26" t="str">
        <f t="shared" ca="1" si="40"/>
        <v>ACCENT</v>
      </c>
      <c r="AV43" s="26" t="str">
        <f t="shared" ca="1" si="43"/>
        <v>EDPYME ACCESO CREDITICIO SOCIEDAD ANONIMA</v>
      </c>
    </row>
    <row r="44" spans="1:48" x14ac:dyDescent="0.2">
      <c r="A44" s="172">
        <v>43757</v>
      </c>
      <c r="B44" s="173" t="s">
        <v>68</v>
      </c>
      <c r="C44" s="173" t="s">
        <v>102</v>
      </c>
      <c r="D44" s="173" t="s">
        <v>685</v>
      </c>
      <c r="E44" s="173" t="s">
        <v>809</v>
      </c>
      <c r="F44" s="173" t="s">
        <v>907</v>
      </c>
      <c r="G44" s="172">
        <v>43754</v>
      </c>
      <c r="H44" s="173" t="s">
        <v>90</v>
      </c>
      <c r="I44" s="173" t="s">
        <v>91</v>
      </c>
      <c r="J44" s="173" t="s">
        <v>97</v>
      </c>
      <c r="K44" s="173" t="s">
        <v>98</v>
      </c>
      <c r="L44" s="174" t="s">
        <v>71</v>
      </c>
      <c r="M44" s="175" t="s">
        <v>72</v>
      </c>
      <c r="N44" s="173" t="s">
        <v>73</v>
      </c>
      <c r="O44" s="176" t="s">
        <v>99</v>
      </c>
      <c r="P44" s="173" t="s">
        <v>98</v>
      </c>
      <c r="Q44" s="177" t="s">
        <v>93</v>
      </c>
      <c r="R44" s="178">
        <v>3.355</v>
      </c>
      <c r="S44" s="179">
        <v>1</v>
      </c>
      <c r="T44" s="179">
        <v>177</v>
      </c>
      <c r="U44" s="179">
        <v>177</v>
      </c>
      <c r="V44" s="179">
        <v>31.86</v>
      </c>
      <c r="W44" s="179">
        <v>208.86</v>
      </c>
      <c r="X44" s="27">
        <f t="shared" si="13"/>
        <v>593.83500000000004</v>
      </c>
      <c r="Y44" s="29">
        <f ca="1">VLOOKUP(Z44,CHOOSE({2,1},Fac_Fecha,Fac_OT),2,0)</f>
        <v>43768</v>
      </c>
      <c r="Z44" s="26" t="s">
        <v>870</v>
      </c>
      <c r="AA44" s="28">
        <f t="shared" ca="1" si="41"/>
        <v>637.93998090000014</v>
      </c>
      <c r="AB44" s="28">
        <f ca="1">SUMIF(Salida_OT,Facturacion!Z44,Salida_Suma)</f>
        <v>0</v>
      </c>
      <c r="AC44" s="28">
        <f t="shared" ca="1" si="28"/>
        <v>0</v>
      </c>
      <c r="AD44" s="28">
        <f t="shared" ca="1" si="29"/>
        <v>65.325000000000003</v>
      </c>
      <c r="AE44" s="28">
        <f ca="1">(SUMIF(Asig_OT,Z44,Asig_Hora_Mec))*'Costos x MO'!$B$6*'Costos x MO'!$B$7</f>
        <v>0</v>
      </c>
      <c r="AF44" s="28">
        <f ca="1">SUMIF(Asig_OT,Z44,Asig_Hora_Pla)*'Costos x MO'!$B$4*'Costos x MO'!$B$7</f>
        <v>30.150000000000002</v>
      </c>
      <c r="AG44" s="28">
        <f ca="1">SUMIF(Asig_OT,Z44,Asig_paño_Pin)*'Costos x MO'!$B$5*'Costos x MO'!$B$7</f>
        <v>105.52500000000001</v>
      </c>
      <c r="AH44" s="28">
        <f ca="1">(SUMIF(Asig_OT,Z44,Asig_Terc_Pla)*'Costos x MO'!$B$7)+(SUMIF(Asig_OT,Z44,Asig_Terc_Pin)*'Costos x MO'!$B$7)</f>
        <v>0</v>
      </c>
      <c r="AI44" s="28">
        <f t="shared" ca="1" si="30"/>
        <v>201</v>
      </c>
      <c r="AJ44" s="28">
        <f t="shared" ca="1" si="31"/>
        <v>436.93998090000014</v>
      </c>
      <c r="AK44" s="31">
        <f t="shared" ca="1" si="32"/>
        <v>0.68492333758979806</v>
      </c>
      <c r="AL44" s="28" t="str">
        <f t="shared" ca="1" si="33"/>
        <v>RIMAC</v>
      </c>
      <c r="AM44" s="28" t="str">
        <f t="shared" ca="1" si="34"/>
        <v>LEVE</v>
      </c>
      <c r="AN44" s="30" t="str">
        <f t="shared" ca="1" si="35"/>
        <v>October</v>
      </c>
      <c r="AO44" s="42">
        <f t="shared" ca="1" si="36"/>
        <v>2019</v>
      </c>
      <c r="AP44" s="42">
        <f t="shared" ca="1" si="37"/>
        <v>6</v>
      </c>
      <c r="AQ44" s="26">
        <v>1</v>
      </c>
      <c r="AR44" s="30">
        <f t="shared" ca="1" si="42"/>
        <v>43762</v>
      </c>
      <c r="AS44" s="30" t="str">
        <f t="shared" ca="1" si="38"/>
        <v>AYW-424</v>
      </c>
      <c r="AT44" s="26" t="str">
        <f t="shared" ca="1" si="39"/>
        <v>KIA</v>
      </c>
      <c r="AU44" s="26" t="str">
        <f t="shared" ca="1" si="40"/>
        <v>SPORTAGE</v>
      </c>
      <c r="AV44" s="26" t="str">
        <f t="shared" ca="1" si="43"/>
        <v>RIMAC SEGUROS  Y REASEGUROS S.A</v>
      </c>
    </row>
    <row r="45" spans="1:48" x14ac:dyDescent="0.2">
      <c r="A45" s="172">
        <v>43757</v>
      </c>
      <c r="B45" s="173" t="s">
        <v>68</v>
      </c>
      <c r="C45" s="173" t="s">
        <v>102</v>
      </c>
      <c r="D45" s="173" t="s">
        <v>685</v>
      </c>
      <c r="E45" s="173" t="s">
        <v>809</v>
      </c>
      <c r="F45" s="173" t="s">
        <v>907</v>
      </c>
      <c r="G45" s="172">
        <v>43754</v>
      </c>
      <c r="H45" s="173" t="s">
        <v>90</v>
      </c>
      <c r="I45" s="173" t="s">
        <v>91</v>
      </c>
      <c r="J45" s="173" t="s">
        <v>100</v>
      </c>
      <c r="K45" s="173" t="s">
        <v>101</v>
      </c>
      <c r="L45" s="174" t="s">
        <v>71</v>
      </c>
      <c r="M45" s="175" t="s">
        <v>72</v>
      </c>
      <c r="N45" s="173" t="s">
        <v>73</v>
      </c>
      <c r="O45" s="176" t="s">
        <v>72</v>
      </c>
      <c r="P45" s="130" t="s">
        <v>101</v>
      </c>
      <c r="Q45" s="177" t="s">
        <v>93</v>
      </c>
      <c r="R45" s="178">
        <v>3.355</v>
      </c>
      <c r="S45" s="179">
        <v>1</v>
      </c>
      <c r="T45" s="179">
        <v>270</v>
      </c>
      <c r="U45" s="179">
        <v>270</v>
      </c>
      <c r="V45" s="179">
        <v>48.600010000000005</v>
      </c>
      <c r="W45" s="179">
        <v>318.60001</v>
      </c>
      <c r="X45" s="27">
        <f t="shared" si="13"/>
        <v>905.85</v>
      </c>
      <c r="Y45" s="29">
        <f ca="1">VLOOKUP(Z45,CHOOSE({2,1},Fac_Fecha,Fac_OT),2,0)</f>
        <v>43768</v>
      </c>
      <c r="Z45" s="26" t="s">
        <v>863</v>
      </c>
      <c r="AA45" s="28">
        <f t="shared" ca="1" si="41"/>
        <v>420.41548009270986</v>
      </c>
      <c r="AB45" s="28">
        <f ca="1">SUMIF(Salida_OT,Facturacion!Z45,Salida_Suma)</f>
        <v>0</v>
      </c>
      <c r="AC45" s="28">
        <f t="shared" ca="1" si="28"/>
        <v>0</v>
      </c>
      <c r="AD45" s="28">
        <f t="shared" ca="1" si="29"/>
        <v>0</v>
      </c>
      <c r="AE45" s="28">
        <f ca="1">(SUMIF(Asig_OT,Z45,Asig_Hora_Mec))*'Costos x MO'!$B$6*'Costos x MO'!$B$7</f>
        <v>0</v>
      </c>
      <c r="AF45" s="28">
        <f ca="1">SUMIF(Asig_OT,Z45,Asig_Hora_Pla)*'Costos x MO'!$B$4*'Costos x MO'!$B$7</f>
        <v>30.150000000000002</v>
      </c>
      <c r="AG45" s="28">
        <f ca="1">SUMIF(Asig_OT,Z45,Asig_paño_Pin)*'Costos x MO'!$B$5*'Costos x MO'!$B$7</f>
        <v>87.9375</v>
      </c>
      <c r="AH45" s="28">
        <f ca="1">(SUMIF(Asig_OT,Z45,Asig_Terc_Pla)*'Costos x MO'!$B$7)+(SUMIF(Asig_OT,Z45,Asig_Terc_Pin)*'Costos x MO'!$B$7)</f>
        <v>0</v>
      </c>
      <c r="AI45" s="28">
        <f t="shared" ca="1" si="30"/>
        <v>118.08750000000001</v>
      </c>
      <c r="AJ45" s="28">
        <f t="shared" ca="1" si="31"/>
        <v>302.32798009270982</v>
      </c>
      <c r="AK45" s="31">
        <f t="shared" ca="1" si="32"/>
        <v>0.71911714579596497</v>
      </c>
      <c r="AL45" s="28" t="str">
        <f t="shared" ca="1" si="33"/>
        <v>RIMAC</v>
      </c>
      <c r="AM45" s="28" t="str">
        <f t="shared" ca="1" si="34"/>
        <v>LEVE</v>
      </c>
      <c r="AN45" s="30" t="str">
        <f t="shared" ca="1" si="35"/>
        <v>October</v>
      </c>
      <c r="AO45" s="42">
        <f t="shared" ca="1" si="36"/>
        <v>2019</v>
      </c>
      <c r="AP45" s="42">
        <f t="shared" ca="1" si="37"/>
        <v>6</v>
      </c>
      <c r="AQ45" s="26">
        <v>1</v>
      </c>
      <c r="AR45" s="30">
        <f t="shared" ca="1" si="42"/>
        <v>43762</v>
      </c>
      <c r="AS45" s="30" t="str">
        <f t="shared" ca="1" si="38"/>
        <v>BDM-636</v>
      </c>
      <c r="AT45" s="26" t="str">
        <f t="shared" ca="1" si="39"/>
        <v>MAZDA</v>
      </c>
      <c r="AU45" s="26" t="str">
        <f t="shared" ca="1" si="40"/>
        <v>MAZDA 2</v>
      </c>
      <c r="AV45" s="26" t="str">
        <f t="shared" ca="1" si="43"/>
        <v>RIMAC SEGUROS  Y REASEGUROS S.A</v>
      </c>
    </row>
    <row r="46" spans="1:48" x14ac:dyDescent="0.2">
      <c r="A46" s="172">
        <v>43757</v>
      </c>
      <c r="B46" s="173" t="s">
        <v>68</v>
      </c>
      <c r="C46" s="173" t="s">
        <v>102</v>
      </c>
      <c r="D46" s="173" t="s">
        <v>685</v>
      </c>
      <c r="E46" s="173" t="s">
        <v>809</v>
      </c>
      <c r="F46" s="173" t="s">
        <v>907</v>
      </c>
      <c r="G46" s="172">
        <v>43754</v>
      </c>
      <c r="H46" s="173" t="s">
        <v>90</v>
      </c>
      <c r="I46" s="173" t="s">
        <v>91</v>
      </c>
      <c r="J46" s="173" t="s">
        <v>92</v>
      </c>
      <c r="K46" s="173" t="s">
        <v>113</v>
      </c>
      <c r="L46" s="174" t="s">
        <v>71</v>
      </c>
      <c r="M46" s="175" t="s">
        <v>72</v>
      </c>
      <c r="N46" s="173" t="s">
        <v>73</v>
      </c>
      <c r="O46" s="176" t="s">
        <v>69</v>
      </c>
      <c r="P46" s="130" t="s">
        <v>113</v>
      </c>
      <c r="Q46" s="177" t="s">
        <v>93</v>
      </c>
      <c r="R46" s="178">
        <v>3.355</v>
      </c>
      <c r="S46" s="179">
        <v>1</v>
      </c>
      <c r="T46" s="179">
        <v>35</v>
      </c>
      <c r="U46" s="179">
        <v>35</v>
      </c>
      <c r="V46" s="179">
        <v>6.299998999999989</v>
      </c>
      <c r="W46" s="179">
        <v>41.299998999999985</v>
      </c>
      <c r="X46" s="27">
        <f t="shared" si="13"/>
        <v>117.425</v>
      </c>
      <c r="Y46" s="29">
        <f ca="1">VLOOKUP(Z46,CHOOSE({2,1},Fac_Fecha,Fac_OT),2,0)</f>
        <v>43768</v>
      </c>
      <c r="Z46" s="26" t="s">
        <v>854</v>
      </c>
      <c r="AA46" s="28">
        <f t="shared" ca="1" si="41"/>
        <v>961.0989992245801</v>
      </c>
      <c r="AB46" s="28">
        <f ca="1">SUMIF(Salida_OT,Facturacion!Z46,Salida_Suma)</f>
        <v>0</v>
      </c>
      <c r="AC46" s="28">
        <f t="shared" ca="1" si="28"/>
        <v>0</v>
      </c>
      <c r="AD46" s="28">
        <f t="shared" ca="1" si="29"/>
        <v>80.400000000000006</v>
      </c>
      <c r="AE46" s="28">
        <f ca="1">(SUMIF(Asig_OT,Z46,Asig_Hora_Mec))*'Costos x MO'!$B$6*'Costos x MO'!$B$7</f>
        <v>0</v>
      </c>
      <c r="AF46" s="28">
        <f ca="1">SUMIF(Asig_OT,Z46,Asig_Hora_Pla)*'Costos x MO'!$B$4*'Costos x MO'!$B$7</f>
        <v>45.225000000000001</v>
      </c>
      <c r="AG46" s="28">
        <f ca="1">SUMIF(Asig_OT,Z46,Asig_paño_Pin)*'Costos x MO'!$B$5*'Costos x MO'!$B$7</f>
        <v>158.28749999999999</v>
      </c>
      <c r="AH46" s="28">
        <f ca="1">(SUMIF(Asig_OT,Z46,Asig_Terc_Pla)*'Costos x MO'!$B$7)+(SUMIF(Asig_OT,Z46,Asig_Terc_Pin)*'Costos x MO'!$B$7)</f>
        <v>0</v>
      </c>
      <c r="AI46" s="28">
        <f t="shared" ca="1" si="30"/>
        <v>283.91250000000002</v>
      </c>
      <c r="AJ46" s="28">
        <f t="shared" ca="1" si="31"/>
        <v>677.18649922458007</v>
      </c>
      <c r="AK46" s="31">
        <f t="shared" ca="1" si="32"/>
        <v>0.70459598831227355</v>
      </c>
      <c r="AL46" s="28" t="str">
        <f t="shared" ca="1" si="33"/>
        <v>RIMAC</v>
      </c>
      <c r="AM46" s="28" t="str">
        <f t="shared" ca="1" si="34"/>
        <v>LEVE</v>
      </c>
      <c r="AN46" s="30" t="str">
        <f t="shared" ca="1" si="35"/>
        <v>October</v>
      </c>
      <c r="AO46" s="42">
        <f t="shared" ca="1" si="36"/>
        <v>2019</v>
      </c>
      <c r="AP46" s="42">
        <f t="shared" ca="1" si="37"/>
        <v>6</v>
      </c>
      <c r="AQ46" s="26">
        <v>1</v>
      </c>
      <c r="AR46" s="30">
        <f t="shared" ca="1" si="42"/>
        <v>43762</v>
      </c>
      <c r="AS46" s="30" t="str">
        <f t="shared" ca="1" si="38"/>
        <v>AYW-424</v>
      </c>
      <c r="AT46" s="26" t="str">
        <f t="shared" ca="1" si="39"/>
        <v>KIA</v>
      </c>
      <c r="AU46" s="26" t="str">
        <f t="shared" ca="1" si="40"/>
        <v>SPORTAGE</v>
      </c>
      <c r="AV46" s="26" t="str">
        <f t="shared" ca="1" si="43"/>
        <v>RIMAC SEGUROS  Y REASEGUROS S.A</v>
      </c>
    </row>
    <row r="47" spans="1:48" x14ac:dyDescent="0.2">
      <c r="A47" s="172">
        <v>43757</v>
      </c>
      <c r="B47" s="173" t="s">
        <v>68</v>
      </c>
      <c r="C47" s="173" t="s">
        <v>102</v>
      </c>
      <c r="D47" s="173" t="s">
        <v>685</v>
      </c>
      <c r="E47" s="173" t="s">
        <v>809</v>
      </c>
      <c r="F47" s="173" t="s">
        <v>907</v>
      </c>
      <c r="G47" s="172">
        <v>43754</v>
      </c>
      <c r="H47" s="173" t="s">
        <v>90</v>
      </c>
      <c r="I47" s="173" t="s">
        <v>91</v>
      </c>
      <c r="J47" s="173" t="s">
        <v>95</v>
      </c>
      <c r="K47" s="173" t="s">
        <v>96</v>
      </c>
      <c r="L47" s="174" t="s">
        <v>71</v>
      </c>
      <c r="M47" s="175" t="s">
        <v>72</v>
      </c>
      <c r="N47" s="173" t="s">
        <v>73</v>
      </c>
      <c r="O47" s="176" t="s">
        <v>69</v>
      </c>
      <c r="P47" s="130" t="s">
        <v>96</v>
      </c>
      <c r="Q47" s="177" t="s">
        <v>93</v>
      </c>
      <c r="R47" s="178">
        <v>3.355</v>
      </c>
      <c r="S47" s="179">
        <v>-1</v>
      </c>
      <c r="T47" s="179">
        <v>100</v>
      </c>
      <c r="U47" s="179">
        <v>-100</v>
      </c>
      <c r="V47" s="179">
        <v>-18</v>
      </c>
      <c r="W47" s="179">
        <v>-118</v>
      </c>
      <c r="X47" s="27">
        <f t="shared" si="13"/>
        <v>-335.5</v>
      </c>
      <c r="Y47" s="29">
        <f ca="1">VLOOKUP(Z47,CHOOSE({2,1},Fac_Fecha,Fac_OT),2,0)</f>
        <v>43768</v>
      </c>
      <c r="Z47" s="26" t="s">
        <v>873</v>
      </c>
      <c r="AA47" s="28">
        <f t="shared" ca="1" si="41"/>
        <v>794.09900422458009</v>
      </c>
      <c r="AB47" s="28">
        <f ca="1">SUMIF(Salida_OT,Facturacion!Z47,Salida_Suma)</f>
        <v>0</v>
      </c>
      <c r="AC47" s="28">
        <f t="shared" ca="1" si="28"/>
        <v>0</v>
      </c>
      <c r="AD47" s="28">
        <f t="shared" ca="1" si="29"/>
        <v>30.150000000000002</v>
      </c>
      <c r="AE47" s="28">
        <f ca="1">(SUMIF(Asig_OT,Z47,Asig_Hora_Mec))*'Costos x MO'!$B$6*'Costos x MO'!$B$7</f>
        <v>0</v>
      </c>
      <c r="AF47" s="28">
        <f ca="1">SUMIF(Asig_OT,Z47,Asig_Hora_Pla)*'Costos x MO'!$B$4*'Costos x MO'!$B$7</f>
        <v>45.225000000000001</v>
      </c>
      <c r="AG47" s="28">
        <f ca="1">SUMIF(Asig_OT,Z47,Asig_paño_Pin)*'Costos x MO'!$B$5*'Costos x MO'!$B$7</f>
        <v>140.70000000000002</v>
      </c>
      <c r="AH47" s="28">
        <f ca="1">(SUMIF(Asig_OT,Z47,Asig_Terc_Pla)*'Costos x MO'!$B$7)+(SUMIF(Asig_OT,Z47,Asig_Terc_Pin)*'Costos x MO'!$B$7)</f>
        <v>0</v>
      </c>
      <c r="AI47" s="28">
        <f t="shared" ca="1" si="30"/>
        <v>216.07500000000002</v>
      </c>
      <c r="AJ47" s="28">
        <f t="shared" ca="1" si="31"/>
        <v>578.02400422458004</v>
      </c>
      <c r="AK47" s="31">
        <f t="shared" ca="1" si="32"/>
        <v>0.72789916767243346</v>
      </c>
      <c r="AL47" s="28" t="str">
        <f t="shared" ca="1" si="33"/>
        <v>RIMAC</v>
      </c>
      <c r="AM47" s="28" t="str">
        <f t="shared" ca="1" si="34"/>
        <v>LEVE</v>
      </c>
      <c r="AN47" s="30" t="str">
        <f t="shared" ca="1" si="35"/>
        <v>October</v>
      </c>
      <c r="AO47" s="42">
        <f t="shared" ca="1" si="36"/>
        <v>2019</v>
      </c>
      <c r="AP47" s="42">
        <f t="shared" ca="1" si="37"/>
        <v>7</v>
      </c>
      <c r="AQ47" s="26">
        <v>1</v>
      </c>
      <c r="AR47" s="30">
        <f t="shared" ca="1" si="42"/>
        <v>43761</v>
      </c>
      <c r="AS47" s="30" t="str">
        <f t="shared" ca="1" si="38"/>
        <v>ACZ-120</v>
      </c>
      <c r="AT47" s="26" t="str">
        <f t="shared" ca="1" si="39"/>
        <v>TOYOTA</v>
      </c>
      <c r="AU47" s="26" t="str">
        <f t="shared" ca="1" si="40"/>
        <v>RAV4</v>
      </c>
      <c r="AV47" s="26" t="str">
        <f t="shared" ca="1" si="43"/>
        <v>RIMAC SEGUROS  Y REASEGUROS S.A</v>
      </c>
    </row>
    <row r="48" spans="1:48" x14ac:dyDescent="0.2">
      <c r="A48" s="172">
        <v>43757</v>
      </c>
      <c r="B48" s="173" t="s">
        <v>68</v>
      </c>
      <c r="C48" s="173" t="s">
        <v>102</v>
      </c>
      <c r="D48" s="173" t="s">
        <v>684</v>
      </c>
      <c r="E48" s="173" t="s">
        <v>765</v>
      </c>
      <c r="F48" s="173" t="s">
        <v>598</v>
      </c>
      <c r="G48" s="172">
        <v>43743</v>
      </c>
      <c r="H48" s="173" t="s">
        <v>557</v>
      </c>
      <c r="I48" s="173" t="s">
        <v>556</v>
      </c>
      <c r="J48" s="173" t="s">
        <v>95</v>
      </c>
      <c r="K48" s="173" t="s">
        <v>96</v>
      </c>
      <c r="L48" s="174" t="s">
        <v>71</v>
      </c>
      <c r="M48" s="175" t="s">
        <v>72</v>
      </c>
      <c r="N48" s="173" t="s">
        <v>73</v>
      </c>
      <c r="O48" s="176" t="s">
        <v>69</v>
      </c>
      <c r="P48" s="130" t="s">
        <v>96</v>
      </c>
      <c r="Q48" s="177" t="s">
        <v>93</v>
      </c>
      <c r="R48" s="178">
        <v>3.355</v>
      </c>
      <c r="S48" s="179">
        <v>1</v>
      </c>
      <c r="T48" s="179">
        <v>100</v>
      </c>
      <c r="U48" s="179">
        <v>100</v>
      </c>
      <c r="V48" s="179">
        <v>18</v>
      </c>
      <c r="W48" s="179">
        <v>118</v>
      </c>
      <c r="X48" s="27">
        <f t="shared" si="13"/>
        <v>335.5</v>
      </c>
      <c r="Y48" s="29">
        <f ca="1">VLOOKUP(Z48,CHOOSE({2,1},Fac_Fecha,Fac_OT),2,0)</f>
        <v>43768</v>
      </c>
      <c r="Z48" s="26" t="s">
        <v>860</v>
      </c>
      <c r="AA48" s="28">
        <f t="shared" ca="1" si="41"/>
        <v>895.1199732</v>
      </c>
      <c r="AB48" s="28">
        <f ca="1">SUMIF(Salida_OT,Facturacion!Z48,Salida_Suma)</f>
        <v>0</v>
      </c>
      <c r="AC48" s="28">
        <f t="shared" ca="1" si="28"/>
        <v>0</v>
      </c>
      <c r="AD48" s="28">
        <f t="shared" ca="1" si="29"/>
        <v>30.150000000000002</v>
      </c>
      <c r="AE48" s="28">
        <f ca="1">(SUMIF(Asig_OT,Z48,Asig_Hora_Mec))*'Costos x MO'!$B$6*'Costos x MO'!$B$7</f>
        <v>0</v>
      </c>
      <c r="AF48" s="28">
        <f ca="1">SUMIF(Asig_OT,Z48,Asig_Hora_Pla)*'Costos x MO'!$B$4*'Costos x MO'!$B$7</f>
        <v>75.375</v>
      </c>
      <c r="AG48" s="28">
        <f ca="1">SUMIF(Asig_OT,Z48,Asig_paño_Pin)*'Costos x MO'!$B$5*'Costos x MO'!$B$7</f>
        <v>140.70000000000002</v>
      </c>
      <c r="AH48" s="28">
        <f ca="1">(SUMIF(Asig_OT,Z48,Asig_Terc_Pla)*'Costos x MO'!$B$7)+(SUMIF(Asig_OT,Z48,Asig_Terc_Pin)*'Costos x MO'!$B$7)</f>
        <v>0</v>
      </c>
      <c r="AI48" s="28">
        <f t="shared" ca="1" si="30"/>
        <v>246.22500000000002</v>
      </c>
      <c r="AJ48" s="28">
        <f t="shared" ca="1" si="31"/>
        <v>648.89497319999998</v>
      </c>
      <c r="AK48" s="31">
        <f t="shared" ca="1" si="32"/>
        <v>0.72492514146482456</v>
      </c>
      <c r="AL48" s="28" t="str">
        <f t="shared" ca="1" si="33"/>
        <v>RIMAC</v>
      </c>
      <c r="AM48" s="28" t="str">
        <f t="shared" ca="1" si="34"/>
        <v>LEVE</v>
      </c>
      <c r="AN48" s="30" t="str">
        <f t="shared" ca="1" si="35"/>
        <v>October</v>
      </c>
      <c r="AO48" s="42">
        <f t="shared" ca="1" si="36"/>
        <v>2019</v>
      </c>
      <c r="AP48" s="42">
        <f t="shared" ca="1" si="37"/>
        <v>8</v>
      </c>
      <c r="AQ48" s="26">
        <v>1</v>
      </c>
      <c r="AR48" s="30">
        <f t="shared" ca="1" si="42"/>
        <v>43760</v>
      </c>
      <c r="AS48" s="30" t="str">
        <f t="shared" ca="1" si="38"/>
        <v>AJB-285</v>
      </c>
      <c r="AT48" s="26" t="str">
        <f t="shared" ca="1" si="39"/>
        <v>MAZDA</v>
      </c>
      <c r="AU48" s="26" t="str">
        <f t="shared" ca="1" si="40"/>
        <v xml:space="preserve">MAZDA 3 </v>
      </c>
      <c r="AV48" s="26" t="str">
        <f t="shared" ca="1" si="43"/>
        <v>RIMAC SEGUROS  Y REASEGUROS S.A</v>
      </c>
    </row>
    <row r="49" spans="1:48" x14ac:dyDescent="0.2">
      <c r="A49" s="172">
        <v>43757</v>
      </c>
      <c r="B49" s="173" t="s">
        <v>68</v>
      </c>
      <c r="C49" s="173" t="s">
        <v>102</v>
      </c>
      <c r="D49" s="173" t="s">
        <v>683</v>
      </c>
      <c r="E49" s="173" t="s">
        <v>764</v>
      </c>
      <c r="F49" s="173" t="s">
        <v>598</v>
      </c>
      <c r="G49" s="172">
        <v>43743</v>
      </c>
      <c r="H49" s="173" t="s">
        <v>557</v>
      </c>
      <c r="I49" s="173" t="s">
        <v>556</v>
      </c>
      <c r="J49" s="173" t="s">
        <v>95</v>
      </c>
      <c r="K49" s="173" t="s">
        <v>96</v>
      </c>
      <c r="L49" s="174" t="s">
        <v>71</v>
      </c>
      <c r="M49" s="175" t="s">
        <v>72</v>
      </c>
      <c r="N49" s="173" t="s">
        <v>73</v>
      </c>
      <c r="O49" s="176" t="s">
        <v>69</v>
      </c>
      <c r="P49" s="130" t="s">
        <v>96</v>
      </c>
      <c r="Q49" s="177" t="s">
        <v>93</v>
      </c>
      <c r="R49" s="178">
        <v>3.355</v>
      </c>
      <c r="S49" s="179">
        <v>1</v>
      </c>
      <c r="T49" s="179">
        <v>118.62709999999998</v>
      </c>
      <c r="U49" s="179">
        <v>118.62709999999998</v>
      </c>
      <c r="V49" s="179">
        <v>21.352899999999991</v>
      </c>
      <c r="W49" s="179">
        <v>139.97999999999999</v>
      </c>
      <c r="X49" s="27">
        <f t="shared" si="13"/>
        <v>397.99392049999994</v>
      </c>
      <c r="Y49" s="29">
        <f ca="1">VLOOKUP(Z49,CHOOSE({2,1},Fac_Fecha,Fac_OT),2,0)</f>
        <v>43768</v>
      </c>
      <c r="Z49" s="26" t="s">
        <v>837</v>
      </c>
      <c r="AA49" s="28">
        <f t="shared" ca="1" si="41"/>
        <v>1412.8199577000003</v>
      </c>
      <c r="AB49" s="28">
        <f ca="1">SUMIF(Salida_OT,Facturacion!Z49,Salida_Suma)</f>
        <v>0</v>
      </c>
      <c r="AC49" s="28">
        <f t="shared" ca="1" si="28"/>
        <v>0</v>
      </c>
      <c r="AD49" s="28">
        <f t="shared" ca="1" si="29"/>
        <v>38.190000000000005</v>
      </c>
      <c r="AE49" s="28">
        <f ca="1">(SUMIF(Asig_OT,Z49,Asig_Hora_Mec))*'Costos x MO'!$B$6*'Costos x MO'!$B$7</f>
        <v>0</v>
      </c>
      <c r="AF49" s="28">
        <f ca="1">SUMIF(Asig_OT,Z49,Asig_Hora_Pla)*'Costos x MO'!$B$4*'Costos x MO'!$B$7</f>
        <v>180.9</v>
      </c>
      <c r="AG49" s="28">
        <f ca="1">SUMIF(Asig_OT,Z49,Asig_paño_Pin)*'Costos x MO'!$B$5*'Costos x MO'!$B$7</f>
        <v>140.70000000000002</v>
      </c>
      <c r="AH49" s="28">
        <f ca="1">(SUMIF(Asig_OT,Z49,Asig_Terc_Pla)*'Costos x MO'!$B$7)+(SUMIF(Asig_OT,Z49,Asig_Terc_Pin)*'Costos x MO'!$B$7)</f>
        <v>0</v>
      </c>
      <c r="AI49" s="28">
        <f t="shared" ca="1" si="30"/>
        <v>359.79</v>
      </c>
      <c r="AJ49" s="28">
        <f t="shared" ca="1" si="31"/>
        <v>1053.0299577000003</v>
      </c>
      <c r="AK49" s="31">
        <f t="shared" ca="1" si="32"/>
        <v>0.74533910139143278</v>
      </c>
      <c r="AL49" s="28" t="str">
        <f t="shared" ca="1" si="33"/>
        <v>RIMAC</v>
      </c>
      <c r="AM49" s="28" t="str">
        <f t="shared" ca="1" si="34"/>
        <v>MEDIANO</v>
      </c>
      <c r="AN49" s="30" t="str">
        <f t="shared" ca="1" si="35"/>
        <v>October</v>
      </c>
      <c r="AO49" s="42">
        <f t="shared" ca="1" si="36"/>
        <v>2019</v>
      </c>
      <c r="AP49" s="42">
        <f t="shared" ca="1" si="37"/>
        <v>9</v>
      </c>
      <c r="AQ49" s="26">
        <v>1</v>
      </c>
      <c r="AR49" s="30">
        <f t="shared" ca="1" si="42"/>
        <v>43759</v>
      </c>
      <c r="AS49" s="30" t="str">
        <f t="shared" ca="1" si="38"/>
        <v>AWY-319</v>
      </c>
      <c r="AT49" s="26" t="str">
        <f t="shared" ca="1" si="39"/>
        <v>JEEP</v>
      </c>
      <c r="AU49" s="26" t="str">
        <f t="shared" ca="1" si="40"/>
        <v>GRAND CHEROKE</v>
      </c>
      <c r="AV49" s="26" t="str">
        <f t="shared" ca="1" si="43"/>
        <v>RENTAEQUIPOS LEASING PERU S.A.</v>
      </c>
    </row>
    <row r="50" spans="1:48" x14ac:dyDescent="0.2">
      <c r="A50" s="172">
        <v>43757</v>
      </c>
      <c r="B50" s="173" t="s">
        <v>68</v>
      </c>
      <c r="C50" s="173" t="s">
        <v>102</v>
      </c>
      <c r="D50" s="173" t="s">
        <v>681</v>
      </c>
      <c r="E50" s="173" t="s">
        <v>765</v>
      </c>
      <c r="F50" s="173" t="s">
        <v>598</v>
      </c>
      <c r="G50" s="172">
        <v>43743</v>
      </c>
      <c r="H50" s="173" t="s">
        <v>90</v>
      </c>
      <c r="I50" s="173" t="s">
        <v>91</v>
      </c>
      <c r="J50" s="173" t="s">
        <v>97</v>
      </c>
      <c r="K50" s="173" t="s">
        <v>98</v>
      </c>
      <c r="L50" s="174" t="s">
        <v>71</v>
      </c>
      <c r="M50" s="175" t="s">
        <v>72</v>
      </c>
      <c r="N50" s="173" t="s">
        <v>73</v>
      </c>
      <c r="O50" s="176" t="s">
        <v>99</v>
      </c>
      <c r="P50" s="173" t="s">
        <v>98</v>
      </c>
      <c r="Q50" s="177" t="s">
        <v>93</v>
      </c>
      <c r="R50" s="178">
        <v>3.355</v>
      </c>
      <c r="S50" s="179">
        <v>1</v>
      </c>
      <c r="T50" s="179">
        <v>118</v>
      </c>
      <c r="U50" s="179">
        <v>118</v>
      </c>
      <c r="V50" s="179">
        <v>21.240010000000019</v>
      </c>
      <c r="W50" s="179">
        <v>139.24001000000001</v>
      </c>
      <c r="X50" s="27">
        <f t="shared" si="13"/>
        <v>395.89</v>
      </c>
      <c r="Y50" s="29">
        <f ca="1">VLOOKUP(Z50,CHOOSE({2,1},Fac_Fecha,Fac_OT),2,0)</f>
        <v>43769</v>
      </c>
      <c r="Z50" s="26" t="s">
        <v>825</v>
      </c>
      <c r="AA50" s="28">
        <f t="shared" ca="1" si="41"/>
        <v>6587.7542000000003</v>
      </c>
      <c r="AB50" s="28">
        <f ca="1">SUMIF(Salida_OT,Facturacion!Z50,Salida_Suma)</f>
        <v>1383.0209572000003</v>
      </c>
      <c r="AC50" s="28">
        <f t="shared" ca="1" si="28"/>
        <v>76.271186440677965</v>
      </c>
      <c r="AD50" s="28">
        <f t="shared" ca="1" si="29"/>
        <v>122.32203389830509</v>
      </c>
      <c r="AE50" s="28">
        <f ca="1">(SUMIF(Asig_OT,Z50,Asig_Hora_Mec))*'Costos x MO'!$B$6*'Costos x MO'!$B$7</f>
        <v>154.51875000000001</v>
      </c>
      <c r="AF50" s="28">
        <f ca="1">SUMIF(Asig_OT,Z50,Asig_Hora_Pla)*'Costos x MO'!$B$4*'Costos x MO'!$B$7</f>
        <v>241.20000000000002</v>
      </c>
      <c r="AG50" s="28">
        <f ca="1">SUMIF(Asig_OT,Z50,Asig_paño_Pin)*'Costos x MO'!$B$5*'Costos x MO'!$B$7</f>
        <v>1143.1875</v>
      </c>
      <c r="AH50" s="28">
        <f ca="1">(SUMIF(Asig_OT,Z50,Asig_Terc_Pla)*'Costos x MO'!$B$7)+(SUMIF(Asig_OT,Z50,Asig_Terc_Pin)*'Costos x MO'!$B$7)</f>
        <v>0</v>
      </c>
      <c r="AI50" s="28">
        <f t="shared" ca="1" si="30"/>
        <v>3120.5204275389833</v>
      </c>
      <c r="AJ50" s="28">
        <f t="shared" ca="1" si="31"/>
        <v>3467.233772461017</v>
      </c>
      <c r="AK50" s="31">
        <f t="shared" ca="1" si="32"/>
        <v>0.52631498796069487</v>
      </c>
      <c r="AL50" s="28" t="str">
        <f t="shared" ca="1" si="33"/>
        <v>ACCESO</v>
      </c>
      <c r="AM50" s="28" t="str">
        <f t="shared" ca="1" si="34"/>
        <v>GRAVE</v>
      </c>
      <c r="AN50" s="30" t="str">
        <f t="shared" ca="1" si="35"/>
        <v>October</v>
      </c>
      <c r="AO50" s="42">
        <f t="shared" ca="1" si="36"/>
        <v>2019</v>
      </c>
      <c r="AP50" s="42">
        <f t="shared" ca="1" si="37"/>
        <v>15</v>
      </c>
      <c r="AQ50" s="26">
        <v>1</v>
      </c>
      <c r="AR50" s="30">
        <f t="shared" ca="1" si="42"/>
        <v>43754</v>
      </c>
      <c r="AS50" s="30" t="str">
        <f t="shared" ca="1" si="38"/>
        <v>AKB-038</v>
      </c>
      <c r="AT50" s="26" t="str">
        <f t="shared" ca="1" si="39"/>
        <v>KIA</v>
      </c>
      <c r="AU50" s="26" t="str">
        <f t="shared" ca="1" si="40"/>
        <v>RIO</v>
      </c>
      <c r="AV50" s="26" t="str">
        <f t="shared" ca="1" si="43"/>
        <v>EDPYME ACCESO CREDITICIO SOCIEDAD ANONIMA</v>
      </c>
    </row>
    <row r="51" spans="1:48" x14ac:dyDescent="0.2">
      <c r="A51" s="172">
        <v>43757</v>
      </c>
      <c r="B51" s="173" t="s">
        <v>68</v>
      </c>
      <c r="C51" s="173" t="s">
        <v>102</v>
      </c>
      <c r="D51" s="173" t="s">
        <v>681</v>
      </c>
      <c r="E51" s="173" t="s">
        <v>765</v>
      </c>
      <c r="F51" s="173" t="s">
        <v>598</v>
      </c>
      <c r="G51" s="172">
        <v>43743</v>
      </c>
      <c r="H51" s="173" t="s">
        <v>90</v>
      </c>
      <c r="I51" s="173" t="s">
        <v>91</v>
      </c>
      <c r="J51" s="173" t="s">
        <v>100</v>
      </c>
      <c r="K51" s="173" t="s">
        <v>101</v>
      </c>
      <c r="L51" s="174" t="s">
        <v>71</v>
      </c>
      <c r="M51" s="175" t="s">
        <v>72</v>
      </c>
      <c r="N51" s="173" t="s">
        <v>73</v>
      </c>
      <c r="O51" s="176" t="s">
        <v>72</v>
      </c>
      <c r="P51" s="130" t="s">
        <v>101</v>
      </c>
      <c r="Q51" s="177" t="s">
        <v>93</v>
      </c>
      <c r="R51" s="178">
        <v>3.355</v>
      </c>
      <c r="S51" s="179">
        <v>1</v>
      </c>
      <c r="T51" s="179">
        <v>60</v>
      </c>
      <c r="U51" s="179">
        <v>60</v>
      </c>
      <c r="V51" s="179">
        <v>10.800002999999997</v>
      </c>
      <c r="W51" s="179">
        <v>70.800003000000004</v>
      </c>
      <c r="X51" s="27">
        <f t="shared" si="13"/>
        <v>201.3</v>
      </c>
      <c r="Y51" s="29">
        <f ca="1">VLOOKUP(Z51,CHOOSE({2,1},Fac_Fecha,Fac_OT),2,0)</f>
        <v>43769</v>
      </c>
      <c r="Z51" s="26" t="s">
        <v>858</v>
      </c>
      <c r="AA51" s="28">
        <f t="shared" ca="1" si="41"/>
        <v>3862.7542100000001</v>
      </c>
      <c r="AB51" s="28">
        <f ca="1">SUMIF(Salida_OT,Facturacion!Z51,Salida_Suma)</f>
        <v>1395.5710020000001</v>
      </c>
      <c r="AC51" s="28">
        <f t="shared" ca="1" si="28"/>
        <v>0</v>
      </c>
      <c r="AD51" s="28">
        <f t="shared" ca="1" si="29"/>
        <v>119.37288135593221</v>
      </c>
      <c r="AE51" s="28">
        <f ca="1">(SUMIF(Asig_OT,Z51,Asig_Hora_Mec))*'Costos x MO'!$B$6*'Costos x MO'!$B$7</f>
        <v>154.51875000000001</v>
      </c>
      <c r="AF51" s="28">
        <f ca="1">SUMIF(Asig_OT,Z51,Asig_Hora_Pla)*'Costos x MO'!$B$4*'Costos x MO'!$B$7</f>
        <v>75.375</v>
      </c>
      <c r="AG51" s="28">
        <f ca="1">SUMIF(Asig_OT,Z51,Asig_paño_Pin)*'Costos x MO'!$B$5*'Costos x MO'!$B$7</f>
        <v>422.1</v>
      </c>
      <c r="AH51" s="28">
        <f ca="1">(SUMIF(Asig_OT,Z51,Asig_Terc_Pla)*'Costos x MO'!$B$7)+(SUMIF(Asig_OT,Z51,Asig_Terc_Pin)*'Costos x MO'!$B$7)</f>
        <v>0</v>
      </c>
      <c r="AI51" s="28">
        <f t="shared" ca="1" si="30"/>
        <v>2166.9376333559321</v>
      </c>
      <c r="AJ51" s="28">
        <f t="shared" ca="1" si="31"/>
        <v>1695.8165766440679</v>
      </c>
      <c r="AK51" s="31">
        <f t="shared" ca="1" si="32"/>
        <v>0.43901746900020022</v>
      </c>
      <c r="AL51" s="28" t="str">
        <f t="shared" ca="1" si="33"/>
        <v>ACCESO</v>
      </c>
      <c r="AM51" s="28" t="str">
        <f t="shared" ca="1" si="34"/>
        <v>LEVE</v>
      </c>
      <c r="AN51" s="30" t="str">
        <f t="shared" ca="1" si="35"/>
        <v>October</v>
      </c>
      <c r="AO51" s="42">
        <f t="shared" ca="1" si="36"/>
        <v>2019</v>
      </c>
      <c r="AP51" s="42">
        <f t="shared" ca="1" si="37"/>
        <v>15</v>
      </c>
      <c r="AQ51" s="26">
        <v>1</v>
      </c>
      <c r="AR51" s="30">
        <f t="shared" ca="1" si="42"/>
        <v>43754</v>
      </c>
      <c r="AS51" s="30" t="str">
        <f t="shared" ca="1" si="38"/>
        <v>AEM-292</v>
      </c>
      <c r="AT51" s="26" t="str">
        <f t="shared" ca="1" si="39"/>
        <v>HYUNDAY</v>
      </c>
      <c r="AU51" s="26" t="str">
        <f t="shared" ca="1" si="40"/>
        <v>ACCENT</v>
      </c>
      <c r="AV51" s="26" t="str">
        <f t="shared" ca="1" si="43"/>
        <v>EDPYME ACCESO CREDITICIO SOCIEDAD ANONIMA</v>
      </c>
    </row>
    <row r="52" spans="1:48" x14ac:dyDescent="0.2">
      <c r="A52" s="172">
        <v>43757</v>
      </c>
      <c r="B52" s="173" t="s">
        <v>68</v>
      </c>
      <c r="C52" s="173" t="s">
        <v>102</v>
      </c>
      <c r="D52" s="173" t="s">
        <v>681</v>
      </c>
      <c r="E52" s="173" t="s">
        <v>765</v>
      </c>
      <c r="F52" s="173" t="s">
        <v>598</v>
      </c>
      <c r="G52" s="172">
        <v>43743</v>
      </c>
      <c r="H52" s="173" t="s">
        <v>90</v>
      </c>
      <c r="I52" s="173" t="s">
        <v>91</v>
      </c>
      <c r="J52" s="173" t="s">
        <v>92</v>
      </c>
      <c r="K52" s="173" t="s">
        <v>113</v>
      </c>
      <c r="L52" s="174" t="s">
        <v>71</v>
      </c>
      <c r="M52" s="175" t="s">
        <v>72</v>
      </c>
      <c r="N52" s="173" t="s">
        <v>73</v>
      </c>
      <c r="O52" s="176" t="s">
        <v>69</v>
      </c>
      <c r="P52" s="130" t="s">
        <v>113</v>
      </c>
      <c r="Q52" s="177" t="s">
        <v>93</v>
      </c>
      <c r="R52" s="178">
        <v>3.355</v>
      </c>
      <c r="S52" s="179">
        <v>1</v>
      </c>
      <c r="T52" s="179">
        <v>30</v>
      </c>
      <c r="U52" s="179">
        <v>30</v>
      </c>
      <c r="V52" s="179">
        <v>5.4000019999999997</v>
      </c>
      <c r="W52" s="179">
        <v>35.400002000000001</v>
      </c>
      <c r="X52" s="27">
        <f t="shared" si="13"/>
        <v>100.65</v>
      </c>
      <c r="Y52" s="29">
        <f ca="1">VLOOKUP(Z52,CHOOSE({2,1},Fac_Fecha,Fac_OT),2,0)</f>
        <v>43769</v>
      </c>
      <c r="Z52" s="26" t="s">
        <v>867</v>
      </c>
      <c r="AA52" s="28">
        <f t="shared" ca="1" si="41"/>
        <v>1595.7984999999999</v>
      </c>
      <c r="AB52" s="28">
        <f ca="1">SUMIF(Salida_OT,Facturacion!Z52,Salida_Suma)</f>
        <v>0</v>
      </c>
      <c r="AC52" s="28">
        <f t="shared" ca="1" si="28"/>
        <v>0</v>
      </c>
      <c r="AD52" s="28">
        <f t="shared" ca="1" si="29"/>
        <v>15.075000000000001</v>
      </c>
      <c r="AE52" s="28">
        <f ca="1">(SUMIF(Asig_OT,Z52,Asig_Hora_Mec))*'Costos x MO'!$B$6*'Costos x MO'!$B$7</f>
        <v>0</v>
      </c>
      <c r="AF52" s="28">
        <f ca="1">SUMIF(Asig_OT,Z52,Asig_Hora_Pla)*'Costos x MO'!$B$4*'Costos x MO'!$B$7</f>
        <v>180.9</v>
      </c>
      <c r="AG52" s="28">
        <f ca="1">SUMIF(Asig_OT,Z52,Asig_paño_Pin)*'Costos x MO'!$B$5*'Costos x MO'!$B$7</f>
        <v>246.22499999999999</v>
      </c>
      <c r="AH52" s="28">
        <f ca="1">(SUMIF(Asig_OT,Z52,Asig_Terc_Pla)*'Costos x MO'!$B$7)+(SUMIF(Asig_OT,Z52,Asig_Terc_Pin)*'Costos x MO'!$B$7)</f>
        <v>0</v>
      </c>
      <c r="AI52" s="28">
        <f t="shared" ca="1" si="30"/>
        <v>442.2</v>
      </c>
      <c r="AJ52" s="28">
        <f t="shared" ca="1" si="31"/>
        <v>1153.5984999999998</v>
      </c>
      <c r="AK52" s="31">
        <f t="shared" ca="1" si="32"/>
        <v>0.72289734574885234</v>
      </c>
      <c r="AL52" s="28" t="str">
        <f t="shared" ca="1" si="33"/>
        <v>RIMAC</v>
      </c>
      <c r="AM52" s="28" t="str">
        <f t="shared" ca="1" si="34"/>
        <v>MEDIANO</v>
      </c>
      <c r="AN52" s="30" t="str">
        <f t="shared" ca="1" si="35"/>
        <v>October</v>
      </c>
      <c r="AO52" s="42">
        <f t="shared" ca="1" si="36"/>
        <v>2019</v>
      </c>
      <c r="AP52" s="42">
        <f t="shared" ca="1" si="37"/>
        <v>8</v>
      </c>
      <c r="AQ52" s="26">
        <v>1</v>
      </c>
      <c r="AR52" s="30">
        <f t="shared" ca="1" si="42"/>
        <v>43761</v>
      </c>
      <c r="AS52" s="30" t="str">
        <f t="shared" ca="1" si="38"/>
        <v>AFC-362</v>
      </c>
      <c r="AT52" s="26" t="str">
        <f t="shared" ca="1" si="39"/>
        <v>MAZDA</v>
      </c>
      <c r="AU52" s="26" t="str">
        <f t="shared" ca="1" si="40"/>
        <v>MAZDA 6</v>
      </c>
      <c r="AV52" s="26" t="str">
        <f t="shared" ca="1" si="43"/>
        <v>RIMAC SEGUROS  Y REASEGUROS S.A</v>
      </c>
    </row>
    <row r="53" spans="1:48" x14ac:dyDescent="0.2">
      <c r="A53" s="172">
        <v>43757</v>
      </c>
      <c r="B53" s="173" t="s">
        <v>68</v>
      </c>
      <c r="C53" s="173" t="s">
        <v>102</v>
      </c>
      <c r="D53" s="173" t="s">
        <v>681</v>
      </c>
      <c r="E53" s="173" t="s">
        <v>765</v>
      </c>
      <c r="F53" s="173" t="s">
        <v>598</v>
      </c>
      <c r="G53" s="172">
        <v>43743</v>
      </c>
      <c r="H53" s="173" t="s">
        <v>90</v>
      </c>
      <c r="I53" s="173" t="s">
        <v>91</v>
      </c>
      <c r="J53" s="173" t="s">
        <v>95</v>
      </c>
      <c r="K53" s="173" t="s">
        <v>96</v>
      </c>
      <c r="L53" s="174" t="s">
        <v>71</v>
      </c>
      <c r="M53" s="175" t="s">
        <v>72</v>
      </c>
      <c r="N53" s="173" t="s">
        <v>73</v>
      </c>
      <c r="O53" s="176" t="s">
        <v>69</v>
      </c>
      <c r="P53" s="130" t="s">
        <v>96</v>
      </c>
      <c r="Q53" s="177" t="s">
        <v>93</v>
      </c>
      <c r="R53" s="178">
        <v>3.355</v>
      </c>
      <c r="S53" s="179">
        <v>-1</v>
      </c>
      <c r="T53" s="179">
        <v>100</v>
      </c>
      <c r="U53" s="179">
        <v>-100</v>
      </c>
      <c r="V53" s="179">
        <v>-18</v>
      </c>
      <c r="W53" s="179">
        <v>-118</v>
      </c>
      <c r="X53" s="27">
        <f t="shared" si="13"/>
        <v>-335.5</v>
      </c>
      <c r="Y53" s="29">
        <f ca="1">VLOOKUP(Z53,CHOOSE({2,1},Fac_Fecha,Fac_OT),2,0)</f>
        <v>43745</v>
      </c>
      <c r="Z53" s="26" t="s">
        <v>753</v>
      </c>
      <c r="AA53" s="28">
        <f t="shared" ca="1" si="41"/>
        <v>296.61020000000002</v>
      </c>
      <c r="AB53" s="28">
        <f ca="1">SUMIF(Salida_OT,Facturacion!Z53,Salida_Suma)</f>
        <v>140.75284975</v>
      </c>
      <c r="AC53" s="28">
        <f t="shared" ca="1" si="28"/>
        <v>0</v>
      </c>
      <c r="AD53" s="28">
        <f t="shared" ca="1" si="29"/>
        <v>0</v>
      </c>
      <c r="AE53" s="28">
        <f ca="1">(SUMIF(Asig_OT,Z53,Asig_Hora_Mec))*'Costos x MO'!$B$6*'Costos x MO'!$B$7</f>
        <v>40.250250000000001</v>
      </c>
      <c r="AF53" s="28">
        <f ca="1">SUMIF(Asig_OT,Z53,Asig_Hora_Pla)*'Costos x MO'!$B$4*'Costos x MO'!$B$7</f>
        <v>0</v>
      </c>
      <c r="AG53" s="28">
        <f ca="1">SUMIF(Asig_OT,Z53,Asig_paño_Pin)*'Costos x MO'!$B$5*'Costos x MO'!$B$7</f>
        <v>0</v>
      </c>
      <c r="AH53" s="28">
        <f ca="1">(SUMIF(Asig_OT,Z53,Asig_Terc_Pla)*'Costos x MO'!$B$7)+(SUMIF(Asig_OT,Z53,Asig_Terc_Pin)*'Costos x MO'!$B$7)</f>
        <v>0</v>
      </c>
      <c r="AI53" s="28">
        <f t="shared" ca="1" si="30"/>
        <v>181.00309974999999</v>
      </c>
      <c r="AJ53" s="28">
        <f t="shared" ca="1" si="31"/>
        <v>115.60710025000003</v>
      </c>
      <c r="AK53" s="31">
        <f t="shared" ca="1" si="32"/>
        <v>0.38976104075315016</v>
      </c>
      <c r="AL53" s="28" t="str">
        <f t="shared" ca="1" si="33"/>
        <v>C.C</v>
      </c>
      <c r="AM53" s="28" t="str">
        <f t="shared" ca="1" si="34"/>
        <v>MECANICA</v>
      </c>
      <c r="AN53" s="30" t="str">
        <f t="shared" ca="1" si="35"/>
        <v>October</v>
      </c>
      <c r="AO53" s="42">
        <f t="shared" ca="1" si="36"/>
        <v>2019</v>
      </c>
      <c r="AP53" s="42">
        <f t="shared" ca="1" si="37"/>
        <v>0</v>
      </c>
      <c r="AQ53" s="26">
        <v>1</v>
      </c>
      <c r="AR53" s="30">
        <f t="shared" ca="1" si="42"/>
        <v>43745</v>
      </c>
      <c r="AS53" s="30" t="str">
        <f t="shared" ca="1" si="38"/>
        <v>BAZ-054</v>
      </c>
      <c r="AT53" s="26" t="str">
        <f t="shared" ca="1" si="39"/>
        <v>KIA</v>
      </c>
      <c r="AU53" s="26" t="str">
        <f t="shared" ca="1" si="40"/>
        <v>CERATO</v>
      </c>
      <c r="AV53" s="26" t="str">
        <f t="shared" ca="1" si="43"/>
        <v>MEZA CERNA JUNOR RAUL</v>
      </c>
    </row>
    <row r="54" spans="1:48" x14ac:dyDescent="0.2">
      <c r="A54" s="172">
        <v>43757</v>
      </c>
      <c r="B54" s="173" t="s">
        <v>68</v>
      </c>
      <c r="C54" s="173" t="s">
        <v>102</v>
      </c>
      <c r="D54" s="173" t="s">
        <v>681</v>
      </c>
      <c r="E54" s="173" t="s">
        <v>765</v>
      </c>
      <c r="F54" s="173" t="s">
        <v>598</v>
      </c>
      <c r="G54" s="172">
        <v>43743</v>
      </c>
      <c r="H54" s="173" t="s">
        <v>90</v>
      </c>
      <c r="I54" s="173" t="s">
        <v>91</v>
      </c>
      <c r="J54" s="173" t="s">
        <v>104</v>
      </c>
      <c r="K54" s="173" t="s">
        <v>105</v>
      </c>
      <c r="L54" s="174" t="s">
        <v>71</v>
      </c>
      <c r="M54" s="175" t="s">
        <v>72</v>
      </c>
      <c r="N54" s="173" t="s">
        <v>73</v>
      </c>
      <c r="O54" s="176" t="s">
        <v>69</v>
      </c>
      <c r="P54" s="173" t="s">
        <v>105</v>
      </c>
      <c r="Q54" s="177" t="s">
        <v>93</v>
      </c>
      <c r="R54" s="178">
        <v>3.355</v>
      </c>
      <c r="S54" s="179">
        <v>1</v>
      </c>
      <c r="T54" s="179">
        <v>0</v>
      </c>
      <c r="U54" s="179">
        <v>0</v>
      </c>
      <c r="V54" s="179">
        <v>0</v>
      </c>
      <c r="W54" s="179">
        <v>0</v>
      </c>
      <c r="X54" s="27">
        <f t="shared" si="13"/>
        <v>0</v>
      </c>
      <c r="Y54" s="29">
        <f ca="1">VLOOKUP(Z54,CHOOSE({2,1},Fac_Fecha,Fac_OT),2,0)</f>
        <v>43750</v>
      </c>
      <c r="Z54" s="26" t="s">
        <v>748</v>
      </c>
      <c r="AA54" s="28">
        <f t="shared" ca="1" si="41"/>
        <v>1041.0838971754199</v>
      </c>
      <c r="AB54" s="28">
        <f ca="1">SUMIF(Salida_OT,Facturacion!Z54,Salida_Suma)</f>
        <v>0</v>
      </c>
      <c r="AC54" s="28">
        <f t="shared" ca="1" si="28"/>
        <v>0</v>
      </c>
      <c r="AD54" s="28">
        <f t="shared" ca="1" si="29"/>
        <v>0</v>
      </c>
      <c r="AE54" s="28">
        <f ca="1">(SUMIF(Asig_OT,Z54,Asig_Hora_Mec))*'Costos x MO'!$B$6*'Costos x MO'!$B$7</f>
        <v>30.150000000000002</v>
      </c>
      <c r="AF54" s="28">
        <f ca="1">SUMIF(Asig_OT,Z54,Asig_Hora_Pla)*'Costos x MO'!$B$4*'Costos x MO'!$B$7</f>
        <v>60.300000000000004</v>
      </c>
      <c r="AG54" s="28">
        <f ca="1">SUMIF(Asig_OT,Z54,Asig_paño_Pin)*'Costos x MO'!$B$5*'Costos x MO'!$B$7</f>
        <v>211.05</v>
      </c>
      <c r="AH54" s="28">
        <f ca="1">(SUMIF(Asig_OT,Z54,Asig_Terc_Pla)*'Costos x MO'!$B$7)+(SUMIF(Asig_OT,Z54,Asig_Terc_Pin)*'Costos x MO'!$B$7)</f>
        <v>0</v>
      </c>
      <c r="AI54" s="28">
        <f t="shared" ca="1" si="30"/>
        <v>301.5</v>
      </c>
      <c r="AJ54" s="28">
        <f t="shared" ca="1" si="31"/>
        <v>739.58389717541991</v>
      </c>
      <c r="AK54" s="31">
        <f t="shared" ca="1" si="32"/>
        <v>0.71039797962680618</v>
      </c>
      <c r="AL54" s="28" t="str">
        <f t="shared" ca="1" si="33"/>
        <v>C.C</v>
      </c>
      <c r="AM54" s="28" t="str">
        <f t="shared" ca="1" si="34"/>
        <v>LEVE</v>
      </c>
      <c r="AN54" s="30" t="str">
        <f t="shared" ca="1" si="35"/>
        <v>October</v>
      </c>
      <c r="AO54" s="42">
        <f t="shared" ca="1" si="36"/>
        <v>2019</v>
      </c>
      <c r="AP54" s="42">
        <f t="shared" ca="1" si="37"/>
        <v>8</v>
      </c>
      <c r="AQ54" s="26">
        <v>1</v>
      </c>
      <c r="AR54" s="30">
        <f t="shared" ca="1" si="42"/>
        <v>43742</v>
      </c>
      <c r="AS54" s="30" t="str">
        <f t="shared" ca="1" si="38"/>
        <v>AHK-141</v>
      </c>
      <c r="AT54" s="26" t="str">
        <f t="shared" ca="1" si="39"/>
        <v>NISSAN</v>
      </c>
      <c r="AU54" s="26" t="str">
        <f t="shared" ca="1" si="40"/>
        <v>XTRAIL</v>
      </c>
      <c r="AV54" s="26" t="str">
        <f t="shared" ca="1" si="43"/>
        <v>JOSE ANTONIO MENENDEZ FERNANDEZ</v>
      </c>
    </row>
    <row r="55" spans="1:48" x14ac:dyDescent="0.2">
      <c r="A55" s="172">
        <v>43757</v>
      </c>
      <c r="B55" s="173" t="s">
        <v>68</v>
      </c>
      <c r="C55" s="173" t="s">
        <v>102</v>
      </c>
      <c r="D55" s="173" t="s">
        <v>680</v>
      </c>
      <c r="E55" s="173" t="s">
        <v>764</v>
      </c>
      <c r="F55" s="173" t="s">
        <v>598</v>
      </c>
      <c r="G55" s="172">
        <v>43743</v>
      </c>
      <c r="H55" s="173" t="s">
        <v>90</v>
      </c>
      <c r="I55" s="173" t="s">
        <v>91</v>
      </c>
      <c r="J55" s="173" t="s">
        <v>97</v>
      </c>
      <c r="K55" s="173" t="s">
        <v>98</v>
      </c>
      <c r="L55" s="174" t="s">
        <v>71</v>
      </c>
      <c r="M55" s="175" t="s">
        <v>72</v>
      </c>
      <c r="N55" s="173" t="s">
        <v>73</v>
      </c>
      <c r="O55" s="176" t="s">
        <v>99</v>
      </c>
      <c r="P55" s="173" t="s">
        <v>98</v>
      </c>
      <c r="Q55" s="177" t="s">
        <v>93</v>
      </c>
      <c r="R55" s="178">
        <v>3.355</v>
      </c>
      <c r="S55" s="179">
        <v>1</v>
      </c>
      <c r="T55" s="179">
        <v>132.75419999999997</v>
      </c>
      <c r="U55" s="179">
        <v>132.75419999999997</v>
      </c>
      <c r="V55" s="179">
        <v>23.895790000000034</v>
      </c>
      <c r="W55" s="179">
        <v>156.64999</v>
      </c>
      <c r="X55" s="27">
        <f t="shared" si="13"/>
        <v>445.39034099999992</v>
      </c>
      <c r="Y55" s="29">
        <f ca="1">VLOOKUP(Z55,CHOOSE({2,1},Fac_Fecha,Fac_OT),2,0)</f>
        <v>43755</v>
      </c>
      <c r="Z55" s="26" t="s">
        <v>811</v>
      </c>
      <c r="AA55" s="28">
        <f t="shared" ca="1" si="41"/>
        <v>237.28810000000001</v>
      </c>
      <c r="AB55" s="28">
        <f ca="1">SUMIF(Salida_OT,Facturacion!Z55,Salida_Suma)</f>
        <v>82.528698849999984</v>
      </c>
      <c r="AC55" s="28">
        <f t="shared" ca="1" si="28"/>
        <v>0</v>
      </c>
      <c r="AD55" s="28">
        <f t="shared" ca="1" si="29"/>
        <v>0</v>
      </c>
      <c r="AE55" s="28">
        <f ca="1">(SUMIF(Asig_OT,Z55,Asig_Hora_Mec))*'Costos x MO'!$B$6*'Costos x MO'!$B$7</f>
        <v>40.250250000000001</v>
      </c>
      <c r="AF55" s="28">
        <f ca="1">SUMIF(Asig_OT,Z55,Asig_Hora_Pla)*'Costos x MO'!$B$4*'Costos x MO'!$B$7</f>
        <v>0</v>
      </c>
      <c r="AG55" s="28">
        <f ca="1">SUMIF(Asig_OT,Z55,Asig_paño_Pin)*'Costos x MO'!$B$5*'Costos x MO'!$B$7</f>
        <v>0</v>
      </c>
      <c r="AH55" s="28">
        <f ca="1">(SUMIF(Asig_OT,Z55,Asig_Terc_Pla)*'Costos x MO'!$B$7)+(SUMIF(Asig_OT,Z55,Asig_Terc_Pin)*'Costos x MO'!$B$7)</f>
        <v>0</v>
      </c>
      <c r="AI55" s="28">
        <f t="shared" ca="1" si="30"/>
        <v>122.77894884999998</v>
      </c>
      <c r="AJ55" s="28">
        <f t="shared" ca="1" si="31"/>
        <v>114.50915115000004</v>
      </c>
      <c r="AK55" s="31">
        <f t="shared" ca="1" si="32"/>
        <v>0.48257435223258155</v>
      </c>
      <c r="AL55" s="28" t="str">
        <f t="shared" ca="1" si="33"/>
        <v>C.C</v>
      </c>
      <c r="AM55" s="28" t="str">
        <f t="shared" ca="1" si="34"/>
        <v>MECANICA</v>
      </c>
      <c r="AN55" s="30" t="str">
        <f t="shared" ca="1" si="35"/>
        <v>October</v>
      </c>
      <c r="AO55" s="42">
        <f t="shared" ca="1" si="36"/>
        <v>2019</v>
      </c>
      <c r="AP55" s="42">
        <f t="shared" ca="1" si="37"/>
        <v>0</v>
      </c>
      <c r="AQ55" s="26">
        <v>1</v>
      </c>
      <c r="AR55" s="30">
        <f t="shared" ca="1" si="42"/>
        <v>43755</v>
      </c>
      <c r="AS55" s="30" t="str">
        <f t="shared" ca="1" si="38"/>
        <v>B3A-304</v>
      </c>
      <c r="AT55" s="26" t="str">
        <f t="shared" ca="1" si="39"/>
        <v>HONDA</v>
      </c>
      <c r="AU55" s="26" t="str">
        <f t="shared" ca="1" si="40"/>
        <v>CIVIC</v>
      </c>
      <c r="AV55" s="26" t="str">
        <f t="shared" ca="1" si="43"/>
        <v>RIVERA AGUILAR JULIO</v>
      </c>
    </row>
    <row r="56" spans="1:48" x14ac:dyDescent="0.2">
      <c r="A56" s="172">
        <v>43757</v>
      </c>
      <c r="B56" s="173" t="s">
        <v>68</v>
      </c>
      <c r="C56" s="173" t="s">
        <v>102</v>
      </c>
      <c r="D56" s="173" t="s">
        <v>680</v>
      </c>
      <c r="E56" s="173" t="s">
        <v>764</v>
      </c>
      <c r="F56" s="173" t="s">
        <v>598</v>
      </c>
      <c r="G56" s="172">
        <v>43743</v>
      </c>
      <c r="H56" s="173" t="s">
        <v>90</v>
      </c>
      <c r="I56" s="173" t="s">
        <v>91</v>
      </c>
      <c r="J56" s="173" t="s">
        <v>100</v>
      </c>
      <c r="K56" s="173" t="s">
        <v>101</v>
      </c>
      <c r="L56" s="174" t="s">
        <v>71</v>
      </c>
      <c r="M56" s="175" t="s">
        <v>72</v>
      </c>
      <c r="N56" s="173" t="s">
        <v>73</v>
      </c>
      <c r="O56" s="176" t="s">
        <v>72</v>
      </c>
      <c r="P56" s="130" t="s">
        <v>101</v>
      </c>
      <c r="Q56" s="177" t="s">
        <v>93</v>
      </c>
      <c r="R56" s="178">
        <v>3.355</v>
      </c>
      <c r="S56" s="179">
        <v>1</v>
      </c>
      <c r="T56" s="179">
        <v>120</v>
      </c>
      <c r="U56" s="179">
        <v>120</v>
      </c>
      <c r="V56" s="179">
        <v>21.600010000000019</v>
      </c>
      <c r="W56" s="179">
        <v>141.60001000000003</v>
      </c>
      <c r="X56" s="27">
        <f t="shared" si="13"/>
        <v>402.6</v>
      </c>
      <c r="Y56" s="29">
        <f ca="1">VLOOKUP(Z56,CHOOSE({2,1},Fac_Fecha,Fac_OT),2,0)</f>
        <v>43756</v>
      </c>
      <c r="Z56" s="26" t="s">
        <v>816</v>
      </c>
      <c r="AA56" s="28">
        <f t="shared" ca="1" si="41"/>
        <v>245.77129000000002</v>
      </c>
      <c r="AB56" s="28">
        <f ca="1">SUMIF(Salida_OT,Facturacion!Z56,Salida_Suma)</f>
        <v>103.99239799999999</v>
      </c>
      <c r="AC56" s="28">
        <f t="shared" ca="1" si="28"/>
        <v>0</v>
      </c>
      <c r="AD56" s="28">
        <f t="shared" ca="1" si="29"/>
        <v>0</v>
      </c>
      <c r="AE56" s="28">
        <f ca="1">(SUMIF(Asig_OT,Z56,Asig_Hora_Mec))*'Costos x MO'!$B$6*'Costos x MO'!$B$7</f>
        <v>40.250250000000001</v>
      </c>
      <c r="AF56" s="28">
        <f ca="1">SUMIF(Asig_OT,Z56,Asig_Hora_Pla)*'Costos x MO'!$B$4*'Costos x MO'!$B$7</f>
        <v>0</v>
      </c>
      <c r="AG56" s="28">
        <f ca="1">SUMIF(Asig_OT,Z56,Asig_paño_Pin)*'Costos x MO'!$B$5*'Costos x MO'!$B$7</f>
        <v>0</v>
      </c>
      <c r="AH56" s="28">
        <f ca="1">(SUMIF(Asig_OT,Z56,Asig_Terc_Pla)*'Costos x MO'!$B$7)+(SUMIF(Asig_OT,Z56,Asig_Terc_Pin)*'Costos x MO'!$B$7)</f>
        <v>0</v>
      </c>
      <c r="AI56" s="28">
        <f t="shared" ca="1" si="30"/>
        <v>144.242648</v>
      </c>
      <c r="AJ56" s="28">
        <f t="shared" ca="1" si="31"/>
        <v>101.52864200000002</v>
      </c>
      <c r="AK56" s="31">
        <f t="shared" ca="1" si="32"/>
        <v>0.41310212433681742</v>
      </c>
      <c r="AL56" s="28" t="str">
        <f t="shared" ca="1" si="33"/>
        <v>C.C</v>
      </c>
      <c r="AM56" s="28" t="str">
        <f t="shared" ca="1" si="34"/>
        <v>MECANICA</v>
      </c>
      <c r="AN56" s="30" t="str">
        <f t="shared" ca="1" si="35"/>
        <v>October</v>
      </c>
      <c r="AO56" s="42">
        <f t="shared" ca="1" si="36"/>
        <v>2019</v>
      </c>
      <c r="AP56" s="42">
        <f t="shared" ca="1" si="37"/>
        <v>0</v>
      </c>
      <c r="AQ56" s="26">
        <v>1</v>
      </c>
      <c r="AR56" s="30">
        <f t="shared" ca="1" si="42"/>
        <v>43756</v>
      </c>
      <c r="AS56" s="30" t="str">
        <f t="shared" ca="1" si="38"/>
        <v>BJL-074</v>
      </c>
      <c r="AT56" s="26" t="str">
        <f t="shared" ca="1" si="39"/>
        <v>CHERY</v>
      </c>
      <c r="AU56" s="26" t="str">
        <f t="shared" ca="1" si="40"/>
        <v>ARRIZO3</v>
      </c>
      <c r="AV56" s="26" t="str">
        <f t="shared" ca="1" si="43"/>
        <v>LONDOÑO LOPEZ JHAIR</v>
      </c>
    </row>
    <row r="57" spans="1:48" x14ac:dyDescent="0.2">
      <c r="A57" s="172">
        <v>43757</v>
      </c>
      <c r="B57" s="173" t="s">
        <v>68</v>
      </c>
      <c r="C57" s="173" t="s">
        <v>102</v>
      </c>
      <c r="D57" s="173" t="s">
        <v>680</v>
      </c>
      <c r="E57" s="173" t="s">
        <v>764</v>
      </c>
      <c r="F57" s="173" t="s">
        <v>598</v>
      </c>
      <c r="G57" s="172">
        <v>43743</v>
      </c>
      <c r="H57" s="173" t="s">
        <v>90</v>
      </c>
      <c r="I57" s="173" t="s">
        <v>91</v>
      </c>
      <c r="J57" s="173" t="s">
        <v>92</v>
      </c>
      <c r="K57" s="173" t="s">
        <v>113</v>
      </c>
      <c r="L57" s="174" t="s">
        <v>71</v>
      </c>
      <c r="M57" s="175" t="s">
        <v>72</v>
      </c>
      <c r="N57" s="173" t="s">
        <v>73</v>
      </c>
      <c r="O57" s="176" t="s">
        <v>69</v>
      </c>
      <c r="P57" s="130" t="s">
        <v>113</v>
      </c>
      <c r="Q57" s="177" t="s">
        <v>93</v>
      </c>
      <c r="R57" s="178">
        <v>3.355</v>
      </c>
      <c r="S57" s="179">
        <v>1</v>
      </c>
      <c r="T57" s="179">
        <v>15</v>
      </c>
      <c r="U57" s="179">
        <v>15</v>
      </c>
      <c r="V57" s="179">
        <v>2.7000009999999999</v>
      </c>
      <c r="W57" s="179">
        <v>17.700001</v>
      </c>
      <c r="X57" s="27">
        <f t="shared" si="13"/>
        <v>50.325000000000003</v>
      </c>
      <c r="Y57" s="29">
        <f ca="1">VLOOKUP(Z57,CHOOSE({2,1},Fac_Fecha,Fac_OT),2,0)</f>
        <v>43757</v>
      </c>
      <c r="Z57" s="26" t="s">
        <v>819</v>
      </c>
      <c r="AA57" s="28">
        <f t="shared" ca="1" si="41"/>
        <v>29.660999000000007</v>
      </c>
      <c r="AB57" s="28">
        <f ca="1">SUMIF(Salida_OT,Facturacion!Z57,Salida_Suma)</f>
        <v>12.711900000000004</v>
      </c>
      <c r="AC57" s="28">
        <f t="shared" ca="1" si="28"/>
        <v>0</v>
      </c>
      <c r="AD57" s="28">
        <f t="shared" ca="1" si="29"/>
        <v>0</v>
      </c>
      <c r="AE57" s="28">
        <f ca="1">(SUMIF(Asig_OT,Z57,Asig_Hora_Mec))*'Costos x MO'!$B$6*'Costos x MO'!$B$7</f>
        <v>0</v>
      </c>
      <c r="AF57" s="28">
        <f ca="1">SUMIF(Asig_OT,Z57,Asig_Hora_Pla)*'Costos x MO'!$B$4*'Costos x MO'!$B$7</f>
        <v>0</v>
      </c>
      <c r="AG57" s="28">
        <f ca="1">SUMIF(Asig_OT,Z57,Asig_paño_Pin)*'Costos x MO'!$B$5*'Costos x MO'!$B$7</f>
        <v>0</v>
      </c>
      <c r="AH57" s="28">
        <f ca="1">(SUMIF(Asig_OT,Z57,Asig_Terc_Pla)*'Costos x MO'!$B$7)+(SUMIF(Asig_OT,Z57,Asig_Terc_Pin)*'Costos x MO'!$B$7)</f>
        <v>0</v>
      </c>
      <c r="AI57" s="28">
        <f t="shared" ca="1" si="30"/>
        <v>12.711900000000004</v>
      </c>
      <c r="AJ57" s="28">
        <f t="shared" ca="1" si="31"/>
        <v>16.949099000000004</v>
      </c>
      <c r="AK57" s="31">
        <f t="shared" ca="1" si="32"/>
        <v>0.57142711208074948</v>
      </c>
      <c r="AL57" s="28" t="str">
        <f t="shared" ca="1" si="33"/>
        <v>C.C</v>
      </c>
      <c r="AM57" s="28" t="str">
        <f t="shared" ca="1" si="34"/>
        <v>MECANICA</v>
      </c>
      <c r="AN57" s="30" t="str">
        <f t="shared" ca="1" si="35"/>
        <v>October</v>
      </c>
      <c r="AO57" s="42">
        <f t="shared" ca="1" si="36"/>
        <v>2019</v>
      </c>
      <c r="AP57" s="42">
        <f t="shared" ca="1" si="37"/>
        <v>1</v>
      </c>
      <c r="AQ57" s="26">
        <v>1</v>
      </c>
      <c r="AR57" s="30">
        <f t="shared" ca="1" si="42"/>
        <v>43756</v>
      </c>
      <c r="AS57" s="30" t="str">
        <f t="shared" ca="1" si="38"/>
        <v>ATZ-549</v>
      </c>
      <c r="AT57" s="26" t="str">
        <f t="shared" ca="1" si="39"/>
        <v>HYUNDAY</v>
      </c>
      <c r="AU57" s="26" t="str">
        <f t="shared" ca="1" si="40"/>
        <v>ACCENT</v>
      </c>
      <c r="AV57" s="26" t="str">
        <f t="shared" ca="1" si="43"/>
        <v>GAITAN PEREDA CESAR AUGUSTO</v>
      </c>
    </row>
    <row r="58" spans="1:48" x14ac:dyDescent="0.2">
      <c r="A58" s="172">
        <v>43757</v>
      </c>
      <c r="B58" s="173" t="s">
        <v>68</v>
      </c>
      <c r="C58" s="173" t="s">
        <v>102</v>
      </c>
      <c r="D58" s="173" t="s">
        <v>680</v>
      </c>
      <c r="E58" s="173" t="s">
        <v>764</v>
      </c>
      <c r="F58" s="173" t="s">
        <v>598</v>
      </c>
      <c r="G58" s="172">
        <v>43743</v>
      </c>
      <c r="H58" s="173" t="s">
        <v>90</v>
      </c>
      <c r="I58" s="173" t="s">
        <v>91</v>
      </c>
      <c r="J58" s="173" t="s">
        <v>95</v>
      </c>
      <c r="K58" s="173" t="s">
        <v>96</v>
      </c>
      <c r="L58" s="174" t="s">
        <v>71</v>
      </c>
      <c r="M58" s="175" t="s">
        <v>72</v>
      </c>
      <c r="N58" s="173" t="s">
        <v>73</v>
      </c>
      <c r="O58" s="176" t="s">
        <v>69</v>
      </c>
      <c r="P58" s="130" t="s">
        <v>96</v>
      </c>
      <c r="Q58" s="177" t="s">
        <v>93</v>
      </c>
      <c r="R58" s="178">
        <v>3.355</v>
      </c>
      <c r="S58" s="179">
        <v>-1</v>
      </c>
      <c r="T58" s="179">
        <v>118.62709999999998</v>
      </c>
      <c r="U58" s="179">
        <v>-118.62709999999998</v>
      </c>
      <c r="V58" s="179">
        <v>-21.352899999999991</v>
      </c>
      <c r="W58" s="179">
        <v>-139.97999999999999</v>
      </c>
      <c r="X58" s="27">
        <f t="shared" si="13"/>
        <v>-397.99392049999994</v>
      </c>
      <c r="Y58" s="29">
        <f ca="1">VLOOKUP(Z58,CHOOSE({2,1},Fac_Fecha,Fac_OT),2,0)</f>
        <v>43759</v>
      </c>
      <c r="Z58" s="26" t="s">
        <v>827</v>
      </c>
      <c r="AA58" s="28">
        <f t="shared" ca="1" si="41"/>
        <v>331.85589999999996</v>
      </c>
      <c r="AB58" s="28">
        <f ca="1">SUMIF(Salida_OT,Facturacion!Z58,Salida_Suma)</f>
        <v>134.0984981</v>
      </c>
      <c r="AC58" s="28">
        <f t="shared" ca="1" si="28"/>
        <v>0</v>
      </c>
      <c r="AD58" s="28">
        <f t="shared" ca="1" si="29"/>
        <v>0</v>
      </c>
      <c r="AE58" s="28">
        <f ca="1">(SUMIF(Asig_OT,Z58,Asig_Hora_Mec))*'Costos x MO'!$B$6*'Costos x MO'!$B$7</f>
        <v>40.250250000000001</v>
      </c>
      <c r="AF58" s="28">
        <f ca="1">SUMIF(Asig_OT,Z58,Asig_Hora_Pla)*'Costos x MO'!$B$4*'Costos x MO'!$B$7</f>
        <v>0</v>
      </c>
      <c r="AG58" s="28">
        <f ca="1">SUMIF(Asig_OT,Z58,Asig_paño_Pin)*'Costos x MO'!$B$5*'Costos x MO'!$B$7</f>
        <v>0</v>
      </c>
      <c r="AH58" s="28">
        <f ca="1">(SUMIF(Asig_OT,Z58,Asig_Terc_Pla)*'Costos x MO'!$B$7)+(SUMIF(Asig_OT,Z58,Asig_Terc_Pin)*'Costos x MO'!$B$7)</f>
        <v>0</v>
      </c>
      <c r="AI58" s="28">
        <f t="shared" ca="1" si="30"/>
        <v>174.34874809999999</v>
      </c>
      <c r="AJ58" s="28">
        <f t="shared" ca="1" si="31"/>
        <v>157.50715189999997</v>
      </c>
      <c r="AK58" s="31">
        <f t="shared" ca="1" si="32"/>
        <v>0.47462513669336598</v>
      </c>
      <c r="AL58" s="28" t="str">
        <f t="shared" ca="1" si="33"/>
        <v>C.C</v>
      </c>
      <c r="AM58" s="28" t="str">
        <f t="shared" ca="1" si="34"/>
        <v>MECANICA</v>
      </c>
      <c r="AN58" s="30" t="str">
        <f t="shared" ca="1" si="35"/>
        <v>October</v>
      </c>
      <c r="AO58" s="42">
        <f t="shared" ca="1" si="36"/>
        <v>2019</v>
      </c>
      <c r="AP58" s="42">
        <f t="shared" ca="1" si="37"/>
        <v>0</v>
      </c>
      <c r="AQ58" s="26">
        <v>1</v>
      </c>
      <c r="AR58" s="30">
        <f t="shared" ca="1" si="42"/>
        <v>43759</v>
      </c>
      <c r="AS58" s="30" t="str">
        <f t="shared" ca="1" si="38"/>
        <v>ALX-585</v>
      </c>
      <c r="AT58" s="26" t="str">
        <f t="shared" ca="1" si="39"/>
        <v>KIA</v>
      </c>
      <c r="AU58" s="26" t="str">
        <f t="shared" ca="1" si="40"/>
        <v>RIO</v>
      </c>
      <c r="AV58" s="26" t="str">
        <f t="shared" ca="1" si="43"/>
        <v>SALAZAR OYOLA HECTOR</v>
      </c>
    </row>
    <row r="59" spans="1:48" x14ac:dyDescent="0.2">
      <c r="A59" s="172">
        <v>43757</v>
      </c>
      <c r="B59" s="173" t="s">
        <v>68</v>
      </c>
      <c r="C59" s="173" t="s">
        <v>102</v>
      </c>
      <c r="D59" s="173" t="s">
        <v>680</v>
      </c>
      <c r="E59" s="173" t="s">
        <v>764</v>
      </c>
      <c r="F59" s="173" t="s">
        <v>598</v>
      </c>
      <c r="G59" s="172">
        <v>43743</v>
      </c>
      <c r="H59" s="173" t="s">
        <v>90</v>
      </c>
      <c r="I59" s="173" t="s">
        <v>91</v>
      </c>
      <c r="J59" s="173" t="s">
        <v>104</v>
      </c>
      <c r="K59" s="173" t="s">
        <v>105</v>
      </c>
      <c r="L59" s="174" t="s">
        <v>71</v>
      </c>
      <c r="M59" s="175" t="s">
        <v>72</v>
      </c>
      <c r="N59" s="173" t="s">
        <v>73</v>
      </c>
      <c r="O59" s="176" t="s">
        <v>69</v>
      </c>
      <c r="P59" s="173" t="s">
        <v>105</v>
      </c>
      <c r="Q59" s="177" t="s">
        <v>93</v>
      </c>
      <c r="R59" s="178">
        <v>3.355</v>
      </c>
      <c r="S59" s="179">
        <v>1</v>
      </c>
      <c r="T59" s="179">
        <v>0</v>
      </c>
      <c r="U59" s="179">
        <v>0</v>
      </c>
      <c r="V59" s="179">
        <v>0</v>
      </c>
      <c r="W59" s="179">
        <v>0</v>
      </c>
      <c r="X59" s="27">
        <f t="shared" si="13"/>
        <v>0</v>
      </c>
      <c r="Y59" s="29">
        <f ca="1">VLOOKUP(Z59,CHOOSE({2,1},Fac_Fecha,Fac_OT),2,0)</f>
        <v>43760</v>
      </c>
      <c r="Z59" s="107" t="s">
        <v>1185</v>
      </c>
      <c r="AA59" s="28">
        <f t="shared" ca="1" si="41"/>
        <v>150</v>
      </c>
      <c r="AB59" s="28">
        <f ca="1">SUMIF(Salida_OT,Facturacion!Z59,Salida_Suma)</f>
        <v>57.35479879999999</v>
      </c>
      <c r="AC59" s="28">
        <f t="shared" ca="1" si="28"/>
        <v>0</v>
      </c>
      <c r="AD59" s="28">
        <f t="shared" ca="1" si="29"/>
        <v>0</v>
      </c>
      <c r="AE59" s="28">
        <v>79.2</v>
      </c>
      <c r="AF59" s="28">
        <f ca="1">SUMIF(Asig_OT,Z59,Asig_Hora_Pla)*'Costos x MO'!$B$4*'Costos x MO'!$B$7</f>
        <v>0</v>
      </c>
      <c r="AG59" s="28">
        <f ca="1">SUMIF(Asig_OT,Z59,Asig_paño_Pin)*'Costos x MO'!$B$5*'Costos x MO'!$B$7</f>
        <v>0</v>
      </c>
      <c r="AH59" s="28">
        <f ca="1">(SUMIF(Asig_OT,Z59,Asig_Terc_Pla)*'Costos x MO'!$B$7)+(SUMIF(Asig_OT,Z59,Asig_Terc_Pin)*'Costos x MO'!$B$7)</f>
        <v>0</v>
      </c>
      <c r="AI59" s="28">
        <f t="shared" ca="1" si="30"/>
        <v>136.55479879999999</v>
      </c>
      <c r="AJ59" s="28">
        <f t="shared" ca="1" si="31"/>
        <v>13.445201200000014</v>
      </c>
      <c r="AK59" s="31">
        <f t="shared" ca="1" si="32"/>
        <v>8.9634674666666761E-2</v>
      </c>
      <c r="AL59" s="28" t="s">
        <v>121</v>
      </c>
      <c r="AM59" s="28" t="s">
        <v>447</v>
      </c>
      <c r="AN59" s="30" t="str">
        <f t="shared" ca="1" si="35"/>
        <v>October</v>
      </c>
      <c r="AO59" s="42">
        <f t="shared" ca="1" si="36"/>
        <v>2019</v>
      </c>
      <c r="AP59" s="42">
        <f t="shared" ca="1" si="37"/>
        <v>0</v>
      </c>
      <c r="AQ59" s="26">
        <v>1</v>
      </c>
      <c r="AR59" s="30">
        <f t="shared" ca="1" si="42"/>
        <v>43760</v>
      </c>
      <c r="AS59" s="30" t="s">
        <v>1186</v>
      </c>
      <c r="AT59" s="26" t="s">
        <v>122</v>
      </c>
      <c r="AU59" s="26" t="s">
        <v>183</v>
      </c>
      <c r="AV59" s="26" t="str">
        <f t="shared" ca="1" si="43"/>
        <v>MILAN TRUGILLO FELIX</v>
      </c>
    </row>
    <row r="60" spans="1:48" x14ac:dyDescent="0.2">
      <c r="A60" s="172">
        <v>43759</v>
      </c>
      <c r="B60" s="173" t="s">
        <v>68</v>
      </c>
      <c r="C60" s="173" t="s">
        <v>102</v>
      </c>
      <c r="D60" s="173" t="s">
        <v>679</v>
      </c>
      <c r="E60" s="173" t="s">
        <v>757</v>
      </c>
      <c r="F60" s="173" t="s">
        <v>941</v>
      </c>
      <c r="G60" s="172">
        <v>43742</v>
      </c>
      <c r="H60" s="173" t="s">
        <v>90</v>
      </c>
      <c r="I60" s="173" t="s">
        <v>91</v>
      </c>
      <c r="J60" s="173" t="s">
        <v>97</v>
      </c>
      <c r="K60" s="173" t="s">
        <v>98</v>
      </c>
      <c r="L60" s="174" t="s">
        <v>71</v>
      </c>
      <c r="M60" s="175" t="s">
        <v>72</v>
      </c>
      <c r="N60" s="173" t="s">
        <v>73</v>
      </c>
      <c r="O60" s="176" t="s">
        <v>99</v>
      </c>
      <c r="P60" s="173" t="s">
        <v>98</v>
      </c>
      <c r="Q60" s="177" t="s">
        <v>93</v>
      </c>
      <c r="R60" s="178">
        <v>3.3469999000000001</v>
      </c>
      <c r="S60" s="179">
        <v>1</v>
      </c>
      <c r="T60" s="179">
        <v>295</v>
      </c>
      <c r="U60" s="179">
        <v>295</v>
      </c>
      <c r="V60" s="179">
        <v>53.100009999999891</v>
      </c>
      <c r="W60" s="179">
        <v>348.10000999999988</v>
      </c>
      <c r="X60" s="27">
        <f t="shared" si="13"/>
        <v>987.36497050000003</v>
      </c>
      <c r="Y60" s="29">
        <f ca="1">VLOOKUP(Z60,CHOOSE({2,1},Fac_Fecha,Fac_OT),2,0)</f>
        <v>43761</v>
      </c>
      <c r="Z60" s="26" t="s">
        <v>820</v>
      </c>
      <c r="AA60" s="28">
        <f t="shared" ca="1" si="41"/>
        <v>453.15249111000003</v>
      </c>
      <c r="AB60" s="28">
        <f ca="1">SUMIF(Salida_OT,Facturacion!Z60,Salida_Suma)</f>
        <v>0</v>
      </c>
      <c r="AC60" s="28">
        <f t="shared" ca="1" si="28"/>
        <v>0</v>
      </c>
      <c r="AD60" s="28">
        <f t="shared" ca="1" si="29"/>
        <v>0</v>
      </c>
      <c r="AE60" s="28">
        <f ca="1">(SUMIF(Asig_OT,Z60,Asig_Hora_Mec))*'Costos x MO'!$B$6*'Costos x MO'!$B$7</f>
        <v>0</v>
      </c>
      <c r="AF60" s="28">
        <f ca="1">SUMIF(Asig_OT,Z60,Asig_Hora_Pla)*'Costos x MO'!$B$4*'Costos x MO'!$B$7</f>
        <v>75.375</v>
      </c>
      <c r="AG60" s="28">
        <f ca="1">SUMIF(Asig_OT,Z60,Asig_paño_Pin)*'Costos x MO'!$B$5*'Costos x MO'!$B$7</f>
        <v>140.70000000000002</v>
      </c>
      <c r="AH60" s="28">
        <f ca="1">(SUMIF(Asig_OT,Z60,Asig_Terc_Pla)*'Costos x MO'!$B$7)+(SUMIF(Asig_OT,Z60,Asig_Terc_Pin)*'Costos x MO'!$B$7)</f>
        <v>0</v>
      </c>
      <c r="AI60" s="28">
        <f t="shared" ca="1" si="30"/>
        <v>216.07500000000002</v>
      </c>
      <c r="AJ60" s="28">
        <f t="shared" ca="1" si="31"/>
        <v>237.07749111000001</v>
      </c>
      <c r="AK60" s="31">
        <f t="shared" ca="1" si="32"/>
        <v>0.5231737566514908</v>
      </c>
      <c r="AL60" s="28" t="str">
        <f t="shared" ca="1" si="33"/>
        <v>RIMAC</v>
      </c>
      <c r="AM60" s="28" t="str">
        <f t="shared" ca="1" si="34"/>
        <v>LEVE</v>
      </c>
      <c r="AN60" s="30" t="str">
        <f t="shared" ca="1" si="35"/>
        <v>October</v>
      </c>
      <c r="AO60" s="42">
        <f t="shared" ca="1" si="36"/>
        <v>2019</v>
      </c>
      <c r="AP60" s="42">
        <f t="shared" ca="1" si="37"/>
        <v>6</v>
      </c>
      <c r="AQ60" s="26">
        <v>1</v>
      </c>
      <c r="AR60" s="30">
        <f t="shared" ca="1" si="42"/>
        <v>43755</v>
      </c>
      <c r="AS60" s="30" t="str">
        <f t="shared" ca="1" si="38"/>
        <v>BDI-580</v>
      </c>
      <c r="AT60" s="26" t="str">
        <f t="shared" ca="1" si="39"/>
        <v>SUBARU</v>
      </c>
      <c r="AU60" s="26" t="str">
        <f t="shared" ca="1" si="40"/>
        <v>OUTBACK</v>
      </c>
      <c r="AV60" s="26" t="str">
        <f t="shared" ca="1" si="43"/>
        <v>VIALE BORDO JAVIER ALFONSO</v>
      </c>
    </row>
    <row r="61" spans="1:48" x14ac:dyDescent="0.2">
      <c r="A61" s="172">
        <v>43759</v>
      </c>
      <c r="B61" s="173" t="s">
        <v>68</v>
      </c>
      <c r="C61" s="173" t="s">
        <v>102</v>
      </c>
      <c r="D61" s="173" t="s">
        <v>679</v>
      </c>
      <c r="E61" s="173" t="s">
        <v>757</v>
      </c>
      <c r="F61" s="173" t="s">
        <v>941</v>
      </c>
      <c r="G61" s="172">
        <v>43742</v>
      </c>
      <c r="H61" s="173" t="s">
        <v>90</v>
      </c>
      <c r="I61" s="173" t="s">
        <v>91</v>
      </c>
      <c r="J61" s="173" t="s">
        <v>100</v>
      </c>
      <c r="K61" s="173" t="s">
        <v>101</v>
      </c>
      <c r="L61" s="174" t="s">
        <v>71</v>
      </c>
      <c r="M61" s="175" t="s">
        <v>72</v>
      </c>
      <c r="N61" s="173" t="s">
        <v>73</v>
      </c>
      <c r="O61" s="176" t="s">
        <v>72</v>
      </c>
      <c r="P61" s="130" t="s">
        <v>101</v>
      </c>
      <c r="Q61" s="177" t="s">
        <v>93</v>
      </c>
      <c r="R61" s="178">
        <v>3.3469999000000001</v>
      </c>
      <c r="S61" s="179">
        <v>1</v>
      </c>
      <c r="T61" s="179">
        <v>210</v>
      </c>
      <c r="U61" s="179">
        <v>210</v>
      </c>
      <c r="V61" s="179">
        <v>37.799999999999997</v>
      </c>
      <c r="W61" s="179">
        <v>247.8</v>
      </c>
      <c r="X61" s="27">
        <f t="shared" si="13"/>
        <v>702.86997900000006</v>
      </c>
      <c r="Y61" s="29">
        <f ca="1">VLOOKUP(Z61,CHOOSE({2,1},Fac_Fecha,Fac_OT),2,0)</f>
        <v>43761</v>
      </c>
      <c r="Z61" s="26" t="s">
        <v>813</v>
      </c>
      <c r="AA61" s="28">
        <f t="shared" ca="1" si="41"/>
        <v>902.34</v>
      </c>
      <c r="AB61" s="28">
        <f ca="1">SUMIF(Salida_OT,Facturacion!Z61,Salida_Suma)</f>
        <v>0</v>
      </c>
      <c r="AC61" s="28">
        <f t="shared" ca="1" si="28"/>
        <v>0</v>
      </c>
      <c r="AD61" s="28">
        <f t="shared" ca="1" si="29"/>
        <v>0</v>
      </c>
      <c r="AE61" s="28">
        <f ca="1">(SUMIF(Asig_OT,Z61,Asig_Hora_Mec))*'Costos x MO'!$B$6*'Costos x MO'!$B$7</f>
        <v>0</v>
      </c>
      <c r="AF61" s="28">
        <f ca="1">SUMIF(Asig_OT,Z61,Asig_Hora_Pla)*'Costos x MO'!$B$4*'Costos x MO'!$B$7</f>
        <v>60.300000000000004</v>
      </c>
      <c r="AG61" s="28">
        <f ca="1">SUMIF(Asig_OT,Z61,Asig_paño_Pin)*'Costos x MO'!$B$5*'Costos x MO'!$B$7</f>
        <v>158.28749999999999</v>
      </c>
      <c r="AH61" s="28">
        <f ca="1">(SUMIF(Asig_OT,Z61,Asig_Terc_Pla)*'Costos x MO'!$B$7)+(SUMIF(Asig_OT,Z61,Asig_Terc_Pin)*'Costos x MO'!$B$7)</f>
        <v>0</v>
      </c>
      <c r="AI61" s="28">
        <f t="shared" ca="1" si="30"/>
        <v>218.58750000000001</v>
      </c>
      <c r="AJ61" s="28">
        <f t="shared" ca="1" si="31"/>
        <v>683.75250000000005</v>
      </c>
      <c r="AK61" s="31">
        <f t="shared" ca="1" si="32"/>
        <v>0.757754837422701</v>
      </c>
      <c r="AL61" s="28" t="str">
        <f t="shared" ca="1" si="33"/>
        <v>C.C</v>
      </c>
      <c r="AM61" s="28" t="str">
        <f t="shared" ca="1" si="34"/>
        <v>LEVE</v>
      </c>
      <c r="AN61" s="30" t="str">
        <f t="shared" ca="1" si="35"/>
        <v>October</v>
      </c>
      <c r="AO61" s="42">
        <f t="shared" ca="1" si="36"/>
        <v>2019</v>
      </c>
      <c r="AP61" s="42">
        <f t="shared" ca="1" si="37"/>
        <v>6</v>
      </c>
      <c r="AQ61" s="26">
        <v>1</v>
      </c>
      <c r="AR61" s="30">
        <f t="shared" ca="1" si="42"/>
        <v>43755</v>
      </c>
      <c r="AS61" s="30" t="str">
        <f t="shared" ca="1" si="38"/>
        <v>F5C-188</v>
      </c>
      <c r="AT61" s="26" t="str">
        <f t="shared" ca="1" si="39"/>
        <v>AUDI</v>
      </c>
      <c r="AU61" s="26" t="str">
        <f t="shared" ca="1" si="40"/>
        <v>Q5</v>
      </c>
      <c r="AV61" s="26" t="str">
        <f t="shared" ca="1" si="43"/>
        <v>BURGA VELASCO DIEGO ADRIAN</v>
      </c>
    </row>
    <row r="62" spans="1:48" x14ac:dyDescent="0.2">
      <c r="A62" s="172">
        <v>43759</v>
      </c>
      <c r="B62" s="173" t="s">
        <v>68</v>
      </c>
      <c r="C62" s="173" t="s">
        <v>102</v>
      </c>
      <c r="D62" s="173" t="s">
        <v>679</v>
      </c>
      <c r="E62" s="173" t="s">
        <v>757</v>
      </c>
      <c r="F62" s="173" t="s">
        <v>941</v>
      </c>
      <c r="G62" s="172">
        <v>43742</v>
      </c>
      <c r="H62" s="173" t="s">
        <v>90</v>
      </c>
      <c r="I62" s="173" t="s">
        <v>91</v>
      </c>
      <c r="J62" s="173" t="s">
        <v>92</v>
      </c>
      <c r="K62" s="173" t="s">
        <v>113</v>
      </c>
      <c r="L62" s="174" t="s">
        <v>71</v>
      </c>
      <c r="M62" s="175" t="s">
        <v>72</v>
      </c>
      <c r="N62" s="173" t="s">
        <v>73</v>
      </c>
      <c r="O62" s="176" t="s">
        <v>69</v>
      </c>
      <c r="P62" s="130" t="s">
        <v>113</v>
      </c>
      <c r="Q62" s="177" t="s">
        <v>93</v>
      </c>
      <c r="R62" s="178">
        <v>3.3469999000000001</v>
      </c>
      <c r="S62" s="179">
        <v>1</v>
      </c>
      <c r="T62" s="179">
        <v>85</v>
      </c>
      <c r="U62" s="179">
        <v>85</v>
      </c>
      <c r="V62" s="179">
        <v>15.3</v>
      </c>
      <c r="W62" s="179">
        <v>100.3</v>
      </c>
      <c r="X62" s="27">
        <f t="shared" si="13"/>
        <v>284.49499150000003</v>
      </c>
      <c r="Y62" s="29">
        <f ca="1">VLOOKUP(Z62,CHOOSE({2,1},Fac_Fecha,Fac_OT),2,0)</f>
        <v>43761</v>
      </c>
      <c r="Z62" s="26" t="s">
        <v>815</v>
      </c>
      <c r="AA62" s="28">
        <f t="shared" ca="1" si="41"/>
        <v>83.55</v>
      </c>
      <c r="AB62" s="28">
        <f ca="1">SUMIF(Salida_OT,Facturacion!Z62,Salida_Suma)</f>
        <v>0</v>
      </c>
      <c r="AC62" s="28">
        <f t="shared" ca="1" si="28"/>
        <v>0</v>
      </c>
      <c r="AD62" s="28">
        <f t="shared" ca="1" si="29"/>
        <v>0</v>
      </c>
      <c r="AE62" s="28">
        <f ca="1">(SUMIF(Asig_OT,Z62,Asig_Hora_Mec))*'Costos x MO'!$B$6*'Costos x MO'!$B$7</f>
        <v>0</v>
      </c>
      <c r="AF62" s="28">
        <f ca="1">SUMIF(Asig_OT,Z62,Asig_Hora_Pla)*'Costos x MO'!$B$4*'Costos x MO'!$B$7</f>
        <v>45.225000000000001</v>
      </c>
      <c r="AG62" s="28">
        <f ca="1">SUMIF(Asig_OT,Z62,Asig_paño_Pin)*'Costos x MO'!$B$5*'Costos x MO'!$B$7</f>
        <v>0</v>
      </c>
      <c r="AH62" s="28">
        <f ca="1">(SUMIF(Asig_OT,Z62,Asig_Terc_Pla)*'Costos x MO'!$B$7)+(SUMIF(Asig_OT,Z62,Asig_Terc_Pin)*'Costos x MO'!$B$7)</f>
        <v>0</v>
      </c>
      <c r="AI62" s="28">
        <f t="shared" ca="1" si="30"/>
        <v>45.225000000000001</v>
      </c>
      <c r="AJ62" s="28">
        <f t="shared" ca="1" si="31"/>
        <v>38.324999999999996</v>
      </c>
      <c r="AK62" s="31">
        <f t="shared" ca="1" si="32"/>
        <v>0.45870736086175939</v>
      </c>
      <c r="AL62" s="28" t="str">
        <f t="shared" ca="1" si="33"/>
        <v>C.C</v>
      </c>
      <c r="AM62" s="28" t="str">
        <f t="shared" ca="1" si="34"/>
        <v>MECANICA</v>
      </c>
      <c r="AN62" s="30" t="str">
        <f t="shared" ca="1" si="35"/>
        <v>October</v>
      </c>
      <c r="AO62" s="42">
        <f t="shared" ca="1" si="36"/>
        <v>2019</v>
      </c>
      <c r="AP62" s="42">
        <f t="shared" ca="1" si="37"/>
        <v>6</v>
      </c>
      <c r="AQ62" s="26">
        <v>1</v>
      </c>
      <c r="AR62" s="30">
        <f t="shared" ca="1" si="42"/>
        <v>43755</v>
      </c>
      <c r="AS62" s="30" t="str">
        <f t="shared" ca="1" si="38"/>
        <v>BMA-272</v>
      </c>
      <c r="AT62" s="26" t="str">
        <f t="shared" ca="1" si="39"/>
        <v>GREAT WALL</v>
      </c>
      <c r="AU62" s="26" t="str">
        <f t="shared" ca="1" si="40"/>
        <v>H3</v>
      </c>
      <c r="AV62" s="26" t="str">
        <f t="shared" ca="1" si="43"/>
        <v>VIDANTE CHINCHAY JOAO MARTIN</v>
      </c>
    </row>
    <row r="63" spans="1:48" x14ac:dyDescent="0.2">
      <c r="A63" s="172">
        <v>43759</v>
      </c>
      <c r="B63" s="173" t="s">
        <v>68</v>
      </c>
      <c r="C63" s="173" t="s">
        <v>102</v>
      </c>
      <c r="D63" s="173" t="s">
        <v>679</v>
      </c>
      <c r="E63" s="173" t="s">
        <v>757</v>
      </c>
      <c r="F63" s="173" t="s">
        <v>941</v>
      </c>
      <c r="G63" s="172">
        <v>43742</v>
      </c>
      <c r="H63" s="173" t="s">
        <v>90</v>
      </c>
      <c r="I63" s="173" t="s">
        <v>91</v>
      </c>
      <c r="J63" s="173" t="s">
        <v>70</v>
      </c>
      <c r="K63" s="173" t="s">
        <v>112</v>
      </c>
      <c r="L63" s="174" t="s">
        <v>71</v>
      </c>
      <c r="M63" s="175" t="s">
        <v>72</v>
      </c>
      <c r="N63" s="173" t="s">
        <v>73</v>
      </c>
      <c r="O63" s="176" t="s">
        <v>69</v>
      </c>
      <c r="P63" s="130" t="s">
        <v>447</v>
      </c>
      <c r="Q63" s="177" t="s">
        <v>93</v>
      </c>
      <c r="R63" s="178">
        <v>3.3469999000000001</v>
      </c>
      <c r="S63" s="179">
        <v>1</v>
      </c>
      <c r="T63" s="179">
        <v>30</v>
      </c>
      <c r="U63" s="179">
        <v>30</v>
      </c>
      <c r="V63" s="179">
        <v>5.4000019999999997</v>
      </c>
      <c r="W63" s="179">
        <v>35.400002000000001</v>
      </c>
      <c r="X63" s="27">
        <f t="shared" si="13"/>
        <v>100.409997</v>
      </c>
      <c r="Y63" s="29">
        <f ca="1">VLOOKUP(Z63,CHOOSE({2,1},Fac_Fecha,Fac_OT),2,0)</f>
        <v>43764</v>
      </c>
      <c r="Z63" s="26" t="s">
        <v>830</v>
      </c>
      <c r="AA63" s="28">
        <f t="shared" ca="1" si="41"/>
        <v>423.72879</v>
      </c>
      <c r="AB63" s="28">
        <f ca="1">SUMIF(Salida_OT,Facturacion!Z63,Salida_Suma)</f>
        <v>179.36700285000001</v>
      </c>
      <c r="AC63" s="28">
        <f t="shared" ca="1" si="28"/>
        <v>0</v>
      </c>
      <c r="AD63" s="28">
        <f t="shared" ca="1" si="29"/>
        <v>101.69491525423729</v>
      </c>
      <c r="AE63" s="28">
        <f ca="1">(SUMIF(Asig_OT,Z63,Asig_Hora_Mec))*'Costos x MO'!$B$6*'Costos x MO'!$B$7</f>
        <v>40.250250000000001</v>
      </c>
      <c r="AF63" s="28">
        <f ca="1">SUMIF(Asig_OT,Z63,Asig_Hora_Pla)*'Costos x MO'!$B$4*'Costos x MO'!$B$7</f>
        <v>0</v>
      </c>
      <c r="AG63" s="28">
        <f ca="1">SUMIF(Asig_OT,Z63,Asig_paño_Pin)*'Costos x MO'!$B$5*'Costos x MO'!$B$7</f>
        <v>0</v>
      </c>
      <c r="AH63" s="28">
        <f ca="1">(SUMIF(Asig_OT,Z63,Asig_Terc_Pla)*'Costos x MO'!$B$7)+(SUMIF(Asig_OT,Z63,Asig_Terc_Pin)*'Costos x MO'!$B$7)</f>
        <v>0</v>
      </c>
      <c r="AI63" s="28">
        <f t="shared" ca="1" si="30"/>
        <v>321.31216810423729</v>
      </c>
      <c r="AJ63" s="28">
        <f t="shared" ca="1" si="31"/>
        <v>102.41662189576272</v>
      </c>
      <c r="AK63" s="31">
        <f t="shared" ca="1" si="32"/>
        <v>0.24170324111270022</v>
      </c>
      <c r="AL63" s="28" t="str">
        <f t="shared" ca="1" si="33"/>
        <v>C.C</v>
      </c>
      <c r="AM63" s="28" t="str">
        <f t="shared" ca="1" si="34"/>
        <v>MECANICA</v>
      </c>
      <c r="AN63" s="30" t="str">
        <f t="shared" ca="1" si="35"/>
        <v>October</v>
      </c>
      <c r="AO63" s="42">
        <f t="shared" ca="1" si="36"/>
        <v>2019</v>
      </c>
      <c r="AP63" s="42">
        <f t="shared" ca="1" si="37"/>
        <v>5</v>
      </c>
      <c r="AQ63" s="26">
        <v>1</v>
      </c>
      <c r="AR63" s="30">
        <f t="shared" ca="1" si="42"/>
        <v>43759</v>
      </c>
      <c r="AS63" s="30" t="str">
        <f t="shared" ca="1" si="38"/>
        <v>D9K-336</v>
      </c>
      <c r="AT63" s="26" t="str">
        <f t="shared" ca="1" si="39"/>
        <v>KIA</v>
      </c>
      <c r="AU63" s="26" t="str">
        <f t="shared" ca="1" si="40"/>
        <v>SPORTAGE</v>
      </c>
      <c r="AV63" s="26" t="str">
        <f t="shared" ca="1" si="43"/>
        <v>MANLIO BASSINO PINASCO</v>
      </c>
    </row>
    <row r="64" spans="1:48" x14ac:dyDescent="0.2">
      <c r="A64" s="172">
        <v>43759</v>
      </c>
      <c r="B64" s="173" t="s">
        <v>68</v>
      </c>
      <c r="C64" s="173" t="s">
        <v>102</v>
      </c>
      <c r="D64" s="173" t="s">
        <v>679</v>
      </c>
      <c r="E64" s="173" t="s">
        <v>757</v>
      </c>
      <c r="F64" s="173" t="s">
        <v>941</v>
      </c>
      <c r="G64" s="172">
        <v>43742</v>
      </c>
      <c r="H64" s="173" t="s">
        <v>90</v>
      </c>
      <c r="I64" s="173" t="s">
        <v>91</v>
      </c>
      <c r="J64" s="173" t="s">
        <v>95</v>
      </c>
      <c r="K64" s="173" t="s">
        <v>96</v>
      </c>
      <c r="L64" s="174" t="s">
        <v>71</v>
      </c>
      <c r="M64" s="175" t="s">
        <v>72</v>
      </c>
      <c r="N64" s="173" t="s">
        <v>73</v>
      </c>
      <c r="O64" s="176" t="s">
        <v>69</v>
      </c>
      <c r="P64" s="130" t="s">
        <v>96</v>
      </c>
      <c r="Q64" s="177" t="s">
        <v>93</v>
      </c>
      <c r="R64" s="178">
        <v>3.3469999000000001</v>
      </c>
      <c r="S64" s="179">
        <v>-1</v>
      </c>
      <c r="T64" s="179">
        <v>183.22031000000004</v>
      </c>
      <c r="U64" s="179">
        <v>-183.22031000000004</v>
      </c>
      <c r="V64" s="179">
        <v>-32.979689999999977</v>
      </c>
      <c r="W64" s="179">
        <v>-216.2</v>
      </c>
      <c r="X64" s="27">
        <f t="shared" si="13"/>
        <v>-613.23835924796913</v>
      </c>
      <c r="Y64" s="29">
        <f ca="1">VLOOKUP(Z64,CHOOSE({2,1},Fac_Fecha,Fac_OT),2,0)</f>
        <v>43768</v>
      </c>
      <c r="Z64" s="107" t="s">
        <v>1202</v>
      </c>
      <c r="AA64" s="28">
        <f t="shared" ca="1" si="41"/>
        <v>66.799998000000016</v>
      </c>
      <c r="AB64" s="28">
        <f ca="1">SUMIF(Salida_OT,Facturacion!Z64,Salida_Suma)</f>
        <v>0</v>
      </c>
      <c r="AC64" s="28">
        <f t="shared" ca="1" si="28"/>
        <v>0</v>
      </c>
      <c r="AD64" s="28">
        <f t="shared" ca="1" si="29"/>
        <v>20.100000000000001</v>
      </c>
      <c r="AE64" s="28">
        <v>39.6</v>
      </c>
      <c r="AF64" s="28">
        <f ca="1">SUMIF(Asig_OT,Z64,Asig_Hora_Pla)*'Costos x MO'!$B$4*'Costos x MO'!$B$7</f>
        <v>0</v>
      </c>
      <c r="AG64" s="28">
        <f ca="1">SUMIF(Asig_OT,Z64,Asig_paño_Pin)*'Costos x MO'!$B$5*'Costos x MO'!$B$7</f>
        <v>0</v>
      </c>
      <c r="AH64" s="28">
        <f ca="1">(SUMIF(Asig_OT,Z64,Asig_Terc_Pla)*'Costos x MO'!$B$7)+(SUMIF(Asig_OT,Z64,Asig_Terc_Pin)*'Costos x MO'!$B$7)</f>
        <v>0</v>
      </c>
      <c r="AI64" s="28">
        <f t="shared" ca="1" si="30"/>
        <v>59.7</v>
      </c>
      <c r="AJ64" s="28">
        <f t="shared" ca="1" si="31"/>
        <v>7.0999980000000136</v>
      </c>
      <c r="AK64" s="31">
        <f t="shared" ca="1" si="32"/>
        <v>0.10628739839183846</v>
      </c>
      <c r="AL64" s="28" t="s">
        <v>123</v>
      </c>
      <c r="AM64" s="28" t="s">
        <v>124</v>
      </c>
      <c r="AN64" s="30" t="str">
        <f t="shared" ca="1" si="35"/>
        <v>October</v>
      </c>
      <c r="AO64" s="42">
        <f t="shared" ca="1" si="36"/>
        <v>2019</v>
      </c>
      <c r="AP64" s="42">
        <f t="shared" ca="1" si="37"/>
        <v>7</v>
      </c>
      <c r="AQ64" s="26">
        <v>1</v>
      </c>
      <c r="AR64" s="30">
        <f t="shared" ca="1" si="42"/>
        <v>43761</v>
      </c>
      <c r="AS64" s="30" t="s">
        <v>855</v>
      </c>
      <c r="AT64" s="26" t="s">
        <v>154</v>
      </c>
      <c r="AU64" s="26" t="s">
        <v>155</v>
      </c>
      <c r="AV64" s="26" t="str">
        <f t="shared" ca="1" si="43"/>
        <v>MONCADA PIEDRA EDUARDO</v>
      </c>
    </row>
    <row r="65" spans="1:48" x14ac:dyDescent="0.2">
      <c r="A65" s="172">
        <v>43759</v>
      </c>
      <c r="B65" s="173" t="s">
        <v>68</v>
      </c>
      <c r="C65" s="173" t="s">
        <v>102</v>
      </c>
      <c r="D65" s="173" t="s">
        <v>679</v>
      </c>
      <c r="E65" s="173" t="s">
        <v>757</v>
      </c>
      <c r="F65" s="173" t="s">
        <v>941</v>
      </c>
      <c r="G65" s="172">
        <v>43742</v>
      </c>
      <c r="H65" s="173" t="s">
        <v>90</v>
      </c>
      <c r="I65" s="173" t="s">
        <v>91</v>
      </c>
      <c r="J65" s="173" t="s">
        <v>104</v>
      </c>
      <c r="K65" s="173" t="s">
        <v>105</v>
      </c>
      <c r="L65" s="174" t="s">
        <v>71</v>
      </c>
      <c r="M65" s="175" t="s">
        <v>72</v>
      </c>
      <c r="N65" s="173" t="s">
        <v>73</v>
      </c>
      <c r="O65" s="176" t="s">
        <v>69</v>
      </c>
      <c r="P65" s="173" t="s">
        <v>105</v>
      </c>
      <c r="Q65" s="177" t="s">
        <v>93</v>
      </c>
      <c r="R65" s="178">
        <v>3.3469999000000001</v>
      </c>
      <c r="S65" s="179">
        <v>1</v>
      </c>
      <c r="T65" s="179">
        <v>0</v>
      </c>
      <c r="U65" s="179">
        <v>0</v>
      </c>
      <c r="V65" s="179">
        <v>0</v>
      </c>
      <c r="W65" s="179">
        <v>0</v>
      </c>
      <c r="X65" s="27">
        <f t="shared" si="13"/>
        <v>0</v>
      </c>
      <c r="Y65" s="29">
        <f ca="1">VLOOKUP(Z65,CHOOSE({2,1},Fac_Fecha,Fac_OT),2,0)</f>
        <v>43768</v>
      </c>
      <c r="Z65" s="26" t="s">
        <v>890</v>
      </c>
      <c r="AA65" s="28">
        <f t="shared" ca="1" si="41"/>
        <v>211.87289000000001</v>
      </c>
      <c r="AB65" s="28">
        <f ca="1">SUMIF(Salida_OT,Facturacion!Z65,Salida_Suma)</f>
        <v>68.517799999999994</v>
      </c>
      <c r="AC65" s="28">
        <f t="shared" ca="1" si="28"/>
        <v>0</v>
      </c>
      <c r="AD65" s="28">
        <f t="shared" ca="1" si="29"/>
        <v>0</v>
      </c>
      <c r="AE65" s="28">
        <f ca="1">(SUMIF(Asig_OT,Z65,Asig_Hora_Mec))*'Costos x MO'!$B$6*'Costos x MO'!$B$7</f>
        <v>40.250250000000001</v>
      </c>
      <c r="AF65" s="28">
        <f ca="1">SUMIF(Asig_OT,Z65,Asig_Hora_Pla)*'Costos x MO'!$B$4*'Costos x MO'!$B$7</f>
        <v>0</v>
      </c>
      <c r="AG65" s="28">
        <f ca="1">SUMIF(Asig_OT,Z65,Asig_paño_Pin)*'Costos x MO'!$B$5*'Costos x MO'!$B$7</f>
        <v>0</v>
      </c>
      <c r="AH65" s="28">
        <f ca="1">(SUMIF(Asig_OT,Z65,Asig_Terc_Pla)*'Costos x MO'!$B$7)+(SUMIF(Asig_OT,Z65,Asig_Terc_Pin)*'Costos x MO'!$B$7)</f>
        <v>0</v>
      </c>
      <c r="AI65" s="28">
        <f t="shared" ca="1" si="30"/>
        <v>108.76804999999999</v>
      </c>
      <c r="AJ65" s="28">
        <f t="shared" ca="1" si="31"/>
        <v>103.10484000000002</v>
      </c>
      <c r="AK65" s="31">
        <f t="shared" ca="1" si="32"/>
        <v>0.48663535953089621</v>
      </c>
      <c r="AL65" s="28" t="str">
        <f t="shared" ca="1" si="33"/>
        <v>C.C</v>
      </c>
      <c r="AM65" s="28" t="str">
        <f t="shared" ca="1" si="34"/>
        <v>MECANICA</v>
      </c>
      <c r="AN65" s="30" t="str">
        <f t="shared" ca="1" si="35"/>
        <v>October</v>
      </c>
      <c r="AO65" s="42">
        <f t="shared" ca="1" si="36"/>
        <v>2019</v>
      </c>
      <c r="AP65" s="42">
        <f t="shared" ca="1" si="37"/>
        <v>0</v>
      </c>
      <c r="AQ65" s="26">
        <v>1</v>
      </c>
      <c r="AR65" s="30">
        <f t="shared" ca="1" si="42"/>
        <v>43768</v>
      </c>
      <c r="AS65" s="30" t="str">
        <f t="shared" ca="1" si="38"/>
        <v>BKS-073</v>
      </c>
      <c r="AT65" s="26" t="str">
        <f t="shared" ca="1" si="39"/>
        <v>TOYOTA</v>
      </c>
      <c r="AU65" s="26" t="str">
        <f t="shared" ca="1" si="40"/>
        <v>ETIOS</v>
      </c>
      <c r="AV65" s="26" t="str">
        <f t="shared" ca="1" si="43"/>
        <v>CANAZA SANCHEZ VICTOR HORACIO</v>
      </c>
    </row>
    <row r="66" spans="1:48" x14ac:dyDescent="0.2">
      <c r="A66" s="172">
        <v>43759</v>
      </c>
      <c r="B66" s="173" t="s">
        <v>68</v>
      </c>
      <c r="C66" s="173" t="s">
        <v>102</v>
      </c>
      <c r="D66" s="173" t="s">
        <v>678</v>
      </c>
      <c r="E66" s="173" t="s">
        <v>796</v>
      </c>
      <c r="F66" s="173" t="s">
        <v>1147</v>
      </c>
      <c r="G66" s="172">
        <v>43752</v>
      </c>
      <c r="H66" s="173" t="s">
        <v>557</v>
      </c>
      <c r="I66" s="173" t="s">
        <v>556</v>
      </c>
      <c r="J66" s="173" t="s">
        <v>95</v>
      </c>
      <c r="K66" s="173" t="s">
        <v>96</v>
      </c>
      <c r="L66" s="174" t="s">
        <v>71</v>
      </c>
      <c r="M66" s="175" t="s">
        <v>72</v>
      </c>
      <c r="N66" s="173" t="s">
        <v>73</v>
      </c>
      <c r="O66" s="176" t="s">
        <v>69</v>
      </c>
      <c r="P66" s="130" t="s">
        <v>96</v>
      </c>
      <c r="Q66" s="177" t="s">
        <v>93</v>
      </c>
      <c r="R66" s="178">
        <v>3.3469999000000001</v>
      </c>
      <c r="S66" s="179">
        <v>1</v>
      </c>
      <c r="T66" s="179">
        <v>100</v>
      </c>
      <c r="U66" s="179">
        <v>100</v>
      </c>
      <c r="V66" s="179">
        <v>18</v>
      </c>
      <c r="W66" s="179">
        <v>118</v>
      </c>
      <c r="X66" s="27">
        <f t="shared" si="13"/>
        <v>334.69999000000001</v>
      </c>
      <c r="Y66" s="29">
        <f ca="1">VLOOKUP(Z66,CHOOSE({2,1},Fac_Fecha,Fac_OT),2,0)</f>
        <v>43769</v>
      </c>
      <c r="Z66" s="26" t="s">
        <v>899</v>
      </c>
      <c r="AA66" s="28">
        <f t="shared" ca="1" si="41"/>
        <v>211.87289000000001</v>
      </c>
      <c r="AB66" s="28">
        <f ca="1">SUMIF(Salida_OT,Facturacion!Z66,Salida_Suma)</f>
        <v>68.514600000000002</v>
      </c>
      <c r="AC66" s="28">
        <f t="shared" ca="1" si="28"/>
        <v>0</v>
      </c>
      <c r="AD66" s="28">
        <f t="shared" ca="1" si="29"/>
        <v>0</v>
      </c>
      <c r="AE66" s="28">
        <f ca="1">(SUMIF(Asig_OT,Z66,Asig_Hora_Mec))*'Costos x MO'!$B$6*'Costos x MO'!$B$7</f>
        <v>40.250250000000001</v>
      </c>
      <c r="AF66" s="28">
        <f ca="1">SUMIF(Asig_OT,Z66,Asig_Hora_Pla)*'Costos x MO'!$B$4*'Costos x MO'!$B$7</f>
        <v>0</v>
      </c>
      <c r="AG66" s="28">
        <f ca="1">SUMIF(Asig_OT,Z66,Asig_paño_Pin)*'Costos x MO'!$B$5*'Costos x MO'!$B$7</f>
        <v>0</v>
      </c>
      <c r="AH66" s="28">
        <f ca="1">(SUMIF(Asig_OT,Z66,Asig_Terc_Pla)*'Costos x MO'!$B$7)+(SUMIF(Asig_OT,Z66,Asig_Terc_Pin)*'Costos x MO'!$B$7)</f>
        <v>0</v>
      </c>
      <c r="AI66" s="28">
        <f t="shared" ca="1" si="30"/>
        <v>108.76485</v>
      </c>
      <c r="AJ66" s="28">
        <f t="shared" ca="1" si="31"/>
        <v>103.10804000000002</v>
      </c>
      <c r="AK66" s="31">
        <f t="shared" ca="1" si="32"/>
        <v>0.48665046292614411</v>
      </c>
      <c r="AL66" s="28" t="str">
        <f t="shared" ca="1" si="33"/>
        <v>C.C</v>
      </c>
      <c r="AM66" s="28" t="str">
        <f t="shared" ca="1" si="34"/>
        <v>MECANICA</v>
      </c>
      <c r="AN66" s="30" t="str">
        <f t="shared" ca="1" si="35"/>
        <v>October</v>
      </c>
      <c r="AO66" s="42">
        <f t="shared" ca="1" si="36"/>
        <v>2019</v>
      </c>
      <c r="AP66" s="42">
        <f t="shared" ca="1" si="37"/>
        <v>0</v>
      </c>
      <c r="AQ66" s="26">
        <v>1</v>
      </c>
      <c r="AR66" s="30">
        <f t="shared" ca="1" si="42"/>
        <v>43769</v>
      </c>
      <c r="AS66" s="30" t="str">
        <f t="shared" ca="1" si="38"/>
        <v>D2E-026</v>
      </c>
      <c r="AT66" s="26" t="str">
        <f t="shared" ca="1" si="39"/>
        <v>TOYOTA</v>
      </c>
      <c r="AU66" s="26" t="str">
        <f t="shared" ca="1" si="40"/>
        <v>COROLLA</v>
      </c>
      <c r="AV66" s="26" t="str">
        <f t="shared" ca="1" si="43"/>
        <v>DE LA CRUZ PESCORAN ADA VERONICA</v>
      </c>
    </row>
    <row r="67" spans="1:48" x14ac:dyDescent="0.2">
      <c r="A67" s="172">
        <v>43759</v>
      </c>
      <c r="B67" s="173" t="s">
        <v>68</v>
      </c>
      <c r="C67" s="173" t="s">
        <v>102</v>
      </c>
      <c r="D67" s="173" t="s">
        <v>677</v>
      </c>
      <c r="E67" s="173" t="s">
        <v>751</v>
      </c>
      <c r="F67" s="173" t="s">
        <v>1148</v>
      </c>
      <c r="G67" s="172">
        <v>43741</v>
      </c>
      <c r="H67" s="173" t="s">
        <v>557</v>
      </c>
      <c r="I67" s="173" t="s">
        <v>556</v>
      </c>
      <c r="J67" s="173" t="s">
        <v>95</v>
      </c>
      <c r="K67" s="173" t="s">
        <v>96</v>
      </c>
      <c r="L67" s="174" t="s">
        <v>71</v>
      </c>
      <c r="M67" s="175" t="s">
        <v>72</v>
      </c>
      <c r="N67" s="173" t="s">
        <v>73</v>
      </c>
      <c r="O67" s="176" t="s">
        <v>69</v>
      </c>
      <c r="P67" s="130" t="s">
        <v>96</v>
      </c>
      <c r="Q67" s="177" t="s">
        <v>93</v>
      </c>
      <c r="R67" s="178">
        <v>3.3469999000000001</v>
      </c>
      <c r="S67" s="179">
        <v>1</v>
      </c>
      <c r="T67" s="179">
        <v>100</v>
      </c>
      <c r="U67" s="179">
        <v>100</v>
      </c>
      <c r="V67" s="179">
        <v>18</v>
      </c>
      <c r="W67" s="179">
        <v>118</v>
      </c>
      <c r="X67" s="27">
        <f t="shared" si="13"/>
        <v>334.69999000000001</v>
      </c>
      <c r="Y67" s="29">
        <f ca="1">VLOOKUP(Z67,CHOOSE({2,1},Fac_Fecha,Fac_OT),2,0)</f>
        <v>43771</v>
      </c>
      <c r="Z67" s="26" t="s">
        <v>884</v>
      </c>
      <c r="AA67" s="28">
        <f t="shared" ca="1" si="41"/>
        <v>398.53100000000006</v>
      </c>
      <c r="AB67" s="28">
        <f ca="1">SUMIF(Salida_OT,Facturacion!Z67,Salida_Suma)</f>
        <v>0</v>
      </c>
      <c r="AC67" s="28">
        <f t="shared" ref="AC67:AC130" ca="1" si="44">SUMIFS(Compras_Suma,Compras_OT,Z67,Compras_Tipo,"RP")</f>
        <v>0</v>
      </c>
      <c r="AD67" s="28">
        <f t="shared" ref="AD67:AD130" ca="1" si="45">SUMIFS(Compras_Suma,Compras_OT,Z67,Compras_Tipo,"ST")</f>
        <v>30.150000000000002</v>
      </c>
      <c r="AE67" s="28">
        <f ca="1">(SUMIF(Asig_OT,Z67,Asig_Hora_Mec))*'Costos x MO'!$B$6*'Costos x MO'!$B$7</f>
        <v>0</v>
      </c>
      <c r="AF67" s="28">
        <f ca="1">SUMIF(Asig_OT,Z67,Asig_Hora_Pla)*'Costos x MO'!$B$4*'Costos x MO'!$B$7</f>
        <v>15.075000000000001</v>
      </c>
      <c r="AG67" s="28">
        <f ca="1">SUMIF(Asig_OT,Z67,Asig_paño_Pin)*'Costos x MO'!$B$5*'Costos x MO'!$B$7</f>
        <v>0</v>
      </c>
      <c r="AH67" s="28">
        <f ca="1">(SUMIF(Asig_OT,Z67,Asig_Terc_Pla)*'Costos x MO'!$B$7)+(SUMIF(Asig_OT,Z67,Asig_Terc_Pin)*'Costos x MO'!$B$7)</f>
        <v>0</v>
      </c>
      <c r="AI67" s="28">
        <f t="shared" ref="AI67:AI130" ca="1" si="46">SUM(AB67:AH67)</f>
        <v>45.225000000000001</v>
      </c>
      <c r="AJ67" s="28">
        <f t="shared" ref="AJ67:AJ130" ca="1" si="47">+AA67-AI67</f>
        <v>353.30600000000004</v>
      </c>
      <c r="AK67" s="31">
        <f t="shared" ref="AK67:AK130" ca="1" si="48">IFERROR(AJ67/AA67,0)</f>
        <v>0.88652074744499165</v>
      </c>
      <c r="AL67" s="28" t="str">
        <f t="shared" ref="AL67:AL130" ca="1" si="49">IFERROR(VLOOKUP(Z67,Matriz,5,0),"S/TIPO")</f>
        <v>RIMAC</v>
      </c>
      <c r="AM67" s="28" t="str">
        <f t="shared" ref="AM67:AM130" ca="1" si="50">IFERROR(VLOOKUP(Z67,Matriz,17,0),"S/TIPO")</f>
        <v>LEVE</v>
      </c>
      <c r="AN67" s="30" t="str">
        <f t="shared" ref="AN67:AN130" ca="1" si="51">PROPER(TEXT(Y67,"mmmm"))</f>
        <v>November</v>
      </c>
      <c r="AO67" s="42">
        <f t="shared" ref="AO67:AO130" ca="1" si="52">YEAR(Y67)</f>
        <v>2019</v>
      </c>
      <c r="AP67" s="42">
        <f t="shared" ref="AP67:AP130" ca="1" si="53">+Y67-AR67</f>
        <v>10</v>
      </c>
      <c r="AQ67" s="26">
        <v>1</v>
      </c>
      <c r="AR67" s="30">
        <f t="shared" ref="AR67:AR130" ca="1" si="54">VLOOKUP(Z67,Matriz2,3,0)</f>
        <v>43761</v>
      </c>
      <c r="AS67" s="30" t="str">
        <f t="shared" ref="AS67:AS130" ca="1" si="55">IFERROR(VLOOKUP(Z67,Matriz,2,0),"S/PLACA")</f>
        <v>APW-245</v>
      </c>
      <c r="AT67" s="26" t="str">
        <f t="shared" ref="AT67:AT130" ca="1" si="56">IFERROR(VLOOKUP(Z67,Matriz,3,0),"S/MARCA")</f>
        <v>NISSAN</v>
      </c>
      <c r="AU67" s="26" t="str">
        <f t="shared" ref="AU67:AU130" ca="1" si="57">IFERROR(VLOOKUP(Z67,Matriz,4,0),"S/MODELO")</f>
        <v>SENTRA</v>
      </c>
      <c r="AV67" s="26" t="str">
        <f t="shared" ref="AV67:AV130" ca="1" si="58">VLOOKUP(Z67,Matriz2,5,0)</f>
        <v>RIMAC SEGUROS  Y REASEGUROS S.A</v>
      </c>
    </row>
    <row r="68" spans="1:48" x14ac:dyDescent="0.2">
      <c r="A68" s="172">
        <v>43759</v>
      </c>
      <c r="B68" s="173" t="s">
        <v>68</v>
      </c>
      <c r="C68" s="173" t="s">
        <v>102</v>
      </c>
      <c r="D68" s="173" t="s">
        <v>676</v>
      </c>
      <c r="E68" s="173" t="s">
        <v>796</v>
      </c>
      <c r="F68" s="173" t="s">
        <v>1147</v>
      </c>
      <c r="G68" s="172">
        <v>43752</v>
      </c>
      <c r="H68" s="173" t="s">
        <v>90</v>
      </c>
      <c r="I68" s="173" t="s">
        <v>91</v>
      </c>
      <c r="J68" s="173" t="s">
        <v>97</v>
      </c>
      <c r="K68" s="173" t="s">
        <v>98</v>
      </c>
      <c r="L68" s="174" t="s">
        <v>71</v>
      </c>
      <c r="M68" s="175" t="s">
        <v>72</v>
      </c>
      <c r="N68" s="173" t="s">
        <v>73</v>
      </c>
      <c r="O68" s="176" t="s">
        <v>99</v>
      </c>
      <c r="P68" s="173" t="s">
        <v>98</v>
      </c>
      <c r="Q68" s="177" t="s">
        <v>93</v>
      </c>
      <c r="R68" s="178">
        <v>3.3469999000000001</v>
      </c>
      <c r="S68" s="179">
        <v>1</v>
      </c>
      <c r="T68" s="179">
        <v>59</v>
      </c>
      <c r="U68" s="179">
        <v>59</v>
      </c>
      <c r="V68" s="179">
        <v>10.620002999999997</v>
      </c>
      <c r="W68" s="179">
        <v>69.620002999999997</v>
      </c>
      <c r="X68" s="27">
        <f t="shared" si="13"/>
        <v>197.47299409999999</v>
      </c>
      <c r="Y68" s="29">
        <f ca="1">VLOOKUP(Z68,CHOOSE({2,1},Fac_Fecha,Fac_OT),2,0)</f>
        <v>43773</v>
      </c>
      <c r="Z68" s="26" t="s">
        <v>886</v>
      </c>
      <c r="AA68" s="28">
        <f t="shared" ca="1" si="41"/>
        <v>1725.0755932999998</v>
      </c>
      <c r="AB68" s="28">
        <f ca="1">SUMIF(Salida_OT,Facturacion!Z68,Salida_Suma)</f>
        <v>0</v>
      </c>
      <c r="AC68" s="28">
        <f t="shared" ca="1" si="44"/>
        <v>0</v>
      </c>
      <c r="AD68" s="28">
        <f t="shared" ca="1" si="45"/>
        <v>0</v>
      </c>
      <c r="AE68" s="28">
        <f ca="1">(SUMIF(Asig_OT,Z68,Asig_Hora_Mec))*'Costos x MO'!$B$6*'Costos x MO'!$B$7</f>
        <v>0</v>
      </c>
      <c r="AF68" s="28">
        <f ca="1">SUMIF(Asig_OT,Z68,Asig_Hora_Pla)*'Costos x MO'!$B$4*'Costos x MO'!$B$7</f>
        <v>211.05</v>
      </c>
      <c r="AG68" s="28">
        <f ca="1">SUMIF(Asig_OT,Z68,Asig_paño_Pin)*'Costos x MO'!$B$5*'Costos x MO'!$B$7</f>
        <v>158.28749999999999</v>
      </c>
      <c r="AH68" s="28">
        <f ca="1">(SUMIF(Asig_OT,Z68,Asig_Terc_Pla)*'Costos x MO'!$B$7)+(SUMIF(Asig_OT,Z68,Asig_Terc_Pin)*'Costos x MO'!$B$7)</f>
        <v>0</v>
      </c>
      <c r="AI68" s="28">
        <f t="shared" ca="1" si="46"/>
        <v>369.33749999999998</v>
      </c>
      <c r="AJ68" s="28">
        <f t="shared" ca="1" si="47"/>
        <v>1355.7380932999999</v>
      </c>
      <c r="AK68" s="31">
        <f t="shared" ca="1" si="48"/>
        <v>0.78590068665137613</v>
      </c>
      <c r="AL68" s="28" t="str">
        <f t="shared" ca="1" si="49"/>
        <v>RIMAC</v>
      </c>
      <c r="AM68" s="28" t="str">
        <f t="shared" ca="1" si="50"/>
        <v>MEDIANO</v>
      </c>
      <c r="AN68" s="30" t="str">
        <f t="shared" ca="1" si="51"/>
        <v>November</v>
      </c>
      <c r="AO68" s="42">
        <f t="shared" ca="1" si="52"/>
        <v>2019</v>
      </c>
      <c r="AP68" s="42">
        <f t="shared" ca="1" si="53"/>
        <v>13</v>
      </c>
      <c r="AQ68" s="26">
        <v>1</v>
      </c>
      <c r="AR68" s="30">
        <f t="shared" ca="1" si="54"/>
        <v>43760</v>
      </c>
      <c r="AS68" s="30" t="str">
        <f t="shared" ca="1" si="55"/>
        <v>ACT-191</v>
      </c>
      <c r="AT68" s="26" t="str">
        <f t="shared" ca="1" si="56"/>
        <v>SUZUKI</v>
      </c>
      <c r="AU68" s="26" t="str">
        <f t="shared" ca="1" si="57"/>
        <v>SWIFT</v>
      </c>
      <c r="AV68" s="26" t="str">
        <f t="shared" ca="1" si="58"/>
        <v>RIMAC SEGUROS  Y REASEGUROS S.A</v>
      </c>
    </row>
    <row r="69" spans="1:48" x14ac:dyDescent="0.2">
      <c r="A69" s="172">
        <v>43759</v>
      </c>
      <c r="B69" s="173" t="s">
        <v>68</v>
      </c>
      <c r="C69" s="173" t="s">
        <v>102</v>
      </c>
      <c r="D69" s="173" t="s">
        <v>676</v>
      </c>
      <c r="E69" s="173" t="s">
        <v>796</v>
      </c>
      <c r="F69" s="173" t="s">
        <v>1147</v>
      </c>
      <c r="G69" s="172">
        <v>43752</v>
      </c>
      <c r="H69" s="173" t="s">
        <v>90</v>
      </c>
      <c r="I69" s="173" t="s">
        <v>91</v>
      </c>
      <c r="J69" s="173" t="s">
        <v>100</v>
      </c>
      <c r="K69" s="173" t="s">
        <v>101</v>
      </c>
      <c r="L69" s="174" t="s">
        <v>71</v>
      </c>
      <c r="M69" s="175" t="s">
        <v>72</v>
      </c>
      <c r="N69" s="173" t="s">
        <v>73</v>
      </c>
      <c r="O69" s="176" t="s">
        <v>72</v>
      </c>
      <c r="P69" s="130" t="s">
        <v>101</v>
      </c>
      <c r="Q69" s="177" t="s">
        <v>93</v>
      </c>
      <c r="R69" s="178">
        <v>3.3469999000000001</v>
      </c>
      <c r="S69" s="179">
        <v>1</v>
      </c>
      <c r="T69" s="179">
        <v>150</v>
      </c>
      <c r="U69" s="179">
        <v>150</v>
      </c>
      <c r="V69" s="179">
        <v>27</v>
      </c>
      <c r="W69" s="179">
        <v>177</v>
      </c>
      <c r="X69" s="27">
        <f t="shared" ref="X69:X132" si="59">IF(Q69="$",(U69*R69),U69)</f>
        <v>502.04998499999999</v>
      </c>
      <c r="Y69" s="29">
        <f ca="1">VLOOKUP(Z69,CHOOSE({2,1},Fac_Fecha,Fac_OT),2,0)</f>
        <v>43774</v>
      </c>
      <c r="Z69" s="26" t="s">
        <v>875</v>
      </c>
      <c r="AA69" s="28">
        <f t="shared" ca="1" si="41"/>
        <v>2655.4560000000001</v>
      </c>
      <c r="AB69" s="28">
        <f ca="1">SUMIF(Salida_OT,Facturacion!Z69,Salida_Suma)</f>
        <v>0</v>
      </c>
      <c r="AC69" s="28">
        <f t="shared" ca="1" si="44"/>
        <v>0</v>
      </c>
      <c r="AD69" s="28">
        <f t="shared" ca="1" si="45"/>
        <v>91.344999999999999</v>
      </c>
      <c r="AE69" s="28">
        <f ca="1">(SUMIF(Asig_OT,Z69,Asig_Hora_Mec))*'Costos x MO'!$B$6*'Costos x MO'!$B$7</f>
        <v>0</v>
      </c>
      <c r="AF69" s="28">
        <f ca="1">SUMIF(Asig_OT,Z69,Asig_Hora_Pla)*'Costos x MO'!$B$4*'Costos x MO'!$B$7</f>
        <v>361.8</v>
      </c>
      <c r="AG69" s="28">
        <f ca="1">SUMIF(Asig_OT,Z69,Asig_paño_Pin)*'Costos x MO'!$B$5*'Costos x MO'!$B$7</f>
        <v>281.40000000000003</v>
      </c>
      <c r="AH69" s="28">
        <f ca="1">(SUMIF(Asig_OT,Z69,Asig_Terc_Pla)*'Costos x MO'!$B$7)+(SUMIF(Asig_OT,Z69,Asig_Terc_Pin)*'Costos x MO'!$B$7)</f>
        <v>0</v>
      </c>
      <c r="AI69" s="28">
        <f t="shared" ca="1" si="46"/>
        <v>734.54500000000007</v>
      </c>
      <c r="AJ69" s="28">
        <f t="shared" ca="1" si="47"/>
        <v>1920.9110000000001</v>
      </c>
      <c r="AK69" s="31">
        <f t="shared" ca="1" si="48"/>
        <v>0.72338272598001996</v>
      </c>
      <c r="AL69" s="28" t="str">
        <f t="shared" ca="1" si="49"/>
        <v>RIMAC</v>
      </c>
      <c r="AM69" s="28" t="str">
        <f t="shared" ca="1" si="50"/>
        <v>GRAVE</v>
      </c>
      <c r="AN69" s="30" t="str">
        <f t="shared" ca="1" si="51"/>
        <v>November</v>
      </c>
      <c r="AO69" s="42">
        <f t="shared" ca="1" si="52"/>
        <v>2019</v>
      </c>
      <c r="AP69" s="42">
        <f t="shared" ca="1" si="53"/>
        <v>12</v>
      </c>
      <c r="AQ69" s="26">
        <v>1</v>
      </c>
      <c r="AR69" s="30">
        <f t="shared" ca="1" si="54"/>
        <v>43762</v>
      </c>
      <c r="AS69" s="30" t="str">
        <f t="shared" ca="1" si="55"/>
        <v>F2B-530</v>
      </c>
      <c r="AT69" s="26" t="str">
        <f t="shared" ca="1" si="56"/>
        <v>KIA</v>
      </c>
      <c r="AU69" s="26" t="str">
        <f t="shared" ca="1" si="57"/>
        <v>CERATO</v>
      </c>
      <c r="AV69" s="26" t="str">
        <f t="shared" ca="1" si="58"/>
        <v>RIMAC SEGUROS  Y REASEGUROS S.A</v>
      </c>
    </row>
    <row r="70" spans="1:48" x14ac:dyDescent="0.2">
      <c r="A70" s="172">
        <v>43759</v>
      </c>
      <c r="B70" s="173" t="s">
        <v>68</v>
      </c>
      <c r="C70" s="173" t="s">
        <v>102</v>
      </c>
      <c r="D70" s="173" t="s">
        <v>676</v>
      </c>
      <c r="E70" s="173" t="s">
        <v>796</v>
      </c>
      <c r="F70" s="173" t="s">
        <v>1147</v>
      </c>
      <c r="G70" s="172">
        <v>43752</v>
      </c>
      <c r="H70" s="173" t="s">
        <v>90</v>
      </c>
      <c r="I70" s="173" t="s">
        <v>91</v>
      </c>
      <c r="J70" s="173" t="s">
        <v>95</v>
      </c>
      <c r="K70" s="173" t="s">
        <v>96</v>
      </c>
      <c r="L70" s="174" t="s">
        <v>71</v>
      </c>
      <c r="M70" s="175" t="s">
        <v>72</v>
      </c>
      <c r="N70" s="173" t="s">
        <v>73</v>
      </c>
      <c r="O70" s="176" t="s">
        <v>69</v>
      </c>
      <c r="P70" s="130" t="s">
        <v>96</v>
      </c>
      <c r="Q70" s="177" t="s">
        <v>93</v>
      </c>
      <c r="R70" s="178">
        <v>3.3469999000000001</v>
      </c>
      <c r="S70" s="179">
        <v>-1</v>
      </c>
      <c r="T70" s="179">
        <v>100</v>
      </c>
      <c r="U70" s="179">
        <v>-100</v>
      </c>
      <c r="V70" s="179">
        <v>-18</v>
      </c>
      <c r="W70" s="179">
        <v>-118</v>
      </c>
      <c r="X70" s="27">
        <f t="shared" si="59"/>
        <v>-334.69999000000001</v>
      </c>
      <c r="Y70" s="29">
        <f ca="1">VLOOKUP(Z70,CHOOSE({2,1},Fac_Fecha,Fac_OT),2,0)</f>
        <v>43774</v>
      </c>
      <c r="Z70" s="26" t="s">
        <v>883</v>
      </c>
      <c r="AA70" s="28">
        <f t="shared" ca="1" si="41"/>
        <v>960.76800000000003</v>
      </c>
      <c r="AB70" s="28">
        <f ca="1">SUMIF(Salida_OT,Facturacion!Z70,Salida_Suma)</f>
        <v>0</v>
      </c>
      <c r="AC70" s="28">
        <f t="shared" ca="1" si="44"/>
        <v>0</v>
      </c>
      <c r="AD70" s="28">
        <f t="shared" ca="1" si="45"/>
        <v>121.495</v>
      </c>
      <c r="AE70" s="28">
        <f ca="1">(SUMIF(Asig_OT,Z70,Asig_Hora_Mec))*'Costos x MO'!$B$6*'Costos x MO'!$B$7</f>
        <v>0</v>
      </c>
      <c r="AF70" s="28">
        <f ca="1">SUMIF(Asig_OT,Z70,Asig_Hora_Pla)*'Costos x MO'!$B$4*'Costos x MO'!$B$7</f>
        <v>30.150000000000002</v>
      </c>
      <c r="AG70" s="28">
        <f ca="1">SUMIF(Asig_OT,Z70,Asig_paño_Pin)*'Costos x MO'!$B$5*'Costos x MO'!$B$7</f>
        <v>140.70000000000002</v>
      </c>
      <c r="AH70" s="28">
        <f ca="1">(SUMIF(Asig_OT,Z70,Asig_Terc_Pla)*'Costos x MO'!$B$7)+(SUMIF(Asig_OT,Z70,Asig_Terc_Pin)*'Costos x MO'!$B$7)</f>
        <v>0</v>
      </c>
      <c r="AI70" s="28">
        <f t="shared" ca="1" si="46"/>
        <v>292.34500000000003</v>
      </c>
      <c r="AJ70" s="28">
        <f t="shared" ca="1" si="47"/>
        <v>668.423</v>
      </c>
      <c r="AK70" s="31">
        <f t="shared" ca="1" si="48"/>
        <v>0.69571738442579267</v>
      </c>
      <c r="AL70" s="28" t="str">
        <f t="shared" ca="1" si="49"/>
        <v>RIMAC</v>
      </c>
      <c r="AM70" s="28" t="str">
        <f t="shared" ca="1" si="50"/>
        <v>LEVE</v>
      </c>
      <c r="AN70" s="30" t="str">
        <f t="shared" ca="1" si="51"/>
        <v>November</v>
      </c>
      <c r="AO70" s="42">
        <f t="shared" ca="1" si="52"/>
        <v>2019</v>
      </c>
      <c r="AP70" s="42">
        <f t="shared" ca="1" si="53"/>
        <v>8</v>
      </c>
      <c r="AQ70" s="26">
        <v>1</v>
      </c>
      <c r="AR70" s="30">
        <f t="shared" ca="1" si="54"/>
        <v>43766</v>
      </c>
      <c r="AS70" s="30" t="str">
        <f t="shared" ca="1" si="55"/>
        <v>C4A-237</v>
      </c>
      <c r="AT70" s="26" t="str">
        <f t="shared" ca="1" si="56"/>
        <v>KIA</v>
      </c>
      <c r="AU70" s="26" t="str">
        <f t="shared" ca="1" si="57"/>
        <v>RIO</v>
      </c>
      <c r="AV70" s="26" t="str">
        <f t="shared" ca="1" si="58"/>
        <v>RIMAC SEGUROS  Y REASEGUROS S.A</v>
      </c>
    </row>
    <row r="71" spans="1:48" x14ac:dyDescent="0.2">
      <c r="A71" s="172">
        <v>43759</v>
      </c>
      <c r="B71" s="173" t="s">
        <v>68</v>
      </c>
      <c r="C71" s="173" t="s">
        <v>102</v>
      </c>
      <c r="D71" s="173" t="s">
        <v>676</v>
      </c>
      <c r="E71" s="173" t="s">
        <v>796</v>
      </c>
      <c r="F71" s="173" t="s">
        <v>1147</v>
      </c>
      <c r="G71" s="172">
        <v>43752</v>
      </c>
      <c r="H71" s="173" t="s">
        <v>90</v>
      </c>
      <c r="I71" s="173" t="s">
        <v>91</v>
      </c>
      <c r="J71" s="173" t="s">
        <v>104</v>
      </c>
      <c r="K71" s="173" t="s">
        <v>105</v>
      </c>
      <c r="L71" s="174" t="s">
        <v>71</v>
      </c>
      <c r="M71" s="175" t="s">
        <v>72</v>
      </c>
      <c r="N71" s="173" t="s">
        <v>73</v>
      </c>
      <c r="O71" s="176" t="s">
        <v>69</v>
      </c>
      <c r="P71" s="173" t="s">
        <v>105</v>
      </c>
      <c r="Q71" s="177" t="s">
        <v>93</v>
      </c>
      <c r="R71" s="178">
        <v>3.3469999000000001</v>
      </c>
      <c r="S71" s="179">
        <v>1</v>
      </c>
      <c r="T71" s="179">
        <v>0</v>
      </c>
      <c r="U71" s="179">
        <v>0</v>
      </c>
      <c r="V71" s="179">
        <v>0</v>
      </c>
      <c r="W71" s="179">
        <v>0</v>
      </c>
      <c r="X71" s="27">
        <f t="shared" si="59"/>
        <v>0</v>
      </c>
      <c r="Y71" s="29">
        <f ca="1">VLOOKUP(Z71,CHOOSE({2,1},Fac_Fecha,Fac_OT),2,0)</f>
        <v>43775</v>
      </c>
      <c r="Z71" s="26" t="s">
        <v>895</v>
      </c>
      <c r="AA71" s="28">
        <f t="shared" ca="1" si="41"/>
        <v>1008.378</v>
      </c>
      <c r="AB71" s="28">
        <f ca="1">SUMIF(Salida_OT,Facturacion!Z71,Salida_Suma)</f>
        <v>0</v>
      </c>
      <c r="AC71" s="28">
        <f t="shared" ca="1" si="44"/>
        <v>0</v>
      </c>
      <c r="AD71" s="28">
        <f t="shared" ca="1" si="45"/>
        <v>76.27</v>
      </c>
      <c r="AE71" s="28">
        <f ca="1">(SUMIF(Asig_OT,Z71,Asig_Hora_Mec))*'Costos x MO'!$B$6*'Costos x MO'!$B$7</f>
        <v>0</v>
      </c>
      <c r="AF71" s="28">
        <f ca="1">SUMIF(Asig_OT,Z71,Asig_Hora_Pla)*'Costos x MO'!$B$4*'Costos x MO'!$B$7</f>
        <v>60.300000000000004</v>
      </c>
      <c r="AG71" s="28">
        <f ca="1">SUMIF(Asig_OT,Z71,Asig_paño_Pin)*'Costos x MO'!$B$5*'Costos x MO'!$B$7</f>
        <v>211.05</v>
      </c>
      <c r="AH71" s="28">
        <f ca="1">(SUMIF(Asig_OT,Z71,Asig_Terc_Pla)*'Costos x MO'!$B$7)+(SUMIF(Asig_OT,Z71,Asig_Terc_Pin)*'Costos x MO'!$B$7)</f>
        <v>0</v>
      </c>
      <c r="AI71" s="28">
        <f t="shared" ca="1" si="46"/>
        <v>347.62</v>
      </c>
      <c r="AJ71" s="28">
        <f t="shared" ca="1" si="47"/>
        <v>660.75800000000004</v>
      </c>
      <c r="AK71" s="31">
        <f t="shared" ca="1" si="48"/>
        <v>0.65526816332764104</v>
      </c>
      <c r="AL71" s="28" t="str">
        <f t="shared" ca="1" si="49"/>
        <v>RIMAC</v>
      </c>
      <c r="AM71" s="28" t="str">
        <f t="shared" ca="1" si="50"/>
        <v>LEVE</v>
      </c>
      <c r="AN71" s="30" t="str">
        <f t="shared" ca="1" si="51"/>
        <v>November</v>
      </c>
      <c r="AO71" s="42">
        <f t="shared" ca="1" si="52"/>
        <v>2019</v>
      </c>
      <c r="AP71" s="42">
        <f t="shared" ca="1" si="53"/>
        <v>12</v>
      </c>
      <c r="AQ71" s="26">
        <v>1</v>
      </c>
      <c r="AR71" s="30">
        <f t="shared" ca="1" si="54"/>
        <v>43763</v>
      </c>
      <c r="AS71" s="30" t="str">
        <f t="shared" ca="1" si="55"/>
        <v>A1M-006</v>
      </c>
      <c r="AT71" s="26" t="str">
        <f t="shared" ca="1" si="56"/>
        <v>MINI</v>
      </c>
      <c r="AU71" s="26" t="str">
        <f t="shared" ca="1" si="57"/>
        <v>COOPER</v>
      </c>
      <c r="AV71" s="26" t="str">
        <f t="shared" ca="1" si="58"/>
        <v>PATRON JORGE RICARDO GALLEGOS RIZO</v>
      </c>
    </row>
    <row r="72" spans="1:48" x14ac:dyDescent="0.2">
      <c r="A72" s="172">
        <v>43759</v>
      </c>
      <c r="B72" s="173" t="s">
        <v>68</v>
      </c>
      <c r="C72" s="173" t="s">
        <v>102</v>
      </c>
      <c r="D72" s="173" t="s">
        <v>675</v>
      </c>
      <c r="E72" s="173" t="s">
        <v>751</v>
      </c>
      <c r="F72" s="173" t="s">
        <v>1148</v>
      </c>
      <c r="G72" s="172">
        <v>43741</v>
      </c>
      <c r="H72" s="173" t="s">
        <v>90</v>
      </c>
      <c r="I72" s="173" t="s">
        <v>91</v>
      </c>
      <c r="J72" s="173" t="s">
        <v>97</v>
      </c>
      <c r="K72" s="173" t="s">
        <v>98</v>
      </c>
      <c r="L72" s="174" t="s">
        <v>71</v>
      </c>
      <c r="M72" s="175" t="s">
        <v>72</v>
      </c>
      <c r="N72" s="173" t="s">
        <v>73</v>
      </c>
      <c r="O72" s="176" t="s">
        <v>99</v>
      </c>
      <c r="P72" s="173" t="s">
        <v>98</v>
      </c>
      <c r="Q72" s="177" t="s">
        <v>93</v>
      </c>
      <c r="R72" s="178">
        <v>3.3469999000000001</v>
      </c>
      <c r="S72" s="179">
        <v>1</v>
      </c>
      <c r="T72" s="179">
        <v>73.754203999999987</v>
      </c>
      <c r="U72" s="179">
        <v>73.754203999999987</v>
      </c>
      <c r="V72" s="179">
        <v>13.275795000000016</v>
      </c>
      <c r="W72" s="179">
        <v>87.029999000000004</v>
      </c>
      <c r="X72" s="27">
        <f t="shared" si="59"/>
        <v>246.85531341257956</v>
      </c>
      <c r="Y72" s="29">
        <f ca="1">VLOOKUP(Z72,CHOOSE({2,1},Fac_Fecha,Fac_OT),2,0)</f>
        <v>43775</v>
      </c>
      <c r="Z72" s="26" t="s">
        <v>828</v>
      </c>
      <c r="AA72" s="28">
        <f t="shared" ca="1" si="41"/>
        <v>9335.7542099999991</v>
      </c>
      <c r="AB72" s="28">
        <f ca="1">SUMIF(Salida_OT,Facturacion!Z72,Salida_Suma)</f>
        <v>2408.4089485200006</v>
      </c>
      <c r="AC72" s="28">
        <f t="shared" ca="1" si="44"/>
        <v>59.32</v>
      </c>
      <c r="AD72" s="28">
        <f t="shared" ca="1" si="45"/>
        <v>377.09288135593215</v>
      </c>
      <c r="AE72" s="28">
        <f ca="1">(SUMIF(Asig_OT,Z72,Asig_Hora_Mec))*'Costos x MO'!$B$6*'Costos x MO'!$B$7</f>
        <v>244.96875</v>
      </c>
      <c r="AF72" s="28">
        <f ca="1">SUMIF(Asig_OT,Z72,Asig_Hora_Pla)*'Costos x MO'!$B$4*'Costos x MO'!$B$7</f>
        <v>527.625</v>
      </c>
      <c r="AG72" s="28">
        <f ca="1">SUMIF(Asig_OT,Z72,Asig_paño_Pin)*'Costos x MO'!$B$5*'Costos x MO'!$B$7</f>
        <v>1125.6000000000001</v>
      </c>
      <c r="AH72" s="28">
        <f ca="1">(SUMIF(Asig_OT,Z72,Asig_Terc_Pla)*'Costos x MO'!$B$7)+(SUMIF(Asig_OT,Z72,Asig_Terc_Pin)*'Costos x MO'!$B$7)</f>
        <v>0</v>
      </c>
      <c r="AI72" s="28">
        <f t="shared" ca="1" si="46"/>
        <v>4743.0155798759333</v>
      </c>
      <c r="AJ72" s="28">
        <f t="shared" ca="1" si="47"/>
        <v>4592.7386301240658</v>
      </c>
      <c r="AK72" s="31">
        <f t="shared" ca="1" si="48"/>
        <v>0.49195153672796471</v>
      </c>
      <c r="AL72" s="28" t="str">
        <f t="shared" ca="1" si="49"/>
        <v>ACCESO</v>
      </c>
      <c r="AM72" s="28" t="str">
        <f t="shared" ca="1" si="50"/>
        <v>GRAVE</v>
      </c>
      <c r="AN72" s="30" t="str">
        <f t="shared" ca="1" si="51"/>
        <v>November</v>
      </c>
      <c r="AO72" s="42">
        <f t="shared" ca="1" si="52"/>
        <v>2019</v>
      </c>
      <c r="AP72" s="42">
        <f t="shared" ca="1" si="53"/>
        <v>16</v>
      </c>
      <c r="AQ72" s="26">
        <v>1</v>
      </c>
      <c r="AR72" s="30">
        <f t="shared" ca="1" si="54"/>
        <v>43759</v>
      </c>
      <c r="AS72" s="30" t="str">
        <f t="shared" ca="1" si="55"/>
        <v>ARP-079</v>
      </c>
      <c r="AT72" s="26" t="str">
        <f t="shared" ca="1" si="56"/>
        <v>HYUNDAY</v>
      </c>
      <c r="AU72" s="26" t="str">
        <f t="shared" ca="1" si="57"/>
        <v>ACCENT</v>
      </c>
      <c r="AV72" s="26" t="str">
        <f t="shared" ca="1" si="58"/>
        <v>EDPYME ACCESO CREDITICIO SOCIEDAD ANONIMA</v>
      </c>
    </row>
    <row r="73" spans="1:48" x14ac:dyDescent="0.2">
      <c r="A73" s="172">
        <v>43759</v>
      </c>
      <c r="B73" s="173" t="s">
        <v>68</v>
      </c>
      <c r="C73" s="173" t="s">
        <v>102</v>
      </c>
      <c r="D73" s="173" t="s">
        <v>675</v>
      </c>
      <c r="E73" s="173" t="s">
        <v>751</v>
      </c>
      <c r="F73" s="173" t="s">
        <v>1148</v>
      </c>
      <c r="G73" s="172">
        <v>43741</v>
      </c>
      <c r="H73" s="173" t="s">
        <v>90</v>
      </c>
      <c r="I73" s="173" t="s">
        <v>91</v>
      </c>
      <c r="J73" s="173" t="s">
        <v>100</v>
      </c>
      <c r="K73" s="173" t="s">
        <v>101</v>
      </c>
      <c r="L73" s="174" t="s">
        <v>71</v>
      </c>
      <c r="M73" s="175" t="s">
        <v>72</v>
      </c>
      <c r="N73" s="173" t="s">
        <v>73</v>
      </c>
      <c r="O73" s="176" t="s">
        <v>72</v>
      </c>
      <c r="P73" s="130" t="s">
        <v>101</v>
      </c>
      <c r="Q73" s="177" t="s">
        <v>93</v>
      </c>
      <c r="R73" s="178">
        <v>3.3469999000000001</v>
      </c>
      <c r="S73" s="179">
        <v>1</v>
      </c>
      <c r="T73" s="179">
        <v>22.5</v>
      </c>
      <c r="U73" s="179">
        <v>22.5</v>
      </c>
      <c r="V73" s="179">
        <v>4.0499990000000023</v>
      </c>
      <c r="W73" s="179">
        <v>26.549999000000003</v>
      </c>
      <c r="X73" s="27">
        <f t="shared" si="59"/>
        <v>75.30749775000001</v>
      </c>
      <c r="Y73" s="29">
        <f ca="1">VLOOKUP(Z73,CHOOSE({2,1},Fac_Fecha,Fac_OT),2,0)</f>
        <v>43775</v>
      </c>
      <c r="Z73" s="26" t="s">
        <v>840</v>
      </c>
      <c r="AA73" s="28">
        <f t="shared" ca="1" si="41"/>
        <v>9592.2542099999991</v>
      </c>
      <c r="AB73" s="28">
        <f ca="1">SUMIF(Salida_OT,Facturacion!Z73,Salida_Suma)</f>
        <v>2494.3001243000003</v>
      </c>
      <c r="AC73" s="28">
        <f t="shared" ca="1" si="44"/>
        <v>0</v>
      </c>
      <c r="AD73" s="28">
        <f t="shared" ca="1" si="45"/>
        <v>406.86237288135595</v>
      </c>
      <c r="AE73" s="28">
        <f ca="1">(SUMIF(Asig_OT,Z73,Asig_Hora_Mec))*'Costos x MO'!$B$6*'Costos x MO'!$B$7</f>
        <v>350.49375000000003</v>
      </c>
      <c r="AF73" s="28">
        <f ca="1">SUMIF(Asig_OT,Z73,Asig_Hora_Pla)*'Costos x MO'!$B$4*'Costos x MO'!$B$7</f>
        <v>572.85</v>
      </c>
      <c r="AG73" s="28">
        <f ca="1">SUMIF(Asig_OT,Z73,Asig_paño_Pin)*'Costos x MO'!$B$5*'Costos x MO'!$B$7</f>
        <v>1301.4750000000001</v>
      </c>
      <c r="AH73" s="28">
        <f ca="1">(SUMIF(Asig_OT,Z73,Asig_Terc_Pla)*'Costos x MO'!$B$7)+(SUMIF(Asig_OT,Z73,Asig_Terc_Pin)*'Costos x MO'!$B$7)</f>
        <v>0</v>
      </c>
      <c r="AI73" s="28">
        <f t="shared" ca="1" si="46"/>
        <v>5125.9812471813566</v>
      </c>
      <c r="AJ73" s="28">
        <f t="shared" ca="1" si="47"/>
        <v>4466.2729628186426</v>
      </c>
      <c r="AK73" s="31">
        <f t="shared" ca="1" si="48"/>
        <v>0.46561244781883682</v>
      </c>
      <c r="AL73" s="28" t="str">
        <f t="shared" ca="1" si="49"/>
        <v>ACCESO</v>
      </c>
      <c r="AM73" s="28" t="str">
        <f t="shared" ca="1" si="50"/>
        <v>GRAVE</v>
      </c>
      <c r="AN73" s="30" t="str">
        <f t="shared" ca="1" si="51"/>
        <v>November</v>
      </c>
      <c r="AO73" s="42">
        <f t="shared" ca="1" si="52"/>
        <v>2019</v>
      </c>
      <c r="AP73" s="42">
        <f t="shared" ca="1" si="53"/>
        <v>21</v>
      </c>
      <c r="AQ73" s="26">
        <v>1</v>
      </c>
      <c r="AR73" s="30">
        <f t="shared" ca="1" si="54"/>
        <v>43754</v>
      </c>
      <c r="AS73" s="30" t="str">
        <f t="shared" ca="1" si="55"/>
        <v>AMJ-333</v>
      </c>
      <c r="AT73" s="26" t="str">
        <f t="shared" ca="1" si="56"/>
        <v>CHEVROLET</v>
      </c>
      <c r="AU73" s="26" t="str">
        <f t="shared" ca="1" si="57"/>
        <v>SAIL</v>
      </c>
      <c r="AV73" s="26" t="str">
        <f t="shared" ca="1" si="58"/>
        <v>EDPYME ACCESO CREDITICIO SOCIEDAD ANONIMA</v>
      </c>
    </row>
    <row r="74" spans="1:48" x14ac:dyDescent="0.2">
      <c r="A74" s="172">
        <v>43759</v>
      </c>
      <c r="B74" s="173" t="s">
        <v>68</v>
      </c>
      <c r="C74" s="173" t="s">
        <v>102</v>
      </c>
      <c r="D74" s="173" t="s">
        <v>675</v>
      </c>
      <c r="E74" s="173" t="s">
        <v>751</v>
      </c>
      <c r="F74" s="173" t="s">
        <v>1148</v>
      </c>
      <c r="G74" s="172">
        <v>43741</v>
      </c>
      <c r="H74" s="173" t="s">
        <v>90</v>
      </c>
      <c r="I74" s="173" t="s">
        <v>91</v>
      </c>
      <c r="J74" s="173" t="s">
        <v>92</v>
      </c>
      <c r="K74" s="173" t="s">
        <v>113</v>
      </c>
      <c r="L74" s="174" t="s">
        <v>71</v>
      </c>
      <c r="M74" s="175" t="s">
        <v>72</v>
      </c>
      <c r="N74" s="173" t="s">
        <v>73</v>
      </c>
      <c r="O74" s="176" t="s">
        <v>69</v>
      </c>
      <c r="P74" s="130" t="s">
        <v>113</v>
      </c>
      <c r="Q74" s="177" t="s">
        <v>93</v>
      </c>
      <c r="R74" s="178">
        <v>3.3469999000000001</v>
      </c>
      <c r="S74" s="179">
        <v>1</v>
      </c>
      <c r="T74" s="179">
        <v>45</v>
      </c>
      <c r="U74" s="179">
        <v>45</v>
      </c>
      <c r="V74" s="179">
        <v>8.0999980000000047</v>
      </c>
      <c r="W74" s="179">
        <v>53.099998000000006</v>
      </c>
      <c r="X74" s="27">
        <f t="shared" si="59"/>
        <v>150.61499550000002</v>
      </c>
      <c r="Y74" s="29">
        <f ca="1">VLOOKUP(Z74,CHOOSE({2,1},Fac_Fecha,Fac_OT),2,0)</f>
        <v>43775</v>
      </c>
      <c r="Z74" s="26" t="s">
        <v>844</v>
      </c>
      <c r="AA74" s="28">
        <f t="shared" ca="1" si="41"/>
        <v>3941.2542100000001</v>
      </c>
      <c r="AB74" s="28">
        <f ca="1">SUMIF(Salida_OT,Facturacion!Z74,Salida_Suma)</f>
        <v>743.90671470000007</v>
      </c>
      <c r="AC74" s="28">
        <f t="shared" ca="1" si="44"/>
        <v>0</v>
      </c>
      <c r="AD74" s="28">
        <f t="shared" ca="1" si="45"/>
        <v>16.949152542372882</v>
      </c>
      <c r="AE74" s="28">
        <f ca="1">(SUMIF(Asig_OT,Z74,Asig_Hora_Mec))*'Costos x MO'!$B$6*'Costos x MO'!$B$7</f>
        <v>139.44374999999999</v>
      </c>
      <c r="AF74" s="28">
        <f ca="1">SUMIF(Asig_OT,Z74,Asig_Hora_Pla)*'Costos x MO'!$B$4*'Costos x MO'!$B$7</f>
        <v>180.9</v>
      </c>
      <c r="AG74" s="28">
        <f ca="1">SUMIF(Asig_OT,Z74,Asig_paño_Pin)*'Costos x MO'!$B$5*'Costos x MO'!$B$7</f>
        <v>879.375</v>
      </c>
      <c r="AH74" s="28">
        <f ca="1">(SUMIF(Asig_OT,Z74,Asig_Terc_Pla)*'Costos x MO'!$B$7)+(SUMIF(Asig_OT,Z74,Asig_Terc_Pin)*'Costos x MO'!$B$7)</f>
        <v>0</v>
      </c>
      <c r="AI74" s="28">
        <f t="shared" ca="1" si="46"/>
        <v>1960.5746172423731</v>
      </c>
      <c r="AJ74" s="28">
        <f t="shared" ca="1" si="47"/>
        <v>1980.679592757627</v>
      </c>
      <c r="AK74" s="31">
        <f t="shared" ca="1" si="48"/>
        <v>0.50255058091206628</v>
      </c>
      <c r="AL74" s="28" t="str">
        <f t="shared" ca="1" si="49"/>
        <v>ACCESO</v>
      </c>
      <c r="AM74" s="28" t="str">
        <f t="shared" ca="1" si="50"/>
        <v>MEDIANO</v>
      </c>
      <c r="AN74" s="30" t="str">
        <f t="shared" ca="1" si="51"/>
        <v>November</v>
      </c>
      <c r="AO74" s="42">
        <f t="shared" ca="1" si="52"/>
        <v>2019</v>
      </c>
      <c r="AP74" s="42">
        <f t="shared" ca="1" si="53"/>
        <v>14</v>
      </c>
      <c r="AQ74" s="26">
        <v>1</v>
      </c>
      <c r="AR74" s="30">
        <f t="shared" ca="1" si="54"/>
        <v>43761</v>
      </c>
      <c r="AS74" s="30" t="str">
        <f t="shared" ca="1" si="55"/>
        <v>BDS-657</v>
      </c>
      <c r="AT74" s="26" t="str">
        <f t="shared" ca="1" si="56"/>
        <v>CHEVROLET</v>
      </c>
      <c r="AU74" s="26" t="str">
        <f t="shared" ca="1" si="57"/>
        <v>SAIL</v>
      </c>
      <c r="AV74" s="26" t="str">
        <f t="shared" ca="1" si="58"/>
        <v>EDPYME ACCESO CREDITICIO SOCIEDAD ANONIMA</v>
      </c>
    </row>
    <row r="75" spans="1:48" x14ac:dyDescent="0.2">
      <c r="A75" s="172">
        <v>43759</v>
      </c>
      <c r="B75" s="173" t="s">
        <v>68</v>
      </c>
      <c r="C75" s="173" t="s">
        <v>102</v>
      </c>
      <c r="D75" s="173" t="s">
        <v>675</v>
      </c>
      <c r="E75" s="173" t="s">
        <v>751</v>
      </c>
      <c r="F75" s="173" t="s">
        <v>1148</v>
      </c>
      <c r="G75" s="172">
        <v>43741</v>
      </c>
      <c r="H75" s="173" t="s">
        <v>90</v>
      </c>
      <c r="I75" s="173" t="s">
        <v>91</v>
      </c>
      <c r="J75" s="173" t="s">
        <v>95</v>
      </c>
      <c r="K75" s="173" t="s">
        <v>96</v>
      </c>
      <c r="L75" s="174" t="s">
        <v>71</v>
      </c>
      <c r="M75" s="175" t="s">
        <v>72</v>
      </c>
      <c r="N75" s="173" t="s">
        <v>73</v>
      </c>
      <c r="O75" s="176" t="s">
        <v>69</v>
      </c>
      <c r="P75" s="130" t="s">
        <v>96</v>
      </c>
      <c r="Q75" s="177" t="s">
        <v>93</v>
      </c>
      <c r="R75" s="178">
        <v>3.3469999000000001</v>
      </c>
      <c r="S75" s="179">
        <v>-1</v>
      </c>
      <c r="T75" s="179">
        <v>100</v>
      </c>
      <c r="U75" s="179">
        <v>-100</v>
      </c>
      <c r="V75" s="179">
        <v>-18</v>
      </c>
      <c r="W75" s="179">
        <v>-118</v>
      </c>
      <c r="X75" s="27">
        <f t="shared" si="59"/>
        <v>-334.69999000000001</v>
      </c>
      <c r="Y75" s="29">
        <f ca="1">VLOOKUP(Z75,CHOOSE({2,1},Fac_Fecha,Fac_OT),2,0)</f>
        <v>43775</v>
      </c>
      <c r="Z75" s="26" t="s">
        <v>856</v>
      </c>
      <c r="AA75" s="28">
        <f t="shared" ca="1" si="41"/>
        <v>8121.2542100000001</v>
      </c>
      <c r="AB75" s="28">
        <f ca="1">SUMIF(Salida_OT,Facturacion!Z75,Salida_Suma)</f>
        <v>1140.5525563000001</v>
      </c>
      <c r="AC75" s="28">
        <f t="shared" ca="1" si="44"/>
        <v>25.423728813559322</v>
      </c>
      <c r="AD75" s="28">
        <f t="shared" ca="1" si="45"/>
        <v>164.69491525423729</v>
      </c>
      <c r="AE75" s="28">
        <f ca="1">(SUMIF(Asig_OT,Z75,Asig_Hora_Mec))*'Costos x MO'!$B$6*'Costos x MO'!$B$7</f>
        <v>305.26875000000001</v>
      </c>
      <c r="AF75" s="28">
        <f ca="1">SUMIF(Asig_OT,Z75,Asig_Hora_Pla)*'Costos x MO'!$B$4*'Costos x MO'!$B$7</f>
        <v>301.5</v>
      </c>
      <c r="AG75" s="28">
        <f ca="1">SUMIF(Asig_OT,Z75,Asig_paño_Pin)*'Costos x MO'!$B$5*'Costos x MO'!$B$7</f>
        <v>1020.075</v>
      </c>
      <c r="AH75" s="28">
        <f ca="1">(SUMIF(Asig_OT,Z75,Asig_Terc_Pla)*'Costos x MO'!$B$7)+(SUMIF(Asig_OT,Z75,Asig_Terc_Pin)*'Costos x MO'!$B$7)</f>
        <v>0</v>
      </c>
      <c r="AI75" s="28">
        <f t="shared" ca="1" si="46"/>
        <v>2957.5149503677967</v>
      </c>
      <c r="AJ75" s="28">
        <f t="shared" ca="1" si="47"/>
        <v>5163.7392596322034</v>
      </c>
      <c r="AK75" s="31">
        <f t="shared" ca="1" si="48"/>
        <v>0.6358302703139006</v>
      </c>
      <c r="AL75" s="28" t="str">
        <f t="shared" ca="1" si="49"/>
        <v>ACCESO</v>
      </c>
      <c r="AM75" s="28" t="str">
        <f t="shared" ca="1" si="50"/>
        <v>GRAVE</v>
      </c>
      <c r="AN75" s="30" t="str">
        <f t="shared" ca="1" si="51"/>
        <v>November</v>
      </c>
      <c r="AO75" s="42">
        <f t="shared" ca="1" si="52"/>
        <v>2019</v>
      </c>
      <c r="AP75" s="42">
        <f t="shared" ca="1" si="53"/>
        <v>13</v>
      </c>
      <c r="AQ75" s="26">
        <v>1</v>
      </c>
      <c r="AR75" s="30">
        <f t="shared" ca="1" si="54"/>
        <v>43762</v>
      </c>
      <c r="AS75" s="30" t="str">
        <f t="shared" ca="1" si="55"/>
        <v>ARI-452</v>
      </c>
      <c r="AT75" s="26" t="str">
        <f t="shared" ca="1" si="56"/>
        <v>KIA</v>
      </c>
      <c r="AU75" s="26" t="str">
        <f t="shared" ca="1" si="57"/>
        <v>RIO</v>
      </c>
      <c r="AV75" s="26" t="str">
        <f t="shared" ca="1" si="58"/>
        <v>EDPYME ACCESO CREDITICIO SOCIEDAD ANONIMA</v>
      </c>
    </row>
    <row r="76" spans="1:48" x14ac:dyDescent="0.2">
      <c r="A76" s="172">
        <v>43759</v>
      </c>
      <c r="B76" s="173" t="s">
        <v>68</v>
      </c>
      <c r="C76" s="173" t="s">
        <v>102</v>
      </c>
      <c r="D76" s="173" t="s">
        <v>675</v>
      </c>
      <c r="E76" s="173" t="s">
        <v>751</v>
      </c>
      <c r="F76" s="173" t="s">
        <v>1148</v>
      </c>
      <c r="G76" s="172">
        <v>43741</v>
      </c>
      <c r="H76" s="173" t="s">
        <v>90</v>
      </c>
      <c r="I76" s="173" t="s">
        <v>91</v>
      </c>
      <c r="J76" s="173" t="s">
        <v>104</v>
      </c>
      <c r="K76" s="173" t="s">
        <v>105</v>
      </c>
      <c r="L76" s="174" t="s">
        <v>71</v>
      </c>
      <c r="M76" s="175" t="s">
        <v>72</v>
      </c>
      <c r="N76" s="173" t="s">
        <v>73</v>
      </c>
      <c r="O76" s="176" t="s">
        <v>69</v>
      </c>
      <c r="P76" s="173" t="s">
        <v>105</v>
      </c>
      <c r="Q76" s="177" t="s">
        <v>93</v>
      </c>
      <c r="R76" s="178">
        <v>3.3469999000000001</v>
      </c>
      <c r="S76" s="179">
        <v>1</v>
      </c>
      <c r="T76" s="179">
        <v>0</v>
      </c>
      <c r="U76" s="179">
        <v>0</v>
      </c>
      <c r="V76" s="179">
        <v>0</v>
      </c>
      <c r="W76" s="179">
        <v>0</v>
      </c>
      <c r="X76" s="27">
        <f t="shared" si="59"/>
        <v>0</v>
      </c>
      <c r="Y76" s="29">
        <f ca="1">VLOOKUP(Z76,CHOOSE({2,1},Fac_Fecha,Fac_OT),2,0)</f>
        <v>43776</v>
      </c>
      <c r="Z76" s="26" t="s">
        <v>852</v>
      </c>
      <c r="AA76" s="28">
        <f t="shared" ca="1" si="41"/>
        <v>7232.7542100000001</v>
      </c>
      <c r="AB76" s="28">
        <f ca="1">SUMIF(Salida_OT,Facturacion!Z76,Salida_Suma)</f>
        <v>2267.7121939000003</v>
      </c>
      <c r="AC76" s="28">
        <f t="shared" ca="1" si="44"/>
        <v>177.96610169491527</v>
      </c>
      <c r="AD76" s="28">
        <f t="shared" ca="1" si="45"/>
        <v>118.26372881355931</v>
      </c>
      <c r="AE76" s="28">
        <f ca="1">(SUMIF(Asig_OT,Z76,Asig_Hora_Mec))*'Costos x MO'!$B$6*'Costos x MO'!$B$7</f>
        <v>139.44374999999999</v>
      </c>
      <c r="AF76" s="28">
        <f ca="1">SUMIF(Asig_OT,Z76,Asig_Hora_Pla)*'Costos x MO'!$B$4*'Costos x MO'!$B$7</f>
        <v>165.82500000000002</v>
      </c>
      <c r="AG76" s="28">
        <f ca="1">SUMIF(Asig_OT,Z76,Asig_paño_Pin)*'Costos x MO'!$B$5*'Costos x MO'!$B$7</f>
        <v>633.15</v>
      </c>
      <c r="AH76" s="28">
        <f ca="1">(SUMIF(Asig_OT,Z76,Asig_Terc_Pla)*'Costos x MO'!$B$7)+(SUMIF(Asig_OT,Z76,Asig_Terc_Pin)*'Costos x MO'!$B$7)</f>
        <v>0</v>
      </c>
      <c r="AI76" s="28">
        <f t="shared" ca="1" si="46"/>
        <v>3502.3607744084748</v>
      </c>
      <c r="AJ76" s="28">
        <f t="shared" ca="1" si="47"/>
        <v>3730.3934355915253</v>
      </c>
      <c r="AK76" s="31">
        <f t="shared" ca="1" si="48"/>
        <v>0.51576388845536691</v>
      </c>
      <c r="AL76" s="28" t="str">
        <f t="shared" ca="1" si="49"/>
        <v>ACCESO</v>
      </c>
      <c r="AM76" s="28" t="str">
        <f t="shared" ca="1" si="50"/>
        <v>MEDIANO</v>
      </c>
      <c r="AN76" s="30" t="str">
        <f t="shared" ca="1" si="51"/>
        <v>November</v>
      </c>
      <c r="AO76" s="42">
        <f t="shared" ca="1" si="52"/>
        <v>2019</v>
      </c>
      <c r="AP76" s="42">
        <f t="shared" ca="1" si="53"/>
        <v>22</v>
      </c>
      <c r="AQ76" s="26">
        <v>1</v>
      </c>
      <c r="AR76" s="30">
        <f t="shared" ca="1" si="54"/>
        <v>43754</v>
      </c>
      <c r="AS76" s="30" t="str">
        <f t="shared" ca="1" si="55"/>
        <v>BEV-036</v>
      </c>
      <c r="AT76" s="26" t="str">
        <f t="shared" ca="1" si="56"/>
        <v>CHEVROLET</v>
      </c>
      <c r="AU76" s="26" t="str">
        <f t="shared" ca="1" si="57"/>
        <v>COBALT</v>
      </c>
      <c r="AV76" s="26" t="str">
        <f t="shared" ca="1" si="58"/>
        <v>EDPYME ACCESO CREDITICIO SOCIEDAD ANONIMA</v>
      </c>
    </row>
    <row r="77" spans="1:48" x14ac:dyDescent="0.2">
      <c r="A77" s="172">
        <v>43760</v>
      </c>
      <c r="B77" s="173" t="s">
        <v>68</v>
      </c>
      <c r="C77" s="173" t="s">
        <v>102</v>
      </c>
      <c r="D77" s="173" t="s">
        <v>674</v>
      </c>
      <c r="E77" s="173" t="s">
        <v>766</v>
      </c>
      <c r="F77" s="173" t="s">
        <v>1142</v>
      </c>
      <c r="G77" s="172">
        <v>43747</v>
      </c>
      <c r="H77" s="173" t="s">
        <v>1131</v>
      </c>
      <c r="I77" s="173" t="s">
        <v>1132</v>
      </c>
      <c r="J77" s="173" t="s">
        <v>97</v>
      </c>
      <c r="K77" s="173" t="s">
        <v>98</v>
      </c>
      <c r="L77" s="174" t="s">
        <v>71</v>
      </c>
      <c r="M77" s="175" t="s">
        <v>72</v>
      </c>
      <c r="N77" s="173" t="s">
        <v>73</v>
      </c>
      <c r="O77" s="176" t="s">
        <v>99</v>
      </c>
      <c r="P77" s="173" t="s">
        <v>98</v>
      </c>
      <c r="Q77" s="177" t="s">
        <v>93</v>
      </c>
      <c r="R77" s="178">
        <v>3.3469999000000001</v>
      </c>
      <c r="S77" s="179">
        <v>1</v>
      </c>
      <c r="T77" s="179">
        <v>195</v>
      </c>
      <c r="U77" s="179">
        <v>195</v>
      </c>
      <c r="V77" s="179">
        <v>35.100010000000005</v>
      </c>
      <c r="W77" s="179">
        <v>230.10001</v>
      </c>
      <c r="X77" s="27">
        <f t="shared" si="59"/>
        <v>652.66498050000007</v>
      </c>
      <c r="Y77" s="29">
        <f ca="1">VLOOKUP(Z77,CHOOSE({2,1},Fac_Fecha,Fac_OT),2,0)</f>
        <v>43776</v>
      </c>
      <c r="Z77" s="26" t="s">
        <v>903</v>
      </c>
      <c r="AA77" s="28">
        <f t="shared" ca="1" si="41"/>
        <v>2358.7460705999997</v>
      </c>
      <c r="AB77" s="28">
        <f ca="1">SUMIF(Salida_OT,Facturacion!Z77,Salida_Suma)</f>
        <v>0</v>
      </c>
      <c r="AC77" s="28">
        <f t="shared" ca="1" si="44"/>
        <v>0</v>
      </c>
      <c r="AD77" s="28">
        <f t="shared" ca="1" si="45"/>
        <v>106.42</v>
      </c>
      <c r="AE77" s="28">
        <f ca="1">(SUMIF(Asig_OT,Z77,Asig_Hora_Mec))*'Costos x MO'!$B$6*'Costos x MO'!$B$7</f>
        <v>0</v>
      </c>
      <c r="AF77" s="28">
        <f ca="1">SUMIF(Asig_OT,Z77,Asig_Hora_Pla)*'Costos x MO'!$B$4*'Costos x MO'!$B$7</f>
        <v>301.5</v>
      </c>
      <c r="AG77" s="28">
        <f ca="1">SUMIF(Asig_OT,Z77,Asig_paño_Pin)*'Costos x MO'!$B$5*'Costos x MO'!$B$7</f>
        <v>281.40000000000003</v>
      </c>
      <c r="AH77" s="28">
        <f ca="1">(SUMIF(Asig_OT,Z77,Asig_Terc_Pla)*'Costos x MO'!$B$7)+(SUMIF(Asig_OT,Z77,Asig_Terc_Pin)*'Costos x MO'!$B$7)</f>
        <v>0</v>
      </c>
      <c r="AI77" s="28">
        <f t="shared" ca="1" si="46"/>
        <v>689.32</v>
      </c>
      <c r="AJ77" s="28">
        <f t="shared" ca="1" si="47"/>
        <v>1669.4260705999995</v>
      </c>
      <c r="AK77" s="31">
        <f t="shared" ca="1" si="48"/>
        <v>0.70775997951120861</v>
      </c>
      <c r="AL77" s="28" t="str">
        <f t="shared" ca="1" si="49"/>
        <v>RIMAC</v>
      </c>
      <c r="AM77" s="28" t="str">
        <f t="shared" ca="1" si="50"/>
        <v>GRAVE</v>
      </c>
      <c r="AN77" s="30" t="str">
        <f t="shared" ca="1" si="51"/>
        <v>November</v>
      </c>
      <c r="AO77" s="42">
        <f t="shared" ca="1" si="52"/>
        <v>2019</v>
      </c>
      <c r="AP77" s="42">
        <f t="shared" ca="1" si="53"/>
        <v>9</v>
      </c>
      <c r="AQ77" s="26">
        <v>1</v>
      </c>
      <c r="AR77" s="30">
        <f t="shared" ca="1" si="54"/>
        <v>43767</v>
      </c>
      <c r="AS77" s="30" t="str">
        <f t="shared" ca="1" si="55"/>
        <v>ARV-341</v>
      </c>
      <c r="AT77" s="26" t="str">
        <f t="shared" ca="1" si="56"/>
        <v>HYUNDAY</v>
      </c>
      <c r="AU77" s="26" t="str">
        <f t="shared" ca="1" si="57"/>
        <v>ELANTRA</v>
      </c>
      <c r="AV77" s="26" t="str">
        <f t="shared" ca="1" si="58"/>
        <v>RIMAC SEGUROS  Y REASEGUROS S.A</v>
      </c>
    </row>
    <row r="78" spans="1:48" x14ac:dyDescent="0.2">
      <c r="A78" s="172">
        <v>43760</v>
      </c>
      <c r="B78" s="173" t="s">
        <v>68</v>
      </c>
      <c r="C78" s="173" t="s">
        <v>102</v>
      </c>
      <c r="D78" s="173" t="s">
        <v>674</v>
      </c>
      <c r="E78" s="173" t="s">
        <v>766</v>
      </c>
      <c r="F78" s="173" t="s">
        <v>1142</v>
      </c>
      <c r="G78" s="172">
        <v>43747</v>
      </c>
      <c r="H78" s="173" t="s">
        <v>1131</v>
      </c>
      <c r="I78" s="173" t="s">
        <v>1132</v>
      </c>
      <c r="J78" s="173" t="s">
        <v>100</v>
      </c>
      <c r="K78" s="173" t="s">
        <v>101</v>
      </c>
      <c r="L78" s="174" t="s">
        <v>71</v>
      </c>
      <c r="M78" s="175" t="s">
        <v>72</v>
      </c>
      <c r="N78" s="173" t="s">
        <v>73</v>
      </c>
      <c r="O78" s="176" t="s">
        <v>72</v>
      </c>
      <c r="P78" s="130" t="s">
        <v>101</v>
      </c>
      <c r="Q78" s="177" t="s">
        <v>93</v>
      </c>
      <c r="R78" s="178">
        <v>3.3469999000000001</v>
      </c>
      <c r="S78" s="179">
        <v>1</v>
      </c>
      <c r="T78" s="179">
        <v>33.754199999999997</v>
      </c>
      <c r="U78" s="179">
        <v>33.754199999999997</v>
      </c>
      <c r="V78" s="179">
        <v>6.075802000000003</v>
      </c>
      <c r="W78" s="179">
        <v>39.830002</v>
      </c>
      <c r="X78" s="27">
        <f t="shared" si="59"/>
        <v>112.97530402458</v>
      </c>
      <c r="Y78" s="29">
        <f ca="1">VLOOKUP(Z78,CHOOSE({2,1},Fac_Fecha,Fac_OT),2,0)</f>
        <v>43777</v>
      </c>
      <c r="Z78" s="26" t="s">
        <v>1272</v>
      </c>
      <c r="AA78" s="28">
        <f t="shared" ca="1" si="41"/>
        <v>1012.7127990000001</v>
      </c>
      <c r="AB78" s="28">
        <f ca="1">SUMIF(Salida_OT,Facturacion!Z78,Salida_Suma)</f>
        <v>0</v>
      </c>
      <c r="AC78" s="28">
        <f t="shared" ca="1" si="44"/>
        <v>0</v>
      </c>
      <c r="AD78" s="28">
        <f t="shared" ca="1" si="45"/>
        <v>0</v>
      </c>
      <c r="AE78" s="28">
        <f ca="1">(SUMIF(Asig_OT,Z78,Asig_Hora_Mec))*'Costos x MO'!$B$6*'Costos x MO'!$B$7</f>
        <v>0</v>
      </c>
      <c r="AF78" s="28">
        <f ca="1">SUMIF(Asig_OT,Z78,Asig_Hora_Pla)*'Costos x MO'!$B$4*'Costos x MO'!$B$7</f>
        <v>90.45</v>
      </c>
      <c r="AG78" s="28">
        <f ca="1">SUMIF(Asig_OT,Z78,Asig_paño_Pin)*'Costos x MO'!$B$5*'Costos x MO'!$B$7</f>
        <v>140.70000000000002</v>
      </c>
      <c r="AH78" s="28">
        <f ca="1">(SUMIF(Asig_OT,Z78,Asig_Terc_Pla)*'Costos x MO'!$B$7)+(SUMIF(Asig_OT,Z78,Asig_Terc_Pin)*'Costos x MO'!$B$7)</f>
        <v>0</v>
      </c>
      <c r="AI78" s="28">
        <f t="shared" ca="1" si="46"/>
        <v>231.15000000000003</v>
      </c>
      <c r="AJ78" s="28">
        <f t="shared" ca="1" si="47"/>
        <v>781.56279900000004</v>
      </c>
      <c r="AK78" s="31">
        <f t="shared" ca="1" si="48"/>
        <v>0.77175167507683484</v>
      </c>
      <c r="AL78" s="28" t="str">
        <f t="shared" ca="1" si="49"/>
        <v>RIMAC</v>
      </c>
      <c r="AM78" s="28" t="str">
        <f t="shared" ca="1" si="50"/>
        <v>LEVE</v>
      </c>
      <c r="AN78" s="30" t="str">
        <f t="shared" ca="1" si="51"/>
        <v>November</v>
      </c>
      <c r="AO78" s="42">
        <f t="shared" ca="1" si="52"/>
        <v>2019</v>
      </c>
      <c r="AP78" s="42">
        <f t="shared" ca="1" si="53"/>
        <v>2</v>
      </c>
      <c r="AQ78" s="26">
        <v>1</v>
      </c>
      <c r="AR78" s="30">
        <f t="shared" ca="1" si="54"/>
        <v>43775</v>
      </c>
      <c r="AS78" s="30" t="str">
        <f t="shared" ca="1" si="55"/>
        <v>BKP-647</v>
      </c>
      <c r="AT78" s="26" t="str">
        <f t="shared" ca="1" si="56"/>
        <v>TOYOTA</v>
      </c>
      <c r="AU78" s="26" t="str">
        <f t="shared" ca="1" si="57"/>
        <v>AVANZA</v>
      </c>
      <c r="AV78" s="26" t="str">
        <f t="shared" ca="1" si="58"/>
        <v>JUAN SMITH ORTIZ ORTIZ</v>
      </c>
    </row>
    <row r="79" spans="1:48" x14ac:dyDescent="0.2">
      <c r="A79" s="172">
        <v>43760</v>
      </c>
      <c r="B79" s="173" t="s">
        <v>68</v>
      </c>
      <c r="C79" s="173" t="s">
        <v>102</v>
      </c>
      <c r="D79" s="173" t="s">
        <v>674</v>
      </c>
      <c r="E79" s="173" t="s">
        <v>766</v>
      </c>
      <c r="F79" s="173" t="s">
        <v>1142</v>
      </c>
      <c r="G79" s="172">
        <v>43747</v>
      </c>
      <c r="H79" s="173" t="s">
        <v>1131</v>
      </c>
      <c r="I79" s="173" t="s">
        <v>1132</v>
      </c>
      <c r="J79" s="173" t="s">
        <v>92</v>
      </c>
      <c r="K79" s="173" t="s">
        <v>113</v>
      </c>
      <c r="L79" s="174" t="s">
        <v>71</v>
      </c>
      <c r="M79" s="175" t="s">
        <v>72</v>
      </c>
      <c r="N79" s="173" t="s">
        <v>73</v>
      </c>
      <c r="O79" s="176" t="s">
        <v>69</v>
      </c>
      <c r="P79" s="130" t="s">
        <v>113</v>
      </c>
      <c r="Q79" s="177" t="s">
        <v>93</v>
      </c>
      <c r="R79" s="178">
        <v>3.3469999000000001</v>
      </c>
      <c r="S79" s="179">
        <v>1</v>
      </c>
      <c r="T79" s="179">
        <v>25</v>
      </c>
      <c r="U79" s="179">
        <v>25</v>
      </c>
      <c r="V79" s="179">
        <v>4.5</v>
      </c>
      <c r="W79" s="179">
        <v>29.5</v>
      </c>
      <c r="X79" s="27">
        <f t="shared" si="59"/>
        <v>83.674997500000003</v>
      </c>
      <c r="Y79" s="29">
        <f ca="1">VLOOKUP(Z79,CHOOSE({2,1},Fac_Fecha,Fac_OT),2,0)</f>
        <v>43777</v>
      </c>
      <c r="Z79" s="26" t="s">
        <v>1873</v>
      </c>
      <c r="AA79" s="28">
        <f t="shared" ca="1" si="41"/>
        <v>669.02842915500003</v>
      </c>
      <c r="AB79" s="28">
        <f ca="1">SUMIF(Salida_OT,Facturacion!Z79,Salida_Suma)</f>
        <v>0</v>
      </c>
      <c r="AC79" s="28">
        <f t="shared" ca="1" si="44"/>
        <v>0</v>
      </c>
      <c r="AD79" s="28">
        <f t="shared" ca="1" si="45"/>
        <v>0</v>
      </c>
      <c r="AE79" s="28">
        <f ca="1">(SUMIF(Asig_OT,Z79,Asig_Hora_Mec))*'Costos x MO'!$B$6*'Costos x MO'!$B$7</f>
        <v>0</v>
      </c>
      <c r="AF79" s="28">
        <f ca="1">SUMIF(Asig_OT,Z79,Asig_Hora_Pla)*'Costos x MO'!$B$4*'Costos x MO'!$B$7</f>
        <v>0</v>
      </c>
      <c r="AG79" s="28">
        <f ca="1">SUMIF(Asig_OT,Z79,Asig_paño_Pin)*'Costos x MO'!$B$5*'Costos x MO'!$B$7</f>
        <v>0</v>
      </c>
      <c r="AH79" s="28">
        <f ca="1">(SUMIF(Asig_OT,Z79,Asig_Terc_Pla)*'Costos x MO'!$B$7)+(SUMIF(Asig_OT,Z79,Asig_Terc_Pin)*'Costos x MO'!$B$7)</f>
        <v>0</v>
      </c>
      <c r="AI79" s="28">
        <f t="shared" ca="1" si="46"/>
        <v>0</v>
      </c>
      <c r="AJ79" s="28">
        <f t="shared" ca="1" si="47"/>
        <v>669.02842915500003</v>
      </c>
      <c r="AK79" s="31">
        <f t="shared" ca="1" si="48"/>
        <v>1</v>
      </c>
      <c r="AL79" s="28" t="s">
        <v>121</v>
      </c>
      <c r="AM79" s="28" t="s">
        <v>124</v>
      </c>
      <c r="AN79" s="30" t="str">
        <f t="shared" ca="1" si="51"/>
        <v>November</v>
      </c>
      <c r="AO79" s="42">
        <f t="shared" ca="1" si="52"/>
        <v>2019</v>
      </c>
      <c r="AP79" s="42">
        <f t="shared" ca="1" si="53"/>
        <v>2</v>
      </c>
      <c r="AQ79" s="26">
        <v>1</v>
      </c>
      <c r="AR79" s="30">
        <f t="shared" ca="1" si="54"/>
        <v>43775</v>
      </c>
      <c r="AS79" s="30" t="str">
        <f ca="1">IFERROR(VLOOKUP(Z79,Matriz2,2,0),"S/PLACA")</f>
        <v>BKP647</v>
      </c>
      <c r="AT79" s="26" t="s">
        <v>128</v>
      </c>
      <c r="AU79" s="26" t="s">
        <v>1274</v>
      </c>
      <c r="AV79" s="26" t="str">
        <f t="shared" ca="1" si="58"/>
        <v>JUAN SMITH ORTIZ ORTIZ</v>
      </c>
    </row>
    <row r="80" spans="1:48" x14ac:dyDescent="0.2">
      <c r="A80" s="172">
        <v>43760</v>
      </c>
      <c r="B80" s="173" t="s">
        <v>68</v>
      </c>
      <c r="C80" s="173" t="s">
        <v>102</v>
      </c>
      <c r="D80" s="173" t="s">
        <v>674</v>
      </c>
      <c r="E80" s="173" t="s">
        <v>766</v>
      </c>
      <c r="F80" s="173" t="s">
        <v>1142</v>
      </c>
      <c r="G80" s="172">
        <v>43747</v>
      </c>
      <c r="H80" s="173" t="s">
        <v>1131</v>
      </c>
      <c r="I80" s="173" t="s">
        <v>1132</v>
      </c>
      <c r="J80" s="173" t="s">
        <v>70</v>
      </c>
      <c r="K80" s="173" t="s">
        <v>112</v>
      </c>
      <c r="L80" s="174" t="s">
        <v>71</v>
      </c>
      <c r="M80" s="175" t="s">
        <v>72</v>
      </c>
      <c r="N80" s="173" t="s">
        <v>73</v>
      </c>
      <c r="O80" s="176" t="s">
        <v>69</v>
      </c>
      <c r="P80" s="130" t="s">
        <v>447</v>
      </c>
      <c r="Q80" s="177" t="s">
        <v>93</v>
      </c>
      <c r="R80" s="178">
        <v>3.3469999000000001</v>
      </c>
      <c r="S80" s="179">
        <v>1</v>
      </c>
      <c r="T80" s="179">
        <v>15</v>
      </c>
      <c r="U80" s="179">
        <v>15</v>
      </c>
      <c r="V80" s="179">
        <v>2.7000009999999999</v>
      </c>
      <c r="W80" s="179">
        <v>17.700001</v>
      </c>
      <c r="X80" s="27">
        <f t="shared" si="59"/>
        <v>50.204998500000002</v>
      </c>
      <c r="Y80" s="29">
        <f ca="1">VLOOKUP(Z80,CHOOSE({2,1},Fac_Fecha,Fac_OT),2,0)</f>
        <v>43777</v>
      </c>
      <c r="Z80" s="26" t="s">
        <v>926</v>
      </c>
      <c r="AA80" s="28">
        <f t="shared" ca="1" si="41"/>
        <v>1214.2350000000001</v>
      </c>
      <c r="AB80" s="28">
        <f ca="1">SUMIF(Salida_OT,Facturacion!Z80,Salida_Suma)</f>
        <v>0</v>
      </c>
      <c r="AC80" s="28">
        <f t="shared" ca="1" si="44"/>
        <v>0</v>
      </c>
      <c r="AD80" s="28">
        <f t="shared" ca="1" si="45"/>
        <v>76.27</v>
      </c>
      <c r="AE80" s="28">
        <f ca="1">(SUMIF(Asig_OT,Z80,Asig_Hora_Mec))*'Costos x MO'!$B$6*'Costos x MO'!$B$7</f>
        <v>0</v>
      </c>
      <c r="AF80" s="28">
        <f ca="1">SUMIF(Asig_OT,Z80,Asig_Hora_Pla)*'Costos x MO'!$B$4*'Costos x MO'!$B$7</f>
        <v>120.60000000000001</v>
      </c>
      <c r="AG80" s="28">
        <f ca="1">SUMIF(Asig_OT,Z80,Asig_paño_Pin)*'Costos x MO'!$B$5*'Costos x MO'!$B$7</f>
        <v>140.70000000000002</v>
      </c>
      <c r="AH80" s="28">
        <f ca="1">(SUMIF(Asig_OT,Z80,Asig_Terc_Pla)*'Costos x MO'!$B$7)+(SUMIF(Asig_OT,Z80,Asig_Terc_Pin)*'Costos x MO'!$B$7)</f>
        <v>0</v>
      </c>
      <c r="AI80" s="28">
        <f t="shared" ca="1" si="46"/>
        <v>337.57000000000005</v>
      </c>
      <c r="AJ80" s="28">
        <f t="shared" ca="1" si="47"/>
        <v>876.66500000000008</v>
      </c>
      <c r="AK80" s="31">
        <f t="shared" ca="1" si="48"/>
        <v>0.7219895654465569</v>
      </c>
      <c r="AL80" s="28" t="str">
        <f t="shared" ca="1" si="49"/>
        <v>RIMAC</v>
      </c>
      <c r="AM80" s="28" t="str">
        <f t="shared" ca="1" si="50"/>
        <v>MEDIANO</v>
      </c>
      <c r="AN80" s="30" t="str">
        <f t="shared" ca="1" si="51"/>
        <v>November</v>
      </c>
      <c r="AO80" s="42">
        <f t="shared" ca="1" si="52"/>
        <v>2019</v>
      </c>
      <c r="AP80" s="42">
        <f t="shared" ca="1" si="53"/>
        <v>14</v>
      </c>
      <c r="AQ80" s="26">
        <v>1</v>
      </c>
      <c r="AR80" s="30">
        <f t="shared" ca="1" si="54"/>
        <v>43763</v>
      </c>
      <c r="AS80" s="30" t="str">
        <f t="shared" ca="1" si="55"/>
        <v>ASK-203</v>
      </c>
      <c r="AT80" s="26" t="str">
        <f t="shared" ca="1" si="56"/>
        <v>MAZDA</v>
      </c>
      <c r="AU80" s="26" t="str">
        <f t="shared" ca="1" si="57"/>
        <v>CX3</v>
      </c>
      <c r="AV80" s="26" t="str">
        <f t="shared" ca="1" si="58"/>
        <v>RIMAC SEGUROS  Y REASEGUROS S.A</v>
      </c>
    </row>
    <row r="81" spans="1:48" x14ac:dyDescent="0.2">
      <c r="A81" s="172">
        <v>43760</v>
      </c>
      <c r="B81" s="173" t="s">
        <v>68</v>
      </c>
      <c r="C81" s="173" t="s">
        <v>102</v>
      </c>
      <c r="D81" s="173" t="s">
        <v>674</v>
      </c>
      <c r="E81" s="173" t="s">
        <v>766</v>
      </c>
      <c r="F81" s="173" t="s">
        <v>1142</v>
      </c>
      <c r="G81" s="172">
        <v>43747</v>
      </c>
      <c r="H81" s="173" t="s">
        <v>1131</v>
      </c>
      <c r="I81" s="173" t="s">
        <v>1132</v>
      </c>
      <c r="J81" s="173" t="s">
        <v>115</v>
      </c>
      <c r="K81" s="173" t="s">
        <v>138</v>
      </c>
      <c r="L81" s="174" t="s">
        <v>71</v>
      </c>
      <c r="M81" s="175" t="s">
        <v>72</v>
      </c>
      <c r="N81" s="173" t="s">
        <v>73</v>
      </c>
      <c r="O81" s="176" t="s">
        <v>69</v>
      </c>
      <c r="P81" s="130" t="s">
        <v>96</v>
      </c>
      <c r="Q81" s="177" t="s">
        <v>93</v>
      </c>
      <c r="R81" s="178">
        <v>3.3469999000000001</v>
      </c>
      <c r="S81" s="179">
        <v>-1</v>
      </c>
      <c r="T81" s="179">
        <v>28.728800000000007</v>
      </c>
      <c r="U81" s="179">
        <v>-28.728800000000007</v>
      </c>
      <c r="V81" s="179">
        <v>-5.1712019999999939</v>
      </c>
      <c r="W81" s="179">
        <v>-33.900002000000001</v>
      </c>
      <c r="X81" s="27">
        <f t="shared" si="59"/>
        <v>-96.155290727120033</v>
      </c>
      <c r="Y81" s="29">
        <f ca="1">VLOOKUP(Z81,CHOOSE({2,1},Fac_Fecha,Fac_OT),2,0)</f>
        <v>43778</v>
      </c>
      <c r="Z81" s="26" t="s">
        <v>865</v>
      </c>
      <c r="AA81" s="28">
        <f t="shared" ca="1" si="41"/>
        <v>8653.0084100000004</v>
      </c>
      <c r="AB81" s="28">
        <f ca="1">SUMIF(Salida_OT,Facturacion!Z81,Salida_Suma)</f>
        <v>2320.8552497199998</v>
      </c>
      <c r="AC81" s="28">
        <f t="shared" ca="1" si="44"/>
        <v>504.66254237288098</v>
      </c>
      <c r="AD81" s="28">
        <f t="shared" ca="1" si="45"/>
        <v>302.95</v>
      </c>
      <c r="AE81" s="28">
        <f ca="1">(SUMIF(Asig_OT,Z81,Asig_Hora_Mec))*'Costos x MO'!$B$6*'Costos x MO'!$B$7</f>
        <v>244.96875</v>
      </c>
      <c r="AF81" s="28">
        <f ca="1">SUMIF(Asig_OT,Z81,Asig_Hora_Pla)*'Costos x MO'!$B$4*'Costos x MO'!$B$7</f>
        <v>542.70000000000005</v>
      </c>
      <c r="AG81" s="28">
        <f ca="1">SUMIF(Asig_OT,Z81,Asig_paño_Pin)*'Costos x MO'!$B$5*'Costos x MO'!$B$7</f>
        <v>1195.95</v>
      </c>
      <c r="AH81" s="28">
        <f ca="1">(SUMIF(Asig_OT,Z81,Asig_Terc_Pla)*'Costos x MO'!$B$7)+(SUMIF(Asig_OT,Z81,Asig_Terc_Pin)*'Costos x MO'!$B$7)</f>
        <v>0</v>
      </c>
      <c r="AI81" s="28">
        <f t="shared" ca="1" si="46"/>
        <v>5112.0865420928803</v>
      </c>
      <c r="AJ81" s="28">
        <f t="shared" ca="1" si="47"/>
        <v>3540.92186790712</v>
      </c>
      <c r="AK81" s="31">
        <f t="shared" ca="1" si="48"/>
        <v>0.40921280786171338</v>
      </c>
      <c r="AL81" s="28" t="str">
        <f t="shared" ca="1" si="49"/>
        <v>ACCESO</v>
      </c>
      <c r="AM81" s="28" t="str">
        <f t="shared" ca="1" si="50"/>
        <v>GRAVE</v>
      </c>
      <c r="AN81" s="30" t="str">
        <f t="shared" ca="1" si="51"/>
        <v>November</v>
      </c>
      <c r="AO81" s="42">
        <f t="shared" ca="1" si="52"/>
        <v>2019</v>
      </c>
      <c r="AP81" s="42">
        <f t="shared" ca="1" si="53"/>
        <v>16</v>
      </c>
      <c r="AQ81" s="26">
        <v>1</v>
      </c>
      <c r="AR81" s="30">
        <f t="shared" ca="1" si="54"/>
        <v>43762</v>
      </c>
      <c r="AS81" s="30" t="str">
        <f t="shared" ca="1" si="55"/>
        <v>APB-579</v>
      </c>
      <c r="AT81" s="26" t="str">
        <f t="shared" ca="1" si="56"/>
        <v>HYUNDAY</v>
      </c>
      <c r="AU81" s="26" t="str">
        <f t="shared" ca="1" si="57"/>
        <v>ACCENT</v>
      </c>
      <c r="AV81" s="26" t="str">
        <f t="shared" ca="1" si="58"/>
        <v>EDPYME ACCESO CREDITICIO SOCIEDAD ANONIMA</v>
      </c>
    </row>
    <row r="82" spans="1:48" x14ac:dyDescent="0.2">
      <c r="A82" s="172">
        <v>43760</v>
      </c>
      <c r="B82" s="173" t="s">
        <v>68</v>
      </c>
      <c r="C82" s="173" t="s">
        <v>102</v>
      </c>
      <c r="D82" s="173" t="s">
        <v>673</v>
      </c>
      <c r="E82" s="173" t="s">
        <v>773</v>
      </c>
      <c r="F82" s="173" t="s">
        <v>920</v>
      </c>
      <c r="G82" s="172">
        <v>43747</v>
      </c>
      <c r="H82" s="173" t="s">
        <v>1145</v>
      </c>
      <c r="I82" s="173" t="s">
        <v>1146</v>
      </c>
      <c r="J82" s="173" t="s">
        <v>97</v>
      </c>
      <c r="K82" s="173" t="s">
        <v>98</v>
      </c>
      <c r="L82" s="174" t="s">
        <v>71</v>
      </c>
      <c r="M82" s="175" t="s">
        <v>72</v>
      </c>
      <c r="N82" s="173" t="s">
        <v>73</v>
      </c>
      <c r="O82" s="176" t="s">
        <v>99</v>
      </c>
      <c r="P82" s="173" t="s">
        <v>98</v>
      </c>
      <c r="Q82" s="177" t="s">
        <v>74</v>
      </c>
      <c r="R82" s="178">
        <v>3.3469999000000001</v>
      </c>
      <c r="S82" s="179">
        <v>1</v>
      </c>
      <c r="T82" s="179">
        <v>1113.7542000000003</v>
      </c>
      <c r="U82" s="179">
        <v>1113.7542000000001</v>
      </c>
      <c r="V82" s="179">
        <v>200.47579999999974</v>
      </c>
      <c r="W82" s="179">
        <v>1314.23</v>
      </c>
      <c r="X82" s="27">
        <f t="shared" si="59"/>
        <v>1113.7542000000001</v>
      </c>
      <c r="Y82" s="29">
        <f ca="1">VLOOKUP(Z82,CHOOSE({2,1},Fac_Fecha,Fac_OT),2,0)</f>
        <v>43778</v>
      </c>
      <c r="Z82" s="26" t="s">
        <v>888</v>
      </c>
      <c r="AA82" s="28">
        <f t="shared" ca="1" si="41"/>
        <v>298.41699110000002</v>
      </c>
      <c r="AB82" s="28">
        <f ca="1">SUMIF(Salida_OT,Facturacion!Z82,Salida_Suma)</f>
        <v>0</v>
      </c>
      <c r="AC82" s="28">
        <f t="shared" ca="1" si="44"/>
        <v>0</v>
      </c>
      <c r="AD82" s="28">
        <f t="shared" ca="1" si="45"/>
        <v>0</v>
      </c>
      <c r="AE82" s="28">
        <f ca="1">(SUMIF(Asig_OT,Z82,Asig_Hora_Mec))*'Costos x MO'!$B$6*'Costos x MO'!$B$7</f>
        <v>0</v>
      </c>
      <c r="AF82" s="28">
        <f ca="1">SUMIF(Asig_OT,Z82,Asig_Hora_Pla)*'Costos x MO'!$B$4*'Costos x MO'!$B$7</f>
        <v>15.075000000000001</v>
      </c>
      <c r="AG82" s="28">
        <f ca="1">SUMIF(Asig_OT,Z82,Asig_paño_Pin)*'Costos x MO'!$B$5*'Costos x MO'!$B$7</f>
        <v>0</v>
      </c>
      <c r="AH82" s="28">
        <f ca="1">(SUMIF(Asig_OT,Z82,Asig_Terc_Pla)*'Costos x MO'!$B$7)+(SUMIF(Asig_OT,Z82,Asig_Terc_Pin)*'Costos x MO'!$B$7)</f>
        <v>0</v>
      </c>
      <c r="AI82" s="28">
        <f t="shared" ca="1" si="46"/>
        <v>15.075000000000001</v>
      </c>
      <c r="AJ82" s="28">
        <f t="shared" ca="1" si="47"/>
        <v>283.34199110000003</v>
      </c>
      <c r="AK82" s="31">
        <f t="shared" ca="1" si="48"/>
        <v>0.94948343945017422</v>
      </c>
      <c r="AL82" s="28" t="str">
        <f t="shared" ca="1" si="49"/>
        <v>RIMAC</v>
      </c>
      <c r="AM82" s="28" t="str">
        <f t="shared" ca="1" si="50"/>
        <v>LEVE</v>
      </c>
      <c r="AN82" s="30" t="str">
        <f t="shared" ca="1" si="51"/>
        <v>November</v>
      </c>
      <c r="AO82" s="42">
        <f t="shared" ca="1" si="52"/>
        <v>2019</v>
      </c>
      <c r="AP82" s="42">
        <f t="shared" ca="1" si="53"/>
        <v>14</v>
      </c>
      <c r="AQ82" s="26">
        <v>1</v>
      </c>
      <c r="AR82" s="30">
        <f t="shared" ca="1" si="54"/>
        <v>43764</v>
      </c>
      <c r="AS82" s="30" t="str">
        <f t="shared" ca="1" si="55"/>
        <v>BKX-624</v>
      </c>
      <c r="AT82" s="26" t="str">
        <f t="shared" ca="1" si="56"/>
        <v>MAZDA</v>
      </c>
      <c r="AU82" s="26" t="str">
        <f t="shared" ca="1" si="57"/>
        <v>CX3</v>
      </c>
      <c r="AV82" s="26" t="str">
        <f t="shared" ca="1" si="58"/>
        <v>RIMAC SEGUROS  Y REASEGUROS S.A</v>
      </c>
    </row>
    <row r="83" spans="1:48" x14ac:dyDescent="0.2">
      <c r="A83" s="172">
        <v>43760</v>
      </c>
      <c r="B83" s="173" t="s">
        <v>68</v>
      </c>
      <c r="C83" s="173" t="s">
        <v>102</v>
      </c>
      <c r="D83" s="173" t="s">
        <v>673</v>
      </c>
      <c r="E83" s="173" t="s">
        <v>773</v>
      </c>
      <c r="F83" s="173" t="s">
        <v>920</v>
      </c>
      <c r="G83" s="172">
        <v>43747</v>
      </c>
      <c r="H83" s="173" t="s">
        <v>1145</v>
      </c>
      <c r="I83" s="173" t="s">
        <v>1146</v>
      </c>
      <c r="J83" s="173" t="s">
        <v>100</v>
      </c>
      <c r="K83" s="173" t="s">
        <v>101</v>
      </c>
      <c r="L83" s="174" t="s">
        <v>71</v>
      </c>
      <c r="M83" s="175" t="s">
        <v>72</v>
      </c>
      <c r="N83" s="173" t="s">
        <v>73</v>
      </c>
      <c r="O83" s="176" t="s">
        <v>72</v>
      </c>
      <c r="P83" s="130" t="s">
        <v>101</v>
      </c>
      <c r="Q83" s="177" t="s">
        <v>74</v>
      </c>
      <c r="R83" s="178">
        <v>3.3469999000000001</v>
      </c>
      <c r="S83" s="179">
        <v>1</v>
      </c>
      <c r="T83" s="179">
        <v>350</v>
      </c>
      <c r="U83" s="179">
        <v>350</v>
      </c>
      <c r="V83" s="179">
        <v>63</v>
      </c>
      <c r="W83" s="179">
        <v>413</v>
      </c>
      <c r="X83" s="27">
        <f t="shared" si="59"/>
        <v>350</v>
      </c>
      <c r="Y83" s="29">
        <f ca="1">VLOOKUP(Z83,CHOOSE({2,1},Fac_Fecha,Fac_OT),2,0)</f>
        <v>43778</v>
      </c>
      <c r="Z83" s="26" t="s">
        <v>1865</v>
      </c>
      <c r="AA83" s="28">
        <f t="shared" ca="1" si="41"/>
        <v>217.12082612457999</v>
      </c>
      <c r="AB83" s="28">
        <f ca="1">SUMIF(Salida_OT,Facturacion!Z83,Salida_Suma)</f>
        <v>0</v>
      </c>
      <c r="AC83" s="28">
        <f t="shared" ca="1" si="44"/>
        <v>0</v>
      </c>
      <c r="AD83" s="28">
        <f t="shared" ca="1" si="45"/>
        <v>0</v>
      </c>
      <c r="AE83" s="28">
        <f ca="1">(SUMIF(Asig_OT,Z83,Asig_Hora_Mec))*'Costos x MO'!$B$6*'Costos x MO'!$B$7</f>
        <v>0</v>
      </c>
      <c r="AF83" s="28">
        <f ca="1">SUMIF(Asig_OT,Z83,Asig_Hora_Pla)*'Costos x MO'!$B$4*'Costos x MO'!$B$7</f>
        <v>0</v>
      </c>
      <c r="AG83" s="28">
        <f ca="1">SUMIF(Asig_OT,Z83,Asig_paño_Pin)*'Costos x MO'!$B$5*'Costos x MO'!$B$7</f>
        <v>0</v>
      </c>
      <c r="AH83" s="28">
        <f ca="1">(SUMIF(Asig_OT,Z83,Asig_Terc_Pla)*'Costos x MO'!$B$7)+(SUMIF(Asig_OT,Z83,Asig_Terc_Pin)*'Costos x MO'!$B$7)</f>
        <v>0</v>
      </c>
      <c r="AI83" s="28">
        <f t="shared" ca="1" si="46"/>
        <v>0</v>
      </c>
      <c r="AJ83" s="28">
        <f t="shared" ca="1" si="47"/>
        <v>217.12082612457999</v>
      </c>
      <c r="AK83" s="31">
        <f t="shared" ca="1" si="48"/>
        <v>1</v>
      </c>
      <c r="AL83" s="28" t="s">
        <v>121</v>
      </c>
      <c r="AM83" s="28" t="s">
        <v>124</v>
      </c>
      <c r="AN83" s="30" t="str">
        <f t="shared" ca="1" si="51"/>
        <v>November</v>
      </c>
      <c r="AO83" s="42">
        <f t="shared" ca="1" si="52"/>
        <v>2019</v>
      </c>
      <c r="AP83" s="42">
        <f t="shared" ca="1" si="53"/>
        <v>5</v>
      </c>
      <c r="AQ83" s="26">
        <v>1</v>
      </c>
      <c r="AR83" s="30">
        <f t="shared" ca="1" si="54"/>
        <v>43773</v>
      </c>
      <c r="AS83" s="30" t="str">
        <f ca="1">IFERROR(VLOOKUP(Z83,Matriz2,2,0),"S/PLACA")</f>
        <v>BKX624</v>
      </c>
      <c r="AT83" s="26" t="s">
        <v>156</v>
      </c>
      <c r="AU83" s="26" t="s">
        <v>412</v>
      </c>
      <c r="AV83" s="26" t="str">
        <f t="shared" ca="1" si="58"/>
        <v>RENTAEQUIPOS LEASING PERU S.A.</v>
      </c>
    </row>
    <row r="84" spans="1:48" x14ac:dyDescent="0.2">
      <c r="A84" s="172">
        <v>43760</v>
      </c>
      <c r="B84" s="173" t="s">
        <v>68</v>
      </c>
      <c r="C84" s="173" t="s">
        <v>102</v>
      </c>
      <c r="D84" s="173" t="s">
        <v>673</v>
      </c>
      <c r="E84" s="173" t="s">
        <v>773</v>
      </c>
      <c r="F84" s="173" t="s">
        <v>920</v>
      </c>
      <c r="G84" s="172">
        <v>43747</v>
      </c>
      <c r="H84" s="173" t="s">
        <v>1145</v>
      </c>
      <c r="I84" s="173" t="s">
        <v>1146</v>
      </c>
      <c r="J84" s="173" t="s">
        <v>92</v>
      </c>
      <c r="K84" s="173" t="s">
        <v>113</v>
      </c>
      <c r="L84" s="174" t="s">
        <v>71</v>
      </c>
      <c r="M84" s="175" t="s">
        <v>72</v>
      </c>
      <c r="N84" s="173" t="s">
        <v>73</v>
      </c>
      <c r="O84" s="176" t="s">
        <v>69</v>
      </c>
      <c r="P84" s="130" t="s">
        <v>113</v>
      </c>
      <c r="Q84" s="177" t="s">
        <v>74</v>
      </c>
      <c r="R84" s="178">
        <v>3.3469999000000001</v>
      </c>
      <c r="S84" s="179">
        <v>1</v>
      </c>
      <c r="T84" s="179">
        <v>230</v>
      </c>
      <c r="U84" s="179">
        <v>230</v>
      </c>
      <c r="V84" s="179">
        <v>41.39998999999996</v>
      </c>
      <c r="W84" s="179">
        <v>271.39998999999995</v>
      </c>
      <c r="X84" s="27">
        <f t="shared" si="59"/>
        <v>230</v>
      </c>
      <c r="Y84" s="29">
        <f ca="1">VLOOKUP(Z84,CHOOSE({2,1},Fac_Fecha,Fac_OT),2,0)</f>
        <v>43780</v>
      </c>
      <c r="Z84" s="26" t="s">
        <v>894</v>
      </c>
      <c r="AA84" s="28">
        <f t="shared" ca="1" si="41"/>
        <v>796.33747625000001</v>
      </c>
      <c r="AB84" s="28">
        <f ca="1">SUMIF(Salida_OT,Facturacion!Z84,Salida_Suma)</f>
        <v>0</v>
      </c>
      <c r="AC84" s="28">
        <f t="shared" ca="1" si="44"/>
        <v>0</v>
      </c>
      <c r="AD84" s="28">
        <f t="shared" ca="1" si="45"/>
        <v>0</v>
      </c>
      <c r="AE84" s="28">
        <f ca="1">(SUMIF(Asig_OT,Z84,Asig_Hora_Mec))*'Costos x MO'!$B$6*'Costos x MO'!$B$7</f>
        <v>0</v>
      </c>
      <c r="AF84" s="28">
        <f ca="1">SUMIF(Asig_OT,Z84,Asig_Hora_Pla)*'Costos x MO'!$B$4*'Costos x MO'!$B$7</f>
        <v>60.300000000000004</v>
      </c>
      <c r="AG84" s="28">
        <f ca="1">SUMIF(Asig_OT,Z84,Asig_paño_Pin)*'Costos x MO'!$B$5*'Costos x MO'!$B$7</f>
        <v>175.875</v>
      </c>
      <c r="AH84" s="28">
        <f ca="1">(SUMIF(Asig_OT,Z84,Asig_Terc_Pla)*'Costos x MO'!$B$7)+(SUMIF(Asig_OT,Z84,Asig_Terc_Pin)*'Costos x MO'!$B$7)</f>
        <v>0</v>
      </c>
      <c r="AI84" s="28">
        <f t="shared" ca="1" si="46"/>
        <v>236.17500000000001</v>
      </c>
      <c r="AJ84" s="28">
        <f t="shared" ca="1" si="47"/>
        <v>560.16247625000005</v>
      </c>
      <c r="AK84" s="31">
        <f t="shared" ca="1" si="48"/>
        <v>0.70342347680011008</v>
      </c>
      <c r="AL84" s="28" t="str">
        <f t="shared" ca="1" si="49"/>
        <v>RIMAC</v>
      </c>
      <c r="AM84" s="28" t="str">
        <f t="shared" ca="1" si="50"/>
        <v>LEVE</v>
      </c>
      <c r="AN84" s="30" t="str">
        <f t="shared" ca="1" si="51"/>
        <v>November</v>
      </c>
      <c r="AO84" s="42">
        <f t="shared" ca="1" si="52"/>
        <v>2019</v>
      </c>
      <c r="AP84" s="42">
        <f t="shared" ca="1" si="53"/>
        <v>14</v>
      </c>
      <c r="AQ84" s="26">
        <v>1</v>
      </c>
      <c r="AR84" s="30">
        <f t="shared" ca="1" si="54"/>
        <v>43766</v>
      </c>
      <c r="AS84" s="30" t="str">
        <f t="shared" ca="1" si="55"/>
        <v>ANJ-035</v>
      </c>
      <c r="AT84" s="26" t="str">
        <f t="shared" ca="1" si="56"/>
        <v>RENAULT</v>
      </c>
      <c r="AU84" s="26" t="str">
        <f t="shared" ca="1" si="57"/>
        <v>LOGAN</v>
      </c>
      <c r="AV84" s="26" t="str">
        <f t="shared" ca="1" si="58"/>
        <v>RENTAEQUIPOS LEASING PERU S.A.</v>
      </c>
    </row>
    <row r="85" spans="1:48" x14ac:dyDescent="0.2">
      <c r="A85" s="172">
        <v>43760</v>
      </c>
      <c r="B85" s="173" t="s">
        <v>68</v>
      </c>
      <c r="C85" s="173" t="s">
        <v>102</v>
      </c>
      <c r="D85" s="173" t="s">
        <v>673</v>
      </c>
      <c r="E85" s="173" t="s">
        <v>773</v>
      </c>
      <c r="F85" s="173" t="s">
        <v>920</v>
      </c>
      <c r="G85" s="172">
        <v>43747</v>
      </c>
      <c r="H85" s="173" t="s">
        <v>1145</v>
      </c>
      <c r="I85" s="173" t="s">
        <v>1146</v>
      </c>
      <c r="J85" s="173" t="s">
        <v>70</v>
      </c>
      <c r="K85" s="173" t="s">
        <v>112</v>
      </c>
      <c r="L85" s="174" t="s">
        <v>71</v>
      </c>
      <c r="M85" s="175" t="s">
        <v>72</v>
      </c>
      <c r="N85" s="173" t="s">
        <v>73</v>
      </c>
      <c r="O85" s="176" t="s">
        <v>69</v>
      </c>
      <c r="P85" s="130" t="s">
        <v>447</v>
      </c>
      <c r="Q85" s="177" t="s">
        <v>74</v>
      </c>
      <c r="R85" s="178">
        <v>3.3469999000000001</v>
      </c>
      <c r="S85" s="179">
        <v>1</v>
      </c>
      <c r="T85" s="179">
        <v>250</v>
      </c>
      <c r="U85" s="179">
        <v>250</v>
      </c>
      <c r="V85" s="179">
        <v>45</v>
      </c>
      <c r="W85" s="179">
        <v>295</v>
      </c>
      <c r="X85" s="27">
        <f t="shared" si="59"/>
        <v>250</v>
      </c>
      <c r="Y85" s="29">
        <f ca="1">VLOOKUP(Z85,CHOOSE({2,1},Fac_Fecha,Fac_OT),2,0)</f>
        <v>43780</v>
      </c>
      <c r="Z85" s="26" t="s">
        <v>1223</v>
      </c>
      <c r="AA85" s="28">
        <f t="shared" ca="1" si="41"/>
        <v>466.06698610000001</v>
      </c>
      <c r="AB85" s="28">
        <f ca="1">SUMIF(Salida_OT,Facturacion!Z85,Salida_Suma)</f>
        <v>0</v>
      </c>
      <c r="AC85" s="28">
        <f t="shared" ca="1" si="44"/>
        <v>0</v>
      </c>
      <c r="AD85" s="28">
        <f t="shared" ca="1" si="45"/>
        <v>50.25</v>
      </c>
      <c r="AE85" s="28">
        <f ca="1">(SUMIF(Asig_OT,Z85,Asig_Hora_Mec))*'Costos x MO'!$B$6*'Costos x MO'!$B$7</f>
        <v>0</v>
      </c>
      <c r="AF85" s="28">
        <f ca="1">SUMIF(Asig_OT,Z85,Asig_Hora_Pla)*'Costos x MO'!$B$4*'Costos x MO'!$B$7</f>
        <v>15.075000000000001</v>
      </c>
      <c r="AG85" s="28">
        <f ca="1">SUMIF(Asig_OT,Z85,Asig_paño_Pin)*'Costos x MO'!$B$5*'Costos x MO'!$B$7</f>
        <v>70.350000000000009</v>
      </c>
      <c r="AH85" s="28">
        <f ca="1">(SUMIF(Asig_OT,Z85,Asig_Terc_Pla)*'Costos x MO'!$B$7)+(SUMIF(Asig_OT,Z85,Asig_Terc_Pin)*'Costos x MO'!$B$7)</f>
        <v>0</v>
      </c>
      <c r="AI85" s="28">
        <f t="shared" ca="1" si="46"/>
        <v>135.67500000000001</v>
      </c>
      <c r="AJ85" s="28">
        <f t="shared" ca="1" si="47"/>
        <v>330.3919861</v>
      </c>
      <c r="AK85" s="31">
        <f t="shared" ca="1" si="48"/>
        <v>0.70889377697546385</v>
      </c>
      <c r="AL85" s="28" t="str">
        <f t="shared" ca="1" si="49"/>
        <v>RIMAC</v>
      </c>
      <c r="AM85" s="28" t="str">
        <f t="shared" ca="1" si="50"/>
        <v>LEVE</v>
      </c>
      <c r="AN85" s="30" t="str">
        <f t="shared" ca="1" si="51"/>
        <v>November</v>
      </c>
      <c r="AO85" s="42">
        <f t="shared" ca="1" si="52"/>
        <v>2019</v>
      </c>
      <c r="AP85" s="42">
        <f t="shared" ca="1" si="53"/>
        <v>13</v>
      </c>
      <c r="AQ85" s="26">
        <v>1</v>
      </c>
      <c r="AR85" s="30">
        <f t="shared" ca="1" si="54"/>
        <v>43767</v>
      </c>
      <c r="AS85" s="30" t="str">
        <f t="shared" ca="1" si="55"/>
        <v>ANE-312</v>
      </c>
      <c r="AT85" s="26" t="str">
        <f t="shared" ca="1" si="56"/>
        <v>RENAULT</v>
      </c>
      <c r="AU85" s="26" t="str">
        <f t="shared" ca="1" si="57"/>
        <v>LOGAN</v>
      </c>
      <c r="AV85" s="26" t="str">
        <f t="shared" ca="1" si="58"/>
        <v>RIMAC SEGUROS  Y REASEGUROS S.A</v>
      </c>
    </row>
    <row r="86" spans="1:48" x14ac:dyDescent="0.2">
      <c r="A86" s="172">
        <v>43760</v>
      </c>
      <c r="B86" s="173" t="s">
        <v>68</v>
      </c>
      <c r="C86" s="173" t="s">
        <v>102</v>
      </c>
      <c r="D86" s="173" t="s">
        <v>673</v>
      </c>
      <c r="E86" s="173" t="s">
        <v>773</v>
      </c>
      <c r="F86" s="173" t="s">
        <v>920</v>
      </c>
      <c r="G86" s="172">
        <v>43747</v>
      </c>
      <c r="H86" s="173" t="s">
        <v>1145</v>
      </c>
      <c r="I86" s="173" t="s">
        <v>1146</v>
      </c>
      <c r="J86" s="173" t="s">
        <v>104</v>
      </c>
      <c r="K86" s="173" t="s">
        <v>105</v>
      </c>
      <c r="L86" s="174" t="s">
        <v>71</v>
      </c>
      <c r="M86" s="175" t="s">
        <v>72</v>
      </c>
      <c r="N86" s="173" t="s">
        <v>73</v>
      </c>
      <c r="O86" s="176" t="s">
        <v>69</v>
      </c>
      <c r="P86" s="173" t="s">
        <v>105</v>
      </c>
      <c r="Q86" s="177" t="s">
        <v>74</v>
      </c>
      <c r="R86" s="178">
        <v>3.3469999000000001</v>
      </c>
      <c r="S86" s="179">
        <v>1</v>
      </c>
      <c r="T86" s="179">
        <v>224</v>
      </c>
      <c r="U86" s="179">
        <v>224</v>
      </c>
      <c r="V86" s="179">
        <v>40.320010000000039</v>
      </c>
      <c r="W86" s="179">
        <v>264.32001000000002</v>
      </c>
      <c r="X86" s="27">
        <f t="shared" si="59"/>
        <v>224</v>
      </c>
      <c r="Y86" s="29">
        <f ca="1">VLOOKUP(Z86,CHOOSE({2,1},Fac_Fecha,Fac_OT),2,0)</f>
        <v>43780</v>
      </c>
      <c r="Z86" s="26" t="s">
        <v>1226</v>
      </c>
      <c r="AA86" s="28">
        <f t="shared" ca="1" si="41"/>
        <v>423.33033338657947</v>
      </c>
      <c r="AB86" s="28">
        <f ca="1">SUMIF(Salida_OT,Facturacion!Z86,Salida_Suma)</f>
        <v>0</v>
      </c>
      <c r="AC86" s="28">
        <f t="shared" ca="1" si="44"/>
        <v>0</v>
      </c>
      <c r="AD86" s="28">
        <f t="shared" ca="1" si="45"/>
        <v>15.075000000000001</v>
      </c>
      <c r="AE86" s="28">
        <f ca="1">(SUMIF(Asig_OT,Z86,Asig_Hora_Mec))*'Costos x MO'!$B$6*'Costos x MO'!$B$7</f>
        <v>0</v>
      </c>
      <c r="AF86" s="28">
        <f ca="1">SUMIF(Asig_OT,Z86,Asig_Hora_Pla)*'Costos x MO'!$B$4*'Costos x MO'!$B$7</f>
        <v>30.150000000000002</v>
      </c>
      <c r="AG86" s="28">
        <f ca="1">SUMIF(Asig_OT,Z86,Asig_paño_Pin)*'Costos x MO'!$B$5*'Costos x MO'!$B$7</f>
        <v>70.350000000000009</v>
      </c>
      <c r="AH86" s="28">
        <f ca="1">(SUMIF(Asig_OT,Z86,Asig_Terc_Pla)*'Costos x MO'!$B$7)+(SUMIF(Asig_OT,Z86,Asig_Terc_Pin)*'Costos x MO'!$B$7)</f>
        <v>0</v>
      </c>
      <c r="AI86" s="28">
        <f t="shared" ca="1" si="46"/>
        <v>115.57500000000002</v>
      </c>
      <c r="AJ86" s="28">
        <f t="shared" ca="1" si="47"/>
        <v>307.75533338657942</v>
      </c>
      <c r="AK86" s="31">
        <f t="shared" ca="1" si="48"/>
        <v>0.72698625426763708</v>
      </c>
      <c r="AL86" s="28" t="str">
        <f t="shared" ca="1" si="49"/>
        <v>RIMAC</v>
      </c>
      <c r="AM86" s="28" t="str">
        <f t="shared" ca="1" si="50"/>
        <v>LEVE</v>
      </c>
      <c r="AN86" s="30" t="str">
        <f t="shared" ca="1" si="51"/>
        <v>November</v>
      </c>
      <c r="AO86" s="42">
        <f t="shared" ca="1" si="52"/>
        <v>2019</v>
      </c>
      <c r="AP86" s="42">
        <f t="shared" ca="1" si="53"/>
        <v>13</v>
      </c>
      <c r="AQ86" s="26">
        <v>1</v>
      </c>
      <c r="AR86" s="30">
        <f t="shared" ca="1" si="54"/>
        <v>43767</v>
      </c>
      <c r="AS86" s="30" t="str">
        <f t="shared" ca="1" si="55"/>
        <v>AWV-260</v>
      </c>
      <c r="AT86" s="26" t="str">
        <f t="shared" ca="1" si="56"/>
        <v>MAZDA</v>
      </c>
      <c r="AU86" s="26" t="str">
        <f t="shared" ca="1" si="57"/>
        <v>CX9</v>
      </c>
      <c r="AV86" s="26" t="str">
        <f t="shared" ca="1" si="58"/>
        <v>RENTAEQUIPOS LEASING PERU S.A.</v>
      </c>
    </row>
    <row r="87" spans="1:48" x14ac:dyDescent="0.2">
      <c r="A87" s="172">
        <v>43761</v>
      </c>
      <c r="B87" s="173" t="s">
        <v>68</v>
      </c>
      <c r="C87" s="173" t="s">
        <v>102</v>
      </c>
      <c r="D87" s="173" t="s">
        <v>672</v>
      </c>
      <c r="E87" s="173" t="s">
        <v>775</v>
      </c>
      <c r="F87" s="173" t="s">
        <v>932</v>
      </c>
      <c r="G87" s="172">
        <v>43743</v>
      </c>
      <c r="H87" s="173" t="s">
        <v>1145</v>
      </c>
      <c r="I87" s="173" t="s">
        <v>1146</v>
      </c>
      <c r="J87" s="173" t="s">
        <v>97</v>
      </c>
      <c r="K87" s="173" t="s">
        <v>98</v>
      </c>
      <c r="L87" s="174" t="s">
        <v>71</v>
      </c>
      <c r="M87" s="175" t="s">
        <v>72</v>
      </c>
      <c r="N87" s="173" t="s">
        <v>73</v>
      </c>
      <c r="O87" s="176" t="s">
        <v>99</v>
      </c>
      <c r="P87" s="173" t="s">
        <v>98</v>
      </c>
      <c r="Q87" s="177" t="s">
        <v>74</v>
      </c>
      <c r="R87" s="178">
        <v>3.3420000000000001</v>
      </c>
      <c r="S87" s="179">
        <v>1</v>
      </c>
      <c r="T87" s="179">
        <v>1485</v>
      </c>
      <c r="U87" s="179">
        <v>1485</v>
      </c>
      <c r="V87" s="179">
        <v>267.3</v>
      </c>
      <c r="W87" s="179">
        <v>1752.3</v>
      </c>
      <c r="X87" s="27">
        <f t="shared" si="59"/>
        <v>1485</v>
      </c>
      <c r="Y87" s="29">
        <f ca="1">VLOOKUP(Z87,CHOOSE({2,1},Fac_Fecha,Fac_OT),2,0)</f>
        <v>43780</v>
      </c>
      <c r="Z87" s="26" t="s">
        <v>1268</v>
      </c>
      <c r="AA87" s="28">
        <f t="shared" ca="1" si="41"/>
        <v>3727.7117549545787</v>
      </c>
      <c r="AB87" s="28">
        <f ca="1">SUMIF(Salida_OT,Facturacion!Z87,Salida_Suma)</f>
        <v>0</v>
      </c>
      <c r="AC87" s="28">
        <f t="shared" ca="1" si="44"/>
        <v>0</v>
      </c>
      <c r="AD87" s="28">
        <f t="shared" ca="1" si="45"/>
        <v>0</v>
      </c>
      <c r="AE87" s="28">
        <f ca="1">(SUMIF(Asig_OT,Z87,Asig_Hora_Mec))*'Costos x MO'!$B$6*'Costos x MO'!$B$7</f>
        <v>0</v>
      </c>
      <c r="AF87" s="28">
        <f ca="1">SUMIF(Asig_OT,Z87,Asig_Hora_Pla)*'Costos x MO'!$B$4*'Costos x MO'!$B$7</f>
        <v>180.9</v>
      </c>
      <c r="AG87" s="28">
        <f ca="1">SUMIF(Asig_OT,Z87,Asig_paño_Pin)*'Costos x MO'!$B$5*'Costos x MO'!$B$7</f>
        <v>756.26250000000005</v>
      </c>
      <c r="AH87" s="28">
        <f ca="1">(SUMIF(Asig_OT,Z87,Asig_Terc_Pla)*'Costos x MO'!$B$7)+(SUMIF(Asig_OT,Z87,Asig_Terc_Pin)*'Costos x MO'!$B$7)</f>
        <v>0</v>
      </c>
      <c r="AI87" s="28">
        <f t="shared" ca="1" si="46"/>
        <v>937.16250000000002</v>
      </c>
      <c r="AJ87" s="28">
        <f t="shared" ca="1" si="47"/>
        <v>2790.5492549545788</v>
      </c>
      <c r="AK87" s="31">
        <f t="shared" ca="1" si="48"/>
        <v>0.74859577091646157</v>
      </c>
      <c r="AL87" s="28" t="str">
        <f t="shared" ca="1" si="49"/>
        <v>C.C</v>
      </c>
      <c r="AM87" s="28" t="str">
        <f t="shared" ca="1" si="50"/>
        <v>LEVE</v>
      </c>
      <c r="AN87" s="30" t="str">
        <f t="shared" ca="1" si="51"/>
        <v>November</v>
      </c>
      <c r="AO87" s="42">
        <f t="shared" ca="1" si="52"/>
        <v>2019</v>
      </c>
      <c r="AP87" s="42">
        <f t="shared" ca="1" si="53"/>
        <v>13</v>
      </c>
      <c r="AQ87" s="26">
        <v>1</v>
      </c>
      <c r="AR87" s="30">
        <f t="shared" ca="1" si="54"/>
        <v>43767</v>
      </c>
      <c r="AS87" s="30" t="str">
        <f t="shared" ca="1" si="55"/>
        <v>ATF-409</v>
      </c>
      <c r="AT87" s="26" t="str">
        <f t="shared" ca="1" si="56"/>
        <v>BWM</v>
      </c>
      <c r="AU87" s="26" t="str">
        <f t="shared" ca="1" si="57"/>
        <v>520I</v>
      </c>
      <c r="AV87" s="26" t="str">
        <f t="shared" ca="1" si="58"/>
        <v>RENTAEQUIPOS LEASING PERU S.A.</v>
      </c>
    </row>
    <row r="88" spans="1:48" x14ac:dyDescent="0.2">
      <c r="A88" s="172">
        <v>43761</v>
      </c>
      <c r="B88" s="173" t="s">
        <v>68</v>
      </c>
      <c r="C88" s="173" t="s">
        <v>102</v>
      </c>
      <c r="D88" s="173" t="s">
        <v>672</v>
      </c>
      <c r="E88" s="173" t="s">
        <v>775</v>
      </c>
      <c r="F88" s="173" t="s">
        <v>932</v>
      </c>
      <c r="G88" s="172">
        <v>43743</v>
      </c>
      <c r="H88" s="173" t="s">
        <v>1145</v>
      </c>
      <c r="I88" s="173" t="s">
        <v>1146</v>
      </c>
      <c r="J88" s="173" t="s">
        <v>100</v>
      </c>
      <c r="K88" s="173" t="s">
        <v>101</v>
      </c>
      <c r="L88" s="174" t="s">
        <v>71</v>
      </c>
      <c r="M88" s="175" t="s">
        <v>72</v>
      </c>
      <c r="N88" s="173" t="s">
        <v>73</v>
      </c>
      <c r="O88" s="176" t="s">
        <v>72</v>
      </c>
      <c r="P88" s="130" t="s">
        <v>101</v>
      </c>
      <c r="Q88" s="177" t="s">
        <v>74</v>
      </c>
      <c r="R88" s="178">
        <v>3.3420000000000001</v>
      </c>
      <c r="S88" s="179">
        <v>1</v>
      </c>
      <c r="T88" s="179">
        <v>560</v>
      </c>
      <c r="U88" s="179">
        <v>560</v>
      </c>
      <c r="V88" s="179">
        <v>100.79998999999997</v>
      </c>
      <c r="W88" s="179">
        <v>660.79998999999998</v>
      </c>
      <c r="X88" s="27">
        <f t="shared" si="59"/>
        <v>560</v>
      </c>
      <c r="Y88" s="29">
        <f ca="1">VLOOKUP(Z88,CHOOSE({2,1},Fac_Fecha,Fac_OT),2,0)</f>
        <v>43781</v>
      </c>
      <c r="Z88" s="26" t="s">
        <v>1319</v>
      </c>
      <c r="AA88" s="28">
        <f t="shared" ca="1" si="41"/>
        <v>520</v>
      </c>
      <c r="AB88" s="28">
        <f ca="1">SUMIF(Salida_OT,Facturacion!Z88,Salida_Suma)</f>
        <v>259.91320001999998</v>
      </c>
      <c r="AC88" s="28">
        <f t="shared" ca="1" si="44"/>
        <v>0</v>
      </c>
      <c r="AD88" s="28">
        <f t="shared" ca="1" si="45"/>
        <v>20.34</v>
      </c>
      <c r="AE88" s="28">
        <f ca="1">(SUMIF(Asig_OT,Z88,Asig_Hora_Mec))*'Costos x MO'!$B$6*'Costos x MO'!$B$7</f>
        <v>40.250250000000001</v>
      </c>
      <c r="AF88" s="28">
        <f ca="1">SUMIF(Asig_OT,Z88,Asig_Hora_Pla)*'Costos x MO'!$B$4*'Costos x MO'!$B$7</f>
        <v>0</v>
      </c>
      <c r="AG88" s="28">
        <f ca="1">SUMIF(Asig_OT,Z88,Asig_paño_Pin)*'Costos x MO'!$B$5*'Costos x MO'!$B$7</f>
        <v>0</v>
      </c>
      <c r="AH88" s="28">
        <f ca="1">(SUMIF(Asig_OT,Z88,Asig_Terc_Pla)*'Costos x MO'!$B$7)+(SUMIF(Asig_OT,Z88,Asig_Terc_Pin)*'Costos x MO'!$B$7)</f>
        <v>0</v>
      </c>
      <c r="AI88" s="28">
        <f t="shared" ca="1" si="46"/>
        <v>320.50345001999995</v>
      </c>
      <c r="AJ88" s="28">
        <f t="shared" ca="1" si="47"/>
        <v>199.49654998000005</v>
      </c>
      <c r="AK88" s="31">
        <f t="shared" ca="1" si="48"/>
        <v>0.38364721150000008</v>
      </c>
      <c r="AL88" s="28" t="str">
        <f t="shared" ca="1" si="49"/>
        <v>C.C</v>
      </c>
      <c r="AM88" s="28" t="str">
        <f t="shared" ca="1" si="50"/>
        <v>MECANICA</v>
      </c>
      <c r="AN88" s="30" t="str">
        <f t="shared" ca="1" si="51"/>
        <v>November</v>
      </c>
      <c r="AO88" s="42">
        <f t="shared" ca="1" si="52"/>
        <v>2019</v>
      </c>
      <c r="AP88" s="42">
        <f t="shared" ca="1" si="53"/>
        <v>5</v>
      </c>
      <c r="AQ88" s="26">
        <v>1</v>
      </c>
      <c r="AR88" s="30">
        <f t="shared" ca="1" si="54"/>
        <v>43776</v>
      </c>
      <c r="AS88" s="30" t="str">
        <f t="shared" ca="1" si="55"/>
        <v>AHQ-605</v>
      </c>
      <c r="AT88" s="26" t="str">
        <f t="shared" ca="1" si="56"/>
        <v>FORD</v>
      </c>
      <c r="AU88" s="26" t="str">
        <f t="shared" ca="1" si="57"/>
        <v>EXPLORER</v>
      </c>
      <c r="AV88" s="26" t="str">
        <f t="shared" ca="1" si="58"/>
        <v>MASEDI CONTRATISTAS GENERALES SAC</v>
      </c>
    </row>
    <row r="89" spans="1:48" x14ac:dyDescent="0.2">
      <c r="A89" s="172">
        <v>43761</v>
      </c>
      <c r="B89" s="173" t="s">
        <v>68</v>
      </c>
      <c r="C89" s="173" t="s">
        <v>102</v>
      </c>
      <c r="D89" s="173" t="s">
        <v>672</v>
      </c>
      <c r="E89" s="173" t="s">
        <v>775</v>
      </c>
      <c r="F89" s="173" t="s">
        <v>932</v>
      </c>
      <c r="G89" s="172">
        <v>43743</v>
      </c>
      <c r="H89" s="173" t="s">
        <v>1145</v>
      </c>
      <c r="I89" s="173" t="s">
        <v>1146</v>
      </c>
      <c r="J89" s="173" t="s">
        <v>92</v>
      </c>
      <c r="K89" s="173" t="s">
        <v>113</v>
      </c>
      <c r="L89" s="174" t="s">
        <v>71</v>
      </c>
      <c r="M89" s="175" t="s">
        <v>72</v>
      </c>
      <c r="N89" s="173" t="s">
        <v>73</v>
      </c>
      <c r="O89" s="176" t="s">
        <v>69</v>
      </c>
      <c r="P89" s="130" t="s">
        <v>113</v>
      </c>
      <c r="Q89" s="177" t="s">
        <v>74</v>
      </c>
      <c r="R89" s="178">
        <v>3.3420000000000001</v>
      </c>
      <c r="S89" s="179">
        <v>1</v>
      </c>
      <c r="T89" s="179">
        <v>140</v>
      </c>
      <c r="U89" s="179">
        <v>140</v>
      </c>
      <c r="V89" s="179">
        <v>25.2</v>
      </c>
      <c r="W89" s="179">
        <v>165.2</v>
      </c>
      <c r="X89" s="27">
        <f t="shared" si="59"/>
        <v>140</v>
      </c>
      <c r="Y89" s="29">
        <f ca="1">VLOOKUP(Z89,CHOOSE({2,1},Fac_Fecha,Fac_OT),2,0)</f>
        <v>43781</v>
      </c>
      <c r="Z89" s="26" t="s">
        <v>1342</v>
      </c>
      <c r="AA89" s="28">
        <f t="shared" ca="1" si="41"/>
        <v>350</v>
      </c>
      <c r="AB89" s="28">
        <f ca="1">SUMIF(Salida_OT,Facturacion!Z89,Salida_Suma)</f>
        <v>0</v>
      </c>
      <c r="AC89" s="28">
        <f t="shared" ca="1" si="44"/>
        <v>0</v>
      </c>
      <c r="AD89" s="28">
        <f t="shared" ca="1" si="45"/>
        <v>0</v>
      </c>
      <c r="AE89" s="28">
        <f ca="1">(SUMIF(Asig_OT,Z89,Asig_Hora_Mec))*'Costos x MO'!$B$6*'Costos x MO'!$B$7</f>
        <v>15.075000000000001</v>
      </c>
      <c r="AF89" s="28">
        <f ca="1">SUMIF(Asig_OT,Z89,Asig_Hora_Pla)*'Costos x MO'!$B$4*'Costos x MO'!$B$7</f>
        <v>0</v>
      </c>
      <c r="AG89" s="28">
        <f ca="1">SUMIF(Asig_OT,Z89,Asig_paño_Pin)*'Costos x MO'!$B$5*'Costos x MO'!$B$7</f>
        <v>0</v>
      </c>
      <c r="AH89" s="28">
        <f ca="1">(SUMIF(Asig_OT,Z89,Asig_Terc_Pla)*'Costos x MO'!$B$7)+(SUMIF(Asig_OT,Z89,Asig_Terc_Pin)*'Costos x MO'!$B$7)</f>
        <v>0</v>
      </c>
      <c r="AI89" s="28">
        <f t="shared" ca="1" si="46"/>
        <v>15.075000000000001</v>
      </c>
      <c r="AJ89" s="28">
        <f t="shared" ca="1" si="47"/>
        <v>334.92500000000001</v>
      </c>
      <c r="AK89" s="31">
        <f t="shared" ca="1" si="48"/>
        <v>0.95692857142857146</v>
      </c>
      <c r="AL89" s="28" t="str">
        <f t="shared" ca="1" si="49"/>
        <v>ACCESO</v>
      </c>
      <c r="AM89" s="28" t="str">
        <f t="shared" ca="1" si="50"/>
        <v>MEDIANO</v>
      </c>
      <c r="AN89" s="30" t="str">
        <f t="shared" ca="1" si="51"/>
        <v>November</v>
      </c>
      <c r="AO89" s="42">
        <f t="shared" ca="1" si="52"/>
        <v>2019</v>
      </c>
      <c r="AP89" s="42">
        <f t="shared" ca="1" si="53"/>
        <v>0</v>
      </c>
      <c r="AQ89" s="26">
        <v>1</v>
      </c>
      <c r="AR89" s="30">
        <f t="shared" ca="1" si="54"/>
        <v>43781</v>
      </c>
      <c r="AS89" s="30" t="str">
        <f t="shared" ca="1" si="55"/>
        <v>APB-579</v>
      </c>
      <c r="AT89" s="26" t="str">
        <f t="shared" ca="1" si="56"/>
        <v>HYUNDAI</v>
      </c>
      <c r="AU89" s="26" t="str">
        <f t="shared" ca="1" si="57"/>
        <v>ACCENT</v>
      </c>
      <c r="AV89" s="26" t="str">
        <f t="shared" ca="1" si="58"/>
        <v>EDPYME ACCESO CREDITICIO SOCIEDAD ANONIMA</v>
      </c>
    </row>
    <row r="90" spans="1:48" x14ac:dyDescent="0.2">
      <c r="A90" s="172">
        <v>43761</v>
      </c>
      <c r="B90" s="173" t="s">
        <v>68</v>
      </c>
      <c r="C90" s="173" t="s">
        <v>102</v>
      </c>
      <c r="D90" s="173" t="s">
        <v>672</v>
      </c>
      <c r="E90" s="173" t="s">
        <v>775</v>
      </c>
      <c r="F90" s="173" t="s">
        <v>932</v>
      </c>
      <c r="G90" s="172">
        <v>43743</v>
      </c>
      <c r="H90" s="173" t="s">
        <v>1145</v>
      </c>
      <c r="I90" s="173" t="s">
        <v>1146</v>
      </c>
      <c r="J90" s="173" t="s">
        <v>70</v>
      </c>
      <c r="K90" s="173" t="s">
        <v>112</v>
      </c>
      <c r="L90" s="174" t="s">
        <v>71</v>
      </c>
      <c r="M90" s="175" t="s">
        <v>72</v>
      </c>
      <c r="N90" s="173" t="s">
        <v>73</v>
      </c>
      <c r="O90" s="176" t="s">
        <v>69</v>
      </c>
      <c r="P90" s="130" t="s">
        <v>447</v>
      </c>
      <c r="Q90" s="177" t="s">
        <v>74</v>
      </c>
      <c r="R90" s="178">
        <v>3.3420000000000001</v>
      </c>
      <c r="S90" s="179">
        <v>1</v>
      </c>
      <c r="T90" s="179">
        <v>255</v>
      </c>
      <c r="U90" s="179">
        <v>255</v>
      </c>
      <c r="V90" s="179">
        <v>45.89998999999996</v>
      </c>
      <c r="W90" s="179">
        <v>300.89998999999995</v>
      </c>
      <c r="X90" s="27">
        <f t="shared" si="59"/>
        <v>255</v>
      </c>
      <c r="Y90" s="29">
        <f ca="1">VLOOKUP(Z90,CHOOSE({2,1},Fac_Fecha,Fac_OT),2,0)</f>
        <v>43781</v>
      </c>
      <c r="Z90" s="26" t="s">
        <v>846</v>
      </c>
      <c r="AA90" s="28">
        <f t="shared" ca="1" si="41"/>
        <v>10169.50841</v>
      </c>
      <c r="AB90" s="28">
        <f ca="1">SUMIF(Salida_OT,Facturacion!Z90,Salida_Suma)</f>
        <v>2652.2064507200002</v>
      </c>
      <c r="AC90" s="28">
        <f t="shared" ca="1" si="44"/>
        <v>0</v>
      </c>
      <c r="AD90" s="28">
        <f t="shared" ca="1" si="45"/>
        <v>120</v>
      </c>
      <c r="AE90" s="28">
        <f ca="1">(SUMIF(Asig_OT,Z90,Asig_Hora_Mec))*'Costos x MO'!$B$6*'Costos x MO'!$B$7</f>
        <v>124.36875000000001</v>
      </c>
      <c r="AF90" s="28">
        <f ca="1">SUMIF(Asig_OT,Z90,Asig_Hora_Pla)*'Costos x MO'!$B$4*'Costos x MO'!$B$7</f>
        <v>1055.25</v>
      </c>
      <c r="AG90" s="28">
        <f ca="1">SUMIF(Asig_OT,Z90,Asig_paño_Pin)*'Costos x MO'!$B$5*'Costos x MO'!$B$7</f>
        <v>1266.3</v>
      </c>
      <c r="AH90" s="28">
        <f ca="1">(SUMIF(Asig_OT,Z90,Asig_Terc_Pla)*'Costos x MO'!$B$7)+(SUMIF(Asig_OT,Z90,Asig_Terc_Pin)*'Costos x MO'!$B$7)</f>
        <v>0</v>
      </c>
      <c r="AI90" s="28">
        <f t="shared" ca="1" si="46"/>
        <v>5218.1252007200001</v>
      </c>
      <c r="AJ90" s="28">
        <f t="shared" ca="1" si="47"/>
        <v>4951.3832092800003</v>
      </c>
      <c r="AK90" s="31">
        <f t="shared" ca="1" si="48"/>
        <v>0.48688520719557576</v>
      </c>
      <c r="AL90" s="28" t="str">
        <f t="shared" ca="1" si="49"/>
        <v>ACCESO</v>
      </c>
      <c r="AM90" s="28" t="str">
        <f t="shared" ca="1" si="50"/>
        <v>GRAVE</v>
      </c>
      <c r="AN90" s="30" t="str">
        <f t="shared" ca="1" si="51"/>
        <v>November</v>
      </c>
      <c r="AO90" s="42">
        <f t="shared" ca="1" si="52"/>
        <v>2019</v>
      </c>
      <c r="AP90" s="42">
        <f t="shared" ca="1" si="53"/>
        <v>27</v>
      </c>
      <c r="AQ90" s="26">
        <v>1</v>
      </c>
      <c r="AR90" s="30">
        <f t="shared" ca="1" si="54"/>
        <v>43754</v>
      </c>
      <c r="AS90" s="30" t="str">
        <f t="shared" ca="1" si="55"/>
        <v>AKZ-422</v>
      </c>
      <c r="AT90" s="26" t="str">
        <f t="shared" ca="1" si="56"/>
        <v>HYUNDAY</v>
      </c>
      <c r="AU90" s="26" t="str">
        <f t="shared" ca="1" si="57"/>
        <v>ACCENT</v>
      </c>
      <c r="AV90" s="26" t="str">
        <f t="shared" ca="1" si="58"/>
        <v>EDPYME ACCESO CREDITICIO SOCIEDAD ANONIMA</v>
      </c>
    </row>
    <row r="91" spans="1:48" x14ac:dyDescent="0.2">
      <c r="A91" s="172">
        <v>43761</v>
      </c>
      <c r="B91" s="173" t="s">
        <v>68</v>
      </c>
      <c r="C91" s="173" t="s">
        <v>102</v>
      </c>
      <c r="D91" s="173" t="s">
        <v>672</v>
      </c>
      <c r="E91" s="173" t="s">
        <v>775</v>
      </c>
      <c r="F91" s="173" t="s">
        <v>932</v>
      </c>
      <c r="G91" s="172">
        <v>43743</v>
      </c>
      <c r="H91" s="173" t="s">
        <v>1145</v>
      </c>
      <c r="I91" s="173" t="s">
        <v>1146</v>
      </c>
      <c r="J91" s="173" t="s">
        <v>104</v>
      </c>
      <c r="K91" s="173" t="s">
        <v>105</v>
      </c>
      <c r="L91" s="174" t="s">
        <v>71</v>
      </c>
      <c r="M91" s="175" t="s">
        <v>72</v>
      </c>
      <c r="N91" s="173" t="s">
        <v>73</v>
      </c>
      <c r="O91" s="176" t="s">
        <v>69</v>
      </c>
      <c r="P91" s="173" t="s">
        <v>105</v>
      </c>
      <c r="Q91" s="177" t="s">
        <v>74</v>
      </c>
      <c r="R91" s="178">
        <v>3.3420000000000001</v>
      </c>
      <c r="S91" s="179">
        <v>1</v>
      </c>
      <c r="T91" s="179">
        <v>2732</v>
      </c>
      <c r="U91" s="179">
        <v>2732</v>
      </c>
      <c r="V91" s="179">
        <v>491.76</v>
      </c>
      <c r="W91" s="179">
        <v>3223.76</v>
      </c>
      <c r="X91" s="27">
        <f t="shared" si="59"/>
        <v>2732</v>
      </c>
      <c r="Y91" s="29">
        <f ca="1">VLOOKUP(Z91,CHOOSE({2,1},Fac_Fecha,Fac_OT),2,0)</f>
        <v>43781</v>
      </c>
      <c r="Z91" s="26" t="s">
        <v>1298</v>
      </c>
      <c r="AA91" s="28">
        <f t="shared" ca="1" si="41"/>
        <v>315</v>
      </c>
      <c r="AB91" s="28">
        <f ca="1">SUMIF(Salida_OT,Facturacion!Z91,Salida_Suma)</f>
        <v>97.930245999999997</v>
      </c>
      <c r="AC91" s="28">
        <f t="shared" ca="1" si="44"/>
        <v>0</v>
      </c>
      <c r="AD91" s="28">
        <f t="shared" ca="1" si="45"/>
        <v>0</v>
      </c>
      <c r="AE91" s="28">
        <f ca="1">(SUMIF(Asig_OT,Z91,Asig_Hora_Mec))*'Costos x MO'!$B$6*'Costos x MO'!$B$7</f>
        <v>45.225000000000001</v>
      </c>
      <c r="AF91" s="28">
        <f ca="1">SUMIF(Asig_OT,Z91,Asig_Hora_Pla)*'Costos x MO'!$B$4*'Costos x MO'!$B$7</f>
        <v>0</v>
      </c>
      <c r="AG91" s="28">
        <f ca="1">SUMIF(Asig_OT,Z91,Asig_paño_Pin)*'Costos x MO'!$B$5*'Costos x MO'!$B$7</f>
        <v>0</v>
      </c>
      <c r="AH91" s="28">
        <f ca="1">(SUMIF(Asig_OT,Z91,Asig_Terc_Pla)*'Costos x MO'!$B$7)+(SUMIF(Asig_OT,Z91,Asig_Terc_Pin)*'Costos x MO'!$B$7)</f>
        <v>0</v>
      </c>
      <c r="AI91" s="28">
        <f t="shared" ca="1" si="46"/>
        <v>143.15524600000001</v>
      </c>
      <c r="AJ91" s="28">
        <f t="shared" ca="1" si="47"/>
        <v>171.84475399999999</v>
      </c>
      <c r="AK91" s="31">
        <f t="shared" ca="1" si="48"/>
        <v>0.54553890158730156</v>
      </c>
      <c r="AL91" s="28" t="str">
        <f t="shared" ca="1" si="49"/>
        <v>ACCESO</v>
      </c>
      <c r="AM91" s="28" t="str">
        <f t="shared" ca="1" si="50"/>
        <v>MEDIANO</v>
      </c>
      <c r="AN91" s="30" t="str">
        <f t="shared" ca="1" si="51"/>
        <v>November</v>
      </c>
      <c r="AO91" s="42">
        <f t="shared" ca="1" si="52"/>
        <v>2019</v>
      </c>
      <c r="AP91" s="42">
        <f t="shared" ca="1" si="53"/>
        <v>4</v>
      </c>
      <c r="AQ91" s="26">
        <v>1</v>
      </c>
      <c r="AR91" s="30">
        <f t="shared" ca="1" si="54"/>
        <v>43777</v>
      </c>
      <c r="AS91" s="30" t="str">
        <f t="shared" ca="1" si="55"/>
        <v>F0S-053</v>
      </c>
      <c r="AT91" s="26" t="str">
        <f t="shared" ca="1" si="56"/>
        <v>NISSAN</v>
      </c>
      <c r="AU91" s="26" t="str">
        <f t="shared" ca="1" si="57"/>
        <v>SENTRA</v>
      </c>
      <c r="AV91" s="26" t="str">
        <f t="shared" ca="1" si="58"/>
        <v>EDPYME ACCESO CREDITICIO SOCIEDAD ANONIMA</v>
      </c>
    </row>
    <row r="92" spans="1:48" x14ac:dyDescent="0.2">
      <c r="A92" s="172">
        <v>43761</v>
      </c>
      <c r="B92" s="173" t="s">
        <v>68</v>
      </c>
      <c r="C92" s="173" t="s">
        <v>102</v>
      </c>
      <c r="D92" s="173" t="s">
        <v>671</v>
      </c>
      <c r="E92" s="173" t="s">
        <v>795</v>
      </c>
      <c r="F92" s="173" t="s">
        <v>339</v>
      </c>
      <c r="G92" s="172">
        <v>43752</v>
      </c>
      <c r="H92" s="173" t="s">
        <v>311</v>
      </c>
      <c r="I92" s="173" t="s">
        <v>312</v>
      </c>
      <c r="J92" s="173" t="s">
        <v>100</v>
      </c>
      <c r="K92" s="173" t="s">
        <v>101</v>
      </c>
      <c r="L92" s="174" t="s">
        <v>71</v>
      </c>
      <c r="M92" s="175" t="s">
        <v>102</v>
      </c>
      <c r="N92" s="173" t="s">
        <v>103</v>
      </c>
      <c r="O92" s="176" t="s">
        <v>72</v>
      </c>
      <c r="P92" s="130" t="s">
        <v>101</v>
      </c>
      <c r="Q92" s="177" t="s">
        <v>74</v>
      </c>
      <c r="R92" s="178">
        <v>3.3420000000000001</v>
      </c>
      <c r="S92" s="179">
        <v>1</v>
      </c>
      <c r="T92" s="179">
        <v>60</v>
      </c>
      <c r="U92" s="179">
        <v>60</v>
      </c>
      <c r="V92" s="179">
        <v>10.800002999999997</v>
      </c>
      <c r="W92" s="179">
        <v>70.800003000000004</v>
      </c>
      <c r="X92" s="27">
        <f t="shared" si="59"/>
        <v>60</v>
      </c>
      <c r="Y92" s="29">
        <f ca="1">VLOOKUP(Z92,CHOOSE({2,1},Fac_Fecha,Fac_OT),2,0)</f>
        <v>43781</v>
      </c>
      <c r="Z92" s="26" t="s">
        <v>901</v>
      </c>
      <c r="AA92" s="28">
        <f t="shared" ca="1" si="41"/>
        <v>2488.533236415421</v>
      </c>
      <c r="AB92" s="28">
        <f ca="1">SUMIF(Salida_OT,Facturacion!Z92,Salida_Suma)</f>
        <v>0</v>
      </c>
      <c r="AC92" s="28">
        <f t="shared" ca="1" si="44"/>
        <v>0</v>
      </c>
      <c r="AD92" s="28">
        <f t="shared" ca="1" si="45"/>
        <v>99.825000000000003</v>
      </c>
      <c r="AE92" s="28">
        <f ca="1">(SUMIF(Asig_OT,Z92,Asig_Hora_Mec))*'Costos x MO'!$B$6*'Costos x MO'!$B$7</f>
        <v>0</v>
      </c>
      <c r="AF92" s="28">
        <f ca="1">SUMIF(Asig_OT,Z92,Asig_Hora_Pla)*'Costos x MO'!$B$4*'Costos x MO'!$B$7</f>
        <v>271.35000000000002</v>
      </c>
      <c r="AG92" s="28">
        <f ca="1">SUMIF(Asig_OT,Z92,Asig_paño_Pin)*'Costos x MO'!$B$5*'Costos x MO'!$B$7</f>
        <v>369.33750000000003</v>
      </c>
      <c r="AH92" s="28">
        <f ca="1">(SUMIF(Asig_OT,Z92,Asig_Terc_Pla)*'Costos x MO'!$B$7)+(SUMIF(Asig_OT,Z92,Asig_Terc_Pin)*'Costos x MO'!$B$7)</f>
        <v>0</v>
      </c>
      <c r="AI92" s="28">
        <f t="shared" ca="1" si="46"/>
        <v>740.51250000000005</v>
      </c>
      <c r="AJ92" s="28">
        <f t="shared" ca="1" si="47"/>
        <v>1748.020736415421</v>
      </c>
      <c r="AK92" s="31">
        <f t="shared" ca="1" si="48"/>
        <v>0.70243013468180049</v>
      </c>
      <c r="AL92" s="28" t="str">
        <f t="shared" ca="1" si="49"/>
        <v>RIMAC</v>
      </c>
      <c r="AM92" s="28" t="str">
        <f t="shared" ca="1" si="50"/>
        <v>GRAVE</v>
      </c>
      <c r="AN92" s="30" t="str">
        <f t="shared" ca="1" si="51"/>
        <v>November</v>
      </c>
      <c r="AO92" s="42">
        <f t="shared" ca="1" si="52"/>
        <v>2019</v>
      </c>
      <c r="AP92" s="42">
        <f t="shared" ca="1" si="53"/>
        <v>14</v>
      </c>
      <c r="AQ92" s="26">
        <v>1</v>
      </c>
      <c r="AR92" s="30">
        <f t="shared" ca="1" si="54"/>
        <v>43767</v>
      </c>
      <c r="AS92" s="30" t="str">
        <f t="shared" ca="1" si="55"/>
        <v>BEJ-174</v>
      </c>
      <c r="AT92" s="26" t="str">
        <f t="shared" ca="1" si="56"/>
        <v>VOLKSWAGEN</v>
      </c>
      <c r="AU92" s="26" t="str">
        <f t="shared" ca="1" si="57"/>
        <v>GOL</v>
      </c>
      <c r="AV92" s="26" t="str">
        <f t="shared" ca="1" si="58"/>
        <v>RIMAC SEGUROS  Y REASEGUROS S.A</v>
      </c>
    </row>
    <row r="93" spans="1:48" x14ac:dyDescent="0.2">
      <c r="A93" s="172">
        <v>43761</v>
      </c>
      <c r="B93" s="173" t="s">
        <v>68</v>
      </c>
      <c r="C93" s="173" t="s">
        <v>102</v>
      </c>
      <c r="D93" s="173" t="s">
        <v>671</v>
      </c>
      <c r="E93" s="173" t="s">
        <v>795</v>
      </c>
      <c r="F93" s="173" t="s">
        <v>339</v>
      </c>
      <c r="G93" s="172">
        <v>43752</v>
      </c>
      <c r="H93" s="173" t="s">
        <v>311</v>
      </c>
      <c r="I93" s="173" t="s">
        <v>312</v>
      </c>
      <c r="J93" s="173" t="s">
        <v>92</v>
      </c>
      <c r="K93" s="173" t="s">
        <v>113</v>
      </c>
      <c r="L93" s="174" t="s">
        <v>71</v>
      </c>
      <c r="M93" s="175" t="s">
        <v>102</v>
      </c>
      <c r="N93" s="173" t="s">
        <v>103</v>
      </c>
      <c r="O93" s="176" t="s">
        <v>69</v>
      </c>
      <c r="P93" s="130" t="s">
        <v>113</v>
      </c>
      <c r="Q93" s="177" t="s">
        <v>74</v>
      </c>
      <c r="R93" s="178">
        <v>3.3420000000000001</v>
      </c>
      <c r="S93" s="179">
        <v>1</v>
      </c>
      <c r="T93" s="179">
        <v>320</v>
      </c>
      <c r="U93" s="179">
        <v>320</v>
      </c>
      <c r="V93" s="179">
        <v>57.600009999999891</v>
      </c>
      <c r="W93" s="179">
        <v>377.60000999999988</v>
      </c>
      <c r="X93" s="27">
        <f t="shared" si="59"/>
        <v>320</v>
      </c>
      <c r="Y93" s="29">
        <f ca="1">VLOOKUP(Z93,CHOOSE({2,1},Fac_Fecha,Fac_OT),2,0)</f>
        <v>43781</v>
      </c>
      <c r="Z93" s="26" t="s">
        <v>1280</v>
      </c>
      <c r="AA93" s="28">
        <f t="shared" ca="1" si="41"/>
        <v>299.39600890000003</v>
      </c>
      <c r="AB93" s="28">
        <f ca="1">SUMIF(Salida_OT,Facturacion!Z93,Salida_Suma)</f>
        <v>0</v>
      </c>
      <c r="AC93" s="28">
        <f t="shared" ca="1" si="44"/>
        <v>0</v>
      </c>
      <c r="AD93" s="28">
        <f t="shared" ca="1" si="45"/>
        <v>0</v>
      </c>
      <c r="AE93" s="28">
        <f ca="1">(SUMIF(Asig_OT,Z93,Asig_Hora_Mec))*'Costos x MO'!$B$6*'Costos x MO'!$B$7</f>
        <v>0</v>
      </c>
      <c r="AF93" s="28">
        <f ca="1">SUMIF(Asig_OT,Z93,Asig_Hora_Pla)*'Costos x MO'!$B$4*'Costos x MO'!$B$7</f>
        <v>22.612500000000001</v>
      </c>
      <c r="AG93" s="28">
        <f ca="1">SUMIF(Asig_OT,Z93,Asig_paño_Pin)*'Costos x MO'!$B$5*'Costos x MO'!$B$7</f>
        <v>70.350000000000009</v>
      </c>
      <c r="AH93" s="28">
        <f ca="1">(SUMIF(Asig_OT,Z93,Asig_Terc_Pla)*'Costos x MO'!$B$7)+(SUMIF(Asig_OT,Z93,Asig_Terc_Pin)*'Costos x MO'!$B$7)</f>
        <v>0</v>
      </c>
      <c r="AI93" s="28">
        <f t="shared" ca="1" si="46"/>
        <v>92.962500000000006</v>
      </c>
      <c r="AJ93" s="28">
        <f t="shared" ca="1" si="47"/>
        <v>206.43350890000002</v>
      </c>
      <c r="AK93" s="31">
        <f t="shared" ca="1" si="48"/>
        <v>0.68949986894765181</v>
      </c>
      <c r="AL93" s="28" t="str">
        <f t="shared" ca="1" si="49"/>
        <v>ACCESO</v>
      </c>
      <c r="AM93" s="28" t="str">
        <f t="shared" ca="1" si="50"/>
        <v>LEVE</v>
      </c>
      <c r="AN93" s="30" t="str">
        <f t="shared" ca="1" si="51"/>
        <v>November</v>
      </c>
      <c r="AO93" s="42">
        <f t="shared" ca="1" si="52"/>
        <v>2019</v>
      </c>
      <c r="AP93" s="42">
        <f t="shared" ca="1" si="53"/>
        <v>8</v>
      </c>
      <c r="AQ93" s="26">
        <v>1</v>
      </c>
      <c r="AR93" s="30">
        <f t="shared" ca="1" si="54"/>
        <v>43773</v>
      </c>
      <c r="AS93" s="30" t="str">
        <f t="shared" ca="1" si="55"/>
        <v>C4W-101</v>
      </c>
      <c r="AT93" s="26" t="str">
        <f t="shared" ca="1" si="56"/>
        <v>CHEVROLET</v>
      </c>
      <c r="AU93" s="26" t="str">
        <f t="shared" ca="1" si="57"/>
        <v>CRUZE</v>
      </c>
      <c r="AV93" s="26" t="str">
        <f t="shared" ca="1" si="58"/>
        <v>RIMAC SEGUROS  Y REASEGUROS S.A</v>
      </c>
    </row>
    <row r="94" spans="1:48" x14ac:dyDescent="0.2">
      <c r="A94" s="172">
        <v>43761</v>
      </c>
      <c r="B94" s="173" t="s">
        <v>68</v>
      </c>
      <c r="C94" s="173" t="s">
        <v>102</v>
      </c>
      <c r="D94" s="173" t="s">
        <v>671</v>
      </c>
      <c r="E94" s="173" t="s">
        <v>795</v>
      </c>
      <c r="F94" s="173" t="s">
        <v>339</v>
      </c>
      <c r="G94" s="172">
        <v>43752</v>
      </c>
      <c r="H94" s="173" t="s">
        <v>311</v>
      </c>
      <c r="I94" s="173" t="s">
        <v>312</v>
      </c>
      <c r="J94" s="173" t="s">
        <v>70</v>
      </c>
      <c r="K94" s="173" t="s">
        <v>112</v>
      </c>
      <c r="L94" s="174" t="s">
        <v>71</v>
      </c>
      <c r="M94" s="175" t="s">
        <v>102</v>
      </c>
      <c r="N94" s="173" t="s">
        <v>103</v>
      </c>
      <c r="O94" s="176" t="s">
        <v>69</v>
      </c>
      <c r="P94" s="130" t="s">
        <v>447</v>
      </c>
      <c r="Q94" s="177" t="s">
        <v>74</v>
      </c>
      <c r="R94" s="178">
        <v>3.3420000000000001</v>
      </c>
      <c r="S94" s="179">
        <v>1</v>
      </c>
      <c r="T94" s="179">
        <v>300</v>
      </c>
      <c r="U94" s="179">
        <v>300</v>
      </c>
      <c r="V94" s="179">
        <v>54</v>
      </c>
      <c r="W94" s="179">
        <v>354</v>
      </c>
      <c r="X94" s="27">
        <f t="shared" si="59"/>
        <v>300</v>
      </c>
      <c r="Y94" s="29">
        <f ca="1">VLOOKUP(Z94,CHOOSE({2,1},Fac_Fecha,Fac_OT),2,0)</f>
        <v>43781</v>
      </c>
      <c r="Z94" s="26" t="s">
        <v>1279</v>
      </c>
      <c r="AA94" s="28">
        <f t="shared" ca="1" si="41"/>
        <v>299.39600890000003</v>
      </c>
      <c r="AB94" s="28">
        <f ca="1">SUMIF(Salida_OT,Facturacion!Z94,Salida_Suma)</f>
        <v>0</v>
      </c>
      <c r="AC94" s="28">
        <f t="shared" ca="1" si="44"/>
        <v>0</v>
      </c>
      <c r="AD94" s="28">
        <f t="shared" ca="1" si="45"/>
        <v>0</v>
      </c>
      <c r="AE94" s="28">
        <f ca="1">(SUMIF(Asig_OT,Z94,Asig_Hora_Mec))*'Costos x MO'!$B$6*'Costos x MO'!$B$7</f>
        <v>0</v>
      </c>
      <c r="AF94" s="28">
        <f ca="1">SUMIF(Asig_OT,Z94,Asig_Hora_Pla)*'Costos x MO'!$B$4*'Costos x MO'!$B$7</f>
        <v>22.612500000000001</v>
      </c>
      <c r="AG94" s="28">
        <f ca="1">SUMIF(Asig_OT,Z94,Asig_paño_Pin)*'Costos x MO'!$B$5*'Costos x MO'!$B$7</f>
        <v>70.350000000000009</v>
      </c>
      <c r="AH94" s="28">
        <f ca="1">(SUMIF(Asig_OT,Z94,Asig_Terc_Pla)*'Costos x MO'!$B$7)+(SUMIF(Asig_OT,Z94,Asig_Terc_Pin)*'Costos x MO'!$B$7)</f>
        <v>0</v>
      </c>
      <c r="AI94" s="28">
        <f t="shared" ca="1" si="46"/>
        <v>92.962500000000006</v>
      </c>
      <c r="AJ94" s="28">
        <f t="shared" ca="1" si="47"/>
        <v>206.43350890000002</v>
      </c>
      <c r="AK94" s="31">
        <f t="shared" ca="1" si="48"/>
        <v>0.68949986894765181</v>
      </c>
      <c r="AL94" s="28" t="str">
        <f t="shared" ca="1" si="49"/>
        <v>ACCESO</v>
      </c>
      <c r="AM94" s="28" t="str">
        <f t="shared" ca="1" si="50"/>
        <v>LEVE</v>
      </c>
      <c r="AN94" s="30" t="str">
        <f t="shared" ca="1" si="51"/>
        <v>November</v>
      </c>
      <c r="AO94" s="42">
        <f t="shared" ca="1" si="52"/>
        <v>2019</v>
      </c>
      <c r="AP94" s="42">
        <f t="shared" ca="1" si="53"/>
        <v>6</v>
      </c>
      <c r="AQ94" s="26">
        <v>1</v>
      </c>
      <c r="AR94" s="30">
        <f t="shared" ca="1" si="54"/>
        <v>43775</v>
      </c>
      <c r="AS94" s="30" t="str">
        <f t="shared" ca="1" si="55"/>
        <v>C4W-101</v>
      </c>
      <c r="AT94" s="26" t="str">
        <f t="shared" ca="1" si="56"/>
        <v>CHEVROLET</v>
      </c>
      <c r="AU94" s="26" t="str">
        <f t="shared" ca="1" si="57"/>
        <v>CRUZE</v>
      </c>
      <c r="AV94" s="26" t="str">
        <f t="shared" ca="1" si="58"/>
        <v>RIMAC SEGUROS  Y REASEGUROS S.A</v>
      </c>
    </row>
    <row r="95" spans="1:48" x14ac:dyDescent="0.2">
      <c r="A95" s="172">
        <v>43761</v>
      </c>
      <c r="B95" s="173" t="s">
        <v>68</v>
      </c>
      <c r="C95" s="173" t="s">
        <v>102</v>
      </c>
      <c r="D95" s="173" t="s">
        <v>671</v>
      </c>
      <c r="E95" s="173" t="s">
        <v>795</v>
      </c>
      <c r="F95" s="173" t="s">
        <v>339</v>
      </c>
      <c r="G95" s="172">
        <v>43752</v>
      </c>
      <c r="H95" s="173" t="s">
        <v>311</v>
      </c>
      <c r="I95" s="173" t="s">
        <v>312</v>
      </c>
      <c r="J95" s="173" t="s">
        <v>104</v>
      </c>
      <c r="K95" s="173" t="s">
        <v>105</v>
      </c>
      <c r="L95" s="174" t="s">
        <v>71</v>
      </c>
      <c r="M95" s="175" t="s">
        <v>102</v>
      </c>
      <c r="N95" s="173" t="s">
        <v>103</v>
      </c>
      <c r="O95" s="176" t="s">
        <v>69</v>
      </c>
      <c r="P95" s="173" t="s">
        <v>105</v>
      </c>
      <c r="Q95" s="177" t="s">
        <v>74</v>
      </c>
      <c r="R95" s="178">
        <v>3.3420000000000001</v>
      </c>
      <c r="S95" s="179">
        <v>1</v>
      </c>
      <c r="T95" s="179">
        <v>210</v>
      </c>
      <c r="U95" s="179">
        <v>210</v>
      </c>
      <c r="V95" s="179">
        <v>37.799999999999997</v>
      </c>
      <c r="W95" s="179">
        <v>247.8</v>
      </c>
      <c r="X95" s="27">
        <f t="shared" si="59"/>
        <v>210</v>
      </c>
      <c r="Y95" s="29">
        <f ca="1">VLOOKUP(Z95,CHOOSE({2,1},Fac_Fecha,Fac_OT),2,0)</f>
        <v>43782</v>
      </c>
      <c r="Z95" s="26" t="s">
        <v>1294</v>
      </c>
      <c r="AA95" s="28">
        <f t="shared" ca="1" si="41"/>
        <v>725</v>
      </c>
      <c r="AB95" s="28">
        <f ca="1">SUMIF(Salida_OT,Facturacion!Z95,Salida_Suma)</f>
        <v>451.82970020000005</v>
      </c>
      <c r="AC95" s="28">
        <f t="shared" ca="1" si="44"/>
        <v>0</v>
      </c>
      <c r="AD95" s="28">
        <f t="shared" ca="1" si="45"/>
        <v>0</v>
      </c>
      <c r="AE95" s="28">
        <f ca="1">(SUMIF(Asig_OT,Z95,Asig_Hora_Mec))*'Costos x MO'!$B$6*'Costos x MO'!$B$7</f>
        <v>45.225000000000001</v>
      </c>
      <c r="AF95" s="28">
        <f ca="1">SUMIF(Asig_OT,Z95,Asig_Hora_Pla)*'Costos x MO'!$B$4*'Costos x MO'!$B$7</f>
        <v>0</v>
      </c>
      <c r="AG95" s="28">
        <f ca="1">SUMIF(Asig_OT,Z95,Asig_paño_Pin)*'Costos x MO'!$B$5*'Costos x MO'!$B$7</f>
        <v>0</v>
      </c>
      <c r="AH95" s="28">
        <f ca="1">(SUMIF(Asig_OT,Z95,Asig_Terc_Pla)*'Costos x MO'!$B$7)+(SUMIF(Asig_OT,Z95,Asig_Terc_Pin)*'Costos x MO'!$B$7)</f>
        <v>0</v>
      </c>
      <c r="AI95" s="28">
        <f t="shared" ca="1" si="46"/>
        <v>497.05470020000007</v>
      </c>
      <c r="AJ95" s="28">
        <f t="shared" ca="1" si="47"/>
        <v>227.94529979999993</v>
      </c>
      <c r="AK95" s="31">
        <f t="shared" ca="1" si="48"/>
        <v>0.31440731006896544</v>
      </c>
      <c r="AL95" s="28" t="str">
        <f t="shared" ca="1" si="49"/>
        <v>ACCESO</v>
      </c>
      <c r="AM95" s="28" t="str">
        <f t="shared" ca="1" si="50"/>
        <v>MEDIANO</v>
      </c>
      <c r="AN95" s="30" t="str">
        <f t="shared" ca="1" si="51"/>
        <v>November</v>
      </c>
      <c r="AO95" s="42">
        <f t="shared" ca="1" si="52"/>
        <v>2019</v>
      </c>
      <c r="AP95" s="42">
        <f t="shared" ca="1" si="53"/>
        <v>5</v>
      </c>
      <c r="AQ95" s="26">
        <v>1</v>
      </c>
      <c r="AR95" s="30">
        <f t="shared" ca="1" si="54"/>
        <v>43777</v>
      </c>
      <c r="AS95" s="30" t="str">
        <f t="shared" ca="1" si="55"/>
        <v>F1P-230</v>
      </c>
      <c r="AT95" s="26" t="str">
        <f t="shared" ca="1" si="56"/>
        <v>CHEVROLET</v>
      </c>
      <c r="AU95" s="26" t="str">
        <f t="shared" ca="1" si="57"/>
        <v>SAIL</v>
      </c>
      <c r="AV95" s="26" t="str">
        <f t="shared" ca="1" si="58"/>
        <v>EDPYME ACCESO CREDITICIO SOCIEDAD ANONIMA</v>
      </c>
    </row>
    <row r="96" spans="1:48" x14ac:dyDescent="0.2">
      <c r="A96" s="172">
        <v>43761</v>
      </c>
      <c r="B96" s="173" t="s">
        <v>68</v>
      </c>
      <c r="C96" s="173" t="s">
        <v>102</v>
      </c>
      <c r="D96" s="173" t="s">
        <v>670</v>
      </c>
      <c r="E96" s="173" t="s">
        <v>783</v>
      </c>
      <c r="F96" s="173" t="s">
        <v>905</v>
      </c>
      <c r="G96" s="172">
        <v>43747</v>
      </c>
      <c r="H96" s="173" t="s">
        <v>1145</v>
      </c>
      <c r="I96" s="173" t="s">
        <v>1146</v>
      </c>
      <c r="J96" s="173" t="s">
        <v>97</v>
      </c>
      <c r="K96" s="173" t="s">
        <v>98</v>
      </c>
      <c r="L96" s="174" t="s">
        <v>71</v>
      </c>
      <c r="M96" s="175" t="s">
        <v>72</v>
      </c>
      <c r="N96" s="173" t="s">
        <v>73</v>
      </c>
      <c r="O96" s="176" t="s">
        <v>99</v>
      </c>
      <c r="P96" s="173" t="s">
        <v>98</v>
      </c>
      <c r="Q96" s="177" t="s">
        <v>74</v>
      </c>
      <c r="R96" s="178">
        <v>3.3420000000000001</v>
      </c>
      <c r="S96" s="179">
        <v>1</v>
      </c>
      <c r="T96" s="179">
        <v>2025</v>
      </c>
      <c r="U96" s="179">
        <v>2025</v>
      </c>
      <c r="V96" s="179">
        <v>364.5</v>
      </c>
      <c r="W96" s="179">
        <v>2389.5</v>
      </c>
      <c r="X96" s="27">
        <f t="shared" si="59"/>
        <v>2025</v>
      </c>
      <c r="Y96" s="29">
        <f ca="1">VLOOKUP(Z96,CHOOSE({2,1},Fac_Fecha,Fac_OT),2,0)</f>
        <v>43782</v>
      </c>
      <c r="Z96" s="107" t="s">
        <v>1293</v>
      </c>
      <c r="AA96" s="28">
        <f t="shared" ca="1" si="41"/>
        <v>427.06398734999999</v>
      </c>
      <c r="AB96" s="28">
        <f ca="1">SUMIF(Salida_OT,Facturacion!Z96,Salida_Suma)</f>
        <v>0</v>
      </c>
      <c r="AC96" s="28">
        <f t="shared" ca="1" si="44"/>
        <v>0</v>
      </c>
      <c r="AD96" s="28">
        <f t="shared" ca="1" si="45"/>
        <v>0</v>
      </c>
      <c r="AE96" s="28">
        <f ca="1">(SUMIF(Asig_OT,Z96,Asig_Hora_Mec))*'Costos x MO'!$B$6*'Costos x MO'!$B$7</f>
        <v>0</v>
      </c>
      <c r="AF96" s="28">
        <f ca="1">SUMIF(Asig_OT,Z96,Asig_Hora_Pla)*'Costos x MO'!$B$4*'Costos x MO'!$B$7</f>
        <v>30.150000000000002</v>
      </c>
      <c r="AG96" s="28">
        <f ca="1">SUMIF(Asig_OT,Z96,Asig_paño_Pin)*'Costos x MO'!$B$5*'Costos x MO'!$B$7</f>
        <v>70.350000000000009</v>
      </c>
      <c r="AH96" s="28">
        <f ca="1">(SUMIF(Asig_OT,Z96,Asig_Terc_Pla)*'Costos x MO'!$B$7)+(SUMIF(Asig_OT,Z96,Asig_Terc_Pin)*'Costos x MO'!$B$7)</f>
        <v>0</v>
      </c>
      <c r="AI96" s="28">
        <f t="shared" ca="1" si="46"/>
        <v>100.50000000000001</v>
      </c>
      <c r="AJ96" s="28">
        <f t="shared" ca="1" si="47"/>
        <v>326.56398734999999</v>
      </c>
      <c r="AK96" s="31">
        <f t="shared" ca="1" si="48"/>
        <v>0.76467226697428059</v>
      </c>
      <c r="AL96" s="28" t="str">
        <f t="shared" ca="1" si="49"/>
        <v>RIMAC</v>
      </c>
      <c r="AM96" s="28" t="str">
        <f t="shared" ca="1" si="50"/>
        <v>LEVE</v>
      </c>
      <c r="AN96" s="30" t="str">
        <f t="shared" ca="1" si="51"/>
        <v>November</v>
      </c>
      <c r="AO96" s="42">
        <f t="shared" ca="1" si="52"/>
        <v>2019</v>
      </c>
      <c r="AP96" s="42">
        <f t="shared" ca="1" si="53"/>
        <v>6</v>
      </c>
      <c r="AQ96" s="26">
        <v>1</v>
      </c>
      <c r="AR96" s="30">
        <f t="shared" ca="1" si="54"/>
        <v>43776</v>
      </c>
      <c r="AS96" s="30" t="str">
        <f t="shared" ca="1" si="55"/>
        <v>AXA-172</v>
      </c>
      <c r="AT96" s="26" t="str">
        <f t="shared" ca="1" si="56"/>
        <v>CHEVROLET</v>
      </c>
      <c r="AU96" s="26" t="str">
        <f t="shared" ca="1" si="57"/>
        <v>TRAVERSE</v>
      </c>
      <c r="AV96" s="26" t="str">
        <f t="shared" ca="1" si="58"/>
        <v>RENTAEQUIPOS LEASING PERU S.A.</v>
      </c>
    </row>
    <row r="97" spans="1:48" x14ac:dyDescent="0.2">
      <c r="A97" s="172">
        <v>43761</v>
      </c>
      <c r="B97" s="173" t="s">
        <v>68</v>
      </c>
      <c r="C97" s="173" t="s">
        <v>102</v>
      </c>
      <c r="D97" s="173" t="s">
        <v>670</v>
      </c>
      <c r="E97" s="173" t="s">
        <v>783</v>
      </c>
      <c r="F97" s="173" t="s">
        <v>905</v>
      </c>
      <c r="G97" s="172">
        <v>43747</v>
      </c>
      <c r="H97" s="173" t="s">
        <v>1145</v>
      </c>
      <c r="I97" s="173" t="s">
        <v>1146</v>
      </c>
      <c r="J97" s="173" t="s">
        <v>100</v>
      </c>
      <c r="K97" s="173" t="s">
        <v>101</v>
      </c>
      <c r="L97" s="174" t="s">
        <v>71</v>
      </c>
      <c r="M97" s="175" t="s">
        <v>72</v>
      </c>
      <c r="N97" s="173" t="s">
        <v>73</v>
      </c>
      <c r="O97" s="176" t="s">
        <v>72</v>
      </c>
      <c r="P97" s="130" t="s">
        <v>101</v>
      </c>
      <c r="Q97" s="177" t="s">
        <v>74</v>
      </c>
      <c r="R97" s="178">
        <v>3.3420000000000001</v>
      </c>
      <c r="S97" s="179">
        <v>1</v>
      </c>
      <c r="T97" s="179">
        <v>840</v>
      </c>
      <c r="U97" s="179">
        <v>840</v>
      </c>
      <c r="V97" s="179">
        <v>151.20000999999991</v>
      </c>
      <c r="W97" s="179">
        <v>991.20000999999991</v>
      </c>
      <c r="X97" s="27">
        <f t="shared" si="59"/>
        <v>840</v>
      </c>
      <c r="Y97" s="29">
        <f ca="1">VLOOKUP(Z97,CHOOSE({2,1},Fac_Fecha,Fac_OT),2,0)</f>
        <v>43782</v>
      </c>
      <c r="Z97" s="26" t="s">
        <v>1290</v>
      </c>
      <c r="AA97" s="28">
        <f t="shared" ca="1" si="41"/>
        <v>501.33598514999989</v>
      </c>
      <c r="AB97" s="28">
        <f ca="1">SUMIF(Salida_OT,Facturacion!Z97,Salida_Suma)</f>
        <v>0</v>
      </c>
      <c r="AC97" s="28">
        <f t="shared" ca="1" si="44"/>
        <v>0</v>
      </c>
      <c r="AD97" s="28">
        <f t="shared" ca="1" si="45"/>
        <v>0</v>
      </c>
      <c r="AE97" s="28">
        <f ca="1">(SUMIF(Asig_OT,Z97,Asig_Hora_Mec))*'Costos x MO'!$B$6*'Costos x MO'!$B$7</f>
        <v>0</v>
      </c>
      <c r="AF97" s="28">
        <f ca="1">SUMIF(Asig_OT,Z97,Asig_Hora_Pla)*'Costos x MO'!$B$4*'Costos x MO'!$B$7</f>
        <v>30.150000000000002</v>
      </c>
      <c r="AG97" s="28">
        <f ca="1">SUMIF(Asig_OT,Z97,Asig_paño_Pin)*'Costos x MO'!$B$5*'Costos x MO'!$B$7</f>
        <v>70.350000000000009</v>
      </c>
      <c r="AH97" s="28">
        <f ca="1">(SUMIF(Asig_OT,Z97,Asig_Terc_Pla)*'Costos x MO'!$B$7)+(SUMIF(Asig_OT,Z97,Asig_Terc_Pin)*'Costos x MO'!$B$7)</f>
        <v>0</v>
      </c>
      <c r="AI97" s="28">
        <f t="shared" ca="1" si="46"/>
        <v>100.50000000000001</v>
      </c>
      <c r="AJ97" s="28">
        <f t="shared" ca="1" si="47"/>
        <v>400.83598514999989</v>
      </c>
      <c r="AK97" s="31">
        <f t="shared" ca="1" si="48"/>
        <v>0.79953563482994272</v>
      </c>
      <c r="AL97" s="28" t="str">
        <f t="shared" ca="1" si="49"/>
        <v>RIMAC</v>
      </c>
      <c r="AM97" s="28" t="str">
        <f t="shared" ca="1" si="50"/>
        <v>LEVE</v>
      </c>
      <c r="AN97" s="30" t="str">
        <f t="shared" ca="1" si="51"/>
        <v>November</v>
      </c>
      <c r="AO97" s="42">
        <f t="shared" ca="1" si="52"/>
        <v>2019</v>
      </c>
      <c r="AP97" s="42">
        <f t="shared" ca="1" si="53"/>
        <v>9</v>
      </c>
      <c r="AQ97" s="26">
        <v>1</v>
      </c>
      <c r="AR97" s="30">
        <f t="shared" ca="1" si="54"/>
        <v>43773</v>
      </c>
      <c r="AS97" s="30" t="str">
        <f t="shared" ca="1" si="55"/>
        <v>AXA-172</v>
      </c>
      <c r="AT97" s="26" t="str">
        <f t="shared" ca="1" si="56"/>
        <v>CHEVROLET</v>
      </c>
      <c r="AU97" s="26" t="str">
        <f t="shared" ca="1" si="57"/>
        <v>TRAVERSE</v>
      </c>
      <c r="AV97" s="26" t="str">
        <f t="shared" ca="1" si="58"/>
        <v>RENTAEQUIPOS LEASING PERU S.A.</v>
      </c>
    </row>
    <row r="98" spans="1:48" x14ac:dyDescent="0.2">
      <c r="A98" s="172">
        <v>43761</v>
      </c>
      <c r="B98" s="173" t="s">
        <v>68</v>
      </c>
      <c r="C98" s="173" t="s">
        <v>102</v>
      </c>
      <c r="D98" s="173" t="s">
        <v>670</v>
      </c>
      <c r="E98" s="173" t="s">
        <v>783</v>
      </c>
      <c r="F98" s="173" t="s">
        <v>905</v>
      </c>
      <c r="G98" s="172">
        <v>43747</v>
      </c>
      <c r="H98" s="173" t="s">
        <v>1145</v>
      </c>
      <c r="I98" s="173" t="s">
        <v>1146</v>
      </c>
      <c r="J98" s="173" t="s">
        <v>92</v>
      </c>
      <c r="K98" s="173" t="s">
        <v>113</v>
      </c>
      <c r="L98" s="174" t="s">
        <v>71</v>
      </c>
      <c r="M98" s="175" t="s">
        <v>72</v>
      </c>
      <c r="N98" s="173" t="s">
        <v>73</v>
      </c>
      <c r="O98" s="176" t="s">
        <v>69</v>
      </c>
      <c r="P98" s="130" t="s">
        <v>113</v>
      </c>
      <c r="Q98" s="177" t="s">
        <v>74</v>
      </c>
      <c r="R98" s="178">
        <v>3.3420000000000001</v>
      </c>
      <c r="S98" s="179">
        <v>1</v>
      </c>
      <c r="T98" s="179">
        <v>280</v>
      </c>
      <c r="U98" s="179">
        <v>280</v>
      </c>
      <c r="V98" s="179">
        <v>50.399990000000031</v>
      </c>
      <c r="W98" s="179">
        <v>330.39999000000006</v>
      </c>
      <c r="X98" s="27">
        <f t="shared" si="59"/>
        <v>280</v>
      </c>
      <c r="Y98" s="29">
        <f ca="1">VLOOKUP(Z98,CHOOSE({2,1},Fac_Fecha,Fac_OT),2,0)</f>
        <v>43783</v>
      </c>
      <c r="Z98" s="26" t="s">
        <v>1829</v>
      </c>
      <c r="AA98" s="28">
        <f t="shared" ca="1" si="41"/>
        <v>1109.184</v>
      </c>
      <c r="AB98" s="28">
        <f ca="1">SUMIF(Salida_OT,Facturacion!Z98,Salida_Suma)</f>
        <v>0</v>
      </c>
      <c r="AC98" s="28">
        <f t="shared" ca="1" si="44"/>
        <v>0</v>
      </c>
      <c r="AD98" s="28">
        <f t="shared" ca="1" si="45"/>
        <v>0</v>
      </c>
      <c r="AE98" s="28">
        <f ca="1">(SUMIF(Asig_OT,Z98,Asig_Hora_Mec))*'Costos x MO'!$B$6*'Costos x MO'!$B$7</f>
        <v>0</v>
      </c>
      <c r="AF98" s="28">
        <f ca="1">SUMIF(Asig_OT,Z98,Asig_Hora_Pla)*'Costos x MO'!$B$4*'Costos x MO'!$B$7</f>
        <v>0</v>
      </c>
      <c r="AG98" s="28">
        <f ca="1">SUMIF(Asig_OT,Z98,Asig_paño_Pin)*'Costos x MO'!$B$5*'Costos x MO'!$B$7</f>
        <v>0</v>
      </c>
      <c r="AH98" s="28">
        <f ca="1">(SUMIF(Asig_OT,Z98,Asig_Terc_Pla)*'Costos x MO'!$B$7)+(SUMIF(Asig_OT,Z98,Asig_Terc_Pin)*'Costos x MO'!$B$7)</f>
        <v>0</v>
      </c>
      <c r="AI98" s="28">
        <f t="shared" ca="1" si="46"/>
        <v>0</v>
      </c>
      <c r="AJ98" s="28">
        <f t="shared" ca="1" si="47"/>
        <v>1109.184</v>
      </c>
      <c r="AK98" s="31">
        <f t="shared" ca="1" si="48"/>
        <v>1</v>
      </c>
      <c r="AL98" s="28" t="s">
        <v>123</v>
      </c>
      <c r="AM98" s="28" t="s">
        <v>124</v>
      </c>
      <c r="AN98" s="30" t="str">
        <f t="shared" ca="1" si="51"/>
        <v>November</v>
      </c>
      <c r="AO98" s="42">
        <f t="shared" ca="1" si="52"/>
        <v>2019</v>
      </c>
      <c r="AP98" s="42">
        <f t="shared" ca="1" si="53"/>
        <v>9</v>
      </c>
      <c r="AQ98" s="26">
        <v>1</v>
      </c>
      <c r="AR98" s="30">
        <f t="shared" ca="1" si="54"/>
        <v>43774</v>
      </c>
      <c r="AS98" s="30" t="str">
        <f ca="1">IFERROR(VLOOKUP(Z98,Matriz2,2,0),"S/PLACA")</f>
        <v>B2F354</v>
      </c>
      <c r="AT98" s="26" t="s">
        <v>3277</v>
      </c>
      <c r="AU98" s="26" t="s">
        <v>1289</v>
      </c>
      <c r="AV98" s="26" t="str">
        <f t="shared" ca="1" si="58"/>
        <v>ALVARO MARQUEZ VERTIZ</v>
      </c>
    </row>
    <row r="99" spans="1:48" x14ac:dyDescent="0.2">
      <c r="A99" s="172">
        <v>43761</v>
      </c>
      <c r="B99" s="173" t="s">
        <v>68</v>
      </c>
      <c r="C99" s="173" t="s">
        <v>102</v>
      </c>
      <c r="D99" s="173" t="s">
        <v>670</v>
      </c>
      <c r="E99" s="173" t="s">
        <v>783</v>
      </c>
      <c r="F99" s="173" t="s">
        <v>905</v>
      </c>
      <c r="G99" s="172">
        <v>43747</v>
      </c>
      <c r="H99" s="173" t="s">
        <v>1145</v>
      </c>
      <c r="I99" s="173" t="s">
        <v>1146</v>
      </c>
      <c r="J99" s="173" t="s">
        <v>70</v>
      </c>
      <c r="K99" s="173" t="s">
        <v>112</v>
      </c>
      <c r="L99" s="174" t="s">
        <v>71</v>
      </c>
      <c r="M99" s="175" t="s">
        <v>72</v>
      </c>
      <c r="N99" s="173" t="s">
        <v>73</v>
      </c>
      <c r="O99" s="176" t="s">
        <v>69</v>
      </c>
      <c r="P99" s="130" t="s">
        <v>447</v>
      </c>
      <c r="Q99" s="177" t="s">
        <v>74</v>
      </c>
      <c r="R99" s="178">
        <v>3.3420000000000001</v>
      </c>
      <c r="S99" s="179">
        <v>1</v>
      </c>
      <c r="T99" s="179">
        <v>210</v>
      </c>
      <c r="U99" s="179">
        <v>210</v>
      </c>
      <c r="V99" s="179">
        <v>37.799999999999997</v>
      </c>
      <c r="W99" s="179">
        <v>247.8</v>
      </c>
      <c r="X99" s="27">
        <f t="shared" si="59"/>
        <v>210</v>
      </c>
      <c r="Y99" s="29">
        <f ca="1">VLOOKUP(Z99,CHOOSE({2,1},Fac_Fecha,Fac_OT),2,0)</f>
        <v>43783</v>
      </c>
      <c r="Z99" s="26" t="s">
        <v>877</v>
      </c>
      <c r="AA99" s="28">
        <f t="shared" ca="1" si="41"/>
        <v>9874.7542099999991</v>
      </c>
      <c r="AB99" s="28">
        <f ca="1">SUMIF(Salida_OT,Facturacion!Z99,Salida_Suma)</f>
        <v>3422.1936281999997</v>
      </c>
      <c r="AC99" s="28">
        <f t="shared" ca="1" si="44"/>
        <v>402.54</v>
      </c>
      <c r="AD99" s="28">
        <f t="shared" ca="1" si="45"/>
        <v>343.93</v>
      </c>
      <c r="AE99" s="28">
        <f ca="1">(SUMIF(Asig_OT,Z99,Asig_Hora_Mec))*'Costos x MO'!$B$6*'Costos x MO'!$B$7</f>
        <v>194.76900000000001</v>
      </c>
      <c r="AF99" s="28">
        <f ca="1">SUMIF(Asig_OT,Z99,Asig_Hora_Pla)*'Costos x MO'!$B$4*'Costos x MO'!$B$7</f>
        <v>422.1</v>
      </c>
      <c r="AG99" s="28">
        <f ca="1">SUMIF(Asig_OT,Z99,Asig_paño_Pin)*'Costos x MO'!$B$5*'Costos x MO'!$B$7</f>
        <v>1160.7750000000001</v>
      </c>
      <c r="AH99" s="28">
        <f ca="1">(SUMIF(Asig_OT,Z99,Asig_Terc_Pla)*'Costos x MO'!$B$7)+(SUMIF(Asig_OT,Z99,Asig_Terc_Pin)*'Costos x MO'!$B$7)</f>
        <v>0</v>
      </c>
      <c r="AI99" s="28">
        <f t="shared" ca="1" si="46"/>
        <v>5946.3076282000002</v>
      </c>
      <c r="AJ99" s="28">
        <f t="shared" ca="1" si="47"/>
        <v>3928.446581799999</v>
      </c>
      <c r="AK99" s="31">
        <f t="shared" ca="1" si="48"/>
        <v>0.39782727734344281</v>
      </c>
      <c r="AL99" s="28" t="str">
        <f t="shared" ca="1" si="49"/>
        <v>ACCESO</v>
      </c>
      <c r="AM99" s="28" t="str">
        <f t="shared" ca="1" si="50"/>
        <v>GRAVE</v>
      </c>
      <c r="AN99" s="30" t="str">
        <f t="shared" ca="1" si="51"/>
        <v>November</v>
      </c>
      <c r="AO99" s="42">
        <f t="shared" ca="1" si="52"/>
        <v>2019</v>
      </c>
      <c r="AP99" s="42">
        <f t="shared" ca="1" si="53"/>
        <v>29</v>
      </c>
      <c r="AQ99" s="26">
        <v>1</v>
      </c>
      <c r="AR99" s="30">
        <f t="shared" ca="1" si="54"/>
        <v>43754</v>
      </c>
      <c r="AS99" s="30" t="str">
        <f t="shared" ca="1" si="55"/>
        <v>F5O-086</v>
      </c>
      <c r="AT99" s="26" t="str">
        <f t="shared" ca="1" si="56"/>
        <v>NISSAN</v>
      </c>
      <c r="AU99" s="26" t="str">
        <f t="shared" ca="1" si="57"/>
        <v>TIIDA</v>
      </c>
      <c r="AV99" s="26" t="str">
        <f t="shared" ca="1" si="58"/>
        <v>EDPYME ACCESO CREDITICIO SOCIEDAD ANONIMA</v>
      </c>
    </row>
    <row r="100" spans="1:48" x14ac:dyDescent="0.2">
      <c r="A100" s="172">
        <v>43761</v>
      </c>
      <c r="B100" s="173" t="s">
        <v>68</v>
      </c>
      <c r="C100" s="173" t="s">
        <v>102</v>
      </c>
      <c r="D100" s="173" t="s">
        <v>670</v>
      </c>
      <c r="E100" s="173" t="s">
        <v>783</v>
      </c>
      <c r="F100" s="173" t="s">
        <v>905</v>
      </c>
      <c r="G100" s="172">
        <v>43747</v>
      </c>
      <c r="H100" s="173" t="s">
        <v>1145</v>
      </c>
      <c r="I100" s="173" t="s">
        <v>1146</v>
      </c>
      <c r="J100" s="173" t="s">
        <v>104</v>
      </c>
      <c r="K100" s="173" t="s">
        <v>105</v>
      </c>
      <c r="L100" s="174" t="s">
        <v>71</v>
      </c>
      <c r="M100" s="175" t="s">
        <v>72</v>
      </c>
      <c r="N100" s="173" t="s">
        <v>73</v>
      </c>
      <c r="O100" s="176" t="s">
        <v>69</v>
      </c>
      <c r="P100" s="173" t="s">
        <v>105</v>
      </c>
      <c r="Q100" s="177" t="s">
        <v>74</v>
      </c>
      <c r="R100" s="178">
        <v>3.3420000000000001</v>
      </c>
      <c r="S100" s="179">
        <v>1</v>
      </c>
      <c r="T100" s="179">
        <v>1567.6017000000002</v>
      </c>
      <c r="U100" s="179">
        <v>1567.6017000000002</v>
      </c>
      <c r="V100" s="179">
        <v>282.16829999999987</v>
      </c>
      <c r="W100" s="179">
        <v>1849.77</v>
      </c>
      <c r="X100" s="27">
        <f t="shared" si="59"/>
        <v>1567.6017000000002</v>
      </c>
      <c r="Y100" s="29">
        <f ca="1">VLOOKUP(Z100,CHOOSE({2,1},Fac_Fecha,Fac_OT),2,0)</f>
        <v>43783</v>
      </c>
      <c r="Z100" s="26" t="s">
        <v>848</v>
      </c>
      <c r="AA100" s="28">
        <f t="shared" ref="AA100:AA163" ca="1" si="60">SUMIFS(Fac_Suma,Fac_OT,Z100,Fac_Fecha,Y100)</f>
        <v>7838.7542100000001</v>
      </c>
      <c r="AB100" s="28">
        <f ca="1">SUMIF(Salida_OT,Facturacion!Z100,Salida_Suma)</f>
        <v>1181.2768385200002</v>
      </c>
      <c r="AC100" s="28">
        <f t="shared" ca="1" si="44"/>
        <v>55.08</v>
      </c>
      <c r="AD100" s="28">
        <f t="shared" ca="1" si="45"/>
        <v>397.27288135593216</v>
      </c>
      <c r="AE100" s="28">
        <f ca="1">(SUMIF(Asig_OT,Z100,Asig_Hora_Mec))*'Costos x MO'!$B$6*'Costos x MO'!$B$7</f>
        <v>169.59375</v>
      </c>
      <c r="AF100" s="28">
        <f ca="1">SUMIF(Asig_OT,Z100,Asig_Hora_Pla)*'Costos x MO'!$B$4*'Costos x MO'!$B$7</f>
        <v>648.22500000000002</v>
      </c>
      <c r="AG100" s="28">
        <f ca="1">SUMIF(Asig_OT,Z100,Asig_paño_Pin)*'Costos x MO'!$B$5*'Costos x MO'!$B$7</f>
        <v>1195.95</v>
      </c>
      <c r="AH100" s="28">
        <f ca="1">(SUMIF(Asig_OT,Z100,Asig_Terc_Pla)*'Costos x MO'!$B$7)+(SUMIF(Asig_OT,Z100,Asig_Terc_Pin)*'Costos x MO'!$B$7)</f>
        <v>0</v>
      </c>
      <c r="AI100" s="28">
        <f t="shared" ca="1" si="46"/>
        <v>3647.3984698759323</v>
      </c>
      <c r="AJ100" s="28">
        <f t="shared" ca="1" si="47"/>
        <v>4191.3557401240678</v>
      </c>
      <c r="AK100" s="31">
        <f t="shared" ca="1" si="48"/>
        <v>0.53469666580144859</v>
      </c>
      <c r="AL100" s="28" t="str">
        <f t="shared" ca="1" si="49"/>
        <v>ACCESO</v>
      </c>
      <c r="AM100" s="28" t="str">
        <f t="shared" ca="1" si="50"/>
        <v>GRAVE</v>
      </c>
      <c r="AN100" s="30" t="str">
        <f t="shared" ca="1" si="51"/>
        <v>November</v>
      </c>
      <c r="AO100" s="42">
        <f t="shared" ca="1" si="52"/>
        <v>2019</v>
      </c>
      <c r="AP100" s="42">
        <f t="shared" ca="1" si="53"/>
        <v>29</v>
      </c>
      <c r="AQ100" s="26">
        <v>1</v>
      </c>
      <c r="AR100" s="30">
        <f t="shared" ca="1" si="54"/>
        <v>43754</v>
      </c>
      <c r="AS100" s="30" t="str">
        <f t="shared" ca="1" si="55"/>
        <v>ANZ-637</v>
      </c>
      <c r="AT100" s="26" t="str">
        <f t="shared" ca="1" si="56"/>
        <v>CHEVROLET</v>
      </c>
      <c r="AU100" s="26" t="str">
        <f t="shared" ca="1" si="57"/>
        <v>SAIL</v>
      </c>
      <c r="AV100" s="26" t="str">
        <f t="shared" ca="1" si="58"/>
        <v>EDPYME ACCESO CREDITICIO SOCIEDAD ANONIMA</v>
      </c>
    </row>
    <row r="101" spans="1:48" x14ac:dyDescent="0.2">
      <c r="A101" s="172">
        <v>43761</v>
      </c>
      <c r="B101" s="173" t="s">
        <v>68</v>
      </c>
      <c r="C101" s="173" t="s">
        <v>102</v>
      </c>
      <c r="D101" s="173" t="s">
        <v>669</v>
      </c>
      <c r="E101" s="173" t="s">
        <v>832</v>
      </c>
      <c r="F101" s="173" t="s">
        <v>1149</v>
      </c>
      <c r="G101" s="172">
        <v>43759</v>
      </c>
      <c r="H101" s="173" t="s">
        <v>1150</v>
      </c>
      <c r="I101" s="173" t="s">
        <v>1151</v>
      </c>
      <c r="J101" s="173" t="s">
        <v>70</v>
      </c>
      <c r="K101" s="173" t="s">
        <v>112</v>
      </c>
      <c r="L101" s="174" t="s">
        <v>71</v>
      </c>
      <c r="M101" s="175" t="s">
        <v>72</v>
      </c>
      <c r="N101" s="173" t="s">
        <v>73</v>
      </c>
      <c r="O101" s="176" t="s">
        <v>69</v>
      </c>
      <c r="P101" s="130" t="s">
        <v>447</v>
      </c>
      <c r="Q101" s="177" t="s">
        <v>74</v>
      </c>
      <c r="R101" s="178">
        <v>3.3420000000000001</v>
      </c>
      <c r="S101" s="179">
        <v>1</v>
      </c>
      <c r="T101" s="179">
        <v>100</v>
      </c>
      <c r="U101" s="179">
        <v>100</v>
      </c>
      <c r="V101" s="179">
        <v>18</v>
      </c>
      <c r="W101" s="179">
        <v>118</v>
      </c>
      <c r="X101" s="27">
        <f t="shared" si="59"/>
        <v>100</v>
      </c>
      <c r="Y101" s="29">
        <f ca="1">VLOOKUP(Z101,CHOOSE({2,1},Fac_Fecha,Fac_OT),2,0)</f>
        <v>43783</v>
      </c>
      <c r="Z101" s="26" t="s">
        <v>1250</v>
      </c>
      <c r="AA101" s="28">
        <f t="shared" ca="1" si="60"/>
        <v>1893</v>
      </c>
      <c r="AB101" s="28">
        <f ca="1">SUMIF(Salida_OT,Facturacion!Z101,Salida_Suma)</f>
        <v>127.11859799999998</v>
      </c>
      <c r="AC101" s="28">
        <f t="shared" ca="1" si="44"/>
        <v>372.2</v>
      </c>
      <c r="AD101" s="28">
        <f t="shared" ca="1" si="45"/>
        <v>38.130000000000003</v>
      </c>
      <c r="AE101" s="28">
        <f ca="1">(SUMIF(Asig_OT,Z101,Asig_Hora_Mec))*'Costos x MO'!$B$6*'Costos x MO'!$B$7</f>
        <v>15.075000000000001</v>
      </c>
      <c r="AF101" s="28">
        <f ca="1">SUMIF(Asig_OT,Z101,Asig_Hora_Pla)*'Costos x MO'!$B$4*'Costos x MO'!$B$7</f>
        <v>45.225000000000001</v>
      </c>
      <c r="AG101" s="28">
        <f ca="1">SUMIF(Asig_OT,Z101,Asig_paño_Pin)*'Costos x MO'!$B$5*'Costos x MO'!$B$7</f>
        <v>0</v>
      </c>
      <c r="AH101" s="28">
        <f ca="1">(SUMIF(Asig_OT,Z101,Asig_Terc_Pla)*'Costos x MO'!$B$7)+(SUMIF(Asig_OT,Z101,Asig_Terc_Pin)*'Costos x MO'!$B$7)</f>
        <v>0</v>
      </c>
      <c r="AI101" s="28">
        <f t="shared" ca="1" si="46"/>
        <v>597.74859800000002</v>
      </c>
      <c r="AJ101" s="28">
        <f t="shared" ca="1" si="47"/>
        <v>1295.2514019999999</v>
      </c>
      <c r="AK101" s="31">
        <f t="shared" ca="1" si="48"/>
        <v>0.68423211938721595</v>
      </c>
      <c r="AL101" s="28" t="str">
        <f t="shared" ca="1" si="49"/>
        <v>ACCESO</v>
      </c>
      <c r="AM101" s="28" t="str">
        <f t="shared" ca="1" si="50"/>
        <v>LEVE</v>
      </c>
      <c r="AN101" s="30" t="str">
        <f t="shared" ca="1" si="51"/>
        <v>November</v>
      </c>
      <c r="AO101" s="42">
        <f t="shared" ca="1" si="52"/>
        <v>2019</v>
      </c>
      <c r="AP101" s="42">
        <f t="shared" ca="1" si="53"/>
        <v>6</v>
      </c>
      <c r="AQ101" s="26">
        <v>1</v>
      </c>
      <c r="AR101" s="30">
        <f t="shared" ca="1" si="54"/>
        <v>43777</v>
      </c>
      <c r="AS101" s="30" t="str">
        <f t="shared" ca="1" si="55"/>
        <v>F2I-424</v>
      </c>
      <c r="AT101" s="26" t="str">
        <f t="shared" ca="1" si="56"/>
        <v>BYD</v>
      </c>
      <c r="AU101" s="26" t="str">
        <f t="shared" ca="1" si="57"/>
        <v>F3</v>
      </c>
      <c r="AV101" s="26" t="str">
        <f t="shared" ca="1" si="58"/>
        <v>EDPYME ACCESO CREDITICIO SOCIEDAD ANONIMA</v>
      </c>
    </row>
    <row r="102" spans="1:48" x14ac:dyDescent="0.2">
      <c r="A102" s="172">
        <v>43761</v>
      </c>
      <c r="B102" s="173" t="s">
        <v>68</v>
      </c>
      <c r="C102" s="173" t="s">
        <v>102</v>
      </c>
      <c r="D102" s="173" t="s">
        <v>668</v>
      </c>
      <c r="E102" s="173" t="s">
        <v>1152</v>
      </c>
      <c r="F102" s="173" t="s">
        <v>1153</v>
      </c>
      <c r="G102" s="172">
        <v>43755</v>
      </c>
      <c r="H102" s="173" t="s">
        <v>90</v>
      </c>
      <c r="I102" s="173" t="s">
        <v>91</v>
      </c>
      <c r="J102" s="173" t="s">
        <v>97</v>
      </c>
      <c r="K102" s="173" t="s">
        <v>98</v>
      </c>
      <c r="L102" s="174" t="s">
        <v>71</v>
      </c>
      <c r="M102" s="175" t="s">
        <v>72</v>
      </c>
      <c r="N102" s="173" t="s">
        <v>73</v>
      </c>
      <c r="O102" s="176" t="s">
        <v>99</v>
      </c>
      <c r="P102" s="173" t="s">
        <v>98</v>
      </c>
      <c r="Q102" s="177" t="s">
        <v>93</v>
      </c>
      <c r="R102" s="178">
        <v>3.3420000000000001</v>
      </c>
      <c r="S102" s="179">
        <v>1</v>
      </c>
      <c r="T102" s="179">
        <v>118</v>
      </c>
      <c r="U102" s="179">
        <v>118</v>
      </c>
      <c r="V102" s="179">
        <v>21.240010000000019</v>
      </c>
      <c r="W102" s="179">
        <v>139.24001000000001</v>
      </c>
      <c r="X102" s="27">
        <f t="shared" si="59"/>
        <v>394.35599999999999</v>
      </c>
      <c r="Y102" s="29">
        <f ca="1">VLOOKUP(Z102,CHOOSE({2,1},Fac_Fecha,Fac_OT),2,0)</f>
        <v>43783</v>
      </c>
      <c r="Z102" s="26" t="s">
        <v>1246</v>
      </c>
      <c r="AA102" s="28">
        <f t="shared" ca="1" si="60"/>
        <v>9795.7542099999991</v>
      </c>
      <c r="AB102" s="28">
        <f ca="1">SUMIF(Salida_OT,Facturacion!Z102,Salida_Suma)</f>
        <v>2058.18480142</v>
      </c>
      <c r="AC102" s="28">
        <f t="shared" ca="1" si="44"/>
        <v>320</v>
      </c>
      <c r="AD102" s="28">
        <f t="shared" ca="1" si="45"/>
        <v>663.22000000000014</v>
      </c>
      <c r="AE102" s="28">
        <f ca="1">(SUMIF(Asig_OT,Z102,Asig_Hora_Mec))*'Costos x MO'!$B$6*'Costos x MO'!$B$7</f>
        <v>335.41874999999999</v>
      </c>
      <c r="AF102" s="28">
        <f ca="1">SUMIF(Asig_OT,Z102,Asig_Hora_Pla)*'Costos x MO'!$B$4*'Costos x MO'!$B$7</f>
        <v>512.55000000000007</v>
      </c>
      <c r="AG102" s="28">
        <f ca="1">SUMIF(Asig_OT,Z102,Asig_paño_Pin)*'Costos x MO'!$B$5*'Costos x MO'!$B$7</f>
        <v>1266.3</v>
      </c>
      <c r="AH102" s="28">
        <f ca="1">(SUMIF(Asig_OT,Z102,Asig_Terc_Pla)*'Costos x MO'!$B$7)+(SUMIF(Asig_OT,Z102,Asig_Terc_Pin)*'Costos x MO'!$B$7)</f>
        <v>0</v>
      </c>
      <c r="AI102" s="28">
        <f t="shared" ca="1" si="46"/>
        <v>5155.67355142</v>
      </c>
      <c r="AJ102" s="28">
        <f t="shared" ca="1" si="47"/>
        <v>4640.0806585799992</v>
      </c>
      <c r="AK102" s="31">
        <f t="shared" ca="1" si="48"/>
        <v>0.47368283841209197</v>
      </c>
      <c r="AL102" s="28" t="str">
        <f t="shared" ca="1" si="49"/>
        <v>ACCESO</v>
      </c>
      <c r="AM102" s="28" t="str">
        <f t="shared" ca="1" si="50"/>
        <v>GRAVE</v>
      </c>
      <c r="AN102" s="30" t="str">
        <f t="shared" ca="1" si="51"/>
        <v>November</v>
      </c>
      <c r="AO102" s="42">
        <f t="shared" ca="1" si="52"/>
        <v>2019</v>
      </c>
      <c r="AP102" s="42">
        <f t="shared" ca="1" si="53"/>
        <v>8</v>
      </c>
      <c r="AQ102" s="26">
        <v>1</v>
      </c>
      <c r="AR102" s="30">
        <f t="shared" ca="1" si="54"/>
        <v>43775</v>
      </c>
      <c r="AS102" s="30" t="str">
        <f t="shared" ca="1" si="55"/>
        <v>AMD-392</v>
      </c>
      <c r="AT102" s="26" t="str">
        <f t="shared" ca="1" si="56"/>
        <v>HYUNDAI</v>
      </c>
      <c r="AU102" s="26" t="str">
        <f t="shared" ca="1" si="57"/>
        <v>ACCENT</v>
      </c>
      <c r="AV102" s="26" t="str">
        <f t="shared" ca="1" si="58"/>
        <v>EDPYME ACCESO CREDITICIO SOCIEDAD ANONIMA</v>
      </c>
    </row>
    <row r="103" spans="1:48" x14ac:dyDescent="0.2">
      <c r="A103" s="172">
        <v>43761</v>
      </c>
      <c r="B103" s="173" t="s">
        <v>68</v>
      </c>
      <c r="C103" s="173" t="s">
        <v>102</v>
      </c>
      <c r="D103" s="173" t="s">
        <v>668</v>
      </c>
      <c r="E103" s="173" t="s">
        <v>1152</v>
      </c>
      <c r="F103" s="173" t="s">
        <v>1153</v>
      </c>
      <c r="G103" s="172">
        <v>43755</v>
      </c>
      <c r="H103" s="173" t="s">
        <v>90</v>
      </c>
      <c r="I103" s="173" t="s">
        <v>91</v>
      </c>
      <c r="J103" s="173" t="s">
        <v>100</v>
      </c>
      <c r="K103" s="173" t="s">
        <v>101</v>
      </c>
      <c r="L103" s="174" t="s">
        <v>71</v>
      </c>
      <c r="M103" s="175" t="s">
        <v>72</v>
      </c>
      <c r="N103" s="173" t="s">
        <v>73</v>
      </c>
      <c r="O103" s="176" t="s">
        <v>72</v>
      </c>
      <c r="P103" s="130" t="s">
        <v>101</v>
      </c>
      <c r="Q103" s="177" t="s">
        <v>93</v>
      </c>
      <c r="R103" s="178">
        <v>3.3420000000000001</v>
      </c>
      <c r="S103" s="179">
        <v>1</v>
      </c>
      <c r="T103" s="179">
        <v>75</v>
      </c>
      <c r="U103" s="179">
        <v>75</v>
      </c>
      <c r="V103" s="179">
        <v>13.5</v>
      </c>
      <c r="W103" s="179">
        <v>88.5</v>
      </c>
      <c r="X103" s="27">
        <f t="shared" si="59"/>
        <v>250.65</v>
      </c>
      <c r="Y103" s="29">
        <f ca="1">VLOOKUP(Z103,CHOOSE({2,1},Fac_Fecha,Fac_OT),2,0)</f>
        <v>43783</v>
      </c>
      <c r="Z103" s="26" t="s">
        <v>879</v>
      </c>
      <c r="AA103" s="28">
        <f t="shared" ca="1" si="60"/>
        <v>9086.7542099999991</v>
      </c>
      <c r="AB103" s="28">
        <f ca="1">SUMIF(Salida_OT,Facturacion!Z103,Salida_Suma)</f>
        <v>2303.6169537200003</v>
      </c>
      <c r="AC103" s="28">
        <f t="shared" ca="1" si="44"/>
        <v>563.56474576271182</v>
      </c>
      <c r="AD103" s="28">
        <f t="shared" ca="1" si="45"/>
        <v>234.37</v>
      </c>
      <c r="AE103" s="28">
        <f ca="1">(SUMIF(Asig_OT,Z103,Asig_Hora_Mec))*'Costos x MO'!$B$6*'Costos x MO'!$B$7</f>
        <v>199.74375000000001</v>
      </c>
      <c r="AF103" s="28">
        <f ca="1">SUMIF(Asig_OT,Z103,Asig_Hora_Pla)*'Costos x MO'!$B$4*'Costos x MO'!$B$7</f>
        <v>482.40000000000003</v>
      </c>
      <c r="AG103" s="28">
        <f ca="1">SUMIF(Asig_OT,Z103,Asig_paño_Pin)*'Costos x MO'!$B$5*'Costos x MO'!$B$7</f>
        <v>1266.3</v>
      </c>
      <c r="AH103" s="28">
        <f ca="1">(SUMIF(Asig_OT,Z103,Asig_Terc_Pla)*'Costos x MO'!$B$7)+(SUMIF(Asig_OT,Z103,Asig_Terc_Pin)*'Costos x MO'!$B$7)</f>
        <v>0</v>
      </c>
      <c r="AI103" s="28">
        <f t="shared" ca="1" si="46"/>
        <v>5049.9954494827125</v>
      </c>
      <c r="AJ103" s="28">
        <f t="shared" ca="1" si="47"/>
        <v>4036.7587605172866</v>
      </c>
      <c r="AK103" s="31">
        <f t="shared" ca="1" si="48"/>
        <v>0.44424650070041755</v>
      </c>
      <c r="AL103" s="28" t="str">
        <f t="shared" ca="1" si="49"/>
        <v>ACCESO</v>
      </c>
      <c r="AM103" s="28" t="str">
        <f t="shared" ca="1" si="50"/>
        <v>GRAVE</v>
      </c>
      <c r="AN103" s="30" t="str">
        <f t="shared" ca="1" si="51"/>
        <v>November</v>
      </c>
      <c r="AO103" s="42">
        <f t="shared" ca="1" si="52"/>
        <v>2019</v>
      </c>
      <c r="AP103" s="42">
        <f t="shared" ca="1" si="53"/>
        <v>29</v>
      </c>
      <c r="AQ103" s="26">
        <v>1</v>
      </c>
      <c r="AR103" s="30">
        <f t="shared" ca="1" si="54"/>
        <v>43754</v>
      </c>
      <c r="AS103" s="30" t="str">
        <f t="shared" ca="1" si="55"/>
        <v>AXC-049</v>
      </c>
      <c r="AT103" s="26" t="str">
        <f t="shared" ca="1" si="56"/>
        <v>KIA</v>
      </c>
      <c r="AU103" s="26" t="str">
        <f t="shared" ca="1" si="57"/>
        <v>RIO</v>
      </c>
      <c r="AV103" s="26" t="str">
        <f t="shared" ca="1" si="58"/>
        <v>EDPYME ACCESO CREDITICIO SOCIEDAD ANONIMA</v>
      </c>
    </row>
    <row r="104" spans="1:48" x14ac:dyDescent="0.2">
      <c r="A104" s="172">
        <v>43761</v>
      </c>
      <c r="B104" s="173" t="s">
        <v>68</v>
      </c>
      <c r="C104" s="173" t="s">
        <v>102</v>
      </c>
      <c r="D104" s="173" t="s">
        <v>668</v>
      </c>
      <c r="E104" s="173" t="s">
        <v>1152</v>
      </c>
      <c r="F104" s="173" t="s">
        <v>1153</v>
      </c>
      <c r="G104" s="172">
        <v>43755</v>
      </c>
      <c r="H104" s="173" t="s">
        <v>90</v>
      </c>
      <c r="I104" s="173" t="s">
        <v>91</v>
      </c>
      <c r="J104" s="173" t="s">
        <v>92</v>
      </c>
      <c r="K104" s="173" t="s">
        <v>113</v>
      </c>
      <c r="L104" s="174" t="s">
        <v>71</v>
      </c>
      <c r="M104" s="175" t="s">
        <v>72</v>
      </c>
      <c r="N104" s="173" t="s">
        <v>73</v>
      </c>
      <c r="O104" s="176" t="s">
        <v>69</v>
      </c>
      <c r="P104" s="130" t="s">
        <v>113</v>
      </c>
      <c r="Q104" s="177" t="s">
        <v>93</v>
      </c>
      <c r="R104" s="178">
        <v>3.3420000000000001</v>
      </c>
      <c r="S104" s="179">
        <v>1</v>
      </c>
      <c r="T104" s="179">
        <v>50</v>
      </c>
      <c r="U104" s="179">
        <v>50</v>
      </c>
      <c r="V104" s="179">
        <v>9</v>
      </c>
      <c r="W104" s="179">
        <v>59</v>
      </c>
      <c r="X104" s="27">
        <f t="shared" si="59"/>
        <v>167.1</v>
      </c>
      <c r="Y104" s="29">
        <f ca="1">VLOOKUP(Z104,CHOOSE({2,1},Fac_Fecha,Fac_OT),2,0)</f>
        <v>43783</v>
      </c>
      <c r="Z104" s="26" t="s">
        <v>1329</v>
      </c>
      <c r="AA104" s="28">
        <f t="shared" ca="1" si="60"/>
        <v>1093.9199999999998</v>
      </c>
      <c r="AB104" s="28">
        <f ca="1">SUMIF(Salida_OT,Facturacion!Z104,Salida_Suma)</f>
        <v>0</v>
      </c>
      <c r="AC104" s="28">
        <f t="shared" ca="1" si="44"/>
        <v>0</v>
      </c>
      <c r="AD104" s="28">
        <f t="shared" ca="1" si="45"/>
        <v>0</v>
      </c>
      <c r="AE104" s="28">
        <f ca="1">(SUMIF(Asig_OT,Z104,Asig_Hora_Mec))*'Costos x MO'!$B$6*'Costos x MO'!$B$7</f>
        <v>0</v>
      </c>
      <c r="AF104" s="28">
        <f ca="1">SUMIF(Asig_OT,Z104,Asig_Hora_Pla)*'Costos x MO'!$B$4*'Costos x MO'!$B$7</f>
        <v>75.375</v>
      </c>
      <c r="AG104" s="28">
        <f ca="1">SUMIF(Asig_OT,Z104,Asig_paño_Pin)*'Costos x MO'!$B$5*'Costos x MO'!$B$7</f>
        <v>140.70000000000002</v>
      </c>
      <c r="AH104" s="28">
        <f ca="1">(SUMIF(Asig_OT,Z104,Asig_Terc_Pla)*'Costos x MO'!$B$7)+(SUMIF(Asig_OT,Z104,Asig_Terc_Pin)*'Costos x MO'!$B$7)</f>
        <v>0</v>
      </c>
      <c r="AI104" s="28">
        <f t="shared" ca="1" si="46"/>
        <v>216.07500000000002</v>
      </c>
      <c r="AJ104" s="28">
        <f t="shared" ca="1" si="47"/>
        <v>877.8449999999998</v>
      </c>
      <c r="AK104" s="31">
        <f t="shared" ca="1" si="48"/>
        <v>0.80247641509433953</v>
      </c>
      <c r="AL104" s="28" t="str">
        <f t="shared" ca="1" si="49"/>
        <v>RIMAC</v>
      </c>
      <c r="AM104" s="28" t="str">
        <f t="shared" ca="1" si="50"/>
        <v>LEVE</v>
      </c>
      <c r="AN104" s="30" t="str">
        <f t="shared" ca="1" si="51"/>
        <v>November</v>
      </c>
      <c r="AO104" s="42">
        <f t="shared" ca="1" si="52"/>
        <v>2019</v>
      </c>
      <c r="AP104" s="42">
        <f t="shared" ca="1" si="53"/>
        <v>9</v>
      </c>
      <c r="AQ104" s="26">
        <v>1</v>
      </c>
      <c r="AR104" s="30">
        <f t="shared" ca="1" si="54"/>
        <v>43774</v>
      </c>
      <c r="AS104" s="30" t="str">
        <f t="shared" ca="1" si="55"/>
        <v>AJV-347</v>
      </c>
      <c r="AT104" s="26" t="str">
        <f t="shared" ca="1" si="56"/>
        <v>MERCEDEZ EBNZ</v>
      </c>
      <c r="AU104" s="26" t="str">
        <f t="shared" ca="1" si="57"/>
        <v>E500</v>
      </c>
      <c r="AV104" s="26" t="str">
        <f t="shared" ca="1" si="58"/>
        <v>LUIS ALEJANDRO ARRIARAN SIERRALTA</v>
      </c>
    </row>
    <row r="105" spans="1:48" x14ac:dyDescent="0.2">
      <c r="A105" s="172">
        <v>43761</v>
      </c>
      <c r="B105" s="173" t="s">
        <v>68</v>
      </c>
      <c r="C105" s="173" t="s">
        <v>102</v>
      </c>
      <c r="D105" s="173" t="s">
        <v>668</v>
      </c>
      <c r="E105" s="173" t="s">
        <v>1152</v>
      </c>
      <c r="F105" s="173" t="s">
        <v>1153</v>
      </c>
      <c r="G105" s="172">
        <v>43755</v>
      </c>
      <c r="H105" s="173" t="s">
        <v>90</v>
      </c>
      <c r="I105" s="173" t="s">
        <v>91</v>
      </c>
      <c r="J105" s="173" t="s">
        <v>95</v>
      </c>
      <c r="K105" s="173" t="s">
        <v>96</v>
      </c>
      <c r="L105" s="174" t="s">
        <v>71</v>
      </c>
      <c r="M105" s="175" t="s">
        <v>72</v>
      </c>
      <c r="N105" s="173" t="s">
        <v>73</v>
      </c>
      <c r="O105" s="176" t="s">
        <v>69</v>
      </c>
      <c r="P105" s="130" t="s">
        <v>96</v>
      </c>
      <c r="Q105" s="177" t="s">
        <v>93</v>
      </c>
      <c r="R105" s="178">
        <v>3.3420000000000001</v>
      </c>
      <c r="S105" s="179">
        <v>-1</v>
      </c>
      <c r="T105" s="179">
        <v>100</v>
      </c>
      <c r="U105" s="179">
        <v>-100</v>
      </c>
      <c r="V105" s="179">
        <v>-18</v>
      </c>
      <c r="W105" s="179">
        <v>-118</v>
      </c>
      <c r="X105" s="27">
        <f t="shared" si="59"/>
        <v>-334.2</v>
      </c>
      <c r="Y105" s="29">
        <f ca="1">VLOOKUP(Z105,CHOOSE({2,1},Fac_Fecha,Fac_OT),2,0)</f>
        <v>43783</v>
      </c>
      <c r="Z105" s="26" t="s">
        <v>1312</v>
      </c>
      <c r="AA105" s="28">
        <f t="shared" ca="1" si="60"/>
        <v>1163.4559999999999</v>
      </c>
      <c r="AB105" s="28">
        <f ca="1">SUMIF(Salida_OT,Facturacion!Z105,Salida_Suma)</f>
        <v>0</v>
      </c>
      <c r="AC105" s="28">
        <f t="shared" ca="1" si="44"/>
        <v>0</v>
      </c>
      <c r="AD105" s="28">
        <f t="shared" ca="1" si="45"/>
        <v>0</v>
      </c>
      <c r="AE105" s="28">
        <f ca="1">(SUMIF(Asig_OT,Z105,Asig_Hora_Mec))*'Costos x MO'!$B$6*'Costos x MO'!$B$7</f>
        <v>0</v>
      </c>
      <c r="AF105" s="28">
        <f ca="1">SUMIF(Asig_OT,Z105,Asig_Hora_Pla)*'Costos x MO'!$B$4*'Costos x MO'!$B$7</f>
        <v>165.82500000000002</v>
      </c>
      <c r="AG105" s="28">
        <f ca="1">SUMIF(Asig_OT,Z105,Asig_paño_Pin)*'Costos x MO'!$B$5*'Costos x MO'!$B$7</f>
        <v>140.70000000000002</v>
      </c>
      <c r="AH105" s="28">
        <f ca="1">(SUMIF(Asig_OT,Z105,Asig_Terc_Pla)*'Costos x MO'!$B$7)+(SUMIF(Asig_OT,Z105,Asig_Terc_Pin)*'Costos x MO'!$B$7)</f>
        <v>0</v>
      </c>
      <c r="AI105" s="28">
        <f t="shared" ca="1" si="46"/>
        <v>306.52500000000003</v>
      </c>
      <c r="AJ105" s="28">
        <f t="shared" ca="1" si="47"/>
        <v>856.93099999999981</v>
      </c>
      <c r="AK105" s="31">
        <f t="shared" ca="1" si="48"/>
        <v>0.73653924170746454</v>
      </c>
      <c r="AL105" s="28" t="str">
        <f t="shared" ca="1" si="49"/>
        <v>RIMAC</v>
      </c>
      <c r="AM105" s="28" t="str">
        <f t="shared" ca="1" si="50"/>
        <v>MEDIANO</v>
      </c>
      <c r="AN105" s="30" t="str">
        <f t="shared" ca="1" si="51"/>
        <v>November</v>
      </c>
      <c r="AO105" s="42">
        <f t="shared" ca="1" si="52"/>
        <v>2019</v>
      </c>
      <c r="AP105" s="42">
        <f t="shared" ca="1" si="53"/>
        <v>9</v>
      </c>
      <c r="AQ105" s="26">
        <v>1</v>
      </c>
      <c r="AR105" s="30">
        <f t="shared" ca="1" si="54"/>
        <v>43774</v>
      </c>
      <c r="AS105" s="30" t="str">
        <f t="shared" ca="1" si="55"/>
        <v>AXC-070</v>
      </c>
      <c r="AT105" s="26" t="str">
        <f t="shared" ca="1" si="56"/>
        <v>NISSAN</v>
      </c>
      <c r="AU105" s="26" t="str">
        <f t="shared" ca="1" si="57"/>
        <v>KICKS</v>
      </c>
      <c r="AV105" s="26" t="str">
        <f t="shared" ca="1" si="58"/>
        <v>FERNANDO ANTONIO MOLINA SHULLCA</v>
      </c>
    </row>
    <row r="106" spans="1:48" x14ac:dyDescent="0.2">
      <c r="A106" s="172">
        <v>43761</v>
      </c>
      <c r="B106" s="173" t="s">
        <v>68</v>
      </c>
      <c r="C106" s="173" t="s">
        <v>102</v>
      </c>
      <c r="D106" s="173" t="s">
        <v>668</v>
      </c>
      <c r="E106" s="173" t="s">
        <v>1152</v>
      </c>
      <c r="F106" s="173" t="s">
        <v>1153</v>
      </c>
      <c r="G106" s="172">
        <v>43755</v>
      </c>
      <c r="H106" s="173" t="s">
        <v>90</v>
      </c>
      <c r="I106" s="173" t="s">
        <v>91</v>
      </c>
      <c r="J106" s="173" t="s">
        <v>104</v>
      </c>
      <c r="K106" s="173" t="s">
        <v>105</v>
      </c>
      <c r="L106" s="174" t="s">
        <v>71</v>
      </c>
      <c r="M106" s="175" t="s">
        <v>72</v>
      </c>
      <c r="N106" s="173" t="s">
        <v>73</v>
      </c>
      <c r="O106" s="176" t="s">
        <v>69</v>
      </c>
      <c r="P106" s="173" t="s">
        <v>105</v>
      </c>
      <c r="Q106" s="177" t="s">
        <v>93</v>
      </c>
      <c r="R106" s="178">
        <v>3.3420000000000001</v>
      </c>
      <c r="S106" s="179">
        <v>1</v>
      </c>
      <c r="T106" s="179">
        <v>0</v>
      </c>
      <c r="U106" s="179">
        <v>0</v>
      </c>
      <c r="V106" s="179">
        <v>0</v>
      </c>
      <c r="W106" s="179">
        <v>0</v>
      </c>
      <c r="X106" s="27">
        <f t="shared" si="59"/>
        <v>0</v>
      </c>
      <c r="Y106" s="29">
        <f ca="1">VLOOKUP(Z106,CHOOSE({2,1},Fac_Fecha,Fac_OT),2,0)</f>
        <v>43783</v>
      </c>
      <c r="Z106" s="26" t="s">
        <v>1315</v>
      </c>
      <c r="AA106" s="28">
        <f t="shared" ca="1" si="60"/>
        <v>339.22882860800001</v>
      </c>
      <c r="AB106" s="28">
        <f ca="1">SUMIF(Salida_OT,Facturacion!Z106,Salida_Suma)</f>
        <v>0</v>
      </c>
      <c r="AC106" s="28">
        <f t="shared" ca="1" si="44"/>
        <v>0</v>
      </c>
      <c r="AD106" s="28">
        <f t="shared" ca="1" si="45"/>
        <v>0</v>
      </c>
      <c r="AE106" s="28">
        <f ca="1">(SUMIF(Asig_OT,Z106,Asig_Hora_Mec))*'Costos x MO'!$B$6*'Costos x MO'!$B$7</f>
        <v>0</v>
      </c>
      <c r="AF106" s="28">
        <f ca="1">SUMIF(Asig_OT,Z106,Asig_Hora_Pla)*'Costos x MO'!$B$4*'Costos x MO'!$B$7</f>
        <v>30.150000000000002</v>
      </c>
      <c r="AG106" s="28">
        <f ca="1">SUMIF(Asig_OT,Z106,Asig_paño_Pin)*'Costos x MO'!$B$5*'Costos x MO'!$B$7</f>
        <v>70.350000000000009</v>
      </c>
      <c r="AH106" s="28">
        <f ca="1">(SUMIF(Asig_OT,Z106,Asig_Terc_Pla)*'Costos x MO'!$B$7)+(SUMIF(Asig_OT,Z106,Asig_Terc_Pin)*'Costos x MO'!$B$7)</f>
        <v>0</v>
      </c>
      <c r="AI106" s="28">
        <f t="shared" ca="1" si="46"/>
        <v>100.50000000000001</v>
      </c>
      <c r="AJ106" s="28">
        <f t="shared" ca="1" si="47"/>
        <v>238.72882860800001</v>
      </c>
      <c r="AK106" s="31">
        <f t="shared" ca="1" si="48"/>
        <v>0.70373980179575479</v>
      </c>
      <c r="AL106" s="28" t="str">
        <f t="shared" ca="1" si="49"/>
        <v>C.C</v>
      </c>
      <c r="AM106" s="28" t="str">
        <f t="shared" ca="1" si="50"/>
        <v>LEVE</v>
      </c>
      <c r="AN106" s="30" t="str">
        <f t="shared" ca="1" si="51"/>
        <v>November</v>
      </c>
      <c r="AO106" s="42">
        <f t="shared" ca="1" si="52"/>
        <v>2019</v>
      </c>
      <c r="AP106" s="42">
        <f t="shared" ca="1" si="53"/>
        <v>7</v>
      </c>
      <c r="AQ106" s="26">
        <v>1</v>
      </c>
      <c r="AR106" s="30">
        <f t="shared" ca="1" si="54"/>
        <v>43776</v>
      </c>
      <c r="AS106" s="30" t="str">
        <f t="shared" ca="1" si="55"/>
        <v>AXC-070</v>
      </c>
      <c r="AT106" s="26" t="str">
        <f t="shared" ca="1" si="56"/>
        <v>NISSAN</v>
      </c>
      <c r="AU106" s="26" t="str">
        <f t="shared" ca="1" si="57"/>
        <v>KICKS</v>
      </c>
      <c r="AV106" s="26" t="str">
        <f t="shared" ca="1" si="58"/>
        <v>FERNANDO ANTONIO MOLINA SHULLCA</v>
      </c>
    </row>
    <row r="107" spans="1:48" x14ac:dyDescent="0.2">
      <c r="A107" s="172">
        <v>43761</v>
      </c>
      <c r="B107" s="173" t="s">
        <v>68</v>
      </c>
      <c r="C107" s="173" t="s">
        <v>102</v>
      </c>
      <c r="D107" s="173" t="s">
        <v>667</v>
      </c>
      <c r="E107" s="173" t="s">
        <v>800</v>
      </c>
      <c r="F107" s="173" t="s">
        <v>1154</v>
      </c>
      <c r="G107" s="172">
        <v>43752</v>
      </c>
      <c r="H107" s="173" t="s">
        <v>90</v>
      </c>
      <c r="I107" s="173" t="s">
        <v>91</v>
      </c>
      <c r="J107" s="173" t="s">
        <v>97</v>
      </c>
      <c r="K107" s="173" t="s">
        <v>98</v>
      </c>
      <c r="L107" s="174" t="s">
        <v>71</v>
      </c>
      <c r="M107" s="175" t="s">
        <v>72</v>
      </c>
      <c r="N107" s="173" t="s">
        <v>73</v>
      </c>
      <c r="O107" s="176" t="s">
        <v>99</v>
      </c>
      <c r="P107" s="173" t="s">
        <v>98</v>
      </c>
      <c r="Q107" s="177" t="s">
        <v>93</v>
      </c>
      <c r="R107" s="178">
        <v>3.3420000000000001</v>
      </c>
      <c r="S107" s="179">
        <v>1</v>
      </c>
      <c r="T107" s="179">
        <v>368.75421</v>
      </c>
      <c r="U107" s="179">
        <v>368.75421</v>
      </c>
      <c r="V107" s="179">
        <v>66.375789999999981</v>
      </c>
      <c r="W107" s="179">
        <v>435.13</v>
      </c>
      <c r="X107" s="27">
        <f t="shared" si="59"/>
        <v>1232.37656982</v>
      </c>
      <c r="Y107" s="29">
        <f ca="1">VLOOKUP(Z107,CHOOSE({2,1},Fac_Fecha,Fac_OT),2,0)</f>
        <v>43783</v>
      </c>
      <c r="Z107" s="26" t="s">
        <v>1322</v>
      </c>
      <c r="AA107" s="28">
        <f t="shared" ca="1" si="60"/>
        <v>654.65599999999995</v>
      </c>
      <c r="AB107" s="28">
        <f ca="1">SUMIF(Salida_OT,Facturacion!Z107,Salida_Suma)</f>
        <v>0</v>
      </c>
      <c r="AC107" s="28">
        <f t="shared" ca="1" si="44"/>
        <v>0</v>
      </c>
      <c r="AD107" s="28">
        <f t="shared" ca="1" si="45"/>
        <v>0</v>
      </c>
      <c r="AE107" s="28">
        <f ca="1">(SUMIF(Asig_OT,Z107,Asig_Hora_Mec))*'Costos x MO'!$B$6*'Costos x MO'!$B$7</f>
        <v>0</v>
      </c>
      <c r="AF107" s="28">
        <f ca="1">SUMIF(Asig_OT,Z107,Asig_Hora_Pla)*'Costos x MO'!$B$4*'Costos x MO'!$B$7</f>
        <v>45.225000000000001</v>
      </c>
      <c r="AG107" s="28">
        <f ca="1">SUMIF(Asig_OT,Z107,Asig_paño_Pin)*'Costos x MO'!$B$5*'Costos x MO'!$B$7</f>
        <v>140.70000000000002</v>
      </c>
      <c r="AH107" s="28">
        <f ca="1">(SUMIF(Asig_OT,Z107,Asig_Terc_Pla)*'Costos x MO'!$B$7)+(SUMIF(Asig_OT,Z107,Asig_Terc_Pin)*'Costos x MO'!$B$7)</f>
        <v>0</v>
      </c>
      <c r="AI107" s="28">
        <f t="shared" ca="1" si="46"/>
        <v>185.92500000000001</v>
      </c>
      <c r="AJ107" s="28">
        <f t="shared" ca="1" si="47"/>
        <v>468.73099999999994</v>
      </c>
      <c r="AK107" s="31">
        <f t="shared" ca="1" si="48"/>
        <v>0.71599588180662821</v>
      </c>
      <c r="AL107" s="28" t="str">
        <f t="shared" ca="1" si="49"/>
        <v>RIMAC</v>
      </c>
      <c r="AM107" s="28" t="str">
        <f t="shared" ca="1" si="50"/>
        <v>LEVE</v>
      </c>
      <c r="AN107" s="30" t="str">
        <f t="shared" ca="1" si="51"/>
        <v>November</v>
      </c>
      <c r="AO107" s="42">
        <f t="shared" ca="1" si="52"/>
        <v>2019</v>
      </c>
      <c r="AP107" s="42">
        <f t="shared" ca="1" si="53"/>
        <v>8</v>
      </c>
      <c r="AQ107" s="26">
        <v>1</v>
      </c>
      <c r="AR107" s="30">
        <f t="shared" ca="1" si="54"/>
        <v>43775</v>
      </c>
      <c r="AS107" s="30" t="str">
        <f t="shared" ca="1" si="55"/>
        <v>B8U-602</v>
      </c>
      <c r="AT107" s="26" t="str">
        <f t="shared" ca="1" si="56"/>
        <v>SUBARU</v>
      </c>
      <c r="AU107" s="26" t="str">
        <f t="shared" ca="1" si="57"/>
        <v>FORESTER</v>
      </c>
      <c r="AV107" s="26" t="str">
        <f t="shared" ca="1" si="58"/>
        <v>RIMAC SEGUROS  Y REASEGUROS S.A</v>
      </c>
    </row>
    <row r="108" spans="1:48" x14ac:dyDescent="0.2">
      <c r="A108" s="172">
        <v>43761</v>
      </c>
      <c r="B108" s="173" t="s">
        <v>68</v>
      </c>
      <c r="C108" s="173" t="s">
        <v>102</v>
      </c>
      <c r="D108" s="173" t="s">
        <v>667</v>
      </c>
      <c r="E108" s="173" t="s">
        <v>800</v>
      </c>
      <c r="F108" s="173" t="s">
        <v>1154</v>
      </c>
      <c r="G108" s="172">
        <v>43752</v>
      </c>
      <c r="H108" s="173" t="s">
        <v>90</v>
      </c>
      <c r="I108" s="173" t="s">
        <v>91</v>
      </c>
      <c r="J108" s="173" t="s">
        <v>100</v>
      </c>
      <c r="K108" s="173" t="s">
        <v>101</v>
      </c>
      <c r="L108" s="174" t="s">
        <v>71</v>
      </c>
      <c r="M108" s="175" t="s">
        <v>72</v>
      </c>
      <c r="N108" s="173" t="s">
        <v>73</v>
      </c>
      <c r="O108" s="176" t="s">
        <v>72</v>
      </c>
      <c r="P108" s="130" t="s">
        <v>101</v>
      </c>
      <c r="Q108" s="177" t="s">
        <v>93</v>
      </c>
      <c r="R108" s="178">
        <v>3.3420000000000001</v>
      </c>
      <c r="S108" s="179">
        <v>1</v>
      </c>
      <c r="T108" s="179">
        <v>330</v>
      </c>
      <c r="U108" s="179">
        <v>330</v>
      </c>
      <c r="V108" s="179">
        <v>59.399990000000031</v>
      </c>
      <c r="W108" s="179">
        <v>389.39999000000006</v>
      </c>
      <c r="X108" s="27">
        <f t="shared" si="59"/>
        <v>1102.8600000000001</v>
      </c>
      <c r="Y108" s="29">
        <f ca="1">VLOOKUP(Z108,CHOOSE({2,1},Fac_Fecha,Fac_OT),2,0)</f>
        <v>43783</v>
      </c>
      <c r="Z108" s="26" t="s">
        <v>1239</v>
      </c>
      <c r="AA108" s="28">
        <f t="shared" ca="1" si="60"/>
        <v>1763.84</v>
      </c>
      <c r="AB108" s="28">
        <f ca="1">SUMIF(Salida_OT,Facturacion!Z108,Salida_Suma)</f>
        <v>0</v>
      </c>
      <c r="AC108" s="28">
        <f t="shared" ca="1" si="44"/>
        <v>0</v>
      </c>
      <c r="AD108" s="28">
        <f t="shared" ca="1" si="45"/>
        <v>86.27</v>
      </c>
      <c r="AE108" s="28">
        <f ca="1">(SUMIF(Asig_OT,Z108,Asig_Hora_Mec))*'Costos x MO'!$B$6*'Costos x MO'!$B$7</f>
        <v>0</v>
      </c>
      <c r="AF108" s="28">
        <f ca="1">SUMIF(Asig_OT,Z108,Asig_Hora_Pla)*'Costos x MO'!$B$4*'Costos x MO'!$B$7</f>
        <v>75.375</v>
      </c>
      <c r="AG108" s="28">
        <f ca="1">SUMIF(Asig_OT,Z108,Asig_paño_Pin)*'Costos x MO'!$B$5*'Costos x MO'!$B$7</f>
        <v>351.75</v>
      </c>
      <c r="AH108" s="28">
        <f ca="1">(SUMIF(Asig_OT,Z108,Asig_Terc_Pla)*'Costos x MO'!$B$7)+(SUMIF(Asig_OT,Z108,Asig_Terc_Pin)*'Costos x MO'!$B$7)</f>
        <v>0</v>
      </c>
      <c r="AI108" s="28">
        <f t="shared" ca="1" si="46"/>
        <v>513.39499999999998</v>
      </c>
      <c r="AJ108" s="28">
        <f t="shared" ca="1" si="47"/>
        <v>1250.4449999999999</v>
      </c>
      <c r="AK108" s="31">
        <f t="shared" ca="1" si="48"/>
        <v>0.70893334996371549</v>
      </c>
      <c r="AL108" s="28" t="str">
        <f t="shared" ca="1" si="49"/>
        <v>RIMAC</v>
      </c>
      <c r="AM108" s="28" t="str">
        <f t="shared" ca="1" si="50"/>
        <v>LEVE</v>
      </c>
      <c r="AN108" s="30" t="str">
        <f t="shared" ca="1" si="51"/>
        <v>November</v>
      </c>
      <c r="AO108" s="42">
        <f t="shared" ca="1" si="52"/>
        <v>2019</v>
      </c>
      <c r="AP108" s="42">
        <f t="shared" ca="1" si="53"/>
        <v>10</v>
      </c>
      <c r="AQ108" s="26">
        <v>1</v>
      </c>
      <c r="AR108" s="30">
        <f t="shared" ca="1" si="54"/>
        <v>43773</v>
      </c>
      <c r="AS108" s="30" t="str">
        <f t="shared" ca="1" si="55"/>
        <v>AWQ-505</v>
      </c>
      <c r="AT108" s="26" t="str">
        <f t="shared" ca="1" si="56"/>
        <v>NISSAN</v>
      </c>
      <c r="AU108" s="26" t="str">
        <f t="shared" ca="1" si="57"/>
        <v>SENTRA</v>
      </c>
      <c r="AV108" s="26" t="str">
        <f t="shared" ca="1" si="58"/>
        <v>RIMAC SEGUROS  Y REASEGUROS S.A</v>
      </c>
    </row>
    <row r="109" spans="1:48" x14ac:dyDescent="0.2">
      <c r="A109" s="172">
        <v>43761</v>
      </c>
      <c r="B109" s="173" t="s">
        <v>68</v>
      </c>
      <c r="C109" s="173" t="s">
        <v>102</v>
      </c>
      <c r="D109" s="173" t="s">
        <v>667</v>
      </c>
      <c r="E109" s="173" t="s">
        <v>800</v>
      </c>
      <c r="F109" s="173" t="s">
        <v>1154</v>
      </c>
      <c r="G109" s="172">
        <v>43752</v>
      </c>
      <c r="H109" s="173" t="s">
        <v>90</v>
      </c>
      <c r="I109" s="173" t="s">
        <v>91</v>
      </c>
      <c r="J109" s="173" t="s">
        <v>92</v>
      </c>
      <c r="K109" s="173" t="s">
        <v>113</v>
      </c>
      <c r="L109" s="174" t="s">
        <v>71</v>
      </c>
      <c r="M109" s="175" t="s">
        <v>72</v>
      </c>
      <c r="N109" s="173" t="s">
        <v>73</v>
      </c>
      <c r="O109" s="176" t="s">
        <v>69</v>
      </c>
      <c r="P109" s="130" t="s">
        <v>113</v>
      </c>
      <c r="Q109" s="177" t="s">
        <v>93</v>
      </c>
      <c r="R109" s="178">
        <v>3.3420000000000001</v>
      </c>
      <c r="S109" s="179">
        <v>1</v>
      </c>
      <c r="T109" s="179">
        <v>75</v>
      </c>
      <c r="U109" s="179">
        <v>75</v>
      </c>
      <c r="V109" s="179">
        <v>13.5</v>
      </c>
      <c r="W109" s="179">
        <v>88.5</v>
      </c>
      <c r="X109" s="27">
        <f t="shared" si="59"/>
        <v>250.65</v>
      </c>
      <c r="Y109" s="29">
        <f ca="1">VLOOKUP(Z109,CHOOSE({2,1},Fac_Fecha,Fac_OT),2,0)</f>
        <v>43784</v>
      </c>
      <c r="Z109" s="26" t="s">
        <v>1337</v>
      </c>
      <c r="AA109" s="28">
        <f t="shared" ca="1" si="60"/>
        <v>1261.4520000000002</v>
      </c>
      <c r="AB109" s="28">
        <f ca="1">SUMIF(Salida_OT,Facturacion!Z109,Salida_Suma)</f>
        <v>0</v>
      </c>
      <c r="AC109" s="28">
        <f t="shared" ca="1" si="44"/>
        <v>0</v>
      </c>
      <c r="AD109" s="28">
        <f t="shared" ca="1" si="45"/>
        <v>0</v>
      </c>
      <c r="AE109" s="28">
        <f ca="1">(SUMIF(Asig_OT,Z109,Asig_Hora_Mec))*'Costos x MO'!$B$6*'Costos x MO'!$B$7</f>
        <v>0</v>
      </c>
      <c r="AF109" s="28">
        <f ca="1">SUMIF(Asig_OT,Z109,Asig_Hora_Pla)*'Costos x MO'!$B$4*'Costos x MO'!$B$7</f>
        <v>120.60000000000001</v>
      </c>
      <c r="AG109" s="28">
        <f ca="1">SUMIF(Asig_OT,Z109,Asig_paño_Pin)*'Costos x MO'!$B$5*'Costos x MO'!$B$7</f>
        <v>211.05</v>
      </c>
      <c r="AH109" s="28">
        <f ca="1">(SUMIF(Asig_OT,Z109,Asig_Terc_Pla)*'Costos x MO'!$B$7)+(SUMIF(Asig_OT,Z109,Asig_Terc_Pin)*'Costos x MO'!$B$7)</f>
        <v>0</v>
      </c>
      <c r="AI109" s="28">
        <f t="shared" ca="1" si="46"/>
        <v>331.65000000000003</v>
      </c>
      <c r="AJ109" s="28">
        <f t="shared" ca="1" si="47"/>
        <v>929.80200000000013</v>
      </c>
      <c r="AK109" s="31">
        <f t="shared" ca="1" si="48"/>
        <v>0.73708868827351337</v>
      </c>
      <c r="AL109" s="28" t="str">
        <f t="shared" ca="1" si="49"/>
        <v>RIMAC</v>
      </c>
      <c r="AM109" s="28" t="str">
        <f t="shared" ca="1" si="50"/>
        <v>LEVE</v>
      </c>
      <c r="AN109" s="30" t="str">
        <f t="shared" ca="1" si="51"/>
        <v>November</v>
      </c>
      <c r="AO109" s="42">
        <f t="shared" ca="1" si="52"/>
        <v>2019</v>
      </c>
      <c r="AP109" s="42">
        <f t="shared" ca="1" si="53"/>
        <v>8</v>
      </c>
      <c r="AQ109" s="26">
        <v>1</v>
      </c>
      <c r="AR109" s="30">
        <f t="shared" ca="1" si="54"/>
        <v>43776</v>
      </c>
      <c r="AS109" s="30" t="str">
        <f t="shared" ca="1" si="55"/>
        <v>BKQ-223</v>
      </c>
      <c r="AT109" s="26" t="str">
        <f t="shared" ca="1" si="56"/>
        <v>TOYOTA</v>
      </c>
      <c r="AU109" s="26" t="str">
        <f t="shared" ca="1" si="57"/>
        <v>ETIOS</v>
      </c>
      <c r="AV109" s="26" t="str">
        <f t="shared" ca="1" si="58"/>
        <v>ECOLAB PERU HOLDINGS S.R.L.</v>
      </c>
    </row>
    <row r="110" spans="1:48" x14ac:dyDescent="0.2">
      <c r="A110" s="172">
        <v>43761</v>
      </c>
      <c r="B110" s="173" t="s">
        <v>68</v>
      </c>
      <c r="C110" s="173" t="s">
        <v>102</v>
      </c>
      <c r="D110" s="173" t="s">
        <v>667</v>
      </c>
      <c r="E110" s="173" t="s">
        <v>800</v>
      </c>
      <c r="F110" s="173" t="s">
        <v>1154</v>
      </c>
      <c r="G110" s="172">
        <v>43752</v>
      </c>
      <c r="H110" s="173" t="s">
        <v>90</v>
      </c>
      <c r="I110" s="173" t="s">
        <v>91</v>
      </c>
      <c r="J110" s="173" t="s">
        <v>132</v>
      </c>
      <c r="K110" s="173" t="s">
        <v>1155</v>
      </c>
      <c r="L110" s="174" t="s">
        <v>71</v>
      </c>
      <c r="M110" s="175" t="s">
        <v>72</v>
      </c>
      <c r="N110" s="173" t="s">
        <v>73</v>
      </c>
      <c r="O110" s="176" t="s">
        <v>69</v>
      </c>
      <c r="P110" s="173" t="s">
        <v>105</v>
      </c>
      <c r="Q110" s="177" t="s">
        <v>93</v>
      </c>
      <c r="R110" s="178">
        <v>3.3420000000000001</v>
      </c>
      <c r="S110" s="179">
        <v>1</v>
      </c>
      <c r="T110" s="179">
        <v>0</v>
      </c>
      <c r="U110" s="179">
        <v>0</v>
      </c>
      <c r="V110" s="179">
        <v>0</v>
      </c>
      <c r="W110" s="179">
        <v>0</v>
      </c>
      <c r="X110" s="27">
        <f t="shared" si="59"/>
        <v>0</v>
      </c>
      <c r="Y110" s="29">
        <f ca="1">VLOOKUP(Z110,CHOOSE({2,1},Fac_Fecha,Fac_OT),2,0)</f>
        <v>43784</v>
      </c>
      <c r="Z110" s="26" t="s">
        <v>1333</v>
      </c>
      <c r="AA110" s="28">
        <f t="shared" ca="1" si="60"/>
        <v>1770.1019999999999</v>
      </c>
      <c r="AB110" s="28">
        <f ca="1">SUMIF(Salida_OT,Facturacion!Z110,Salida_Suma)</f>
        <v>0</v>
      </c>
      <c r="AC110" s="28">
        <f t="shared" ca="1" si="44"/>
        <v>0</v>
      </c>
      <c r="AD110" s="28">
        <f t="shared" ca="1" si="45"/>
        <v>0</v>
      </c>
      <c r="AE110" s="28">
        <f ca="1">(SUMIF(Asig_OT,Z110,Asig_Hora_Mec))*'Costos x MO'!$B$6*'Costos x MO'!$B$7</f>
        <v>0</v>
      </c>
      <c r="AF110" s="28">
        <f ca="1">SUMIF(Asig_OT,Z110,Asig_Hora_Pla)*'Costos x MO'!$B$4*'Costos x MO'!$B$7</f>
        <v>180.9</v>
      </c>
      <c r="AG110" s="28">
        <f ca="1">SUMIF(Asig_OT,Z110,Asig_paño_Pin)*'Costos x MO'!$B$5*'Costos x MO'!$B$7</f>
        <v>211.05</v>
      </c>
      <c r="AH110" s="28">
        <f ca="1">(SUMIF(Asig_OT,Z110,Asig_Terc_Pla)*'Costos x MO'!$B$7)+(SUMIF(Asig_OT,Z110,Asig_Terc_Pin)*'Costos x MO'!$B$7)</f>
        <v>0</v>
      </c>
      <c r="AI110" s="28">
        <f t="shared" ca="1" si="46"/>
        <v>391.95000000000005</v>
      </c>
      <c r="AJ110" s="28">
        <f t="shared" ca="1" si="47"/>
        <v>1378.1519999999998</v>
      </c>
      <c r="AK110" s="31">
        <f t="shared" ca="1" si="48"/>
        <v>0.77857208228678343</v>
      </c>
      <c r="AL110" s="28" t="str">
        <f t="shared" ca="1" si="49"/>
        <v>RIMAC</v>
      </c>
      <c r="AM110" s="28" t="str">
        <f t="shared" ca="1" si="50"/>
        <v>MEDIANO</v>
      </c>
      <c r="AN110" s="30" t="str">
        <f t="shared" ca="1" si="51"/>
        <v>November</v>
      </c>
      <c r="AO110" s="42">
        <f t="shared" ca="1" si="52"/>
        <v>2019</v>
      </c>
      <c r="AP110" s="42">
        <f t="shared" ca="1" si="53"/>
        <v>9</v>
      </c>
      <c r="AQ110" s="26">
        <v>1</v>
      </c>
      <c r="AR110" s="30">
        <f t="shared" ca="1" si="54"/>
        <v>43775</v>
      </c>
      <c r="AS110" s="30" t="str">
        <f t="shared" ca="1" si="55"/>
        <v>AXN-474</v>
      </c>
      <c r="AT110" s="26" t="str">
        <f t="shared" ca="1" si="56"/>
        <v>NISSAN</v>
      </c>
      <c r="AU110" s="26" t="str">
        <f t="shared" ca="1" si="57"/>
        <v>VERSA</v>
      </c>
      <c r="AV110" s="26" t="str">
        <f t="shared" ca="1" si="58"/>
        <v>RIMAC SEGUROS  Y REASEGUROS S.A</v>
      </c>
    </row>
    <row r="111" spans="1:48" x14ac:dyDescent="0.2">
      <c r="A111" s="172">
        <v>43761</v>
      </c>
      <c r="B111" s="173" t="s">
        <v>68</v>
      </c>
      <c r="C111" s="173" t="s">
        <v>102</v>
      </c>
      <c r="D111" s="173" t="s">
        <v>667</v>
      </c>
      <c r="E111" s="173" t="s">
        <v>800</v>
      </c>
      <c r="F111" s="173" t="s">
        <v>1154</v>
      </c>
      <c r="G111" s="172">
        <v>43752</v>
      </c>
      <c r="H111" s="173" t="s">
        <v>90</v>
      </c>
      <c r="I111" s="173" t="s">
        <v>91</v>
      </c>
      <c r="J111" s="173" t="s">
        <v>95</v>
      </c>
      <c r="K111" s="173" t="s">
        <v>96</v>
      </c>
      <c r="L111" s="174" t="s">
        <v>71</v>
      </c>
      <c r="M111" s="175" t="s">
        <v>72</v>
      </c>
      <c r="N111" s="173" t="s">
        <v>73</v>
      </c>
      <c r="O111" s="176" t="s">
        <v>69</v>
      </c>
      <c r="P111" s="130" t="s">
        <v>96</v>
      </c>
      <c r="Q111" s="177" t="s">
        <v>93</v>
      </c>
      <c r="R111" s="178">
        <v>3.3420000000000001</v>
      </c>
      <c r="S111" s="179">
        <v>-1</v>
      </c>
      <c r="T111" s="179">
        <v>147.79660000000001</v>
      </c>
      <c r="U111" s="179">
        <v>-147.79660000000001</v>
      </c>
      <c r="V111" s="179">
        <v>-26.603389999999944</v>
      </c>
      <c r="W111" s="179">
        <v>-174.39998999999997</v>
      </c>
      <c r="X111" s="27">
        <f t="shared" si="59"/>
        <v>-493.93623720000005</v>
      </c>
      <c r="Y111" s="29">
        <f ca="1">VLOOKUP(Z111,CHOOSE({2,1},Fac_Fecha,Fac_OT),2,0)</f>
        <v>43784</v>
      </c>
      <c r="Z111" s="26" t="s">
        <v>1261</v>
      </c>
      <c r="AA111" s="28">
        <f t="shared" ca="1" si="60"/>
        <v>2491.5515261099999</v>
      </c>
      <c r="AB111" s="28">
        <f ca="1">SUMIF(Salida_OT,Facturacion!Z111,Salida_Suma)</f>
        <v>46.610001000000004</v>
      </c>
      <c r="AC111" s="28">
        <f t="shared" ca="1" si="44"/>
        <v>0</v>
      </c>
      <c r="AD111" s="28">
        <f t="shared" ca="1" si="45"/>
        <v>0</v>
      </c>
      <c r="AE111" s="28">
        <f ca="1">(SUMIF(Asig_OT,Z111,Asig_Hora_Mec))*'Costos x MO'!$B$6*'Costos x MO'!$B$7</f>
        <v>0</v>
      </c>
      <c r="AF111" s="28">
        <f ca="1">SUMIF(Asig_OT,Z111,Asig_Hora_Pla)*'Costos x MO'!$B$4*'Costos x MO'!$B$7</f>
        <v>211.05</v>
      </c>
      <c r="AG111" s="28">
        <f ca="1">SUMIF(Asig_OT,Z111,Asig_paño_Pin)*'Costos x MO'!$B$5*'Costos x MO'!$B$7</f>
        <v>281.40000000000003</v>
      </c>
      <c r="AH111" s="28">
        <f ca="1">(SUMIF(Asig_OT,Z111,Asig_Terc_Pla)*'Costos x MO'!$B$7)+(SUMIF(Asig_OT,Z111,Asig_Terc_Pin)*'Costos x MO'!$B$7)</f>
        <v>0</v>
      </c>
      <c r="AI111" s="28">
        <f t="shared" ca="1" si="46"/>
        <v>539.06000100000006</v>
      </c>
      <c r="AJ111" s="28">
        <f t="shared" ca="1" si="47"/>
        <v>1952.4915251099999</v>
      </c>
      <c r="AK111" s="31">
        <f t="shared" ca="1" si="48"/>
        <v>0.78364485126999495</v>
      </c>
      <c r="AL111" s="28" t="str">
        <f t="shared" ca="1" si="49"/>
        <v>RIMAC</v>
      </c>
      <c r="AM111" s="28" t="str">
        <f t="shared" ca="1" si="50"/>
        <v>MEDIANO</v>
      </c>
      <c r="AN111" s="30" t="str">
        <f t="shared" ca="1" si="51"/>
        <v>November</v>
      </c>
      <c r="AO111" s="42">
        <f t="shared" ca="1" si="52"/>
        <v>2019</v>
      </c>
      <c r="AP111" s="42">
        <f t="shared" ca="1" si="53"/>
        <v>15</v>
      </c>
      <c r="AQ111" s="26">
        <v>1</v>
      </c>
      <c r="AR111" s="30">
        <f t="shared" ca="1" si="54"/>
        <v>43769</v>
      </c>
      <c r="AS111" s="30" t="str">
        <f t="shared" ca="1" si="55"/>
        <v>AXX-712</v>
      </c>
      <c r="AT111" s="26" t="str">
        <f t="shared" ca="1" si="56"/>
        <v>CHEVROLET</v>
      </c>
      <c r="AU111" s="26" t="str">
        <f t="shared" ca="1" si="57"/>
        <v>N300</v>
      </c>
      <c r="AV111" s="26" t="str">
        <f t="shared" ca="1" si="58"/>
        <v>RIMAC SEGUROS  Y REASEGUROS S.A</v>
      </c>
    </row>
    <row r="112" spans="1:48" x14ac:dyDescent="0.2">
      <c r="A112" s="172">
        <v>43761</v>
      </c>
      <c r="B112" s="173" t="s">
        <v>68</v>
      </c>
      <c r="C112" s="173" t="s">
        <v>102</v>
      </c>
      <c r="D112" s="173" t="s">
        <v>667</v>
      </c>
      <c r="E112" s="173" t="s">
        <v>800</v>
      </c>
      <c r="F112" s="173" t="s">
        <v>1154</v>
      </c>
      <c r="G112" s="172">
        <v>43752</v>
      </c>
      <c r="H112" s="173" t="s">
        <v>90</v>
      </c>
      <c r="I112" s="173" t="s">
        <v>91</v>
      </c>
      <c r="J112" s="173" t="s">
        <v>104</v>
      </c>
      <c r="K112" s="173" t="s">
        <v>105</v>
      </c>
      <c r="L112" s="174" t="s">
        <v>71</v>
      </c>
      <c r="M112" s="175" t="s">
        <v>72</v>
      </c>
      <c r="N112" s="173" t="s">
        <v>73</v>
      </c>
      <c r="O112" s="176" t="s">
        <v>69</v>
      </c>
      <c r="P112" s="173" t="s">
        <v>105</v>
      </c>
      <c r="Q112" s="177" t="s">
        <v>93</v>
      </c>
      <c r="R112" s="178">
        <v>3.3420000000000001</v>
      </c>
      <c r="S112" s="179">
        <v>1</v>
      </c>
      <c r="T112" s="179">
        <v>0</v>
      </c>
      <c r="U112" s="179">
        <v>0</v>
      </c>
      <c r="V112" s="179">
        <v>0</v>
      </c>
      <c r="W112" s="179">
        <v>0</v>
      </c>
      <c r="X112" s="27">
        <f t="shared" si="59"/>
        <v>0</v>
      </c>
      <c r="Y112" s="29">
        <f ca="1">VLOOKUP(Z112,CHOOSE({2,1},Fac_Fecha,Fac_OT),2,0)</f>
        <v>43785</v>
      </c>
      <c r="Z112" s="26" t="s">
        <v>1335</v>
      </c>
      <c r="AA112" s="28">
        <f t="shared" ca="1" si="60"/>
        <v>1494.2389556999997</v>
      </c>
      <c r="AB112" s="28">
        <f ca="1">SUMIF(Salida_OT,Facturacion!Z112,Salida_Suma)</f>
        <v>0</v>
      </c>
      <c r="AC112" s="28">
        <f t="shared" ca="1" si="44"/>
        <v>0</v>
      </c>
      <c r="AD112" s="28">
        <f t="shared" ca="1" si="45"/>
        <v>0</v>
      </c>
      <c r="AE112" s="28">
        <f ca="1">(SUMIF(Asig_OT,Z112,Asig_Hora_Mec))*'Costos x MO'!$B$6*'Costos x MO'!$B$7</f>
        <v>0</v>
      </c>
      <c r="AF112" s="28">
        <f ca="1">SUMIF(Asig_OT,Z112,Asig_Hora_Pla)*'Costos x MO'!$B$4*'Costos x MO'!$B$7</f>
        <v>241.20000000000002</v>
      </c>
      <c r="AG112" s="28">
        <f ca="1">SUMIF(Asig_OT,Z112,Asig_paño_Pin)*'Costos x MO'!$B$5*'Costos x MO'!$B$7</f>
        <v>140.70000000000002</v>
      </c>
      <c r="AH112" s="28">
        <f ca="1">(SUMIF(Asig_OT,Z112,Asig_Terc_Pla)*'Costos x MO'!$B$7)+(SUMIF(Asig_OT,Z112,Asig_Terc_Pin)*'Costos x MO'!$B$7)</f>
        <v>0</v>
      </c>
      <c r="AI112" s="28">
        <f t="shared" ca="1" si="46"/>
        <v>381.90000000000003</v>
      </c>
      <c r="AJ112" s="28">
        <f t="shared" ca="1" si="47"/>
        <v>1112.3389556999996</v>
      </c>
      <c r="AK112" s="31">
        <f t="shared" ca="1" si="48"/>
        <v>0.74441838867660026</v>
      </c>
      <c r="AL112" s="28" t="str">
        <f t="shared" ca="1" si="49"/>
        <v>RIMAC</v>
      </c>
      <c r="AM112" s="28" t="str">
        <f t="shared" ca="1" si="50"/>
        <v>GRAVE</v>
      </c>
      <c r="AN112" s="30" t="str">
        <f t="shared" ca="1" si="51"/>
        <v>November</v>
      </c>
      <c r="AO112" s="42">
        <f t="shared" ca="1" si="52"/>
        <v>2019</v>
      </c>
      <c r="AP112" s="42">
        <f t="shared" ca="1" si="53"/>
        <v>14</v>
      </c>
      <c r="AQ112" s="26">
        <v>1</v>
      </c>
      <c r="AR112" s="30">
        <f t="shared" ca="1" si="54"/>
        <v>43771</v>
      </c>
      <c r="AS112" s="30" t="str">
        <f t="shared" ca="1" si="55"/>
        <v>AKY-655</v>
      </c>
      <c r="AT112" s="26" t="str">
        <f t="shared" ca="1" si="56"/>
        <v>HONDA</v>
      </c>
      <c r="AU112" s="26" t="str">
        <f t="shared" ca="1" si="57"/>
        <v>CRV</v>
      </c>
      <c r="AV112" s="26" t="str">
        <f t="shared" ca="1" si="58"/>
        <v>RIMAC SEGUROS  Y REASEGUROS S.A</v>
      </c>
    </row>
    <row r="113" spans="1:48" x14ac:dyDescent="0.2">
      <c r="A113" s="172">
        <v>43764</v>
      </c>
      <c r="B113" s="173" t="s">
        <v>68</v>
      </c>
      <c r="C113" s="173" t="s">
        <v>102</v>
      </c>
      <c r="D113" s="173" t="s">
        <v>666</v>
      </c>
      <c r="E113" s="173" t="s">
        <v>798</v>
      </c>
      <c r="F113" s="173" t="s">
        <v>906</v>
      </c>
      <c r="G113" s="172">
        <v>43749</v>
      </c>
      <c r="H113" s="173" t="s">
        <v>557</v>
      </c>
      <c r="I113" s="173" t="s">
        <v>556</v>
      </c>
      <c r="J113" s="173" t="s">
        <v>95</v>
      </c>
      <c r="K113" s="173" t="s">
        <v>96</v>
      </c>
      <c r="L113" s="174" t="s">
        <v>71</v>
      </c>
      <c r="M113" s="175" t="s">
        <v>72</v>
      </c>
      <c r="N113" s="173" t="s">
        <v>73</v>
      </c>
      <c r="O113" s="176" t="s">
        <v>69</v>
      </c>
      <c r="P113" s="130" t="s">
        <v>96</v>
      </c>
      <c r="Q113" s="177" t="s">
        <v>93</v>
      </c>
      <c r="R113" s="178">
        <v>3.3499998999999998</v>
      </c>
      <c r="S113" s="179">
        <v>1</v>
      </c>
      <c r="T113" s="179">
        <v>200</v>
      </c>
      <c r="U113" s="179">
        <v>200</v>
      </c>
      <c r="V113" s="179">
        <v>36</v>
      </c>
      <c r="W113" s="179">
        <v>236</v>
      </c>
      <c r="X113" s="27">
        <f t="shared" si="59"/>
        <v>669.99997999999994</v>
      </c>
      <c r="Y113" s="29">
        <f ca="1">VLOOKUP(Z113,CHOOSE({2,1},Fac_Fecha,Fac_OT),2,0)</f>
        <v>43785</v>
      </c>
      <c r="Z113" s="26" t="s">
        <v>1326</v>
      </c>
      <c r="AA113" s="28">
        <f t="shared" ca="1" si="60"/>
        <v>1293.3740795250806</v>
      </c>
      <c r="AB113" s="28">
        <f ca="1">SUMIF(Salida_OT,Facturacion!Z113,Salida_Suma)</f>
        <v>0</v>
      </c>
      <c r="AC113" s="28">
        <f t="shared" ca="1" si="44"/>
        <v>0</v>
      </c>
      <c r="AD113" s="28">
        <f t="shared" ca="1" si="45"/>
        <v>0</v>
      </c>
      <c r="AE113" s="28">
        <f ca="1">(SUMIF(Asig_OT,Z113,Asig_Hora_Mec))*'Costos x MO'!$B$6*'Costos x MO'!$B$7</f>
        <v>0</v>
      </c>
      <c r="AF113" s="28">
        <f ca="1">SUMIF(Asig_OT,Z113,Asig_Hora_Pla)*'Costos x MO'!$B$4*'Costos x MO'!$B$7</f>
        <v>45.225000000000001</v>
      </c>
      <c r="AG113" s="28">
        <f ca="1">SUMIF(Asig_OT,Z113,Asig_paño_Pin)*'Costos x MO'!$B$5*'Costos x MO'!$B$7</f>
        <v>246.22499999999999</v>
      </c>
      <c r="AH113" s="28">
        <f ca="1">(SUMIF(Asig_OT,Z113,Asig_Terc_Pla)*'Costos x MO'!$B$7)+(SUMIF(Asig_OT,Z113,Asig_Terc_Pin)*'Costos x MO'!$B$7)</f>
        <v>0</v>
      </c>
      <c r="AI113" s="28">
        <f t="shared" ca="1" si="46"/>
        <v>291.45</v>
      </c>
      <c r="AJ113" s="28">
        <f t="shared" ca="1" si="47"/>
        <v>1001.9240795250805</v>
      </c>
      <c r="AK113" s="31">
        <f t="shared" ca="1" si="48"/>
        <v>0.7746591611708975</v>
      </c>
      <c r="AL113" s="28" t="str">
        <f t="shared" ca="1" si="49"/>
        <v>RIMAC</v>
      </c>
      <c r="AM113" s="28" t="str">
        <f t="shared" ca="1" si="50"/>
        <v>LEVE</v>
      </c>
      <c r="AN113" s="30" t="str">
        <f t="shared" ca="1" si="51"/>
        <v>November</v>
      </c>
      <c r="AO113" s="42">
        <f t="shared" ca="1" si="52"/>
        <v>2019</v>
      </c>
      <c r="AP113" s="42">
        <f t="shared" ca="1" si="53"/>
        <v>12</v>
      </c>
      <c r="AQ113" s="26">
        <v>1</v>
      </c>
      <c r="AR113" s="30">
        <f t="shared" ca="1" si="54"/>
        <v>43773</v>
      </c>
      <c r="AS113" s="30" t="str">
        <f t="shared" ca="1" si="55"/>
        <v>AXV-440</v>
      </c>
      <c r="AT113" s="26" t="str">
        <f t="shared" ca="1" si="56"/>
        <v>MAZDA</v>
      </c>
      <c r="AU113" s="26" t="str">
        <f t="shared" ca="1" si="57"/>
        <v>CX5</v>
      </c>
      <c r="AV113" s="26" t="str">
        <f t="shared" ca="1" si="58"/>
        <v>RIMAC SEGUROS  Y REASEGUROS S.A</v>
      </c>
    </row>
    <row r="114" spans="1:48" x14ac:dyDescent="0.2">
      <c r="A114" s="172">
        <v>43764</v>
      </c>
      <c r="B114" s="173" t="s">
        <v>68</v>
      </c>
      <c r="C114" s="173" t="s">
        <v>102</v>
      </c>
      <c r="D114" s="173" t="s">
        <v>665</v>
      </c>
      <c r="E114" s="173" t="s">
        <v>798</v>
      </c>
      <c r="F114" s="173" t="s">
        <v>906</v>
      </c>
      <c r="G114" s="172">
        <v>43749</v>
      </c>
      <c r="H114" s="173" t="s">
        <v>90</v>
      </c>
      <c r="I114" s="173" t="s">
        <v>91</v>
      </c>
      <c r="J114" s="173" t="s">
        <v>97</v>
      </c>
      <c r="K114" s="173" t="s">
        <v>98</v>
      </c>
      <c r="L114" s="174" t="s">
        <v>71</v>
      </c>
      <c r="M114" s="175" t="s">
        <v>72</v>
      </c>
      <c r="N114" s="173" t="s">
        <v>73</v>
      </c>
      <c r="O114" s="176" t="s">
        <v>99</v>
      </c>
      <c r="P114" s="173" t="s">
        <v>98</v>
      </c>
      <c r="Q114" s="177" t="s">
        <v>93</v>
      </c>
      <c r="R114" s="178">
        <v>3.3499998999999998</v>
      </c>
      <c r="S114" s="179">
        <v>1</v>
      </c>
      <c r="T114" s="179">
        <v>88.5</v>
      </c>
      <c r="U114" s="179">
        <v>88.5</v>
      </c>
      <c r="V114" s="179">
        <v>15.93</v>
      </c>
      <c r="W114" s="179">
        <v>104.43</v>
      </c>
      <c r="X114" s="27">
        <f t="shared" si="59"/>
        <v>296.47499114999999</v>
      </c>
      <c r="Y114" s="29">
        <f ca="1">VLOOKUP(Z114,CHOOSE({2,1},Fac_Fecha,Fac_OT),2,0)</f>
        <v>43787</v>
      </c>
      <c r="Z114" s="26" t="s">
        <v>1339</v>
      </c>
      <c r="AA114" s="28">
        <f t="shared" ca="1" si="60"/>
        <v>752.1789776999999</v>
      </c>
      <c r="AB114" s="28">
        <f ca="1">SUMIF(Salida_OT,Facturacion!Z114,Salida_Suma)</f>
        <v>0</v>
      </c>
      <c r="AC114" s="28">
        <f t="shared" ca="1" si="44"/>
        <v>0</v>
      </c>
      <c r="AD114" s="28">
        <f t="shared" ca="1" si="45"/>
        <v>0</v>
      </c>
      <c r="AE114" s="28">
        <f ca="1">(SUMIF(Asig_OT,Z114,Asig_Hora_Mec))*'Costos x MO'!$B$6*'Costos x MO'!$B$7</f>
        <v>0</v>
      </c>
      <c r="AF114" s="28">
        <f ca="1">SUMIF(Asig_OT,Z114,Asig_Hora_Pla)*'Costos x MO'!$B$4*'Costos x MO'!$B$7</f>
        <v>60.300000000000004</v>
      </c>
      <c r="AG114" s="28">
        <f ca="1">SUMIF(Asig_OT,Z114,Asig_paño_Pin)*'Costos x MO'!$B$5*'Costos x MO'!$B$7</f>
        <v>140.70000000000002</v>
      </c>
      <c r="AH114" s="28">
        <f ca="1">(SUMIF(Asig_OT,Z114,Asig_Terc_Pla)*'Costos x MO'!$B$7)+(SUMIF(Asig_OT,Z114,Asig_Terc_Pin)*'Costos x MO'!$B$7)</f>
        <v>0</v>
      </c>
      <c r="AI114" s="28">
        <f t="shared" ca="1" si="46"/>
        <v>201.00000000000003</v>
      </c>
      <c r="AJ114" s="28">
        <f t="shared" ca="1" si="47"/>
        <v>551.1789776999999</v>
      </c>
      <c r="AK114" s="31">
        <f t="shared" ca="1" si="48"/>
        <v>0.73277636578648553</v>
      </c>
      <c r="AL114" s="28" t="str">
        <f t="shared" ca="1" si="49"/>
        <v>RIMAC</v>
      </c>
      <c r="AM114" s="28" t="str">
        <f t="shared" ca="1" si="50"/>
        <v>LEVE</v>
      </c>
      <c r="AN114" s="30" t="str">
        <f t="shared" ca="1" si="51"/>
        <v>November</v>
      </c>
      <c r="AO114" s="42">
        <f t="shared" ca="1" si="52"/>
        <v>2019</v>
      </c>
      <c r="AP114" s="42">
        <f t="shared" ca="1" si="53"/>
        <v>13</v>
      </c>
      <c r="AQ114" s="26">
        <v>1</v>
      </c>
      <c r="AR114" s="30">
        <f t="shared" ca="1" si="54"/>
        <v>43774</v>
      </c>
      <c r="AS114" s="30" t="str">
        <f t="shared" ca="1" si="55"/>
        <v>ATT-292</v>
      </c>
      <c r="AT114" s="26" t="str">
        <f t="shared" ca="1" si="56"/>
        <v>CHEVROLET</v>
      </c>
      <c r="AU114" s="26" t="str">
        <f t="shared" ca="1" si="57"/>
        <v>CRUZE</v>
      </c>
      <c r="AV114" s="26" t="str">
        <f t="shared" ca="1" si="58"/>
        <v>RIMAC SEGUROS  Y REASEGUROS S.A</v>
      </c>
    </row>
    <row r="115" spans="1:48" x14ac:dyDescent="0.2">
      <c r="A115" s="172">
        <v>43764</v>
      </c>
      <c r="B115" s="173" t="s">
        <v>68</v>
      </c>
      <c r="C115" s="173" t="s">
        <v>102</v>
      </c>
      <c r="D115" s="173" t="s">
        <v>665</v>
      </c>
      <c r="E115" s="173" t="s">
        <v>798</v>
      </c>
      <c r="F115" s="173" t="s">
        <v>906</v>
      </c>
      <c r="G115" s="172">
        <v>43749</v>
      </c>
      <c r="H115" s="173" t="s">
        <v>90</v>
      </c>
      <c r="I115" s="173" t="s">
        <v>91</v>
      </c>
      <c r="J115" s="173" t="s">
        <v>100</v>
      </c>
      <c r="K115" s="173" t="s">
        <v>101</v>
      </c>
      <c r="L115" s="174" t="s">
        <v>71</v>
      </c>
      <c r="M115" s="175" t="s">
        <v>72</v>
      </c>
      <c r="N115" s="173" t="s">
        <v>73</v>
      </c>
      <c r="O115" s="176" t="s">
        <v>72</v>
      </c>
      <c r="P115" s="130" t="s">
        <v>101</v>
      </c>
      <c r="Q115" s="177" t="s">
        <v>93</v>
      </c>
      <c r="R115" s="178">
        <v>3.3499998999999998</v>
      </c>
      <c r="S115" s="179">
        <v>1</v>
      </c>
      <c r="T115" s="179">
        <v>150</v>
      </c>
      <c r="U115" s="179">
        <v>150</v>
      </c>
      <c r="V115" s="179">
        <v>27</v>
      </c>
      <c r="W115" s="179">
        <v>177</v>
      </c>
      <c r="X115" s="27">
        <f t="shared" si="59"/>
        <v>502.49998499999998</v>
      </c>
      <c r="Y115" s="29">
        <f ca="1">VLOOKUP(Z115,CHOOSE({2,1},Fac_Fecha,Fac_OT),2,0)</f>
        <v>43787</v>
      </c>
      <c r="Z115" s="26" t="s">
        <v>1286</v>
      </c>
      <c r="AA115" s="28">
        <f t="shared" ca="1" si="60"/>
        <v>1106.3439672</v>
      </c>
      <c r="AB115" s="28">
        <f ca="1">SUMIF(Salida_OT,Facturacion!Z115,Salida_Suma)</f>
        <v>0</v>
      </c>
      <c r="AC115" s="28">
        <f t="shared" ca="1" si="44"/>
        <v>0</v>
      </c>
      <c r="AD115" s="28">
        <f t="shared" ca="1" si="45"/>
        <v>0</v>
      </c>
      <c r="AE115" s="28">
        <f ca="1">(SUMIF(Asig_OT,Z115,Asig_Hora_Mec))*'Costos x MO'!$B$6*'Costos x MO'!$B$7</f>
        <v>0</v>
      </c>
      <c r="AF115" s="28">
        <f ca="1">SUMIF(Asig_OT,Z115,Asig_Hora_Pla)*'Costos x MO'!$B$4*'Costos x MO'!$B$7</f>
        <v>75.375</v>
      </c>
      <c r="AG115" s="28">
        <f ca="1">SUMIF(Asig_OT,Z115,Asig_paño_Pin)*'Costos x MO'!$B$5*'Costos x MO'!$B$7</f>
        <v>140.70000000000002</v>
      </c>
      <c r="AH115" s="28">
        <f ca="1">(SUMIF(Asig_OT,Z115,Asig_Terc_Pla)*'Costos x MO'!$B$7)+(SUMIF(Asig_OT,Z115,Asig_Terc_Pin)*'Costos x MO'!$B$7)</f>
        <v>0</v>
      </c>
      <c r="AI115" s="28">
        <f t="shared" ca="1" si="46"/>
        <v>216.07500000000002</v>
      </c>
      <c r="AJ115" s="28">
        <f t="shared" ca="1" si="47"/>
        <v>890.26896719999991</v>
      </c>
      <c r="AK115" s="31">
        <f t="shared" ca="1" si="48"/>
        <v>0.80469455575660132</v>
      </c>
      <c r="AL115" s="28" t="str">
        <f t="shared" ca="1" si="49"/>
        <v>RIMAC</v>
      </c>
      <c r="AM115" s="28" t="str">
        <f t="shared" ca="1" si="50"/>
        <v>LEVE</v>
      </c>
      <c r="AN115" s="30" t="str">
        <f t="shared" ca="1" si="51"/>
        <v>November</v>
      </c>
      <c r="AO115" s="42">
        <f t="shared" ca="1" si="52"/>
        <v>2019</v>
      </c>
      <c r="AP115" s="42">
        <f t="shared" ca="1" si="53"/>
        <v>14</v>
      </c>
      <c r="AQ115" s="26">
        <v>1</v>
      </c>
      <c r="AR115" s="30">
        <f t="shared" ca="1" si="54"/>
        <v>43773</v>
      </c>
      <c r="AS115" s="30" t="str">
        <f t="shared" ca="1" si="55"/>
        <v>ATF-661</v>
      </c>
      <c r="AT115" s="26" t="str">
        <f t="shared" ca="1" si="56"/>
        <v>HONDA</v>
      </c>
      <c r="AU115" s="26" t="str">
        <f t="shared" ca="1" si="57"/>
        <v>PILOT</v>
      </c>
      <c r="AV115" s="26" t="str">
        <f t="shared" ca="1" si="58"/>
        <v>RIMAC SEGUROS  Y REASEGUROS S.A</v>
      </c>
    </row>
    <row r="116" spans="1:48" x14ac:dyDescent="0.2">
      <c r="A116" s="172">
        <v>43764</v>
      </c>
      <c r="B116" s="173" t="s">
        <v>68</v>
      </c>
      <c r="C116" s="173" t="s">
        <v>102</v>
      </c>
      <c r="D116" s="173" t="s">
        <v>665</v>
      </c>
      <c r="E116" s="173" t="s">
        <v>798</v>
      </c>
      <c r="F116" s="173" t="s">
        <v>906</v>
      </c>
      <c r="G116" s="172">
        <v>43749</v>
      </c>
      <c r="H116" s="173" t="s">
        <v>90</v>
      </c>
      <c r="I116" s="173" t="s">
        <v>91</v>
      </c>
      <c r="J116" s="173" t="s">
        <v>92</v>
      </c>
      <c r="K116" s="173" t="s">
        <v>113</v>
      </c>
      <c r="L116" s="174" t="s">
        <v>71</v>
      </c>
      <c r="M116" s="175" t="s">
        <v>72</v>
      </c>
      <c r="N116" s="173" t="s">
        <v>73</v>
      </c>
      <c r="O116" s="176" t="s">
        <v>69</v>
      </c>
      <c r="P116" s="130" t="s">
        <v>113</v>
      </c>
      <c r="Q116" s="177" t="s">
        <v>93</v>
      </c>
      <c r="R116" s="178">
        <v>3.3499998999999998</v>
      </c>
      <c r="S116" s="179">
        <v>1</v>
      </c>
      <c r="T116" s="179">
        <v>85</v>
      </c>
      <c r="U116" s="179">
        <v>85</v>
      </c>
      <c r="V116" s="179">
        <v>15.3</v>
      </c>
      <c r="W116" s="179">
        <v>100.3</v>
      </c>
      <c r="X116" s="27">
        <f t="shared" si="59"/>
        <v>284.74999149999996</v>
      </c>
      <c r="Y116" s="29">
        <f ca="1">VLOOKUP(Z116,CHOOSE({2,1},Fac_Fecha,Fac_OT),2,0)</f>
        <v>43787</v>
      </c>
      <c r="Z116" s="26" t="s">
        <v>1284</v>
      </c>
      <c r="AA116" s="28">
        <f t="shared" ca="1" si="60"/>
        <v>1038.8839691999999</v>
      </c>
      <c r="AB116" s="28">
        <f ca="1">SUMIF(Salida_OT,Facturacion!Z116,Salida_Suma)</f>
        <v>0</v>
      </c>
      <c r="AC116" s="28">
        <f t="shared" ca="1" si="44"/>
        <v>0</v>
      </c>
      <c r="AD116" s="28">
        <f t="shared" ca="1" si="45"/>
        <v>0</v>
      </c>
      <c r="AE116" s="28">
        <f ca="1">(SUMIF(Asig_OT,Z116,Asig_Hora_Mec))*'Costos x MO'!$B$6*'Costos x MO'!$B$7</f>
        <v>0</v>
      </c>
      <c r="AF116" s="28">
        <f ca="1">SUMIF(Asig_OT,Z116,Asig_Hora_Pla)*'Costos x MO'!$B$4*'Costos x MO'!$B$7</f>
        <v>135.67500000000001</v>
      </c>
      <c r="AG116" s="28">
        <f ca="1">SUMIF(Asig_OT,Z116,Asig_paño_Pin)*'Costos x MO'!$B$5*'Costos x MO'!$B$7</f>
        <v>140.70000000000002</v>
      </c>
      <c r="AH116" s="28">
        <f ca="1">(SUMIF(Asig_OT,Z116,Asig_Terc_Pla)*'Costos x MO'!$B$7)+(SUMIF(Asig_OT,Z116,Asig_Terc_Pin)*'Costos x MO'!$B$7)</f>
        <v>0</v>
      </c>
      <c r="AI116" s="28">
        <f t="shared" ca="1" si="46"/>
        <v>276.375</v>
      </c>
      <c r="AJ116" s="28">
        <f t="shared" ca="1" si="47"/>
        <v>762.50896919999991</v>
      </c>
      <c r="AK116" s="31">
        <f t="shared" ca="1" si="48"/>
        <v>0.73396932843922447</v>
      </c>
      <c r="AL116" s="28" t="str">
        <f t="shared" ca="1" si="49"/>
        <v>RIMAC</v>
      </c>
      <c r="AM116" s="28" t="str">
        <f t="shared" ca="1" si="50"/>
        <v>MEDIANO</v>
      </c>
      <c r="AN116" s="30" t="str">
        <f t="shared" ca="1" si="51"/>
        <v>November</v>
      </c>
      <c r="AO116" s="42">
        <f t="shared" ca="1" si="52"/>
        <v>2019</v>
      </c>
      <c r="AP116" s="42">
        <f t="shared" ca="1" si="53"/>
        <v>16</v>
      </c>
      <c r="AQ116" s="26">
        <v>1</v>
      </c>
      <c r="AR116" s="30">
        <f t="shared" ca="1" si="54"/>
        <v>43771</v>
      </c>
      <c r="AS116" s="30" t="str">
        <f t="shared" ca="1" si="55"/>
        <v>ATF-661</v>
      </c>
      <c r="AT116" s="26" t="str">
        <f t="shared" ca="1" si="56"/>
        <v>HONDA</v>
      </c>
      <c r="AU116" s="26" t="str">
        <f t="shared" ca="1" si="57"/>
        <v>PILOT</v>
      </c>
      <c r="AV116" s="26" t="str">
        <f t="shared" ca="1" si="58"/>
        <v>RIMAC SEGUROS  Y REASEGUROS S.A</v>
      </c>
    </row>
    <row r="117" spans="1:48" x14ac:dyDescent="0.2">
      <c r="A117" s="172">
        <v>43764</v>
      </c>
      <c r="B117" s="173" t="s">
        <v>68</v>
      </c>
      <c r="C117" s="173" t="s">
        <v>102</v>
      </c>
      <c r="D117" s="173" t="s">
        <v>665</v>
      </c>
      <c r="E117" s="173" t="s">
        <v>798</v>
      </c>
      <c r="F117" s="173" t="s">
        <v>906</v>
      </c>
      <c r="G117" s="172">
        <v>43749</v>
      </c>
      <c r="H117" s="173" t="s">
        <v>90</v>
      </c>
      <c r="I117" s="173" t="s">
        <v>91</v>
      </c>
      <c r="J117" s="173" t="s">
        <v>95</v>
      </c>
      <c r="K117" s="173" t="s">
        <v>96</v>
      </c>
      <c r="L117" s="174" t="s">
        <v>71</v>
      </c>
      <c r="M117" s="175" t="s">
        <v>72</v>
      </c>
      <c r="N117" s="173" t="s">
        <v>73</v>
      </c>
      <c r="O117" s="176" t="s">
        <v>69</v>
      </c>
      <c r="P117" s="130" t="s">
        <v>96</v>
      </c>
      <c r="Q117" s="177" t="s">
        <v>93</v>
      </c>
      <c r="R117" s="178">
        <v>3.3499998999999998</v>
      </c>
      <c r="S117" s="179">
        <v>-1</v>
      </c>
      <c r="T117" s="179">
        <v>200</v>
      </c>
      <c r="U117" s="179">
        <v>-200</v>
      </c>
      <c r="V117" s="179">
        <v>-36</v>
      </c>
      <c r="W117" s="179">
        <v>-236</v>
      </c>
      <c r="X117" s="27">
        <f t="shared" si="59"/>
        <v>-669.99997999999994</v>
      </c>
      <c r="Y117" s="29">
        <f ca="1">VLOOKUP(Z117,CHOOSE({2,1},Fac_Fecha,Fac_OT),2,0)</f>
        <v>43788</v>
      </c>
      <c r="Z117" s="26" t="s">
        <v>1345</v>
      </c>
      <c r="AA117" s="28">
        <f t="shared" ca="1" si="60"/>
        <v>1507.2839999999999</v>
      </c>
      <c r="AB117" s="28">
        <f ca="1">SUMIF(Salida_OT,Facturacion!Z117,Salida_Suma)</f>
        <v>0</v>
      </c>
      <c r="AC117" s="28">
        <f t="shared" ca="1" si="44"/>
        <v>0</v>
      </c>
      <c r="AD117" s="28">
        <f t="shared" ca="1" si="45"/>
        <v>0</v>
      </c>
      <c r="AE117" s="28">
        <f ca="1">(SUMIF(Asig_OT,Z117,Asig_Hora_Mec))*'Costos x MO'!$B$6*'Costos x MO'!$B$7</f>
        <v>0</v>
      </c>
      <c r="AF117" s="28">
        <f ca="1">SUMIF(Asig_OT,Z117,Asig_Hora_Pla)*'Costos x MO'!$B$4*'Costos x MO'!$B$7</f>
        <v>120.60000000000001</v>
      </c>
      <c r="AG117" s="28">
        <f ca="1">SUMIF(Asig_OT,Z117,Asig_paño_Pin)*'Costos x MO'!$B$5*'Costos x MO'!$B$7</f>
        <v>211.05</v>
      </c>
      <c r="AH117" s="28">
        <f ca="1">(SUMIF(Asig_OT,Z117,Asig_Terc_Pla)*'Costos x MO'!$B$7)+(SUMIF(Asig_OT,Z117,Asig_Terc_Pin)*'Costos x MO'!$B$7)</f>
        <v>0</v>
      </c>
      <c r="AI117" s="28">
        <f t="shared" ca="1" si="46"/>
        <v>331.65000000000003</v>
      </c>
      <c r="AJ117" s="28">
        <f t="shared" ca="1" si="47"/>
        <v>1175.6339999999998</v>
      </c>
      <c r="AK117" s="31">
        <f t="shared" ca="1" si="48"/>
        <v>0.77996847309465234</v>
      </c>
      <c r="AL117" s="28" t="str">
        <f t="shared" ca="1" si="49"/>
        <v>RIMAC</v>
      </c>
      <c r="AM117" s="28" t="str">
        <f t="shared" ca="1" si="50"/>
        <v>MEDIANO</v>
      </c>
      <c r="AN117" s="30" t="str">
        <f t="shared" ca="1" si="51"/>
        <v>November</v>
      </c>
      <c r="AO117" s="42">
        <f t="shared" ca="1" si="52"/>
        <v>2019</v>
      </c>
      <c r="AP117" s="42">
        <f t="shared" ca="1" si="53"/>
        <v>24</v>
      </c>
      <c r="AQ117" s="26">
        <v>1</v>
      </c>
      <c r="AR117" s="30">
        <f t="shared" ca="1" si="54"/>
        <v>43764</v>
      </c>
      <c r="AS117" s="30" t="str">
        <f t="shared" ca="1" si="55"/>
        <v>BLO-680</v>
      </c>
      <c r="AT117" s="26" t="str">
        <f t="shared" ca="1" si="56"/>
        <v>TOYOTA</v>
      </c>
      <c r="AU117" s="26" t="str">
        <f t="shared" ca="1" si="57"/>
        <v>RUSH</v>
      </c>
      <c r="AV117" s="26" t="str">
        <f t="shared" ca="1" si="58"/>
        <v>RIMAC SEGUROS  Y REASEGUROS S.A</v>
      </c>
    </row>
    <row r="118" spans="1:48" x14ac:dyDescent="0.2">
      <c r="A118" s="172">
        <v>43764</v>
      </c>
      <c r="B118" s="173" t="s">
        <v>68</v>
      </c>
      <c r="C118" s="173" t="s">
        <v>102</v>
      </c>
      <c r="D118" s="173" t="s">
        <v>665</v>
      </c>
      <c r="E118" s="173" t="s">
        <v>798</v>
      </c>
      <c r="F118" s="173" t="s">
        <v>906</v>
      </c>
      <c r="G118" s="172">
        <v>43749</v>
      </c>
      <c r="H118" s="173" t="s">
        <v>90</v>
      </c>
      <c r="I118" s="173" t="s">
        <v>91</v>
      </c>
      <c r="J118" s="173" t="s">
        <v>104</v>
      </c>
      <c r="K118" s="173" t="s">
        <v>105</v>
      </c>
      <c r="L118" s="174" t="s">
        <v>71</v>
      </c>
      <c r="M118" s="175" t="s">
        <v>72</v>
      </c>
      <c r="N118" s="173" t="s">
        <v>73</v>
      </c>
      <c r="O118" s="176" t="s">
        <v>69</v>
      </c>
      <c r="P118" s="173" t="s">
        <v>105</v>
      </c>
      <c r="Q118" s="177" t="s">
        <v>93</v>
      </c>
      <c r="R118" s="178">
        <v>3.3499998999999998</v>
      </c>
      <c r="S118" s="179">
        <v>1</v>
      </c>
      <c r="T118" s="179">
        <v>0</v>
      </c>
      <c r="U118" s="179">
        <v>0</v>
      </c>
      <c r="V118" s="179">
        <v>0</v>
      </c>
      <c r="W118" s="179">
        <v>0</v>
      </c>
      <c r="X118" s="27">
        <f t="shared" si="59"/>
        <v>0</v>
      </c>
      <c r="Y118" s="29">
        <f ca="1">VLOOKUP(Z118,CHOOSE({2,1},Fac_Fecha,Fac_OT),2,0)</f>
        <v>43789</v>
      </c>
      <c r="Z118" s="107" t="s">
        <v>1307</v>
      </c>
      <c r="AA118" s="28">
        <v>1849.21</v>
      </c>
      <c r="AB118" s="28">
        <f ca="1">SUMIF(Salida_OT,Facturacion!Z118,Salida_Suma)</f>
        <v>0</v>
      </c>
      <c r="AC118" s="28">
        <f t="shared" ca="1" si="44"/>
        <v>0</v>
      </c>
      <c r="AD118" s="28">
        <f t="shared" ca="1" si="45"/>
        <v>0</v>
      </c>
      <c r="AE118" s="28">
        <f ca="1">(SUMIF(Asig_OT,Z118,Asig_Hora_Mec))*'Costos x MO'!$B$6*'Costos x MO'!$B$7</f>
        <v>0</v>
      </c>
      <c r="AF118" s="28">
        <f ca="1">SUMIF(Asig_OT,Z118,Asig_Hora_Pla)*'Costos x MO'!$B$4*'Costos x MO'!$B$7</f>
        <v>135.67500000000001</v>
      </c>
      <c r="AG118" s="28">
        <f ca="1">SUMIF(Asig_OT,Z118,Asig_paño_Pin)*'Costos x MO'!$B$5*'Costos x MO'!$B$7</f>
        <v>140.70000000000002</v>
      </c>
      <c r="AH118" s="28">
        <f ca="1">(SUMIF(Asig_OT,Z118,Asig_Terc_Pla)*'Costos x MO'!$B$7)+(SUMIF(Asig_OT,Z118,Asig_Terc_Pin)*'Costos x MO'!$B$7)</f>
        <v>0</v>
      </c>
      <c r="AI118" s="28">
        <f t="shared" ca="1" si="46"/>
        <v>276.375</v>
      </c>
      <c r="AJ118" s="28">
        <f t="shared" ca="1" si="47"/>
        <v>1572.835</v>
      </c>
      <c r="AK118" s="31">
        <f t="shared" ca="1" si="48"/>
        <v>0.85054428647909108</v>
      </c>
      <c r="AL118" s="28" t="str">
        <f t="shared" ca="1" si="49"/>
        <v>POSITIVA</v>
      </c>
      <c r="AM118" s="28" t="str">
        <f t="shared" ca="1" si="50"/>
        <v>LEVE</v>
      </c>
      <c r="AN118" s="30" t="str">
        <f t="shared" ca="1" si="51"/>
        <v>November</v>
      </c>
      <c r="AO118" s="42">
        <f t="shared" ca="1" si="52"/>
        <v>2019</v>
      </c>
      <c r="AP118" s="42">
        <f t="shared" ca="1" si="53"/>
        <v>15</v>
      </c>
      <c r="AQ118" s="26">
        <v>1</v>
      </c>
      <c r="AR118" s="30">
        <f t="shared" ca="1" si="54"/>
        <v>43774</v>
      </c>
      <c r="AS118" s="30" t="str">
        <f t="shared" ca="1" si="55"/>
        <v>BCP-022</v>
      </c>
      <c r="AT118" s="26" t="str">
        <f t="shared" ca="1" si="56"/>
        <v>HONDA</v>
      </c>
      <c r="AU118" s="26" t="str">
        <f t="shared" ca="1" si="57"/>
        <v>CRV</v>
      </c>
      <c r="AV118" s="26" t="str">
        <f t="shared" ca="1" si="58"/>
        <v>INTEROC SOCIEDAD ANONIMA</v>
      </c>
    </row>
    <row r="119" spans="1:48" x14ac:dyDescent="0.2">
      <c r="A119" s="172">
        <v>43764</v>
      </c>
      <c r="B119" s="173" t="s">
        <v>68</v>
      </c>
      <c r="C119" s="173" t="s">
        <v>102</v>
      </c>
      <c r="D119" s="173" t="s">
        <v>664</v>
      </c>
      <c r="E119" s="173" t="s">
        <v>834</v>
      </c>
      <c r="F119" s="173" t="s">
        <v>953</v>
      </c>
      <c r="G119" s="172">
        <v>43760</v>
      </c>
      <c r="H119" s="173" t="s">
        <v>90</v>
      </c>
      <c r="I119" s="173" t="s">
        <v>91</v>
      </c>
      <c r="J119" s="173" t="s">
        <v>97</v>
      </c>
      <c r="K119" s="173" t="s">
        <v>98</v>
      </c>
      <c r="L119" s="174" t="s">
        <v>71</v>
      </c>
      <c r="M119" s="175" t="s">
        <v>72</v>
      </c>
      <c r="N119" s="173" t="s">
        <v>73</v>
      </c>
      <c r="O119" s="176" t="s">
        <v>99</v>
      </c>
      <c r="P119" s="173" t="s">
        <v>98</v>
      </c>
      <c r="Q119" s="177" t="s">
        <v>93</v>
      </c>
      <c r="R119" s="178">
        <v>3.3499998999999998</v>
      </c>
      <c r="S119" s="179">
        <v>1</v>
      </c>
      <c r="T119" s="179">
        <v>118</v>
      </c>
      <c r="U119" s="179">
        <v>118</v>
      </c>
      <c r="V119" s="179">
        <v>21.240010000000019</v>
      </c>
      <c r="W119" s="179">
        <v>139.24001000000001</v>
      </c>
      <c r="X119" s="27">
        <f t="shared" si="59"/>
        <v>395.29998819999997</v>
      </c>
      <c r="Y119" s="29">
        <f ca="1">VLOOKUP(Z119,CHOOSE({2,1},Fac_Fecha,Fac_OT),2,0)</f>
        <v>43789</v>
      </c>
      <c r="Z119" s="26" t="s">
        <v>1304</v>
      </c>
      <c r="AA119" s="28">
        <f t="shared" ca="1" si="60"/>
        <v>1557.8099501999998</v>
      </c>
      <c r="AB119" s="28">
        <f ca="1">SUMIF(Salida_OT,Facturacion!Z119,Salida_Suma)</f>
        <v>0</v>
      </c>
      <c r="AC119" s="28">
        <f t="shared" ca="1" si="44"/>
        <v>0</v>
      </c>
      <c r="AD119" s="28">
        <f t="shared" ca="1" si="45"/>
        <v>10</v>
      </c>
      <c r="AE119" s="28">
        <f ca="1">(SUMIF(Asig_OT,Z119,Asig_Hora_Mec))*'Costos x MO'!$B$6*'Costos x MO'!$B$7</f>
        <v>40.250250000000001</v>
      </c>
      <c r="AF119" s="28">
        <f ca="1">SUMIF(Asig_OT,Z119,Asig_Hora_Pla)*'Costos x MO'!$B$4*'Costos x MO'!$B$7</f>
        <v>75.375</v>
      </c>
      <c r="AG119" s="28">
        <f ca="1">SUMIF(Asig_OT,Z119,Asig_paño_Pin)*'Costos x MO'!$B$5*'Costos x MO'!$B$7</f>
        <v>298.98750000000001</v>
      </c>
      <c r="AH119" s="28">
        <f ca="1">(SUMIF(Asig_OT,Z119,Asig_Terc_Pla)*'Costos x MO'!$B$7)+(SUMIF(Asig_OT,Z119,Asig_Terc_Pin)*'Costos x MO'!$B$7)</f>
        <v>0</v>
      </c>
      <c r="AI119" s="28">
        <f t="shared" ca="1" si="46"/>
        <v>424.61275000000001</v>
      </c>
      <c r="AJ119" s="28">
        <f t="shared" ca="1" si="47"/>
        <v>1133.1972001999998</v>
      </c>
      <c r="AK119" s="31">
        <f t="shared" ca="1" si="48"/>
        <v>0.72742968425289234</v>
      </c>
      <c r="AL119" s="28" t="str">
        <f t="shared" ca="1" si="49"/>
        <v>RIMAC</v>
      </c>
      <c r="AM119" s="28" t="str">
        <f t="shared" ca="1" si="50"/>
        <v>LEVE</v>
      </c>
      <c r="AN119" s="30" t="str">
        <f t="shared" ca="1" si="51"/>
        <v>November</v>
      </c>
      <c r="AO119" s="42">
        <f t="shared" ca="1" si="52"/>
        <v>2019</v>
      </c>
      <c r="AP119" s="42">
        <f t="shared" ca="1" si="53"/>
        <v>14</v>
      </c>
      <c r="AQ119" s="26">
        <v>1</v>
      </c>
      <c r="AR119" s="30">
        <f t="shared" ca="1" si="54"/>
        <v>43775</v>
      </c>
      <c r="AS119" s="30" t="str">
        <f t="shared" ca="1" si="55"/>
        <v>APU-227</v>
      </c>
      <c r="AT119" s="26" t="str">
        <f t="shared" ca="1" si="56"/>
        <v>HYUNDAI</v>
      </c>
      <c r="AU119" s="26" t="str">
        <f t="shared" ca="1" si="57"/>
        <v>I20</v>
      </c>
      <c r="AV119" s="26" t="str">
        <f t="shared" ca="1" si="58"/>
        <v>RIMAC SEGUROS  Y REASEGUROS S.A</v>
      </c>
    </row>
    <row r="120" spans="1:48" x14ac:dyDescent="0.2">
      <c r="A120" s="172">
        <v>43764</v>
      </c>
      <c r="B120" s="173" t="s">
        <v>68</v>
      </c>
      <c r="C120" s="173" t="s">
        <v>102</v>
      </c>
      <c r="D120" s="173" t="s">
        <v>664</v>
      </c>
      <c r="E120" s="173" t="s">
        <v>834</v>
      </c>
      <c r="F120" s="173" t="s">
        <v>953</v>
      </c>
      <c r="G120" s="172">
        <v>43760</v>
      </c>
      <c r="H120" s="173" t="s">
        <v>90</v>
      </c>
      <c r="I120" s="173" t="s">
        <v>91</v>
      </c>
      <c r="J120" s="173" t="s">
        <v>100</v>
      </c>
      <c r="K120" s="173" t="s">
        <v>101</v>
      </c>
      <c r="L120" s="174" t="s">
        <v>71</v>
      </c>
      <c r="M120" s="175" t="s">
        <v>72</v>
      </c>
      <c r="N120" s="173" t="s">
        <v>73</v>
      </c>
      <c r="O120" s="176" t="s">
        <v>72</v>
      </c>
      <c r="P120" s="130" t="s">
        <v>101</v>
      </c>
      <c r="Q120" s="177" t="s">
        <v>93</v>
      </c>
      <c r="R120" s="178">
        <v>3.3499998999999998</v>
      </c>
      <c r="S120" s="179">
        <v>1</v>
      </c>
      <c r="T120" s="179">
        <v>210</v>
      </c>
      <c r="U120" s="179">
        <v>210</v>
      </c>
      <c r="V120" s="179">
        <v>37.799999999999997</v>
      </c>
      <c r="W120" s="179">
        <v>247.8</v>
      </c>
      <c r="X120" s="27">
        <f t="shared" si="59"/>
        <v>703.49997899999994</v>
      </c>
      <c r="Y120" s="29">
        <f ca="1">VLOOKUP(Z120,CHOOSE({2,1},Fac_Fecha,Fac_OT),2,0)</f>
        <v>43789</v>
      </c>
      <c r="Z120" s="26" t="s">
        <v>1349</v>
      </c>
      <c r="AA120" s="28">
        <f t="shared" ca="1" si="60"/>
        <v>1326.2114501999999</v>
      </c>
      <c r="AB120" s="28">
        <f ca="1">SUMIF(Salida_OT,Facturacion!Z120,Salida_Suma)</f>
        <v>5.4759001999999999</v>
      </c>
      <c r="AC120" s="28">
        <f t="shared" ca="1" si="44"/>
        <v>0</v>
      </c>
      <c r="AD120" s="28">
        <f t="shared" ca="1" si="45"/>
        <v>84.75</v>
      </c>
      <c r="AE120" s="28">
        <f ca="1">(SUMIF(Asig_OT,Z120,Asig_Hora_Mec))*'Costos x MO'!$B$6*'Costos x MO'!$B$7</f>
        <v>0</v>
      </c>
      <c r="AF120" s="28">
        <f ca="1">SUMIF(Asig_OT,Z120,Asig_Hora_Pla)*'Costos x MO'!$B$4*'Costos x MO'!$B$7</f>
        <v>90.45</v>
      </c>
      <c r="AG120" s="28">
        <f ca="1">SUMIF(Asig_OT,Z120,Asig_paño_Pin)*'Costos x MO'!$B$5*'Costos x MO'!$B$7</f>
        <v>193.46250000000001</v>
      </c>
      <c r="AH120" s="28">
        <f ca="1">(SUMIF(Asig_OT,Z120,Asig_Terc_Pla)*'Costos x MO'!$B$7)+(SUMIF(Asig_OT,Z120,Asig_Terc_Pin)*'Costos x MO'!$B$7)</f>
        <v>0</v>
      </c>
      <c r="AI120" s="28">
        <f t="shared" ca="1" si="46"/>
        <v>374.13840019999998</v>
      </c>
      <c r="AJ120" s="28">
        <f t="shared" ca="1" si="47"/>
        <v>952.07304999999997</v>
      </c>
      <c r="AK120" s="31">
        <f t="shared" ca="1" si="48"/>
        <v>0.7178893304355215</v>
      </c>
      <c r="AL120" s="28" t="str">
        <f t="shared" ca="1" si="49"/>
        <v>RIMAC</v>
      </c>
      <c r="AM120" s="28" t="str">
        <f t="shared" ca="1" si="50"/>
        <v>LEVE</v>
      </c>
      <c r="AN120" s="30" t="str">
        <f t="shared" ca="1" si="51"/>
        <v>November</v>
      </c>
      <c r="AO120" s="42">
        <f t="shared" ca="1" si="52"/>
        <v>2019</v>
      </c>
      <c r="AP120" s="42">
        <f t="shared" ca="1" si="53"/>
        <v>9</v>
      </c>
      <c r="AQ120" s="26">
        <v>1</v>
      </c>
      <c r="AR120" s="30">
        <f t="shared" ca="1" si="54"/>
        <v>43780</v>
      </c>
      <c r="AS120" s="30" t="str">
        <f t="shared" ca="1" si="55"/>
        <v>BBE-558</v>
      </c>
      <c r="AT120" s="26" t="str">
        <f t="shared" ca="1" si="56"/>
        <v>NISSAN</v>
      </c>
      <c r="AU120" s="26" t="str">
        <f t="shared" ca="1" si="57"/>
        <v>VERSA</v>
      </c>
      <c r="AV120" s="26" t="str">
        <f t="shared" ca="1" si="58"/>
        <v>RIMAC SEGUROS  Y REASEGUROS S.A</v>
      </c>
    </row>
    <row r="121" spans="1:48" x14ac:dyDescent="0.2">
      <c r="A121" s="172">
        <v>43764</v>
      </c>
      <c r="B121" s="173" t="s">
        <v>68</v>
      </c>
      <c r="C121" s="173" t="s">
        <v>102</v>
      </c>
      <c r="D121" s="173" t="s">
        <v>664</v>
      </c>
      <c r="E121" s="173" t="s">
        <v>834</v>
      </c>
      <c r="F121" s="173" t="s">
        <v>953</v>
      </c>
      <c r="G121" s="172">
        <v>43760</v>
      </c>
      <c r="H121" s="173" t="s">
        <v>90</v>
      </c>
      <c r="I121" s="173" t="s">
        <v>91</v>
      </c>
      <c r="J121" s="173" t="s">
        <v>92</v>
      </c>
      <c r="K121" s="173" t="s">
        <v>113</v>
      </c>
      <c r="L121" s="174" t="s">
        <v>71</v>
      </c>
      <c r="M121" s="175" t="s">
        <v>72</v>
      </c>
      <c r="N121" s="173" t="s">
        <v>73</v>
      </c>
      <c r="O121" s="176" t="s">
        <v>69</v>
      </c>
      <c r="P121" s="130" t="s">
        <v>113</v>
      </c>
      <c r="Q121" s="177" t="s">
        <v>93</v>
      </c>
      <c r="R121" s="178">
        <v>3.3499998999999998</v>
      </c>
      <c r="S121" s="179">
        <v>1</v>
      </c>
      <c r="T121" s="179">
        <v>20</v>
      </c>
      <c r="U121" s="179">
        <v>20</v>
      </c>
      <c r="V121" s="179">
        <v>3.6</v>
      </c>
      <c r="W121" s="179">
        <v>23.6</v>
      </c>
      <c r="X121" s="27">
        <f t="shared" si="59"/>
        <v>66.999997999999991</v>
      </c>
      <c r="Y121" s="29">
        <f ca="1">VLOOKUP(Z121,CHOOSE({2,1},Fac_Fecha,Fac_OT),2,0)</f>
        <v>43789</v>
      </c>
      <c r="Z121" s="26" t="s">
        <v>1258</v>
      </c>
      <c r="AA121" s="28">
        <f t="shared" ca="1" si="60"/>
        <v>3041.2094999999999</v>
      </c>
      <c r="AB121" s="28">
        <f ca="1">SUMIF(Salida_OT,Facturacion!Z121,Salida_Suma)</f>
        <v>0</v>
      </c>
      <c r="AC121" s="28">
        <f t="shared" ca="1" si="44"/>
        <v>0</v>
      </c>
      <c r="AD121" s="28">
        <f t="shared" ca="1" si="45"/>
        <v>0</v>
      </c>
      <c r="AE121" s="28">
        <f ca="1">(SUMIF(Asig_OT,Z121,Asig_Hora_Mec))*'Costos x MO'!$B$6*'Costos x MO'!$B$7</f>
        <v>0</v>
      </c>
      <c r="AF121" s="28">
        <f ca="1">SUMIF(Asig_OT,Z121,Asig_Hora_Pla)*'Costos x MO'!$B$4*'Costos x MO'!$B$7</f>
        <v>422.1</v>
      </c>
      <c r="AG121" s="28">
        <f ca="1">SUMIF(Asig_OT,Z121,Asig_paño_Pin)*'Costos x MO'!$B$5*'Costos x MO'!$B$7</f>
        <v>386.92500000000001</v>
      </c>
      <c r="AH121" s="28">
        <f ca="1">(SUMIF(Asig_OT,Z121,Asig_Terc_Pla)*'Costos x MO'!$B$7)+(SUMIF(Asig_OT,Z121,Asig_Terc_Pin)*'Costos x MO'!$B$7)</f>
        <v>0</v>
      </c>
      <c r="AI121" s="28">
        <f t="shared" ca="1" si="46"/>
        <v>809.02500000000009</v>
      </c>
      <c r="AJ121" s="28">
        <f t="shared" ca="1" si="47"/>
        <v>2232.1844999999998</v>
      </c>
      <c r="AK121" s="31">
        <f t="shared" ca="1" si="48"/>
        <v>0.73397919479075668</v>
      </c>
      <c r="AL121" s="28" t="str">
        <f t="shared" ca="1" si="49"/>
        <v>RIMAC</v>
      </c>
      <c r="AM121" s="28" t="str">
        <f t="shared" ca="1" si="50"/>
        <v>GRAVE</v>
      </c>
      <c r="AN121" s="30" t="str">
        <f t="shared" ca="1" si="51"/>
        <v>November</v>
      </c>
      <c r="AO121" s="42">
        <f t="shared" ca="1" si="52"/>
        <v>2019</v>
      </c>
      <c r="AP121" s="42">
        <f t="shared" ca="1" si="53"/>
        <v>29</v>
      </c>
      <c r="AQ121" s="26">
        <v>1</v>
      </c>
      <c r="AR121" s="30">
        <f t="shared" ca="1" si="54"/>
        <v>43760</v>
      </c>
      <c r="AS121" s="30" t="str">
        <f t="shared" ca="1" si="55"/>
        <v>AXJ-309</v>
      </c>
      <c r="AT121" s="26" t="str">
        <f t="shared" ca="1" si="56"/>
        <v>NISSAN</v>
      </c>
      <c r="AU121" s="26" t="str">
        <f t="shared" ca="1" si="57"/>
        <v>VERSA</v>
      </c>
      <c r="AV121" s="26" t="str">
        <f t="shared" ca="1" si="58"/>
        <v>RIMAC SEGUROS  Y REASEGUROS S.A</v>
      </c>
    </row>
    <row r="122" spans="1:48" x14ac:dyDescent="0.2">
      <c r="A122" s="172">
        <v>43764</v>
      </c>
      <c r="B122" s="173" t="s">
        <v>68</v>
      </c>
      <c r="C122" s="173" t="s">
        <v>102</v>
      </c>
      <c r="D122" s="173" t="s">
        <v>664</v>
      </c>
      <c r="E122" s="173" t="s">
        <v>834</v>
      </c>
      <c r="F122" s="173" t="s">
        <v>953</v>
      </c>
      <c r="G122" s="172">
        <v>43760</v>
      </c>
      <c r="H122" s="173" t="s">
        <v>90</v>
      </c>
      <c r="I122" s="173" t="s">
        <v>91</v>
      </c>
      <c r="J122" s="173" t="s">
        <v>132</v>
      </c>
      <c r="K122" s="173" t="s">
        <v>108</v>
      </c>
      <c r="L122" s="174" t="s">
        <v>71</v>
      </c>
      <c r="M122" s="175" t="s">
        <v>72</v>
      </c>
      <c r="N122" s="173" t="s">
        <v>73</v>
      </c>
      <c r="O122" s="176" t="s">
        <v>69</v>
      </c>
      <c r="P122" s="173" t="s">
        <v>98</v>
      </c>
      <c r="Q122" s="177" t="s">
        <v>93</v>
      </c>
      <c r="R122" s="178">
        <v>3.3499998999999998</v>
      </c>
      <c r="S122" s="179">
        <v>0.5</v>
      </c>
      <c r="T122" s="179">
        <v>59</v>
      </c>
      <c r="U122" s="179">
        <v>29.5</v>
      </c>
      <c r="V122" s="179">
        <v>5.3100014999999985</v>
      </c>
      <c r="W122" s="179">
        <v>34.810001499999998</v>
      </c>
      <c r="X122" s="27">
        <f t="shared" si="59"/>
        <v>98.824997049999993</v>
      </c>
      <c r="Y122" s="29">
        <f ca="1">VLOOKUP(Z122,CHOOSE({2,1},Fac_Fecha,Fac_OT),2,0)</f>
        <v>43789</v>
      </c>
      <c r="Z122" s="26" t="s">
        <v>1343</v>
      </c>
      <c r="AA122" s="28">
        <f t="shared" ca="1" si="60"/>
        <v>804.67799999999988</v>
      </c>
      <c r="AB122" s="28">
        <f ca="1">SUMIF(Salida_OT,Facturacion!Z122,Salida_Suma)</f>
        <v>0</v>
      </c>
      <c r="AC122" s="28">
        <f t="shared" ca="1" si="44"/>
        <v>0</v>
      </c>
      <c r="AD122" s="28">
        <f t="shared" ca="1" si="45"/>
        <v>0</v>
      </c>
      <c r="AE122" s="28">
        <f ca="1">(SUMIF(Asig_OT,Z122,Asig_Hora_Mec))*'Costos x MO'!$B$6*'Costos x MO'!$B$7</f>
        <v>0</v>
      </c>
      <c r="AF122" s="28">
        <f ca="1">SUMIF(Asig_OT,Z122,Asig_Hora_Pla)*'Costos x MO'!$B$4*'Costos x MO'!$B$7</f>
        <v>45.225000000000001</v>
      </c>
      <c r="AG122" s="28">
        <f ca="1">SUMIF(Asig_OT,Z122,Asig_paño_Pin)*'Costos x MO'!$B$5*'Costos x MO'!$B$7</f>
        <v>140.70000000000002</v>
      </c>
      <c r="AH122" s="28">
        <f ca="1">(SUMIF(Asig_OT,Z122,Asig_Terc_Pla)*'Costos x MO'!$B$7)+(SUMIF(Asig_OT,Z122,Asig_Terc_Pin)*'Costos x MO'!$B$7)</f>
        <v>0</v>
      </c>
      <c r="AI122" s="28">
        <f t="shared" ca="1" si="46"/>
        <v>185.92500000000001</v>
      </c>
      <c r="AJ122" s="28">
        <f t="shared" ca="1" si="47"/>
        <v>618.75299999999993</v>
      </c>
      <c r="AK122" s="31">
        <f t="shared" ca="1" si="48"/>
        <v>0.76894484501875282</v>
      </c>
      <c r="AL122" s="28" t="str">
        <f t="shared" ca="1" si="49"/>
        <v>RIMAC</v>
      </c>
      <c r="AM122" s="28" t="str">
        <f t="shared" ca="1" si="50"/>
        <v>LEVE</v>
      </c>
      <c r="AN122" s="30" t="str">
        <f t="shared" ca="1" si="51"/>
        <v>November</v>
      </c>
      <c r="AO122" s="42">
        <f t="shared" ca="1" si="52"/>
        <v>2019</v>
      </c>
      <c r="AP122" s="42">
        <f t="shared" ca="1" si="53"/>
        <v>9</v>
      </c>
      <c r="AQ122" s="26">
        <v>1</v>
      </c>
      <c r="AR122" s="30">
        <f t="shared" ca="1" si="54"/>
        <v>43780</v>
      </c>
      <c r="AS122" s="30" t="str">
        <f t="shared" ca="1" si="55"/>
        <v>C3K-443</v>
      </c>
      <c r="AT122" s="26" t="str">
        <f t="shared" ca="1" si="56"/>
        <v>KIA</v>
      </c>
      <c r="AU122" s="26" t="str">
        <f t="shared" ca="1" si="57"/>
        <v>RIO</v>
      </c>
      <c r="AV122" s="26" t="str">
        <f t="shared" ca="1" si="58"/>
        <v>RIMAC SEGUROS  Y REASEGUROS S.A</v>
      </c>
    </row>
    <row r="123" spans="1:48" x14ac:dyDescent="0.2">
      <c r="A123" s="172">
        <v>43764</v>
      </c>
      <c r="B123" s="173" t="s">
        <v>68</v>
      </c>
      <c r="C123" s="173" t="s">
        <v>102</v>
      </c>
      <c r="D123" s="173" t="s">
        <v>664</v>
      </c>
      <c r="E123" s="173" t="s">
        <v>834</v>
      </c>
      <c r="F123" s="173" t="s">
        <v>953</v>
      </c>
      <c r="G123" s="172">
        <v>43760</v>
      </c>
      <c r="H123" s="173" t="s">
        <v>90</v>
      </c>
      <c r="I123" s="173" t="s">
        <v>91</v>
      </c>
      <c r="J123" s="173" t="s">
        <v>139</v>
      </c>
      <c r="K123" s="173" t="s">
        <v>109</v>
      </c>
      <c r="L123" s="174" t="s">
        <v>71</v>
      </c>
      <c r="M123" s="175" t="s">
        <v>72</v>
      </c>
      <c r="N123" s="173" t="s">
        <v>73</v>
      </c>
      <c r="O123" s="176" t="s">
        <v>69</v>
      </c>
      <c r="P123" s="130" t="s">
        <v>101</v>
      </c>
      <c r="Q123" s="177" t="s">
        <v>93</v>
      </c>
      <c r="R123" s="178">
        <v>3.3499998999999998</v>
      </c>
      <c r="S123" s="179">
        <v>3</v>
      </c>
      <c r="T123" s="179">
        <v>15</v>
      </c>
      <c r="U123" s="179">
        <v>45</v>
      </c>
      <c r="V123" s="179">
        <v>8.100003000000001</v>
      </c>
      <c r="W123" s="179">
        <v>53.100002999999994</v>
      </c>
      <c r="X123" s="27">
        <f t="shared" si="59"/>
        <v>150.74999549999998</v>
      </c>
      <c r="Y123" s="29">
        <f ca="1">VLOOKUP(Z123,CHOOSE({2,1},Fac_Fecha,Fac_OT),2,0)</f>
        <v>43790</v>
      </c>
      <c r="Z123" s="26" t="s">
        <v>1800</v>
      </c>
      <c r="AA123" s="28">
        <f t="shared" ca="1" si="60"/>
        <v>508.05001499999997</v>
      </c>
      <c r="AB123" s="28">
        <f ca="1">SUMIF(Salida_OT,Facturacion!Z123,Salida_Suma)</f>
        <v>0</v>
      </c>
      <c r="AC123" s="28">
        <f t="shared" ca="1" si="44"/>
        <v>0</v>
      </c>
      <c r="AD123" s="28">
        <f t="shared" ca="1" si="45"/>
        <v>0</v>
      </c>
      <c r="AE123" s="28">
        <f ca="1">(SUMIF(Asig_OT,Z123,Asig_Hora_Mec))*'Costos x MO'!$B$6*'Costos x MO'!$B$7</f>
        <v>0</v>
      </c>
      <c r="AF123" s="28">
        <f ca="1">SUMIF(Asig_OT,Z123,Asig_Hora_Pla)*'Costos x MO'!$B$4*'Costos x MO'!$B$7</f>
        <v>0</v>
      </c>
      <c r="AG123" s="28">
        <f ca="1">SUMIF(Asig_OT,Z123,Asig_paño_Pin)*'Costos x MO'!$B$5*'Costos x MO'!$B$7</f>
        <v>0</v>
      </c>
      <c r="AH123" s="28">
        <f ca="1">(SUMIF(Asig_OT,Z123,Asig_Terc_Pla)*'Costos x MO'!$B$7)+(SUMIF(Asig_OT,Z123,Asig_Terc_Pin)*'Costos x MO'!$B$7)</f>
        <v>0</v>
      </c>
      <c r="AI123" s="28">
        <f t="shared" ca="1" si="46"/>
        <v>0</v>
      </c>
      <c r="AJ123" s="28">
        <f t="shared" ca="1" si="47"/>
        <v>508.05001499999997</v>
      </c>
      <c r="AK123" s="31">
        <f t="shared" ca="1" si="48"/>
        <v>1</v>
      </c>
      <c r="AL123" s="28" t="s">
        <v>123</v>
      </c>
      <c r="AM123" s="28" t="s">
        <v>124</v>
      </c>
      <c r="AN123" s="30" t="str">
        <f t="shared" ca="1" si="51"/>
        <v>November</v>
      </c>
      <c r="AO123" s="42">
        <f t="shared" ca="1" si="52"/>
        <v>2019</v>
      </c>
      <c r="AP123" s="42">
        <f t="shared" ca="1" si="53"/>
        <v>29</v>
      </c>
      <c r="AQ123" s="26">
        <v>1</v>
      </c>
      <c r="AR123" s="30">
        <f t="shared" ca="1" si="54"/>
        <v>43761</v>
      </c>
      <c r="AS123" s="30" t="str">
        <f ca="1">IFERROR(VLOOKUP(Z123,Matriz2,2,0),"S/PLACA")</f>
        <v>BFC146</v>
      </c>
      <c r="AT123" s="26" t="s">
        <v>187</v>
      </c>
      <c r="AU123" s="26" t="s">
        <v>1891</v>
      </c>
      <c r="AV123" s="26" t="str">
        <f t="shared" ca="1" si="58"/>
        <v>RENTAEQUIPOS LEASING PERU S.A.</v>
      </c>
    </row>
    <row r="124" spans="1:48" x14ac:dyDescent="0.2">
      <c r="A124" s="172">
        <v>43764</v>
      </c>
      <c r="B124" s="173" t="s">
        <v>68</v>
      </c>
      <c r="C124" s="173" t="s">
        <v>102</v>
      </c>
      <c r="D124" s="173" t="s">
        <v>664</v>
      </c>
      <c r="E124" s="173" t="s">
        <v>834</v>
      </c>
      <c r="F124" s="173" t="s">
        <v>953</v>
      </c>
      <c r="G124" s="172">
        <v>43760</v>
      </c>
      <c r="H124" s="173" t="s">
        <v>90</v>
      </c>
      <c r="I124" s="173" t="s">
        <v>91</v>
      </c>
      <c r="J124" s="173" t="s">
        <v>95</v>
      </c>
      <c r="K124" s="173" t="s">
        <v>96</v>
      </c>
      <c r="L124" s="174" t="s">
        <v>71</v>
      </c>
      <c r="M124" s="175" t="s">
        <v>72</v>
      </c>
      <c r="N124" s="173" t="s">
        <v>73</v>
      </c>
      <c r="O124" s="176" t="s">
        <v>69</v>
      </c>
      <c r="P124" s="130" t="s">
        <v>96</v>
      </c>
      <c r="Q124" s="177" t="s">
        <v>93</v>
      </c>
      <c r="R124" s="178">
        <v>3.3499998999999998</v>
      </c>
      <c r="S124" s="179">
        <v>-1</v>
      </c>
      <c r="T124" s="179">
        <v>100</v>
      </c>
      <c r="U124" s="179">
        <v>-100</v>
      </c>
      <c r="V124" s="179">
        <v>-18</v>
      </c>
      <c r="W124" s="179">
        <v>-118</v>
      </c>
      <c r="X124" s="27">
        <f t="shared" si="59"/>
        <v>-334.99998999999997</v>
      </c>
      <c r="Y124" s="29">
        <f ca="1">VLOOKUP(Z124,CHOOSE({2,1},Fac_Fecha,Fac_OT),2,0)</f>
        <v>43790</v>
      </c>
      <c r="Z124" s="26" t="s">
        <v>1456</v>
      </c>
      <c r="AA124" s="28">
        <f t="shared" ca="1" si="60"/>
        <v>101.61000299999999</v>
      </c>
      <c r="AB124" s="28">
        <f ca="1">SUMIF(Salida_OT,Facturacion!Z124,Salida_Suma)</f>
        <v>0</v>
      </c>
      <c r="AC124" s="28">
        <f t="shared" ca="1" si="44"/>
        <v>0</v>
      </c>
      <c r="AD124" s="28">
        <f t="shared" ca="1" si="45"/>
        <v>20</v>
      </c>
      <c r="AE124" s="28">
        <f ca="1">(SUMIF(Asig_OT,Z124,Asig_Hora_Mec))*'Costos x MO'!$B$6*'Costos x MO'!$B$7</f>
        <v>0</v>
      </c>
      <c r="AF124" s="28">
        <f ca="1">SUMIF(Asig_OT,Z124,Asig_Hora_Pla)*'Costos x MO'!$B$4*'Costos x MO'!$B$7</f>
        <v>0</v>
      </c>
      <c r="AG124" s="28">
        <f ca="1">SUMIF(Asig_OT,Z124,Asig_paño_Pin)*'Costos x MO'!$B$5*'Costos x MO'!$B$7</f>
        <v>0</v>
      </c>
      <c r="AH124" s="28">
        <f ca="1">(SUMIF(Asig_OT,Z124,Asig_Terc_Pla)*'Costos x MO'!$B$7)+(SUMIF(Asig_OT,Z124,Asig_Terc_Pin)*'Costos x MO'!$B$7)</f>
        <v>0</v>
      </c>
      <c r="AI124" s="28">
        <f t="shared" ca="1" si="46"/>
        <v>20</v>
      </c>
      <c r="AJ124" s="28">
        <f t="shared" ca="1" si="47"/>
        <v>81.610002999999992</v>
      </c>
      <c r="AK124" s="31">
        <f t="shared" ca="1" si="48"/>
        <v>0.80316898524252578</v>
      </c>
      <c r="AL124" s="28" t="s">
        <v>121</v>
      </c>
      <c r="AM124" s="28" t="s">
        <v>447</v>
      </c>
      <c r="AN124" s="30" t="str">
        <f t="shared" ca="1" si="51"/>
        <v>November</v>
      </c>
      <c r="AO124" s="42">
        <f t="shared" ca="1" si="52"/>
        <v>2019</v>
      </c>
      <c r="AP124" s="42">
        <f t="shared" ca="1" si="53"/>
        <v>0</v>
      </c>
      <c r="AQ124" s="26">
        <v>1</v>
      </c>
      <c r="AR124" s="30">
        <f t="shared" ca="1" si="54"/>
        <v>43790</v>
      </c>
      <c r="AS124" s="30" t="str">
        <f ca="1">IFERROR(VLOOKUP(Z124,Matriz2,2,0),"S/PLACA")</f>
        <v>BFC146</v>
      </c>
      <c r="AT124" s="26" t="s">
        <v>187</v>
      </c>
      <c r="AU124" s="26" t="s">
        <v>1891</v>
      </c>
      <c r="AV124" s="26" t="str">
        <f t="shared" ca="1" si="58"/>
        <v>RENTAEQUIPOS LEASING PERU S.A.</v>
      </c>
    </row>
    <row r="125" spans="1:48" x14ac:dyDescent="0.2">
      <c r="A125" s="172">
        <v>43764</v>
      </c>
      <c r="B125" s="173" t="s">
        <v>68</v>
      </c>
      <c r="C125" s="173" t="s">
        <v>102</v>
      </c>
      <c r="D125" s="173" t="s">
        <v>664</v>
      </c>
      <c r="E125" s="173" t="s">
        <v>834</v>
      </c>
      <c r="F125" s="173" t="s">
        <v>953</v>
      </c>
      <c r="G125" s="172">
        <v>43760</v>
      </c>
      <c r="H125" s="173" t="s">
        <v>90</v>
      </c>
      <c r="I125" s="173" t="s">
        <v>91</v>
      </c>
      <c r="J125" s="173" t="s">
        <v>104</v>
      </c>
      <c r="K125" s="173" t="s">
        <v>105</v>
      </c>
      <c r="L125" s="174" t="s">
        <v>71</v>
      </c>
      <c r="M125" s="175" t="s">
        <v>72</v>
      </c>
      <c r="N125" s="173" t="s">
        <v>73</v>
      </c>
      <c r="O125" s="176" t="s">
        <v>69</v>
      </c>
      <c r="P125" s="173" t="s">
        <v>105</v>
      </c>
      <c r="Q125" s="177" t="s">
        <v>93</v>
      </c>
      <c r="R125" s="178">
        <v>3.3499998999999998</v>
      </c>
      <c r="S125" s="179">
        <v>1</v>
      </c>
      <c r="T125" s="179">
        <v>0</v>
      </c>
      <c r="U125" s="179">
        <v>0</v>
      </c>
      <c r="V125" s="179">
        <v>0</v>
      </c>
      <c r="W125" s="179">
        <v>0</v>
      </c>
      <c r="X125" s="27">
        <f t="shared" si="59"/>
        <v>0</v>
      </c>
      <c r="Y125" s="29">
        <f ca="1">VLOOKUP(Z125,CHOOSE({2,1},Fac_Fecha,Fac_OT),2,0)</f>
        <v>43791</v>
      </c>
      <c r="Z125" s="26" t="s">
        <v>1358</v>
      </c>
      <c r="AA125" s="28">
        <f t="shared" ca="1" si="60"/>
        <v>468.13001385000007</v>
      </c>
      <c r="AB125" s="28">
        <f ca="1">SUMIF(Salida_OT,Facturacion!Z125,Salida_Suma)</f>
        <v>0</v>
      </c>
      <c r="AC125" s="28">
        <f t="shared" ca="1" si="44"/>
        <v>0</v>
      </c>
      <c r="AD125" s="28">
        <f t="shared" ca="1" si="45"/>
        <v>0</v>
      </c>
      <c r="AE125" s="28">
        <f ca="1">(SUMIF(Asig_OT,Z125,Asig_Hora_Mec))*'Costos x MO'!$B$6*'Costos x MO'!$B$7</f>
        <v>452.25</v>
      </c>
      <c r="AF125" s="28">
        <f ca="1">SUMIF(Asig_OT,Z125,Asig_Hora_Pla)*'Costos x MO'!$B$4*'Costos x MO'!$B$7</f>
        <v>15.075000000000001</v>
      </c>
      <c r="AG125" s="28">
        <f ca="1">SUMIF(Asig_OT,Z125,Asig_paño_Pin)*'Costos x MO'!$B$5*'Costos x MO'!$B$7</f>
        <v>70.350000000000009</v>
      </c>
      <c r="AH125" s="28">
        <f ca="1">(SUMIF(Asig_OT,Z125,Asig_Terc_Pla)*'Costos x MO'!$B$7)+(SUMIF(Asig_OT,Z125,Asig_Terc_Pin)*'Costos x MO'!$B$7)</f>
        <v>0</v>
      </c>
      <c r="AI125" s="28">
        <f t="shared" ca="1" si="46"/>
        <v>537.67499999999995</v>
      </c>
      <c r="AJ125" s="28">
        <f t="shared" ca="1" si="47"/>
        <v>-69.544986149999886</v>
      </c>
      <c r="AK125" s="31">
        <f t="shared" ca="1" si="48"/>
        <v>-0.14855912693579981</v>
      </c>
      <c r="AL125" s="28" t="str">
        <f t="shared" ca="1" si="49"/>
        <v>RIMAC</v>
      </c>
      <c r="AM125" s="28" t="str">
        <f t="shared" ca="1" si="50"/>
        <v>LEVE</v>
      </c>
      <c r="AN125" s="30" t="str">
        <f t="shared" ca="1" si="51"/>
        <v>November</v>
      </c>
      <c r="AO125" s="42">
        <f t="shared" ca="1" si="52"/>
        <v>2019</v>
      </c>
      <c r="AP125" s="42">
        <f t="shared" ca="1" si="53"/>
        <v>36</v>
      </c>
      <c r="AQ125" s="26">
        <v>1</v>
      </c>
      <c r="AR125" s="30">
        <f t="shared" ca="1" si="54"/>
        <v>43755</v>
      </c>
      <c r="AS125" s="30" t="str">
        <f t="shared" ca="1" si="55"/>
        <v>F5C-188</v>
      </c>
      <c r="AT125" s="26" t="str">
        <f t="shared" ca="1" si="56"/>
        <v>AUDI</v>
      </c>
      <c r="AU125" s="26" t="str">
        <f t="shared" ca="1" si="57"/>
        <v>Q5</v>
      </c>
      <c r="AV125" s="26" t="str">
        <f t="shared" ca="1" si="58"/>
        <v>RIMAC SEGUROS  Y REASEGUROS S.A</v>
      </c>
    </row>
    <row r="126" spans="1:48" x14ac:dyDescent="0.2">
      <c r="A126" s="172">
        <v>43766</v>
      </c>
      <c r="B126" s="173" t="s">
        <v>68</v>
      </c>
      <c r="C126" s="173" t="s">
        <v>102</v>
      </c>
      <c r="D126" s="173" t="s">
        <v>663</v>
      </c>
      <c r="E126" s="173" t="s">
        <v>785</v>
      </c>
      <c r="F126" s="173" t="s">
        <v>933</v>
      </c>
      <c r="G126" s="172">
        <v>43745</v>
      </c>
      <c r="H126" s="173" t="s">
        <v>1145</v>
      </c>
      <c r="I126" s="173" t="s">
        <v>1146</v>
      </c>
      <c r="J126" s="173" t="s">
        <v>97</v>
      </c>
      <c r="K126" s="173" t="s">
        <v>98</v>
      </c>
      <c r="L126" s="174" t="s">
        <v>71</v>
      </c>
      <c r="M126" s="175" t="s">
        <v>72</v>
      </c>
      <c r="N126" s="173" t="s">
        <v>73</v>
      </c>
      <c r="O126" s="176" t="s">
        <v>99</v>
      </c>
      <c r="P126" s="173" t="s">
        <v>98</v>
      </c>
      <c r="Q126" s="177" t="s">
        <v>74</v>
      </c>
      <c r="R126" s="178">
        <v>3.3510000999999998</v>
      </c>
      <c r="S126" s="179">
        <v>1</v>
      </c>
      <c r="T126" s="179">
        <v>1856.2542000000001</v>
      </c>
      <c r="U126" s="179">
        <v>1856.2542000000001</v>
      </c>
      <c r="V126" s="179">
        <v>334.12569999999977</v>
      </c>
      <c r="W126" s="179">
        <v>2190.3798999999999</v>
      </c>
      <c r="X126" s="27">
        <f t="shared" si="59"/>
        <v>1856.2542000000001</v>
      </c>
      <c r="Y126" s="29">
        <f ca="1">VLOOKUP(Z126,CHOOSE({2,1},Fac_Fecha,Fac_OT),2,0)</f>
        <v>43791</v>
      </c>
      <c r="Z126" s="26" t="s">
        <v>1348</v>
      </c>
      <c r="AA126" s="28">
        <f t="shared" ca="1" si="60"/>
        <v>2124</v>
      </c>
      <c r="AB126" s="28">
        <f ca="1">SUMIF(Salida_OT,Facturacion!Z126,Salida_Suma)</f>
        <v>771.18348900000001</v>
      </c>
      <c r="AC126" s="28">
        <f t="shared" ca="1" si="44"/>
        <v>59.32</v>
      </c>
      <c r="AD126" s="28">
        <f t="shared" ca="1" si="45"/>
        <v>73.900000000000006</v>
      </c>
      <c r="AE126" s="28">
        <f ca="1">(SUMIF(Asig_OT,Z126,Asig_Hora_Mec))*'Costos x MO'!$B$6*'Costos x MO'!$B$7</f>
        <v>0</v>
      </c>
      <c r="AF126" s="28">
        <f ca="1">SUMIF(Asig_OT,Z126,Asig_Hora_Pla)*'Costos x MO'!$B$4*'Costos x MO'!$B$7</f>
        <v>0</v>
      </c>
      <c r="AG126" s="28">
        <f ca="1">SUMIF(Asig_OT,Z126,Asig_paño_Pin)*'Costos x MO'!$B$5*'Costos x MO'!$B$7</f>
        <v>0</v>
      </c>
      <c r="AH126" s="28">
        <f ca="1">(SUMIF(Asig_OT,Z126,Asig_Terc_Pla)*'Costos x MO'!$B$7)+(SUMIF(Asig_OT,Z126,Asig_Terc_Pin)*'Costos x MO'!$B$7)</f>
        <v>0</v>
      </c>
      <c r="AI126" s="28">
        <f t="shared" ca="1" si="46"/>
        <v>904.40348900000004</v>
      </c>
      <c r="AJ126" s="28">
        <f t="shared" ca="1" si="47"/>
        <v>1219.596511</v>
      </c>
      <c r="AK126" s="31">
        <f t="shared" ca="1" si="48"/>
        <v>0.5741979806967985</v>
      </c>
      <c r="AL126" s="28" t="str">
        <f t="shared" ca="1" si="49"/>
        <v>ACCESO</v>
      </c>
      <c r="AM126" s="28" t="str">
        <f t="shared" ca="1" si="50"/>
        <v>MEDIANO</v>
      </c>
      <c r="AN126" s="30" t="str">
        <f t="shared" ca="1" si="51"/>
        <v>November</v>
      </c>
      <c r="AO126" s="42">
        <f t="shared" ca="1" si="52"/>
        <v>2019</v>
      </c>
      <c r="AP126" s="42">
        <f t="shared" ca="1" si="53"/>
        <v>1</v>
      </c>
      <c r="AQ126" s="26">
        <v>1</v>
      </c>
      <c r="AR126" s="30">
        <f t="shared" ca="1" si="54"/>
        <v>43790</v>
      </c>
      <c r="AS126" s="30" t="str">
        <f t="shared" ca="1" si="55"/>
        <v>F2I-424</v>
      </c>
      <c r="AT126" s="26" t="str">
        <f t="shared" ca="1" si="56"/>
        <v>BYD</v>
      </c>
      <c r="AU126" s="26" t="str">
        <f t="shared" ca="1" si="57"/>
        <v>F3</v>
      </c>
      <c r="AV126" s="26" t="str">
        <f t="shared" ca="1" si="58"/>
        <v>EDPYME ACCESO CREDITICIO SOCIEDAD ANONIMA</v>
      </c>
    </row>
    <row r="127" spans="1:48" x14ac:dyDescent="0.2">
      <c r="A127" s="172">
        <v>43766</v>
      </c>
      <c r="B127" s="173" t="s">
        <v>68</v>
      </c>
      <c r="C127" s="173" t="s">
        <v>102</v>
      </c>
      <c r="D127" s="173" t="s">
        <v>663</v>
      </c>
      <c r="E127" s="173" t="s">
        <v>785</v>
      </c>
      <c r="F127" s="173" t="s">
        <v>933</v>
      </c>
      <c r="G127" s="172">
        <v>43745</v>
      </c>
      <c r="H127" s="173" t="s">
        <v>1145</v>
      </c>
      <c r="I127" s="173" t="s">
        <v>1146</v>
      </c>
      <c r="J127" s="173" t="s">
        <v>100</v>
      </c>
      <c r="K127" s="173" t="s">
        <v>101</v>
      </c>
      <c r="L127" s="174" t="s">
        <v>71</v>
      </c>
      <c r="M127" s="175" t="s">
        <v>72</v>
      </c>
      <c r="N127" s="173" t="s">
        <v>73</v>
      </c>
      <c r="O127" s="176" t="s">
        <v>72</v>
      </c>
      <c r="P127" s="130" t="s">
        <v>101</v>
      </c>
      <c r="Q127" s="177" t="s">
        <v>74</v>
      </c>
      <c r="R127" s="178">
        <v>3.3510000999999998</v>
      </c>
      <c r="S127" s="179">
        <v>1</v>
      </c>
      <c r="T127" s="179">
        <v>1260</v>
      </c>
      <c r="U127" s="179">
        <v>1260</v>
      </c>
      <c r="V127" s="179">
        <v>226.8</v>
      </c>
      <c r="W127" s="179">
        <v>1486.8</v>
      </c>
      <c r="X127" s="27">
        <f t="shared" si="59"/>
        <v>1260</v>
      </c>
      <c r="Y127" s="29">
        <f ca="1">VLOOKUP(Z127,CHOOSE({2,1},Fac_Fecha,Fac_OT),2,0)</f>
        <v>43792</v>
      </c>
      <c r="Z127" s="26" t="s">
        <v>938</v>
      </c>
      <c r="AA127" s="28">
        <f t="shared" ca="1" si="60"/>
        <v>9457.2542099999991</v>
      </c>
      <c r="AB127" s="28">
        <f ca="1">SUMIF(Salida_OT,Facturacion!Z127,Salida_Suma)</f>
        <v>3893.9877475399994</v>
      </c>
      <c r="AC127" s="28">
        <f t="shared" ca="1" si="44"/>
        <v>359.24</v>
      </c>
      <c r="AD127" s="28">
        <f t="shared" ca="1" si="45"/>
        <v>258.67203389830507</v>
      </c>
      <c r="AE127" s="28">
        <f ca="1">(SUMIF(Asig_OT,Z127,Asig_Hora_Mec))*'Costos x MO'!$B$6*'Costos x MO'!$B$7</f>
        <v>0</v>
      </c>
      <c r="AF127" s="28">
        <f ca="1">SUMIF(Asig_OT,Z127,Asig_Hora_Pla)*'Costos x MO'!$B$4*'Costos x MO'!$B$7</f>
        <v>391.95</v>
      </c>
      <c r="AG127" s="28">
        <f ca="1">SUMIF(Asig_OT,Z127,Asig_paño_Pin)*'Costos x MO'!$B$5*'Costos x MO'!$B$7</f>
        <v>1090.425</v>
      </c>
      <c r="AH127" s="28">
        <f ca="1">(SUMIF(Asig_OT,Z127,Asig_Terc_Pla)*'Costos x MO'!$B$7)+(SUMIF(Asig_OT,Z127,Asig_Terc_Pin)*'Costos x MO'!$B$7)</f>
        <v>0</v>
      </c>
      <c r="AI127" s="28">
        <f t="shared" ca="1" si="46"/>
        <v>5994.2747814383047</v>
      </c>
      <c r="AJ127" s="28">
        <f t="shared" ca="1" si="47"/>
        <v>3462.9794285616945</v>
      </c>
      <c r="AK127" s="31">
        <f t="shared" ca="1" si="48"/>
        <v>0.36617176102763288</v>
      </c>
      <c r="AL127" s="28" t="str">
        <f t="shared" ca="1" si="49"/>
        <v>ACCESO</v>
      </c>
      <c r="AM127" s="28" t="str">
        <f t="shared" ca="1" si="50"/>
        <v>GRAVE</v>
      </c>
      <c r="AN127" s="30" t="str">
        <f t="shared" ca="1" si="51"/>
        <v>November</v>
      </c>
      <c r="AO127" s="42">
        <f t="shared" ca="1" si="52"/>
        <v>2019</v>
      </c>
      <c r="AP127" s="42">
        <f t="shared" ca="1" si="53"/>
        <v>26</v>
      </c>
      <c r="AQ127" s="26">
        <v>1</v>
      </c>
      <c r="AR127" s="30">
        <f t="shared" ca="1" si="54"/>
        <v>43766</v>
      </c>
      <c r="AS127" s="30" t="str">
        <f t="shared" ca="1" si="55"/>
        <v>AZF-323</v>
      </c>
      <c r="AT127" s="26" t="str">
        <f t="shared" ca="1" si="56"/>
        <v>KIA</v>
      </c>
      <c r="AU127" s="26" t="str">
        <f t="shared" ca="1" si="57"/>
        <v>RIO</v>
      </c>
      <c r="AV127" s="26" t="str">
        <f t="shared" ca="1" si="58"/>
        <v>EDPYME ACCESO CREDITICIO SOCIEDAD ANONIMA</v>
      </c>
    </row>
    <row r="128" spans="1:48" x14ac:dyDescent="0.2">
      <c r="A128" s="172">
        <v>43766</v>
      </c>
      <c r="B128" s="173" t="s">
        <v>68</v>
      </c>
      <c r="C128" s="173" t="s">
        <v>102</v>
      </c>
      <c r="D128" s="173" t="s">
        <v>663</v>
      </c>
      <c r="E128" s="173" t="s">
        <v>785</v>
      </c>
      <c r="F128" s="173" t="s">
        <v>933</v>
      </c>
      <c r="G128" s="172">
        <v>43745</v>
      </c>
      <c r="H128" s="173" t="s">
        <v>1145</v>
      </c>
      <c r="I128" s="173" t="s">
        <v>1146</v>
      </c>
      <c r="J128" s="173" t="s">
        <v>92</v>
      </c>
      <c r="K128" s="173" t="s">
        <v>113</v>
      </c>
      <c r="L128" s="174" t="s">
        <v>71</v>
      </c>
      <c r="M128" s="175" t="s">
        <v>72</v>
      </c>
      <c r="N128" s="173" t="s">
        <v>73</v>
      </c>
      <c r="O128" s="176" t="s">
        <v>69</v>
      </c>
      <c r="P128" s="130" t="s">
        <v>113</v>
      </c>
      <c r="Q128" s="177" t="s">
        <v>74</v>
      </c>
      <c r="R128" s="178">
        <v>3.3510000999999998</v>
      </c>
      <c r="S128" s="179">
        <v>1</v>
      </c>
      <c r="T128" s="179">
        <v>480</v>
      </c>
      <c r="U128" s="179">
        <v>480</v>
      </c>
      <c r="V128" s="179">
        <v>86.400020000000083</v>
      </c>
      <c r="W128" s="179">
        <v>566.40002000000004</v>
      </c>
      <c r="X128" s="27">
        <f t="shared" si="59"/>
        <v>480</v>
      </c>
      <c r="Y128" s="29">
        <f ca="1">VLOOKUP(Z128,CHOOSE({2,1},Fac_Fecha,Fac_OT),2,0)</f>
        <v>43792</v>
      </c>
      <c r="Z128" s="26" t="s">
        <v>1019</v>
      </c>
      <c r="AA128" s="28">
        <f t="shared" ca="1" si="60"/>
        <v>9220.7542099999991</v>
      </c>
      <c r="AB128" s="28">
        <f ca="1">SUMIF(Salida_OT,Facturacion!Z128,Salida_Suma)</f>
        <v>2743.3440540599991</v>
      </c>
      <c r="AC128" s="28">
        <f t="shared" ca="1" si="44"/>
        <v>256.38</v>
      </c>
      <c r="AD128" s="28">
        <f t="shared" ca="1" si="45"/>
        <v>268.46999999999997</v>
      </c>
      <c r="AE128" s="28">
        <f ca="1">(SUMIF(Asig_OT,Z128,Asig_Hora_Mec))*'Costos x MO'!$B$6*'Costos x MO'!$B$7</f>
        <v>380.64375000000001</v>
      </c>
      <c r="AF128" s="28">
        <f ca="1">SUMIF(Asig_OT,Z128,Asig_Hora_Pla)*'Costos x MO'!$B$4*'Costos x MO'!$B$7</f>
        <v>422.1</v>
      </c>
      <c r="AG128" s="28">
        <f ca="1">SUMIF(Asig_OT,Z128,Asig_paño_Pin)*'Costos x MO'!$B$5*'Costos x MO'!$B$7</f>
        <v>1055.25</v>
      </c>
      <c r="AH128" s="28">
        <f ca="1">(SUMIF(Asig_OT,Z128,Asig_Terc_Pla)*'Costos x MO'!$B$7)+(SUMIF(Asig_OT,Z128,Asig_Terc_Pin)*'Costos x MO'!$B$7)</f>
        <v>0</v>
      </c>
      <c r="AI128" s="28">
        <f t="shared" ca="1" si="46"/>
        <v>5126.1878040599986</v>
      </c>
      <c r="AJ128" s="28">
        <f t="shared" ca="1" si="47"/>
        <v>4094.5664059400005</v>
      </c>
      <c r="AK128" s="31">
        <f t="shared" ca="1" si="48"/>
        <v>0.44405981470576483</v>
      </c>
      <c r="AL128" s="28" t="str">
        <f t="shared" ca="1" si="49"/>
        <v>ACCESO</v>
      </c>
      <c r="AM128" s="28" t="str">
        <f t="shared" ca="1" si="50"/>
        <v>GRAVE</v>
      </c>
      <c r="AN128" s="30" t="str">
        <f t="shared" ca="1" si="51"/>
        <v>November</v>
      </c>
      <c r="AO128" s="42">
        <f t="shared" ca="1" si="52"/>
        <v>2019</v>
      </c>
      <c r="AP128" s="42">
        <f t="shared" ca="1" si="53"/>
        <v>15</v>
      </c>
      <c r="AQ128" s="26">
        <v>1</v>
      </c>
      <c r="AR128" s="30">
        <f t="shared" ca="1" si="54"/>
        <v>43777</v>
      </c>
      <c r="AS128" s="30" t="str">
        <f t="shared" ca="1" si="55"/>
        <v>AZQ-053</v>
      </c>
      <c r="AT128" s="26" t="str">
        <f t="shared" ca="1" si="56"/>
        <v>CHEVROLET</v>
      </c>
      <c r="AU128" s="26" t="str">
        <f t="shared" ca="1" si="57"/>
        <v>SAIL</v>
      </c>
      <c r="AV128" s="26" t="str">
        <f t="shared" ca="1" si="58"/>
        <v>EDPYME ACCESO CREDITICIO SOCIEDAD ANONIMA</v>
      </c>
    </row>
    <row r="129" spans="1:48" x14ac:dyDescent="0.2">
      <c r="A129" s="172">
        <v>43766</v>
      </c>
      <c r="B129" s="173" t="s">
        <v>68</v>
      </c>
      <c r="C129" s="173" t="s">
        <v>102</v>
      </c>
      <c r="D129" s="173" t="s">
        <v>663</v>
      </c>
      <c r="E129" s="173" t="s">
        <v>785</v>
      </c>
      <c r="F129" s="173" t="s">
        <v>933</v>
      </c>
      <c r="G129" s="172">
        <v>43745</v>
      </c>
      <c r="H129" s="173" t="s">
        <v>1145</v>
      </c>
      <c r="I129" s="173" t="s">
        <v>1146</v>
      </c>
      <c r="J129" s="173" t="s">
        <v>132</v>
      </c>
      <c r="K129" s="173" t="s">
        <v>1156</v>
      </c>
      <c r="L129" s="174" t="s">
        <v>71</v>
      </c>
      <c r="M129" s="175" t="s">
        <v>72</v>
      </c>
      <c r="N129" s="173" t="s">
        <v>73</v>
      </c>
      <c r="O129" s="176" t="s">
        <v>69</v>
      </c>
      <c r="P129" s="173" t="s">
        <v>105</v>
      </c>
      <c r="Q129" s="177" t="s">
        <v>74</v>
      </c>
      <c r="R129" s="178">
        <v>3.3510000999999998</v>
      </c>
      <c r="S129" s="179">
        <v>1</v>
      </c>
      <c r="T129" s="179">
        <v>280</v>
      </c>
      <c r="U129" s="179">
        <v>280</v>
      </c>
      <c r="V129" s="179">
        <v>50.399990000000031</v>
      </c>
      <c r="W129" s="179">
        <v>330.39999000000006</v>
      </c>
      <c r="X129" s="27">
        <f t="shared" si="59"/>
        <v>280</v>
      </c>
      <c r="Y129" s="29">
        <f ca="1">VLOOKUP(Z129,CHOOSE({2,1},Fac_Fecha,Fac_OT),2,0)</f>
        <v>43794</v>
      </c>
      <c r="Z129" s="26" t="s">
        <v>1402</v>
      </c>
      <c r="AA129" s="28">
        <f t="shared" ca="1" si="60"/>
        <v>321.57499999999993</v>
      </c>
      <c r="AB129" s="28">
        <f ca="1">SUMIF(Salida_OT,Facturacion!Z129,Salida_Suma)</f>
        <v>0</v>
      </c>
      <c r="AC129" s="28">
        <f t="shared" ca="1" si="44"/>
        <v>0</v>
      </c>
      <c r="AD129" s="28">
        <f t="shared" ca="1" si="45"/>
        <v>76.27</v>
      </c>
      <c r="AE129" s="28">
        <f ca="1">(SUMIF(Asig_OT,Z129,Asig_Hora_Mec))*'Costos x MO'!$B$6*'Costos x MO'!$B$7</f>
        <v>0</v>
      </c>
      <c r="AF129" s="28">
        <f ca="1">SUMIF(Asig_OT,Z129,Asig_Hora_Pla)*'Costos x MO'!$B$4*'Costos x MO'!$B$7</f>
        <v>0</v>
      </c>
      <c r="AG129" s="28">
        <f ca="1">SUMIF(Asig_OT,Z129,Asig_paño_Pin)*'Costos x MO'!$B$5*'Costos x MO'!$B$7</f>
        <v>0</v>
      </c>
      <c r="AH129" s="28">
        <f ca="1">(SUMIF(Asig_OT,Z129,Asig_Terc_Pla)*'Costos x MO'!$B$7)+(SUMIF(Asig_OT,Z129,Asig_Terc_Pin)*'Costos x MO'!$B$7)</f>
        <v>0</v>
      </c>
      <c r="AI129" s="28">
        <f t="shared" ca="1" si="46"/>
        <v>76.27</v>
      </c>
      <c r="AJ129" s="28">
        <f t="shared" ca="1" si="47"/>
        <v>245.30499999999995</v>
      </c>
      <c r="AK129" s="31">
        <f t="shared" ca="1" si="48"/>
        <v>0.76282360258104642</v>
      </c>
      <c r="AL129" s="28" t="str">
        <f t="shared" ca="1" si="49"/>
        <v>RIMAC</v>
      </c>
      <c r="AM129" s="28" t="str">
        <f t="shared" ca="1" si="50"/>
        <v>LEVE</v>
      </c>
      <c r="AN129" s="30" t="str">
        <f t="shared" ca="1" si="51"/>
        <v>November</v>
      </c>
      <c r="AO129" s="42">
        <f t="shared" ca="1" si="52"/>
        <v>2019</v>
      </c>
      <c r="AP129" s="42">
        <f t="shared" ca="1" si="53"/>
        <v>6</v>
      </c>
      <c r="AQ129" s="26">
        <v>1</v>
      </c>
      <c r="AR129" s="30">
        <f t="shared" ca="1" si="54"/>
        <v>43788</v>
      </c>
      <c r="AS129" s="30" t="str">
        <f t="shared" ca="1" si="55"/>
        <v>AYQ-451</v>
      </c>
      <c r="AT129" s="26" t="str">
        <f t="shared" ca="1" si="56"/>
        <v>NISSAN</v>
      </c>
      <c r="AU129" s="26" t="str">
        <f t="shared" ca="1" si="57"/>
        <v>SENTRA</v>
      </c>
      <c r="AV129" s="26" t="str">
        <f t="shared" ca="1" si="58"/>
        <v>RIMAC SEGUROS  Y REASEGUROS S.A</v>
      </c>
    </row>
    <row r="130" spans="1:48" x14ac:dyDescent="0.2">
      <c r="A130" s="172">
        <v>43766</v>
      </c>
      <c r="B130" s="173" t="s">
        <v>68</v>
      </c>
      <c r="C130" s="173" t="s">
        <v>102</v>
      </c>
      <c r="D130" s="173" t="s">
        <v>663</v>
      </c>
      <c r="E130" s="173" t="s">
        <v>785</v>
      </c>
      <c r="F130" s="173" t="s">
        <v>933</v>
      </c>
      <c r="G130" s="172">
        <v>43745</v>
      </c>
      <c r="H130" s="173" t="s">
        <v>1145</v>
      </c>
      <c r="I130" s="173" t="s">
        <v>1146</v>
      </c>
      <c r="J130" s="173" t="s">
        <v>70</v>
      </c>
      <c r="K130" s="173" t="s">
        <v>112</v>
      </c>
      <c r="L130" s="174" t="s">
        <v>71</v>
      </c>
      <c r="M130" s="175" t="s">
        <v>72</v>
      </c>
      <c r="N130" s="173" t="s">
        <v>73</v>
      </c>
      <c r="O130" s="176" t="s">
        <v>69</v>
      </c>
      <c r="P130" s="130" t="s">
        <v>447</v>
      </c>
      <c r="Q130" s="177" t="s">
        <v>74</v>
      </c>
      <c r="R130" s="178">
        <v>3.3510000999999998</v>
      </c>
      <c r="S130" s="179">
        <v>1</v>
      </c>
      <c r="T130" s="179">
        <v>240</v>
      </c>
      <c r="U130" s="179">
        <v>240</v>
      </c>
      <c r="V130" s="179">
        <v>43.200010000000042</v>
      </c>
      <c r="W130" s="179">
        <v>283.20001000000002</v>
      </c>
      <c r="X130" s="27">
        <f t="shared" si="59"/>
        <v>240</v>
      </c>
      <c r="Y130" s="29">
        <f ca="1">VLOOKUP(Z130,CHOOSE({2,1},Fac_Fecha,Fac_OT),2,0)</f>
        <v>43794</v>
      </c>
      <c r="Z130" s="26" t="s">
        <v>1008</v>
      </c>
      <c r="AA130" s="28">
        <f t="shared" ca="1" si="60"/>
        <v>9660.7542099999991</v>
      </c>
      <c r="AB130" s="28">
        <f ca="1">SUMIF(Salida_OT,Facturacion!Z130,Salida_Suma)</f>
        <v>2156.2085459200002</v>
      </c>
      <c r="AC130" s="28">
        <f t="shared" ca="1" si="44"/>
        <v>262.72000000000003</v>
      </c>
      <c r="AD130" s="28">
        <f t="shared" ca="1" si="45"/>
        <v>466.63</v>
      </c>
      <c r="AE130" s="28">
        <f ca="1">(SUMIF(Asig_OT,Z130,Asig_Hora_Mec))*'Costos x MO'!$B$6*'Costos x MO'!$B$7</f>
        <v>425.86875000000003</v>
      </c>
      <c r="AF130" s="28">
        <f ca="1">SUMIF(Asig_OT,Z130,Asig_Hora_Pla)*'Costos x MO'!$B$4*'Costos x MO'!$B$7</f>
        <v>271.35000000000002</v>
      </c>
      <c r="AG130" s="28">
        <f ca="1">SUMIF(Asig_OT,Z130,Asig_paño_Pin)*'Costos x MO'!$B$5*'Costos x MO'!$B$7</f>
        <v>1125.6000000000001</v>
      </c>
      <c r="AH130" s="28">
        <f ca="1">(SUMIF(Asig_OT,Z130,Asig_Terc_Pla)*'Costos x MO'!$B$7)+(SUMIF(Asig_OT,Z130,Asig_Terc_Pin)*'Costos x MO'!$B$7)</f>
        <v>0</v>
      </c>
      <c r="AI130" s="28">
        <f t="shared" ca="1" si="46"/>
        <v>4708.3772959200005</v>
      </c>
      <c r="AJ130" s="28">
        <f t="shared" ca="1" si="47"/>
        <v>4952.3769140799986</v>
      </c>
      <c r="AK130" s="31">
        <f t="shared" ca="1" si="48"/>
        <v>0.51262839385290593</v>
      </c>
      <c r="AL130" s="28" t="str">
        <f t="shared" ca="1" si="49"/>
        <v>ACCESO</v>
      </c>
      <c r="AM130" s="28" t="str">
        <f t="shared" ca="1" si="50"/>
        <v>GRAVE</v>
      </c>
      <c r="AN130" s="30" t="str">
        <f t="shared" ca="1" si="51"/>
        <v>November</v>
      </c>
      <c r="AO130" s="42">
        <f t="shared" ca="1" si="52"/>
        <v>2019</v>
      </c>
      <c r="AP130" s="42">
        <f t="shared" ca="1" si="53"/>
        <v>28</v>
      </c>
      <c r="AQ130" s="26">
        <v>1</v>
      </c>
      <c r="AR130" s="30">
        <f t="shared" ca="1" si="54"/>
        <v>43766</v>
      </c>
      <c r="AS130" s="30" t="str">
        <f t="shared" ca="1" si="55"/>
        <v>AHV-171</v>
      </c>
      <c r="AT130" s="26" t="str">
        <f t="shared" ca="1" si="56"/>
        <v>KIA</v>
      </c>
      <c r="AU130" s="26" t="str">
        <f t="shared" ca="1" si="57"/>
        <v>RIO</v>
      </c>
      <c r="AV130" s="26" t="str">
        <f t="shared" ca="1" si="58"/>
        <v>EDPYME ACCESO CREDITICIO SOCIEDAD ANONIMA</v>
      </c>
    </row>
    <row r="131" spans="1:48" x14ac:dyDescent="0.2">
      <c r="A131" s="172">
        <v>43766</v>
      </c>
      <c r="B131" s="173" t="s">
        <v>68</v>
      </c>
      <c r="C131" s="173" t="s">
        <v>102</v>
      </c>
      <c r="D131" s="173" t="s">
        <v>663</v>
      </c>
      <c r="E131" s="173" t="s">
        <v>785</v>
      </c>
      <c r="F131" s="173" t="s">
        <v>933</v>
      </c>
      <c r="G131" s="172">
        <v>43745</v>
      </c>
      <c r="H131" s="173" t="s">
        <v>1145</v>
      </c>
      <c r="I131" s="173" t="s">
        <v>1146</v>
      </c>
      <c r="J131" s="173" t="s">
        <v>104</v>
      </c>
      <c r="K131" s="173" t="s">
        <v>105</v>
      </c>
      <c r="L131" s="174" t="s">
        <v>71</v>
      </c>
      <c r="M131" s="175" t="s">
        <v>72</v>
      </c>
      <c r="N131" s="173" t="s">
        <v>73</v>
      </c>
      <c r="O131" s="176" t="s">
        <v>69</v>
      </c>
      <c r="P131" s="173" t="s">
        <v>105</v>
      </c>
      <c r="Q131" s="177" t="s">
        <v>74</v>
      </c>
      <c r="R131" s="178">
        <v>3.3510000999999998</v>
      </c>
      <c r="S131" s="179">
        <v>1</v>
      </c>
      <c r="T131" s="179">
        <v>2089</v>
      </c>
      <c r="U131" s="179">
        <v>2089</v>
      </c>
      <c r="V131" s="179">
        <v>376.02</v>
      </c>
      <c r="W131" s="179">
        <v>2465.02</v>
      </c>
      <c r="X131" s="27">
        <f t="shared" si="59"/>
        <v>2089</v>
      </c>
      <c r="Y131" s="29">
        <f ca="1">VLOOKUP(Z131,CHOOSE({2,1},Fac_Fecha,Fac_OT),2,0)</f>
        <v>43795</v>
      </c>
      <c r="Z131" s="26" t="s">
        <v>1359</v>
      </c>
      <c r="AA131" s="28">
        <f t="shared" ca="1" si="60"/>
        <v>1380.9989922</v>
      </c>
      <c r="AB131" s="28">
        <f ca="1">SUMIF(Salida_OT,Facturacion!Z131,Salida_Suma)</f>
        <v>0</v>
      </c>
      <c r="AC131" s="28">
        <f t="shared" ref="AC131:AC156" ca="1" si="61">SUMIFS(Compras_Suma,Compras_OT,Z131,Compras_Tipo,"RP")</f>
        <v>0</v>
      </c>
      <c r="AD131" s="28">
        <f t="shared" ref="AD131:AD156" ca="1" si="62">SUMIFS(Compras_Suma,Compras_OT,Z131,Compras_Tipo,"ST")</f>
        <v>0</v>
      </c>
      <c r="AE131" s="28">
        <f ca="1">(SUMIF(Asig_OT,Z131,Asig_Hora_Mec))*'Costos x MO'!$B$6*'Costos x MO'!$B$7</f>
        <v>0</v>
      </c>
      <c r="AF131" s="28">
        <f ca="1">SUMIF(Asig_OT,Z131,Asig_Hora_Pla)*'Costos x MO'!$B$4*'Costos x MO'!$B$7</f>
        <v>60.300000000000004</v>
      </c>
      <c r="AG131" s="28">
        <f ca="1">SUMIF(Asig_OT,Z131,Asig_paño_Pin)*'Costos x MO'!$B$5*'Costos x MO'!$B$7</f>
        <v>193.46250000000001</v>
      </c>
      <c r="AH131" s="28">
        <f ca="1">(SUMIF(Asig_OT,Z131,Asig_Terc_Pla)*'Costos x MO'!$B$7)+(SUMIF(Asig_OT,Z131,Asig_Terc_Pin)*'Costos x MO'!$B$7)</f>
        <v>0</v>
      </c>
      <c r="AI131" s="28">
        <f t="shared" ref="AI131:AI156" ca="1" si="63">SUM(AB131:AH131)</f>
        <v>253.76250000000002</v>
      </c>
      <c r="AJ131" s="28">
        <f t="shared" ref="AJ131:AJ156" ca="1" si="64">+AA131-AI131</f>
        <v>1127.2364921999999</v>
      </c>
      <c r="AK131" s="31">
        <f t="shared" ref="AK131:AK156" ca="1" si="65">IFERROR(AJ131/AA131,0)</f>
        <v>0.81624715048072283</v>
      </c>
      <c r="AL131" s="28" t="str">
        <f t="shared" ref="AL131:AL156" ca="1" si="66">IFERROR(VLOOKUP(Z131,Matriz,5,0),"S/TIPO")</f>
        <v>RIMAC</v>
      </c>
      <c r="AM131" s="28" t="str">
        <f t="shared" ref="AM131:AM156" ca="1" si="67">IFERROR(VLOOKUP(Z131,Matriz,17,0),"S/TIPO")</f>
        <v>LEVE</v>
      </c>
      <c r="AN131" s="30" t="str">
        <f t="shared" ref="AN131:AN156" ca="1" si="68">PROPER(TEXT(Y131,"mmmm"))</f>
        <v>November</v>
      </c>
      <c r="AO131" s="42">
        <f t="shared" ref="AO131:AO156" ca="1" si="69">YEAR(Y131)</f>
        <v>2019</v>
      </c>
      <c r="AP131" s="42">
        <f t="shared" ref="AP131:AP156" ca="1" si="70">+Y131-AR131</f>
        <v>28</v>
      </c>
      <c r="AQ131" s="26">
        <v>1</v>
      </c>
      <c r="AR131" s="30">
        <f t="shared" ref="AR131:AR156" ca="1" si="71">VLOOKUP(Z131,Matriz2,3,0)</f>
        <v>43767</v>
      </c>
      <c r="AS131" s="30" t="str">
        <f t="shared" ref="AS131:AS156" ca="1" si="72">IFERROR(VLOOKUP(Z131,Matriz,2,0),"S/PLACA")</f>
        <v>BFM-214</v>
      </c>
      <c r="AT131" s="26" t="str">
        <f t="shared" ref="AT131:AT156" ca="1" si="73">IFERROR(VLOOKUP(Z131,Matriz,3,0),"S/MARCA")</f>
        <v>JEEP</v>
      </c>
      <c r="AU131" s="26" t="str">
        <f t="shared" ref="AU131:AU156" ca="1" si="74">IFERROR(VLOOKUP(Z131,Matriz,4,0),"S/MODELO")</f>
        <v>CHEROKEE</v>
      </c>
      <c r="AV131" s="26" t="str">
        <f t="shared" ref="AV131:AV156" ca="1" si="75">VLOOKUP(Z131,Matriz2,5,0)</f>
        <v>RENTAEQUIPOS LEASING PERU S.A.</v>
      </c>
    </row>
    <row r="132" spans="1:48" x14ac:dyDescent="0.2">
      <c r="A132" s="172">
        <v>43766</v>
      </c>
      <c r="B132" s="173" t="s">
        <v>68</v>
      </c>
      <c r="C132" s="173" t="s">
        <v>102</v>
      </c>
      <c r="D132" s="173" t="s">
        <v>662</v>
      </c>
      <c r="E132" s="173" t="s">
        <v>807</v>
      </c>
      <c r="F132" s="173" t="s">
        <v>1157</v>
      </c>
      <c r="G132" s="172">
        <v>43749</v>
      </c>
      <c r="H132" s="173" t="s">
        <v>557</v>
      </c>
      <c r="I132" s="173" t="s">
        <v>556</v>
      </c>
      <c r="J132" s="173" t="s">
        <v>95</v>
      </c>
      <c r="K132" s="173" t="s">
        <v>96</v>
      </c>
      <c r="L132" s="174" t="s">
        <v>71</v>
      </c>
      <c r="M132" s="175" t="s">
        <v>72</v>
      </c>
      <c r="N132" s="173" t="s">
        <v>73</v>
      </c>
      <c r="O132" s="176" t="s">
        <v>69</v>
      </c>
      <c r="P132" s="130" t="s">
        <v>96</v>
      </c>
      <c r="Q132" s="177" t="s">
        <v>93</v>
      </c>
      <c r="R132" s="178">
        <v>3.3510000999999998</v>
      </c>
      <c r="S132" s="179">
        <v>1</v>
      </c>
      <c r="T132" s="179">
        <v>456.98309</v>
      </c>
      <c r="U132" s="179">
        <v>456.98309</v>
      </c>
      <c r="V132" s="179">
        <v>82.25690000000003</v>
      </c>
      <c r="W132" s="179">
        <v>539.23999000000003</v>
      </c>
      <c r="X132" s="27">
        <f t="shared" si="59"/>
        <v>1531.350380288309</v>
      </c>
      <c r="Y132" s="29">
        <f ca="1">VLOOKUP(Z132,CHOOSE({2,1},Fac_Fecha,Fac_OT),2,0)</f>
        <v>43796</v>
      </c>
      <c r="Z132" s="26" t="s">
        <v>1387</v>
      </c>
      <c r="AA132" s="28">
        <f t="shared" ca="1" si="60"/>
        <v>1406.4674999999997</v>
      </c>
      <c r="AB132" s="28">
        <f ca="1">SUMIF(Salida_OT,Facturacion!Z132,Salida_Suma)</f>
        <v>0</v>
      </c>
      <c r="AC132" s="28">
        <f t="shared" ca="1" si="61"/>
        <v>0</v>
      </c>
      <c r="AD132" s="28">
        <f t="shared" ca="1" si="62"/>
        <v>0</v>
      </c>
      <c r="AE132" s="28">
        <f ca="1">(SUMIF(Asig_OT,Z132,Asig_Hora_Mec))*'Costos x MO'!$B$6*'Costos x MO'!$B$7</f>
        <v>0</v>
      </c>
      <c r="AF132" s="28">
        <f ca="1">SUMIF(Asig_OT,Z132,Asig_Hora_Pla)*'Costos x MO'!$B$4*'Costos x MO'!$B$7</f>
        <v>60.300000000000004</v>
      </c>
      <c r="AG132" s="28">
        <f ca="1">SUMIF(Asig_OT,Z132,Asig_paño_Pin)*'Costos x MO'!$B$5*'Costos x MO'!$B$7</f>
        <v>298.98750000000001</v>
      </c>
      <c r="AH132" s="28">
        <f ca="1">(SUMIF(Asig_OT,Z132,Asig_Terc_Pla)*'Costos x MO'!$B$7)+(SUMIF(Asig_OT,Z132,Asig_Terc_Pin)*'Costos x MO'!$B$7)</f>
        <v>0</v>
      </c>
      <c r="AI132" s="28">
        <f t="shared" ca="1" si="63"/>
        <v>359.28750000000002</v>
      </c>
      <c r="AJ132" s="28">
        <f t="shared" ca="1" si="64"/>
        <v>1047.1799999999998</v>
      </c>
      <c r="AK132" s="31">
        <f t="shared" ca="1" si="65"/>
        <v>0.7445461768579793</v>
      </c>
      <c r="AL132" s="28" t="str">
        <f t="shared" ca="1" si="66"/>
        <v>RIMAC</v>
      </c>
      <c r="AM132" s="28" t="str">
        <f t="shared" ca="1" si="67"/>
        <v>LEVE</v>
      </c>
      <c r="AN132" s="30" t="str">
        <f t="shared" ca="1" si="68"/>
        <v>November</v>
      </c>
      <c r="AO132" s="42">
        <f t="shared" ca="1" si="69"/>
        <v>2019</v>
      </c>
      <c r="AP132" s="42">
        <f t="shared" ca="1" si="70"/>
        <v>9</v>
      </c>
      <c r="AQ132" s="26">
        <v>1</v>
      </c>
      <c r="AR132" s="30">
        <f t="shared" ca="1" si="71"/>
        <v>43787</v>
      </c>
      <c r="AS132" s="30" t="str">
        <f t="shared" ca="1" si="72"/>
        <v>ADY-124</v>
      </c>
      <c r="AT132" s="26" t="str">
        <f t="shared" ca="1" si="73"/>
        <v>NISSAN</v>
      </c>
      <c r="AU132" s="26" t="str">
        <f t="shared" ca="1" si="74"/>
        <v>X-TRAIL</v>
      </c>
      <c r="AV132" s="26" t="str">
        <f t="shared" ca="1" si="75"/>
        <v>ROBERTO CARLOS TORRES JULCA</v>
      </c>
    </row>
    <row r="133" spans="1:48" x14ac:dyDescent="0.2">
      <c r="A133" s="172">
        <v>43766</v>
      </c>
      <c r="B133" s="173" t="s">
        <v>68</v>
      </c>
      <c r="C133" s="173" t="s">
        <v>102</v>
      </c>
      <c r="D133" s="173" t="s">
        <v>661</v>
      </c>
      <c r="E133" s="173" t="s">
        <v>803</v>
      </c>
      <c r="F133" s="173" t="s">
        <v>1158</v>
      </c>
      <c r="G133" s="172">
        <v>43745</v>
      </c>
      <c r="H133" s="173" t="s">
        <v>557</v>
      </c>
      <c r="I133" s="173" t="s">
        <v>556</v>
      </c>
      <c r="J133" s="173" t="s">
        <v>95</v>
      </c>
      <c r="K133" s="173" t="s">
        <v>96</v>
      </c>
      <c r="L133" s="174" t="s">
        <v>71</v>
      </c>
      <c r="M133" s="175" t="s">
        <v>72</v>
      </c>
      <c r="N133" s="173" t="s">
        <v>73</v>
      </c>
      <c r="O133" s="176" t="s">
        <v>69</v>
      </c>
      <c r="P133" s="130" t="s">
        <v>96</v>
      </c>
      <c r="Q133" s="177" t="s">
        <v>93</v>
      </c>
      <c r="R133" s="178">
        <v>3.3510000999999998</v>
      </c>
      <c r="S133" s="179">
        <v>1</v>
      </c>
      <c r="T133" s="179">
        <v>100</v>
      </c>
      <c r="U133" s="179">
        <v>100</v>
      </c>
      <c r="V133" s="179">
        <v>18</v>
      </c>
      <c r="W133" s="179">
        <v>118</v>
      </c>
      <c r="X133" s="27">
        <f t="shared" ref="X133:X196" si="76">IF(Q133="$",(U133*R133),U133)</f>
        <v>335.10001</v>
      </c>
      <c r="Y133" s="29">
        <f ca="1">VLOOKUP(Z133,CHOOSE({2,1},Fac_Fecha,Fac_OT),2,0)</f>
        <v>43797</v>
      </c>
      <c r="Z133" s="26" t="s">
        <v>1396</v>
      </c>
      <c r="AA133" s="28">
        <f t="shared" ca="1" si="60"/>
        <v>814.56002399999988</v>
      </c>
      <c r="AB133" s="28">
        <f ca="1">SUMIF(Salida_OT,Facturacion!Z133,Salida_Suma)</f>
        <v>76.270048499999987</v>
      </c>
      <c r="AC133" s="28">
        <f t="shared" ca="1" si="61"/>
        <v>0</v>
      </c>
      <c r="AD133" s="28">
        <f t="shared" ca="1" si="62"/>
        <v>55.08</v>
      </c>
      <c r="AE133" s="28">
        <f ca="1">(SUMIF(Asig_OT,Z133,Asig_Hora_Mec))*'Costos x MO'!$B$6*'Costos x MO'!$B$7</f>
        <v>30.150000000000002</v>
      </c>
      <c r="AF133" s="28">
        <f ca="1">SUMIF(Asig_OT,Z133,Asig_Hora_Pla)*'Costos x MO'!$B$4*'Costos x MO'!$B$7</f>
        <v>60.300000000000004</v>
      </c>
      <c r="AG133" s="28">
        <f ca="1">SUMIF(Asig_OT,Z133,Asig_paño_Pin)*'Costos x MO'!$B$5*'Costos x MO'!$B$7</f>
        <v>0</v>
      </c>
      <c r="AH133" s="28">
        <f ca="1">(SUMIF(Asig_OT,Z133,Asig_Terc_Pla)*'Costos x MO'!$B$7)+(SUMIF(Asig_OT,Z133,Asig_Terc_Pin)*'Costos x MO'!$B$7)</f>
        <v>0</v>
      </c>
      <c r="AI133" s="28">
        <f t="shared" ca="1" si="63"/>
        <v>221.8000485</v>
      </c>
      <c r="AJ133" s="28">
        <f t="shared" ca="1" si="64"/>
        <v>592.75997549999988</v>
      </c>
      <c r="AK133" s="31">
        <f t="shared" ca="1" si="65"/>
        <v>0.72770570373583665</v>
      </c>
      <c r="AL133" s="28" t="str">
        <f t="shared" ca="1" si="66"/>
        <v>RIMAC</v>
      </c>
      <c r="AM133" s="28" t="str">
        <f t="shared" ca="1" si="67"/>
        <v>LEVE</v>
      </c>
      <c r="AN133" s="30" t="str">
        <f t="shared" ca="1" si="68"/>
        <v>November</v>
      </c>
      <c r="AO133" s="42">
        <f t="shared" ca="1" si="69"/>
        <v>2019</v>
      </c>
      <c r="AP133" s="42">
        <f t="shared" ca="1" si="70"/>
        <v>49</v>
      </c>
      <c r="AQ133" s="26">
        <v>1</v>
      </c>
      <c r="AR133" s="30">
        <f t="shared" ca="1" si="71"/>
        <v>43748</v>
      </c>
      <c r="AS133" s="30" t="str">
        <f t="shared" ca="1" si="72"/>
        <v>AFS-362</v>
      </c>
      <c r="AT133" s="26" t="str">
        <f t="shared" ca="1" si="73"/>
        <v>MAZDA</v>
      </c>
      <c r="AU133" s="26" t="str">
        <f t="shared" ca="1" si="74"/>
        <v>MAZDA5</v>
      </c>
      <c r="AV133" s="26" t="str">
        <f t="shared" ca="1" si="75"/>
        <v>SERVICIOS HOTELEROS LIMA S.A.C.</v>
      </c>
    </row>
    <row r="134" spans="1:48" x14ac:dyDescent="0.2">
      <c r="A134" s="172">
        <v>43766</v>
      </c>
      <c r="B134" s="173" t="s">
        <v>68</v>
      </c>
      <c r="C134" s="173" t="s">
        <v>102</v>
      </c>
      <c r="D134" s="173" t="s">
        <v>660</v>
      </c>
      <c r="E134" s="173" t="s">
        <v>803</v>
      </c>
      <c r="F134" s="173" t="s">
        <v>1158</v>
      </c>
      <c r="G134" s="172">
        <v>43745</v>
      </c>
      <c r="H134" s="173" t="s">
        <v>90</v>
      </c>
      <c r="I134" s="173" t="s">
        <v>91</v>
      </c>
      <c r="J134" s="173" t="s">
        <v>97</v>
      </c>
      <c r="K134" s="173" t="s">
        <v>98</v>
      </c>
      <c r="L134" s="174" t="s">
        <v>71</v>
      </c>
      <c r="M134" s="175" t="s">
        <v>72</v>
      </c>
      <c r="N134" s="173" t="s">
        <v>73</v>
      </c>
      <c r="O134" s="176" t="s">
        <v>99</v>
      </c>
      <c r="P134" s="173" t="s">
        <v>98</v>
      </c>
      <c r="Q134" s="177" t="s">
        <v>93</v>
      </c>
      <c r="R134" s="178">
        <v>3.3510000999999998</v>
      </c>
      <c r="S134" s="179">
        <v>1</v>
      </c>
      <c r="T134" s="179">
        <v>132.75419999999997</v>
      </c>
      <c r="U134" s="179">
        <v>132.75419999999997</v>
      </c>
      <c r="V134" s="179">
        <v>23.895790000000034</v>
      </c>
      <c r="W134" s="179">
        <v>156.64999</v>
      </c>
      <c r="X134" s="27">
        <f t="shared" si="76"/>
        <v>444.85933747541986</v>
      </c>
      <c r="Y134" s="29">
        <f ca="1">VLOOKUP(Z134,CHOOSE({2,1},Fac_Fecha,Fac_OT),2,0)</f>
        <v>43798</v>
      </c>
      <c r="Z134" s="26" t="s">
        <v>1404</v>
      </c>
      <c r="AA134" s="28">
        <f t="shared" ca="1" si="60"/>
        <v>2373.0000700000001</v>
      </c>
      <c r="AB134" s="28">
        <f ca="1">SUMIF(Salida_OT,Facturacion!Z134,Salida_Suma)</f>
        <v>0</v>
      </c>
      <c r="AC134" s="28">
        <f t="shared" ca="1" si="61"/>
        <v>0</v>
      </c>
      <c r="AD134" s="28">
        <f t="shared" ca="1" si="62"/>
        <v>59.322033898305087</v>
      </c>
      <c r="AE134" s="28">
        <f ca="1">(SUMIF(Asig_OT,Z134,Asig_Hora_Mec))*'Costos x MO'!$B$6*'Costos x MO'!$B$7</f>
        <v>0</v>
      </c>
      <c r="AF134" s="28">
        <f ca="1">SUMIF(Asig_OT,Z134,Asig_Hora_Pla)*'Costos x MO'!$B$4*'Costos x MO'!$B$7</f>
        <v>211.05</v>
      </c>
      <c r="AG134" s="28">
        <f ca="1">SUMIF(Asig_OT,Z134,Asig_paño_Pin)*'Costos x MO'!$B$5*'Costos x MO'!$B$7</f>
        <v>351.75</v>
      </c>
      <c r="AH134" s="28">
        <f ca="1">(SUMIF(Asig_OT,Z134,Asig_Terc_Pla)*'Costos x MO'!$B$7)+(SUMIF(Asig_OT,Z134,Asig_Terc_Pin)*'Costos x MO'!$B$7)</f>
        <v>0</v>
      </c>
      <c r="AI134" s="28">
        <f t="shared" ca="1" si="63"/>
        <v>622.12203389830506</v>
      </c>
      <c r="AJ134" s="28">
        <f t="shared" ca="1" si="64"/>
        <v>1750.878036101695</v>
      </c>
      <c r="AK134" s="31">
        <f t="shared" ca="1" si="65"/>
        <v>0.73783311607811919</v>
      </c>
      <c r="AL134" s="28" t="str">
        <f t="shared" ca="1" si="66"/>
        <v>RIMAC</v>
      </c>
      <c r="AM134" s="28" t="str">
        <f t="shared" ca="1" si="67"/>
        <v>MEDIANO</v>
      </c>
      <c r="AN134" s="30" t="str">
        <f t="shared" ca="1" si="68"/>
        <v>November</v>
      </c>
      <c r="AO134" s="42">
        <f t="shared" ca="1" si="69"/>
        <v>2019</v>
      </c>
      <c r="AP134" s="42">
        <f t="shared" ca="1" si="70"/>
        <v>8</v>
      </c>
      <c r="AQ134" s="26">
        <v>1</v>
      </c>
      <c r="AR134" s="30">
        <f t="shared" ca="1" si="71"/>
        <v>43790</v>
      </c>
      <c r="AS134" s="30" t="str">
        <f t="shared" ca="1" si="72"/>
        <v>BBQ-678</v>
      </c>
      <c r="AT134" s="26" t="str">
        <f t="shared" ca="1" si="73"/>
        <v>SUZUKI</v>
      </c>
      <c r="AU134" s="26" t="str">
        <f t="shared" ca="1" si="74"/>
        <v>SWIFT</v>
      </c>
      <c r="AV134" s="26" t="str">
        <f t="shared" ca="1" si="75"/>
        <v>DARDOS COMUNICACION VISUAL SAC</v>
      </c>
    </row>
    <row r="135" spans="1:48" x14ac:dyDescent="0.2">
      <c r="A135" s="172">
        <v>43766</v>
      </c>
      <c r="B135" s="173" t="s">
        <v>68</v>
      </c>
      <c r="C135" s="173" t="s">
        <v>102</v>
      </c>
      <c r="D135" s="173" t="s">
        <v>660</v>
      </c>
      <c r="E135" s="173" t="s">
        <v>803</v>
      </c>
      <c r="F135" s="173" t="s">
        <v>1158</v>
      </c>
      <c r="G135" s="172">
        <v>43745</v>
      </c>
      <c r="H135" s="173" t="s">
        <v>90</v>
      </c>
      <c r="I135" s="173" t="s">
        <v>91</v>
      </c>
      <c r="J135" s="173" t="s">
        <v>100</v>
      </c>
      <c r="K135" s="173" t="s">
        <v>101</v>
      </c>
      <c r="L135" s="174" t="s">
        <v>71</v>
      </c>
      <c r="M135" s="175" t="s">
        <v>72</v>
      </c>
      <c r="N135" s="173" t="s">
        <v>73</v>
      </c>
      <c r="O135" s="176" t="s">
        <v>72</v>
      </c>
      <c r="P135" s="130" t="s">
        <v>101</v>
      </c>
      <c r="Q135" s="177" t="s">
        <v>93</v>
      </c>
      <c r="R135" s="178">
        <v>3.3510000999999998</v>
      </c>
      <c r="S135" s="179">
        <v>1</v>
      </c>
      <c r="T135" s="179">
        <v>330</v>
      </c>
      <c r="U135" s="179">
        <v>330</v>
      </c>
      <c r="V135" s="179">
        <v>59.399990000000031</v>
      </c>
      <c r="W135" s="179">
        <v>389.39999000000006</v>
      </c>
      <c r="X135" s="27">
        <f t="shared" si="76"/>
        <v>1105.830033</v>
      </c>
      <c r="Y135" s="29">
        <f ca="1">VLOOKUP(Z135,CHOOSE({2,1},Fac_Fecha,Fac_OT),2,0)</f>
        <v>43798</v>
      </c>
      <c r="Z135" s="26" t="s">
        <v>1243</v>
      </c>
      <c r="AA135" s="28">
        <f t="shared" ca="1" si="60"/>
        <v>11290.754209999999</v>
      </c>
      <c r="AB135" s="28">
        <f ca="1">SUMIF(Salida_OT,Facturacion!Z135,Salida_Suma)</f>
        <v>2593.2663401100008</v>
      </c>
      <c r="AC135" s="28">
        <f t="shared" ca="1" si="61"/>
        <v>264.65999999999997</v>
      </c>
      <c r="AD135" s="28">
        <f t="shared" ca="1" si="62"/>
        <v>156.78</v>
      </c>
      <c r="AE135" s="28">
        <f ca="1">(SUMIF(Asig_OT,Z135,Asig_Hora_Mec))*'Costos x MO'!$B$6*'Costos x MO'!$B$7</f>
        <v>290.19375000000002</v>
      </c>
      <c r="AF135" s="28">
        <f ca="1">SUMIF(Asig_OT,Z135,Asig_Hora_Pla)*'Costos x MO'!$B$4*'Costos x MO'!$B$7</f>
        <v>633.15</v>
      </c>
      <c r="AG135" s="28">
        <f ca="1">SUMIF(Asig_OT,Z135,Asig_paño_Pin)*'Costos x MO'!$B$5*'Costos x MO'!$B$7</f>
        <v>1266.3</v>
      </c>
      <c r="AH135" s="28">
        <f ca="1">(SUMIF(Asig_OT,Z135,Asig_Terc_Pla)*'Costos x MO'!$B$7)+(SUMIF(Asig_OT,Z135,Asig_Terc_Pin)*'Costos x MO'!$B$7)</f>
        <v>0</v>
      </c>
      <c r="AI135" s="28">
        <f t="shared" ca="1" si="63"/>
        <v>5204.3500901100006</v>
      </c>
      <c r="AJ135" s="28">
        <f t="shared" ca="1" si="64"/>
        <v>6086.4041198899986</v>
      </c>
      <c r="AK135" s="31">
        <f t="shared" ca="1" si="65"/>
        <v>0.53906089944809799</v>
      </c>
      <c r="AL135" s="28" t="str">
        <f t="shared" ca="1" si="66"/>
        <v>ACCESO</v>
      </c>
      <c r="AM135" s="28" t="str">
        <f t="shared" ca="1" si="67"/>
        <v>GRAVE</v>
      </c>
      <c r="AN135" s="30" t="str">
        <f t="shared" ca="1" si="68"/>
        <v>November</v>
      </c>
      <c r="AO135" s="42">
        <f t="shared" ca="1" si="69"/>
        <v>2019</v>
      </c>
      <c r="AP135" s="42">
        <f t="shared" ca="1" si="70"/>
        <v>21</v>
      </c>
      <c r="AQ135" s="26">
        <v>1</v>
      </c>
      <c r="AR135" s="30">
        <f t="shared" ca="1" si="71"/>
        <v>43777</v>
      </c>
      <c r="AS135" s="30" t="str">
        <f t="shared" ca="1" si="72"/>
        <v>ANB-605</v>
      </c>
      <c r="AT135" s="26" t="str">
        <f t="shared" ca="1" si="73"/>
        <v>HYUNDAI</v>
      </c>
      <c r="AU135" s="26" t="str">
        <f t="shared" ca="1" si="74"/>
        <v>ACCENT</v>
      </c>
      <c r="AV135" s="26" t="str">
        <f t="shared" ca="1" si="75"/>
        <v>AUTOCLASS S.A.C.</v>
      </c>
    </row>
    <row r="136" spans="1:48" x14ac:dyDescent="0.2">
      <c r="A136" s="172">
        <v>43766</v>
      </c>
      <c r="B136" s="173" t="s">
        <v>68</v>
      </c>
      <c r="C136" s="173" t="s">
        <v>102</v>
      </c>
      <c r="D136" s="173" t="s">
        <v>660</v>
      </c>
      <c r="E136" s="173" t="s">
        <v>803</v>
      </c>
      <c r="F136" s="173" t="s">
        <v>1158</v>
      </c>
      <c r="G136" s="172">
        <v>43745</v>
      </c>
      <c r="H136" s="173" t="s">
        <v>90</v>
      </c>
      <c r="I136" s="173" t="s">
        <v>91</v>
      </c>
      <c r="J136" s="173" t="s">
        <v>92</v>
      </c>
      <c r="K136" s="173" t="s">
        <v>113</v>
      </c>
      <c r="L136" s="174" t="s">
        <v>71</v>
      </c>
      <c r="M136" s="175" t="s">
        <v>72</v>
      </c>
      <c r="N136" s="173" t="s">
        <v>73</v>
      </c>
      <c r="O136" s="176" t="s">
        <v>69</v>
      </c>
      <c r="P136" s="130" t="s">
        <v>113</v>
      </c>
      <c r="Q136" s="177" t="s">
        <v>93</v>
      </c>
      <c r="R136" s="178">
        <v>3.3510000999999998</v>
      </c>
      <c r="S136" s="179">
        <v>1</v>
      </c>
      <c r="T136" s="179">
        <v>15</v>
      </c>
      <c r="U136" s="179">
        <v>15</v>
      </c>
      <c r="V136" s="179">
        <v>2.7000009999999999</v>
      </c>
      <c r="W136" s="179">
        <v>17.700001</v>
      </c>
      <c r="X136" s="27">
        <f t="shared" si="76"/>
        <v>50.265001499999997</v>
      </c>
      <c r="Y136" s="29">
        <f ca="1">VLOOKUP(Z136,CHOOSE({2,1},Fac_Fecha,Fac_OT),2,0)</f>
        <v>43798</v>
      </c>
      <c r="Z136" s="26" t="s">
        <v>936</v>
      </c>
      <c r="AA136" s="28">
        <f t="shared" ca="1" si="60"/>
        <v>8205.2542099999991</v>
      </c>
      <c r="AB136" s="28">
        <f ca="1">SUMIF(Salida_OT,Facturacion!Z136,Salida_Suma)</f>
        <v>2675.3039792599993</v>
      </c>
      <c r="AC136" s="28">
        <f t="shared" ca="1" si="61"/>
        <v>61.46</v>
      </c>
      <c r="AD136" s="28">
        <f t="shared" ca="1" si="62"/>
        <v>374.74203389830507</v>
      </c>
      <c r="AE136" s="28">
        <f ca="1">(SUMIF(Asig_OT,Z136,Asig_Hora_Mec))*'Costos x MO'!$B$6*'Costos x MO'!$B$7</f>
        <v>320.34375</v>
      </c>
      <c r="AF136" s="28">
        <f ca="1">SUMIF(Asig_OT,Z136,Asig_Hora_Pla)*'Costos x MO'!$B$4*'Costos x MO'!$B$7</f>
        <v>271.35000000000002</v>
      </c>
      <c r="AG136" s="28">
        <f ca="1">SUMIF(Asig_OT,Z136,Asig_paño_Pin)*'Costos x MO'!$B$5*'Costos x MO'!$B$7</f>
        <v>949.72500000000002</v>
      </c>
      <c r="AH136" s="28">
        <f ca="1">(SUMIF(Asig_OT,Z136,Asig_Terc_Pla)*'Costos x MO'!$B$7)+(SUMIF(Asig_OT,Z136,Asig_Terc_Pin)*'Costos x MO'!$B$7)</f>
        <v>0</v>
      </c>
      <c r="AI136" s="28">
        <f t="shared" ca="1" si="63"/>
        <v>4652.9247631583048</v>
      </c>
      <c r="AJ136" s="28">
        <f t="shared" ca="1" si="64"/>
        <v>3552.3294468416943</v>
      </c>
      <c r="AK136" s="31">
        <f t="shared" ca="1" si="65"/>
        <v>0.43293350284167426</v>
      </c>
      <c r="AL136" s="28" t="str">
        <f t="shared" ca="1" si="66"/>
        <v>ACCESO</v>
      </c>
      <c r="AM136" s="28" t="str">
        <f t="shared" ca="1" si="67"/>
        <v>GRAVE</v>
      </c>
      <c r="AN136" s="30" t="str">
        <f t="shared" ca="1" si="68"/>
        <v>November</v>
      </c>
      <c r="AO136" s="42">
        <f t="shared" ca="1" si="69"/>
        <v>2019</v>
      </c>
      <c r="AP136" s="42">
        <f t="shared" ca="1" si="70"/>
        <v>32</v>
      </c>
      <c r="AQ136" s="26">
        <v>1</v>
      </c>
      <c r="AR136" s="30">
        <f t="shared" ca="1" si="71"/>
        <v>43766</v>
      </c>
      <c r="AS136" s="30" t="str">
        <f t="shared" ca="1" si="72"/>
        <v>F6Q-533</v>
      </c>
      <c r="AT136" s="26" t="str">
        <f t="shared" ca="1" si="73"/>
        <v>CHEVROLET</v>
      </c>
      <c r="AU136" s="26" t="str">
        <f t="shared" ca="1" si="74"/>
        <v>SAIL</v>
      </c>
      <c r="AV136" s="26" t="str">
        <f t="shared" ca="1" si="75"/>
        <v>AUTOCLASS S.A.C.</v>
      </c>
    </row>
    <row r="137" spans="1:48" x14ac:dyDescent="0.2">
      <c r="A137" s="172">
        <v>43766</v>
      </c>
      <c r="B137" s="173" t="s">
        <v>68</v>
      </c>
      <c r="C137" s="173" t="s">
        <v>102</v>
      </c>
      <c r="D137" s="173" t="s">
        <v>660</v>
      </c>
      <c r="E137" s="173" t="s">
        <v>803</v>
      </c>
      <c r="F137" s="173" t="s">
        <v>1158</v>
      </c>
      <c r="G137" s="172">
        <v>43745</v>
      </c>
      <c r="H137" s="173" t="s">
        <v>90</v>
      </c>
      <c r="I137" s="173" t="s">
        <v>91</v>
      </c>
      <c r="J137" s="173" t="s">
        <v>95</v>
      </c>
      <c r="K137" s="173" t="s">
        <v>96</v>
      </c>
      <c r="L137" s="174" t="s">
        <v>71</v>
      </c>
      <c r="M137" s="175" t="s">
        <v>72</v>
      </c>
      <c r="N137" s="173" t="s">
        <v>73</v>
      </c>
      <c r="O137" s="176" t="s">
        <v>69</v>
      </c>
      <c r="P137" s="130" t="s">
        <v>96</v>
      </c>
      <c r="Q137" s="177" t="s">
        <v>93</v>
      </c>
      <c r="R137" s="178">
        <v>3.3510000999999998</v>
      </c>
      <c r="S137" s="179">
        <v>-1</v>
      </c>
      <c r="T137" s="179">
        <v>100</v>
      </c>
      <c r="U137" s="179">
        <v>-100</v>
      </c>
      <c r="V137" s="179">
        <v>-18</v>
      </c>
      <c r="W137" s="179">
        <v>-118</v>
      </c>
      <c r="X137" s="27">
        <f t="shared" si="76"/>
        <v>-335.10001</v>
      </c>
      <c r="Y137" s="29">
        <f ca="1">VLOOKUP(Z137,CHOOSE({2,1},Fac_Fecha,Fac_OT),2,0)</f>
        <v>43798</v>
      </c>
      <c r="Z137" s="26" t="s">
        <v>1011</v>
      </c>
      <c r="AA137" s="28">
        <f t="shared" ca="1" si="60"/>
        <v>9800.7542099999991</v>
      </c>
      <c r="AB137" s="28">
        <f ca="1">SUMIF(Salida_OT,Facturacion!Z137,Salida_Suma)</f>
        <v>2134.08030164</v>
      </c>
      <c r="AC137" s="28">
        <f t="shared" ca="1" si="61"/>
        <v>473.15</v>
      </c>
      <c r="AD137" s="28">
        <f t="shared" ca="1" si="62"/>
        <v>325.25</v>
      </c>
      <c r="AE137" s="28">
        <f ca="1">(SUMIF(Asig_OT,Z137,Asig_Hora_Mec))*'Costos x MO'!$B$6*'Costos x MO'!$B$7</f>
        <v>365.56875000000002</v>
      </c>
      <c r="AF137" s="28">
        <f ca="1">SUMIF(Asig_OT,Z137,Asig_Hora_Pla)*'Costos x MO'!$B$4*'Costos x MO'!$B$7</f>
        <v>542.70000000000005</v>
      </c>
      <c r="AG137" s="28">
        <f ca="1">SUMIF(Asig_OT,Z137,Asig_paño_Pin)*'Costos x MO'!$B$5*'Costos x MO'!$B$7</f>
        <v>1266.3</v>
      </c>
      <c r="AH137" s="28">
        <f ca="1">(SUMIF(Asig_OT,Z137,Asig_Terc_Pla)*'Costos x MO'!$B$7)+(SUMIF(Asig_OT,Z137,Asig_Terc_Pin)*'Costos x MO'!$B$7)</f>
        <v>0</v>
      </c>
      <c r="AI137" s="28">
        <f t="shared" ca="1" si="63"/>
        <v>5107.0490516400005</v>
      </c>
      <c r="AJ137" s="28">
        <f t="shared" ca="1" si="64"/>
        <v>4693.7051583599987</v>
      </c>
      <c r="AK137" s="31">
        <f t="shared" ca="1" si="65"/>
        <v>0.47891264873991762</v>
      </c>
      <c r="AL137" s="28" t="str">
        <f t="shared" ca="1" si="66"/>
        <v>ACCESO</v>
      </c>
      <c r="AM137" s="28" t="str">
        <f t="shared" ca="1" si="67"/>
        <v>GRAVE</v>
      </c>
      <c r="AN137" s="30" t="str">
        <f t="shared" ca="1" si="68"/>
        <v>November</v>
      </c>
      <c r="AO137" s="42">
        <f t="shared" ca="1" si="69"/>
        <v>2019</v>
      </c>
      <c r="AP137" s="42">
        <f t="shared" ca="1" si="70"/>
        <v>23</v>
      </c>
      <c r="AQ137" s="26">
        <v>1</v>
      </c>
      <c r="AR137" s="30">
        <f t="shared" ca="1" si="71"/>
        <v>43775</v>
      </c>
      <c r="AS137" s="30" t="str">
        <f t="shared" ca="1" si="72"/>
        <v>AMZ619</v>
      </c>
      <c r="AT137" s="26" t="str">
        <f t="shared" ca="1" si="73"/>
        <v>CHEVROLET</v>
      </c>
      <c r="AU137" s="26" t="str">
        <f t="shared" ca="1" si="74"/>
        <v>SAIL</v>
      </c>
      <c r="AV137" s="26" t="str">
        <f t="shared" ca="1" si="75"/>
        <v>AUTOCLASS S.A.C.</v>
      </c>
    </row>
    <row r="138" spans="1:48" x14ac:dyDescent="0.2">
      <c r="A138" s="172">
        <v>43766</v>
      </c>
      <c r="B138" s="173" t="s">
        <v>68</v>
      </c>
      <c r="C138" s="173" t="s">
        <v>102</v>
      </c>
      <c r="D138" s="173" t="s">
        <v>660</v>
      </c>
      <c r="E138" s="173" t="s">
        <v>803</v>
      </c>
      <c r="F138" s="173" t="s">
        <v>1158</v>
      </c>
      <c r="G138" s="172">
        <v>43745</v>
      </c>
      <c r="H138" s="173" t="s">
        <v>90</v>
      </c>
      <c r="I138" s="173" t="s">
        <v>91</v>
      </c>
      <c r="J138" s="173" t="s">
        <v>104</v>
      </c>
      <c r="K138" s="173" t="s">
        <v>105</v>
      </c>
      <c r="L138" s="174" t="s">
        <v>71</v>
      </c>
      <c r="M138" s="175" t="s">
        <v>72</v>
      </c>
      <c r="N138" s="173" t="s">
        <v>73</v>
      </c>
      <c r="O138" s="176" t="s">
        <v>69</v>
      </c>
      <c r="P138" s="173" t="s">
        <v>105</v>
      </c>
      <c r="Q138" s="177" t="s">
        <v>93</v>
      </c>
      <c r="R138" s="178">
        <v>3.3510000999999998</v>
      </c>
      <c r="S138" s="179">
        <v>1</v>
      </c>
      <c r="T138" s="179">
        <v>0</v>
      </c>
      <c r="U138" s="179">
        <v>0</v>
      </c>
      <c r="V138" s="179">
        <v>0</v>
      </c>
      <c r="W138" s="179">
        <v>0</v>
      </c>
      <c r="X138" s="27">
        <f t="shared" si="76"/>
        <v>0</v>
      </c>
      <c r="Y138" s="29">
        <f ca="1">VLOOKUP(Z138,CHOOSE({2,1},Fac_Fecha,Fac_OT),2,0)</f>
        <v>43798</v>
      </c>
      <c r="Z138" s="26" t="s">
        <v>1420</v>
      </c>
      <c r="AA138" s="28">
        <f t="shared" ca="1" si="60"/>
        <v>6983.2279939949194</v>
      </c>
      <c r="AB138" s="28">
        <f ca="1">SUMIF(Salida_OT,Facturacion!Z138,Salida_Suma)</f>
        <v>5608.7373900000002</v>
      </c>
      <c r="AC138" s="28">
        <f t="shared" ca="1" si="61"/>
        <v>0</v>
      </c>
      <c r="AD138" s="28">
        <f t="shared" ca="1" si="62"/>
        <v>86.27</v>
      </c>
      <c r="AE138" s="28">
        <f ca="1">(SUMIF(Asig_OT,Z138,Asig_Hora_Mec))*'Costos x MO'!$B$6*'Costos x MO'!$B$7</f>
        <v>0</v>
      </c>
      <c r="AF138" s="28">
        <f ca="1">SUMIF(Asig_OT,Z138,Asig_Hora_Pla)*'Costos x MO'!$B$4*'Costos x MO'!$B$7</f>
        <v>0</v>
      </c>
      <c r="AG138" s="28">
        <f ca="1">SUMIF(Asig_OT,Z138,Asig_paño_Pin)*'Costos x MO'!$B$5*'Costos x MO'!$B$7</f>
        <v>0</v>
      </c>
      <c r="AH138" s="28">
        <f ca="1">(SUMIF(Asig_OT,Z138,Asig_Terc_Pla)*'Costos x MO'!$B$7)+(SUMIF(Asig_OT,Z138,Asig_Terc_Pin)*'Costos x MO'!$B$7)</f>
        <v>0</v>
      </c>
      <c r="AI138" s="28">
        <f t="shared" ca="1" si="63"/>
        <v>5695.0073900000007</v>
      </c>
      <c r="AJ138" s="28">
        <f t="shared" ca="1" si="64"/>
        <v>1288.2206039949187</v>
      </c>
      <c r="AK138" s="31">
        <f t="shared" ca="1" si="65"/>
        <v>0.18447351355314434</v>
      </c>
      <c r="AL138" s="28" t="s">
        <v>121</v>
      </c>
      <c r="AM138" s="28" t="s">
        <v>447</v>
      </c>
      <c r="AN138" s="30" t="str">
        <f t="shared" ca="1" si="68"/>
        <v>November</v>
      </c>
      <c r="AO138" s="42">
        <f t="shared" ca="1" si="69"/>
        <v>2019</v>
      </c>
      <c r="AP138" s="42">
        <f t="shared" ca="1" si="70"/>
        <v>49</v>
      </c>
      <c r="AQ138" s="26">
        <v>1</v>
      </c>
      <c r="AR138" s="30">
        <f t="shared" ca="1" si="71"/>
        <v>43749</v>
      </c>
      <c r="AS138" s="30" t="str">
        <f ca="1">IFERROR(VLOOKUP(Z138,Matriz2,2,0),"S/PLACA")</f>
        <v>BFW224</v>
      </c>
      <c r="AT138" s="26" t="s">
        <v>178</v>
      </c>
      <c r="AU138" s="26" t="s">
        <v>1361</v>
      </c>
      <c r="AV138" s="26" t="str">
        <f t="shared" ca="1" si="75"/>
        <v>RENTAEQUIPOS LEASING PERU S.A.</v>
      </c>
    </row>
    <row r="139" spans="1:48" x14ac:dyDescent="0.2">
      <c r="A139" s="172">
        <v>43767</v>
      </c>
      <c r="B139" s="173" t="s">
        <v>68</v>
      </c>
      <c r="C139" s="173" t="s">
        <v>102</v>
      </c>
      <c r="D139" s="173" t="s">
        <v>659</v>
      </c>
      <c r="E139" s="173" t="s">
        <v>807</v>
      </c>
      <c r="F139" s="173" t="s">
        <v>1157</v>
      </c>
      <c r="G139" s="172">
        <v>43749</v>
      </c>
      <c r="H139" s="173" t="s">
        <v>90</v>
      </c>
      <c r="I139" s="173" t="s">
        <v>91</v>
      </c>
      <c r="J139" s="173" t="s">
        <v>97</v>
      </c>
      <c r="K139" s="173" t="s">
        <v>98</v>
      </c>
      <c r="L139" s="174" t="s">
        <v>71</v>
      </c>
      <c r="M139" s="175" t="s">
        <v>72</v>
      </c>
      <c r="N139" s="173" t="s">
        <v>73</v>
      </c>
      <c r="O139" s="176" t="s">
        <v>99</v>
      </c>
      <c r="P139" s="173" t="s">
        <v>98</v>
      </c>
      <c r="Q139" s="177" t="s">
        <v>93</v>
      </c>
      <c r="R139" s="178">
        <v>3.335</v>
      </c>
      <c r="S139" s="179">
        <v>1</v>
      </c>
      <c r="T139" s="179">
        <v>457.25421</v>
      </c>
      <c r="U139" s="179">
        <v>457.25421</v>
      </c>
      <c r="V139" s="179">
        <v>82.305789999999902</v>
      </c>
      <c r="W139" s="179">
        <v>539.55999999999995</v>
      </c>
      <c r="X139" s="27">
        <f t="shared" si="76"/>
        <v>1524.94279035</v>
      </c>
      <c r="Y139" s="29">
        <f ca="1">VLOOKUP(Z139,CHOOSE({2,1},Fac_Fecha,Fac_OT),2,0)</f>
        <v>43798</v>
      </c>
      <c r="Z139" s="26" t="s">
        <v>1381</v>
      </c>
      <c r="AA139" s="28">
        <f t="shared" ca="1" si="60"/>
        <v>1027.1700303</v>
      </c>
      <c r="AB139" s="28">
        <f ca="1">SUMIF(Salida_OT,Facturacion!Z139,Salida_Suma)</f>
        <v>0</v>
      </c>
      <c r="AC139" s="28">
        <f t="shared" ca="1" si="61"/>
        <v>0</v>
      </c>
      <c r="AD139" s="28">
        <f t="shared" ca="1" si="62"/>
        <v>116.27</v>
      </c>
      <c r="AE139" s="28">
        <f ca="1">(SUMIF(Asig_OT,Z139,Asig_Hora_Mec))*'Costos x MO'!$B$6*'Costos x MO'!$B$7</f>
        <v>15.075000000000001</v>
      </c>
      <c r="AF139" s="28">
        <f ca="1">SUMIF(Asig_OT,Z139,Asig_Hora_Pla)*'Costos x MO'!$B$4*'Costos x MO'!$B$7</f>
        <v>60.300000000000004</v>
      </c>
      <c r="AG139" s="28">
        <f ca="1">SUMIF(Asig_OT,Z139,Asig_paño_Pin)*'Costos x MO'!$B$5*'Costos x MO'!$B$7</f>
        <v>140.70000000000002</v>
      </c>
      <c r="AH139" s="28">
        <f ca="1">(SUMIF(Asig_OT,Z139,Asig_Terc_Pla)*'Costos x MO'!$B$7)+(SUMIF(Asig_OT,Z139,Asig_Terc_Pin)*'Costos x MO'!$B$7)</f>
        <v>0</v>
      </c>
      <c r="AI139" s="28">
        <f t="shared" ca="1" si="63"/>
        <v>332.34500000000003</v>
      </c>
      <c r="AJ139" s="28">
        <f t="shared" ca="1" si="64"/>
        <v>694.82503029999998</v>
      </c>
      <c r="AK139" s="31">
        <f t="shared" ca="1" si="65"/>
        <v>0.67644597272475537</v>
      </c>
      <c r="AL139" s="28" t="str">
        <f t="shared" ca="1" si="66"/>
        <v>RIMAC</v>
      </c>
      <c r="AM139" s="28" t="str">
        <f t="shared" ca="1" si="67"/>
        <v>LEVE</v>
      </c>
      <c r="AN139" s="30" t="str">
        <f t="shared" ca="1" si="68"/>
        <v>November</v>
      </c>
      <c r="AO139" s="42">
        <f t="shared" ca="1" si="69"/>
        <v>2019</v>
      </c>
      <c r="AP139" s="42">
        <f t="shared" ca="1" si="70"/>
        <v>10</v>
      </c>
      <c r="AQ139" s="26">
        <v>1</v>
      </c>
      <c r="AR139" s="30">
        <f t="shared" ca="1" si="71"/>
        <v>43788</v>
      </c>
      <c r="AS139" s="30" t="str">
        <f t="shared" ca="1" si="72"/>
        <v>BED-593</v>
      </c>
      <c r="AT139" s="26" t="str">
        <f t="shared" ca="1" si="73"/>
        <v>CHEVROLET</v>
      </c>
      <c r="AU139" s="26" t="str">
        <f t="shared" ca="1" si="74"/>
        <v>PRISMA</v>
      </c>
      <c r="AV139" s="26" t="str">
        <f t="shared" ca="1" si="75"/>
        <v>RIMAC SEGUROS  Y REASEGUROS S.A</v>
      </c>
    </row>
    <row r="140" spans="1:48" x14ac:dyDescent="0.2">
      <c r="A140" s="172">
        <v>43767</v>
      </c>
      <c r="B140" s="173" t="s">
        <v>68</v>
      </c>
      <c r="C140" s="173" t="s">
        <v>102</v>
      </c>
      <c r="D140" s="173" t="s">
        <v>659</v>
      </c>
      <c r="E140" s="173" t="s">
        <v>807</v>
      </c>
      <c r="F140" s="173" t="s">
        <v>1157</v>
      </c>
      <c r="G140" s="172">
        <v>43749</v>
      </c>
      <c r="H140" s="173" t="s">
        <v>90</v>
      </c>
      <c r="I140" s="173" t="s">
        <v>91</v>
      </c>
      <c r="J140" s="173" t="s">
        <v>100</v>
      </c>
      <c r="K140" s="173" t="s">
        <v>101</v>
      </c>
      <c r="L140" s="174" t="s">
        <v>71</v>
      </c>
      <c r="M140" s="175" t="s">
        <v>72</v>
      </c>
      <c r="N140" s="173" t="s">
        <v>73</v>
      </c>
      <c r="O140" s="176" t="s">
        <v>72</v>
      </c>
      <c r="P140" s="130" t="s">
        <v>101</v>
      </c>
      <c r="Q140" s="177" t="s">
        <v>93</v>
      </c>
      <c r="R140" s="178">
        <v>3.335</v>
      </c>
      <c r="S140" s="179">
        <v>1</v>
      </c>
      <c r="T140" s="179">
        <v>480</v>
      </c>
      <c r="U140" s="179">
        <v>480</v>
      </c>
      <c r="V140" s="179">
        <v>86.400020000000083</v>
      </c>
      <c r="W140" s="179">
        <v>566.40002000000004</v>
      </c>
      <c r="X140" s="27">
        <f t="shared" si="76"/>
        <v>1600.8</v>
      </c>
      <c r="Y140" s="29">
        <f ca="1">VLOOKUP(Z140,CHOOSE({2,1},Fac_Fecha,Fac_OT),2,0)</f>
        <v>43798</v>
      </c>
      <c r="Z140" s="26" t="s">
        <v>1363</v>
      </c>
      <c r="AA140" s="28">
        <f t="shared" ca="1" si="60"/>
        <v>2930.65508645</v>
      </c>
      <c r="AB140" s="28">
        <f ca="1">SUMIF(Salida_OT,Facturacion!Z140,Salida_Suma)</f>
        <v>0</v>
      </c>
      <c r="AC140" s="28">
        <f t="shared" ca="1" si="61"/>
        <v>0</v>
      </c>
      <c r="AD140" s="28">
        <f t="shared" ca="1" si="62"/>
        <v>824.5</v>
      </c>
      <c r="AE140" s="28">
        <f ca="1">(SUMIF(Asig_OT,Z140,Asig_Hora_Mec))*'Costos x MO'!$B$6*'Costos x MO'!$B$7</f>
        <v>0</v>
      </c>
      <c r="AF140" s="28">
        <f ca="1">SUMIF(Asig_OT,Z140,Asig_Hora_Pla)*'Costos x MO'!$B$4*'Costos x MO'!$B$7</f>
        <v>241.20000000000002</v>
      </c>
      <c r="AG140" s="28">
        <f ca="1">SUMIF(Asig_OT,Z140,Asig_paño_Pin)*'Costos x MO'!$B$5*'Costos x MO'!$B$7</f>
        <v>369.33750000000003</v>
      </c>
      <c r="AH140" s="28">
        <f ca="1">(SUMIF(Asig_OT,Z140,Asig_Terc_Pla)*'Costos x MO'!$B$7)+(SUMIF(Asig_OT,Z140,Asig_Terc_Pin)*'Costos x MO'!$B$7)</f>
        <v>0</v>
      </c>
      <c r="AI140" s="28">
        <f t="shared" ca="1" si="63"/>
        <v>1435.0375000000001</v>
      </c>
      <c r="AJ140" s="28">
        <f t="shared" ca="1" si="64"/>
        <v>1495.6175864499999</v>
      </c>
      <c r="AK140" s="31">
        <f t="shared" ca="1" si="65"/>
        <v>0.51033558789126943</v>
      </c>
      <c r="AL140" s="28" t="str">
        <f t="shared" ca="1" si="66"/>
        <v>RIMAC</v>
      </c>
      <c r="AM140" s="28" t="str">
        <f t="shared" ca="1" si="67"/>
        <v>MEDIANO</v>
      </c>
      <c r="AN140" s="30" t="str">
        <f t="shared" ca="1" si="68"/>
        <v>November</v>
      </c>
      <c r="AO140" s="42">
        <f t="shared" ca="1" si="69"/>
        <v>2019</v>
      </c>
      <c r="AP140" s="42">
        <f t="shared" ca="1" si="70"/>
        <v>49</v>
      </c>
      <c r="AQ140" s="26">
        <v>1</v>
      </c>
      <c r="AR140" s="30">
        <f t="shared" ca="1" si="71"/>
        <v>43749</v>
      </c>
      <c r="AS140" s="30" t="str">
        <f t="shared" ca="1" si="72"/>
        <v>BEQ-190</v>
      </c>
      <c r="AT140" s="26" t="str">
        <f t="shared" ca="1" si="73"/>
        <v>KIA</v>
      </c>
      <c r="AU140" s="26" t="str">
        <f t="shared" ca="1" si="74"/>
        <v>PICANTO</v>
      </c>
      <c r="AV140" s="26" t="str">
        <f t="shared" ca="1" si="75"/>
        <v>RENTAEQUIPOS LEASING PERU S.A.</v>
      </c>
    </row>
    <row r="141" spans="1:48" x14ac:dyDescent="0.2">
      <c r="A141" s="172">
        <v>43767</v>
      </c>
      <c r="B141" s="173" t="s">
        <v>68</v>
      </c>
      <c r="C141" s="173" t="s">
        <v>102</v>
      </c>
      <c r="D141" s="173" t="s">
        <v>659</v>
      </c>
      <c r="E141" s="173" t="s">
        <v>807</v>
      </c>
      <c r="F141" s="173" t="s">
        <v>1157</v>
      </c>
      <c r="G141" s="172">
        <v>43749</v>
      </c>
      <c r="H141" s="173" t="s">
        <v>90</v>
      </c>
      <c r="I141" s="173" t="s">
        <v>91</v>
      </c>
      <c r="J141" s="173" t="s">
        <v>92</v>
      </c>
      <c r="K141" s="173" t="s">
        <v>113</v>
      </c>
      <c r="L141" s="174" t="s">
        <v>71</v>
      </c>
      <c r="M141" s="175" t="s">
        <v>72</v>
      </c>
      <c r="N141" s="173" t="s">
        <v>73</v>
      </c>
      <c r="O141" s="176" t="s">
        <v>69</v>
      </c>
      <c r="P141" s="130" t="s">
        <v>113</v>
      </c>
      <c r="Q141" s="177" t="s">
        <v>93</v>
      </c>
      <c r="R141" s="178">
        <v>3.335</v>
      </c>
      <c r="S141" s="179">
        <v>1</v>
      </c>
      <c r="T141" s="179">
        <v>95</v>
      </c>
      <c r="U141" s="179">
        <v>95</v>
      </c>
      <c r="V141" s="179">
        <v>17.100000000000001</v>
      </c>
      <c r="W141" s="179">
        <v>112.1</v>
      </c>
      <c r="X141" s="27">
        <f t="shared" si="76"/>
        <v>316.82499999999999</v>
      </c>
      <c r="Y141" s="29">
        <f ca="1">VLOOKUP(Z141,CHOOSE({2,1},Fac_Fecha,Fac_OT),2,0)</f>
        <v>43799</v>
      </c>
      <c r="Z141" s="26" t="s">
        <v>1406</v>
      </c>
      <c r="AA141" s="28">
        <f t="shared" ca="1" si="60"/>
        <v>2301.8000677</v>
      </c>
      <c r="AB141" s="28">
        <f ca="1">SUMIF(Salida_OT,Facturacion!Z141,Salida_Suma)</f>
        <v>0</v>
      </c>
      <c r="AC141" s="28">
        <f t="shared" ca="1" si="61"/>
        <v>0</v>
      </c>
      <c r="AD141" s="28">
        <f t="shared" ca="1" si="62"/>
        <v>0</v>
      </c>
      <c r="AE141" s="28">
        <f ca="1">(SUMIF(Asig_OT,Z141,Asig_Hora_Mec))*'Costos x MO'!$B$6*'Costos x MO'!$B$7</f>
        <v>0</v>
      </c>
      <c r="AF141" s="28">
        <f ca="1">SUMIF(Asig_OT,Z141,Asig_Hora_Pla)*'Costos x MO'!$B$4*'Costos x MO'!$B$7</f>
        <v>195.97499999999999</v>
      </c>
      <c r="AG141" s="28">
        <f ca="1">SUMIF(Asig_OT,Z141,Asig_paño_Pin)*'Costos x MO'!$B$5*'Costos x MO'!$B$7</f>
        <v>386.92500000000001</v>
      </c>
      <c r="AH141" s="28">
        <f ca="1">(SUMIF(Asig_OT,Z141,Asig_Terc_Pla)*'Costos x MO'!$B$7)+(SUMIF(Asig_OT,Z141,Asig_Terc_Pin)*'Costos x MO'!$B$7)</f>
        <v>0</v>
      </c>
      <c r="AI141" s="28">
        <f t="shared" ca="1" si="63"/>
        <v>582.9</v>
      </c>
      <c r="AJ141" s="28">
        <f t="shared" ca="1" si="64"/>
        <v>1718.9000676999999</v>
      </c>
      <c r="AK141" s="31">
        <f t="shared" ca="1" si="65"/>
        <v>0.74676341000265756</v>
      </c>
      <c r="AL141" s="28" t="str">
        <f t="shared" ca="1" si="66"/>
        <v>RIMAC</v>
      </c>
      <c r="AM141" s="28" t="str">
        <f t="shared" ca="1" si="67"/>
        <v>MEDIANO</v>
      </c>
      <c r="AN141" s="30" t="str">
        <f t="shared" ca="1" si="68"/>
        <v>November</v>
      </c>
      <c r="AO141" s="42">
        <f t="shared" ca="1" si="69"/>
        <v>2019</v>
      </c>
      <c r="AP141" s="42">
        <f t="shared" ca="1" si="70"/>
        <v>8</v>
      </c>
      <c r="AQ141" s="26">
        <v>1</v>
      </c>
      <c r="AR141" s="30">
        <f t="shared" ca="1" si="71"/>
        <v>43791</v>
      </c>
      <c r="AS141" s="30" t="str">
        <f t="shared" ca="1" si="72"/>
        <v>C4R-002</v>
      </c>
      <c r="AT141" s="26" t="str">
        <f t="shared" ca="1" si="73"/>
        <v>KIA</v>
      </c>
      <c r="AU141" s="26" t="str">
        <f t="shared" ca="1" si="74"/>
        <v>SPORTAGE</v>
      </c>
      <c r="AV141" s="26" t="str">
        <f t="shared" ca="1" si="75"/>
        <v>SPRIND SAC</v>
      </c>
    </row>
    <row r="142" spans="1:48" x14ac:dyDescent="0.2">
      <c r="A142" s="172">
        <v>43767</v>
      </c>
      <c r="B142" s="173" t="s">
        <v>68</v>
      </c>
      <c r="C142" s="173" t="s">
        <v>102</v>
      </c>
      <c r="D142" s="173" t="s">
        <v>659</v>
      </c>
      <c r="E142" s="173" t="s">
        <v>807</v>
      </c>
      <c r="F142" s="173" t="s">
        <v>1157</v>
      </c>
      <c r="G142" s="172">
        <v>43749</v>
      </c>
      <c r="H142" s="173" t="s">
        <v>90</v>
      </c>
      <c r="I142" s="173" t="s">
        <v>91</v>
      </c>
      <c r="J142" s="173" t="s">
        <v>70</v>
      </c>
      <c r="K142" s="173" t="s">
        <v>112</v>
      </c>
      <c r="L142" s="174" t="s">
        <v>71</v>
      </c>
      <c r="M142" s="175" t="s">
        <v>72</v>
      </c>
      <c r="N142" s="173" t="s">
        <v>73</v>
      </c>
      <c r="O142" s="176" t="s">
        <v>69</v>
      </c>
      <c r="P142" s="130" t="s">
        <v>447</v>
      </c>
      <c r="Q142" s="177" t="s">
        <v>93</v>
      </c>
      <c r="R142" s="178">
        <v>3.335</v>
      </c>
      <c r="S142" s="179">
        <v>1</v>
      </c>
      <c r="T142" s="179">
        <v>60</v>
      </c>
      <c r="U142" s="179">
        <v>60</v>
      </c>
      <c r="V142" s="179">
        <v>10.800002999999997</v>
      </c>
      <c r="W142" s="179">
        <v>70.800003000000004</v>
      </c>
      <c r="X142" s="27">
        <f t="shared" si="76"/>
        <v>200.1</v>
      </c>
      <c r="Y142" s="29">
        <f ca="1">VLOOKUP(Z142,CHOOSE({2,1},Fac_Fecha,Fac_OT),2,0)</f>
        <v>43799</v>
      </c>
      <c r="Z142" s="26" t="s">
        <v>1408</v>
      </c>
      <c r="AA142" s="28">
        <f t="shared" ca="1" si="60"/>
        <v>153.00000450000002</v>
      </c>
      <c r="AB142" s="28">
        <f ca="1">SUMIF(Salida_OT,Facturacion!Z142,Salida_Suma)</f>
        <v>0</v>
      </c>
      <c r="AC142" s="28">
        <f t="shared" ca="1" si="61"/>
        <v>0</v>
      </c>
      <c r="AD142" s="28">
        <f t="shared" ca="1" si="62"/>
        <v>0</v>
      </c>
      <c r="AE142" s="28">
        <f ca="1">(SUMIF(Asig_OT,Z142,Asig_Hora_Mec))*'Costos x MO'!$B$6*'Costos x MO'!$B$7</f>
        <v>0</v>
      </c>
      <c r="AF142" s="28">
        <f ca="1">SUMIF(Asig_OT,Z142,Asig_Hora_Pla)*'Costos x MO'!$B$4*'Costos x MO'!$B$7</f>
        <v>0</v>
      </c>
      <c r="AG142" s="28">
        <f ca="1">SUMIF(Asig_OT,Z142,Asig_paño_Pin)*'Costos x MO'!$B$5*'Costos x MO'!$B$7</f>
        <v>17.587500000000002</v>
      </c>
      <c r="AH142" s="28">
        <f ca="1">(SUMIF(Asig_OT,Z142,Asig_Terc_Pla)*'Costos x MO'!$B$7)+(SUMIF(Asig_OT,Z142,Asig_Terc_Pin)*'Costos x MO'!$B$7)</f>
        <v>0</v>
      </c>
      <c r="AI142" s="28">
        <f t="shared" ca="1" si="63"/>
        <v>17.587500000000002</v>
      </c>
      <c r="AJ142" s="28">
        <f t="shared" ca="1" si="64"/>
        <v>135.41250450000001</v>
      </c>
      <c r="AK142" s="31">
        <f t="shared" ca="1" si="65"/>
        <v>0.88504902298875421</v>
      </c>
      <c r="AL142" s="28" t="str">
        <f t="shared" ca="1" si="66"/>
        <v>C.C</v>
      </c>
      <c r="AM142" s="28" t="str">
        <f t="shared" ca="1" si="67"/>
        <v>LEVE</v>
      </c>
      <c r="AN142" s="30" t="str">
        <f t="shared" ca="1" si="68"/>
        <v>November</v>
      </c>
      <c r="AO142" s="42">
        <f t="shared" ca="1" si="69"/>
        <v>2019</v>
      </c>
      <c r="AP142" s="42">
        <f t="shared" ca="1" si="70"/>
        <v>4</v>
      </c>
      <c r="AQ142" s="26">
        <v>1</v>
      </c>
      <c r="AR142" s="30">
        <f t="shared" ca="1" si="71"/>
        <v>43795</v>
      </c>
      <c r="AS142" s="30" t="str">
        <f t="shared" ca="1" si="72"/>
        <v>C4R-002</v>
      </c>
      <c r="AT142" s="26" t="str">
        <f t="shared" ca="1" si="73"/>
        <v>KIA</v>
      </c>
      <c r="AU142" s="26" t="str">
        <f t="shared" ca="1" si="74"/>
        <v>SPORTAGE</v>
      </c>
      <c r="AV142" s="26" t="str">
        <f t="shared" ca="1" si="75"/>
        <v>SPRIND SAC</v>
      </c>
    </row>
    <row r="143" spans="1:48" x14ac:dyDescent="0.2">
      <c r="A143" s="172">
        <v>43767</v>
      </c>
      <c r="B143" s="173" t="s">
        <v>68</v>
      </c>
      <c r="C143" s="173" t="s">
        <v>102</v>
      </c>
      <c r="D143" s="173" t="s">
        <v>659</v>
      </c>
      <c r="E143" s="173" t="s">
        <v>807</v>
      </c>
      <c r="F143" s="173" t="s">
        <v>1157</v>
      </c>
      <c r="G143" s="172">
        <v>43749</v>
      </c>
      <c r="H143" s="173" t="s">
        <v>90</v>
      </c>
      <c r="I143" s="173" t="s">
        <v>91</v>
      </c>
      <c r="J143" s="173" t="s">
        <v>95</v>
      </c>
      <c r="K143" s="173" t="s">
        <v>96</v>
      </c>
      <c r="L143" s="174" t="s">
        <v>71</v>
      </c>
      <c r="M143" s="175" t="s">
        <v>72</v>
      </c>
      <c r="N143" s="173" t="s">
        <v>73</v>
      </c>
      <c r="O143" s="176" t="s">
        <v>69</v>
      </c>
      <c r="P143" s="130" t="s">
        <v>96</v>
      </c>
      <c r="Q143" s="177" t="s">
        <v>93</v>
      </c>
      <c r="R143" s="178">
        <v>3.335</v>
      </c>
      <c r="S143" s="179">
        <v>-1</v>
      </c>
      <c r="T143" s="179">
        <v>456.98309</v>
      </c>
      <c r="U143" s="179">
        <v>-456.98309</v>
      </c>
      <c r="V143" s="179">
        <v>-82.25690000000003</v>
      </c>
      <c r="W143" s="179">
        <v>-539.23999000000003</v>
      </c>
      <c r="X143" s="27">
        <f t="shared" si="76"/>
        <v>-1524.03860515</v>
      </c>
      <c r="Y143" s="29">
        <f ca="1">VLOOKUP(Z143,CHOOSE({2,1},Fac_Fecha,Fac_OT),2,0)</f>
        <v>43771</v>
      </c>
      <c r="Z143" s="26" t="s">
        <v>1763</v>
      </c>
      <c r="AA143" s="28">
        <f t="shared" ca="1" si="60"/>
        <v>211.87289000000001</v>
      </c>
      <c r="AB143" s="28">
        <f ca="1">SUMIF(Salida_OT,Facturacion!Z143,Salida_Suma)</f>
        <v>77.836399300000011</v>
      </c>
      <c r="AC143" s="28">
        <f t="shared" ca="1" si="61"/>
        <v>0</v>
      </c>
      <c r="AD143" s="28">
        <f t="shared" ca="1" si="62"/>
        <v>0</v>
      </c>
      <c r="AE143" s="28">
        <f ca="1">(SUMIF(Asig_OT,Z143,Asig_Hora_Mec))*'Costos x MO'!$B$6*'Costos x MO'!$B$7</f>
        <v>0</v>
      </c>
      <c r="AF143" s="28">
        <f ca="1">SUMIF(Asig_OT,Z143,Asig_Hora_Pla)*'Costos x MO'!$B$4*'Costos x MO'!$B$7</f>
        <v>0</v>
      </c>
      <c r="AG143" s="28">
        <f ca="1">SUMIF(Asig_OT,Z143,Asig_paño_Pin)*'Costos x MO'!$B$5*'Costos x MO'!$B$7</f>
        <v>0</v>
      </c>
      <c r="AH143" s="28">
        <f ca="1">(SUMIF(Asig_OT,Z143,Asig_Terc_Pla)*'Costos x MO'!$B$7)+(SUMIF(Asig_OT,Z143,Asig_Terc_Pin)*'Costos x MO'!$B$7)</f>
        <v>0</v>
      </c>
      <c r="AI143" s="28">
        <f t="shared" ca="1" si="63"/>
        <v>77.836399300000011</v>
      </c>
      <c r="AJ143" s="28">
        <f t="shared" ca="1" si="64"/>
        <v>134.0364907</v>
      </c>
      <c r="AK143" s="31">
        <f t="shared" ca="1" si="65"/>
        <v>0.63262690521661358</v>
      </c>
      <c r="AL143" s="28" t="s">
        <v>121</v>
      </c>
      <c r="AM143" s="28" t="s">
        <v>447</v>
      </c>
      <c r="AN143" s="30" t="str">
        <f t="shared" ca="1" si="68"/>
        <v>November</v>
      </c>
      <c r="AO143" s="42">
        <f t="shared" ca="1" si="69"/>
        <v>2019</v>
      </c>
      <c r="AP143" s="42">
        <f t="shared" ca="1" si="70"/>
        <v>0</v>
      </c>
      <c r="AQ143" s="26">
        <v>1</v>
      </c>
      <c r="AR143" s="30">
        <f t="shared" ca="1" si="71"/>
        <v>43771</v>
      </c>
      <c r="AS143" s="30" t="str">
        <f ca="1">IFERROR(VLOOKUP(Z143,Matriz2,2,0),"S/PLACA")</f>
        <v>ADP623</v>
      </c>
      <c r="AT143" s="26" t="s">
        <v>122</v>
      </c>
      <c r="AU143" s="26" t="s">
        <v>144</v>
      </c>
      <c r="AV143" s="26" t="str">
        <f t="shared" ca="1" si="75"/>
        <v>JIMENEZ MESIA JORGE</v>
      </c>
    </row>
    <row r="144" spans="1:48" x14ac:dyDescent="0.2">
      <c r="A144" s="172">
        <v>43767</v>
      </c>
      <c r="B144" s="173" t="s">
        <v>68</v>
      </c>
      <c r="C144" s="173" t="s">
        <v>102</v>
      </c>
      <c r="D144" s="173" t="s">
        <v>659</v>
      </c>
      <c r="E144" s="173" t="s">
        <v>807</v>
      </c>
      <c r="F144" s="173" t="s">
        <v>1157</v>
      </c>
      <c r="G144" s="172">
        <v>43749</v>
      </c>
      <c r="H144" s="173" t="s">
        <v>90</v>
      </c>
      <c r="I144" s="173" t="s">
        <v>91</v>
      </c>
      <c r="J144" s="173" t="s">
        <v>104</v>
      </c>
      <c r="K144" s="173" t="s">
        <v>105</v>
      </c>
      <c r="L144" s="174" t="s">
        <v>71</v>
      </c>
      <c r="M144" s="175" t="s">
        <v>72</v>
      </c>
      <c r="N144" s="173" t="s">
        <v>73</v>
      </c>
      <c r="O144" s="176" t="s">
        <v>69</v>
      </c>
      <c r="P144" s="173" t="s">
        <v>105</v>
      </c>
      <c r="Q144" s="177" t="s">
        <v>93</v>
      </c>
      <c r="R144" s="178">
        <v>3.335</v>
      </c>
      <c r="S144" s="179">
        <v>1</v>
      </c>
      <c r="T144" s="179">
        <v>0</v>
      </c>
      <c r="U144" s="179">
        <v>0</v>
      </c>
      <c r="V144" s="179">
        <v>0</v>
      </c>
      <c r="W144" s="179">
        <v>0</v>
      </c>
      <c r="X144" s="27">
        <f t="shared" si="76"/>
        <v>0</v>
      </c>
      <c r="Y144" s="29">
        <f ca="1">VLOOKUP(Z144,CHOOSE({2,1},Fac_Fecha,Fac_OT),2,0)</f>
        <v>43774</v>
      </c>
      <c r="Z144" s="26" t="s">
        <v>881</v>
      </c>
      <c r="AA144" s="28">
        <f t="shared" ca="1" si="60"/>
        <v>150</v>
      </c>
      <c r="AB144" s="28">
        <f ca="1">SUMIF(Salida_OT,Facturacion!Z144,Salida_Suma)</f>
        <v>44.7857001</v>
      </c>
      <c r="AC144" s="28">
        <f t="shared" ca="1" si="61"/>
        <v>0</v>
      </c>
      <c r="AD144" s="28">
        <f t="shared" ca="1" si="62"/>
        <v>0</v>
      </c>
      <c r="AE144" s="28">
        <f ca="1">(SUMIF(Asig_OT,Z144,Asig_Hora_Mec))*'Costos x MO'!$B$6*'Costos x MO'!$B$7</f>
        <v>40.250250000000001</v>
      </c>
      <c r="AF144" s="28">
        <f ca="1">SUMIF(Asig_OT,Z144,Asig_Hora_Pla)*'Costos x MO'!$B$4*'Costos x MO'!$B$7</f>
        <v>0</v>
      </c>
      <c r="AG144" s="28">
        <f ca="1">SUMIF(Asig_OT,Z144,Asig_paño_Pin)*'Costos x MO'!$B$5*'Costos x MO'!$B$7</f>
        <v>0</v>
      </c>
      <c r="AH144" s="28">
        <f ca="1">(SUMIF(Asig_OT,Z144,Asig_Terc_Pla)*'Costos x MO'!$B$7)+(SUMIF(Asig_OT,Z144,Asig_Terc_Pin)*'Costos x MO'!$B$7)</f>
        <v>0</v>
      </c>
      <c r="AI144" s="28">
        <f t="shared" ca="1" si="63"/>
        <v>85.035950100000008</v>
      </c>
      <c r="AJ144" s="28">
        <f t="shared" ca="1" si="64"/>
        <v>64.964049899999992</v>
      </c>
      <c r="AK144" s="31">
        <f t="shared" ca="1" si="65"/>
        <v>0.43309366599999993</v>
      </c>
      <c r="AL144" s="28" t="str">
        <f t="shared" ca="1" si="66"/>
        <v>C.C</v>
      </c>
      <c r="AM144" s="28" t="str">
        <f t="shared" ca="1" si="67"/>
        <v>MECANICA</v>
      </c>
      <c r="AN144" s="30" t="str">
        <f t="shared" ca="1" si="68"/>
        <v>November</v>
      </c>
      <c r="AO144" s="42">
        <f t="shared" ca="1" si="69"/>
        <v>2019</v>
      </c>
      <c r="AP144" s="42">
        <f t="shared" ca="1" si="70"/>
        <v>8</v>
      </c>
      <c r="AQ144" s="26">
        <v>1</v>
      </c>
      <c r="AR144" s="30">
        <f t="shared" ca="1" si="71"/>
        <v>43766</v>
      </c>
      <c r="AS144" s="30" t="str">
        <f t="shared" ca="1" si="72"/>
        <v>C4A-237</v>
      </c>
      <c r="AT144" s="26" t="str">
        <f t="shared" ca="1" si="73"/>
        <v>KIA</v>
      </c>
      <c r="AU144" s="26" t="str">
        <f t="shared" ca="1" si="74"/>
        <v>RIO</v>
      </c>
      <c r="AV144" s="26" t="str">
        <f t="shared" ca="1" si="75"/>
        <v>MIñAN VARGAS JULIO CESAR</v>
      </c>
    </row>
    <row r="145" spans="1:48" x14ac:dyDescent="0.2">
      <c r="A145" s="172">
        <v>43767</v>
      </c>
      <c r="B145" s="173" t="s">
        <v>68</v>
      </c>
      <c r="C145" s="173" t="s">
        <v>102</v>
      </c>
      <c r="D145" s="173" t="s">
        <v>658</v>
      </c>
      <c r="E145" s="173" t="s">
        <v>842</v>
      </c>
      <c r="F145" s="173" t="s">
        <v>1159</v>
      </c>
      <c r="G145" s="172">
        <v>43760</v>
      </c>
      <c r="H145" s="173" t="s">
        <v>1160</v>
      </c>
      <c r="I145" s="173" t="s">
        <v>1161</v>
      </c>
      <c r="J145" s="173" t="s">
        <v>95</v>
      </c>
      <c r="K145" s="173" t="s">
        <v>96</v>
      </c>
      <c r="L145" s="174" t="s">
        <v>71</v>
      </c>
      <c r="M145" s="175" t="s">
        <v>72</v>
      </c>
      <c r="N145" s="173" t="s">
        <v>73</v>
      </c>
      <c r="O145" s="176" t="s">
        <v>69</v>
      </c>
      <c r="P145" s="130" t="s">
        <v>96</v>
      </c>
      <c r="Q145" s="177" t="s">
        <v>93</v>
      </c>
      <c r="R145" s="178">
        <v>3.335</v>
      </c>
      <c r="S145" s="179">
        <v>1</v>
      </c>
      <c r="T145" s="179">
        <v>100</v>
      </c>
      <c r="U145" s="179">
        <v>100</v>
      </c>
      <c r="V145" s="179">
        <v>18</v>
      </c>
      <c r="W145" s="179">
        <v>118</v>
      </c>
      <c r="X145" s="27">
        <f t="shared" si="76"/>
        <v>333.5</v>
      </c>
      <c r="Y145" s="29">
        <f ca="1">VLOOKUP(Z145,CHOOSE({2,1},Fac_Fecha,Fac_OT),2,0)</f>
        <v>43776</v>
      </c>
      <c r="Z145" s="26" t="s">
        <v>892</v>
      </c>
      <c r="AA145" s="28">
        <f t="shared" ca="1" si="60"/>
        <v>1102.4237099999998</v>
      </c>
      <c r="AB145" s="28">
        <f ca="1">SUMIF(Salida_OT,Facturacion!Z145,Salida_Suma)</f>
        <v>273.30762249999998</v>
      </c>
      <c r="AC145" s="28">
        <f t="shared" ca="1" si="61"/>
        <v>277.96610169491527</v>
      </c>
      <c r="AD145" s="28">
        <f t="shared" ca="1" si="62"/>
        <v>135.59322033898306</v>
      </c>
      <c r="AE145" s="28">
        <f ca="1">(SUMIF(Asig_OT,Z145,Asig_Hora_Mec))*'Costos x MO'!$B$6*'Costos x MO'!$B$7</f>
        <v>40.250250000000001</v>
      </c>
      <c r="AF145" s="28">
        <f ca="1">SUMIF(Asig_OT,Z145,Asig_Hora_Pla)*'Costos x MO'!$B$4*'Costos x MO'!$B$7</f>
        <v>0</v>
      </c>
      <c r="AG145" s="28">
        <f ca="1">SUMIF(Asig_OT,Z145,Asig_paño_Pin)*'Costos x MO'!$B$5*'Costos x MO'!$B$7</f>
        <v>0</v>
      </c>
      <c r="AH145" s="28">
        <f ca="1">(SUMIF(Asig_OT,Z145,Asig_Terc_Pla)*'Costos x MO'!$B$7)+(SUMIF(Asig_OT,Z145,Asig_Terc_Pin)*'Costos x MO'!$B$7)</f>
        <v>0</v>
      </c>
      <c r="AI145" s="28">
        <f t="shared" ca="1" si="63"/>
        <v>727.11719453389844</v>
      </c>
      <c r="AJ145" s="28">
        <f t="shared" ca="1" si="64"/>
        <v>375.30651546610136</v>
      </c>
      <c r="AK145" s="31">
        <f t="shared" ca="1" si="65"/>
        <v>0.34043763034278485</v>
      </c>
      <c r="AL145" s="28" t="str">
        <f t="shared" ca="1" si="66"/>
        <v>C.C</v>
      </c>
      <c r="AM145" s="28" t="str">
        <f t="shared" ca="1" si="67"/>
        <v>MECANICA</v>
      </c>
      <c r="AN145" s="30" t="str">
        <f t="shared" ca="1" si="68"/>
        <v>November</v>
      </c>
      <c r="AO145" s="42">
        <f t="shared" ca="1" si="69"/>
        <v>2019</v>
      </c>
      <c r="AP145" s="42">
        <f t="shared" ca="1" si="70"/>
        <v>8</v>
      </c>
      <c r="AQ145" s="26">
        <v>1</v>
      </c>
      <c r="AR145" s="30">
        <f t="shared" ca="1" si="71"/>
        <v>43768</v>
      </c>
      <c r="AS145" s="30" t="str">
        <f t="shared" ca="1" si="72"/>
        <v>AFS-436</v>
      </c>
      <c r="AT145" s="26" t="str">
        <f t="shared" ca="1" si="73"/>
        <v>MITSUBISHI</v>
      </c>
      <c r="AU145" s="26" t="str">
        <f t="shared" ca="1" si="74"/>
        <v>MIRAGE</v>
      </c>
      <c r="AV145" s="26" t="str">
        <f t="shared" ca="1" si="75"/>
        <v>FERNANDEZ RENGIFO ESSENIN FERNANDO</v>
      </c>
    </row>
    <row r="146" spans="1:48" x14ac:dyDescent="0.2">
      <c r="A146" s="172">
        <v>43767</v>
      </c>
      <c r="B146" s="173" t="s">
        <v>68</v>
      </c>
      <c r="C146" s="173" t="s">
        <v>102</v>
      </c>
      <c r="D146" s="173" t="s">
        <v>657</v>
      </c>
      <c r="E146" s="173" t="s">
        <v>781</v>
      </c>
      <c r="F146" s="173" t="s">
        <v>950</v>
      </c>
      <c r="G146" s="172">
        <v>43743</v>
      </c>
      <c r="H146" s="173" t="s">
        <v>1145</v>
      </c>
      <c r="I146" s="173" t="s">
        <v>1146</v>
      </c>
      <c r="J146" s="173" t="s">
        <v>97</v>
      </c>
      <c r="K146" s="173" t="s">
        <v>98</v>
      </c>
      <c r="L146" s="174" t="s">
        <v>71</v>
      </c>
      <c r="M146" s="175" t="s">
        <v>72</v>
      </c>
      <c r="N146" s="173" t="s">
        <v>73</v>
      </c>
      <c r="O146" s="176" t="s">
        <v>99</v>
      </c>
      <c r="P146" s="173" t="s">
        <v>98</v>
      </c>
      <c r="Q146" s="177" t="s">
        <v>74</v>
      </c>
      <c r="R146" s="178">
        <v>3.335</v>
      </c>
      <c r="S146" s="179">
        <v>1</v>
      </c>
      <c r="T146" s="179">
        <v>1957.5</v>
      </c>
      <c r="U146" s="179">
        <v>1957.5</v>
      </c>
      <c r="V146" s="179">
        <v>352.35010000000011</v>
      </c>
      <c r="W146" s="179">
        <v>2309.8501000000001</v>
      </c>
      <c r="X146" s="27">
        <f t="shared" si="76"/>
        <v>1957.5</v>
      </c>
      <c r="Y146" s="29">
        <f ca="1">VLOOKUP(Z146,CHOOSE({2,1},Fac_Fecha,Fac_OT),2,0)</f>
        <v>43776</v>
      </c>
      <c r="Z146" s="26" t="s">
        <v>1750</v>
      </c>
      <c r="AA146" s="28">
        <f t="shared" ca="1" si="60"/>
        <v>211.87289000000001</v>
      </c>
      <c r="AB146" s="28">
        <f ca="1">SUMIF(Salida_OT,Facturacion!Z146,Salida_Suma)</f>
        <v>78.342899499999987</v>
      </c>
      <c r="AC146" s="28">
        <f t="shared" ca="1" si="61"/>
        <v>0</v>
      </c>
      <c r="AD146" s="28">
        <f t="shared" ca="1" si="62"/>
        <v>0</v>
      </c>
      <c r="AE146" s="28">
        <f ca="1">(SUMIF(Asig_OT,Z146,Asig_Hora_Mec))*'Costos x MO'!$B$6*'Costos x MO'!$B$7</f>
        <v>0</v>
      </c>
      <c r="AF146" s="28">
        <f ca="1">SUMIF(Asig_OT,Z146,Asig_Hora_Pla)*'Costos x MO'!$B$4*'Costos x MO'!$B$7</f>
        <v>0</v>
      </c>
      <c r="AG146" s="28">
        <f ca="1">SUMIF(Asig_OT,Z146,Asig_paño_Pin)*'Costos x MO'!$B$5*'Costos x MO'!$B$7</f>
        <v>0</v>
      </c>
      <c r="AH146" s="28">
        <f ca="1">(SUMIF(Asig_OT,Z146,Asig_Terc_Pla)*'Costos x MO'!$B$7)+(SUMIF(Asig_OT,Z146,Asig_Terc_Pin)*'Costos x MO'!$B$7)</f>
        <v>0</v>
      </c>
      <c r="AI146" s="28">
        <f t="shared" ca="1" si="63"/>
        <v>78.342899499999987</v>
      </c>
      <c r="AJ146" s="28">
        <f t="shared" ca="1" si="64"/>
        <v>133.52999050000003</v>
      </c>
      <c r="AK146" s="31">
        <f t="shared" ca="1" si="65"/>
        <v>0.63023631999355845</v>
      </c>
      <c r="AL146" s="28" t="s">
        <v>121</v>
      </c>
      <c r="AM146" s="28" t="s">
        <v>447</v>
      </c>
      <c r="AN146" s="30" t="str">
        <f t="shared" ca="1" si="68"/>
        <v>November</v>
      </c>
      <c r="AO146" s="42">
        <f t="shared" ca="1" si="69"/>
        <v>2019</v>
      </c>
      <c r="AP146" s="42">
        <f t="shared" ca="1" si="70"/>
        <v>13</v>
      </c>
      <c r="AQ146" s="26">
        <v>1</v>
      </c>
      <c r="AR146" s="30">
        <f t="shared" ca="1" si="71"/>
        <v>43763</v>
      </c>
      <c r="AS146" s="30" t="str">
        <f ca="1">IFERROR(VLOOKUP(Z146,Matriz2,2,0),"S/PLACA")</f>
        <v>AFS436</v>
      </c>
      <c r="AT146" s="26" t="s">
        <v>143</v>
      </c>
      <c r="AU146" s="26" t="s">
        <v>185</v>
      </c>
      <c r="AV146" s="26" t="str">
        <f t="shared" ca="1" si="75"/>
        <v>FERNANDEZ RENGIFO ESSENIN FERNANDO</v>
      </c>
    </row>
    <row r="147" spans="1:48" x14ac:dyDescent="0.2">
      <c r="A147" s="172">
        <v>43767</v>
      </c>
      <c r="B147" s="173" t="s">
        <v>68</v>
      </c>
      <c r="C147" s="173" t="s">
        <v>102</v>
      </c>
      <c r="D147" s="173" t="s">
        <v>657</v>
      </c>
      <c r="E147" s="173" t="s">
        <v>781</v>
      </c>
      <c r="F147" s="173" t="s">
        <v>950</v>
      </c>
      <c r="G147" s="172">
        <v>43743</v>
      </c>
      <c r="H147" s="173" t="s">
        <v>1145</v>
      </c>
      <c r="I147" s="173" t="s">
        <v>1146</v>
      </c>
      <c r="J147" s="173" t="s">
        <v>100</v>
      </c>
      <c r="K147" s="173" t="s">
        <v>101</v>
      </c>
      <c r="L147" s="174" t="s">
        <v>71</v>
      </c>
      <c r="M147" s="175" t="s">
        <v>72</v>
      </c>
      <c r="N147" s="173" t="s">
        <v>73</v>
      </c>
      <c r="O147" s="176" t="s">
        <v>72</v>
      </c>
      <c r="P147" s="130" t="s">
        <v>101</v>
      </c>
      <c r="Q147" s="177" t="s">
        <v>74</v>
      </c>
      <c r="R147" s="178">
        <v>3.335</v>
      </c>
      <c r="S147" s="179">
        <v>1</v>
      </c>
      <c r="T147" s="179">
        <v>945</v>
      </c>
      <c r="U147" s="179">
        <v>945</v>
      </c>
      <c r="V147" s="179">
        <v>170.09999999999985</v>
      </c>
      <c r="W147" s="179">
        <v>1115.0999999999999</v>
      </c>
      <c r="X147" s="27">
        <f t="shared" si="76"/>
        <v>945</v>
      </c>
      <c r="Y147" s="29">
        <f ca="1">VLOOKUP(Z147,CHOOSE({2,1},Fac_Fecha,Fac_OT),2,0)</f>
        <v>43781</v>
      </c>
      <c r="Z147" s="26" t="s">
        <v>1254</v>
      </c>
      <c r="AA147" s="28">
        <f t="shared" ca="1" si="60"/>
        <v>449</v>
      </c>
      <c r="AB147" s="28">
        <f ca="1">SUMIF(Salida_OT,Facturacion!Z147,Salida_Suma)</f>
        <v>82.004799999999989</v>
      </c>
      <c r="AC147" s="28">
        <f t="shared" ca="1" si="61"/>
        <v>12.71</v>
      </c>
      <c r="AD147" s="28">
        <f t="shared" ca="1" si="62"/>
        <v>0</v>
      </c>
      <c r="AE147" s="28">
        <f ca="1">(SUMIF(Asig_OT,Z147,Asig_Hora_Mec))*'Costos x MO'!$B$6*'Costos x MO'!$B$7</f>
        <v>40.250250000000001</v>
      </c>
      <c r="AF147" s="28">
        <f ca="1">SUMIF(Asig_OT,Z147,Asig_Hora_Pla)*'Costos x MO'!$B$4*'Costos x MO'!$B$7</f>
        <v>0</v>
      </c>
      <c r="AG147" s="28">
        <f ca="1">SUMIF(Asig_OT,Z147,Asig_paño_Pin)*'Costos x MO'!$B$5*'Costos x MO'!$B$7</f>
        <v>0</v>
      </c>
      <c r="AH147" s="28">
        <f ca="1">(SUMIF(Asig_OT,Z147,Asig_Terc_Pla)*'Costos x MO'!$B$7)+(SUMIF(Asig_OT,Z147,Asig_Terc_Pin)*'Costos x MO'!$B$7)</f>
        <v>0</v>
      </c>
      <c r="AI147" s="28">
        <f t="shared" ca="1" si="63"/>
        <v>134.96504999999999</v>
      </c>
      <c r="AJ147" s="28">
        <f t="shared" ca="1" si="64"/>
        <v>314.03494999999998</v>
      </c>
      <c r="AK147" s="31">
        <f t="shared" ca="1" si="65"/>
        <v>0.69940968819599103</v>
      </c>
      <c r="AL147" s="28" t="str">
        <f t="shared" ca="1" si="66"/>
        <v>C.C</v>
      </c>
      <c r="AM147" s="28" t="str">
        <f t="shared" ca="1" si="67"/>
        <v>MECANICA</v>
      </c>
      <c r="AN147" s="30" t="str">
        <f t="shared" ca="1" si="68"/>
        <v>November</v>
      </c>
      <c r="AO147" s="42">
        <f t="shared" ca="1" si="69"/>
        <v>2019</v>
      </c>
      <c r="AP147" s="42">
        <f t="shared" ca="1" si="70"/>
        <v>6</v>
      </c>
      <c r="AQ147" s="26">
        <v>1</v>
      </c>
      <c r="AR147" s="30">
        <f t="shared" ca="1" si="71"/>
        <v>43775</v>
      </c>
      <c r="AS147" s="30" t="str">
        <f t="shared" ca="1" si="72"/>
        <v>C4W-101</v>
      </c>
      <c r="AT147" s="26" t="str">
        <f t="shared" ca="1" si="73"/>
        <v>CHEVROLET</v>
      </c>
      <c r="AU147" s="26" t="str">
        <f t="shared" ca="1" si="74"/>
        <v>CRUZE</v>
      </c>
      <c r="AV147" s="26" t="str">
        <f t="shared" ca="1" si="75"/>
        <v>MONTEZA SAAVEDRA RODOLFO</v>
      </c>
    </row>
    <row r="148" spans="1:48" x14ac:dyDescent="0.2">
      <c r="A148" s="172">
        <v>43767</v>
      </c>
      <c r="B148" s="173" t="s">
        <v>68</v>
      </c>
      <c r="C148" s="173" t="s">
        <v>102</v>
      </c>
      <c r="D148" s="173" t="s">
        <v>657</v>
      </c>
      <c r="E148" s="173" t="s">
        <v>781</v>
      </c>
      <c r="F148" s="173" t="s">
        <v>950</v>
      </c>
      <c r="G148" s="172">
        <v>43743</v>
      </c>
      <c r="H148" s="173" t="s">
        <v>1145</v>
      </c>
      <c r="I148" s="173" t="s">
        <v>1146</v>
      </c>
      <c r="J148" s="173" t="s">
        <v>92</v>
      </c>
      <c r="K148" s="173" t="s">
        <v>113</v>
      </c>
      <c r="L148" s="174" t="s">
        <v>71</v>
      </c>
      <c r="M148" s="175" t="s">
        <v>72</v>
      </c>
      <c r="N148" s="173" t="s">
        <v>73</v>
      </c>
      <c r="O148" s="176" t="s">
        <v>69</v>
      </c>
      <c r="P148" s="130" t="s">
        <v>113</v>
      </c>
      <c r="Q148" s="177" t="s">
        <v>74</v>
      </c>
      <c r="R148" s="178">
        <v>3.335</v>
      </c>
      <c r="S148" s="179">
        <v>1</v>
      </c>
      <c r="T148" s="179">
        <v>525</v>
      </c>
      <c r="U148" s="179">
        <v>525</v>
      </c>
      <c r="V148" s="179">
        <v>94.5</v>
      </c>
      <c r="W148" s="179">
        <v>619.5</v>
      </c>
      <c r="X148" s="27">
        <f t="shared" si="76"/>
        <v>525</v>
      </c>
      <c r="Y148" s="29">
        <f ca="1">VLOOKUP(Z148,CHOOSE({2,1},Fac_Fecha,Fac_OT),2,0)</f>
        <v>43781</v>
      </c>
      <c r="Z148" s="26" t="s">
        <v>1318</v>
      </c>
      <c r="AA148" s="28">
        <f t="shared" ca="1" si="60"/>
        <v>867.5</v>
      </c>
      <c r="AB148" s="28">
        <f ca="1">SUMIF(Salida_OT,Facturacion!Z148,Salida_Suma)</f>
        <v>822.02598999999998</v>
      </c>
      <c r="AC148" s="28">
        <f t="shared" ca="1" si="61"/>
        <v>0</v>
      </c>
      <c r="AD148" s="28">
        <f t="shared" ca="1" si="62"/>
        <v>0</v>
      </c>
      <c r="AE148" s="28">
        <f ca="1">(SUMIF(Asig_OT,Z148,Asig_Hora_Mec))*'Costos x MO'!$B$6*'Costos x MO'!$B$7</f>
        <v>40.250250000000001</v>
      </c>
      <c r="AF148" s="28">
        <f ca="1">SUMIF(Asig_OT,Z148,Asig_Hora_Pla)*'Costos x MO'!$B$4*'Costos x MO'!$B$7</f>
        <v>0</v>
      </c>
      <c r="AG148" s="28">
        <f ca="1">SUMIF(Asig_OT,Z148,Asig_paño_Pin)*'Costos x MO'!$B$5*'Costos x MO'!$B$7</f>
        <v>0</v>
      </c>
      <c r="AH148" s="28">
        <f ca="1">(SUMIF(Asig_OT,Z148,Asig_Terc_Pla)*'Costos x MO'!$B$7)+(SUMIF(Asig_OT,Z148,Asig_Terc_Pin)*'Costos x MO'!$B$7)</f>
        <v>0</v>
      </c>
      <c r="AI148" s="28">
        <f t="shared" ca="1" si="63"/>
        <v>862.27624000000003</v>
      </c>
      <c r="AJ148" s="28">
        <f t="shared" ca="1" si="64"/>
        <v>5.2237599999999702</v>
      </c>
      <c r="AK148" s="31">
        <f t="shared" ca="1" si="65"/>
        <v>6.021625360230513E-3</v>
      </c>
      <c r="AL148" s="28" t="str">
        <f t="shared" ca="1" si="66"/>
        <v>C.C</v>
      </c>
      <c r="AM148" s="28" t="str">
        <f t="shared" ca="1" si="67"/>
        <v>MECANICA</v>
      </c>
      <c r="AN148" s="30" t="str">
        <f t="shared" ca="1" si="68"/>
        <v>November</v>
      </c>
      <c r="AO148" s="42">
        <f t="shared" ca="1" si="69"/>
        <v>2019</v>
      </c>
      <c r="AP148" s="42">
        <f t="shared" ca="1" si="70"/>
        <v>4</v>
      </c>
      <c r="AQ148" s="26">
        <v>1</v>
      </c>
      <c r="AR148" s="30">
        <f t="shared" ca="1" si="71"/>
        <v>43777</v>
      </c>
      <c r="AS148" s="30" t="str">
        <f t="shared" ca="1" si="72"/>
        <v>C4W-101</v>
      </c>
      <c r="AT148" s="26" t="str">
        <f t="shared" ca="1" si="73"/>
        <v>CHEVROLET</v>
      </c>
      <c r="AU148" s="26" t="str">
        <f t="shared" ca="1" si="74"/>
        <v>CRUZE</v>
      </c>
      <c r="AV148" s="26" t="str">
        <f t="shared" ca="1" si="75"/>
        <v>MONTEZA SAAVEDRA RODOLFO</v>
      </c>
    </row>
    <row r="149" spans="1:48" x14ac:dyDescent="0.2">
      <c r="A149" s="172">
        <v>43767</v>
      </c>
      <c r="B149" s="173" t="s">
        <v>68</v>
      </c>
      <c r="C149" s="173" t="s">
        <v>102</v>
      </c>
      <c r="D149" s="173" t="s">
        <v>657</v>
      </c>
      <c r="E149" s="173" t="s">
        <v>781</v>
      </c>
      <c r="F149" s="173" t="s">
        <v>950</v>
      </c>
      <c r="G149" s="172">
        <v>43743</v>
      </c>
      <c r="H149" s="173" t="s">
        <v>1145</v>
      </c>
      <c r="I149" s="173" t="s">
        <v>1146</v>
      </c>
      <c r="J149" s="173" t="s">
        <v>70</v>
      </c>
      <c r="K149" s="173" t="s">
        <v>112</v>
      </c>
      <c r="L149" s="174" t="s">
        <v>71</v>
      </c>
      <c r="M149" s="175" t="s">
        <v>72</v>
      </c>
      <c r="N149" s="173" t="s">
        <v>73</v>
      </c>
      <c r="O149" s="176" t="s">
        <v>69</v>
      </c>
      <c r="P149" s="130" t="s">
        <v>447</v>
      </c>
      <c r="Q149" s="177" t="s">
        <v>74</v>
      </c>
      <c r="R149" s="178">
        <v>3.335</v>
      </c>
      <c r="S149" s="179">
        <v>1</v>
      </c>
      <c r="T149" s="179">
        <v>510</v>
      </c>
      <c r="U149" s="179">
        <v>510</v>
      </c>
      <c r="V149" s="179">
        <v>91.799990000000037</v>
      </c>
      <c r="W149" s="179">
        <v>601.79998999999998</v>
      </c>
      <c r="X149" s="27">
        <f t="shared" si="76"/>
        <v>510</v>
      </c>
      <c r="Y149" s="29">
        <f ca="1">VLOOKUP(Z149,CHOOSE({2,1},Fac_Fecha,Fac_OT),2,0)</f>
        <v>43783</v>
      </c>
      <c r="Z149" s="26" t="s">
        <v>1325</v>
      </c>
      <c r="AA149" s="28">
        <f t="shared" ca="1" si="60"/>
        <v>287.48625996799996</v>
      </c>
      <c r="AB149" s="28">
        <f ca="1">SUMIF(Salida_OT,Facturacion!Z149,Salida_Suma)</f>
        <v>0</v>
      </c>
      <c r="AC149" s="28">
        <f t="shared" ca="1" si="61"/>
        <v>0</v>
      </c>
      <c r="AD149" s="28">
        <f t="shared" ca="1" si="62"/>
        <v>0</v>
      </c>
      <c r="AE149" s="28">
        <f ca="1">(SUMIF(Asig_OT,Z149,Asig_Hora_Mec))*'Costos x MO'!$B$6*'Costos x MO'!$B$7</f>
        <v>0</v>
      </c>
      <c r="AF149" s="28">
        <f ca="1">SUMIF(Asig_OT,Z149,Asig_Hora_Pla)*'Costos x MO'!$B$4*'Costos x MO'!$B$7</f>
        <v>15.075000000000001</v>
      </c>
      <c r="AG149" s="28">
        <f ca="1">SUMIF(Asig_OT,Z149,Asig_paño_Pin)*'Costos x MO'!$B$5*'Costos x MO'!$B$7</f>
        <v>70.350000000000009</v>
      </c>
      <c r="AH149" s="28">
        <f ca="1">(SUMIF(Asig_OT,Z149,Asig_Terc_Pla)*'Costos x MO'!$B$7)+(SUMIF(Asig_OT,Z149,Asig_Terc_Pin)*'Costos x MO'!$B$7)</f>
        <v>0</v>
      </c>
      <c r="AI149" s="28">
        <f t="shared" ca="1" si="63"/>
        <v>85.425000000000011</v>
      </c>
      <c r="AJ149" s="28">
        <f t="shared" ca="1" si="64"/>
        <v>202.06125996799994</v>
      </c>
      <c r="AK149" s="31">
        <f t="shared" ca="1" si="65"/>
        <v>0.70285536425459549</v>
      </c>
      <c r="AL149" s="28" t="str">
        <f t="shared" ca="1" si="66"/>
        <v>C.C</v>
      </c>
      <c r="AM149" s="28" t="str">
        <f t="shared" ca="1" si="67"/>
        <v>LEVE</v>
      </c>
      <c r="AN149" s="30" t="str">
        <f t="shared" ca="1" si="68"/>
        <v>November</v>
      </c>
      <c r="AO149" s="42">
        <f t="shared" ca="1" si="69"/>
        <v>2019</v>
      </c>
      <c r="AP149" s="42">
        <f t="shared" ca="1" si="70"/>
        <v>3</v>
      </c>
      <c r="AQ149" s="26">
        <v>1</v>
      </c>
      <c r="AR149" s="30">
        <f t="shared" ca="1" si="71"/>
        <v>43780</v>
      </c>
      <c r="AS149" s="30" t="str">
        <f t="shared" ca="1" si="72"/>
        <v>B8U-602</v>
      </c>
      <c r="AT149" s="26" t="str">
        <f t="shared" ca="1" si="73"/>
        <v>SUBARU</v>
      </c>
      <c r="AU149" s="26" t="str">
        <f t="shared" ca="1" si="74"/>
        <v>FORESTER</v>
      </c>
      <c r="AV149" s="26" t="str">
        <f t="shared" ca="1" si="75"/>
        <v>NUÑEZ SALINAS RAUL ENRIQUE</v>
      </c>
    </row>
    <row r="150" spans="1:48" x14ac:dyDescent="0.2">
      <c r="A150" s="172">
        <v>43767</v>
      </c>
      <c r="B150" s="173" t="s">
        <v>68</v>
      </c>
      <c r="C150" s="173" t="s">
        <v>102</v>
      </c>
      <c r="D150" s="173" t="s">
        <v>657</v>
      </c>
      <c r="E150" s="173" t="s">
        <v>781</v>
      </c>
      <c r="F150" s="173" t="s">
        <v>950</v>
      </c>
      <c r="G150" s="172">
        <v>43743</v>
      </c>
      <c r="H150" s="173" t="s">
        <v>1145</v>
      </c>
      <c r="I150" s="173" t="s">
        <v>1146</v>
      </c>
      <c r="J150" s="173" t="s">
        <v>104</v>
      </c>
      <c r="K150" s="173" t="s">
        <v>105</v>
      </c>
      <c r="L150" s="174" t="s">
        <v>71</v>
      </c>
      <c r="M150" s="175" t="s">
        <v>72</v>
      </c>
      <c r="N150" s="173" t="s">
        <v>73</v>
      </c>
      <c r="O150" s="176" t="s">
        <v>69</v>
      </c>
      <c r="P150" s="173" t="s">
        <v>105</v>
      </c>
      <c r="Q150" s="177" t="s">
        <v>74</v>
      </c>
      <c r="R150" s="178">
        <v>3.335</v>
      </c>
      <c r="S150" s="179">
        <v>1</v>
      </c>
      <c r="T150" s="179">
        <v>2221</v>
      </c>
      <c r="U150" s="179">
        <v>2221</v>
      </c>
      <c r="V150" s="179">
        <v>399.78</v>
      </c>
      <c r="W150" s="179">
        <v>2620.7800000000002</v>
      </c>
      <c r="X150" s="27">
        <f t="shared" si="76"/>
        <v>2221</v>
      </c>
      <c r="Y150" s="29">
        <f ca="1">VLOOKUP(Z150,CHOOSE({2,1},Fac_Fecha,Fac_OT),2,0)</f>
        <v>43783</v>
      </c>
      <c r="Z150" s="26" t="s">
        <v>1252</v>
      </c>
      <c r="AA150" s="28">
        <f t="shared" ca="1" si="60"/>
        <v>450</v>
      </c>
      <c r="AB150" s="28">
        <f ca="1">SUMIF(Salida_OT,Facturacion!Z150,Salida_Suma)</f>
        <v>112.27309794999998</v>
      </c>
      <c r="AC150" s="28">
        <f t="shared" ca="1" si="61"/>
        <v>20.34</v>
      </c>
      <c r="AD150" s="28">
        <f t="shared" ca="1" si="62"/>
        <v>0</v>
      </c>
      <c r="AE150" s="28">
        <f ca="1">(SUMIF(Asig_OT,Z150,Asig_Hora_Mec))*'Costos x MO'!$B$6*'Costos x MO'!$B$7</f>
        <v>40.250250000000001</v>
      </c>
      <c r="AF150" s="28">
        <f ca="1">SUMIF(Asig_OT,Z150,Asig_Hora_Pla)*'Costos x MO'!$B$4*'Costos x MO'!$B$7</f>
        <v>0</v>
      </c>
      <c r="AG150" s="28">
        <f ca="1">SUMIF(Asig_OT,Z150,Asig_paño_Pin)*'Costos x MO'!$B$5*'Costos x MO'!$B$7</f>
        <v>0</v>
      </c>
      <c r="AH150" s="28">
        <f ca="1">(SUMIF(Asig_OT,Z150,Asig_Terc_Pla)*'Costos x MO'!$B$7)+(SUMIF(Asig_OT,Z150,Asig_Terc_Pin)*'Costos x MO'!$B$7)</f>
        <v>0</v>
      </c>
      <c r="AI150" s="28">
        <f t="shared" ca="1" si="63"/>
        <v>172.86334794999996</v>
      </c>
      <c r="AJ150" s="28">
        <f t="shared" ca="1" si="64"/>
        <v>277.13665205000007</v>
      </c>
      <c r="AK150" s="31">
        <f t="shared" ca="1" si="65"/>
        <v>0.61585922677777793</v>
      </c>
      <c r="AL150" s="28" t="str">
        <f t="shared" ca="1" si="66"/>
        <v>C.C</v>
      </c>
      <c r="AM150" s="28" t="str">
        <f t="shared" ca="1" si="67"/>
        <v>MECANICA</v>
      </c>
      <c r="AN150" s="30" t="str">
        <f t="shared" ca="1" si="68"/>
        <v>November</v>
      </c>
      <c r="AO150" s="42">
        <f t="shared" ca="1" si="69"/>
        <v>2019</v>
      </c>
      <c r="AP150" s="42">
        <f t="shared" ca="1" si="70"/>
        <v>0</v>
      </c>
      <c r="AQ150" s="26">
        <v>1</v>
      </c>
      <c r="AR150" s="30">
        <f t="shared" ca="1" si="71"/>
        <v>43783</v>
      </c>
      <c r="AS150" s="30" t="str">
        <f t="shared" ca="1" si="72"/>
        <v>A2Q-372</v>
      </c>
      <c r="AT150" s="26" t="str">
        <f t="shared" ca="1" si="73"/>
        <v>FORD</v>
      </c>
      <c r="AU150" s="26" t="str">
        <f t="shared" ca="1" si="74"/>
        <v>EXPLORER</v>
      </c>
      <c r="AV150" s="26" t="str">
        <f t="shared" ca="1" si="75"/>
        <v>SALVATIERRA YARACSA KARINA</v>
      </c>
    </row>
    <row r="151" spans="1:48" x14ac:dyDescent="0.2">
      <c r="A151" s="172">
        <v>43767</v>
      </c>
      <c r="B151" s="173" t="s">
        <v>68</v>
      </c>
      <c r="C151" s="173" t="s">
        <v>102</v>
      </c>
      <c r="D151" s="173" t="s">
        <v>656</v>
      </c>
      <c r="E151" s="173" t="s">
        <v>768</v>
      </c>
      <c r="F151" s="173" t="s">
        <v>931</v>
      </c>
      <c r="G151" s="172">
        <v>43747</v>
      </c>
      <c r="H151" s="173" t="s">
        <v>1145</v>
      </c>
      <c r="I151" s="173" t="s">
        <v>1146</v>
      </c>
      <c r="J151" s="173" t="s">
        <v>97</v>
      </c>
      <c r="K151" s="173" t="s">
        <v>98</v>
      </c>
      <c r="L151" s="174" t="s">
        <v>71</v>
      </c>
      <c r="M151" s="175" t="s">
        <v>72</v>
      </c>
      <c r="N151" s="173" t="s">
        <v>73</v>
      </c>
      <c r="O151" s="176" t="s">
        <v>99</v>
      </c>
      <c r="P151" s="173" t="s">
        <v>98</v>
      </c>
      <c r="Q151" s="177" t="s">
        <v>74</v>
      </c>
      <c r="R151" s="178">
        <v>3.335</v>
      </c>
      <c r="S151" s="179">
        <v>1</v>
      </c>
      <c r="T151" s="179">
        <v>1248.7542000000003</v>
      </c>
      <c r="U151" s="179">
        <v>1248.7542000000001</v>
      </c>
      <c r="V151" s="179">
        <v>224.77579999999972</v>
      </c>
      <c r="W151" s="179">
        <v>1473.53</v>
      </c>
      <c r="X151" s="27">
        <f t="shared" si="76"/>
        <v>1248.7542000000001</v>
      </c>
      <c r="Y151" s="29">
        <f ca="1">VLOOKUP(Z151,CHOOSE({2,1},Fac_Fecha,Fac_OT),2,0)</f>
        <v>43785</v>
      </c>
      <c r="Z151" s="26" t="s">
        <v>1354</v>
      </c>
      <c r="AA151" s="28">
        <f t="shared" ca="1" si="60"/>
        <v>349</v>
      </c>
      <c r="AB151" s="28">
        <f ca="1">SUMIF(Salida_OT,Facturacion!Z151,Salida_Suma)</f>
        <v>121.7889</v>
      </c>
      <c r="AC151" s="28">
        <f t="shared" ca="1" si="61"/>
        <v>0</v>
      </c>
      <c r="AD151" s="28">
        <f t="shared" ca="1" si="62"/>
        <v>42.37</v>
      </c>
      <c r="AE151" s="28">
        <f ca="1">(SUMIF(Asig_OT,Z151,Asig_Hora_Mec))*'Costos x MO'!$B$6*'Costos x MO'!$B$7</f>
        <v>40.250250000000001</v>
      </c>
      <c r="AF151" s="28">
        <f ca="1">SUMIF(Asig_OT,Z151,Asig_Hora_Pla)*'Costos x MO'!$B$4*'Costos x MO'!$B$7</f>
        <v>0</v>
      </c>
      <c r="AG151" s="28">
        <f ca="1">SUMIF(Asig_OT,Z151,Asig_paño_Pin)*'Costos x MO'!$B$5*'Costos x MO'!$B$7</f>
        <v>0</v>
      </c>
      <c r="AH151" s="28">
        <f ca="1">(SUMIF(Asig_OT,Z151,Asig_Terc_Pla)*'Costos x MO'!$B$7)+(SUMIF(Asig_OT,Z151,Asig_Terc_Pin)*'Costos x MO'!$B$7)</f>
        <v>0</v>
      </c>
      <c r="AI151" s="28">
        <f t="shared" ca="1" si="63"/>
        <v>204.40914999999998</v>
      </c>
      <c r="AJ151" s="28">
        <f t="shared" ca="1" si="64"/>
        <v>144.59085000000002</v>
      </c>
      <c r="AK151" s="31">
        <f t="shared" ca="1" si="65"/>
        <v>0.41430042979942699</v>
      </c>
      <c r="AL151" s="28" t="str">
        <f t="shared" ca="1" si="66"/>
        <v>C.C</v>
      </c>
      <c r="AM151" s="28" t="str">
        <f t="shared" ca="1" si="67"/>
        <v>MECANICA</v>
      </c>
      <c r="AN151" s="30" t="str">
        <f t="shared" ca="1" si="68"/>
        <v>November</v>
      </c>
      <c r="AO151" s="42">
        <f t="shared" ca="1" si="69"/>
        <v>2019</v>
      </c>
      <c r="AP151" s="42">
        <f t="shared" ca="1" si="70"/>
        <v>0</v>
      </c>
      <c r="AQ151" s="26">
        <v>1</v>
      </c>
      <c r="AR151" s="30">
        <f t="shared" ca="1" si="71"/>
        <v>43785</v>
      </c>
      <c r="AS151" s="30" t="str">
        <f t="shared" ca="1" si="72"/>
        <v>APE-333</v>
      </c>
      <c r="AT151" s="26" t="str">
        <f t="shared" ca="1" si="73"/>
        <v>VOLKSWAGEN</v>
      </c>
      <c r="AU151" s="26" t="str">
        <f t="shared" ca="1" si="74"/>
        <v>GOL</v>
      </c>
      <c r="AV151" s="26" t="str">
        <f t="shared" ca="1" si="75"/>
        <v>ALIAGA MORALES GUSTAVO</v>
      </c>
    </row>
    <row r="152" spans="1:48" x14ac:dyDescent="0.2">
      <c r="A152" s="172">
        <v>43767</v>
      </c>
      <c r="B152" s="173" t="s">
        <v>68</v>
      </c>
      <c r="C152" s="173" t="s">
        <v>102</v>
      </c>
      <c r="D152" s="173" t="s">
        <v>656</v>
      </c>
      <c r="E152" s="173" t="s">
        <v>768</v>
      </c>
      <c r="F152" s="173" t="s">
        <v>931</v>
      </c>
      <c r="G152" s="172">
        <v>43747</v>
      </c>
      <c r="H152" s="173" t="s">
        <v>1145</v>
      </c>
      <c r="I152" s="173" t="s">
        <v>1146</v>
      </c>
      <c r="J152" s="173" t="s">
        <v>100</v>
      </c>
      <c r="K152" s="173" t="s">
        <v>101</v>
      </c>
      <c r="L152" s="174" t="s">
        <v>71</v>
      </c>
      <c r="M152" s="175" t="s">
        <v>72</v>
      </c>
      <c r="N152" s="173" t="s">
        <v>73</v>
      </c>
      <c r="O152" s="176" t="s">
        <v>72</v>
      </c>
      <c r="P152" s="130" t="s">
        <v>101</v>
      </c>
      <c r="Q152" s="177" t="s">
        <v>74</v>
      </c>
      <c r="R152" s="178">
        <v>3.335</v>
      </c>
      <c r="S152" s="179">
        <v>1</v>
      </c>
      <c r="T152" s="179">
        <v>560</v>
      </c>
      <c r="U152" s="179">
        <v>560</v>
      </c>
      <c r="V152" s="179">
        <v>100.79998999999997</v>
      </c>
      <c r="W152" s="179">
        <v>660.79998999999998</v>
      </c>
      <c r="X152" s="27">
        <f t="shared" si="76"/>
        <v>560</v>
      </c>
      <c r="Y152" s="29">
        <f ca="1">VLOOKUP(Z152,CHOOSE({2,1},Fac_Fecha,Fac_OT),2,0)</f>
        <v>43787</v>
      </c>
      <c r="Z152" s="26" t="s">
        <v>1287</v>
      </c>
      <c r="AA152" s="28">
        <f t="shared" ca="1" si="60"/>
        <v>1686.4999837299988</v>
      </c>
      <c r="AB152" s="28">
        <f ca="1">SUMIF(Salida_OT,Facturacion!Z152,Salida_Suma)</f>
        <v>0</v>
      </c>
      <c r="AC152" s="28">
        <f t="shared" ca="1" si="61"/>
        <v>0</v>
      </c>
      <c r="AD152" s="28">
        <f t="shared" ca="1" si="62"/>
        <v>0</v>
      </c>
      <c r="AE152" s="28">
        <f ca="1">(SUMIF(Asig_OT,Z152,Asig_Hora_Mec))*'Costos x MO'!$B$6*'Costos x MO'!$B$7</f>
        <v>0</v>
      </c>
      <c r="AF152" s="28">
        <f ca="1">SUMIF(Asig_OT,Z152,Asig_Hora_Pla)*'Costos x MO'!$B$4*'Costos x MO'!$B$7</f>
        <v>90.45</v>
      </c>
      <c r="AG152" s="28">
        <f ca="1">SUMIF(Asig_OT,Z152,Asig_paño_Pin)*'Costos x MO'!$B$5*'Costos x MO'!$B$7</f>
        <v>369.33750000000003</v>
      </c>
      <c r="AH152" s="28">
        <f ca="1">(SUMIF(Asig_OT,Z152,Asig_Terc_Pla)*'Costos x MO'!$B$7)+(SUMIF(Asig_OT,Z152,Asig_Terc_Pin)*'Costos x MO'!$B$7)</f>
        <v>0</v>
      </c>
      <c r="AI152" s="28">
        <f t="shared" ca="1" si="63"/>
        <v>459.78750000000002</v>
      </c>
      <c r="AJ152" s="28">
        <f t="shared" ca="1" si="64"/>
        <v>1226.7124837299989</v>
      </c>
      <c r="AK152" s="31">
        <f t="shared" ca="1" si="65"/>
        <v>0.7273717732370818</v>
      </c>
      <c r="AL152" s="28" t="str">
        <f t="shared" ca="1" si="66"/>
        <v>RIMAC</v>
      </c>
      <c r="AM152" s="28" t="str">
        <f t="shared" ca="1" si="67"/>
        <v>LEVE</v>
      </c>
      <c r="AN152" s="30" t="str">
        <f t="shared" ca="1" si="68"/>
        <v>November</v>
      </c>
      <c r="AO152" s="42">
        <f t="shared" ca="1" si="69"/>
        <v>2019</v>
      </c>
      <c r="AP152" s="42">
        <f t="shared" ca="1" si="70"/>
        <v>14</v>
      </c>
      <c r="AQ152" s="26">
        <v>1</v>
      </c>
      <c r="AR152" s="30">
        <f t="shared" ca="1" si="71"/>
        <v>43773</v>
      </c>
      <c r="AS152" s="30" t="str">
        <f t="shared" ca="1" si="72"/>
        <v>ATF-661</v>
      </c>
      <c r="AT152" s="26" t="str">
        <f t="shared" ca="1" si="73"/>
        <v>HONDA</v>
      </c>
      <c r="AU152" s="26" t="str">
        <f t="shared" ca="1" si="74"/>
        <v>PILOT</v>
      </c>
      <c r="AV152" s="26" t="str">
        <f t="shared" ca="1" si="75"/>
        <v>PRIETO DUCLOS MARIA ELSA</v>
      </c>
    </row>
    <row r="153" spans="1:48" x14ac:dyDescent="0.2">
      <c r="A153" s="172">
        <v>43767</v>
      </c>
      <c r="B153" s="173" t="s">
        <v>68</v>
      </c>
      <c r="C153" s="173" t="s">
        <v>102</v>
      </c>
      <c r="D153" s="173" t="s">
        <v>656</v>
      </c>
      <c r="E153" s="173" t="s">
        <v>768</v>
      </c>
      <c r="F153" s="173" t="s">
        <v>931</v>
      </c>
      <c r="G153" s="172">
        <v>43747</v>
      </c>
      <c r="H153" s="173" t="s">
        <v>1145</v>
      </c>
      <c r="I153" s="173" t="s">
        <v>1146</v>
      </c>
      <c r="J153" s="173" t="s">
        <v>92</v>
      </c>
      <c r="K153" s="173" t="s">
        <v>113</v>
      </c>
      <c r="L153" s="174" t="s">
        <v>71</v>
      </c>
      <c r="M153" s="175" t="s">
        <v>72</v>
      </c>
      <c r="N153" s="173" t="s">
        <v>73</v>
      </c>
      <c r="O153" s="176" t="s">
        <v>69</v>
      </c>
      <c r="P153" s="130" t="s">
        <v>113</v>
      </c>
      <c r="Q153" s="177" t="s">
        <v>74</v>
      </c>
      <c r="R153" s="178">
        <v>3.335</v>
      </c>
      <c r="S153" s="179">
        <v>1</v>
      </c>
      <c r="T153" s="179">
        <v>190</v>
      </c>
      <c r="U153" s="179">
        <v>190</v>
      </c>
      <c r="V153" s="179">
        <v>34.200000000000003</v>
      </c>
      <c r="W153" s="179">
        <v>224.2</v>
      </c>
      <c r="X153" s="27">
        <f t="shared" si="76"/>
        <v>190</v>
      </c>
      <c r="Y153" s="29">
        <f ca="1">VLOOKUP(Z153,CHOOSE({2,1},Fac_Fecha,Fac_OT),2,0)</f>
        <v>43787</v>
      </c>
      <c r="Z153" s="26" t="s">
        <v>1341</v>
      </c>
      <c r="AA153" s="28">
        <f t="shared" ca="1" si="60"/>
        <v>337.29998999999998</v>
      </c>
      <c r="AB153" s="28">
        <f ca="1">SUMIF(Salida_OT,Facturacion!Z153,Salida_Suma)</f>
        <v>0</v>
      </c>
      <c r="AC153" s="28">
        <f t="shared" ca="1" si="61"/>
        <v>0</v>
      </c>
      <c r="AD153" s="28">
        <f t="shared" ca="1" si="62"/>
        <v>0</v>
      </c>
      <c r="AE153" s="28">
        <f ca="1">(SUMIF(Asig_OT,Z153,Asig_Hora_Mec))*'Costos x MO'!$B$6*'Costos x MO'!$B$7</f>
        <v>0</v>
      </c>
      <c r="AF153" s="28">
        <f ca="1">SUMIF(Asig_OT,Z153,Asig_Hora_Pla)*'Costos x MO'!$B$4*'Costos x MO'!$B$7</f>
        <v>37.6875</v>
      </c>
      <c r="AG153" s="28">
        <f ca="1">SUMIF(Asig_OT,Z153,Asig_paño_Pin)*'Costos x MO'!$B$5*'Costos x MO'!$B$7</f>
        <v>70.350000000000009</v>
      </c>
      <c r="AH153" s="28">
        <f ca="1">(SUMIF(Asig_OT,Z153,Asig_Terc_Pla)*'Costos x MO'!$B$7)+(SUMIF(Asig_OT,Z153,Asig_Terc_Pin)*'Costos x MO'!$B$7)</f>
        <v>0</v>
      </c>
      <c r="AI153" s="28">
        <f t="shared" ca="1" si="63"/>
        <v>108.03750000000001</v>
      </c>
      <c r="AJ153" s="28">
        <f t="shared" ca="1" si="64"/>
        <v>229.26248999999996</v>
      </c>
      <c r="AK153" s="31">
        <f t="shared" ca="1" si="65"/>
        <v>0.6796990714408262</v>
      </c>
      <c r="AL153" s="28" t="str">
        <f t="shared" ca="1" si="66"/>
        <v>C.C</v>
      </c>
      <c r="AM153" s="28" t="str">
        <f t="shared" ca="1" si="67"/>
        <v>LEVE</v>
      </c>
      <c r="AN153" s="30" t="str">
        <f t="shared" ca="1" si="68"/>
        <v>November</v>
      </c>
      <c r="AO153" s="42">
        <f t="shared" ca="1" si="69"/>
        <v>2019</v>
      </c>
      <c r="AP153" s="42">
        <f t="shared" ca="1" si="70"/>
        <v>6</v>
      </c>
      <c r="AQ153" s="26">
        <v>1</v>
      </c>
      <c r="AR153" s="30">
        <f t="shared" ca="1" si="71"/>
        <v>43781</v>
      </c>
      <c r="AS153" s="30" t="str">
        <f t="shared" ca="1" si="72"/>
        <v>ATT-292</v>
      </c>
      <c r="AT153" s="26" t="str">
        <f t="shared" ca="1" si="73"/>
        <v>CHEVROLET</v>
      </c>
      <c r="AU153" s="26" t="str">
        <f t="shared" ca="1" si="74"/>
        <v>CRUZE</v>
      </c>
      <c r="AV153" s="26" t="str">
        <f t="shared" ca="1" si="75"/>
        <v>JAYO PACHECO JORGE LUIS</v>
      </c>
    </row>
    <row r="154" spans="1:48" x14ac:dyDescent="0.2">
      <c r="A154" s="172">
        <v>43767</v>
      </c>
      <c r="B154" s="173" t="s">
        <v>68</v>
      </c>
      <c r="C154" s="173" t="s">
        <v>102</v>
      </c>
      <c r="D154" s="173" t="s">
        <v>656</v>
      </c>
      <c r="E154" s="173" t="s">
        <v>768</v>
      </c>
      <c r="F154" s="173" t="s">
        <v>931</v>
      </c>
      <c r="G154" s="172">
        <v>43747</v>
      </c>
      <c r="H154" s="173" t="s">
        <v>1145</v>
      </c>
      <c r="I154" s="173" t="s">
        <v>1146</v>
      </c>
      <c r="J154" s="173" t="s">
        <v>70</v>
      </c>
      <c r="K154" s="173" t="s">
        <v>112</v>
      </c>
      <c r="L154" s="174" t="s">
        <v>71</v>
      </c>
      <c r="M154" s="175" t="s">
        <v>72</v>
      </c>
      <c r="N154" s="173" t="s">
        <v>73</v>
      </c>
      <c r="O154" s="176" t="s">
        <v>69</v>
      </c>
      <c r="P154" s="130" t="s">
        <v>447</v>
      </c>
      <c r="Q154" s="177" t="s">
        <v>74</v>
      </c>
      <c r="R154" s="178">
        <v>3.335</v>
      </c>
      <c r="S154" s="179">
        <v>1</v>
      </c>
      <c r="T154" s="179">
        <v>230</v>
      </c>
      <c r="U154" s="179">
        <v>230</v>
      </c>
      <c r="V154" s="179">
        <v>41.39998999999996</v>
      </c>
      <c r="W154" s="179">
        <v>271.39998999999995</v>
      </c>
      <c r="X154" s="27">
        <f t="shared" si="76"/>
        <v>230</v>
      </c>
      <c r="Y154" s="29">
        <f ca="1">VLOOKUP(Z154,CHOOSE({2,1},Fac_Fecha,Fac_OT),2,0)</f>
        <v>43789</v>
      </c>
      <c r="Z154" s="26" t="s">
        <v>1715</v>
      </c>
      <c r="AA154" s="28">
        <f t="shared" ca="1" si="60"/>
        <v>260</v>
      </c>
      <c r="AB154" s="28">
        <f ca="1">SUMIF(Salida_OT,Facturacion!Z154,Salida_Suma)</f>
        <v>160</v>
      </c>
      <c r="AC154" s="28">
        <f t="shared" ca="1" si="61"/>
        <v>0</v>
      </c>
      <c r="AD154" s="28">
        <f t="shared" ca="1" si="62"/>
        <v>0</v>
      </c>
      <c r="AE154" s="28">
        <f ca="1">(SUMIF(Asig_OT,Z154,Asig_Hora_Mec))*'Costos x MO'!$B$6*'Costos x MO'!$B$7</f>
        <v>0</v>
      </c>
      <c r="AF154" s="28">
        <f ca="1">SUMIF(Asig_OT,Z154,Asig_Hora_Pla)*'Costos x MO'!$B$4*'Costos x MO'!$B$7</f>
        <v>0</v>
      </c>
      <c r="AG154" s="28">
        <f ca="1">SUMIF(Asig_OT,Z154,Asig_paño_Pin)*'Costos x MO'!$B$5*'Costos x MO'!$B$7</f>
        <v>0</v>
      </c>
      <c r="AH154" s="28">
        <f ca="1">(SUMIF(Asig_OT,Z154,Asig_Terc_Pla)*'Costos x MO'!$B$7)+(SUMIF(Asig_OT,Z154,Asig_Terc_Pin)*'Costos x MO'!$B$7)</f>
        <v>0</v>
      </c>
      <c r="AI154" s="28">
        <f t="shared" ca="1" si="63"/>
        <v>160</v>
      </c>
      <c r="AJ154" s="28">
        <f t="shared" ca="1" si="64"/>
        <v>100</v>
      </c>
      <c r="AK154" s="31">
        <f t="shared" ca="1" si="65"/>
        <v>0.38461538461538464</v>
      </c>
      <c r="AL154" s="28" t="s">
        <v>121</v>
      </c>
      <c r="AM154" s="28" t="s">
        <v>124</v>
      </c>
      <c r="AN154" s="30" t="str">
        <f t="shared" ca="1" si="68"/>
        <v>November</v>
      </c>
      <c r="AO154" s="42">
        <f t="shared" ca="1" si="69"/>
        <v>2019</v>
      </c>
      <c r="AP154" s="42">
        <f t="shared" ca="1" si="70"/>
        <v>1</v>
      </c>
      <c r="AQ154" s="26">
        <v>1</v>
      </c>
      <c r="AR154" s="30">
        <f t="shared" ca="1" si="71"/>
        <v>43788</v>
      </c>
      <c r="AS154" s="30" t="str">
        <f ca="1">IFERROR(VLOOKUP(Z154,Matriz2,2,0),"S/PLACA")</f>
        <v>C3K443</v>
      </c>
      <c r="AT154" s="26" t="s">
        <v>21</v>
      </c>
      <c r="AU154" s="26" t="s">
        <v>24</v>
      </c>
      <c r="AV154" s="26" t="str">
        <f t="shared" ca="1" si="75"/>
        <v>CARRERA DONDERO JOSE ANTONIO</v>
      </c>
    </row>
    <row r="155" spans="1:48" x14ac:dyDescent="0.2">
      <c r="A155" s="172">
        <v>43767</v>
      </c>
      <c r="B155" s="173" t="s">
        <v>68</v>
      </c>
      <c r="C155" s="173" t="s">
        <v>102</v>
      </c>
      <c r="D155" s="173" t="s">
        <v>656</v>
      </c>
      <c r="E155" s="173" t="s">
        <v>768</v>
      </c>
      <c r="F155" s="173" t="s">
        <v>931</v>
      </c>
      <c r="G155" s="172">
        <v>43747</v>
      </c>
      <c r="H155" s="173" t="s">
        <v>1145</v>
      </c>
      <c r="I155" s="173" t="s">
        <v>1146</v>
      </c>
      <c r="J155" s="173" t="s">
        <v>104</v>
      </c>
      <c r="K155" s="173" t="s">
        <v>105</v>
      </c>
      <c r="L155" s="174" t="s">
        <v>71</v>
      </c>
      <c r="M155" s="175" t="s">
        <v>72</v>
      </c>
      <c r="N155" s="173" t="s">
        <v>73</v>
      </c>
      <c r="O155" s="176" t="s">
        <v>69</v>
      </c>
      <c r="P155" s="173" t="s">
        <v>105</v>
      </c>
      <c r="Q155" s="177" t="s">
        <v>74</v>
      </c>
      <c r="R155" s="178">
        <v>3.335</v>
      </c>
      <c r="S155" s="179">
        <v>1</v>
      </c>
      <c r="T155" s="179">
        <v>816</v>
      </c>
      <c r="U155" s="179">
        <v>816</v>
      </c>
      <c r="V155" s="179">
        <v>146.88</v>
      </c>
      <c r="W155" s="179">
        <v>962.88</v>
      </c>
      <c r="X155" s="27">
        <f t="shared" si="76"/>
        <v>816</v>
      </c>
      <c r="Y155" s="29">
        <f ca="1">VLOOKUP(Z155,CHOOSE({2,1},Fac_Fecha,Fac_OT),2,0)</f>
        <v>43789</v>
      </c>
      <c r="Z155" s="26" t="s">
        <v>1711</v>
      </c>
      <c r="AA155" s="28">
        <f t="shared" ca="1" si="60"/>
        <v>16.949200000000001</v>
      </c>
      <c r="AB155" s="28">
        <f ca="1">SUMIF(Salida_OT,Facturacion!Z155,Salida_Suma)</f>
        <v>3.8136001000000004</v>
      </c>
      <c r="AC155" s="28">
        <f t="shared" ca="1" si="61"/>
        <v>0</v>
      </c>
      <c r="AD155" s="28">
        <f t="shared" ca="1" si="62"/>
        <v>0</v>
      </c>
      <c r="AE155" s="28">
        <f ca="1">(SUMIF(Asig_OT,Z155,Asig_Hora_Mec))*'Costos x MO'!$B$6*'Costos x MO'!$B$7</f>
        <v>0</v>
      </c>
      <c r="AF155" s="28">
        <f ca="1">SUMIF(Asig_OT,Z155,Asig_Hora_Pla)*'Costos x MO'!$B$4*'Costos x MO'!$B$7</f>
        <v>0</v>
      </c>
      <c r="AG155" s="28">
        <f ca="1">SUMIF(Asig_OT,Z155,Asig_paño_Pin)*'Costos x MO'!$B$5*'Costos x MO'!$B$7</f>
        <v>0</v>
      </c>
      <c r="AH155" s="28">
        <f ca="1">(SUMIF(Asig_OT,Z155,Asig_Terc_Pla)*'Costos x MO'!$B$7)+(SUMIF(Asig_OT,Z155,Asig_Terc_Pin)*'Costos x MO'!$B$7)</f>
        <v>0</v>
      </c>
      <c r="AI155" s="28">
        <f t="shared" ca="1" si="63"/>
        <v>3.8136001000000004</v>
      </c>
      <c r="AJ155" s="28">
        <f t="shared" ca="1" si="64"/>
        <v>13.135599900000001</v>
      </c>
      <c r="AK155" s="31">
        <f t="shared" ca="1" si="65"/>
        <v>0.77499822410497254</v>
      </c>
      <c r="AL155" s="28" t="s">
        <v>121</v>
      </c>
      <c r="AM155" s="28" t="s">
        <v>447</v>
      </c>
      <c r="AN155" s="30" t="str">
        <f t="shared" ca="1" si="68"/>
        <v>November</v>
      </c>
      <c r="AO155" s="42">
        <f t="shared" ca="1" si="69"/>
        <v>2019</v>
      </c>
      <c r="AP155" s="42">
        <f t="shared" ca="1" si="70"/>
        <v>0</v>
      </c>
      <c r="AQ155" s="26">
        <v>1</v>
      </c>
      <c r="AR155" s="30">
        <f t="shared" ca="1" si="71"/>
        <v>43789</v>
      </c>
      <c r="AS155" s="30" t="str">
        <f ca="1">IFERROR(VLOOKUP(Z155,Matriz2,2,0),"S/PLACA")</f>
        <v>BBE558</v>
      </c>
      <c r="AT155" s="26" t="s">
        <v>146</v>
      </c>
      <c r="AU155" s="26" t="s">
        <v>157</v>
      </c>
      <c r="AV155" s="26" t="str">
        <f t="shared" ca="1" si="75"/>
        <v>SANCHEZ ALVARADO JULIO MOISES</v>
      </c>
    </row>
    <row r="156" spans="1:48" x14ac:dyDescent="0.2">
      <c r="A156" s="172">
        <v>43767</v>
      </c>
      <c r="B156" s="173" t="s">
        <v>68</v>
      </c>
      <c r="C156" s="173" t="s">
        <v>102</v>
      </c>
      <c r="D156" s="173" t="s">
        <v>655</v>
      </c>
      <c r="E156" s="173" t="s">
        <v>777</v>
      </c>
      <c r="F156" s="173" t="s">
        <v>911</v>
      </c>
      <c r="G156" s="172">
        <v>43745</v>
      </c>
      <c r="H156" s="173" t="s">
        <v>1145</v>
      </c>
      <c r="I156" s="173" t="s">
        <v>1146</v>
      </c>
      <c r="J156" s="173" t="s">
        <v>97</v>
      </c>
      <c r="K156" s="173" t="s">
        <v>98</v>
      </c>
      <c r="L156" s="174" t="s">
        <v>71</v>
      </c>
      <c r="M156" s="175" t="s">
        <v>72</v>
      </c>
      <c r="N156" s="173" t="s">
        <v>73</v>
      </c>
      <c r="O156" s="176" t="s">
        <v>99</v>
      </c>
      <c r="P156" s="173" t="s">
        <v>98</v>
      </c>
      <c r="Q156" s="177" t="s">
        <v>74</v>
      </c>
      <c r="R156" s="178">
        <v>3.335</v>
      </c>
      <c r="S156" s="179">
        <v>1</v>
      </c>
      <c r="T156" s="179">
        <v>1620</v>
      </c>
      <c r="U156" s="179">
        <v>1620</v>
      </c>
      <c r="V156" s="179">
        <v>291.60000000000002</v>
      </c>
      <c r="W156" s="179">
        <v>1911.6</v>
      </c>
      <c r="X156" s="27">
        <f t="shared" si="76"/>
        <v>1620</v>
      </c>
      <c r="Y156" s="29">
        <f ca="1">VLOOKUP(Z156,CHOOSE({2,1},Fac_Fecha,Fac_OT),2,0)</f>
        <v>43799</v>
      </c>
      <c r="Z156" s="26" t="s">
        <v>1419</v>
      </c>
      <c r="AA156" s="28">
        <f t="shared" ca="1" si="60"/>
        <v>350</v>
      </c>
      <c r="AB156" s="28">
        <f ca="1">SUMIF(Salida_OT,Facturacion!Z156,Salida_Suma)</f>
        <v>75.577799099999993</v>
      </c>
      <c r="AC156" s="28">
        <f t="shared" ca="1" si="61"/>
        <v>0</v>
      </c>
      <c r="AD156" s="28">
        <f t="shared" ca="1" si="62"/>
        <v>71.19</v>
      </c>
      <c r="AE156" s="28">
        <f ca="1">(SUMIF(Asig_OT,Z156,Asig_Hora_Mec))*'Costos x MO'!$B$6*'Costos x MO'!$B$7</f>
        <v>40.250250000000001</v>
      </c>
      <c r="AF156" s="28">
        <f ca="1">SUMIF(Asig_OT,Z156,Asig_Hora_Pla)*'Costos x MO'!$B$4*'Costos x MO'!$B$7</f>
        <v>0</v>
      </c>
      <c r="AG156" s="28">
        <f ca="1">SUMIF(Asig_OT,Z156,Asig_paño_Pin)*'Costos x MO'!$B$5*'Costos x MO'!$B$7</f>
        <v>0</v>
      </c>
      <c r="AH156" s="28">
        <f ca="1">(SUMIF(Asig_OT,Z156,Asig_Terc_Pla)*'Costos x MO'!$B$7)+(SUMIF(Asig_OT,Z156,Asig_Terc_Pin)*'Costos x MO'!$B$7)</f>
        <v>0</v>
      </c>
      <c r="AI156" s="28">
        <f t="shared" ca="1" si="63"/>
        <v>187.01804909999998</v>
      </c>
      <c r="AJ156" s="28">
        <f t="shared" ca="1" si="64"/>
        <v>162.98195090000002</v>
      </c>
      <c r="AK156" s="31">
        <f t="shared" ca="1" si="65"/>
        <v>0.46566271685714289</v>
      </c>
      <c r="AL156" s="28" t="str">
        <f t="shared" ca="1" si="66"/>
        <v>C.C</v>
      </c>
      <c r="AM156" s="28" t="str">
        <f t="shared" ca="1" si="67"/>
        <v>MECANICA</v>
      </c>
      <c r="AN156" s="30" t="str">
        <f t="shared" ca="1" si="68"/>
        <v>November</v>
      </c>
      <c r="AO156" s="42">
        <f t="shared" ca="1" si="69"/>
        <v>2019</v>
      </c>
      <c r="AP156" s="42">
        <f t="shared" ca="1" si="70"/>
        <v>0</v>
      </c>
      <c r="AQ156" s="26">
        <v>1</v>
      </c>
      <c r="AR156" s="30">
        <f t="shared" ca="1" si="71"/>
        <v>43799</v>
      </c>
      <c r="AS156" s="30" t="str">
        <f t="shared" ca="1" si="72"/>
        <v>C3K-443</v>
      </c>
      <c r="AT156" s="26" t="str">
        <f t="shared" ca="1" si="73"/>
        <v>KIA</v>
      </c>
      <c r="AU156" s="26" t="str">
        <f t="shared" ca="1" si="74"/>
        <v>RIO</v>
      </c>
      <c r="AV156" s="26" t="str">
        <f t="shared" ca="1" si="75"/>
        <v>CARRERA DONDERO JOSE ANTONIO</v>
      </c>
    </row>
    <row r="157" spans="1:48" x14ac:dyDescent="0.2">
      <c r="A157" s="172">
        <v>43767</v>
      </c>
      <c r="B157" s="173" t="s">
        <v>68</v>
      </c>
      <c r="C157" s="173" t="s">
        <v>102</v>
      </c>
      <c r="D157" s="173" t="s">
        <v>655</v>
      </c>
      <c r="E157" s="173" t="s">
        <v>777</v>
      </c>
      <c r="F157" s="173" t="s">
        <v>911</v>
      </c>
      <c r="G157" s="172">
        <v>43745</v>
      </c>
      <c r="H157" s="173" t="s">
        <v>1145</v>
      </c>
      <c r="I157" s="173" t="s">
        <v>1146</v>
      </c>
      <c r="J157" s="173" t="s">
        <v>100</v>
      </c>
      <c r="K157" s="173" t="s">
        <v>101</v>
      </c>
      <c r="L157" s="174" t="s">
        <v>71</v>
      </c>
      <c r="M157" s="175" t="s">
        <v>72</v>
      </c>
      <c r="N157" s="173" t="s">
        <v>73</v>
      </c>
      <c r="O157" s="176" t="s">
        <v>72</v>
      </c>
      <c r="P157" s="130" t="s">
        <v>101</v>
      </c>
      <c r="Q157" s="177" t="s">
        <v>74</v>
      </c>
      <c r="R157" s="178">
        <v>3.335</v>
      </c>
      <c r="S157" s="179">
        <v>1</v>
      </c>
      <c r="T157" s="179">
        <v>630</v>
      </c>
      <c r="U157" s="179">
        <v>630</v>
      </c>
      <c r="V157" s="179">
        <v>113.40002000000023</v>
      </c>
      <c r="W157" s="179">
        <v>743.40002000000027</v>
      </c>
      <c r="X157" s="27">
        <f t="shared" si="76"/>
        <v>630</v>
      </c>
      <c r="Y157" s="29">
        <v>43818</v>
      </c>
      <c r="Z157" s="107" t="s">
        <v>1008</v>
      </c>
      <c r="AA157" s="28">
        <f t="shared" ca="1" si="60"/>
        <v>9660.7542099999991</v>
      </c>
      <c r="AB157" s="28">
        <f ca="1">SUMIF(Salida_OT,Facturacion!Z157,Salida_Suma)</f>
        <v>2156.2085459200002</v>
      </c>
      <c r="AC157" s="28">
        <f t="shared" ref="AC157:AC207" ca="1" si="77">SUMIFS(Compras_Suma,Compras_OT,Z157,Compras_Tipo,"RP")</f>
        <v>262.72000000000003</v>
      </c>
      <c r="AD157" s="28">
        <f t="shared" ref="AD157:AD207" ca="1" si="78">SUMIFS(Compras_Suma,Compras_OT,Z157,Compras_Tipo,"ST")</f>
        <v>466.63</v>
      </c>
      <c r="AE157" s="28">
        <f ca="1">(SUMIF(Asig_OT,Z157,Asig_Hora_Mec))*'Costos x MO'!$B$6*'Costos x MO'!$B$7</f>
        <v>425.86875000000003</v>
      </c>
      <c r="AF157" s="28">
        <f ca="1">SUMIF(Asig_OT,Z157,Asig_Hora_Pla)*'Costos x MO'!$B$4*'Costos x MO'!$B$7</f>
        <v>271.35000000000002</v>
      </c>
      <c r="AG157" s="28">
        <f ca="1">SUMIF(Asig_OT,Z157,Asig_paño_Pin)*'Costos x MO'!$B$5*'Costos x MO'!$B$7</f>
        <v>1125.6000000000001</v>
      </c>
      <c r="AH157" s="28">
        <f ca="1">(SUMIF(Asig_OT,Z157,Asig_Terc_Pla)*'Costos x MO'!$B$7)+(SUMIF(Asig_OT,Z157,Asig_Terc_Pin)*'Costos x MO'!$B$7)</f>
        <v>0</v>
      </c>
      <c r="AI157" s="28">
        <f t="shared" ref="AI157:AI207" ca="1" si="79">SUM(AB157:AH157)</f>
        <v>4708.3772959200005</v>
      </c>
      <c r="AJ157" s="28">
        <f t="shared" ref="AJ157:AJ207" ca="1" si="80">+AA157-AI157</f>
        <v>4952.3769140799986</v>
      </c>
      <c r="AK157" s="31">
        <f t="shared" ref="AK157:AK207" ca="1" si="81">IFERROR(AJ157/AA157,0)</f>
        <v>0.51262839385290593</v>
      </c>
      <c r="AL157" s="28" t="str">
        <f t="shared" ref="AL157:AL207" ca="1" si="82">IFERROR(VLOOKUP(Z157,Matriz,5,0),"S/TIPO")</f>
        <v>ACCESO</v>
      </c>
      <c r="AM157" s="28" t="str">
        <f t="shared" ref="AM157:AM207" ca="1" si="83">IFERROR(VLOOKUP(Z157,Matriz,17,0),"S/TIPO")</f>
        <v>GRAVE</v>
      </c>
      <c r="AN157" s="30" t="str">
        <f t="shared" ref="AN157:AN207" si="84">PROPER(TEXT(Y157,"mmmm"))</f>
        <v>December</v>
      </c>
      <c r="AO157" s="42">
        <f t="shared" ref="AO157:AO207" si="85">YEAR(Y157)</f>
        <v>2019</v>
      </c>
      <c r="AP157" s="42">
        <f t="shared" ref="AP157:AP207" ca="1" si="86">+Y157-AR157</f>
        <v>52</v>
      </c>
      <c r="AQ157" s="26">
        <v>1</v>
      </c>
      <c r="AR157" s="30">
        <f t="shared" ref="AR157:AR207" ca="1" si="87">VLOOKUP(Z157,Matriz2,3,0)</f>
        <v>43766</v>
      </c>
      <c r="AS157" s="30" t="str">
        <f t="shared" ref="AS157:AS207" ca="1" si="88">IFERROR(VLOOKUP(Z157,Matriz,2,0),"S/PLACA")</f>
        <v>AHV-171</v>
      </c>
      <c r="AT157" s="26" t="str">
        <f t="shared" ref="AT157:AT207" ca="1" si="89">IFERROR(VLOOKUP(Z157,Matriz,3,0),"S/MARCA")</f>
        <v>KIA</v>
      </c>
      <c r="AU157" s="26" t="str">
        <f t="shared" ref="AU157:AU207" ca="1" si="90">IFERROR(VLOOKUP(Z157,Matriz,4,0),"S/MODELO")</f>
        <v>RIO</v>
      </c>
      <c r="AV157" s="26" t="str">
        <f t="shared" ref="AV157:AV207" ca="1" si="91">VLOOKUP(Z157,Matriz2,5,0)</f>
        <v>EDPYME ACCESO CREDITICIO SOCIEDAD ANONIMA</v>
      </c>
    </row>
    <row r="158" spans="1:48" x14ac:dyDescent="0.2">
      <c r="A158" s="172">
        <v>43767</v>
      </c>
      <c r="B158" s="173" t="s">
        <v>68</v>
      </c>
      <c r="C158" s="173" t="s">
        <v>102</v>
      </c>
      <c r="D158" s="173" t="s">
        <v>655</v>
      </c>
      <c r="E158" s="173" t="s">
        <v>777</v>
      </c>
      <c r="F158" s="173" t="s">
        <v>911</v>
      </c>
      <c r="G158" s="172">
        <v>43745</v>
      </c>
      <c r="H158" s="173" t="s">
        <v>1145</v>
      </c>
      <c r="I158" s="173" t="s">
        <v>1146</v>
      </c>
      <c r="J158" s="173" t="s">
        <v>92</v>
      </c>
      <c r="K158" s="173" t="s">
        <v>113</v>
      </c>
      <c r="L158" s="174" t="s">
        <v>71</v>
      </c>
      <c r="M158" s="175" t="s">
        <v>72</v>
      </c>
      <c r="N158" s="173" t="s">
        <v>73</v>
      </c>
      <c r="O158" s="176" t="s">
        <v>69</v>
      </c>
      <c r="P158" s="130" t="s">
        <v>113</v>
      </c>
      <c r="Q158" s="177" t="s">
        <v>74</v>
      </c>
      <c r="R158" s="178">
        <v>3.335</v>
      </c>
      <c r="S158" s="179">
        <v>1</v>
      </c>
      <c r="T158" s="179">
        <v>500</v>
      </c>
      <c r="U158" s="179">
        <v>500</v>
      </c>
      <c r="V158" s="179">
        <v>90</v>
      </c>
      <c r="W158" s="179">
        <v>590</v>
      </c>
      <c r="X158" s="27">
        <f t="shared" si="76"/>
        <v>500</v>
      </c>
      <c r="Y158" s="29">
        <v>43809</v>
      </c>
      <c r="Z158" s="107" t="s">
        <v>1243</v>
      </c>
      <c r="AA158" s="28">
        <f t="shared" ca="1" si="60"/>
        <v>11290.754209999999</v>
      </c>
      <c r="AB158" s="28">
        <f ca="1">SUMIF(Salida_OT,Facturacion!Z158,Salida_Suma)</f>
        <v>2593.2663401100008</v>
      </c>
      <c r="AC158" s="28">
        <f t="shared" ca="1" si="77"/>
        <v>264.65999999999997</v>
      </c>
      <c r="AD158" s="28">
        <f t="shared" ca="1" si="78"/>
        <v>156.78</v>
      </c>
      <c r="AE158" s="28">
        <f ca="1">(SUMIF(Asig_OT,Z158,Asig_Hora_Mec))*'Costos x MO'!$B$6*'Costos x MO'!$B$7</f>
        <v>290.19375000000002</v>
      </c>
      <c r="AF158" s="28">
        <f ca="1">SUMIF(Asig_OT,Z158,Asig_Hora_Pla)*'Costos x MO'!$B$4*'Costos x MO'!$B$7</f>
        <v>633.15</v>
      </c>
      <c r="AG158" s="28">
        <f ca="1">SUMIF(Asig_OT,Z158,Asig_paño_Pin)*'Costos x MO'!$B$5*'Costos x MO'!$B$7</f>
        <v>1266.3</v>
      </c>
      <c r="AH158" s="28">
        <f ca="1">(SUMIF(Asig_OT,Z158,Asig_Terc_Pla)*'Costos x MO'!$B$7)+(SUMIF(Asig_OT,Z158,Asig_Terc_Pin)*'Costos x MO'!$B$7)</f>
        <v>0</v>
      </c>
      <c r="AI158" s="28">
        <f t="shared" ca="1" si="79"/>
        <v>5204.3500901100006</v>
      </c>
      <c r="AJ158" s="28">
        <f t="shared" ca="1" si="80"/>
        <v>6086.4041198899986</v>
      </c>
      <c r="AK158" s="31">
        <f t="shared" ca="1" si="81"/>
        <v>0.53906089944809799</v>
      </c>
      <c r="AL158" s="28" t="str">
        <f t="shared" ca="1" si="82"/>
        <v>ACCESO</v>
      </c>
      <c r="AM158" s="28" t="str">
        <f t="shared" ca="1" si="83"/>
        <v>GRAVE</v>
      </c>
      <c r="AN158" s="30" t="str">
        <f t="shared" si="84"/>
        <v>December</v>
      </c>
      <c r="AO158" s="42">
        <f t="shared" si="85"/>
        <v>2019</v>
      </c>
      <c r="AP158" s="42">
        <f t="shared" ca="1" si="86"/>
        <v>32</v>
      </c>
      <c r="AQ158" s="26">
        <v>1</v>
      </c>
      <c r="AR158" s="30">
        <f t="shared" ca="1" si="87"/>
        <v>43777</v>
      </c>
      <c r="AS158" s="30" t="str">
        <f t="shared" ca="1" si="88"/>
        <v>ANB-605</v>
      </c>
      <c r="AT158" s="26" t="str">
        <f t="shared" ca="1" si="89"/>
        <v>HYUNDAI</v>
      </c>
      <c r="AU158" s="26" t="str">
        <f t="shared" ca="1" si="90"/>
        <v>ACCENT</v>
      </c>
      <c r="AV158" s="26" t="str">
        <f t="shared" ca="1" si="91"/>
        <v>AUTOCLASS S.A.C.</v>
      </c>
    </row>
    <row r="159" spans="1:48" x14ac:dyDescent="0.2">
      <c r="A159" s="172">
        <v>43767</v>
      </c>
      <c r="B159" s="173" t="s">
        <v>68</v>
      </c>
      <c r="C159" s="173" t="s">
        <v>102</v>
      </c>
      <c r="D159" s="173" t="s">
        <v>655</v>
      </c>
      <c r="E159" s="173" t="s">
        <v>777</v>
      </c>
      <c r="F159" s="173" t="s">
        <v>911</v>
      </c>
      <c r="G159" s="172">
        <v>43745</v>
      </c>
      <c r="H159" s="173" t="s">
        <v>1145</v>
      </c>
      <c r="I159" s="173" t="s">
        <v>1146</v>
      </c>
      <c r="J159" s="173" t="s">
        <v>70</v>
      </c>
      <c r="K159" s="173" t="s">
        <v>112</v>
      </c>
      <c r="L159" s="174" t="s">
        <v>71</v>
      </c>
      <c r="M159" s="175" t="s">
        <v>72</v>
      </c>
      <c r="N159" s="173" t="s">
        <v>73</v>
      </c>
      <c r="O159" s="176" t="s">
        <v>69</v>
      </c>
      <c r="P159" s="130" t="s">
        <v>447</v>
      </c>
      <c r="Q159" s="177" t="s">
        <v>74</v>
      </c>
      <c r="R159" s="178">
        <v>3.335</v>
      </c>
      <c r="S159" s="179">
        <v>1</v>
      </c>
      <c r="T159" s="179">
        <v>330</v>
      </c>
      <c r="U159" s="179">
        <v>330</v>
      </c>
      <c r="V159" s="179">
        <v>59.399990000000031</v>
      </c>
      <c r="W159" s="179">
        <v>389.39999000000006</v>
      </c>
      <c r="X159" s="27">
        <f t="shared" si="76"/>
        <v>330</v>
      </c>
      <c r="Y159" s="29">
        <v>43809</v>
      </c>
      <c r="Z159" s="107" t="s">
        <v>936</v>
      </c>
      <c r="AA159" s="28">
        <f t="shared" ca="1" si="60"/>
        <v>8205.2542099999991</v>
      </c>
      <c r="AB159" s="28">
        <f ca="1">SUMIF(Salida_OT,Facturacion!Z159,Salida_Suma)</f>
        <v>2675.3039792599993</v>
      </c>
      <c r="AC159" s="28">
        <f t="shared" ca="1" si="77"/>
        <v>61.46</v>
      </c>
      <c r="AD159" s="28">
        <f t="shared" ca="1" si="78"/>
        <v>374.74203389830507</v>
      </c>
      <c r="AE159" s="28">
        <f ca="1">(SUMIF(Asig_OT,Z159,Asig_Hora_Mec))*'Costos x MO'!$B$6*'Costos x MO'!$B$7</f>
        <v>320.34375</v>
      </c>
      <c r="AF159" s="28">
        <f ca="1">SUMIF(Asig_OT,Z159,Asig_Hora_Pla)*'Costos x MO'!$B$4*'Costos x MO'!$B$7</f>
        <v>271.35000000000002</v>
      </c>
      <c r="AG159" s="28">
        <f ca="1">SUMIF(Asig_OT,Z159,Asig_paño_Pin)*'Costos x MO'!$B$5*'Costos x MO'!$B$7</f>
        <v>949.72500000000002</v>
      </c>
      <c r="AH159" s="28">
        <f ca="1">(SUMIF(Asig_OT,Z159,Asig_Terc_Pla)*'Costos x MO'!$B$7)+(SUMIF(Asig_OT,Z159,Asig_Terc_Pin)*'Costos x MO'!$B$7)</f>
        <v>0</v>
      </c>
      <c r="AI159" s="28">
        <f t="shared" ca="1" si="79"/>
        <v>4652.9247631583048</v>
      </c>
      <c r="AJ159" s="28">
        <f t="shared" ca="1" si="80"/>
        <v>3552.3294468416943</v>
      </c>
      <c r="AK159" s="31">
        <f t="shared" ca="1" si="81"/>
        <v>0.43293350284167426</v>
      </c>
      <c r="AL159" s="28" t="str">
        <f t="shared" ca="1" si="82"/>
        <v>ACCESO</v>
      </c>
      <c r="AM159" s="28" t="str">
        <f t="shared" ca="1" si="83"/>
        <v>GRAVE</v>
      </c>
      <c r="AN159" s="30" t="str">
        <f t="shared" si="84"/>
        <v>December</v>
      </c>
      <c r="AO159" s="42">
        <f t="shared" si="85"/>
        <v>2019</v>
      </c>
      <c r="AP159" s="42">
        <f t="shared" ca="1" si="86"/>
        <v>43</v>
      </c>
      <c r="AQ159" s="26">
        <v>1</v>
      </c>
      <c r="AR159" s="30">
        <f t="shared" ca="1" si="87"/>
        <v>43766</v>
      </c>
      <c r="AS159" s="30" t="str">
        <f t="shared" ca="1" si="88"/>
        <v>F6Q-533</v>
      </c>
      <c r="AT159" s="26" t="str">
        <f t="shared" ca="1" si="89"/>
        <v>CHEVROLET</v>
      </c>
      <c r="AU159" s="26" t="str">
        <f t="shared" ca="1" si="90"/>
        <v>SAIL</v>
      </c>
      <c r="AV159" s="26" t="str">
        <f t="shared" ca="1" si="91"/>
        <v>AUTOCLASS S.A.C.</v>
      </c>
    </row>
    <row r="160" spans="1:48" x14ac:dyDescent="0.2">
      <c r="A160" s="172">
        <v>43767</v>
      </c>
      <c r="B160" s="173" t="s">
        <v>68</v>
      </c>
      <c r="C160" s="173" t="s">
        <v>102</v>
      </c>
      <c r="D160" s="173" t="s">
        <v>655</v>
      </c>
      <c r="E160" s="173" t="s">
        <v>777</v>
      </c>
      <c r="F160" s="173" t="s">
        <v>911</v>
      </c>
      <c r="G160" s="172">
        <v>43745</v>
      </c>
      <c r="H160" s="173" t="s">
        <v>1145</v>
      </c>
      <c r="I160" s="173" t="s">
        <v>1146</v>
      </c>
      <c r="J160" s="173" t="s">
        <v>104</v>
      </c>
      <c r="K160" s="173" t="s">
        <v>105</v>
      </c>
      <c r="L160" s="174" t="s">
        <v>71</v>
      </c>
      <c r="M160" s="175" t="s">
        <v>72</v>
      </c>
      <c r="N160" s="173" t="s">
        <v>73</v>
      </c>
      <c r="O160" s="176" t="s">
        <v>69</v>
      </c>
      <c r="P160" s="173" t="s">
        <v>105</v>
      </c>
      <c r="Q160" s="177" t="s">
        <v>74</v>
      </c>
      <c r="R160" s="178">
        <v>3.335</v>
      </c>
      <c r="S160" s="179">
        <v>1</v>
      </c>
      <c r="T160" s="179">
        <v>1564.5</v>
      </c>
      <c r="U160" s="179">
        <v>1564.5</v>
      </c>
      <c r="V160" s="179">
        <v>281.61</v>
      </c>
      <c r="W160" s="179">
        <v>1846.11</v>
      </c>
      <c r="X160" s="27">
        <f t="shared" si="76"/>
        <v>1564.5</v>
      </c>
      <c r="Y160" s="29">
        <v>43809</v>
      </c>
      <c r="Z160" s="107" t="s">
        <v>1011</v>
      </c>
      <c r="AA160" s="28">
        <f t="shared" ca="1" si="60"/>
        <v>9800.7542099999991</v>
      </c>
      <c r="AB160" s="28">
        <f ca="1">SUMIF(Salida_OT,Facturacion!Z160,Salida_Suma)</f>
        <v>2134.08030164</v>
      </c>
      <c r="AC160" s="28">
        <f t="shared" ca="1" si="77"/>
        <v>473.15</v>
      </c>
      <c r="AD160" s="28">
        <f t="shared" ca="1" si="78"/>
        <v>325.25</v>
      </c>
      <c r="AE160" s="28">
        <f ca="1">(SUMIF(Asig_OT,Z160,Asig_Hora_Mec))*'Costos x MO'!$B$6*'Costos x MO'!$B$7</f>
        <v>365.56875000000002</v>
      </c>
      <c r="AF160" s="28">
        <f ca="1">SUMIF(Asig_OT,Z160,Asig_Hora_Pla)*'Costos x MO'!$B$4*'Costos x MO'!$B$7</f>
        <v>542.70000000000005</v>
      </c>
      <c r="AG160" s="28">
        <f ca="1">SUMIF(Asig_OT,Z160,Asig_paño_Pin)*'Costos x MO'!$B$5*'Costos x MO'!$B$7</f>
        <v>1266.3</v>
      </c>
      <c r="AH160" s="28">
        <f ca="1">(SUMIF(Asig_OT,Z160,Asig_Terc_Pla)*'Costos x MO'!$B$7)+(SUMIF(Asig_OT,Z160,Asig_Terc_Pin)*'Costos x MO'!$B$7)</f>
        <v>0</v>
      </c>
      <c r="AI160" s="28">
        <f t="shared" ca="1" si="79"/>
        <v>5107.0490516400005</v>
      </c>
      <c r="AJ160" s="28">
        <f t="shared" ca="1" si="80"/>
        <v>4693.7051583599987</v>
      </c>
      <c r="AK160" s="31">
        <f t="shared" ca="1" si="81"/>
        <v>0.47891264873991762</v>
      </c>
      <c r="AL160" s="28" t="str">
        <f t="shared" ca="1" si="82"/>
        <v>ACCESO</v>
      </c>
      <c r="AM160" s="28" t="str">
        <f t="shared" ca="1" si="83"/>
        <v>GRAVE</v>
      </c>
      <c r="AN160" s="30" t="str">
        <f t="shared" si="84"/>
        <v>December</v>
      </c>
      <c r="AO160" s="42">
        <f t="shared" si="85"/>
        <v>2019</v>
      </c>
      <c r="AP160" s="42">
        <f t="shared" ca="1" si="86"/>
        <v>34</v>
      </c>
      <c r="AQ160" s="26">
        <v>1</v>
      </c>
      <c r="AR160" s="30">
        <f t="shared" ca="1" si="87"/>
        <v>43775</v>
      </c>
      <c r="AS160" s="30" t="str">
        <f t="shared" ca="1" si="88"/>
        <v>AMZ619</v>
      </c>
      <c r="AT160" s="26" t="str">
        <f t="shared" ca="1" si="89"/>
        <v>CHEVROLET</v>
      </c>
      <c r="AU160" s="26" t="str">
        <f t="shared" ca="1" si="90"/>
        <v>SAIL</v>
      </c>
      <c r="AV160" s="26" t="str">
        <f t="shared" ca="1" si="91"/>
        <v>AUTOCLASS S.A.C.</v>
      </c>
    </row>
    <row r="161" spans="1:48" x14ac:dyDescent="0.2">
      <c r="A161" s="172">
        <v>43767</v>
      </c>
      <c r="B161" s="173" t="s">
        <v>68</v>
      </c>
      <c r="C161" s="173" t="s">
        <v>102</v>
      </c>
      <c r="D161" s="173" t="s">
        <v>654</v>
      </c>
      <c r="E161" s="173" t="s">
        <v>771</v>
      </c>
      <c r="F161" s="173" t="s">
        <v>923</v>
      </c>
      <c r="G161" s="172">
        <v>43747</v>
      </c>
      <c r="H161" s="173" t="s">
        <v>1145</v>
      </c>
      <c r="I161" s="173" t="s">
        <v>1146</v>
      </c>
      <c r="J161" s="173" t="s">
        <v>97</v>
      </c>
      <c r="K161" s="173" t="s">
        <v>98</v>
      </c>
      <c r="L161" s="174" t="s">
        <v>71</v>
      </c>
      <c r="M161" s="175" t="s">
        <v>72</v>
      </c>
      <c r="N161" s="173" t="s">
        <v>73</v>
      </c>
      <c r="O161" s="176" t="s">
        <v>99</v>
      </c>
      <c r="P161" s="173" t="s">
        <v>98</v>
      </c>
      <c r="Q161" s="177" t="s">
        <v>74</v>
      </c>
      <c r="R161" s="178">
        <v>3.335</v>
      </c>
      <c r="S161" s="179">
        <v>1</v>
      </c>
      <c r="T161" s="179">
        <v>1552.5</v>
      </c>
      <c r="U161" s="179">
        <v>1552.5</v>
      </c>
      <c r="V161" s="179">
        <v>279.45</v>
      </c>
      <c r="W161" s="179">
        <v>1831.95</v>
      </c>
      <c r="X161" s="27">
        <f t="shared" si="76"/>
        <v>1552.5</v>
      </c>
      <c r="Y161" s="29">
        <f ca="1">VLOOKUP(Z161,CHOOSE({2,1},Fac_Fecha,Fac_OT),2,0)</f>
        <v>43802</v>
      </c>
      <c r="Z161" s="26" t="s">
        <v>1409</v>
      </c>
      <c r="AA161" s="28">
        <f t="shared" ca="1" si="60"/>
        <v>1786.5750524999999</v>
      </c>
      <c r="AB161" s="28">
        <f ca="1">SUMIF(Salida_OT,Facturacion!Z161,Salida_Suma)</f>
        <v>0</v>
      </c>
      <c r="AC161" s="28">
        <f t="shared" ca="1" si="77"/>
        <v>0</v>
      </c>
      <c r="AD161" s="28">
        <f t="shared" ca="1" si="78"/>
        <v>0</v>
      </c>
      <c r="AE161" s="28">
        <f ca="1">(SUMIF(Asig_OT,Z161,Asig_Hora_Mec))*'Costos x MO'!$B$6*'Costos x MO'!$B$7</f>
        <v>0</v>
      </c>
      <c r="AF161" s="28">
        <f ca="1">SUMIF(Asig_OT,Z161,Asig_Hora_Pla)*'Costos x MO'!$B$4*'Costos x MO'!$B$7</f>
        <v>120.60000000000001</v>
      </c>
      <c r="AG161" s="28">
        <f ca="1">SUMIF(Asig_OT,Z161,Asig_paño_Pin)*'Costos x MO'!$B$5*'Costos x MO'!$B$7</f>
        <v>351.75</v>
      </c>
      <c r="AH161" s="28">
        <f ca="1">(SUMIF(Asig_OT,Z161,Asig_Terc_Pla)*'Costos x MO'!$B$7)+(SUMIF(Asig_OT,Z161,Asig_Terc_Pin)*'Costos x MO'!$B$7)</f>
        <v>0</v>
      </c>
      <c r="AI161" s="28">
        <f t="shared" ca="1" si="79"/>
        <v>472.35</v>
      </c>
      <c r="AJ161" s="28">
        <f t="shared" ca="1" si="80"/>
        <v>1314.2250524999999</v>
      </c>
      <c r="AK161" s="31">
        <f t="shared" ca="1" si="81"/>
        <v>0.73561144305746995</v>
      </c>
      <c r="AL161" s="28" t="str">
        <f t="shared" ca="1" si="82"/>
        <v>RIMAC</v>
      </c>
      <c r="AM161" s="28" t="str">
        <f t="shared" ca="1" si="83"/>
        <v>LEVE</v>
      </c>
      <c r="AN161" s="30" t="str">
        <f t="shared" ca="1" si="84"/>
        <v>December</v>
      </c>
      <c r="AO161" s="42">
        <f t="shared" ca="1" si="85"/>
        <v>2019</v>
      </c>
      <c r="AP161" s="42">
        <f t="shared" ca="1" si="86"/>
        <v>26</v>
      </c>
      <c r="AQ161" s="26">
        <v>1</v>
      </c>
      <c r="AR161" s="30">
        <f t="shared" ca="1" si="87"/>
        <v>43776</v>
      </c>
      <c r="AS161" s="30" t="str">
        <f t="shared" ca="1" si="88"/>
        <v>ROO-885</v>
      </c>
      <c r="AT161" s="26" t="str">
        <f t="shared" ca="1" si="89"/>
        <v>JEEP</v>
      </c>
      <c r="AU161" s="26" t="str">
        <f t="shared" ca="1" si="90"/>
        <v>GRANDCHEROKE</v>
      </c>
      <c r="AV161" s="26" t="str">
        <f t="shared" ca="1" si="91"/>
        <v>RIMAC SEGUROS  Y REASEGUROS S.A</v>
      </c>
    </row>
    <row r="162" spans="1:48" x14ac:dyDescent="0.2">
      <c r="A162" s="172">
        <v>43767</v>
      </c>
      <c r="B162" s="173" t="s">
        <v>68</v>
      </c>
      <c r="C162" s="173" t="s">
        <v>102</v>
      </c>
      <c r="D162" s="173" t="s">
        <v>654</v>
      </c>
      <c r="E162" s="173" t="s">
        <v>771</v>
      </c>
      <c r="F162" s="173" t="s">
        <v>923</v>
      </c>
      <c r="G162" s="172">
        <v>43747</v>
      </c>
      <c r="H162" s="173" t="s">
        <v>1145</v>
      </c>
      <c r="I162" s="173" t="s">
        <v>1146</v>
      </c>
      <c r="J162" s="173" t="s">
        <v>100</v>
      </c>
      <c r="K162" s="173" t="s">
        <v>101</v>
      </c>
      <c r="L162" s="174" t="s">
        <v>71</v>
      </c>
      <c r="M162" s="175" t="s">
        <v>72</v>
      </c>
      <c r="N162" s="173" t="s">
        <v>73</v>
      </c>
      <c r="O162" s="176" t="s">
        <v>72</v>
      </c>
      <c r="P162" s="130" t="s">
        <v>101</v>
      </c>
      <c r="Q162" s="177" t="s">
        <v>74</v>
      </c>
      <c r="R162" s="178">
        <v>3.335</v>
      </c>
      <c r="S162" s="179">
        <v>1</v>
      </c>
      <c r="T162" s="179">
        <v>735</v>
      </c>
      <c r="U162" s="179">
        <v>735</v>
      </c>
      <c r="V162" s="179">
        <v>132.29998999999995</v>
      </c>
      <c r="W162" s="179">
        <v>867.29998999999998</v>
      </c>
      <c r="X162" s="27">
        <f t="shared" si="76"/>
        <v>735</v>
      </c>
      <c r="Y162" s="29">
        <f ca="1">VLOOKUP(Z162,CHOOSE({2,1},Fac_Fecha,Fac_OT),2,0)</f>
        <v>43802</v>
      </c>
      <c r="Z162" s="26" t="s">
        <v>1414</v>
      </c>
      <c r="AA162" s="28">
        <f t="shared" ca="1" si="60"/>
        <v>682.30152005000002</v>
      </c>
      <c r="AB162" s="28">
        <f ca="1">SUMIF(Salida_OT,Facturacion!Z162,Salida_Suma)</f>
        <v>0</v>
      </c>
      <c r="AC162" s="28">
        <f t="shared" ca="1" si="77"/>
        <v>0</v>
      </c>
      <c r="AD162" s="28">
        <f t="shared" ca="1" si="78"/>
        <v>0</v>
      </c>
      <c r="AE162" s="28">
        <f ca="1">(SUMIF(Asig_OT,Z162,Asig_Hora_Mec))*'Costos x MO'!$B$6*'Costos x MO'!$B$7</f>
        <v>0</v>
      </c>
      <c r="AF162" s="28">
        <f ca="1">SUMIF(Asig_OT,Z162,Asig_Hora_Pla)*'Costos x MO'!$B$4*'Costos x MO'!$B$7</f>
        <v>30.150000000000002</v>
      </c>
      <c r="AG162" s="28">
        <f ca="1">SUMIF(Asig_OT,Z162,Asig_paño_Pin)*'Costos x MO'!$B$5*'Costos x MO'!$B$7</f>
        <v>140.70000000000002</v>
      </c>
      <c r="AH162" s="28">
        <f ca="1">(SUMIF(Asig_OT,Z162,Asig_Terc_Pla)*'Costos x MO'!$B$7)+(SUMIF(Asig_OT,Z162,Asig_Terc_Pin)*'Costos x MO'!$B$7)</f>
        <v>0</v>
      </c>
      <c r="AI162" s="28">
        <f t="shared" ca="1" si="79"/>
        <v>170.85000000000002</v>
      </c>
      <c r="AJ162" s="28">
        <f t="shared" ca="1" si="80"/>
        <v>511.45152005</v>
      </c>
      <c r="AK162" s="31">
        <f t="shared" ca="1" si="81"/>
        <v>0.74959750934238001</v>
      </c>
      <c r="AL162" s="28" t="str">
        <f t="shared" ca="1" si="82"/>
        <v>RIMAC</v>
      </c>
      <c r="AM162" s="28" t="str">
        <f t="shared" ca="1" si="83"/>
        <v>LEVE</v>
      </c>
      <c r="AN162" s="30" t="str">
        <f t="shared" ca="1" si="84"/>
        <v>December</v>
      </c>
      <c r="AO162" s="42">
        <f t="shared" ca="1" si="85"/>
        <v>2019</v>
      </c>
      <c r="AP162" s="42">
        <f t="shared" ca="1" si="86"/>
        <v>7</v>
      </c>
      <c r="AQ162" s="26">
        <v>1</v>
      </c>
      <c r="AR162" s="30">
        <f t="shared" ca="1" si="87"/>
        <v>43795</v>
      </c>
      <c r="AS162" s="30" t="str">
        <f t="shared" ca="1" si="88"/>
        <v>BDG-262</v>
      </c>
      <c r="AT162" s="26" t="str">
        <f t="shared" ca="1" si="89"/>
        <v>KIA</v>
      </c>
      <c r="AU162" s="26" t="str">
        <f t="shared" ca="1" si="90"/>
        <v>RIO</v>
      </c>
      <c r="AV162" s="26" t="str">
        <f t="shared" ca="1" si="91"/>
        <v>RIMAC SEGUROS  Y REASEGUROS S.A</v>
      </c>
    </row>
    <row r="163" spans="1:48" x14ac:dyDescent="0.2">
      <c r="A163" s="172">
        <v>43767</v>
      </c>
      <c r="B163" s="173" t="s">
        <v>68</v>
      </c>
      <c r="C163" s="173" t="s">
        <v>102</v>
      </c>
      <c r="D163" s="173" t="s">
        <v>654</v>
      </c>
      <c r="E163" s="173" t="s">
        <v>771</v>
      </c>
      <c r="F163" s="173" t="s">
        <v>923</v>
      </c>
      <c r="G163" s="172">
        <v>43747</v>
      </c>
      <c r="H163" s="173" t="s">
        <v>1145</v>
      </c>
      <c r="I163" s="173" t="s">
        <v>1146</v>
      </c>
      <c r="J163" s="173" t="s">
        <v>92</v>
      </c>
      <c r="K163" s="173" t="s">
        <v>113</v>
      </c>
      <c r="L163" s="174" t="s">
        <v>71</v>
      </c>
      <c r="M163" s="175" t="s">
        <v>72</v>
      </c>
      <c r="N163" s="173" t="s">
        <v>73</v>
      </c>
      <c r="O163" s="176" t="s">
        <v>69</v>
      </c>
      <c r="P163" s="130" t="s">
        <v>113</v>
      </c>
      <c r="Q163" s="177" t="s">
        <v>74</v>
      </c>
      <c r="R163" s="178">
        <v>3.335</v>
      </c>
      <c r="S163" s="179">
        <v>1</v>
      </c>
      <c r="T163" s="179">
        <v>930</v>
      </c>
      <c r="U163" s="179">
        <v>930</v>
      </c>
      <c r="V163" s="179">
        <v>167.4</v>
      </c>
      <c r="W163" s="179">
        <v>1097.4000000000001</v>
      </c>
      <c r="X163" s="27">
        <f t="shared" si="76"/>
        <v>930</v>
      </c>
      <c r="Y163" s="29">
        <f ca="1">VLOOKUP(Z163,CHOOSE({2,1},Fac_Fecha,Fac_OT),2,0)</f>
        <v>43804</v>
      </c>
      <c r="Z163" s="26" t="s">
        <v>1371</v>
      </c>
      <c r="AA163" s="28">
        <f t="shared" ca="1" si="60"/>
        <v>1905.7542100000001</v>
      </c>
      <c r="AB163" s="28">
        <f ca="1">SUMIF(Salida_OT,Facturacion!Z163,Salida_Suma)</f>
        <v>395.91630899999996</v>
      </c>
      <c r="AC163" s="28">
        <f t="shared" ca="1" si="77"/>
        <v>0</v>
      </c>
      <c r="AD163" s="28">
        <f t="shared" ca="1" si="78"/>
        <v>16.95</v>
      </c>
      <c r="AE163" s="28">
        <f ca="1">(SUMIF(Asig_OT,Z163,Asig_Hora_Mec))*'Costos x MO'!$B$6*'Costos x MO'!$B$7</f>
        <v>185.42250000000001</v>
      </c>
      <c r="AF163" s="28">
        <f ca="1">SUMIF(Asig_OT,Z163,Asig_Hora_Pla)*'Costos x MO'!$B$4*'Costos x MO'!$B$7</f>
        <v>0</v>
      </c>
      <c r="AG163" s="28">
        <f ca="1">SUMIF(Asig_OT,Z163,Asig_paño_Pin)*'Costos x MO'!$B$5*'Costos x MO'!$B$7</f>
        <v>0</v>
      </c>
      <c r="AH163" s="28">
        <f ca="1">(SUMIF(Asig_OT,Z163,Asig_Terc_Pla)*'Costos x MO'!$B$7)+(SUMIF(Asig_OT,Z163,Asig_Terc_Pin)*'Costos x MO'!$B$7)</f>
        <v>0</v>
      </c>
      <c r="AI163" s="28">
        <f t="shared" ca="1" si="79"/>
        <v>598.2888089999999</v>
      </c>
      <c r="AJ163" s="28">
        <f t="shared" ca="1" si="80"/>
        <v>1307.4654010000002</v>
      </c>
      <c r="AK163" s="31">
        <f t="shared" ca="1" si="81"/>
        <v>0.68606192453327974</v>
      </c>
      <c r="AL163" s="28" t="str">
        <f t="shared" ca="1" si="82"/>
        <v>ACCESO</v>
      </c>
      <c r="AM163" s="28" t="str">
        <f t="shared" ca="1" si="83"/>
        <v>MEDIANO</v>
      </c>
      <c r="AN163" s="30" t="str">
        <f t="shared" ca="1" si="84"/>
        <v>December</v>
      </c>
      <c r="AO163" s="42">
        <f t="shared" ca="1" si="85"/>
        <v>2019</v>
      </c>
      <c r="AP163" s="42">
        <f t="shared" ca="1" si="86"/>
        <v>14</v>
      </c>
      <c r="AQ163" s="26">
        <v>1</v>
      </c>
      <c r="AR163" s="30">
        <f t="shared" ca="1" si="87"/>
        <v>43790</v>
      </c>
      <c r="AS163" s="30" t="str">
        <f t="shared" ca="1" si="88"/>
        <v>ARN-470</v>
      </c>
      <c r="AT163" s="26" t="str">
        <f t="shared" ca="1" si="89"/>
        <v>BYD</v>
      </c>
      <c r="AU163" s="26" t="str">
        <f t="shared" ca="1" si="90"/>
        <v>F3</v>
      </c>
      <c r="AV163" s="26" t="str">
        <f t="shared" ca="1" si="91"/>
        <v>EDPYME ACCESO CREDITICIO SOCIEDAD ANONIMA</v>
      </c>
    </row>
    <row r="164" spans="1:48" x14ac:dyDescent="0.2">
      <c r="A164" s="172">
        <v>43767</v>
      </c>
      <c r="B164" s="173" t="s">
        <v>68</v>
      </c>
      <c r="C164" s="173" t="s">
        <v>102</v>
      </c>
      <c r="D164" s="173" t="s">
        <v>654</v>
      </c>
      <c r="E164" s="173" t="s">
        <v>771</v>
      </c>
      <c r="F164" s="173" t="s">
        <v>923</v>
      </c>
      <c r="G164" s="172">
        <v>43747</v>
      </c>
      <c r="H164" s="173" t="s">
        <v>1145</v>
      </c>
      <c r="I164" s="173" t="s">
        <v>1146</v>
      </c>
      <c r="J164" s="173" t="s">
        <v>132</v>
      </c>
      <c r="K164" s="173" t="s">
        <v>1155</v>
      </c>
      <c r="L164" s="174" t="s">
        <v>71</v>
      </c>
      <c r="M164" s="175" t="s">
        <v>72</v>
      </c>
      <c r="N164" s="173" t="s">
        <v>73</v>
      </c>
      <c r="O164" s="176" t="s">
        <v>69</v>
      </c>
      <c r="P164" s="173" t="s">
        <v>105</v>
      </c>
      <c r="Q164" s="177" t="s">
        <v>74</v>
      </c>
      <c r="R164" s="178">
        <v>3.335</v>
      </c>
      <c r="S164" s="179">
        <v>1</v>
      </c>
      <c r="T164" s="179">
        <v>495</v>
      </c>
      <c r="U164" s="179">
        <v>495</v>
      </c>
      <c r="V164" s="179">
        <v>89.099979999999917</v>
      </c>
      <c r="W164" s="179">
        <v>584.09997999999996</v>
      </c>
      <c r="X164" s="27">
        <f t="shared" si="76"/>
        <v>495</v>
      </c>
      <c r="Y164" s="29">
        <f ca="1">VLOOKUP(Z164,CHOOSE({2,1},Fac_Fecha,Fac_OT),2,0)</f>
        <v>43804</v>
      </c>
      <c r="Z164" s="26" t="s">
        <v>1013</v>
      </c>
      <c r="AA164" s="28">
        <f t="shared" ref="AA164:AA227" ca="1" si="92">SUMIFS(Fac_Suma,Fac_OT,Z164,Fac_Fecha,Y164)</f>
        <v>9545.7542099999991</v>
      </c>
      <c r="AB164" s="28">
        <f ca="1">SUMIF(Salida_OT,Facturacion!Z164,Salida_Suma)</f>
        <v>2700.1454673000003</v>
      </c>
      <c r="AC164" s="28">
        <f t="shared" ca="1" si="77"/>
        <v>170.84186440677968</v>
      </c>
      <c r="AD164" s="28">
        <f t="shared" ca="1" si="78"/>
        <v>284.58</v>
      </c>
      <c r="AE164" s="28">
        <f ca="1">(SUMIF(Asig_OT,Z164,Asig_Hora_Mec))*'Costos x MO'!$B$6*'Costos x MO'!$B$7</f>
        <v>124.36875000000001</v>
      </c>
      <c r="AF164" s="28">
        <f ca="1">SUMIF(Asig_OT,Z164,Asig_Hora_Pla)*'Costos x MO'!$B$4*'Costos x MO'!$B$7</f>
        <v>633.15</v>
      </c>
      <c r="AG164" s="28">
        <f ca="1">SUMIF(Asig_OT,Z164,Asig_paño_Pin)*'Costos x MO'!$B$5*'Costos x MO'!$B$7</f>
        <v>1266.3</v>
      </c>
      <c r="AH164" s="28">
        <f ca="1">(SUMIF(Asig_OT,Z164,Asig_Terc_Pla)*'Costos x MO'!$B$7)+(SUMIF(Asig_OT,Z164,Asig_Terc_Pin)*'Costos x MO'!$B$7)</f>
        <v>0</v>
      </c>
      <c r="AI164" s="28">
        <f t="shared" ca="1" si="79"/>
        <v>5179.3860817067798</v>
      </c>
      <c r="AJ164" s="28">
        <f t="shared" ca="1" si="80"/>
        <v>4366.3681282932193</v>
      </c>
      <c r="AK164" s="31">
        <f t="shared" ca="1" si="81"/>
        <v>0.4574146821965176</v>
      </c>
      <c r="AL164" s="28" t="str">
        <f t="shared" ca="1" si="82"/>
        <v>ACCESO</v>
      </c>
      <c r="AM164" s="28" t="str">
        <f t="shared" ca="1" si="83"/>
        <v>GRAVE</v>
      </c>
      <c r="AN164" s="30" t="str">
        <f t="shared" ca="1" si="84"/>
        <v>December</v>
      </c>
      <c r="AO164" s="42">
        <f t="shared" ca="1" si="85"/>
        <v>2019</v>
      </c>
      <c r="AP164" s="42">
        <f t="shared" ca="1" si="86"/>
        <v>27</v>
      </c>
      <c r="AQ164" s="26">
        <v>1</v>
      </c>
      <c r="AR164" s="30">
        <f t="shared" ca="1" si="87"/>
        <v>43777</v>
      </c>
      <c r="AS164" s="30" t="str">
        <f t="shared" ca="1" si="88"/>
        <v>AVA-610</v>
      </c>
      <c r="AT164" s="26" t="str">
        <f t="shared" ca="1" si="89"/>
        <v>CHEVROLET</v>
      </c>
      <c r="AU164" s="26" t="str">
        <f t="shared" ca="1" si="90"/>
        <v>SAIL</v>
      </c>
      <c r="AV164" s="26" t="str">
        <f t="shared" ca="1" si="91"/>
        <v>EDPYME ACCESO CREDITICIO SOCIEDAD ANONIMA</v>
      </c>
    </row>
    <row r="165" spans="1:48" x14ac:dyDescent="0.2">
      <c r="A165" s="172">
        <v>43767</v>
      </c>
      <c r="B165" s="173" t="s">
        <v>68</v>
      </c>
      <c r="C165" s="173" t="s">
        <v>102</v>
      </c>
      <c r="D165" s="173" t="s">
        <v>654</v>
      </c>
      <c r="E165" s="173" t="s">
        <v>771</v>
      </c>
      <c r="F165" s="173" t="s">
        <v>923</v>
      </c>
      <c r="G165" s="172">
        <v>43747</v>
      </c>
      <c r="H165" s="173" t="s">
        <v>1145</v>
      </c>
      <c r="I165" s="173" t="s">
        <v>1146</v>
      </c>
      <c r="J165" s="173" t="s">
        <v>139</v>
      </c>
      <c r="K165" s="173" t="s">
        <v>116</v>
      </c>
      <c r="L165" s="174" t="s">
        <v>71</v>
      </c>
      <c r="M165" s="175" t="s">
        <v>72</v>
      </c>
      <c r="N165" s="173" t="s">
        <v>73</v>
      </c>
      <c r="O165" s="176" t="s">
        <v>69</v>
      </c>
      <c r="P165" s="173" t="s">
        <v>98</v>
      </c>
      <c r="Q165" s="177" t="s">
        <v>74</v>
      </c>
      <c r="R165" s="178">
        <v>3.335</v>
      </c>
      <c r="S165" s="179">
        <v>1</v>
      </c>
      <c r="T165" s="179">
        <v>135</v>
      </c>
      <c r="U165" s="179">
        <v>135</v>
      </c>
      <c r="V165" s="179">
        <v>24.3</v>
      </c>
      <c r="W165" s="179">
        <v>159.30000000000001</v>
      </c>
      <c r="X165" s="27">
        <f t="shared" si="76"/>
        <v>135</v>
      </c>
      <c r="Y165" s="29">
        <f ca="1">VLOOKUP(Z165,CHOOSE({2,1},Fac_Fecha,Fac_OT),2,0)</f>
        <v>43805</v>
      </c>
      <c r="Z165" s="26" t="s">
        <v>1896</v>
      </c>
      <c r="AA165" s="28">
        <f t="shared" ca="1" si="92"/>
        <v>1157.6500342500001</v>
      </c>
      <c r="AB165" s="28">
        <f ca="1">SUMIF(Salida_OT,Facturacion!Z165,Salida_Suma)</f>
        <v>0</v>
      </c>
      <c r="AC165" s="28">
        <f t="shared" ca="1" si="77"/>
        <v>0</v>
      </c>
      <c r="AD165" s="28">
        <f t="shared" ca="1" si="78"/>
        <v>0</v>
      </c>
      <c r="AE165" s="28">
        <f ca="1">(SUMIF(Asig_OT,Z165,Asig_Hora_Mec))*'Costos x MO'!$B$6*'Costos x MO'!$B$7</f>
        <v>0</v>
      </c>
      <c r="AF165" s="28">
        <f ca="1">SUMIF(Asig_OT,Z165,Asig_Hora_Pla)*'Costos x MO'!$B$4*'Costos x MO'!$B$7</f>
        <v>90.45</v>
      </c>
      <c r="AG165" s="28">
        <f ca="1">SUMIF(Asig_OT,Z165,Asig_paño_Pin)*'Costos x MO'!$B$5*'Costos x MO'!$B$7</f>
        <v>175.875</v>
      </c>
      <c r="AH165" s="28">
        <f ca="1">(SUMIF(Asig_OT,Z165,Asig_Terc_Pla)*'Costos x MO'!$B$7)+(SUMIF(Asig_OT,Z165,Asig_Terc_Pin)*'Costos x MO'!$B$7)</f>
        <v>0</v>
      </c>
      <c r="AI165" s="28">
        <f t="shared" ca="1" si="79"/>
        <v>266.32499999999999</v>
      </c>
      <c r="AJ165" s="28">
        <f t="shared" ca="1" si="80"/>
        <v>891.32503425000004</v>
      </c>
      <c r="AK165" s="31">
        <f t="shared" ca="1" si="81"/>
        <v>0.769943426665605</v>
      </c>
      <c r="AL165" s="28" t="str">
        <f t="shared" ca="1" si="82"/>
        <v>RIMAC</v>
      </c>
      <c r="AM165" s="28" t="str">
        <f t="shared" ca="1" si="83"/>
        <v>LEVE</v>
      </c>
      <c r="AN165" s="30" t="str">
        <f t="shared" ca="1" si="84"/>
        <v>December</v>
      </c>
      <c r="AO165" s="42">
        <f t="shared" ca="1" si="85"/>
        <v>2019</v>
      </c>
      <c r="AP165" s="42">
        <f t="shared" ca="1" si="86"/>
        <v>11</v>
      </c>
      <c r="AQ165" s="26">
        <v>1</v>
      </c>
      <c r="AR165" s="30">
        <f t="shared" ca="1" si="87"/>
        <v>43794</v>
      </c>
      <c r="AS165" s="30" t="str">
        <f t="shared" ca="1" si="88"/>
        <v>ASW-232</v>
      </c>
      <c r="AT165" s="26" t="str">
        <f t="shared" ca="1" si="89"/>
        <v>MITSUBISHI</v>
      </c>
      <c r="AU165" s="26" t="str">
        <f t="shared" ca="1" si="90"/>
        <v>OUTLANDER</v>
      </c>
      <c r="AV165" s="26" t="str">
        <f t="shared" ca="1" si="91"/>
        <v>RIMAC SEGUROS  Y REASEGUROS S.A</v>
      </c>
    </row>
    <row r="166" spans="1:48" x14ac:dyDescent="0.2">
      <c r="A166" s="172">
        <v>43767</v>
      </c>
      <c r="B166" s="173" t="s">
        <v>68</v>
      </c>
      <c r="C166" s="173" t="s">
        <v>102</v>
      </c>
      <c r="D166" s="173" t="s">
        <v>654</v>
      </c>
      <c r="E166" s="173" t="s">
        <v>771</v>
      </c>
      <c r="F166" s="173" t="s">
        <v>923</v>
      </c>
      <c r="G166" s="172">
        <v>43747</v>
      </c>
      <c r="H166" s="173" t="s">
        <v>1145</v>
      </c>
      <c r="I166" s="173" t="s">
        <v>1146</v>
      </c>
      <c r="J166" s="173" t="s">
        <v>70</v>
      </c>
      <c r="K166" s="173" t="s">
        <v>112</v>
      </c>
      <c r="L166" s="174" t="s">
        <v>71</v>
      </c>
      <c r="M166" s="175" t="s">
        <v>72</v>
      </c>
      <c r="N166" s="173" t="s">
        <v>73</v>
      </c>
      <c r="O166" s="176" t="s">
        <v>69</v>
      </c>
      <c r="P166" s="130" t="s">
        <v>447</v>
      </c>
      <c r="Q166" s="177" t="s">
        <v>74</v>
      </c>
      <c r="R166" s="178">
        <v>3.335</v>
      </c>
      <c r="S166" s="179">
        <v>1</v>
      </c>
      <c r="T166" s="179">
        <v>380</v>
      </c>
      <c r="U166" s="179">
        <v>380</v>
      </c>
      <c r="V166" s="179">
        <v>68.399990000000031</v>
      </c>
      <c r="W166" s="179">
        <v>448.39999000000006</v>
      </c>
      <c r="X166" s="27">
        <f t="shared" si="76"/>
        <v>380</v>
      </c>
      <c r="Y166" s="29">
        <f ca="1">VLOOKUP(Z166,CHOOSE({2,1},Fac_Fecha,Fac_OT),2,0)</f>
        <v>43805</v>
      </c>
      <c r="Z166" s="26" t="s">
        <v>1904</v>
      </c>
      <c r="AA166" s="28">
        <f t="shared" ca="1" si="92"/>
        <v>730</v>
      </c>
      <c r="AB166" s="28">
        <f ca="1">SUMIF(Salida_OT,Facturacion!Z166,Salida_Suma)</f>
        <v>0</v>
      </c>
      <c r="AC166" s="28">
        <f t="shared" ca="1" si="77"/>
        <v>0</v>
      </c>
      <c r="AD166" s="28">
        <f t="shared" ca="1" si="78"/>
        <v>0</v>
      </c>
      <c r="AE166" s="28">
        <f ca="1">(SUMIF(Asig_OT,Z166,Asig_Hora_Mec))*'Costos x MO'!$B$6*'Costos x MO'!$B$7</f>
        <v>30.150000000000002</v>
      </c>
      <c r="AF166" s="28">
        <f ca="1">SUMIF(Asig_OT,Z166,Asig_Hora_Pla)*'Costos x MO'!$B$4*'Costos x MO'!$B$7</f>
        <v>0</v>
      </c>
      <c r="AG166" s="28">
        <f ca="1">SUMIF(Asig_OT,Z166,Asig_paño_Pin)*'Costos x MO'!$B$5*'Costos x MO'!$B$7</f>
        <v>0</v>
      </c>
      <c r="AH166" s="28">
        <f ca="1">(SUMIF(Asig_OT,Z166,Asig_Terc_Pla)*'Costos x MO'!$B$7)+(SUMIF(Asig_OT,Z166,Asig_Terc_Pin)*'Costos x MO'!$B$7)</f>
        <v>0</v>
      </c>
      <c r="AI166" s="28">
        <f t="shared" ca="1" si="79"/>
        <v>30.150000000000002</v>
      </c>
      <c r="AJ166" s="28">
        <f t="shared" ca="1" si="80"/>
        <v>699.85</v>
      </c>
      <c r="AK166" s="31">
        <f t="shared" ca="1" si="81"/>
        <v>0.95869863013698631</v>
      </c>
      <c r="AL166" s="28" t="str">
        <f t="shared" ca="1" si="82"/>
        <v>ACCESO</v>
      </c>
      <c r="AM166" s="28" t="str">
        <f t="shared" ca="1" si="83"/>
        <v>LEVE</v>
      </c>
      <c r="AN166" s="30" t="str">
        <f t="shared" ca="1" si="84"/>
        <v>December</v>
      </c>
      <c r="AO166" s="42">
        <f t="shared" ca="1" si="85"/>
        <v>2019</v>
      </c>
      <c r="AP166" s="42">
        <f t="shared" ca="1" si="86"/>
        <v>4</v>
      </c>
      <c r="AQ166" s="26">
        <v>1</v>
      </c>
      <c r="AR166" s="30">
        <f t="shared" ca="1" si="87"/>
        <v>43801</v>
      </c>
      <c r="AS166" s="30" t="str">
        <f t="shared" ca="1" si="88"/>
        <v>F5O-186</v>
      </c>
      <c r="AT166" s="26" t="str">
        <f t="shared" ca="1" si="89"/>
        <v>NISSAN</v>
      </c>
      <c r="AU166" s="26" t="str">
        <f t="shared" ca="1" si="90"/>
        <v>TIIDA</v>
      </c>
      <c r="AV166" s="26" t="str">
        <f t="shared" ca="1" si="91"/>
        <v>EDPYME ACCESO CREDITICIO SOCIEDAD ANONIMA</v>
      </c>
    </row>
    <row r="167" spans="1:48" x14ac:dyDescent="0.2">
      <c r="A167" s="172">
        <v>43767</v>
      </c>
      <c r="B167" s="173" t="s">
        <v>68</v>
      </c>
      <c r="C167" s="173" t="s">
        <v>102</v>
      </c>
      <c r="D167" s="173" t="s">
        <v>654</v>
      </c>
      <c r="E167" s="173" t="s">
        <v>771</v>
      </c>
      <c r="F167" s="173" t="s">
        <v>923</v>
      </c>
      <c r="G167" s="172">
        <v>43747</v>
      </c>
      <c r="H167" s="173" t="s">
        <v>1145</v>
      </c>
      <c r="I167" s="173" t="s">
        <v>1146</v>
      </c>
      <c r="J167" s="173" t="s">
        <v>106</v>
      </c>
      <c r="K167" s="173" t="s">
        <v>107</v>
      </c>
      <c r="L167" s="174" t="s">
        <v>71</v>
      </c>
      <c r="M167" s="175" t="s">
        <v>72</v>
      </c>
      <c r="N167" s="173" t="s">
        <v>73</v>
      </c>
      <c r="O167" s="176" t="s">
        <v>69</v>
      </c>
      <c r="P167" s="130" t="s">
        <v>447</v>
      </c>
      <c r="Q167" s="177" t="s">
        <v>74</v>
      </c>
      <c r="R167" s="178">
        <v>3.335</v>
      </c>
      <c r="S167" s="179">
        <v>1</v>
      </c>
      <c r="T167" s="179">
        <v>80</v>
      </c>
      <c r="U167" s="179">
        <v>80</v>
      </c>
      <c r="V167" s="179">
        <v>14.400002000000004</v>
      </c>
      <c r="W167" s="179">
        <v>94.400002000000001</v>
      </c>
      <c r="X167" s="27">
        <f t="shared" si="76"/>
        <v>80</v>
      </c>
      <c r="Y167" s="29">
        <f ca="1">VLOOKUP(Z167,CHOOSE({2,1},Fac_Fecha,Fac_OT),2,0)</f>
        <v>43805</v>
      </c>
      <c r="Z167" s="107" t="s">
        <v>1900</v>
      </c>
      <c r="AA167" s="28">
        <v>1653.42</v>
      </c>
      <c r="AB167" s="28">
        <f ca="1">SUMIF(Salida_OT,Facturacion!Z167,Salida_Suma)</f>
        <v>0</v>
      </c>
      <c r="AC167" s="28">
        <f t="shared" ca="1" si="77"/>
        <v>0</v>
      </c>
      <c r="AD167" s="28">
        <f t="shared" ca="1" si="78"/>
        <v>0</v>
      </c>
      <c r="AE167" s="28">
        <f ca="1">(SUMIF(Asig_OT,Z167,Asig_Hora_Mec))*'Costos x MO'!$B$6*'Costos x MO'!$B$7</f>
        <v>0</v>
      </c>
      <c r="AF167" s="28">
        <f ca="1">SUMIF(Asig_OT,Z167,Asig_Hora_Pla)*'Costos x MO'!$B$4*'Costos x MO'!$B$7</f>
        <v>75.375</v>
      </c>
      <c r="AG167" s="28">
        <f ca="1">SUMIF(Asig_OT,Z167,Asig_paño_Pin)*'Costos x MO'!$B$5*'Costos x MO'!$B$7</f>
        <v>422.1</v>
      </c>
      <c r="AH167" s="28">
        <f ca="1">(SUMIF(Asig_OT,Z167,Asig_Terc_Pla)*'Costos x MO'!$B$7)+(SUMIF(Asig_OT,Z167,Asig_Terc_Pin)*'Costos x MO'!$B$7)</f>
        <v>0</v>
      </c>
      <c r="AI167" s="28">
        <f t="shared" ca="1" si="79"/>
        <v>497.47500000000002</v>
      </c>
      <c r="AJ167" s="28">
        <f t="shared" ca="1" si="80"/>
        <v>1155.9450000000002</v>
      </c>
      <c r="AK167" s="31">
        <f t="shared" ca="1" si="81"/>
        <v>0.69912363464818383</v>
      </c>
      <c r="AL167" s="28" t="str">
        <f t="shared" ca="1" si="82"/>
        <v>RIMAC</v>
      </c>
      <c r="AM167" s="28" t="str">
        <f t="shared" ca="1" si="83"/>
        <v>LEVE</v>
      </c>
      <c r="AN167" s="30" t="str">
        <f t="shared" ca="1" si="84"/>
        <v>December</v>
      </c>
      <c r="AO167" s="42">
        <f t="shared" ca="1" si="85"/>
        <v>2019</v>
      </c>
      <c r="AP167" s="42">
        <f t="shared" ca="1" si="86"/>
        <v>11</v>
      </c>
      <c r="AQ167" s="26">
        <v>1</v>
      </c>
      <c r="AR167" s="30">
        <f t="shared" ca="1" si="87"/>
        <v>43794</v>
      </c>
      <c r="AS167" s="30" t="str">
        <f t="shared" ca="1" si="88"/>
        <v>BDW-631</v>
      </c>
      <c r="AT167" s="26" t="str">
        <f t="shared" ca="1" si="89"/>
        <v>MAZDA</v>
      </c>
      <c r="AU167" s="26" t="str">
        <f t="shared" ca="1" si="90"/>
        <v>MAZDA3</v>
      </c>
      <c r="AV167" s="26" t="str">
        <f t="shared" ca="1" si="91"/>
        <v>RIMAC SEGUROS  Y REASEGUROS S.A</v>
      </c>
    </row>
    <row r="168" spans="1:48" x14ac:dyDescent="0.2">
      <c r="A168" s="172">
        <v>43767</v>
      </c>
      <c r="B168" s="173" t="s">
        <v>68</v>
      </c>
      <c r="C168" s="173" t="s">
        <v>102</v>
      </c>
      <c r="D168" s="173" t="s">
        <v>654</v>
      </c>
      <c r="E168" s="173" t="s">
        <v>771</v>
      </c>
      <c r="F168" s="173" t="s">
        <v>923</v>
      </c>
      <c r="G168" s="172">
        <v>43747</v>
      </c>
      <c r="H168" s="173" t="s">
        <v>1145</v>
      </c>
      <c r="I168" s="173" t="s">
        <v>1146</v>
      </c>
      <c r="J168" s="173" t="s">
        <v>104</v>
      </c>
      <c r="K168" s="173" t="s">
        <v>105</v>
      </c>
      <c r="L168" s="174" t="s">
        <v>71</v>
      </c>
      <c r="M168" s="175" t="s">
        <v>72</v>
      </c>
      <c r="N168" s="173" t="s">
        <v>73</v>
      </c>
      <c r="O168" s="176" t="s">
        <v>69</v>
      </c>
      <c r="P168" s="173" t="s">
        <v>105</v>
      </c>
      <c r="Q168" s="177" t="s">
        <v>74</v>
      </c>
      <c r="R168" s="178">
        <v>3.335</v>
      </c>
      <c r="S168" s="179">
        <v>1</v>
      </c>
      <c r="T168" s="179">
        <v>3275</v>
      </c>
      <c r="U168" s="179">
        <v>3275</v>
      </c>
      <c r="V168" s="179">
        <v>589.5</v>
      </c>
      <c r="W168" s="179">
        <v>3864.5</v>
      </c>
      <c r="X168" s="27">
        <f t="shared" si="76"/>
        <v>3275</v>
      </c>
      <c r="Y168" s="29">
        <f ca="1">VLOOKUP(Z168,CHOOSE({2,1},Fac_Fecha,Fac_OT),2,0)</f>
        <v>43806</v>
      </c>
      <c r="Z168" s="26" t="s">
        <v>1894</v>
      </c>
      <c r="AA168" s="28">
        <f t="shared" ca="1" si="92"/>
        <v>1293.2325000000001</v>
      </c>
      <c r="AB168" s="28">
        <f ca="1">SUMIF(Salida_OT,Facturacion!Z168,Salida_Suma)</f>
        <v>0</v>
      </c>
      <c r="AC168" s="28">
        <f t="shared" ca="1" si="77"/>
        <v>0</v>
      </c>
      <c r="AD168" s="28">
        <f t="shared" ca="1" si="78"/>
        <v>0</v>
      </c>
      <c r="AE168" s="28">
        <f ca="1">(SUMIF(Asig_OT,Z168,Asig_Hora_Mec))*'Costos x MO'!$B$6*'Costos x MO'!$B$7</f>
        <v>0</v>
      </c>
      <c r="AF168" s="28">
        <f ca="1">SUMIF(Asig_OT,Z168,Asig_Hora_Pla)*'Costos x MO'!$B$4*'Costos x MO'!$B$7</f>
        <v>105.52500000000001</v>
      </c>
      <c r="AG168" s="28">
        <f ca="1">SUMIF(Asig_OT,Z168,Asig_paño_Pin)*'Costos x MO'!$B$5*'Costos x MO'!$B$7</f>
        <v>175.875</v>
      </c>
      <c r="AH168" s="28">
        <f ca="1">(SUMIF(Asig_OT,Z168,Asig_Terc_Pla)*'Costos x MO'!$B$7)+(SUMIF(Asig_OT,Z168,Asig_Terc_Pin)*'Costos x MO'!$B$7)</f>
        <v>0</v>
      </c>
      <c r="AI168" s="28">
        <f t="shared" ca="1" si="79"/>
        <v>281.39999999999998</v>
      </c>
      <c r="AJ168" s="28">
        <f t="shared" ca="1" si="80"/>
        <v>1011.8325000000001</v>
      </c>
      <c r="AK168" s="31">
        <f t="shared" ca="1" si="81"/>
        <v>0.78240571590955221</v>
      </c>
      <c r="AL168" s="28" t="str">
        <f t="shared" ca="1" si="82"/>
        <v>RIMAC</v>
      </c>
      <c r="AM168" s="28" t="str">
        <f t="shared" ca="1" si="83"/>
        <v>LEVE</v>
      </c>
      <c r="AN168" s="30" t="str">
        <f t="shared" ca="1" si="84"/>
        <v>December</v>
      </c>
      <c r="AO168" s="42">
        <f t="shared" ca="1" si="85"/>
        <v>2019</v>
      </c>
      <c r="AP168" s="42">
        <f t="shared" ca="1" si="86"/>
        <v>8</v>
      </c>
      <c r="AQ168" s="26">
        <v>1</v>
      </c>
      <c r="AR168" s="30">
        <f t="shared" ca="1" si="87"/>
        <v>43798</v>
      </c>
      <c r="AS168" s="30" t="str">
        <f t="shared" ca="1" si="88"/>
        <v>ASM-675</v>
      </c>
      <c r="AT168" s="26" t="str">
        <f t="shared" ca="1" si="89"/>
        <v>NISSAN</v>
      </c>
      <c r="AU168" s="26" t="str">
        <f t="shared" ca="1" si="90"/>
        <v>SENTRA</v>
      </c>
      <c r="AV168" s="26" t="str">
        <f t="shared" ca="1" si="91"/>
        <v>RIMAC SEGUROS  Y REASEGUROS S.A</v>
      </c>
    </row>
    <row r="169" spans="1:48" x14ac:dyDescent="0.2">
      <c r="A169" s="172">
        <v>43767</v>
      </c>
      <c r="B169" s="173" t="s">
        <v>68</v>
      </c>
      <c r="C169" s="173" t="s">
        <v>102</v>
      </c>
      <c r="D169" s="173" t="s">
        <v>653</v>
      </c>
      <c r="E169" s="173" t="s">
        <v>842</v>
      </c>
      <c r="F169" s="173" t="s">
        <v>1159</v>
      </c>
      <c r="G169" s="172">
        <v>43760</v>
      </c>
      <c r="H169" s="173" t="s">
        <v>90</v>
      </c>
      <c r="I169" s="173" t="s">
        <v>91</v>
      </c>
      <c r="J169" s="173" t="s">
        <v>97</v>
      </c>
      <c r="K169" s="173" t="s">
        <v>98</v>
      </c>
      <c r="L169" s="174" t="s">
        <v>71</v>
      </c>
      <c r="M169" s="175" t="s">
        <v>72</v>
      </c>
      <c r="N169" s="173" t="s">
        <v>73</v>
      </c>
      <c r="O169" s="176" t="s">
        <v>99</v>
      </c>
      <c r="P169" s="173" t="s">
        <v>98</v>
      </c>
      <c r="Q169" s="177" t="s">
        <v>93</v>
      </c>
      <c r="R169" s="178">
        <v>3.335</v>
      </c>
      <c r="S169" s="179">
        <v>1</v>
      </c>
      <c r="T169" s="179">
        <v>118</v>
      </c>
      <c r="U169" s="179">
        <v>118</v>
      </c>
      <c r="V169" s="179">
        <v>21.240010000000019</v>
      </c>
      <c r="W169" s="179">
        <v>139.24001000000001</v>
      </c>
      <c r="X169" s="27">
        <f t="shared" si="76"/>
        <v>393.53</v>
      </c>
      <c r="Y169" s="29">
        <f ca="1">VLOOKUP(Z169,CHOOSE({2,1},Fac_Fecha,Fac_OT),2,0)</f>
        <v>43806</v>
      </c>
      <c r="Z169" s="26" t="s">
        <v>1898</v>
      </c>
      <c r="AA169" s="28">
        <f t="shared" ca="1" si="92"/>
        <v>2062.41</v>
      </c>
      <c r="AB169" s="28">
        <f ca="1">SUMIF(Salida_OT,Facturacion!Z169,Salida_Suma)</f>
        <v>0</v>
      </c>
      <c r="AC169" s="28">
        <f t="shared" ca="1" si="77"/>
        <v>0</v>
      </c>
      <c r="AD169" s="28">
        <f t="shared" ca="1" si="78"/>
        <v>0</v>
      </c>
      <c r="AE169" s="28">
        <f ca="1">(SUMIF(Asig_OT,Z169,Asig_Hora_Mec))*'Costos x MO'!$B$6*'Costos x MO'!$B$7</f>
        <v>0</v>
      </c>
      <c r="AF169" s="28">
        <f ca="1">SUMIF(Asig_OT,Z169,Asig_Hora_Pla)*'Costos x MO'!$B$4*'Costos x MO'!$B$7</f>
        <v>211.05</v>
      </c>
      <c r="AG169" s="28">
        <f ca="1">SUMIF(Asig_OT,Z169,Asig_paño_Pin)*'Costos x MO'!$B$5*'Costos x MO'!$B$7</f>
        <v>351.75</v>
      </c>
      <c r="AH169" s="28">
        <f ca="1">(SUMIF(Asig_OT,Z169,Asig_Terc_Pla)*'Costos x MO'!$B$7)+(SUMIF(Asig_OT,Z169,Asig_Terc_Pin)*'Costos x MO'!$B$7)</f>
        <v>0</v>
      </c>
      <c r="AI169" s="28">
        <f t="shared" ca="1" si="79"/>
        <v>562.79999999999995</v>
      </c>
      <c r="AJ169" s="28">
        <f t="shared" ca="1" si="80"/>
        <v>1499.61</v>
      </c>
      <c r="AK169" s="31">
        <f t="shared" ca="1" si="81"/>
        <v>0.72711536503411056</v>
      </c>
      <c r="AL169" s="28" t="str">
        <f t="shared" ca="1" si="82"/>
        <v>RIMAC</v>
      </c>
      <c r="AM169" s="28" t="str">
        <f t="shared" ca="1" si="83"/>
        <v>MEDIANO</v>
      </c>
      <c r="AN169" s="30" t="str">
        <f t="shared" ca="1" si="84"/>
        <v>December</v>
      </c>
      <c r="AO169" s="42">
        <f t="shared" ca="1" si="85"/>
        <v>2019</v>
      </c>
      <c r="AP169" s="42">
        <f t="shared" ca="1" si="86"/>
        <v>11</v>
      </c>
      <c r="AQ169" s="26">
        <v>1</v>
      </c>
      <c r="AR169" s="30">
        <f t="shared" ca="1" si="87"/>
        <v>43795</v>
      </c>
      <c r="AS169" s="30" t="str">
        <f t="shared" ca="1" si="88"/>
        <v>BFS-488</v>
      </c>
      <c r="AT169" s="26" t="str">
        <f t="shared" ca="1" si="89"/>
        <v>TOYOTA</v>
      </c>
      <c r="AU169" s="26" t="str">
        <f t="shared" ca="1" si="90"/>
        <v>AVANZA</v>
      </c>
      <c r="AV169" s="26" t="str">
        <f t="shared" ca="1" si="91"/>
        <v>RIMAC SEGUROS  Y REASEGUROS S.A</v>
      </c>
    </row>
    <row r="170" spans="1:48" x14ac:dyDescent="0.2">
      <c r="A170" s="172">
        <v>43767</v>
      </c>
      <c r="B170" s="173" t="s">
        <v>68</v>
      </c>
      <c r="C170" s="173" t="s">
        <v>102</v>
      </c>
      <c r="D170" s="173" t="s">
        <v>653</v>
      </c>
      <c r="E170" s="173" t="s">
        <v>842</v>
      </c>
      <c r="F170" s="173" t="s">
        <v>1159</v>
      </c>
      <c r="G170" s="172">
        <v>43760</v>
      </c>
      <c r="H170" s="173" t="s">
        <v>90</v>
      </c>
      <c r="I170" s="173" t="s">
        <v>91</v>
      </c>
      <c r="J170" s="173" t="s">
        <v>100</v>
      </c>
      <c r="K170" s="173" t="s">
        <v>101</v>
      </c>
      <c r="L170" s="174" t="s">
        <v>71</v>
      </c>
      <c r="M170" s="175" t="s">
        <v>72</v>
      </c>
      <c r="N170" s="173" t="s">
        <v>73</v>
      </c>
      <c r="O170" s="176" t="s">
        <v>72</v>
      </c>
      <c r="P170" s="130" t="s">
        <v>101</v>
      </c>
      <c r="Q170" s="177" t="s">
        <v>93</v>
      </c>
      <c r="R170" s="178">
        <v>3.335</v>
      </c>
      <c r="S170" s="179">
        <v>1</v>
      </c>
      <c r="T170" s="179">
        <v>90</v>
      </c>
      <c r="U170" s="179">
        <v>90</v>
      </c>
      <c r="V170" s="179">
        <v>16.2</v>
      </c>
      <c r="W170" s="179">
        <v>106.2</v>
      </c>
      <c r="X170" s="27">
        <f t="shared" si="76"/>
        <v>300.14999999999998</v>
      </c>
      <c r="Y170" s="29">
        <f ca="1">VLOOKUP(Z170,CHOOSE({2,1},Fac_Fecha,Fac_OT),2,0)</f>
        <v>43806</v>
      </c>
      <c r="Z170" s="26" t="s">
        <v>1365</v>
      </c>
      <c r="AA170" s="28">
        <f t="shared" ca="1" si="92"/>
        <v>9915.7542099999991</v>
      </c>
      <c r="AB170" s="28">
        <f ca="1">SUMIF(Salida_OT,Facturacion!Z170,Salida_Suma)</f>
        <v>1797.6908077000001</v>
      </c>
      <c r="AC170" s="28">
        <f t="shared" ca="1" si="77"/>
        <v>29.66</v>
      </c>
      <c r="AD170" s="28">
        <f t="shared" ca="1" si="78"/>
        <v>118.65</v>
      </c>
      <c r="AE170" s="28">
        <f ca="1">(SUMIF(Asig_OT,Z170,Asig_Hora_Mec))*'Costos x MO'!$B$6*'Costos x MO'!$B$7</f>
        <v>275.11875000000003</v>
      </c>
      <c r="AF170" s="28">
        <f ca="1">SUMIF(Asig_OT,Z170,Asig_Hora_Pla)*'Costos x MO'!$B$4*'Costos x MO'!$B$7</f>
        <v>482.40000000000003</v>
      </c>
      <c r="AG170" s="28">
        <f ca="1">SUMIF(Asig_OT,Z170,Asig_paño_Pin)*'Costos x MO'!$B$5*'Costos x MO'!$B$7</f>
        <v>1301.4750000000001</v>
      </c>
      <c r="AH170" s="28">
        <f ca="1">(SUMIF(Asig_OT,Z170,Asig_Terc_Pla)*'Costos x MO'!$B$7)+(SUMIF(Asig_OT,Z170,Asig_Terc_Pin)*'Costos x MO'!$B$7)</f>
        <v>0</v>
      </c>
      <c r="AI170" s="28">
        <f t="shared" ca="1" si="79"/>
        <v>4004.9945577000008</v>
      </c>
      <c r="AJ170" s="28">
        <f t="shared" ca="1" si="80"/>
        <v>5910.7596522999984</v>
      </c>
      <c r="AK170" s="31">
        <f t="shared" ca="1" si="81"/>
        <v>0.5960978385627006</v>
      </c>
      <c r="AL170" s="28" t="str">
        <f t="shared" ca="1" si="82"/>
        <v>ACCESO</v>
      </c>
      <c r="AM170" s="28" t="str">
        <f t="shared" ca="1" si="83"/>
        <v>GRAVE</v>
      </c>
      <c r="AN170" s="30" t="str">
        <f t="shared" ca="1" si="84"/>
        <v>December</v>
      </c>
      <c r="AO170" s="42">
        <f t="shared" ca="1" si="85"/>
        <v>2019</v>
      </c>
      <c r="AP170" s="42">
        <f t="shared" ca="1" si="86"/>
        <v>16</v>
      </c>
      <c r="AQ170" s="26">
        <v>1</v>
      </c>
      <c r="AR170" s="30">
        <f t="shared" ca="1" si="87"/>
        <v>43790</v>
      </c>
      <c r="AS170" s="30" t="str">
        <f t="shared" ca="1" si="88"/>
        <v>AJJ-599</v>
      </c>
      <c r="AT170" s="26" t="str">
        <f t="shared" ca="1" si="89"/>
        <v>KIA</v>
      </c>
      <c r="AU170" s="26" t="str">
        <f t="shared" ca="1" si="90"/>
        <v>RIO</v>
      </c>
      <c r="AV170" s="26" t="str">
        <f t="shared" ca="1" si="91"/>
        <v>EDPYME ACCESO CREDITICIO SOCIEDAD ANONIMA</v>
      </c>
    </row>
    <row r="171" spans="1:48" x14ac:dyDescent="0.2">
      <c r="A171" s="172">
        <v>43767</v>
      </c>
      <c r="B171" s="173" t="s">
        <v>68</v>
      </c>
      <c r="C171" s="173" t="s">
        <v>102</v>
      </c>
      <c r="D171" s="173" t="s">
        <v>653</v>
      </c>
      <c r="E171" s="173" t="s">
        <v>842</v>
      </c>
      <c r="F171" s="173" t="s">
        <v>1159</v>
      </c>
      <c r="G171" s="172">
        <v>43760</v>
      </c>
      <c r="H171" s="173" t="s">
        <v>90</v>
      </c>
      <c r="I171" s="173" t="s">
        <v>91</v>
      </c>
      <c r="J171" s="173" t="s">
        <v>92</v>
      </c>
      <c r="K171" s="173" t="s">
        <v>113</v>
      </c>
      <c r="L171" s="174" t="s">
        <v>71</v>
      </c>
      <c r="M171" s="175" t="s">
        <v>72</v>
      </c>
      <c r="N171" s="173" t="s">
        <v>73</v>
      </c>
      <c r="O171" s="176" t="s">
        <v>69</v>
      </c>
      <c r="P171" s="130" t="s">
        <v>113</v>
      </c>
      <c r="Q171" s="177" t="s">
        <v>93</v>
      </c>
      <c r="R171" s="178">
        <v>3.335</v>
      </c>
      <c r="S171" s="179">
        <v>1</v>
      </c>
      <c r="T171" s="179">
        <v>25</v>
      </c>
      <c r="U171" s="179">
        <v>25</v>
      </c>
      <c r="V171" s="179">
        <v>4.5</v>
      </c>
      <c r="W171" s="179">
        <v>29.5</v>
      </c>
      <c r="X171" s="27">
        <f t="shared" si="76"/>
        <v>83.375</v>
      </c>
      <c r="Y171" s="29">
        <f ca="1">VLOOKUP(Z171,CHOOSE({2,1},Fac_Fecha,Fac_OT),2,0)</f>
        <v>43806</v>
      </c>
      <c r="Z171" s="26" t="s">
        <v>1412</v>
      </c>
      <c r="AA171" s="28">
        <f t="shared" ca="1" si="92"/>
        <v>1445.3774999999998</v>
      </c>
      <c r="AB171" s="28">
        <f ca="1">SUMIF(Salida_OT,Facturacion!Z171,Salida_Suma)</f>
        <v>0</v>
      </c>
      <c r="AC171" s="28">
        <f t="shared" ca="1" si="77"/>
        <v>0</v>
      </c>
      <c r="AD171" s="28">
        <f t="shared" ca="1" si="78"/>
        <v>110.16949152542374</v>
      </c>
      <c r="AE171" s="28">
        <f ca="1">(SUMIF(Asig_OT,Z171,Asig_Hora_Mec))*'Costos x MO'!$B$6*'Costos x MO'!$B$7</f>
        <v>0</v>
      </c>
      <c r="AF171" s="28">
        <f ca="1">SUMIF(Asig_OT,Z171,Asig_Hora_Pla)*'Costos x MO'!$B$4*'Costos x MO'!$B$7</f>
        <v>120.60000000000001</v>
      </c>
      <c r="AG171" s="28">
        <f ca="1">SUMIF(Asig_OT,Z171,Asig_paño_Pin)*'Costos x MO'!$B$5*'Costos x MO'!$B$7</f>
        <v>158.28749999999999</v>
      </c>
      <c r="AH171" s="28">
        <f ca="1">(SUMIF(Asig_OT,Z171,Asig_Terc_Pla)*'Costos x MO'!$B$7)+(SUMIF(Asig_OT,Z171,Asig_Terc_Pin)*'Costos x MO'!$B$7)</f>
        <v>0</v>
      </c>
      <c r="AI171" s="28">
        <f t="shared" ca="1" si="79"/>
        <v>389.05699152542377</v>
      </c>
      <c r="AJ171" s="28">
        <f t="shared" ca="1" si="80"/>
        <v>1056.3205084745759</v>
      </c>
      <c r="AK171" s="31">
        <f t="shared" ca="1" si="81"/>
        <v>0.73082672760201128</v>
      </c>
      <c r="AL171" s="28" t="str">
        <f t="shared" ca="1" si="82"/>
        <v>C.C</v>
      </c>
      <c r="AM171" s="28" t="str">
        <f t="shared" ca="1" si="83"/>
        <v>LEVE</v>
      </c>
      <c r="AN171" s="30" t="str">
        <f t="shared" ca="1" si="84"/>
        <v>December</v>
      </c>
      <c r="AO171" s="42">
        <f t="shared" ca="1" si="85"/>
        <v>2019</v>
      </c>
      <c r="AP171" s="42">
        <f t="shared" ca="1" si="86"/>
        <v>12</v>
      </c>
      <c r="AQ171" s="26">
        <v>1</v>
      </c>
      <c r="AR171" s="30">
        <f t="shared" ca="1" si="87"/>
        <v>43794</v>
      </c>
      <c r="AS171" s="30" t="str">
        <f t="shared" ca="1" si="88"/>
        <v>BDU-537</v>
      </c>
      <c r="AT171" s="26" t="str">
        <f t="shared" ca="1" si="89"/>
        <v>SUBARU</v>
      </c>
      <c r="AU171" s="26" t="str">
        <f t="shared" ca="1" si="90"/>
        <v>FORESTER</v>
      </c>
      <c r="AV171" s="26" t="str">
        <f t="shared" ca="1" si="91"/>
        <v>RENTAEQUIPOS LEASING PERU S.A.</v>
      </c>
    </row>
    <row r="172" spans="1:48" x14ac:dyDescent="0.2">
      <c r="A172" s="172">
        <v>43767</v>
      </c>
      <c r="B172" s="173" t="s">
        <v>68</v>
      </c>
      <c r="C172" s="173" t="s">
        <v>102</v>
      </c>
      <c r="D172" s="173" t="s">
        <v>653</v>
      </c>
      <c r="E172" s="173" t="s">
        <v>842</v>
      </c>
      <c r="F172" s="173" t="s">
        <v>1159</v>
      </c>
      <c r="G172" s="172">
        <v>43760</v>
      </c>
      <c r="H172" s="173" t="s">
        <v>90</v>
      </c>
      <c r="I172" s="173" t="s">
        <v>91</v>
      </c>
      <c r="J172" s="173" t="s">
        <v>95</v>
      </c>
      <c r="K172" s="173" t="s">
        <v>96</v>
      </c>
      <c r="L172" s="174" t="s">
        <v>71</v>
      </c>
      <c r="M172" s="175" t="s">
        <v>72</v>
      </c>
      <c r="N172" s="173" t="s">
        <v>73</v>
      </c>
      <c r="O172" s="176" t="s">
        <v>69</v>
      </c>
      <c r="P172" s="130" t="s">
        <v>96</v>
      </c>
      <c r="Q172" s="177" t="s">
        <v>93</v>
      </c>
      <c r="R172" s="178">
        <v>3.335</v>
      </c>
      <c r="S172" s="179">
        <v>-1</v>
      </c>
      <c r="T172" s="179">
        <v>100</v>
      </c>
      <c r="U172" s="179">
        <v>-100</v>
      </c>
      <c r="V172" s="179">
        <v>-18</v>
      </c>
      <c r="W172" s="179">
        <v>-118</v>
      </c>
      <c r="X172" s="27">
        <f t="shared" si="76"/>
        <v>-333.5</v>
      </c>
      <c r="Y172" s="29">
        <f ca="1">VLOOKUP(Z172,CHOOSE({2,1},Fac_Fecha,Fac_OT),2,0)</f>
        <v>43808</v>
      </c>
      <c r="Z172" s="26" t="s">
        <v>1913</v>
      </c>
      <c r="AA172" s="28">
        <f t="shared" ca="1" si="92"/>
        <v>804.67800000000011</v>
      </c>
      <c r="AB172" s="28">
        <f ca="1">SUMIF(Salida_OT,Facturacion!Z172,Salida_Suma)</f>
        <v>0</v>
      </c>
      <c r="AC172" s="28">
        <f t="shared" ca="1" si="77"/>
        <v>0</v>
      </c>
      <c r="AD172" s="28">
        <f t="shared" ca="1" si="78"/>
        <v>0</v>
      </c>
      <c r="AE172" s="28">
        <f ca="1">(SUMIF(Asig_OT,Z172,Asig_Hora_Mec))*'Costos x MO'!$B$6*'Costos x MO'!$B$7</f>
        <v>0</v>
      </c>
      <c r="AF172" s="28">
        <f ca="1">SUMIF(Asig_OT,Z172,Asig_Hora_Pla)*'Costos x MO'!$B$4*'Costos x MO'!$B$7</f>
        <v>15.075000000000001</v>
      </c>
      <c r="AG172" s="28">
        <f ca="1">SUMIF(Asig_OT,Z172,Asig_paño_Pin)*'Costos x MO'!$B$5*'Costos x MO'!$B$7</f>
        <v>70.350000000000009</v>
      </c>
      <c r="AH172" s="28">
        <f ca="1">(SUMIF(Asig_OT,Z172,Asig_Terc_Pla)*'Costos x MO'!$B$7)+(SUMIF(Asig_OT,Z172,Asig_Terc_Pin)*'Costos x MO'!$B$7)</f>
        <v>0</v>
      </c>
      <c r="AI172" s="28">
        <f t="shared" ca="1" si="79"/>
        <v>85.425000000000011</v>
      </c>
      <c r="AJ172" s="28">
        <f t="shared" ca="1" si="80"/>
        <v>719.25300000000016</v>
      </c>
      <c r="AK172" s="31">
        <f t="shared" ca="1" si="81"/>
        <v>0.89383952338699457</v>
      </c>
      <c r="AL172" s="28" t="str">
        <f t="shared" ca="1" si="82"/>
        <v>RIMAC</v>
      </c>
      <c r="AM172" s="28" t="str">
        <f t="shared" ca="1" si="83"/>
        <v>LEVE</v>
      </c>
      <c r="AN172" s="30" t="str">
        <f t="shared" ca="1" si="84"/>
        <v>December</v>
      </c>
      <c r="AO172" s="42">
        <f t="shared" ca="1" si="85"/>
        <v>2019</v>
      </c>
      <c r="AP172" s="42">
        <f t="shared" ca="1" si="86"/>
        <v>6</v>
      </c>
      <c r="AQ172" s="26">
        <v>1</v>
      </c>
      <c r="AR172" s="30">
        <f t="shared" ca="1" si="87"/>
        <v>43802</v>
      </c>
      <c r="AS172" s="30" t="str">
        <f t="shared" ca="1" si="88"/>
        <v>BFE-603</v>
      </c>
      <c r="AT172" s="26" t="str">
        <f t="shared" ca="1" si="89"/>
        <v>JEEP</v>
      </c>
      <c r="AU172" s="26" t="str">
        <f t="shared" ca="1" si="90"/>
        <v>GRANDCHEROKE</v>
      </c>
      <c r="AV172" s="26" t="str">
        <f t="shared" ca="1" si="91"/>
        <v>RENTAEQUIPOS LEASING PERU S.A.</v>
      </c>
    </row>
    <row r="173" spans="1:48" x14ac:dyDescent="0.2">
      <c r="A173" s="172">
        <v>43767</v>
      </c>
      <c r="B173" s="173" t="s">
        <v>68</v>
      </c>
      <c r="C173" s="173" t="s">
        <v>102</v>
      </c>
      <c r="D173" s="173" t="s">
        <v>653</v>
      </c>
      <c r="E173" s="173" t="s">
        <v>842</v>
      </c>
      <c r="F173" s="173" t="s">
        <v>1159</v>
      </c>
      <c r="G173" s="172">
        <v>43760</v>
      </c>
      <c r="H173" s="173" t="s">
        <v>90</v>
      </c>
      <c r="I173" s="173" t="s">
        <v>91</v>
      </c>
      <c r="J173" s="173" t="s">
        <v>104</v>
      </c>
      <c r="K173" s="173" t="s">
        <v>105</v>
      </c>
      <c r="L173" s="174" t="s">
        <v>71</v>
      </c>
      <c r="M173" s="175" t="s">
        <v>72</v>
      </c>
      <c r="N173" s="173" t="s">
        <v>73</v>
      </c>
      <c r="O173" s="176" t="s">
        <v>69</v>
      </c>
      <c r="P173" s="173" t="s">
        <v>105</v>
      </c>
      <c r="Q173" s="177" t="s">
        <v>93</v>
      </c>
      <c r="R173" s="178">
        <v>3.335</v>
      </c>
      <c r="S173" s="179">
        <v>1</v>
      </c>
      <c r="T173" s="179">
        <v>0</v>
      </c>
      <c r="U173" s="179">
        <v>0</v>
      </c>
      <c r="V173" s="179">
        <v>0</v>
      </c>
      <c r="W173" s="179">
        <v>0</v>
      </c>
      <c r="X173" s="27">
        <f t="shared" si="76"/>
        <v>0</v>
      </c>
      <c r="Y173" s="29">
        <f ca="1">VLOOKUP(Z173,CHOOSE({2,1},Fac_Fecha,Fac_OT),2,0)</f>
        <v>43808</v>
      </c>
      <c r="Z173" s="26" t="s">
        <v>1915</v>
      </c>
      <c r="AA173" s="28">
        <f t="shared" ca="1" si="92"/>
        <v>1305.066</v>
      </c>
      <c r="AB173" s="28">
        <f ca="1">SUMIF(Salida_OT,Facturacion!Z173,Salida_Suma)</f>
        <v>0</v>
      </c>
      <c r="AC173" s="28">
        <f t="shared" ca="1" si="77"/>
        <v>118.64406779661017</v>
      </c>
      <c r="AD173" s="28">
        <f t="shared" ca="1" si="78"/>
        <v>0</v>
      </c>
      <c r="AE173" s="28">
        <f ca="1">(SUMIF(Asig_OT,Z173,Asig_Hora_Mec))*'Costos x MO'!$B$6*'Costos x MO'!$B$7</f>
        <v>0</v>
      </c>
      <c r="AF173" s="28">
        <f ca="1">SUMIF(Asig_OT,Z173,Asig_Hora_Pla)*'Costos x MO'!$B$4*'Costos x MO'!$B$7</f>
        <v>45.225000000000001</v>
      </c>
      <c r="AG173" s="28">
        <f ca="1">SUMIF(Asig_OT,Z173,Asig_paño_Pin)*'Costos x MO'!$B$5*'Costos x MO'!$B$7</f>
        <v>140.70000000000002</v>
      </c>
      <c r="AH173" s="28">
        <f ca="1">(SUMIF(Asig_OT,Z173,Asig_Terc_Pla)*'Costos x MO'!$B$7)+(SUMIF(Asig_OT,Z173,Asig_Terc_Pin)*'Costos x MO'!$B$7)</f>
        <v>0</v>
      </c>
      <c r="AI173" s="28">
        <f t="shared" ca="1" si="79"/>
        <v>304.56906779661017</v>
      </c>
      <c r="AJ173" s="28">
        <f t="shared" ca="1" si="80"/>
        <v>1000.4969322033899</v>
      </c>
      <c r="AK173" s="31">
        <f t="shared" ca="1" si="81"/>
        <v>0.76662554399807359</v>
      </c>
      <c r="AL173" s="28" t="str">
        <f t="shared" ca="1" si="82"/>
        <v>RIMAC</v>
      </c>
      <c r="AM173" s="28" t="str">
        <f t="shared" ca="1" si="83"/>
        <v>LEVE</v>
      </c>
      <c r="AN173" s="30" t="str">
        <f t="shared" ca="1" si="84"/>
        <v>December</v>
      </c>
      <c r="AO173" s="42">
        <f t="shared" ca="1" si="85"/>
        <v>2019</v>
      </c>
      <c r="AP173" s="42">
        <f t="shared" ca="1" si="86"/>
        <v>6</v>
      </c>
      <c r="AQ173" s="26">
        <v>1</v>
      </c>
      <c r="AR173" s="30">
        <f t="shared" ca="1" si="87"/>
        <v>43802</v>
      </c>
      <c r="AS173" s="30" t="str">
        <f t="shared" ca="1" si="88"/>
        <v>BFE-603</v>
      </c>
      <c r="AT173" s="26" t="str">
        <f t="shared" ca="1" si="89"/>
        <v>JEEP</v>
      </c>
      <c r="AU173" s="26" t="str">
        <f t="shared" ca="1" si="90"/>
        <v>GRANDCHEROKE</v>
      </c>
      <c r="AV173" s="26" t="str">
        <f t="shared" ca="1" si="91"/>
        <v>RIMAC SEGUROS  Y REASEGUROS S.A</v>
      </c>
    </row>
    <row r="174" spans="1:48" x14ac:dyDescent="0.2">
      <c r="A174" s="172">
        <v>43767</v>
      </c>
      <c r="B174" s="173" t="s">
        <v>68</v>
      </c>
      <c r="C174" s="173" t="s">
        <v>102</v>
      </c>
      <c r="D174" s="173" t="s">
        <v>652</v>
      </c>
      <c r="E174" s="173" t="s">
        <v>805</v>
      </c>
      <c r="F174" s="173" t="s">
        <v>1162</v>
      </c>
      <c r="G174" s="172">
        <v>43753</v>
      </c>
      <c r="H174" s="173" t="s">
        <v>557</v>
      </c>
      <c r="I174" s="173" t="s">
        <v>556</v>
      </c>
      <c r="J174" s="173" t="s">
        <v>95</v>
      </c>
      <c r="K174" s="173" t="s">
        <v>96</v>
      </c>
      <c r="L174" s="174" t="s">
        <v>71</v>
      </c>
      <c r="M174" s="175" t="s">
        <v>72</v>
      </c>
      <c r="N174" s="173" t="s">
        <v>73</v>
      </c>
      <c r="O174" s="176" t="s">
        <v>69</v>
      </c>
      <c r="P174" s="130" t="s">
        <v>96</v>
      </c>
      <c r="Q174" s="177" t="s">
        <v>93</v>
      </c>
      <c r="R174" s="178">
        <v>3.335</v>
      </c>
      <c r="S174" s="179">
        <v>1</v>
      </c>
      <c r="T174" s="179">
        <v>106.05929999999998</v>
      </c>
      <c r="U174" s="179">
        <v>106.05929999999998</v>
      </c>
      <c r="V174" s="179">
        <v>19.090700000000016</v>
      </c>
      <c r="W174" s="179">
        <v>125.15</v>
      </c>
      <c r="X174" s="27">
        <f t="shared" si="76"/>
        <v>353.70776549999994</v>
      </c>
      <c r="Y174" s="29">
        <f ca="1">VLOOKUP(Z174,CHOOSE({2,1},Fac_Fecha,Fac_OT),2,0)</f>
        <v>43808</v>
      </c>
      <c r="Z174" s="26" t="s">
        <v>1916</v>
      </c>
      <c r="AA174" s="28">
        <f t="shared" ca="1" si="92"/>
        <v>1339.7354501999998</v>
      </c>
      <c r="AB174" s="28">
        <f ca="1">SUMIF(Salida_OT,Facturacion!Z174,Salida_Suma)</f>
        <v>0</v>
      </c>
      <c r="AC174" s="28">
        <f t="shared" ca="1" si="77"/>
        <v>0</v>
      </c>
      <c r="AD174" s="28">
        <f t="shared" ca="1" si="78"/>
        <v>0</v>
      </c>
      <c r="AE174" s="28">
        <f ca="1">(SUMIF(Asig_OT,Z174,Asig_Hora_Mec))*'Costos x MO'!$B$6*'Costos x MO'!$B$7</f>
        <v>0</v>
      </c>
      <c r="AF174" s="28">
        <f ca="1">SUMIF(Asig_OT,Z174,Asig_Hora_Pla)*'Costos x MO'!$B$4*'Costos x MO'!$B$7</f>
        <v>105.52500000000001</v>
      </c>
      <c r="AG174" s="28">
        <f ca="1">SUMIF(Asig_OT,Z174,Asig_paño_Pin)*'Costos x MO'!$B$5*'Costos x MO'!$B$7</f>
        <v>263.8125</v>
      </c>
      <c r="AH174" s="28">
        <f ca="1">(SUMIF(Asig_OT,Z174,Asig_Terc_Pla)*'Costos x MO'!$B$7)+(SUMIF(Asig_OT,Z174,Asig_Terc_Pin)*'Costos x MO'!$B$7)</f>
        <v>0</v>
      </c>
      <c r="AI174" s="28">
        <f t="shared" ca="1" si="79"/>
        <v>369.33749999999998</v>
      </c>
      <c r="AJ174" s="28">
        <f t="shared" ca="1" si="80"/>
        <v>970.39795019999985</v>
      </c>
      <c r="AK174" s="31">
        <f t="shared" ca="1" si="81"/>
        <v>0.72432057392758831</v>
      </c>
      <c r="AL174" s="28" t="str">
        <f t="shared" ca="1" si="82"/>
        <v>RIMAC</v>
      </c>
      <c r="AM174" s="28" t="str">
        <f t="shared" ca="1" si="83"/>
        <v>LEVE</v>
      </c>
      <c r="AN174" s="30" t="str">
        <f t="shared" ca="1" si="84"/>
        <v>December</v>
      </c>
      <c r="AO174" s="42">
        <f t="shared" ca="1" si="85"/>
        <v>2019</v>
      </c>
      <c r="AP174" s="42">
        <f t="shared" ca="1" si="86"/>
        <v>6</v>
      </c>
      <c r="AQ174" s="26">
        <v>1</v>
      </c>
      <c r="AR174" s="30">
        <f t="shared" ca="1" si="87"/>
        <v>43802</v>
      </c>
      <c r="AS174" s="30" t="str">
        <f t="shared" ca="1" si="88"/>
        <v>BBQ-678</v>
      </c>
      <c r="AT174" s="26" t="str">
        <f t="shared" ca="1" si="89"/>
        <v>SUZUKI</v>
      </c>
      <c r="AU174" s="26" t="str">
        <f t="shared" ca="1" si="90"/>
        <v>SWIFT</v>
      </c>
      <c r="AV174" s="26" t="str">
        <f t="shared" ca="1" si="91"/>
        <v>RIMAC SEGUROS  Y REASEGUROS S.A</v>
      </c>
    </row>
    <row r="175" spans="1:48" x14ac:dyDescent="0.2">
      <c r="A175" s="172">
        <v>43767</v>
      </c>
      <c r="B175" s="173" t="s">
        <v>68</v>
      </c>
      <c r="C175" s="173" t="s">
        <v>102</v>
      </c>
      <c r="D175" s="173" t="s">
        <v>651</v>
      </c>
      <c r="E175" s="173" t="s">
        <v>805</v>
      </c>
      <c r="F175" s="173" t="s">
        <v>1162</v>
      </c>
      <c r="G175" s="172">
        <v>43753</v>
      </c>
      <c r="H175" s="173" t="s">
        <v>90</v>
      </c>
      <c r="I175" s="173" t="s">
        <v>91</v>
      </c>
      <c r="J175" s="173" t="s">
        <v>97</v>
      </c>
      <c r="K175" s="173" t="s">
        <v>98</v>
      </c>
      <c r="L175" s="174" t="s">
        <v>71</v>
      </c>
      <c r="M175" s="175" t="s">
        <v>72</v>
      </c>
      <c r="N175" s="173" t="s">
        <v>73</v>
      </c>
      <c r="O175" s="176" t="s">
        <v>99</v>
      </c>
      <c r="P175" s="173" t="s">
        <v>98</v>
      </c>
      <c r="Q175" s="177" t="s">
        <v>93</v>
      </c>
      <c r="R175" s="178">
        <v>3.335</v>
      </c>
      <c r="S175" s="179">
        <v>1</v>
      </c>
      <c r="T175" s="179">
        <v>280.25421</v>
      </c>
      <c r="U175" s="179">
        <v>280.25420999999994</v>
      </c>
      <c r="V175" s="179">
        <v>50.445800000000126</v>
      </c>
      <c r="W175" s="179">
        <v>330.70001000000013</v>
      </c>
      <c r="X175" s="27">
        <f t="shared" si="76"/>
        <v>934.64779034999981</v>
      </c>
      <c r="Y175" s="29">
        <f ca="1">VLOOKUP(Z175,CHOOSE({2,1},Fac_Fecha,Fac_OT),2,0)</f>
        <v>43809</v>
      </c>
      <c r="Z175" s="26" t="s">
        <v>1919</v>
      </c>
      <c r="AA175" s="28">
        <f t="shared" ca="1" si="92"/>
        <v>654.03001934999998</v>
      </c>
      <c r="AB175" s="28">
        <f ca="1">SUMIF(Salida_OT,Facturacion!Z175,Salida_Suma)</f>
        <v>0</v>
      </c>
      <c r="AC175" s="28">
        <f t="shared" ca="1" si="77"/>
        <v>0</v>
      </c>
      <c r="AD175" s="28">
        <f t="shared" ca="1" si="78"/>
        <v>0</v>
      </c>
      <c r="AE175" s="28">
        <f ca="1">(SUMIF(Asig_OT,Z175,Asig_Hora_Mec))*'Costos x MO'!$B$6*'Costos x MO'!$B$7</f>
        <v>0</v>
      </c>
      <c r="AF175" s="28">
        <f ca="1">SUMIF(Asig_OT,Z175,Asig_Hora_Pla)*'Costos x MO'!$B$4*'Costos x MO'!$B$7</f>
        <v>60.300000000000004</v>
      </c>
      <c r="AG175" s="28">
        <f ca="1">SUMIF(Asig_OT,Z175,Asig_paño_Pin)*'Costos x MO'!$B$5*'Costos x MO'!$B$7</f>
        <v>105.52500000000001</v>
      </c>
      <c r="AH175" s="28">
        <f ca="1">(SUMIF(Asig_OT,Z175,Asig_Terc_Pla)*'Costos x MO'!$B$7)+(SUMIF(Asig_OT,Z175,Asig_Terc_Pin)*'Costos x MO'!$B$7)</f>
        <v>0</v>
      </c>
      <c r="AI175" s="28">
        <f t="shared" ca="1" si="79"/>
        <v>165.82500000000002</v>
      </c>
      <c r="AJ175" s="28">
        <f t="shared" ca="1" si="80"/>
        <v>488.20501934999993</v>
      </c>
      <c r="AK175" s="31">
        <f t="shared" ca="1" si="81"/>
        <v>0.7464565920616254</v>
      </c>
      <c r="AL175" s="28" t="str">
        <f t="shared" ca="1" si="82"/>
        <v>RIMAC</v>
      </c>
      <c r="AM175" s="28" t="str">
        <f t="shared" ca="1" si="83"/>
        <v>LEVE</v>
      </c>
      <c r="AN175" s="30" t="str">
        <f t="shared" ca="1" si="84"/>
        <v>December</v>
      </c>
      <c r="AO175" s="42">
        <f t="shared" ca="1" si="85"/>
        <v>2019</v>
      </c>
      <c r="AP175" s="42">
        <f t="shared" ca="1" si="86"/>
        <v>8</v>
      </c>
      <c r="AQ175" s="26">
        <v>1</v>
      </c>
      <c r="AR175" s="30">
        <f t="shared" ca="1" si="87"/>
        <v>43801</v>
      </c>
      <c r="AS175" s="30" t="str">
        <f t="shared" ca="1" si="88"/>
        <v>AYK-320</v>
      </c>
      <c r="AT175" s="26" t="str">
        <f t="shared" ca="1" si="89"/>
        <v>TOYOTA</v>
      </c>
      <c r="AU175" s="26" t="str">
        <f t="shared" ca="1" si="90"/>
        <v>ETIOS</v>
      </c>
      <c r="AV175" s="26" t="str">
        <f t="shared" ca="1" si="91"/>
        <v>RIMAC SEGUROS  Y REASEGUROS S.A</v>
      </c>
    </row>
    <row r="176" spans="1:48" x14ac:dyDescent="0.2">
      <c r="A176" s="172">
        <v>43767</v>
      </c>
      <c r="B176" s="173" t="s">
        <v>68</v>
      </c>
      <c r="C176" s="173" t="s">
        <v>102</v>
      </c>
      <c r="D176" s="173" t="s">
        <v>651</v>
      </c>
      <c r="E176" s="173" t="s">
        <v>805</v>
      </c>
      <c r="F176" s="173" t="s">
        <v>1162</v>
      </c>
      <c r="G176" s="172">
        <v>43753</v>
      </c>
      <c r="H176" s="173" t="s">
        <v>90</v>
      </c>
      <c r="I176" s="173" t="s">
        <v>91</v>
      </c>
      <c r="J176" s="173" t="s">
        <v>100</v>
      </c>
      <c r="K176" s="173" t="s">
        <v>101</v>
      </c>
      <c r="L176" s="174" t="s">
        <v>71</v>
      </c>
      <c r="M176" s="175" t="s">
        <v>72</v>
      </c>
      <c r="N176" s="173" t="s">
        <v>73</v>
      </c>
      <c r="O176" s="176" t="s">
        <v>72</v>
      </c>
      <c r="P176" s="130" t="s">
        <v>101</v>
      </c>
      <c r="Q176" s="177" t="s">
        <v>93</v>
      </c>
      <c r="R176" s="178">
        <v>3.335</v>
      </c>
      <c r="S176" s="179">
        <v>1</v>
      </c>
      <c r="T176" s="179">
        <v>225</v>
      </c>
      <c r="U176" s="179">
        <v>225</v>
      </c>
      <c r="V176" s="179">
        <v>40.5</v>
      </c>
      <c r="W176" s="179">
        <v>265.5</v>
      </c>
      <c r="X176" s="27">
        <f t="shared" si="76"/>
        <v>750.375</v>
      </c>
      <c r="Y176" s="29">
        <f ca="1">VLOOKUP(Z176,CHOOSE({2,1},Fac_Fecha,Fac_OT),2,0)</f>
        <v>43810</v>
      </c>
      <c r="Z176" s="26" t="s">
        <v>850</v>
      </c>
      <c r="AA176" s="28">
        <f t="shared" ca="1" si="92"/>
        <v>8726.2542099999991</v>
      </c>
      <c r="AB176" s="28">
        <f ca="1">SUMIF(Salida_OT,Facturacion!Z176,Salida_Suma)</f>
        <v>1721.0893380000002</v>
      </c>
      <c r="AC176" s="28">
        <f t="shared" ca="1" si="77"/>
        <v>203.38779661016949</v>
      </c>
      <c r="AD176" s="28">
        <f t="shared" ca="1" si="78"/>
        <v>349.11</v>
      </c>
      <c r="AE176" s="28">
        <f ca="1">(SUMIF(Asig_OT,Z176,Asig_Hora_Mec))*'Costos x MO'!$B$6*'Costos x MO'!$B$7</f>
        <v>260.04374999999999</v>
      </c>
      <c r="AF176" s="28">
        <f ca="1">SUMIF(Asig_OT,Z176,Asig_Hora_Pla)*'Costos x MO'!$B$4*'Costos x MO'!$B$7</f>
        <v>452.25</v>
      </c>
      <c r="AG176" s="28">
        <f ca="1">SUMIF(Asig_OT,Z176,Asig_paño_Pin)*'Costos x MO'!$B$5*'Costos x MO'!$B$7</f>
        <v>1266.3</v>
      </c>
      <c r="AH176" s="28">
        <f ca="1">(SUMIF(Asig_OT,Z176,Asig_Terc_Pla)*'Costos x MO'!$B$7)+(SUMIF(Asig_OT,Z176,Asig_Terc_Pin)*'Costos x MO'!$B$7)</f>
        <v>0</v>
      </c>
      <c r="AI176" s="28">
        <f t="shared" ca="1" si="79"/>
        <v>4252.1808846101694</v>
      </c>
      <c r="AJ176" s="28">
        <f t="shared" ca="1" si="80"/>
        <v>4474.0733253898297</v>
      </c>
      <c r="AK176" s="31">
        <f t="shared" ca="1" si="81"/>
        <v>0.512714071550046</v>
      </c>
      <c r="AL176" s="28" t="str">
        <f t="shared" ca="1" si="82"/>
        <v>ACCESO</v>
      </c>
      <c r="AM176" s="28" t="str">
        <f t="shared" ca="1" si="83"/>
        <v>GRAVE</v>
      </c>
      <c r="AN176" s="30" t="str">
        <f t="shared" ca="1" si="84"/>
        <v>December</v>
      </c>
      <c r="AO176" s="42">
        <f t="shared" ca="1" si="85"/>
        <v>2019</v>
      </c>
      <c r="AP176" s="42">
        <f t="shared" ca="1" si="86"/>
        <v>50</v>
      </c>
      <c r="AQ176" s="26">
        <v>1</v>
      </c>
      <c r="AR176" s="30">
        <f t="shared" ca="1" si="87"/>
        <v>43760</v>
      </c>
      <c r="AS176" s="30" t="str">
        <f t="shared" ca="1" si="88"/>
        <v>AWG-333</v>
      </c>
      <c r="AT176" s="26" t="str">
        <f t="shared" ca="1" si="89"/>
        <v>CHEVROLET</v>
      </c>
      <c r="AU176" s="26" t="str">
        <f t="shared" ca="1" si="90"/>
        <v>SAIL</v>
      </c>
      <c r="AV176" s="26" t="str">
        <f t="shared" ca="1" si="91"/>
        <v>EDPYME ACCESO CREDITICIO SOCIEDAD ANONIMA</v>
      </c>
    </row>
    <row r="177" spans="1:48" x14ac:dyDescent="0.2">
      <c r="A177" s="172">
        <v>43767</v>
      </c>
      <c r="B177" s="173" t="s">
        <v>68</v>
      </c>
      <c r="C177" s="173" t="s">
        <v>102</v>
      </c>
      <c r="D177" s="173" t="s">
        <v>651</v>
      </c>
      <c r="E177" s="173" t="s">
        <v>805</v>
      </c>
      <c r="F177" s="173" t="s">
        <v>1162</v>
      </c>
      <c r="G177" s="172">
        <v>43753</v>
      </c>
      <c r="H177" s="173" t="s">
        <v>90</v>
      </c>
      <c r="I177" s="173" t="s">
        <v>91</v>
      </c>
      <c r="J177" s="173" t="s">
        <v>92</v>
      </c>
      <c r="K177" s="173" t="s">
        <v>113</v>
      </c>
      <c r="L177" s="174" t="s">
        <v>71</v>
      </c>
      <c r="M177" s="175" t="s">
        <v>72</v>
      </c>
      <c r="N177" s="173" t="s">
        <v>73</v>
      </c>
      <c r="O177" s="176" t="s">
        <v>69</v>
      </c>
      <c r="P177" s="130" t="s">
        <v>113</v>
      </c>
      <c r="Q177" s="177" t="s">
        <v>93</v>
      </c>
      <c r="R177" s="178">
        <v>3.335</v>
      </c>
      <c r="S177" s="179">
        <v>1</v>
      </c>
      <c r="T177" s="179">
        <v>15</v>
      </c>
      <c r="U177" s="179">
        <v>15</v>
      </c>
      <c r="V177" s="179">
        <v>2.7000009999999999</v>
      </c>
      <c r="W177" s="179">
        <v>17.700001</v>
      </c>
      <c r="X177" s="27">
        <f t="shared" si="76"/>
        <v>50.024999999999999</v>
      </c>
      <c r="Y177" s="29">
        <f ca="1">VLOOKUP(Z177,CHOOSE({2,1},Fac_Fecha,Fac_OT),2,0)</f>
        <v>43810</v>
      </c>
      <c r="Z177" s="26" t="s">
        <v>1383</v>
      </c>
      <c r="AA177" s="28">
        <f t="shared" ca="1" si="92"/>
        <v>12716.754209999999</v>
      </c>
      <c r="AB177" s="28">
        <f ca="1">SUMIF(Salida_OT,Facturacion!Z177,Salida_Suma)</f>
        <v>3058.6534855999998</v>
      </c>
      <c r="AC177" s="28">
        <f t="shared" ca="1" si="77"/>
        <v>33.9</v>
      </c>
      <c r="AD177" s="28">
        <f t="shared" ca="1" si="78"/>
        <v>494.58000000000004</v>
      </c>
      <c r="AE177" s="28">
        <f ca="1">(SUMIF(Asig_OT,Z177,Asig_Hora_Mec))*'Costos x MO'!$B$6*'Costos x MO'!$B$7</f>
        <v>350.49375000000003</v>
      </c>
      <c r="AF177" s="28">
        <f ca="1">SUMIF(Asig_OT,Z177,Asig_Hora_Pla)*'Costos x MO'!$B$4*'Costos x MO'!$B$7</f>
        <v>482.40000000000003</v>
      </c>
      <c r="AG177" s="28">
        <f ca="1">SUMIF(Asig_OT,Z177,Asig_paño_Pin)*'Costos x MO'!$B$5*'Costos x MO'!$B$7</f>
        <v>1266.3</v>
      </c>
      <c r="AH177" s="28">
        <f ca="1">(SUMIF(Asig_OT,Z177,Asig_Terc_Pla)*'Costos x MO'!$B$7)+(SUMIF(Asig_OT,Z177,Asig_Terc_Pin)*'Costos x MO'!$B$7)</f>
        <v>0</v>
      </c>
      <c r="AI177" s="28">
        <f t="shared" ca="1" si="79"/>
        <v>5686.3272355999998</v>
      </c>
      <c r="AJ177" s="28">
        <f t="shared" ca="1" si="80"/>
        <v>7030.4269743999994</v>
      </c>
      <c r="AK177" s="31">
        <f t="shared" ca="1" si="81"/>
        <v>0.55284759446490861</v>
      </c>
      <c r="AL177" s="28" t="str">
        <f t="shared" ca="1" si="82"/>
        <v>ACCESO</v>
      </c>
      <c r="AM177" s="28" t="str">
        <f t="shared" ca="1" si="83"/>
        <v>GRAVE</v>
      </c>
      <c r="AN177" s="30" t="str">
        <f t="shared" ca="1" si="84"/>
        <v>December</v>
      </c>
      <c r="AO177" s="42">
        <f t="shared" ca="1" si="85"/>
        <v>2019</v>
      </c>
      <c r="AP177" s="42">
        <f t="shared" ca="1" si="86"/>
        <v>19</v>
      </c>
      <c r="AQ177" s="26">
        <v>1</v>
      </c>
      <c r="AR177" s="30">
        <f t="shared" ca="1" si="87"/>
        <v>43791</v>
      </c>
      <c r="AS177" s="30" t="str">
        <f t="shared" ca="1" si="88"/>
        <v>F4T-034</v>
      </c>
      <c r="AT177" s="26" t="str">
        <f t="shared" ca="1" si="89"/>
        <v>BYD</v>
      </c>
      <c r="AU177" s="26" t="str">
        <f t="shared" ca="1" si="90"/>
        <v>F3</v>
      </c>
      <c r="AV177" s="26" t="str">
        <f t="shared" ca="1" si="91"/>
        <v>EDPYME ACCESO CREDITICIO SOCIEDAD ANONIMA</v>
      </c>
    </row>
    <row r="178" spans="1:48" x14ac:dyDescent="0.2">
      <c r="A178" s="172">
        <v>43767</v>
      </c>
      <c r="B178" s="173" t="s">
        <v>68</v>
      </c>
      <c r="C178" s="173" t="s">
        <v>102</v>
      </c>
      <c r="D178" s="173" t="s">
        <v>651</v>
      </c>
      <c r="E178" s="173" t="s">
        <v>805</v>
      </c>
      <c r="F178" s="173" t="s">
        <v>1162</v>
      </c>
      <c r="G178" s="172">
        <v>43753</v>
      </c>
      <c r="H178" s="173" t="s">
        <v>90</v>
      </c>
      <c r="I178" s="173" t="s">
        <v>91</v>
      </c>
      <c r="J178" s="173" t="s">
        <v>70</v>
      </c>
      <c r="K178" s="173" t="s">
        <v>112</v>
      </c>
      <c r="L178" s="174" t="s">
        <v>71</v>
      </c>
      <c r="M178" s="175" t="s">
        <v>72</v>
      </c>
      <c r="N178" s="173" t="s">
        <v>73</v>
      </c>
      <c r="O178" s="176" t="s">
        <v>69</v>
      </c>
      <c r="P178" s="130" t="s">
        <v>447</v>
      </c>
      <c r="Q178" s="177" t="s">
        <v>93</v>
      </c>
      <c r="R178" s="178">
        <v>3.335</v>
      </c>
      <c r="S178" s="179">
        <v>1</v>
      </c>
      <c r="T178" s="179">
        <v>0</v>
      </c>
      <c r="U178" s="179">
        <v>0</v>
      </c>
      <c r="V178" s="179">
        <v>0</v>
      </c>
      <c r="W178" s="179">
        <v>0</v>
      </c>
      <c r="X178" s="27">
        <f t="shared" si="76"/>
        <v>0</v>
      </c>
      <c r="Y178" s="29">
        <f ca="1">VLOOKUP(Z178,CHOOSE({2,1},Fac_Fecha,Fac_OT),2,0)</f>
        <v>43810</v>
      </c>
      <c r="Z178" s="26" t="s">
        <v>2305</v>
      </c>
      <c r="AA178" s="28">
        <f t="shared" ca="1" si="92"/>
        <v>2516</v>
      </c>
      <c r="AB178" s="28">
        <f ca="1">SUMIF(Salida_OT,Facturacion!Z178,Salida_Suma)</f>
        <v>1012.7076080000001</v>
      </c>
      <c r="AC178" s="28">
        <f t="shared" ca="1" si="77"/>
        <v>78.39</v>
      </c>
      <c r="AD178" s="28">
        <f t="shared" ca="1" si="78"/>
        <v>84.74</v>
      </c>
      <c r="AE178" s="28">
        <f ca="1">(SUMIF(Asig_OT,Z178,Asig_Hora_Mec))*'Costos x MO'!$B$6*'Costos x MO'!$B$7</f>
        <v>0</v>
      </c>
      <c r="AF178" s="28">
        <f ca="1">SUMIF(Asig_OT,Z178,Asig_Hora_Pla)*'Costos x MO'!$B$4*'Costos x MO'!$B$7</f>
        <v>0</v>
      </c>
      <c r="AG178" s="28">
        <f ca="1">SUMIF(Asig_OT,Z178,Asig_paño_Pin)*'Costos x MO'!$B$5*'Costos x MO'!$B$7</f>
        <v>0</v>
      </c>
      <c r="AH178" s="28">
        <f ca="1">(SUMIF(Asig_OT,Z178,Asig_Terc_Pla)*'Costos x MO'!$B$7)+(SUMIF(Asig_OT,Z178,Asig_Terc_Pin)*'Costos x MO'!$B$7)</f>
        <v>0</v>
      </c>
      <c r="AI178" s="28">
        <f t="shared" ca="1" si="79"/>
        <v>1175.837608</v>
      </c>
      <c r="AJ178" s="28">
        <f t="shared" ca="1" si="80"/>
        <v>1340.162392</v>
      </c>
      <c r="AK178" s="31">
        <f t="shared" ca="1" si="81"/>
        <v>0.53265595866454685</v>
      </c>
      <c r="AL178" s="28" t="s">
        <v>770</v>
      </c>
      <c r="AM178" s="28" t="s">
        <v>23</v>
      </c>
      <c r="AN178" s="30" t="str">
        <f t="shared" ca="1" si="84"/>
        <v>December</v>
      </c>
      <c r="AO178" s="42">
        <f t="shared" ca="1" si="85"/>
        <v>2019</v>
      </c>
      <c r="AP178" s="42">
        <f t="shared" ca="1" si="86"/>
        <v>7</v>
      </c>
      <c r="AQ178" s="26">
        <v>1</v>
      </c>
      <c r="AR178" s="30">
        <f t="shared" ca="1" si="87"/>
        <v>43803</v>
      </c>
      <c r="AS178" s="30" t="str">
        <f ca="1">IFERROR(VLOOKUP(Z178,Matriz2,2,0),"S/PLACA")</f>
        <v>ADG324</v>
      </c>
      <c r="AT178" s="26" t="s">
        <v>1283</v>
      </c>
      <c r="AU178" s="26" t="s">
        <v>1297</v>
      </c>
      <c r="AV178" s="26" t="str">
        <f t="shared" ca="1" si="91"/>
        <v>AUTOCLASS S.A.C.</v>
      </c>
    </row>
    <row r="179" spans="1:48" x14ac:dyDescent="0.2">
      <c r="A179" s="172">
        <v>43767</v>
      </c>
      <c r="B179" s="173" t="s">
        <v>68</v>
      </c>
      <c r="C179" s="173" t="s">
        <v>102</v>
      </c>
      <c r="D179" s="173" t="s">
        <v>651</v>
      </c>
      <c r="E179" s="173" t="s">
        <v>805</v>
      </c>
      <c r="F179" s="173" t="s">
        <v>1162</v>
      </c>
      <c r="G179" s="172">
        <v>43753</v>
      </c>
      <c r="H179" s="173" t="s">
        <v>90</v>
      </c>
      <c r="I179" s="173" t="s">
        <v>91</v>
      </c>
      <c r="J179" s="173" t="s">
        <v>95</v>
      </c>
      <c r="K179" s="173" t="s">
        <v>96</v>
      </c>
      <c r="L179" s="174" t="s">
        <v>71</v>
      </c>
      <c r="M179" s="175" t="s">
        <v>72</v>
      </c>
      <c r="N179" s="173" t="s">
        <v>73</v>
      </c>
      <c r="O179" s="176" t="s">
        <v>69</v>
      </c>
      <c r="P179" s="130" t="s">
        <v>96</v>
      </c>
      <c r="Q179" s="177" t="s">
        <v>93</v>
      </c>
      <c r="R179" s="178">
        <v>3.335</v>
      </c>
      <c r="S179" s="179">
        <v>-1</v>
      </c>
      <c r="T179" s="179">
        <v>106.05929999999998</v>
      </c>
      <c r="U179" s="179">
        <v>-106.05929999999998</v>
      </c>
      <c r="V179" s="179">
        <v>-19.090700000000016</v>
      </c>
      <c r="W179" s="179">
        <v>-125.15</v>
      </c>
      <c r="X179" s="27">
        <f t="shared" si="76"/>
        <v>-353.70776549999994</v>
      </c>
      <c r="Y179" s="29">
        <f ca="1">VLOOKUP(Z179,CHOOSE({2,1},Fac_Fecha,Fac_OT),2,0)</f>
        <v>43810</v>
      </c>
      <c r="Z179" s="26" t="s">
        <v>1015</v>
      </c>
      <c r="AA179" s="28">
        <f t="shared" ca="1" si="92"/>
        <v>11044.754209999999</v>
      </c>
      <c r="AB179" s="28">
        <f ca="1">SUMIF(Salida_OT,Facturacion!Z179,Salida_Suma)</f>
        <v>3189.7430857799995</v>
      </c>
      <c r="AC179" s="28">
        <f t="shared" ca="1" si="77"/>
        <v>372.88</v>
      </c>
      <c r="AD179" s="28">
        <f t="shared" ca="1" si="78"/>
        <v>260.34000000000003</v>
      </c>
      <c r="AE179" s="28">
        <f ca="1">(SUMIF(Asig_OT,Z179,Asig_Hora_Mec))*'Costos x MO'!$B$6*'Costos x MO'!$B$7</f>
        <v>335.41874999999999</v>
      </c>
      <c r="AF179" s="28">
        <f ca="1">SUMIF(Asig_OT,Z179,Asig_Hora_Pla)*'Costos x MO'!$B$4*'Costos x MO'!$B$7</f>
        <v>542.70000000000005</v>
      </c>
      <c r="AG179" s="28">
        <f ca="1">SUMIF(Asig_OT,Z179,Asig_paño_Pin)*'Costos x MO'!$B$5*'Costos x MO'!$B$7</f>
        <v>1266.3</v>
      </c>
      <c r="AH179" s="28">
        <f ca="1">(SUMIF(Asig_OT,Z179,Asig_Terc_Pla)*'Costos x MO'!$B$7)+(SUMIF(Asig_OT,Z179,Asig_Terc_Pin)*'Costos x MO'!$B$7)</f>
        <v>0</v>
      </c>
      <c r="AI179" s="28">
        <f t="shared" ca="1" si="79"/>
        <v>5967.3818357800001</v>
      </c>
      <c r="AJ179" s="28">
        <f t="shared" ca="1" si="80"/>
        <v>5077.3723742199991</v>
      </c>
      <c r="AK179" s="31">
        <f t="shared" ca="1" si="81"/>
        <v>0.4597089512071631</v>
      </c>
      <c r="AL179" s="28" t="str">
        <f t="shared" ca="1" si="82"/>
        <v>ACCESO</v>
      </c>
      <c r="AM179" s="28" t="str">
        <f t="shared" ca="1" si="83"/>
        <v>GRAVE</v>
      </c>
      <c r="AN179" s="30" t="str">
        <f t="shared" ca="1" si="84"/>
        <v>December</v>
      </c>
      <c r="AO179" s="42">
        <f t="shared" ca="1" si="85"/>
        <v>2019</v>
      </c>
      <c r="AP179" s="42">
        <f t="shared" ca="1" si="86"/>
        <v>44</v>
      </c>
      <c r="AQ179" s="26">
        <v>1</v>
      </c>
      <c r="AR179" s="30">
        <f t="shared" ca="1" si="87"/>
        <v>43766</v>
      </c>
      <c r="AS179" s="30" t="str">
        <f t="shared" ca="1" si="88"/>
        <v>ADG-324</v>
      </c>
      <c r="AT179" s="26" t="str">
        <f t="shared" ca="1" si="89"/>
        <v>BYD</v>
      </c>
      <c r="AU179" s="26" t="str">
        <f t="shared" ca="1" si="90"/>
        <v>F3</v>
      </c>
      <c r="AV179" s="26" t="str">
        <f t="shared" ca="1" si="91"/>
        <v>AUTOCLASS S.A.C.</v>
      </c>
    </row>
    <row r="180" spans="1:48" x14ac:dyDescent="0.2">
      <c r="A180" s="172">
        <v>43767</v>
      </c>
      <c r="B180" s="173" t="s">
        <v>68</v>
      </c>
      <c r="C180" s="173" t="s">
        <v>102</v>
      </c>
      <c r="D180" s="173" t="s">
        <v>651</v>
      </c>
      <c r="E180" s="173" t="s">
        <v>805</v>
      </c>
      <c r="F180" s="173" t="s">
        <v>1162</v>
      </c>
      <c r="G180" s="172">
        <v>43753</v>
      </c>
      <c r="H180" s="173" t="s">
        <v>90</v>
      </c>
      <c r="I180" s="173" t="s">
        <v>91</v>
      </c>
      <c r="J180" s="173" t="s">
        <v>104</v>
      </c>
      <c r="K180" s="173" t="s">
        <v>105</v>
      </c>
      <c r="L180" s="174" t="s">
        <v>71</v>
      </c>
      <c r="M180" s="175" t="s">
        <v>72</v>
      </c>
      <c r="N180" s="173" t="s">
        <v>73</v>
      </c>
      <c r="O180" s="176" t="s">
        <v>69</v>
      </c>
      <c r="P180" s="173" t="s">
        <v>105</v>
      </c>
      <c r="Q180" s="177" t="s">
        <v>93</v>
      </c>
      <c r="R180" s="178">
        <v>3.335</v>
      </c>
      <c r="S180" s="179">
        <v>1</v>
      </c>
      <c r="T180" s="179">
        <v>0</v>
      </c>
      <c r="U180" s="179">
        <v>0</v>
      </c>
      <c r="V180" s="179">
        <v>0</v>
      </c>
      <c r="W180" s="179">
        <v>0</v>
      </c>
      <c r="X180" s="27">
        <f t="shared" si="76"/>
        <v>0</v>
      </c>
      <c r="Y180" s="29">
        <f ca="1">VLOOKUP(Z180,CHOOSE({2,1},Fac_Fecha,Fac_OT),2,0)</f>
        <v>43811</v>
      </c>
      <c r="Z180" s="26" t="s">
        <v>1921</v>
      </c>
      <c r="AA180" s="28">
        <f t="shared" ca="1" si="92"/>
        <v>1011.1139701999999</v>
      </c>
      <c r="AB180" s="28">
        <f ca="1">SUMIF(Salida_OT,Facturacion!Z180,Salida_Suma)</f>
        <v>0</v>
      </c>
      <c r="AC180" s="28">
        <f t="shared" ca="1" si="77"/>
        <v>0</v>
      </c>
      <c r="AD180" s="28">
        <f t="shared" ca="1" si="78"/>
        <v>0</v>
      </c>
      <c r="AE180" s="28">
        <f ca="1">(SUMIF(Asig_OT,Z180,Asig_Hora_Mec))*'Costos x MO'!$B$6*'Costos x MO'!$B$7</f>
        <v>0</v>
      </c>
      <c r="AF180" s="28">
        <f ca="1">SUMIF(Asig_OT,Z180,Asig_Hora_Pla)*'Costos x MO'!$B$4*'Costos x MO'!$B$7</f>
        <v>105.52500000000001</v>
      </c>
      <c r="AG180" s="28">
        <f ca="1">SUMIF(Asig_OT,Z180,Asig_paño_Pin)*'Costos x MO'!$B$5*'Costos x MO'!$B$7</f>
        <v>140.70000000000002</v>
      </c>
      <c r="AH180" s="28">
        <f ca="1">(SUMIF(Asig_OT,Z180,Asig_Terc_Pla)*'Costos x MO'!$B$7)+(SUMIF(Asig_OT,Z180,Asig_Terc_Pin)*'Costos x MO'!$B$7)</f>
        <v>0</v>
      </c>
      <c r="AI180" s="28">
        <f t="shared" ca="1" si="79"/>
        <v>246.22500000000002</v>
      </c>
      <c r="AJ180" s="28">
        <f t="shared" ca="1" si="80"/>
        <v>764.8889701999999</v>
      </c>
      <c r="AK180" s="31">
        <f t="shared" ca="1" si="81"/>
        <v>0.75648145782092568</v>
      </c>
      <c r="AL180" s="28" t="str">
        <f t="shared" ca="1" si="82"/>
        <v>RIMAC</v>
      </c>
      <c r="AM180" s="28" t="str">
        <f t="shared" ca="1" si="83"/>
        <v>LEVE</v>
      </c>
      <c r="AN180" s="30" t="str">
        <f t="shared" ca="1" si="84"/>
        <v>December</v>
      </c>
      <c r="AO180" s="42">
        <f t="shared" ca="1" si="85"/>
        <v>2019</v>
      </c>
      <c r="AP180" s="42">
        <f t="shared" ca="1" si="86"/>
        <v>7</v>
      </c>
      <c r="AQ180" s="26">
        <v>1</v>
      </c>
      <c r="AR180" s="30">
        <f t="shared" ca="1" si="87"/>
        <v>43804</v>
      </c>
      <c r="AS180" s="30" t="str">
        <f t="shared" ca="1" si="88"/>
        <v>EGH-498</v>
      </c>
      <c r="AT180" s="26" t="str">
        <f t="shared" ca="1" si="89"/>
        <v>NISSAN</v>
      </c>
      <c r="AU180" s="26" t="str">
        <f t="shared" ca="1" si="90"/>
        <v>SENTRA</v>
      </c>
      <c r="AV180" s="26" t="str">
        <f t="shared" ca="1" si="91"/>
        <v>RIMAC SEGUROS  Y REASEGUROS S.A</v>
      </c>
    </row>
    <row r="181" spans="1:48" x14ac:dyDescent="0.2">
      <c r="A181" s="172">
        <v>43767</v>
      </c>
      <c r="B181" s="173" t="s">
        <v>68</v>
      </c>
      <c r="C181" s="173" t="s">
        <v>102</v>
      </c>
      <c r="D181" s="173" t="s">
        <v>650</v>
      </c>
      <c r="E181" s="173" t="s">
        <v>871</v>
      </c>
      <c r="F181" s="173" t="s">
        <v>1163</v>
      </c>
      <c r="G181" s="172">
        <v>43761</v>
      </c>
      <c r="H181" s="173" t="s">
        <v>90</v>
      </c>
      <c r="I181" s="173" t="s">
        <v>91</v>
      </c>
      <c r="J181" s="173" t="s">
        <v>97</v>
      </c>
      <c r="K181" s="173" t="s">
        <v>98</v>
      </c>
      <c r="L181" s="174" t="s">
        <v>71</v>
      </c>
      <c r="M181" s="175" t="s">
        <v>72</v>
      </c>
      <c r="N181" s="173" t="s">
        <v>73</v>
      </c>
      <c r="O181" s="176" t="s">
        <v>99</v>
      </c>
      <c r="P181" s="173" t="s">
        <v>98</v>
      </c>
      <c r="Q181" s="177" t="s">
        <v>93</v>
      </c>
      <c r="R181" s="178">
        <v>3.335</v>
      </c>
      <c r="S181" s="179">
        <v>1</v>
      </c>
      <c r="T181" s="179">
        <v>177</v>
      </c>
      <c r="U181" s="179">
        <v>177</v>
      </c>
      <c r="V181" s="179">
        <v>31.86</v>
      </c>
      <c r="W181" s="179">
        <v>208.86</v>
      </c>
      <c r="X181" s="27">
        <f t="shared" si="76"/>
        <v>590.29499999999996</v>
      </c>
      <c r="Y181" s="29">
        <f ca="1">VLOOKUP(Z181,CHOOSE({2,1},Fac_Fecha,Fac_OT),2,0)</f>
        <v>43812</v>
      </c>
      <c r="Z181" s="26" t="s">
        <v>1910</v>
      </c>
      <c r="AA181" s="28">
        <f t="shared" ca="1" si="92"/>
        <v>960.21897170000011</v>
      </c>
      <c r="AB181" s="28">
        <f ca="1">SUMIF(Salida_OT,Facturacion!Z181,Salida_Suma)</f>
        <v>0</v>
      </c>
      <c r="AC181" s="28">
        <f t="shared" ca="1" si="77"/>
        <v>0</v>
      </c>
      <c r="AD181" s="28">
        <f t="shared" ca="1" si="78"/>
        <v>0</v>
      </c>
      <c r="AE181" s="28">
        <f ca="1">(SUMIF(Asig_OT,Z181,Asig_Hora_Mec))*'Costos x MO'!$B$6*'Costos x MO'!$B$7</f>
        <v>0</v>
      </c>
      <c r="AF181" s="28">
        <f ca="1">SUMIF(Asig_OT,Z181,Asig_Hora_Pla)*'Costos x MO'!$B$4*'Costos x MO'!$B$7</f>
        <v>105.52500000000001</v>
      </c>
      <c r="AG181" s="28">
        <f ca="1">SUMIF(Asig_OT,Z181,Asig_paño_Pin)*'Costos x MO'!$B$5*'Costos x MO'!$B$7</f>
        <v>140.70000000000002</v>
      </c>
      <c r="AH181" s="28">
        <f ca="1">(SUMIF(Asig_OT,Z181,Asig_Terc_Pla)*'Costos x MO'!$B$7)+(SUMIF(Asig_OT,Z181,Asig_Terc_Pin)*'Costos x MO'!$B$7)</f>
        <v>0</v>
      </c>
      <c r="AI181" s="28">
        <f t="shared" ca="1" si="79"/>
        <v>246.22500000000002</v>
      </c>
      <c r="AJ181" s="28">
        <f t="shared" ca="1" si="80"/>
        <v>713.99397170000009</v>
      </c>
      <c r="AK181" s="31">
        <f t="shared" ca="1" si="81"/>
        <v>0.7435741145958864</v>
      </c>
      <c r="AL181" s="28" t="str">
        <f t="shared" ca="1" si="82"/>
        <v>RIMAC</v>
      </c>
      <c r="AM181" s="28" t="str">
        <f t="shared" ca="1" si="83"/>
        <v>LEVE</v>
      </c>
      <c r="AN181" s="30" t="str">
        <f t="shared" ca="1" si="84"/>
        <v>December</v>
      </c>
      <c r="AO181" s="42">
        <f t="shared" ca="1" si="85"/>
        <v>2019</v>
      </c>
      <c r="AP181" s="42">
        <f t="shared" ca="1" si="86"/>
        <v>14</v>
      </c>
      <c r="AQ181" s="26">
        <v>1</v>
      </c>
      <c r="AR181" s="30">
        <f t="shared" ca="1" si="87"/>
        <v>43798</v>
      </c>
      <c r="AS181" s="30" t="str">
        <f t="shared" ca="1" si="88"/>
        <v>AWP-639</v>
      </c>
      <c r="AT181" s="26" t="str">
        <f t="shared" ca="1" si="89"/>
        <v>HYUNDAI</v>
      </c>
      <c r="AU181" s="26" t="str">
        <f t="shared" ca="1" si="90"/>
        <v>TUCSON</v>
      </c>
      <c r="AV181" s="26" t="str">
        <f t="shared" ca="1" si="91"/>
        <v>RENTAEQUIPOS LEASING PERU S.A.</v>
      </c>
    </row>
    <row r="182" spans="1:48" x14ac:dyDescent="0.2">
      <c r="A182" s="172">
        <v>43767</v>
      </c>
      <c r="B182" s="173" t="s">
        <v>68</v>
      </c>
      <c r="C182" s="173" t="s">
        <v>102</v>
      </c>
      <c r="D182" s="173" t="s">
        <v>650</v>
      </c>
      <c r="E182" s="173" t="s">
        <v>871</v>
      </c>
      <c r="F182" s="173" t="s">
        <v>1163</v>
      </c>
      <c r="G182" s="172">
        <v>43761</v>
      </c>
      <c r="H182" s="173" t="s">
        <v>90</v>
      </c>
      <c r="I182" s="173" t="s">
        <v>91</v>
      </c>
      <c r="J182" s="173" t="s">
        <v>100</v>
      </c>
      <c r="K182" s="173" t="s">
        <v>101</v>
      </c>
      <c r="L182" s="174" t="s">
        <v>71</v>
      </c>
      <c r="M182" s="175" t="s">
        <v>72</v>
      </c>
      <c r="N182" s="173" t="s">
        <v>73</v>
      </c>
      <c r="O182" s="176" t="s">
        <v>72</v>
      </c>
      <c r="P182" s="130" t="s">
        <v>101</v>
      </c>
      <c r="Q182" s="177" t="s">
        <v>93</v>
      </c>
      <c r="R182" s="178">
        <v>3.335</v>
      </c>
      <c r="S182" s="179">
        <v>1</v>
      </c>
      <c r="T182" s="179">
        <v>135</v>
      </c>
      <c r="U182" s="179">
        <v>135</v>
      </c>
      <c r="V182" s="179">
        <v>24.3</v>
      </c>
      <c r="W182" s="179">
        <v>159.30000000000001</v>
      </c>
      <c r="X182" s="27">
        <f t="shared" si="76"/>
        <v>450.22500000000002</v>
      </c>
      <c r="Y182" s="29">
        <f ca="1">VLOOKUP(Z182,CHOOSE({2,1},Fac_Fecha,Fac_OT),2,0)</f>
        <v>43813</v>
      </c>
      <c r="Z182" s="26" t="s">
        <v>1917</v>
      </c>
      <c r="AA182" s="28">
        <f t="shared" ca="1" si="92"/>
        <v>2831.6334160500001</v>
      </c>
      <c r="AB182" s="28">
        <f ca="1">SUMIF(Salida_OT,Facturacion!Z182,Salida_Suma)</f>
        <v>0</v>
      </c>
      <c r="AC182" s="28">
        <f t="shared" ca="1" si="77"/>
        <v>0</v>
      </c>
      <c r="AD182" s="28">
        <f t="shared" ca="1" si="78"/>
        <v>0</v>
      </c>
      <c r="AE182" s="28">
        <f ca="1">(SUMIF(Asig_OT,Z182,Asig_Hora_Mec))*'Costos x MO'!$B$6*'Costos x MO'!$B$7</f>
        <v>0</v>
      </c>
      <c r="AF182" s="28">
        <f ca="1">SUMIF(Asig_OT,Z182,Asig_Hora_Pla)*'Costos x MO'!$B$4*'Costos x MO'!$B$7</f>
        <v>361.8</v>
      </c>
      <c r="AG182" s="28">
        <f ca="1">SUMIF(Asig_OT,Z182,Asig_paño_Pin)*'Costos x MO'!$B$5*'Costos x MO'!$B$7</f>
        <v>386.92500000000001</v>
      </c>
      <c r="AH182" s="28">
        <f ca="1">(SUMIF(Asig_OT,Z182,Asig_Terc_Pla)*'Costos x MO'!$B$7)+(SUMIF(Asig_OT,Z182,Asig_Terc_Pin)*'Costos x MO'!$B$7)</f>
        <v>0</v>
      </c>
      <c r="AI182" s="28">
        <f t="shared" ca="1" si="79"/>
        <v>748.72500000000002</v>
      </c>
      <c r="AJ182" s="28">
        <f t="shared" ca="1" si="80"/>
        <v>2082.9084160500001</v>
      </c>
      <c r="AK182" s="31">
        <f t="shared" ca="1" si="81"/>
        <v>0.73558547665239904</v>
      </c>
      <c r="AL182" s="28" t="str">
        <f t="shared" ca="1" si="82"/>
        <v>RIMAC</v>
      </c>
      <c r="AM182" s="28" t="str">
        <f t="shared" ca="1" si="83"/>
        <v>GRAVE</v>
      </c>
      <c r="AN182" s="30" t="str">
        <f t="shared" ca="1" si="84"/>
        <v>December</v>
      </c>
      <c r="AO182" s="42">
        <f t="shared" ca="1" si="85"/>
        <v>2019</v>
      </c>
      <c r="AP182" s="42">
        <f t="shared" ca="1" si="86"/>
        <v>12</v>
      </c>
      <c r="AQ182" s="26">
        <v>1</v>
      </c>
      <c r="AR182" s="30">
        <f t="shared" ca="1" si="87"/>
        <v>43801</v>
      </c>
      <c r="AS182" s="30" t="str">
        <f t="shared" ca="1" si="88"/>
        <v>F4J-046</v>
      </c>
      <c r="AT182" s="26" t="str">
        <f t="shared" ca="1" si="89"/>
        <v>NISSAN</v>
      </c>
      <c r="AU182" s="26" t="str">
        <f t="shared" ca="1" si="90"/>
        <v>VERSA</v>
      </c>
      <c r="AV182" s="26" t="str">
        <f t="shared" ca="1" si="91"/>
        <v>CORPORACION MINERA PALOMA S.A.C.</v>
      </c>
    </row>
    <row r="183" spans="1:48" x14ac:dyDescent="0.2">
      <c r="A183" s="172">
        <v>43767</v>
      </c>
      <c r="B183" s="173" t="s">
        <v>68</v>
      </c>
      <c r="C183" s="173" t="s">
        <v>102</v>
      </c>
      <c r="D183" s="173" t="s">
        <v>650</v>
      </c>
      <c r="E183" s="173" t="s">
        <v>871</v>
      </c>
      <c r="F183" s="173" t="s">
        <v>1163</v>
      </c>
      <c r="G183" s="172">
        <v>43761</v>
      </c>
      <c r="H183" s="173" t="s">
        <v>90</v>
      </c>
      <c r="I183" s="173" t="s">
        <v>91</v>
      </c>
      <c r="J183" s="173" t="s">
        <v>92</v>
      </c>
      <c r="K183" s="173" t="s">
        <v>113</v>
      </c>
      <c r="L183" s="174" t="s">
        <v>71</v>
      </c>
      <c r="M183" s="175" t="s">
        <v>72</v>
      </c>
      <c r="N183" s="173" t="s">
        <v>73</v>
      </c>
      <c r="O183" s="176" t="s">
        <v>69</v>
      </c>
      <c r="P183" s="130" t="s">
        <v>113</v>
      </c>
      <c r="Q183" s="177" t="s">
        <v>93</v>
      </c>
      <c r="R183" s="178">
        <v>3.335</v>
      </c>
      <c r="S183" s="179">
        <v>1</v>
      </c>
      <c r="T183" s="179">
        <v>30</v>
      </c>
      <c r="U183" s="179">
        <v>30</v>
      </c>
      <c r="V183" s="179">
        <v>5.4000019999999997</v>
      </c>
      <c r="W183" s="179">
        <v>35.400002000000001</v>
      </c>
      <c r="X183" s="27">
        <f t="shared" si="76"/>
        <v>100.05</v>
      </c>
      <c r="Y183" s="29">
        <f ca="1">VLOOKUP(Z183,CHOOSE({2,1},Fac_Fecha,Fac_OT),2,0)</f>
        <v>43813</v>
      </c>
      <c r="Z183" s="26" t="s">
        <v>1927</v>
      </c>
      <c r="AA183" s="28">
        <f t="shared" ca="1" si="92"/>
        <v>2482.5279263999992</v>
      </c>
      <c r="AB183" s="28">
        <f ca="1">SUMIF(Salida_OT,Facturacion!Z183,Salida_Suma)</f>
        <v>0</v>
      </c>
      <c r="AC183" s="28">
        <f t="shared" ca="1" si="77"/>
        <v>0</v>
      </c>
      <c r="AD183" s="28">
        <f t="shared" ca="1" si="78"/>
        <v>33.898305084745765</v>
      </c>
      <c r="AE183" s="28">
        <f ca="1">(SUMIF(Asig_OT,Z183,Asig_Hora_Mec))*'Costos x MO'!$B$6*'Costos x MO'!$B$7</f>
        <v>0</v>
      </c>
      <c r="AF183" s="28">
        <f ca="1">SUMIF(Asig_OT,Z183,Asig_Hora_Pla)*'Costos x MO'!$B$4*'Costos x MO'!$B$7</f>
        <v>361.8</v>
      </c>
      <c r="AG183" s="28">
        <f ca="1">SUMIF(Asig_OT,Z183,Asig_paño_Pin)*'Costos x MO'!$B$5*'Costos x MO'!$B$7</f>
        <v>281.40000000000003</v>
      </c>
      <c r="AH183" s="28">
        <f ca="1">(SUMIF(Asig_OT,Z183,Asig_Terc_Pla)*'Costos x MO'!$B$7)+(SUMIF(Asig_OT,Z183,Asig_Terc_Pin)*'Costos x MO'!$B$7)</f>
        <v>0</v>
      </c>
      <c r="AI183" s="28">
        <f t="shared" ca="1" si="79"/>
        <v>677.09830508474579</v>
      </c>
      <c r="AJ183" s="28">
        <f t="shared" ca="1" si="80"/>
        <v>1805.4296213152534</v>
      </c>
      <c r="AK183" s="31">
        <f t="shared" ca="1" si="81"/>
        <v>0.72725450622961174</v>
      </c>
      <c r="AL183" s="28" t="str">
        <f t="shared" ca="1" si="82"/>
        <v>RIMAC</v>
      </c>
      <c r="AM183" s="28" t="str">
        <f t="shared" ca="1" si="83"/>
        <v>GRAVE</v>
      </c>
      <c r="AN183" s="30" t="str">
        <f t="shared" ca="1" si="84"/>
        <v>December</v>
      </c>
      <c r="AO183" s="42">
        <f t="shared" ca="1" si="85"/>
        <v>2019</v>
      </c>
      <c r="AP183" s="42">
        <f t="shared" ca="1" si="86"/>
        <v>9</v>
      </c>
      <c r="AQ183" s="26">
        <v>1</v>
      </c>
      <c r="AR183" s="30">
        <f t="shared" ca="1" si="87"/>
        <v>43804</v>
      </c>
      <c r="AS183" s="30" t="str">
        <f t="shared" ca="1" si="88"/>
        <v>ASL-101</v>
      </c>
      <c r="AT183" s="26" t="str">
        <f t="shared" ca="1" si="89"/>
        <v>NISSAN</v>
      </c>
      <c r="AU183" s="26" t="str">
        <f t="shared" ca="1" si="90"/>
        <v>SENTRA</v>
      </c>
      <c r="AV183" s="26" t="str">
        <f t="shared" ca="1" si="91"/>
        <v>INTER PLUS ASESORIA Y SERV GENERALES SRL</v>
      </c>
    </row>
    <row r="184" spans="1:48" x14ac:dyDescent="0.2">
      <c r="A184" s="172">
        <v>43767</v>
      </c>
      <c r="B184" s="173" t="s">
        <v>68</v>
      </c>
      <c r="C184" s="173" t="s">
        <v>102</v>
      </c>
      <c r="D184" s="173" t="s">
        <v>650</v>
      </c>
      <c r="E184" s="173" t="s">
        <v>871</v>
      </c>
      <c r="F184" s="173" t="s">
        <v>1163</v>
      </c>
      <c r="G184" s="172">
        <v>43761</v>
      </c>
      <c r="H184" s="173" t="s">
        <v>90</v>
      </c>
      <c r="I184" s="173" t="s">
        <v>91</v>
      </c>
      <c r="J184" s="173" t="s">
        <v>95</v>
      </c>
      <c r="K184" s="173" t="s">
        <v>96</v>
      </c>
      <c r="L184" s="174" t="s">
        <v>71</v>
      </c>
      <c r="M184" s="175" t="s">
        <v>72</v>
      </c>
      <c r="N184" s="173" t="s">
        <v>73</v>
      </c>
      <c r="O184" s="176" t="s">
        <v>69</v>
      </c>
      <c r="P184" s="130" t="s">
        <v>96</v>
      </c>
      <c r="Q184" s="177" t="s">
        <v>93</v>
      </c>
      <c r="R184" s="178">
        <v>3.335</v>
      </c>
      <c r="S184" s="179">
        <v>-1</v>
      </c>
      <c r="T184" s="179">
        <v>100</v>
      </c>
      <c r="U184" s="179">
        <v>-100</v>
      </c>
      <c r="V184" s="179">
        <v>-18</v>
      </c>
      <c r="W184" s="179">
        <v>-118</v>
      </c>
      <c r="X184" s="27">
        <f t="shared" si="76"/>
        <v>-333.5</v>
      </c>
      <c r="Y184" s="29">
        <f ca="1">VLOOKUP(Z184,CHOOSE({2,1},Fac_Fecha,Fac_OT),2,0)</f>
        <v>43815</v>
      </c>
      <c r="Z184" s="26" t="s">
        <v>1941</v>
      </c>
      <c r="AA184" s="28">
        <f t="shared" ca="1" si="92"/>
        <v>551.48548364999999</v>
      </c>
      <c r="AB184" s="28">
        <f ca="1">SUMIF(Salida_OT,Facturacion!Z184,Salida_Suma)</f>
        <v>0</v>
      </c>
      <c r="AC184" s="28">
        <f t="shared" ca="1" si="77"/>
        <v>0</v>
      </c>
      <c r="AD184" s="28">
        <f t="shared" ca="1" si="78"/>
        <v>0</v>
      </c>
      <c r="AE184" s="28">
        <f ca="1">(SUMIF(Asig_OT,Z184,Asig_Hora_Mec))*'Costos x MO'!$B$6*'Costos x MO'!$B$7</f>
        <v>0</v>
      </c>
      <c r="AF184" s="28">
        <f ca="1">SUMIF(Asig_OT,Z184,Asig_Hora_Pla)*'Costos x MO'!$B$4*'Costos x MO'!$B$7</f>
        <v>15.075000000000001</v>
      </c>
      <c r="AG184" s="28">
        <f ca="1">SUMIF(Asig_OT,Z184,Asig_paño_Pin)*'Costos x MO'!$B$5*'Costos x MO'!$B$7</f>
        <v>105.52500000000001</v>
      </c>
      <c r="AH184" s="28">
        <f ca="1">(SUMIF(Asig_OT,Z184,Asig_Terc_Pla)*'Costos x MO'!$B$7)+(SUMIF(Asig_OT,Z184,Asig_Terc_Pin)*'Costos x MO'!$B$7)</f>
        <v>0</v>
      </c>
      <c r="AI184" s="28">
        <f t="shared" ca="1" si="79"/>
        <v>120.60000000000001</v>
      </c>
      <c r="AJ184" s="28">
        <f t="shared" ca="1" si="80"/>
        <v>430.88548364999997</v>
      </c>
      <c r="AK184" s="31">
        <f t="shared" ca="1" si="81"/>
        <v>0.78131790668031664</v>
      </c>
      <c r="AL184" s="28" t="str">
        <f t="shared" ca="1" si="82"/>
        <v>RIMAC</v>
      </c>
      <c r="AM184" s="28" t="str">
        <f t="shared" ca="1" si="83"/>
        <v>LEVE</v>
      </c>
      <c r="AN184" s="30" t="str">
        <f t="shared" ca="1" si="84"/>
        <v>December</v>
      </c>
      <c r="AO184" s="42">
        <f t="shared" ca="1" si="85"/>
        <v>2019</v>
      </c>
      <c r="AP184" s="42">
        <f t="shared" ca="1" si="86"/>
        <v>6</v>
      </c>
      <c r="AQ184" s="26">
        <v>1</v>
      </c>
      <c r="AR184" s="30">
        <f t="shared" ca="1" si="87"/>
        <v>43809</v>
      </c>
      <c r="AS184" s="30" t="str">
        <f t="shared" ca="1" si="88"/>
        <v>EGX-296</v>
      </c>
      <c r="AT184" s="26" t="str">
        <f t="shared" ca="1" si="89"/>
        <v>MAXUS</v>
      </c>
      <c r="AU184" s="26" t="str">
        <f t="shared" ca="1" si="90"/>
        <v>S8</v>
      </c>
      <c r="AV184" s="26" t="str">
        <f t="shared" ca="1" si="91"/>
        <v>RIMAC SEGUROS  Y REASEGUROS S.A</v>
      </c>
    </row>
    <row r="185" spans="1:48" x14ac:dyDescent="0.2">
      <c r="A185" s="172">
        <v>43767</v>
      </c>
      <c r="B185" s="173" t="s">
        <v>68</v>
      </c>
      <c r="C185" s="173" t="s">
        <v>102</v>
      </c>
      <c r="D185" s="173" t="s">
        <v>650</v>
      </c>
      <c r="E185" s="173" t="s">
        <v>871</v>
      </c>
      <c r="F185" s="173" t="s">
        <v>1163</v>
      </c>
      <c r="G185" s="172">
        <v>43761</v>
      </c>
      <c r="H185" s="173" t="s">
        <v>90</v>
      </c>
      <c r="I185" s="173" t="s">
        <v>91</v>
      </c>
      <c r="J185" s="173" t="s">
        <v>104</v>
      </c>
      <c r="K185" s="173" t="s">
        <v>105</v>
      </c>
      <c r="L185" s="174" t="s">
        <v>71</v>
      </c>
      <c r="M185" s="175" t="s">
        <v>72</v>
      </c>
      <c r="N185" s="173" t="s">
        <v>73</v>
      </c>
      <c r="O185" s="176" t="s">
        <v>69</v>
      </c>
      <c r="P185" s="173" t="s">
        <v>105</v>
      </c>
      <c r="Q185" s="177" t="s">
        <v>93</v>
      </c>
      <c r="R185" s="178">
        <v>3.335</v>
      </c>
      <c r="S185" s="179">
        <v>1</v>
      </c>
      <c r="T185" s="179">
        <v>0</v>
      </c>
      <c r="U185" s="179">
        <v>0</v>
      </c>
      <c r="V185" s="179">
        <v>0</v>
      </c>
      <c r="W185" s="179">
        <v>0</v>
      </c>
      <c r="X185" s="27">
        <f t="shared" si="76"/>
        <v>0</v>
      </c>
      <c r="Y185" s="29">
        <f ca="1">VLOOKUP(Z185,CHOOSE({2,1},Fac_Fecha,Fac_OT),2,0)</f>
        <v>43816</v>
      </c>
      <c r="Z185" s="26" t="s">
        <v>1932</v>
      </c>
      <c r="AA185" s="28">
        <f t="shared" ca="1" si="92"/>
        <v>1930.31994255</v>
      </c>
      <c r="AB185" s="28">
        <f ca="1">SUMIF(Salida_OT,Facturacion!Z185,Salida_Suma)</f>
        <v>0</v>
      </c>
      <c r="AC185" s="28">
        <f t="shared" ca="1" si="77"/>
        <v>0</v>
      </c>
      <c r="AD185" s="28">
        <f t="shared" ca="1" si="78"/>
        <v>59.32</v>
      </c>
      <c r="AE185" s="28">
        <f ca="1">(SUMIF(Asig_OT,Z185,Asig_Hora_Mec))*'Costos x MO'!$B$6*'Costos x MO'!$B$7</f>
        <v>0</v>
      </c>
      <c r="AF185" s="28">
        <f ca="1">SUMIF(Asig_OT,Z185,Asig_Hora_Pla)*'Costos x MO'!$B$4*'Costos x MO'!$B$7</f>
        <v>105.52500000000001</v>
      </c>
      <c r="AG185" s="28">
        <f ca="1">SUMIF(Asig_OT,Z185,Asig_paño_Pin)*'Costos x MO'!$B$5*'Costos x MO'!$B$7</f>
        <v>386.92500000000001</v>
      </c>
      <c r="AH185" s="28">
        <f ca="1">(SUMIF(Asig_OT,Z185,Asig_Terc_Pla)*'Costos x MO'!$B$7)+(SUMIF(Asig_OT,Z185,Asig_Terc_Pin)*'Costos x MO'!$B$7)</f>
        <v>0</v>
      </c>
      <c r="AI185" s="28">
        <f t="shared" ca="1" si="79"/>
        <v>551.77</v>
      </c>
      <c r="AJ185" s="28">
        <f t="shared" ca="1" si="80"/>
        <v>1378.54994255</v>
      </c>
      <c r="AK185" s="31">
        <f t="shared" ca="1" si="81"/>
        <v>0.7141561935732279</v>
      </c>
      <c r="AL185" s="28" t="str">
        <f t="shared" ca="1" si="82"/>
        <v>RIMAC</v>
      </c>
      <c r="AM185" s="28" t="str">
        <f t="shared" ca="1" si="83"/>
        <v>LEVE</v>
      </c>
      <c r="AN185" s="30" t="str">
        <f t="shared" ca="1" si="84"/>
        <v>December</v>
      </c>
      <c r="AO185" s="42">
        <f t="shared" ca="1" si="85"/>
        <v>2019</v>
      </c>
      <c r="AP185" s="42">
        <f t="shared" ca="1" si="86"/>
        <v>12</v>
      </c>
      <c r="AQ185" s="26">
        <v>1</v>
      </c>
      <c r="AR185" s="30">
        <f t="shared" ca="1" si="87"/>
        <v>43804</v>
      </c>
      <c r="AS185" s="30" t="str">
        <f t="shared" ca="1" si="88"/>
        <v>BFB-527</v>
      </c>
      <c r="AT185" s="26" t="str">
        <f t="shared" ca="1" si="89"/>
        <v>SUZUKI</v>
      </c>
      <c r="AU185" s="26" t="str">
        <f t="shared" ca="1" si="90"/>
        <v>BALENO</v>
      </c>
      <c r="AV185" s="26" t="str">
        <f t="shared" ca="1" si="91"/>
        <v>RIMAC SEGUROS  Y REASEGUROS S.A</v>
      </c>
    </row>
    <row r="186" spans="1:48" x14ac:dyDescent="0.2">
      <c r="A186" s="172">
        <v>43767</v>
      </c>
      <c r="B186" s="173" t="s">
        <v>68</v>
      </c>
      <c r="C186" s="173" t="s">
        <v>102</v>
      </c>
      <c r="D186" s="173" t="s">
        <v>649</v>
      </c>
      <c r="E186" s="173" t="s">
        <v>793</v>
      </c>
      <c r="F186" s="173" t="s">
        <v>1164</v>
      </c>
      <c r="G186" s="172">
        <v>43752</v>
      </c>
      <c r="H186" s="173" t="s">
        <v>1131</v>
      </c>
      <c r="I186" s="173" t="s">
        <v>1132</v>
      </c>
      <c r="J186" s="173" t="s">
        <v>97</v>
      </c>
      <c r="K186" s="173" t="s">
        <v>98</v>
      </c>
      <c r="L186" s="174" t="s">
        <v>71</v>
      </c>
      <c r="M186" s="175" t="s">
        <v>72</v>
      </c>
      <c r="N186" s="173" t="s">
        <v>73</v>
      </c>
      <c r="O186" s="176" t="s">
        <v>99</v>
      </c>
      <c r="P186" s="173" t="s">
        <v>98</v>
      </c>
      <c r="Q186" s="177" t="s">
        <v>74</v>
      </c>
      <c r="R186" s="178">
        <v>3.335</v>
      </c>
      <c r="S186" s="179">
        <v>1</v>
      </c>
      <c r="T186" s="179">
        <v>200</v>
      </c>
      <c r="U186" s="179">
        <v>200</v>
      </c>
      <c r="V186" s="179">
        <v>36</v>
      </c>
      <c r="W186" s="179">
        <v>236</v>
      </c>
      <c r="X186" s="27">
        <f t="shared" si="76"/>
        <v>200</v>
      </c>
      <c r="Y186" s="29">
        <f ca="1">VLOOKUP(Z186,CHOOSE({2,1},Fac_Fecha,Fac_OT),2,0)</f>
        <v>43816</v>
      </c>
      <c r="Z186" s="26" t="s">
        <v>1935</v>
      </c>
      <c r="AA186" s="28">
        <f t="shared" ca="1" si="92"/>
        <v>459.32341032965996</v>
      </c>
      <c r="AB186" s="28">
        <f ca="1">SUMIF(Salida_OT,Facturacion!Z186,Salida_Suma)</f>
        <v>0</v>
      </c>
      <c r="AC186" s="28">
        <f t="shared" ca="1" si="77"/>
        <v>0</v>
      </c>
      <c r="AD186" s="28">
        <f t="shared" ca="1" si="78"/>
        <v>0</v>
      </c>
      <c r="AE186" s="28">
        <f ca="1">(SUMIF(Asig_OT,Z186,Asig_Hora_Mec))*'Costos x MO'!$B$6*'Costos x MO'!$B$7</f>
        <v>0</v>
      </c>
      <c r="AF186" s="28">
        <f ca="1">SUMIF(Asig_OT,Z186,Asig_Hora_Pla)*'Costos x MO'!$B$4*'Costos x MO'!$B$7</f>
        <v>15.075000000000001</v>
      </c>
      <c r="AG186" s="28">
        <f ca="1">SUMIF(Asig_OT,Z186,Asig_paño_Pin)*'Costos x MO'!$B$5*'Costos x MO'!$B$7</f>
        <v>70.350000000000009</v>
      </c>
      <c r="AH186" s="28">
        <f ca="1">(SUMIF(Asig_OT,Z186,Asig_Terc_Pla)*'Costos x MO'!$B$7)+(SUMIF(Asig_OT,Z186,Asig_Terc_Pin)*'Costos x MO'!$B$7)</f>
        <v>0</v>
      </c>
      <c r="AI186" s="28">
        <f t="shared" ca="1" si="79"/>
        <v>85.425000000000011</v>
      </c>
      <c r="AJ186" s="28">
        <f t="shared" ca="1" si="80"/>
        <v>373.89841032965995</v>
      </c>
      <c r="AK186" s="31">
        <f t="shared" ca="1" si="81"/>
        <v>0.81401993001251594</v>
      </c>
      <c r="AL186" s="28" t="str">
        <f t="shared" ca="1" si="82"/>
        <v>RIMAC</v>
      </c>
      <c r="AM186" s="28" t="str">
        <f t="shared" ca="1" si="83"/>
        <v>LEVE</v>
      </c>
      <c r="AN186" s="30" t="str">
        <f t="shared" ca="1" si="84"/>
        <v>December</v>
      </c>
      <c r="AO186" s="42">
        <f t="shared" ca="1" si="85"/>
        <v>2019</v>
      </c>
      <c r="AP186" s="42">
        <f t="shared" ca="1" si="86"/>
        <v>8</v>
      </c>
      <c r="AQ186" s="26">
        <v>1</v>
      </c>
      <c r="AR186" s="30">
        <f t="shared" ca="1" si="87"/>
        <v>43808</v>
      </c>
      <c r="AS186" s="30" t="str">
        <f t="shared" ca="1" si="88"/>
        <v>BET-306</v>
      </c>
      <c r="AT186" s="26" t="str">
        <f t="shared" ca="1" si="89"/>
        <v>MAZDA</v>
      </c>
      <c r="AU186" s="26" t="str">
        <f t="shared" ca="1" si="90"/>
        <v>MAZDA3</v>
      </c>
      <c r="AV186" s="26" t="str">
        <f t="shared" ca="1" si="91"/>
        <v>RENTAEQUIPOS LEASING PERU S.A.</v>
      </c>
    </row>
    <row r="187" spans="1:48" x14ac:dyDescent="0.2">
      <c r="A187" s="172">
        <v>43767</v>
      </c>
      <c r="B187" s="173" t="s">
        <v>68</v>
      </c>
      <c r="C187" s="173" t="s">
        <v>102</v>
      </c>
      <c r="D187" s="173" t="s">
        <v>649</v>
      </c>
      <c r="E187" s="173" t="s">
        <v>793</v>
      </c>
      <c r="F187" s="173" t="s">
        <v>1164</v>
      </c>
      <c r="G187" s="172">
        <v>43752</v>
      </c>
      <c r="H187" s="173" t="s">
        <v>1131</v>
      </c>
      <c r="I187" s="173" t="s">
        <v>1132</v>
      </c>
      <c r="J187" s="173" t="s">
        <v>100</v>
      </c>
      <c r="K187" s="173" t="s">
        <v>101</v>
      </c>
      <c r="L187" s="174" t="s">
        <v>71</v>
      </c>
      <c r="M187" s="175" t="s">
        <v>72</v>
      </c>
      <c r="N187" s="173" t="s">
        <v>73</v>
      </c>
      <c r="O187" s="176" t="s">
        <v>72</v>
      </c>
      <c r="P187" s="130" t="s">
        <v>101</v>
      </c>
      <c r="Q187" s="177" t="s">
        <v>74</v>
      </c>
      <c r="R187" s="178">
        <v>3.335</v>
      </c>
      <c r="S187" s="179">
        <v>1</v>
      </c>
      <c r="T187" s="179">
        <v>50</v>
      </c>
      <c r="U187" s="179">
        <v>50</v>
      </c>
      <c r="V187" s="179">
        <v>9</v>
      </c>
      <c r="W187" s="179">
        <v>59</v>
      </c>
      <c r="X187" s="27">
        <f t="shared" si="76"/>
        <v>50</v>
      </c>
      <c r="Y187" s="29">
        <f ca="1">VLOOKUP(Z187,CHOOSE({2,1},Fac_Fecha,Fac_OT),2,0)</f>
        <v>43816</v>
      </c>
      <c r="Z187" s="26" t="s">
        <v>1925</v>
      </c>
      <c r="AA187" s="28">
        <f t="shared" ca="1" si="92"/>
        <v>482.15998564999995</v>
      </c>
      <c r="AB187" s="28">
        <f ca="1">SUMIF(Salida_OT,Facturacion!Z187,Salida_Suma)</f>
        <v>0</v>
      </c>
      <c r="AC187" s="28">
        <f t="shared" ca="1" si="77"/>
        <v>0</v>
      </c>
      <c r="AD187" s="28">
        <f t="shared" ca="1" si="78"/>
        <v>0</v>
      </c>
      <c r="AE187" s="28">
        <f ca="1">(SUMIF(Asig_OT,Z187,Asig_Hora_Mec))*'Costos x MO'!$B$6*'Costos x MO'!$B$7</f>
        <v>0</v>
      </c>
      <c r="AF187" s="28">
        <f ca="1">SUMIF(Asig_OT,Z187,Asig_Hora_Pla)*'Costos x MO'!$B$4*'Costos x MO'!$B$7</f>
        <v>15.075000000000001</v>
      </c>
      <c r="AG187" s="28">
        <f ca="1">SUMIF(Asig_OT,Z187,Asig_paño_Pin)*'Costos x MO'!$B$5*'Costos x MO'!$B$7</f>
        <v>105.52500000000001</v>
      </c>
      <c r="AH187" s="28">
        <f ca="1">(SUMIF(Asig_OT,Z187,Asig_Terc_Pla)*'Costos x MO'!$B$7)+(SUMIF(Asig_OT,Z187,Asig_Terc_Pin)*'Costos x MO'!$B$7)</f>
        <v>0</v>
      </c>
      <c r="AI187" s="28">
        <f t="shared" ca="1" si="79"/>
        <v>120.60000000000001</v>
      </c>
      <c r="AJ187" s="28">
        <f t="shared" ca="1" si="80"/>
        <v>361.55998564999993</v>
      </c>
      <c r="AK187" s="31">
        <f t="shared" ca="1" si="81"/>
        <v>0.74987555253590954</v>
      </c>
      <c r="AL187" s="28" t="str">
        <f t="shared" ca="1" si="82"/>
        <v>RIMAC</v>
      </c>
      <c r="AM187" s="28" t="str">
        <f t="shared" ca="1" si="83"/>
        <v>LEVE</v>
      </c>
      <c r="AN187" s="30" t="str">
        <f t="shared" ca="1" si="84"/>
        <v>December</v>
      </c>
      <c r="AO187" s="42">
        <f t="shared" ca="1" si="85"/>
        <v>2019</v>
      </c>
      <c r="AP187" s="42">
        <f t="shared" ca="1" si="86"/>
        <v>12</v>
      </c>
      <c r="AQ187" s="26">
        <v>1</v>
      </c>
      <c r="AR187" s="30">
        <f t="shared" ca="1" si="87"/>
        <v>43804</v>
      </c>
      <c r="AS187" s="30" t="str">
        <f t="shared" ca="1" si="88"/>
        <v>BET-590</v>
      </c>
      <c r="AT187" s="26" t="str">
        <f t="shared" ca="1" si="89"/>
        <v>MAZDA</v>
      </c>
      <c r="AU187" s="26" t="str">
        <f t="shared" ca="1" si="90"/>
        <v>MAZDA3</v>
      </c>
      <c r="AV187" s="26" t="str">
        <f t="shared" ca="1" si="91"/>
        <v>RENTAEQUIPOS LEASING PERU S.A.</v>
      </c>
    </row>
    <row r="188" spans="1:48" x14ac:dyDescent="0.2">
      <c r="A188" s="172">
        <v>43767</v>
      </c>
      <c r="B188" s="173" t="s">
        <v>68</v>
      </c>
      <c r="C188" s="173" t="s">
        <v>102</v>
      </c>
      <c r="D188" s="173" t="s">
        <v>649</v>
      </c>
      <c r="E188" s="173" t="s">
        <v>793</v>
      </c>
      <c r="F188" s="173" t="s">
        <v>1164</v>
      </c>
      <c r="G188" s="172">
        <v>43752</v>
      </c>
      <c r="H188" s="173" t="s">
        <v>1131</v>
      </c>
      <c r="I188" s="173" t="s">
        <v>1132</v>
      </c>
      <c r="J188" s="173" t="s">
        <v>92</v>
      </c>
      <c r="K188" s="173" t="s">
        <v>113</v>
      </c>
      <c r="L188" s="174" t="s">
        <v>71</v>
      </c>
      <c r="M188" s="175" t="s">
        <v>72</v>
      </c>
      <c r="N188" s="173" t="s">
        <v>73</v>
      </c>
      <c r="O188" s="176" t="s">
        <v>69</v>
      </c>
      <c r="P188" s="130" t="s">
        <v>113</v>
      </c>
      <c r="Q188" s="177" t="s">
        <v>74</v>
      </c>
      <c r="R188" s="178">
        <v>3.335</v>
      </c>
      <c r="S188" s="179">
        <v>1</v>
      </c>
      <c r="T188" s="179">
        <v>100</v>
      </c>
      <c r="U188" s="179">
        <v>100</v>
      </c>
      <c r="V188" s="179">
        <v>18</v>
      </c>
      <c r="W188" s="179">
        <v>118</v>
      </c>
      <c r="X188" s="27">
        <f t="shared" si="76"/>
        <v>100</v>
      </c>
      <c r="Y188" s="29">
        <f ca="1">VLOOKUP(Z188,CHOOSE({2,1},Fac_Fecha,Fac_OT),2,0)</f>
        <v>43817</v>
      </c>
      <c r="Z188" s="26" t="s">
        <v>2326</v>
      </c>
      <c r="AA188" s="28">
        <f t="shared" ca="1" si="92"/>
        <v>42.372897999999985</v>
      </c>
      <c r="AB188" s="28">
        <f ca="1">SUMIF(Salida_OT,Facturacion!Z188,Salida_Suma)</f>
        <v>0</v>
      </c>
      <c r="AC188" s="28">
        <f t="shared" ca="1" si="77"/>
        <v>0</v>
      </c>
      <c r="AD188" s="28">
        <f t="shared" ca="1" si="78"/>
        <v>0</v>
      </c>
      <c r="AE188" s="28">
        <f ca="1">(SUMIF(Asig_OT,Z188,Asig_Hora_Mec))*'Costos x MO'!$B$6*'Costos x MO'!$B$7</f>
        <v>0</v>
      </c>
      <c r="AF188" s="28">
        <f ca="1">SUMIF(Asig_OT,Z188,Asig_Hora_Pla)*'Costos x MO'!$B$4*'Costos x MO'!$B$7</f>
        <v>0</v>
      </c>
      <c r="AG188" s="28">
        <f ca="1">SUMIF(Asig_OT,Z188,Asig_paño_Pin)*'Costos x MO'!$B$5*'Costos x MO'!$B$7</f>
        <v>0</v>
      </c>
      <c r="AH188" s="28">
        <f ca="1">(SUMIF(Asig_OT,Z188,Asig_Terc_Pla)*'Costos x MO'!$B$7)+(SUMIF(Asig_OT,Z188,Asig_Terc_Pin)*'Costos x MO'!$B$7)</f>
        <v>0</v>
      </c>
      <c r="AI188" s="28">
        <f t="shared" ca="1" si="79"/>
        <v>0</v>
      </c>
      <c r="AJ188" s="28">
        <f t="shared" ca="1" si="80"/>
        <v>42.372897999999985</v>
      </c>
      <c r="AK188" s="31">
        <f t="shared" ca="1" si="81"/>
        <v>1</v>
      </c>
      <c r="AL188" s="28" t="s">
        <v>121</v>
      </c>
      <c r="AM188" s="28" t="s">
        <v>447</v>
      </c>
      <c r="AN188" s="30" t="str">
        <f t="shared" ca="1" si="84"/>
        <v>December</v>
      </c>
      <c r="AO188" s="42">
        <f t="shared" ca="1" si="85"/>
        <v>2019</v>
      </c>
      <c r="AP188" s="42">
        <f t="shared" ca="1" si="86"/>
        <v>4</v>
      </c>
      <c r="AQ188" s="26">
        <v>1</v>
      </c>
      <c r="AR188" s="30">
        <f t="shared" ca="1" si="87"/>
        <v>43813</v>
      </c>
      <c r="AS188" s="30" t="str">
        <f ca="1">IFERROR(VLOOKUP(Z188,Matriz2,2,0),"S/PLACA")</f>
        <v>BFW224</v>
      </c>
      <c r="AT188" s="26" t="s">
        <v>178</v>
      </c>
      <c r="AU188" s="26" t="s">
        <v>1411</v>
      </c>
      <c r="AV188" s="26" t="str">
        <f t="shared" ca="1" si="91"/>
        <v>RENTAEQUIPOS LEASING PERU S.A.</v>
      </c>
    </row>
    <row r="189" spans="1:48" x14ac:dyDescent="0.2">
      <c r="A189" s="172">
        <v>43767</v>
      </c>
      <c r="B189" s="173" t="s">
        <v>68</v>
      </c>
      <c r="C189" s="173" t="s">
        <v>102</v>
      </c>
      <c r="D189" s="173" t="s">
        <v>649</v>
      </c>
      <c r="E189" s="173" t="s">
        <v>793</v>
      </c>
      <c r="F189" s="173" t="s">
        <v>1164</v>
      </c>
      <c r="G189" s="172">
        <v>43752</v>
      </c>
      <c r="H189" s="173" t="s">
        <v>1131</v>
      </c>
      <c r="I189" s="173" t="s">
        <v>1132</v>
      </c>
      <c r="J189" s="173" t="s">
        <v>70</v>
      </c>
      <c r="K189" s="173" t="s">
        <v>112</v>
      </c>
      <c r="L189" s="174" t="s">
        <v>71</v>
      </c>
      <c r="M189" s="175" t="s">
        <v>72</v>
      </c>
      <c r="N189" s="173" t="s">
        <v>73</v>
      </c>
      <c r="O189" s="176" t="s">
        <v>69</v>
      </c>
      <c r="P189" s="130" t="s">
        <v>447</v>
      </c>
      <c r="Q189" s="177" t="s">
        <v>74</v>
      </c>
      <c r="R189" s="178">
        <v>3.335</v>
      </c>
      <c r="S189" s="179">
        <v>1</v>
      </c>
      <c r="T189" s="179">
        <v>0</v>
      </c>
      <c r="U189" s="179">
        <v>0</v>
      </c>
      <c r="V189" s="179">
        <v>0</v>
      </c>
      <c r="W189" s="179">
        <v>0</v>
      </c>
      <c r="X189" s="27">
        <f t="shared" si="76"/>
        <v>0</v>
      </c>
      <c r="Y189" s="29">
        <f ca="1">VLOOKUP(Z189,CHOOSE({2,1},Fac_Fecha,Fac_OT),2,0)</f>
        <v>43818</v>
      </c>
      <c r="Z189" s="26" t="s">
        <v>1963</v>
      </c>
      <c r="AA189" s="28">
        <f t="shared" ca="1" si="92"/>
        <v>183.6999945</v>
      </c>
      <c r="AB189" s="28">
        <f ca="1">SUMIF(Salida_OT,Facturacion!Z189,Salida_Suma)</f>
        <v>0</v>
      </c>
      <c r="AC189" s="28">
        <f t="shared" ca="1" si="77"/>
        <v>0</v>
      </c>
      <c r="AD189" s="28">
        <f t="shared" ca="1" si="78"/>
        <v>0</v>
      </c>
      <c r="AE189" s="28">
        <f ca="1">(SUMIF(Asig_OT,Z189,Asig_Hora_Mec))*'Costos x MO'!$B$6*'Costos x MO'!$B$7</f>
        <v>15.075000000000001</v>
      </c>
      <c r="AF189" s="28">
        <f ca="1">SUMIF(Asig_OT,Z189,Asig_Hora_Pla)*'Costos x MO'!$B$4*'Costos x MO'!$B$7</f>
        <v>0</v>
      </c>
      <c r="AG189" s="28">
        <f ca="1">SUMIF(Asig_OT,Z189,Asig_paño_Pin)*'Costos x MO'!$B$5*'Costos x MO'!$B$7</f>
        <v>0</v>
      </c>
      <c r="AH189" s="28">
        <f ca="1">(SUMIF(Asig_OT,Z189,Asig_Terc_Pla)*'Costos x MO'!$B$7)+(SUMIF(Asig_OT,Z189,Asig_Terc_Pin)*'Costos x MO'!$B$7)</f>
        <v>0</v>
      </c>
      <c r="AI189" s="28">
        <f t="shared" ca="1" si="79"/>
        <v>15.075000000000001</v>
      </c>
      <c r="AJ189" s="28">
        <f t="shared" ca="1" si="80"/>
        <v>168.62499450000001</v>
      </c>
      <c r="AK189" s="31">
        <f t="shared" ca="1" si="81"/>
        <v>0.91793685110861567</v>
      </c>
      <c r="AL189" s="28" t="str">
        <f t="shared" ca="1" si="82"/>
        <v>RIMAC</v>
      </c>
      <c r="AM189" s="28" t="str">
        <f t="shared" ca="1" si="83"/>
        <v>LEVE</v>
      </c>
      <c r="AN189" s="30" t="str">
        <f t="shared" ca="1" si="84"/>
        <v>December</v>
      </c>
      <c r="AO189" s="42">
        <f t="shared" ca="1" si="85"/>
        <v>2019</v>
      </c>
      <c r="AP189" s="42">
        <f t="shared" ca="1" si="86"/>
        <v>24</v>
      </c>
      <c r="AQ189" s="26">
        <v>1</v>
      </c>
      <c r="AR189" s="30">
        <f t="shared" ca="1" si="87"/>
        <v>43794</v>
      </c>
      <c r="AS189" s="30" t="str">
        <f t="shared" ca="1" si="88"/>
        <v>AJD-170</v>
      </c>
      <c r="AT189" s="26" t="str">
        <f t="shared" ca="1" si="89"/>
        <v>NISSAN</v>
      </c>
      <c r="AU189" s="26" t="str">
        <f t="shared" ca="1" si="90"/>
        <v>XTRAIL</v>
      </c>
      <c r="AV189" s="26" t="str">
        <f t="shared" ca="1" si="91"/>
        <v>RIMAC SEGUROS  Y REASEGUROS S.A</v>
      </c>
    </row>
    <row r="190" spans="1:48" x14ac:dyDescent="0.2">
      <c r="A190" s="172">
        <v>43768</v>
      </c>
      <c r="B190" s="173" t="s">
        <v>68</v>
      </c>
      <c r="C190" s="173" t="s">
        <v>102</v>
      </c>
      <c r="D190" s="173" t="s">
        <v>648</v>
      </c>
      <c r="E190" s="173" t="s">
        <v>779</v>
      </c>
      <c r="F190" s="173" t="s">
        <v>921</v>
      </c>
      <c r="G190" s="172">
        <v>43745</v>
      </c>
      <c r="H190" s="173" t="s">
        <v>1145</v>
      </c>
      <c r="I190" s="173" t="s">
        <v>1146</v>
      </c>
      <c r="J190" s="173" t="s">
        <v>97</v>
      </c>
      <c r="K190" s="173" t="s">
        <v>98</v>
      </c>
      <c r="L190" s="174" t="s">
        <v>71</v>
      </c>
      <c r="M190" s="175" t="s">
        <v>72</v>
      </c>
      <c r="N190" s="173" t="s">
        <v>73</v>
      </c>
      <c r="O190" s="176" t="s">
        <v>99</v>
      </c>
      <c r="P190" s="173" t="s">
        <v>98</v>
      </c>
      <c r="Q190" s="177" t="s">
        <v>74</v>
      </c>
      <c r="R190" s="178">
        <v>3.3399999000000005</v>
      </c>
      <c r="S190" s="179">
        <v>1</v>
      </c>
      <c r="T190" s="179">
        <v>2227.5</v>
      </c>
      <c r="U190" s="179">
        <v>2227.5</v>
      </c>
      <c r="V190" s="179">
        <v>400.95</v>
      </c>
      <c r="W190" s="179">
        <v>2628.45</v>
      </c>
      <c r="X190" s="27">
        <f t="shared" si="76"/>
        <v>2227.5</v>
      </c>
      <c r="Y190" s="29">
        <f ca="1">VLOOKUP(Z190,CHOOSE({2,1},Fac_Fecha,Fac_OT),2,0)</f>
        <v>43818</v>
      </c>
      <c r="Z190" s="26" t="s">
        <v>1958</v>
      </c>
      <c r="AA190" s="28">
        <f t="shared" ca="1" si="92"/>
        <v>895.11997320000023</v>
      </c>
      <c r="AB190" s="28">
        <f ca="1">SUMIF(Salida_OT,Facturacion!Z190,Salida_Suma)</f>
        <v>0</v>
      </c>
      <c r="AC190" s="28">
        <f t="shared" ca="1" si="77"/>
        <v>0</v>
      </c>
      <c r="AD190" s="28">
        <f t="shared" ca="1" si="78"/>
        <v>0</v>
      </c>
      <c r="AE190" s="28">
        <f ca="1">(SUMIF(Asig_OT,Z190,Asig_Hora_Mec))*'Costos x MO'!$B$6*'Costos x MO'!$B$7</f>
        <v>0</v>
      </c>
      <c r="AF190" s="28">
        <f ca="1">SUMIF(Asig_OT,Z190,Asig_Hora_Pla)*'Costos x MO'!$B$4*'Costos x MO'!$B$7</f>
        <v>120.60000000000001</v>
      </c>
      <c r="AG190" s="28">
        <f ca="1">SUMIF(Asig_OT,Z190,Asig_paño_Pin)*'Costos x MO'!$B$5*'Costos x MO'!$B$7</f>
        <v>140.70000000000002</v>
      </c>
      <c r="AH190" s="28">
        <f ca="1">(SUMIF(Asig_OT,Z190,Asig_Terc_Pla)*'Costos x MO'!$B$7)+(SUMIF(Asig_OT,Z190,Asig_Terc_Pin)*'Costos x MO'!$B$7)</f>
        <v>0</v>
      </c>
      <c r="AI190" s="28">
        <f t="shared" ca="1" si="79"/>
        <v>261.3</v>
      </c>
      <c r="AJ190" s="28">
        <f t="shared" ca="1" si="80"/>
        <v>633.81997320000028</v>
      </c>
      <c r="AK190" s="31">
        <f t="shared" ca="1" si="81"/>
        <v>0.70808382359532418</v>
      </c>
      <c r="AL190" s="28" t="str">
        <f t="shared" ca="1" si="82"/>
        <v>RIMAC</v>
      </c>
      <c r="AM190" s="28" t="str">
        <f t="shared" ca="1" si="83"/>
        <v>LEVE</v>
      </c>
      <c r="AN190" s="30" t="str">
        <f t="shared" ca="1" si="84"/>
        <v>December</v>
      </c>
      <c r="AO190" s="42">
        <f t="shared" ca="1" si="85"/>
        <v>2019</v>
      </c>
      <c r="AP190" s="42">
        <f t="shared" ca="1" si="86"/>
        <v>3</v>
      </c>
      <c r="AQ190" s="26">
        <v>1</v>
      </c>
      <c r="AR190" s="30">
        <f t="shared" ca="1" si="87"/>
        <v>43815</v>
      </c>
      <c r="AS190" s="30" t="str">
        <f t="shared" ca="1" si="88"/>
        <v>BKQ-559</v>
      </c>
      <c r="AT190" s="26" t="str">
        <f t="shared" ca="1" si="89"/>
        <v>FORD</v>
      </c>
      <c r="AU190" s="26" t="str">
        <f t="shared" ca="1" si="90"/>
        <v>ECOSPORT</v>
      </c>
      <c r="AV190" s="26" t="str">
        <f t="shared" ca="1" si="91"/>
        <v>ARSEGUIN PERU S.A.C.</v>
      </c>
    </row>
    <row r="191" spans="1:48" x14ac:dyDescent="0.2">
      <c r="A191" s="172">
        <v>43768</v>
      </c>
      <c r="B191" s="173" t="s">
        <v>68</v>
      </c>
      <c r="C191" s="173" t="s">
        <v>102</v>
      </c>
      <c r="D191" s="173" t="s">
        <v>648</v>
      </c>
      <c r="E191" s="173" t="s">
        <v>779</v>
      </c>
      <c r="F191" s="173" t="s">
        <v>921</v>
      </c>
      <c r="G191" s="172">
        <v>43745</v>
      </c>
      <c r="H191" s="173" t="s">
        <v>1145</v>
      </c>
      <c r="I191" s="173" t="s">
        <v>1146</v>
      </c>
      <c r="J191" s="173" t="s">
        <v>100</v>
      </c>
      <c r="K191" s="173" t="s">
        <v>101</v>
      </c>
      <c r="L191" s="174" t="s">
        <v>71</v>
      </c>
      <c r="M191" s="175" t="s">
        <v>72</v>
      </c>
      <c r="N191" s="173" t="s">
        <v>73</v>
      </c>
      <c r="O191" s="176" t="s">
        <v>72</v>
      </c>
      <c r="P191" s="130" t="s">
        <v>101</v>
      </c>
      <c r="Q191" s="177" t="s">
        <v>74</v>
      </c>
      <c r="R191" s="178">
        <v>3.3399999000000005</v>
      </c>
      <c r="S191" s="179">
        <v>1</v>
      </c>
      <c r="T191" s="179">
        <v>1155</v>
      </c>
      <c r="U191" s="179">
        <v>1155</v>
      </c>
      <c r="V191" s="179">
        <v>207.9</v>
      </c>
      <c r="W191" s="179">
        <v>1362.9</v>
      </c>
      <c r="X191" s="27">
        <f t="shared" si="76"/>
        <v>1155</v>
      </c>
      <c r="Y191" s="29">
        <f ca="1">VLOOKUP(Z191,CHOOSE({2,1},Fac_Fecha,Fac_OT),2,0)</f>
        <v>43818</v>
      </c>
      <c r="Z191" s="26" t="s">
        <v>1945</v>
      </c>
      <c r="AA191" s="28">
        <f t="shared" ca="1" si="92"/>
        <v>2287.8999315000005</v>
      </c>
      <c r="AB191" s="28">
        <f ca="1">SUMIF(Salida_OT,Facturacion!Z191,Salida_Suma)</f>
        <v>5.4759001999999999</v>
      </c>
      <c r="AC191" s="28">
        <f t="shared" ca="1" si="77"/>
        <v>0</v>
      </c>
      <c r="AD191" s="28">
        <f t="shared" ca="1" si="78"/>
        <v>84.75</v>
      </c>
      <c r="AE191" s="28">
        <f ca="1">(SUMIF(Asig_OT,Z191,Asig_Hora_Mec))*'Costos x MO'!$B$6*'Costos x MO'!$B$7</f>
        <v>30.150000000000002</v>
      </c>
      <c r="AF191" s="28">
        <f ca="1">SUMIF(Asig_OT,Z191,Asig_Hora_Pla)*'Costos x MO'!$B$4*'Costos x MO'!$B$7</f>
        <v>180.9</v>
      </c>
      <c r="AG191" s="28">
        <f ca="1">SUMIF(Asig_OT,Z191,Asig_paño_Pin)*'Costos x MO'!$B$5*'Costos x MO'!$B$7</f>
        <v>351.75</v>
      </c>
      <c r="AH191" s="28">
        <f ca="1">(SUMIF(Asig_OT,Z191,Asig_Terc_Pla)*'Costos x MO'!$B$7)+(SUMIF(Asig_OT,Z191,Asig_Terc_Pin)*'Costos x MO'!$B$7)</f>
        <v>0</v>
      </c>
      <c r="AI191" s="28">
        <f t="shared" ca="1" si="79"/>
        <v>653.02590020000002</v>
      </c>
      <c r="AJ191" s="28">
        <f t="shared" ca="1" si="80"/>
        <v>1634.8740313000005</v>
      </c>
      <c r="AK191" s="31">
        <f t="shared" ca="1" si="81"/>
        <v>0.71457409862683063</v>
      </c>
      <c r="AL191" s="28" t="str">
        <f t="shared" ca="1" si="82"/>
        <v>RIMAC</v>
      </c>
      <c r="AM191" s="28" t="str">
        <f t="shared" ca="1" si="83"/>
        <v>MEDIANO</v>
      </c>
      <c r="AN191" s="30" t="str">
        <f t="shared" ca="1" si="84"/>
        <v>December</v>
      </c>
      <c r="AO191" s="42">
        <f t="shared" ca="1" si="85"/>
        <v>2019</v>
      </c>
      <c r="AP191" s="42">
        <f t="shared" ca="1" si="86"/>
        <v>56</v>
      </c>
      <c r="AQ191" s="26">
        <v>1</v>
      </c>
      <c r="AR191" s="30">
        <f t="shared" ca="1" si="87"/>
        <v>43762</v>
      </c>
      <c r="AS191" s="30" t="str">
        <f t="shared" ca="1" si="88"/>
        <v>BEQ-177</v>
      </c>
      <c r="AT191" s="26" t="str">
        <f t="shared" ca="1" si="89"/>
        <v>KIA</v>
      </c>
      <c r="AU191" s="26" t="str">
        <f t="shared" ca="1" si="90"/>
        <v>PICANTO</v>
      </c>
      <c r="AV191" s="26" t="str">
        <f t="shared" ca="1" si="91"/>
        <v>RENTAEQUIPOS LEASING PERU S.A.</v>
      </c>
    </row>
    <row r="192" spans="1:48" x14ac:dyDescent="0.2">
      <c r="A192" s="172">
        <v>43768</v>
      </c>
      <c r="B192" s="173" t="s">
        <v>68</v>
      </c>
      <c r="C192" s="173" t="s">
        <v>102</v>
      </c>
      <c r="D192" s="173" t="s">
        <v>648</v>
      </c>
      <c r="E192" s="173" t="s">
        <v>779</v>
      </c>
      <c r="F192" s="173" t="s">
        <v>921</v>
      </c>
      <c r="G192" s="172">
        <v>43745</v>
      </c>
      <c r="H192" s="173" t="s">
        <v>1145</v>
      </c>
      <c r="I192" s="173" t="s">
        <v>1146</v>
      </c>
      <c r="J192" s="173" t="s">
        <v>92</v>
      </c>
      <c r="K192" s="173" t="s">
        <v>113</v>
      </c>
      <c r="L192" s="174" t="s">
        <v>71</v>
      </c>
      <c r="M192" s="175" t="s">
        <v>72</v>
      </c>
      <c r="N192" s="173" t="s">
        <v>73</v>
      </c>
      <c r="O192" s="176" t="s">
        <v>69</v>
      </c>
      <c r="P192" s="130" t="s">
        <v>113</v>
      </c>
      <c r="Q192" s="177" t="s">
        <v>74</v>
      </c>
      <c r="R192" s="178">
        <v>3.3399999000000005</v>
      </c>
      <c r="S192" s="179">
        <v>1</v>
      </c>
      <c r="T192" s="179">
        <v>275</v>
      </c>
      <c r="U192" s="179">
        <v>275</v>
      </c>
      <c r="V192" s="179">
        <v>49.5</v>
      </c>
      <c r="W192" s="179">
        <v>324.5</v>
      </c>
      <c r="X192" s="27">
        <f t="shared" si="76"/>
        <v>275</v>
      </c>
      <c r="Y192" s="29">
        <f ca="1">VLOOKUP(Z192,CHOOSE({2,1},Fac_Fecha,Fac_OT),2,0)</f>
        <v>43826</v>
      </c>
      <c r="Z192" s="26" t="s">
        <v>1988</v>
      </c>
      <c r="AA192" s="28">
        <f t="shared" ca="1" si="92"/>
        <v>649</v>
      </c>
      <c r="AB192" s="28">
        <f ca="1">SUMIF(Salida_OT,Facturacion!Z192,Salida_Suma)</f>
        <v>162.29719799999998</v>
      </c>
      <c r="AC192" s="28">
        <f t="shared" ca="1" si="77"/>
        <v>0</v>
      </c>
      <c r="AD192" s="28">
        <f t="shared" ca="1" si="78"/>
        <v>0</v>
      </c>
      <c r="AE192" s="28">
        <f ca="1">(SUMIF(Asig_OT,Z192,Asig_Hora_Mec))*'Costos x MO'!$B$6*'Costos x MO'!$B$7</f>
        <v>40.250250000000001</v>
      </c>
      <c r="AF192" s="28">
        <f ca="1">SUMIF(Asig_OT,Z192,Asig_Hora_Pla)*'Costos x MO'!$B$4*'Costos x MO'!$B$7</f>
        <v>0</v>
      </c>
      <c r="AG192" s="28">
        <f ca="1">SUMIF(Asig_OT,Z192,Asig_paño_Pin)*'Costos x MO'!$B$5*'Costos x MO'!$B$7</f>
        <v>0</v>
      </c>
      <c r="AH192" s="28">
        <f ca="1">(SUMIF(Asig_OT,Z192,Asig_Terc_Pla)*'Costos x MO'!$B$7)+(SUMIF(Asig_OT,Z192,Asig_Terc_Pin)*'Costos x MO'!$B$7)</f>
        <v>0</v>
      </c>
      <c r="AI192" s="28">
        <f t="shared" ca="1" si="79"/>
        <v>202.54744799999997</v>
      </c>
      <c r="AJ192" s="28">
        <f t="shared" ca="1" si="80"/>
        <v>446.45255200000003</v>
      </c>
      <c r="AK192" s="31">
        <f t="shared" ca="1" si="81"/>
        <v>0.68790840061633285</v>
      </c>
      <c r="AL192" s="28" t="str">
        <f t="shared" ca="1" si="82"/>
        <v>C.C</v>
      </c>
      <c r="AM192" s="28" t="str">
        <f t="shared" ca="1" si="83"/>
        <v>MECANICA</v>
      </c>
      <c r="AN192" s="30" t="str">
        <f t="shared" ca="1" si="84"/>
        <v>December</v>
      </c>
      <c r="AO192" s="42">
        <f t="shared" ca="1" si="85"/>
        <v>2019</v>
      </c>
      <c r="AP192" s="42">
        <f t="shared" ca="1" si="86"/>
        <v>1</v>
      </c>
      <c r="AQ192" s="26">
        <v>1</v>
      </c>
      <c r="AR192" s="30">
        <f t="shared" ca="1" si="87"/>
        <v>43825</v>
      </c>
      <c r="AS192" s="30" t="str">
        <f t="shared" ca="1" si="88"/>
        <v>F8V-681</v>
      </c>
      <c r="AT192" s="26" t="str">
        <f t="shared" ca="1" si="89"/>
        <v>DODGE</v>
      </c>
      <c r="AU192" s="26" t="str">
        <f t="shared" ca="1" si="90"/>
        <v>JOURNEY SXT</v>
      </c>
      <c r="AV192" s="26" t="str">
        <f t="shared" ca="1" si="91"/>
        <v>CONSULTING CENTER SAC</v>
      </c>
    </row>
    <row r="193" spans="1:48" x14ac:dyDescent="0.2">
      <c r="A193" s="172">
        <v>43768</v>
      </c>
      <c r="B193" s="173" t="s">
        <v>68</v>
      </c>
      <c r="C193" s="173" t="s">
        <v>102</v>
      </c>
      <c r="D193" s="173" t="s">
        <v>648</v>
      </c>
      <c r="E193" s="173" t="s">
        <v>779</v>
      </c>
      <c r="F193" s="173" t="s">
        <v>921</v>
      </c>
      <c r="G193" s="172">
        <v>43745</v>
      </c>
      <c r="H193" s="173" t="s">
        <v>1145</v>
      </c>
      <c r="I193" s="173" t="s">
        <v>1146</v>
      </c>
      <c r="J193" s="173" t="s">
        <v>132</v>
      </c>
      <c r="K193" s="173" t="s">
        <v>621</v>
      </c>
      <c r="L193" s="174" t="s">
        <v>71</v>
      </c>
      <c r="M193" s="175" t="s">
        <v>72</v>
      </c>
      <c r="N193" s="173" t="s">
        <v>73</v>
      </c>
      <c r="O193" s="176" t="s">
        <v>69</v>
      </c>
      <c r="P193" s="173" t="s">
        <v>105</v>
      </c>
      <c r="Q193" s="177" t="s">
        <v>74</v>
      </c>
      <c r="R193" s="178">
        <v>3.3399999000000005</v>
      </c>
      <c r="S193" s="179">
        <v>1</v>
      </c>
      <c r="T193" s="179">
        <v>225</v>
      </c>
      <c r="U193" s="179">
        <v>225</v>
      </c>
      <c r="V193" s="179">
        <v>40.5</v>
      </c>
      <c r="W193" s="179">
        <v>265.5</v>
      </c>
      <c r="X193" s="27">
        <f t="shared" si="76"/>
        <v>225</v>
      </c>
      <c r="Y193" s="29">
        <f ca="1">VLOOKUP(Z193,CHOOSE({2,1},Fac_Fecha,Fac_OT),2,0)</f>
        <v>43829</v>
      </c>
      <c r="Z193" s="26" t="s">
        <v>1976</v>
      </c>
      <c r="AA193" s="28">
        <f t="shared" ca="1" si="92"/>
        <v>432.73958058135997</v>
      </c>
      <c r="AB193" s="28">
        <f ca="1">SUMIF(Salida_OT,Facturacion!Z193,Salida_Suma)</f>
        <v>0</v>
      </c>
      <c r="AC193" s="28">
        <f t="shared" ca="1" si="77"/>
        <v>0</v>
      </c>
      <c r="AD193" s="28">
        <f t="shared" ca="1" si="78"/>
        <v>0</v>
      </c>
      <c r="AE193" s="28">
        <f ca="1">(SUMIF(Asig_OT,Z193,Asig_Hora_Mec))*'Costos x MO'!$B$6*'Costos x MO'!$B$7</f>
        <v>0</v>
      </c>
      <c r="AF193" s="28">
        <f ca="1">SUMIF(Asig_OT,Z193,Asig_Hora_Pla)*'Costos x MO'!$B$4*'Costos x MO'!$B$7</f>
        <v>105.52500000000001</v>
      </c>
      <c r="AG193" s="28">
        <f ca="1">SUMIF(Asig_OT,Z193,Asig_paño_Pin)*'Costos x MO'!$B$5*'Costos x MO'!$B$7</f>
        <v>281.40000000000003</v>
      </c>
      <c r="AH193" s="28">
        <f ca="1">(SUMIF(Asig_OT,Z193,Asig_Terc_Pla)*'Costos x MO'!$B$7)+(SUMIF(Asig_OT,Z193,Asig_Terc_Pin)*'Costos x MO'!$B$7)</f>
        <v>0</v>
      </c>
      <c r="AI193" s="28">
        <f t="shared" ca="1" si="79"/>
        <v>386.92500000000007</v>
      </c>
      <c r="AJ193" s="28">
        <f t="shared" ca="1" si="80"/>
        <v>45.814580581359905</v>
      </c>
      <c r="AK193" s="31">
        <f t="shared" ca="1" si="81"/>
        <v>0.1058710195166588</v>
      </c>
      <c r="AL193" s="28" t="str">
        <f t="shared" ca="1" si="82"/>
        <v>RIMAC</v>
      </c>
      <c r="AM193" s="28" t="str">
        <f t="shared" ca="1" si="83"/>
        <v>LEVE</v>
      </c>
      <c r="AN193" s="30" t="str">
        <f t="shared" ca="1" si="84"/>
        <v>December</v>
      </c>
      <c r="AO193" s="42">
        <f t="shared" ca="1" si="85"/>
        <v>2019</v>
      </c>
      <c r="AP193" s="42">
        <f t="shared" ca="1" si="86"/>
        <v>11</v>
      </c>
      <c r="AQ193" s="26">
        <v>1</v>
      </c>
      <c r="AR193" s="30">
        <f t="shared" ca="1" si="87"/>
        <v>43818</v>
      </c>
      <c r="AS193" s="30" t="str">
        <f t="shared" ca="1" si="88"/>
        <v>F2Y-614</v>
      </c>
      <c r="AT193" s="26" t="str">
        <f t="shared" ca="1" si="89"/>
        <v>MAZDA</v>
      </c>
      <c r="AU193" s="26" t="str">
        <f t="shared" ca="1" si="90"/>
        <v>MAZDA3</v>
      </c>
      <c r="AV193" s="26" t="str">
        <f t="shared" ca="1" si="91"/>
        <v>NGV SUMINISTROS S.A.C.</v>
      </c>
    </row>
    <row r="194" spans="1:48" x14ac:dyDescent="0.2">
      <c r="A194" s="172">
        <v>43768</v>
      </c>
      <c r="B194" s="173" t="s">
        <v>68</v>
      </c>
      <c r="C194" s="173" t="s">
        <v>102</v>
      </c>
      <c r="D194" s="173" t="s">
        <v>648</v>
      </c>
      <c r="E194" s="173" t="s">
        <v>779</v>
      </c>
      <c r="F194" s="173" t="s">
        <v>921</v>
      </c>
      <c r="G194" s="172">
        <v>43745</v>
      </c>
      <c r="H194" s="173" t="s">
        <v>1145</v>
      </c>
      <c r="I194" s="173" t="s">
        <v>1146</v>
      </c>
      <c r="J194" s="173" t="s">
        <v>70</v>
      </c>
      <c r="K194" s="173" t="s">
        <v>112</v>
      </c>
      <c r="L194" s="174" t="s">
        <v>71</v>
      </c>
      <c r="M194" s="175" t="s">
        <v>72</v>
      </c>
      <c r="N194" s="173" t="s">
        <v>73</v>
      </c>
      <c r="O194" s="176" t="s">
        <v>69</v>
      </c>
      <c r="P194" s="130" t="s">
        <v>447</v>
      </c>
      <c r="Q194" s="177" t="s">
        <v>74</v>
      </c>
      <c r="R194" s="178">
        <v>3.3399999000000005</v>
      </c>
      <c r="S194" s="179">
        <v>1</v>
      </c>
      <c r="T194" s="179">
        <v>370</v>
      </c>
      <c r="U194" s="179">
        <v>370</v>
      </c>
      <c r="V194" s="179">
        <v>66.600009999999898</v>
      </c>
      <c r="W194" s="179">
        <v>436.60000999999988</v>
      </c>
      <c r="X194" s="27">
        <f t="shared" si="76"/>
        <v>370</v>
      </c>
      <c r="Y194" s="29">
        <f ca="1">VLOOKUP(Z194,CHOOSE({2,1},Fac_Fecha,Fac_OT),2,0)</f>
        <v>43829</v>
      </c>
      <c r="Z194" s="26" t="s">
        <v>1978</v>
      </c>
      <c r="AA194" s="28">
        <f t="shared" ca="1" si="92"/>
        <v>885.84597335000001</v>
      </c>
      <c r="AB194" s="28">
        <f ca="1">SUMIF(Salida_OT,Facturacion!Z194,Salida_Suma)</f>
        <v>0</v>
      </c>
      <c r="AC194" s="28">
        <f t="shared" ca="1" si="77"/>
        <v>0</v>
      </c>
      <c r="AD194" s="28">
        <f t="shared" ca="1" si="78"/>
        <v>0</v>
      </c>
      <c r="AE194" s="28">
        <f ca="1">(SUMIF(Asig_OT,Z194,Asig_Hora_Mec))*'Costos x MO'!$B$6*'Costos x MO'!$B$7</f>
        <v>0</v>
      </c>
      <c r="AF194" s="28">
        <f ca="1">SUMIF(Asig_OT,Z194,Asig_Hora_Pla)*'Costos x MO'!$B$4*'Costos x MO'!$B$7</f>
        <v>45.225000000000001</v>
      </c>
      <c r="AG194" s="28">
        <f ca="1">SUMIF(Asig_OT,Z194,Asig_paño_Pin)*'Costos x MO'!$B$5*'Costos x MO'!$B$7</f>
        <v>228.63750000000002</v>
      </c>
      <c r="AH194" s="28">
        <f ca="1">(SUMIF(Asig_OT,Z194,Asig_Terc_Pla)*'Costos x MO'!$B$7)+(SUMIF(Asig_OT,Z194,Asig_Terc_Pin)*'Costos x MO'!$B$7)</f>
        <v>0</v>
      </c>
      <c r="AI194" s="28">
        <f t="shared" ca="1" si="79"/>
        <v>273.86250000000001</v>
      </c>
      <c r="AJ194" s="28">
        <f t="shared" ca="1" si="80"/>
        <v>611.98347334999994</v>
      </c>
      <c r="AK194" s="31">
        <f t="shared" ca="1" si="81"/>
        <v>0.69084636806065125</v>
      </c>
      <c r="AL194" s="28" t="str">
        <f t="shared" ca="1" si="82"/>
        <v>C.C</v>
      </c>
      <c r="AM194" s="28" t="str">
        <f t="shared" ca="1" si="83"/>
        <v>LEVE</v>
      </c>
      <c r="AN194" s="30" t="str">
        <f t="shared" ca="1" si="84"/>
        <v>December</v>
      </c>
      <c r="AO194" s="42">
        <f t="shared" ca="1" si="85"/>
        <v>2019</v>
      </c>
      <c r="AP194" s="42">
        <f t="shared" ca="1" si="86"/>
        <v>7</v>
      </c>
      <c r="AQ194" s="26">
        <v>1</v>
      </c>
      <c r="AR194" s="30">
        <f t="shared" ca="1" si="87"/>
        <v>43822</v>
      </c>
      <c r="AS194" s="30" t="str">
        <f t="shared" ca="1" si="88"/>
        <v>F2Y-614</v>
      </c>
      <c r="AT194" s="26" t="str">
        <f t="shared" ca="1" si="89"/>
        <v>MAZDA</v>
      </c>
      <c r="AU194" s="26" t="str">
        <f t="shared" ca="1" si="90"/>
        <v>MAZDA3</v>
      </c>
      <c r="AV194" s="26" t="str">
        <f t="shared" ca="1" si="91"/>
        <v>NGV SUMINISTROS S.A.C.</v>
      </c>
    </row>
    <row r="195" spans="1:48" x14ac:dyDescent="0.2">
      <c r="A195" s="172">
        <v>43768</v>
      </c>
      <c r="B195" s="173" t="s">
        <v>68</v>
      </c>
      <c r="C195" s="173" t="s">
        <v>102</v>
      </c>
      <c r="D195" s="173" t="s">
        <v>648</v>
      </c>
      <c r="E195" s="173" t="s">
        <v>779</v>
      </c>
      <c r="F195" s="173" t="s">
        <v>921</v>
      </c>
      <c r="G195" s="172">
        <v>43745</v>
      </c>
      <c r="H195" s="173" t="s">
        <v>1145</v>
      </c>
      <c r="I195" s="173" t="s">
        <v>1146</v>
      </c>
      <c r="J195" s="173" t="s">
        <v>104</v>
      </c>
      <c r="K195" s="173" t="s">
        <v>105</v>
      </c>
      <c r="L195" s="174" t="s">
        <v>71</v>
      </c>
      <c r="M195" s="175" t="s">
        <v>72</v>
      </c>
      <c r="N195" s="173" t="s">
        <v>73</v>
      </c>
      <c r="O195" s="176" t="s">
        <v>69</v>
      </c>
      <c r="P195" s="173" t="s">
        <v>105</v>
      </c>
      <c r="Q195" s="177" t="s">
        <v>74</v>
      </c>
      <c r="R195" s="178">
        <v>3.3399999000000005</v>
      </c>
      <c r="S195" s="179">
        <v>1</v>
      </c>
      <c r="T195" s="179">
        <v>2419</v>
      </c>
      <c r="U195" s="179">
        <v>2419</v>
      </c>
      <c r="V195" s="179">
        <v>435.41989999999993</v>
      </c>
      <c r="W195" s="179">
        <v>2854.4198999999999</v>
      </c>
      <c r="X195" s="27">
        <f t="shared" si="76"/>
        <v>2419</v>
      </c>
      <c r="Y195" s="29">
        <f ca="1">VLOOKUP(Z195,CHOOSE({2,1},Fac_Fecha,Fac_OT),2,0)</f>
        <v>43802</v>
      </c>
      <c r="Z195" s="26" t="s">
        <v>1416</v>
      </c>
      <c r="AA195" s="28">
        <f t="shared" ca="1" si="92"/>
        <v>775.53793768983007</v>
      </c>
      <c r="AB195" s="28">
        <f ca="1">SUMIF(Salida_OT,Facturacion!Z195,Salida_Suma)</f>
        <v>90</v>
      </c>
      <c r="AC195" s="28">
        <f t="shared" ca="1" si="77"/>
        <v>0</v>
      </c>
      <c r="AD195" s="28">
        <f t="shared" ca="1" si="78"/>
        <v>0</v>
      </c>
      <c r="AE195" s="28">
        <f ca="1">(SUMIF(Asig_OT,Z195,Asig_Hora_Mec))*'Costos x MO'!$B$6*'Costos x MO'!$B$7</f>
        <v>0</v>
      </c>
      <c r="AF195" s="28">
        <f ca="1">SUMIF(Asig_OT,Z195,Asig_Hora_Pla)*'Costos x MO'!$B$4*'Costos x MO'!$B$7</f>
        <v>30.150000000000002</v>
      </c>
      <c r="AG195" s="28">
        <f ca="1">SUMIF(Asig_OT,Z195,Asig_paño_Pin)*'Costos x MO'!$B$5*'Costos x MO'!$B$7</f>
        <v>140.70000000000002</v>
      </c>
      <c r="AH195" s="28">
        <f ca="1">(SUMIF(Asig_OT,Z195,Asig_Terc_Pla)*'Costos x MO'!$B$7)+(SUMIF(Asig_OT,Z195,Asig_Terc_Pin)*'Costos x MO'!$B$7)</f>
        <v>0</v>
      </c>
      <c r="AI195" s="28">
        <f t="shared" ca="1" si="79"/>
        <v>260.85000000000002</v>
      </c>
      <c r="AJ195" s="28">
        <f t="shared" ca="1" si="80"/>
        <v>514.68793768983005</v>
      </c>
      <c r="AK195" s="31">
        <f t="shared" ca="1" si="81"/>
        <v>0.66365281784019592</v>
      </c>
      <c r="AL195" s="28" t="str">
        <f t="shared" ca="1" si="82"/>
        <v>C.C</v>
      </c>
      <c r="AM195" s="28" t="str">
        <f t="shared" ca="1" si="83"/>
        <v>LEVE</v>
      </c>
      <c r="AN195" s="30" t="str">
        <f t="shared" ca="1" si="84"/>
        <v>December</v>
      </c>
      <c r="AO195" s="42">
        <f t="shared" ca="1" si="85"/>
        <v>2019</v>
      </c>
      <c r="AP195" s="42">
        <f t="shared" ca="1" si="86"/>
        <v>5</v>
      </c>
      <c r="AQ195" s="26">
        <v>1</v>
      </c>
      <c r="AR195" s="30">
        <f t="shared" ca="1" si="87"/>
        <v>43797</v>
      </c>
      <c r="AS195" s="30" t="str">
        <f t="shared" ca="1" si="88"/>
        <v>BDG-262</v>
      </c>
      <c r="AT195" s="26" t="str">
        <f t="shared" ca="1" si="89"/>
        <v>KIA</v>
      </c>
      <c r="AU195" s="26" t="str">
        <f t="shared" ca="1" si="90"/>
        <v>RIO</v>
      </c>
      <c r="AV195" s="26" t="str">
        <f t="shared" ca="1" si="91"/>
        <v>MILLA HUAYAKAWA ELEONORA</v>
      </c>
    </row>
    <row r="196" spans="1:48" x14ac:dyDescent="0.2">
      <c r="A196" s="172">
        <v>43768</v>
      </c>
      <c r="B196" s="173" t="s">
        <v>68</v>
      </c>
      <c r="C196" s="173" t="s">
        <v>102</v>
      </c>
      <c r="D196" s="173" t="s">
        <v>646</v>
      </c>
      <c r="E196" s="173" t="s">
        <v>823</v>
      </c>
      <c r="F196" s="173" t="s">
        <v>967</v>
      </c>
      <c r="G196" s="172">
        <v>43757</v>
      </c>
      <c r="H196" s="173" t="s">
        <v>387</v>
      </c>
      <c r="I196" s="173" t="s">
        <v>386</v>
      </c>
      <c r="J196" s="173" t="s">
        <v>97</v>
      </c>
      <c r="K196" s="173" t="s">
        <v>98</v>
      </c>
      <c r="L196" s="174" t="s">
        <v>71</v>
      </c>
      <c r="M196" s="175" t="s">
        <v>72</v>
      </c>
      <c r="N196" s="173" t="s">
        <v>73</v>
      </c>
      <c r="O196" s="176" t="s">
        <v>99</v>
      </c>
      <c r="P196" s="173" t="s">
        <v>98</v>
      </c>
      <c r="Q196" s="177" t="s">
        <v>74</v>
      </c>
      <c r="R196" s="178">
        <v>3.3399999000000005</v>
      </c>
      <c r="S196" s="179">
        <v>1</v>
      </c>
      <c r="T196" s="179">
        <v>1350</v>
      </c>
      <c r="U196" s="179">
        <v>1350</v>
      </c>
      <c r="V196" s="179">
        <v>243</v>
      </c>
      <c r="W196" s="179">
        <v>1593</v>
      </c>
      <c r="X196" s="27">
        <f t="shared" si="76"/>
        <v>1350</v>
      </c>
      <c r="Y196" s="29">
        <f ca="1">VLOOKUP(Z196,CHOOSE({2,1},Fac_Fecha,Fac_OT),2,0)</f>
        <v>43802</v>
      </c>
      <c r="Z196" s="26" t="s">
        <v>1663</v>
      </c>
      <c r="AA196" s="28">
        <f t="shared" ca="1" si="92"/>
        <v>650</v>
      </c>
      <c r="AB196" s="28">
        <f ca="1">SUMIF(Salida_OT,Facturacion!Z196,Salida_Suma)</f>
        <v>121.64754874999998</v>
      </c>
      <c r="AC196" s="28">
        <f t="shared" ca="1" si="77"/>
        <v>19.489999999999998</v>
      </c>
      <c r="AD196" s="28">
        <f t="shared" ca="1" si="78"/>
        <v>0</v>
      </c>
      <c r="AE196" s="28">
        <f ca="1">(SUMIF(Asig_OT,Z196,Asig_Hora_Mec))*'Costos x MO'!$B$6*'Costos x MO'!$B$7</f>
        <v>40.250250000000001</v>
      </c>
      <c r="AF196" s="28">
        <f ca="1">SUMIF(Asig_OT,Z196,Asig_Hora_Pla)*'Costos x MO'!$B$4*'Costos x MO'!$B$7</f>
        <v>0</v>
      </c>
      <c r="AG196" s="28">
        <f ca="1">SUMIF(Asig_OT,Z196,Asig_paño_Pin)*'Costos x MO'!$B$5*'Costos x MO'!$B$7</f>
        <v>0</v>
      </c>
      <c r="AH196" s="28">
        <f ca="1">(SUMIF(Asig_OT,Z196,Asig_Terc_Pla)*'Costos x MO'!$B$7)+(SUMIF(Asig_OT,Z196,Asig_Terc_Pin)*'Costos x MO'!$B$7)</f>
        <v>0</v>
      </c>
      <c r="AI196" s="28">
        <f t="shared" ca="1" si="79"/>
        <v>181.38779874999997</v>
      </c>
      <c r="AJ196" s="28">
        <f t="shared" ca="1" si="80"/>
        <v>468.61220125</v>
      </c>
      <c r="AK196" s="31">
        <f t="shared" ca="1" si="81"/>
        <v>0.72094184807692308</v>
      </c>
      <c r="AL196" s="28" t="str">
        <f t="shared" ca="1" si="82"/>
        <v>C.C</v>
      </c>
      <c r="AM196" s="28" t="str">
        <f t="shared" ca="1" si="83"/>
        <v>MECANICA</v>
      </c>
      <c r="AN196" s="30" t="str">
        <f t="shared" ca="1" si="84"/>
        <v>December</v>
      </c>
      <c r="AO196" s="42">
        <f t="shared" ca="1" si="85"/>
        <v>2019</v>
      </c>
      <c r="AP196" s="42">
        <f t="shared" ca="1" si="86"/>
        <v>1</v>
      </c>
      <c r="AQ196" s="26">
        <v>1</v>
      </c>
      <c r="AR196" s="30">
        <f t="shared" ca="1" si="87"/>
        <v>43801</v>
      </c>
      <c r="AS196" s="30" t="str">
        <f t="shared" ca="1" si="88"/>
        <v>D3X-162</v>
      </c>
      <c r="AT196" s="26" t="str">
        <f t="shared" ca="1" si="89"/>
        <v>HONDA</v>
      </c>
      <c r="AU196" s="26" t="str">
        <f t="shared" ca="1" si="90"/>
        <v>CRV</v>
      </c>
      <c r="AV196" s="26" t="str">
        <f t="shared" ca="1" si="91"/>
        <v>TEJADA LIZA DE DEL MOS CLAUDIA</v>
      </c>
    </row>
    <row r="197" spans="1:48" x14ac:dyDescent="0.2">
      <c r="A197" s="172">
        <v>43768</v>
      </c>
      <c r="B197" s="173" t="s">
        <v>68</v>
      </c>
      <c r="C197" s="173" t="s">
        <v>102</v>
      </c>
      <c r="D197" s="173" t="s">
        <v>646</v>
      </c>
      <c r="E197" s="173" t="s">
        <v>823</v>
      </c>
      <c r="F197" s="173" t="s">
        <v>967</v>
      </c>
      <c r="G197" s="172">
        <v>43757</v>
      </c>
      <c r="H197" s="173" t="s">
        <v>387</v>
      </c>
      <c r="I197" s="173" t="s">
        <v>386</v>
      </c>
      <c r="J197" s="173" t="s">
        <v>100</v>
      </c>
      <c r="K197" s="173" t="s">
        <v>101</v>
      </c>
      <c r="L197" s="174" t="s">
        <v>71</v>
      </c>
      <c r="M197" s="175" t="s">
        <v>72</v>
      </c>
      <c r="N197" s="173" t="s">
        <v>73</v>
      </c>
      <c r="O197" s="176" t="s">
        <v>72</v>
      </c>
      <c r="P197" s="130" t="s">
        <v>101</v>
      </c>
      <c r="Q197" s="177" t="s">
        <v>74</v>
      </c>
      <c r="R197" s="178">
        <v>3.3399999000000005</v>
      </c>
      <c r="S197" s="179">
        <v>1</v>
      </c>
      <c r="T197" s="179">
        <v>630</v>
      </c>
      <c r="U197" s="179">
        <v>630</v>
      </c>
      <c r="V197" s="179">
        <v>113.40002000000023</v>
      </c>
      <c r="W197" s="179">
        <v>743.40002000000027</v>
      </c>
      <c r="X197" s="27">
        <f t="shared" ref="X197:X260" si="93">IF(Q197="$",(U197*R197),U197)</f>
        <v>630</v>
      </c>
      <c r="Y197" s="29">
        <f ca="1">VLOOKUP(Z197,CHOOSE({2,1},Fac_Fecha,Fac_OT),2,0)</f>
        <v>43804</v>
      </c>
      <c r="Z197" s="26" t="s">
        <v>1903</v>
      </c>
      <c r="AA197" s="28">
        <f t="shared" ca="1" si="92"/>
        <v>101.57999699999999</v>
      </c>
      <c r="AB197" s="28">
        <f ca="1">SUMIF(Salida_OT,Facturacion!Z197,Salida_Suma)</f>
        <v>0</v>
      </c>
      <c r="AC197" s="28">
        <f t="shared" ca="1" si="77"/>
        <v>0</v>
      </c>
      <c r="AD197" s="28">
        <f t="shared" ca="1" si="78"/>
        <v>0</v>
      </c>
      <c r="AE197" s="28">
        <f ca="1">(SUMIF(Asig_OT,Z197,Asig_Hora_Mec))*'Costos x MO'!$B$6*'Costos x MO'!$B$7</f>
        <v>0</v>
      </c>
      <c r="AF197" s="28">
        <f ca="1">SUMIF(Asig_OT,Z197,Asig_Hora_Pla)*'Costos x MO'!$B$4*'Costos x MO'!$B$7</f>
        <v>0</v>
      </c>
      <c r="AG197" s="28">
        <f ca="1">SUMIF(Asig_OT,Z197,Asig_paño_Pin)*'Costos x MO'!$B$5*'Costos x MO'!$B$7</f>
        <v>35.175000000000004</v>
      </c>
      <c r="AH197" s="28">
        <f ca="1">(SUMIF(Asig_OT,Z197,Asig_Terc_Pla)*'Costos x MO'!$B$7)+(SUMIF(Asig_OT,Z197,Asig_Terc_Pin)*'Costos x MO'!$B$7)</f>
        <v>0</v>
      </c>
      <c r="AI197" s="28">
        <f t="shared" ca="1" si="79"/>
        <v>35.175000000000004</v>
      </c>
      <c r="AJ197" s="28">
        <f t="shared" ca="1" si="80"/>
        <v>66.40499699999998</v>
      </c>
      <c r="AK197" s="31">
        <f t="shared" ca="1" si="81"/>
        <v>0.65372119473482548</v>
      </c>
      <c r="AL197" s="28" t="str">
        <f t="shared" ca="1" si="82"/>
        <v>C.C</v>
      </c>
      <c r="AM197" s="28" t="str">
        <f t="shared" ca="1" si="83"/>
        <v>LEVE</v>
      </c>
      <c r="AN197" s="30" t="str">
        <f t="shared" ca="1" si="84"/>
        <v>December</v>
      </c>
      <c r="AO197" s="42">
        <f t="shared" ca="1" si="85"/>
        <v>2019</v>
      </c>
      <c r="AP197" s="42">
        <f t="shared" ca="1" si="86"/>
        <v>3</v>
      </c>
      <c r="AQ197" s="26">
        <v>1</v>
      </c>
      <c r="AR197" s="30">
        <f t="shared" ca="1" si="87"/>
        <v>43801</v>
      </c>
      <c r="AS197" s="30" t="str">
        <f t="shared" ca="1" si="88"/>
        <v>BDW-631</v>
      </c>
      <c r="AT197" s="26" t="str">
        <f t="shared" ca="1" si="89"/>
        <v>MAZDA</v>
      </c>
      <c r="AU197" s="26" t="str">
        <f t="shared" ca="1" si="90"/>
        <v>MAZDA3</v>
      </c>
      <c r="AV197" s="26" t="str">
        <f t="shared" ca="1" si="91"/>
        <v>DIAZ PAURO RAUL</v>
      </c>
    </row>
    <row r="198" spans="1:48" x14ac:dyDescent="0.2">
      <c r="A198" s="172">
        <v>43768</v>
      </c>
      <c r="B198" s="173" t="s">
        <v>68</v>
      </c>
      <c r="C198" s="173" t="s">
        <v>102</v>
      </c>
      <c r="D198" s="173" t="s">
        <v>646</v>
      </c>
      <c r="E198" s="173" t="s">
        <v>823</v>
      </c>
      <c r="F198" s="173" t="s">
        <v>967</v>
      </c>
      <c r="G198" s="172">
        <v>43757</v>
      </c>
      <c r="H198" s="173" t="s">
        <v>387</v>
      </c>
      <c r="I198" s="173" t="s">
        <v>386</v>
      </c>
      <c r="J198" s="173" t="s">
        <v>92</v>
      </c>
      <c r="K198" s="173" t="s">
        <v>113</v>
      </c>
      <c r="L198" s="174" t="s">
        <v>71</v>
      </c>
      <c r="M198" s="175" t="s">
        <v>72</v>
      </c>
      <c r="N198" s="173" t="s">
        <v>73</v>
      </c>
      <c r="O198" s="176" t="s">
        <v>69</v>
      </c>
      <c r="P198" s="130" t="s">
        <v>113</v>
      </c>
      <c r="Q198" s="177" t="s">
        <v>74</v>
      </c>
      <c r="R198" s="178">
        <v>3.3399999000000005</v>
      </c>
      <c r="S198" s="179">
        <v>1</v>
      </c>
      <c r="T198" s="179">
        <v>400</v>
      </c>
      <c r="U198" s="179">
        <v>400</v>
      </c>
      <c r="V198" s="179">
        <v>72</v>
      </c>
      <c r="W198" s="179">
        <v>472</v>
      </c>
      <c r="X198" s="27">
        <f t="shared" si="93"/>
        <v>400</v>
      </c>
      <c r="Y198" s="29">
        <f ca="1">VLOOKUP(Z198,CHOOSE({2,1},Fac_Fecha,Fac_OT),2,0)</f>
        <v>43812</v>
      </c>
      <c r="Z198" s="26" t="s">
        <v>2358</v>
      </c>
      <c r="AA198" s="28">
        <f t="shared" ca="1" si="92"/>
        <v>623</v>
      </c>
      <c r="AB198" s="28">
        <f ca="1">SUMIF(Salida_OT,Facturacion!Z198,Salida_Suma)</f>
        <v>259.32500099999999</v>
      </c>
      <c r="AC198" s="28">
        <f t="shared" ca="1" si="77"/>
        <v>0</v>
      </c>
      <c r="AD198" s="28">
        <f t="shared" ca="1" si="78"/>
        <v>0</v>
      </c>
      <c r="AE198" s="28">
        <f ca="1">(SUMIF(Asig_OT,Z198,Asig_Hora_Mec))*'Costos x MO'!$B$6*'Costos x MO'!$B$7</f>
        <v>0</v>
      </c>
      <c r="AF198" s="28">
        <f ca="1">SUMIF(Asig_OT,Z198,Asig_Hora_Pla)*'Costos x MO'!$B$4*'Costos x MO'!$B$7</f>
        <v>0</v>
      </c>
      <c r="AG198" s="28">
        <f ca="1">SUMIF(Asig_OT,Z198,Asig_paño_Pin)*'Costos x MO'!$B$5*'Costos x MO'!$B$7</f>
        <v>0</v>
      </c>
      <c r="AH198" s="28">
        <f ca="1">(SUMIF(Asig_OT,Z198,Asig_Terc_Pla)*'Costos x MO'!$B$7)+(SUMIF(Asig_OT,Z198,Asig_Terc_Pin)*'Costos x MO'!$B$7)</f>
        <v>0</v>
      </c>
      <c r="AI198" s="28">
        <f t="shared" ca="1" si="79"/>
        <v>259.32500099999999</v>
      </c>
      <c r="AJ198" s="28">
        <f t="shared" ca="1" si="80"/>
        <v>363.67499900000001</v>
      </c>
      <c r="AK198" s="31">
        <f t="shared" ca="1" si="81"/>
        <v>0.58374799197431781</v>
      </c>
      <c r="AL198" s="28" t="s">
        <v>121</v>
      </c>
      <c r="AM198" s="28" t="s">
        <v>447</v>
      </c>
      <c r="AN198" s="30" t="str">
        <f t="shared" ca="1" si="84"/>
        <v>December</v>
      </c>
      <c r="AO198" s="42">
        <f t="shared" ca="1" si="85"/>
        <v>2019</v>
      </c>
      <c r="AP198" s="42">
        <f t="shared" ca="1" si="86"/>
        <v>6</v>
      </c>
      <c r="AQ198" s="26">
        <v>1</v>
      </c>
      <c r="AR198" s="30">
        <f t="shared" ca="1" si="87"/>
        <v>43806</v>
      </c>
      <c r="AS198" s="30" t="str">
        <f ca="1">IFERROR(VLOOKUP(Z198,Matriz2,2,0),"S/PLACA")</f>
        <v>APE333</v>
      </c>
      <c r="AT198" s="26" t="s">
        <v>3277</v>
      </c>
      <c r="AU198" s="26" t="s">
        <v>181</v>
      </c>
      <c r="AV198" s="26" t="str">
        <f t="shared" ca="1" si="91"/>
        <v>ALIAGA MORALES GUSTAVO</v>
      </c>
    </row>
    <row r="199" spans="1:48" x14ac:dyDescent="0.2">
      <c r="A199" s="172">
        <v>43768</v>
      </c>
      <c r="B199" s="173" t="s">
        <v>68</v>
      </c>
      <c r="C199" s="173" t="s">
        <v>102</v>
      </c>
      <c r="D199" s="173" t="s">
        <v>646</v>
      </c>
      <c r="E199" s="173" t="s">
        <v>823</v>
      </c>
      <c r="F199" s="173" t="s">
        <v>967</v>
      </c>
      <c r="G199" s="172">
        <v>43757</v>
      </c>
      <c r="H199" s="173" t="s">
        <v>387</v>
      </c>
      <c r="I199" s="173" t="s">
        <v>386</v>
      </c>
      <c r="J199" s="173" t="s">
        <v>70</v>
      </c>
      <c r="K199" s="173" t="s">
        <v>112</v>
      </c>
      <c r="L199" s="174" t="s">
        <v>71</v>
      </c>
      <c r="M199" s="175" t="s">
        <v>72</v>
      </c>
      <c r="N199" s="173" t="s">
        <v>73</v>
      </c>
      <c r="O199" s="176" t="s">
        <v>69</v>
      </c>
      <c r="P199" s="130" t="s">
        <v>447</v>
      </c>
      <c r="Q199" s="177" t="s">
        <v>74</v>
      </c>
      <c r="R199" s="178">
        <v>3.3399999000000005</v>
      </c>
      <c r="S199" s="179">
        <v>1</v>
      </c>
      <c r="T199" s="179">
        <v>288.75421</v>
      </c>
      <c r="U199" s="179">
        <v>288.75420999999994</v>
      </c>
      <c r="V199" s="179">
        <v>51.975799999999907</v>
      </c>
      <c r="W199" s="179">
        <v>340.73000999999988</v>
      </c>
      <c r="X199" s="27">
        <f t="shared" si="93"/>
        <v>288.75420999999994</v>
      </c>
      <c r="Y199" s="29">
        <f ca="1">VLOOKUP(Z199,CHOOSE({2,1},Fac_Fecha,Fac_OT),2,0)</f>
        <v>43819</v>
      </c>
      <c r="Z199" s="26" t="s">
        <v>1954</v>
      </c>
      <c r="AA199" s="28">
        <f t="shared" ca="1" si="92"/>
        <v>200.28000599999999</v>
      </c>
      <c r="AB199" s="28">
        <f ca="1">SUMIF(Salida_OT,Facturacion!Z199,Salida_Suma)</f>
        <v>0</v>
      </c>
      <c r="AC199" s="28">
        <f t="shared" ca="1" si="77"/>
        <v>0</v>
      </c>
      <c r="AD199" s="28">
        <f t="shared" ca="1" si="78"/>
        <v>0</v>
      </c>
      <c r="AE199" s="28">
        <f ca="1">(SUMIF(Asig_OT,Z199,Asig_Hora_Mec))*'Costos x MO'!$B$6*'Costos x MO'!$B$7</f>
        <v>0</v>
      </c>
      <c r="AF199" s="28">
        <f ca="1">SUMIF(Asig_OT,Z199,Asig_Hora_Pla)*'Costos x MO'!$B$4*'Costos x MO'!$B$7</f>
        <v>0</v>
      </c>
      <c r="AG199" s="28">
        <f ca="1">SUMIF(Asig_OT,Z199,Asig_paño_Pin)*'Costos x MO'!$B$5*'Costos x MO'!$B$7</f>
        <v>35.175000000000004</v>
      </c>
      <c r="AH199" s="28">
        <f ca="1">(SUMIF(Asig_OT,Z199,Asig_Terc_Pla)*'Costos x MO'!$B$7)+(SUMIF(Asig_OT,Z199,Asig_Terc_Pin)*'Costos x MO'!$B$7)</f>
        <v>0</v>
      </c>
      <c r="AI199" s="28">
        <f t="shared" ca="1" si="79"/>
        <v>35.175000000000004</v>
      </c>
      <c r="AJ199" s="28">
        <f t="shared" ca="1" si="80"/>
        <v>165.10500599999997</v>
      </c>
      <c r="AK199" s="31">
        <f t="shared" ca="1" si="81"/>
        <v>0.82437088602843356</v>
      </c>
      <c r="AL199" s="28" t="str">
        <f t="shared" ca="1" si="82"/>
        <v>C.C</v>
      </c>
      <c r="AM199" s="28" t="str">
        <f t="shared" ca="1" si="83"/>
        <v>LEVE</v>
      </c>
      <c r="AN199" s="30" t="str">
        <f t="shared" ca="1" si="84"/>
        <v>December</v>
      </c>
      <c r="AO199" s="42">
        <f t="shared" ca="1" si="85"/>
        <v>2019</v>
      </c>
      <c r="AP199" s="42">
        <f t="shared" ca="1" si="86"/>
        <v>4</v>
      </c>
      <c r="AQ199" s="26">
        <v>1</v>
      </c>
      <c r="AR199" s="30">
        <f t="shared" ca="1" si="87"/>
        <v>43815</v>
      </c>
      <c r="AS199" s="30" t="str">
        <f t="shared" ca="1" si="88"/>
        <v>AKI-444</v>
      </c>
      <c r="AT199" s="26" t="str">
        <f t="shared" ca="1" si="89"/>
        <v>MAZDA</v>
      </c>
      <c r="AU199" s="26" t="str">
        <f t="shared" ca="1" si="90"/>
        <v>MAZDA3</v>
      </c>
      <c r="AV199" s="26" t="str">
        <f t="shared" ca="1" si="91"/>
        <v>RUIZ FLORES OMAR</v>
      </c>
    </row>
    <row r="200" spans="1:48" x14ac:dyDescent="0.2">
      <c r="A200" s="172">
        <v>43768</v>
      </c>
      <c r="B200" s="173" t="s">
        <v>68</v>
      </c>
      <c r="C200" s="173" t="s">
        <v>102</v>
      </c>
      <c r="D200" s="173" t="s">
        <v>646</v>
      </c>
      <c r="E200" s="173" t="s">
        <v>823</v>
      </c>
      <c r="F200" s="173" t="s">
        <v>967</v>
      </c>
      <c r="G200" s="172">
        <v>43757</v>
      </c>
      <c r="H200" s="173" t="s">
        <v>387</v>
      </c>
      <c r="I200" s="173" t="s">
        <v>386</v>
      </c>
      <c r="J200" s="173" t="s">
        <v>104</v>
      </c>
      <c r="K200" s="173" t="s">
        <v>105</v>
      </c>
      <c r="L200" s="174" t="s">
        <v>71</v>
      </c>
      <c r="M200" s="175" t="s">
        <v>72</v>
      </c>
      <c r="N200" s="173" t="s">
        <v>73</v>
      </c>
      <c r="O200" s="176" t="s">
        <v>69</v>
      </c>
      <c r="P200" s="173" t="s">
        <v>105</v>
      </c>
      <c r="Q200" s="177" t="s">
        <v>74</v>
      </c>
      <c r="R200" s="178">
        <v>3.3399999000000005</v>
      </c>
      <c r="S200" s="179">
        <v>1</v>
      </c>
      <c r="T200" s="179">
        <v>1150</v>
      </c>
      <c r="U200" s="179">
        <v>1150</v>
      </c>
      <c r="V200" s="179">
        <v>207</v>
      </c>
      <c r="W200" s="179">
        <v>1357</v>
      </c>
      <c r="X200" s="27">
        <f t="shared" si="93"/>
        <v>1150</v>
      </c>
      <c r="Y200" s="29">
        <f ca="1">VLOOKUP(Z200,CHOOSE({2,1},Fac_Fecha,Fac_OT),2,0)</f>
        <v>43819</v>
      </c>
      <c r="Z200" s="26" t="s">
        <v>1950</v>
      </c>
      <c r="AA200" s="28">
        <f t="shared" ca="1" si="92"/>
        <v>349</v>
      </c>
      <c r="AB200" s="28">
        <f ca="1">SUMIF(Salida_OT,Facturacion!Z200,Salida_Suma)</f>
        <v>76.520498599999996</v>
      </c>
      <c r="AC200" s="28">
        <f t="shared" ca="1" si="77"/>
        <v>15.25</v>
      </c>
      <c r="AD200" s="28">
        <f t="shared" ca="1" si="78"/>
        <v>0</v>
      </c>
      <c r="AE200" s="28">
        <f ca="1">(SUMIF(Asig_OT,Z200,Asig_Hora_Mec))*'Costos x MO'!$B$6*'Costos x MO'!$B$7</f>
        <v>40.250250000000001</v>
      </c>
      <c r="AF200" s="28">
        <f ca="1">SUMIF(Asig_OT,Z200,Asig_Hora_Pla)*'Costos x MO'!$B$4*'Costos x MO'!$B$7</f>
        <v>0</v>
      </c>
      <c r="AG200" s="28">
        <f ca="1">SUMIF(Asig_OT,Z200,Asig_paño_Pin)*'Costos x MO'!$B$5*'Costos x MO'!$B$7</f>
        <v>0</v>
      </c>
      <c r="AH200" s="28">
        <f ca="1">(SUMIF(Asig_OT,Z200,Asig_Terc_Pla)*'Costos x MO'!$B$7)+(SUMIF(Asig_OT,Z200,Asig_Terc_Pin)*'Costos x MO'!$B$7)</f>
        <v>0</v>
      </c>
      <c r="AI200" s="28">
        <f t="shared" ca="1" si="79"/>
        <v>132.02074859999999</v>
      </c>
      <c r="AJ200" s="28">
        <f t="shared" ca="1" si="80"/>
        <v>216.97925140000001</v>
      </c>
      <c r="AK200" s="31">
        <f t="shared" ca="1" si="81"/>
        <v>0.62171705272206301</v>
      </c>
      <c r="AL200" s="28" t="str">
        <f t="shared" ca="1" si="82"/>
        <v>C.C</v>
      </c>
      <c r="AM200" s="28" t="str">
        <f t="shared" ca="1" si="83"/>
        <v>MECANICA</v>
      </c>
      <c r="AN200" s="30" t="str">
        <f t="shared" ca="1" si="84"/>
        <v>December</v>
      </c>
      <c r="AO200" s="42">
        <f t="shared" ca="1" si="85"/>
        <v>2019</v>
      </c>
      <c r="AP200" s="42">
        <f t="shared" ca="1" si="86"/>
        <v>8</v>
      </c>
      <c r="AQ200" s="26">
        <v>1</v>
      </c>
      <c r="AR200" s="30">
        <f t="shared" ca="1" si="87"/>
        <v>43811</v>
      </c>
      <c r="AS200" s="30" t="str">
        <f t="shared" ca="1" si="88"/>
        <v>BFS-508</v>
      </c>
      <c r="AT200" s="26" t="str">
        <f t="shared" ca="1" si="89"/>
        <v>CHERY</v>
      </c>
      <c r="AU200" s="26" t="str">
        <f t="shared" ca="1" si="90"/>
        <v>QQ</v>
      </c>
      <c r="AV200" s="26" t="str">
        <f t="shared" ca="1" si="91"/>
        <v>RODRIGUEZ CHUMPITAZ MARCOS</v>
      </c>
    </row>
    <row r="201" spans="1:48" x14ac:dyDescent="0.2">
      <c r="A201" s="172">
        <v>43768</v>
      </c>
      <c r="B201" s="173" t="s">
        <v>68</v>
      </c>
      <c r="C201" s="173" t="s">
        <v>102</v>
      </c>
      <c r="D201" s="173" t="s">
        <v>645</v>
      </c>
      <c r="E201" s="173" t="s">
        <v>870</v>
      </c>
      <c r="F201" s="173" t="s">
        <v>1165</v>
      </c>
      <c r="G201" s="172">
        <v>43762</v>
      </c>
      <c r="H201" s="173" t="s">
        <v>90</v>
      </c>
      <c r="I201" s="173" t="s">
        <v>91</v>
      </c>
      <c r="J201" s="173" t="s">
        <v>97</v>
      </c>
      <c r="K201" s="173" t="s">
        <v>98</v>
      </c>
      <c r="L201" s="174" t="s">
        <v>71</v>
      </c>
      <c r="M201" s="175" t="s">
        <v>72</v>
      </c>
      <c r="N201" s="173" t="s">
        <v>73</v>
      </c>
      <c r="O201" s="176" t="s">
        <v>99</v>
      </c>
      <c r="P201" s="173" t="s">
        <v>98</v>
      </c>
      <c r="Q201" s="177" t="s">
        <v>93</v>
      </c>
      <c r="R201" s="178">
        <v>3.3399999000000005</v>
      </c>
      <c r="S201" s="179">
        <v>1</v>
      </c>
      <c r="T201" s="179">
        <v>88.5</v>
      </c>
      <c r="U201" s="179">
        <v>88.5</v>
      </c>
      <c r="V201" s="179">
        <v>15.93</v>
      </c>
      <c r="W201" s="179">
        <v>104.43</v>
      </c>
      <c r="X201" s="27">
        <f t="shared" si="93"/>
        <v>295.58999115000006</v>
      </c>
      <c r="Y201" s="29">
        <f ca="1">VLOOKUP(Z201,CHOOSE({2,1},Fac_Fecha,Fac_OT),2,0)</f>
        <v>43819</v>
      </c>
      <c r="Z201" s="26" t="s">
        <v>1947</v>
      </c>
      <c r="AA201" s="28">
        <f t="shared" ca="1" si="92"/>
        <v>500.70001500000001</v>
      </c>
      <c r="AB201" s="28">
        <f ca="1">SUMIF(Salida_OT,Facturacion!Z201,Salida_Suma)</f>
        <v>0</v>
      </c>
      <c r="AC201" s="28">
        <f t="shared" ca="1" si="77"/>
        <v>0</v>
      </c>
      <c r="AD201" s="28">
        <f t="shared" ca="1" si="78"/>
        <v>0</v>
      </c>
      <c r="AE201" s="28">
        <f ca="1">(SUMIF(Asig_OT,Z201,Asig_Hora_Mec))*'Costos x MO'!$B$6*'Costos x MO'!$B$7</f>
        <v>0</v>
      </c>
      <c r="AF201" s="28">
        <f ca="1">SUMIF(Asig_OT,Z201,Asig_Hora_Pla)*'Costos x MO'!$B$4*'Costos x MO'!$B$7</f>
        <v>60.300000000000004</v>
      </c>
      <c r="AG201" s="28">
        <f ca="1">SUMIF(Asig_OT,Z201,Asig_paño_Pin)*'Costos x MO'!$B$5*'Costos x MO'!$B$7</f>
        <v>140.70000000000002</v>
      </c>
      <c r="AH201" s="28">
        <f ca="1">(SUMIF(Asig_OT,Z201,Asig_Terc_Pla)*'Costos x MO'!$B$7)+(SUMIF(Asig_OT,Z201,Asig_Terc_Pin)*'Costos x MO'!$B$7)</f>
        <v>0</v>
      </c>
      <c r="AI201" s="28">
        <f t="shared" ca="1" si="79"/>
        <v>201.00000000000003</v>
      </c>
      <c r="AJ201" s="28">
        <f t="shared" ca="1" si="80"/>
        <v>299.70001500000001</v>
      </c>
      <c r="AK201" s="31">
        <f t="shared" ca="1" si="81"/>
        <v>0.59856202520784829</v>
      </c>
      <c r="AL201" s="28" t="str">
        <f t="shared" ca="1" si="82"/>
        <v>RIMAC</v>
      </c>
      <c r="AM201" s="28" t="str">
        <f t="shared" ca="1" si="83"/>
        <v>LEVE</v>
      </c>
      <c r="AN201" s="30" t="str">
        <f t="shared" ca="1" si="84"/>
        <v>December</v>
      </c>
      <c r="AO201" s="42">
        <f t="shared" ca="1" si="85"/>
        <v>2019</v>
      </c>
      <c r="AP201" s="42">
        <f t="shared" ca="1" si="86"/>
        <v>9</v>
      </c>
      <c r="AQ201" s="26">
        <v>1</v>
      </c>
      <c r="AR201" s="30">
        <f t="shared" ca="1" si="87"/>
        <v>43810</v>
      </c>
      <c r="AS201" s="30" t="str">
        <f t="shared" ca="1" si="88"/>
        <v>BFS-508</v>
      </c>
      <c r="AT201" s="26" t="str">
        <f t="shared" ca="1" si="89"/>
        <v>CHERY</v>
      </c>
      <c r="AU201" s="26" t="str">
        <f t="shared" ca="1" si="90"/>
        <v>QQ</v>
      </c>
      <c r="AV201" s="26" t="str">
        <f t="shared" ca="1" si="91"/>
        <v>RODRIGUEZ CHUMPITAZ MARCOS</v>
      </c>
    </row>
    <row r="202" spans="1:48" x14ac:dyDescent="0.2">
      <c r="A202" s="172">
        <v>43768</v>
      </c>
      <c r="B202" s="173" t="s">
        <v>68</v>
      </c>
      <c r="C202" s="173" t="s">
        <v>102</v>
      </c>
      <c r="D202" s="173" t="s">
        <v>645</v>
      </c>
      <c r="E202" s="173" t="s">
        <v>870</v>
      </c>
      <c r="F202" s="173" t="s">
        <v>1165</v>
      </c>
      <c r="G202" s="172">
        <v>43762</v>
      </c>
      <c r="H202" s="173" t="s">
        <v>90</v>
      </c>
      <c r="I202" s="173" t="s">
        <v>91</v>
      </c>
      <c r="J202" s="173" t="s">
        <v>100</v>
      </c>
      <c r="K202" s="173" t="s">
        <v>101</v>
      </c>
      <c r="L202" s="174" t="s">
        <v>71</v>
      </c>
      <c r="M202" s="175" t="s">
        <v>72</v>
      </c>
      <c r="N202" s="173" t="s">
        <v>73</v>
      </c>
      <c r="O202" s="176" t="s">
        <v>72</v>
      </c>
      <c r="P202" s="130" t="s">
        <v>101</v>
      </c>
      <c r="Q202" s="177" t="s">
        <v>93</v>
      </c>
      <c r="R202" s="178">
        <v>3.3399999000000005</v>
      </c>
      <c r="S202" s="179">
        <v>1</v>
      </c>
      <c r="T202" s="179">
        <v>37.5</v>
      </c>
      <c r="U202" s="179">
        <v>37.5</v>
      </c>
      <c r="V202" s="179">
        <v>6.75</v>
      </c>
      <c r="W202" s="179">
        <v>44.25</v>
      </c>
      <c r="X202" s="27">
        <f t="shared" si="93"/>
        <v>125.24999625000002</v>
      </c>
      <c r="Y202" s="29">
        <f ca="1">VLOOKUP(Z202,CHOOSE({2,1},Fac_Fecha,Fac_OT),2,0)</f>
        <v>43820</v>
      </c>
      <c r="Z202" s="26" t="s">
        <v>1961</v>
      </c>
      <c r="AA202" s="28">
        <f t="shared" ca="1" si="92"/>
        <v>166.3</v>
      </c>
      <c r="AB202" s="28">
        <f ca="1">SUMIF(Salida_OT,Facturacion!Z202,Salida_Suma)</f>
        <v>0</v>
      </c>
      <c r="AC202" s="28">
        <f t="shared" ca="1" si="77"/>
        <v>0</v>
      </c>
      <c r="AD202" s="28">
        <f t="shared" ca="1" si="78"/>
        <v>0</v>
      </c>
      <c r="AE202" s="28">
        <f ca="1">(SUMIF(Asig_OT,Z202,Asig_Hora_Mec))*'Costos x MO'!$B$6*'Costos x MO'!$B$7</f>
        <v>0</v>
      </c>
      <c r="AF202" s="28">
        <f ca="1">SUMIF(Asig_OT,Z202,Asig_Hora_Pla)*'Costos x MO'!$B$4*'Costos x MO'!$B$7</f>
        <v>22.612500000000001</v>
      </c>
      <c r="AG202" s="28">
        <f ca="1">SUMIF(Asig_OT,Z202,Asig_paño_Pin)*'Costos x MO'!$B$5*'Costos x MO'!$B$7</f>
        <v>105.52500000000001</v>
      </c>
      <c r="AH202" s="28">
        <f ca="1">(SUMIF(Asig_OT,Z202,Asig_Terc_Pla)*'Costos x MO'!$B$7)+(SUMIF(Asig_OT,Z202,Asig_Terc_Pin)*'Costos x MO'!$B$7)</f>
        <v>0</v>
      </c>
      <c r="AI202" s="28">
        <f t="shared" ca="1" si="79"/>
        <v>128.13750000000002</v>
      </c>
      <c r="AJ202" s="28">
        <f t="shared" ca="1" si="80"/>
        <v>38.162499999999994</v>
      </c>
      <c r="AK202" s="31">
        <f t="shared" ca="1" si="81"/>
        <v>0.22947985568250145</v>
      </c>
      <c r="AL202" s="28" t="str">
        <f t="shared" ca="1" si="82"/>
        <v>RIMAC</v>
      </c>
      <c r="AM202" s="28" t="str">
        <f t="shared" ca="1" si="83"/>
        <v>LEVE</v>
      </c>
      <c r="AN202" s="30" t="str">
        <f t="shared" ca="1" si="84"/>
        <v>December</v>
      </c>
      <c r="AO202" s="42">
        <f t="shared" ca="1" si="85"/>
        <v>2019</v>
      </c>
      <c r="AP202" s="42">
        <f t="shared" ca="1" si="86"/>
        <v>5</v>
      </c>
      <c r="AQ202" s="26">
        <v>1</v>
      </c>
      <c r="AR202" s="30">
        <f t="shared" ca="1" si="87"/>
        <v>43815</v>
      </c>
      <c r="AS202" s="30" t="str">
        <f t="shared" ca="1" si="88"/>
        <v>BEE-024</v>
      </c>
      <c r="AT202" s="26" t="str">
        <f t="shared" ca="1" si="89"/>
        <v>HONDA</v>
      </c>
      <c r="AU202" s="26" t="str">
        <f t="shared" ca="1" si="90"/>
        <v>CRV</v>
      </c>
      <c r="AV202" s="26" t="str">
        <f t="shared" ca="1" si="91"/>
        <v>MARTOS SALCEDO KARIN LILIANA</v>
      </c>
    </row>
    <row r="203" spans="1:48" x14ac:dyDescent="0.2">
      <c r="A203" s="172">
        <v>43768</v>
      </c>
      <c r="B203" s="173" t="s">
        <v>68</v>
      </c>
      <c r="C203" s="173" t="s">
        <v>102</v>
      </c>
      <c r="D203" s="173" t="s">
        <v>645</v>
      </c>
      <c r="E203" s="173" t="s">
        <v>870</v>
      </c>
      <c r="F203" s="173" t="s">
        <v>1165</v>
      </c>
      <c r="G203" s="172">
        <v>43762</v>
      </c>
      <c r="H203" s="173" t="s">
        <v>90</v>
      </c>
      <c r="I203" s="173" t="s">
        <v>91</v>
      </c>
      <c r="J203" s="173" t="s">
        <v>92</v>
      </c>
      <c r="K203" s="173" t="s">
        <v>113</v>
      </c>
      <c r="L203" s="174" t="s">
        <v>71</v>
      </c>
      <c r="M203" s="175" t="s">
        <v>72</v>
      </c>
      <c r="N203" s="173" t="s">
        <v>73</v>
      </c>
      <c r="O203" s="176" t="s">
        <v>69</v>
      </c>
      <c r="P203" s="130" t="s">
        <v>113</v>
      </c>
      <c r="Q203" s="177" t="s">
        <v>93</v>
      </c>
      <c r="R203" s="178">
        <v>3.3399999000000005</v>
      </c>
      <c r="S203" s="179">
        <v>1</v>
      </c>
      <c r="T203" s="179">
        <v>65</v>
      </c>
      <c r="U203" s="179">
        <v>65</v>
      </c>
      <c r="V203" s="179">
        <v>11.699996999999994</v>
      </c>
      <c r="W203" s="179">
        <v>76.699996999999996</v>
      </c>
      <c r="X203" s="27">
        <f t="shared" si="93"/>
        <v>217.09999350000004</v>
      </c>
      <c r="Y203" s="29">
        <f ca="1">VLOOKUP(Z203,CHOOSE({2,1},Fac_Fecha,Fac_OT),2,0)</f>
        <v>43820</v>
      </c>
      <c r="Z203" s="26" t="s">
        <v>1968</v>
      </c>
      <c r="AA203" s="28">
        <f t="shared" ca="1" si="92"/>
        <v>2269.7966000000001</v>
      </c>
      <c r="AB203" s="28">
        <f ca="1">SUMIF(Salida_OT,Facturacion!Z203,Salida_Suma)</f>
        <v>1208.8978894000002</v>
      </c>
      <c r="AC203" s="28">
        <f t="shared" ca="1" si="77"/>
        <v>0</v>
      </c>
      <c r="AD203" s="28">
        <f t="shared" ca="1" si="78"/>
        <v>101.69999999999999</v>
      </c>
      <c r="AE203" s="28">
        <f ca="1">(SUMIF(Asig_OT,Z203,Asig_Hora_Mec))*'Costos x MO'!$B$6*'Costos x MO'!$B$7</f>
        <v>40.250250000000001</v>
      </c>
      <c r="AF203" s="28">
        <f ca="1">SUMIF(Asig_OT,Z203,Asig_Hora_Pla)*'Costos x MO'!$B$4*'Costos x MO'!$B$7</f>
        <v>0</v>
      </c>
      <c r="AG203" s="28">
        <f ca="1">SUMIF(Asig_OT,Z203,Asig_paño_Pin)*'Costos x MO'!$B$5*'Costos x MO'!$B$7</f>
        <v>0</v>
      </c>
      <c r="AH203" s="28">
        <f ca="1">(SUMIF(Asig_OT,Z203,Asig_Terc_Pla)*'Costos x MO'!$B$7)+(SUMIF(Asig_OT,Z203,Asig_Terc_Pin)*'Costos x MO'!$B$7)</f>
        <v>0</v>
      </c>
      <c r="AI203" s="28">
        <f t="shared" ca="1" si="79"/>
        <v>1350.8481394000003</v>
      </c>
      <c r="AJ203" s="28">
        <f t="shared" ca="1" si="80"/>
        <v>918.94846059999986</v>
      </c>
      <c r="AK203" s="31">
        <f t="shared" ca="1" si="81"/>
        <v>0.40485938722438819</v>
      </c>
      <c r="AL203" s="28" t="str">
        <f t="shared" ca="1" si="82"/>
        <v>C.C</v>
      </c>
      <c r="AM203" s="28" t="str">
        <f t="shared" ca="1" si="83"/>
        <v>MECANICA</v>
      </c>
      <c r="AN203" s="30" t="str">
        <f t="shared" ca="1" si="84"/>
        <v>December</v>
      </c>
      <c r="AO203" s="42">
        <f t="shared" ca="1" si="85"/>
        <v>2019</v>
      </c>
      <c r="AP203" s="42">
        <f t="shared" ca="1" si="86"/>
        <v>2</v>
      </c>
      <c r="AQ203" s="26">
        <v>1</v>
      </c>
      <c r="AR203" s="30">
        <f t="shared" ca="1" si="87"/>
        <v>43818</v>
      </c>
      <c r="AS203" s="30" t="str">
        <f t="shared" ca="1" si="88"/>
        <v>A2Q-372</v>
      </c>
      <c r="AT203" s="26" t="str">
        <f t="shared" ca="1" si="89"/>
        <v>HYUNDAI</v>
      </c>
      <c r="AU203" s="26" t="str">
        <f t="shared" ca="1" si="90"/>
        <v>TUCSON</v>
      </c>
      <c r="AV203" s="26" t="str">
        <f t="shared" ca="1" si="91"/>
        <v>SALVATIERRA YARACSA KARINA</v>
      </c>
    </row>
    <row r="204" spans="1:48" x14ac:dyDescent="0.2">
      <c r="A204" s="172">
        <v>43768</v>
      </c>
      <c r="B204" s="173" t="s">
        <v>68</v>
      </c>
      <c r="C204" s="173" t="s">
        <v>102</v>
      </c>
      <c r="D204" s="173" t="s">
        <v>645</v>
      </c>
      <c r="E204" s="173" t="s">
        <v>870</v>
      </c>
      <c r="F204" s="173" t="s">
        <v>1165</v>
      </c>
      <c r="G204" s="172">
        <v>43762</v>
      </c>
      <c r="H204" s="173" t="s">
        <v>90</v>
      </c>
      <c r="I204" s="173" t="s">
        <v>91</v>
      </c>
      <c r="J204" s="173" t="s">
        <v>104</v>
      </c>
      <c r="K204" s="173" t="s">
        <v>105</v>
      </c>
      <c r="L204" s="174" t="s">
        <v>71</v>
      </c>
      <c r="M204" s="175" t="s">
        <v>72</v>
      </c>
      <c r="N204" s="173" t="s">
        <v>73</v>
      </c>
      <c r="O204" s="176" t="s">
        <v>69</v>
      </c>
      <c r="P204" s="173" t="s">
        <v>105</v>
      </c>
      <c r="Q204" s="177" t="s">
        <v>93</v>
      </c>
      <c r="R204" s="178">
        <v>3.3399999000000005</v>
      </c>
      <c r="S204" s="179">
        <v>1</v>
      </c>
      <c r="T204" s="179">
        <v>0</v>
      </c>
      <c r="U204" s="179">
        <v>0</v>
      </c>
      <c r="V204" s="179">
        <v>0</v>
      </c>
      <c r="W204" s="179">
        <v>0</v>
      </c>
      <c r="X204" s="27">
        <f t="shared" si="93"/>
        <v>0</v>
      </c>
      <c r="Y204" s="29">
        <f ca="1">VLOOKUP(Z204,CHOOSE({2,1},Fac_Fecha,Fac_OT),2,0)</f>
        <v>43822</v>
      </c>
      <c r="Z204" s="26" t="s">
        <v>2369</v>
      </c>
      <c r="AA204" s="28">
        <f t="shared" ca="1" si="92"/>
        <v>404.10169999999999</v>
      </c>
      <c r="AB204" s="28">
        <f ca="1">SUMIF(Salida_OT,Facturacion!Z204,Salida_Suma)</f>
        <v>0</v>
      </c>
      <c r="AC204" s="28">
        <f t="shared" ca="1" si="77"/>
        <v>0</v>
      </c>
      <c r="AD204" s="28">
        <f t="shared" ca="1" si="78"/>
        <v>0</v>
      </c>
      <c r="AE204" s="28">
        <f ca="1">(SUMIF(Asig_OT,Z204,Asig_Hora_Mec))*'Costos x MO'!$B$6*'Costos x MO'!$B$7</f>
        <v>0</v>
      </c>
      <c r="AF204" s="28">
        <f ca="1">SUMIF(Asig_OT,Z204,Asig_Hora_Pla)*'Costos x MO'!$B$4*'Costos x MO'!$B$7</f>
        <v>0</v>
      </c>
      <c r="AG204" s="28">
        <f ca="1">SUMIF(Asig_OT,Z204,Asig_paño_Pin)*'Costos x MO'!$B$5*'Costos x MO'!$B$7</f>
        <v>0</v>
      </c>
      <c r="AH204" s="28">
        <f ca="1">(SUMIF(Asig_OT,Z204,Asig_Terc_Pla)*'Costos x MO'!$B$7)+(SUMIF(Asig_OT,Z204,Asig_Terc_Pin)*'Costos x MO'!$B$7)</f>
        <v>0</v>
      </c>
      <c r="AI204" s="28">
        <f t="shared" ca="1" si="79"/>
        <v>0</v>
      </c>
      <c r="AJ204" s="28">
        <f t="shared" ca="1" si="80"/>
        <v>404.10169999999999</v>
      </c>
      <c r="AK204" s="31">
        <f t="shared" ca="1" si="81"/>
        <v>1</v>
      </c>
      <c r="AL204" s="28" t="s">
        <v>121</v>
      </c>
      <c r="AM204" s="28" t="s">
        <v>447</v>
      </c>
      <c r="AN204" s="30" t="str">
        <f t="shared" ca="1" si="84"/>
        <v>December</v>
      </c>
      <c r="AO204" s="42">
        <f t="shared" ca="1" si="85"/>
        <v>2019</v>
      </c>
      <c r="AP204" s="42">
        <f t="shared" ca="1" si="86"/>
        <v>0</v>
      </c>
      <c r="AQ204" s="26">
        <v>1</v>
      </c>
      <c r="AR204" s="30">
        <f t="shared" ca="1" si="87"/>
        <v>43822</v>
      </c>
      <c r="AS204" s="30" t="str">
        <f ca="1">IFERROR(VLOOKUP(Z204,Matriz2,2,0),"S/PLACA")</f>
        <v>BKA372</v>
      </c>
      <c r="AT204" s="26" t="s">
        <v>156</v>
      </c>
      <c r="AU204" s="26" t="s">
        <v>412</v>
      </c>
      <c r="AV204" s="26" t="str">
        <f t="shared" ca="1" si="91"/>
        <v>VERME ALVA RODRIGO</v>
      </c>
    </row>
    <row r="205" spans="1:48" x14ac:dyDescent="0.2">
      <c r="A205" s="172">
        <v>43768</v>
      </c>
      <c r="B205" s="173" t="s">
        <v>68</v>
      </c>
      <c r="C205" s="173" t="s">
        <v>102</v>
      </c>
      <c r="D205" s="173" t="s">
        <v>644</v>
      </c>
      <c r="E205" s="173" t="s">
        <v>863</v>
      </c>
      <c r="F205" s="173" t="s">
        <v>1166</v>
      </c>
      <c r="G205" s="172">
        <v>43762</v>
      </c>
      <c r="H205" s="173" t="s">
        <v>90</v>
      </c>
      <c r="I205" s="173" t="s">
        <v>91</v>
      </c>
      <c r="J205" s="173" t="s">
        <v>97</v>
      </c>
      <c r="K205" s="173" t="s">
        <v>98</v>
      </c>
      <c r="L205" s="174" t="s">
        <v>71</v>
      </c>
      <c r="M205" s="175" t="s">
        <v>72</v>
      </c>
      <c r="N205" s="173" t="s">
        <v>73</v>
      </c>
      <c r="O205" s="176" t="s">
        <v>99</v>
      </c>
      <c r="P205" s="173" t="s">
        <v>98</v>
      </c>
      <c r="Q205" s="177" t="s">
        <v>93</v>
      </c>
      <c r="R205" s="178">
        <v>3.3399999000000005</v>
      </c>
      <c r="S205" s="179">
        <v>1</v>
      </c>
      <c r="T205" s="179">
        <v>95.872902000000011</v>
      </c>
      <c r="U205" s="179">
        <v>95.872902000000011</v>
      </c>
      <c r="V205" s="179">
        <v>17.257097999999989</v>
      </c>
      <c r="W205" s="179">
        <v>113.13</v>
      </c>
      <c r="X205" s="27">
        <f t="shared" si="93"/>
        <v>320.21548309270986</v>
      </c>
      <c r="Y205" s="29">
        <f ca="1">VLOOKUP(Z205,CHOOSE({2,1},Fac_Fecha,Fac_OT),2,0)</f>
        <v>43826</v>
      </c>
      <c r="Z205" s="26" t="s">
        <v>1979</v>
      </c>
      <c r="AA205" s="28">
        <f t="shared" ca="1" si="92"/>
        <v>332.2</v>
      </c>
      <c r="AB205" s="28">
        <f ca="1">SUMIF(Salida_OT,Facturacion!Z205,Salida_Suma)</f>
        <v>0</v>
      </c>
      <c r="AC205" s="28">
        <f t="shared" ca="1" si="77"/>
        <v>0</v>
      </c>
      <c r="AD205" s="28">
        <f t="shared" ca="1" si="78"/>
        <v>0</v>
      </c>
      <c r="AE205" s="28">
        <f ca="1">(SUMIF(Asig_OT,Z205,Asig_Hora_Mec))*'Costos x MO'!$B$6*'Costos x MO'!$B$7</f>
        <v>0</v>
      </c>
      <c r="AF205" s="28">
        <f ca="1">SUMIF(Asig_OT,Z205,Asig_Hora_Pla)*'Costos x MO'!$B$4*'Costos x MO'!$B$7</f>
        <v>45.225000000000001</v>
      </c>
      <c r="AG205" s="28">
        <f ca="1">SUMIF(Asig_OT,Z205,Asig_paño_Pin)*'Costos x MO'!$B$5*'Costos x MO'!$B$7</f>
        <v>140.70000000000002</v>
      </c>
      <c r="AH205" s="28">
        <f ca="1">(SUMIF(Asig_OT,Z205,Asig_Terc_Pla)*'Costos x MO'!$B$7)+(SUMIF(Asig_OT,Z205,Asig_Terc_Pin)*'Costos x MO'!$B$7)</f>
        <v>0</v>
      </c>
      <c r="AI205" s="28">
        <f t="shared" ca="1" si="79"/>
        <v>185.92500000000001</v>
      </c>
      <c r="AJ205" s="28">
        <f t="shared" ca="1" si="80"/>
        <v>146.27499999999998</v>
      </c>
      <c r="AK205" s="31">
        <f t="shared" ca="1" si="81"/>
        <v>0.44032209512341958</v>
      </c>
      <c r="AL205" s="28" t="str">
        <f t="shared" ca="1" si="82"/>
        <v>RIMAC</v>
      </c>
      <c r="AM205" s="28" t="str">
        <f t="shared" ca="1" si="83"/>
        <v>LEVE</v>
      </c>
      <c r="AN205" s="30" t="str">
        <f t="shared" ca="1" si="84"/>
        <v>December</v>
      </c>
      <c r="AO205" s="42">
        <f t="shared" ca="1" si="85"/>
        <v>2019</v>
      </c>
      <c r="AP205" s="42">
        <f t="shared" ca="1" si="86"/>
        <v>7</v>
      </c>
      <c r="AQ205" s="26">
        <v>1</v>
      </c>
      <c r="AR205" s="30">
        <f t="shared" ca="1" si="87"/>
        <v>43819</v>
      </c>
      <c r="AS205" s="30" t="str">
        <f ca="1">IFERROR(VLOOKUP(Z205,Matriz2,2,0),"S/PLACA")</f>
        <v>F7V531</v>
      </c>
      <c r="AT205" s="26" t="str">
        <f t="shared" ca="1" si="89"/>
        <v>HONDA</v>
      </c>
      <c r="AU205" s="26" t="str">
        <f t="shared" ca="1" si="90"/>
        <v>ACCORD</v>
      </c>
      <c r="AV205" s="26" t="str">
        <f t="shared" ca="1" si="91"/>
        <v>DIAZ SALCEDO LUIS FELIPE</v>
      </c>
    </row>
    <row r="206" spans="1:48" x14ac:dyDescent="0.2">
      <c r="A206" s="172">
        <v>43768</v>
      </c>
      <c r="B206" s="173" t="s">
        <v>68</v>
      </c>
      <c r="C206" s="173" t="s">
        <v>102</v>
      </c>
      <c r="D206" s="173" t="s">
        <v>644</v>
      </c>
      <c r="E206" s="173" t="s">
        <v>863</v>
      </c>
      <c r="F206" s="173" t="s">
        <v>1166</v>
      </c>
      <c r="G206" s="172">
        <v>43762</v>
      </c>
      <c r="H206" s="173" t="s">
        <v>90</v>
      </c>
      <c r="I206" s="173" t="s">
        <v>91</v>
      </c>
      <c r="J206" s="173" t="s">
        <v>100</v>
      </c>
      <c r="K206" s="173" t="s">
        <v>101</v>
      </c>
      <c r="L206" s="174" t="s">
        <v>71</v>
      </c>
      <c r="M206" s="175" t="s">
        <v>72</v>
      </c>
      <c r="N206" s="173" t="s">
        <v>73</v>
      </c>
      <c r="O206" s="176" t="s">
        <v>72</v>
      </c>
      <c r="P206" s="130" t="s">
        <v>101</v>
      </c>
      <c r="Q206" s="177" t="s">
        <v>93</v>
      </c>
      <c r="R206" s="178">
        <v>3.3399999000000005</v>
      </c>
      <c r="S206" s="179">
        <v>1</v>
      </c>
      <c r="T206" s="179">
        <v>30</v>
      </c>
      <c r="U206" s="179">
        <v>30</v>
      </c>
      <c r="V206" s="179">
        <v>5.4000019999999997</v>
      </c>
      <c r="W206" s="179">
        <v>35.400002000000001</v>
      </c>
      <c r="X206" s="27">
        <f t="shared" si="93"/>
        <v>100.19999700000001</v>
      </c>
      <c r="Y206" s="29">
        <f ca="1">VLOOKUP(Z206,CHOOSE({2,1},Fac_Fecha,Fac_OT),2,0)</f>
        <v>43827</v>
      </c>
      <c r="Z206" s="26" t="s">
        <v>2022</v>
      </c>
      <c r="AA206" s="28">
        <f t="shared" ca="1" si="92"/>
        <v>1690.1412622293901</v>
      </c>
      <c r="AB206" s="28">
        <f ca="1">SUMIF(Salida_OT,Facturacion!Z206,Salida_Suma)</f>
        <v>0</v>
      </c>
      <c r="AC206" s="28">
        <f t="shared" ca="1" si="77"/>
        <v>0</v>
      </c>
      <c r="AD206" s="28">
        <f t="shared" ca="1" si="78"/>
        <v>186.44</v>
      </c>
      <c r="AE206" s="28">
        <f ca="1">(SUMIF(Asig_OT,Z206,Asig_Hora_Mec))*'Costos x MO'!$B$6*'Costos x MO'!$B$7</f>
        <v>0</v>
      </c>
      <c r="AF206" s="28">
        <f ca="1">SUMIF(Asig_OT,Z206,Asig_Hora_Pla)*'Costos x MO'!$B$4*'Costos x MO'!$B$7</f>
        <v>0</v>
      </c>
      <c r="AG206" s="28">
        <f ca="1">SUMIF(Asig_OT,Z206,Asig_paño_Pin)*'Costos x MO'!$B$5*'Costos x MO'!$B$7</f>
        <v>0</v>
      </c>
      <c r="AH206" s="28">
        <f ca="1">(SUMIF(Asig_OT,Z206,Asig_Terc_Pla)*'Costos x MO'!$B$7)+(SUMIF(Asig_OT,Z206,Asig_Terc_Pin)*'Costos x MO'!$B$7)</f>
        <v>0</v>
      </c>
      <c r="AI206" s="28">
        <f t="shared" ca="1" si="79"/>
        <v>186.44</v>
      </c>
      <c r="AJ206" s="28">
        <f t="shared" ca="1" si="80"/>
        <v>1503.7012622293901</v>
      </c>
      <c r="AK206" s="31">
        <f t="shared" ca="1" si="81"/>
        <v>0.88968969389335228</v>
      </c>
      <c r="AL206" s="28" t="s">
        <v>121</v>
      </c>
      <c r="AM206" s="28" t="s">
        <v>23</v>
      </c>
      <c r="AN206" s="30" t="str">
        <f t="shared" ca="1" si="84"/>
        <v>December</v>
      </c>
      <c r="AO206" s="42">
        <f t="shared" ca="1" si="85"/>
        <v>2019</v>
      </c>
      <c r="AP206" s="42">
        <f t="shared" ca="1" si="86"/>
        <v>7</v>
      </c>
      <c r="AQ206" s="26">
        <v>1</v>
      </c>
      <c r="AR206" s="30">
        <f t="shared" ca="1" si="87"/>
        <v>43820</v>
      </c>
      <c r="AS206" s="30" t="str">
        <f ca="1">IFERROR(VLOOKUP(Z206,Matriz2,2,0),"S/PLACA")</f>
        <v>BAK021</v>
      </c>
      <c r="AT206" s="26" t="s">
        <v>21</v>
      </c>
      <c r="AU206" s="26" t="s">
        <v>1401</v>
      </c>
      <c r="AV206" s="26" t="str">
        <f t="shared" ca="1" si="91"/>
        <v>LOAYZA VEGA FELIPE</v>
      </c>
    </row>
    <row r="207" spans="1:48" x14ac:dyDescent="0.2">
      <c r="A207" s="172">
        <v>43768</v>
      </c>
      <c r="B207" s="173" t="s">
        <v>68</v>
      </c>
      <c r="C207" s="173" t="s">
        <v>102</v>
      </c>
      <c r="D207" s="173" t="s">
        <v>644</v>
      </c>
      <c r="E207" s="173" t="s">
        <v>863</v>
      </c>
      <c r="F207" s="173" t="s">
        <v>1166</v>
      </c>
      <c r="G207" s="172">
        <v>43762</v>
      </c>
      <c r="H207" s="173" t="s">
        <v>90</v>
      </c>
      <c r="I207" s="173" t="s">
        <v>91</v>
      </c>
      <c r="J207" s="173" t="s">
        <v>104</v>
      </c>
      <c r="K207" s="173" t="s">
        <v>105</v>
      </c>
      <c r="L207" s="174" t="s">
        <v>71</v>
      </c>
      <c r="M207" s="175" t="s">
        <v>72</v>
      </c>
      <c r="N207" s="173" t="s">
        <v>73</v>
      </c>
      <c r="O207" s="176" t="s">
        <v>69</v>
      </c>
      <c r="P207" s="173" t="s">
        <v>105</v>
      </c>
      <c r="Q207" s="177" t="s">
        <v>93</v>
      </c>
      <c r="R207" s="178">
        <v>3.3399999000000005</v>
      </c>
      <c r="S207" s="179">
        <v>1</v>
      </c>
      <c r="T207" s="179">
        <v>0</v>
      </c>
      <c r="U207" s="179">
        <v>0</v>
      </c>
      <c r="V207" s="179">
        <v>0</v>
      </c>
      <c r="W207" s="179">
        <v>0</v>
      </c>
      <c r="X207" s="27">
        <f t="shared" si="93"/>
        <v>0</v>
      </c>
      <c r="Y207" s="29">
        <f ca="1">VLOOKUP(Z207,CHOOSE({2,1},Fac_Fecha,Fac_OT),2,0)</f>
        <v>43827</v>
      </c>
      <c r="Z207" s="26" t="s">
        <v>1987</v>
      </c>
      <c r="AA207" s="28">
        <f t="shared" ca="1" si="92"/>
        <v>42.372897999999985</v>
      </c>
      <c r="AB207" s="28">
        <f ca="1">SUMIF(Salida_OT,Facturacion!Z207,Salida_Suma)</f>
        <v>0</v>
      </c>
      <c r="AC207" s="28">
        <f t="shared" ca="1" si="77"/>
        <v>0</v>
      </c>
      <c r="AD207" s="28">
        <f t="shared" ca="1" si="78"/>
        <v>0</v>
      </c>
      <c r="AE207" s="28">
        <f ca="1">(SUMIF(Asig_OT,Z207,Asig_Hora_Mec))*'Costos x MO'!$B$6*'Costos x MO'!$B$7</f>
        <v>0</v>
      </c>
      <c r="AF207" s="28">
        <f ca="1">SUMIF(Asig_OT,Z207,Asig_Hora_Pla)*'Costos x MO'!$B$4*'Costos x MO'!$B$7</f>
        <v>0</v>
      </c>
      <c r="AG207" s="28">
        <f ca="1">SUMIF(Asig_OT,Z207,Asig_paño_Pin)*'Costos x MO'!$B$5*'Costos x MO'!$B$7</f>
        <v>70.350000000000009</v>
      </c>
      <c r="AH207" s="28">
        <f ca="1">(SUMIF(Asig_OT,Z207,Asig_Terc_Pla)*'Costos x MO'!$B$7)+(SUMIF(Asig_OT,Z207,Asig_Terc_Pin)*'Costos x MO'!$B$7)</f>
        <v>0</v>
      </c>
      <c r="AI207" s="28">
        <f t="shared" ca="1" si="79"/>
        <v>70.350000000000009</v>
      </c>
      <c r="AJ207" s="28">
        <f t="shared" ca="1" si="80"/>
        <v>-27.977102000000023</v>
      </c>
      <c r="AK207" s="31">
        <f t="shared" ca="1" si="81"/>
        <v>-0.66025934785012896</v>
      </c>
      <c r="AL207" s="28" t="str">
        <f t="shared" ca="1" si="82"/>
        <v>C.C</v>
      </c>
      <c r="AM207" s="28" t="str">
        <f t="shared" ca="1" si="83"/>
        <v>LEVE</v>
      </c>
      <c r="AN207" s="30" t="str">
        <f t="shared" ca="1" si="84"/>
        <v>December</v>
      </c>
      <c r="AO207" s="42">
        <f t="shared" ca="1" si="85"/>
        <v>2019</v>
      </c>
      <c r="AP207" s="42">
        <f t="shared" ca="1" si="86"/>
        <v>5</v>
      </c>
      <c r="AQ207" s="26">
        <v>1</v>
      </c>
      <c r="AR207" s="30">
        <f t="shared" ca="1" si="87"/>
        <v>43822</v>
      </c>
      <c r="AS207" s="30" t="str">
        <f t="shared" ca="1" si="88"/>
        <v>BEA-170</v>
      </c>
      <c r="AT207" s="26" t="str">
        <f t="shared" ca="1" si="89"/>
        <v>KIA</v>
      </c>
      <c r="AU207" s="26" t="str">
        <f t="shared" ca="1" si="90"/>
        <v>CERATO</v>
      </c>
      <c r="AV207" s="26" t="str">
        <f t="shared" ca="1" si="91"/>
        <v>GUZMAN ZUÑIGA CARLOS LEONARDO</v>
      </c>
    </row>
    <row r="208" spans="1:48" x14ac:dyDescent="0.2">
      <c r="A208" s="172">
        <v>43768</v>
      </c>
      <c r="B208" s="173" t="s">
        <v>68</v>
      </c>
      <c r="C208" s="173" t="s">
        <v>102</v>
      </c>
      <c r="D208" s="173" t="s">
        <v>642</v>
      </c>
      <c r="E208" s="173" t="s">
        <v>854</v>
      </c>
      <c r="F208" s="173" t="s">
        <v>1165</v>
      </c>
      <c r="G208" s="172">
        <v>43762</v>
      </c>
      <c r="H208" s="173" t="s">
        <v>90</v>
      </c>
      <c r="I208" s="173" t="s">
        <v>91</v>
      </c>
      <c r="J208" s="173" t="s">
        <v>97</v>
      </c>
      <c r="K208" s="173" t="s">
        <v>98</v>
      </c>
      <c r="L208" s="174" t="s">
        <v>71</v>
      </c>
      <c r="M208" s="175" t="s">
        <v>72</v>
      </c>
      <c r="N208" s="173" t="s">
        <v>73</v>
      </c>
      <c r="O208" s="176" t="s">
        <v>99</v>
      </c>
      <c r="P208" s="173" t="s">
        <v>98</v>
      </c>
      <c r="Q208" s="177" t="s">
        <v>93</v>
      </c>
      <c r="R208" s="178">
        <v>3.3399999000000005</v>
      </c>
      <c r="S208" s="179">
        <v>1</v>
      </c>
      <c r="T208" s="179">
        <v>132.75419999999997</v>
      </c>
      <c r="U208" s="179">
        <v>132.75419999999997</v>
      </c>
      <c r="V208" s="179">
        <v>23.895790000000034</v>
      </c>
      <c r="W208" s="179">
        <v>156.64999</v>
      </c>
      <c r="X208" s="27">
        <f t="shared" si="93"/>
        <v>443.39901472457996</v>
      </c>
      <c r="Y208" s="29">
        <v>43832</v>
      </c>
      <c r="Z208" s="107" t="s">
        <v>1976</v>
      </c>
      <c r="AA208" s="28">
        <v>1922.73</v>
      </c>
      <c r="AB208" s="28">
        <f ca="1">SUMIF(Salida_OT,Facturacion!Z208,Salida_Suma)</f>
        <v>0</v>
      </c>
      <c r="AC208" s="28">
        <f t="shared" ref="AC208:AC271" ca="1" si="94">SUMIFS(Compras_Suma,Compras_OT,Z208,Compras_Tipo,"RP")</f>
        <v>0</v>
      </c>
      <c r="AD208" s="28">
        <f t="shared" ref="AD208:AD271" ca="1" si="95">SUMIFS(Compras_Suma,Compras_OT,Z208,Compras_Tipo,"ST")</f>
        <v>0</v>
      </c>
      <c r="AE208" s="28">
        <f ca="1">(SUMIF(Asig_OT,Z208,Asig_Hora_Mec))*'Costos x MO'!$B$6*'Costos x MO'!$B$7</f>
        <v>0</v>
      </c>
      <c r="AF208" s="28">
        <f ca="1">SUMIF(Asig_OT,Z208,Asig_Hora_Pla)*'Costos x MO'!$B$4*'Costos x MO'!$B$7</f>
        <v>105.52500000000001</v>
      </c>
      <c r="AG208" s="28">
        <f ca="1">SUMIF(Asig_OT,Z208,Asig_paño_Pin)*'Costos x MO'!$B$5*'Costos x MO'!$B$7</f>
        <v>281.40000000000003</v>
      </c>
      <c r="AH208" s="28">
        <f ca="1">(SUMIF(Asig_OT,Z208,Asig_Terc_Pla)*'Costos x MO'!$B$7)+(SUMIF(Asig_OT,Z208,Asig_Terc_Pin)*'Costos x MO'!$B$7)</f>
        <v>0</v>
      </c>
      <c r="AI208" s="28">
        <f t="shared" ref="AI208:AI271" ca="1" si="96">SUM(AB208:AH208)</f>
        <v>386.92500000000007</v>
      </c>
      <c r="AJ208" s="28">
        <f t="shared" ref="AJ208:AJ271" ca="1" si="97">+AA208-AI208</f>
        <v>1535.8049999999998</v>
      </c>
      <c r="AK208" s="31">
        <f t="shared" ref="AK208:AK271" ca="1" si="98">IFERROR(AJ208/AA208,0)</f>
        <v>0.79876269679050094</v>
      </c>
      <c r="AL208" s="28" t="str">
        <f t="shared" ref="AL208:AL271" ca="1" si="99">IFERROR(VLOOKUP(Z208,Matriz,5,0),"S/TIPO")</f>
        <v>RIMAC</v>
      </c>
      <c r="AM208" s="28" t="str">
        <f t="shared" ref="AM208:AM271" ca="1" si="100">IFERROR(VLOOKUP(Z208,Matriz,17,0),"S/TIPO")</f>
        <v>LEVE</v>
      </c>
      <c r="AN208" s="30" t="str">
        <f t="shared" ref="AN208:AN271" si="101">PROPER(TEXT(Y208,"mmmm"))</f>
        <v>January</v>
      </c>
      <c r="AO208" s="42">
        <f t="shared" ref="AO208:AO271" si="102">YEAR(Y208)</f>
        <v>2020</v>
      </c>
      <c r="AP208" s="42">
        <f t="shared" ref="AP208:AP271" ca="1" si="103">+Y208-AR208</f>
        <v>14</v>
      </c>
      <c r="AQ208" s="26">
        <v>1</v>
      </c>
      <c r="AR208" s="30">
        <f t="shared" ref="AR208:AR271" ca="1" si="104">VLOOKUP(Z208,Matriz2,3,0)</f>
        <v>43818</v>
      </c>
      <c r="AS208" s="30" t="str">
        <f t="shared" ref="AS208:AS271" ca="1" si="105">IFERROR(VLOOKUP(Z208,Matriz,2,0),"S/PLACA")</f>
        <v>F2Y-614</v>
      </c>
      <c r="AT208" s="26" t="str">
        <f t="shared" ref="AT208:AT271" ca="1" si="106">IFERROR(VLOOKUP(Z208,Matriz,3,0),"S/MARCA")</f>
        <v>MAZDA</v>
      </c>
      <c r="AU208" s="26" t="str">
        <f t="shared" ref="AU208:AU271" ca="1" si="107">IFERROR(VLOOKUP(Z208,Matriz,4,0),"S/MODELO")</f>
        <v>MAZDA3</v>
      </c>
      <c r="AV208" s="26" t="str">
        <f t="shared" ref="AV208:AV271" ca="1" si="108">VLOOKUP(Z208,Matriz2,5,0)</f>
        <v>NGV SUMINISTROS S.A.C.</v>
      </c>
    </row>
    <row r="209" spans="1:48" x14ac:dyDescent="0.2">
      <c r="A209" s="172">
        <v>43768</v>
      </c>
      <c r="B209" s="173" t="s">
        <v>68</v>
      </c>
      <c r="C209" s="173" t="s">
        <v>102</v>
      </c>
      <c r="D209" s="173" t="s">
        <v>642</v>
      </c>
      <c r="E209" s="173" t="s">
        <v>854</v>
      </c>
      <c r="F209" s="173" t="s">
        <v>1165</v>
      </c>
      <c r="G209" s="172">
        <v>43762</v>
      </c>
      <c r="H209" s="173" t="s">
        <v>90</v>
      </c>
      <c r="I209" s="173" t="s">
        <v>91</v>
      </c>
      <c r="J209" s="173" t="s">
        <v>100</v>
      </c>
      <c r="K209" s="173" t="s">
        <v>101</v>
      </c>
      <c r="L209" s="174" t="s">
        <v>71</v>
      </c>
      <c r="M209" s="175" t="s">
        <v>72</v>
      </c>
      <c r="N209" s="173" t="s">
        <v>73</v>
      </c>
      <c r="O209" s="176" t="s">
        <v>72</v>
      </c>
      <c r="P209" s="130" t="s">
        <v>101</v>
      </c>
      <c r="Q209" s="177" t="s">
        <v>93</v>
      </c>
      <c r="R209" s="178">
        <v>3.3399999000000005</v>
      </c>
      <c r="S209" s="179">
        <v>1</v>
      </c>
      <c r="T209" s="179">
        <v>75</v>
      </c>
      <c r="U209" s="179">
        <v>75</v>
      </c>
      <c r="V209" s="179">
        <v>13.5</v>
      </c>
      <c r="W209" s="179">
        <v>88.5</v>
      </c>
      <c r="X209" s="27">
        <f t="shared" si="93"/>
        <v>250.49999250000005</v>
      </c>
      <c r="Y209" s="29">
        <v>43832</v>
      </c>
      <c r="Z209" s="107" t="s">
        <v>1947</v>
      </c>
      <c r="AA209" s="28">
        <f t="shared" ca="1" si="92"/>
        <v>192.38599419999997</v>
      </c>
      <c r="AB209" s="28">
        <f ca="1">SUMIF(Salida_OT,Facturacion!Z209,Salida_Suma)</f>
        <v>0</v>
      </c>
      <c r="AC209" s="28">
        <f t="shared" ca="1" si="94"/>
        <v>0</v>
      </c>
      <c r="AD209" s="28">
        <f t="shared" ca="1" si="95"/>
        <v>0</v>
      </c>
      <c r="AE209" s="28">
        <f ca="1">(SUMIF(Asig_OT,Z209,Asig_Hora_Mec))*'Costos x MO'!$B$6*'Costos x MO'!$B$7</f>
        <v>0</v>
      </c>
      <c r="AF209" s="28">
        <f ca="1">SUMIF(Asig_OT,Z209,Asig_Hora_Pla)*'Costos x MO'!$B$4*'Costos x MO'!$B$7</f>
        <v>60.300000000000004</v>
      </c>
      <c r="AG209" s="28">
        <f ca="1">SUMIF(Asig_OT,Z209,Asig_paño_Pin)*'Costos x MO'!$B$5*'Costos x MO'!$B$7</f>
        <v>140.70000000000002</v>
      </c>
      <c r="AH209" s="28">
        <f ca="1">(SUMIF(Asig_OT,Z209,Asig_Terc_Pla)*'Costos x MO'!$B$7)+(SUMIF(Asig_OT,Z209,Asig_Terc_Pin)*'Costos x MO'!$B$7)</f>
        <v>0</v>
      </c>
      <c r="AI209" s="28">
        <f t="shared" ca="1" si="96"/>
        <v>201.00000000000003</v>
      </c>
      <c r="AJ209" s="28">
        <f t="shared" ca="1" si="97"/>
        <v>-8.6140058000000579</v>
      </c>
      <c r="AK209" s="31">
        <f t="shared" ca="1" si="98"/>
        <v>-4.4774599293569882E-2</v>
      </c>
      <c r="AL209" s="28" t="str">
        <f t="shared" ca="1" si="99"/>
        <v>RIMAC</v>
      </c>
      <c r="AM209" s="28" t="str">
        <f t="shared" ca="1" si="100"/>
        <v>LEVE</v>
      </c>
      <c r="AN209" s="30" t="str">
        <f t="shared" si="101"/>
        <v>January</v>
      </c>
      <c r="AO209" s="42">
        <f t="shared" si="102"/>
        <v>2020</v>
      </c>
      <c r="AP209" s="42">
        <f t="shared" ca="1" si="103"/>
        <v>22</v>
      </c>
      <c r="AQ209" s="26">
        <v>1</v>
      </c>
      <c r="AR209" s="30">
        <f t="shared" ca="1" si="104"/>
        <v>43810</v>
      </c>
      <c r="AS209" s="30" t="str">
        <f t="shared" ca="1" si="105"/>
        <v>BFS-508</v>
      </c>
      <c r="AT209" s="26" t="str">
        <f t="shared" ca="1" si="106"/>
        <v>CHERY</v>
      </c>
      <c r="AU209" s="26" t="str">
        <f t="shared" ca="1" si="107"/>
        <v>QQ</v>
      </c>
      <c r="AV209" s="26" t="str">
        <f t="shared" ca="1" si="108"/>
        <v>RODRIGUEZ CHUMPITAZ MARCOS</v>
      </c>
    </row>
    <row r="210" spans="1:48" x14ac:dyDescent="0.2">
      <c r="A210" s="172">
        <v>43768</v>
      </c>
      <c r="B210" s="173" t="s">
        <v>68</v>
      </c>
      <c r="C210" s="173" t="s">
        <v>102</v>
      </c>
      <c r="D210" s="173" t="s">
        <v>642</v>
      </c>
      <c r="E210" s="173" t="s">
        <v>854</v>
      </c>
      <c r="F210" s="173" t="s">
        <v>1165</v>
      </c>
      <c r="G210" s="172">
        <v>43762</v>
      </c>
      <c r="H210" s="173" t="s">
        <v>90</v>
      </c>
      <c r="I210" s="173" t="s">
        <v>91</v>
      </c>
      <c r="J210" s="173" t="s">
        <v>92</v>
      </c>
      <c r="K210" s="173" t="s">
        <v>113</v>
      </c>
      <c r="L210" s="174" t="s">
        <v>71</v>
      </c>
      <c r="M210" s="175" t="s">
        <v>72</v>
      </c>
      <c r="N210" s="173" t="s">
        <v>73</v>
      </c>
      <c r="O210" s="176" t="s">
        <v>69</v>
      </c>
      <c r="P210" s="130" t="s">
        <v>113</v>
      </c>
      <c r="Q210" s="177" t="s">
        <v>93</v>
      </c>
      <c r="R210" s="178">
        <v>3.3399999000000005</v>
      </c>
      <c r="S210" s="179">
        <v>1</v>
      </c>
      <c r="T210" s="179">
        <v>80</v>
      </c>
      <c r="U210" s="179">
        <v>80</v>
      </c>
      <c r="V210" s="179">
        <v>14.400002000000004</v>
      </c>
      <c r="W210" s="179">
        <v>94.400002000000001</v>
      </c>
      <c r="X210" s="27">
        <f t="shared" si="93"/>
        <v>267.19999200000007</v>
      </c>
      <c r="Y210" s="29">
        <v>43832</v>
      </c>
      <c r="Z210" s="107" t="s">
        <v>1961</v>
      </c>
      <c r="AA210" s="28">
        <f t="shared" ca="1" si="92"/>
        <v>376.47948865000001</v>
      </c>
      <c r="AB210" s="28">
        <f ca="1">SUMIF(Salida_OT,Facturacion!Z210,Salida_Suma)</f>
        <v>0</v>
      </c>
      <c r="AC210" s="28">
        <f t="shared" ca="1" si="94"/>
        <v>0</v>
      </c>
      <c r="AD210" s="28">
        <f t="shared" ca="1" si="95"/>
        <v>0</v>
      </c>
      <c r="AE210" s="28">
        <f ca="1">(SUMIF(Asig_OT,Z210,Asig_Hora_Mec))*'Costos x MO'!$B$6*'Costos x MO'!$B$7</f>
        <v>0</v>
      </c>
      <c r="AF210" s="28">
        <f ca="1">SUMIF(Asig_OT,Z210,Asig_Hora_Pla)*'Costos x MO'!$B$4*'Costos x MO'!$B$7</f>
        <v>22.612500000000001</v>
      </c>
      <c r="AG210" s="28">
        <f ca="1">SUMIF(Asig_OT,Z210,Asig_paño_Pin)*'Costos x MO'!$B$5*'Costos x MO'!$B$7</f>
        <v>105.52500000000001</v>
      </c>
      <c r="AH210" s="28">
        <f ca="1">(SUMIF(Asig_OT,Z210,Asig_Terc_Pla)*'Costos x MO'!$B$7)+(SUMIF(Asig_OT,Z210,Asig_Terc_Pin)*'Costos x MO'!$B$7)</f>
        <v>0</v>
      </c>
      <c r="AI210" s="28">
        <f t="shared" ca="1" si="96"/>
        <v>128.13750000000002</v>
      </c>
      <c r="AJ210" s="28">
        <f t="shared" ca="1" si="97"/>
        <v>248.34198864999999</v>
      </c>
      <c r="AK210" s="31">
        <f t="shared" ca="1" si="98"/>
        <v>0.65964281225656618</v>
      </c>
      <c r="AL210" s="28" t="str">
        <f t="shared" ca="1" si="99"/>
        <v>RIMAC</v>
      </c>
      <c r="AM210" s="28" t="str">
        <f t="shared" ca="1" si="100"/>
        <v>LEVE</v>
      </c>
      <c r="AN210" s="30" t="str">
        <f t="shared" si="101"/>
        <v>January</v>
      </c>
      <c r="AO210" s="42">
        <f t="shared" si="102"/>
        <v>2020</v>
      </c>
      <c r="AP210" s="42">
        <f t="shared" ca="1" si="103"/>
        <v>17</v>
      </c>
      <c r="AQ210" s="26">
        <v>1</v>
      </c>
      <c r="AR210" s="30">
        <f t="shared" ca="1" si="104"/>
        <v>43815</v>
      </c>
      <c r="AS210" s="30" t="str">
        <f t="shared" ca="1" si="105"/>
        <v>BEE-024</v>
      </c>
      <c r="AT210" s="26" t="str">
        <f t="shared" ca="1" si="106"/>
        <v>HONDA</v>
      </c>
      <c r="AU210" s="26" t="str">
        <f t="shared" ca="1" si="107"/>
        <v>CRV</v>
      </c>
      <c r="AV210" s="26" t="str">
        <f t="shared" ca="1" si="108"/>
        <v>MARTOS SALCEDO KARIN LILIANA</v>
      </c>
    </row>
    <row r="211" spans="1:48" x14ac:dyDescent="0.2">
      <c r="A211" s="172">
        <v>43768</v>
      </c>
      <c r="B211" s="173" t="s">
        <v>68</v>
      </c>
      <c r="C211" s="173" t="s">
        <v>102</v>
      </c>
      <c r="D211" s="173" t="s">
        <v>642</v>
      </c>
      <c r="E211" s="173" t="s">
        <v>854</v>
      </c>
      <c r="F211" s="173" t="s">
        <v>1165</v>
      </c>
      <c r="G211" s="172">
        <v>43762</v>
      </c>
      <c r="H211" s="173" t="s">
        <v>90</v>
      </c>
      <c r="I211" s="173" t="s">
        <v>91</v>
      </c>
      <c r="J211" s="173" t="s">
        <v>95</v>
      </c>
      <c r="K211" s="173" t="s">
        <v>96</v>
      </c>
      <c r="L211" s="174" t="s">
        <v>71</v>
      </c>
      <c r="M211" s="175" t="s">
        <v>72</v>
      </c>
      <c r="N211" s="173" t="s">
        <v>73</v>
      </c>
      <c r="O211" s="176" t="s">
        <v>69</v>
      </c>
      <c r="P211" s="130" t="s">
        <v>96</v>
      </c>
      <c r="Q211" s="177" t="s">
        <v>93</v>
      </c>
      <c r="R211" s="178">
        <v>3.3399999000000005</v>
      </c>
      <c r="S211" s="179">
        <v>-1</v>
      </c>
      <c r="T211" s="179">
        <v>100</v>
      </c>
      <c r="U211" s="179">
        <v>-100</v>
      </c>
      <c r="V211" s="179">
        <v>-18</v>
      </c>
      <c r="W211" s="179">
        <v>-118</v>
      </c>
      <c r="X211" s="27">
        <f t="shared" si="93"/>
        <v>-333.99999000000003</v>
      </c>
      <c r="Y211" s="29">
        <v>43832</v>
      </c>
      <c r="Z211" s="107" t="s">
        <v>1979</v>
      </c>
      <c r="AA211" s="28">
        <f t="shared" ca="1" si="92"/>
        <v>383.11348845000003</v>
      </c>
      <c r="AB211" s="28">
        <f ca="1">SUMIF(Salida_OT,Facturacion!Z211,Salida_Suma)</f>
        <v>0</v>
      </c>
      <c r="AC211" s="28">
        <f t="shared" ca="1" si="94"/>
        <v>0</v>
      </c>
      <c r="AD211" s="28">
        <f t="shared" ca="1" si="95"/>
        <v>0</v>
      </c>
      <c r="AE211" s="28">
        <f ca="1">(SUMIF(Asig_OT,Z211,Asig_Hora_Mec))*'Costos x MO'!$B$6*'Costos x MO'!$B$7</f>
        <v>0</v>
      </c>
      <c r="AF211" s="28">
        <f ca="1">SUMIF(Asig_OT,Z211,Asig_Hora_Pla)*'Costos x MO'!$B$4*'Costos x MO'!$B$7</f>
        <v>45.225000000000001</v>
      </c>
      <c r="AG211" s="28">
        <f ca="1">SUMIF(Asig_OT,Z211,Asig_paño_Pin)*'Costos x MO'!$B$5*'Costos x MO'!$B$7</f>
        <v>140.70000000000002</v>
      </c>
      <c r="AH211" s="28">
        <f ca="1">(SUMIF(Asig_OT,Z211,Asig_Terc_Pla)*'Costos x MO'!$B$7)+(SUMIF(Asig_OT,Z211,Asig_Terc_Pin)*'Costos x MO'!$B$7)</f>
        <v>0</v>
      </c>
      <c r="AI211" s="28">
        <f t="shared" ca="1" si="96"/>
        <v>185.92500000000001</v>
      </c>
      <c r="AJ211" s="28">
        <f t="shared" ca="1" si="97"/>
        <v>197.18848845000002</v>
      </c>
      <c r="AK211" s="31">
        <f t="shared" ca="1" si="98"/>
        <v>0.5146999372112554</v>
      </c>
      <c r="AL211" s="28" t="str">
        <f t="shared" ca="1" si="99"/>
        <v>RIMAC</v>
      </c>
      <c r="AM211" s="28" t="str">
        <f t="shared" ca="1" si="100"/>
        <v>LEVE</v>
      </c>
      <c r="AN211" s="30" t="str">
        <f t="shared" si="101"/>
        <v>January</v>
      </c>
      <c r="AO211" s="42">
        <f t="shared" si="102"/>
        <v>2020</v>
      </c>
      <c r="AP211" s="42">
        <f t="shared" ca="1" si="103"/>
        <v>13</v>
      </c>
      <c r="AQ211" s="26">
        <v>1</v>
      </c>
      <c r="AR211" s="30">
        <f t="shared" ca="1" si="104"/>
        <v>43819</v>
      </c>
      <c r="AS211" s="30" t="str">
        <f t="shared" ca="1" si="105"/>
        <v>F7V-531</v>
      </c>
      <c r="AT211" s="26" t="str">
        <f t="shared" ca="1" si="106"/>
        <v>HONDA</v>
      </c>
      <c r="AU211" s="26" t="str">
        <f t="shared" ca="1" si="107"/>
        <v>ACCORD</v>
      </c>
      <c r="AV211" s="26" t="str">
        <f t="shared" ca="1" si="108"/>
        <v>DIAZ SALCEDO LUIS FELIPE</v>
      </c>
    </row>
    <row r="212" spans="1:48" x14ac:dyDescent="0.2">
      <c r="A212" s="172">
        <v>43768</v>
      </c>
      <c r="B212" s="173" t="s">
        <v>68</v>
      </c>
      <c r="C212" s="173" t="s">
        <v>102</v>
      </c>
      <c r="D212" s="173" t="s">
        <v>642</v>
      </c>
      <c r="E212" s="173" t="s">
        <v>854</v>
      </c>
      <c r="F212" s="173" t="s">
        <v>1165</v>
      </c>
      <c r="G212" s="172">
        <v>43762</v>
      </c>
      <c r="H212" s="173" t="s">
        <v>90</v>
      </c>
      <c r="I212" s="173" t="s">
        <v>91</v>
      </c>
      <c r="J212" s="173" t="s">
        <v>104</v>
      </c>
      <c r="K212" s="173" t="s">
        <v>105</v>
      </c>
      <c r="L212" s="174" t="s">
        <v>71</v>
      </c>
      <c r="M212" s="175" t="s">
        <v>72</v>
      </c>
      <c r="N212" s="173" t="s">
        <v>73</v>
      </c>
      <c r="O212" s="176" t="s">
        <v>69</v>
      </c>
      <c r="P212" s="173" t="s">
        <v>105</v>
      </c>
      <c r="Q212" s="177" t="s">
        <v>93</v>
      </c>
      <c r="R212" s="178">
        <v>3.3399999000000005</v>
      </c>
      <c r="S212" s="179">
        <v>1</v>
      </c>
      <c r="T212" s="179">
        <v>0</v>
      </c>
      <c r="U212" s="179">
        <v>0</v>
      </c>
      <c r="V212" s="179">
        <v>0</v>
      </c>
      <c r="W212" s="179">
        <v>0</v>
      </c>
      <c r="X212" s="27">
        <f t="shared" si="93"/>
        <v>0</v>
      </c>
      <c r="Y212" s="29">
        <f ca="1">VLOOKUP(Z212,CHOOSE({2,1},Fac_Fecha,Fac_OT),2,0)</f>
        <v>43832</v>
      </c>
      <c r="Z212" s="26" t="s">
        <v>1985</v>
      </c>
      <c r="AA212" s="28">
        <f t="shared" ca="1" si="92"/>
        <v>912.17497250000008</v>
      </c>
      <c r="AB212" s="28">
        <f ca="1">SUMIF(Salida_OT,Facturacion!Z212,Salida_Suma)</f>
        <v>0</v>
      </c>
      <c r="AC212" s="28">
        <f t="shared" ca="1" si="94"/>
        <v>0</v>
      </c>
      <c r="AD212" s="28">
        <f t="shared" ca="1" si="95"/>
        <v>0</v>
      </c>
      <c r="AE212" s="28">
        <f ca="1">(SUMIF(Asig_OT,Z212,Asig_Hora_Mec))*'Costos x MO'!$B$6*'Costos x MO'!$B$7</f>
        <v>0</v>
      </c>
      <c r="AF212" s="28">
        <f ca="1">SUMIF(Asig_OT,Z212,Asig_Hora_Pla)*'Costos x MO'!$B$4*'Costos x MO'!$B$7</f>
        <v>90.45</v>
      </c>
      <c r="AG212" s="28">
        <f ca="1">SUMIF(Asig_OT,Z212,Asig_paño_Pin)*'Costos x MO'!$B$5*'Costos x MO'!$B$7</f>
        <v>175.875</v>
      </c>
      <c r="AH212" s="28">
        <f ca="1">(SUMIF(Asig_OT,Z212,Asig_Terc_Pla)*'Costos x MO'!$B$7)+(SUMIF(Asig_OT,Z212,Asig_Terc_Pin)*'Costos x MO'!$B$7)</f>
        <v>0</v>
      </c>
      <c r="AI212" s="28">
        <f t="shared" ca="1" si="96"/>
        <v>266.32499999999999</v>
      </c>
      <c r="AJ212" s="28">
        <f t="shared" ca="1" si="97"/>
        <v>645.84997250000015</v>
      </c>
      <c r="AK212" s="31">
        <f t="shared" ca="1" si="98"/>
        <v>0.70803298925196079</v>
      </c>
      <c r="AL212" s="28" t="str">
        <f t="shared" ca="1" si="99"/>
        <v>RIMAC</v>
      </c>
      <c r="AM212" s="28" t="str">
        <f t="shared" ca="1" si="100"/>
        <v>LEVE</v>
      </c>
      <c r="AN212" s="30" t="str">
        <f t="shared" ca="1" si="101"/>
        <v>January</v>
      </c>
      <c r="AO212" s="42">
        <f t="shared" ca="1" si="102"/>
        <v>2020</v>
      </c>
      <c r="AP212" s="42">
        <f t="shared" ca="1" si="103"/>
        <v>10</v>
      </c>
      <c r="AQ212" s="26">
        <v>1</v>
      </c>
      <c r="AR212" s="30">
        <f t="shared" ca="1" si="104"/>
        <v>43822</v>
      </c>
      <c r="AS212" s="30" t="str">
        <f t="shared" ca="1" si="105"/>
        <v>BEA-170</v>
      </c>
      <c r="AT212" s="26" t="str">
        <f t="shared" ca="1" si="106"/>
        <v>KIA</v>
      </c>
      <c r="AU212" s="26" t="str">
        <f t="shared" ca="1" si="107"/>
        <v>CERATO</v>
      </c>
      <c r="AV212" s="26" t="str">
        <f t="shared" ca="1" si="108"/>
        <v>RIMAC SEGUROS  Y REASEGUROS S.A</v>
      </c>
    </row>
    <row r="213" spans="1:48" x14ac:dyDescent="0.2">
      <c r="A213" s="172">
        <v>43768</v>
      </c>
      <c r="B213" s="173" t="s">
        <v>68</v>
      </c>
      <c r="C213" s="173" t="s">
        <v>102</v>
      </c>
      <c r="D213" s="173" t="s">
        <v>641</v>
      </c>
      <c r="E213" s="173" t="s">
        <v>873</v>
      </c>
      <c r="F213" s="173" t="s">
        <v>1167</v>
      </c>
      <c r="G213" s="172">
        <v>43761</v>
      </c>
      <c r="H213" s="173" t="s">
        <v>90</v>
      </c>
      <c r="I213" s="173" t="s">
        <v>91</v>
      </c>
      <c r="J213" s="173" t="s">
        <v>97</v>
      </c>
      <c r="K213" s="173" t="s">
        <v>98</v>
      </c>
      <c r="L213" s="174" t="s">
        <v>71</v>
      </c>
      <c r="M213" s="175" t="s">
        <v>72</v>
      </c>
      <c r="N213" s="173" t="s">
        <v>73</v>
      </c>
      <c r="O213" s="176" t="s">
        <v>99</v>
      </c>
      <c r="P213" s="173" t="s">
        <v>98</v>
      </c>
      <c r="Q213" s="177" t="s">
        <v>93</v>
      </c>
      <c r="R213" s="178">
        <v>3.3399999000000005</v>
      </c>
      <c r="S213" s="179">
        <v>1</v>
      </c>
      <c r="T213" s="179">
        <v>132.75419999999997</v>
      </c>
      <c r="U213" s="179">
        <v>132.75419999999997</v>
      </c>
      <c r="V213" s="179">
        <v>23.895790000000034</v>
      </c>
      <c r="W213" s="179">
        <v>156.64999</v>
      </c>
      <c r="X213" s="27">
        <f t="shared" si="93"/>
        <v>443.39901472457996</v>
      </c>
      <c r="Y213" s="29">
        <f ca="1">VLOOKUP(Z213,CHOOSE({2,1},Fac_Fecha,Fac_OT),2,0)</f>
        <v>43832</v>
      </c>
      <c r="Z213" s="26" t="s">
        <v>1969</v>
      </c>
      <c r="AA213" s="28">
        <f t="shared" ca="1" si="92"/>
        <v>1343.3849595000002</v>
      </c>
      <c r="AB213" s="28">
        <f ca="1">SUMIF(Salida_OT,Facturacion!Z213,Salida_Suma)</f>
        <v>0</v>
      </c>
      <c r="AC213" s="28">
        <f t="shared" ca="1" si="94"/>
        <v>0</v>
      </c>
      <c r="AD213" s="28">
        <f t="shared" ca="1" si="95"/>
        <v>0</v>
      </c>
      <c r="AE213" s="28">
        <f ca="1">(SUMIF(Asig_OT,Z213,Asig_Hora_Mec))*'Costos x MO'!$B$6*'Costos x MO'!$B$7</f>
        <v>0</v>
      </c>
      <c r="AF213" s="28">
        <f ca="1">SUMIF(Asig_OT,Z213,Asig_Hora_Pla)*'Costos x MO'!$B$4*'Costos x MO'!$B$7</f>
        <v>105.52500000000001</v>
      </c>
      <c r="AG213" s="28">
        <f ca="1">SUMIF(Asig_OT,Z213,Asig_paño_Pin)*'Costos x MO'!$B$5*'Costos x MO'!$B$7</f>
        <v>175.875</v>
      </c>
      <c r="AH213" s="28">
        <f ca="1">(SUMIF(Asig_OT,Z213,Asig_Terc_Pla)*'Costos x MO'!$B$7)+(SUMIF(Asig_OT,Z213,Asig_Terc_Pin)*'Costos x MO'!$B$7)</f>
        <v>0</v>
      </c>
      <c r="AI213" s="28">
        <f t="shared" ca="1" si="96"/>
        <v>281.39999999999998</v>
      </c>
      <c r="AJ213" s="28">
        <f t="shared" ca="1" si="97"/>
        <v>1061.9849595000001</v>
      </c>
      <c r="AK213" s="31">
        <f t="shared" ca="1" si="98"/>
        <v>0.79052914206756086</v>
      </c>
      <c r="AL213" s="28" t="str">
        <f t="shared" ca="1" si="99"/>
        <v>RIMAC</v>
      </c>
      <c r="AM213" s="28" t="str">
        <f t="shared" ca="1" si="100"/>
        <v>LEVE</v>
      </c>
      <c r="AN213" s="30" t="str">
        <f t="shared" ca="1" si="101"/>
        <v>January</v>
      </c>
      <c r="AO213" s="42">
        <f t="shared" ca="1" si="102"/>
        <v>2020</v>
      </c>
      <c r="AP213" s="42">
        <f t="shared" ca="1" si="103"/>
        <v>15</v>
      </c>
      <c r="AQ213" s="26">
        <v>1</v>
      </c>
      <c r="AR213" s="30">
        <f t="shared" ca="1" si="104"/>
        <v>43817</v>
      </c>
      <c r="AS213" s="30" t="str">
        <f t="shared" ca="1" si="105"/>
        <v>ATT-083</v>
      </c>
      <c r="AT213" s="26" t="str">
        <f t="shared" ca="1" si="106"/>
        <v>KIA</v>
      </c>
      <c r="AU213" s="26" t="str">
        <f t="shared" ca="1" si="107"/>
        <v>SPORTAGE</v>
      </c>
      <c r="AV213" s="26" t="str">
        <f t="shared" ca="1" si="108"/>
        <v>RIMAC SEGUROS  Y REASEGUROS S.A</v>
      </c>
    </row>
    <row r="214" spans="1:48" x14ac:dyDescent="0.2">
      <c r="A214" s="172">
        <v>43768</v>
      </c>
      <c r="B214" s="173" t="s">
        <v>68</v>
      </c>
      <c r="C214" s="173" t="s">
        <v>102</v>
      </c>
      <c r="D214" s="173" t="s">
        <v>641</v>
      </c>
      <c r="E214" s="173" t="s">
        <v>873</v>
      </c>
      <c r="F214" s="173" t="s">
        <v>1167</v>
      </c>
      <c r="G214" s="172">
        <v>43761</v>
      </c>
      <c r="H214" s="173" t="s">
        <v>90</v>
      </c>
      <c r="I214" s="173" t="s">
        <v>91</v>
      </c>
      <c r="J214" s="173" t="s">
        <v>100</v>
      </c>
      <c r="K214" s="173" t="s">
        <v>101</v>
      </c>
      <c r="L214" s="174" t="s">
        <v>71</v>
      </c>
      <c r="M214" s="175" t="s">
        <v>72</v>
      </c>
      <c r="N214" s="173" t="s">
        <v>73</v>
      </c>
      <c r="O214" s="176" t="s">
        <v>72</v>
      </c>
      <c r="P214" s="130" t="s">
        <v>101</v>
      </c>
      <c r="Q214" s="177" t="s">
        <v>93</v>
      </c>
      <c r="R214" s="178">
        <v>3.3399999000000005</v>
      </c>
      <c r="S214" s="179">
        <v>1</v>
      </c>
      <c r="T214" s="179">
        <v>75</v>
      </c>
      <c r="U214" s="179">
        <v>75</v>
      </c>
      <c r="V214" s="179">
        <v>13.5</v>
      </c>
      <c r="W214" s="179">
        <v>88.5</v>
      </c>
      <c r="X214" s="27">
        <f t="shared" si="93"/>
        <v>250.49999250000005</v>
      </c>
      <c r="Y214" s="29">
        <f ca="1">VLOOKUP(Z214,CHOOSE({2,1},Fac_Fecha,Fac_OT),2,0)</f>
        <v>43832</v>
      </c>
      <c r="Z214" s="26" t="s">
        <v>1955</v>
      </c>
      <c r="AA214" s="28">
        <f t="shared" ca="1" si="92"/>
        <v>1104.5609667000001</v>
      </c>
      <c r="AB214" s="28">
        <f ca="1">SUMIF(Salida_OT,Facturacion!Z214,Salida_Suma)</f>
        <v>0</v>
      </c>
      <c r="AC214" s="28">
        <f t="shared" ca="1" si="94"/>
        <v>0</v>
      </c>
      <c r="AD214" s="28">
        <f t="shared" ca="1" si="95"/>
        <v>0</v>
      </c>
      <c r="AE214" s="28">
        <f ca="1">(SUMIF(Asig_OT,Z214,Asig_Hora_Mec))*'Costos x MO'!$B$6*'Costos x MO'!$B$7</f>
        <v>0</v>
      </c>
      <c r="AF214" s="28">
        <f ca="1">SUMIF(Asig_OT,Z214,Asig_Hora_Pla)*'Costos x MO'!$B$4*'Costos x MO'!$B$7</f>
        <v>120.60000000000001</v>
      </c>
      <c r="AG214" s="28">
        <f ca="1">SUMIF(Asig_OT,Z214,Asig_paño_Pin)*'Costos x MO'!$B$5*'Costos x MO'!$B$7</f>
        <v>140.70000000000002</v>
      </c>
      <c r="AH214" s="28">
        <f ca="1">(SUMIF(Asig_OT,Z214,Asig_Terc_Pla)*'Costos x MO'!$B$7)+(SUMIF(Asig_OT,Z214,Asig_Terc_Pin)*'Costos x MO'!$B$7)</f>
        <v>0</v>
      </c>
      <c r="AI214" s="28">
        <f t="shared" ca="1" si="96"/>
        <v>261.3</v>
      </c>
      <c r="AJ214" s="28">
        <f t="shared" ca="1" si="97"/>
        <v>843.26096670000015</v>
      </c>
      <c r="AK214" s="31">
        <f t="shared" ca="1" si="98"/>
        <v>0.76343542106085549</v>
      </c>
      <c r="AL214" s="28" t="str">
        <f t="shared" ca="1" si="99"/>
        <v>RIMAC</v>
      </c>
      <c r="AM214" s="28" t="str">
        <f t="shared" ca="1" si="100"/>
        <v>LEVE</v>
      </c>
      <c r="AN214" s="30" t="str">
        <f t="shared" ca="1" si="101"/>
        <v>January</v>
      </c>
      <c r="AO214" s="42">
        <f t="shared" ca="1" si="102"/>
        <v>2020</v>
      </c>
      <c r="AP214" s="42">
        <f t="shared" ca="1" si="103"/>
        <v>21</v>
      </c>
      <c r="AQ214" s="26">
        <v>1</v>
      </c>
      <c r="AR214" s="30">
        <f t="shared" ca="1" si="104"/>
        <v>43811</v>
      </c>
      <c r="AS214" s="30" t="str">
        <f t="shared" ca="1" si="105"/>
        <v>BMD-515</v>
      </c>
      <c r="AT214" s="26" t="str">
        <f t="shared" ca="1" si="106"/>
        <v>MITSUBISHI</v>
      </c>
      <c r="AU214" s="26" t="str">
        <f t="shared" ca="1" si="107"/>
        <v>XPANDER</v>
      </c>
      <c r="AV214" s="26" t="str">
        <f t="shared" ca="1" si="108"/>
        <v>RIMAC SEGUROS  Y REASEGUROS S.A</v>
      </c>
    </row>
    <row r="215" spans="1:48" x14ac:dyDescent="0.2">
      <c r="A215" s="172">
        <v>43768</v>
      </c>
      <c r="B215" s="173" t="s">
        <v>68</v>
      </c>
      <c r="C215" s="173" t="s">
        <v>102</v>
      </c>
      <c r="D215" s="173" t="s">
        <v>641</v>
      </c>
      <c r="E215" s="173" t="s">
        <v>873</v>
      </c>
      <c r="F215" s="173" t="s">
        <v>1167</v>
      </c>
      <c r="G215" s="172">
        <v>43761</v>
      </c>
      <c r="H215" s="173" t="s">
        <v>90</v>
      </c>
      <c r="I215" s="173" t="s">
        <v>91</v>
      </c>
      <c r="J215" s="173" t="s">
        <v>92</v>
      </c>
      <c r="K215" s="173" t="s">
        <v>113</v>
      </c>
      <c r="L215" s="174" t="s">
        <v>71</v>
      </c>
      <c r="M215" s="175" t="s">
        <v>72</v>
      </c>
      <c r="N215" s="173" t="s">
        <v>73</v>
      </c>
      <c r="O215" s="176" t="s">
        <v>69</v>
      </c>
      <c r="P215" s="130" t="s">
        <v>113</v>
      </c>
      <c r="Q215" s="177" t="s">
        <v>93</v>
      </c>
      <c r="R215" s="178">
        <v>3.3399999000000005</v>
      </c>
      <c r="S215" s="179">
        <v>1</v>
      </c>
      <c r="T215" s="179">
        <v>30</v>
      </c>
      <c r="U215" s="179">
        <v>30</v>
      </c>
      <c r="V215" s="179">
        <v>5.4000019999999997</v>
      </c>
      <c r="W215" s="179">
        <v>35.400002000000001</v>
      </c>
      <c r="X215" s="27">
        <f t="shared" si="93"/>
        <v>100.19999700000001</v>
      </c>
      <c r="Y215" s="29">
        <f ca="1">VLOOKUP(Z215,CHOOSE({2,1},Fac_Fecha,Fac_OT),2,0)</f>
        <v>43832</v>
      </c>
      <c r="Z215" s="26" t="s">
        <v>1952</v>
      </c>
      <c r="AA215" s="28">
        <f t="shared" ca="1" si="92"/>
        <v>369.84548885000004</v>
      </c>
      <c r="AB215" s="28">
        <f ca="1">SUMIF(Salida_OT,Facturacion!Z215,Salida_Suma)</f>
        <v>0</v>
      </c>
      <c r="AC215" s="28">
        <f t="shared" ca="1" si="94"/>
        <v>0</v>
      </c>
      <c r="AD215" s="28">
        <f t="shared" ca="1" si="95"/>
        <v>0</v>
      </c>
      <c r="AE215" s="28">
        <f ca="1">(SUMIF(Asig_OT,Z215,Asig_Hora_Mec))*'Costos x MO'!$B$6*'Costos x MO'!$B$7</f>
        <v>0</v>
      </c>
      <c r="AF215" s="28">
        <f ca="1">SUMIF(Asig_OT,Z215,Asig_Hora_Pla)*'Costos x MO'!$B$4*'Costos x MO'!$B$7</f>
        <v>22.612500000000001</v>
      </c>
      <c r="AG215" s="28">
        <f ca="1">SUMIF(Asig_OT,Z215,Asig_paño_Pin)*'Costos x MO'!$B$5*'Costos x MO'!$B$7</f>
        <v>70.350000000000009</v>
      </c>
      <c r="AH215" s="28">
        <f ca="1">(SUMIF(Asig_OT,Z215,Asig_Terc_Pla)*'Costos x MO'!$B$7)+(SUMIF(Asig_OT,Z215,Asig_Terc_Pin)*'Costos x MO'!$B$7)</f>
        <v>0</v>
      </c>
      <c r="AI215" s="28">
        <f t="shared" ca="1" si="96"/>
        <v>92.962500000000006</v>
      </c>
      <c r="AJ215" s="28">
        <f t="shared" ca="1" si="97"/>
        <v>276.88298885000006</v>
      </c>
      <c r="AK215" s="31">
        <f t="shared" ca="1" si="98"/>
        <v>0.74864503474394628</v>
      </c>
      <c r="AL215" s="28" t="str">
        <f t="shared" ca="1" si="99"/>
        <v>RIMAC</v>
      </c>
      <c r="AM215" s="28" t="str">
        <f t="shared" ca="1" si="100"/>
        <v>LEVE</v>
      </c>
      <c r="AN215" s="30" t="str">
        <f t="shared" ca="1" si="101"/>
        <v>January</v>
      </c>
      <c r="AO215" s="42">
        <f t="shared" ca="1" si="102"/>
        <v>2020</v>
      </c>
      <c r="AP215" s="42">
        <f t="shared" ca="1" si="103"/>
        <v>20</v>
      </c>
      <c r="AQ215" s="26">
        <v>1</v>
      </c>
      <c r="AR215" s="30">
        <f t="shared" ca="1" si="104"/>
        <v>43812</v>
      </c>
      <c r="AS215" s="30" t="str">
        <f t="shared" ca="1" si="105"/>
        <v>AKI-444</v>
      </c>
      <c r="AT215" s="26" t="str">
        <f t="shared" ca="1" si="106"/>
        <v>MAZDA</v>
      </c>
      <c r="AU215" s="26" t="str">
        <f t="shared" ca="1" si="107"/>
        <v>MAZDA3</v>
      </c>
      <c r="AV215" s="26" t="str">
        <f t="shared" ca="1" si="108"/>
        <v>RIMAC SEGUROS  Y REASEGUROS S.A</v>
      </c>
    </row>
    <row r="216" spans="1:48" x14ac:dyDescent="0.2">
      <c r="A216" s="172">
        <v>43768</v>
      </c>
      <c r="B216" s="173" t="s">
        <v>68</v>
      </c>
      <c r="C216" s="173" t="s">
        <v>102</v>
      </c>
      <c r="D216" s="173" t="s">
        <v>641</v>
      </c>
      <c r="E216" s="173" t="s">
        <v>873</v>
      </c>
      <c r="F216" s="173" t="s">
        <v>1167</v>
      </c>
      <c r="G216" s="172">
        <v>43761</v>
      </c>
      <c r="H216" s="173" t="s">
        <v>90</v>
      </c>
      <c r="I216" s="173" t="s">
        <v>91</v>
      </c>
      <c r="J216" s="173" t="s">
        <v>95</v>
      </c>
      <c r="K216" s="173" t="s">
        <v>96</v>
      </c>
      <c r="L216" s="174" t="s">
        <v>71</v>
      </c>
      <c r="M216" s="175" t="s">
        <v>72</v>
      </c>
      <c r="N216" s="173" t="s">
        <v>73</v>
      </c>
      <c r="O216" s="176" t="s">
        <v>69</v>
      </c>
      <c r="P216" s="130" t="s">
        <v>96</v>
      </c>
      <c r="Q216" s="177" t="s">
        <v>93</v>
      </c>
      <c r="R216" s="178">
        <v>3.3399999000000005</v>
      </c>
      <c r="S216" s="179">
        <v>-1</v>
      </c>
      <c r="T216" s="179">
        <v>100</v>
      </c>
      <c r="U216" s="179">
        <v>-100</v>
      </c>
      <c r="V216" s="179">
        <v>-18</v>
      </c>
      <c r="W216" s="179">
        <v>-118</v>
      </c>
      <c r="X216" s="27">
        <f t="shared" si="93"/>
        <v>-333.99999000000003</v>
      </c>
      <c r="Y216" s="29">
        <f ca="1">VLOOKUP(Z216,CHOOSE({2,1},Fac_Fecha,Fac_OT),2,0)</f>
        <v>43832</v>
      </c>
      <c r="Z216" s="26" t="s">
        <v>1924</v>
      </c>
      <c r="AA216" s="28">
        <f t="shared" ca="1" si="92"/>
        <v>1670</v>
      </c>
      <c r="AB216" s="28">
        <f ca="1">SUMIF(Salida_OT,Facturacion!Z216,Salida_Suma)</f>
        <v>1025.7909890000001</v>
      </c>
      <c r="AC216" s="28">
        <f t="shared" ca="1" si="94"/>
        <v>0</v>
      </c>
      <c r="AD216" s="28">
        <f t="shared" ca="1" si="95"/>
        <v>0</v>
      </c>
      <c r="AE216" s="28">
        <f ca="1">(SUMIF(Asig_OT,Z216,Asig_Hora_Mec))*'Costos x MO'!$B$6*'Costos x MO'!$B$7</f>
        <v>0</v>
      </c>
      <c r="AF216" s="28">
        <f ca="1">SUMIF(Asig_OT,Z216,Asig_Hora_Pla)*'Costos x MO'!$B$4*'Costos x MO'!$B$7</f>
        <v>0</v>
      </c>
      <c r="AG216" s="28">
        <f ca="1">SUMIF(Asig_OT,Z216,Asig_paño_Pin)*'Costos x MO'!$B$5*'Costos x MO'!$B$7</f>
        <v>0</v>
      </c>
      <c r="AH216" s="28">
        <f ca="1">(SUMIF(Asig_OT,Z216,Asig_Terc_Pla)*'Costos x MO'!$B$7)+(SUMIF(Asig_OT,Z216,Asig_Terc_Pin)*'Costos x MO'!$B$7)</f>
        <v>0</v>
      </c>
      <c r="AI216" s="28">
        <f t="shared" ca="1" si="96"/>
        <v>1025.7909890000001</v>
      </c>
      <c r="AJ216" s="28">
        <f t="shared" ca="1" si="97"/>
        <v>644.20901099999992</v>
      </c>
      <c r="AK216" s="31">
        <f t="shared" ca="1" si="98"/>
        <v>0.38575389880239513</v>
      </c>
      <c r="AL216" s="28" t="str">
        <f t="shared" ca="1" si="99"/>
        <v>ACCESO</v>
      </c>
      <c r="AM216" s="28" t="str">
        <f t="shared" ca="1" si="100"/>
        <v>GRAVE</v>
      </c>
      <c r="AN216" s="30" t="str">
        <f t="shared" ca="1" si="101"/>
        <v>January</v>
      </c>
      <c r="AO216" s="42">
        <f t="shared" ca="1" si="102"/>
        <v>2020</v>
      </c>
      <c r="AP216" s="42">
        <f t="shared" ca="1" si="103"/>
        <v>27</v>
      </c>
      <c r="AQ216" s="26">
        <v>1</v>
      </c>
      <c r="AR216" s="30">
        <f t="shared" ca="1" si="104"/>
        <v>43805</v>
      </c>
      <c r="AS216" s="30" t="str">
        <f t="shared" ca="1" si="105"/>
        <v>AVV-131</v>
      </c>
      <c r="AT216" s="26" t="str">
        <f t="shared" ca="1" si="106"/>
        <v>HYUNDAI</v>
      </c>
      <c r="AU216" s="26" t="str">
        <f t="shared" ca="1" si="107"/>
        <v>HYUNDAI</v>
      </c>
      <c r="AV216" s="26" t="str">
        <f t="shared" ca="1" si="108"/>
        <v>EDPYME ACCESO CREDITICIO SOCIEDAD ANONIMA</v>
      </c>
    </row>
    <row r="217" spans="1:48" x14ac:dyDescent="0.2">
      <c r="A217" s="172">
        <v>43768</v>
      </c>
      <c r="B217" s="173" t="s">
        <v>68</v>
      </c>
      <c r="C217" s="173" t="s">
        <v>102</v>
      </c>
      <c r="D217" s="173" t="s">
        <v>641</v>
      </c>
      <c r="E217" s="173" t="s">
        <v>873</v>
      </c>
      <c r="F217" s="173" t="s">
        <v>1167</v>
      </c>
      <c r="G217" s="172">
        <v>43761</v>
      </c>
      <c r="H217" s="173" t="s">
        <v>90</v>
      </c>
      <c r="I217" s="173" t="s">
        <v>91</v>
      </c>
      <c r="J217" s="173" t="s">
        <v>104</v>
      </c>
      <c r="K217" s="173" t="s">
        <v>105</v>
      </c>
      <c r="L217" s="174" t="s">
        <v>71</v>
      </c>
      <c r="M217" s="175" t="s">
        <v>72</v>
      </c>
      <c r="N217" s="173" t="s">
        <v>73</v>
      </c>
      <c r="O217" s="176" t="s">
        <v>69</v>
      </c>
      <c r="P217" s="173" t="s">
        <v>105</v>
      </c>
      <c r="Q217" s="177" t="s">
        <v>93</v>
      </c>
      <c r="R217" s="178">
        <v>3.3399999000000005</v>
      </c>
      <c r="S217" s="179">
        <v>1</v>
      </c>
      <c r="T217" s="179">
        <v>0</v>
      </c>
      <c r="U217" s="179">
        <v>0</v>
      </c>
      <c r="V217" s="179">
        <v>0</v>
      </c>
      <c r="W217" s="179">
        <v>0</v>
      </c>
      <c r="X217" s="27">
        <f t="shared" si="93"/>
        <v>0</v>
      </c>
      <c r="Y217" s="29">
        <f ca="1">VLOOKUP(Z217,CHOOSE({2,1},Fac_Fecha,Fac_OT),2,0)</f>
        <v>43832</v>
      </c>
      <c r="Z217" s="26" t="s">
        <v>1392</v>
      </c>
      <c r="AA217" s="28">
        <f t="shared" ca="1" si="92"/>
        <v>9418.7542099999991</v>
      </c>
      <c r="AB217" s="28">
        <f ca="1">SUMIF(Salida_OT,Facturacion!Z217,Salida_Suma)</f>
        <v>1850.9663059000002</v>
      </c>
      <c r="AC217" s="28">
        <f t="shared" ca="1" si="94"/>
        <v>0</v>
      </c>
      <c r="AD217" s="28">
        <f t="shared" ca="1" si="95"/>
        <v>197.21</v>
      </c>
      <c r="AE217" s="28">
        <f ca="1">(SUMIF(Asig_OT,Z217,Asig_Hora_Mec))*'Costos x MO'!$B$6*'Costos x MO'!$B$7</f>
        <v>350.49375000000003</v>
      </c>
      <c r="AF217" s="28">
        <f ca="1">SUMIF(Asig_OT,Z217,Asig_Hora_Pla)*'Costos x MO'!$B$4*'Costos x MO'!$B$7</f>
        <v>542.70000000000005</v>
      </c>
      <c r="AG217" s="28">
        <f ca="1">SUMIF(Asig_OT,Z217,Asig_paño_Pin)*'Costos x MO'!$B$5*'Costos x MO'!$B$7</f>
        <v>1266.3</v>
      </c>
      <c r="AH217" s="28">
        <f ca="1">(SUMIF(Asig_OT,Z217,Asig_Terc_Pla)*'Costos x MO'!$B$7)+(SUMIF(Asig_OT,Z217,Asig_Terc_Pin)*'Costos x MO'!$B$7)</f>
        <v>0</v>
      </c>
      <c r="AI217" s="28">
        <f t="shared" ca="1" si="96"/>
        <v>4207.6700559000001</v>
      </c>
      <c r="AJ217" s="28">
        <f t="shared" ca="1" si="97"/>
        <v>5211.0841540999991</v>
      </c>
      <c r="AK217" s="31">
        <f t="shared" ca="1" si="98"/>
        <v>0.55326681617483253</v>
      </c>
      <c r="AL217" s="28" t="str">
        <f t="shared" ca="1" si="99"/>
        <v>ACCESO</v>
      </c>
      <c r="AM217" s="28" t="str">
        <f t="shared" ca="1" si="100"/>
        <v>GRAVE</v>
      </c>
      <c r="AN217" s="30" t="str">
        <f t="shared" ca="1" si="101"/>
        <v>January</v>
      </c>
      <c r="AO217" s="42">
        <f t="shared" ca="1" si="102"/>
        <v>2020</v>
      </c>
      <c r="AP217" s="42">
        <f t="shared" ca="1" si="103"/>
        <v>40</v>
      </c>
      <c r="AQ217" s="26">
        <v>1</v>
      </c>
      <c r="AR217" s="30">
        <f t="shared" ca="1" si="104"/>
        <v>43792</v>
      </c>
      <c r="AS217" s="30" t="str">
        <f t="shared" ca="1" si="105"/>
        <v>AYW-081</v>
      </c>
      <c r="AT217" s="26" t="str">
        <f t="shared" ca="1" si="106"/>
        <v>CHEVROLET</v>
      </c>
      <c r="AU217" s="26" t="str">
        <f t="shared" ca="1" si="107"/>
        <v>SAIL</v>
      </c>
      <c r="AV217" s="26" t="str">
        <f t="shared" ca="1" si="108"/>
        <v>EDPYME ACCESO CREDITICIO SOCIEDAD ANONIMA</v>
      </c>
    </row>
    <row r="218" spans="1:48" x14ac:dyDescent="0.2">
      <c r="A218" s="172">
        <v>43768</v>
      </c>
      <c r="B218" s="173" t="s">
        <v>68</v>
      </c>
      <c r="C218" s="173" t="s">
        <v>102</v>
      </c>
      <c r="D218" s="173" t="s">
        <v>640</v>
      </c>
      <c r="E218" s="173" t="s">
        <v>860</v>
      </c>
      <c r="F218" s="173" t="s">
        <v>1168</v>
      </c>
      <c r="G218" s="172">
        <v>43760</v>
      </c>
      <c r="H218" s="173" t="s">
        <v>90</v>
      </c>
      <c r="I218" s="173" t="s">
        <v>91</v>
      </c>
      <c r="J218" s="173" t="s">
        <v>97</v>
      </c>
      <c r="K218" s="173" t="s">
        <v>98</v>
      </c>
      <c r="L218" s="174" t="s">
        <v>71</v>
      </c>
      <c r="M218" s="175" t="s">
        <v>72</v>
      </c>
      <c r="N218" s="173" t="s">
        <v>73</v>
      </c>
      <c r="O218" s="176" t="s">
        <v>99</v>
      </c>
      <c r="P218" s="173" t="s">
        <v>98</v>
      </c>
      <c r="Q218" s="177" t="s">
        <v>93</v>
      </c>
      <c r="R218" s="178">
        <v>3.3399999000000005</v>
      </c>
      <c r="S218" s="179">
        <v>1</v>
      </c>
      <c r="T218" s="179">
        <v>118</v>
      </c>
      <c r="U218" s="179">
        <v>118</v>
      </c>
      <c r="V218" s="179">
        <v>21.240010000000019</v>
      </c>
      <c r="W218" s="179">
        <v>139.24001000000001</v>
      </c>
      <c r="X218" s="27">
        <f t="shared" si="93"/>
        <v>394.11998820000008</v>
      </c>
      <c r="Y218" s="29">
        <f ca="1">VLOOKUP(Z218,CHOOSE({2,1},Fac_Fecha,Fac_OT),2,0)</f>
        <v>43832</v>
      </c>
      <c r="Z218" s="26" t="s">
        <v>1375</v>
      </c>
      <c r="AA218" s="28">
        <f t="shared" ca="1" si="92"/>
        <v>13465.754209999999</v>
      </c>
      <c r="AB218" s="28">
        <f ca="1">SUMIF(Salida_OT,Facturacion!Z218,Salida_Suma)</f>
        <v>4429.5701867999996</v>
      </c>
      <c r="AC218" s="28">
        <f t="shared" ca="1" si="94"/>
        <v>0</v>
      </c>
      <c r="AD218" s="28">
        <f t="shared" ca="1" si="95"/>
        <v>288.14</v>
      </c>
      <c r="AE218" s="28">
        <f ca="1">(SUMIF(Asig_OT,Z218,Asig_Hora_Mec))*'Costos x MO'!$B$6*'Costos x MO'!$B$7</f>
        <v>305.26875000000001</v>
      </c>
      <c r="AF218" s="28">
        <f ca="1">SUMIF(Asig_OT,Z218,Asig_Hora_Pla)*'Costos x MO'!$B$4*'Costos x MO'!$B$7</f>
        <v>603</v>
      </c>
      <c r="AG218" s="28">
        <f ca="1">SUMIF(Asig_OT,Z218,Asig_paño_Pin)*'Costos x MO'!$B$5*'Costos x MO'!$B$7</f>
        <v>1266.3</v>
      </c>
      <c r="AH218" s="28">
        <f ca="1">(SUMIF(Asig_OT,Z218,Asig_Terc_Pla)*'Costos x MO'!$B$7)+(SUMIF(Asig_OT,Z218,Asig_Terc_Pin)*'Costos x MO'!$B$7)</f>
        <v>0</v>
      </c>
      <c r="AI218" s="28">
        <f t="shared" ca="1" si="96"/>
        <v>6892.2789368000003</v>
      </c>
      <c r="AJ218" s="28">
        <f t="shared" ca="1" si="97"/>
        <v>6573.4752731999988</v>
      </c>
      <c r="AK218" s="31">
        <f t="shared" ca="1" si="98"/>
        <v>0.48816242823728173</v>
      </c>
      <c r="AL218" s="28" t="str">
        <f t="shared" ca="1" si="99"/>
        <v>ACCESO</v>
      </c>
      <c r="AM218" s="28" t="str">
        <f t="shared" ca="1" si="100"/>
        <v>GRAVE</v>
      </c>
      <c r="AN218" s="30" t="str">
        <f t="shared" ca="1" si="101"/>
        <v>January</v>
      </c>
      <c r="AO218" s="42">
        <f t="shared" ca="1" si="102"/>
        <v>2020</v>
      </c>
      <c r="AP218" s="42">
        <f t="shared" ca="1" si="103"/>
        <v>42</v>
      </c>
      <c r="AQ218" s="26">
        <v>1</v>
      </c>
      <c r="AR218" s="30">
        <f t="shared" ca="1" si="104"/>
        <v>43790</v>
      </c>
      <c r="AS218" s="30" t="str">
        <f t="shared" ca="1" si="105"/>
        <v>AYE-380</v>
      </c>
      <c r="AT218" s="26" t="str">
        <f t="shared" ca="1" si="106"/>
        <v>CHEVROLET</v>
      </c>
      <c r="AU218" s="26" t="str">
        <f t="shared" ca="1" si="107"/>
        <v>SAIL</v>
      </c>
      <c r="AV218" s="26" t="str">
        <f t="shared" ca="1" si="108"/>
        <v>EDPYME ACCESO CREDITICIO SOCIEDAD ANONIMA</v>
      </c>
    </row>
    <row r="219" spans="1:48" x14ac:dyDescent="0.2">
      <c r="A219" s="172">
        <v>43768</v>
      </c>
      <c r="B219" s="173" t="s">
        <v>68</v>
      </c>
      <c r="C219" s="173" t="s">
        <v>102</v>
      </c>
      <c r="D219" s="173" t="s">
        <v>640</v>
      </c>
      <c r="E219" s="173" t="s">
        <v>860</v>
      </c>
      <c r="F219" s="173" t="s">
        <v>1168</v>
      </c>
      <c r="G219" s="172">
        <v>43760</v>
      </c>
      <c r="H219" s="173" t="s">
        <v>90</v>
      </c>
      <c r="I219" s="173" t="s">
        <v>91</v>
      </c>
      <c r="J219" s="173" t="s">
        <v>100</v>
      </c>
      <c r="K219" s="173" t="s">
        <v>101</v>
      </c>
      <c r="L219" s="174" t="s">
        <v>71</v>
      </c>
      <c r="M219" s="175" t="s">
        <v>72</v>
      </c>
      <c r="N219" s="173" t="s">
        <v>73</v>
      </c>
      <c r="O219" s="176" t="s">
        <v>72</v>
      </c>
      <c r="P219" s="130" t="s">
        <v>101</v>
      </c>
      <c r="Q219" s="177" t="s">
        <v>93</v>
      </c>
      <c r="R219" s="178">
        <v>3.3399999000000005</v>
      </c>
      <c r="S219" s="179">
        <v>1</v>
      </c>
      <c r="T219" s="179">
        <v>120</v>
      </c>
      <c r="U219" s="179">
        <v>120</v>
      </c>
      <c r="V219" s="179">
        <v>21.600010000000019</v>
      </c>
      <c r="W219" s="179">
        <v>141.60001000000003</v>
      </c>
      <c r="X219" s="27">
        <f t="shared" si="93"/>
        <v>400.79998800000004</v>
      </c>
      <c r="Y219" s="29">
        <f ca="1">VLOOKUP(Z219,CHOOSE({2,1},Fac_Fecha,Fac_OT),2,0)</f>
        <v>43832</v>
      </c>
      <c r="Z219" s="26" t="s">
        <v>1379</v>
      </c>
      <c r="AA219" s="28">
        <f t="shared" ca="1" si="92"/>
        <v>11714.754209999999</v>
      </c>
      <c r="AB219" s="28">
        <f ca="1">SUMIF(Salida_OT,Facturacion!Z219,Salida_Suma)</f>
        <v>2998.95411074</v>
      </c>
      <c r="AC219" s="28">
        <f t="shared" ca="1" si="94"/>
        <v>0</v>
      </c>
      <c r="AD219" s="28">
        <f t="shared" ca="1" si="95"/>
        <v>209.15</v>
      </c>
      <c r="AE219" s="28">
        <f ca="1">(SUMIF(Asig_OT,Z219,Asig_Hora_Mec))*'Costos x MO'!$B$6*'Costos x MO'!$B$7</f>
        <v>275.11875000000003</v>
      </c>
      <c r="AF219" s="28">
        <f ca="1">SUMIF(Asig_OT,Z219,Asig_Hora_Pla)*'Costos x MO'!$B$4*'Costos x MO'!$B$7</f>
        <v>753.75</v>
      </c>
      <c r="AG219" s="28">
        <f ca="1">SUMIF(Asig_OT,Z219,Asig_paño_Pin)*'Costos x MO'!$B$5*'Costos x MO'!$B$7</f>
        <v>1266.3</v>
      </c>
      <c r="AH219" s="28">
        <f ca="1">(SUMIF(Asig_OT,Z219,Asig_Terc_Pla)*'Costos x MO'!$B$7)+(SUMIF(Asig_OT,Z219,Asig_Terc_Pin)*'Costos x MO'!$B$7)</f>
        <v>0</v>
      </c>
      <c r="AI219" s="28">
        <f t="shared" ca="1" si="96"/>
        <v>5503.2728607400004</v>
      </c>
      <c r="AJ219" s="28">
        <f t="shared" ca="1" si="97"/>
        <v>6211.4813492599988</v>
      </c>
      <c r="AK219" s="31">
        <f t="shared" ca="1" si="98"/>
        <v>0.53022720220264863</v>
      </c>
      <c r="AL219" s="28" t="str">
        <f t="shared" ca="1" si="99"/>
        <v>ACCESO</v>
      </c>
      <c r="AM219" s="28" t="str">
        <f t="shared" ca="1" si="100"/>
        <v>GRAVE</v>
      </c>
      <c r="AN219" s="30" t="str">
        <f t="shared" ca="1" si="101"/>
        <v>January</v>
      </c>
      <c r="AO219" s="42">
        <f t="shared" ca="1" si="102"/>
        <v>2020</v>
      </c>
      <c r="AP219" s="42">
        <f t="shared" ca="1" si="103"/>
        <v>42</v>
      </c>
      <c r="AQ219" s="26">
        <v>1</v>
      </c>
      <c r="AR219" s="30">
        <f t="shared" ca="1" si="104"/>
        <v>43790</v>
      </c>
      <c r="AS219" s="30" t="str">
        <f t="shared" ca="1" si="105"/>
        <v>F0B-164</v>
      </c>
      <c r="AT219" s="26" t="str">
        <f t="shared" ca="1" si="106"/>
        <v>CHEVROLET</v>
      </c>
      <c r="AU219" s="26" t="str">
        <f t="shared" ca="1" si="107"/>
        <v>SAIL</v>
      </c>
      <c r="AV219" s="26" t="str">
        <f t="shared" ca="1" si="108"/>
        <v>EDPYME ACCESO CREDITICIO SOCIEDAD ANONIMA</v>
      </c>
    </row>
    <row r="220" spans="1:48" x14ac:dyDescent="0.2">
      <c r="A220" s="172">
        <v>43768</v>
      </c>
      <c r="B220" s="173" t="s">
        <v>68</v>
      </c>
      <c r="C220" s="173" t="s">
        <v>102</v>
      </c>
      <c r="D220" s="173" t="s">
        <v>640</v>
      </c>
      <c r="E220" s="173" t="s">
        <v>860</v>
      </c>
      <c r="F220" s="173" t="s">
        <v>1168</v>
      </c>
      <c r="G220" s="172">
        <v>43760</v>
      </c>
      <c r="H220" s="173" t="s">
        <v>90</v>
      </c>
      <c r="I220" s="173" t="s">
        <v>91</v>
      </c>
      <c r="J220" s="173" t="s">
        <v>92</v>
      </c>
      <c r="K220" s="173" t="s">
        <v>113</v>
      </c>
      <c r="L220" s="174" t="s">
        <v>71</v>
      </c>
      <c r="M220" s="175" t="s">
        <v>72</v>
      </c>
      <c r="N220" s="173" t="s">
        <v>73</v>
      </c>
      <c r="O220" s="176" t="s">
        <v>69</v>
      </c>
      <c r="P220" s="130" t="s">
        <v>113</v>
      </c>
      <c r="Q220" s="177" t="s">
        <v>93</v>
      </c>
      <c r="R220" s="178">
        <v>3.3399999000000005</v>
      </c>
      <c r="S220" s="179">
        <v>1</v>
      </c>
      <c r="T220" s="179">
        <v>30</v>
      </c>
      <c r="U220" s="179">
        <v>30</v>
      </c>
      <c r="V220" s="179">
        <v>5.4000019999999997</v>
      </c>
      <c r="W220" s="179">
        <v>35.400002000000001</v>
      </c>
      <c r="X220" s="27">
        <f t="shared" si="93"/>
        <v>100.19999700000001</v>
      </c>
      <c r="Y220" s="29">
        <f ca="1">VLOOKUP(Z220,CHOOSE({2,1},Fac_Fecha,Fac_OT),2,0)</f>
        <v>43832</v>
      </c>
      <c r="Z220" s="26" t="s">
        <v>835</v>
      </c>
      <c r="AA220" s="28">
        <f t="shared" ca="1" si="92"/>
        <v>9866</v>
      </c>
      <c r="AB220" s="28">
        <f ca="1">SUMIF(Salida_OT,Facturacion!Z220,Salida_Suma)</f>
        <v>2023.7140816400004</v>
      </c>
      <c r="AC220" s="28">
        <f t="shared" ca="1" si="94"/>
        <v>415.25016949152536</v>
      </c>
      <c r="AD220" s="28">
        <f t="shared" ca="1" si="95"/>
        <v>164.74</v>
      </c>
      <c r="AE220" s="28">
        <f ca="1">(SUMIF(Asig_OT,Z220,Asig_Hora_Mec))*'Costos x MO'!$B$6*'Costos x MO'!$B$7</f>
        <v>165.82500000000002</v>
      </c>
      <c r="AF220" s="28">
        <f ca="1">SUMIF(Asig_OT,Z220,Asig_Hora_Pla)*'Costos x MO'!$B$4*'Costos x MO'!$B$7</f>
        <v>678.375</v>
      </c>
      <c r="AG220" s="28">
        <f ca="1">SUMIF(Asig_OT,Z220,Asig_paño_Pin)*'Costos x MO'!$B$5*'Costos x MO'!$B$7</f>
        <v>1195.95</v>
      </c>
      <c r="AH220" s="28">
        <f ca="1">(SUMIF(Asig_OT,Z220,Asig_Terc_Pla)*'Costos x MO'!$B$7)+(SUMIF(Asig_OT,Z220,Asig_Terc_Pin)*'Costos x MO'!$B$7)</f>
        <v>0</v>
      </c>
      <c r="AI220" s="28">
        <f t="shared" ca="1" si="96"/>
        <v>4643.8542511315254</v>
      </c>
      <c r="AJ220" s="28">
        <f t="shared" ca="1" si="97"/>
        <v>5222.1457488684746</v>
      </c>
      <c r="AK220" s="31">
        <f t="shared" ca="1" si="98"/>
        <v>0.52930729260779186</v>
      </c>
      <c r="AL220" s="28" t="str">
        <f t="shared" ca="1" si="99"/>
        <v>ACCESO</v>
      </c>
      <c r="AM220" s="28" t="str">
        <f t="shared" ca="1" si="100"/>
        <v>MEDIANO</v>
      </c>
      <c r="AN220" s="30" t="str">
        <f t="shared" ca="1" si="101"/>
        <v>January</v>
      </c>
      <c r="AO220" s="42">
        <f t="shared" ca="1" si="102"/>
        <v>2020</v>
      </c>
      <c r="AP220" s="42">
        <f t="shared" ca="1" si="103"/>
        <v>78</v>
      </c>
      <c r="AQ220" s="26">
        <v>1</v>
      </c>
      <c r="AR220" s="30">
        <f t="shared" ca="1" si="104"/>
        <v>43754</v>
      </c>
      <c r="AS220" s="30" t="str">
        <f t="shared" ca="1" si="105"/>
        <v>AMR-639</v>
      </c>
      <c r="AT220" s="26" t="str">
        <f t="shared" ca="1" si="106"/>
        <v>CHEVROLET</v>
      </c>
      <c r="AU220" s="26" t="str">
        <f t="shared" ca="1" si="107"/>
        <v>SAIL</v>
      </c>
      <c r="AV220" s="26" t="str">
        <f t="shared" ca="1" si="108"/>
        <v>EDPYME ACCESO CREDITICIO SOCIEDAD ANONIMA</v>
      </c>
    </row>
    <row r="221" spans="1:48" x14ac:dyDescent="0.2">
      <c r="A221" s="172">
        <v>43768</v>
      </c>
      <c r="B221" s="173" t="s">
        <v>68</v>
      </c>
      <c r="C221" s="173" t="s">
        <v>102</v>
      </c>
      <c r="D221" s="173" t="s">
        <v>640</v>
      </c>
      <c r="E221" s="173" t="s">
        <v>860</v>
      </c>
      <c r="F221" s="173" t="s">
        <v>1168</v>
      </c>
      <c r="G221" s="172">
        <v>43760</v>
      </c>
      <c r="H221" s="173" t="s">
        <v>90</v>
      </c>
      <c r="I221" s="173" t="s">
        <v>91</v>
      </c>
      <c r="J221" s="173" t="s">
        <v>95</v>
      </c>
      <c r="K221" s="173" t="s">
        <v>96</v>
      </c>
      <c r="L221" s="174" t="s">
        <v>71</v>
      </c>
      <c r="M221" s="175" t="s">
        <v>72</v>
      </c>
      <c r="N221" s="173" t="s">
        <v>73</v>
      </c>
      <c r="O221" s="176" t="s">
        <v>69</v>
      </c>
      <c r="P221" s="130" t="s">
        <v>96</v>
      </c>
      <c r="Q221" s="177" t="s">
        <v>93</v>
      </c>
      <c r="R221" s="178">
        <v>3.3399999000000005</v>
      </c>
      <c r="S221" s="179">
        <v>-1</v>
      </c>
      <c r="T221" s="179">
        <v>96.321998999999991</v>
      </c>
      <c r="U221" s="179">
        <v>-96.321998999999991</v>
      </c>
      <c r="V221" s="179">
        <v>-17.338001000000006</v>
      </c>
      <c r="W221" s="179">
        <v>-113.66</v>
      </c>
      <c r="X221" s="27">
        <f t="shared" si="93"/>
        <v>-321.71546702780012</v>
      </c>
      <c r="Y221" s="29">
        <f ca="1">VLOOKUP(Z221,CHOOSE({2,1},Fac_Fecha,Fac_OT),2,0)</f>
        <v>43832</v>
      </c>
      <c r="Z221" s="26" t="s">
        <v>1447</v>
      </c>
      <c r="AA221" s="28">
        <f t="shared" ca="1" si="92"/>
        <v>4710</v>
      </c>
      <c r="AB221" s="28">
        <f ca="1">SUMIF(Salida_OT,Facturacion!Z221,Salida_Suma)</f>
        <v>1218.8407061</v>
      </c>
      <c r="AC221" s="28">
        <f t="shared" ca="1" si="94"/>
        <v>76.260000000000005</v>
      </c>
      <c r="AD221" s="28">
        <f t="shared" ca="1" si="95"/>
        <v>842.37</v>
      </c>
      <c r="AE221" s="28">
        <f ca="1">(SUMIF(Asig_OT,Z221,Asig_Hora_Mec))*'Costos x MO'!$B$6*'Costos x MO'!$B$7</f>
        <v>0</v>
      </c>
      <c r="AF221" s="28">
        <f ca="1">SUMIF(Asig_OT,Z221,Asig_Hora_Pla)*'Costos x MO'!$B$4*'Costos x MO'!$B$7</f>
        <v>0</v>
      </c>
      <c r="AG221" s="28">
        <f ca="1">SUMIF(Asig_OT,Z221,Asig_paño_Pin)*'Costos x MO'!$B$5*'Costos x MO'!$B$7</f>
        <v>0</v>
      </c>
      <c r="AH221" s="28">
        <f ca="1">(SUMIF(Asig_OT,Z221,Asig_Terc_Pla)*'Costos x MO'!$B$7)+(SUMIF(Asig_OT,Z221,Asig_Terc_Pin)*'Costos x MO'!$B$7)</f>
        <v>0</v>
      </c>
      <c r="AI221" s="28">
        <f t="shared" ca="1" si="96"/>
        <v>2137.4707060999999</v>
      </c>
      <c r="AJ221" s="28">
        <f t="shared" ca="1" si="97"/>
        <v>2572.5292939000001</v>
      </c>
      <c r="AK221" s="31">
        <f t="shared" ca="1" si="98"/>
        <v>0.54618456346072186</v>
      </c>
      <c r="AL221" s="28" t="s">
        <v>770</v>
      </c>
      <c r="AM221" s="28" t="s">
        <v>447</v>
      </c>
      <c r="AN221" s="30" t="str">
        <f t="shared" ca="1" si="101"/>
        <v>January</v>
      </c>
      <c r="AO221" s="42">
        <f t="shared" ca="1" si="102"/>
        <v>2020</v>
      </c>
      <c r="AP221" s="42">
        <f t="shared" ca="1" si="103"/>
        <v>42</v>
      </c>
      <c r="AQ221" s="26">
        <v>1</v>
      </c>
      <c r="AR221" s="30">
        <f t="shared" ca="1" si="104"/>
        <v>43790</v>
      </c>
      <c r="AS221" s="30" t="str">
        <f ca="1">IFERROR(VLOOKUP(Z221,Matriz2,2,0),"S/PLACA")</f>
        <v>AMR639</v>
      </c>
      <c r="AT221" s="26" t="s">
        <v>126</v>
      </c>
      <c r="AU221" s="26" t="s">
        <v>127</v>
      </c>
      <c r="AV221" s="26" t="str">
        <f t="shared" ca="1" si="108"/>
        <v>EDPYME ACCESO CREDITICIO SOCIEDAD ANONIMA</v>
      </c>
    </row>
    <row r="222" spans="1:48" x14ac:dyDescent="0.2">
      <c r="A222" s="172">
        <v>43768</v>
      </c>
      <c r="B222" s="173" t="s">
        <v>68</v>
      </c>
      <c r="C222" s="173" t="s">
        <v>102</v>
      </c>
      <c r="D222" s="173" t="s">
        <v>640</v>
      </c>
      <c r="E222" s="173" t="s">
        <v>860</v>
      </c>
      <c r="F222" s="173" t="s">
        <v>1168</v>
      </c>
      <c r="G222" s="172">
        <v>43760</v>
      </c>
      <c r="H222" s="173" t="s">
        <v>90</v>
      </c>
      <c r="I222" s="173" t="s">
        <v>91</v>
      </c>
      <c r="J222" s="173" t="s">
        <v>104</v>
      </c>
      <c r="K222" s="173" t="s">
        <v>105</v>
      </c>
      <c r="L222" s="174" t="s">
        <v>71</v>
      </c>
      <c r="M222" s="175" t="s">
        <v>72</v>
      </c>
      <c r="N222" s="173" t="s">
        <v>73</v>
      </c>
      <c r="O222" s="176" t="s">
        <v>69</v>
      </c>
      <c r="P222" s="173" t="s">
        <v>105</v>
      </c>
      <c r="Q222" s="177" t="s">
        <v>93</v>
      </c>
      <c r="R222" s="178">
        <v>3.3399999000000005</v>
      </c>
      <c r="S222" s="179">
        <v>1</v>
      </c>
      <c r="T222" s="179">
        <v>0</v>
      </c>
      <c r="U222" s="179">
        <v>0</v>
      </c>
      <c r="V222" s="179">
        <v>0</v>
      </c>
      <c r="W222" s="179">
        <v>0</v>
      </c>
      <c r="X222" s="27">
        <f t="shared" si="93"/>
        <v>0</v>
      </c>
      <c r="Y222" s="29">
        <f ca="1">VLOOKUP(Z222,CHOOSE({2,1},Fac_Fecha,Fac_OT),2,0)</f>
        <v>43832</v>
      </c>
      <c r="Z222" s="26" t="s">
        <v>1937</v>
      </c>
      <c r="AA222" s="28">
        <f t="shared" ca="1" si="92"/>
        <v>2488.7542100000001</v>
      </c>
      <c r="AB222" s="28">
        <f ca="1">SUMIF(Salida_OT,Facturacion!Z222,Salida_Suma)</f>
        <v>221.6296931</v>
      </c>
      <c r="AC222" s="28">
        <f t="shared" ca="1" si="94"/>
        <v>16.100000000000001</v>
      </c>
      <c r="AD222" s="28">
        <f t="shared" ca="1" si="95"/>
        <v>89.32</v>
      </c>
      <c r="AE222" s="28">
        <f ca="1">(SUMIF(Asig_OT,Z222,Asig_Hora_Mec))*'Costos x MO'!$B$6*'Costos x MO'!$B$7</f>
        <v>139.44374999999999</v>
      </c>
      <c r="AF222" s="28">
        <f ca="1">SUMIF(Asig_OT,Z222,Asig_Hora_Pla)*'Costos x MO'!$B$4*'Costos x MO'!$B$7</f>
        <v>120.60000000000001</v>
      </c>
      <c r="AG222" s="28">
        <f ca="1">SUMIF(Asig_OT,Z222,Asig_paño_Pin)*'Costos x MO'!$B$5*'Costos x MO'!$B$7</f>
        <v>562.80000000000007</v>
      </c>
      <c r="AH222" s="28">
        <f ca="1">(SUMIF(Asig_OT,Z222,Asig_Terc_Pla)*'Costos x MO'!$B$7)+(SUMIF(Asig_OT,Z222,Asig_Terc_Pin)*'Costos x MO'!$B$7)</f>
        <v>0</v>
      </c>
      <c r="AI222" s="28">
        <f t="shared" ca="1" si="96"/>
        <v>1149.8934431000002</v>
      </c>
      <c r="AJ222" s="28">
        <f t="shared" ca="1" si="97"/>
        <v>1338.8607668999998</v>
      </c>
      <c r="AK222" s="31">
        <f t="shared" ca="1" si="98"/>
        <v>0.53796423990780506</v>
      </c>
      <c r="AL222" s="28" t="str">
        <f t="shared" ca="1" si="99"/>
        <v>ACCESO</v>
      </c>
      <c r="AM222" s="28" t="str">
        <f t="shared" ca="1" si="100"/>
        <v>LEVE</v>
      </c>
      <c r="AN222" s="30" t="str">
        <f t="shared" ca="1" si="101"/>
        <v>January</v>
      </c>
      <c r="AO222" s="42">
        <f t="shared" ca="1" si="102"/>
        <v>2020</v>
      </c>
      <c r="AP222" s="42">
        <f t="shared" ca="1" si="103"/>
        <v>24</v>
      </c>
      <c r="AQ222" s="26">
        <v>1</v>
      </c>
      <c r="AR222" s="30">
        <f t="shared" ca="1" si="104"/>
        <v>43808</v>
      </c>
      <c r="AS222" s="30" t="str">
        <f t="shared" ca="1" si="105"/>
        <v>BJJ-554</v>
      </c>
      <c r="AT222" s="26" t="str">
        <f t="shared" ca="1" si="106"/>
        <v>CHEVROLET</v>
      </c>
      <c r="AU222" s="26" t="str">
        <f t="shared" ca="1" si="107"/>
        <v>COBALT</v>
      </c>
      <c r="AV222" s="26" t="str">
        <f t="shared" ca="1" si="108"/>
        <v>EDPYME ACCESO CREDITICIO SOCIEDAD ANONIMA</v>
      </c>
    </row>
    <row r="223" spans="1:48" x14ac:dyDescent="0.2">
      <c r="A223" s="172">
        <v>43768</v>
      </c>
      <c r="B223" s="173" t="s">
        <v>68</v>
      </c>
      <c r="C223" s="173" t="s">
        <v>102</v>
      </c>
      <c r="D223" s="173" t="s">
        <v>639</v>
      </c>
      <c r="E223" s="173" t="s">
        <v>837</v>
      </c>
      <c r="F223" s="173" t="s">
        <v>1169</v>
      </c>
      <c r="G223" s="172">
        <v>43759</v>
      </c>
      <c r="H223" s="173" t="s">
        <v>557</v>
      </c>
      <c r="I223" s="173" t="s">
        <v>556</v>
      </c>
      <c r="J223" s="173" t="s">
        <v>95</v>
      </c>
      <c r="K223" s="173" t="s">
        <v>96</v>
      </c>
      <c r="L223" s="174" t="s">
        <v>71</v>
      </c>
      <c r="M223" s="175" t="s">
        <v>72</v>
      </c>
      <c r="N223" s="173" t="s">
        <v>73</v>
      </c>
      <c r="O223" s="176" t="s">
        <v>69</v>
      </c>
      <c r="P223" s="130" t="s">
        <v>96</v>
      </c>
      <c r="Q223" s="177" t="s">
        <v>93</v>
      </c>
      <c r="R223" s="178">
        <v>3.3399999000000005</v>
      </c>
      <c r="S223" s="179">
        <v>1</v>
      </c>
      <c r="T223" s="179">
        <v>100</v>
      </c>
      <c r="U223" s="179">
        <v>100</v>
      </c>
      <c r="V223" s="179">
        <v>18</v>
      </c>
      <c r="W223" s="179">
        <v>118</v>
      </c>
      <c r="X223" s="27">
        <f t="shared" si="93"/>
        <v>333.99999000000003</v>
      </c>
      <c r="Y223" s="29">
        <f ca="1">VLOOKUP(Z223,CHOOSE({2,1},Fac_Fecha,Fac_OT),2,0)</f>
        <v>43832</v>
      </c>
      <c r="Z223" s="26" t="s">
        <v>1373</v>
      </c>
      <c r="AA223" s="28">
        <f t="shared" ca="1" si="92"/>
        <v>10452</v>
      </c>
      <c r="AB223" s="28">
        <f ca="1">SUMIF(Salida_OT,Facturacion!Z223,Salida_Suma)</f>
        <v>2174.7578027</v>
      </c>
      <c r="AC223" s="28">
        <f t="shared" ca="1" si="94"/>
        <v>71.19</v>
      </c>
      <c r="AD223" s="28">
        <f t="shared" ca="1" si="95"/>
        <v>342.78999999999996</v>
      </c>
      <c r="AE223" s="28">
        <f ca="1">(SUMIF(Asig_OT,Z223,Asig_Hora_Mec))*'Costos x MO'!$B$6*'Costos x MO'!$B$7</f>
        <v>316.57499999999999</v>
      </c>
      <c r="AF223" s="28">
        <f ca="1">SUMIF(Asig_OT,Z223,Asig_Hora_Pla)*'Costos x MO'!$B$4*'Costos x MO'!$B$7</f>
        <v>422.1</v>
      </c>
      <c r="AG223" s="28">
        <f ca="1">SUMIF(Asig_OT,Z223,Asig_paño_Pin)*'Costos x MO'!$B$5*'Costos x MO'!$B$7</f>
        <v>1266.3</v>
      </c>
      <c r="AH223" s="28">
        <f ca="1">(SUMIF(Asig_OT,Z223,Asig_Terc_Pla)*'Costos x MO'!$B$7)+(SUMIF(Asig_OT,Z223,Asig_Terc_Pin)*'Costos x MO'!$B$7)</f>
        <v>0</v>
      </c>
      <c r="AI223" s="28">
        <f t="shared" ca="1" si="96"/>
        <v>4593.7128026999999</v>
      </c>
      <c r="AJ223" s="28">
        <f t="shared" ca="1" si="97"/>
        <v>5858.2871973000001</v>
      </c>
      <c r="AK223" s="31">
        <f t="shared" ca="1" si="98"/>
        <v>0.56049437402411018</v>
      </c>
      <c r="AL223" s="28" t="str">
        <f t="shared" ca="1" si="99"/>
        <v>ACCESO</v>
      </c>
      <c r="AM223" s="28" t="str">
        <f t="shared" ca="1" si="100"/>
        <v>GRAVE</v>
      </c>
      <c r="AN223" s="30" t="str">
        <f t="shared" ca="1" si="101"/>
        <v>January</v>
      </c>
      <c r="AO223" s="42">
        <f t="shared" ca="1" si="102"/>
        <v>2020</v>
      </c>
      <c r="AP223" s="42">
        <f t="shared" ca="1" si="103"/>
        <v>42</v>
      </c>
      <c r="AQ223" s="26">
        <v>1</v>
      </c>
      <c r="AR223" s="30">
        <f t="shared" ca="1" si="104"/>
        <v>43790</v>
      </c>
      <c r="AS223" s="30" t="str">
        <f t="shared" ca="1" si="105"/>
        <v>AUN-101</v>
      </c>
      <c r="AT223" s="26" t="str">
        <f t="shared" ca="1" si="106"/>
        <v>CHEVROLET</v>
      </c>
      <c r="AU223" s="26" t="str">
        <f t="shared" ca="1" si="107"/>
        <v>SAIL</v>
      </c>
      <c r="AV223" s="26" t="str">
        <f t="shared" ca="1" si="108"/>
        <v>EDPYME ACCESO CREDITICIO SOCIEDAD ANONIMA</v>
      </c>
    </row>
    <row r="224" spans="1:48" x14ac:dyDescent="0.2">
      <c r="A224" s="172">
        <v>43768</v>
      </c>
      <c r="B224" s="173" t="s">
        <v>68</v>
      </c>
      <c r="C224" s="173" t="s">
        <v>102</v>
      </c>
      <c r="D224" s="173" t="s">
        <v>638</v>
      </c>
      <c r="E224" s="173" t="s">
        <v>837</v>
      </c>
      <c r="F224" s="173" t="s">
        <v>1169</v>
      </c>
      <c r="G224" s="172">
        <v>43759</v>
      </c>
      <c r="H224" s="173" t="s">
        <v>90</v>
      </c>
      <c r="I224" s="173" t="s">
        <v>91</v>
      </c>
      <c r="J224" s="173" t="s">
        <v>97</v>
      </c>
      <c r="K224" s="173" t="s">
        <v>98</v>
      </c>
      <c r="L224" s="174" t="s">
        <v>71</v>
      </c>
      <c r="M224" s="175" t="s">
        <v>72</v>
      </c>
      <c r="N224" s="173" t="s">
        <v>73</v>
      </c>
      <c r="O224" s="176" t="s">
        <v>99</v>
      </c>
      <c r="P224" s="173" t="s">
        <v>98</v>
      </c>
      <c r="Q224" s="177" t="s">
        <v>93</v>
      </c>
      <c r="R224" s="178">
        <v>3.3399999000000005</v>
      </c>
      <c r="S224" s="179">
        <v>1</v>
      </c>
      <c r="T224" s="179">
        <v>118</v>
      </c>
      <c r="U224" s="179">
        <v>118</v>
      </c>
      <c r="V224" s="179">
        <v>21.240010000000019</v>
      </c>
      <c r="W224" s="179">
        <v>139.24001000000001</v>
      </c>
      <c r="X224" s="27">
        <f t="shared" si="93"/>
        <v>394.11998820000008</v>
      </c>
      <c r="Y224" s="29">
        <f ca="1">VLOOKUP(Z224,CHOOSE({2,1},Fac_Fecha,Fac_OT),2,0)</f>
        <v>43832</v>
      </c>
      <c r="Z224" s="107" t="s">
        <v>1973</v>
      </c>
      <c r="AA224" s="28">
        <v>1101.21</v>
      </c>
      <c r="AB224" s="28">
        <f ca="1">SUMIF(Salida_OT,Facturacion!Z224,Salida_Suma)</f>
        <v>152.54000000000002</v>
      </c>
      <c r="AC224" s="28">
        <f t="shared" ca="1" si="94"/>
        <v>0</v>
      </c>
      <c r="AD224" s="28">
        <f t="shared" ca="1" si="95"/>
        <v>59.32</v>
      </c>
      <c r="AE224" s="28">
        <f ca="1">(SUMIF(Asig_OT,Z224,Asig_Hora_Mec))*'Costos x MO'!$B$6*'Costos x MO'!$B$7</f>
        <v>0</v>
      </c>
      <c r="AF224" s="28">
        <f ca="1">SUMIF(Asig_OT,Z224,Asig_Hora_Pla)*'Costos x MO'!$B$4*'Costos x MO'!$B$7</f>
        <v>45.225000000000001</v>
      </c>
      <c r="AG224" s="28">
        <f ca="1">SUMIF(Asig_OT,Z224,Asig_paño_Pin)*'Costos x MO'!$B$5*'Costos x MO'!$B$7</f>
        <v>158.28749999999999</v>
      </c>
      <c r="AH224" s="28">
        <f ca="1">(SUMIF(Asig_OT,Z224,Asig_Terc_Pla)*'Costos x MO'!$B$7)+(SUMIF(Asig_OT,Z224,Asig_Terc_Pin)*'Costos x MO'!$B$7)</f>
        <v>0</v>
      </c>
      <c r="AI224" s="28">
        <f t="shared" ca="1" si="96"/>
        <v>415.37250000000006</v>
      </c>
      <c r="AJ224" s="28">
        <f t="shared" ca="1" si="97"/>
        <v>685.83749999999998</v>
      </c>
      <c r="AK224" s="31">
        <f t="shared" ca="1" si="98"/>
        <v>0.62280355245593477</v>
      </c>
      <c r="AL224" s="28" t="str">
        <f t="shared" ca="1" si="99"/>
        <v>RIMAC</v>
      </c>
      <c r="AM224" s="28" t="str">
        <f t="shared" ca="1" si="100"/>
        <v>LEVE</v>
      </c>
      <c r="AN224" s="30" t="str">
        <f t="shared" ca="1" si="101"/>
        <v>January</v>
      </c>
      <c r="AO224" s="42">
        <f t="shared" ca="1" si="102"/>
        <v>2020</v>
      </c>
      <c r="AP224" s="42">
        <f t="shared" ca="1" si="103"/>
        <v>14</v>
      </c>
      <c r="AQ224" s="26">
        <v>1</v>
      </c>
      <c r="AR224" s="30">
        <f t="shared" ca="1" si="104"/>
        <v>43818</v>
      </c>
      <c r="AS224" s="30" t="str">
        <f t="shared" ca="1" si="105"/>
        <v>F2O-046</v>
      </c>
      <c r="AT224" s="26" t="str">
        <f t="shared" ca="1" si="106"/>
        <v>MAZDA</v>
      </c>
      <c r="AU224" s="26" t="str">
        <f t="shared" ca="1" si="107"/>
        <v>CX-5</v>
      </c>
      <c r="AV224" s="26" t="str">
        <f t="shared" ca="1" si="108"/>
        <v>RIMAC SEGUROS  Y REASEGUROS S.A</v>
      </c>
    </row>
    <row r="225" spans="1:48" x14ac:dyDescent="0.2">
      <c r="A225" s="172">
        <v>43768</v>
      </c>
      <c r="B225" s="173" t="s">
        <v>68</v>
      </c>
      <c r="C225" s="173" t="s">
        <v>102</v>
      </c>
      <c r="D225" s="173" t="s">
        <v>638</v>
      </c>
      <c r="E225" s="173" t="s">
        <v>837</v>
      </c>
      <c r="F225" s="173" t="s">
        <v>1169</v>
      </c>
      <c r="G225" s="172">
        <v>43759</v>
      </c>
      <c r="H225" s="173" t="s">
        <v>90</v>
      </c>
      <c r="I225" s="173" t="s">
        <v>91</v>
      </c>
      <c r="J225" s="173" t="s">
        <v>100</v>
      </c>
      <c r="K225" s="173" t="s">
        <v>101</v>
      </c>
      <c r="L225" s="174" t="s">
        <v>71</v>
      </c>
      <c r="M225" s="175" t="s">
        <v>72</v>
      </c>
      <c r="N225" s="173" t="s">
        <v>73</v>
      </c>
      <c r="O225" s="176" t="s">
        <v>72</v>
      </c>
      <c r="P225" s="130" t="s">
        <v>101</v>
      </c>
      <c r="Q225" s="177" t="s">
        <v>93</v>
      </c>
      <c r="R225" s="178">
        <v>3.3399999000000005</v>
      </c>
      <c r="S225" s="179">
        <v>1</v>
      </c>
      <c r="T225" s="179">
        <v>270</v>
      </c>
      <c r="U225" s="179">
        <v>270</v>
      </c>
      <c r="V225" s="179">
        <v>48.600010000000005</v>
      </c>
      <c r="W225" s="179">
        <v>318.60001</v>
      </c>
      <c r="X225" s="27">
        <f t="shared" si="93"/>
        <v>901.79997300000014</v>
      </c>
      <c r="Y225" s="29">
        <f ca="1">VLOOKUP(Z225,CHOOSE({2,1},Fac_Fecha,Fac_OT),2,0)</f>
        <v>43832</v>
      </c>
      <c r="Z225" s="26" t="s">
        <v>1996</v>
      </c>
      <c r="AA225" s="28">
        <f t="shared" ca="1" si="92"/>
        <v>499</v>
      </c>
      <c r="AB225" s="28">
        <f ca="1">SUMIF(Salida_OT,Facturacion!Z225,Salida_Suma)</f>
        <v>125.31709879999997</v>
      </c>
      <c r="AC225" s="28">
        <f t="shared" ca="1" si="94"/>
        <v>0</v>
      </c>
      <c r="AD225" s="28">
        <f t="shared" ca="1" si="95"/>
        <v>0</v>
      </c>
      <c r="AE225" s="28">
        <f ca="1">(SUMIF(Asig_OT,Z225,Asig_Hora_Mec))*'Costos x MO'!$B$6*'Costos x MO'!$B$7</f>
        <v>40.250250000000001</v>
      </c>
      <c r="AF225" s="28">
        <f ca="1">SUMIF(Asig_OT,Z225,Asig_Hora_Pla)*'Costos x MO'!$B$4*'Costos x MO'!$B$7</f>
        <v>0</v>
      </c>
      <c r="AG225" s="28">
        <f ca="1">SUMIF(Asig_OT,Z225,Asig_paño_Pin)*'Costos x MO'!$B$5*'Costos x MO'!$B$7</f>
        <v>0</v>
      </c>
      <c r="AH225" s="28">
        <f ca="1">(SUMIF(Asig_OT,Z225,Asig_Terc_Pla)*'Costos x MO'!$B$7)+(SUMIF(Asig_OT,Z225,Asig_Terc_Pin)*'Costos x MO'!$B$7)</f>
        <v>0</v>
      </c>
      <c r="AI225" s="28">
        <f t="shared" ca="1" si="96"/>
        <v>165.56734879999996</v>
      </c>
      <c r="AJ225" s="28">
        <f t="shared" ca="1" si="97"/>
        <v>333.43265120000001</v>
      </c>
      <c r="AK225" s="31">
        <f t="shared" ca="1" si="98"/>
        <v>0.6682017058116233</v>
      </c>
      <c r="AL225" s="28" t="str">
        <f t="shared" ca="1" si="99"/>
        <v>C.C</v>
      </c>
      <c r="AM225" s="28" t="str">
        <f t="shared" ca="1" si="100"/>
        <v>MECANICA</v>
      </c>
      <c r="AN225" s="30" t="str">
        <f t="shared" ca="1" si="101"/>
        <v>January</v>
      </c>
      <c r="AO225" s="42">
        <f t="shared" ca="1" si="102"/>
        <v>2020</v>
      </c>
      <c r="AP225" s="42">
        <f t="shared" ca="1" si="103"/>
        <v>5</v>
      </c>
      <c r="AQ225" s="26">
        <v>1</v>
      </c>
      <c r="AR225" s="30">
        <f t="shared" ca="1" si="104"/>
        <v>43827</v>
      </c>
      <c r="AS225" s="30" t="str">
        <f t="shared" ca="1" si="105"/>
        <v>C4S-251</v>
      </c>
      <c r="AT225" s="26" t="str">
        <f t="shared" ca="1" si="106"/>
        <v>KIA</v>
      </c>
      <c r="AU225" s="26" t="str">
        <f t="shared" ca="1" si="107"/>
        <v>SORENTO</v>
      </c>
      <c r="AV225" s="26" t="str">
        <f t="shared" ca="1" si="108"/>
        <v>INDURA PERU S.A.</v>
      </c>
    </row>
    <row r="226" spans="1:48" x14ac:dyDescent="0.2">
      <c r="A226" s="172">
        <v>43768</v>
      </c>
      <c r="B226" s="173" t="s">
        <v>68</v>
      </c>
      <c r="C226" s="173" t="s">
        <v>102</v>
      </c>
      <c r="D226" s="173" t="s">
        <v>638</v>
      </c>
      <c r="E226" s="173" t="s">
        <v>837</v>
      </c>
      <c r="F226" s="173" t="s">
        <v>1169</v>
      </c>
      <c r="G226" s="172">
        <v>43759</v>
      </c>
      <c r="H226" s="173" t="s">
        <v>90</v>
      </c>
      <c r="I226" s="173" t="s">
        <v>91</v>
      </c>
      <c r="J226" s="173" t="s">
        <v>92</v>
      </c>
      <c r="K226" s="173" t="s">
        <v>113</v>
      </c>
      <c r="L226" s="174" t="s">
        <v>71</v>
      </c>
      <c r="M226" s="175" t="s">
        <v>72</v>
      </c>
      <c r="N226" s="173" t="s">
        <v>73</v>
      </c>
      <c r="O226" s="176" t="s">
        <v>69</v>
      </c>
      <c r="P226" s="130" t="s">
        <v>113</v>
      </c>
      <c r="Q226" s="177" t="s">
        <v>93</v>
      </c>
      <c r="R226" s="178">
        <v>3.3399999000000005</v>
      </c>
      <c r="S226" s="179">
        <v>1</v>
      </c>
      <c r="T226" s="179">
        <v>35</v>
      </c>
      <c r="U226" s="179">
        <v>35</v>
      </c>
      <c r="V226" s="179">
        <v>6.299998999999989</v>
      </c>
      <c r="W226" s="179">
        <v>41.299998999999985</v>
      </c>
      <c r="X226" s="27">
        <f t="shared" si="93"/>
        <v>116.89999650000001</v>
      </c>
      <c r="Y226" s="29">
        <f ca="1">VLOOKUP(Z226,CHOOSE({2,1},Fac_Fecha,Fac_OT),2,0)</f>
        <v>43834</v>
      </c>
      <c r="Z226" s="26" t="s">
        <v>1994</v>
      </c>
      <c r="AA226" s="28">
        <f t="shared" ca="1" si="92"/>
        <v>1281.3570387</v>
      </c>
      <c r="AB226" s="28">
        <f ca="1">SUMIF(Salida_OT,Facturacion!Z226,Salida_Suma)</f>
        <v>0</v>
      </c>
      <c r="AC226" s="28">
        <f t="shared" ca="1" si="94"/>
        <v>0</v>
      </c>
      <c r="AD226" s="28">
        <f t="shared" ca="1" si="95"/>
        <v>0</v>
      </c>
      <c r="AE226" s="28">
        <f ca="1">(SUMIF(Asig_OT,Z226,Asig_Hora_Mec))*'Costos x MO'!$B$6*'Costos x MO'!$B$7</f>
        <v>0</v>
      </c>
      <c r="AF226" s="28">
        <f ca="1">SUMIF(Asig_OT,Z226,Asig_Hora_Pla)*'Costos x MO'!$B$4*'Costos x MO'!$B$7</f>
        <v>60.300000000000004</v>
      </c>
      <c r="AG226" s="28">
        <f ca="1">SUMIF(Asig_OT,Z226,Asig_paño_Pin)*'Costos x MO'!$B$5*'Costos x MO'!$B$7</f>
        <v>0</v>
      </c>
      <c r="AH226" s="28">
        <f ca="1">(SUMIF(Asig_OT,Z226,Asig_Terc_Pla)*'Costos x MO'!$B$7)+(SUMIF(Asig_OT,Z226,Asig_Terc_Pin)*'Costos x MO'!$B$7)</f>
        <v>0</v>
      </c>
      <c r="AI226" s="28">
        <f t="shared" ca="1" si="96"/>
        <v>60.300000000000004</v>
      </c>
      <c r="AJ226" s="28">
        <f t="shared" ca="1" si="97"/>
        <v>1221.0570387</v>
      </c>
      <c r="AK226" s="31">
        <f t="shared" ca="1" si="98"/>
        <v>0.95294051682802061</v>
      </c>
      <c r="AL226" s="28" t="str">
        <f t="shared" ca="1" si="99"/>
        <v>RIMAC</v>
      </c>
      <c r="AM226" s="28" t="str">
        <f t="shared" ca="1" si="100"/>
        <v>LEVE</v>
      </c>
      <c r="AN226" s="30" t="str">
        <f t="shared" ca="1" si="101"/>
        <v>January</v>
      </c>
      <c r="AO226" s="42">
        <f t="shared" ca="1" si="102"/>
        <v>2020</v>
      </c>
      <c r="AP226" s="42">
        <f t="shared" ca="1" si="103"/>
        <v>12</v>
      </c>
      <c r="AQ226" s="26">
        <v>1</v>
      </c>
      <c r="AR226" s="30">
        <f t="shared" ca="1" si="104"/>
        <v>43822</v>
      </c>
      <c r="AS226" s="30" t="str">
        <f t="shared" ca="1" si="105"/>
        <v>F3M-334</v>
      </c>
      <c r="AT226" s="26" t="str">
        <f t="shared" ca="1" si="106"/>
        <v>SUZUKI</v>
      </c>
      <c r="AU226" s="26" t="str">
        <f t="shared" ca="1" si="107"/>
        <v>SWIFT</v>
      </c>
      <c r="AV226" s="26" t="str">
        <f t="shared" ca="1" si="108"/>
        <v>RIMAC SEGUROS  Y REASEGUROS S.A</v>
      </c>
    </row>
    <row r="227" spans="1:48" x14ac:dyDescent="0.2">
      <c r="A227" s="172">
        <v>43768</v>
      </c>
      <c r="B227" s="173" t="s">
        <v>68</v>
      </c>
      <c r="C227" s="173" t="s">
        <v>102</v>
      </c>
      <c r="D227" s="173" t="s">
        <v>638</v>
      </c>
      <c r="E227" s="173" t="s">
        <v>837</v>
      </c>
      <c r="F227" s="173" t="s">
        <v>1169</v>
      </c>
      <c r="G227" s="172">
        <v>43759</v>
      </c>
      <c r="H227" s="173" t="s">
        <v>90</v>
      </c>
      <c r="I227" s="173" t="s">
        <v>91</v>
      </c>
      <c r="J227" s="173" t="s">
        <v>95</v>
      </c>
      <c r="K227" s="173" t="s">
        <v>96</v>
      </c>
      <c r="L227" s="174" t="s">
        <v>71</v>
      </c>
      <c r="M227" s="175" t="s">
        <v>72</v>
      </c>
      <c r="N227" s="173" t="s">
        <v>73</v>
      </c>
      <c r="O227" s="176" t="s">
        <v>69</v>
      </c>
      <c r="P227" s="130" t="s">
        <v>96</v>
      </c>
      <c r="Q227" s="177" t="s">
        <v>93</v>
      </c>
      <c r="R227" s="178">
        <v>3.3399999000000005</v>
      </c>
      <c r="S227" s="179">
        <v>-1</v>
      </c>
      <c r="T227" s="179">
        <v>100</v>
      </c>
      <c r="U227" s="179">
        <v>-100</v>
      </c>
      <c r="V227" s="179">
        <v>-18</v>
      </c>
      <c r="W227" s="179">
        <v>-118</v>
      </c>
      <c r="X227" s="27">
        <f t="shared" si="93"/>
        <v>-333.99999000000003</v>
      </c>
      <c r="Y227" s="29">
        <f ca="1">VLOOKUP(Z227,CHOOSE({2,1},Fac_Fecha,Fac_OT),2,0)</f>
        <v>43836</v>
      </c>
      <c r="Z227" s="26" t="s">
        <v>2602</v>
      </c>
      <c r="AA227" s="28">
        <f t="shared" ca="1" si="92"/>
        <v>879</v>
      </c>
      <c r="AB227" s="28">
        <f ca="1">SUMIF(Salida_OT,Facturacion!Z227,Salida_Suma)</f>
        <v>258.47460100000006</v>
      </c>
      <c r="AC227" s="28">
        <f t="shared" ca="1" si="94"/>
        <v>0</v>
      </c>
      <c r="AD227" s="28">
        <f t="shared" ca="1" si="95"/>
        <v>0</v>
      </c>
      <c r="AE227" s="28">
        <f ca="1">(SUMIF(Asig_OT,Z227,Asig_Hora_Mec))*'Costos x MO'!$B$6*'Costos x MO'!$B$7</f>
        <v>30.150000000000002</v>
      </c>
      <c r="AF227" s="28">
        <f ca="1">SUMIF(Asig_OT,Z227,Asig_Hora_Pla)*'Costos x MO'!$B$4*'Costos x MO'!$B$7</f>
        <v>0</v>
      </c>
      <c r="AG227" s="28">
        <f ca="1">SUMIF(Asig_OT,Z227,Asig_paño_Pin)*'Costos x MO'!$B$5*'Costos x MO'!$B$7</f>
        <v>0</v>
      </c>
      <c r="AH227" s="28">
        <f ca="1">(SUMIF(Asig_OT,Z227,Asig_Terc_Pla)*'Costos x MO'!$B$7)+(SUMIF(Asig_OT,Z227,Asig_Terc_Pin)*'Costos x MO'!$B$7)</f>
        <v>0</v>
      </c>
      <c r="AI227" s="28">
        <f t="shared" ca="1" si="96"/>
        <v>288.62460100000004</v>
      </c>
      <c r="AJ227" s="28">
        <f t="shared" ca="1" si="97"/>
        <v>590.37539900000002</v>
      </c>
      <c r="AK227" s="31">
        <f t="shared" ca="1" si="98"/>
        <v>0.67164436746302614</v>
      </c>
      <c r="AL227" s="28" t="str">
        <f t="shared" ca="1" si="99"/>
        <v>RIMAC</v>
      </c>
      <c r="AM227" s="28" t="str">
        <f t="shared" ca="1" si="100"/>
        <v>LEVE</v>
      </c>
      <c r="AN227" s="30" t="str">
        <f t="shared" ca="1" si="101"/>
        <v>January</v>
      </c>
      <c r="AO227" s="42">
        <f t="shared" ca="1" si="102"/>
        <v>2020</v>
      </c>
      <c r="AP227" s="42">
        <f t="shared" ca="1" si="103"/>
        <v>4</v>
      </c>
      <c r="AQ227" s="26">
        <v>1</v>
      </c>
      <c r="AR227" s="30">
        <f t="shared" ca="1" si="104"/>
        <v>43832</v>
      </c>
      <c r="AS227" s="30" t="str">
        <f t="shared" ca="1" si="105"/>
        <v>F2F-448</v>
      </c>
      <c r="AT227" s="26" t="str">
        <f t="shared" ca="1" si="106"/>
        <v>NISSAN</v>
      </c>
      <c r="AU227" s="26" t="str">
        <f t="shared" ca="1" si="107"/>
        <v>TIIDA</v>
      </c>
      <c r="AV227" s="26" t="str">
        <f t="shared" ca="1" si="108"/>
        <v>LADO B EDUCACION EMOCIONAL S.A.C.</v>
      </c>
    </row>
    <row r="228" spans="1:48" x14ac:dyDescent="0.2">
      <c r="A228" s="172">
        <v>43768</v>
      </c>
      <c r="B228" s="173" t="s">
        <v>68</v>
      </c>
      <c r="C228" s="173" t="s">
        <v>102</v>
      </c>
      <c r="D228" s="173" t="s">
        <v>638</v>
      </c>
      <c r="E228" s="173" t="s">
        <v>837</v>
      </c>
      <c r="F228" s="173" t="s">
        <v>1169</v>
      </c>
      <c r="G228" s="172">
        <v>43759</v>
      </c>
      <c r="H228" s="173" t="s">
        <v>90</v>
      </c>
      <c r="I228" s="173" t="s">
        <v>91</v>
      </c>
      <c r="J228" s="173" t="s">
        <v>104</v>
      </c>
      <c r="K228" s="173" t="s">
        <v>105</v>
      </c>
      <c r="L228" s="174" t="s">
        <v>71</v>
      </c>
      <c r="M228" s="175" t="s">
        <v>72</v>
      </c>
      <c r="N228" s="173" t="s">
        <v>73</v>
      </c>
      <c r="O228" s="176" t="s">
        <v>69</v>
      </c>
      <c r="P228" s="173" t="s">
        <v>105</v>
      </c>
      <c r="Q228" s="177" t="s">
        <v>93</v>
      </c>
      <c r="R228" s="178">
        <v>3.3399999000000005</v>
      </c>
      <c r="S228" s="179">
        <v>1</v>
      </c>
      <c r="T228" s="179">
        <v>0</v>
      </c>
      <c r="U228" s="179">
        <v>0</v>
      </c>
      <c r="V228" s="179">
        <v>0</v>
      </c>
      <c r="W228" s="179">
        <v>0</v>
      </c>
      <c r="X228" s="27">
        <f t="shared" si="93"/>
        <v>0</v>
      </c>
      <c r="Y228" s="29">
        <f ca="1">VLOOKUP(Z228,CHOOSE({2,1},Fac_Fecha,Fac_OT),2,0)</f>
        <v>43836</v>
      </c>
      <c r="Z228" s="26" t="s">
        <v>2002</v>
      </c>
      <c r="AA228" s="28">
        <f t="shared" ref="AA228:AA291" ca="1" si="109">SUMIFS(Fac_Suma,Fac_OT,Z228,Fac_Fecha,Y228)</f>
        <v>561.25419999999997</v>
      </c>
      <c r="AB228" s="28">
        <f ca="1">SUMIF(Salida_OT,Facturacion!Z228,Salida_Suma)</f>
        <v>46.94</v>
      </c>
      <c r="AC228" s="28">
        <f t="shared" ca="1" si="94"/>
        <v>42.37</v>
      </c>
      <c r="AD228" s="28">
        <f t="shared" ca="1" si="95"/>
        <v>80</v>
      </c>
      <c r="AE228" s="28">
        <f ca="1">(SUMIF(Asig_OT,Z228,Asig_Hora_Mec))*'Costos x MO'!$B$6*'Costos x MO'!$B$7</f>
        <v>0</v>
      </c>
      <c r="AF228" s="28">
        <f ca="1">SUMIF(Asig_OT,Z228,Asig_Hora_Pla)*'Costos x MO'!$B$4*'Costos x MO'!$B$7</f>
        <v>45.225000000000001</v>
      </c>
      <c r="AG228" s="28">
        <f ca="1">SUMIF(Asig_OT,Z228,Asig_paño_Pin)*'Costos x MO'!$B$5*'Costos x MO'!$B$7</f>
        <v>52.762500000000003</v>
      </c>
      <c r="AH228" s="28">
        <f ca="1">(SUMIF(Asig_OT,Z228,Asig_Terc_Pla)*'Costos x MO'!$B$7)+(SUMIF(Asig_OT,Z228,Asig_Terc_Pin)*'Costos x MO'!$B$7)</f>
        <v>0</v>
      </c>
      <c r="AI228" s="28">
        <f t="shared" ca="1" si="96"/>
        <v>267.29750000000001</v>
      </c>
      <c r="AJ228" s="28">
        <f t="shared" ca="1" si="97"/>
        <v>293.95669999999996</v>
      </c>
      <c r="AK228" s="31">
        <f t="shared" ca="1" si="98"/>
        <v>0.5237496663722071</v>
      </c>
      <c r="AL228" s="28" t="str">
        <f t="shared" ca="1" si="99"/>
        <v>ACCESO</v>
      </c>
      <c r="AM228" s="28" t="str">
        <f t="shared" ca="1" si="100"/>
        <v>LEVE</v>
      </c>
      <c r="AN228" s="30" t="str">
        <f t="shared" ca="1" si="101"/>
        <v>January</v>
      </c>
      <c r="AO228" s="42">
        <f t="shared" ca="1" si="102"/>
        <v>2020</v>
      </c>
      <c r="AP228" s="42">
        <f t="shared" ca="1" si="103"/>
        <v>10</v>
      </c>
      <c r="AQ228" s="26">
        <v>1</v>
      </c>
      <c r="AR228" s="30">
        <f t="shared" ca="1" si="104"/>
        <v>43826</v>
      </c>
      <c r="AS228" s="30" t="str">
        <f t="shared" ca="1" si="105"/>
        <v>AEM-292</v>
      </c>
      <c r="AT228" s="26" t="str">
        <f t="shared" ca="1" si="106"/>
        <v>HYUNDAI</v>
      </c>
      <c r="AU228" s="26" t="str">
        <f t="shared" ca="1" si="107"/>
        <v>ACCENT</v>
      </c>
      <c r="AV228" s="26" t="str">
        <f t="shared" ca="1" si="108"/>
        <v>EDPYME ACCESO CREDITICIO SOCIEDAD ANONIMA</v>
      </c>
    </row>
    <row r="229" spans="1:48" x14ac:dyDescent="0.2">
      <c r="A229" s="172">
        <v>43769</v>
      </c>
      <c r="B229" s="173" t="s">
        <v>68</v>
      </c>
      <c r="C229" s="173" t="s">
        <v>102</v>
      </c>
      <c r="D229" s="173" t="s">
        <v>637</v>
      </c>
      <c r="E229" s="173" t="s">
        <v>825</v>
      </c>
      <c r="F229" s="173" t="s">
        <v>959</v>
      </c>
      <c r="G229" s="172">
        <v>43754</v>
      </c>
      <c r="H229" s="173" t="s">
        <v>387</v>
      </c>
      <c r="I229" s="173" t="s">
        <v>386</v>
      </c>
      <c r="J229" s="173" t="s">
        <v>97</v>
      </c>
      <c r="K229" s="173" t="s">
        <v>98</v>
      </c>
      <c r="L229" s="174" t="s">
        <v>71</v>
      </c>
      <c r="M229" s="175" t="s">
        <v>72</v>
      </c>
      <c r="N229" s="173" t="s">
        <v>73</v>
      </c>
      <c r="O229" s="176" t="s">
        <v>99</v>
      </c>
      <c r="P229" s="173" t="s">
        <v>98</v>
      </c>
      <c r="Q229" s="177" t="s">
        <v>74</v>
      </c>
      <c r="R229" s="178">
        <v>3.3490000000000002</v>
      </c>
      <c r="S229" s="179">
        <v>1</v>
      </c>
      <c r="T229" s="179">
        <v>2193.7542000000003</v>
      </c>
      <c r="U229" s="179">
        <v>2193.7542000000003</v>
      </c>
      <c r="V229" s="179">
        <v>394.87569999999977</v>
      </c>
      <c r="W229" s="179">
        <v>2588.6298999999999</v>
      </c>
      <c r="X229" s="27">
        <f t="shared" si="93"/>
        <v>2193.7542000000003</v>
      </c>
      <c r="Y229" s="29">
        <f ca="1">VLOOKUP(Z229,CHOOSE({2,1},Fac_Fecha,Fac_OT),2,0)</f>
        <v>43837</v>
      </c>
      <c r="Z229" s="26" t="s">
        <v>2003</v>
      </c>
      <c r="AA229" s="28">
        <f t="shared" ca="1" si="109"/>
        <v>971.97749999999996</v>
      </c>
      <c r="AB229" s="28">
        <f ca="1">SUMIF(Salida_OT,Facturacion!Z229,Salida_Suma)</f>
        <v>0</v>
      </c>
      <c r="AC229" s="28">
        <f t="shared" ca="1" si="94"/>
        <v>0</v>
      </c>
      <c r="AD229" s="28">
        <f t="shared" ca="1" si="95"/>
        <v>0</v>
      </c>
      <c r="AE229" s="28">
        <f ca="1">(SUMIF(Asig_OT,Z229,Asig_Hora_Mec))*'Costos x MO'!$B$6*'Costos x MO'!$B$7</f>
        <v>0</v>
      </c>
      <c r="AF229" s="28">
        <f ca="1">SUMIF(Asig_OT,Z229,Asig_Hora_Pla)*'Costos x MO'!$B$4*'Costos x MO'!$B$7</f>
        <v>90.45</v>
      </c>
      <c r="AG229" s="28">
        <f ca="1">SUMIF(Asig_OT,Z229,Asig_paño_Pin)*'Costos x MO'!$B$5*'Costos x MO'!$B$7</f>
        <v>175.875</v>
      </c>
      <c r="AH229" s="28">
        <f ca="1">(SUMIF(Asig_OT,Z229,Asig_Terc_Pla)*'Costos x MO'!$B$7)+(SUMIF(Asig_OT,Z229,Asig_Terc_Pin)*'Costos x MO'!$B$7)</f>
        <v>0</v>
      </c>
      <c r="AI229" s="28">
        <f t="shared" ca="1" si="96"/>
        <v>266.32499999999999</v>
      </c>
      <c r="AJ229" s="28">
        <f t="shared" ca="1" si="97"/>
        <v>705.65249999999992</v>
      </c>
      <c r="AK229" s="31">
        <f t="shared" ca="1" si="98"/>
        <v>0.72599674375178436</v>
      </c>
      <c r="AL229" s="28" t="str">
        <f t="shared" ca="1" si="99"/>
        <v>RIMAC</v>
      </c>
      <c r="AM229" s="28" t="str">
        <f t="shared" ca="1" si="100"/>
        <v>LEVE</v>
      </c>
      <c r="AN229" s="30" t="str">
        <f t="shared" ca="1" si="101"/>
        <v>January</v>
      </c>
      <c r="AO229" s="42">
        <f t="shared" ca="1" si="102"/>
        <v>2020</v>
      </c>
      <c r="AP229" s="42">
        <f t="shared" ca="1" si="103"/>
        <v>8</v>
      </c>
      <c r="AQ229" s="26">
        <v>1</v>
      </c>
      <c r="AR229" s="30">
        <f t="shared" ca="1" si="104"/>
        <v>43829</v>
      </c>
      <c r="AS229" s="30" t="str">
        <f t="shared" ca="1" si="105"/>
        <v>BDK-341</v>
      </c>
      <c r="AT229" s="26" t="str">
        <f t="shared" ca="1" si="106"/>
        <v>SUZUKI</v>
      </c>
      <c r="AU229" s="26" t="str">
        <f t="shared" ca="1" si="107"/>
        <v>SWIFT</v>
      </c>
      <c r="AV229" s="26" t="str">
        <f t="shared" ca="1" si="108"/>
        <v>RIMAC SEGUROS  Y REASEGUROS S.A</v>
      </c>
    </row>
    <row r="230" spans="1:48" x14ac:dyDescent="0.2">
      <c r="A230" s="172">
        <v>43769</v>
      </c>
      <c r="B230" s="173" t="s">
        <v>68</v>
      </c>
      <c r="C230" s="173" t="s">
        <v>102</v>
      </c>
      <c r="D230" s="173" t="s">
        <v>637</v>
      </c>
      <c r="E230" s="173" t="s">
        <v>825</v>
      </c>
      <c r="F230" s="173" t="s">
        <v>959</v>
      </c>
      <c r="G230" s="172">
        <v>43754</v>
      </c>
      <c r="H230" s="173" t="s">
        <v>387</v>
      </c>
      <c r="I230" s="173" t="s">
        <v>386</v>
      </c>
      <c r="J230" s="173" t="s">
        <v>100</v>
      </c>
      <c r="K230" s="173" t="s">
        <v>101</v>
      </c>
      <c r="L230" s="174" t="s">
        <v>71</v>
      </c>
      <c r="M230" s="175" t="s">
        <v>72</v>
      </c>
      <c r="N230" s="173" t="s">
        <v>73</v>
      </c>
      <c r="O230" s="176" t="s">
        <v>72</v>
      </c>
      <c r="P230" s="130" t="s">
        <v>101</v>
      </c>
      <c r="Q230" s="177" t="s">
        <v>74</v>
      </c>
      <c r="R230" s="178">
        <v>3.3490000000000002</v>
      </c>
      <c r="S230" s="179">
        <v>1</v>
      </c>
      <c r="T230" s="179">
        <v>1400</v>
      </c>
      <c r="U230" s="179">
        <v>1400</v>
      </c>
      <c r="V230" s="179">
        <v>252</v>
      </c>
      <c r="W230" s="179">
        <v>1652</v>
      </c>
      <c r="X230" s="27">
        <f t="shared" si="93"/>
        <v>1400</v>
      </c>
      <c r="Y230" s="29">
        <f ca="1">VLOOKUP(Z230,CHOOSE({2,1},Fac_Fecha,Fac_OT),2,0)</f>
        <v>43837</v>
      </c>
      <c r="Z230" s="26" t="s">
        <v>2822</v>
      </c>
      <c r="AA230" s="28">
        <f t="shared" ca="1" si="109"/>
        <v>355</v>
      </c>
      <c r="AB230" s="28">
        <f ca="1">SUMIF(Salida_OT,Facturacion!Z230,Salida_Suma)</f>
        <v>0</v>
      </c>
      <c r="AC230" s="28">
        <f t="shared" ca="1" si="94"/>
        <v>0</v>
      </c>
      <c r="AD230" s="28">
        <f t="shared" ca="1" si="95"/>
        <v>0</v>
      </c>
      <c r="AE230" s="28">
        <f ca="1">(SUMIF(Asig_OT,Z230,Asig_Hora_Mec))*'Costos x MO'!$B$6*'Costos x MO'!$B$7</f>
        <v>0</v>
      </c>
      <c r="AF230" s="28">
        <f ca="1">SUMIF(Asig_OT,Z230,Asig_Hora_Pla)*'Costos x MO'!$B$4*'Costos x MO'!$B$7</f>
        <v>0</v>
      </c>
      <c r="AG230" s="28">
        <f ca="1">SUMIF(Asig_OT,Z230,Asig_paño_Pin)*'Costos x MO'!$B$5*'Costos x MO'!$B$7</f>
        <v>0</v>
      </c>
      <c r="AH230" s="28">
        <f ca="1">(SUMIF(Asig_OT,Z230,Asig_Terc_Pla)*'Costos x MO'!$B$7)+(SUMIF(Asig_OT,Z230,Asig_Terc_Pin)*'Costos x MO'!$B$7)</f>
        <v>0</v>
      </c>
      <c r="AI230" s="28">
        <f t="shared" ca="1" si="96"/>
        <v>0</v>
      </c>
      <c r="AJ230" s="28">
        <f t="shared" ca="1" si="97"/>
        <v>355</v>
      </c>
      <c r="AK230" s="31">
        <f t="shared" ca="1" si="98"/>
        <v>1</v>
      </c>
      <c r="AL230" s="28" t="s">
        <v>121</v>
      </c>
      <c r="AM230" s="28" t="s">
        <v>447</v>
      </c>
      <c r="AN230" s="30" t="str">
        <f t="shared" ca="1" si="101"/>
        <v>January</v>
      </c>
      <c r="AO230" s="42">
        <f t="shared" ca="1" si="102"/>
        <v>2020</v>
      </c>
      <c r="AP230" s="42">
        <f t="shared" ca="1" si="103"/>
        <v>0</v>
      </c>
      <c r="AQ230" s="26">
        <v>1</v>
      </c>
      <c r="AR230" s="30">
        <f t="shared" ca="1" si="104"/>
        <v>43837</v>
      </c>
      <c r="AS230" s="30" t="str">
        <f ca="1">IFERROR(VLOOKUP(Z230,Matriz2,2,0),"S/PLACA")</f>
        <v>F6K132</v>
      </c>
      <c r="AT230" s="26" t="s">
        <v>21</v>
      </c>
      <c r="AU230" s="26" t="s">
        <v>1401</v>
      </c>
      <c r="AV230" s="26" t="str">
        <f t="shared" ca="1" si="108"/>
        <v>INDURA PERU S.A.</v>
      </c>
    </row>
    <row r="231" spans="1:48" x14ac:dyDescent="0.2">
      <c r="A231" s="172">
        <v>43769</v>
      </c>
      <c r="B231" s="173" t="s">
        <v>68</v>
      </c>
      <c r="C231" s="173" t="s">
        <v>102</v>
      </c>
      <c r="D231" s="173" t="s">
        <v>637</v>
      </c>
      <c r="E231" s="173" t="s">
        <v>825</v>
      </c>
      <c r="F231" s="173" t="s">
        <v>959</v>
      </c>
      <c r="G231" s="172">
        <v>43754</v>
      </c>
      <c r="H231" s="173" t="s">
        <v>387</v>
      </c>
      <c r="I231" s="173" t="s">
        <v>386</v>
      </c>
      <c r="J231" s="173" t="s">
        <v>92</v>
      </c>
      <c r="K231" s="173" t="s">
        <v>113</v>
      </c>
      <c r="L231" s="174" t="s">
        <v>71</v>
      </c>
      <c r="M231" s="175" t="s">
        <v>72</v>
      </c>
      <c r="N231" s="173" t="s">
        <v>73</v>
      </c>
      <c r="O231" s="176" t="s">
        <v>69</v>
      </c>
      <c r="P231" s="130" t="s">
        <v>113</v>
      </c>
      <c r="Q231" s="177" t="s">
        <v>74</v>
      </c>
      <c r="R231" s="178">
        <v>3.3490000000000002</v>
      </c>
      <c r="S231" s="179">
        <v>1</v>
      </c>
      <c r="T231" s="179">
        <v>400</v>
      </c>
      <c r="U231" s="179">
        <v>400</v>
      </c>
      <c r="V231" s="179">
        <v>72</v>
      </c>
      <c r="W231" s="179">
        <v>472</v>
      </c>
      <c r="X231" s="27">
        <f t="shared" si="93"/>
        <v>400</v>
      </c>
      <c r="Y231" s="29">
        <f ca="1">VLOOKUP(Z231,CHOOSE({2,1},Fac_Fecha,Fac_OT),2,0)</f>
        <v>43837</v>
      </c>
      <c r="Z231" s="26" t="s">
        <v>1399</v>
      </c>
      <c r="AA231" s="28">
        <f t="shared" ca="1" si="109"/>
        <v>7728</v>
      </c>
      <c r="AB231" s="28">
        <f ca="1">SUMIF(Salida_OT,Facturacion!Z231,Salida_Suma)</f>
        <v>5149.3193375500005</v>
      </c>
      <c r="AC231" s="28">
        <f t="shared" ca="1" si="94"/>
        <v>0</v>
      </c>
      <c r="AD231" s="28">
        <f t="shared" ca="1" si="95"/>
        <v>1884.75</v>
      </c>
      <c r="AE231" s="28">
        <f ca="1">(SUMIF(Asig_OT,Z231,Asig_Hora_Mec))*'Costos x MO'!$B$6*'Costos x MO'!$B$7</f>
        <v>80.500500000000002</v>
      </c>
      <c r="AF231" s="28">
        <f ca="1">SUMIF(Asig_OT,Z231,Asig_Hora_Pla)*'Costos x MO'!$B$4*'Costos x MO'!$B$7</f>
        <v>30.150000000000002</v>
      </c>
      <c r="AG231" s="28">
        <f ca="1">SUMIF(Asig_OT,Z231,Asig_paño_Pin)*'Costos x MO'!$B$5*'Costos x MO'!$B$7</f>
        <v>0</v>
      </c>
      <c r="AH231" s="28">
        <f ca="1">(SUMIF(Asig_OT,Z231,Asig_Terc_Pla)*'Costos x MO'!$B$7)+(SUMIF(Asig_OT,Z231,Asig_Terc_Pin)*'Costos x MO'!$B$7)</f>
        <v>0</v>
      </c>
      <c r="AI231" s="28">
        <f t="shared" ca="1" si="96"/>
        <v>7144.7198375500002</v>
      </c>
      <c r="AJ231" s="28">
        <f t="shared" ca="1" si="97"/>
        <v>583.28016244999981</v>
      </c>
      <c r="AK231" s="31">
        <f t="shared" ca="1" si="98"/>
        <v>7.5476211497153181E-2</v>
      </c>
      <c r="AL231" s="28" t="str">
        <f t="shared" ca="1" si="99"/>
        <v>C.C</v>
      </c>
      <c r="AM231" s="28" t="str">
        <f t="shared" ca="1" si="100"/>
        <v>MECANICA</v>
      </c>
      <c r="AN231" s="30" t="str">
        <f t="shared" ca="1" si="101"/>
        <v>January</v>
      </c>
      <c r="AO231" s="42">
        <f t="shared" ca="1" si="102"/>
        <v>2020</v>
      </c>
      <c r="AP231" s="42">
        <f t="shared" ca="1" si="103"/>
        <v>43</v>
      </c>
      <c r="AQ231" s="26">
        <v>1</v>
      </c>
      <c r="AR231" s="30">
        <f t="shared" ca="1" si="104"/>
        <v>43794</v>
      </c>
      <c r="AS231" s="30" t="str">
        <f t="shared" ca="1" si="105"/>
        <v>F6K-132</v>
      </c>
      <c r="AT231" s="26" t="str">
        <f t="shared" ca="1" si="106"/>
        <v>KIA</v>
      </c>
      <c r="AU231" s="26" t="str">
        <f t="shared" ca="1" si="107"/>
        <v>SORENTO</v>
      </c>
      <c r="AV231" s="26" t="str">
        <f t="shared" ca="1" si="108"/>
        <v>INDURA PERU S.A.</v>
      </c>
    </row>
    <row r="232" spans="1:48" x14ac:dyDescent="0.2">
      <c r="A232" s="172">
        <v>43769</v>
      </c>
      <c r="B232" s="173" t="s">
        <v>68</v>
      </c>
      <c r="C232" s="173" t="s">
        <v>102</v>
      </c>
      <c r="D232" s="173" t="s">
        <v>637</v>
      </c>
      <c r="E232" s="173" t="s">
        <v>825</v>
      </c>
      <c r="F232" s="173" t="s">
        <v>959</v>
      </c>
      <c r="G232" s="172">
        <v>43754</v>
      </c>
      <c r="H232" s="173" t="s">
        <v>387</v>
      </c>
      <c r="I232" s="173" t="s">
        <v>386</v>
      </c>
      <c r="J232" s="173" t="s">
        <v>70</v>
      </c>
      <c r="K232" s="173" t="s">
        <v>112</v>
      </c>
      <c r="L232" s="174" t="s">
        <v>71</v>
      </c>
      <c r="M232" s="175" t="s">
        <v>72</v>
      </c>
      <c r="N232" s="173" t="s">
        <v>73</v>
      </c>
      <c r="O232" s="176" t="s">
        <v>69</v>
      </c>
      <c r="P232" s="130" t="s">
        <v>447</v>
      </c>
      <c r="Q232" s="177" t="s">
        <v>74</v>
      </c>
      <c r="R232" s="178">
        <v>3.3490000000000002</v>
      </c>
      <c r="S232" s="179">
        <v>1</v>
      </c>
      <c r="T232" s="179">
        <v>375</v>
      </c>
      <c r="U232" s="179">
        <v>375</v>
      </c>
      <c r="V232" s="179">
        <v>67.5</v>
      </c>
      <c r="W232" s="179">
        <v>442.5</v>
      </c>
      <c r="X232" s="27">
        <f t="shared" si="93"/>
        <v>375</v>
      </c>
      <c r="Y232" s="29">
        <f ca="1">VLOOKUP(Z232,CHOOSE({2,1},Fac_Fecha,Fac_OT),2,0)</f>
        <v>43838</v>
      </c>
      <c r="Z232" s="26" t="s">
        <v>1367</v>
      </c>
      <c r="AA232" s="28">
        <f t="shared" ca="1" si="109"/>
        <v>13586.59331</v>
      </c>
      <c r="AB232" s="28">
        <f ca="1">SUMIF(Salida_OT,Facturacion!Z232,Salida_Suma)</f>
        <v>5329.3985689000001</v>
      </c>
      <c r="AC232" s="28">
        <f t="shared" ca="1" si="94"/>
        <v>0</v>
      </c>
      <c r="AD232" s="28">
        <f t="shared" ca="1" si="95"/>
        <v>122.88</v>
      </c>
      <c r="AE232" s="28">
        <f ca="1">(SUMIF(Asig_OT,Z232,Asig_Hora_Mec))*'Costos x MO'!$B$6*'Costos x MO'!$B$7</f>
        <v>350.49375000000003</v>
      </c>
      <c r="AF232" s="28">
        <f ca="1">SUMIF(Asig_OT,Z232,Asig_Hora_Pla)*'Costos x MO'!$B$4*'Costos x MO'!$B$7</f>
        <v>482.40000000000003</v>
      </c>
      <c r="AG232" s="28">
        <f ca="1">SUMIF(Asig_OT,Z232,Asig_paño_Pin)*'Costos x MO'!$B$5*'Costos x MO'!$B$7</f>
        <v>1090.425</v>
      </c>
      <c r="AH232" s="28">
        <f ca="1">(SUMIF(Asig_OT,Z232,Asig_Terc_Pla)*'Costos x MO'!$B$7)+(SUMIF(Asig_OT,Z232,Asig_Terc_Pin)*'Costos x MO'!$B$7)</f>
        <v>0</v>
      </c>
      <c r="AI232" s="28">
        <f t="shared" ca="1" si="96"/>
        <v>7375.5973188999997</v>
      </c>
      <c r="AJ232" s="28">
        <f t="shared" ca="1" si="97"/>
        <v>6210.9959911000005</v>
      </c>
      <c r="AK232" s="31">
        <f t="shared" ca="1" si="98"/>
        <v>0.4571415254277601</v>
      </c>
      <c r="AL232" s="28" t="str">
        <f t="shared" ca="1" si="99"/>
        <v>ACCESO</v>
      </c>
      <c r="AM232" s="28" t="str">
        <f t="shared" ca="1" si="100"/>
        <v>GRAVE</v>
      </c>
      <c r="AN232" s="30" t="str">
        <f t="shared" ca="1" si="101"/>
        <v>January</v>
      </c>
      <c r="AO232" s="42">
        <f t="shared" ca="1" si="102"/>
        <v>2020</v>
      </c>
      <c r="AP232" s="42">
        <f t="shared" ca="1" si="103"/>
        <v>48</v>
      </c>
      <c r="AQ232" s="26">
        <v>1</v>
      </c>
      <c r="AR232" s="30">
        <f t="shared" ca="1" si="104"/>
        <v>43790</v>
      </c>
      <c r="AS232" s="30" t="str">
        <f t="shared" ca="1" si="105"/>
        <v>AVV-131</v>
      </c>
      <c r="AT232" s="26" t="str">
        <f t="shared" ca="1" si="106"/>
        <v>HYUNDAI</v>
      </c>
      <c r="AU232" s="26" t="str">
        <f t="shared" ca="1" si="107"/>
        <v>ACCENT</v>
      </c>
      <c r="AV232" s="26" t="str">
        <f t="shared" ca="1" si="108"/>
        <v>EDPYME ACCESO CREDITICIO SOCIEDAD ANONIMA</v>
      </c>
    </row>
    <row r="233" spans="1:48" x14ac:dyDescent="0.2">
      <c r="A233" s="172">
        <v>43769</v>
      </c>
      <c r="B233" s="173" t="s">
        <v>68</v>
      </c>
      <c r="C233" s="173" t="s">
        <v>102</v>
      </c>
      <c r="D233" s="173" t="s">
        <v>637</v>
      </c>
      <c r="E233" s="173" t="s">
        <v>825</v>
      </c>
      <c r="F233" s="173" t="s">
        <v>959</v>
      </c>
      <c r="G233" s="172">
        <v>43754</v>
      </c>
      <c r="H233" s="173" t="s">
        <v>387</v>
      </c>
      <c r="I233" s="173" t="s">
        <v>386</v>
      </c>
      <c r="J233" s="173" t="s">
        <v>104</v>
      </c>
      <c r="K233" s="173" t="s">
        <v>105</v>
      </c>
      <c r="L233" s="174" t="s">
        <v>71</v>
      </c>
      <c r="M233" s="175" t="s">
        <v>72</v>
      </c>
      <c r="N233" s="173" t="s">
        <v>73</v>
      </c>
      <c r="O233" s="176" t="s">
        <v>69</v>
      </c>
      <c r="P233" s="173" t="s">
        <v>105</v>
      </c>
      <c r="Q233" s="177" t="s">
        <v>74</v>
      </c>
      <c r="R233" s="178">
        <v>3.3490000000000002</v>
      </c>
      <c r="S233" s="179">
        <v>1</v>
      </c>
      <c r="T233" s="179">
        <v>2219</v>
      </c>
      <c r="U233" s="179">
        <v>2219</v>
      </c>
      <c r="V233" s="179">
        <v>399.41989999999993</v>
      </c>
      <c r="W233" s="179">
        <v>2618.4198999999999</v>
      </c>
      <c r="X233" s="27">
        <f t="shared" si="93"/>
        <v>2219</v>
      </c>
      <c r="Y233" s="29">
        <f ca="1">VLOOKUP(Z233,CHOOSE({2,1},Fac_Fecha,Fac_OT),2,0)</f>
        <v>43838</v>
      </c>
      <c r="Z233" s="26" t="s">
        <v>2598</v>
      </c>
      <c r="AA233" s="28">
        <f t="shared" ca="1" si="109"/>
        <v>941.5409717</v>
      </c>
      <c r="AB233" s="28">
        <f ca="1">SUMIF(Salida_OT,Facturacion!Z233,Salida_Suma)</f>
        <v>0</v>
      </c>
      <c r="AC233" s="28">
        <f t="shared" ca="1" si="94"/>
        <v>0</v>
      </c>
      <c r="AD233" s="28">
        <f t="shared" ca="1" si="95"/>
        <v>0</v>
      </c>
      <c r="AE233" s="28">
        <f ca="1">(SUMIF(Asig_OT,Z233,Asig_Hora_Mec))*'Costos x MO'!$B$6*'Costos x MO'!$B$7</f>
        <v>0</v>
      </c>
      <c r="AF233" s="28">
        <f ca="1">SUMIF(Asig_OT,Z233,Asig_Hora_Pla)*'Costos x MO'!$B$4*'Costos x MO'!$B$7</f>
        <v>90.45</v>
      </c>
      <c r="AG233" s="28">
        <f ca="1">SUMIF(Asig_OT,Z233,Asig_paño_Pin)*'Costos x MO'!$B$5*'Costos x MO'!$B$7</f>
        <v>140.70000000000002</v>
      </c>
      <c r="AH233" s="28">
        <f ca="1">(SUMIF(Asig_OT,Z233,Asig_Terc_Pla)*'Costos x MO'!$B$7)+(SUMIF(Asig_OT,Z233,Asig_Terc_Pin)*'Costos x MO'!$B$7)</f>
        <v>0</v>
      </c>
      <c r="AI233" s="28">
        <f t="shared" ca="1" si="96"/>
        <v>231.15000000000003</v>
      </c>
      <c r="AJ233" s="28">
        <f t="shared" ca="1" si="97"/>
        <v>710.39097169999991</v>
      </c>
      <c r="AK233" s="31">
        <f t="shared" ca="1" si="98"/>
        <v>0.75449820353261199</v>
      </c>
      <c r="AL233" s="28" t="str">
        <f t="shared" ca="1" si="99"/>
        <v>RIMAC</v>
      </c>
      <c r="AM233" s="28" t="str">
        <f t="shared" ca="1" si="100"/>
        <v>LEVE</v>
      </c>
      <c r="AN233" s="30" t="str">
        <f t="shared" ca="1" si="101"/>
        <v>January</v>
      </c>
      <c r="AO233" s="42">
        <f t="shared" ca="1" si="102"/>
        <v>2020</v>
      </c>
      <c r="AP233" s="42">
        <f t="shared" ca="1" si="103"/>
        <v>6</v>
      </c>
      <c r="AQ233" s="26">
        <v>1</v>
      </c>
      <c r="AR233" s="30">
        <f t="shared" ca="1" si="104"/>
        <v>43832</v>
      </c>
      <c r="AS233" s="30" t="str">
        <f t="shared" ca="1" si="105"/>
        <v>BAG-855</v>
      </c>
      <c r="AT233" s="26" t="str">
        <f t="shared" ca="1" si="106"/>
        <v>RAM</v>
      </c>
      <c r="AU233" s="26" t="str">
        <f t="shared" ca="1" si="107"/>
        <v>V700</v>
      </c>
      <c r="AV233" s="26" t="str">
        <f t="shared" ca="1" si="108"/>
        <v>GRUPO BONNETT SA</v>
      </c>
    </row>
    <row r="234" spans="1:48" x14ac:dyDescent="0.2">
      <c r="A234" s="172">
        <v>43769</v>
      </c>
      <c r="B234" s="173" t="s">
        <v>68</v>
      </c>
      <c r="C234" s="173" t="s">
        <v>102</v>
      </c>
      <c r="D234" s="173" t="s">
        <v>636</v>
      </c>
      <c r="E234" s="173" t="s">
        <v>858</v>
      </c>
      <c r="F234" s="173" t="s">
        <v>955</v>
      </c>
      <c r="G234" s="172">
        <v>43754</v>
      </c>
      <c r="H234" s="173" t="s">
        <v>387</v>
      </c>
      <c r="I234" s="173" t="s">
        <v>386</v>
      </c>
      <c r="J234" s="173" t="s">
        <v>97</v>
      </c>
      <c r="K234" s="173" t="s">
        <v>98</v>
      </c>
      <c r="L234" s="174" t="s">
        <v>71</v>
      </c>
      <c r="M234" s="175" t="s">
        <v>72</v>
      </c>
      <c r="N234" s="173" t="s">
        <v>73</v>
      </c>
      <c r="O234" s="176" t="s">
        <v>99</v>
      </c>
      <c r="P234" s="173" t="s">
        <v>98</v>
      </c>
      <c r="Q234" s="177" t="s">
        <v>74</v>
      </c>
      <c r="R234" s="178">
        <v>3.3490000000000002</v>
      </c>
      <c r="S234" s="179">
        <v>1</v>
      </c>
      <c r="T234" s="179">
        <v>810</v>
      </c>
      <c r="U234" s="179">
        <v>810</v>
      </c>
      <c r="V234" s="179">
        <v>145.79998999999995</v>
      </c>
      <c r="W234" s="179">
        <v>955.79998999999998</v>
      </c>
      <c r="X234" s="27">
        <f t="shared" si="93"/>
        <v>810</v>
      </c>
      <c r="Y234" s="29">
        <f ca="1">VLOOKUP(Z234,CHOOSE({2,1},Fac_Fecha,Fac_OT),2,0)</f>
        <v>43840</v>
      </c>
      <c r="Z234" s="26" t="s">
        <v>2027</v>
      </c>
      <c r="AA234" s="28">
        <f t="shared" ca="1" si="109"/>
        <v>2480.7870746999997</v>
      </c>
      <c r="AB234" s="28">
        <f ca="1">SUMIF(Salida_OT,Facturacion!Z234,Salida_Suma)</f>
        <v>5.4759001999999999</v>
      </c>
      <c r="AC234" s="28">
        <f t="shared" ca="1" si="94"/>
        <v>0</v>
      </c>
      <c r="AD234" s="28">
        <f t="shared" ca="1" si="95"/>
        <v>84.75</v>
      </c>
      <c r="AE234" s="28">
        <f ca="1">(SUMIF(Asig_OT,Z234,Asig_Hora_Mec))*'Costos x MO'!$B$6*'Costos x MO'!$B$7</f>
        <v>0</v>
      </c>
      <c r="AF234" s="28">
        <f ca="1">SUMIF(Asig_OT,Z234,Asig_Hora_Pla)*'Costos x MO'!$B$4*'Costos x MO'!$B$7</f>
        <v>180.9</v>
      </c>
      <c r="AG234" s="28">
        <f ca="1">SUMIF(Asig_OT,Z234,Asig_paño_Pin)*'Costos x MO'!$B$5*'Costos x MO'!$B$7</f>
        <v>386.92500000000001</v>
      </c>
      <c r="AH234" s="28">
        <f ca="1">(SUMIF(Asig_OT,Z234,Asig_Terc_Pla)*'Costos x MO'!$B$7)+(SUMIF(Asig_OT,Z234,Asig_Terc_Pin)*'Costos x MO'!$B$7)</f>
        <v>0</v>
      </c>
      <c r="AI234" s="28">
        <f t="shared" ca="1" si="96"/>
        <v>658.0509002</v>
      </c>
      <c r="AJ234" s="28">
        <f t="shared" ca="1" si="97"/>
        <v>1822.7361744999998</v>
      </c>
      <c r="AK234" s="31">
        <f t="shared" ca="1" si="98"/>
        <v>0.7347410799939057</v>
      </c>
      <c r="AL234" s="28" t="str">
        <f t="shared" ca="1" si="99"/>
        <v>RIMAC</v>
      </c>
      <c r="AM234" s="28" t="str">
        <f t="shared" ca="1" si="100"/>
        <v>MEDIANO</v>
      </c>
      <c r="AN234" s="30" t="str">
        <f t="shared" ca="1" si="101"/>
        <v>January</v>
      </c>
      <c r="AO234" s="42">
        <f t="shared" ca="1" si="102"/>
        <v>2020</v>
      </c>
      <c r="AP234" s="42">
        <f t="shared" ca="1" si="103"/>
        <v>73</v>
      </c>
      <c r="AQ234" s="26">
        <v>1</v>
      </c>
      <c r="AR234" s="30">
        <f t="shared" ca="1" si="104"/>
        <v>43767</v>
      </c>
      <c r="AS234" s="30" t="str">
        <f t="shared" ca="1" si="105"/>
        <v>BFZ-509</v>
      </c>
      <c r="AT234" s="26" t="str">
        <f t="shared" ca="1" si="106"/>
        <v>KIA</v>
      </c>
      <c r="AU234" s="26" t="str">
        <f t="shared" ca="1" si="107"/>
        <v>SPORTAGE</v>
      </c>
      <c r="AV234" s="26" t="str">
        <f t="shared" ca="1" si="108"/>
        <v>SOLUCION INTEGRAL DE TECNOLOGIAS DE INFORMACION Y COMUNICACION E.I.R.L.</v>
      </c>
    </row>
    <row r="235" spans="1:48" x14ac:dyDescent="0.2">
      <c r="A235" s="172">
        <v>43769</v>
      </c>
      <c r="B235" s="173" t="s">
        <v>68</v>
      </c>
      <c r="C235" s="173" t="s">
        <v>102</v>
      </c>
      <c r="D235" s="173" t="s">
        <v>636</v>
      </c>
      <c r="E235" s="173" t="s">
        <v>858</v>
      </c>
      <c r="F235" s="173" t="s">
        <v>955</v>
      </c>
      <c r="G235" s="172">
        <v>43754</v>
      </c>
      <c r="H235" s="173" t="s">
        <v>387</v>
      </c>
      <c r="I235" s="173" t="s">
        <v>386</v>
      </c>
      <c r="J235" s="173" t="s">
        <v>100</v>
      </c>
      <c r="K235" s="173" t="s">
        <v>101</v>
      </c>
      <c r="L235" s="174" t="s">
        <v>71</v>
      </c>
      <c r="M235" s="175" t="s">
        <v>72</v>
      </c>
      <c r="N235" s="173" t="s">
        <v>73</v>
      </c>
      <c r="O235" s="176" t="s">
        <v>72</v>
      </c>
      <c r="P235" s="130" t="s">
        <v>101</v>
      </c>
      <c r="Q235" s="177" t="s">
        <v>74</v>
      </c>
      <c r="R235" s="178">
        <v>3.3490000000000002</v>
      </c>
      <c r="S235" s="179">
        <v>1</v>
      </c>
      <c r="T235" s="179">
        <v>175</v>
      </c>
      <c r="U235" s="179">
        <v>175</v>
      </c>
      <c r="V235" s="179">
        <v>31.5</v>
      </c>
      <c r="W235" s="179">
        <v>206.5</v>
      </c>
      <c r="X235" s="27">
        <f t="shared" si="93"/>
        <v>175</v>
      </c>
      <c r="Y235" s="29">
        <f ca="1">VLOOKUP(Z235,CHOOSE({2,1},Fac_Fecha,Fac_OT),2,0)</f>
        <v>43840</v>
      </c>
      <c r="Z235" s="26" t="s">
        <v>2595</v>
      </c>
      <c r="AA235" s="28">
        <f t="shared" ca="1" si="109"/>
        <v>840.21302530000003</v>
      </c>
      <c r="AB235" s="28">
        <f ca="1">SUMIF(Salida_OT,Facturacion!Z235,Salida_Suma)</f>
        <v>0</v>
      </c>
      <c r="AC235" s="28">
        <f t="shared" ca="1" si="94"/>
        <v>0</v>
      </c>
      <c r="AD235" s="28">
        <f t="shared" ca="1" si="95"/>
        <v>0</v>
      </c>
      <c r="AE235" s="28">
        <f ca="1">(SUMIF(Asig_OT,Z235,Asig_Hora_Mec))*'Costos x MO'!$B$6*'Costos x MO'!$B$7</f>
        <v>0</v>
      </c>
      <c r="AF235" s="28">
        <f ca="1">SUMIF(Asig_OT,Z235,Asig_Hora_Pla)*'Costos x MO'!$B$4*'Costos x MO'!$B$7</f>
        <v>60.300000000000004</v>
      </c>
      <c r="AG235" s="28">
        <f ca="1">SUMIF(Asig_OT,Z235,Asig_paño_Pin)*'Costos x MO'!$B$5*'Costos x MO'!$B$7</f>
        <v>140.70000000000002</v>
      </c>
      <c r="AH235" s="28">
        <f ca="1">(SUMIF(Asig_OT,Z235,Asig_Terc_Pla)*'Costos x MO'!$B$7)+(SUMIF(Asig_OT,Z235,Asig_Terc_Pin)*'Costos x MO'!$B$7)</f>
        <v>0</v>
      </c>
      <c r="AI235" s="28">
        <f t="shared" ca="1" si="96"/>
        <v>201.00000000000003</v>
      </c>
      <c r="AJ235" s="28">
        <f t="shared" ca="1" si="97"/>
        <v>639.21302530000003</v>
      </c>
      <c r="AK235" s="31">
        <f t="shared" ca="1" si="98"/>
        <v>0.7607749535562931</v>
      </c>
      <c r="AL235" s="28" t="str">
        <f t="shared" ca="1" si="99"/>
        <v>RIMAC</v>
      </c>
      <c r="AM235" s="28" t="str">
        <f t="shared" ca="1" si="100"/>
        <v>LEVE</v>
      </c>
      <c r="AN235" s="30" t="str">
        <f t="shared" ca="1" si="101"/>
        <v>January</v>
      </c>
      <c r="AO235" s="42">
        <f t="shared" ca="1" si="102"/>
        <v>2020</v>
      </c>
      <c r="AP235" s="42">
        <f t="shared" ca="1" si="103"/>
        <v>14</v>
      </c>
      <c r="AQ235" s="26">
        <v>1</v>
      </c>
      <c r="AR235" s="30">
        <f t="shared" ca="1" si="104"/>
        <v>43826</v>
      </c>
      <c r="AS235" s="30" t="str">
        <f t="shared" ca="1" si="105"/>
        <v>AWJ-049</v>
      </c>
      <c r="AT235" s="26" t="str">
        <f t="shared" ca="1" si="106"/>
        <v>RENAULT</v>
      </c>
      <c r="AU235" s="26" t="str">
        <f t="shared" ca="1" si="107"/>
        <v>LOGAN</v>
      </c>
      <c r="AV235" s="26" t="str">
        <f t="shared" ca="1" si="108"/>
        <v>RIMAC SEGUROS  Y REASEGUROS S.A</v>
      </c>
    </row>
    <row r="236" spans="1:48" x14ac:dyDescent="0.2">
      <c r="A236" s="172">
        <v>43769</v>
      </c>
      <c r="B236" s="173" t="s">
        <v>68</v>
      </c>
      <c r="C236" s="173" t="s">
        <v>102</v>
      </c>
      <c r="D236" s="173" t="s">
        <v>636</v>
      </c>
      <c r="E236" s="173" t="s">
        <v>858</v>
      </c>
      <c r="F236" s="173" t="s">
        <v>955</v>
      </c>
      <c r="G236" s="172">
        <v>43754</v>
      </c>
      <c r="H236" s="173" t="s">
        <v>387</v>
      </c>
      <c r="I236" s="173" t="s">
        <v>386</v>
      </c>
      <c r="J236" s="173" t="s">
        <v>92</v>
      </c>
      <c r="K236" s="173" t="s">
        <v>113</v>
      </c>
      <c r="L236" s="174" t="s">
        <v>71</v>
      </c>
      <c r="M236" s="175" t="s">
        <v>72</v>
      </c>
      <c r="N236" s="173" t="s">
        <v>73</v>
      </c>
      <c r="O236" s="176" t="s">
        <v>69</v>
      </c>
      <c r="P236" s="130" t="s">
        <v>113</v>
      </c>
      <c r="Q236" s="177" t="s">
        <v>74</v>
      </c>
      <c r="R236" s="178">
        <v>3.3490000000000002</v>
      </c>
      <c r="S236" s="179">
        <v>1</v>
      </c>
      <c r="T236" s="179">
        <v>450</v>
      </c>
      <c r="U236" s="179">
        <v>450</v>
      </c>
      <c r="V236" s="179">
        <v>81</v>
      </c>
      <c r="W236" s="179">
        <v>531</v>
      </c>
      <c r="X236" s="27">
        <f t="shared" si="93"/>
        <v>450</v>
      </c>
      <c r="Y236" s="29">
        <f ca="1">VLOOKUP(Z236,CHOOSE({2,1},Fac_Fecha,Fac_OT),2,0)</f>
        <v>43841</v>
      </c>
      <c r="Z236" s="26" t="s">
        <v>2604</v>
      </c>
      <c r="AA236" s="28">
        <f t="shared" ca="1" si="109"/>
        <v>570.06598284999995</v>
      </c>
      <c r="AB236" s="28">
        <f ca="1">SUMIF(Salida_OT,Facturacion!Z236,Salida_Suma)</f>
        <v>0</v>
      </c>
      <c r="AC236" s="28">
        <f t="shared" ca="1" si="94"/>
        <v>0</v>
      </c>
      <c r="AD236" s="28">
        <f t="shared" ca="1" si="95"/>
        <v>0</v>
      </c>
      <c r="AE236" s="28">
        <f ca="1">(SUMIF(Asig_OT,Z236,Asig_Hora_Mec))*'Costos x MO'!$B$6*'Costos x MO'!$B$7</f>
        <v>0</v>
      </c>
      <c r="AF236" s="28">
        <f ca="1">SUMIF(Asig_OT,Z236,Asig_Hora_Pla)*'Costos x MO'!$B$4*'Costos x MO'!$B$7</f>
        <v>45.225000000000001</v>
      </c>
      <c r="AG236" s="28">
        <f ca="1">SUMIF(Asig_OT,Z236,Asig_paño_Pin)*'Costos x MO'!$B$5*'Costos x MO'!$B$7</f>
        <v>0</v>
      </c>
      <c r="AH236" s="28">
        <f ca="1">(SUMIF(Asig_OT,Z236,Asig_Terc_Pla)*'Costos x MO'!$B$7)+(SUMIF(Asig_OT,Z236,Asig_Terc_Pin)*'Costos x MO'!$B$7)</f>
        <v>0</v>
      </c>
      <c r="AI236" s="28">
        <f t="shared" ca="1" si="96"/>
        <v>45.225000000000001</v>
      </c>
      <c r="AJ236" s="28">
        <f t="shared" ca="1" si="97"/>
        <v>524.84098284999993</v>
      </c>
      <c r="AK236" s="31">
        <f t="shared" ca="1" si="98"/>
        <v>0.92066707826714866</v>
      </c>
      <c r="AL236" s="28" t="str">
        <f t="shared" ca="1" si="99"/>
        <v>RIMAC</v>
      </c>
      <c r="AM236" s="28" t="str">
        <f t="shared" ca="1" si="100"/>
        <v>LEVE</v>
      </c>
      <c r="AN236" s="30" t="str">
        <f t="shared" ca="1" si="101"/>
        <v>January</v>
      </c>
      <c r="AO236" s="42">
        <f t="shared" ca="1" si="102"/>
        <v>2020</v>
      </c>
      <c r="AP236" s="42">
        <f t="shared" ca="1" si="103"/>
        <v>19</v>
      </c>
      <c r="AQ236" s="26">
        <v>1</v>
      </c>
      <c r="AR236" s="30">
        <f t="shared" ca="1" si="104"/>
        <v>43822</v>
      </c>
      <c r="AS236" s="30" t="str">
        <f t="shared" ca="1" si="105"/>
        <v>AJE-585</v>
      </c>
      <c r="AT236" s="26" t="str">
        <f t="shared" ca="1" si="106"/>
        <v>AUDI</v>
      </c>
      <c r="AU236" s="26" t="str">
        <f t="shared" ca="1" si="107"/>
        <v>Q3</v>
      </c>
      <c r="AV236" s="26" t="str">
        <f t="shared" ca="1" si="108"/>
        <v>RIMAC SEGUROS  Y REASEGUROS S.A</v>
      </c>
    </row>
    <row r="237" spans="1:48" x14ac:dyDescent="0.2">
      <c r="A237" s="172">
        <v>43769</v>
      </c>
      <c r="B237" s="173" t="s">
        <v>68</v>
      </c>
      <c r="C237" s="173" t="s">
        <v>102</v>
      </c>
      <c r="D237" s="173" t="s">
        <v>636</v>
      </c>
      <c r="E237" s="173" t="s">
        <v>858</v>
      </c>
      <c r="F237" s="173" t="s">
        <v>955</v>
      </c>
      <c r="G237" s="172">
        <v>43754</v>
      </c>
      <c r="H237" s="173" t="s">
        <v>387</v>
      </c>
      <c r="I237" s="173" t="s">
        <v>386</v>
      </c>
      <c r="J237" s="173" t="s">
        <v>70</v>
      </c>
      <c r="K237" s="173" t="s">
        <v>112</v>
      </c>
      <c r="L237" s="174" t="s">
        <v>71</v>
      </c>
      <c r="M237" s="175" t="s">
        <v>72</v>
      </c>
      <c r="N237" s="173" t="s">
        <v>73</v>
      </c>
      <c r="O237" s="176" t="s">
        <v>69</v>
      </c>
      <c r="P237" s="130" t="s">
        <v>447</v>
      </c>
      <c r="Q237" s="177" t="s">
        <v>74</v>
      </c>
      <c r="R237" s="178">
        <v>3.3490000000000002</v>
      </c>
      <c r="S237" s="179">
        <v>1</v>
      </c>
      <c r="T237" s="179">
        <v>358.75421</v>
      </c>
      <c r="U237" s="179">
        <v>358.75421</v>
      </c>
      <c r="V237" s="179">
        <v>64.575780000000009</v>
      </c>
      <c r="W237" s="179">
        <v>423.32999000000001</v>
      </c>
      <c r="X237" s="27">
        <f t="shared" si="93"/>
        <v>358.75421</v>
      </c>
      <c r="Y237" s="29">
        <f ca="1">VLOOKUP(Z237,CHOOSE({2,1},Fac_Fecha,Fac_OT),2,0)</f>
        <v>43841</v>
      </c>
      <c r="Z237" s="26" t="s">
        <v>2619</v>
      </c>
      <c r="AA237" s="28">
        <f t="shared" ca="1" si="109"/>
        <v>899.98693372458013</v>
      </c>
      <c r="AB237" s="28">
        <f ca="1">SUMIF(Salida_OT,Facturacion!Z237,Salida_Suma)</f>
        <v>0</v>
      </c>
      <c r="AC237" s="28">
        <f t="shared" ca="1" si="94"/>
        <v>0</v>
      </c>
      <c r="AD237" s="28">
        <f t="shared" ca="1" si="95"/>
        <v>0</v>
      </c>
      <c r="AE237" s="28">
        <f ca="1">(SUMIF(Asig_OT,Z237,Asig_Hora_Mec))*'Costos x MO'!$B$6*'Costos x MO'!$B$7</f>
        <v>0</v>
      </c>
      <c r="AF237" s="28">
        <f ca="1">SUMIF(Asig_OT,Z237,Asig_Hora_Pla)*'Costos x MO'!$B$4*'Costos x MO'!$B$7</f>
        <v>60.300000000000004</v>
      </c>
      <c r="AG237" s="28">
        <f ca="1">SUMIF(Asig_OT,Z237,Asig_paño_Pin)*'Costos x MO'!$B$5*'Costos x MO'!$B$7</f>
        <v>211.05</v>
      </c>
      <c r="AH237" s="28">
        <f ca="1">(SUMIF(Asig_OT,Z237,Asig_Terc_Pla)*'Costos x MO'!$B$7)+(SUMIF(Asig_OT,Z237,Asig_Terc_Pin)*'Costos x MO'!$B$7)</f>
        <v>0</v>
      </c>
      <c r="AI237" s="28">
        <f t="shared" ca="1" si="96"/>
        <v>271.35000000000002</v>
      </c>
      <c r="AJ237" s="28">
        <f t="shared" ca="1" si="97"/>
        <v>628.6369337245801</v>
      </c>
      <c r="AK237" s="31">
        <f t="shared" ca="1" si="98"/>
        <v>0.69849562273418475</v>
      </c>
      <c r="AL237" s="28" t="str">
        <f t="shared" ca="1" si="99"/>
        <v>RIMAC</v>
      </c>
      <c r="AM237" s="28" t="str">
        <f t="shared" ca="1" si="100"/>
        <v>LEVE</v>
      </c>
      <c r="AN237" s="30" t="str">
        <f t="shared" ca="1" si="101"/>
        <v>January</v>
      </c>
      <c r="AO237" s="42">
        <f t="shared" ca="1" si="102"/>
        <v>2020</v>
      </c>
      <c r="AP237" s="42">
        <f t="shared" ca="1" si="103"/>
        <v>8</v>
      </c>
      <c r="AQ237" s="26">
        <v>1</v>
      </c>
      <c r="AR237" s="30">
        <f t="shared" ca="1" si="104"/>
        <v>43833</v>
      </c>
      <c r="AS237" s="30" t="str">
        <f t="shared" ca="1" si="105"/>
        <v>BFF-666</v>
      </c>
      <c r="AT237" s="26" t="str">
        <f t="shared" ca="1" si="106"/>
        <v>KIA</v>
      </c>
      <c r="AU237" s="26" t="str">
        <f t="shared" ca="1" si="107"/>
        <v>RIO</v>
      </c>
      <c r="AV237" s="26" t="str">
        <f t="shared" ca="1" si="108"/>
        <v>RIMAC SEGUROS  Y REASEGUROS S.A</v>
      </c>
    </row>
    <row r="238" spans="1:48" x14ac:dyDescent="0.2">
      <c r="A238" s="172">
        <v>43769</v>
      </c>
      <c r="B238" s="173" t="s">
        <v>68</v>
      </c>
      <c r="C238" s="173" t="s">
        <v>102</v>
      </c>
      <c r="D238" s="173" t="s">
        <v>636</v>
      </c>
      <c r="E238" s="173" t="s">
        <v>858</v>
      </c>
      <c r="F238" s="173" t="s">
        <v>955</v>
      </c>
      <c r="G238" s="172">
        <v>43754</v>
      </c>
      <c r="H238" s="173" t="s">
        <v>387</v>
      </c>
      <c r="I238" s="173" t="s">
        <v>386</v>
      </c>
      <c r="J238" s="173" t="s">
        <v>104</v>
      </c>
      <c r="K238" s="173" t="s">
        <v>105</v>
      </c>
      <c r="L238" s="174" t="s">
        <v>71</v>
      </c>
      <c r="M238" s="175" t="s">
        <v>72</v>
      </c>
      <c r="N238" s="173" t="s">
        <v>73</v>
      </c>
      <c r="O238" s="176" t="s">
        <v>69</v>
      </c>
      <c r="P238" s="173" t="s">
        <v>105</v>
      </c>
      <c r="Q238" s="177" t="s">
        <v>74</v>
      </c>
      <c r="R238" s="178">
        <v>3.3490000000000002</v>
      </c>
      <c r="S238" s="179">
        <v>1</v>
      </c>
      <c r="T238" s="179">
        <v>2069</v>
      </c>
      <c r="U238" s="179">
        <v>2069</v>
      </c>
      <c r="V238" s="179">
        <v>372.41989999999993</v>
      </c>
      <c r="W238" s="179">
        <v>2441.4198999999999</v>
      </c>
      <c r="X238" s="27">
        <f t="shared" si="93"/>
        <v>2069</v>
      </c>
      <c r="Y238" s="29">
        <f ca="1">VLOOKUP(Z238,CHOOSE({2,1},Fac_Fecha,Fac_OT),2,0)</f>
        <v>43841</v>
      </c>
      <c r="Z238" s="26" t="s">
        <v>2621</v>
      </c>
      <c r="AA238" s="28">
        <f t="shared" ca="1" si="109"/>
        <v>73.972958574580005</v>
      </c>
      <c r="AB238" s="28">
        <f ca="1">SUMIF(Salida_OT,Facturacion!Z238,Salida_Suma)</f>
        <v>0</v>
      </c>
      <c r="AC238" s="28">
        <f t="shared" ca="1" si="94"/>
        <v>0</v>
      </c>
      <c r="AD238" s="28">
        <f t="shared" ca="1" si="95"/>
        <v>0</v>
      </c>
      <c r="AE238" s="28">
        <f ca="1">(SUMIF(Asig_OT,Z238,Asig_Hora_Mec))*'Costos x MO'!$B$6*'Costos x MO'!$B$7</f>
        <v>0</v>
      </c>
      <c r="AF238" s="28">
        <f ca="1">SUMIF(Asig_OT,Z238,Asig_Hora_Pla)*'Costos x MO'!$B$4*'Costos x MO'!$B$7</f>
        <v>7.5375000000000005</v>
      </c>
      <c r="AG238" s="28">
        <f ca="1">SUMIF(Asig_OT,Z238,Asig_paño_Pin)*'Costos x MO'!$B$5*'Costos x MO'!$B$7</f>
        <v>17.587500000000002</v>
      </c>
      <c r="AH238" s="28">
        <f ca="1">(SUMIF(Asig_OT,Z238,Asig_Terc_Pla)*'Costos x MO'!$B$7)+(SUMIF(Asig_OT,Z238,Asig_Terc_Pin)*'Costos x MO'!$B$7)</f>
        <v>0</v>
      </c>
      <c r="AI238" s="28">
        <f t="shared" ca="1" si="96"/>
        <v>25.125000000000004</v>
      </c>
      <c r="AJ238" s="28">
        <f t="shared" ca="1" si="97"/>
        <v>48.847958574580005</v>
      </c>
      <c r="AK238" s="31">
        <f t="shared" ca="1" si="98"/>
        <v>0.66034885606652038</v>
      </c>
      <c r="AL238" s="28" t="str">
        <f t="shared" ca="1" si="99"/>
        <v>RIMAC</v>
      </c>
      <c r="AM238" s="28" t="str">
        <f t="shared" ca="1" si="100"/>
        <v>LEVE</v>
      </c>
      <c r="AN238" s="30" t="str">
        <f t="shared" ca="1" si="101"/>
        <v>January</v>
      </c>
      <c r="AO238" s="42">
        <f t="shared" ca="1" si="102"/>
        <v>2020</v>
      </c>
      <c r="AP238" s="42">
        <f t="shared" ca="1" si="103"/>
        <v>8</v>
      </c>
      <c r="AQ238" s="26">
        <v>1</v>
      </c>
      <c r="AR238" s="30">
        <f t="shared" ca="1" si="104"/>
        <v>43833</v>
      </c>
      <c r="AS238" s="30" t="str">
        <f t="shared" ca="1" si="105"/>
        <v>BFF-666</v>
      </c>
      <c r="AT238" s="26" t="str">
        <f t="shared" ca="1" si="106"/>
        <v>KIA</v>
      </c>
      <c r="AU238" s="26" t="str">
        <f t="shared" ca="1" si="107"/>
        <v>RIO</v>
      </c>
      <c r="AV238" s="26" t="str">
        <f t="shared" ca="1" si="108"/>
        <v>RIMAC SEGUROS  Y REASEGUROS S.A</v>
      </c>
    </row>
    <row r="239" spans="1:48" x14ac:dyDescent="0.2">
      <c r="A239" s="172">
        <v>43769</v>
      </c>
      <c r="B239" s="173" t="s">
        <v>68</v>
      </c>
      <c r="C239" s="173" t="s">
        <v>102</v>
      </c>
      <c r="D239" s="173" t="s">
        <v>635</v>
      </c>
      <c r="E239" s="173" t="s">
        <v>867</v>
      </c>
      <c r="F239" s="173" t="s">
        <v>1170</v>
      </c>
      <c r="G239" s="172">
        <v>43761</v>
      </c>
      <c r="H239" s="173" t="s">
        <v>90</v>
      </c>
      <c r="I239" s="173" t="s">
        <v>91</v>
      </c>
      <c r="J239" s="173" t="s">
        <v>97</v>
      </c>
      <c r="K239" s="173" t="s">
        <v>98</v>
      </c>
      <c r="L239" s="174" t="s">
        <v>71</v>
      </c>
      <c r="M239" s="175" t="s">
        <v>72</v>
      </c>
      <c r="N239" s="173" t="s">
        <v>73</v>
      </c>
      <c r="O239" s="176" t="s">
        <v>99</v>
      </c>
      <c r="P239" s="173" t="s">
        <v>98</v>
      </c>
      <c r="Q239" s="177" t="s">
        <v>93</v>
      </c>
      <c r="R239" s="178">
        <v>3.3490000000000002</v>
      </c>
      <c r="S239" s="179">
        <v>1</v>
      </c>
      <c r="T239" s="179">
        <v>206.5</v>
      </c>
      <c r="U239" s="179">
        <v>206.5</v>
      </c>
      <c r="V239" s="179">
        <v>37.17</v>
      </c>
      <c r="W239" s="179">
        <v>243.67</v>
      </c>
      <c r="X239" s="27">
        <f t="shared" si="93"/>
        <v>691.56850000000009</v>
      </c>
      <c r="Y239" s="29">
        <f ca="1">VLOOKUP(Z239,CHOOSE({2,1},Fac_Fecha,Fac_OT),2,0)</f>
        <v>43843</v>
      </c>
      <c r="Z239" s="26" t="s">
        <v>1390</v>
      </c>
      <c r="AA239" s="28">
        <f t="shared" ca="1" si="109"/>
        <v>13559.322</v>
      </c>
      <c r="AB239" s="28">
        <f ca="1">SUMIF(Salida_OT,Facturacion!Z239,Salida_Suma)</f>
        <v>4221.5106992799992</v>
      </c>
      <c r="AC239" s="28">
        <f t="shared" ca="1" si="94"/>
        <v>33.9</v>
      </c>
      <c r="AD239" s="28">
        <f t="shared" ca="1" si="95"/>
        <v>808.89</v>
      </c>
      <c r="AE239" s="28">
        <f ca="1">(SUMIF(Asig_OT,Z239,Asig_Hora_Mec))*'Costos x MO'!$B$6*'Costos x MO'!$B$7</f>
        <v>350.49375000000003</v>
      </c>
      <c r="AF239" s="28">
        <f ca="1">SUMIF(Asig_OT,Z239,Asig_Hora_Pla)*'Costos x MO'!$B$4*'Costos x MO'!$B$7</f>
        <v>829.125</v>
      </c>
      <c r="AG239" s="28">
        <f ca="1">SUMIF(Asig_OT,Z239,Asig_paño_Pin)*'Costos x MO'!$B$5*'Costos x MO'!$B$7</f>
        <v>1371.825</v>
      </c>
      <c r="AH239" s="28">
        <f ca="1">(SUMIF(Asig_OT,Z239,Asig_Terc_Pla)*'Costos x MO'!$B$7)+(SUMIF(Asig_OT,Z239,Asig_Terc_Pin)*'Costos x MO'!$B$7)</f>
        <v>0</v>
      </c>
      <c r="AI239" s="28">
        <f t="shared" ca="1" si="96"/>
        <v>7615.7444492799987</v>
      </c>
      <c r="AJ239" s="28">
        <f t="shared" ca="1" si="97"/>
        <v>5943.5775507200015</v>
      </c>
      <c r="AK239" s="31">
        <f t="shared" ca="1" si="98"/>
        <v>0.43833884546144719</v>
      </c>
      <c r="AL239" s="28" t="str">
        <f t="shared" ca="1" si="99"/>
        <v>ACCESO</v>
      </c>
      <c r="AM239" s="28" t="str">
        <f t="shared" ca="1" si="100"/>
        <v>GRAVE</v>
      </c>
      <c r="AN239" s="30" t="str">
        <f t="shared" ca="1" si="101"/>
        <v>January</v>
      </c>
      <c r="AO239" s="42">
        <f t="shared" ca="1" si="102"/>
        <v>2020</v>
      </c>
      <c r="AP239" s="42">
        <f t="shared" ca="1" si="103"/>
        <v>51</v>
      </c>
      <c r="AQ239" s="26">
        <v>1</v>
      </c>
      <c r="AR239" s="30">
        <f t="shared" ca="1" si="104"/>
        <v>43792</v>
      </c>
      <c r="AS239" s="30" t="str">
        <f t="shared" ca="1" si="105"/>
        <v>D9T-310</v>
      </c>
      <c r="AT239" s="26" t="str">
        <f t="shared" ca="1" si="106"/>
        <v>CHEVROLET</v>
      </c>
      <c r="AU239" s="26" t="str">
        <f t="shared" ca="1" si="107"/>
        <v>SAIL</v>
      </c>
      <c r="AV239" s="26" t="str">
        <f t="shared" ca="1" si="108"/>
        <v>EDPYME ACCESO CREDITICIO SOCIEDAD ANONIMA</v>
      </c>
    </row>
    <row r="240" spans="1:48" x14ac:dyDescent="0.2">
      <c r="A240" s="172">
        <v>43769</v>
      </c>
      <c r="B240" s="173" t="s">
        <v>68</v>
      </c>
      <c r="C240" s="173" t="s">
        <v>102</v>
      </c>
      <c r="D240" s="173" t="s">
        <v>635</v>
      </c>
      <c r="E240" s="173" t="s">
        <v>867</v>
      </c>
      <c r="F240" s="173" t="s">
        <v>1170</v>
      </c>
      <c r="G240" s="172">
        <v>43761</v>
      </c>
      <c r="H240" s="173" t="s">
        <v>90</v>
      </c>
      <c r="I240" s="173" t="s">
        <v>91</v>
      </c>
      <c r="J240" s="173" t="s">
        <v>100</v>
      </c>
      <c r="K240" s="173" t="s">
        <v>101</v>
      </c>
      <c r="L240" s="174" t="s">
        <v>71</v>
      </c>
      <c r="M240" s="175" t="s">
        <v>72</v>
      </c>
      <c r="N240" s="173" t="s">
        <v>73</v>
      </c>
      <c r="O240" s="176" t="s">
        <v>72</v>
      </c>
      <c r="P240" s="130" t="s">
        <v>101</v>
      </c>
      <c r="Q240" s="177" t="s">
        <v>93</v>
      </c>
      <c r="R240" s="178">
        <v>3.3490000000000002</v>
      </c>
      <c r="S240" s="179">
        <v>1</v>
      </c>
      <c r="T240" s="179">
        <v>240</v>
      </c>
      <c r="U240" s="179">
        <v>240</v>
      </c>
      <c r="V240" s="179">
        <v>43.200010000000042</v>
      </c>
      <c r="W240" s="179">
        <v>283.20001000000002</v>
      </c>
      <c r="X240" s="27">
        <f t="shared" si="93"/>
        <v>803.76</v>
      </c>
      <c r="Y240" s="29">
        <f ca="1">VLOOKUP(Z240,CHOOSE({2,1},Fac_Fecha,Fac_OT),2,0)</f>
        <v>43843</v>
      </c>
      <c r="Z240" s="26" t="s">
        <v>1394</v>
      </c>
      <c r="AA240" s="28">
        <f t="shared" ca="1" si="109"/>
        <v>13999.754209999999</v>
      </c>
      <c r="AB240" s="28">
        <f ca="1">SUMIF(Salida_OT,Facturacion!Z240,Salida_Suma)</f>
        <v>2707.6113702200005</v>
      </c>
      <c r="AC240" s="28">
        <f t="shared" ca="1" si="94"/>
        <v>153.97999999999999</v>
      </c>
      <c r="AD240" s="28">
        <f t="shared" ca="1" si="95"/>
        <v>714.1400000000001</v>
      </c>
      <c r="AE240" s="28">
        <f ca="1">(SUMIF(Asig_OT,Z240,Asig_Hora_Mec))*'Costos x MO'!$B$6*'Costos x MO'!$B$7</f>
        <v>440.94375000000002</v>
      </c>
      <c r="AF240" s="28">
        <f ca="1">SUMIF(Asig_OT,Z240,Asig_Hora_Pla)*'Costos x MO'!$B$4*'Costos x MO'!$B$7</f>
        <v>783.9</v>
      </c>
      <c r="AG240" s="28">
        <f ca="1">SUMIF(Asig_OT,Z240,Asig_paño_Pin)*'Costos x MO'!$B$5*'Costos x MO'!$B$7</f>
        <v>1266.3</v>
      </c>
      <c r="AH240" s="28">
        <f ca="1">(SUMIF(Asig_OT,Z240,Asig_Terc_Pla)*'Costos x MO'!$B$7)+(SUMIF(Asig_OT,Z240,Asig_Terc_Pin)*'Costos x MO'!$B$7)</f>
        <v>0</v>
      </c>
      <c r="AI240" s="28">
        <f t="shared" ca="1" si="96"/>
        <v>6066.875120220001</v>
      </c>
      <c r="AJ240" s="28">
        <f t="shared" ca="1" si="97"/>
        <v>7932.8790897799981</v>
      </c>
      <c r="AK240" s="31">
        <f t="shared" ca="1" si="98"/>
        <v>0.56664416894644887</v>
      </c>
      <c r="AL240" s="28" t="str">
        <f t="shared" ca="1" si="99"/>
        <v>ACCESO</v>
      </c>
      <c r="AM240" s="28" t="str">
        <f t="shared" ca="1" si="100"/>
        <v>GRAVE</v>
      </c>
      <c r="AN240" s="30" t="str">
        <f t="shared" ca="1" si="101"/>
        <v>January</v>
      </c>
      <c r="AO240" s="42">
        <f t="shared" ca="1" si="102"/>
        <v>2020</v>
      </c>
      <c r="AP240" s="42">
        <f t="shared" ca="1" si="103"/>
        <v>51</v>
      </c>
      <c r="AQ240" s="26">
        <v>1</v>
      </c>
      <c r="AR240" s="30">
        <f t="shared" ca="1" si="104"/>
        <v>43792</v>
      </c>
      <c r="AS240" s="30" t="str">
        <f t="shared" ca="1" si="105"/>
        <v>ARM-473</v>
      </c>
      <c r="AT240" s="26" t="str">
        <f t="shared" ca="1" si="106"/>
        <v>CHEVROLET</v>
      </c>
      <c r="AU240" s="26" t="str">
        <f t="shared" ca="1" si="107"/>
        <v>SAIL</v>
      </c>
      <c r="AV240" s="26" t="str">
        <f t="shared" ca="1" si="108"/>
        <v>EDPYME ACCESO CREDITICIO SOCIEDAD ANONIMA</v>
      </c>
    </row>
    <row r="241" spans="1:48" x14ac:dyDescent="0.2">
      <c r="A241" s="172">
        <v>43769</v>
      </c>
      <c r="B241" s="173" t="s">
        <v>68</v>
      </c>
      <c r="C241" s="173" t="s">
        <v>102</v>
      </c>
      <c r="D241" s="173" t="s">
        <v>635</v>
      </c>
      <c r="E241" s="173" t="s">
        <v>867</v>
      </c>
      <c r="F241" s="173" t="s">
        <v>1170</v>
      </c>
      <c r="G241" s="172">
        <v>43761</v>
      </c>
      <c r="H241" s="173" t="s">
        <v>90</v>
      </c>
      <c r="I241" s="173" t="s">
        <v>91</v>
      </c>
      <c r="J241" s="173" t="s">
        <v>92</v>
      </c>
      <c r="K241" s="173" t="s">
        <v>113</v>
      </c>
      <c r="L241" s="174" t="s">
        <v>71</v>
      </c>
      <c r="M241" s="175" t="s">
        <v>72</v>
      </c>
      <c r="N241" s="173" t="s">
        <v>73</v>
      </c>
      <c r="O241" s="176" t="s">
        <v>69</v>
      </c>
      <c r="P241" s="130" t="s">
        <v>113</v>
      </c>
      <c r="Q241" s="177" t="s">
        <v>93</v>
      </c>
      <c r="R241" s="178">
        <v>3.3490000000000002</v>
      </c>
      <c r="S241" s="179">
        <v>1</v>
      </c>
      <c r="T241" s="179">
        <v>30</v>
      </c>
      <c r="U241" s="179">
        <v>30</v>
      </c>
      <c r="V241" s="179">
        <v>5.4000019999999997</v>
      </c>
      <c r="W241" s="179">
        <v>35.400002000000001</v>
      </c>
      <c r="X241" s="27">
        <f t="shared" si="93"/>
        <v>100.47</v>
      </c>
      <c r="Y241" s="29">
        <f ca="1">VLOOKUP(Z241,CHOOSE({2,1},Fac_Fecha,Fac_OT),2,0)</f>
        <v>43843</v>
      </c>
      <c r="Z241" s="26" t="s">
        <v>2637</v>
      </c>
      <c r="AA241" s="28">
        <f t="shared" ca="1" si="109"/>
        <v>344.03398965000002</v>
      </c>
      <c r="AB241" s="28">
        <f ca="1">SUMIF(Salida_OT,Facturacion!Z241,Salida_Suma)</f>
        <v>158.72000199999997</v>
      </c>
      <c r="AC241" s="28">
        <f t="shared" ca="1" si="94"/>
        <v>0</v>
      </c>
      <c r="AD241" s="28">
        <f t="shared" ca="1" si="95"/>
        <v>0</v>
      </c>
      <c r="AE241" s="28">
        <f ca="1">(SUMIF(Asig_OT,Z241,Asig_Hora_Mec))*'Costos x MO'!$B$6*'Costos x MO'!$B$7</f>
        <v>0</v>
      </c>
      <c r="AF241" s="28">
        <f ca="1">SUMIF(Asig_OT,Z241,Asig_Hora_Pla)*'Costos x MO'!$B$4*'Costos x MO'!$B$7</f>
        <v>15.075000000000001</v>
      </c>
      <c r="AG241" s="28">
        <f ca="1">SUMIF(Asig_OT,Z241,Asig_paño_Pin)*'Costos x MO'!$B$5*'Costos x MO'!$B$7</f>
        <v>0</v>
      </c>
      <c r="AH241" s="28">
        <f ca="1">(SUMIF(Asig_OT,Z241,Asig_Terc_Pla)*'Costos x MO'!$B$7)+(SUMIF(Asig_OT,Z241,Asig_Terc_Pin)*'Costos x MO'!$B$7)</f>
        <v>0</v>
      </c>
      <c r="AI241" s="28">
        <f t="shared" ca="1" si="96"/>
        <v>173.79500199999995</v>
      </c>
      <c r="AJ241" s="28">
        <f t="shared" ca="1" si="97"/>
        <v>170.23898765000007</v>
      </c>
      <c r="AK241" s="31">
        <f t="shared" ca="1" si="98"/>
        <v>0.49483188513783544</v>
      </c>
      <c r="AL241" s="28" t="str">
        <f t="shared" ca="1" si="99"/>
        <v>C.C</v>
      </c>
      <c r="AM241" s="28" t="str">
        <f t="shared" ca="1" si="100"/>
        <v>MECANICA</v>
      </c>
      <c r="AN241" s="30" t="str">
        <f t="shared" ca="1" si="101"/>
        <v>January</v>
      </c>
      <c r="AO241" s="42">
        <f t="shared" ca="1" si="102"/>
        <v>2020</v>
      </c>
      <c r="AP241" s="42">
        <f t="shared" ca="1" si="103"/>
        <v>81</v>
      </c>
      <c r="AQ241" s="26">
        <v>1</v>
      </c>
      <c r="AR241" s="30">
        <f t="shared" ca="1" si="104"/>
        <v>43762</v>
      </c>
      <c r="AS241" s="30" t="str">
        <f t="shared" ca="1" si="105"/>
        <v>BEJ-577</v>
      </c>
      <c r="AT241" s="26" t="str">
        <f t="shared" ca="1" si="106"/>
        <v>MAZDA</v>
      </c>
      <c r="AU241" s="26" t="str">
        <f t="shared" ca="1" si="107"/>
        <v>MAZDA3</v>
      </c>
      <c r="AV241" s="26" t="str">
        <f t="shared" ca="1" si="108"/>
        <v>RENTAEQUIPOS LEASING PERU S.A.</v>
      </c>
    </row>
    <row r="242" spans="1:48" x14ac:dyDescent="0.2">
      <c r="A242" s="172">
        <v>43769</v>
      </c>
      <c r="B242" s="173" t="s">
        <v>68</v>
      </c>
      <c r="C242" s="173" t="s">
        <v>102</v>
      </c>
      <c r="D242" s="173" t="s">
        <v>635</v>
      </c>
      <c r="E242" s="173" t="s">
        <v>867</v>
      </c>
      <c r="F242" s="173" t="s">
        <v>1170</v>
      </c>
      <c r="G242" s="172">
        <v>43761</v>
      </c>
      <c r="H242" s="173" t="s">
        <v>90</v>
      </c>
      <c r="I242" s="173" t="s">
        <v>91</v>
      </c>
      <c r="J242" s="173" t="s">
        <v>95</v>
      </c>
      <c r="K242" s="173" t="s">
        <v>96</v>
      </c>
      <c r="L242" s="174" t="s">
        <v>71</v>
      </c>
      <c r="M242" s="175" t="s">
        <v>72</v>
      </c>
      <c r="N242" s="173" t="s">
        <v>73</v>
      </c>
      <c r="O242" s="176" t="s">
        <v>69</v>
      </c>
      <c r="P242" s="130" t="s">
        <v>96</v>
      </c>
      <c r="Q242" s="177" t="s">
        <v>93</v>
      </c>
      <c r="R242" s="178">
        <v>3.3490000000000002</v>
      </c>
      <c r="S242" s="179">
        <v>-1</v>
      </c>
      <c r="T242" s="179">
        <v>158.839</v>
      </c>
      <c r="U242" s="179">
        <v>-158.839</v>
      </c>
      <c r="V242" s="179">
        <v>-28.590989999999966</v>
      </c>
      <c r="W242" s="179">
        <v>-187.42998999999998</v>
      </c>
      <c r="X242" s="27">
        <f t="shared" si="93"/>
        <v>-531.95181100000002</v>
      </c>
      <c r="Y242" s="29">
        <f ca="1">VLOOKUP(Z242,CHOOSE({2,1},Fac_Fecha,Fac_OT),2,0)</f>
        <v>43844</v>
      </c>
      <c r="Z242" s="26" t="s">
        <v>2512</v>
      </c>
      <c r="AA242" s="28">
        <f t="shared" ca="1" si="109"/>
        <v>1682.1920111999998</v>
      </c>
      <c r="AB242" s="28">
        <f ca="1">SUMIF(Salida_OT,Facturacion!Z242,Salida_Suma)</f>
        <v>5.4759001999999999</v>
      </c>
      <c r="AC242" s="28">
        <f t="shared" ca="1" si="94"/>
        <v>0</v>
      </c>
      <c r="AD242" s="28">
        <f t="shared" ca="1" si="95"/>
        <v>199.16</v>
      </c>
      <c r="AE242" s="28">
        <f ca="1">(SUMIF(Asig_OT,Z242,Asig_Hora_Mec))*'Costos x MO'!$B$6*'Costos x MO'!$B$7</f>
        <v>0</v>
      </c>
      <c r="AF242" s="28">
        <f ca="1">SUMIF(Asig_OT,Z242,Asig_Hora_Pla)*'Costos x MO'!$B$4*'Costos x MO'!$B$7</f>
        <v>90.45</v>
      </c>
      <c r="AG242" s="28">
        <f ca="1">SUMIF(Asig_OT,Z242,Asig_paño_Pin)*'Costos x MO'!$B$5*'Costos x MO'!$B$7</f>
        <v>0</v>
      </c>
      <c r="AH242" s="28">
        <f ca="1">(SUMIF(Asig_OT,Z242,Asig_Terc_Pla)*'Costos x MO'!$B$7)+(SUMIF(Asig_OT,Z242,Asig_Terc_Pin)*'Costos x MO'!$B$7)</f>
        <v>0</v>
      </c>
      <c r="AI242" s="28">
        <f t="shared" ca="1" si="96"/>
        <v>295.08590020000003</v>
      </c>
      <c r="AJ242" s="28">
        <f t="shared" ca="1" si="97"/>
        <v>1387.1061109999998</v>
      </c>
      <c r="AK242" s="31">
        <f t="shared" ca="1" si="98"/>
        <v>0.82458251006108452</v>
      </c>
      <c r="AL242" s="28" t="str">
        <f t="shared" ca="1" si="99"/>
        <v>RIMAC</v>
      </c>
      <c r="AM242" s="28" t="str">
        <f t="shared" ca="1" si="100"/>
        <v>LEVE</v>
      </c>
      <c r="AN242" s="30" t="str">
        <f t="shared" ca="1" si="101"/>
        <v>January</v>
      </c>
      <c r="AO242" s="42">
        <f t="shared" ca="1" si="102"/>
        <v>2020</v>
      </c>
      <c r="AP242" s="42">
        <f t="shared" ca="1" si="103"/>
        <v>12</v>
      </c>
      <c r="AQ242" s="26">
        <v>1</v>
      </c>
      <c r="AR242" s="30">
        <f t="shared" ca="1" si="104"/>
        <v>43832</v>
      </c>
      <c r="AS242" s="30" t="str">
        <f t="shared" ca="1" si="105"/>
        <v>AUO-555</v>
      </c>
      <c r="AT242" s="26" t="str">
        <f t="shared" ca="1" si="106"/>
        <v>HYUNDAI</v>
      </c>
      <c r="AU242" s="26" t="str">
        <f t="shared" ca="1" si="107"/>
        <v>TUCSON</v>
      </c>
      <c r="AV242" s="26" t="str">
        <f t="shared" ca="1" si="108"/>
        <v>CERAMICOS BARCELONA SAC</v>
      </c>
    </row>
    <row r="243" spans="1:48" x14ac:dyDescent="0.2">
      <c r="A243" s="172">
        <v>43769</v>
      </c>
      <c r="B243" s="173" t="s">
        <v>68</v>
      </c>
      <c r="C243" s="173" t="s">
        <v>102</v>
      </c>
      <c r="D243" s="173" t="s">
        <v>635</v>
      </c>
      <c r="E243" s="173" t="s">
        <v>867</v>
      </c>
      <c r="F243" s="173" t="s">
        <v>1170</v>
      </c>
      <c r="G243" s="172">
        <v>43761</v>
      </c>
      <c r="H243" s="173" t="s">
        <v>90</v>
      </c>
      <c r="I243" s="173" t="s">
        <v>91</v>
      </c>
      <c r="J243" s="173" t="s">
        <v>104</v>
      </c>
      <c r="K243" s="173" t="s">
        <v>105</v>
      </c>
      <c r="L243" s="174" t="s">
        <v>71</v>
      </c>
      <c r="M243" s="175" t="s">
        <v>72</v>
      </c>
      <c r="N243" s="173" t="s">
        <v>73</v>
      </c>
      <c r="O243" s="176" t="s">
        <v>69</v>
      </c>
      <c r="P243" s="173" t="s">
        <v>105</v>
      </c>
      <c r="Q243" s="177" t="s">
        <v>93</v>
      </c>
      <c r="R243" s="178">
        <v>3.3490000000000002</v>
      </c>
      <c r="S243" s="179">
        <v>1</v>
      </c>
      <c r="T243" s="179">
        <v>0</v>
      </c>
      <c r="U243" s="179">
        <v>0</v>
      </c>
      <c r="V243" s="179">
        <v>0</v>
      </c>
      <c r="W243" s="179">
        <v>0</v>
      </c>
      <c r="X243" s="27">
        <f t="shared" si="93"/>
        <v>0</v>
      </c>
      <c r="Y243" s="29">
        <f ca="1">VLOOKUP(Z243,CHOOSE({2,1},Fac_Fecha,Fac_OT),2,0)</f>
        <v>43846</v>
      </c>
      <c r="Z243" s="26" t="s">
        <v>2617</v>
      </c>
      <c r="AA243" s="28">
        <f t="shared" ca="1" si="109"/>
        <v>1039.6874687500001</v>
      </c>
      <c r="AB243" s="28">
        <f ca="1">SUMIF(Salida_OT,Facturacion!Z243,Salida_Suma)</f>
        <v>0</v>
      </c>
      <c r="AC243" s="28">
        <f t="shared" ca="1" si="94"/>
        <v>0</v>
      </c>
      <c r="AD243" s="28">
        <f t="shared" ca="1" si="95"/>
        <v>0</v>
      </c>
      <c r="AE243" s="28">
        <f ca="1">(SUMIF(Asig_OT,Z243,Asig_Hora_Mec))*'Costos x MO'!$B$6*'Costos x MO'!$B$7</f>
        <v>0</v>
      </c>
      <c r="AF243" s="28">
        <f ca="1">SUMIF(Asig_OT,Z243,Asig_Hora_Pla)*'Costos x MO'!$B$4*'Costos x MO'!$B$7</f>
        <v>150.75</v>
      </c>
      <c r="AG243" s="28">
        <f ca="1">SUMIF(Asig_OT,Z243,Asig_paño_Pin)*'Costos x MO'!$B$5*'Costos x MO'!$B$7</f>
        <v>175.875</v>
      </c>
      <c r="AH243" s="28">
        <f ca="1">(SUMIF(Asig_OT,Z243,Asig_Terc_Pla)*'Costos x MO'!$B$7)+(SUMIF(Asig_OT,Z243,Asig_Terc_Pin)*'Costos x MO'!$B$7)</f>
        <v>0</v>
      </c>
      <c r="AI243" s="28">
        <f t="shared" ca="1" si="96"/>
        <v>326.625</v>
      </c>
      <c r="AJ243" s="28">
        <f t="shared" ca="1" si="97"/>
        <v>713.06246875000011</v>
      </c>
      <c r="AK243" s="31">
        <f t="shared" ca="1" si="98"/>
        <v>0.68584309245094965</v>
      </c>
      <c r="AL243" s="28" t="str">
        <f t="shared" ca="1" si="99"/>
        <v>RIMAC</v>
      </c>
      <c r="AM243" s="28" t="str">
        <f t="shared" ca="1" si="100"/>
        <v>MEDIANO</v>
      </c>
      <c r="AN243" s="30" t="str">
        <f t="shared" ca="1" si="101"/>
        <v>January</v>
      </c>
      <c r="AO243" s="42">
        <f t="shared" ca="1" si="102"/>
        <v>2020</v>
      </c>
      <c r="AP243" s="42">
        <f t="shared" ca="1" si="103"/>
        <v>13</v>
      </c>
      <c r="AQ243" s="26">
        <v>1</v>
      </c>
      <c r="AR243" s="30">
        <f t="shared" ca="1" si="104"/>
        <v>43833</v>
      </c>
      <c r="AS243" s="30" t="str">
        <f t="shared" ca="1" si="105"/>
        <v>BES-112</v>
      </c>
      <c r="AT243" s="26" t="str">
        <f t="shared" ca="1" si="106"/>
        <v>NISSAN</v>
      </c>
      <c r="AU243" s="26" t="str">
        <f t="shared" ca="1" si="107"/>
        <v>KICKS</v>
      </c>
      <c r="AV243" s="26" t="str">
        <f t="shared" ca="1" si="108"/>
        <v>RIMAC SEGUROS  Y REASEGUROS S.A</v>
      </c>
    </row>
    <row r="244" spans="1:48" x14ac:dyDescent="0.2">
      <c r="A244" s="172">
        <v>43745</v>
      </c>
      <c r="B244" s="173" t="s">
        <v>111</v>
      </c>
      <c r="C244" s="173" t="s">
        <v>102</v>
      </c>
      <c r="D244" s="173" t="s">
        <v>597</v>
      </c>
      <c r="E244" s="173" t="s">
        <v>753</v>
      </c>
      <c r="F244" s="173" t="s">
        <v>560</v>
      </c>
      <c r="G244" s="172">
        <v>43745</v>
      </c>
      <c r="H244" s="173" t="s">
        <v>559</v>
      </c>
      <c r="I244" s="173" t="s">
        <v>558</v>
      </c>
      <c r="J244" s="173" t="s">
        <v>70</v>
      </c>
      <c r="K244" s="173" t="s">
        <v>112</v>
      </c>
      <c r="L244" s="174" t="s">
        <v>71</v>
      </c>
      <c r="M244" s="175" t="s">
        <v>72</v>
      </c>
      <c r="N244" s="173" t="s">
        <v>73</v>
      </c>
      <c r="O244" s="176" t="s">
        <v>69</v>
      </c>
      <c r="P244" s="130" t="s">
        <v>447</v>
      </c>
      <c r="Q244" s="177" t="s">
        <v>74</v>
      </c>
      <c r="R244" s="178">
        <v>3.3780000000000001</v>
      </c>
      <c r="S244" s="179">
        <v>1</v>
      </c>
      <c r="T244" s="179">
        <v>296.61020000000002</v>
      </c>
      <c r="U244" s="179">
        <v>296.61020000000002</v>
      </c>
      <c r="V244" s="179">
        <v>53.389799999999994</v>
      </c>
      <c r="W244" s="179">
        <v>350</v>
      </c>
      <c r="X244" s="27">
        <f t="shared" si="93"/>
        <v>296.61020000000002</v>
      </c>
      <c r="Y244" s="29">
        <f ca="1">VLOOKUP(Z244,CHOOSE({2,1},Fac_Fecha,Fac_OT),2,0)</f>
        <v>43846</v>
      </c>
      <c r="Z244" s="26" t="s">
        <v>2511</v>
      </c>
      <c r="AA244" s="28">
        <f t="shared" ca="1" si="109"/>
        <v>2042.7779386</v>
      </c>
      <c r="AB244" s="28">
        <f ca="1">SUMIF(Salida_OT,Facturacion!Z244,Salida_Suma)</f>
        <v>0</v>
      </c>
      <c r="AC244" s="28">
        <f t="shared" ca="1" si="94"/>
        <v>0</v>
      </c>
      <c r="AD244" s="28">
        <f t="shared" ca="1" si="95"/>
        <v>84.75</v>
      </c>
      <c r="AE244" s="28">
        <f ca="1">(SUMIF(Asig_OT,Z244,Asig_Hora_Mec))*'Costos x MO'!$B$6*'Costos x MO'!$B$7</f>
        <v>15.075000000000001</v>
      </c>
      <c r="AF244" s="28">
        <f ca="1">SUMIF(Asig_OT,Z244,Asig_Hora_Pla)*'Costos x MO'!$B$4*'Costos x MO'!$B$7</f>
        <v>120.60000000000001</v>
      </c>
      <c r="AG244" s="28">
        <f ca="1">SUMIF(Asig_OT,Z244,Asig_paño_Pin)*'Costos x MO'!$B$5*'Costos x MO'!$B$7</f>
        <v>422.1</v>
      </c>
      <c r="AH244" s="28">
        <f ca="1">(SUMIF(Asig_OT,Z244,Asig_Terc_Pla)*'Costos x MO'!$B$7)+(SUMIF(Asig_OT,Z244,Asig_Terc_Pin)*'Costos x MO'!$B$7)</f>
        <v>0</v>
      </c>
      <c r="AI244" s="28">
        <f t="shared" ca="1" si="96"/>
        <v>642.52500000000009</v>
      </c>
      <c r="AJ244" s="28">
        <f t="shared" ca="1" si="97"/>
        <v>1400.2529385999999</v>
      </c>
      <c r="AK244" s="31">
        <f t="shared" ca="1" si="98"/>
        <v>0.68546507779482435</v>
      </c>
      <c r="AL244" s="28" t="str">
        <f t="shared" ca="1" si="99"/>
        <v>RIMAC</v>
      </c>
      <c r="AM244" s="28" t="str">
        <f t="shared" ca="1" si="100"/>
        <v>MEDIANO</v>
      </c>
      <c r="AN244" s="30" t="str">
        <f t="shared" ca="1" si="101"/>
        <v>January</v>
      </c>
      <c r="AO244" s="42">
        <f t="shared" ca="1" si="102"/>
        <v>2020</v>
      </c>
      <c r="AP244" s="42">
        <f t="shared" ca="1" si="103"/>
        <v>13</v>
      </c>
      <c r="AQ244" s="26">
        <v>1</v>
      </c>
      <c r="AR244" s="30">
        <f t="shared" ca="1" si="104"/>
        <v>43833</v>
      </c>
      <c r="AS244" s="30" t="str">
        <f t="shared" ca="1" si="105"/>
        <v>BDW-301</v>
      </c>
      <c r="AT244" s="26" t="str">
        <f t="shared" ca="1" si="106"/>
        <v>MAZDA</v>
      </c>
      <c r="AU244" s="26" t="str">
        <f t="shared" ca="1" si="107"/>
        <v>MAZDA3</v>
      </c>
      <c r="AV244" s="26" t="str">
        <f t="shared" ca="1" si="108"/>
        <v>RIMAC SEGUROS  Y REASEGUROS S.A</v>
      </c>
    </row>
    <row r="245" spans="1:48" x14ac:dyDescent="0.2">
      <c r="A245" s="172">
        <v>43745</v>
      </c>
      <c r="B245" s="173" t="s">
        <v>111</v>
      </c>
      <c r="C245" s="173" t="s">
        <v>102</v>
      </c>
      <c r="D245" s="173" t="s">
        <v>597</v>
      </c>
      <c r="E245" s="173" t="s">
        <v>753</v>
      </c>
      <c r="F245" s="173" t="s">
        <v>560</v>
      </c>
      <c r="G245" s="172">
        <v>43745</v>
      </c>
      <c r="H245" s="173" t="s">
        <v>559</v>
      </c>
      <c r="I245" s="173" t="s">
        <v>558</v>
      </c>
      <c r="J245" s="173" t="s">
        <v>104</v>
      </c>
      <c r="K245" s="173" t="s">
        <v>105</v>
      </c>
      <c r="L245" s="174" t="s">
        <v>71</v>
      </c>
      <c r="M245" s="175" t="s">
        <v>72</v>
      </c>
      <c r="N245" s="173" t="s">
        <v>73</v>
      </c>
      <c r="O245" s="176" t="s">
        <v>69</v>
      </c>
      <c r="P245" s="173" t="s">
        <v>105</v>
      </c>
      <c r="Q245" s="177" t="s">
        <v>74</v>
      </c>
      <c r="R245" s="178">
        <v>3.3780000000000001</v>
      </c>
      <c r="S245" s="179">
        <v>1</v>
      </c>
      <c r="T245" s="179">
        <v>0</v>
      </c>
      <c r="U245" s="179">
        <v>0</v>
      </c>
      <c r="V245" s="179">
        <v>0</v>
      </c>
      <c r="W245" s="179">
        <v>0</v>
      </c>
      <c r="X245" s="27">
        <f t="shared" si="93"/>
        <v>0</v>
      </c>
      <c r="Y245" s="29">
        <f ca="1">VLOOKUP(Z245,CHOOSE({2,1},Fac_Fecha,Fac_OT),2,0)</f>
        <v>43847</v>
      </c>
      <c r="Z245" s="26" t="s">
        <v>1939</v>
      </c>
      <c r="AA245" s="28">
        <f t="shared" ca="1" si="109"/>
        <v>8871.7542099999991</v>
      </c>
      <c r="AB245" s="28">
        <f ca="1">SUMIF(Salida_OT,Facturacion!Z245,Salida_Suma)</f>
        <v>1987.1938547000002</v>
      </c>
      <c r="AC245" s="28">
        <f t="shared" ca="1" si="94"/>
        <v>0</v>
      </c>
      <c r="AD245" s="28">
        <f t="shared" ca="1" si="95"/>
        <v>96.27</v>
      </c>
      <c r="AE245" s="28">
        <f ca="1">(SUMIF(Asig_OT,Z245,Asig_Hora_Mec))*'Costos x MO'!$B$6*'Costos x MO'!$B$7</f>
        <v>290.19375000000002</v>
      </c>
      <c r="AF245" s="28">
        <f ca="1">SUMIF(Asig_OT,Z245,Asig_Hora_Pla)*'Costos x MO'!$B$4*'Costos x MO'!$B$7</f>
        <v>316.57499999999999</v>
      </c>
      <c r="AG245" s="28">
        <f ca="1">SUMIF(Asig_OT,Z245,Asig_paño_Pin)*'Costos x MO'!$B$5*'Costos x MO'!$B$7</f>
        <v>1266.3</v>
      </c>
      <c r="AH245" s="28">
        <f ca="1">(SUMIF(Asig_OT,Z245,Asig_Terc_Pla)*'Costos x MO'!$B$7)+(SUMIF(Asig_OT,Z245,Asig_Terc_Pin)*'Costos x MO'!$B$7)</f>
        <v>0</v>
      </c>
      <c r="AI245" s="28">
        <f t="shared" ca="1" si="96"/>
        <v>3956.5326046999999</v>
      </c>
      <c r="AJ245" s="28">
        <f t="shared" ca="1" si="97"/>
        <v>4915.2216052999993</v>
      </c>
      <c r="AK245" s="31">
        <f t="shared" ca="1" si="98"/>
        <v>0.55403040807416593</v>
      </c>
      <c r="AL245" s="28" t="str">
        <f t="shared" ca="1" si="99"/>
        <v>ACCESO</v>
      </c>
      <c r="AM245" s="28" t="str">
        <f t="shared" ca="1" si="100"/>
        <v>GRAVE</v>
      </c>
      <c r="AN245" s="30" t="str">
        <f t="shared" ca="1" si="101"/>
        <v>January</v>
      </c>
      <c r="AO245" s="42">
        <f t="shared" ca="1" si="102"/>
        <v>2020</v>
      </c>
      <c r="AP245" s="42">
        <f t="shared" ca="1" si="103"/>
        <v>49</v>
      </c>
      <c r="AQ245" s="26">
        <v>1</v>
      </c>
      <c r="AR245" s="30">
        <f t="shared" ca="1" si="104"/>
        <v>43798</v>
      </c>
      <c r="AS245" s="30" t="str">
        <f t="shared" ca="1" si="105"/>
        <v>BFZ-575</v>
      </c>
      <c r="AT245" s="26" t="str">
        <f t="shared" ca="1" si="106"/>
        <v>CHEVROLET</v>
      </c>
      <c r="AU245" s="26" t="str">
        <f t="shared" ca="1" si="107"/>
        <v>SAIL</v>
      </c>
      <c r="AV245" s="26" t="str">
        <f t="shared" ca="1" si="108"/>
        <v>EDPYME ACCESO CREDITICIO SOCIEDAD ANONIMA</v>
      </c>
    </row>
    <row r="246" spans="1:48" x14ac:dyDescent="0.2">
      <c r="A246" s="172">
        <v>43750</v>
      </c>
      <c r="B246" s="173" t="s">
        <v>111</v>
      </c>
      <c r="C246" s="173" t="s">
        <v>102</v>
      </c>
      <c r="D246" s="173" t="s">
        <v>595</v>
      </c>
      <c r="E246" s="173" t="s">
        <v>748</v>
      </c>
      <c r="F246" s="173" t="s">
        <v>1137</v>
      </c>
      <c r="G246" s="172">
        <v>43742</v>
      </c>
      <c r="H246" s="173" t="s">
        <v>1171</v>
      </c>
      <c r="I246" s="173" t="s">
        <v>1172</v>
      </c>
      <c r="J246" s="173" t="s">
        <v>97</v>
      </c>
      <c r="K246" s="173" t="s">
        <v>98</v>
      </c>
      <c r="L246" s="174" t="s">
        <v>71</v>
      </c>
      <c r="M246" s="175" t="s">
        <v>72</v>
      </c>
      <c r="N246" s="173" t="s">
        <v>73</v>
      </c>
      <c r="O246" s="176" t="s">
        <v>99</v>
      </c>
      <c r="P246" s="173" t="s">
        <v>98</v>
      </c>
      <c r="Q246" s="177" t="s">
        <v>93</v>
      </c>
      <c r="R246" s="178">
        <v>3.3610001</v>
      </c>
      <c r="S246" s="179">
        <v>1</v>
      </c>
      <c r="T246" s="179">
        <v>204.75419999999997</v>
      </c>
      <c r="U246" s="179">
        <v>204.75419999999997</v>
      </c>
      <c r="V246" s="179">
        <v>36.855800000000016</v>
      </c>
      <c r="W246" s="179">
        <v>241.61</v>
      </c>
      <c r="X246" s="27">
        <f t="shared" si="93"/>
        <v>688.1788866754199</v>
      </c>
      <c r="Y246" s="29">
        <f ca="1">VLOOKUP(Z246,CHOOSE({2,1},Fac_Fecha,Fac_OT),2,0)</f>
        <v>43847</v>
      </c>
      <c r="Z246" s="26" t="s">
        <v>1966</v>
      </c>
      <c r="AA246" s="28">
        <f t="shared" ca="1" si="109"/>
        <v>9371.2542099999991</v>
      </c>
      <c r="AB246" s="28">
        <f ca="1">SUMIF(Salida_OT,Facturacion!Z246,Salida_Suma)</f>
        <v>1318.8415390600001</v>
      </c>
      <c r="AC246" s="28">
        <f t="shared" ca="1" si="94"/>
        <v>72.03</v>
      </c>
      <c r="AD246" s="28">
        <f t="shared" ca="1" si="95"/>
        <v>265</v>
      </c>
      <c r="AE246" s="28">
        <f ca="1">(SUMIF(Asig_OT,Z246,Asig_Hora_Mec))*'Costos x MO'!$B$6*'Costos x MO'!$B$7</f>
        <v>0</v>
      </c>
      <c r="AF246" s="28">
        <f ca="1">SUMIF(Asig_OT,Z246,Asig_Hora_Pla)*'Costos x MO'!$B$4*'Costos x MO'!$B$7</f>
        <v>180.9</v>
      </c>
      <c r="AG246" s="28">
        <f ca="1">SUMIF(Asig_OT,Z246,Asig_paño_Pin)*'Costos x MO'!$B$5*'Costos x MO'!$B$7</f>
        <v>949.72500000000002</v>
      </c>
      <c r="AH246" s="28">
        <f ca="1">(SUMIF(Asig_OT,Z246,Asig_Terc_Pla)*'Costos x MO'!$B$7)+(SUMIF(Asig_OT,Z246,Asig_Terc_Pin)*'Costos x MO'!$B$7)</f>
        <v>0</v>
      </c>
      <c r="AI246" s="28">
        <f t="shared" ca="1" si="96"/>
        <v>2786.49653906</v>
      </c>
      <c r="AJ246" s="28">
        <f t="shared" ca="1" si="97"/>
        <v>6584.7576709399991</v>
      </c>
      <c r="AK246" s="31">
        <f t="shared" ca="1" si="98"/>
        <v>0.70265489798723535</v>
      </c>
      <c r="AL246" s="28" t="str">
        <f t="shared" ca="1" si="99"/>
        <v>ACCESO</v>
      </c>
      <c r="AM246" s="28" t="str">
        <f t="shared" ca="1" si="100"/>
        <v>MEDIANO</v>
      </c>
      <c r="AN246" s="30" t="str">
        <f t="shared" ca="1" si="101"/>
        <v>January</v>
      </c>
      <c r="AO246" s="42">
        <f t="shared" ca="1" si="102"/>
        <v>2020</v>
      </c>
      <c r="AP246" s="42">
        <f t="shared" ca="1" si="103"/>
        <v>38</v>
      </c>
      <c r="AQ246" s="26">
        <v>1</v>
      </c>
      <c r="AR246" s="30">
        <f t="shared" ca="1" si="104"/>
        <v>43809</v>
      </c>
      <c r="AS246" s="30" t="str">
        <f t="shared" ca="1" si="105"/>
        <v>D3W-105</v>
      </c>
      <c r="AT246" s="26" t="str">
        <f t="shared" ca="1" si="106"/>
        <v>CHEVROLET</v>
      </c>
      <c r="AU246" s="26" t="str">
        <f t="shared" ca="1" si="107"/>
        <v>SAIL</v>
      </c>
      <c r="AV246" s="26" t="str">
        <f t="shared" ca="1" si="108"/>
        <v>EDPYME ACCESO CREDITICIO SOCIEDAD ANONIMA</v>
      </c>
    </row>
    <row r="247" spans="1:48" x14ac:dyDescent="0.2">
      <c r="A247" s="172">
        <v>43750</v>
      </c>
      <c r="B247" s="173" t="s">
        <v>111</v>
      </c>
      <c r="C247" s="173" t="s">
        <v>102</v>
      </c>
      <c r="D247" s="173" t="s">
        <v>595</v>
      </c>
      <c r="E247" s="173" t="s">
        <v>748</v>
      </c>
      <c r="F247" s="173" t="s">
        <v>1137</v>
      </c>
      <c r="G247" s="172">
        <v>43742</v>
      </c>
      <c r="H247" s="173" t="s">
        <v>1171</v>
      </c>
      <c r="I247" s="173" t="s">
        <v>1172</v>
      </c>
      <c r="J247" s="173" t="s">
        <v>100</v>
      </c>
      <c r="K247" s="173" t="s">
        <v>101</v>
      </c>
      <c r="L247" s="174" t="s">
        <v>71</v>
      </c>
      <c r="M247" s="175" t="s">
        <v>72</v>
      </c>
      <c r="N247" s="173" t="s">
        <v>73</v>
      </c>
      <c r="O247" s="176" t="s">
        <v>72</v>
      </c>
      <c r="P247" s="130" t="s">
        <v>101</v>
      </c>
      <c r="Q247" s="177" t="s">
        <v>93</v>
      </c>
      <c r="R247" s="178">
        <v>3.3610001</v>
      </c>
      <c r="S247" s="179">
        <v>1</v>
      </c>
      <c r="T247" s="179">
        <v>90</v>
      </c>
      <c r="U247" s="179">
        <v>90</v>
      </c>
      <c r="V247" s="179">
        <v>16.2</v>
      </c>
      <c r="W247" s="179">
        <v>106.2</v>
      </c>
      <c r="X247" s="27">
        <f t="shared" si="93"/>
        <v>302.49000899999999</v>
      </c>
      <c r="Y247" s="29">
        <f ca="1">VLOOKUP(Z247,CHOOSE({2,1},Fac_Fecha,Fac_OT),2,0)</f>
        <v>43847</v>
      </c>
      <c r="Z247" s="26" t="s">
        <v>2544</v>
      </c>
      <c r="AA247" s="28">
        <f t="shared" ca="1" si="109"/>
        <v>2549.5</v>
      </c>
      <c r="AB247" s="28">
        <f ca="1">SUMIF(Salida_OT,Facturacion!Z247,Salida_Suma)</f>
        <v>77.660597499999994</v>
      </c>
      <c r="AC247" s="28">
        <f t="shared" ca="1" si="94"/>
        <v>0</v>
      </c>
      <c r="AD247" s="28">
        <f t="shared" ca="1" si="95"/>
        <v>57.37</v>
      </c>
      <c r="AE247" s="28">
        <f ca="1">(SUMIF(Asig_OT,Z247,Asig_Hora_Mec))*'Costos x MO'!$B$6*'Costos x MO'!$B$7</f>
        <v>0</v>
      </c>
      <c r="AF247" s="28">
        <f ca="1">SUMIF(Asig_OT,Z247,Asig_Hora_Pla)*'Costos x MO'!$B$4*'Costos x MO'!$B$7</f>
        <v>120.60000000000001</v>
      </c>
      <c r="AG247" s="28">
        <f ca="1">SUMIF(Asig_OT,Z247,Asig_paño_Pin)*'Costos x MO'!$B$5*'Costos x MO'!$B$7</f>
        <v>0</v>
      </c>
      <c r="AH247" s="28">
        <f ca="1">(SUMIF(Asig_OT,Z247,Asig_Terc_Pla)*'Costos x MO'!$B$7)+(SUMIF(Asig_OT,Z247,Asig_Terc_Pin)*'Costos x MO'!$B$7)</f>
        <v>0</v>
      </c>
      <c r="AI247" s="28">
        <f t="shared" ca="1" si="96"/>
        <v>255.63059750000002</v>
      </c>
      <c r="AJ247" s="28">
        <f t="shared" ca="1" si="97"/>
        <v>2293.8694025</v>
      </c>
      <c r="AK247" s="31">
        <f t="shared" ca="1" si="98"/>
        <v>0.89973304667581877</v>
      </c>
      <c r="AL247" s="28" t="str">
        <f t="shared" ca="1" si="99"/>
        <v>ACCESO</v>
      </c>
      <c r="AM247" s="28" t="str">
        <f t="shared" ca="1" si="100"/>
        <v>LEVE</v>
      </c>
      <c r="AN247" s="30" t="str">
        <f t="shared" ca="1" si="101"/>
        <v>January</v>
      </c>
      <c r="AO247" s="42">
        <f t="shared" ca="1" si="102"/>
        <v>2020</v>
      </c>
      <c r="AP247" s="42">
        <f t="shared" ca="1" si="103"/>
        <v>14</v>
      </c>
      <c r="AQ247" s="26">
        <v>1</v>
      </c>
      <c r="AR247" s="30">
        <f t="shared" ca="1" si="104"/>
        <v>43833</v>
      </c>
      <c r="AS247" s="30" t="str">
        <f t="shared" ca="1" si="105"/>
        <v>BKY-290</v>
      </c>
      <c r="AT247" s="26" t="str">
        <f t="shared" ca="1" si="106"/>
        <v>BYD</v>
      </c>
      <c r="AU247" s="26" t="str">
        <f t="shared" ca="1" si="107"/>
        <v>F3</v>
      </c>
      <c r="AV247" s="26" t="str">
        <f t="shared" ca="1" si="108"/>
        <v>EDPYME ACCESO CREDITICIO SOCIEDAD ANONIMA</v>
      </c>
    </row>
    <row r="248" spans="1:48" x14ac:dyDescent="0.2">
      <c r="A248" s="172">
        <v>43750</v>
      </c>
      <c r="B248" s="173" t="s">
        <v>111</v>
      </c>
      <c r="C248" s="173" t="s">
        <v>102</v>
      </c>
      <c r="D248" s="173" t="s">
        <v>595</v>
      </c>
      <c r="E248" s="173" t="s">
        <v>748</v>
      </c>
      <c r="F248" s="173" t="s">
        <v>1137</v>
      </c>
      <c r="G248" s="172">
        <v>43742</v>
      </c>
      <c r="H248" s="173" t="s">
        <v>1171</v>
      </c>
      <c r="I248" s="173" t="s">
        <v>1172</v>
      </c>
      <c r="J248" s="173" t="s">
        <v>92</v>
      </c>
      <c r="K248" s="173" t="s">
        <v>113</v>
      </c>
      <c r="L248" s="174" t="s">
        <v>71</v>
      </c>
      <c r="M248" s="175" t="s">
        <v>72</v>
      </c>
      <c r="N248" s="173" t="s">
        <v>73</v>
      </c>
      <c r="O248" s="176" t="s">
        <v>69</v>
      </c>
      <c r="P248" s="130" t="s">
        <v>113</v>
      </c>
      <c r="Q248" s="177" t="s">
        <v>93</v>
      </c>
      <c r="R248" s="178">
        <v>3.3610001</v>
      </c>
      <c r="S248" s="179">
        <v>1</v>
      </c>
      <c r="T248" s="179">
        <v>15</v>
      </c>
      <c r="U248" s="179">
        <v>15</v>
      </c>
      <c r="V248" s="179">
        <v>2.7000009999999999</v>
      </c>
      <c r="W248" s="179">
        <v>17.700001</v>
      </c>
      <c r="X248" s="27">
        <f t="shared" si="93"/>
        <v>50.415001500000002</v>
      </c>
      <c r="Y248" s="29">
        <f ca="1">VLOOKUP(Z248,CHOOSE({2,1},Fac_Fecha,Fac_OT),2,0)</f>
        <v>43847</v>
      </c>
      <c r="Z248" s="26" t="s">
        <v>2592</v>
      </c>
      <c r="AA248" s="28">
        <f t="shared" ca="1" si="109"/>
        <v>3555.2541999999999</v>
      </c>
      <c r="AB248" s="28">
        <f ca="1">SUMIF(Salida_OT,Facturacion!Z248,Salida_Suma)</f>
        <v>445.06809801999998</v>
      </c>
      <c r="AC248" s="28">
        <f t="shared" ca="1" si="94"/>
        <v>0</v>
      </c>
      <c r="AD248" s="28">
        <f t="shared" ca="1" si="95"/>
        <v>42.37</v>
      </c>
      <c r="AE248" s="28">
        <f ca="1">(SUMIF(Asig_OT,Z248,Asig_Hora_Mec))*'Costos x MO'!$B$6*'Costos x MO'!$B$7</f>
        <v>0</v>
      </c>
      <c r="AF248" s="28">
        <f ca="1">SUMIF(Asig_OT,Z248,Asig_Hora_Pla)*'Costos x MO'!$B$4*'Costos x MO'!$B$7</f>
        <v>331.65000000000003</v>
      </c>
      <c r="AG248" s="28">
        <f ca="1">SUMIF(Asig_OT,Z248,Asig_paño_Pin)*'Costos x MO'!$B$5*'Costos x MO'!$B$7</f>
        <v>0</v>
      </c>
      <c r="AH248" s="28">
        <f ca="1">(SUMIF(Asig_OT,Z248,Asig_Terc_Pla)*'Costos x MO'!$B$7)+(SUMIF(Asig_OT,Z248,Asig_Terc_Pin)*'Costos x MO'!$B$7)</f>
        <v>0</v>
      </c>
      <c r="AI248" s="28">
        <f t="shared" ca="1" si="96"/>
        <v>819.08809801999996</v>
      </c>
      <c r="AJ248" s="28">
        <f t="shared" ca="1" si="97"/>
        <v>2736.1661019799999</v>
      </c>
      <c r="AK248" s="31">
        <f t="shared" ca="1" si="98"/>
        <v>0.76961194560433965</v>
      </c>
      <c r="AL248" s="28" t="str">
        <f t="shared" ca="1" si="99"/>
        <v>ACCESO</v>
      </c>
      <c r="AM248" s="28" t="str">
        <f t="shared" ca="1" si="100"/>
        <v>LEVE</v>
      </c>
      <c r="AN248" s="30" t="str">
        <f t="shared" ca="1" si="101"/>
        <v>January</v>
      </c>
      <c r="AO248" s="42">
        <f t="shared" ca="1" si="102"/>
        <v>2020</v>
      </c>
      <c r="AP248" s="42">
        <f t="shared" ca="1" si="103"/>
        <v>14</v>
      </c>
      <c r="AQ248" s="26">
        <v>1</v>
      </c>
      <c r="AR248" s="30">
        <f t="shared" ca="1" si="104"/>
        <v>43833</v>
      </c>
      <c r="AS248" s="30" t="str">
        <f t="shared" ca="1" si="105"/>
        <v>BKD-354</v>
      </c>
      <c r="AT248" s="26" t="str">
        <f t="shared" ca="1" si="106"/>
        <v>CHEVROLET</v>
      </c>
      <c r="AU248" s="26" t="str">
        <f t="shared" ca="1" si="107"/>
        <v>SAIL</v>
      </c>
      <c r="AV248" s="26" t="str">
        <f t="shared" ca="1" si="108"/>
        <v>EDPYME ACCESO CREDITICIO SOCIEDAD ANONIMA</v>
      </c>
    </row>
    <row r="249" spans="1:48" x14ac:dyDescent="0.2">
      <c r="A249" s="172">
        <v>43750</v>
      </c>
      <c r="B249" s="173" t="s">
        <v>111</v>
      </c>
      <c r="C249" s="173" t="s">
        <v>102</v>
      </c>
      <c r="D249" s="173" t="s">
        <v>595</v>
      </c>
      <c r="E249" s="173" t="s">
        <v>748</v>
      </c>
      <c r="F249" s="173" t="s">
        <v>1137</v>
      </c>
      <c r="G249" s="172">
        <v>43742</v>
      </c>
      <c r="H249" s="173" t="s">
        <v>1171</v>
      </c>
      <c r="I249" s="173" t="s">
        <v>1172</v>
      </c>
      <c r="J249" s="173" t="s">
        <v>70</v>
      </c>
      <c r="K249" s="173" t="s">
        <v>112</v>
      </c>
      <c r="L249" s="174" t="s">
        <v>71</v>
      </c>
      <c r="M249" s="175" t="s">
        <v>72</v>
      </c>
      <c r="N249" s="173" t="s">
        <v>73</v>
      </c>
      <c r="O249" s="176" t="s">
        <v>69</v>
      </c>
      <c r="P249" s="130" t="s">
        <v>447</v>
      </c>
      <c r="Q249" s="177" t="s">
        <v>93</v>
      </c>
      <c r="R249" s="178">
        <v>3.3610001</v>
      </c>
      <c r="S249" s="179">
        <v>1</v>
      </c>
      <c r="T249" s="179">
        <v>0</v>
      </c>
      <c r="U249" s="179">
        <v>0</v>
      </c>
      <c r="V249" s="179">
        <v>0</v>
      </c>
      <c r="W249" s="179">
        <v>0</v>
      </c>
      <c r="X249" s="27">
        <f t="shared" si="93"/>
        <v>0</v>
      </c>
      <c r="Y249" s="29">
        <f ca="1">VLOOKUP(Z249,CHOOSE({2,1},Fac_Fecha,Fac_OT),2,0)</f>
        <v>43847</v>
      </c>
      <c r="Z249" s="26" t="s">
        <v>2555</v>
      </c>
      <c r="AA249" s="28">
        <f t="shared" ca="1" si="109"/>
        <v>5974.5</v>
      </c>
      <c r="AB249" s="28">
        <f ca="1">SUMIF(Salida_OT,Facturacion!Z249,Salida_Suma)</f>
        <v>768.97414461999995</v>
      </c>
      <c r="AC249" s="28">
        <f t="shared" ca="1" si="94"/>
        <v>7.62</v>
      </c>
      <c r="AD249" s="28">
        <f t="shared" ca="1" si="95"/>
        <v>102.19999999999999</v>
      </c>
      <c r="AE249" s="28">
        <f ca="1">(SUMIF(Asig_OT,Z249,Asig_Hora_Mec))*'Costos x MO'!$B$6*'Costos x MO'!$B$7</f>
        <v>0</v>
      </c>
      <c r="AF249" s="28">
        <f ca="1">SUMIF(Asig_OT,Z249,Asig_Hora_Pla)*'Costos x MO'!$B$4*'Costos x MO'!$B$7</f>
        <v>361.8</v>
      </c>
      <c r="AG249" s="28">
        <f ca="1">SUMIF(Asig_OT,Z249,Asig_paño_Pin)*'Costos x MO'!$B$5*'Costos x MO'!$B$7</f>
        <v>1160.7750000000001</v>
      </c>
      <c r="AH249" s="28">
        <f ca="1">(SUMIF(Asig_OT,Z249,Asig_Terc_Pla)*'Costos x MO'!$B$7)+(SUMIF(Asig_OT,Z249,Asig_Terc_Pin)*'Costos x MO'!$B$7)</f>
        <v>0</v>
      </c>
      <c r="AI249" s="28">
        <f t="shared" ca="1" si="96"/>
        <v>2401.36914462</v>
      </c>
      <c r="AJ249" s="28">
        <f t="shared" ca="1" si="97"/>
        <v>3573.13085538</v>
      </c>
      <c r="AK249" s="31">
        <f t="shared" ca="1" si="98"/>
        <v>0.59806357944263122</v>
      </c>
      <c r="AL249" s="28" t="str">
        <f t="shared" ca="1" si="99"/>
        <v>ACCESO</v>
      </c>
      <c r="AM249" s="28" t="str">
        <f t="shared" ca="1" si="100"/>
        <v>GRAVE</v>
      </c>
      <c r="AN249" s="30" t="str">
        <f t="shared" ca="1" si="101"/>
        <v>January</v>
      </c>
      <c r="AO249" s="42">
        <f t="shared" ca="1" si="102"/>
        <v>2020</v>
      </c>
      <c r="AP249" s="42">
        <f t="shared" ca="1" si="103"/>
        <v>14</v>
      </c>
      <c r="AQ249" s="26">
        <v>1</v>
      </c>
      <c r="AR249" s="30">
        <f t="shared" ca="1" si="104"/>
        <v>43833</v>
      </c>
      <c r="AS249" s="30" t="str">
        <f t="shared" ca="1" si="105"/>
        <v>BEA-419</v>
      </c>
      <c r="AT249" s="26" t="str">
        <f t="shared" ca="1" si="106"/>
        <v>BYD</v>
      </c>
      <c r="AU249" s="26" t="str">
        <f t="shared" ca="1" si="107"/>
        <v>F3</v>
      </c>
      <c r="AV249" s="26" t="str">
        <f t="shared" ca="1" si="108"/>
        <v>EDPYME ACCESO CREDITICIO SOCIEDAD ANONIMA</v>
      </c>
    </row>
    <row r="250" spans="1:48" x14ac:dyDescent="0.2">
      <c r="A250" s="172">
        <v>43755</v>
      </c>
      <c r="B250" s="173" t="s">
        <v>111</v>
      </c>
      <c r="C250" s="173" t="s">
        <v>102</v>
      </c>
      <c r="D250" s="173" t="s">
        <v>696</v>
      </c>
      <c r="E250" s="173" t="s">
        <v>811</v>
      </c>
      <c r="F250" s="173" t="s">
        <v>1173</v>
      </c>
      <c r="G250" s="172">
        <v>43755</v>
      </c>
      <c r="H250" s="173" t="s">
        <v>1174</v>
      </c>
      <c r="I250" s="173" t="s">
        <v>1175</v>
      </c>
      <c r="J250" s="173" t="s">
        <v>70</v>
      </c>
      <c r="K250" s="173" t="s">
        <v>112</v>
      </c>
      <c r="L250" s="174" t="s">
        <v>71</v>
      </c>
      <c r="M250" s="175" t="s">
        <v>72</v>
      </c>
      <c r="N250" s="173" t="s">
        <v>73</v>
      </c>
      <c r="O250" s="176" t="s">
        <v>69</v>
      </c>
      <c r="P250" s="130" t="s">
        <v>447</v>
      </c>
      <c r="Q250" s="177" t="s">
        <v>74</v>
      </c>
      <c r="R250" s="178">
        <v>3.3699998999999998</v>
      </c>
      <c r="S250" s="179">
        <v>1</v>
      </c>
      <c r="T250" s="179">
        <v>237.28809999999999</v>
      </c>
      <c r="U250" s="179">
        <v>237.28810000000001</v>
      </c>
      <c r="V250" s="179">
        <v>42.711900000000021</v>
      </c>
      <c r="W250" s="179">
        <v>280</v>
      </c>
      <c r="X250" s="27">
        <f t="shared" si="93"/>
        <v>237.28810000000001</v>
      </c>
      <c r="Y250" s="29">
        <f ca="1">VLOOKUP(Z250,CHOOSE({2,1},Fac_Fecha,Fac_OT),2,0)</f>
        <v>43847</v>
      </c>
      <c r="Z250" s="26" t="s">
        <v>2612</v>
      </c>
      <c r="AA250" s="28">
        <f t="shared" ca="1" si="109"/>
        <v>3074.5</v>
      </c>
      <c r="AB250" s="28">
        <f ca="1">SUMIF(Salida_OT,Facturacion!Z250,Salida_Suma)</f>
        <v>74.218697219999996</v>
      </c>
      <c r="AC250" s="28">
        <f t="shared" ca="1" si="94"/>
        <v>0</v>
      </c>
      <c r="AD250" s="28">
        <f t="shared" ca="1" si="95"/>
        <v>0</v>
      </c>
      <c r="AE250" s="28">
        <f ca="1">(SUMIF(Asig_OT,Z250,Asig_Hora_Mec))*'Costos x MO'!$B$6*'Costos x MO'!$B$7</f>
        <v>0</v>
      </c>
      <c r="AF250" s="28">
        <f ca="1">SUMIF(Asig_OT,Z250,Asig_Hora_Pla)*'Costos x MO'!$B$4*'Costos x MO'!$B$7</f>
        <v>211.05</v>
      </c>
      <c r="AG250" s="28">
        <f ca="1">SUMIF(Asig_OT,Z250,Asig_paño_Pin)*'Costos x MO'!$B$5*'Costos x MO'!$B$7</f>
        <v>949.72500000000002</v>
      </c>
      <c r="AH250" s="28">
        <f ca="1">(SUMIF(Asig_OT,Z250,Asig_Terc_Pla)*'Costos x MO'!$B$7)+(SUMIF(Asig_OT,Z250,Asig_Terc_Pin)*'Costos x MO'!$B$7)</f>
        <v>0</v>
      </c>
      <c r="AI250" s="28">
        <f t="shared" ca="1" si="96"/>
        <v>1234.9936972200001</v>
      </c>
      <c r="AJ250" s="28">
        <f t="shared" ca="1" si="97"/>
        <v>1839.5063027799999</v>
      </c>
      <c r="AK250" s="31">
        <f t="shared" ca="1" si="98"/>
        <v>0.59831071809399905</v>
      </c>
      <c r="AL250" s="28" t="str">
        <f t="shared" ca="1" si="99"/>
        <v>ACCESO</v>
      </c>
      <c r="AM250" s="28" t="str">
        <f t="shared" ca="1" si="100"/>
        <v>GRAVE</v>
      </c>
      <c r="AN250" s="30" t="str">
        <f t="shared" ca="1" si="101"/>
        <v>January</v>
      </c>
      <c r="AO250" s="42">
        <f t="shared" ca="1" si="102"/>
        <v>2020</v>
      </c>
      <c r="AP250" s="42">
        <f t="shared" ca="1" si="103"/>
        <v>14</v>
      </c>
      <c r="AQ250" s="26">
        <v>1</v>
      </c>
      <c r="AR250" s="30">
        <f t="shared" ca="1" si="104"/>
        <v>43833</v>
      </c>
      <c r="AS250" s="30" t="str">
        <f t="shared" ca="1" si="105"/>
        <v>BJS-447</v>
      </c>
      <c r="AT250" s="26" t="str">
        <f t="shared" ca="1" si="106"/>
        <v>BYD</v>
      </c>
      <c r="AU250" s="26" t="str">
        <f t="shared" ca="1" si="107"/>
        <v>F3</v>
      </c>
      <c r="AV250" s="26" t="str">
        <f t="shared" ca="1" si="108"/>
        <v>EDPYME ACCESO CREDITICIO SOCIEDAD ANONIMA</v>
      </c>
    </row>
    <row r="251" spans="1:48" x14ac:dyDescent="0.2">
      <c r="A251" s="172">
        <v>43755</v>
      </c>
      <c r="B251" s="173" t="s">
        <v>111</v>
      </c>
      <c r="C251" s="173" t="s">
        <v>102</v>
      </c>
      <c r="D251" s="173" t="s">
        <v>696</v>
      </c>
      <c r="E251" s="173" t="s">
        <v>811</v>
      </c>
      <c r="F251" s="173" t="s">
        <v>1173</v>
      </c>
      <c r="G251" s="172">
        <v>43755</v>
      </c>
      <c r="H251" s="173" t="s">
        <v>1174</v>
      </c>
      <c r="I251" s="173" t="s">
        <v>1175</v>
      </c>
      <c r="J251" s="173" t="s">
        <v>104</v>
      </c>
      <c r="K251" s="173" t="s">
        <v>105</v>
      </c>
      <c r="L251" s="174" t="s">
        <v>71</v>
      </c>
      <c r="M251" s="175" t="s">
        <v>72</v>
      </c>
      <c r="N251" s="173" t="s">
        <v>73</v>
      </c>
      <c r="O251" s="176" t="s">
        <v>69</v>
      </c>
      <c r="P251" s="173" t="s">
        <v>105</v>
      </c>
      <c r="Q251" s="177" t="s">
        <v>74</v>
      </c>
      <c r="R251" s="178">
        <v>3.3699998999999998</v>
      </c>
      <c r="S251" s="179">
        <v>1</v>
      </c>
      <c r="T251" s="179">
        <v>0</v>
      </c>
      <c r="U251" s="179">
        <v>0</v>
      </c>
      <c r="V251" s="179">
        <v>0</v>
      </c>
      <c r="W251" s="179">
        <v>0</v>
      </c>
      <c r="X251" s="27">
        <f t="shared" si="93"/>
        <v>0</v>
      </c>
      <c r="Y251" s="29">
        <f ca="1">VLOOKUP(Z251,CHOOSE({2,1},Fac_Fecha,Fac_OT),2,0)</f>
        <v>43847</v>
      </c>
      <c r="Z251" s="26" t="s">
        <v>2560</v>
      </c>
      <c r="AA251" s="28">
        <f t="shared" ca="1" si="109"/>
        <v>5179.5</v>
      </c>
      <c r="AB251" s="28">
        <f ca="1">SUMIF(Salida_OT,Facturacion!Z251,Salida_Suma)</f>
        <v>951.85274549999997</v>
      </c>
      <c r="AC251" s="28">
        <f t="shared" ca="1" si="94"/>
        <v>105.93</v>
      </c>
      <c r="AD251" s="28">
        <f t="shared" ca="1" si="95"/>
        <v>0</v>
      </c>
      <c r="AE251" s="28">
        <f ca="1">(SUMIF(Asig_OT,Z251,Asig_Hora_Mec))*'Costos x MO'!$B$6*'Costos x MO'!$B$7</f>
        <v>128.13750000000002</v>
      </c>
      <c r="AF251" s="28">
        <f ca="1">SUMIF(Asig_OT,Z251,Asig_Hora_Pla)*'Costos x MO'!$B$4*'Costos x MO'!$B$7</f>
        <v>301.5</v>
      </c>
      <c r="AG251" s="28">
        <f ca="1">SUMIF(Asig_OT,Z251,Asig_paño_Pin)*'Costos x MO'!$B$5*'Costos x MO'!$B$7</f>
        <v>1055.25</v>
      </c>
      <c r="AH251" s="28">
        <f ca="1">(SUMIF(Asig_OT,Z251,Asig_Terc_Pla)*'Costos x MO'!$B$7)+(SUMIF(Asig_OT,Z251,Asig_Terc_Pin)*'Costos x MO'!$B$7)</f>
        <v>0</v>
      </c>
      <c r="AI251" s="28">
        <f t="shared" ca="1" si="96"/>
        <v>2542.6702455</v>
      </c>
      <c r="AJ251" s="28">
        <f t="shared" ca="1" si="97"/>
        <v>2636.8297545</v>
      </c>
      <c r="AK251" s="31">
        <f t="shared" ca="1" si="98"/>
        <v>0.5090896330726904</v>
      </c>
      <c r="AL251" s="28" t="str">
        <f t="shared" ca="1" si="99"/>
        <v>ACCESO</v>
      </c>
      <c r="AM251" s="28" t="str">
        <f t="shared" ca="1" si="100"/>
        <v>GRAVE</v>
      </c>
      <c r="AN251" s="30" t="str">
        <f t="shared" ca="1" si="101"/>
        <v>January</v>
      </c>
      <c r="AO251" s="42">
        <f t="shared" ca="1" si="102"/>
        <v>2020</v>
      </c>
      <c r="AP251" s="42">
        <f t="shared" ca="1" si="103"/>
        <v>13</v>
      </c>
      <c r="AQ251" s="26">
        <v>1</v>
      </c>
      <c r="AR251" s="30">
        <f t="shared" ca="1" si="104"/>
        <v>43834</v>
      </c>
      <c r="AS251" s="30" t="str">
        <f t="shared" ca="1" si="105"/>
        <v>BCI-195</v>
      </c>
      <c r="AT251" s="26" t="str">
        <f t="shared" ca="1" si="106"/>
        <v>GREAT WALL</v>
      </c>
      <c r="AU251" s="26" t="str">
        <f t="shared" ca="1" si="107"/>
        <v>VOLEX</v>
      </c>
      <c r="AV251" s="26" t="str">
        <f t="shared" ca="1" si="108"/>
        <v>EDPYME ACCESO CREDITICIO SOCIEDAD ANONIMA</v>
      </c>
    </row>
    <row r="252" spans="1:48" x14ac:dyDescent="0.2">
      <c r="A252" s="172">
        <v>43756</v>
      </c>
      <c r="B252" s="173" t="s">
        <v>111</v>
      </c>
      <c r="C252" s="173" t="s">
        <v>102</v>
      </c>
      <c r="D252" s="173" t="s">
        <v>695</v>
      </c>
      <c r="E252" s="173" t="s">
        <v>791</v>
      </c>
      <c r="F252" s="173" t="s">
        <v>1144</v>
      </c>
      <c r="G252" s="172">
        <v>43748</v>
      </c>
      <c r="H252" s="173" t="s">
        <v>1176</v>
      </c>
      <c r="I252" s="173" t="s">
        <v>1177</v>
      </c>
      <c r="J252" s="173" t="s">
        <v>95</v>
      </c>
      <c r="K252" s="173" t="s">
        <v>96</v>
      </c>
      <c r="L252" s="174" t="s">
        <v>71</v>
      </c>
      <c r="M252" s="175" t="s">
        <v>72</v>
      </c>
      <c r="N252" s="173" t="s">
        <v>73</v>
      </c>
      <c r="O252" s="176" t="s">
        <v>69</v>
      </c>
      <c r="P252" s="130" t="s">
        <v>96</v>
      </c>
      <c r="Q252" s="177" t="s">
        <v>93</v>
      </c>
      <c r="R252" s="178">
        <v>3.355</v>
      </c>
      <c r="S252" s="179">
        <v>1</v>
      </c>
      <c r="T252" s="179">
        <v>100</v>
      </c>
      <c r="U252" s="179">
        <v>100</v>
      </c>
      <c r="V252" s="179">
        <v>18</v>
      </c>
      <c r="W252" s="179">
        <v>118</v>
      </c>
      <c r="X252" s="27">
        <f t="shared" si="93"/>
        <v>335.5</v>
      </c>
      <c r="Y252" s="29">
        <f ca="1">VLOOKUP(Z252,CHOOSE({2,1},Fac_Fecha,Fac_OT),2,0)</f>
        <v>43848</v>
      </c>
      <c r="Z252" s="26" t="s">
        <v>1923</v>
      </c>
      <c r="AA252" s="28">
        <f t="shared" ca="1" si="109"/>
        <v>845</v>
      </c>
      <c r="AB252" s="28">
        <f ca="1">SUMIF(Salida_OT,Facturacion!Z252,Salida_Suma)</f>
        <v>332.20400100000001</v>
      </c>
      <c r="AC252" s="28">
        <f t="shared" ca="1" si="94"/>
        <v>461.85999999999996</v>
      </c>
      <c r="AD252" s="28">
        <f t="shared" ca="1" si="95"/>
        <v>16.95</v>
      </c>
      <c r="AE252" s="28">
        <f ca="1">(SUMIF(Asig_OT,Z252,Asig_Hora_Mec))*'Costos x MO'!$B$6*'Costos x MO'!$B$7</f>
        <v>15.075000000000001</v>
      </c>
      <c r="AF252" s="28">
        <f ca="1">SUMIF(Asig_OT,Z252,Asig_Hora_Pla)*'Costos x MO'!$B$4*'Costos x MO'!$B$7</f>
        <v>0</v>
      </c>
      <c r="AG252" s="28">
        <f ca="1">SUMIF(Asig_OT,Z252,Asig_paño_Pin)*'Costos x MO'!$B$5*'Costos x MO'!$B$7</f>
        <v>0</v>
      </c>
      <c r="AH252" s="28">
        <f ca="1">(SUMIF(Asig_OT,Z252,Asig_Terc_Pla)*'Costos x MO'!$B$7)+(SUMIF(Asig_OT,Z252,Asig_Terc_Pin)*'Costos x MO'!$B$7)</f>
        <v>0</v>
      </c>
      <c r="AI252" s="28">
        <f t="shared" ca="1" si="96"/>
        <v>826.08900100000005</v>
      </c>
      <c r="AJ252" s="28">
        <f t="shared" ca="1" si="97"/>
        <v>18.910998999999947</v>
      </c>
      <c r="AK252" s="31">
        <f t="shared" ca="1" si="98"/>
        <v>2.2379880473372717E-2</v>
      </c>
      <c r="AL252" s="28" t="str">
        <f t="shared" ca="1" si="99"/>
        <v>ACCESO</v>
      </c>
      <c r="AM252" s="28" t="str">
        <f t="shared" ca="1" si="100"/>
        <v>GRAVE</v>
      </c>
      <c r="AN252" s="30" t="str">
        <f t="shared" ca="1" si="101"/>
        <v>January</v>
      </c>
      <c r="AO252" s="42">
        <f t="shared" ca="1" si="102"/>
        <v>2020</v>
      </c>
      <c r="AP252" s="42">
        <f t="shared" ca="1" si="103"/>
        <v>43</v>
      </c>
      <c r="AQ252" s="26">
        <v>1</v>
      </c>
      <c r="AR252" s="30">
        <f t="shared" ca="1" si="104"/>
        <v>43805</v>
      </c>
      <c r="AS252" s="30" t="str">
        <f t="shared" ca="1" si="105"/>
        <v>D2X-491</v>
      </c>
      <c r="AT252" s="26" t="str">
        <f t="shared" ca="1" si="106"/>
        <v>CHEVROLET</v>
      </c>
      <c r="AU252" s="26" t="str">
        <f t="shared" ca="1" si="107"/>
        <v>CHEVROLET</v>
      </c>
      <c r="AV252" s="26" t="str">
        <f t="shared" ca="1" si="108"/>
        <v>EDPYME ACCESO CREDITICIO SOCIEDAD ANONIMA</v>
      </c>
    </row>
    <row r="253" spans="1:48" x14ac:dyDescent="0.2">
      <c r="A253" s="172">
        <v>43756</v>
      </c>
      <c r="B253" s="173" t="s">
        <v>111</v>
      </c>
      <c r="C253" s="173" t="s">
        <v>102</v>
      </c>
      <c r="D253" s="173" t="s">
        <v>694</v>
      </c>
      <c r="E253" s="173" t="s">
        <v>816</v>
      </c>
      <c r="F253" s="173" t="s">
        <v>1178</v>
      </c>
      <c r="G253" s="172">
        <v>43756</v>
      </c>
      <c r="H253" s="173" t="s">
        <v>1179</v>
      </c>
      <c r="I253" s="173" t="s">
        <v>1180</v>
      </c>
      <c r="J253" s="173" t="s">
        <v>92</v>
      </c>
      <c r="K253" s="173" t="s">
        <v>133</v>
      </c>
      <c r="L253" s="174" t="s">
        <v>71</v>
      </c>
      <c r="M253" s="175" t="s">
        <v>72</v>
      </c>
      <c r="N253" s="173" t="s">
        <v>73</v>
      </c>
      <c r="O253" s="176" t="s">
        <v>69</v>
      </c>
      <c r="P253" s="173" t="s">
        <v>105</v>
      </c>
      <c r="Q253" s="177" t="s">
        <v>74</v>
      </c>
      <c r="R253" s="178">
        <v>3.355</v>
      </c>
      <c r="S253" s="179">
        <v>2</v>
      </c>
      <c r="T253" s="179">
        <v>16.949200000000001</v>
      </c>
      <c r="U253" s="179">
        <v>33.898400000000002</v>
      </c>
      <c r="V253" s="179">
        <v>6.1015999999999986</v>
      </c>
      <c r="W253" s="179">
        <v>40</v>
      </c>
      <c r="X253" s="27">
        <f t="shared" si="93"/>
        <v>33.898400000000002</v>
      </c>
      <c r="Y253" s="29">
        <f ca="1">VLOOKUP(Z253,CHOOSE({2,1},Fac_Fecha,Fac_OT),2,0)</f>
        <v>43848</v>
      </c>
      <c r="Z253" s="26" t="s">
        <v>1017</v>
      </c>
      <c r="AA253" s="28">
        <f t="shared" ca="1" si="109"/>
        <v>11203.254209999999</v>
      </c>
      <c r="AB253" s="28">
        <f ca="1">SUMIF(Salida_OT,Facturacion!Z253,Salida_Suma)</f>
        <v>3510.2143903399988</v>
      </c>
      <c r="AC253" s="28">
        <f t="shared" ca="1" si="94"/>
        <v>136.28</v>
      </c>
      <c r="AD253" s="28">
        <f t="shared" ca="1" si="95"/>
        <v>156.76999999999998</v>
      </c>
      <c r="AE253" s="28">
        <f ca="1">(SUMIF(Asig_OT,Z253,Asig_Hora_Mec))*'Costos x MO'!$B$6*'Costos x MO'!$B$7</f>
        <v>290.19375000000002</v>
      </c>
      <c r="AF253" s="28">
        <f ca="1">SUMIF(Asig_OT,Z253,Asig_Hora_Pla)*'Costos x MO'!$B$4*'Costos x MO'!$B$7</f>
        <v>512.55000000000007</v>
      </c>
      <c r="AG253" s="28">
        <f ca="1">SUMIF(Asig_OT,Z253,Asig_paño_Pin)*'Costos x MO'!$B$5*'Costos x MO'!$B$7</f>
        <v>1231.125</v>
      </c>
      <c r="AH253" s="28">
        <f ca="1">(SUMIF(Asig_OT,Z253,Asig_Terc_Pla)*'Costos x MO'!$B$7)+(SUMIF(Asig_OT,Z253,Asig_Terc_Pin)*'Costos x MO'!$B$7)</f>
        <v>0</v>
      </c>
      <c r="AI253" s="28">
        <f t="shared" ca="1" si="96"/>
        <v>5837.133140339999</v>
      </c>
      <c r="AJ253" s="28">
        <f t="shared" ca="1" si="97"/>
        <v>5366.1210696600001</v>
      </c>
      <c r="AK253" s="31">
        <f t="shared" ca="1" si="98"/>
        <v>0.47897878322445031</v>
      </c>
      <c r="AL253" s="28" t="str">
        <f t="shared" ca="1" si="99"/>
        <v>ACCESO</v>
      </c>
      <c r="AM253" s="28" t="str">
        <f t="shared" ca="1" si="100"/>
        <v>GRAVE</v>
      </c>
      <c r="AN253" s="30" t="str">
        <f t="shared" ca="1" si="101"/>
        <v>January</v>
      </c>
      <c r="AO253" s="42">
        <f t="shared" ca="1" si="102"/>
        <v>2020</v>
      </c>
      <c r="AP253" s="42">
        <f t="shared" ca="1" si="103"/>
        <v>82</v>
      </c>
      <c r="AQ253" s="26">
        <v>1</v>
      </c>
      <c r="AR253" s="30">
        <f t="shared" ca="1" si="104"/>
        <v>43766</v>
      </c>
      <c r="AS253" s="30" t="str">
        <f t="shared" ca="1" si="105"/>
        <v>D2X-491</v>
      </c>
      <c r="AT253" s="26" t="str">
        <f t="shared" ca="1" si="106"/>
        <v>CHEVROLET</v>
      </c>
      <c r="AU253" s="26" t="str">
        <f t="shared" ca="1" si="107"/>
        <v>SAIL</v>
      </c>
      <c r="AV253" s="26" t="str">
        <f t="shared" ca="1" si="108"/>
        <v>EDPYME ACCESO CREDITICIO SOCIEDAD ANONIMA</v>
      </c>
    </row>
    <row r="254" spans="1:48" x14ac:dyDescent="0.2">
      <c r="A254" s="172">
        <v>43756</v>
      </c>
      <c r="B254" s="173" t="s">
        <v>111</v>
      </c>
      <c r="C254" s="173" t="s">
        <v>102</v>
      </c>
      <c r="D254" s="173" t="s">
        <v>694</v>
      </c>
      <c r="E254" s="173" t="s">
        <v>816</v>
      </c>
      <c r="F254" s="173" t="s">
        <v>1178</v>
      </c>
      <c r="G254" s="172">
        <v>43756</v>
      </c>
      <c r="H254" s="173" t="s">
        <v>1179</v>
      </c>
      <c r="I254" s="173" t="s">
        <v>1180</v>
      </c>
      <c r="J254" s="173" t="s">
        <v>70</v>
      </c>
      <c r="K254" s="173" t="s">
        <v>112</v>
      </c>
      <c r="L254" s="174" t="s">
        <v>71</v>
      </c>
      <c r="M254" s="175" t="s">
        <v>72</v>
      </c>
      <c r="N254" s="173" t="s">
        <v>73</v>
      </c>
      <c r="O254" s="176" t="s">
        <v>69</v>
      </c>
      <c r="P254" s="130" t="s">
        <v>447</v>
      </c>
      <c r="Q254" s="177" t="s">
        <v>74</v>
      </c>
      <c r="R254" s="178">
        <v>3.355</v>
      </c>
      <c r="S254" s="179">
        <v>1</v>
      </c>
      <c r="T254" s="179">
        <v>211.87289000000001</v>
      </c>
      <c r="U254" s="179">
        <v>211.87289000000001</v>
      </c>
      <c r="V254" s="179">
        <v>38.137099999999954</v>
      </c>
      <c r="W254" s="179">
        <v>250.00998999999996</v>
      </c>
      <c r="X254" s="27">
        <f t="shared" si="93"/>
        <v>211.87289000000001</v>
      </c>
      <c r="Y254" s="29">
        <f ca="1">VLOOKUP(Z254,CHOOSE({2,1},Fac_Fecha,Fac_OT),2,0)</f>
        <v>43848</v>
      </c>
      <c r="Z254" s="26" t="s">
        <v>1965</v>
      </c>
      <c r="AA254" s="28">
        <f t="shared" ca="1" si="109"/>
        <v>4900</v>
      </c>
      <c r="AB254" s="28">
        <f ca="1">SUMIF(Salida_OT,Facturacion!Z254,Salida_Suma)</f>
        <v>1591.902887</v>
      </c>
      <c r="AC254" s="28">
        <f t="shared" ca="1" si="94"/>
        <v>0</v>
      </c>
      <c r="AD254" s="28">
        <f t="shared" ca="1" si="95"/>
        <v>1171.7733898305084</v>
      </c>
      <c r="AE254" s="28">
        <f ca="1">(SUMIF(Asig_OT,Z254,Asig_Hora_Mec))*'Costos x MO'!$B$6*'Costos x MO'!$B$7</f>
        <v>15.075000000000001</v>
      </c>
      <c r="AF254" s="28">
        <f ca="1">SUMIF(Asig_OT,Z254,Asig_Hora_Pla)*'Costos x MO'!$B$4*'Costos x MO'!$B$7</f>
        <v>0</v>
      </c>
      <c r="AG254" s="28">
        <f ca="1">SUMIF(Asig_OT,Z254,Asig_paño_Pin)*'Costos x MO'!$B$5*'Costos x MO'!$B$7</f>
        <v>0</v>
      </c>
      <c r="AH254" s="28">
        <f ca="1">(SUMIF(Asig_OT,Z254,Asig_Terc_Pla)*'Costos x MO'!$B$7)+(SUMIF(Asig_OT,Z254,Asig_Terc_Pin)*'Costos x MO'!$B$7)</f>
        <v>0</v>
      </c>
      <c r="AI254" s="28">
        <f t="shared" ca="1" si="96"/>
        <v>2778.7512768305082</v>
      </c>
      <c r="AJ254" s="28">
        <f t="shared" ca="1" si="97"/>
        <v>2121.2487231694918</v>
      </c>
      <c r="AK254" s="31">
        <f t="shared" ca="1" si="98"/>
        <v>0.43290790268765139</v>
      </c>
      <c r="AL254" s="28" t="str">
        <f t="shared" ca="1" si="99"/>
        <v>C.C</v>
      </c>
      <c r="AM254" s="28" t="str">
        <f t="shared" ca="1" si="100"/>
        <v>MECANICA</v>
      </c>
      <c r="AN254" s="30" t="str">
        <f t="shared" ca="1" si="101"/>
        <v>January</v>
      </c>
      <c r="AO254" s="42">
        <f t="shared" ca="1" si="102"/>
        <v>2020</v>
      </c>
      <c r="AP254" s="42">
        <f t="shared" ca="1" si="103"/>
        <v>31</v>
      </c>
      <c r="AQ254" s="26">
        <v>1</v>
      </c>
      <c r="AR254" s="30">
        <f t="shared" ca="1" si="104"/>
        <v>43817</v>
      </c>
      <c r="AS254" s="30" t="str">
        <f t="shared" ca="1" si="105"/>
        <v>D2X-491</v>
      </c>
      <c r="AT254" s="26" t="str">
        <f t="shared" ca="1" si="106"/>
        <v>CHEVROLET</v>
      </c>
      <c r="AU254" s="26" t="str">
        <f t="shared" ca="1" si="107"/>
        <v>SAIL</v>
      </c>
      <c r="AV254" s="26" t="str">
        <f t="shared" ca="1" si="108"/>
        <v>EDPYME ACCESO CREDITICIO SOCIEDAD ANONIMA</v>
      </c>
    </row>
    <row r="255" spans="1:48" x14ac:dyDescent="0.2">
      <c r="A255" s="172">
        <v>43756</v>
      </c>
      <c r="B255" s="173" t="s">
        <v>111</v>
      </c>
      <c r="C255" s="173" t="s">
        <v>102</v>
      </c>
      <c r="D255" s="173" t="s">
        <v>694</v>
      </c>
      <c r="E255" s="173" t="s">
        <v>816</v>
      </c>
      <c r="F255" s="173" t="s">
        <v>1178</v>
      </c>
      <c r="G255" s="172">
        <v>43756</v>
      </c>
      <c r="H255" s="173" t="s">
        <v>1179</v>
      </c>
      <c r="I255" s="173" t="s">
        <v>1180</v>
      </c>
      <c r="J255" s="173" t="s">
        <v>104</v>
      </c>
      <c r="K255" s="173" t="s">
        <v>105</v>
      </c>
      <c r="L255" s="174" t="s">
        <v>71</v>
      </c>
      <c r="M255" s="175" t="s">
        <v>72</v>
      </c>
      <c r="N255" s="173" t="s">
        <v>73</v>
      </c>
      <c r="O255" s="176" t="s">
        <v>69</v>
      </c>
      <c r="P255" s="173" t="s">
        <v>105</v>
      </c>
      <c r="Q255" s="177" t="s">
        <v>74</v>
      </c>
      <c r="R255" s="178">
        <v>3.355</v>
      </c>
      <c r="S255" s="179">
        <v>1</v>
      </c>
      <c r="T255" s="179">
        <v>0</v>
      </c>
      <c r="U255" s="179">
        <v>0</v>
      </c>
      <c r="V255" s="179">
        <v>0</v>
      </c>
      <c r="W255" s="179">
        <v>0</v>
      </c>
      <c r="X255" s="27">
        <f t="shared" si="93"/>
        <v>0</v>
      </c>
      <c r="Y255" s="29">
        <f ca="1">VLOOKUP(Z255,CHOOSE({2,1},Fac_Fecha,Fac_OT),2,0)</f>
        <v>43848</v>
      </c>
      <c r="Z255" s="26" t="s">
        <v>1930</v>
      </c>
      <c r="AA255" s="28">
        <f t="shared" ca="1" si="109"/>
        <v>14905.754199999999</v>
      </c>
      <c r="AB255" s="28">
        <f ca="1">SUMIF(Salida_OT,Facturacion!Z255,Salida_Suma)</f>
        <v>4789.3089501200002</v>
      </c>
      <c r="AC255" s="28">
        <f t="shared" ca="1" si="94"/>
        <v>97.460000000000008</v>
      </c>
      <c r="AD255" s="28">
        <f t="shared" ca="1" si="95"/>
        <v>396.34000000000003</v>
      </c>
      <c r="AE255" s="28">
        <f ca="1">(SUMIF(Asig_OT,Z255,Asig_Hora_Mec))*'Costos x MO'!$B$6*'Costos x MO'!$B$7</f>
        <v>440.94375000000002</v>
      </c>
      <c r="AF255" s="28">
        <f ca="1">SUMIF(Asig_OT,Z255,Asig_Hora_Pla)*'Costos x MO'!$B$4*'Costos x MO'!$B$7</f>
        <v>723.6</v>
      </c>
      <c r="AG255" s="28">
        <f ca="1">SUMIF(Asig_OT,Z255,Asig_paño_Pin)*'Costos x MO'!$B$5*'Costos x MO'!$B$7</f>
        <v>1266.3</v>
      </c>
      <c r="AH255" s="28">
        <f ca="1">(SUMIF(Asig_OT,Z255,Asig_Terc_Pla)*'Costos x MO'!$B$7)+(SUMIF(Asig_OT,Z255,Asig_Terc_Pin)*'Costos x MO'!$B$7)</f>
        <v>0</v>
      </c>
      <c r="AI255" s="28">
        <f t="shared" ca="1" si="96"/>
        <v>7713.9527001200013</v>
      </c>
      <c r="AJ255" s="28">
        <f t="shared" ca="1" si="97"/>
        <v>7191.8014998799981</v>
      </c>
      <c r="AK255" s="31">
        <f t="shared" ca="1" si="98"/>
        <v>0.48248491175844016</v>
      </c>
      <c r="AL255" s="28" t="str">
        <f t="shared" ca="1" si="99"/>
        <v>ACCESO</v>
      </c>
      <c r="AM255" s="28" t="str">
        <f t="shared" ca="1" si="100"/>
        <v>GRAVE</v>
      </c>
      <c r="AN255" s="30" t="str">
        <f t="shared" ca="1" si="101"/>
        <v>January</v>
      </c>
      <c r="AO255" s="42">
        <f t="shared" ca="1" si="102"/>
        <v>2020</v>
      </c>
      <c r="AP255" s="42">
        <f t="shared" ca="1" si="103"/>
        <v>46</v>
      </c>
      <c r="AQ255" s="26">
        <v>1</v>
      </c>
      <c r="AR255" s="30">
        <f t="shared" ca="1" si="104"/>
        <v>43802</v>
      </c>
      <c r="AS255" s="30" t="str">
        <f t="shared" ca="1" si="105"/>
        <v>AVP-525</v>
      </c>
      <c r="AT255" s="26" t="str">
        <f t="shared" ca="1" si="106"/>
        <v>CHEVROLET</v>
      </c>
      <c r="AU255" s="26" t="str">
        <f t="shared" ca="1" si="107"/>
        <v>SAIL</v>
      </c>
      <c r="AV255" s="26" t="str">
        <f t="shared" ca="1" si="108"/>
        <v>EDPYME ACCESO CREDITICIO SOCIEDAD ANONIMA</v>
      </c>
    </row>
    <row r="256" spans="1:48" x14ac:dyDescent="0.2">
      <c r="A256" s="172">
        <v>43757</v>
      </c>
      <c r="B256" s="173" t="s">
        <v>111</v>
      </c>
      <c r="C256" s="173" t="s">
        <v>102</v>
      </c>
      <c r="D256" s="173" t="s">
        <v>692</v>
      </c>
      <c r="E256" s="173" t="s">
        <v>757</v>
      </c>
      <c r="F256" s="173" t="s">
        <v>941</v>
      </c>
      <c r="G256" s="172">
        <v>43742</v>
      </c>
      <c r="H256" s="173" t="s">
        <v>1181</v>
      </c>
      <c r="I256" s="173" t="s">
        <v>1182</v>
      </c>
      <c r="J256" s="173" t="s">
        <v>95</v>
      </c>
      <c r="K256" s="173" t="s">
        <v>96</v>
      </c>
      <c r="L256" s="174" t="s">
        <v>71</v>
      </c>
      <c r="M256" s="175" t="s">
        <v>72</v>
      </c>
      <c r="N256" s="173" t="s">
        <v>73</v>
      </c>
      <c r="O256" s="176" t="s">
        <v>69</v>
      </c>
      <c r="P256" s="130" t="s">
        <v>96</v>
      </c>
      <c r="Q256" s="177" t="s">
        <v>93</v>
      </c>
      <c r="R256" s="178">
        <v>3.355</v>
      </c>
      <c r="S256" s="179">
        <v>1</v>
      </c>
      <c r="T256" s="179">
        <v>183.22031000000004</v>
      </c>
      <c r="U256" s="179">
        <v>183.22031000000004</v>
      </c>
      <c r="V256" s="179">
        <v>32.979689999999977</v>
      </c>
      <c r="W256" s="179">
        <v>216.2</v>
      </c>
      <c r="X256" s="27">
        <f t="shared" si="93"/>
        <v>614.70414005000009</v>
      </c>
      <c r="Y256" s="29">
        <f ca="1">VLOOKUP(Z256,CHOOSE({2,1},Fac_Fecha,Fac_OT),2,0)</f>
        <v>43848</v>
      </c>
      <c r="Z256" s="26" t="s">
        <v>1377</v>
      </c>
      <c r="AA256" s="28">
        <f t="shared" ca="1" si="109"/>
        <v>14406.779699999999</v>
      </c>
      <c r="AB256" s="28">
        <f ca="1">SUMIF(Salida_OT,Facturacion!Z256,Salida_Suma)</f>
        <v>7280.8806479999985</v>
      </c>
      <c r="AC256" s="28">
        <f t="shared" ca="1" si="94"/>
        <v>526.09999999999991</v>
      </c>
      <c r="AD256" s="28">
        <f t="shared" ca="1" si="95"/>
        <v>1072.8699999999999</v>
      </c>
      <c r="AE256" s="28">
        <f ca="1">(SUMIF(Asig_OT,Z256,Asig_Hora_Mec))*'Costos x MO'!$B$6*'Costos x MO'!$B$7</f>
        <v>120.60000000000001</v>
      </c>
      <c r="AF256" s="28">
        <f ca="1">SUMIF(Asig_OT,Z256,Asig_Hora_Pla)*'Costos x MO'!$B$4*'Costos x MO'!$B$7</f>
        <v>482.40000000000003</v>
      </c>
      <c r="AG256" s="28">
        <f ca="1">SUMIF(Asig_OT,Z256,Asig_paño_Pin)*'Costos x MO'!$B$5*'Costos x MO'!$B$7</f>
        <v>1266.3</v>
      </c>
      <c r="AH256" s="28">
        <f ca="1">(SUMIF(Asig_OT,Z256,Asig_Terc_Pla)*'Costos x MO'!$B$7)+(SUMIF(Asig_OT,Z256,Asig_Terc_Pin)*'Costos x MO'!$B$7)</f>
        <v>0</v>
      </c>
      <c r="AI256" s="28">
        <f t="shared" ca="1" si="96"/>
        <v>10749.150647999999</v>
      </c>
      <c r="AJ256" s="28">
        <f t="shared" ca="1" si="97"/>
        <v>3657.6290520000002</v>
      </c>
      <c r="AK256" s="31">
        <f t="shared" ca="1" si="98"/>
        <v>0.25388248645184741</v>
      </c>
      <c r="AL256" s="28" t="str">
        <f t="shared" ca="1" si="99"/>
        <v>ACCESO</v>
      </c>
      <c r="AM256" s="28" t="str">
        <f t="shared" ca="1" si="100"/>
        <v>GRAVE</v>
      </c>
      <c r="AN256" s="30" t="str">
        <f t="shared" ca="1" si="101"/>
        <v>January</v>
      </c>
      <c r="AO256" s="42">
        <f t="shared" ca="1" si="102"/>
        <v>2020</v>
      </c>
      <c r="AP256" s="42">
        <f t="shared" ca="1" si="103"/>
        <v>94</v>
      </c>
      <c r="AQ256" s="26">
        <v>1</v>
      </c>
      <c r="AR256" s="30">
        <f t="shared" ca="1" si="104"/>
        <v>43754</v>
      </c>
      <c r="AS256" s="30" t="str">
        <f t="shared" ca="1" si="105"/>
        <v>AKY-377</v>
      </c>
      <c r="AT256" s="26" t="str">
        <f t="shared" ca="1" si="106"/>
        <v>KIA</v>
      </c>
      <c r="AU256" s="26" t="str">
        <f t="shared" ca="1" si="107"/>
        <v>RIO</v>
      </c>
      <c r="AV256" s="26" t="str">
        <f t="shared" ca="1" si="108"/>
        <v>EDPYME ACCESO CREDITICIO SOCIEDAD ANONIMA</v>
      </c>
    </row>
    <row r="257" spans="1:48" x14ac:dyDescent="0.2">
      <c r="A257" s="172">
        <v>43757</v>
      </c>
      <c r="B257" s="173" t="s">
        <v>111</v>
      </c>
      <c r="C257" s="173" t="s">
        <v>102</v>
      </c>
      <c r="D257" s="173" t="s">
        <v>691</v>
      </c>
      <c r="E257" s="173" t="s">
        <v>809</v>
      </c>
      <c r="F257" s="173" t="s">
        <v>907</v>
      </c>
      <c r="G257" s="172">
        <v>43754</v>
      </c>
      <c r="H257" s="173" t="s">
        <v>1183</v>
      </c>
      <c r="I257" s="173" t="s">
        <v>1184</v>
      </c>
      <c r="J257" s="173" t="s">
        <v>95</v>
      </c>
      <c r="K257" s="173" t="s">
        <v>96</v>
      </c>
      <c r="L257" s="174" t="s">
        <v>71</v>
      </c>
      <c r="M257" s="175" t="s">
        <v>72</v>
      </c>
      <c r="N257" s="173" t="s">
        <v>73</v>
      </c>
      <c r="O257" s="176" t="s">
        <v>69</v>
      </c>
      <c r="P257" s="130" t="s">
        <v>96</v>
      </c>
      <c r="Q257" s="177" t="s">
        <v>93</v>
      </c>
      <c r="R257" s="178">
        <v>3.355</v>
      </c>
      <c r="S257" s="179">
        <v>1</v>
      </c>
      <c r="T257" s="179">
        <v>100</v>
      </c>
      <c r="U257" s="179">
        <v>100</v>
      </c>
      <c r="V257" s="179">
        <v>18</v>
      </c>
      <c r="W257" s="179">
        <v>118</v>
      </c>
      <c r="X257" s="27">
        <f t="shared" si="93"/>
        <v>335.5</v>
      </c>
      <c r="Y257" s="29">
        <f ca="1">VLOOKUP(Z257,CHOOSE({2,1},Fac_Fecha,Fac_OT),2,0)</f>
        <v>43848</v>
      </c>
      <c r="Z257" s="26" t="s">
        <v>1369</v>
      </c>
      <c r="AA257" s="28">
        <f t="shared" ca="1" si="109"/>
        <v>12026.754209999999</v>
      </c>
      <c r="AB257" s="28">
        <f ca="1">SUMIF(Salida_OT,Facturacion!Z257,Salida_Suma)</f>
        <v>2758.8133256200003</v>
      </c>
      <c r="AC257" s="28">
        <f t="shared" ca="1" si="94"/>
        <v>135.58949152542374</v>
      </c>
      <c r="AD257" s="28">
        <f t="shared" ca="1" si="95"/>
        <v>418.13</v>
      </c>
      <c r="AE257" s="28">
        <f ca="1">(SUMIF(Asig_OT,Z257,Asig_Hora_Mec))*'Costos x MO'!$B$6*'Costos x MO'!$B$7</f>
        <v>320.34375</v>
      </c>
      <c r="AF257" s="28">
        <f ca="1">SUMIF(Asig_OT,Z257,Asig_Hora_Pla)*'Costos x MO'!$B$4*'Costos x MO'!$B$7</f>
        <v>587.92500000000007</v>
      </c>
      <c r="AG257" s="28">
        <f ca="1">SUMIF(Asig_OT,Z257,Asig_paño_Pin)*'Costos x MO'!$B$5*'Costos x MO'!$B$7</f>
        <v>1266.3</v>
      </c>
      <c r="AH257" s="28">
        <f ca="1">(SUMIF(Asig_OT,Z257,Asig_Terc_Pla)*'Costos x MO'!$B$7)+(SUMIF(Asig_OT,Z257,Asig_Terc_Pin)*'Costos x MO'!$B$7)</f>
        <v>0</v>
      </c>
      <c r="AI257" s="28">
        <f t="shared" ca="1" si="96"/>
        <v>5487.1015671454243</v>
      </c>
      <c r="AJ257" s="28">
        <f t="shared" ca="1" si="97"/>
        <v>6539.6526428545749</v>
      </c>
      <c r="AK257" s="31">
        <f t="shared" ca="1" si="98"/>
        <v>0.54375873395807728</v>
      </c>
      <c r="AL257" s="28" t="str">
        <f t="shared" ca="1" si="99"/>
        <v>ACCESO</v>
      </c>
      <c r="AM257" s="28" t="str">
        <f t="shared" ca="1" si="100"/>
        <v>GRAVE</v>
      </c>
      <c r="AN257" s="30" t="str">
        <f t="shared" ca="1" si="101"/>
        <v>January</v>
      </c>
      <c r="AO257" s="42">
        <f t="shared" ca="1" si="102"/>
        <v>2020</v>
      </c>
      <c r="AP257" s="42">
        <f t="shared" ca="1" si="103"/>
        <v>58</v>
      </c>
      <c r="AQ257" s="26">
        <v>1</v>
      </c>
      <c r="AR257" s="30">
        <f t="shared" ca="1" si="104"/>
        <v>43790</v>
      </c>
      <c r="AS257" s="30" t="str">
        <f t="shared" ca="1" si="105"/>
        <v>F9A-025</v>
      </c>
      <c r="AT257" s="26" t="str">
        <f t="shared" ca="1" si="106"/>
        <v>CHEVROLET</v>
      </c>
      <c r="AU257" s="26" t="str">
        <f t="shared" ca="1" si="107"/>
        <v>SAIL</v>
      </c>
      <c r="AV257" s="26" t="str">
        <f t="shared" ca="1" si="108"/>
        <v>EDPYME ACCESO CREDITICIO SOCIEDAD ANONIMA</v>
      </c>
    </row>
    <row r="258" spans="1:48" x14ac:dyDescent="0.2">
      <c r="A258" s="172">
        <v>43757</v>
      </c>
      <c r="B258" s="173" t="s">
        <v>111</v>
      </c>
      <c r="C258" s="173" t="s">
        <v>102</v>
      </c>
      <c r="D258" s="173" t="s">
        <v>690</v>
      </c>
      <c r="E258" s="173" t="s">
        <v>819</v>
      </c>
      <c r="F258" s="173" t="s">
        <v>907</v>
      </c>
      <c r="G258" s="172">
        <v>43756</v>
      </c>
      <c r="H258" s="173" t="s">
        <v>1183</v>
      </c>
      <c r="I258" s="173" t="s">
        <v>1184</v>
      </c>
      <c r="J258" s="173" t="s">
        <v>92</v>
      </c>
      <c r="K258" s="173" t="s">
        <v>113</v>
      </c>
      <c r="L258" s="174" t="s">
        <v>71</v>
      </c>
      <c r="M258" s="175" t="s">
        <v>72</v>
      </c>
      <c r="N258" s="173" t="s">
        <v>73</v>
      </c>
      <c r="O258" s="176" t="s">
        <v>69</v>
      </c>
      <c r="P258" s="130" t="s">
        <v>113</v>
      </c>
      <c r="Q258" s="177" t="s">
        <v>74</v>
      </c>
      <c r="R258" s="178">
        <v>3.355</v>
      </c>
      <c r="S258" s="179">
        <v>1</v>
      </c>
      <c r="T258" s="179">
        <v>29.660999000000007</v>
      </c>
      <c r="U258" s="179">
        <v>29.660999000000007</v>
      </c>
      <c r="V258" s="179">
        <v>5.3390009999999934</v>
      </c>
      <c r="W258" s="179">
        <v>35</v>
      </c>
      <c r="X258" s="27">
        <f t="shared" si="93"/>
        <v>29.660999000000007</v>
      </c>
      <c r="Y258" s="29">
        <f ca="1">VLOOKUP(Z258,CHOOSE({2,1},Fac_Fecha,Fac_OT),2,0)</f>
        <v>43848</v>
      </c>
      <c r="Z258" s="26" t="s">
        <v>2563</v>
      </c>
      <c r="AA258" s="28">
        <f t="shared" ca="1" si="109"/>
        <v>3101</v>
      </c>
      <c r="AB258" s="28">
        <f ca="1">SUMIF(Salida_OT,Facturacion!Z258,Salida_Suma)</f>
        <v>1453.3899730000001</v>
      </c>
      <c r="AC258" s="28">
        <f t="shared" ca="1" si="94"/>
        <v>0</v>
      </c>
      <c r="AD258" s="28">
        <f t="shared" ca="1" si="95"/>
        <v>77.289999999999992</v>
      </c>
      <c r="AE258" s="28">
        <f ca="1">(SUMIF(Asig_OT,Z258,Asig_Hora_Mec))*'Costos x MO'!$B$6*'Costos x MO'!$B$7</f>
        <v>15.075000000000001</v>
      </c>
      <c r="AF258" s="28">
        <f ca="1">SUMIF(Asig_OT,Z258,Asig_Hora_Pla)*'Costos x MO'!$B$4*'Costos x MO'!$B$7</f>
        <v>0</v>
      </c>
      <c r="AG258" s="28">
        <f ca="1">SUMIF(Asig_OT,Z258,Asig_paño_Pin)*'Costos x MO'!$B$5*'Costos x MO'!$B$7</f>
        <v>0</v>
      </c>
      <c r="AH258" s="28">
        <f ca="1">(SUMIF(Asig_OT,Z258,Asig_Terc_Pla)*'Costos x MO'!$B$7)+(SUMIF(Asig_OT,Z258,Asig_Terc_Pin)*'Costos x MO'!$B$7)</f>
        <v>0</v>
      </c>
      <c r="AI258" s="28">
        <f t="shared" ca="1" si="96"/>
        <v>1545.7549730000001</v>
      </c>
      <c r="AJ258" s="28">
        <f t="shared" ca="1" si="97"/>
        <v>1555.2450269999999</v>
      </c>
      <c r="AK258" s="31">
        <f t="shared" ca="1" si="98"/>
        <v>0.50153016027088038</v>
      </c>
      <c r="AL258" s="28" t="str">
        <f t="shared" ca="1" si="99"/>
        <v>C.C</v>
      </c>
      <c r="AM258" s="28" t="str">
        <f t="shared" ca="1" si="100"/>
        <v>MECANICA</v>
      </c>
      <c r="AN258" s="30" t="str">
        <f t="shared" ca="1" si="101"/>
        <v>January</v>
      </c>
      <c r="AO258" s="42">
        <f t="shared" ca="1" si="102"/>
        <v>2020</v>
      </c>
      <c r="AP258" s="42">
        <f t="shared" ca="1" si="103"/>
        <v>2</v>
      </c>
      <c r="AQ258" s="26">
        <v>1</v>
      </c>
      <c r="AR258" s="30">
        <f t="shared" ca="1" si="104"/>
        <v>43846</v>
      </c>
      <c r="AS258" s="30" t="str">
        <f t="shared" ca="1" si="105"/>
        <v>C4S-529</v>
      </c>
      <c r="AT258" s="26" t="str">
        <f t="shared" ca="1" si="106"/>
        <v>KIA</v>
      </c>
      <c r="AU258" s="26" t="str">
        <f t="shared" ca="1" si="107"/>
        <v>SORENTO</v>
      </c>
      <c r="AV258" s="26" t="str">
        <f t="shared" ca="1" si="108"/>
        <v>INDURA PERU S.A.</v>
      </c>
    </row>
    <row r="259" spans="1:48" x14ac:dyDescent="0.2">
      <c r="A259" s="172">
        <v>43759</v>
      </c>
      <c r="B259" s="173" t="s">
        <v>111</v>
      </c>
      <c r="C259" s="173" t="s">
        <v>102</v>
      </c>
      <c r="D259" s="173" t="s">
        <v>689</v>
      </c>
      <c r="E259" s="173" t="s">
        <v>827</v>
      </c>
      <c r="F259" s="173" t="s">
        <v>338</v>
      </c>
      <c r="G259" s="172">
        <v>43759</v>
      </c>
      <c r="H259" s="173" t="s">
        <v>337</v>
      </c>
      <c r="I259" s="173" t="s">
        <v>336</v>
      </c>
      <c r="J259" s="173" t="s">
        <v>92</v>
      </c>
      <c r="K259" s="173" t="s">
        <v>113</v>
      </c>
      <c r="L259" s="174" t="s">
        <v>71</v>
      </c>
      <c r="M259" s="175" t="s">
        <v>72</v>
      </c>
      <c r="N259" s="173" t="s">
        <v>73</v>
      </c>
      <c r="O259" s="176" t="s">
        <v>69</v>
      </c>
      <c r="P259" s="130" t="s">
        <v>113</v>
      </c>
      <c r="Q259" s="177" t="s">
        <v>74</v>
      </c>
      <c r="R259" s="178">
        <v>3.3469999000000001</v>
      </c>
      <c r="S259" s="179">
        <v>1</v>
      </c>
      <c r="T259" s="179">
        <v>60</v>
      </c>
      <c r="U259" s="179">
        <v>60</v>
      </c>
      <c r="V259" s="179">
        <v>10.800002999999997</v>
      </c>
      <c r="W259" s="179">
        <v>70.800003000000004</v>
      </c>
      <c r="X259" s="27">
        <f t="shared" si="93"/>
        <v>60</v>
      </c>
      <c r="Y259" s="29">
        <f ca="1">VLOOKUP(Z259,CHOOSE({2,1},Fac_Fecha,Fac_OT),2,0)</f>
        <v>43850</v>
      </c>
      <c r="Z259" s="26" t="s">
        <v>1417</v>
      </c>
      <c r="AA259" s="28">
        <f t="shared" ca="1" si="109"/>
        <v>395.55598810000004</v>
      </c>
      <c r="AB259" s="28">
        <f ca="1">SUMIF(Salida_OT,Facturacion!Z259,Salida_Suma)</f>
        <v>0</v>
      </c>
      <c r="AC259" s="28">
        <f t="shared" ca="1" si="94"/>
        <v>0</v>
      </c>
      <c r="AD259" s="28">
        <f t="shared" ca="1" si="95"/>
        <v>0</v>
      </c>
      <c r="AE259" s="28">
        <f ca="1">(SUMIF(Asig_OT,Z259,Asig_Hora_Mec))*'Costos x MO'!$B$6*'Costos x MO'!$B$7</f>
        <v>0</v>
      </c>
      <c r="AF259" s="28">
        <f ca="1">SUMIF(Asig_OT,Z259,Asig_Hora_Pla)*'Costos x MO'!$B$4*'Costos x MO'!$B$7</f>
        <v>15.075000000000001</v>
      </c>
      <c r="AG259" s="28">
        <f ca="1">SUMIF(Asig_OT,Z259,Asig_paño_Pin)*'Costos x MO'!$B$5*'Costos x MO'!$B$7</f>
        <v>70.350000000000009</v>
      </c>
      <c r="AH259" s="28">
        <f ca="1">(SUMIF(Asig_OT,Z259,Asig_Terc_Pla)*'Costos x MO'!$B$7)+(SUMIF(Asig_OT,Z259,Asig_Terc_Pin)*'Costos x MO'!$B$7)</f>
        <v>0</v>
      </c>
      <c r="AI259" s="28">
        <f t="shared" ca="1" si="96"/>
        <v>85.425000000000011</v>
      </c>
      <c r="AJ259" s="28">
        <f t="shared" ca="1" si="97"/>
        <v>310.13098810000002</v>
      </c>
      <c r="AK259" s="31">
        <f t="shared" ca="1" si="98"/>
        <v>0.78403815750501593</v>
      </c>
      <c r="AL259" s="28" t="str">
        <f t="shared" ca="1" si="99"/>
        <v>RIMAC</v>
      </c>
      <c r="AM259" s="28" t="str">
        <f t="shared" ca="1" si="100"/>
        <v>LEVE</v>
      </c>
      <c r="AN259" s="30" t="str">
        <f t="shared" ca="1" si="101"/>
        <v>January</v>
      </c>
      <c r="AO259" s="42">
        <f t="shared" ca="1" si="102"/>
        <v>2020</v>
      </c>
      <c r="AP259" s="42">
        <f t="shared" ca="1" si="103"/>
        <v>53</v>
      </c>
      <c r="AQ259" s="26">
        <v>1</v>
      </c>
      <c r="AR259" s="30">
        <f t="shared" ca="1" si="104"/>
        <v>43797</v>
      </c>
      <c r="AS259" s="30" t="str">
        <f t="shared" ca="1" si="105"/>
        <v>AND-446</v>
      </c>
      <c r="AT259" s="26" t="str">
        <f t="shared" ca="1" si="106"/>
        <v>RENAULT</v>
      </c>
      <c r="AU259" s="26" t="str">
        <f t="shared" ca="1" si="107"/>
        <v>LOGAN</v>
      </c>
      <c r="AV259" s="26" t="str">
        <f t="shared" ca="1" si="108"/>
        <v>RENTAEQUIPOS LEASING PERU S.A.</v>
      </c>
    </row>
    <row r="260" spans="1:48" x14ac:dyDescent="0.2">
      <c r="A260" s="172">
        <v>43759</v>
      </c>
      <c r="B260" s="173" t="s">
        <v>111</v>
      </c>
      <c r="C260" s="173" t="s">
        <v>102</v>
      </c>
      <c r="D260" s="173" t="s">
        <v>689</v>
      </c>
      <c r="E260" s="173" t="s">
        <v>827</v>
      </c>
      <c r="F260" s="173" t="s">
        <v>338</v>
      </c>
      <c r="G260" s="172">
        <v>43759</v>
      </c>
      <c r="H260" s="173" t="s">
        <v>337</v>
      </c>
      <c r="I260" s="173" t="s">
        <v>336</v>
      </c>
      <c r="J260" s="173" t="s">
        <v>70</v>
      </c>
      <c r="K260" s="173" t="s">
        <v>112</v>
      </c>
      <c r="L260" s="174" t="s">
        <v>71</v>
      </c>
      <c r="M260" s="175" t="s">
        <v>72</v>
      </c>
      <c r="N260" s="173" t="s">
        <v>73</v>
      </c>
      <c r="O260" s="176" t="s">
        <v>69</v>
      </c>
      <c r="P260" s="130" t="s">
        <v>447</v>
      </c>
      <c r="Q260" s="177" t="s">
        <v>74</v>
      </c>
      <c r="R260" s="178">
        <v>3.3469999000000001</v>
      </c>
      <c r="S260" s="179">
        <v>1</v>
      </c>
      <c r="T260" s="179">
        <v>211.85589999999996</v>
      </c>
      <c r="U260" s="179">
        <v>211.85589999999996</v>
      </c>
      <c r="V260" s="179">
        <v>38.134110000000035</v>
      </c>
      <c r="W260" s="179">
        <v>249.99001000000001</v>
      </c>
      <c r="X260" s="27">
        <f t="shared" si="93"/>
        <v>211.85589999999996</v>
      </c>
      <c r="Y260" s="29">
        <f ca="1">VLOOKUP(Z260,CHOOSE({2,1},Fac_Fecha,Fac_OT),2,0)</f>
        <v>43851</v>
      </c>
      <c r="Z260" s="26" t="s">
        <v>2634</v>
      </c>
      <c r="AA260" s="28">
        <f t="shared" ca="1" si="109"/>
        <v>1191.2954999999999</v>
      </c>
      <c r="AB260" s="28">
        <f ca="1">SUMIF(Salida_OT,Facturacion!Z260,Salida_Suma)</f>
        <v>0</v>
      </c>
      <c r="AC260" s="28">
        <f t="shared" ca="1" si="94"/>
        <v>0</v>
      </c>
      <c r="AD260" s="28">
        <f t="shared" ca="1" si="95"/>
        <v>0</v>
      </c>
      <c r="AE260" s="28">
        <f ca="1">(SUMIF(Asig_OT,Z260,Asig_Hora_Mec))*'Costos x MO'!$B$6*'Costos x MO'!$B$7</f>
        <v>0</v>
      </c>
      <c r="AF260" s="28">
        <f ca="1">SUMIF(Asig_OT,Z260,Asig_Hora_Pla)*'Costos x MO'!$B$4*'Costos x MO'!$B$7</f>
        <v>180.9</v>
      </c>
      <c r="AG260" s="28">
        <f ca="1">SUMIF(Asig_OT,Z260,Asig_paño_Pin)*'Costos x MO'!$B$5*'Costos x MO'!$B$7</f>
        <v>105.52500000000001</v>
      </c>
      <c r="AH260" s="28">
        <f ca="1">(SUMIF(Asig_OT,Z260,Asig_Terc_Pla)*'Costos x MO'!$B$7)+(SUMIF(Asig_OT,Z260,Asig_Terc_Pin)*'Costos x MO'!$B$7)</f>
        <v>0</v>
      </c>
      <c r="AI260" s="28">
        <f t="shared" ca="1" si="96"/>
        <v>286.42500000000001</v>
      </c>
      <c r="AJ260" s="28">
        <f t="shared" ca="1" si="97"/>
        <v>904.87049999999999</v>
      </c>
      <c r="AK260" s="31">
        <f t="shared" ca="1" si="98"/>
        <v>0.75956846978772274</v>
      </c>
      <c r="AL260" s="28" t="str">
        <f t="shared" ca="1" si="99"/>
        <v>RIMAC</v>
      </c>
      <c r="AM260" s="28" t="str">
        <f t="shared" ca="1" si="100"/>
        <v>MEDIANO</v>
      </c>
      <c r="AN260" s="30" t="str">
        <f t="shared" ca="1" si="101"/>
        <v>January</v>
      </c>
      <c r="AO260" s="42">
        <f t="shared" ca="1" si="102"/>
        <v>2020</v>
      </c>
      <c r="AP260" s="42">
        <f t="shared" ca="1" si="103"/>
        <v>14</v>
      </c>
      <c r="AQ260" s="26">
        <v>1</v>
      </c>
      <c r="AR260" s="30">
        <f t="shared" ca="1" si="104"/>
        <v>43837</v>
      </c>
      <c r="AS260" s="30" t="str">
        <f t="shared" ca="1" si="105"/>
        <v>AVL-461</v>
      </c>
      <c r="AT260" s="26" t="str">
        <f t="shared" ca="1" si="106"/>
        <v>HONDA</v>
      </c>
      <c r="AU260" s="26" t="str">
        <f t="shared" ca="1" si="107"/>
        <v>HR-V</v>
      </c>
      <c r="AV260" s="26" t="str">
        <f t="shared" ca="1" si="108"/>
        <v>RIMAC SEGUROS  Y REASEGUROS S.A</v>
      </c>
    </row>
    <row r="261" spans="1:48" x14ac:dyDescent="0.2">
      <c r="A261" s="172">
        <v>43759</v>
      </c>
      <c r="B261" s="173" t="s">
        <v>111</v>
      </c>
      <c r="C261" s="173" t="s">
        <v>102</v>
      </c>
      <c r="D261" s="173" t="s">
        <v>689</v>
      </c>
      <c r="E261" s="173" t="s">
        <v>827</v>
      </c>
      <c r="F261" s="173" t="s">
        <v>338</v>
      </c>
      <c r="G261" s="172">
        <v>43759</v>
      </c>
      <c r="H261" s="173" t="s">
        <v>337</v>
      </c>
      <c r="I261" s="173" t="s">
        <v>336</v>
      </c>
      <c r="J261" s="173" t="s">
        <v>104</v>
      </c>
      <c r="K261" s="173" t="s">
        <v>105</v>
      </c>
      <c r="L261" s="174" t="s">
        <v>71</v>
      </c>
      <c r="M261" s="175" t="s">
        <v>72</v>
      </c>
      <c r="N261" s="173" t="s">
        <v>73</v>
      </c>
      <c r="O261" s="176" t="s">
        <v>69</v>
      </c>
      <c r="P261" s="173" t="s">
        <v>105</v>
      </c>
      <c r="Q261" s="177" t="s">
        <v>74</v>
      </c>
      <c r="R261" s="178">
        <v>3.3469999000000001</v>
      </c>
      <c r="S261" s="179">
        <v>1</v>
      </c>
      <c r="T261" s="179">
        <v>60</v>
      </c>
      <c r="U261" s="179">
        <v>60</v>
      </c>
      <c r="V261" s="179">
        <v>10.800002999999997</v>
      </c>
      <c r="W261" s="179">
        <v>70.800003000000004</v>
      </c>
      <c r="X261" s="27">
        <f t="shared" ref="X261:X324" si="110">IF(Q261="$",(U261*R261),U261)</f>
        <v>60</v>
      </c>
      <c r="Y261" s="29">
        <f ca="1">VLOOKUP(Z261,CHOOSE({2,1},Fac_Fecha,Fac_OT),2,0)</f>
        <v>43852</v>
      </c>
      <c r="Z261" s="26" t="s">
        <v>2647</v>
      </c>
      <c r="AA261" s="28">
        <f t="shared" ca="1" si="109"/>
        <v>888.09997325000018</v>
      </c>
      <c r="AB261" s="28">
        <f ca="1">SUMIF(Salida_OT,Facturacion!Z261,Salida_Suma)</f>
        <v>0</v>
      </c>
      <c r="AC261" s="28">
        <f t="shared" ca="1" si="94"/>
        <v>0</v>
      </c>
      <c r="AD261" s="28">
        <f t="shared" ca="1" si="95"/>
        <v>0</v>
      </c>
      <c r="AE261" s="28">
        <f ca="1">(SUMIF(Asig_OT,Z261,Asig_Hora_Mec))*'Costos x MO'!$B$6*'Costos x MO'!$B$7</f>
        <v>0</v>
      </c>
      <c r="AF261" s="28">
        <f ca="1">SUMIF(Asig_OT,Z261,Asig_Hora_Pla)*'Costos x MO'!$B$4*'Costos x MO'!$B$7</f>
        <v>60.300000000000004</v>
      </c>
      <c r="AG261" s="28">
        <f ca="1">SUMIF(Asig_OT,Z261,Asig_paño_Pin)*'Costos x MO'!$B$5*'Costos x MO'!$B$7</f>
        <v>175.875</v>
      </c>
      <c r="AH261" s="28">
        <f ca="1">(SUMIF(Asig_OT,Z261,Asig_Terc_Pla)*'Costos x MO'!$B$7)+(SUMIF(Asig_OT,Z261,Asig_Terc_Pin)*'Costos x MO'!$B$7)</f>
        <v>0</v>
      </c>
      <c r="AI261" s="28">
        <f t="shared" ca="1" si="96"/>
        <v>236.17500000000001</v>
      </c>
      <c r="AJ261" s="28">
        <f t="shared" ca="1" si="97"/>
        <v>651.92497325000022</v>
      </c>
      <c r="AK261" s="31">
        <f t="shared" ca="1" si="98"/>
        <v>0.73406710154970733</v>
      </c>
      <c r="AL261" s="28" t="str">
        <f t="shared" ca="1" si="99"/>
        <v>RIMAC</v>
      </c>
      <c r="AM261" s="28" t="str">
        <f t="shared" ca="1" si="100"/>
        <v>LEVE</v>
      </c>
      <c r="AN261" s="30" t="str">
        <f t="shared" ca="1" si="101"/>
        <v>January</v>
      </c>
      <c r="AO261" s="42">
        <f t="shared" ca="1" si="102"/>
        <v>2020</v>
      </c>
      <c r="AP261" s="42">
        <f t="shared" ca="1" si="103"/>
        <v>8</v>
      </c>
      <c r="AQ261" s="26">
        <v>1</v>
      </c>
      <c r="AR261" s="30">
        <f t="shared" ca="1" si="104"/>
        <v>43844</v>
      </c>
      <c r="AS261" s="30" t="str">
        <f t="shared" ca="1" si="105"/>
        <v>D1M-272</v>
      </c>
      <c r="AT261" s="26" t="str">
        <f t="shared" ca="1" si="106"/>
        <v>TOYOTA</v>
      </c>
      <c r="AU261" s="26" t="str">
        <f t="shared" ca="1" si="107"/>
        <v>COROLLA</v>
      </c>
      <c r="AV261" s="26" t="str">
        <f t="shared" ca="1" si="108"/>
        <v>RIMAC SEGUROS  Y REASEGUROS S.A</v>
      </c>
    </row>
    <row r="262" spans="1:48" x14ac:dyDescent="0.2">
      <c r="A262" s="172">
        <v>43760</v>
      </c>
      <c r="B262" s="173" t="s">
        <v>111</v>
      </c>
      <c r="C262" s="173" t="s">
        <v>102</v>
      </c>
      <c r="D262" s="173" t="s">
        <v>688</v>
      </c>
      <c r="E262" s="173" t="s">
        <v>1185</v>
      </c>
      <c r="F262" s="173" t="s">
        <v>1186</v>
      </c>
      <c r="G262" s="172">
        <v>43760</v>
      </c>
      <c r="H262" s="173" t="s">
        <v>1187</v>
      </c>
      <c r="I262" s="173" t="s">
        <v>1188</v>
      </c>
      <c r="J262" s="173" t="s">
        <v>70</v>
      </c>
      <c r="K262" s="173" t="s">
        <v>112</v>
      </c>
      <c r="L262" s="174" t="s">
        <v>71</v>
      </c>
      <c r="M262" s="175" t="s">
        <v>72</v>
      </c>
      <c r="N262" s="173" t="s">
        <v>73</v>
      </c>
      <c r="O262" s="176" t="s">
        <v>69</v>
      </c>
      <c r="P262" s="130" t="s">
        <v>447</v>
      </c>
      <c r="Q262" s="177" t="s">
        <v>74</v>
      </c>
      <c r="R262" s="178">
        <v>3.3469999000000001</v>
      </c>
      <c r="S262" s="179">
        <v>1</v>
      </c>
      <c r="T262" s="179">
        <v>150</v>
      </c>
      <c r="U262" s="179">
        <v>150</v>
      </c>
      <c r="V262" s="179">
        <v>27</v>
      </c>
      <c r="W262" s="179">
        <v>177</v>
      </c>
      <c r="X262" s="27">
        <f t="shared" si="110"/>
        <v>150</v>
      </c>
      <c r="Y262" s="29">
        <f ca="1">VLOOKUP(Z262,CHOOSE({2,1},Fac_Fecha,Fac_OT),2,0)</f>
        <v>43853</v>
      </c>
      <c r="Z262" s="26" t="s">
        <v>2521</v>
      </c>
      <c r="AA262" s="28">
        <f t="shared" ca="1" si="109"/>
        <v>1252.1674622500002</v>
      </c>
      <c r="AB262" s="28">
        <f ca="1">SUMIF(Salida_OT,Facturacion!Z262,Salida_Suma)</f>
        <v>0</v>
      </c>
      <c r="AC262" s="28">
        <f t="shared" ca="1" si="94"/>
        <v>0</v>
      </c>
      <c r="AD262" s="28">
        <f t="shared" ca="1" si="95"/>
        <v>84.75</v>
      </c>
      <c r="AE262" s="28">
        <f ca="1">(SUMIF(Asig_OT,Z262,Asig_Hora_Mec))*'Costos x MO'!$B$6*'Costos x MO'!$B$7</f>
        <v>0</v>
      </c>
      <c r="AF262" s="28">
        <f ca="1">SUMIF(Asig_OT,Z262,Asig_Hora_Pla)*'Costos x MO'!$B$4*'Costos x MO'!$B$7</f>
        <v>75.375</v>
      </c>
      <c r="AG262" s="28">
        <f ca="1">SUMIF(Asig_OT,Z262,Asig_paño_Pin)*'Costos x MO'!$B$5*'Costos x MO'!$B$7</f>
        <v>175.875</v>
      </c>
      <c r="AH262" s="28">
        <f ca="1">(SUMIF(Asig_OT,Z262,Asig_Terc_Pla)*'Costos x MO'!$B$7)+(SUMIF(Asig_OT,Z262,Asig_Terc_Pin)*'Costos x MO'!$B$7)</f>
        <v>0</v>
      </c>
      <c r="AI262" s="28">
        <f t="shared" ca="1" si="96"/>
        <v>336</v>
      </c>
      <c r="AJ262" s="28">
        <f t="shared" ca="1" si="97"/>
        <v>916.1674622500002</v>
      </c>
      <c r="AK262" s="31">
        <f t="shared" ca="1" si="98"/>
        <v>0.731665284293327</v>
      </c>
      <c r="AL262" s="28" t="str">
        <f t="shared" ca="1" si="99"/>
        <v>RIMAC</v>
      </c>
      <c r="AM262" s="28" t="str">
        <f t="shared" ca="1" si="100"/>
        <v>LEVE</v>
      </c>
      <c r="AN262" s="30" t="str">
        <f t="shared" ca="1" si="101"/>
        <v>January</v>
      </c>
      <c r="AO262" s="42">
        <f t="shared" ca="1" si="102"/>
        <v>2020</v>
      </c>
      <c r="AP262" s="42">
        <f t="shared" ca="1" si="103"/>
        <v>15</v>
      </c>
      <c r="AQ262" s="26">
        <v>1</v>
      </c>
      <c r="AR262" s="30">
        <f t="shared" ca="1" si="104"/>
        <v>43838</v>
      </c>
      <c r="AS262" s="30" t="str">
        <f t="shared" ca="1" si="105"/>
        <v>AJD-170</v>
      </c>
      <c r="AT262" s="26" t="str">
        <f t="shared" ca="1" si="106"/>
        <v>NISSAN</v>
      </c>
      <c r="AU262" s="26" t="str">
        <f t="shared" ca="1" si="107"/>
        <v>QASHQAI</v>
      </c>
      <c r="AV262" s="26" t="str">
        <f t="shared" ca="1" si="108"/>
        <v>RIMAC SEGUROS  Y REASEGUROS S.A</v>
      </c>
    </row>
    <row r="263" spans="1:48" x14ac:dyDescent="0.2">
      <c r="A263" s="172">
        <v>43761</v>
      </c>
      <c r="B263" s="173" t="s">
        <v>111</v>
      </c>
      <c r="C263" s="173" t="s">
        <v>102</v>
      </c>
      <c r="D263" s="173" t="s">
        <v>687</v>
      </c>
      <c r="E263" s="173" t="s">
        <v>1152</v>
      </c>
      <c r="F263" s="173" t="s">
        <v>1153</v>
      </c>
      <c r="G263" s="172">
        <v>43755</v>
      </c>
      <c r="H263" s="173" t="s">
        <v>1189</v>
      </c>
      <c r="I263" s="173" t="s">
        <v>1190</v>
      </c>
      <c r="J263" s="173" t="s">
        <v>95</v>
      </c>
      <c r="K263" s="173" t="s">
        <v>96</v>
      </c>
      <c r="L263" s="174" t="s">
        <v>71</v>
      </c>
      <c r="M263" s="175" t="s">
        <v>72</v>
      </c>
      <c r="N263" s="173" t="s">
        <v>73</v>
      </c>
      <c r="O263" s="176" t="s">
        <v>69</v>
      </c>
      <c r="P263" s="130" t="s">
        <v>96</v>
      </c>
      <c r="Q263" s="177" t="s">
        <v>93</v>
      </c>
      <c r="R263" s="178">
        <v>3.3420000000000001</v>
      </c>
      <c r="S263" s="179">
        <v>1</v>
      </c>
      <c r="T263" s="179">
        <v>100</v>
      </c>
      <c r="U263" s="179">
        <v>100</v>
      </c>
      <c r="V263" s="179">
        <v>18</v>
      </c>
      <c r="W263" s="179">
        <v>118</v>
      </c>
      <c r="X263" s="27">
        <f t="shared" si="110"/>
        <v>334.2</v>
      </c>
      <c r="Y263" s="29">
        <f ca="1">VLOOKUP(Z263,CHOOSE({2,1},Fac_Fecha,Fac_OT),2,0)</f>
        <v>43853</v>
      </c>
      <c r="Z263" s="26" t="s">
        <v>2519</v>
      </c>
      <c r="AA263" s="28">
        <f t="shared" ca="1" si="109"/>
        <v>2206.6481480445791</v>
      </c>
      <c r="AB263" s="28">
        <f ca="1">SUMIF(Salida_OT,Facturacion!Z263,Salida_Suma)</f>
        <v>0</v>
      </c>
      <c r="AC263" s="28">
        <f t="shared" ca="1" si="94"/>
        <v>0</v>
      </c>
      <c r="AD263" s="28">
        <f t="shared" ca="1" si="95"/>
        <v>84.75</v>
      </c>
      <c r="AE263" s="28">
        <f ca="1">(SUMIF(Asig_OT,Z263,Asig_Hora_Mec))*'Costos x MO'!$B$6*'Costos x MO'!$B$7</f>
        <v>0</v>
      </c>
      <c r="AF263" s="28">
        <f ca="1">SUMIF(Asig_OT,Z263,Asig_Hora_Pla)*'Costos x MO'!$B$4*'Costos x MO'!$B$7</f>
        <v>180.9</v>
      </c>
      <c r="AG263" s="28">
        <f ca="1">SUMIF(Asig_OT,Z263,Asig_paño_Pin)*'Costos x MO'!$B$5*'Costos x MO'!$B$7</f>
        <v>334.16250000000002</v>
      </c>
      <c r="AH263" s="28">
        <f ca="1">(SUMIF(Asig_OT,Z263,Asig_Terc_Pla)*'Costos x MO'!$B$7)+(SUMIF(Asig_OT,Z263,Asig_Terc_Pin)*'Costos x MO'!$B$7)</f>
        <v>0</v>
      </c>
      <c r="AI263" s="28">
        <f t="shared" ca="1" si="96"/>
        <v>599.8125</v>
      </c>
      <c r="AJ263" s="28">
        <f t="shared" ca="1" si="97"/>
        <v>1606.8356480445791</v>
      </c>
      <c r="AK263" s="31">
        <f t="shared" ca="1" si="98"/>
        <v>0.72817936537298722</v>
      </c>
      <c r="AL263" s="28" t="str">
        <f t="shared" ca="1" si="99"/>
        <v>RIMAC</v>
      </c>
      <c r="AM263" s="28" t="str">
        <f t="shared" ca="1" si="100"/>
        <v>MEDIANO</v>
      </c>
      <c r="AN263" s="30" t="str">
        <f t="shared" ca="1" si="101"/>
        <v>January</v>
      </c>
      <c r="AO263" s="42">
        <f t="shared" ca="1" si="102"/>
        <v>2020</v>
      </c>
      <c r="AP263" s="42">
        <f t="shared" ca="1" si="103"/>
        <v>10</v>
      </c>
      <c r="AQ263" s="26">
        <v>1</v>
      </c>
      <c r="AR263" s="30">
        <f t="shared" ca="1" si="104"/>
        <v>43843</v>
      </c>
      <c r="AS263" s="30" t="str">
        <f t="shared" ca="1" si="105"/>
        <v>ANE-092</v>
      </c>
      <c r="AT263" s="26" t="str">
        <f t="shared" ca="1" si="106"/>
        <v>MAZDA</v>
      </c>
      <c r="AU263" s="26" t="str">
        <f t="shared" ca="1" si="107"/>
        <v>MAZDA2</v>
      </c>
      <c r="AV263" s="26" t="str">
        <f t="shared" ca="1" si="108"/>
        <v>RIMAC SEGUROS  Y REASEGUROS S.A</v>
      </c>
    </row>
    <row r="264" spans="1:48" x14ac:dyDescent="0.2">
      <c r="A264" s="172">
        <v>43761</v>
      </c>
      <c r="B264" s="173" t="s">
        <v>111</v>
      </c>
      <c r="C264" s="173" t="s">
        <v>102</v>
      </c>
      <c r="D264" s="173" t="s">
        <v>686</v>
      </c>
      <c r="E264" s="173" t="s">
        <v>820</v>
      </c>
      <c r="F264" s="173" t="s">
        <v>1153</v>
      </c>
      <c r="G264" s="172">
        <v>43755</v>
      </c>
      <c r="H264" s="173" t="s">
        <v>1189</v>
      </c>
      <c r="I264" s="173" t="s">
        <v>1190</v>
      </c>
      <c r="J264" s="173" t="s">
        <v>97</v>
      </c>
      <c r="K264" s="173" t="s">
        <v>98</v>
      </c>
      <c r="L264" s="174" t="s">
        <v>71</v>
      </c>
      <c r="M264" s="175" t="s">
        <v>72</v>
      </c>
      <c r="N264" s="173" t="s">
        <v>73</v>
      </c>
      <c r="O264" s="176" t="s">
        <v>99</v>
      </c>
      <c r="P264" s="173" t="s">
        <v>98</v>
      </c>
      <c r="Q264" s="177" t="s">
        <v>93</v>
      </c>
      <c r="R264" s="178">
        <v>3.3420000000000001</v>
      </c>
      <c r="S264" s="179">
        <v>1</v>
      </c>
      <c r="T264" s="179">
        <v>73.754203999999987</v>
      </c>
      <c r="U264" s="179">
        <v>73.754203999999987</v>
      </c>
      <c r="V264" s="179">
        <v>13.275795000000016</v>
      </c>
      <c r="W264" s="179">
        <v>87.029999000000004</v>
      </c>
      <c r="X264" s="27">
        <f t="shared" si="110"/>
        <v>246.48654976799997</v>
      </c>
      <c r="Y264" s="29">
        <f ca="1">VLOOKUP(Z264,CHOOSE({2,1},Fac_Fecha,Fac_OT),2,0)</f>
        <v>43853</v>
      </c>
      <c r="Z264" s="26" t="s">
        <v>2652</v>
      </c>
      <c r="AA264" s="28">
        <f t="shared" ca="1" si="109"/>
        <v>1405.5083938611199</v>
      </c>
      <c r="AB264" s="28">
        <f ca="1">SUMIF(Salida_OT,Facturacion!Z264,Salida_Suma)</f>
        <v>0</v>
      </c>
      <c r="AC264" s="28">
        <f t="shared" ca="1" si="94"/>
        <v>0</v>
      </c>
      <c r="AD264" s="28">
        <f t="shared" ca="1" si="95"/>
        <v>0</v>
      </c>
      <c r="AE264" s="28">
        <f ca="1">(SUMIF(Asig_OT,Z264,Asig_Hora_Mec))*'Costos x MO'!$B$6*'Costos x MO'!$B$7</f>
        <v>0</v>
      </c>
      <c r="AF264" s="28">
        <f ca="1">SUMIF(Asig_OT,Z264,Asig_Hora_Pla)*'Costos x MO'!$B$4*'Costos x MO'!$B$7</f>
        <v>90.45</v>
      </c>
      <c r="AG264" s="28">
        <f ca="1">SUMIF(Asig_OT,Z264,Asig_paño_Pin)*'Costos x MO'!$B$5*'Costos x MO'!$B$7</f>
        <v>316.57499999999999</v>
      </c>
      <c r="AH264" s="28">
        <f ca="1">(SUMIF(Asig_OT,Z264,Asig_Terc_Pla)*'Costos x MO'!$B$7)+(SUMIF(Asig_OT,Z264,Asig_Terc_Pin)*'Costos x MO'!$B$7)</f>
        <v>0</v>
      </c>
      <c r="AI264" s="28">
        <f t="shared" ca="1" si="96"/>
        <v>407.02499999999998</v>
      </c>
      <c r="AJ264" s="28">
        <f t="shared" ca="1" si="97"/>
        <v>998.48339386111991</v>
      </c>
      <c r="AK264" s="31">
        <f t="shared" ca="1" si="98"/>
        <v>0.71040727911852042</v>
      </c>
      <c r="AL264" s="28" t="str">
        <f t="shared" ca="1" si="99"/>
        <v>C.C</v>
      </c>
      <c r="AM264" s="28" t="str">
        <f t="shared" ca="1" si="100"/>
        <v>LEVE</v>
      </c>
      <c r="AN264" s="30" t="str">
        <f t="shared" ca="1" si="101"/>
        <v>January</v>
      </c>
      <c r="AO264" s="42">
        <f t="shared" ca="1" si="102"/>
        <v>2020</v>
      </c>
      <c r="AP264" s="42">
        <f t="shared" ca="1" si="103"/>
        <v>7</v>
      </c>
      <c r="AQ264" s="26">
        <v>1</v>
      </c>
      <c r="AR264" s="30">
        <f t="shared" ca="1" si="104"/>
        <v>43846</v>
      </c>
      <c r="AS264" s="30" t="str">
        <f t="shared" ca="1" si="105"/>
        <v>AUV-610</v>
      </c>
      <c r="AT264" s="26" t="str">
        <f t="shared" ca="1" si="106"/>
        <v>BMW</v>
      </c>
      <c r="AU264" s="26" t="str">
        <f t="shared" ca="1" si="107"/>
        <v>X3</v>
      </c>
      <c r="AV264" s="26" t="str">
        <f t="shared" ca="1" si="108"/>
        <v>FASHIONLIGHT SA</v>
      </c>
    </row>
    <row r="265" spans="1:48" x14ac:dyDescent="0.2">
      <c r="A265" s="172">
        <v>43761</v>
      </c>
      <c r="B265" s="173" t="s">
        <v>111</v>
      </c>
      <c r="C265" s="173" t="s">
        <v>102</v>
      </c>
      <c r="D265" s="173" t="s">
        <v>686</v>
      </c>
      <c r="E265" s="173" t="s">
        <v>820</v>
      </c>
      <c r="F265" s="173" t="s">
        <v>1153</v>
      </c>
      <c r="G265" s="172">
        <v>43755</v>
      </c>
      <c r="H265" s="173" t="s">
        <v>1189</v>
      </c>
      <c r="I265" s="173" t="s">
        <v>1190</v>
      </c>
      <c r="J265" s="173" t="s">
        <v>100</v>
      </c>
      <c r="K265" s="173" t="s">
        <v>101</v>
      </c>
      <c r="L265" s="174" t="s">
        <v>71</v>
      </c>
      <c r="M265" s="175" t="s">
        <v>72</v>
      </c>
      <c r="N265" s="173" t="s">
        <v>73</v>
      </c>
      <c r="O265" s="176" t="s">
        <v>72</v>
      </c>
      <c r="P265" s="130" t="s">
        <v>101</v>
      </c>
      <c r="Q265" s="177" t="s">
        <v>93</v>
      </c>
      <c r="R265" s="178">
        <v>3.3420000000000001</v>
      </c>
      <c r="S265" s="179">
        <v>1</v>
      </c>
      <c r="T265" s="179">
        <v>26.839001000000003</v>
      </c>
      <c r="U265" s="179">
        <v>26.839001000000003</v>
      </c>
      <c r="V265" s="179">
        <v>4.8309989999999967</v>
      </c>
      <c r="W265" s="179">
        <v>31.67</v>
      </c>
      <c r="X265" s="27">
        <f t="shared" si="110"/>
        <v>89.695941342000012</v>
      </c>
      <c r="Y265" s="29">
        <f ca="1">VLOOKUP(Z265,CHOOSE({2,1},Fac_Fecha,Fac_OT),2,0)</f>
        <v>43854</v>
      </c>
      <c r="Z265" s="26" t="s">
        <v>2726</v>
      </c>
      <c r="AA265" s="28">
        <f t="shared" ca="1" si="109"/>
        <v>1122.8639047999998</v>
      </c>
      <c r="AB265" s="28">
        <f ca="1">SUMIF(Salida_OT,Facturacion!Z265,Salida_Suma)</f>
        <v>0</v>
      </c>
      <c r="AC265" s="28">
        <f t="shared" ca="1" si="94"/>
        <v>0</v>
      </c>
      <c r="AD265" s="28">
        <f t="shared" ca="1" si="95"/>
        <v>0</v>
      </c>
      <c r="AE265" s="28">
        <f ca="1">(SUMIF(Asig_OT,Z265,Asig_Hora_Mec))*'Costos x MO'!$B$6*'Costos x MO'!$B$7</f>
        <v>0</v>
      </c>
      <c r="AF265" s="28">
        <f ca="1">SUMIF(Asig_OT,Z265,Asig_Hora_Pla)*'Costos x MO'!$B$4*'Costos x MO'!$B$7</f>
        <v>0</v>
      </c>
      <c r="AG265" s="28">
        <f ca="1">SUMIF(Asig_OT,Z265,Asig_paño_Pin)*'Costos x MO'!$B$5*'Costos x MO'!$B$7</f>
        <v>0</v>
      </c>
      <c r="AH265" s="28">
        <f ca="1">(SUMIF(Asig_OT,Z265,Asig_Terc_Pla)*'Costos x MO'!$B$7)+(SUMIF(Asig_OT,Z265,Asig_Terc_Pin)*'Costos x MO'!$B$7)</f>
        <v>0</v>
      </c>
      <c r="AI265" s="28">
        <f t="shared" ca="1" si="96"/>
        <v>0</v>
      </c>
      <c r="AJ265" s="28">
        <f t="shared" ca="1" si="97"/>
        <v>1122.8639047999998</v>
      </c>
      <c r="AK265" s="31">
        <f t="shared" ca="1" si="98"/>
        <v>1</v>
      </c>
      <c r="AL265" s="28" t="s">
        <v>123</v>
      </c>
      <c r="AM265" s="28" t="s">
        <v>124</v>
      </c>
      <c r="AN265" s="30" t="str">
        <f t="shared" ca="1" si="101"/>
        <v>January</v>
      </c>
      <c r="AO265" s="42">
        <f t="shared" ca="1" si="102"/>
        <v>2020</v>
      </c>
      <c r="AP265" s="42">
        <f t="shared" ca="1" si="103"/>
        <v>9</v>
      </c>
      <c r="AQ265" s="26">
        <v>1</v>
      </c>
      <c r="AR265" s="30">
        <f t="shared" ca="1" si="104"/>
        <v>43845</v>
      </c>
      <c r="AS265" s="30" t="str">
        <f ca="1">IFERROR(VLOOKUP(Z265,Matriz2,2,0),"S/PLACA")</f>
        <v>AXU177</v>
      </c>
      <c r="AT265" s="26" t="s">
        <v>122</v>
      </c>
      <c r="AU265" s="26" t="s">
        <v>183</v>
      </c>
      <c r="AV265" s="26" t="str">
        <f t="shared" ca="1" si="108"/>
        <v>RIMAC SEGUROS  Y REASEGUROS S.A</v>
      </c>
    </row>
    <row r="266" spans="1:48" x14ac:dyDescent="0.2">
      <c r="A266" s="172">
        <v>43761</v>
      </c>
      <c r="B266" s="173" t="s">
        <v>111</v>
      </c>
      <c r="C266" s="173" t="s">
        <v>102</v>
      </c>
      <c r="D266" s="173" t="s">
        <v>686</v>
      </c>
      <c r="E266" s="173" t="s">
        <v>820</v>
      </c>
      <c r="F266" s="173" t="s">
        <v>1153</v>
      </c>
      <c r="G266" s="172">
        <v>43755</v>
      </c>
      <c r="H266" s="173" t="s">
        <v>1189</v>
      </c>
      <c r="I266" s="173" t="s">
        <v>1190</v>
      </c>
      <c r="J266" s="173" t="s">
        <v>92</v>
      </c>
      <c r="K266" s="173" t="s">
        <v>113</v>
      </c>
      <c r="L266" s="174" t="s">
        <v>71</v>
      </c>
      <c r="M266" s="175" t="s">
        <v>72</v>
      </c>
      <c r="N266" s="173" t="s">
        <v>73</v>
      </c>
      <c r="O266" s="176" t="s">
        <v>69</v>
      </c>
      <c r="P266" s="130" t="s">
        <v>113</v>
      </c>
      <c r="Q266" s="177" t="s">
        <v>93</v>
      </c>
      <c r="R266" s="178">
        <v>3.3420000000000001</v>
      </c>
      <c r="S266" s="179">
        <v>1</v>
      </c>
      <c r="T266" s="179">
        <v>35</v>
      </c>
      <c r="U266" s="179">
        <v>35</v>
      </c>
      <c r="V266" s="179">
        <v>6.299998999999989</v>
      </c>
      <c r="W266" s="179">
        <v>41.299998999999985</v>
      </c>
      <c r="X266" s="27">
        <f t="shared" si="110"/>
        <v>116.97</v>
      </c>
      <c r="Y266" s="29">
        <f ca="1">VLOOKUP(Z266,CHOOSE({2,1},Fac_Fecha,Fac_OT),2,0)</f>
        <v>43854</v>
      </c>
      <c r="Z266" s="26" t="s">
        <v>2673</v>
      </c>
      <c r="AA266" s="28">
        <f t="shared" ca="1" si="109"/>
        <v>343.22030999999987</v>
      </c>
      <c r="AB266" s="28">
        <f ca="1">SUMIF(Salida_OT,Facturacion!Z266,Salida_Suma)</f>
        <v>249.99001000000001</v>
      </c>
      <c r="AC266" s="28">
        <f t="shared" ca="1" si="94"/>
        <v>0</v>
      </c>
      <c r="AD266" s="28">
        <f t="shared" ca="1" si="95"/>
        <v>0</v>
      </c>
      <c r="AE266" s="28">
        <f ca="1">(SUMIF(Asig_OT,Z266,Asig_Hora_Mec))*'Costos x MO'!$B$6*'Costos x MO'!$B$7</f>
        <v>15.075000000000001</v>
      </c>
      <c r="AF266" s="28">
        <f ca="1">SUMIF(Asig_OT,Z266,Asig_Hora_Pla)*'Costos x MO'!$B$4*'Costos x MO'!$B$7</f>
        <v>0</v>
      </c>
      <c r="AG266" s="28">
        <f ca="1">SUMIF(Asig_OT,Z266,Asig_paño_Pin)*'Costos x MO'!$B$5*'Costos x MO'!$B$7</f>
        <v>0</v>
      </c>
      <c r="AH266" s="28">
        <f ca="1">(SUMIF(Asig_OT,Z266,Asig_Terc_Pla)*'Costos x MO'!$B$7)+(SUMIF(Asig_OT,Z266,Asig_Terc_Pin)*'Costos x MO'!$B$7)</f>
        <v>0</v>
      </c>
      <c r="AI266" s="28">
        <f t="shared" ca="1" si="96"/>
        <v>265.06501000000003</v>
      </c>
      <c r="AJ266" s="28">
        <f t="shared" ca="1" si="97"/>
        <v>78.155299999999841</v>
      </c>
      <c r="AK266" s="31">
        <f t="shared" ca="1" si="98"/>
        <v>0.22771175750059741</v>
      </c>
      <c r="AL266" s="28" t="str">
        <f t="shared" ca="1" si="99"/>
        <v>C.C</v>
      </c>
      <c r="AM266" s="28" t="str">
        <f t="shared" ca="1" si="100"/>
        <v>MECANICA</v>
      </c>
      <c r="AN266" s="30" t="str">
        <f t="shared" ca="1" si="101"/>
        <v>January</v>
      </c>
      <c r="AO266" s="42">
        <f t="shared" ca="1" si="102"/>
        <v>2020</v>
      </c>
      <c r="AP266" s="42">
        <f t="shared" ca="1" si="103"/>
        <v>0</v>
      </c>
      <c r="AQ266" s="26">
        <v>1</v>
      </c>
      <c r="AR266" s="30">
        <f t="shared" ca="1" si="104"/>
        <v>43854</v>
      </c>
      <c r="AS266" s="30" t="str">
        <f t="shared" ca="1" si="105"/>
        <v>F6L-635</v>
      </c>
      <c r="AT266" s="26" t="str">
        <f t="shared" ca="1" si="106"/>
        <v>KIA</v>
      </c>
      <c r="AU266" s="26" t="str">
        <f t="shared" ca="1" si="107"/>
        <v>RIO</v>
      </c>
      <c r="AV266" s="26" t="str">
        <f t="shared" ca="1" si="108"/>
        <v>INDURA PERU S.A.</v>
      </c>
    </row>
    <row r="267" spans="1:48" x14ac:dyDescent="0.2">
      <c r="A267" s="172">
        <v>43761</v>
      </c>
      <c r="B267" s="173" t="s">
        <v>111</v>
      </c>
      <c r="C267" s="173" t="s">
        <v>102</v>
      </c>
      <c r="D267" s="173" t="s">
        <v>685</v>
      </c>
      <c r="E267" s="173" t="s">
        <v>813</v>
      </c>
      <c r="F267" s="173" t="s">
        <v>1191</v>
      </c>
      <c r="G267" s="172">
        <v>43755</v>
      </c>
      <c r="H267" s="173" t="s">
        <v>1192</v>
      </c>
      <c r="I267" s="173" t="s">
        <v>1193</v>
      </c>
      <c r="J267" s="173" t="s">
        <v>97</v>
      </c>
      <c r="K267" s="173" t="s">
        <v>98</v>
      </c>
      <c r="L267" s="174" t="s">
        <v>71</v>
      </c>
      <c r="M267" s="175" t="s">
        <v>72</v>
      </c>
      <c r="N267" s="173" t="s">
        <v>73</v>
      </c>
      <c r="O267" s="176" t="s">
        <v>99</v>
      </c>
      <c r="P267" s="173" t="s">
        <v>98</v>
      </c>
      <c r="Q267" s="177" t="s">
        <v>93</v>
      </c>
      <c r="R267" s="178">
        <v>3.3420000000000001</v>
      </c>
      <c r="S267" s="179">
        <v>1</v>
      </c>
      <c r="T267" s="179">
        <v>165</v>
      </c>
      <c r="U267" s="179">
        <v>165</v>
      </c>
      <c r="V267" s="179">
        <v>29.7</v>
      </c>
      <c r="W267" s="179">
        <v>194.7</v>
      </c>
      <c r="X267" s="27">
        <f t="shared" si="110"/>
        <v>551.43000000000006</v>
      </c>
      <c r="Y267" s="29">
        <f ca="1">VLOOKUP(Z267,CHOOSE({2,1},Fac_Fecha,Fac_OT),2,0)</f>
        <v>43855</v>
      </c>
      <c r="Z267" s="26" t="s">
        <v>2641</v>
      </c>
      <c r="AA267" s="28">
        <f t="shared" ca="1" si="109"/>
        <v>1338.3125</v>
      </c>
      <c r="AB267" s="28">
        <f ca="1">SUMIF(Salida_OT,Facturacion!Z267,Salida_Suma)</f>
        <v>0</v>
      </c>
      <c r="AC267" s="28">
        <f t="shared" ca="1" si="94"/>
        <v>0</v>
      </c>
      <c r="AD267" s="28">
        <f t="shared" ca="1" si="95"/>
        <v>0</v>
      </c>
      <c r="AE267" s="28">
        <f ca="1">(SUMIF(Asig_OT,Z267,Asig_Hora_Mec))*'Costos x MO'!$B$6*'Costos x MO'!$B$7</f>
        <v>0</v>
      </c>
      <c r="AF267" s="28">
        <f ca="1">SUMIF(Asig_OT,Z267,Asig_Hora_Pla)*'Costos x MO'!$B$4*'Costos x MO'!$B$7</f>
        <v>180.9</v>
      </c>
      <c r="AG267" s="28">
        <f ca="1">SUMIF(Asig_OT,Z267,Asig_paño_Pin)*'Costos x MO'!$B$5*'Costos x MO'!$B$7</f>
        <v>175.875</v>
      </c>
      <c r="AH267" s="28">
        <f ca="1">(SUMIF(Asig_OT,Z267,Asig_Terc_Pla)*'Costos x MO'!$B$7)+(SUMIF(Asig_OT,Z267,Asig_Terc_Pin)*'Costos x MO'!$B$7)</f>
        <v>0</v>
      </c>
      <c r="AI267" s="28">
        <f t="shared" ca="1" si="96"/>
        <v>356.77499999999998</v>
      </c>
      <c r="AJ267" s="28">
        <f t="shared" ca="1" si="97"/>
        <v>981.53750000000002</v>
      </c>
      <c r="AK267" s="31">
        <f t="shared" ca="1" si="98"/>
        <v>0.73341428104422546</v>
      </c>
      <c r="AL267" s="28" t="str">
        <f t="shared" ca="1" si="99"/>
        <v>RIMAC</v>
      </c>
      <c r="AM267" s="28" t="str">
        <f t="shared" ca="1" si="100"/>
        <v>MEDIANO</v>
      </c>
      <c r="AN267" s="30" t="str">
        <f t="shared" ca="1" si="101"/>
        <v>January</v>
      </c>
      <c r="AO267" s="42">
        <f t="shared" ca="1" si="102"/>
        <v>2020</v>
      </c>
      <c r="AP267" s="42">
        <f t="shared" ca="1" si="103"/>
        <v>16</v>
      </c>
      <c r="AQ267" s="26">
        <v>1</v>
      </c>
      <c r="AR267" s="30">
        <f t="shared" ca="1" si="104"/>
        <v>43839</v>
      </c>
      <c r="AS267" s="30" t="str">
        <f t="shared" ca="1" si="105"/>
        <v>ASP-160</v>
      </c>
      <c r="AT267" s="26" t="str">
        <f t="shared" ca="1" si="106"/>
        <v>SUZUKI</v>
      </c>
      <c r="AU267" s="26" t="str">
        <f t="shared" ca="1" si="107"/>
        <v>CIAZ</v>
      </c>
      <c r="AV267" s="26" t="str">
        <f t="shared" ca="1" si="108"/>
        <v>RIMAC SEGUROS  Y REASEGUROS S.A</v>
      </c>
    </row>
    <row r="268" spans="1:48" x14ac:dyDescent="0.2">
      <c r="A268" s="172">
        <v>43761</v>
      </c>
      <c r="B268" s="173" t="s">
        <v>111</v>
      </c>
      <c r="C268" s="173" t="s">
        <v>102</v>
      </c>
      <c r="D268" s="173" t="s">
        <v>685</v>
      </c>
      <c r="E268" s="173" t="s">
        <v>813</v>
      </c>
      <c r="F268" s="173" t="s">
        <v>1191</v>
      </c>
      <c r="G268" s="172">
        <v>43755</v>
      </c>
      <c r="H268" s="173" t="s">
        <v>1192</v>
      </c>
      <c r="I268" s="173" t="s">
        <v>1193</v>
      </c>
      <c r="J268" s="173" t="s">
        <v>100</v>
      </c>
      <c r="K268" s="173" t="s">
        <v>101</v>
      </c>
      <c r="L268" s="174" t="s">
        <v>71</v>
      </c>
      <c r="M268" s="175" t="s">
        <v>72</v>
      </c>
      <c r="N268" s="173" t="s">
        <v>73</v>
      </c>
      <c r="O268" s="176" t="s">
        <v>72</v>
      </c>
      <c r="P268" s="130" t="s">
        <v>101</v>
      </c>
      <c r="Q268" s="177" t="s">
        <v>93</v>
      </c>
      <c r="R268" s="178">
        <v>3.3420000000000001</v>
      </c>
      <c r="S268" s="179">
        <v>1</v>
      </c>
      <c r="T268" s="179">
        <v>75</v>
      </c>
      <c r="U268" s="179">
        <v>75</v>
      </c>
      <c r="V268" s="179">
        <v>13.5</v>
      </c>
      <c r="W268" s="179">
        <v>88.5</v>
      </c>
      <c r="X268" s="27">
        <f t="shared" si="110"/>
        <v>250.65</v>
      </c>
      <c r="Y268" s="29">
        <f ca="1">VLOOKUP(Z268,CHOOSE({2,1},Fac_Fecha,Fac_OT),2,0)</f>
        <v>43855</v>
      </c>
      <c r="Z268" s="26" t="s">
        <v>2515</v>
      </c>
      <c r="AA268" s="28">
        <f t="shared" ca="1" si="109"/>
        <v>4201.1374999999998</v>
      </c>
      <c r="AB268" s="28">
        <f ca="1">SUMIF(Salida_OT,Facturacion!Z268,Salida_Suma)</f>
        <v>0</v>
      </c>
      <c r="AC268" s="28">
        <f t="shared" ca="1" si="94"/>
        <v>0</v>
      </c>
      <c r="AD268" s="28">
        <f t="shared" ca="1" si="95"/>
        <v>76.27</v>
      </c>
      <c r="AE268" s="28">
        <f ca="1">(SUMIF(Asig_OT,Z268,Asig_Hora_Mec))*'Costos x MO'!$B$6*'Costos x MO'!$B$7</f>
        <v>45.225000000000001</v>
      </c>
      <c r="AF268" s="28">
        <f ca="1">SUMIF(Asig_OT,Z268,Asig_Hora_Pla)*'Costos x MO'!$B$4*'Costos x MO'!$B$7</f>
        <v>452.25</v>
      </c>
      <c r="AG268" s="28">
        <f ca="1">SUMIF(Asig_OT,Z268,Asig_paño_Pin)*'Costos x MO'!$B$5*'Costos x MO'!$B$7</f>
        <v>457.27500000000003</v>
      </c>
      <c r="AH268" s="28">
        <f ca="1">(SUMIF(Asig_OT,Z268,Asig_Terc_Pla)*'Costos x MO'!$B$7)+(SUMIF(Asig_OT,Z268,Asig_Terc_Pin)*'Costos x MO'!$B$7)</f>
        <v>0</v>
      </c>
      <c r="AI268" s="28">
        <f t="shared" ca="1" si="96"/>
        <v>1031.02</v>
      </c>
      <c r="AJ268" s="28">
        <f t="shared" ca="1" si="97"/>
        <v>3170.1174999999998</v>
      </c>
      <c r="AK268" s="31">
        <f t="shared" ca="1" si="98"/>
        <v>0.75458551404232777</v>
      </c>
      <c r="AL268" s="28" t="str">
        <f t="shared" ca="1" si="99"/>
        <v>RIMAC</v>
      </c>
      <c r="AM268" s="28" t="str">
        <f t="shared" ca="1" si="100"/>
        <v>GRAVE</v>
      </c>
      <c r="AN268" s="30" t="str">
        <f t="shared" ca="1" si="101"/>
        <v>January</v>
      </c>
      <c r="AO268" s="42">
        <f t="shared" ca="1" si="102"/>
        <v>2020</v>
      </c>
      <c r="AP268" s="42">
        <f t="shared" ca="1" si="103"/>
        <v>30</v>
      </c>
      <c r="AQ268" s="26">
        <v>1</v>
      </c>
      <c r="AR268" s="30">
        <f t="shared" ca="1" si="104"/>
        <v>43825</v>
      </c>
      <c r="AS268" s="30" t="str">
        <f t="shared" ca="1" si="105"/>
        <v>BFR-644</v>
      </c>
      <c r="AT268" s="26" t="str">
        <f t="shared" ca="1" si="106"/>
        <v>MITSUBHI</v>
      </c>
      <c r="AU268" s="26" t="str">
        <f t="shared" ca="1" si="107"/>
        <v>ASX</v>
      </c>
      <c r="AV268" s="26" t="str">
        <f t="shared" ca="1" si="108"/>
        <v>ESTRUCTURAS Y MONTAJE JC EIRL</v>
      </c>
    </row>
    <row r="269" spans="1:48" x14ac:dyDescent="0.2">
      <c r="A269" s="172">
        <v>43761</v>
      </c>
      <c r="B269" s="173" t="s">
        <v>111</v>
      </c>
      <c r="C269" s="173" t="s">
        <v>102</v>
      </c>
      <c r="D269" s="173" t="s">
        <v>685</v>
      </c>
      <c r="E269" s="173" t="s">
        <v>813</v>
      </c>
      <c r="F269" s="173" t="s">
        <v>1191</v>
      </c>
      <c r="G269" s="172">
        <v>43755</v>
      </c>
      <c r="H269" s="173" t="s">
        <v>1192</v>
      </c>
      <c r="I269" s="173" t="s">
        <v>1193</v>
      </c>
      <c r="J269" s="173" t="s">
        <v>92</v>
      </c>
      <c r="K269" s="173" t="s">
        <v>113</v>
      </c>
      <c r="L269" s="174" t="s">
        <v>71</v>
      </c>
      <c r="M269" s="175" t="s">
        <v>72</v>
      </c>
      <c r="N269" s="173" t="s">
        <v>73</v>
      </c>
      <c r="O269" s="176" t="s">
        <v>69</v>
      </c>
      <c r="P269" s="130" t="s">
        <v>113</v>
      </c>
      <c r="Q269" s="177" t="s">
        <v>93</v>
      </c>
      <c r="R269" s="178">
        <v>3.3420000000000001</v>
      </c>
      <c r="S269" s="179">
        <v>1</v>
      </c>
      <c r="T269" s="179">
        <v>30</v>
      </c>
      <c r="U269" s="179">
        <v>30</v>
      </c>
      <c r="V269" s="179">
        <v>5.4000019999999997</v>
      </c>
      <c r="W269" s="179">
        <v>35.400002000000001</v>
      </c>
      <c r="X269" s="27">
        <f t="shared" si="110"/>
        <v>100.26</v>
      </c>
      <c r="Y269" s="29">
        <f ca="1">VLOOKUP(Z269,CHOOSE({2,1},Fac_Fecha,Fac_OT),2,0)</f>
        <v>43855</v>
      </c>
      <c r="Z269" s="26" t="s">
        <v>2770</v>
      </c>
      <c r="AA269" s="28">
        <f t="shared" ca="1" si="109"/>
        <v>46.610198999999994</v>
      </c>
      <c r="AB269" s="28">
        <f ca="1">SUMIF(Salida_OT,Facturacion!Z269,Salida_Suma)</f>
        <v>0</v>
      </c>
      <c r="AC269" s="28">
        <f t="shared" ca="1" si="94"/>
        <v>0</v>
      </c>
      <c r="AD269" s="28">
        <f t="shared" ca="1" si="95"/>
        <v>0</v>
      </c>
      <c r="AE269" s="28">
        <f ca="1">(SUMIF(Asig_OT,Z269,Asig_Hora_Mec))*'Costos x MO'!$B$6*'Costos x MO'!$B$7</f>
        <v>0</v>
      </c>
      <c r="AF269" s="28">
        <f ca="1">SUMIF(Asig_OT,Z269,Asig_Hora_Pla)*'Costos x MO'!$B$4*'Costos x MO'!$B$7</f>
        <v>0</v>
      </c>
      <c r="AG269" s="28">
        <f ca="1">SUMIF(Asig_OT,Z269,Asig_paño_Pin)*'Costos x MO'!$B$5*'Costos x MO'!$B$7</f>
        <v>0</v>
      </c>
      <c r="AH269" s="28">
        <f ca="1">(SUMIF(Asig_OT,Z269,Asig_Terc_Pla)*'Costos x MO'!$B$7)+(SUMIF(Asig_OT,Z269,Asig_Terc_Pin)*'Costos x MO'!$B$7)</f>
        <v>0</v>
      </c>
      <c r="AI269" s="28">
        <f t="shared" ca="1" si="96"/>
        <v>0</v>
      </c>
      <c r="AJ269" s="28">
        <f t="shared" ca="1" si="97"/>
        <v>46.610198999999994</v>
      </c>
      <c r="AK269" s="31">
        <f t="shared" ca="1" si="98"/>
        <v>1</v>
      </c>
      <c r="AL269" s="28" t="s">
        <v>121</v>
      </c>
      <c r="AM269" s="28" t="s">
        <v>447</v>
      </c>
      <c r="AN269" s="30" t="str">
        <f t="shared" ca="1" si="101"/>
        <v>January</v>
      </c>
      <c r="AO269" s="42">
        <f t="shared" ca="1" si="102"/>
        <v>2020</v>
      </c>
      <c r="AP269" s="42">
        <f t="shared" ca="1" si="103"/>
        <v>5</v>
      </c>
      <c r="AQ269" s="26">
        <v>1</v>
      </c>
      <c r="AR269" s="30">
        <f t="shared" ca="1" si="104"/>
        <v>43850</v>
      </c>
      <c r="AS269" s="30" t="str">
        <f ca="1">IFERROR(VLOOKUP(Z269,Matriz2,2,0),"S/PLACA")</f>
        <v>BFR644</v>
      </c>
      <c r="AT269" s="26" t="s">
        <v>143</v>
      </c>
      <c r="AU269" s="26" t="s">
        <v>2631</v>
      </c>
      <c r="AV269" s="26" t="str">
        <f t="shared" ca="1" si="108"/>
        <v>ESTRUCTURAS Y MONTAJE JC EIRL</v>
      </c>
    </row>
    <row r="270" spans="1:48" x14ac:dyDescent="0.2">
      <c r="A270" s="172">
        <v>43761</v>
      </c>
      <c r="B270" s="173" t="s">
        <v>111</v>
      </c>
      <c r="C270" s="173" t="s">
        <v>102</v>
      </c>
      <c r="D270" s="173" t="s">
        <v>684</v>
      </c>
      <c r="E270" s="173" t="s">
        <v>800</v>
      </c>
      <c r="F270" s="173" t="s">
        <v>1154</v>
      </c>
      <c r="G270" s="172">
        <v>43752</v>
      </c>
      <c r="H270" s="173" t="s">
        <v>1194</v>
      </c>
      <c r="I270" s="173" t="s">
        <v>1195</v>
      </c>
      <c r="J270" s="173" t="s">
        <v>95</v>
      </c>
      <c r="K270" s="173" t="s">
        <v>96</v>
      </c>
      <c r="L270" s="174" t="s">
        <v>71</v>
      </c>
      <c r="M270" s="175" t="s">
        <v>72</v>
      </c>
      <c r="N270" s="173" t="s">
        <v>73</v>
      </c>
      <c r="O270" s="176" t="s">
        <v>69</v>
      </c>
      <c r="P270" s="130" t="s">
        <v>96</v>
      </c>
      <c r="Q270" s="177" t="s">
        <v>93</v>
      </c>
      <c r="R270" s="178">
        <v>3.3420000000000001</v>
      </c>
      <c r="S270" s="179">
        <v>1</v>
      </c>
      <c r="T270" s="179">
        <v>147.79660000000001</v>
      </c>
      <c r="U270" s="179">
        <v>147.79660000000001</v>
      </c>
      <c r="V270" s="179">
        <v>26.603389999999944</v>
      </c>
      <c r="W270" s="179">
        <v>174.39998999999997</v>
      </c>
      <c r="X270" s="27">
        <f t="shared" si="110"/>
        <v>493.93623720000005</v>
      </c>
      <c r="Y270" s="29">
        <f ca="1">VLOOKUP(Z270,CHOOSE({2,1},Fac_Fecha,Fac_OT),2,0)</f>
        <v>43855</v>
      </c>
      <c r="Z270" s="26" t="s">
        <v>2639</v>
      </c>
      <c r="AA270" s="28">
        <f t="shared" ca="1" si="109"/>
        <v>1088.9375</v>
      </c>
      <c r="AB270" s="28">
        <f ca="1">SUMIF(Salida_OT,Facturacion!Z270,Salida_Suma)</f>
        <v>0</v>
      </c>
      <c r="AC270" s="28">
        <f t="shared" ca="1" si="94"/>
        <v>0</v>
      </c>
      <c r="AD270" s="28">
        <f t="shared" ca="1" si="95"/>
        <v>0</v>
      </c>
      <c r="AE270" s="28">
        <f ca="1">(SUMIF(Asig_OT,Z270,Asig_Hora_Mec))*'Costos x MO'!$B$6*'Costos x MO'!$B$7</f>
        <v>0</v>
      </c>
      <c r="AF270" s="28">
        <f ca="1">SUMIF(Asig_OT,Z270,Asig_Hora_Pla)*'Costos x MO'!$B$4*'Costos x MO'!$B$7</f>
        <v>105.52500000000001</v>
      </c>
      <c r="AG270" s="28">
        <f ca="1">SUMIF(Asig_OT,Z270,Asig_paño_Pin)*'Costos x MO'!$B$5*'Costos x MO'!$B$7</f>
        <v>175.875</v>
      </c>
      <c r="AH270" s="28">
        <f ca="1">(SUMIF(Asig_OT,Z270,Asig_Terc_Pla)*'Costos x MO'!$B$7)+(SUMIF(Asig_OT,Z270,Asig_Terc_Pin)*'Costos x MO'!$B$7)</f>
        <v>0</v>
      </c>
      <c r="AI270" s="28">
        <f t="shared" ca="1" si="96"/>
        <v>281.39999999999998</v>
      </c>
      <c r="AJ270" s="28">
        <f t="shared" ca="1" si="97"/>
        <v>807.53750000000002</v>
      </c>
      <c r="AK270" s="31">
        <f t="shared" ca="1" si="98"/>
        <v>0.74158296504620336</v>
      </c>
      <c r="AL270" s="28" t="str">
        <f t="shared" ca="1" si="99"/>
        <v>RIMAC</v>
      </c>
      <c r="AM270" s="28" t="str">
        <f t="shared" ca="1" si="100"/>
        <v>LEVE</v>
      </c>
      <c r="AN270" s="30" t="str">
        <f t="shared" ca="1" si="101"/>
        <v>January</v>
      </c>
      <c r="AO270" s="42">
        <f t="shared" ca="1" si="102"/>
        <v>2020</v>
      </c>
      <c r="AP270" s="42">
        <f t="shared" ca="1" si="103"/>
        <v>16</v>
      </c>
      <c r="AQ270" s="26">
        <v>1</v>
      </c>
      <c r="AR270" s="30">
        <f t="shared" ca="1" si="104"/>
        <v>43839</v>
      </c>
      <c r="AS270" s="30" t="str">
        <f t="shared" ca="1" si="105"/>
        <v>AVK-314</v>
      </c>
      <c r="AT270" s="26" t="str">
        <f t="shared" ca="1" si="106"/>
        <v>HONDA</v>
      </c>
      <c r="AU270" s="26" t="str">
        <f t="shared" ca="1" si="107"/>
        <v>PILOT</v>
      </c>
      <c r="AV270" s="26" t="str">
        <f t="shared" ca="1" si="108"/>
        <v>EXPORT &amp;IMPORT VANISTSAC</v>
      </c>
    </row>
    <row r="271" spans="1:48" x14ac:dyDescent="0.2">
      <c r="A271" s="172">
        <v>43761</v>
      </c>
      <c r="B271" s="173" t="s">
        <v>111</v>
      </c>
      <c r="C271" s="173" t="s">
        <v>102</v>
      </c>
      <c r="D271" s="173" t="s">
        <v>683</v>
      </c>
      <c r="E271" s="173" t="s">
        <v>815</v>
      </c>
      <c r="F271" s="173" t="s">
        <v>1154</v>
      </c>
      <c r="G271" s="172">
        <v>43755</v>
      </c>
      <c r="H271" s="173" t="s">
        <v>1194</v>
      </c>
      <c r="I271" s="173" t="s">
        <v>1195</v>
      </c>
      <c r="J271" s="173" t="s">
        <v>100</v>
      </c>
      <c r="K271" s="173" t="s">
        <v>101</v>
      </c>
      <c r="L271" s="174" t="s">
        <v>71</v>
      </c>
      <c r="M271" s="175" t="s">
        <v>72</v>
      </c>
      <c r="N271" s="173" t="s">
        <v>73</v>
      </c>
      <c r="O271" s="176" t="s">
        <v>72</v>
      </c>
      <c r="P271" s="130" t="s">
        <v>101</v>
      </c>
      <c r="Q271" s="177" t="s">
        <v>93</v>
      </c>
      <c r="R271" s="178">
        <v>3.3420000000000001</v>
      </c>
      <c r="S271" s="179">
        <v>1</v>
      </c>
      <c r="T271" s="179">
        <v>25</v>
      </c>
      <c r="U271" s="179">
        <v>25</v>
      </c>
      <c r="V271" s="179">
        <v>4.5</v>
      </c>
      <c r="W271" s="179">
        <v>29.5</v>
      </c>
      <c r="X271" s="27">
        <f t="shared" si="110"/>
        <v>83.55</v>
      </c>
      <c r="Y271" s="29">
        <f ca="1">VLOOKUP(Z271,CHOOSE({2,1},Fac_Fecha,Fac_OT),2,0)</f>
        <v>43855</v>
      </c>
      <c r="Z271" s="26" t="s">
        <v>2656</v>
      </c>
      <c r="AA271" s="28">
        <f t="shared" ca="1" si="109"/>
        <v>1972.4857533499999</v>
      </c>
      <c r="AB271" s="28">
        <f ca="1">SUMIF(Salida_OT,Facturacion!Z271,Salida_Suma)</f>
        <v>0</v>
      </c>
      <c r="AC271" s="28">
        <f t="shared" ca="1" si="94"/>
        <v>0</v>
      </c>
      <c r="AD271" s="28">
        <f t="shared" ca="1" si="95"/>
        <v>0</v>
      </c>
      <c r="AE271" s="28">
        <f ca="1">(SUMIF(Asig_OT,Z271,Asig_Hora_Mec))*'Costos x MO'!$B$6*'Costos x MO'!$B$7</f>
        <v>0</v>
      </c>
      <c r="AF271" s="28">
        <f ca="1">SUMIF(Asig_OT,Z271,Asig_Hora_Pla)*'Costos x MO'!$B$4*'Costos x MO'!$B$7</f>
        <v>0</v>
      </c>
      <c r="AG271" s="28">
        <f ca="1">SUMIF(Asig_OT,Z271,Asig_paño_Pin)*'Costos x MO'!$B$5*'Costos x MO'!$B$7</f>
        <v>0</v>
      </c>
      <c r="AH271" s="28">
        <f ca="1">(SUMIF(Asig_OT,Z271,Asig_Terc_Pla)*'Costos x MO'!$B$7)+(SUMIF(Asig_OT,Z271,Asig_Terc_Pin)*'Costos x MO'!$B$7)</f>
        <v>0</v>
      </c>
      <c r="AI271" s="28">
        <f t="shared" ca="1" si="96"/>
        <v>0</v>
      </c>
      <c r="AJ271" s="28">
        <f t="shared" ca="1" si="97"/>
        <v>1972.4857533499999</v>
      </c>
      <c r="AK271" s="31">
        <f t="shared" ca="1" si="98"/>
        <v>1</v>
      </c>
      <c r="AL271" s="28" t="str">
        <f t="shared" ca="1" si="99"/>
        <v>C.C</v>
      </c>
      <c r="AM271" s="28" t="str">
        <f t="shared" ca="1" si="100"/>
        <v>LEVE</v>
      </c>
      <c r="AN271" s="30" t="str">
        <f t="shared" ca="1" si="101"/>
        <v>January</v>
      </c>
      <c r="AO271" s="42">
        <f t="shared" ca="1" si="102"/>
        <v>2020</v>
      </c>
      <c r="AP271" s="42">
        <f t="shared" ca="1" si="103"/>
        <v>5</v>
      </c>
      <c r="AQ271" s="26">
        <v>1</v>
      </c>
      <c r="AR271" s="30">
        <f t="shared" ca="1" si="104"/>
        <v>43850</v>
      </c>
      <c r="AS271" s="30" t="str">
        <f t="shared" ca="1" si="105"/>
        <v>AVK-314</v>
      </c>
      <c r="AT271" s="26" t="str">
        <f t="shared" ca="1" si="106"/>
        <v>HONDA</v>
      </c>
      <c r="AU271" s="26" t="str">
        <f t="shared" ca="1" si="107"/>
        <v>PILOT</v>
      </c>
      <c r="AV271" s="26" t="str">
        <f t="shared" ca="1" si="108"/>
        <v>EXPORT &amp;IMPORT VANISTSAC</v>
      </c>
    </row>
    <row r="272" spans="1:48" x14ac:dyDescent="0.2">
      <c r="A272" s="172">
        <v>43764</v>
      </c>
      <c r="B272" s="173" t="s">
        <v>111</v>
      </c>
      <c r="C272" s="173" t="s">
        <v>102</v>
      </c>
      <c r="D272" s="173" t="s">
        <v>682</v>
      </c>
      <c r="E272" s="173" t="s">
        <v>834</v>
      </c>
      <c r="F272" s="173" t="s">
        <v>953</v>
      </c>
      <c r="G272" s="172">
        <v>43760</v>
      </c>
      <c r="H272" s="173" t="s">
        <v>1196</v>
      </c>
      <c r="I272" s="173" t="s">
        <v>1197</v>
      </c>
      <c r="J272" s="173" t="s">
        <v>95</v>
      </c>
      <c r="K272" s="173" t="s">
        <v>96</v>
      </c>
      <c r="L272" s="174" t="s">
        <v>71</v>
      </c>
      <c r="M272" s="175" t="s">
        <v>72</v>
      </c>
      <c r="N272" s="173" t="s">
        <v>73</v>
      </c>
      <c r="O272" s="176" t="s">
        <v>69</v>
      </c>
      <c r="P272" s="130" t="s">
        <v>96</v>
      </c>
      <c r="Q272" s="177" t="s">
        <v>93</v>
      </c>
      <c r="R272" s="178">
        <v>3.3499998999999998</v>
      </c>
      <c r="S272" s="179">
        <v>1</v>
      </c>
      <c r="T272" s="179">
        <v>100</v>
      </c>
      <c r="U272" s="179">
        <v>100</v>
      </c>
      <c r="V272" s="179">
        <v>18</v>
      </c>
      <c r="W272" s="179">
        <v>118</v>
      </c>
      <c r="X272" s="27">
        <f t="shared" si="110"/>
        <v>334.99998999999997</v>
      </c>
      <c r="Y272" s="29">
        <f ca="1">VLOOKUP(Z272,CHOOSE({2,1},Fac_Fecha,Fac_OT),2,0)</f>
        <v>43858</v>
      </c>
      <c r="Z272" s="26" t="s">
        <v>2715</v>
      </c>
      <c r="AA272" s="28">
        <f t="shared" ca="1" si="109"/>
        <v>943.26750000000004</v>
      </c>
      <c r="AB272" s="28">
        <f ca="1">SUMIF(Salida_OT,Facturacion!Z272,Salida_Suma)</f>
        <v>0</v>
      </c>
      <c r="AC272" s="28">
        <f t="shared" ref="AC272:AC288" ca="1" si="111">SUMIFS(Compras_Suma,Compras_OT,Z272,Compras_Tipo,"RP")</f>
        <v>0</v>
      </c>
      <c r="AD272" s="28">
        <f t="shared" ref="AD272:AD288" ca="1" si="112">SUMIFS(Compras_Suma,Compras_OT,Z272,Compras_Tipo,"ST")</f>
        <v>0</v>
      </c>
      <c r="AE272" s="28">
        <f ca="1">(SUMIF(Asig_OT,Z272,Asig_Hora_Mec))*'Costos x MO'!$B$6*'Costos x MO'!$B$7</f>
        <v>0</v>
      </c>
      <c r="AF272" s="28">
        <f ca="1">SUMIF(Asig_OT,Z272,Asig_Hora_Pla)*'Costos x MO'!$B$4*'Costos x MO'!$B$7</f>
        <v>0</v>
      </c>
      <c r="AG272" s="28">
        <f ca="1">SUMIF(Asig_OT,Z272,Asig_paño_Pin)*'Costos x MO'!$B$5*'Costos x MO'!$B$7</f>
        <v>0</v>
      </c>
      <c r="AH272" s="28">
        <f ca="1">(SUMIF(Asig_OT,Z272,Asig_Terc_Pla)*'Costos x MO'!$B$7)+(SUMIF(Asig_OT,Z272,Asig_Terc_Pin)*'Costos x MO'!$B$7)</f>
        <v>0</v>
      </c>
      <c r="AI272" s="28">
        <f t="shared" ref="AI272:AI288" ca="1" si="113">SUM(AB272:AH272)</f>
        <v>0</v>
      </c>
      <c r="AJ272" s="28">
        <f t="shared" ref="AJ272:AJ288" ca="1" si="114">+AA272-AI272</f>
        <v>943.26750000000004</v>
      </c>
      <c r="AK272" s="31">
        <f t="shared" ref="AK272:AK288" ca="1" si="115">IFERROR(AJ272/AA272,0)</f>
        <v>1</v>
      </c>
      <c r="AL272" s="28" t="s">
        <v>123</v>
      </c>
      <c r="AM272" s="28" t="s">
        <v>124</v>
      </c>
      <c r="AN272" s="30" t="str">
        <f t="shared" ref="AN272:AN288" ca="1" si="116">PROPER(TEXT(Y272,"mmmm"))</f>
        <v>January</v>
      </c>
      <c r="AO272" s="42">
        <f t="shared" ref="AO272:AO288" ca="1" si="117">YEAR(Y272)</f>
        <v>2020</v>
      </c>
      <c r="AP272" s="42">
        <f t="shared" ref="AP272:AP288" ca="1" si="118">+Y272-AR272</f>
        <v>8</v>
      </c>
      <c r="AQ272" s="26">
        <v>1</v>
      </c>
      <c r="AR272" s="30">
        <f t="shared" ref="AR272:AR288" ca="1" si="119">VLOOKUP(Z272,Matriz2,3,0)</f>
        <v>43850</v>
      </c>
      <c r="AS272" s="30" t="str">
        <f ca="1">IFERROR(VLOOKUP(Z272,Matriz2,2,0),"S/PLACA")</f>
        <v>AYD066</v>
      </c>
      <c r="AT272" s="26" t="s">
        <v>21</v>
      </c>
      <c r="AU272" s="26" t="s">
        <v>24</v>
      </c>
      <c r="AV272" s="26" t="str">
        <f t="shared" ref="AV272:AV288" ca="1" si="120">VLOOKUP(Z272,Matriz2,5,0)</f>
        <v>RIMAC SEGUROS  Y REASEGUROS S.A</v>
      </c>
    </row>
    <row r="273" spans="1:48" x14ac:dyDescent="0.2">
      <c r="A273" s="172">
        <v>43764</v>
      </c>
      <c r="B273" s="173" t="s">
        <v>111</v>
      </c>
      <c r="C273" s="173" t="s">
        <v>102</v>
      </c>
      <c r="D273" s="173" t="s">
        <v>681</v>
      </c>
      <c r="E273" s="173" t="s">
        <v>830</v>
      </c>
      <c r="F273" s="173" t="s">
        <v>953</v>
      </c>
      <c r="G273" s="172">
        <v>43759</v>
      </c>
      <c r="H273" s="173" t="s">
        <v>1196</v>
      </c>
      <c r="I273" s="173" t="s">
        <v>1197</v>
      </c>
      <c r="J273" s="173" t="s">
        <v>70</v>
      </c>
      <c r="K273" s="173" t="s">
        <v>112</v>
      </c>
      <c r="L273" s="174" t="s">
        <v>71</v>
      </c>
      <c r="M273" s="175" t="s">
        <v>72</v>
      </c>
      <c r="N273" s="173" t="s">
        <v>73</v>
      </c>
      <c r="O273" s="176" t="s">
        <v>69</v>
      </c>
      <c r="P273" s="130" t="s">
        <v>447</v>
      </c>
      <c r="Q273" s="177" t="s">
        <v>74</v>
      </c>
      <c r="R273" s="178">
        <v>3.3499998999999998</v>
      </c>
      <c r="S273" s="179">
        <v>1</v>
      </c>
      <c r="T273" s="179">
        <v>423.72879000000006</v>
      </c>
      <c r="U273" s="179">
        <v>423.72879</v>
      </c>
      <c r="V273" s="179">
        <v>76.271209999999925</v>
      </c>
      <c r="W273" s="179">
        <v>500</v>
      </c>
      <c r="X273" s="27">
        <f t="shared" si="110"/>
        <v>423.72879</v>
      </c>
      <c r="Y273" s="29">
        <f ca="1">VLOOKUP(Z273,CHOOSE({2,1},Fac_Fecha,Fac_OT),2,0)</f>
        <v>43859</v>
      </c>
      <c r="Z273" s="26" t="s">
        <v>2550</v>
      </c>
      <c r="AA273" s="28">
        <f t="shared" ca="1" si="109"/>
        <v>10681.5</v>
      </c>
      <c r="AB273" s="28">
        <f ca="1">SUMIF(Salida_OT,Facturacion!Z273,Salida_Suma)</f>
        <v>2491.0499542800003</v>
      </c>
      <c r="AC273" s="28">
        <f t="shared" ca="1" si="111"/>
        <v>114.40474576271187</v>
      </c>
      <c r="AD273" s="28">
        <f t="shared" ca="1" si="112"/>
        <v>457.61999999999995</v>
      </c>
      <c r="AE273" s="28">
        <f ca="1">(SUMIF(Asig_OT,Z273,Asig_Hora_Mec))*'Costos x MO'!$B$6*'Costos x MO'!$B$7</f>
        <v>391.95</v>
      </c>
      <c r="AF273" s="28">
        <f ca="1">SUMIF(Asig_OT,Z273,Asig_Hora_Pla)*'Costos x MO'!$B$4*'Costos x MO'!$B$7</f>
        <v>452.25</v>
      </c>
      <c r="AG273" s="28">
        <f ca="1">SUMIF(Asig_OT,Z273,Asig_paño_Pin)*'Costos x MO'!$B$5*'Costos x MO'!$B$7</f>
        <v>1231.125</v>
      </c>
      <c r="AH273" s="28">
        <f ca="1">(SUMIF(Asig_OT,Z273,Asig_Terc_Pla)*'Costos x MO'!$B$7)+(SUMIF(Asig_OT,Z273,Asig_Terc_Pin)*'Costos x MO'!$B$7)</f>
        <v>0</v>
      </c>
      <c r="AI273" s="28">
        <f t="shared" ca="1" si="113"/>
        <v>5138.3997000427116</v>
      </c>
      <c r="AJ273" s="28">
        <f t="shared" ca="1" si="114"/>
        <v>5543.1002999572884</v>
      </c>
      <c r="AK273" s="31">
        <f t="shared" ca="1" si="115"/>
        <v>0.51894399662568824</v>
      </c>
      <c r="AL273" s="28" t="str">
        <f t="shared" ref="AL273:AL288" ca="1" si="121">IFERROR(VLOOKUP(Z273,Matriz,5,0),"S/TIPO")</f>
        <v>ACCESO</v>
      </c>
      <c r="AM273" s="28" t="str">
        <f t="shared" ref="AM273:AM288" ca="1" si="122">IFERROR(VLOOKUP(Z273,Matriz,17,0),"S/TIPO")</f>
        <v>GRAVE</v>
      </c>
      <c r="AN273" s="30" t="str">
        <f t="shared" ca="1" si="116"/>
        <v>January</v>
      </c>
      <c r="AO273" s="42">
        <f t="shared" ca="1" si="117"/>
        <v>2020</v>
      </c>
      <c r="AP273" s="42">
        <f t="shared" ca="1" si="118"/>
        <v>25</v>
      </c>
      <c r="AQ273" s="26">
        <v>1</v>
      </c>
      <c r="AR273" s="30">
        <f t="shared" ca="1" si="119"/>
        <v>43834</v>
      </c>
      <c r="AS273" s="30" t="str">
        <f t="shared" ref="AS273:AS288" ca="1" si="123">IFERROR(VLOOKUP(Z273,Matriz,2,0),"S/PLACA")</f>
        <v>AZN-215</v>
      </c>
      <c r="AT273" s="26" t="str">
        <f t="shared" ref="AT273:AT288" ca="1" si="124">IFERROR(VLOOKUP(Z273,Matriz,3,0),"S/MARCA")</f>
        <v>CHEVROLET</v>
      </c>
      <c r="AU273" s="26" t="str">
        <f t="shared" ref="AU273:AU288" ca="1" si="125">IFERROR(VLOOKUP(Z273,Matriz,4,0),"S/MODELO")</f>
        <v>SAIL</v>
      </c>
      <c r="AV273" s="26" t="str">
        <f t="shared" ca="1" si="120"/>
        <v>EDPYME ACCESO CREDITICIO SOCIEDAD ANONIMA</v>
      </c>
    </row>
    <row r="274" spans="1:48" x14ac:dyDescent="0.2">
      <c r="A274" s="172">
        <v>43767</v>
      </c>
      <c r="B274" s="173" t="s">
        <v>111</v>
      </c>
      <c r="C274" s="173" t="s">
        <v>102</v>
      </c>
      <c r="D274" s="173" t="s">
        <v>680</v>
      </c>
      <c r="E274" s="173" t="s">
        <v>871</v>
      </c>
      <c r="F274" s="173" t="s">
        <v>1163</v>
      </c>
      <c r="G274" s="172">
        <v>43761</v>
      </c>
      <c r="H274" s="173" t="s">
        <v>1198</v>
      </c>
      <c r="I274" s="173" t="s">
        <v>1199</v>
      </c>
      <c r="J274" s="173" t="s">
        <v>95</v>
      </c>
      <c r="K274" s="173" t="s">
        <v>96</v>
      </c>
      <c r="L274" s="174" t="s">
        <v>71</v>
      </c>
      <c r="M274" s="175" t="s">
        <v>72</v>
      </c>
      <c r="N274" s="173" t="s">
        <v>73</v>
      </c>
      <c r="O274" s="176" t="s">
        <v>69</v>
      </c>
      <c r="P274" s="130" t="s">
        <v>96</v>
      </c>
      <c r="Q274" s="177" t="s">
        <v>93</v>
      </c>
      <c r="R274" s="178">
        <v>3.335</v>
      </c>
      <c r="S274" s="179">
        <v>1</v>
      </c>
      <c r="T274" s="179">
        <v>100</v>
      </c>
      <c r="U274" s="179">
        <v>100</v>
      </c>
      <c r="V274" s="179">
        <v>18</v>
      </c>
      <c r="W274" s="179">
        <v>118</v>
      </c>
      <c r="X274" s="27">
        <f t="shared" si="110"/>
        <v>333.5</v>
      </c>
      <c r="Y274" s="29">
        <f ca="1">VLOOKUP(Z274,CHOOSE({2,1},Fac_Fecha,Fac_OT),2,0)</f>
        <v>43859</v>
      </c>
      <c r="Z274" s="26" t="s">
        <v>2016</v>
      </c>
      <c r="AA274" s="28">
        <f t="shared" ca="1" si="109"/>
        <v>12445.754209999999</v>
      </c>
      <c r="AB274" s="28">
        <f ca="1">SUMIF(Salida_OT,Facturacion!Z274,Salida_Suma)</f>
        <v>3427.8843898200003</v>
      </c>
      <c r="AC274" s="28">
        <f t="shared" ca="1" si="111"/>
        <v>141.51999999999998</v>
      </c>
      <c r="AD274" s="28">
        <f t="shared" ca="1" si="112"/>
        <v>762.15000000000009</v>
      </c>
      <c r="AE274" s="28">
        <f ca="1">(SUMIF(Asig_OT,Z274,Asig_Hora_Mec))*'Costos x MO'!$B$6*'Costos x MO'!$B$7</f>
        <v>425.86875000000003</v>
      </c>
      <c r="AF274" s="28">
        <f ca="1">SUMIF(Asig_OT,Z274,Asig_Hora_Pla)*'Costos x MO'!$B$4*'Costos x MO'!$B$7</f>
        <v>482.40000000000003</v>
      </c>
      <c r="AG274" s="28">
        <f ca="1">SUMIF(Asig_OT,Z274,Asig_paño_Pin)*'Costos x MO'!$B$5*'Costos x MO'!$B$7</f>
        <v>1266.3</v>
      </c>
      <c r="AH274" s="28">
        <f ca="1">(SUMIF(Asig_OT,Z274,Asig_Terc_Pla)*'Costos x MO'!$B$7)+(SUMIF(Asig_OT,Z274,Asig_Terc_Pin)*'Costos x MO'!$B$7)</f>
        <v>0</v>
      </c>
      <c r="AI274" s="28">
        <f t="shared" ca="1" si="113"/>
        <v>6506.1231398199998</v>
      </c>
      <c r="AJ274" s="28">
        <f t="shared" ca="1" si="114"/>
        <v>5939.6310701799994</v>
      </c>
      <c r="AK274" s="31">
        <f t="shared" ca="1" si="115"/>
        <v>0.4772415532204215</v>
      </c>
      <c r="AL274" s="28" t="str">
        <f t="shared" ca="1" si="121"/>
        <v>ACCESO</v>
      </c>
      <c r="AM274" s="28" t="str">
        <f t="shared" ca="1" si="122"/>
        <v>GRAVE</v>
      </c>
      <c r="AN274" s="30" t="str">
        <f t="shared" ca="1" si="116"/>
        <v>January</v>
      </c>
      <c r="AO274" s="42">
        <f t="shared" ca="1" si="117"/>
        <v>2020</v>
      </c>
      <c r="AP274" s="42">
        <f t="shared" ca="1" si="118"/>
        <v>57</v>
      </c>
      <c r="AQ274" s="26">
        <v>1</v>
      </c>
      <c r="AR274" s="30">
        <f t="shared" ca="1" si="119"/>
        <v>43802</v>
      </c>
      <c r="AS274" s="30" t="str">
        <f t="shared" ca="1" si="123"/>
        <v>D1Q-268</v>
      </c>
      <c r="AT274" s="26" t="str">
        <f t="shared" ca="1" si="124"/>
        <v>CHEVROLET</v>
      </c>
      <c r="AU274" s="26" t="str">
        <f t="shared" ca="1" si="125"/>
        <v>SAIL</v>
      </c>
      <c r="AV274" s="26" t="str">
        <f t="shared" ca="1" si="120"/>
        <v>EDPYME ACCESO CREDITICIO SOCIEDAD ANONIMA</v>
      </c>
    </row>
    <row r="275" spans="1:48" x14ac:dyDescent="0.2">
      <c r="A275" s="172">
        <v>43768</v>
      </c>
      <c r="B275" s="173" t="s">
        <v>111</v>
      </c>
      <c r="C275" s="173" t="s">
        <v>102</v>
      </c>
      <c r="D275" s="173" t="s">
        <v>679</v>
      </c>
      <c r="E275" s="173" t="s">
        <v>854</v>
      </c>
      <c r="F275" s="173" t="s">
        <v>1165</v>
      </c>
      <c r="G275" s="172">
        <v>43762</v>
      </c>
      <c r="H275" s="173" t="s">
        <v>1200</v>
      </c>
      <c r="I275" s="173" t="s">
        <v>1201</v>
      </c>
      <c r="J275" s="173" t="s">
        <v>95</v>
      </c>
      <c r="K275" s="173" t="s">
        <v>96</v>
      </c>
      <c r="L275" s="174" t="s">
        <v>71</v>
      </c>
      <c r="M275" s="175" t="s">
        <v>72</v>
      </c>
      <c r="N275" s="173" t="s">
        <v>73</v>
      </c>
      <c r="O275" s="176" t="s">
        <v>69</v>
      </c>
      <c r="P275" s="130" t="s">
        <v>96</v>
      </c>
      <c r="Q275" s="177" t="s">
        <v>93</v>
      </c>
      <c r="R275" s="178">
        <v>3.3399999000000005</v>
      </c>
      <c r="S275" s="179">
        <v>1</v>
      </c>
      <c r="T275" s="179">
        <v>100</v>
      </c>
      <c r="U275" s="179">
        <v>100</v>
      </c>
      <c r="V275" s="179">
        <v>18</v>
      </c>
      <c r="W275" s="179">
        <v>118</v>
      </c>
      <c r="X275" s="27">
        <f t="shared" si="110"/>
        <v>333.99999000000003</v>
      </c>
      <c r="Y275" s="29">
        <f ca="1">VLOOKUP(Z275,CHOOSE({2,1},Fac_Fecha,Fac_OT),2,0)</f>
        <v>43859</v>
      </c>
      <c r="Z275" s="26" t="s">
        <v>2005</v>
      </c>
      <c r="AA275" s="28">
        <f t="shared" ca="1" si="109"/>
        <v>933</v>
      </c>
      <c r="AB275" s="28">
        <f ca="1">SUMIF(Salida_OT,Facturacion!Z275,Salida_Suma)</f>
        <v>599.70078960000012</v>
      </c>
      <c r="AC275" s="28">
        <f t="shared" ca="1" si="111"/>
        <v>118.64999999999999</v>
      </c>
      <c r="AD275" s="28">
        <f t="shared" ca="1" si="112"/>
        <v>127.78999999999999</v>
      </c>
      <c r="AE275" s="28">
        <f ca="1">(SUMIF(Asig_OT,Z275,Asig_Hora_Mec))*'Costos x MO'!$B$6*'Costos x MO'!$B$7</f>
        <v>0</v>
      </c>
      <c r="AF275" s="28">
        <f ca="1">SUMIF(Asig_OT,Z275,Asig_Hora_Pla)*'Costos x MO'!$B$4*'Costos x MO'!$B$7</f>
        <v>0</v>
      </c>
      <c r="AG275" s="28">
        <f ca="1">SUMIF(Asig_OT,Z275,Asig_paño_Pin)*'Costos x MO'!$B$5*'Costos x MO'!$B$7</f>
        <v>0</v>
      </c>
      <c r="AH275" s="28">
        <f ca="1">(SUMIF(Asig_OT,Z275,Asig_Terc_Pla)*'Costos x MO'!$B$7)+(SUMIF(Asig_OT,Z275,Asig_Terc_Pin)*'Costos x MO'!$B$7)</f>
        <v>0</v>
      </c>
      <c r="AI275" s="28">
        <f t="shared" ca="1" si="113"/>
        <v>846.14078960000006</v>
      </c>
      <c r="AJ275" s="28">
        <f t="shared" ca="1" si="114"/>
        <v>86.859210399999938</v>
      </c>
      <c r="AK275" s="31">
        <f t="shared" ca="1" si="115"/>
        <v>9.3096688531618371E-2</v>
      </c>
      <c r="AL275" s="28" t="str">
        <f t="shared" ca="1" si="121"/>
        <v>ACCESO</v>
      </c>
      <c r="AM275" s="28" t="str">
        <f t="shared" ca="1" si="122"/>
        <v>MECANICA</v>
      </c>
      <c r="AN275" s="30" t="str">
        <f t="shared" ca="1" si="116"/>
        <v>January</v>
      </c>
      <c r="AO275" s="42">
        <f t="shared" ca="1" si="117"/>
        <v>2020</v>
      </c>
      <c r="AP275" s="42">
        <f t="shared" ca="1" si="118"/>
        <v>41</v>
      </c>
      <c r="AQ275" s="26">
        <v>1</v>
      </c>
      <c r="AR275" s="30">
        <f t="shared" ca="1" si="119"/>
        <v>43818</v>
      </c>
      <c r="AS275" s="30" t="str">
        <f t="shared" ca="1" si="123"/>
        <v>F7Y-120</v>
      </c>
      <c r="AT275" s="26" t="str">
        <f t="shared" ca="1" si="124"/>
        <v>BYD</v>
      </c>
      <c r="AU275" s="26" t="str">
        <f t="shared" ca="1" si="125"/>
        <v>F3</v>
      </c>
      <c r="AV275" s="26" t="str">
        <f t="shared" ca="1" si="120"/>
        <v>EDPYME ACCESO CREDITICIO SOCIEDAD ANONIMA</v>
      </c>
    </row>
    <row r="276" spans="1:48" x14ac:dyDescent="0.2">
      <c r="A276" s="172">
        <v>43768</v>
      </c>
      <c r="B276" s="173" t="s">
        <v>111</v>
      </c>
      <c r="C276" s="173" t="s">
        <v>102</v>
      </c>
      <c r="D276" s="173" t="s">
        <v>678</v>
      </c>
      <c r="E276" s="173" t="s">
        <v>1202</v>
      </c>
      <c r="F276" s="173" t="s">
        <v>1165</v>
      </c>
      <c r="G276" s="172">
        <v>43761</v>
      </c>
      <c r="H276" s="173" t="s">
        <v>1200</v>
      </c>
      <c r="I276" s="173" t="s">
        <v>1201</v>
      </c>
      <c r="J276" s="173" t="s">
        <v>92</v>
      </c>
      <c r="K276" s="173" t="s">
        <v>113</v>
      </c>
      <c r="L276" s="174" t="s">
        <v>71</v>
      </c>
      <c r="M276" s="175" t="s">
        <v>72</v>
      </c>
      <c r="N276" s="173" t="s">
        <v>73</v>
      </c>
      <c r="O276" s="176" t="s">
        <v>69</v>
      </c>
      <c r="P276" s="130" t="s">
        <v>113</v>
      </c>
      <c r="Q276" s="177" t="s">
        <v>93</v>
      </c>
      <c r="R276" s="178">
        <v>3.3399999000000005</v>
      </c>
      <c r="S276" s="179">
        <v>1</v>
      </c>
      <c r="T276" s="179">
        <v>20</v>
      </c>
      <c r="U276" s="179">
        <v>20</v>
      </c>
      <c r="V276" s="179">
        <v>3.6</v>
      </c>
      <c r="W276" s="179">
        <v>23.6</v>
      </c>
      <c r="X276" s="27">
        <f t="shared" si="110"/>
        <v>66.799998000000016</v>
      </c>
      <c r="Y276" s="29">
        <f ca="1">VLOOKUP(Z276,CHOOSE({2,1},Fac_Fecha,Fac_OT),2,0)</f>
        <v>43859</v>
      </c>
      <c r="Z276" s="26" t="s">
        <v>1385</v>
      </c>
      <c r="AA276" s="28">
        <f t="shared" ca="1" si="109"/>
        <v>15503.754209999999</v>
      </c>
      <c r="AB276" s="28">
        <f ca="1">SUMIF(Salida_OT,Facturacion!Z276,Salida_Suma)</f>
        <v>4787.8372151999993</v>
      </c>
      <c r="AC276" s="28">
        <f t="shared" ca="1" si="111"/>
        <v>461.87</v>
      </c>
      <c r="AD276" s="28">
        <f t="shared" ca="1" si="112"/>
        <v>1906.8100000000004</v>
      </c>
      <c r="AE276" s="28">
        <f ca="1">(SUMIF(Asig_OT,Z276,Asig_Hora_Mec))*'Costos x MO'!$B$6*'Costos x MO'!$B$7</f>
        <v>425.86875000000003</v>
      </c>
      <c r="AF276" s="28">
        <f ca="1">SUMIF(Asig_OT,Z276,Asig_Hora_Pla)*'Costos x MO'!$B$4*'Costos x MO'!$B$7</f>
        <v>482.40000000000003</v>
      </c>
      <c r="AG276" s="28">
        <f ca="1">SUMIF(Asig_OT,Z276,Asig_paño_Pin)*'Costos x MO'!$B$5*'Costos x MO'!$B$7</f>
        <v>1371.825</v>
      </c>
      <c r="AH276" s="28">
        <f ca="1">(SUMIF(Asig_OT,Z276,Asig_Terc_Pla)*'Costos x MO'!$B$7)+(SUMIF(Asig_OT,Z276,Asig_Terc_Pin)*'Costos x MO'!$B$7)</f>
        <v>0</v>
      </c>
      <c r="AI276" s="28">
        <f t="shared" ca="1" si="113"/>
        <v>9436.6109651999996</v>
      </c>
      <c r="AJ276" s="28">
        <f t="shared" ca="1" si="114"/>
        <v>6067.1432447999996</v>
      </c>
      <c r="AK276" s="31">
        <f t="shared" ca="1" si="115"/>
        <v>0.39133381261208733</v>
      </c>
      <c r="AL276" s="28" t="str">
        <f t="shared" ca="1" si="121"/>
        <v>ACCESO</v>
      </c>
      <c r="AM276" s="28" t="str">
        <f t="shared" ca="1" si="122"/>
        <v>GRAVE</v>
      </c>
      <c r="AN276" s="30" t="str">
        <f t="shared" ca="1" si="116"/>
        <v>January</v>
      </c>
      <c r="AO276" s="42">
        <f t="shared" ca="1" si="117"/>
        <v>2020</v>
      </c>
      <c r="AP276" s="42">
        <f t="shared" ca="1" si="118"/>
        <v>68</v>
      </c>
      <c r="AQ276" s="26">
        <v>1</v>
      </c>
      <c r="AR276" s="30">
        <f t="shared" ca="1" si="119"/>
        <v>43791</v>
      </c>
      <c r="AS276" s="30" t="str">
        <f t="shared" ca="1" si="123"/>
        <v>F7Y-120</v>
      </c>
      <c r="AT276" s="26" t="str">
        <f t="shared" ca="1" si="124"/>
        <v>BYD</v>
      </c>
      <c r="AU276" s="26" t="str">
        <f t="shared" ca="1" si="125"/>
        <v>F3</v>
      </c>
      <c r="AV276" s="26" t="str">
        <f t="shared" ca="1" si="120"/>
        <v>EDPYME ACCESO CREDITICIO SOCIEDAD ANONIMA</v>
      </c>
    </row>
    <row r="277" spans="1:48" x14ac:dyDescent="0.2">
      <c r="A277" s="172">
        <v>43768</v>
      </c>
      <c r="B277" s="173" t="s">
        <v>111</v>
      </c>
      <c r="C277" s="173" t="s">
        <v>102</v>
      </c>
      <c r="D277" s="173" t="s">
        <v>677</v>
      </c>
      <c r="E277" s="173" t="s">
        <v>873</v>
      </c>
      <c r="F277" s="173" t="s">
        <v>1167</v>
      </c>
      <c r="G277" s="172">
        <v>43761</v>
      </c>
      <c r="H277" s="173" t="s">
        <v>1203</v>
      </c>
      <c r="I277" s="173" t="s">
        <v>1204</v>
      </c>
      <c r="J277" s="173" t="s">
        <v>95</v>
      </c>
      <c r="K277" s="173" t="s">
        <v>96</v>
      </c>
      <c r="L277" s="174" t="s">
        <v>71</v>
      </c>
      <c r="M277" s="175" t="s">
        <v>72</v>
      </c>
      <c r="N277" s="173" t="s">
        <v>73</v>
      </c>
      <c r="O277" s="176" t="s">
        <v>69</v>
      </c>
      <c r="P277" s="130" t="s">
        <v>96</v>
      </c>
      <c r="Q277" s="177" t="s">
        <v>93</v>
      </c>
      <c r="R277" s="178">
        <v>3.3399999000000005</v>
      </c>
      <c r="S277" s="179">
        <v>1</v>
      </c>
      <c r="T277" s="179">
        <v>100</v>
      </c>
      <c r="U277" s="179">
        <v>100</v>
      </c>
      <c r="V277" s="179">
        <v>18</v>
      </c>
      <c r="W277" s="179">
        <v>118</v>
      </c>
      <c r="X277" s="27">
        <f t="shared" si="110"/>
        <v>333.99999000000003</v>
      </c>
      <c r="Y277" s="29">
        <f ca="1">VLOOKUP(Z277,CHOOSE({2,1},Fac_Fecha,Fac_OT),2,0)</f>
        <v>43859</v>
      </c>
      <c r="Z277" s="26" t="s">
        <v>2517</v>
      </c>
      <c r="AA277" s="28">
        <f t="shared" ca="1" si="109"/>
        <v>1060.53</v>
      </c>
      <c r="AB277" s="28">
        <f ca="1">SUMIF(Salida_OT,Facturacion!Z277,Salida_Suma)</f>
        <v>0</v>
      </c>
      <c r="AC277" s="28">
        <f t="shared" ca="1" si="111"/>
        <v>0</v>
      </c>
      <c r="AD277" s="28">
        <f t="shared" ca="1" si="112"/>
        <v>99.74</v>
      </c>
      <c r="AE277" s="28">
        <f ca="1">(SUMIF(Asig_OT,Z277,Asig_Hora_Mec))*'Costos x MO'!$B$6*'Costos x MO'!$B$7</f>
        <v>0</v>
      </c>
      <c r="AF277" s="28">
        <f ca="1">SUMIF(Asig_OT,Z277,Asig_Hora_Pla)*'Costos x MO'!$B$4*'Costos x MO'!$B$7</f>
        <v>60.300000000000004</v>
      </c>
      <c r="AG277" s="28">
        <f ca="1">SUMIF(Asig_OT,Z277,Asig_paño_Pin)*'Costos x MO'!$B$5*'Costos x MO'!$B$7</f>
        <v>140.70000000000002</v>
      </c>
      <c r="AH277" s="28">
        <f ca="1">(SUMIF(Asig_OT,Z277,Asig_Terc_Pla)*'Costos x MO'!$B$7)+(SUMIF(Asig_OT,Z277,Asig_Terc_Pin)*'Costos x MO'!$B$7)</f>
        <v>0</v>
      </c>
      <c r="AI277" s="28">
        <f t="shared" ca="1" si="113"/>
        <v>300.74</v>
      </c>
      <c r="AJ277" s="28">
        <f t="shared" ca="1" si="114"/>
        <v>759.79</v>
      </c>
      <c r="AK277" s="31">
        <f t="shared" ca="1" si="115"/>
        <v>0.7164248064646922</v>
      </c>
      <c r="AL277" s="28" t="str">
        <f t="shared" ca="1" si="121"/>
        <v>RIMAC</v>
      </c>
      <c r="AM277" s="28" t="str">
        <f t="shared" ca="1" si="122"/>
        <v>LEVE</v>
      </c>
      <c r="AN277" s="30" t="str">
        <f t="shared" ca="1" si="116"/>
        <v>January</v>
      </c>
      <c r="AO277" s="42">
        <f t="shared" ca="1" si="117"/>
        <v>2020</v>
      </c>
      <c r="AP277" s="42">
        <f t="shared" ca="1" si="118"/>
        <v>15</v>
      </c>
      <c r="AQ277" s="26">
        <v>1</v>
      </c>
      <c r="AR277" s="30">
        <f t="shared" ca="1" si="119"/>
        <v>43844</v>
      </c>
      <c r="AS277" s="30" t="str">
        <f t="shared" ca="1" si="123"/>
        <v>F2S454</v>
      </c>
      <c r="AT277" s="26" t="str">
        <f t="shared" ca="1" si="124"/>
        <v>CHEVROLET</v>
      </c>
      <c r="AU277" s="26" t="str">
        <f t="shared" ca="1" si="125"/>
        <v>CRUZE</v>
      </c>
      <c r="AV277" s="26" t="str">
        <f t="shared" ca="1" si="120"/>
        <v>RIMAC SEGUROS  Y REASEGUROS S.A</v>
      </c>
    </row>
    <row r="278" spans="1:48" x14ac:dyDescent="0.2">
      <c r="A278" s="172">
        <v>43768</v>
      </c>
      <c r="B278" s="173" t="s">
        <v>111</v>
      </c>
      <c r="C278" s="173" t="s">
        <v>102</v>
      </c>
      <c r="D278" s="173" t="s">
        <v>676</v>
      </c>
      <c r="E278" s="173" t="s">
        <v>890</v>
      </c>
      <c r="F278" s="173" t="s">
        <v>1205</v>
      </c>
      <c r="G278" s="172">
        <v>43768</v>
      </c>
      <c r="H278" s="173" t="s">
        <v>1206</v>
      </c>
      <c r="I278" s="173" t="s">
        <v>1207</v>
      </c>
      <c r="J278" s="173" t="s">
        <v>70</v>
      </c>
      <c r="K278" s="173" t="s">
        <v>112</v>
      </c>
      <c r="L278" s="174" t="s">
        <v>71</v>
      </c>
      <c r="M278" s="175" t="s">
        <v>72</v>
      </c>
      <c r="N278" s="173" t="s">
        <v>73</v>
      </c>
      <c r="O278" s="176" t="s">
        <v>69</v>
      </c>
      <c r="P278" s="130" t="s">
        <v>447</v>
      </c>
      <c r="Q278" s="177" t="s">
        <v>74</v>
      </c>
      <c r="R278" s="178">
        <v>3.3399999000000005</v>
      </c>
      <c r="S278" s="179">
        <v>1</v>
      </c>
      <c r="T278" s="179">
        <v>211.87289000000001</v>
      </c>
      <c r="U278" s="179">
        <v>211.87289000000001</v>
      </c>
      <c r="V278" s="179">
        <v>38.137099999999954</v>
      </c>
      <c r="W278" s="179">
        <v>250.00998999999996</v>
      </c>
      <c r="X278" s="27">
        <f t="shared" si="110"/>
        <v>211.87289000000001</v>
      </c>
      <c r="Y278" s="29">
        <f ca="1">VLOOKUP(Z278,CHOOSE({2,1},Fac_Fecha,Fac_OT),2,0)</f>
        <v>43861</v>
      </c>
      <c r="Z278" s="26" t="s">
        <v>2665</v>
      </c>
      <c r="AA278" s="28">
        <f t="shared" ca="1" si="109"/>
        <v>1853.0399448500002</v>
      </c>
      <c r="AB278" s="28">
        <f ca="1">SUMIF(Salida_OT,Facturacion!Z278,Salida_Suma)</f>
        <v>0</v>
      </c>
      <c r="AC278" s="28">
        <f t="shared" ca="1" si="111"/>
        <v>0</v>
      </c>
      <c r="AD278" s="28">
        <f t="shared" ca="1" si="112"/>
        <v>0</v>
      </c>
      <c r="AE278" s="28">
        <f ca="1">(SUMIF(Asig_OT,Z278,Asig_Hora_Mec))*'Costos x MO'!$B$6*'Costos x MO'!$B$7</f>
        <v>15.075000000000001</v>
      </c>
      <c r="AF278" s="28">
        <f ca="1">SUMIF(Asig_OT,Z278,Asig_Hora_Pla)*'Costos x MO'!$B$4*'Costos x MO'!$B$7</f>
        <v>211.05</v>
      </c>
      <c r="AG278" s="28">
        <f ca="1">SUMIF(Asig_OT,Z278,Asig_paño_Pin)*'Costos x MO'!$B$5*'Costos x MO'!$B$7</f>
        <v>246.22499999999999</v>
      </c>
      <c r="AH278" s="28">
        <f ca="1">(SUMIF(Asig_OT,Z278,Asig_Terc_Pla)*'Costos x MO'!$B$7)+(SUMIF(Asig_OT,Z278,Asig_Terc_Pin)*'Costos x MO'!$B$7)</f>
        <v>0</v>
      </c>
      <c r="AI278" s="28">
        <f t="shared" ca="1" si="113"/>
        <v>472.35</v>
      </c>
      <c r="AJ278" s="28">
        <f t="shared" ca="1" si="114"/>
        <v>1380.6899448500003</v>
      </c>
      <c r="AK278" s="31">
        <f t="shared" ca="1" si="115"/>
        <v>0.74509453975195572</v>
      </c>
      <c r="AL278" s="28" t="str">
        <f t="shared" ca="1" si="121"/>
        <v>RIMAC</v>
      </c>
      <c r="AM278" s="28" t="str">
        <f t="shared" ca="1" si="122"/>
        <v>GRAVE</v>
      </c>
      <c r="AN278" s="30" t="str">
        <f t="shared" ca="1" si="116"/>
        <v>January</v>
      </c>
      <c r="AO278" s="42">
        <f t="shared" ca="1" si="117"/>
        <v>2020</v>
      </c>
      <c r="AP278" s="42">
        <f t="shared" ca="1" si="118"/>
        <v>11</v>
      </c>
      <c r="AQ278" s="26">
        <v>1</v>
      </c>
      <c r="AR278" s="30">
        <f t="shared" ca="1" si="119"/>
        <v>43850</v>
      </c>
      <c r="AS278" s="30" t="str">
        <f t="shared" ca="1" si="123"/>
        <v>BKR-397</v>
      </c>
      <c r="AT278" s="26" t="str">
        <f t="shared" ca="1" si="124"/>
        <v>KIA</v>
      </c>
      <c r="AU278" s="26" t="str">
        <f t="shared" ca="1" si="125"/>
        <v>RIO</v>
      </c>
      <c r="AV278" s="26" t="str">
        <f t="shared" ca="1" si="120"/>
        <v>RIMAC SEGUROS  Y REASEGUROS S.A</v>
      </c>
    </row>
    <row r="279" spans="1:48" x14ac:dyDescent="0.2">
      <c r="A279" s="172">
        <v>43768</v>
      </c>
      <c r="B279" s="173" t="s">
        <v>111</v>
      </c>
      <c r="C279" s="173" t="s">
        <v>102</v>
      </c>
      <c r="D279" s="173" t="s">
        <v>676</v>
      </c>
      <c r="E279" s="173" t="s">
        <v>890</v>
      </c>
      <c r="F279" s="173" t="s">
        <v>1205</v>
      </c>
      <c r="G279" s="172">
        <v>43768</v>
      </c>
      <c r="H279" s="173" t="s">
        <v>1206</v>
      </c>
      <c r="I279" s="173" t="s">
        <v>1207</v>
      </c>
      <c r="J279" s="173" t="s">
        <v>104</v>
      </c>
      <c r="K279" s="173" t="s">
        <v>105</v>
      </c>
      <c r="L279" s="174" t="s">
        <v>71</v>
      </c>
      <c r="M279" s="175" t="s">
        <v>72</v>
      </c>
      <c r="N279" s="173" t="s">
        <v>73</v>
      </c>
      <c r="O279" s="176" t="s">
        <v>69</v>
      </c>
      <c r="P279" s="173" t="s">
        <v>105</v>
      </c>
      <c r="Q279" s="177" t="s">
        <v>74</v>
      </c>
      <c r="R279" s="178">
        <v>3.3399999000000005</v>
      </c>
      <c r="S279" s="179">
        <v>1</v>
      </c>
      <c r="T279" s="179">
        <v>0</v>
      </c>
      <c r="U279" s="179">
        <v>0</v>
      </c>
      <c r="V279" s="179">
        <v>0</v>
      </c>
      <c r="W279" s="179">
        <v>0</v>
      </c>
      <c r="X279" s="27">
        <f t="shared" si="110"/>
        <v>0</v>
      </c>
      <c r="Y279" s="29">
        <f ca="1">VLOOKUP(Z279,CHOOSE({2,1},Fac_Fecha,Fac_OT),2,0)</f>
        <v>43861</v>
      </c>
      <c r="Z279" s="26" t="s">
        <v>2662</v>
      </c>
      <c r="AA279" s="28">
        <f t="shared" ca="1" si="109"/>
        <v>1592.6399526</v>
      </c>
      <c r="AB279" s="28">
        <f ca="1">SUMIF(Salida_OT,Facturacion!Z279,Salida_Suma)</f>
        <v>0</v>
      </c>
      <c r="AC279" s="28">
        <f t="shared" ca="1" si="111"/>
        <v>0</v>
      </c>
      <c r="AD279" s="28">
        <f t="shared" ca="1" si="112"/>
        <v>59.322033898305087</v>
      </c>
      <c r="AE279" s="28">
        <f ca="1">(SUMIF(Asig_OT,Z279,Asig_Hora_Mec))*'Costos x MO'!$B$6*'Costos x MO'!$B$7</f>
        <v>0</v>
      </c>
      <c r="AF279" s="28">
        <f ca="1">SUMIF(Asig_OT,Z279,Asig_Hora_Pla)*'Costos x MO'!$B$4*'Costos x MO'!$B$7</f>
        <v>150.75</v>
      </c>
      <c r="AG279" s="28">
        <f ca="1">SUMIF(Asig_OT,Z279,Asig_paño_Pin)*'Costos x MO'!$B$5*'Costos x MO'!$B$7</f>
        <v>246.22499999999999</v>
      </c>
      <c r="AH279" s="28">
        <f ca="1">(SUMIF(Asig_OT,Z279,Asig_Terc_Pla)*'Costos x MO'!$B$7)+(SUMIF(Asig_OT,Z279,Asig_Terc_Pin)*'Costos x MO'!$B$7)</f>
        <v>0</v>
      </c>
      <c r="AI279" s="28">
        <f t="shared" ca="1" si="113"/>
        <v>456.29703389830507</v>
      </c>
      <c r="AJ279" s="28">
        <f t="shared" ca="1" si="114"/>
        <v>1136.342918701695</v>
      </c>
      <c r="AK279" s="31">
        <f t="shared" ca="1" si="115"/>
        <v>0.7134964288988257</v>
      </c>
      <c r="AL279" s="28" t="str">
        <f t="shared" ca="1" si="121"/>
        <v>RIMAC</v>
      </c>
      <c r="AM279" s="28" t="str">
        <f t="shared" ca="1" si="122"/>
        <v>MEDIANO</v>
      </c>
      <c r="AN279" s="30" t="str">
        <f t="shared" ca="1" si="116"/>
        <v>January</v>
      </c>
      <c r="AO279" s="42">
        <f t="shared" ca="1" si="117"/>
        <v>2020</v>
      </c>
      <c r="AP279" s="42">
        <f t="shared" ca="1" si="118"/>
        <v>15</v>
      </c>
      <c r="AQ279" s="26">
        <v>1</v>
      </c>
      <c r="AR279" s="30">
        <f t="shared" ca="1" si="119"/>
        <v>43846</v>
      </c>
      <c r="AS279" s="30" t="str">
        <f t="shared" ca="1" si="123"/>
        <v>C0X-378</v>
      </c>
      <c r="AT279" s="26" t="str">
        <f t="shared" ca="1" si="124"/>
        <v>MAZDA</v>
      </c>
      <c r="AU279" s="26" t="str">
        <f t="shared" ca="1" si="125"/>
        <v>CX-5</v>
      </c>
      <c r="AV279" s="26" t="str">
        <f t="shared" ca="1" si="120"/>
        <v>RIMAC SEGUROS  Y REASEGUROS S.A</v>
      </c>
    </row>
    <row r="280" spans="1:48" x14ac:dyDescent="0.2">
      <c r="A280" s="172">
        <v>43768</v>
      </c>
      <c r="B280" s="173" t="s">
        <v>111</v>
      </c>
      <c r="C280" s="173" t="s">
        <v>102</v>
      </c>
      <c r="D280" s="173" t="s">
        <v>675</v>
      </c>
      <c r="E280" s="173" t="s">
        <v>860</v>
      </c>
      <c r="F280" s="173" t="s">
        <v>1168</v>
      </c>
      <c r="G280" s="172">
        <v>43760</v>
      </c>
      <c r="H280" s="173" t="s">
        <v>1208</v>
      </c>
      <c r="I280" s="173" t="s">
        <v>1209</v>
      </c>
      <c r="J280" s="173" t="s">
        <v>95</v>
      </c>
      <c r="K280" s="173" t="s">
        <v>96</v>
      </c>
      <c r="L280" s="174" t="s">
        <v>71</v>
      </c>
      <c r="M280" s="175" t="s">
        <v>72</v>
      </c>
      <c r="N280" s="173" t="s">
        <v>73</v>
      </c>
      <c r="O280" s="176" t="s">
        <v>69</v>
      </c>
      <c r="P280" s="130" t="s">
        <v>96</v>
      </c>
      <c r="Q280" s="177" t="s">
        <v>93</v>
      </c>
      <c r="R280" s="178">
        <v>3.3399999000000005</v>
      </c>
      <c r="S280" s="179">
        <v>1</v>
      </c>
      <c r="T280" s="179">
        <v>96.321998999999991</v>
      </c>
      <c r="U280" s="179">
        <v>96.321998999999991</v>
      </c>
      <c r="V280" s="179">
        <v>17.338001000000006</v>
      </c>
      <c r="W280" s="179">
        <v>113.66</v>
      </c>
      <c r="X280" s="27">
        <f t="shared" si="110"/>
        <v>321.71546702780012</v>
      </c>
      <c r="Y280" s="29">
        <f ca="1">VLOOKUP(Z280,CHOOSE({2,1},Fac_Fecha,Fac_OT),2,0)</f>
        <v>43846</v>
      </c>
      <c r="Z280" s="26" t="s">
        <v>2616</v>
      </c>
      <c r="AA280" s="28">
        <f t="shared" ca="1" si="109"/>
        <v>199.61999400000002</v>
      </c>
      <c r="AB280" s="28">
        <f ca="1">SUMIF(Salida_OT,Facturacion!Z280,Salida_Suma)</f>
        <v>0</v>
      </c>
      <c r="AC280" s="28">
        <f t="shared" ca="1" si="111"/>
        <v>0</v>
      </c>
      <c r="AD280" s="28">
        <f t="shared" ca="1" si="112"/>
        <v>0</v>
      </c>
      <c r="AE280" s="28">
        <f ca="1">(SUMIF(Asig_OT,Z280,Asig_Hora_Mec))*'Costos x MO'!$B$6*'Costos x MO'!$B$7</f>
        <v>0</v>
      </c>
      <c r="AF280" s="28">
        <f ca="1">SUMIF(Asig_OT,Z280,Asig_Hora_Pla)*'Costos x MO'!$B$4*'Costos x MO'!$B$7</f>
        <v>15.075000000000001</v>
      </c>
      <c r="AG280" s="28">
        <f ca="1">SUMIF(Asig_OT,Z280,Asig_paño_Pin)*'Costos x MO'!$B$5*'Costos x MO'!$B$7</f>
        <v>70.350000000000009</v>
      </c>
      <c r="AH280" s="28">
        <f ca="1">(SUMIF(Asig_OT,Z280,Asig_Terc_Pla)*'Costos x MO'!$B$7)+(SUMIF(Asig_OT,Z280,Asig_Terc_Pin)*'Costos x MO'!$B$7)</f>
        <v>0</v>
      </c>
      <c r="AI280" s="28">
        <f t="shared" ca="1" si="113"/>
        <v>85.425000000000011</v>
      </c>
      <c r="AJ280" s="28">
        <f t="shared" ca="1" si="114"/>
        <v>114.19499400000001</v>
      </c>
      <c r="AK280" s="31">
        <f t="shared" ca="1" si="115"/>
        <v>0.57206190478094088</v>
      </c>
      <c r="AL280" s="28" t="str">
        <f t="shared" ca="1" si="121"/>
        <v>RIMAC</v>
      </c>
      <c r="AM280" s="28" t="str">
        <f t="shared" ca="1" si="122"/>
        <v>LEVE</v>
      </c>
      <c r="AN280" s="30" t="str">
        <f t="shared" ca="1" si="116"/>
        <v>January</v>
      </c>
      <c r="AO280" s="42">
        <f t="shared" ca="1" si="117"/>
        <v>2020</v>
      </c>
      <c r="AP280" s="42">
        <f t="shared" ca="1" si="118"/>
        <v>10</v>
      </c>
      <c r="AQ280" s="26">
        <v>1</v>
      </c>
      <c r="AR280" s="30">
        <f t="shared" ca="1" si="119"/>
        <v>43836</v>
      </c>
      <c r="AS280" s="30" t="str">
        <f t="shared" ca="1" si="123"/>
        <v>BDW-301</v>
      </c>
      <c r="AT280" s="26" t="str">
        <f t="shared" ca="1" si="124"/>
        <v>MAZDA</v>
      </c>
      <c r="AU280" s="26" t="str">
        <f t="shared" ca="1" si="125"/>
        <v>MAZDA3</v>
      </c>
      <c r="AV280" s="26" t="str">
        <f t="shared" ca="1" si="120"/>
        <v>DIAZ PAURO RAUL</v>
      </c>
    </row>
    <row r="281" spans="1:48" x14ac:dyDescent="0.2">
      <c r="A281" s="172">
        <v>43769</v>
      </c>
      <c r="B281" s="173" t="s">
        <v>111</v>
      </c>
      <c r="C281" s="173" t="s">
        <v>102</v>
      </c>
      <c r="D281" s="173" t="s">
        <v>674</v>
      </c>
      <c r="E281" s="173" t="s">
        <v>899</v>
      </c>
      <c r="F281" s="173" t="s">
        <v>1210</v>
      </c>
      <c r="G281" s="172">
        <v>43769</v>
      </c>
      <c r="H281" s="173" t="s">
        <v>1211</v>
      </c>
      <c r="I281" s="173" t="s">
        <v>1212</v>
      </c>
      <c r="J281" s="173" t="s">
        <v>70</v>
      </c>
      <c r="K281" s="173" t="s">
        <v>112</v>
      </c>
      <c r="L281" s="174" t="s">
        <v>71</v>
      </c>
      <c r="M281" s="175" t="s">
        <v>72</v>
      </c>
      <c r="N281" s="173" t="s">
        <v>73</v>
      </c>
      <c r="O281" s="176" t="s">
        <v>69</v>
      </c>
      <c r="P281" s="130" t="s">
        <v>447</v>
      </c>
      <c r="Q281" s="177" t="s">
        <v>74</v>
      </c>
      <c r="R281" s="178">
        <v>3.3490000000000002</v>
      </c>
      <c r="S281" s="179">
        <v>1</v>
      </c>
      <c r="T281" s="179">
        <v>211.87289000000001</v>
      </c>
      <c r="U281" s="179">
        <v>211.87289000000001</v>
      </c>
      <c r="V281" s="179">
        <v>38.137099999999954</v>
      </c>
      <c r="W281" s="179">
        <v>250.00998999999996</v>
      </c>
      <c r="X281" s="27">
        <f t="shared" si="110"/>
        <v>211.87289000000001</v>
      </c>
      <c r="Y281" s="29">
        <f ca="1">VLOOKUP(Z281,CHOOSE({2,1},Fac_Fecha,Fac_OT),2,0)</f>
        <v>43852</v>
      </c>
      <c r="Z281" s="26" t="s">
        <v>2657</v>
      </c>
      <c r="AA281" s="28">
        <f t="shared" ca="1" si="109"/>
        <v>348.59998950000005</v>
      </c>
      <c r="AB281" s="28">
        <f ca="1">SUMIF(Salida_OT,Facturacion!Z281,Salida_Suma)</f>
        <v>0</v>
      </c>
      <c r="AC281" s="28">
        <f t="shared" ca="1" si="111"/>
        <v>0</v>
      </c>
      <c r="AD281" s="28">
        <f t="shared" ca="1" si="112"/>
        <v>0</v>
      </c>
      <c r="AE281" s="28">
        <f ca="1">(SUMIF(Asig_OT,Z281,Asig_Hora_Mec))*'Costos x MO'!$B$6*'Costos x MO'!$B$7</f>
        <v>0</v>
      </c>
      <c r="AF281" s="28">
        <f ca="1">SUMIF(Asig_OT,Z281,Asig_Hora_Pla)*'Costos x MO'!$B$4*'Costos x MO'!$B$7</f>
        <v>45.225000000000001</v>
      </c>
      <c r="AG281" s="28">
        <f ca="1">SUMIF(Asig_OT,Z281,Asig_paño_Pin)*'Costos x MO'!$B$5*'Costos x MO'!$B$7</f>
        <v>70.350000000000009</v>
      </c>
      <c r="AH281" s="28">
        <f ca="1">(SUMIF(Asig_OT,Z281,Asig_Terc_Pla)*'Costos x MO'!$B$7)+(SUMIF(Asig_OT,Z281,Asig_Terc_Pin)*'Costos x MO'!$B$7)</f>
        <v>0</v>
      </c>
      <c r="AI281" s="28">
        <f t="shared" ca="1" si="113"/>
        <v>115.57500000000002</v>
      </c>
      <c r="AJ281" s="28">
        <f t="shared" ca="1" si="114"/>
        <v>233.02498950000003</v>
      </c>
      <c r="AK281" s="31">
        <f t="shared" ca="1" si="115"/>
        <v>0.66845954250953876</v>
      </c>
      <c r="AL281" s="28" t="str">
        <f t="shared" ca="1" si="121"/>
        <v>C.C</v>
      </c>
      <c r="AM281" s="28" t="str">
        <f t="shared" ca="1" si="122"/>
        <v>LEVE</v>
      </c>
      <c r="AN281" s="30" t="str">
        <f t="shared" ca="1" si="116"/>
        <v>January</v>
      </c>
      <c r="AO281" s="42">
        <f t="shared" ca="1" si="117"/>
        <v>2020</v>
      </c>
      <c r="AP281" s="42">
        <f t="shared" ca="1" si="118"/>
        <v>2</v>
      </c>
      <c r="AQ281" s="26">
        <v>1</v>
      </c>
      <c r="AR281" s="30">
        <f t="shared" ca="1" si="119"/>
        <v>43850</v>
      </c>
      <c r="AS281" s="30" t="str">
        <f t="shared" ca="1" si="123"/>
        <v>BEN-226</v>
      </c>
      <c r="AT281" s="26" t="str">
        <f t="shared" ca="1" si="124"/>
        <v>NISSAN</v>
      </c>
      <c r="AU281" s="26" t="str">
        <f t="shared" ca="1" si="125"/>
        <v>KICKS</v>
      </c>
      <c r="AV281" s="26" t="str">
        <f t="shared" ca="1" si="120"/>
        <v>LUIS DANIEL PAIRAZAMAN GRADOS</v>
      </c>
    </row>
    <row r="282" spans="1:48" x14ac:dyDescent="0.2">
      <c r="A282" s="172">
        <v>43769</v>
      </c>
      <c r="B282" s="173" t="s">
        <v>111</v>
      </c>
      <c r="C282" s="173" t="s">
        <v>102</v>
      </c>
      <c r="D282" s="173" t="s">
        <v>674</v>
      </c>
      <c r="E282" s="173" t="s">
        <v>899</v>
      </c>
      <c r="F282" s="173" t="s">
        <v>1210</v>
      </c>
      <c r="G282" s="172">
        <v>43769</v>
      </c>
      <c r="H282" s="173" t="s">
        <v>1211</v>
      </c>
      <c r="I282" s="173" t="s">
        <v>1212</v>
      </c>
      <c r="J282" s="173" t="s">
        <v>104</v>
      </c>
      <c r="K282" s="173" t="s">
        <v>105</v>
      </c>
      <c r="L282" s="174" t="s">
        <v>71</v>
      </c>
      <c r="M282" s="175" t="s">
        <v>72</v>
      </c>
      <c r="N282" s="173" t="s">
        <v>73</v>
      </c>
      <c r="O282" s="176" t="s">
        <v>69</v>
      </c>
      <c r="P282" s="173" t="s">
        <v>105</v>
      </c>
      <c r="Q282" s="177" t="s">
        <v>74</v>
      </c>
      <c r="R282" s="178">
        <v>3.3490000000000002</v>
      </c>
      <c r="S282" s="179">
        <v>1</v>
      </c>
      <c r="T282" s="179">
        <v>0</v>
      </c>
      <c r="U282" s="179">
        <v>0</v>
      </c>
      <c r="V282" s="179">
        <v>0</v>
      </c>
      <c r="W282" s="179">
        <v>0</v>
      </c>
      <c r="X282" s="27">
        <f t="shared" si="110"/>
        <v>0</v>
      </c>
      <c r="Y282" s="29">
        <f ca="1">VLOOKUP(Z282,CHOOSE({2,1},Fac_Fecha,Fac_OT),2,0)</f>
        <v>43854</v>
      </c>
      <c r="Z282" s="26" t="s">
        <v>2675</v>
      </c>
      <c r="AA282" s="28">
        <f t="shared" ca="1" si="109"/>
        <v>177.360918922</v>
      </c>
      <c r="AB282" s="28">
        <f ca="1">SUMIF(Salida_OT,Facturacion!Z282,Salida_Suma)</f>
        <v>0</v>
      </c>
      <c r="AC282" s="28">
        <f t="shared" ca="1" si="111"/>
        <v>0</v>
      </c>
      <c r="AD282" s="28">
        <f t="shared" ca="1" si="112"/>
        <v>0</v>
      </c>
      <c r="AE282" s="28">
        <f ca="1">(SUMIF(Asig_OT,Z282,Asig_Hora_Mec))*'Costos x MO'!$B$6*'Costos x MO'!$B$7</f>
        <v>0</v>
      </c>
      <c r="AF282" s="28">
        <f ca="1">SUMIF(Asig_OT,Z282,Asig_Hora_Pla)*'Costos x MO'!$B$4*'Costos x MO'!$B$7</f>
        <v>0</v>
      </c>
      <c r="AG282" s="28">
        <f ca="1">SUMIF(Asig_OT,Z282,Asig_paño_Pin)*'Costos x MO'!$B$5*'Costos x MO'!$B$7</f>
        <v>0</v>
      </c>
      <c r="AH282" s="28">
        <f ca="1">(SUMIF(Asig_OT,Z282,Asig_Terc_Pla)*'Costos x MO'!$B$7)+(SUMIF(Asig_OT,Z282,Asig_Terc_Pin)*'Costos x MO'!$B$7)</f>
        <v>0</v>
      </c>
      <c r="AI282" s="28">
        <f t="shared" ca="1" si="113"/>
        <v>0</v>
      </c>
      <c r="AJ282" s="28">
        <f t="shared" ca="1" si="114"/>
        <v>177.360918922</v>
      </c>
      <c r="AK282" s="31">
        <f t="shared" ca="1" si="115"/>
        <v>1</v>
      </c>
      <c r="AL282" s="28" t="str">
        <f t="shared" ca="1" si="121"/>
        <v>C.C</v>
      </c>
      <c r="AM282" s="28" t="str">
        <f t="shared" ca="1" si="122"/>
        <v>LEVE</v>
      </c>
      <c r="AN282" s="30" t="str">
        <f t="shared" ca="1" si="116"/>
        <v>January</v>
      </c>
      <c r="AO282" s="42">
        <f t="shared" ca="1" si="117"/>
        <v>2020</v>
      </c>
      <c r="AP282" s="42">
        <f t="shared" ca="1" si="118"/>
        <v>0</v>
      </c>
      <c r="AQ282" s="26">
        <v>1</v>
      </c>
      <c r="AR282" s="30">
        <f t="shared" ca="1" si="119"/>
        <v>43854</v>
      </c>
      <c r="AS282" s="30" t="str">
        <f t="shared" ca="1" si="123"/>
        <v>BEN-226</v>
      </c>
      <c r="AT282" s="26" t="str">
        <f t="shared" ca="1" si="124"/>
        <v>NISSAN</v>
      </c>
      <c r="AU282" s="26" t="str">
        <f t="shared" ca="1" si="125"/>
        <v>KICKS</v>
      </c>
      <c r="AV282" s="26" t="str">
        <f t="shared" ca="1" si="120"/>
        <v>LUIS DANIEL PAIRAZAMAN GRADOS</v>
      </c>
    </row>
    <row r="283" spans="1:48" x14ac:dyDescent="0.2">
      <c r="A283" s="172">
        <v>43769</v>
      </c>
      <c r="B283" s="173" t="s">
        <v>111</v>
      </c>
      <c r="C283" s="173" t="s">
        <v>102</v>
      </c>
      <c r="D283" s="173" t="s">
        <v>673</v>
      </c>
      <c r="E283" s="173" t="s">
        <v>867</v>
      </c>
      <c r="F283" s="173" t="s">
        <v>1170</v>
      </c>
      <c r="G283" s="172">
        <v>43761</v>
      </c>
      <c r="H283" s="173" t="s">
        <v>1213</v>
      </c>
      <c r="I283" s="173" t="s">
        <v>1214</v>
      </c>
      <c r="J283" s="173" t="s">
        <v>95</v>
      </c>
      <c r="K283" s="173" t="s">
        <v>96</v>
      </c>
      <c r="L283" s="174" t="s">
        <v>71</v>
      </c>
      <c r="M283" s="175" t="s">
        <v>72</v>
      </c>
      <c r="N283" s="173" t="s">
        <v>73</v>
      </c>
      <c r="O283" s="176" t="s">
        <v>69</v>
      </c>
      <c r="P283" s="130" t="s">
        <v>96</v>
      </c>
      <c r="Q283" s="177" t="s">
        <v>93</v>
      </c>
      <c r="R283" s="178">
        <v>3.3490000000000002</v>
      </c>
      <c r="S283" s="179">
        <v>1</v>
      </c>
      <c r="T283" s="179">
        <v>158.839</v>
      </c>
      <c r="U283" s="179">
        <v>158.839</v>
      </c>
      <c r="V283" s="179">
        <v>28.590989999999966</v>
      </c>
      <c r="W283" s="179">
        <v>187.42998999999998</v>
      </c>
      <c r="X283" s="27">
        <f t="shared" si="110"/>
        <v>531.95181100000002</v>
      </c>
      <c r="Y283" s="29">
        <f ca="1">VLOOKUP(Z283,CHOOSE({2,1},Fac_Fecha,Fac_OT),2,0)</f>
        <v>43855</v>
      </c>
      <c r="Z283" s="26" t="s">
        <v>2722</v>
      </c>
      <c r="AA283" s="28">
        <f t="shared" ca="1" si="109"/>
        <v>59.321998999999998</v>
      </c>
      <c r="AB283" s="28">
        <f ca="1">SUMIF(Salida_OT,Facturacion!Z283,Salida_Suma)</f>
        <v>0</v>
      </c>
      <c r="AC283" s="28">
        <f t="shared" ca="1" si="111"/>
        <v>0</v>
      </c>
      <c r="AD283" s="28">
        <f t="shared" ca="1" si="112"/>
        <v>0</v>
      </c>
      <c r="AE283" s="28">
        <f ca="1">(SUMIF(Asig_OT,Z283,Asig_Hora_Mec))*'Costos x MO'!$B$6*'Costos x MO'!$B$7</f>
        <v>0</v>
      </c>
      <c r="AF283" s="28">
        <f ca="1">SUMIF(Asig_OT,Z283,Asig_Hora_Pla)*'Costos x MO'!$B$4*'Costos x MO'!$B$7</f>
        <v>0</v>
      </c>
      <c r="AG283" s="28">
        <f ca="1">SUMIF(Asig_OT,Z283,Asig_paño_Pin)*'Costos x MO'!$B$5*'Costos x MO'!$B$7</f>
        <v>0</v>
      </c>
      <c r="AH283" s="28">
        <f ca="1">(SUMIF(Asig_OT,Z283,Asig_Terc_Pla)*'Costos x MO'!$B$7)+(SUMIF(Asig_OT,Z283,Asig_Terc_Pin)*'Costos x MO'!$B$7)</f>
        <v>0</v>
      </c>
      <c r="AI283" s="28">
        <f t="shared" ca="1" si="113"/>
        <v>0</v>
      </c>
      <c r="AJ283" s="28">
        <f t="shared" ca="1" si="114"/>
        <v>59.321998999999998</v>
      </c>
      <c r="AK283" s="31">
        <f t="shared" ca="1" si="115"/>
        <v>1</v>
      </c>
      <c r="AL283" s="28" t="s">
        <v>121</v>
      </c>
      <c r="AM283" s="28" t="s">
        <v>447</v>
      </c>
      <c r="AN283" s="30" t="str">
        <f t="shared" ca="1" si="116"/>
        <v>January</v>
      </c>
      <c r="AO283" s="42">
        <f t="shared" ca="1" si="117"/>
        <v>2020</v>
      </c>
      <c r="AP283" s="42">
        <f t="shared" ca="1" si="118"/>
        <v>0</v>
      </c>
      <c r="AQ283" s="26">
        <v>1</v>
      </c>
      <c r="AR283" s="30">
        <f t="shared" ca="1" si="119"/>
        <v>43855</v>
      </c>
      <c r="AS283" s="30" t="str">
        <f ca="1">IFERROR(VLOOKUP(Z283,Matriz2,2,0),"S/PLACA")</f>
        <v>B0M243</v>
      </c>
      <c r="AT283" s="26" t="s">
        <v>122</v>
      </c>
      <c r="AU283" s="26" t="s">
        <v>183</v>
      </c>
      <c r="AV283" s="26" t="str">
        <f t="shared" ca="1" si="120"/>
        <v>TORRES CAMACHO JOSE GABRIEL</v>
      </c>
    </row>
    <row r="284" spans="1:48" x14ac:dyDescent="0.2">
      <c r="A284" s="172">
        <v>43760</v>
      </c>
      <c r="B284" s="173" t="s">
        <v>114</v>
      </c>
      <c r="C284" s="173" t="s">
        <v>102</v>
      </c>
      <c r="D284" s="173" t="s">
        <v>597</v>
      </c>
      <c r="E284" s="173" t="s">
        <v>722</v>
      </c>
      <c r="F284" s="173">
        <v>0</v>
      </c>
      <c r="G284" s="172">
        <v>43760</v>
      </c>
      <c r="H284" s="173" t="s">
        <v>1131</v>
      </c>
      <c r="I284" s="173" t="s">
        <v>1132</v>
      </c>
      <c r="J284" s="173" t="s">
        <v>97</v>
      </c>
      <c r="K284" s="173" t="s">
        <v>98</v>
      </c>
      <c r="L284" s="174" t="s">
        <v>72</v>
      </c>
      <c r="M284" s="175" t="s">
        <v>72</v>
      </c>
      <c r="N284" s="173" t="s">
        <v>73</v>
      </c>
      <c r="O284" s="176" t="s">
        <v>99</v>
      </c>
      <c r="P284" s="173" t="s">
        <v>98</v>
      </c>
      <c r="Q284" s="177" t="s">
        <v>93</v>
      </c>
      <c r="R284" s="178">
        <v>3.3570001</v>
      </c>
      <c r="S284" s="179">
        <v>-1</v>
      </c>
      <c r="T284" s="179">
        <v>-195</v>
      </c>
      <c r="U284" s="179">
        <v>-195</v>
      </c>
      <c r="V284" s="179">
        <v>-35.100010000000005</v>
      </c>
      <c r="W284" s="179">
        <v>-230.10001</v>
      </c>
      <c r="X284" s="27">
        <f t="shared" si="110"/>
        <v>-654.61501950000002</v>
      </c>
      <c r="Y284" s="29">
        <f ca="1">VLOOKUP(Z284,CHOOSE({2,1},Fac_Fecha,Fac_OT),2,0)</f>
        <v>43855</v>
      </c>
      <c r="Z284" s="26" t="s">
        <v>2659</v>
      </c>
      <c r="AA284" s="28">
        <f t="shared" ca="1" si="109"/>
        <v>349.125</v>
      </c>
      <c r="AB284" s="28">
        <f ca="1">SUMIF(Salida_OT,Facturacion!Z284,Salida_Suma)</f>
        <v>0</v>
      </c>
      <c r="AC284" s="28">
        <f t="shared" ca="1" si="111"/>
        <v>0</v>
      </c>
      <c r="AD284" s="28">
        <f t="shared" ca="1" si="112"/>
        <v>0</v>
      </c>
      <c r="AE284" s="28">
        <f ca="1">(SUMIF(Asig_OT,Z284,Asig_Hora_Mec))*'Costos x MO'!$B$6*'Costos x MO'!$B$7</f>
        <v>0</v>
      </c>
      <c r="AF284" s="28">
        <f ca="1">SUMIF(Asig_OT,Z284,Asig_Hora_Pla)*'Costos x MO'!$B$4*'Costos x MO'!$B$7</f>
        <v>15.075000000000001</v>
      </c>
      <c r="AG284" s="28">
        <f ca="1">SUMIF(Asig_OT,Z284,Asig_paño_Pin)*'Costos x MO'!$B$5*'Costos x MO'!$B$7</f>
        <v>70.350000000000009</v>
      </c>
      <c r="AH284" s="28">
        <f ca="1">(SUMIF(Asig_OT,Z284,Asig_Terc_Pla)*'Costos x MO'!$B$7)+(SUMIF(Asig_OT,Z284,Asig_Terc_Pin)*'Costos x MO'!$B$7)</f>
        <v>0</v>
      </c>
      <c r="AI284" s="28">
        <f t="shared" ca="1" si="113"/>
        <v>85.425000000000011</v>
      </c>
      <c r="AJ284" s="28">
        <f t="shared" ca="1" si="114"/>
        <v>263.7</v>
      </c>
      <c r="AK284" s="31">
        <f t="shared" ca="1" si="115"/>
        <v>0.75531686358754024</v>
      </c>
      <c r="AL284" s="28" t="str">
        <f t="shared" ca="1" si="121"/>
        <v>C.C</v>
      </c>
      <c r="AM284" s="28" t="str">
        <f t="shared" ca="1" si="122"/>
        <v>LEVE</v>
      </c>
      <c r="AN284" s="30" t="str">
        <f t="shared" ca="1" si="116"/>
        <v>January</v>
      </c>
      <c r="AO284" s="42">
        <f t="shared" ca="1" si="117"/>
        <v>2020</v>
      </c>
      <c r="AP284" s="42">
        <f t="shared" ca="1" si="118"/>
        <v>4</v>
      </c>
      <c r="AQ284" s="26">
        <v>1</v>
      </c>
      <c r="AR284" s="30">
        <f t="shared" ca="1" si="119"/>
        <v>43851</v>
      </c>
      <c r="AS284" s="30" t="str">
        <f t="shared" ca="1" si="123"/>
        <v>ASP-160</v>
      </c>
      <c r="AT284" s="26" t="str">
        <f t="shared" ca="1" si="124"/>
        <v>SUZUKI</v>
      </c>
      <c r="AU284" s="26" t="str">
        <f t="shared" ca="1" si="125"/>
        <v>CIAZ</v>
      </c>
      <c r="AV284" s="26" t="str">
        <f t="shared" ca="1" si="120"/>
        <v>ALVA CUNEO CARLOS ENRIQUE</v>
      </c>
    </row>
    <row r="285" spans="1:48" x14ac:dyDescent="0.2">
      <c r="A285" s="172">
        <v>43760</v>
      </c>
      <c r="B285" s="173" t="s">
        <v>114</v>
      </c>
      <c r="C285" s="173" t="s">
        <v>102</v>
      </c>
      <c r="D285" s="173" t="s">
        <v>597</v>
      </c>
      <c r="E285" s="173" t="s">
        <v>722</v>
      </c>
      <c r="F285" s="173">
        <v>0</v>
      </c>
      <c r="G285" s="172">
        <v>43760</v>
      </c>
      <c r="H285" s="173" t="s">
        <v>1131</v>
      </c>
      <c r="I285" s="173" t="s">
        <v>1132</v>
      </c>
      <c r="J285" s="173" t="s">
        <v>100</v>
      </c>
      <c r="K285" s="173" t="s">
        <v>101</v>
      </c>
      <c r="L285" s="174" t="s">
        <v>72</v>
      </c>
      <c r="M285" s="175" t="s">
        <v>72</v>
      </c>
      <c r="N285" s="173" t="s">
        <v>73</v>
      </c>
      <c r="O285" s="176" t="s">
        <v>72</v>
      </c>
      <c r="P285" s="130" t="s">
        <v>101</v>
      </c>
      <c r="Q285" s="177" t="s">
        <v>93</v>
      </c>
      <c r="R285" s="178">
        <v>3.3570001</v>
      </c>
      <c r="S285" s="179">
        <v>-1</v>
      </c>
      <c r="T285" s="179">
        <v>-33.754199999999997</v>
      </c>
      <c r="U285" s="179">
        <v>-33.754199999999997</v>
      </c>
      <c r="V285" s="179">
        <v>-6.075802000000003</v>
      </c>
      <c r="W285" s="179">
        <v>-39.830002</v>
      </c>
      <c r="X285" s="27">
        <f t="shared" si="110"/>
        <v>-113.31285277542</v>
      </c>
      <c r="Y285" s="29">
        <f ca="1">VLOOKUP(Z285,CHOOSE({2,1},Fac_Fecha,Fac_OT),2,0)</f>
        <v>43855</v>
      </c>
      <c r="Z285" s="26" t="s">
        <v>2660</v>
      </c>
      <c r="AA285" s="28">
        <f t="shared" ca="1" si="109"/>
        <v>430.39828</v>
      </c>
      <c r="AB285" s="28">
        <f ca="1">SUMIF(Salida_OT,Facturacion!Z285,Salida_Suma)</f>
        <v>285.27998999999994</v>
      </c>
      <c r="AC285" s="28">
        <f t="shared" ca="1" si="111"/>
        <v>0</v>
      </c>
      <c r="AD285" s="28">
        <f t="shared" ca="1" si="112"/>
        <v>0</v>
      </c>
      <c r="AE285" s="28">
        <f ca="1">(SUMIF(Asig_OT,Z285,Asig_Hora_Mec))*'Costos x MO'!$B$6*'Costos x MO'!$B$7</f>
        <v>0</v>
      </c>
      <c r="AF285" s="28">
        <f ca="1">SUMIF(Asig_OT,Z285,Asig_Hora_Pla)*'Costos x MO'!$B$4*'Costos x MO'!$B$7</f>
        <v>0</v>
      </c>
      <c r="AG285" s="28">
        <f ca="1">SUMIF(Asig_OT,Z285,Asig_paño_Pin)*'Costos x MO'!$B$5*'Costos x MO'!$B$7</f>
        <v>0</v>
      </c>
      <c r="AH285" s="28">
        <f ca="1">(SUMIF(Asig_OT,Z285,Asig_Terc_Pla)*'Costos x MO'!$B$7)+(SUMIF(Asig_OT,Z285,Asig_Terc_Pin)*'Costos x MO'!$B$7)</f>
        <v>0</v>
      </c>
      <c r="AI285" s="28">
        <f t="shared" ca="1" si="113"/>
        <v>285.27998999999994</v>
      </c>
      <c r="AJ285" s="28">
        <f t="shared" ca="1" si="114"/>
        <v>145.11829000000006</v>
      </c>
      <c r="AK285" s="31">
        <f t="shared" ca="1" si="115"/>
        <v>0.33717209557621852</v>
      </c>
      <c r="AL285" s="28" t="str">
        <f t="shared" ca="1" si="121"/>
        <v>C.C</v>
      </c>
      <c r="AM285" s="28" t="str">
        <f t="shared" ca="1" si="122"/>
        <v>LEVE</v>
      </c>
      <c r="AN285" s="30" t="str">
        <f t="shared" ca="1" si="116"/>
        <v>January</v>
      </c>
      <c r="AO285" s="42">
        <f t="shared" ca="1" si="117"/>
        <v>2020</v>
      </c>
      <c r="AP285" s="42">
        <f t="shared" ca="1" si="118"/>
        <v>8</v>
      </c>
      <c r="AQ285" s="26">
        <v>1</v>
      </c>
      <c r="AR285" s="30">
        <f t="shared" ca="1" si="119"/>
        <v>43847</v>
      </c>
      <c r="AS285" s="30" t="str">
        <f t="shared" ca="1" si="123"/>
        <v>ASP-160</v>
      </c>
      <c r="AT285" s="26" t="str">
        <f t="shared" ca="1" si="124"/>
        <v>SUZUKI</v>
      </c>
      <c r="AU285" s="26" t="str">
        <f t="shared" ca="1" si="125"/>
        <v>CIAZ</v>
      </c>
      <c r="AV285" s="26" t="str">
        <f t="shared" ca="1" si="120"/>
        <v>ALVA CUNEO CARLOS ENRIQUE</v>
      </c>
    </row>
    <row r="286" spans="1:48" x14ac:dyDescent="0.2">
      <c r="A286" s="172">
        <v>43760</v>
      </c>
      <c r="B286" s="173" t="s">
        <v>114</v>
      </c>
      <c r="C286" s="173" t="s">
        <v>102</v>
      </c>
      <c r="D286" s="173" t="s">
        <v>597</v>
      </c>
      <c r="E286" s="173" t="s">
        <v>722</v>
      </c>
      <c r="F286" s="173">
        <v>0</v>
      </c>
      <c r="G286" s="172">
        <v>43760</v>
      </c>
      <c r="H286" s="173" t="s">
        <v>1131</v>
      </c>
      <c r="I286" s="173" t="s">
        <v>1132</v>
      </c>
      <c r="J286" s="173" t="s">
        <v>92</v>
      </c>
      <c r="K286" s="173" t="s">
        <v>113</v>
      </c>
      <c r="L286" s="174" t="s">
        <v>72</v>
      </c>
      <c r="M286" s="175" t="s">
        <v>72</v>
      </c>
      <c r="N286" s="173" t="s">
        <v>73</v>
      </c>
      <c r="O286" s="176" t="s">
        <v>69</v>
      </c>
      <c r="P286" s="130" t="s">
        <v>113</v>
      </c>
      <c r="Q286" s="177" t="s">
        <v>93</v>
      </c>
      <c r="R286" s="178">
        <v>3.3570001</v>
      </c>
      <c r="S286" s="179">
        <v>-1</v>
      </c>
      <c r="T286" s="179">
        <v>-25</v>
      </c>
      <c r="U286" s="179">
        <v>-25</v>
      </c>
      <c r="V286" s="179">
        <v>-4.5</v>
      </c>
      <c r="W286" s="179">
        <v>-29.5</v>
      </c>
      <c r="X286" s="27">
        <f t="shared" si="110"/>
        <v>-83.925002500000005</v>
      </c>
      <c r="Y286" s="29">
        <f ca="1">VLOOKUP(Z286,CHOOSE({2,1},Fac_Fecha,Fac_OT),2,0)</f>
        <v>43859</v>
      </c>
      <c r="Z286" s="26" t="s">
        <v>2711</v>
      </c>
      <c r="AA286" s="28">
        <f t="shared" ca="1" si="109"/>
        <v>8.4830999000000009</v>
      </c>
      <c r="AB286" s="28">
        <f ca="1">SUMIF(Salida_OT,Facturacion!Z286,Salida_Suma)</f>
        <v>0</v>
      </c>
      <c r="AC286" s="28">
        <f t="shared" ca="1" si="111"/>
        <v>0</v>
      </c>
      <c r="AD286" s="28">
        <f t="shared" ca="1" si="112"/>
        <v>0</v>
      </c>
      <c r="AE286" s="28">
        <f ca="1">(SUMIF(Asig_OT,Z286,Asig_Hora_Mec))*'Costos x MO'!$B$6*'Costos x MO'!$B$7</f>
        <v>0</v>
      </c>
      <c r="AF286" s="28">
        <f ca="1">SUMIF(Asig_OT,Z286,Asig_Hora_Pla)*'Costos x MO'!$B$4*'Costos x MO'!$B$7</f>
        <v>0</v>
      </c>
      <c r="AG286" s="28">
        <f ca="1">SUMIF(Asig_OT,Z286,Asig_paño_Pin)*'Costos x MO'!$B$5*'Costos x MO'!$B$7</f>
        <v>0</v>
      </c>
      <c r="AH286" s="28">
        <f ca="1">(SUMIF(Asig_OT,Z286,Asig_Terc_Pla)*'Costos x MO'!$B$7)+(SUMIF(Asig_OT,Z286,Asig_Terc_Pin)*'Costos x MO'!$B$7)</f>
        <v>0</v>
      </c>
      <c r="AI286" s="28">
        <f t="shared" ca="1" si="113"/>
        <v>0</v>
      </c>
      <c r="AJ286" s="28">
        <f t="shared" ca="1" si="114"/>
        <v>8.4830999000000009</v>
      </c>
      <c r="AK286" s="31">
        <f t="shared" ca="1" si="115"/>
        <v>1</v>
      </c>
      <c r="AL286" s="28" t="s">
        <v>121</v>
      </c>
      <c r="AM286" s="28" t="s">
        <v>447</v>
      </c>
      <c r="AN286" s="30" t="str">
        <f t="shared" ca="1" si="116"/>
        <v>January</v>
      </c>
      <c r="AO286" s="42">
        <f t="shared" ca="1" si="117"/>
        <v>2020</v>
      </c>
      <c r="AP286" s="42">
        <f t="shared" ca="1" si="118"/>
        <v>1</v>
      </c>
      <c r="AQ286" s="26">
        <v>1</v>
      </c>
      <c r="AR286" s="30">
        <f t="shared" ca="1" si="119"/>
        <v>43858</v>
      </c>
      <c r="AS286" s="30" t="str">
        <f ca="1">IFERROR(VLOOKUP(Z286,Matriz2,2,0),"S/PLACA")</f>
        <v>F2S454</v>
      </c>
      <c r="AT286" s="26" t="s">
        <v>126</v>
      </c>
      <c r="AU286" s="26" t="s">
        <v>1266</v>
      </c>
      <c r="AV286" s="26" t="str">
        <f t="shared" ca="1" si="120"/>
        <v>FONSECA PALOMINO MIGUEL</v>
      </c>
    </row>
    <row r="287" spans="1:48" x14ac:dyDescent="0.2">
      <c r="A287" s="172">
        <v>43760</v>
      </c>
      <c r="B287" s="173" t="s">
        <v>114</v>
      </c>
      <c r="C287" s="173" t="s">
        <v>102</v>
      </c>
      <c r="D287" s="173" t="s">
        <v>597</v>
      </c>
      <c r="E287" s="173" t="s">
        <v>722</v>
      </c>
      <c r="F287" s="173">
        <v>0</v>
      </c>
      <c r="G287" s="172">
        <v>43760</v>
      </c>
      <c r="H287" s="173" t="s">
        <v>1131</v>
      </c>
      <c r="I287" s="173" t="s">
        <v>1132</v>
      </c>
      <c r="J287" s="173" t="s">
        <v>70</v>
      </c>
      <c r="K287" s="173" t="s">
        <v>112</v>
      </c>
      <c r="L287" s="174" t="s">
        <v>72</v>
      </c>
      <c r="M287" s="175" t="s">
        <v>72</v>
      </c>
      <c r="N287" s="173" t="s">
        <v>73</v>
      </c>
      <c r="O287" s="176" t="s">
        <v>69</v>
      </c>
      <c r="P287" s="130" t="s">
        <v>447</v>
      </c>
      <c r="Q287" s="177" t="s">
        <v>93</v>
      </c>
      <c r="R287" s="178">
        <v>3.3570001</v>
      </c>
      <c r="S287" s="179">
        <v>-1</v>
      </c>
      <c r="T287" s="179">
        <v>-15</v>
      </c>
      <c r="U287" s="179">
        <v>-15</v>
      </c>
      <c r="V287" s="179">
        <v>-2.7000009999999999</v>
      </c>
      <c r="W287" s="179">
        <v>-17.700001</v>
      </c>
      <c r="X287" s="27">
        <f t="shared" si="110"/>
        <v>-50.3550015</v>
      </c>
      <c r="Y287" s="29">
        <f ca="1">VLOOKUP(Z287,CHOOSE({2,1},Fac_Fecha,Fac_OT),2,0)</f>
        <v>43859</v>
      </c>
      <c r="Z287" s="26" t="s">
        <v>2577</v>
      </c>
      <c r="AA287" s="28">
        <f t="shared" ca="1" si="109"/>
        <v>4237.5000100000007</v>
      </c>
      <c r="AB287" s="28">
        <f ca="1">SUMIF(Salida_OT,Facturacion!Z287,Salida_Suma)</f>
        <v>2772.2490367500004</v>
      </c>
      <c r="AC287" s="28">
        <f t="shared" ca="1" si="111"/>
        <v>175.42000000000002</v>
      </c>
      <c r="AD287" s="28">
        <f t="shared" ca="1" si="112"/>
        <v>50</v>
      </c>
      <c r="AE287" s="28">
        <f ca="1">(SUMIF(Asig_OT,Z287,Asig_Hora_Mec))*'Costos x MO'!$B$6*'Costos x MO'!$B$7</f>
        <v>55.325250000000004</v>
      </c>
      <c r="AF287" s="28">
        <f ca="1">SUMIF(Asig_OT,Z287,Asig_Hora_Pla)*'Costos x MO'!$B$4*'Costos x MO'!$B$7</f>
        <v>0</v>
      </c>
      <c r="AG287" s="28">
        <f ca="1">SUMIF(Asig_OT,Z287,Asig_paño_Pin)*'Costos x MO'!$B$5*'Costos x MO'!$B$7</f>
        <v>0</v>
      </c>
      <c r="AH287" s="28">
        <f ca="1">(SUMIF(Asig_OT,Z287,Asig_Terc_Pla)*'Costos x MO'!$B$7)+(SUMIF(Asig_OT,Z287,Asig_Terc_Pin)*'Costos x MO'!$B$7)</f>
        <v>0</v>
      </c>
      <c r="AI287" s="28">
        <f t="shared" ca="1" si="113"/>
        <v>3052.9942867500004</v>
      </c>
      <c r="AJ287" s="28">
        <f t="shared" ca="1" si="114"/>
        <v>1184.5057232500003</v>
      </c>
      <c r="AK287" s="31">
        <f t="shared" ca="1" si="115"/>
        <v>0.27952937355863278</v>
      </c>
      <c r="AL287" s="28" t="str">
        <f t="shared" ca="1" si="121"/>
        <v>C.C</v>
      </c>
      <c r="AM287" s="28" t="str">
        <f t="shared" ca="1" si="122"/>
        <v>MECANICA</v>
      </c>
      <c r="AN287" s="30" t="str">
        <f t="shared" ca="1" si="116"/>
        <v>January</v>
      </c>
      <c r="AO287" s="42">
        <f t="shared" ca="1" si="117"/>
        <v>2020</v>
      </c>
      <c r="AP287" s="42">
        <f t="shared" ca="1" si="118"/>
        <v>20</v>
      </c>
      <c r="AQ287" s="26">
        <v>1</v>
      </c>
      <c r="AR287" s="30">
        <f t="shared" ca="1" si="119"/>
        <v>43839</v>
      </c>
      <c r="AS287" s="30" t="str">
        <f t="shared" ca="1" si="123"/>
        <v>C7L-474</v>
      </c>
      <c r="AT287" s="26" t="str">
        <f t="shared" ca="1" si="124"/>
        <v>CITROEN</v>
      </c>
      <c r="AU287" s="26" t="str">
        <f t="shared" ca="1" si="125"/>
        <v>NAUVELLE</v>
      </c>
      <c r="AV287" s="26" t="str">
        <f t="shared" ca="1" si="120"/>
        <v>HAYOR LATOUR ALESSANDRA ISABEL</v>
      </c>
    </row>
    <row r="288" spans="1:48" x14ac:dyDescent="0.2">
      <c r="A288" s="172">
        <v>43760</v>
      </c>
      <c r="B288" s="173" t="s">
        <v>114</v>
      </c>
      <c r="C288" s="173" t="s">
        <v>102</v>
      </c>
      <c r="D288" s="173" t="s">
        <v>597</v>
      </c>
      <c r="E288" s="173" t="s">
        <v>722</v>
      </c>
      <c r="F288" s="173">
        <v>0</v>
      </c>
      <c r="G288" s="172">
        <v>43760</v>
      </c>
      <c r="H288" s="173" t="s">
        <v>1131</v>
      </c>
      <c r="I288" s="173" t="s">
        <v>1132</v>
      </c>
      <c r="J288" s="173" t="s">
        <v>115</v>
      </c>
      <c r="K288" s="173" t="s">
        <v>138</v>
      </c>
      <c r="L288" s="174" t="s">
        <v>72</v>
      </c>
      <c r="M288" s="175" t="s">
        <v>72</v>
      </c>
      <c r="N288" s="173" t="s">
        <v>73</v>
      </c>
      <c r="O288" s="176" t="s">
        <v>69</v>
      </c>
      <c r="P288" s="130" t="s">
        <v>96</v>
      </c>
      <c r="Q288" s="177" t="s">
        <v>93</v>
      </c>
      <c r="R288" s="178">
        <v>3.3570001</v>
      </c>
      <c r="S288" s="179">
        <v>1</v>
      </c>
      <c r="T288" s="179">
        <v>-28.728800000000007</v>
      </c>
      <c r="U288" s="179">
        <v>28.728800000000007</v>
      </c>
      <c r="V288" s="179">
        <v>5.1712019999999939</v>
      </c>
      <c r="W288" s="179">
        <v>33.900002000000001</v>
      </c>
      <c r="X288" s="27">
        <f t="shared" si="110"/>
        <v>96.442584472880029</v>
      </c>
      <c r="Y288" s="29">
        <f ca="1">VLOOKUP(Z288,CHOOSE({2,1},Fac_Fecha,Fac_OT),2,0)</f>
        <v>43861</v>
      </c>
      <c r="Z288" s="26" t="s">
        <v>2664</v>
      </c>
      <c r="AA288" s="28">
        <f t="shared" ca="1" si="109"/>
        <v>890.39997349999999</v>
      </c>
      <c r="AB288" s="28">
        <f ca="1">SUMIF(Salida_OT,Facturacion!Z288,Salida_Suma)</f>
        <v>0</v>
      </c>
      <c r="AC288" s="28">
        <f t="shared" ca="1" si="111"/>
        <v>0</v>
      </c>
      <c r="AD288" s="28">
        <f t="shared" ca="1" si="112"/>
        <v>0</v>
      </c>
      <c r="AE288" s="28">
        <f ca="1">(SUMIF(Asig_OT,Z288,Asig_Hora_Mec))*'Costos x MO'!$B$6*'Costos x MO'!$B$7</f>
        <v>0</v>
      </c>
      <c r="AF288" s="28">
        <f ca="1">SUMIF(Asig_OT,Z288,Asig_Hora_Pla)*'Costos x MO'!$B$4*'Costos x MO'!$B$7</f>
        <v>45.225000000000001</v>
      </c>
      <c r="AG288" s="28">
        <f ca="1">SUMIF(Asig_OT,Z288,Asig_paño_Pin)*'Costos x MO'!$B$5*'Costos x MO'!$B$7</f>
        <v>140.70000000000002</v>
      </c>
      <c r="AH288" s="28">
        <f ca="1">(SUMIF(Asig_OT,Z288,Asig_Terc_Pla)*'Costos x MO'!$B$7)+(SUMIF(Asig_OT,Z288,Asig_Terc_Pin)*'Costos x MO'!$B$7)</f>
        <v>0</v>
      </c>
      <c r="AI288" s="28">
        <f t="shared" ca="1" si="113"/>
        <v>185.92500000000001</v>
      </c>
      <c r="AJ288" s="28">
        <f t="shared" ca="1" si="114"/>
        <v>704.47497350000003</v>
      </c>
      <c r="AK288" s="31">
        <f t="shared" ca="1" si="115"/>
        <v>0.79118934688512776</v>
      </c>
      <c r="AL288" s="28" t="str">
        <f t="shared" ca="1" si="121"/>
        <v>C.C</v>
      </c>
      <c r="AM288" s="28" t="str">
        <f t="shared" ca="1" si="122"/>
        <v>LEVE</v>
      </c>
      <c r="AN288" s="30" t="str">
        <f t="shared" ca="1" si="116"/>
        <v>January</v>
      </c>
      <c r="AO288" s="42">
        <f t="shared" ca="1" si="117"/>
        <v>2020</v>
      </c>
      <c r="AP288" s="42">
        <f t="shared" ca="1" si="118"/>
        <v>9</v>
      </c>
      <c r="AQ288" s="26">
        <v>1</v>
      </c>
      <c r="AR288" s="30">
        <f t="shared" ca="1" si="119"/>
        <v>43852</v>
      </c>
      <c r="AS288" s="30" t="str">
        <f t="shared" ca="1" si="123"/>
        <v>C0X-378</v>
      </c>
      <c r="AT288" s="26" t="str">
        <f t="shared" ca="1" si="124"/>
        <v>MAZDA</v>
      </c>
      <c r="AU288" s="26" t="str">
        <f t="shared" ca="1" si="125"/>
        <v>CX-5</v>
      </c>
      <c r="AV288" s="26" t="str">
        <f t="shared" ca="1" si="120"/>
        <v>TEJADA CONCEPCION RICARDO</v>
      </c>
    </row>
    <row r="289" spans="1:48" x14ac:dyDescent="0.2">
      <c r="A289" s="172">
        <v>43761</v>
      </c>
      <c r="B289" s="173" t="s">
        <v>114</v>
      </c>
      <c r="C289" s="173" t="s">
        <v>102</v>
      </c>
      <c r="D289" s="173" t="s">
        <v>595</v>
      </c>
      <c r="E289" s="173" t="s">
        <v>1215</v>
      </c>
      <c r="F289" s="173">
        <v>0</v>
      </c>
      <c r="G289" s="172">
        <v>43761</v>
      </c>
      <c r="H289" s="173" t="s">
        <v>311</v>
      </c>
      <c r="I289" s="173" t="s">
        <v>312</v>
      </c>
      <c r="J289" s="173" t="s">
        <v>100</v>
      </c>
      <c r="K289" s="173" t="s">
        <v>101</v>
      </c>
      <c r="L289" s="174" t="s">
        <v>72</v>
      </c>
      <c r="M289" s="175" t="s">
        <v>102</v>
      </c>
      <c r="N289" s="173" t="s">
        <v>103</v>
      </c>
      <c r="O289" s="176" t="s">
        <v>72</v>
      </c>
      <c r="P289" s="130" t="s">
        <v>101</v>
      </c>
      <c r="Q289" s="177" t="s">
        <v>74</v>
      </c>
      <c r="R289" s="178">
        <v>3.355</v>
      </c>
      <c r="S289" s="179">
        <v>-1</v>
      </c>
      <c r="T289" s="179">
        <v>-60</v>
      </c>
      <c r="U289" s="179">
        <v>-60</v>
      </c>
      <c r="V289" s="179">
        <v>-10.800002999999997</v>
      </c>
      <c r="W289" s="179">
        <v>-70.800003000000004</v>
      </c>
      <c r="X289" s="27">
        <f t="shared" si="110"/>
        <v>-60</v>
      </c>
      <c r="Y289" s="29">
        <v>43876</v>
      </c>
      <c r="Z289" s="107" t="s">
        <v>901</v>
      </c>
      <c r="AA289" s="28">
        <f t="shared" ca="1" si="109"/>
        <v>1774.8218281274526</v>
      </c>
      <c r="AB289" s="28">
        <f ca="1">SUMIF(Salida_OT,Facturacion!Z289,Salida_Suma)</f>
        <v>0</v>
      </c>
      <c r="AC289" s="28">
        <f t="shared" ref="AC289:AC352" ca="1" si="126">SUMIFS(Compras_Suma,Compras_OT,Z289,Compras_Tipo,"RP")</f>
        <v>0</v>
      </c>
      <c r="AD289" s="28">
        <f t="shared" ref="AD289:AD352" ca="1" si="127">SUMIFS(Compras_Suma,Compras_OT,Z289,Compras_Tipo,"ST")</f>
        <v>99.825000000000003</v>
      </c>
      <c r="AE289" s="28">
        <f ca="1">(SUMIF(Asig_OT,Z289,Asig_Hora_Mec))*'Costos x MO'!$B$6*'Costos x MO'!$B$7</f>
        <v>0</v>
      </c>
      <c r="AF289" s="28">
        <f ca="1">SUMIF(Asig_OT,Z289,Asig_Hora_Pla)*'Costos x MO'!$B$4*'Costos x MO'!$B$7</f>
        <v>271.35000000000002</v>
      </c>
      <c r="AG289" s="28">
        <f ca="1">SUMIF(Asig_OT,Z289,Asig_paño_Pin)*'Costos x MO'!$B$5*'Costos x MO'!$B$7</f>
        <v>369.33750000000003</v>
      </c>
      <c r="AH289" s="28">
        <f ca="1">(SUMIF(Asig_OT,Z289,Asig_Terc_Pla)*'Costos x MO'!$B$7)+(SUMIF(Asig_OT,Z289,Asig_Terc_Pin)*'Costos x MO'!$B$7)</f>
        <v>0</v>
      </c>
      <c r="AI289" s="28">
        <f t="shared" ref="AI289:AI352" ca="1" si="128">SUM(AB289:AH289)</f>
        <v>740.51250000000005</v>
      </c>
      <c r="AJ289" s="28">
        <f t="shared" ref="AJ289:AJ352" ca="1" si="129">+AA289-AI289</f>
        <v>1034.3093281274525</v>
      </c>
      <c r="AK289" s="31">
        <f t="shared" ref="AK289:AK352" ca="1" si="130">IFERROR(AJ289/AA289,0)</f>
        <v>0.58276797802217317</v>
      </c>
      <c r="AL289" s="28" t="str">
        <f t="shared" ref="AL289:AL352" ca="1" si="131">IFERROR(VLOOKUP(Z289,Matriz,5,0),"S/TIPO")</f>
        <v>RIMAC</v>
      </c>
      <c r="AM289" s="28" t="str">
        <f t="shared" ref="AM289:AM352" ca="1" si="132">IFERROR(VLOOKUP(Z289,Matriz,17,0),"S/TIPO")</f>
        <v>GRAVE</v>
      </c>
      <c r="AN289" s="30" t="str">
        <f t="shared" ref="AN289:AN352" si="133">PROPER(TEXT(Y289,"mmmm"))</f>
        <v>February</v>
      </c>
      <c r="AO289" s="42">
        <f t="shared" ref="AO289:AO352" si="134">YEAR(Y289)</f>
        <v>2020</v>
      </c>
      <c r="AP289" s="42">
        <f t="shared" ref="AP289:AP352" ca="1" si="135">+Y289-AR289</f>
        <v>109</v>
      </c>
      <c r="AQ289" s="26">
        <v>1</v>
      </c>
      <c r="AR289" s="30">
        <f t="shared" ref="AR289:AR352" ca="1" si="136">VLOOKUP(Z289,Matriz2,3,0)</f>
        <v>43767</v>
      </c>
      <c r="AS289" s="30" t="str">
        <f t="shared" ref="AS289:AS320" ca="1" si="137">IFERROR(VLOOKUP(Z289,Matriz2,2,0),"S/PLACA")</f>
        <v>BEJ174</v>
      </c>
      <c r="AT289" s="26" t="str">
        <f t="shared" ref="AT289:AT352" ca="1" si="138">IFERROR(VLOOKUP(Z289,Matriz,3,0),"S/MARCA")</f>
        <v>VOLKSWAGEN</v>
      </c>
      <c r="AU289" s="26" t="str">
        <f t="shared" ref="AU289:AU352" ca="1" si="139">IFERROR(VLOOKUP(Z289,Matriz,4,0),"S/MODELO")</f>
        <v>GOL</v>
      </c>
      <c r="AV289" s="26" t="str">
        <f t="shared" ref="AV289:AV352" ca="1" si="140">VLOOKUP(Z289,Matriz2,5,0)</f>
        <v>RIMAC SEGUROS  Y REASEGUROS S.A</v>
      </c>
    </row>
    <row r="290" spans="1:48" x14ac:dyDescent="0.2">
      <c r="A290" s="172">
        <v>43761</v>
      </c>
      <c r="B290" s="173" t="s">
        <v>114</v>
      </c>
      <c r="C290" s="173" t="s">
        <v>102</v>
      </c>
      <c r="D290" s="173" t="s">
        <v>595</v>
      </c>
      <c r="E290" s="173" t="s">
        <v>1215</v>
      </c>
      <c r="F290" s="173">
        <v>0</v>
      </c>
      <c r="G290" s="172">
        <v>43761</v>
      </c>
      <c r="H290" s="173" t="s">
        <v>311</v>
      </c>
      <c r="I290" s="173" t="s">
        <v>312</v>
      </c>
      <c r="J290" s="173" t="s">
        <v>92</v>
      </c>
      <c r="K290" s="173" t="s">
        <v>113</v>
      </c>
      <c r="L290" s="174" t="s">
        <v>72</v>
      </c>
      <c r="M290" s="175" t="s">
        <v>102</v>
      </c>
      <c r="N290" s="173" t="s">
        <v>103</v>
      </c>
      <c r="O290" s="176" t="s">
        <v>69</v>
      </c>
      <c r="P290" s="130" t="s">
        <v>113</v>
      </c>
      <c r="Q290" s="177" t="s">
        <v>74</v>
      </c>
      <c r="R290" s="178">
        <v>3.355</v>
      </c>
      <c r="S290" s="179">
        <v>-1</v>
      </c>
      <c r="T290" s="179">
        <v>-330</v>
      </c>
      <c r="U290" s="179">
        <v>-330</v>
      </c>
      <c r="V290" s="179">
        <v>-59.399990000000031</v>
      </c>
      <c r="W290" s="179">
        <v>-389.39999000000006</v>
      </c>
      <c r="X290" s="27">
        <f t="shared" si="110"/>
        <v>-330</v>
      </c>
      <c r="Y290" s="29">
        <v>43876</v>
      </c>
      <c r="Z290" s="107" t="s">
        <v>1363</v>
      </c>
      <c r="AA290" s="28">
        <f t="shared" ca="1" si="109"/>
        <v>2127.15945165932</v>
      </c>
      <c r="AB290" s="28">
        <f ca="1">SUMIF(Salida_OT,Facturacion!Z290,Salida_Suma)</f>
        <v>0</v>
      </c>
      <c r="AC290" s="28">
        <f t="shared" ca="1" si="126"/>
        <v>0</v>
      </c>
      <c r="AD290" s="28">
        <f t="shared" ca="1" si="127"/>
        <v>824.5</v>
      </c>
      <c r="AE290" s="28">
        <f ca="1">(SUMIF(Asig_OT,Z290,Asig_Hora_Mec))*'Costos x MO'!$B$6*'Costos x MO'!$B$7</f>
        <v>0</v>
      </c>
      <c r="AF290" s="28">
        <f ca="1">SUMIF(Asig_OT,Z290,Asig_Hora_Pla)*'Costos x MO'!$B$4*'Costos x MO'!$B$7</f>
        <v>241.20000000000002</v>
      </c>
      <c r="AG290" s="28">
        <f ca="1">SUMIF(Asig_OT,Z290,Asig_paño_Pin)*'Costos x MO'!$B$5*'Costos x MO'!$B$7</f>
        <v>369.33750000000003</v>
      </c>
      <c r="AH290" s="28">
        <f ca="1">(SUMIF(Asig_OT,Z290,Asig_Terc_Pla)*'Costos x MO'!$B$7)+(SUMIF(Asig_OT,Z290,Asig_Terc_Pin)*'Costos x MO'!$B$7)</f>
        <v>0</v>
      </c>
      <c r="AI290" s="28">
        <f t="shared" ca="1" si="128"/>
        <v>1435.0375000000001</v>
      </c>
      <c r="AJ290" s="28">
        <f t="shared" ca="1" si="129"/>
        <v>692.12195165931985</v>
      </c>
      <c r="AK290" s="31">
        <f t="shared" ca="1" si="130"/>
        <v>0.3253737989032372</v>
      </c>
      <c r="AL290" s="28" t="str">
        <f t="shared" ca="1" si="131"/>
        <v>RIMAC</v>
      </c>
      <c r="AM290" s="28" t="str">
        <f t="shared" ca="1" si="132"/>
        <v>MEDIANO</v>
      </c>
      <c r="AN290" s="30" t="str">
        <f t="shared" si="133"/>
        <v>February</v>
      </c>
      <c r="AO290" s="42">
        <f t="shared" si="134"/>
        <v>2020</v>
      </c>
      <c r="AP290" s="42">
        <f t="shared" ca="1" si="135"/>
        <v>127</v>
      </c>
      <c r="AQ290" s="26">
        <v>1</v>
      </c>
      <c r="AR290" s="30">
        <f t="shared" ca="1" si="136"/>
        <v>43749</v>
      </c>
      <c r="AS290" s="30" t="str">
        <f t="shared" ca="1" si="137"/>
        <v>BEQ190</v>
      </c>
      <c r="AT290" s="26" t="str">
        <f t="shared" ca="1" si="138"/>
        <v>KIA</v>
      </c>
      <c r="AU290" s="26" t="str">
        <f t="shared" ca="1" si="139"/>
        <v>PICANTO</v>
      </c>
      <c r="AV290" s="26" t="str">
        <f t="shared" ca="1" si="140"/>
        <v>RENTAEQUIPOS LEASING PERU S.A.</v>
      </c>
    </row>
    <row r="291" spans="1:48" x14ac:dyDescent="0.2">
      <c r="A291" s="172">
        <v>43761</v>
      </c>
      <c r="B291" s="173" t="s">
        <v>114</v>
      </c>
      <c r="C291" s="173" t="s">
        <v>102</v>
      </c>
      <c r="D291" s="173" t="s">
        <v>595</v>
      </c>
      <c r="E291" s="173" t="s">
        <v>1215</v>
      </c>
      <c r="F291" s="173">
        <v>0</v>
      </c>
      <c r="G291" s="172">
        <v>43761</v>
      </c>
      <c r="H291" s="173" t="s">
        <v>311</v>
      </c>
      <c r="I291" s="173" t="s">
        <v>312</v>
      </c>
      <c r="J291" s="173" t="s">
        <v>70</v>
      </c>
      <c r="K291" s="173" t="s">
        <v>112</v>
      </c>
      <c r="L291" s="174" t="s">
        <v>72</v>
      </c>
      <c r="M291" s="175" t="s">
        <v>102</v>
      </c>
      <c r="N291" s="173" t="s">
        <v>103</v>
      </c>
      <c r="O291" s="176" t="s">
        <v>69</v>
      </c>
      <c r="P291" s="130" t="s">
        <v>447</v>
      </c>
      <c r="Q291" s="177" t="s">
        <v>74</v>
      </c>
      <c r="R291" s="178">
        <v>3.355</v>
      </c>
      <c r="S291" s="179">
        <v>-1</v>
      </c>
      <c r="T291" s="179">
        <v>-300</v>
      </c>
      <c r="U291" s="179">
        <v>-300</v>
      </c>
      <c r="V291" s="179">
        <v>-54</v>
      </c>
      <c r="W291" s="179">
        <v>-354</v>
      </c>
      <c r="X291" s="27">
        <f t="shared" si="110"/>
        <v>-300</v>
      </c>
      <c r="Y291" s="29">
        <v>43876</v>
      </c>
      <c r="Z291" s="107" t="s">
        <v>1406</v>
      </c>
      <c r="AA291" s="28">
        <f t="shared" ca="1" si="109"/>
        <v>1952.5680577000005</v>
      </c>
      <c r="AB291" s="28">
        <f ca="1">SUMIF(Salida_OT,Facturacion!Z291,Salida_Suma)</f>
        <v>0</v>
      </c>
      <c r="AC291" s="28">
        <f t="shared" ca="1" si="126"/>
        <v>0</v>
      </c>
      <c r="AD291" s="28">
        <f t="shared" ca="1" si="127"/>
        <v>0</v>
      </c>
      <c r="AE291" s="28">
        <f ca="1">(SUMIF(Asig_OT,Z291,Asig_Hora_Mec))*'Costos x MO'!$B$6*'Costos x MO'!$B$7</f>
        <v>0</v>
      </c>
      <c r="AF291" s="28">
        <f ca="1">SUMIF(Asig_OT,Z291,Asig_Hora_Pla)*'Costos x MO'!$B$4*'Costos x MO'!$B$7</f>
        <v>195.97499999999999</v>
      </c>
      <c r="AG291" s="28">
        <f ca="1">SUMIF(Asig_OT,Z291,Asig_paño_Pin)*'Costos x MO'!$B$5*'Costos x MO'!$B$7</f>
        <v>386.92500000000001</v>
      </c>
      <c r="AH291" s="28">
        <f ca="1">(SUMIF(Asig_OT,Z291,Asig_Terc_Pla)*'Costos x MO'!$B$7)+(SUMIF(Asig_OT,Z291,Asig_Terc_Pin)*'Costos x MO'!$B$7)</f>
        <v>0</v>
      </c>
      <c r="AI291" s="28">
        <f t="shared" ca="1" si="128"/>
        <v>582.9</v>
      </c>
      <c r="AJ291" s="28">
        <f t="shared" ca="1" si="129"/>
        <v>1369.6680577000006</v>
      </c>
      <c r="AK291" s="31">
        <f t="shared" ca="1" si="130"/>
        <v>0.7014700728605493</v>
      </c>
      <c r="AL291" s="28" t="str">
        <f t="shared" ca="1" si="131"/>
        <v>RIMAC</v>
      </c>
      <c r="AM291" s="28" t="str">
        <f t="shared" ca="1" si="132"/>
        <v>MEDIANO</v>
      </c>
      <c r="AN291" s="30" t="str">
        <f t="shared" si="133"/>
        <v>February</v>
      </c>
      <c r="AO291" s="42">
        <f t="shared" si="134"/>
        <v>2020</v>
      </c>
      <c r="AP291" s="42">
        <f t="shared" ca="1" si="135"/>
        <v>85</v>
      </c>
      <c r="AQ291" s="26">
        <v>1</v>
      </c>
      <c r="AR291" s="30">
        <f t="shared" ca="1" si="136"/>
        <v>43791</v>
      </c>
      <c r="AS291" s="30" t="str">
        <f t="shared" ca="1" si="137"/>
        <v>C4R002</v>
      </c>
      <c r="AT291" s="26" t="str">
        <f t="shared" ca="1" si="138"/>
        <v>KIA</v>
      </c>
      <c r="AU291" s="26" t="str">
        <f t="shared" ca="1" si="139"/>
        <v>SPORTAGE</v>
      </c>
      <c r="AV291" s="26" t="str">
        <f t="shared" ca="1" si="140"/>
        <v>SPRIND SAC</v>
      </c>
    </row>
    <row r="292" spans="1:48" x14ac:dyDescent="0.2">
      <c r="A292" s="172">
        <v>43761</v>
      </c>
      <c r="B292" s="173" t="s">
        <v>114</v>
      </c>
      <c r="C292" s="173" t="s">
        <v>102</v>
      </c>
      <c r="D292" s="173" t="s">
        <v>595</v>
      </c>
      <c r="E292" s="173" t="s">
        <v>1215</v>
      </c>
      <c r="F292" s="173">
        <v>0</v>
      </c>
      <c r="G292" s="172">
        <v>43761</v>
      </c>
      <c r="H292" s="173" t="s">
        <v>311</v>
      </c>
      <c r="I292" s="173" t="s">
        <v>312</v>
      </c>
      <c r="J292" s="173" t="s">
        <v>104</v>
      </c>
      <c r="K292" s="173" t="s">
        <v>105</v>
      </c>
      <c r="L292" s="174" t="s">
        <v>72</v>
      </c>
      <c r="M292" s="175" t="s">
        <v>102</v>
      </c>
      <c r="N292" s="173" t="s">
        <v>103</v>
      </c>
      <c r="O292" s="176" t="s">
        <v>69</v>
      </c>
      <c r="P292" s="173" t="s">
        <v>105</v>
      </c>
      <c r="Q292" s="177" t="s">
        <v>74</v>
      </c>
      <c r="R292" s="178">
        <v>3.355</v>
      </c>
      <c r="S292" s="179">
        <v>-1</v>
      </c>
      <c r="T292" s="179">
        <v>-210</v>
      </c>
      <c r="U292" s="179">
        <v>-210</v>
      </c>
      <c r="V292" s="179">
        <v>-37.799999999999997</v>
      </c>
      <c r="W292" s="179">
        <v>-247.8</v>
      </c>
      <c r="X292" s="27">
        <f t="shared" si="110"/>
        <v>-210</v>
      </c>
      <c r="Y292" s="29">
        <v>43876</v>
      </c>
      <c r="Z292" s="107" t="s">
        <v>1900</v>
      </c>
      <c r="AA292" s="28">
        <f t="shared" ref="AA292:AA355" ca="1" si="141">SUMIFS(Fac_Suma,Fac_OT,Z292,Fac_Fecha,Y292)</f>
        <v>1316.3760388999999</v>
      </c>
      <c r="AB292" s="28">
        <f ca="1">SUMIF(Salida_OT,Facturacion!Z292,Salida_Suma)</f>
        <v>0</v>
      </c>
      <c r="AC292" s="28">
        <f t="shared" ca="1" si="126"/>
        <v>0</v>
      </c>
      <c r="AD292" s="28">
        <f t="shared" ca="1" si="127"/>
        <v>0</v>
      </c>
      <c r="AE292" s="28">
        <f ca="1">(SUMIF(Asig_OT,Z292,Asig_Hora_Mec))*'Costos x MO'!$B$6*'Costos x MO'!$B$7</f>
        <v>0</v>
      </c>
      <c r="AF292" s="28">
        <f ca="1">SUMIF(Asig_OT,Z292,Asig_Hora_Pla)*'Costos x MO'!$B$4*'Costos x MO'!$B$7</f>
        <v>75.375</v>
      </c>
      <c r="AG292" s="28">
        <f ca="1">SUMIF(Asig_OT,Z292,Asig_paño_Pin)*'Costos x MO'!$B$5*'Costos x MO'!$B$7</f>
        <v>422.1</v>
      </c>
      <c r="AH292" s="28">
        <f ca="1">(SUMIF(Asig_OT,Z292,Asig_Terc_Pla)*'Costos x MO'!$B$7)+(SUMIF(Asig_OT,Z292,Asig_Terc_Pin)*'Costos x MO'!$B$7)</f>
        <v>0</v>
      </c>
      <c r="AI292" s="28">
        <f t="shared" ca="1" si="128"/>
        <v>497.47500000000002</v>
      </c>
      <c r="AJ292" s="28">
        <f t="shared" ca="1" si="129"/>
        <v>818.90103889999989</v>
      </c>
      <c r="AK292" s="31">
        <f t="shared" ca="1" si="130"/>
        <v>0.62208746946221849</v>
      </c>
      <c r="AL292" s="28" t="str">
        <f t="shared" ca="1" si="131"/>
        <v>RIMAC</v>
      </c>
      <c r="AM292" s="28" t="str">
        <f t="shared" ca="1" si="132"/>
        <v>LEVE</v>
      </c>
      <c r="AN292" s="30" t="str">
        <f t="shared" si="133"/>
        <v>February</v>
      </c>
      <c r="AO292" s="42">
        <f t="shared" si="134"/>
        <v>2020</v>
      </c>
      <c r="AP292" s="42">
        <f t="shared" ca="1" si="135"/>
        <v>82</v>
      </c>
      <c r="AQ292" s="26">
        <v>1</v>
      </c>
      <c r="AR292" s="30">
        <f t="shared" ca="1" si="136"/>
        <v>43794</v>
      </c>
      <c r="AS292" s="30" t="str">
        <f t="shared" ca="1" si="137"/>
        <v>BDW631</v>
      </c>
      <c r="AT292" s="26" t="str">
        <f t="shared" ca="1" si="138"/>
        <v>MAZDA</v>
      </c>
      <c r="AU292" s="26" t="str">
        <f t="shared" ca="1" si="139"/>
        <v>MAZDA3</v>
      </c>
      <c r="AV292" s="26" t="str">
        <f t="shared" ca="1" si="140"/>
        <v>RIMAC SEGUROS  Y REASEGUROS S.A</v>
      </c>
    </row>
    <row r="293" spans="1:48" x14ac:dyDescent="0.2">
      <c r="A293" s="172">
        <v>43767</v>
      </c>
      <c r="B293" s="173" t="s">
        <v>114</v>
      </c>
      <c r="C293" s="173" t="s">
        <v>102</v>
      </c>
      <c r="D293" s="173" t="s">
        <v>596</v>
      </c>
      <c r="E293" s="173" t="s">
        <v>723</v>
      </c>
      <c r="F293" s="173">
        <v>0</v>
      </c>
      <c r="G293" s="172">
        <v>43767</v>
      </c>
      <c r="H293" s="173" t="s">
        <v>557</v>
      </c>
      <c r="I293" s="173" t="s">
        <v>556</v>
      </c>
      <c r="J293" s="173" t="s">
        <v>97</v>
      </c>
      <c r="K293" s="173" t="s">
        <v>98</v>
      </c>
      <c r="L293" s="174" t="s">
        <v>72</v>
      </c>
      <c r="M293" s="175" t="s">
        <v>72</v>
      </c>
      <c r="N293" s="173" t="s">
        <v>73</v>
      </c>
      <c r="O293" s="176" t="s">
        <v>99</v>
      </c>
      <c r="P293" s="173" t="s">
        <v>98</v>
      </c>
      <c r="Q293" s="177" t="s">
        <v>93</v>
      </c>
      <c r="R293" s="178">
        <v>3.3510000999999998</v>
      </c>
      <c r="S293" s="179">
        <v>-1</v>
      </c>
      <c r="T293" s="179">
        <v>-457.25421</v>
      </c>
      <c r="U293" s="179">
        <v>-457.25421</v>
      </c>
      <c r="V293" s="179">
        <v>-82.305789999999902</v>
      </c>
      <c r="W293" s="179">
        <v>-539.55999999999995</v>
      </c>
      <c r="X293" s="27">
        <f t="shared" si="110"/>
        <v>-1532.258903435421</v>
      </c>
      <c r="Y293" s="29">
        <v>43879</v>
      </c>
      <c r="Z293" s="107" t="s">
        <v>1941</v>
      </c>
      <c r="AA293" s="28">
        <f t="shared" ca="1" si="141"/>
        <v>553.28401635</v>
      </c>
      <c r="AB293" s="28">
        <f ca="1">SUMIF(Salida_OT,Facturacion!Z293,Salida_Suma)</f>
        <v>0</v>
      </c>
      <c r="AC293" s="28">
        <f t="shared" ca="1" si="126"/>
        <v>0</v>
      </c>
      <c r="AD293" s="28">
        <f t="shared" ca="1" si="127"/>
        <v>0</v>
      </c>
      <c r="AE293" s="28">
        <f ca="1">(SUMIF(Asig_OT,Z293,Asig_Hora_Mec))*'Costos x MO'!$B$6*'Costos x MO'!$B$7</f>
        <v>0</v>
      </c>
      <c r="AF293" s="28">
        <f ca="1">SUMIF(Asig_OT,Z293,Asig_Hora_Pla)*'Costos x MO'!$B$4*'Costos x MO'!$B$7</f>
        <v>15.075000000000001</v>
      </c>
      <c r="AG293" s="28">
        <f ca="1">SUMIF(Asig_OT,Z293,Asig_paño_Pin)*'Costos x MO'!$B$5*'Costos x MO'!$B$7</f>
        <v>105.52500000000001</v>
      </c>
      <c r="AH293" s="28">
        <f ca="1">(SUMIF(Asig_OT,Z293,Asig_Terc_Pla)*'Costos x MO'!$B$7)+(SUMIF(Asig_OT,Z293,Asig_Terc_Pin)*'Costos x MO'!$B$7)</f>
        <v>0</v>
      </c>
      <c r="AI293" s="28">
        <f t="shared" ca="1" si="128"/>
        <v>120.60000000000001</v>
      </c>
      <c r="AJ293" s="28">
        <f t="shared" ca="1" si="129"/>
        <v>432.68401634999998</v>
      </c>
      <c r="AK293" s="31">
        <f t="shared" ca="1" si="130"/>
        <v>0.78202876563180868</v>
      </c>
      <c r="AL293" s="28" t="str">
        <f t="shared" ca="1" si="131"/>
        <v>RIMAC</v>
      </c>
      <c r="AM293" s="28" t="str">
        <f t="shared" ca="1" si="132"/>
        <v>LEVE</v>
      </c>
      <c r="AN293" s="30" t="str">
        <f t="shared" si="133"/>
        <v>February</v>
      </c>
      <c r="AO293" s="42">
        <f t="shared" si="134"/>
        <v>2020</v>
      </c>
      <c r="AP293" s="42">
        <f t="shared" ca="1" si="135"/>
        <v>70</v>
      </c>
      <c r="AQ293" s="26">
        <v>1</v>
      </c>
      <c r="AR293" s="30">
        <f t="shared" ca="1" si="136"/>
        <v>43809</v>
      </c>
      <c r="AS293" s="30" t="str">
        <f t="shared" ca="1" si="137"/>
        <v>EGX296</v>
      </c>
      <c r="AT293" s="26" t="str">
        <f t="shared" ca="1" si="138"/>
        <v>MAXUS</v>
      </c>
      <c r="AU293" s="26" t="str">
        <f t="shared" ca="1" si="139"/>
        <v>S8</v>
      </c>
      <c r="AV293" s="26" t="str">
        <f t="shared" ca="1" si="140"/>
        <v>RIMAC SEGUROS  Y REASEGUROS S.A</v>
      </c>
    </row>
    <row r="294" spans="1:48" x14ac:dyDescent="0.2">
      <c r="A294" s="172">
        <v>43767</v>
      </c>
      <c r="B294" s="173" t="s">
        <v>114</v>
      </c>
      <c r="C294" s="173" t="s">
        <v>102</v>
      </c>
      <c r="D294" s="173" t="s">
        <v>596</v>
      </c>
      <c r="E294" s="173" t="s">
        <v>723</v>
      </c>
      <c r="F294" s="173">
        <v>0</v>
      </c>
      <c r="G294" s="172">
        <v>43767</v>
      </c>
      <c r="H294" s="173" t="s">
        <v>557</v>
      </c>
      <c r="I294" s="173" t="s">
        <v>556</v>
      </c>
      <c r="J294" s="173" t="s">
        <v>100</v>
      </c>
      <c r="K294" s="173" t="s">
        <v>101</v>
      </c>
      <c r="L294" s="174" t="s">
        <v>72</v>
      </c>
      <c r="M294" s="175" t="s">
        <v>72</v>
      </c>
      <c r="N294" s="173" t="s">
        <v>73</v>
      </c>
      <c r="O294" s="176" t="s">
        <v>72</v>
      </c>
      <c r="P294" s="130" t="s">
        <v>101</v>
      </c>
      <c r="Q294" s="177" t="s">
        <v>93</v>
      </c>
      <c r="R294" s="178">
        <v>3.3510000999999998</v>
      </c>
      <c r="S294" s="179">
        <v>-1</v>
      </c>
      <c r="T294" s="179">
        <v>-480</v>
      </c>
      <c r="U294" s="179">
        <v>-480</v>
      </c>
      <c r="V294" s="179">
        <v>-86.400020000000083</v>
      </c>
      <c r="W294" s="179">
        <v>-566.40002000000004</v>
      </c>
      <c r="X294" s="27">
        <f t="shared" si="110"/>
        <v>-1608.4800479999999</v>
      </c>
      <c r="Y294" s="29">
        <v>43876</v>
      </c>
      <c r="Z294" s="107" t="s">
        <v>1932</v>
      </c>
      <c r="AA294" s="28">
        <f t="shared" ca="1" si="141"/>
        <v>1267.30803745</v>
      </c>
      <c r="AB294" s="28">
        <f ca="1">SUMIF(Salida_OT,Facturacion!Z294,Salida_Suma)</f>
        <v>0</v>
      </c>
      <c r="AC294" s="28">
        <f t="shared" ca="1" si="126"/>
        <v>0</v>
      </c>
      <c r="AD294" s="28">
        <f t="shared" ca="1" si="127"/>
        <v>59.32</v>
      </c>
      <c r="AE294" s="28">
        <f ca="1">(SUMIF(Asig_OT,Z294,Asig_Hora_Mec))*'Costos x MO'!$B$6*'Costos x MO'!$B$7</f>
        <v>0</v>
      </c>
      <c r="AF294" s="28">
        <f ca="1">SUMIF(Asig_OT,Z294,Asig_Hora_Pla)*'Costos x MO'!$B$4*'Costos x MO'!$B$7</f>
        <v>105.52500000000001</v>
      </c>
      <c r="AG294" s="28">
        <f ca="1">SUMIF(Asig_OT,Z294,Asig_paño_Pin)*'Costos x MO'!$B$5*'Costos x MO'!$B$7</f>
        <v>386.92500000000001</v>
      </c>
      <c r="AH294" s="28">
        <f ca="1">(SUMIF(Asig_OT,Z294,Asig_Terc_Pla)*'Costos x MO'!$B$7)+(SUMIF(Asig_OT,Z294,Asig_Terc_Pin)*'Costos x MO'!$B$7)</f>
        <v>0</v>
      </c>
      <c r="AI294" s="28">
        <f t="shared" ca="1" si="128"/>
        <v>551.77</v>
      </c>
      <c r="AJ294" s="28">
        <f t="shared" ca="1" si="129"/>
        <v>715.53803745000005</v>
      </c>
      <c r="AK294" s="31">
        <f t="shared" ca="1" si="130"/>
        <v>0.56461256167029605</v>
      </c>
      <c r="AL294" s="28" t="str">
        <f t="shared" ca="1" si="131"/>
        <v>RIMAC</v>
      </c>
      <c r="AM294" s="28" t="str">
        <f t="shared" ca="1" si="132"/>
        <v>LEVE</v>
      </c>
      <c r="AN294" s="30" t="str">
        <f t="shared" si="133"/>
        <v>February</v>
      </c>
      <c r="AO294" s="42">
        <f t="shared" si="134"/>
        <v>2020</v>
      </c>
      <c r="AP294" s="42">
        <f t="shared" ca="1" si="135"/>
        <v>72</v>
      </c>
      <c r="AQ294" s="26">
        <v>1</v>
      </c>
      <c r="AR294" s="30">
        <f t="shared" ca="1" si="136"/>
        <v>43804</v>
      </c>
      <c r="AS294" s="30" t="str">
        <f t="shared" ca="1" si="137"/>
        <v>BFB527</v>
      </c>
      <c r="AT294" s="26" t="str">
        <f t="shared" ca="1" si="138"/>
        <v>SUZUKI</v>
      </c>
      <c r="AU294" s="26" t="str">
        <f t="shared" ca="1" si="139"/>
        <v>BALENO</v>
      </c>
      <c r="AV294" s="26" t="str">
        <f t="shared" ca="1" si="140"/>
        <v>RIMAC SEGUROS  Y REASEGUROS S.A</v>
      </c>
    </row>
    <row r="295" spans="1:48" x14ac:dyDescent="0.2">
      <c r="A295" s="172">
        <v>43767</v>
      </c>
      <c r="B295" s="173" t="s">
        <v>114</v>
      </c>
      <c r="C295" s="173" t="s">
        <v>102</v>
      </c>
      <c r="D295" s="173" t="s">
        <v>596</v>
      </c>
      <c r="E295" s="173" t="s">
        <v>723</v>
      </c>
      <c r="F295" s="173">
        <v>0</v>
      </c>
      <c r="G295" s="172">
        <v>43767</v>
      </c>
      <c r="H295" s="173" t="s">
        <v>557</v>
      </c>
      <c r="I295" s="173" t="s">
        <v>556</v>
      </c>
      <c r="J295" s="173" t="s">
        <v>92</v>
      </c>
      <c r="K295" s="173" t="s">
        <v>113</v>
      </c>
      <c r="L295" s="174" t="s">
        <v>72</v>
      </c>
      <c r="M295" s="175" t="s">
        <v>72</v>
      </c>
      <c r="N295" s="173" t="s">
        <v>73</v>
      </c>
      <c r="O295" s="176" t="s">
        <v>69</v>
      </c>
      <c r="P295" s="130" t="s">
        <v>113</v>
      </c>
      <c r="Q295" s="177" t="s">
        <v>93</v>
      </c>
      <c r="R295" s="178">
        <v>3.3510000999999998</v>
      </c>
      <c r="S295" s="179">
        <v>-1</v>
      </c>
      <c r="T295" s="179">
        <v>-95</v>
      </c>
      <c r="U295" s="179">
        <v>-95</v>
      </c>
      <c r="V295" s="179">
        <v>-17.100000000000001</v>
      </c>
      <c r="W295" s="179">
        <v>-112.1</v>
      </c>
      <c r="X295" s="27">
        <f t="shared" si="110"/>
        <v>-318.3450095</v>
      </c>
      <c r="Y295" s="29">
        <f ca="1">VLOOKUP(Z295,CHOOSE({2,1},Fac_Fecha,Fac_OT),2,0)</f>
        <v>43862</v>
      </c>
      <c r="Z295" s="26" t="s">
        <v>2670</v>
      </c>
      <c r="AA295" s="28">
        <f t="shared" ca="1" si="141"/>
        <v>452.38398659999996</v>
      </c>
      <c r="AB295" s="28">
        <f ca="1">SUMIF(Salida_OT,Facturacion!Z295,Salida_Suma)</f>
        <v>0</v>
      </c>
      <c r="AC295" s="28">
        <f t="shared" ca="1" si="126"/>
        <v>0</v>
      </c>
      <c r="AD295" s="28">
        <f t="shared" ca="1" si="127"/>
        <v>0</v>
      </c>
      <c r="AE295" s="28">
        <f ca="1">(SUMIF(Asig_OT,Z295,Asig_Hora_Mec))*'Costos x MO'!$B$6*'Costos x MO'!$B$7</f>
        <v>0</v>
      </c>
      <c r="AF295" s="28">
        <f ca="1">SUMIF(Asig_OT,Z295,Asig_Hora_Pla)*'Costos x MO'!$B$4*'Costos x MO'!$B$7</f>
        <v>30.150000000000002</v>
      </c>
      <c r="AG295" s="28">
        <f ca="1">SUMIF(Asig_OT,Z295,Asig_paño_Pin)*'Costos x MO'!$B$5*'Costos x MO'!$B$7</f>
        <v>70.350000000000009</v>
      </c>
      <c r="AH295" s="28">
        <f ca="1">(SUMIF(Asig_OT,Z295,Asig_Terc_Pla)*'Costos x MO'!$B$7)+(SUMIF(Asig_OT,Z295,Asig_Terc_Pin)*'Costos x MO'!$B$7)</f>
        <v>0</v>
      </c>
      <c r="AI295" s="28">
        <f t="shared" ca="1" si="128"/>
        <v>100.50000000000001</v>
      </c>
      <c r="AJ295" s="28">
        <f t="shared" ca="1" si="129"/>
        <v>351.88398659999996</v>
      </c>
      <c r="AK295" s="31">
        <f t="shared" ca="1" si="130"/>
        <v>0.77784359531527236</v>
      </c>
      <c r="AL295" s="28" t="str">
        <f t="shared" ca="1" si="131"/>
        <v>RIMAC</v>
      </c>
      <c r="AM295" s="28" t="str">
        <f t="shared" ca="1" si="132"/>
        <v>LEVE</v>
      </c>
      <c r="AN295" s="30" t="str">
        <f t="shared" ca="1" si="133"/>
        <v>February</v>
      </c>
      <c r="AO295" s="42">
        <f t="shared" ca="1" si="134"/>
        <v>2020</v>
      </c>
      <c r="AP295" s="42">
        <f t="shared" ca="1" si="135"/>
        <v>10</v>
      </c>
      <c r="AQ295" s="26">
        <v>1</v>
      </c>
      <c r="AR295" s="30">
        <f t="shared" ca="1" si="136"/>
        <v>43852</v>
      </c>
      <c r="AS295" s="30" t="str">
        <f t="shared" ca="1" si="137"/>
        <v>AYQ680</v>
      </c>
      <c r="AT295" s="26" t="str">
        <f t="shared" ca="1" si="138"/>
        <v>HYUNDAI</v>
      </c>
      <c r="AU295" s="26" t="str">
        <f t="shared" ca="1" si="139"/>
        <v>ACCENT</v>
      </c>
      <c r="AV295" s="26" t="str">
        <f t="shared" ca="1" si="140"/>
        <v>RIMAC SEGUROS  Y REASEGUROS S.A</v>
      </c>
    </row>
    <row r="296" spans="1:48" x14ac:dyDescent="0.2">
      <c r="A296" s="172">
        <v>43767</v>
      </c>
      <c r="B296" s="173" t="s">
        <v>114</v>
      </c>
      <c r="C296" s="173" t="s">
        <v>102</v>
      </c>
      <c r="D296" s="173" t="s">
        <v>596</v>
      </c>
      <c r="E296" s="173" t="s">
        <v>723</v>
      </c>
      <c r="F296" s="173">
        <v>0</v>
      </c>
      <c r="G296" s="172">
        <v>43767</v>
      </c>
      <c r="H296" s="173" t="s">
        <v>557</v>
      </c>
      <c r="I296" s="173" t="s">
        <v>556</v>
      </c>
      <c r="J296" s="173" t="s">
        <v>70</v>
      </c>
      <c r="K296" s="173" t="s">
        <v>112</v>
      </c>
      <c r="L296" s="174" t="s">
        <v>72</v>
      </c>
      <c r="M296" s="175" t="s">
        <v>72</v>
      </c>
      <c r="N296" s="173" t="s">
        <v>73</v>
      </c>
      <c r="O296" s="176" t="s">
        <v>69</v>
      </c>
      <c r="P296" s="130" t="s">
        <v>447</v>
      </c>
      <c r="Q296" s="177" t="s">
        <v>93</v>
      </c>
      <c r="R296" s="178">
        <v>3.3510000999999998</v>
      </c>
      <c r="S296" s="179">
        <v>-1</v>
      </c>
      <c r="T296" s="179">
        <v>-60</v>
      </c>
      <c r="U296" s="179">
        <v>-60</v>
      </c>
      <c r="V296" s="179">
        <v>-10.800002999999997</v>
      </c>
      <c r="W296" s="179">
        <v>-70.800003000000004</v>
      </c>
      <c r="X296" s="27">
        <f t="shared" si="110"/>
        <v>-201.06000599999999</v>
      </c>
      <c r="Y296" s="29">
        <f ca="1">VLOOKUP(Z296,CHOOSE({2,1},Fac_Fecha,Fac_OT),2,0)</f>
        <v>43862</v>
      </c>
      <c r="Z296" s="26" t="s">
        <v>2672</v>
      </c>
      <c r="AA296" s="28">
        <f t="shared" ca="1" si="141"/>
        <v>1713.31994925</v>
      </c>
      <c r="AB296" s="28">
        <f ca="1">SUMIF(Salida_OT,Facturacion!Z296,Salida_Suma)</f>
        <v>0</v>
      </c>
      <c r="AC296" s="28">
        <f t="shared" ca="1" si="126"/>
        <v>0</v>
      </c>
      <c r="AD296" s="28">
        <f t="shared" ca="1" si="127"/>
        <v>0</v>
      </c>
      <c r="AE296" s="28">
        <f ca="1">(SUMIF(Asig_OT,Z296,Asig_Hora_Mec))*'Costos x MO'!$B$6*'Costos x MO'!$B$7</f>
        <v>0</v>
      </c>
      <c r="AF296" s="28">
        <f ca="1">SUMIF(Asig_OT,Z296,Asig_Hora_Pla)*'Costos x MO'!$B$4*'Costos x MO'!$B$7</f>
        <v>120.60000000000001</v>
      </c>
      <c r="AG296" s="28">
        <f ca="1">SUMIF(Asig_OT,Z296,Asig_paño_Pin)*'Costos x MO'!$B$5*'Costos x MO'!$B$7</f>
        <v>175.875</v>
      </c>
      <c r="AH296" s="28">
        <f ca="1">(SUMIF(Asig_OT,Z296,Asig_Terc_Pla)*'Costos x MO'!$B$7)+(SUMIF(Asig_OT,Z296,Asig_Terc_Pin)*'Costos x MO'!$B$7)</f>
        <v>0</v>
      </c>
      <c r="AI296" s="28">
        <f t="shared" ca="1" si="128"/>
        <v>296.47500000000002</v>
      </c>
      <c r="AJ296" s="28">
        <f t="shared" ca="1" si="129"/>
        <v>1416.8449492499999</v>
      </c>
      <c r="AK296" s="31">
        <f t="shared" ca="1" si="130"/>
        <v>0.82695876498153131</v>
      </c>
      <c r="AL296" s="28" t="str">
        <f t="shared" ca="1" si="131"/>
        <v>RIMAC</v>
      </c>
      <c r="AM296" s="28" t="str">
        <f t="shared" ca="1" si="132"/>
        <v>MEDIANO</v>
      </c>
      <c r="AN296" s="30" t="str">
        <f t="shared" ca="1" si="133"/>
        <v>February</v>
      </c>
      <c r="AO296" s="42">
        <f t="shared" ca="1" si="134"/>
        <v>2020</v>
      </c>
      <c r="AP296" s="42">
        <f t="shared" ca="1" si="135"/>
        <v>10</v>
      </c>
      <c r="AQ296" s="26">
        <v>1</v>
      </c>
      <c r="AR296" s="30">
        <f t="shared" ca="1" si="136"/>
        <v>43852</v>
      </c>
      <c r="AS296" s="30" t="str">
        <f t="shared" ca="1" si="137"/>
        <v>AYQ680</v>
      </c>
      <c r="AT296" s="26" t="str">
        <f t="shared" ca="1" si="138"/>
        <v>HYUNDAI</v>
      </c>
      <c r="AU296" s="26" t="str">
        <f t="shared" ca="1" si="139"/>
        <v>ACCENT</v>
      </c>
      <c r="AV296" s="26" t="str">
        <f t="shared" ca="1" si="140"/>
        <v>RIMAC SEGUROS  Y REASEGUROS S.A</v>
      </c>
    </row>
    <row r="297" spans="1:48" x14ac:dyDescent="0.2">
      <c r="A297" s="172">
        <v>43767</v>
      </c>
      <c r="B297" s="173" t="s">
        <v>114</v>
      </c>
      <c r="C297" s="173" t="s">
        <v>102</v>
      </c>
      <c r="D297" s="173" t="s">
        <v>596</v>
      </c>
      <c r="E297" s="173" t="s">
        <v>723</v>
      </c>
      <c r="F297" s="173">
        <v>0</v>
      </c>
      <c r="G297" s="172">
        <v>43767</v>
      </c>
      <c r="H297" s="173" t="s">
        <v>557</v>
      </c>
      <c r="I297" s="173" t="s">
        <v>556</v>
      </c>
      <c r="J297" s="173" t="s">
        <v>95</v>
      </c>
      <c r="K297" s="173" t="s">
        <v>96</v>
      </c>
      <c r="L297" s="174" t="s">
        <v>72</v>
      </c>
      <c r="M297" s="175" t="s">
        <v>72</v>
      </c>
      <c r="N297" s="173" t="s">
        <v>73</v>
      </c>
      <c r="O297" s="176" t="s">
        <v>69</v>
      </c>
      <c r="P297" s="130" t="s">
        <v>96</v>
      </c>
      <c r="Q297" s="177" t="s">
        <v>93</v>
      </c>
      <c r="R297" s="178">
        <v>3.3510000999999998</v>
      </c>
      <c r="S297" s="179">
        <v>1</v>
      </c>
      <c r="T297" s="179">
        <v>-456.98309</v>
      </c>
      <c r="U297" s="179">
        <v>456.98309</v>
      </c>
      <c r="V297" s="179">
        <v>82.257019999999969</v>
      </c>
      <c r="W297" s="179">
        <v>539.24010999999996</v>
      </c>
      <c r="X297" s="27">
        <f t="shared" si="110"/>
        <v>1531.350380288309</v>
      </c>
      <c r="Y297" s="29">
        <f ca="1">VLOOKUP(Z297,CHOOSE({2,1},Fac_Fecha,Fac_OT),2,0)</f>
        <v>43864</v>
      </c>
      <c r="Z297" s="26" t="s">
        <v>2693</v>
      </c>
      <c r="AA297" s="28">
        <f t="shared" ca="1" si="141"/>
        <v>6086.5847843501606</v>
      </c>
      <c r="AB297" s="28">
        <f ca="1">SUMIF(Salida_OT,Facturacion!Z297,Salida_Suma)</f>
        <v>0</v>
      </c>
      <c r="AC297" s="28">
        <f t="shared" ca="1" si="126"/>
        <v>0</v>
      </c>
      <c r="AD297" s="28">
        <f t="shared" ca="1" si="127"/>
        <v>59.32</v>
      </c>
      <c r="AE297" s="28">
        <f ca="1">(SUMIF(Asig_OT,Z297,Asig_Hora_Mec))*'Costos x MO'!$B$6*'Costos x MO'!$B$7</f>
        <v>15.075000000000001</v>
      </c>
      <c r="AF297" s="28">
        <f ca="1">SUMIF(Asig_OT,Z297,Asig_Hora_Pla)*'Costos x MO'!$B$4*'Costos x MO'!$B$7</f>
        <v>0</v>
      </c>
      <c r="AG297" s="28">
        <f ca="1">SUMIF(Asig_OT,Z297,Asig_paño_Pin)*'Costos x MO'!$B$5*'Costos x MO'!$B$7</f>
        <v>0</v>
      </c>
      <c r="AH297" s="28">
        <f ca="1">(SUMIF(Asig_OT,Z297,Asig_Terc_Pla)*'Costos x MO'!$B$7)+(SUMIF(Asig_OT,Z297,Asig_Terc_Pin)*'Costos x MO'!$B$7)</f>
        <v>0</v>
      </c>
      <c r="AI297" s="28">
        <f t="shared" ca="1" si="128"/>
        <v>74.394999999999996</v>
      </c>
      <c r="AJ297" s="28">
        <f t="shared" ca="1" si="129"/>
        <v>6012.1897843501602</v>
      </c>
      <c r="AK297" s="31">
        <f t="shared" ca="1" si="130"/>
        <v>0.98777721782644268</v>
      </c>
      <c r="AL297" s="28" t="str">
        <f t="shared" ca="1" si="131"/>
        <v>C.C</v>
      </c>
      <c r="AM297" s="28" t="str">
        <f t="shared" ca="1" si="132"/>
        <v>MECANICA</v>
      </c>
      <c r="AN297" s="30" t="str">
        <f t="shared" ca="1" si="133"/>
        <v>February</v>
      </c>
      <c r="AO297" s="42">
        <f t="shared" ca="1" si="134"/>
        <v>2020</v>
      </c>
      <c r="AP297" s="42">
        <f t="shared" ca="1" si="135"/>
        <v>10</v>
      </c>
      <c r="AQ297" s="26">
        <v>1</v>
      </c>
      <c r="AR297" s="30">
        <f t="shared" ca="1" si="136"/>
        <v>43854</v>
      </c>
      <c r="AS297" s="30" t="str">
        <f t="shared" ca="1" si="137"/>
        <v>F8V681</v>
      </c>
      <c r="AT297" s="26" t="str">
        <f t="shared" ca="1" si="138"/>
        <v>DODGE</v>
      </c>
      <c r="AU297" s="26" t="str">
        <f t="shared" ca="1" si="139"/>
        <v>JOURNEY</v>
      </c>
      <c r="AV297" s="26" t="str">
        <f t="shared" ca="1" si="140"/>
        <v>CONSULTING CENTER SAC</v>
      </c>
    </row>
    <row r="298" spans="1:48" x14ac:dyDescent="0.2">
      <c r="A298" s="172">
        <v>43767</v>
      </c>
      <c r="B298" s="173" t="s">
        <v>114</v>
      </c>
      <c r="C298" s="173" t="s">
        <v>102</v>
      </c>
      <c r="D298" s="173" t="s">
        <v>596</v>
      </c>
      <c r="E298" s="173" t="s">
        <v>723</v>
      </c>
      <c r="F298" s="173">
        <v>0</v>
      </c>
      <c r="G298" s="172">
        <v>43767</v>
      </c>
      <c r="H298" s="173" t="s">
        <v>557</v>
      </c>
      <c r="I298" s="173" t="s">
        <v>556</v>
      </c>
      <c r="J298" s="173" t="s">
        <v>104</v>
      </c>
      <c r="K298" s="173" t="s">
        <v>105</v>
      </c>
      <c r="L298" s="174" t="s">
        <v>72</v>
      </c>
      <c r="M298" s="175" t="s">
        <v>72</v>
      </c>
      <c r="N298" s="173" t="s">
        <v>73</v>
      </c>
      <c r="O298" s="176" t="s">
        <v>69</v>
      </c>
      <c r="P298" s="173" t="s">
        <v>105</v>
      </c>
      <c r="Q298" s="177" t="s">
        <v>93</v>
      </c>
      <c r="R298" s="178">
        <v>3.3510000999999998</v>
      </c>
      <c r="S298" s="179">
        <v>-1</v>
      </c>
      <c r="T298" s="179">
        <v>0</v>
      </c>
      <c r="U298" s="179">
        <v>0</v>
      </c>
      <c r="V298" s="179">
        <v>0</v>
      </c>
      <c r="W298" s="179">
        <v>0</v>
      </c>
      <c r="X298" s="27">
        <f t="shared" si="110"/>
        <v>0</v>
      </c>
      <c r="Y298" s="29">
        <f ca="1">VLOOKUP(Z298,CHOOSE({2,1},Fac_Fecha,Fac_OT),2,0)</f>
        <v>43865</v>
      </c>
      <c r="Z298" s="26" t="s">
        <v>2661</v>
      </c>
      <c r="AA298" s="28">
        <f t="shared" ca="1" si="141"/>
        <v>540.67798899999991</v>
      </c>
      <c r="AB298" s="28">
        <f ca="1">SUMIF(Salida_OT,Facturacion!Z298,Salida_Suma)</f>
        <v>0</v>
      </c>
      <c r="AC298" s="28">
        <f t="shared" ca="1" si="126"/>
        <v>0</v>
      </c>
      <c r="AD298" s="28">
        <f t="shared" ca="1" si="127"/>
        <v>0</v>
      </c>
      <c r="AE298" s="28">
        <f ca="1">(SUMIF(Asig_OT,Z298,Asig_Hora_Mec))*'Costos x MO'!$B$6*'Costos x MO'!$B$7</f>
        <v>0</v>
      </c>
      <c r="AF298" s="28">
        <f ca="1">SUMIF(Asig_OT,Z298,Asig_Hora_Pla)*'Costos x MO'!$B$4*'Costos x MO'!$B$7</f>
        <v>15.075000000000001</v>
      </c>
      <c r="AG298" s="28">
        <f ca="1">SUMIF(Asig_OT,Z298,Asig_paño_Pin)*'Costos x MO'!$B$5*'Costos x MO'!$B$7</f>
        <v>70.350000000000009</v>
      </c>
      <c r="AH298" s="28">
        <f ca="1">(SUMIF(Asig_OT,Z298,Asig_Terc_Pla)*'Costos x MO'!$B$7)+(SUMIF(Asig_OT,Z298,Asig_Terc_Pin)*'Costos x MO'!$B$7)</f>
        <v>0</v>
      </c>
      <c r="AI298" s="28">
        <f t="shared" ca="1" si="128"/>
        <v>85.425000000000011</v>
      </c>
      <c r="AJ298" s="28">
        <f t="shared" ca="1" si="129"/>
        <v>455.2529889999999</v>
      </c>
      <c r="AK298" s="31">
        <f t="shared" ca="1" si="130"/>
        <v>0.84200392518660483</v>
      </c>
      <c r="AL298" s="28" t="str">
        <f t="shared" ca="1" si="131"/>
        <v>C.C</v>
      </c>
      <c r="AM298" s="28" t="str">
        <f t="shared" ca="1" si="132"/>
        <v>LEVE</v>
      </c>
      <c r="AN298" s="30" t="str">
        <f t="shared" ca="1" si="133"/>
        <v>February</v>
      </c>
      <c r="AO298" s="42">
        <f t="shared" ca="1" si="134"/>
        <v>2020</v>
      </c>
      <c r="AP298" s="42">
        <f t="shared" ca="1" si="135"/>
        <v>14</v>
      </c>
      <c r="AQ298" s="26">
        <v>1</v>
      </c>
      <c r="AR298" s="30">
        <f t="shared" ca="1" si="136"/>
        <v>43851</v>
      </c>
      <c r="AS298" s="30" t="str">
        <f t="shared" ca="1" si="137"/>
        <v>AUO555</v>
      </c>
      <c r="AT298" s="26" t="str">
        <f t="shared" ca="1" si="138"/>
        <v>HYUNDAI</v>
      </c>
      <c r="AU298" s="26" t="str">
        <f t="shared" ca="1" si="139"/>
        <v>TUCSON</v>
      </c>
      <c r="AV298" s="26" t="str">
        <f t="shared" ca="1" si="140"/>
        <v>CERAMICOS BARCELONA SAC</v>
      </c>
    </row>
    <row r="299" spans="1:48" x14ac:dyDescent="0.2">
      <c r="A299" s="172">
        <v>43769</v>
      </c>
      <c r="B299" s="173" t="s">
        <v>720</v>
      </c>
      <c r="C299" s="173" t="s">
        <v>102</v>
      </c>
      <c r="D299" s="173" t="s">
        <v>597</v>
      </c>
      <c r="E299" s="173" t="s">
        <v>1216</v>
      </c>
      <c r="F299" s="173">
        <v>0</v>
      </c>
      <c r="G299" s="172">
        <v>43769</v>
      </c>
      <c r="H299" s="173" t="s">
        <v>1131</v>
      </c>
      <c r="I299" s="173" t="s">
        <v>1132</v>
      </c>
      <c r="J299" s="173" t="s">
        <v>120</v>
      </c>
      <c r="K299" s="173" t="s">
        <v>101</v>
      </c>
      <c r="L299" s="174" t="s">
        <v>72</v>
      </c>
      <c r="M299" s="175" t="s">
        <v>72</v>
      </c>
      <c r="N299" s="173" t="s">
        <v>73</v>
      </c>
      <c r="O299" s="176" t="s">
        <v>72</v>
      </c>
      <c r="P299" s="130" t="s">
        <v>101</v>
      </c>
      <c r="Q299" s="177" t="s">
        <v>93</v>
      </c>
      <c r="R299" s="178">
        <v>3.3490000000000002</v>
      </c>
      <c r="S299" s="179">
        <v>1</v>
      </c>
      <c r="T299" s="179">
        <v>57.450001</v>
      </c>
      <c r="U299" s="179">
        <v>57.450001</v>
      </c>
      <c r="V299" s="179">
        <v>10.34</v>
      </c>
      <c r="W299" s="179">
        <v>67.790001000000004</v>
      </c>
      <c r="X299" s="27">
        <f t="shared" si="110"/>
        <v>192.40005334900002</v>
      </c>
      <c r="Y299" s="29">
        <f ca="1">VLOOKUP(Z299,CHOOSE({2,1},Fac_Fecha,Fac_OT),2,0)</f>
        <v>43865</v>
      </c>
      <c r="Z299" s="26" t="s">
        <v>2676</v>
      </c>
      <c r="AA299" s="28">
        <f t="shared" ca="1" si="141"/>
        <v>451.28669767142031</v>
      </c>
      <c r="AB299" s="28">
        <f ca="1">SUMIF(Salida_OT,Facturacion!Z299,Salida_Suma)</f>
        <v>0</v>
      </c>
      <c r="AC299" s="28">
        <f t="shared" ca="1" si="126"/>
        <v>0</v>
      </c>
      <c r="AD299" s="28">
        <f t="shared" ca="1" si="127"/>
        <v>0</v>
      </c>
      <c r="AE299" s="28">
        <f ca="1">(SUMIF(Asig_OT,Z299,Asig_Hora_Mec))*'Costos x MO'!$B$6*'Costos x MO'!$B$7</f>
        <v>0</v>
      </c>
      <c r="AF299" s="28">
        <f ca="1">SUMIF(Asig_OT,Z299,Asig_Hora_Pla)*'Costos x MO'!$B$4*'Costos x MO'!$B$7</f>
        <v>15.075000000000001</v>
      </c>
      <c r="AG299" s="28">
        <f ca="1">SUMIF(Asig_OT,Z299,Asig_paño_Pin)*'Costos x MO'!$B$5*'Costos x MO'!$B$7</f>
        <v>70.350000000000009</v>
      </c>
      <c r="AH299" s="28">
        <f ca="1">(SUMIF(Asig_OT,Z299,Asig_Terc_Pla)*'Costos x MO'!$B$7)+(SUMIF(Asig_OT,Z299,Asig_Terc_Pin)*'Costos x MO'!$B$7)</f>
        <v>0</v>
      </c>
      <c r="AI299" s="28">
        <f t="shared" ca="1" si="128"/>
        <v>85.425000000000011</v>
      </c>
      <c r="AJ299" s="28">
        <f t="shared" ca="1" si="129"/>
        <v>365.8616976714203</v>
      </c>
      <c r="AK299" s="31">
        <f t="shared" ca="1" si="130"/>
        <v>0.81070791485594029</v>
      </c>
      <c r="AL299" s="28" t="str">
        <f t="shared" ca="1" si="131"/>
        <v>RIMAC</v>
      </c>
      <c r="AM299" s="28" t="str">
        <f t="shared" ca="1" si="132"/>
        <v>LEVE</v>
      </c>
      <c r="AN299" s="30" t="str">
        <f t="shared" ca="1" si="133"/>
        <v>February</v>
      </c>
      <c r="AO299" s="42">
        <f t="shared" ca="1" si="134"/>
        <v>2020</v>
      </c>
      <c r="AP299" s="42">
        <f t="shared" ca="1" si="135"/>
        <v>7</v>
      </c>
      <c r="AQ299" s="26">
        <v>1</v>
      </c>
      <c r="AR299" s="30">
        <f t="shared" ca="1" si="136"/>
        <v>43858</v>
      </c>
      <c r="AS299" s="30" t="str">
        <f t="shared" ca="1" si="137"/>
        <v>D6B575</v>
      </c>
      <c r="AT299" s="26" t="str">
        <f t="shared" ca="1" si="138"/>
        <v>TOYOTA</v>
      </c>
      <c r="AU299" s="26" t="str">
        <f t="shared" ca="1" si="139"/>
        <v>PRADO</v>
      </c>
      <c r="AV299" s="26" t="str">
        <f t="shared" ca="1" si="140"/>
        <v>LINDER INGENIEROS GRAFICOS CONSULTORES SAC</v>
      </c>
    </row>
    <row r="300" spans="1:48" x14ac:dyDescent="0.2">
      <c r="A300" s="220">
        <v>43771</v>
      </c>
      <c r="B300" s="130" t="s">
        <v>68</v>
      </c>
      <c r="C300" s="130" t="s">
        <v>102</v>
      </c>
      <c r="D300" s="130" t="s">
        <v>634</v>
      </c>
      <c r="E300" s="130" t="s">
        <v>884</v>
      </c>
      <c r="F300" s="130" t="s">
        <v>1225</v>
      </c>
      <c r="G300" s="220">
        <v>43761</v>
      </c>
      <c r="H300" s="130" t="s">
        <v>90</v>
      </c>
      <c r="I300" s="130" t="s">
        <v>91</v>
      </c>
      <c r="J300" s="130" t="s">
        <v>97</v>
      </c>
      <c r="K300" s="130" t="s">
        <v>98</v>
      </c>
      <c r="L300" s="174" t="s">
        <v>71</v>
      </c>
      <c r="M300" s="131" t="s">
        <v>72</v>
      </c>
      <c r="N300" s="130" t="s">
        <v>73</v>
      </c>
      <c r="O300" s="219" t="s">
        <v>99</v>
      </c>
      <c r="P300" s="130" t="s">
        <v>98</v>
      </c>
      <c r="Q300" s="132" t="s">
        <v>93</v>
      </c>
      <c r="R300" s="218">
        <v>3.3490000000000002</v>
      </c>
      <c r="S300" s="129">
        <v>1</v>
      </c>
      <c r="T300" s="129">
        <v>59</v>
      </c>
      <c r="U300" s="129">
        <v>59</v>
      </c>
      <c r="V300" s="129">
        <v>10.620002999999997</v>
      </c>
      <c r="W300" s="129">
        <v>69.620002999999997</v>
      </c>
      <c r="X300" s="27">
        <f t="shared" si="110"/>
        <v>197.59100000000001</v>
      </c>
      <c r="Y300" s="29">
        <f ca="1">VLOOKUP(Z300,CHOOSE({2,1},Fac_Fecha,Fac_OT),2,0)</f>
        <v>43865</v>
      </c>
      <c r="Z300" s="26" t="s">
        <v>2667</v>
      </c>
      <c r="AA300" s="28">
        <f t="shared" ca="1" si="141"/>
        <v>506.10001499999993</v>
      </c>
      <c r="AB300" s="28">
        <f ca="1">SUMIF(Salida_OT,Facturacion!Z300,Salida_Suma)</f>
        <v>0</v>
      </c>
      <c r="AC300" s="28">
        <f t="shared" ca="1" si="126"/>
        <v>0</v>
      </c>
      <c r="AD300" s="28">
        <f t="shared" ca="1" si="127"/>
        <v>0</v>
      </c>
      <c r="AE300" s="28">
        <f ca="1">(SUMIF(Asig_OT,Z300,Asig_Hora_Mec))*'Costos x MO'!$B$6*'Costos x MO'!$B$7</f>
        <v>0</v>
      </c>
      <c r="AF300" s="28">
        <f ca="1">SUMIF(Asig_OT,Z300,Asig_Hora_Pla)*'Costos x MO'!$B$4*'Costos x MO'!$B$7</f>
        <v>30.150000000000002</v>
      </c>
      <c r="AG300" s="28">
        <f ca="1">SUMIF(Asig_OT,Z300,Asig_paño_Pin)*'Costos x MO'!$B$5*'Costos x MO'!$B$7</f>
        <v>70.350000000000009</v>
      </c>
      <c r="AH300" s="28">
        <f ca="1">(SUMIF(Asig_OT,Z300,Asig_Terc_Pla)*'Costos x MO'!$B$7)+(SUMIF(Asig_OT,Z300,Asig_Terc_Pin)*'Costos x MO'!$B$7)</f>
        <v>0</v>
      </c>
      <c r="AI300" s="28">
        <f t="shared" ca="1" si="128"/>
        <v>100.50000000000001</v>
      </c>
      <c r="AJ300" s="28">
        <f t="shared" ca="1" si="129"/>
        <v>405.60001499999993</v>
      </c>
      <c r="AK300" s="31">
        <f t="shared" ca="1" si="130"/>
        <v>0.80142264963181242</v>
      </c>
      <c r="AL300" s="28" t="str">
        <f t="shared" ca="1" si="131"/>
        <v>C.C</v>
      </c>
      <c r="AM300" s="28" t="str">
        <f t="shared" ca="1" si="132"/>
        <v>LEVE</v>
      </c>
      <c r="AN300" s="30" t="str">
        <f t="shared" ca="1" si="133"/>
        <v>February</v>
      </c>
      <c r="AO300" s="42">
        <f t="shared" ca="1" si="134"/>
        <v>2020</v>
      </c>
      <c r="AP300" s="42">
        <f t="shared" ca="1" si="135"/>
        <v>12</v>
      </c>
      <c r="AQ300" s="26">
        <v>1</v>
      </c>
      <c r="AR300" s="30">
        <f t="shared" ca="1" si="136"/>
        <v>43853</v>
      </c>
      <c r="AS300" s="30" t="str">
        <f t="shared" ca="1" si="137"/>
        <v>D6B575</v>
      </c>
      <c r="AT300" s="26" t="str">
        <f t="shared" ca="1" si="138"/>
        <v>TOYOTA</v>
      </c>
      <c r="AU300" s="26" t="str">
        <f t="shared" ca="1" si="139"/>
        <v>PRADO</v>
      </c>
      <c r="AV300" s="26" t="str">
        <f t="shared" ca="1" si="140"/>
        <v>LINDER INGENIEROS GRAFICOS CONSULTORES SAC</v>
      </c>
    </row>
    <row r="301" spans="1:48" x14ac:dyDescent="0.2">
      <c r="A301" s="220">
        <v>43771</v>
      </c>
      <c r="B301" s="130" t="s">
        <v>68</v>
      </c>
      <c r="C301" s="130" t="s">
        <v>102</v>
      </c>
      <c r="D301" s="130" t="s">
        <v>634</v>
      </c>
      <c r="E301" s="130" t="s">
        <v>884</v>
      </c>
      <c r="F301" s="130" t="s">
        <v>1225</v>
      </c>
      <c r="G301" s="220">
        <v>43761</v>
      </c>
      <c r="H301" s="130" t="s">
        <v>90</v>
      </c>
      <c r="I301" s="130" t="s">
        <v>91</v>
      </c>
      <c r="J301" s="130" t="s">
        <v>100</v>
      </c>
      <c r="K301" s="130" t="s">
        <v>101</v>
      </c>
      <c r="L301" s="174" t="s">
        <v>71</v>
      </c>
      <c r="M301" s="131" t="s">
        <v>72</v>
      </c>
      <c r="N301" s="130" t="s">
        <v>73</v>
      </c>
      <c r="O301" s="219" t="s">
        <v>72</v>
      </c>
      <c r="P301" s="130" t="s">
        <v>101</v>
      </c>
      <c r="Q301" s="132" t="s">
        <v>93</v>
      </c>
      <c r="R301" s="218">
        <v>3.3490000000000002</v>
      </c>
      <c r="S301" s="129">
        <v>1</v>
      </c>
      <c r="T301" s="129">
        <v>30</v>
      </c>
      <c r="U301" s="129">
        <v>30</v>
      </c>
      <c r="V301" s="129">
        <v>5.4000019999999997</v>
      </c>
      <c r="W301" s="129">
        <v>35.400002000000001</v>
      </c>
      <c r="X301" s="27">
        <f t="shared" si="110"/>
        <v>100.47</v>
      </c>
      <c r="Y301" s="29">
        <f ca="1">VLOOKUP(Z301,CHOOSE({2,1},Fac_Fecha,Fac_OT),2,0)</f>
        <v>43865</v>
      </c>
      <c r="Z301" s="26" t="s">
        <v>2677</v>
      </c>
      <c r="AA301" s="28">
        <f t="shared" ca="1" si="141"/>
        <v>1137.0380337000001</v>
      </c>
      <c r="AB301" s="28">
        <f ca="1">SUMIF(Salida_OT,Facturacion!Z301,Salida_Suma)</f>
        <v>0</v>
      </c>
      <c r="AC301" s="28">
        <f t="shared" ca="1" si="126"/>
        <v>0</v>
      </c>
      <c r="AD301" s="28">
        <f t="shared" ca="1" si="127"/>
        <v>0</v>
      </c>
      <c r="AE301" s="28">
        <f ca="1">(SUMIF(Asig_OT,Z301,Asig_Hora_Mec))*'Costos x MO'!$B$6*'Costos x MO'!$B$7</f>
        <v>0</v>
      </c>
      <c r="AF301" s="28">
        <f ca="1">SUMIF(Asig_OT,Z301,Asig_Hora_Pla)*'Costos x MO'!$B$4*'Costos x MO'!$B$7</f>
        <v>90.45</v>
      </c>
      <c r="AG301" s="28">
        <f ca="1">SUMIF(Asig_OT,Z301,Asig_paño_Pin)*'Costos x MO'!$B$5*'Costos x MO'!$B$7</f>
        <v>211.05</v>
      </c>
      <c r="AH301" s="28">
        <f ca="1">(SUMIF(Asig_OT,Z301,Asig_Terc_Pla)*'Costos x MO'!$B$7)+(SUMIF(Asig_OT,Z301,Asig_Terc_Pin)*'Costos x MO'!$B$7)</f>
        <v>0</v>
      </c>
      <c r="AI301" s="28">
        <f t="shared" ca="1" si="128"/>
        <v>301.5</v>
      </c>
      <c r="AJ301" s="28">
        <f t="shared" ca="1" si="129"/>
        <v>835.53803370000014</v>
      </c>
      <c r="AK301" s="31">
        <f t="shared" ca="1" si="130"/>
        <v>0.73483736597719762</v>
      </c>
      <c r="AL301" s="28" t="str">
        <f t="shared" ca="1" si="131"/>
        <v>RIMAC</v>
      </c>
      <c r="AM301" s="28" t="str">
        <f t="shared" ca="1" si="132"/>
        <v>LEVE</v>
      </c>
      <c r="AN301" s="30" t="str">
        <f t="shared" ca="1" si="133"/>
        <v>February</v>
      </c>
      <c r="AO301" s="42">
        <f t="shared" ca="1" si="134"/>
        <v>2020</v>
      </c>
      <c r="AP301" s="42">
        <f t="shared" ca="1" si="135"/>
        <v>8</v>
      </c>
      <c r="AQ301" s="26">
        <v>1</v>
      </c>
      <c r="AR301" s="30">
        <f t="shared" ca="1" si="136"/>
        <v>43857</v>
      </c>
      <c r="AS301" s="30" t="str">
        <f t="shared" ca="1" si="137"/>
        <v>AWL408</v>
      </c>
      <c r="AT301" s="26" t="str">
        <f t="shared" ca="1" si="138"/>
        <v>TOYOTA</v>
      </c>
      <c r="AU301" s="26" t="str">
        <f t="shared" ca="1" si="139"/>
        <v>COROLLA</v>
      </c>
      <c r="AV301" s="26" t="str">
        <f t="shared" ca="1" si="140"/>
        <v>SALMON CORNEJO JUAN CARLOS</v>
      </c>
    </row>
    <row r="302" spans="1:48" x14ac:dyDescent="0.2">
      <c r="A302" s="220">
        <v>43771</v>
      </c>
      <c r="B302" s="130" t="s">
        <v>68</v>
      </c>
      <c r="C302" s="130" t="s">
        <v>102</v>
      </c>
      <c r="D302" s="130" t="s">
        <v>634</v>
      </c>
      <c r="E302" s="130" t="s">
        <v>884</v>
      </c>
      <c r="F302" s="130" t="s">
        <v>1225</v>
      </c>
      <c r="G302" s="220">
        <v>43761</v>
      </c>
      <c r="H302" s="130" t="s">
        <v>90</v>
      </c>
      <c r="I302" s="130" t="s">
        <v>91</v>
      </c>
      <c r="J302" s="130" t="s">
        <v>92</v>
      </c>
      <c r="K302" s="130" t="s">
        <v>113</v>
      </c>
      <c r="L302" s="174" t="s">
        <v>71</v>
      </c>
      <c r="M302" s="131" t="s">
        <v>72</v>
      </c>
      <c r="N302" s="130" t="s">
        <v>73</v>
      </c>
      <c r="O302" s="219" t="s">
        <v>69</v>
      </c>
      <c r="P302" s="130" t="s">
        <v>1699</v>
      </c>
      <c r="Q302" s="132" t="s">
        <v>93</v>
      </c>
      <c r="R302" s="218">
        <v>3.3490000000000002</v>
      </c>
      <c r="S302" s="129">
        <v>1</v>
      </c>
      <c r="T302" s="129">
        <v>30</v>
      </c>
      <c r="U302" s="129">
        <v>30</v>
      </c>
      <c r="V302" s="129">
        <v>5.4000019999999997</v>
      </c>
      <c r="W302" s="129">
        <v>35.400002000000001</v>
      </c>
      <c r="X302" s="27">
        <f t="shared" si="110"/>
        <v>100.47</v>
      </c>
      <c r="Y302" s="29">
        <f ca="1">VLOOKUP(Z302,CHOOSE({2,1},Fac_Fecha,Fac_OT),2,0)</f>
        <v>43866</v>
      </c>
      <c r="Z302" s="26" t="s">
        <v>2679</v>
      </c>
      <c r="AA302" s="28">
        <f t="shared" ca="1" si="141"/>
        <v>484.41601439999999</v>
      </c>
      <c r="AB302" s="28">
        <f ca="1">SUMIF(Salida_OT,Facturacion!Z302,Salida_Suma)</f>
        <v>0</v>
      </c>
      <c r="AC302" s="28">
        <f t="shared" ca="1" si="126"/>
        <v>0</v>
      </c>
      <c r="AD302" s="28">
        <f t="shared" ca="1" si="127"/>
        <v>0</v>
      </c>
      <c r="AE302" s="28">
        <f ca="1">(SUMIF(Asig_OT,Z302,Asig_Hora_Mec))*'Costos x MO'!$B$6*'Costos x MO'!$B$7</f>
        <v>0</v>
      </c>
      <c r="AF302" s="28">
        <f ca="1">SUMIF(Asig_OT,Z302,Asig_Hora_Pla)*'Costos x MO'!$B$4*'Costos x MO'!$B$7</f>
        <v>30.150000000000002</v>
      </c>
      <c r="AG302" s="28">
        <f ca="1">SUMIF(Asig_OT,Z302,Asig_paño_Pin)*'Costos x MO'!$B$5*'Costos x MO'!$B$7</f>
        <v>140.70000000000002</v>
      </c>
      <c r="AH302" s="28">
        <f ca="1">(SUMIF(Asig_OT,Z302,Asig_Terc_Pla)*'Costos x MO'!$B$7)+(SUMIF(Asig_OT,Z302,Asig_Terc_Pin)*'Costos x MO'!$B$7)</f>
        <v>0</v>
      </c>
      <c r="AI302" s="28">
        <f t="shared" ca="1" si="128"/>
        <v>170.85000000000002</v>
      </c>
      <c r="AJ302" s="28">
        <f t="shared" ca="1" si="129"/>
        <v>313.56601439999997</v>
      </c>
      <c r="AK302" s="31">
        <f t="shared" ca="1" si="130"/>
        <v>0.6473072835719198</v>
      </c>
      <c r="AL302" s="28" t="str">
        <f t="shared" ca="1" si="131"/>
        <v>RIMAC</v>
      </c>
      <c r="AM302" s="28" t="str">
        <f t="shared" ca="1" si="132"/>
        <v>LEVE</v>
      </c>
      <c r="AN302" s="30" t="str">
        <f t="shared" ca="1" si="133"/>
        <v>February</v>
      </c>
      <c r="AO302" s="42">
        <f t="shared" ca="1" si="134"/>
        <v>2020</v>
      </c>
      <c r="AP302" s="42">
        <f t="shared" ca="1" si="135"/>
        <v>8</v>
      </c>
      <c r="AQ302" s="26">
        <v>1</v>
      </c>
      <c r="AR302" s="30">
        <f t="shared" ca="1" si="136"/>
        <v>43858</v>
      </c>
      <c r="AS302" s="30" t="str">
        <f t="shared" ca="1" si="137"/>
        <v>BDG262</v>
      </c>
      <c r="AT302" s="26" t="str">
        <f t="shared" ca="1" si="138"/>
        <v>KIA</v>
      </c>
      <c r="AU302" s="26" t="str">
        <f t="shared" ca="1" si="139"/>
        <v>RIO</v>
      </c>
      <c r="AV302" s="26" t="str">
        <f t="shared" ca="1" si="140"/>
        <v>RIMAC SEGUROS  Y REASEGUROS S.A</v>
      </c>
    </row>
    <row r="303" spans="1:48" x14ac:dyDescent="0.2">
      <c r="A303" s="220">
        <v>43771</v>
      </c>
      <c r="B303" s="130" t="s">
        <v>68</v>
      </c>
      <c r="C303" s="130" t="s">
        <v>102</v>
      </c>
      <c r="D303" s="130" t="s">
        <v>634</v>
      </c>
      <c r="E303" s="130" t="s">
        <v>884</v>
      </c>
      <c r="F303" s="130" t="s">
        <v>1225</v>
      </c>
      <c r="G303" s="220">
        <v>43761</v>
      </c>
      <c r="H303" s="130" t="s">
        <v>90</v>
      </c>
      <c r="I303" s="130" t="s">
        <v>91</v>
      </c>
      <c r="J303" s="130" t="s">
        <v>95</v>
      </c>
      <c r="K303" s="130" t="s">
        <v>96</v>
      </c>
      <c r="L303" s="174" t="s">
        <v>71</v>
      </c>
      <c r="M303" s="131" t="s">
        <v>72</v>
      </c>
      <c r="N303" s="130" t="s">
        <v>73</v>
      </c>
      <c r="O303" s="219" t="s">
        <v>69</v>
      </c>
      <c r="P303" s="130" t="s">
        <v>1699</v>
      </c>
      <c r="Q303" s="132" t="s">
        <v>93</v>
      </c>
      <c r="R303" s="218">
        <v>3.3490000000000002</v>
      </c>
      <c r="S303" s="129">
        <v>-1</v>
      </c>
      <c r="T303" s="129">
        <v>50</v>
      </c>
      <c r="U303" s="129">
        <v>-50</v>
      </c>
      <c r="V303" s="129">
        <v>-9</v>
      </c>
      <c r="W303" s="129">
        <v>-59</v>
      </c>
      <c r="X303" s="27">
        <f t="shared" si="110"/>
        <v>-167.45000000000002</v>
      </c>
      <c r="Y303" s="29">
        <f ca="1">VLOOKUP(Z303,CHOOSE({2,1},Fac_Fecha,Fac_OT),2,0)</f>
        <v>43866</v>
      </c>
      <c r="Z303" s="107" t="s">
        <v>2684</v>
      </c>
      <c r="AA303" s="28">
        <v>2218.54</v>
      </c>
      <c r="AB303" s="28">
        <f ca="1">SUMIF(Salida_OT,Facturacion!Z303,Salida_Suma)</f>
        <v>5.4759001999999999</v>
      </c>
      <c r="AC303" s="28">
        <f t="shared" ca="1" si="126"/>
        <v>0</v>
      </c>
      <c r="AD303" s="28">
        <f t="shared" ca="1" si="127"/>
        <v>84.75</v>
      </c>
      <c r="AE303" s="28">
        <f ca="1">(SUMIF(Asig_OT,Z303,Asig_Hora_Mec))*'Costos x MO'!$B$6*'Costos x MO'!$B$7</f>
        <v>0</v>
      </c>
      <c r="AF303" s="28">
        <f ca="1">SUMIF(Asig_OT,Z303,Asig_Hora_Pla)*'Costos x MO'!$B$4*'Costos x MO'!$B$7</f>
        <v>150.75</v>
      </c>
      <c r="AG303" s="28">
        <f ca="1">SUMIF(Asig_OT,Z303,Asig_paño_Pin)*'Costos x MO'!$B$5*'Costos x MO'!$B$7</f>
        <v>422.1</v>
      </c>
      <c r="AH303" s="28">
        <f ca="1">(SUMIF(Asig_OT,Z303,Asig_Terc_Pla)*'Costos x MO'!$B$7)+(SUMIF(Asig_OT,Z303,Asig_Terc_Pin)*'Costos x MO'!$B$7)</f>
        <v>0</v>
      </c>
      <c r="AI303" s="28">
        <f t="shared" ca="1" si="128"/>
        <v>663.07590019999998</v>
      </c>
      <c r="AJ303" s="28">
        <f t="shared" ca="1" si="129"/>
        <v>1555.4640998</v>
      </c>
      <c r="AK303" s="31">
        <f t="shared" ca="1" si="130"/>
        <v>0.7011206017470949</v>
      </c>
      <c r="AL303" s="28" t="str">
        <f t="shared" ca="1" si="131"/>
        <v>RIMAC</v>
      </c>
      <c r="AM303" s="28" t="str">
        <f t="shared" ca="1" si="132"/>
        <v>MEDIANO</v>
      </c>
      <c r="AN303" s="30" t="str">
        <f t="shared" ca="1" si="133"/>
        <v>February</v>
      </c>
      <c r="AO303" s="42">
        <f t="shared" ca="1" si="134"/>
        <v>2020</v>
      </c>
      <c r="AP303" s="42">
        <f t="shared" ca="1" si="135"/>
        <v>11</v>
      </c>
      <c r="AQ303" s="26">
        <v>1</v>
      </c>
      <c r="AR303" s="30">
        <f t="shared" ca="1" si="136"/>
        <v>43855</v>
      </c>
      <c r="AS303" s="30" t="str">
        <f t="shared" ca="1" si="137"/>
        <v>C8O042</v>
      </c>
      <c r="AT303" s="26" t="str">
        <f t="shared" ca="1" si="138"/>
        <v>HYUNDAI</v>
      </c>
      <c r="AU303" s="26" t="str">
        <f t="shared" ca="1" si="139"/>
        <v>I30</v>
      </c>
      <c r="AV303" s="26" t="str">
        <f t="shared" ca="1" si="140"/>
        <v>RIMAC SEGUROS  Y REASEGUROS S.A</v>
      </c>
    </row>
    <row r="304" spans="1:48" x14ac:dyDescent="0.2">
      <c r="A304" s="220">
        <v>43773</v>
      </c>
      <c r="B304" s="130" t="s">
        <v>68</v>
      </c>
      <c r="C304" s="130" t="s">
        <v>102</v>
      </c>
      <c r="D304" s="130" t="s">
        <v>1886</v>
      </c>
      <c r="E304" s="130" t="s">
        <v>886</v>
      </c>
      <c r="F304" s="130" t="s">
        <v>1759</v>
      </c>
      <c r="G304" s="220">
        <v>43760</v>
      </c>
      <c r="H304" s="130" t="s">
        <v>90</v>
      </c>
      <c r="I304" s="130" t="s">
        <v>91</v>
      </c>
      <c r="J304" s="130" t="s">
        <v>97</v>
      </c>
      <c r="K304" s="130" t="s">
        <v>98</v>
      </c>
      <c r="L304" s="174" t="s">
        <v>71</v>
      </c>
      <c r="M304" s="131" t="s">
        <v>72</v>
      </c>
      <c r="N304" s="130" t="s">
        <v>73</v>
      </c>
      <c r="O304" s="219" t="s">
        <v>99</v>
      </c>
      <c r="P304" s="130" t="s">
        <v>98</v>
      </c>
      <c r="Q304" s="132" t="s">
        <v>93</v>
      </c>
      <c r="R304" s="218">
        <v>3.3490000000000002</v>
      </c>
      <c r="S304" s="129">
        <v>1</v>
      </c>
      <c r="T304" s="129">
        <v>230.10169999999999</v>
      </c>
      <c r="U304" s="129">
        <v>230.10169999999999</v>
      </c>
      <c r="V304" s="129">
        <v>41.418289999999978</v>
      </c>
      <c r="W304" s="129">
        <v>271.51998999999995</v>
      </c>
      <c r="X304" s="27">
        <f t="shared" si="110"/>
        <v>770.61059330000001</v>
      </c>
      <c r="Y304" s="29">
        <f ca="1">VLOOKUP(Z304,CHOOSE({2,1},Fac_Fecha,Fac_OT),2,0)</f>
        <v>43867</v>
      </c>
      <c r="Z304" s="26" t="s">
        <v>2000</v>
      </c>
      <c r="AA304" s="28">
        <f t="shared" ca="1" si="141"/>
        <v>9830.7542099999991</v>
      </c>
      <c r="AB304" s="28">
        <f ca="1">SUMIF(Salida_OT,Facturacion!Z304,Salida_Suma)</f>
        <v>1708.0931575799996</v>
      </c>
      <c r="AC304" s="28">
        <f t="shared" ca="1" si="126"/>
        <v>148.30000000000001</v>
      </c>
      <c r="AD304" s="28">
        <f t="shared" ca="1" si="127"/>
        <v>355.91</v>
      </c>
      <c r="AE304" s="28">
        <f ca="1">(SUMIF(Asig_OT,Z304,Asig_Hora_Mec))*'Costos x MO'!$B$6*'Costos x MO'!$B$7</f>
        <v>395.71875</v>
      </c>
      <c r="AF304" s="28">
        <f ca="1">SUMIF(Asig_OT,Z304,Asig_Hora_Pla)*'Costos x MO'!$B$4*'Costos x MO'!$B$7</f>
        <v>452.25</v>
      </c>
      <c r="AG304" s="28">
        <f ca="1">SUMIF(Asig_OT,Z304,Asig_paño_Pin)*'Costos x MO'!$B$5*'Costos x MO'!$B$7</f>
        <v>1266.3</v>
      </c>
      <c r="AH304" s="28">
        <f ca="1">(SUMIF(Asig_OT,Z304,Asig_Terc_Pla)*'Costos x MO'!$B$7)+(SUMIF(Asig_OT,Z304,Asig_Terc_Pin)*'Costos x MO'!$B$7)</f>
        <v>0</v>
      </c>
      <c r="AI304" s="28">
        <f t="shared" ca="1" si="128"/>
        <v>4326.5719075799998</v>
      </c>
      <c r="AJ304" s="28">
        <f t="shared" ca="1" si="129"/>
        <v>5504.1823024199994</v>
      </c>
      <c r="AK304" s="31">
        <f t="shared" ca="1" si="130"/>
        <v>0.55989420392802192</v>
      </c>
      <c r="AL304" s="28" t="str">
        <f t="shared" ca="1" si="131"/>
        <v>ACCESO</v>
      </c>
      <c r="AM304" s="28" t="str">
        <f t="shared" ca="1" si="132"/>
        <v>GRAVE</v>
      </c>
      <c r="AN304" s="30" t="str">
        <f t="shared" ca="1" si="133"/>
        <v>February</v>
      </c>
      <c r="AO304" s="42">
        <f t="shared" ca="1" si="134"/>
        <v>2020</v>
      </c>
      <c r="AP304" s="42">
        <f t="shared" ca="1" si="135"/>
        <v>59</v>
      </c>
      <c r="AQ304" s="26">
        <v>1</v>
      </c>
      <c r="AR304" s="30">
        <f t="shared" ca="1" si="136"/>
        <v>43808</v>
      </c>
      <c r="AS304" s="30" t="str">
        <f t="shared" ca="1" si="137"/>
        <v>D8F472</v>
      </c>
      <c r="AT304" s="26" t="str">
        <f t="shared" ca="1" si="138"/>
        <v>CHEVROLET</v>
      </c>
      <c r="AU304" s="26" t="str">
        <f t="shared" ca="1" si="139"/>
        <v>SAIL</v>
      </c>
      <c r="AV304" s="26" t="str">
        <f t="shared" ca="1" si="140"/>
        <v>EDPYME ACCESO CREDITICIO SOCIEDAD ANONIMA</v>
      </c>
    </row>
    <row r="305" spans="1:48" x14ac:dyDescent="0.2">
      <c r="A305" s="220">
        <v>43773</v>
      </c>
      <c r="B305" s="130" t="s">
        <v>68</v>
      </c>
      <c r="C305" s="130" t="s">
        <v>102</v>
      </c>
      <c r="D305" s="130" t="s">
        <v>1886</v>
      </c>
      <c r="E305" s="130" t="s">
        <v>886</v>
      </c>
      <c r="F305" s="130" t="s">
        <v>1759</v>
      </c>
      <c r="G305" s="220">
        <v>43760</v>
      </c>
      <c r="H305" s="130" t="s">
        <v>90</v>
      </c>
      <c r="I305" s="130" t="s">
        <v>91</v>
      </c>
      <c r="J305" s="130" t="s">
        <v>100</v>
      </c>
      <c r="K305" s="130" t="s">
        <v>101</v>
      </c>
      <c r="L305" s="174" t="s">
        <v>71</v>
      </c>
      <c r="M305" s="131" t="s">
        <v>72</v>
      </c>
      <c r="N305" s="130" t="s">
        <v>73</v>
      </c>
      <c r="O305" s="219" t="s">
        <v>72</v>
      </c>
      <c r="P305" s="130" t="s">
        <v>101</v>
      </c>
      <c r="Q305" s="132" t="s">
        <v>93</v>
      </c>
      <c r="R305" s="218">
        <v>3.3490000000000002</v>
      </c>
      <c r="S305" s="129">
        <v>1</v>
      </c>
      <c r="T305" s="129">
        <v>270</v>
      </c>
      <c r="U305" s="129">
        <v>270</v>
      </c>
      <c r="V305" s="129">
        <v>48.600010000000005</v>
      </c>
      <c r="W305" s="129">
        <v>318.60001</v>
      </c>
      <c r="X305" s="27">
        <f t="shared" si="110"/>
        <v>904.23</v>
      </c>
      <c r="Y305" s="29">
        <f ca="1">VLOOKUP(Z305,CHOOSE({2,1},Fac_Fecha,Fac_OT),2,0)</f>
        <v>43867</v>
      </c>
      <c r="Z305" s="26" t="s">
        <v>1356</v>
      </c>
      <c r="AA305" s="28">
        <f t="shared" ca="1" si="141"/>
        <v>11016.940700000001</v>
      </c>
      <c r="AB305" s="28">
        <f ca="1">SUMIF(Salida_OT,Facturacion!Z305,Salida_Suma)</f>
        <v>4075.6317685000004</v>
      </c>
      <c r="AC305" s="28">
        <f t="shared" ca="1" si="126"/>
        <v>216.7766666666667</v>
      </c>
      <c r="AD305" s="28">
        <f t="shared" ca="1" si="127"/>
        <v>454.74</v>
      </c>
      <c r="AE305" s="28">
        <f ca="1">(SUMIF(Asig_OT,Z305,Asig_Hora_Mec))*'Costos x MO'!$B$6*'Costos x MO'!$B$7</f>
        <v>97.987499999999997</v>
      </c>
      <c r="AF305" s="28">
        <f ca="1">SUMIF(Asig_OT,Z305,Asig_Hora_Pla)*'Costos x MO'!$B$4*'Costos x MO'!$B$7</f>
        <v>557.77499999999998</v>
      </c>
      <c r="AG305" s="28">
        <f ca="1">SUMIF(Asig_OT,Z305,Asig_paño_Pin)*'Costos x MO'!$B$5*'Costos x MO'!$B$7</f>
        <v>1266.3</v>
      </c>
      <c r="AH305" s="28">
        <f ca="1">(SUMIF(Asig_OT,Z305,Asig_Terc_Pla)*'Costos x MO'!$B$7)+(SUMIF(Asig_OT,Z305,Asig_Terc_Pin)*'Costos x MO'!$B$7)</f>
        <v>0</v>
      </c>
      <c r="AI305" s="28">
        <f t="shared" ca="1" si="128"/>
        <v>6669.2109351666668</v>
      </c>
      <c r="AJ305" s="28">
        <f t="shared" ca="1" si="129"/>
        <v>4347.7297648333342</v>
      </c>
      <c r="AK305" s="31">
        <f t="shared" ca="1" si="130"/>
        <v>0.39464038912665961</v>
      </c>
      <c r="AL305" s="28" t="str">
        <f t="shared" ca="1" si="131"/>
        <v>ACCESO</v>
      </c>
      <c r="AM305" s="28" t="str">
        <f t="shared" ca="1" si="132"/>
        <v>GRAVE</v>
      </c>
      <c r="AN305" s="30" t="str">
        <f t="shared" ca="1" si="133"/>
        <v>February</v>
      </c>
      <c r="AO305" s="42">
        <f t="shared" ca="1" si="134"/>
        <v>2020</v>
      </c>
      <c r="AP305" s="42">
        <f t="shared" ca="1" si="135"/>
        <v>82</v>
      </c>
      <c r="AQ305" s="26">
        <v>1</v>
      </c>
      <c r="AR305" s="30">
        <f t="shared" ca="1" si="136"/>
        <v>43785</v>
      </c>
      <c r="AS305" s="30" t="str">
        <f t="shared" ca="1" si="137"/>
        <v>D9V073</v>
      </c>
      <c r="AT305" s="26" t="str">
        <f t="shared" ca="1" si="138"/>
        <v>CHEVROLET</v>
      </c>
      <c r="AU305" s="26" t="str">
        <f t="shared" ca="1" si="139"/>
        <v>SAIL</v>
      </c>
      <c r="AV305" s="26" t="str">
        <f t="shared" ca="1" si="140"/>
        <v>EDPYME ACCESO CREDITICIO SOCIEDAD ANONIMA</v>
      </c>
    </row>
    <row r="306" spans="1:48" x14ac:dyDescent="0.2">
      <c r="A306" s="220">
        <v>43773</v>
      </c>
      <c r="B306" s="130" t="s">
        <v>68</v>
      </c>
      <c r="C306" s="130" t="s">
        <v>102</v>
      </c>
      <c r="D306" s="130" t="s">
        <v>1886</v>
      </c>
      <c r="E306" s="130" t="s">
        <v>886</v>
      </c>
      <c r="F306" s="130" t="s">
        <v>1759</v>
      </c>
      <c r="G306" s="220">
        <v>43760</v>
      </c>
      <c r="H306" s="130" t="s">
        <v>90</v>
      </c>
      <c r="I306" s="130" t="s">
        <v>91</v>
      </c>
      <c r="J306" s="130" t="s">
        <v>92</v>
      </c>
      <c r="K306" s="130" t="s">
        <v>113</v>
      </c>
      <c r="L306" s="174" t="s">
        <v>71</v>
      </c>
      <c r="M306" s="131" t="s">
        <v>72</v>
      </c>
      <c r="N306" s="130" t="s">
        <v>73</v>
      </c>
      <c r="O306" s="219" t="s">
        <v>69</v>
      </c>
      <c r="P306" s="130" t="s">
        <v>1699</v>
      </c>
      <c r="Q306" s="132" t="s">
        <v>93</v>
      </c>
      <c r="R306" s="218">
        <v>3.3490000000000002</v>
      </c>
      <c r="S306" s="129">
        <v>1</v>
      </c>
      <c r="T306" s="129">
        <v>15</v>
      </c>
      <c r="U306" s="129">
        <v>15</v>
      </c>
      <c r="V306" s="129">
        <v>2.7000009999999999</v>
      </c>
      <c r="W306" s="129">
        <v>17.700001</v>
      </c>
      <c r="X306" s="27">
        <f t="shared" si="110"/>
        <v>50.234999999999999</v>
      </c>
      <c r="Y306" s="29">
        <f ca="1">VLOOKUP(Z306,CHOOSE({2,1},Fac_Fecha,Fac_OT),2,0)</f>
        <v>43867</v>
      </c>
      <c r="Z306" s="26" t="s">
        <v>2547</v>
      </c>
      <c r="AA306" s="28">
        <f t="shared" ca="1" si="141"/>
        <v>12695.254209999999</v>
      </c>
      <c r="AB306" s="28">
        <f ca="1">SUMIF(Salida_OT,Facturacion!Z306,Salida_Suma)</f>
        <v>2555.6669451199996</v>
      </c>
      <c r="AC306" s="28">
        <f t="shared" ca="1" si="126"/>
        <v>282.18983050847453</v>
      </c>
      <c r="AD306" s="28">
        <f t="shared" ca="1" si="127"/>
        <v>374.74999999999994</v>
      </c>
      <c r="AE306" s="28">
        <f ca="1">(SUMIF(Asig_OT,Z306,Asig_Hora_Mec))*'Costos x MO'!$B$6*'Costos x MO'!$B$7</f>
        <v>0</v>
      </c>
      <c r="AF306" s="28">
        <f ca="1">SUMIF(Asig_OT,Z306,Asig_Hora_Pla)*'Costos x MO'!$B$4*'Costos x MO'!$B$7</f>
        <v>527.625</v>
      </c>
      <c r="AG306" s="28">
        <f ca="1">SUMIF(Asig_OT,Z306,Asig_paño_Pin)*'Costos x MO'!$B$5*'Costos x MO'!$B$7</f>
        <v>1266.3</v>
      </c>
      <c r="AH306" s="28">
        <f ca="1">(SUMIF(Asig_OT,Z306,Asig_Terc_Pla)*'Costos x MO'!$B$7)+(SUMIF(Asig_OT,Z306,Asig_Terc_Pin)*'Costos x MO'!$B$7)</f>
        <v>0</v>
      </c>
      <c r="AI306" s="28">
        <f t="shared" ca="1" si="128"/>
        <v>5006.531775628474</v>
      </c>
      <c r="AJ306" s="28">
        <f t="shared" ca="1" si="129"/>
        <v>7688.7224343715252</v>
      </c>
      <c r="AK306" s="31">
        <f t="shared" ca="1" si="130"/>
        <v>0.60563753251314578</v>
      </c>
      <c r="AL306" s="28" t="str">
        <f t="shared" ca="1" si="131"/>
        <v>ACCESO</v>
      </c>
      <c r="AM306" s="28" t="str">
        <f t="shared" ca="1" si="132"/>
        <v>GRAVE</v>
      </c>
      <c r="AN306" s="30" t="str">
        <f t="shared" ca="1" si="133"/>
        <v>February</v>
      </c>
      <c r="AO306" s="42">
        <f t="shared" ca="1" si="134"/>
        <v>2020</v>
      </c>
      <c r="AP306" s="42">
        <f t="shared" ca="1" si="135"/>
        <v>33</v>
      </c>
      <c r="AQ306" s="26">
        <v>1</v>
      </c>
      <c r="AR306" s="30">
        <f t="shared" ca="1" si="136"/>
        <v>43834</v>
      </c>
      <c r="AS306" s="30" t="str">
        <f t="shared" ca="1" si="137"/>
        <v>AJK417</v>
      </c>
      <c r="AT306" s="26" t="str">
        <f t="shared" ca="1" si="138"/>
        <v>CHEVROLET</v>
      </c>
      <c r="AU306" s="26" t="str">
        <f t="shared" ca="1" si="139"/>
        <v>SAIL</v>
      </c>
      <c r="AV306" s="26" t="str">
        <f t="shared" ca="1" si="140"/>
        <v>EDPYME ACCESO CREDITICIO SOCIEDAD ANONIMA</v>
      </c>
    </row>
    <row r="307" spans="1:48" x14ac:dyDescent="0.2">
      <c r="A307" s="220">
        <v>43773</v>
      </c>
      <c r="B307" s="130" t="s">
        <v>68</v>
      </c>
      <c r="C307" s="130" t="s">
        <v>102</v>
      </c>
      <c r="D307" s="130" t="s">
        <v>1886</v>
      </c>
      <c r="E307" s="130" t="s">
        <v>886</v>
      </c>
      <c r="F307" s="130" t="s">
        <v>1759</v>
      </c>
      <c r="G307" s="220">
        <v>43760</v>
      </c>
      <c r="H307" s="130" t="s">
        <v>90</v>
      </c>
      <c r="I307" s="130" t="s">
        <v>91</v>
      </c>
      <c r="J307" s="130" t="s">
        <v>95</v>
      </c>
      <c r="K307" s="130" t="s">
        <v>96</v>
      </c>
      <c r="L307" s="174" t="s">
        <v>71</v>
      </c>
      <c r="M307" s="131" t="s">
        <v>72</v>
      </c>
      <c r="N307" s="130" t="s">
        <v>73</v>
      </c>
      <c r="O307" s="219" t="s">
        <v>69</v>
      </c>
      <c r="P307" s="130" t="s">
        <v>1699</v>
      </c>
      <c r="Q307" s="132" t="s">
        <v>93</v>
      </c>
      <c r="R307" s="218">
        <v>3.3490000000000002</v>
      </c>
      <c r="S307" s="129">
        <v>-1</v>
      </c>
      <c r="T307" s="129">
        <v>100</v>
      </c>
      <c r="U307" s="129">
        <v>-100</v>
      </c>
      <c r="V307" s="129">
        <v>-18</v>
      </c>
      <c r="W307" s="129">
        <v>-118</v>
      </c>
      <c r="X307" s="27">
        <f t="shared" si="110"/>
        <v>-334.90000000000003</v>
      </c>
      <c r="Y307" s="29">
        <f ca="1">VLOOKUP(Z307,CHOOSE({2,1},Fac_Fecha,Fac_OT),2,0)</f>
        <v>43867</v>
      </c>
      <c r="Z307" s="26" t="s">
        <v>2590</v>
      </c>
      <c r="AA307" s="28">
        <f t="shared" ca="1" si="141"/>
        <v>5360</v>
      </c>
      <c r="AB307" s="28">
        <f ca="1">SUMIF(Salida_OT,Facturacion!Z307,Salida_Suma)</f>
        <v>831.43064564000008</v>
      </c>
      <c r="AC307" s="28">
        <f t="shared" ca="1" si="126"/>
        <v>0</v>
      </c>
      <c r="AD307" s="28">
        <f t="shared" ca="1" si="127"/>
        <v>78.56</v>
      </c>
      <c r="AE307" s="28">
        <f ca="1">(SUMIF(Asig_OT,Z307,Asig_Hora_Mec))*'Costos x MO'!$B$6*'Costos x MO'!$B$7</f>
        <v>135.67500000000001</v>
      </c>
      <c r="AF307" s="28">
        <f ca="1">SUMIF(Asig_OT,Z307,Asig_Hora_Pla)*'Costos x MO'!$B$4*'Costos x MO'!$B$7</f>
        <v>361.8</v>
      </c>
      <c r="AG307" s="28">
        <f ca="1">SUMIF(Asig_OT,Z307,Asig_paño_Pin)*'Costos x MO'!$B$5*'Costos x MO'!$B$7</f>
        <v>1195.95</v>
      </c>
      <c r="AH307" s="28">
        <f ca="1">(SUMIF(Asig_OT,Z307,Asig_Terc_Pla)*'Costos x MO'!$B$7)+(SUMIF(Asig_OT,Z307,Asig_Terc_Pin)*'Costos x MO'!$B$7)</f>
        <v>0</v>
      </c>
      <c r="AI307" s="28">
        <f t="shared" ca="1" si="128"/>
        <v>2603.4156456400001</v>
      </c>
      <c r="AJ307" s="28">
        <f t="shared" ca="1" si="129"/>
        <v>2756.5843543599999</v>
      </c>
      <c r="AK307" s="31">
        <f t="shared" ca="1" si="130"/>
        <v>0.51428812581343286</v>
      </c>
      <c r="AL307" s="28" t="str">
        <f t="shared" ca="1" si="131"/>
        <v>ACCESO</v>
      </c>
      <c r="AM307" s="28" t="str">
        <f t="shared" ca="1" si="132"/>
        <v>GRAVE</v>
      </c>
      <c r="AN307" s="30" t="str">
        <f t="shared" ca="1" si="133"/>
        <v>February</v>
      </c>
      <c r="AO307" s="42">
        <f t="shared" ca="1" si="134"/>
        <v>2020</v>
      </c>
      <c r="AP307" s="42">
        <f t="shared" ca="1" si="135"/>
        <v>33</v>
      </c>
      <c r="AQ307" s="26">
        <v>1</v>
      </c>
      <c r="AR307" s="30">
        <f t="shared" ca="1" si="136"/>
        <v>43834</v>
      </c>
      <c r="AS307" s="30" t="str">
        <f t="shared" ca="1" si="137"/>
        <v>BKJ027</v>
      </c>
      <c r="AT307" s="26" t="str">
        <f t="shared" ca="1" si="138"/>
        <v>CHEVROLET</v>
      </c>
      <c r="AU307" s="26" t="str">
        <f t="shared" ca="1" si="139"/>
        <v>SAIL</v>
      </c>
      <c r="AV307" s="26" t="str">
        <f t="shared" ca="1" si="140"/>
        <v>EDPYME ACCESO CREDITICIO SOCIEDAD ANONIMA</v>
      </c>
    </row>
    <row r="308" spans="1:48" x14ac:dyDescent="0.2">
      <c r="A308" s="220">
        <v>43774</v>
      </c>
      <c r="B308" s="130" t="s">
        <v>68</v>
      </c>
      <c r="C308" s="130" t="s">
        <v>102</v>
      </c>
      <c r="D308" s="130" t="s">
        <v>1885</v>
      </c>
      <c r="E308" s="130" t="s">
        <v>875</v>
      </c>
      <c r="F308" s="130" t="s">
        <v>908</v>
      </c>
      <c r="G308" s="220">
        <v>43762</v>
      </c>
      <c r="H308" s="130" t="s">
        <v>90</v>
      </c>
      <c r="I308" s="130" t="s">
        <v>91</v>
      </c>
      <c r="J308" s="130" t="s">
        <v>97</v>
      </c>
      <c r="K308" s="130" t="s">
        <v>98</v>
      </c>
      <c r="L308" s="174" t="s">
        <v>71</v>
      </c>
      <c r="M308" s="131" t="s">
        <v>72</v>
      </c>
      <c r="N308" s="130" t="s">
        <v>73</v>
      </c>
      <c r="O308" s="219" t="s">
        <v>99</v>
      </c>
      <c r="P308" s="130" t="s">
        <v>98</v>
      </c>
      <c r="Q308" s="132" t="s">
        <v>93</v>
      </c>
      <c r="R308" s="218">
        <v>3.3359999999999999</v>
      </c>
      <c r="S308" s="129">
        <v>1</v>
      </c>
      <c r="T308" s="129">
        <v>236</v>
      </c>
      <c r="U308" s="129">
        <v>236</v>
      </c>
      <c r="V308" s="129">
        <v>42.48001</v>
      </c>
      <c r="W308" s="129">
        <v>278.48000999999999</v>
      </c>
      <c r="X308" s="27">
        <f t="shared" si="110"/>
        <v>787.29599999999994</v>
      </c>
      <c r="Y308" s="29">
        <f ca="1">VLOOKUP(Z308,CHOOSE({2,1},Fac_Fecha,Fac_OT),2,0)</f>
        <v>43867</v>
      </c>
      <c r="Z308" s="26" t="s">
        <v>1998</v>
      </c>
      <c r="AA308" s="28">
        <f t="shared" ca="1" si="141"/>
        <v>11839.652410000001</v>
      </c>
      <c r="AB308" s="28">
        <f ca="1">SUMIF(Salida_OT,Facturacion!Z308,Salida_Suma)</f>
        <v>3024.8386610999992</v>
      </c>
      <c r="AC308" s="28">
        <f t="shared" ca="1" si="126"/>
        <v>0</v>
      </c>
      <c r="AD308" s="28">
        <f t="shared" ca="1" si="127"/>
        <v>326.27000000000004</v>
      </c>
      <c r="AE308" s="28">
        <f ca="1">(SUMIF(Asig_OT,Z308,Asig_Hora_Mec))*'Costos x MO'!$B$6*'Costos x MO'!$B$7</f>
        <v>290.19375000000002</v>
      </c>
      <c r="AF308" s="28">
        <f ca="1">SUMIF(Asig_OT,Z308,Asig_Hora_Pla)*'Costos x MO'!$B$4*'Costos x MO'!$B$7</f>
        <v>542.70000000000005</v>
      </c>
      <c r="AG308" s="28">
        <f ca="1">SUMIF(Asig_OT,Z308,Asig_paño_Pin)*'Costos x MO'!$B$5*'Costos x MO'!$B$7</f>
        <v>1266.3</v>
      </c>
      <c r="AH308" s="28">
        <f ca="1">(SUMIF(Asig_OT,Z308,Asig_Terc_Pla)*'Costos x MO'!$B$7)+(SUMIF(Asig_OT,Z308,Asig_Terc_Pin)*'Costos x MO'!$B$7)</f>
        <v>0</v>
      </c>
      <c r="AI308" s="28">
        <f t="shared" ca="1" si="128"/>
        <v>5450.3024110999995</v>
      </c>
      <c r="AJ308" s="28">
        <f t="shared" ca="1" si="129"/>
        <v>6389.3499989000011</v>
      </c>
      <c r="AK308" s="31">
        <f t="shared" ca="1" si="130"/>
        <v>0.53965689005392015</v>
      </c>
      <c r="AL308" s="28" t="str">
        <f t="shared" ca="1" si="131"/>
        <v>ACCESO</v>
      </c>
      <c r="AM308" s="28" t="str">
        <f t="shared" ca="1" si="132"/>
        <v>GRAVE</v>
      </c>
      <c r="AN308" s="30" t="str">
        <f t="shared" ca="1" si="133"/>
        <v>February</v>
      </c>
      <c r="AO308" s="42">
        <f t="shared" ca="1" si="134"/>
        <v>2020</v>
      </c>
      <c r="AP308" s="42">
        <f t="shared" ca="1" si="135"/>
        <v>41</v>
      </c>
      <c r="AQ308" s="26">
        <v>1</v>
      </c>
      <c r="AR308" s="30">
        <f t="shared" ca="1" si="136"/>
        <v>43826</v>
      </c>
      <c r="AS308" s="30" t="str">
        <f t="shared" ca="1" si="137"/>
        <v>AXU411</v>
      </c>
      <c r="AT308" s="26" t="str">
        <f t="shared" ca="1" si="138"/>
        <v>CHEVROLET</v>
      </c>
      <c r="AU308" s="26" t="str">
        <f t="shared" ca="1" si="139"/>
        <v>N300</v>
      </c>
      <c r="AV308" s="26" t="str">
        <f t="shared" ca="1" si="140"/>
        <v>EDPYME ACCESO CREDITICIO SOCIEDAD ANONIMA</v>
      </c>
    </row>
    <row r="309" spans="1:48" x14ac:dyDescent="0.2">
      <c r="A309" s="220">
        <v>43774</v>
      </c>
      <c r="B309" s="130" t="s">
        <v>68</v>
      </c>
      <c r="C309" s="130" t="s">
        <v>102</v>
      </c>
      <c r="D309" s="130" t="s">
        <v>1885</v>
      </c>
      <c r="E309" s="130" t="s">
        <v>875</v>
      </c>
      <c r="F309" s="130" t="s">
        <v>908</v>
      </c>
      <c r="G309" s="220">
        <v>43762</v>
      </c>
      <c r="H309" s="130" t="s">
        <v>90</v>
      </c>
      <c r="I309" s="130" t="s">
        <v>91</v>
      </c>
      <c r="J309" s="130" t="s">
        <v>100</v>
      </c>
      <c r="K309" s="130" t="s">
        <v>101</v>
      </c>
      <c r="L309" s="174" t="s">
        <v>71</v>
      </c>
      <c r="M309" s="131" t="s">
        <v>72</v>
      </c>
      <c r="N309" s="130" t="s">
        <v>73</v>
      </c>
      <c r="O309" s="219" t="s">
        <v>72</v>
      </c>
      <c r="P309" s="130" t="s">
        <v>101</v>
      </c>
      <c r="Q309" s="132" t="s">
        <v>93</v>
      </c>
      <c r="R309" s="218">
        <v>3.3359999999999999</v>
      </c>
      <c r="S309" s="129">
        <v>1</v>
      </c>
      <c r="T309" s="129">
        <v>480</v>
      </c>
      <c r="U309" s="129">
        <v>480</v>
      </c>
      <c r="V309" s="129">
        <v>86.400020000000083</v>
      </c>
      <c r="W309" s="129">
        <v>566.40002000000004</v>
      </c>
      <c r="X309" s="27">
        <f t="shared" si="110"/>
        <v>1601.28</v>
      </c>
      <c r="Y309" s="29">
        <f ca="1">VLOOKUP(Z309,CHOOSE({2,1},Fac_Fecha,Fac_OT),2,0)</f>
        <v>43868</v>
      </c>
      <c r="Z309" s="26" t="s">
        <v>2682</v>
      </c>
      <c r="AA309" s="28">
        <f t="shared" ca="1" si="141"/>
        <v>1823.7110540999997</v>
      </c>
      <c r="AB309" s="28">
        <f ca="1">SUMIF(Salida_OT,Facturacion!Z309,Salida_Suma)</f>
        <v>0</v>
      </c>
      <c r="AC309" s="28">
        <f t="shared" ca="1" si="126"/>
        <v>0</v>
      </c>
      <c r="AD309" s="28">
        <f t="shared" ca="1" si="127"/>
        <v>0</v>
      </c>
      <c r="AE309" s="28">
        <f ca="1">(SUMIF(Asig_OT,Z309,Asig_Hora_Mec))*'Costos x MO'!$B$6*'Costos x MO'!$B$7</f>
        <v>15.075000000000001</v>
      </c>
      <c r="AF309" s="28">
        <f ca="1">SUMIF(Asig_OT,Z309,Asig_Hora_Pla)*'Costos x MO'!$B$4*'Costos x MO'!$B$7</f>
        <v>120.60000000000001</v>
      </c>
      <c r="AG309" s="28">
        <f ca="1">SUMIF(Asig_OT,Z309,Asig_paño_Pin)*'Costos x MO'!$B$5*'Costos x MO'!$B$7</f>
        <v>281.40000000000003</v>
      </c>
      <c r="AH309" s="28">
        <f ca="1">(SUMIF(Asig_OT,Z309,Asig_Terc_Pla)*'Costos x MO'!$B$7)+(SUMIF(Asig_OT,Z309,Asig_Terc_Pin)*'Costos x MO'!$B$7)</f>
        <v>0</v>
      </c>
      <c r="AI309" s="28">
        <f t="shared" ca="1" si="128"/>
        <v>417.07500000000005</v>
      </c>
      <c r="AJ309" s="28">
        <f t="shared" ca="1" si="129"/>
        <v>1406.6360540999997</v>
      </c>
      <c r="AK309" s="31">
        <f t="shared" ca="1" si="130"/>
        <v>0.77130423206990628</v>
      </c>
      <c r="AL309" s="28" t="str">
        <f t="shared" ca="1" si="131"/>
        <v>RIMAC</v>
      </c>
      <c r="AM309" s="28" t="str">
        <f t="shared" ca="1" si="132"/>
        <v>MEDIANO</v>
      </c>
      <c r="AN309" s="30" t="str">
        <f t="shared" ca="1" si="133"/>
        <v>February</v>
      </c>
      <c r="AO309" s="42">
        <f t="shared" ca="1" si="134"/>
        <v>2020</v>
      </c>
      <c r="AP309" s="42">
        <f t="shared" ca="1" si="135"/>
        <v>11</v>
      </c>
      <c r="AQ309" s="26">
        <v>1</v>
      </c>
      <c r="AR309" s="30">
        <f t="shared" ca="1" si="136"/>
        <v>43857</v>
      </c>
      <c r="AS309" s="30" t="str">
        <f t="shared" ca="1" si="137"/>
        <v>BLZ136</v>
      </c>
      <c r="AT309" s="26" t="str">
        <f t="shared" ca="1" si="138"/>
        <v>HYUNDAI</v>
      </c>
      <c r="AU309" s="26" t="str">
        <f t="shared" ca="1" si="139"/>
        <v>ELANTRA</v>
      </c>
      <c r="AV309" s="26" t="str">
        <f t="shared" ca="1" si="140"/>
        <v>LUJAN MENDOZA ANGEL ARTURO</v>
      </c>
    </row>
    <row r="310" spans="1:48" x14ac:dyDescent="0.2">
      <c r="A310" s="220">
        <v>43774</v>
      </c>
      <c r="B310" s="130" t="s">
        <v>68</v>
      </c>
      <c r="C310" s="130" t="s">
        <v>102</v>
      </c>
      <c r="D310" s="130" t="s">
        <v>1885</v>
      </c>
      <c r="E310" s="130" t="s">
        <v>875</v>
      </c>
      <c r="F310" s="130" t="s">
        <v>908</v>
      </c>
      <c r="G310" s="220">
        <v>43762</v>
      </c>
      <c r="H310" s="130" t="s">
        <v>90</v>
      </c>
      <c r="I310" s="130" t="s">
        <v>91</v>
      </c>
      <c r="J310" s="130" t="s">
        <v>92</v>
      </c>
      <c r="K310" s="130" t="s">
        <v>113</v>
      </c>
      <c r="L310" s="174" t="s">
        <v>71</v>
      </c>
      <c r="M310" s="131" t="s">
        <v>72</v>
      </c>
      <c r="N310" s="130" t="s">
        <v>73</v>
      </c>
      <c r="O310" s="219" t="s">
        <v>69</v>
      </c>
      <c r="P310" s="130" t="s">
        <v>1699</v>
      </c>
      <c r="Q310" s="132" t="s">
        <v>93</v>
      </c>
      <c r="R310" s="218">
        <v>3.3359999999999999</v>
      </c>
      <c r="S310" s="129">
        <v>1</v>
      </c>
      <c r="T310" s="129">
        <v>80</v>
      </c>
      <c r="U310" s="129">
        <v>80</v>
      </c>
      <c r="V310" s="129">
        <v>14.400002000000004</v>
      </c>
      <c r="W310" s="129">
        <v>94.400002000000001</v>
      </c>
      <c r="X310" s="27">
        <f t="shared" si="110"/>
        <v>266.88</v>
      </c>
      <c r="Y310" s="29">
        <f ca="1">VLOOKUP(Z310,CHOOSE({2,1},Fac_Fecha,Fac_OT),2,0)</f>
        <v>43868</v>
      </c>
      <c r="Z310" s="26" t="s">
        <v>2863</v>
      </c>
      <c r="AA310" s="28">
        <f t="shared" ca="1" si="141"/>
        <v>831.80844635942026</v>
      </c>
      <c r="AB310" s="28">
        <f ca="1">SUMIF(Salida_OT,Facturacion!Z310,Salida_Suma)</f>
        <v>0</v>
      </c>
      <c r="AC310" s="28">
        <f t="shared" ca="1" si="126"/>
        <v>0</v>
      </c>
      <c r="AD310" s="28">
        <f t="shared" ca="1" si="127"/>
        <v>0</v>
      </c>
      <c r="AE310" s="28">
        <f ca="1">(SUMIF(Asig_OT,Z310,Asig_Hora_Mec))*'Costos x MO'!$B$6*'Costos x MO'!$B$7</f>
        <v>0</v>
      </c>
      <c r="AF310" s="28">
        <f ca="1">SUMIF(Asig_OT,Z310,Asig_Hora_Pla)*'Costos x MO'!$B$4*'Costos x MO'!$B$7</f>
        <v>45.225000000000001</v>
      </c>
      <c r="AG310" s="28">
        <f ca="1">SUMIF(Asig_OT,Z310,Asig_paño_Pin)*'Costos x MO'!$B$5*'Costos x MO'!$B$7</f>
        <v>140.70000000000002</v>
      </c>
      <c r="AH310" s="28">
        <f ca="1">(SUMIF(Asig_OT,Z310,Asig_Terc_Pla)*'Costos x MO'!$B$7)+(SUMIF(Asig_OT,Z310,Asig_Terc_Pin)*'Costos x MO'!$B$7)</f>
        <v>0</v>
      </c>
      <c r="AI310" s="28">
        <f t="shared" ca="1" si="128"/>
        <v>185.92500000000001</v>
      </c>
      <c r="AJ310" s="28">
        <f t="shared" ca="1" si="129"/>
        <v>645.8834463594203</v>
      </c>
      <c r="AK310" s="31">
        <f t="shared" ca="1" si="130"/>
        <v>0.77648099052884267</v>
      </c>
      <c r="AL310" s="28" t="str">
        <f t="shared" ca="1" si="131"/>
        <v>RIMAC</v>
      </c>
      <c r="AM310" s="28" t="str">
        <f t="shared" ca="1" si="132"/>
        <v>LEVE</v>
      </c>
      <c r="AN310" s="30" t="str">
        <f t="shared" ca="1" si="133"/>
        <v>February</v>
      </c>
      <c r="AO310" s="42">
        <f t="shared" ca="1" si="134"/>
        <v>2020</v>
      </c>
      <c r="AP310" s="42">
        <f t="shared" ca="1" si="135"/>
        <v>11</v>
      </c>
      <c r="AQ310" s="26">
        <v>1</v>
      </c>
      <c r="AR310" s="30">
        <f t="shared" ca="1" si="136"/>
        <v>43857</v>
      </c>
      <c r="AS310" s="30" t="str">
        <f t="shared" ca="1" si="137"/>
        <v>D5M328</v>
      </c>
      <c r="AT310" s="26" t="str">
        <f t="shared" ca="1" si="138"/>
        <v>NISSAN</v>
      </c>
      <c r="AU310" s="26" t="str">
        <f t="shared" ca="1" si="139"/>
        <v>QASHQAI</v>
      </c>
      <c r="AV310" s="26" t="str">
        <f t="shared" ca="1" si="140"/>
        <v>RIMAC SEGUROS  Y REASEGUROS S.A</v>
      </c>
    </row>
    <row r="311" spans="1:48" x14ac:dyDescent="0.2">
      <c r="A311" s="220">
        <v>43774</v>
      </c>
      <c r="B311" s="130" t="s">
        <v>68</v>
      </c>
      <c r="C311" s="130" t="s">
        <v>102</v>
      </c>
      <c r="D311" s="130" t="s">
        <v>1885</v>
      </c>
      <c r="E311" s="130" t="s">
        <v>875</v>
      </c>
      <c r="F311" s="130" t="s">
        <v>908</v>
      </c>
      <c r="G311" s="220">
        <v>43762</v>
      </c>
      <c r="H311" s="130" t="s">
        <v>90</v>
      </c>
      <c r="I311" s="130" t="s">
        <v>91</v>
      </c>
      <c r="J311" s="130" t="s">
        <v>95</v>
      </c>
      <c r="K311" s="130" t="s">
        <v>96</v>
      </c>
      <c r="L311" s="174" t="s">
        <v>71</v>
      </c>
      <c r="M311" s="131" t="s">
        <v>72</v>
      </c>
      <c r="N311" s="130" t="s">
        <v>73</v>
      </c>
      <c r="O311" s="219" t="s">
        <v>69</v>
      </c>
      <c r="P311" s="130" t="s">
        <v>1699</v>
      </c>
      <c r="Q311" s="132" t="s">
        <v>93</v>
      </c>
      <c r="R311" s="218">
        <v>3.3359999999999999</v>
      </c>
      <c r="S311" s="129">
        <v>-1</v>
      </c>
      <c r="T311" s="129">
        <v>150</v>
      </c>
      <c r="U311" s="129">
        <v>-150</v>
      </c>
      <c r="V311" s="129">
        <v>-27</v>
      </c>
      <c r="W311" s="129">
        <v>-177</v>
      </c>
      <c r="X311" s="27">
        <f t="shared" si="110"/>
        <v>-500.4</v>
      </c>
      <c r="Y311" s="29">
        <f ca="1">VLOOKUP(Z311,CHOOSE({2,1},Fac_Fecha,Fac_OT),2,0)</f>
        <v>43868</v>
      </c>
      <c r="Z311" s="26" t="s">
        <v>3046</v>
      </c>
      <c r="AA311" s="28">
        <f t="shared" ca="1" si="141"/>
        <v>1306.26253875</v>
      </c>
      <c r="AB311" s="28">
        <f ca="1">SUMIF(Salida_OT,Facturacion!Z311,Salida_Suma)</f>
        <v>0</v>
      </c>
      <c r="AC311" s="28">
        <f t="shared" ca="1" si="126"/>
        <v>0</v>
      </c>
      <c r="AD311" s="28">
        <f t="shared" ca="1" si="127"/>
        <v>59.322033898305087</v>
      </c>
      <c r="AE311" s="28">
        <f ca="1">(SUMIF(Asig_OT,Z311,Asig_Hora_Mec))*'Costos x MO'!$B$6*'Costos x MO'!$B$7</f>
        <v>0</v>
      </c>
      <c r="AF311" s="28">
        <f ca="1">SUMIF(Asig_OT,Z311,Asig_Hora_Pla)*'Costos x MO'!$B$4*'Costos x MO'!$B$7</f>
        <v>120.60000000000001</v>
      </c>
      <c r="AG311" s="28">
        <f ca="1">SUMIF(Asig_OT,Z311,Asig_paño_Pin)*'Costos x MO'!$B$5*'Costos x MO'!$B$7</f>
        <v>175.875</v>
      </c>
      <c r="AH311" s="28">
        <f ca="1">(SUMIF(Asig_OT,Z311,Asig_Terc_Pla)*'Costos x MO'!$B$7)+(SUMIF(Asig_OT,Z311,Asig_Terc_Pin)*'Costos x MO'!$B$7)</f>
        <v>0</v>
      </c>
      <c r="AI311" s="28">
        <f t="shared" ca="1" si="128"/>
        <v>355.79703389830513</v>
      </c>
      <c r="AJ311" s="28">
        <f t="shared" ca="1" si="129"/>
        <v>950.46550485169485</v>
      </c>
      <c r="AK311" s="31">
        <f t="shared" ca="1" si="130"/>
        <v>0.7276221101473388</v>
      </c>
      <c r="AL311" s="28" t="s">
        <v>123</v>
      </c>
      <c r="AM311" s="28" t="s">
        <v>124</v>
      </c>
      <c r="AN311" s="30" t="str">
        <f t="shared" ca="1" si="133"/>
        <v>February</v>
      </c>
      <c r="AO311" s="42">
        <f t="shared" ca="1" si="134"/>
        <v>2020</v>
      </c>
      <c r="AP311" s="42">
        <f t="shared" ca="1" si="135"/>
        <v>7</v>
      </c>
      <c r="AQ311" s="26">
        <v>1</v>
      </c>
      <c r="AR311" s="30">
        <f t="shared" ca="1" si="136"/>
        <v>43861</v>
      </c>
      <c r="AS311" s="30" t="str">
        <f t="shared" ca="1" si="137"/>
        <v>BNL501</v>
      </c>
      <c r="AT311" s="26" t="str">
        <f t="shared" ca="1" si="138"/>
        <v>HYUNDAI</v>
      </c>
      <c r="AU311" s="26" t="str">
        <f t="shared" ca="1" si="139"/>
        <v>CRETA</v>
      </c>
      <c r="AV311" s="26" t="str">
        <f t="shared" ca="1" si="140"/>
        <v>RIMAC SEGUROS  Y REASEGUROS S.A</v>
      </c>
    </row>
    <row r="312" spans="1:48" x14ac:dyDescent="0.2">
      <c r="A312" s="220">
        <v>43774</v>
      </c>
      <c r="B312" s="130" t="s">
        <v>68</v>
      </c>
      <c r="C312" s="130" t="s">
        <v>102</v>
      </c>
      <c r="D312" s="130" t="s">
        <v>1885</v>
      </c>
      <c r="E312" s="130" t="s">
        <v>875</v>
      </c>
      <c r="F312" s="130" t="s">
        <v>908</v>
      </c>
      <c r="G312" s="220">
        <v>43762</v>
      </c>
      <c r="H312" s="130" t="s">
        <v>90</v>
      </c>
      <c r="I312" s="130" t="s">
        <v>91</v>
      </c>
      <c r="J312" s="130" t="s">
        <v>104</v>
      </c>
      <c r="K312" s="130" t="s">
        <v>105</v>
      </c>
      <c r="L312" s="174" t="s">
        <v>71</v>
      </c>
      <c r="M312" s="131" t="s">
        <v>72</v>
      </c>
      <c r="N312" s="130" t="s">
        <v>73</v>
      </c>
      <c r="O312" s="219" t="s">
        <v>69</v>
      </c>
      <c r="P312" s="130" t="s">
        <v>1699</v>
      </c>
      <c r="Q312" s="132" t="s">
        <v>93</v>
      </c>
      <c r="R312" s="218">
        <v>3.3359999999999999</v>
      </c>
      <c r="S312" s="129">
        <v>1</v>
      </c>
      <c r="T312" s="129">
        <v>0</v>
      </c>
      <c r="U312" s="129">
        <v>0</v>
      </c>
      <c r="V312" s="129">
        <v>0</v>
      </c>
      <c r="W312" s="129">
        <v>0</v>
      </c>
      <c r="X312" s="27">
        <f t="shared" si="110"/>
        <v>0</v>
      </c>
      <c r="Y312" s="29">
        <f ca="1">VLOOKUP(Z312,CHOOSE({2,1},Fac_Fecha,Fac_OT),2,0)</f>
        <v>43869</v>
      </c>
      <c r="Z312" s="26" t="s">
        <v>2687</v>
      </c>
      <c r="AA312" s="28">
        <f t="shared" ca="1" si="141"/>
        <v>1814.2740000000001</v>
      </c>
      <c r="AB312" s="28">
        <f ca="1">SUMIF(Salida_OT,Facturacion!Z312,Salida_Suma)</f>
        <v>0</v>
      </c>
      <c r="AC312" s="28">
        <f t="shared" ca="1" si="126"/>
        <v>0</v>
      </c>
      <c r="AD312" s="28">
        <f t="shared" ca="1" si="127"/>
        <v>0</v>
      </c>
      <c r="AE312" s="28">
        <f ca="1">(SUMIF(Asig_OT,Z312,Asig_Hora_Mec))*'Costos x MO'!$B$6*'Costos x MO'!$B$7</f>
        <v>0</v>
      </c>
      <c r="AF312" s="28">
        <f ca="1">SUMIF(Asig_OT,Z312,Asig_Hora_Pla)*'Costos x MO'!$B$4*'Costos x MO'!$B$7</f>
        <v>150.75</v>
      </c>
      <c r="AG312" s="28">
        <f ca="1">SUMIF(Asig_OT,Z312,Asig_paño_Pin)*'Costos x MO'!$B$5*'Costos x MO'!$B$7</f>
        <v>316.57499999999999</v>
      </c>
      <c r="AH312" s="28">
        <f ca="1">(SUMIF(Asig_OT,Z312,Asig_Terc_Pla)*'Costos x MO'!$B$7)+(SUMIF(Asig_OT,Z312,Asig_Terc_Pin)*'Costos x MO'!$B$7)</f>
        <v>0</v>
      </c>
      <c r="AI312" s="28">
        <f t="shared" ca="1" si="128"/>
        <v>467.32499999999999</v>
      </c>
      <c r="AJ312" s="28">
        <f t="shared" ca="1" si="129"/>
        <v>1346.9490000000001</v>
      </c>
      <c r="AK312" s="31">
        <f t="shared" ca="1" si="130"/>
        <v>0.74241762820830814</v>
      </c>
      <c r="AL312" s="28" t="str">
        <f t="shared" ca="1" si="131"/>
        <v>RIMAC</v>
      </c>
      <c r="AM312" s="28" t="str">
        <f t="shared" ca="1" si="132"/>
        <v>MEDIANO</v>
      </c>
      <c r="AN312" s="30" t="str">
        <f t="shared" ca="1" si="133"/>
        <v>February</v>
      </c>
      <c r="AO312" s="42">
        <f t="shared" ca="1" si="134"/>
        <v>2020</v>
      </c>
      <c r="AP312" s="42">
        <f t="shared" ca="1" si="135"/>
        <v>11</v>
      </c>
      <c r="AQ312" s="26">
        <v>1</v>
      </c>
      <c r="AR312" s="30">
        <f t="shared" ca="1" si="136"/>
        <v>43858</v>
      </c>
      <c r="AS312" s="30" t="str">
        <f t="shared" ca="1" si="137"/>
        <v>D6X505</v>
      </c>
      <c r="AT312" s="26" t="str">
        <f t="shared" ca="1" si="138"/>
        <v>VOLKSWAGEN</v>
      </c>
      <c r="AU312" s="26" t="str">
        <f t="shared" ca="1" si="139"/>
        <v>GOL</v>
      </c>
      <c r="AV312" s="26" t="str">
        <f t="shared" ca="1" si="140"/>
        <v>RIMAC SEGUROS  Y REASEGUROS S.A</v>
      </c>
    </row>
    <row r="313" spans="1:48" x14ac:dyDescent="0.2">
      <c r="A313" s="220">
        <v>43774</v>
      </c>
      <c r="B313" s="130" t="s">
        <v>68</v>
      </c>
      <c r="C313" s="130" t="s">
        <v>102</v>
      </c>
      <c r="D313" s="130" t="s">
        <v>1884</v>
      </c>
      <c r="E313" s="130" t="s">
        <v>883</v>
      </c>
      <c r="F313" s="130" t="s">
        <v>909</v>
      </c>
      <c r="G313" s="220">
        <v>43766</v>
      </c>
      <c r="H313" s="130" t="s">
        <v>90</v>
      </c>
      <c r="I313" s="130" t="s">
        <v>91</v>
      </c>
      <c r="J313" s="130" t="s">
        <v>97</v>
      </c>
      <c r="K313" s="130" t="s">
        <v>98</v>
      </c>
      <c r="L313" s="174" t="s">
        <v>71</v>
      </c>
      <c r="M313" s="131" t="s">
        <v>72</v>
      </c>
      <c r="N313" s="130" t="s">
        <v>73</v>
      </c>
      <c r="O313" s="219" t="s">
        <v>99</v>
      </c>
      <c r="P313" s="130" t="s">
        <v>98</v>
      </c>
      <c r="Q313" s="132" t="s">
        <v>93</v>
      </c>
      <c r="R313" s="218">
        <v>3.3359999999999999</v>
      </c>
      <c r="S313" s="129">
        <v>1</v>
      </c>
      <c r="T313" s="129">
        <v>118</v>
      </c>
      <c r="U313" s="129">
        <v>118</v>
      </c>
      <c r="V313" s="129">
        <v>21.240010000000019</v>
      </c>
      <c r="W313" s="129">
        <v>139.24001000000001</v>
      </c>
      <c r="X313" s="27">
        <f t="shared" si="110"/>
        <v>393.64799999999997</v>
      </c>
      <c r="Y313" s="29">
        <f ca="1">VLOOKUP(Z313,CHOOSE({2,1},Fac_Fecha,Fac_OT),2,0)</f>
        <v>43872</v>
      </c>
      <c r="Z313" s="26" t="s">
        <v>2859</v>
      </c>
      <c r="AA313" s="28">
        <f t="shared" ca="1" si="141"/>
        <v>807.77202379999994</v>
      </c>
      <c r="AB313" s="28">
        <f ca="1">SUMIF(Salida_OT,Facturacion!Z313,Salida_Suma)</f>
        <v>0</v>
      </c>
      <c r="AC313" s="28">
        <f t="shared" ca="1" si="126"/>
        <v>0</v>
      </c>
      <c r="AD313" s="28">
        <f t="shared" ca="1" si="127"/>
        <v>0</v>
      </c>
      <c r="AE313" s="28">
        <f ca="1">(SUMIF(Asig_OT,Z313,Asig_Hora_Mec))*'Costos x MO'!$B$6*'Costos x MO'!$B$7</f>
        <v>0</v>
      </c>
      <c r="AF313" s="28">
        <f ca="1">SUMIF(Asig_OT,Z313,Asig_Hora_Pla)*'Costos x MO'!$B$4*'Costos x MO'!$B$7</f>
        <v>90.45</v>
      </c>
      <c r="AG313" s="28">
        <f ca="1">SUMIF(Asig_OT,Z313,Asig_paño_Pin)*'Costos x MO'!$B$5*'Costos x MO'!$B$7</f>
        <v>140.70000000000002</v>
      </c>
      <c r="AH313" s="28">
        <f ca="1">(SUMIF(Asig_OT,Z313,Asig_Terc_Pla)*'Costos x MO'!$B$7)+(SUMIF(Asig_OT,Z313,Asig_Terc_Pin)*'Costos x MO'!$B$7)</f>
        <v>0</v>
      </c>
      <c r="AI313" s="28">
        <f t="shared" ca="1" si="128"/>
        <v>231.15000000000003</v>
      </c>
      <c r="AJ313" s="28">
        <f t="shared" ca="1" si="129"/>
        <v>576.62202379999985</v>
      </c>
      <c r="AK313" s="31">
        <f t="shared" ca="1" si="130"/>
        <v>0.71384252835026185</v>
      </c>
      <c r="AL313" s="28" t="str">
        <f t="shared" ca="1" si="131"/>
        <v>RIMAC</v>
      </c>
      <c r="AM313" s="28" t="str">
        <f t="shared" ca="1" si="132"/>
        <v>LEVE</v>
      </c>
      <c r="AN313" s="30" t="str">
        <f t="shared" ca="1" si="133"/>
        <v>February</v>
      </c>
      <c r="AO313" s="42">
        <f t="shared" ca="1" si="134"/>
        <v>2020</v>
      </c>
      <c r="AP313" s="42">
        <f t="shared" ca="1" si="135"/>
        <v>13</v>
      </c>
      <c r="AQ313" s="26">
        <v>1</v>
      </c>
      <c r="AR313" s="30">
        <f t="shared" ca="1" si="136"/>
        <v>43859</v>
      </c>
      <c r="AS313" s="30" t="str">
        <f t="shared" ca="1" si="137"/>
        <v>BJF224</v>
      </c>
      <c r="AT313" s="26" t="str">
        <f t="shared" ca="1" si="138"/>
        <v>MAZDA</v>
      </c>
      <c r="AU313" s="26" t="str">
        <f t="shared" ca="1" si="139"/>
        <v>MAZDA 6</v>
      </c>
      <c r="AV313" s="26" t="str">
        <f t="shared" ca="1" si="140"/>
        <v>RIMAC SEGUROS  Y REASEGUROS S.A</v>
      </c>
    </row>
    <row r="314" spans="1:48" x14ac:dyDescent="0.2">
      <c r="A314" s="220">
        <v>43774</v>
      </c>
      <c r="B314" s="130" t="s">
        <v>68</v>
      </c>
      <c r="C314" s="130" t="s">
        <v>102</v>
      </c>
      <c r="D314" s="130" t="s">
        <v>1884</v>
      </c>
      <c r="E314" s="130" t="s">
        <v>883</v>
      </c>
      <c r="F314" s="130" t="s">
        <v>909</v>
      </c>
      <c r="G314" s="220">
        <v>43766</v>
      </c>
      <c r="H314" s="130" t="s">
        <v>90</v>
      </c>
      <c r="I314" s="130" t="s">
        <v>91</v>
      </c>
      <c r="J314" s="130" t="s">
        <v>100</v>
      </c>
      <c r="K314" s="130" t="s">
        <v>101</v>
      </c>
      <c r="L314" s="174" t="s">
        <v>71</v>
      </c>
      <c r="M314" s="131" t="s">
        <v>72</v>
      </c>
      <c r="N314" s="130" t="s">
        <v>73</v>
      </c>
      <c r="O314" s="219" t="s">
        <v>72</v>
      </c>
      <c r="P314" s="130" t="s">
        <v>101</v>
      </c>
      <c r="Q314" s="132" t="s">
        <v>93</v>
      </c>
      <c r="R314" s="218">
        <v>3.3359999999999999</v>
      </c>
      <c r="S314" s="129">
        <v>1</v>
      </c>
      <c r="T314" s="129">
        <v>60</v>
      </c>
      <c r="U314" s="129">
        <v>60</v>
      </c>
      <c r="V314" s="129">
        <v>10.800002999999997</v>
      </c>
      <c r="W314" s="129">
        <v>70.800003000000004</v>
      </c>
      <c r="X314" s="27">
        <f t="shared" si="110"/>
        <v>200.16</v>
      </c>
      <c r="Y314" s="29">
        <f ca="1">VLOOKUP(Z314,CHOOSE({2,1},Fac_Fecha,Fac_OT),2,0)</f>
        <v>43872</v>
      </c>
      <c r="Z314" s="26" t="s">
        <v>1951</v>
      </c>
      <c r="AA314" s="28">
        <f t="shared" ca="1" si="141"/>
        <v>441.22001299999999</v>
      </c>
      <c r="AB314" s="28">
        <f ca="1">SUMIF(Salida_OT,Facturacion!Z314,Salida_Suma)</f>
        <v>0</v>
      </c>
      <c r="AC314" s="28">
        <f t="shared" ca="1" si="126"/>
        <v>0</v>
      </c>
      <c r="AD314" s="28">
        <f t="shared" ca="1" si="127"/>
        <v>0</v>
      </c>
      <c r="AE314" s="28">
        <f ca="1">(SUMIF(Asig_OT,Z314,Asig_Hora_Mec))*'Costos x MO'!$B$6*'Costos x MO'!$B$7</f>
        <v>0</v>
      </c>
      <c r="AF314" s="28">
        <f ca="1">SUMIF(Asig_OT,Z314,Asig_Hora_Pla)*'Costos x MO'!$B$4*'Costos x MO'!$B$7</f>
        <v>52.762500000000003</v>
      </c>
      <c r="AG314" s="28">
        <f ca="1">SUMIF(Asig_OT,Z314,Asig_paño_Pin)*'Costos x MO'!$B$5*'Costos x MO'!$B$7</f>
        <v>70.350000000000009</v>
      </c>
      <c r="AH314" s="28">
        <f ca="1">(SUMIF(Asig_OT,Z314,Asig_Terc_Pla)*'Costos x MO'!$B$7)+(SUMIF(Asig_OT,Z314,Asig_Terc_Pin)*'Costos x MO'!$B$7)</f>
        <v>0</v>
      </c>
      <c r="AI314" s="28">
        <f t="shared" ca="1" si="128"/>
        <v>123.11250000000001</v>
      </c>
      <c r="AJ314" s="28">
        <f t="shared" ca="1" si="129"/>
        <v>318.10751299999998</v>
      </c>
      <c r="AK314" s="31">
        <f t="shared" ca="1" si="130"/>
        <v>0.72097253893150126</v>
      </c>
      <c r="AL314" s="28" t="str">
        <f t="shared" ca="1" si="131"/>
        <v>C.C</v>
      </c>
      <c r="AM314" s="28" t="str">
        <f t="shared" ca="1" si="132"/>
        <v>LEVE</v>
      </c>
      <c r="AN314" s="30" t="str">
        <f t="shared" ca="1" si="133"/>
        <v>February</v>
      </c>
      <c r="AO314" s="42">
        <f t="shared" ca="1" si="134"/>
        <v>2020</v>
      </c>
      <c r="AP314" s="42">
        <f t="shared" ca="1" si="135"/>
        <v>60</v>
      </c>
      <c r="AQ314" s="26">
        <v>1</v>
      </c>
      <c r="AR314" s="30">
        <f t="shared" ca="1" si="136"/>
        <v>43812</v>
      </c>
      <c r="AS314" s="30" t="str">
        <f t="shared" ca="1" si="137"/>
        <v>AND446</v>
      </c>
      <c r="AT314" s="26" t="str">
        <f t="shared" ca="1" si="138"/>
        <v>RENAULT</v>
      </c>
      <c r="AU314" s="26" t="str">
        <f t="shared" ca="1" si="139"/>
        <v>RENAULT</v>
      </c>
      <c r="AV314" s="26" t="str">
        <f t="shared" ca="1" si="140"/>
        <v>RENTAEQUIPOS LEASING PERU S.A.</v>
      </c>
    </row>
    <row r="315" spans="1:48" x14ac:dyDescent="0.2">
      <c r="A315" s="220">
        <v>43774</v>
      </c>
      <c r="B315" s="130" t="s">
        <v>68</v>
      </c>
      <c r="C315" s="130" t="s">
        <v>102</v>
      </c>
      <c r="D315" s="130" t="s">
        <v>1884</v>
      </c>
      <c r="E315" s="130" t="s">
        <v>883</v>
      </c>
      <c r="F315" s="130" t="s">
        <v>909</v>
      </c>
      <c r="G315" s="220">
        <v>43766</v>
      </c>
      <c r="H315" s="130" t="s">
        <v>90</v>
      </c>
      <c r="I315" s="130" t="s">
        <v>91</v>
      </c>
      <c r="J315" s="130" t="s">
        <v>92</v>
      </c>
      <c r="K315" s="130" t="s">
        <v>113</v>
      </c>
      <c r="L315" s="174" t="s">
        <v>71</v>
      </c>
      <c r="M315" s="131" t="s">
        <v>72</v>
      </c>
      <c r="N315" s="130" t="s">
        <v>73</v>
      </c>
      <c r="O315" s="219" t="s">
        <v>69</v>
      </c>
      <c r="P315" s="130" t="s">
        <v>1699</v>
      </c>
      <c r="Q315" s="132" t="s">
        <v>93</v>
      </c>
      <c r="R315" s="218">
        <v>3.3359999999999999</v>
      </c>
      <c r="S315" s="129">
        <v>1</v>
      </c>
      <c r="T315" s="129">
        <v>110</v>
      </c>
      <c r="U315" s="129">
        <v>110</v>
      </c>
      <c r="V315" s="129">
        <v>19.8</v>
      </c>
      <c r="W315" s="129">
        <v>129.80000000000001</v>
      </c>
      <c r="X315" s="27">
        <f t="shared" si="110"/>
        <v>366.96</v>
      </c>
      <c r="Y315" s="29">
        <f ca="1">VLOOKUP(Z315,CHOOSE({2,1},Fac_Fecha,Fac_OT),2,0)</f>
        <v>43872</v>
      </c>
      <c r="Z315" s="26" t="s">
        <v>2689</v>
      </c>
      <c r="AA315" s="28">
        <f t="shared" ca="1" si="141"/>
        <v>50.9100015</v>
      </c>
      <c r="AB315" s="28">
        <f ca="1">SUMIF(Salida_OT,Facturacion!Z315,Salida_Suma)</f>
        <v>0</v>
      </c>
      <c r="AC315" s="28">
        <f t="shared" ca="1" si="126"/>
        <v>0</v>
      </c>
      <c r="AD315" s="28">
        <f t="shared" ca="1" si="127"/>
        <v>0</v>
      </c>
      <c r="AE315" s="28">
        <f ca="1">(SUMIF(Asig_OT,Z315,Asig_Hora_Mec))*'Costos x MO'!$B$6*'Costos x MO'!$B$7</f>
        <v>0</v>
      </c>
      <c r="AF315" s="28">
        <f ca="1">SUMIF(Asig_OT,Z315,Asig_Hora_Pla)*'Costos x MO'!$B$4*'Costos x MO'!$B$7</f>
        <v>15.075000000000001</v>
      </c>
      <c r="AG315" s="28">
        <f ca="1">SUMIF(Asig_OT,Z315,Asig_paño_Pin)*'Costos x MO'!$B$5*'Costos x MO'!$B$7</f>
        <v>0</v>
      </c>
      <c r="AH315" s="28">
        <f ca="1">(SUMIF(Asig_OT,Z315,Asig_Terc_Pla)*'Costos x MO'!$B$7)+(SUMIF(Asig_OT,Z315,Asig_Terc_Pin)*'Costos x MO'!$B$7)</f>
        <v>0</v>
      </c>
      <c r="AI315" s="28">
        <f t="shared" ca="1" si="128"/>
        <v>15.075000000000001</v>
      </c>
      <c r="AJ315" s="28">
        <f t="shared" ca="1" si="129"/>
        <v>35.835001499999997</v>
      </c>
      <c r="AK315" s="31">
        <f t="shared" ca="1" si="130"/>
        <v>0.7038892249885319</v>
      </c>
      <c r="AL315" s="28" t="str">
        <f t="shared" ca="1" si="131"/>
        <v>C.C</v>
      </c>
      <c r="AM315" s="28" t="str">
        <f t="shared" ca="1" si="132"/>
        <v>LEVE</v>
      </c>
      <c r="AN315" s="30" t="str">
        <f t="shared" ca="1" si="133"/>
        <v>February</v>
      </c>
      <c r="AO315" s="42">
        <f t="shared" ca="1" si="134"/>
        <v>2020</v>
      </c>
      <c r="AP315" s="42">
        <f t="shared" ca="1" si="135"/>
        <v>7</v>
      </c>
      <c r="AQ315" s="26">
        <v>1</v>
      </c>
      <c r="AR315" s="30">
        <f t="shared" ca="1" si="136"/>
        <v>43865</v>
      </c>
      <c r="AS315" s="30" t="str">
        <f t="shared" ca="1" si="137"/>
        <v>BAN755</v>
      </c>
      <c r="AT315" s="26" t="str">
        <f t="shared" ca="1" si="138"/>
        <v>MAZDA</v>
      </c>
      <c r="AU315" s="26" t="str">
        <f t="shared" ca="1" si="139"/>
        <v>CX5</v>
      </c>
      <c r="AV315" s="26" t="str">
        <f t="shared" ca="1" si="140"/>
        <v>RIMAC SEGUROS  Y REASEGUROS S.A</v>
      </c>
    </row>
    <row r="316" spans="1:48" x14ac:dyDescent="0.2">
      <c r="A316" s="220">
        <v>43774</v>
      </c>
      <c r="B316" s="130" t="s">
        <v>68</v>
      </c>
      <c r="C316" s="130" t="s">
        <v>102</v>
      </c>
      <c r="D316" s="130" t="s">
        <v>1884</v>
      </c>
      <c r="E316" s="130" t="s">
        <v>883</v>
      </c>
      <c r="F316" s="130" t="s">
        <v>909</v>
      </c>
      <c r="G316" s="220">
        <v>43766</v>
      </c>
      <c r="H316" s="130" t="s">
        <v>90</v>
      </c>
      <c r="I316" s="130" t="s">
        <v>91</v>
      </c>
      <c r="J316" s="130" t="s">
        <v>104</v>
      </c>
      <c r="K316" s="130" t="s">
        <v>105</v>
      </c>
      <c r="L316" s="174" t="s">
        <v>71</v>
      </c>
      <c r="M316" s="131" t="s">
        <v>72</v>
      </c>
      <c r="N316" s="130" t="s">
        <v>73</v>
      </c>
      <c r="O316" s="219" t="s">
        <v>69</v>
      </c>
      <c r="P316" s="130" t="s">
        <v>1699</v>
      </c>
      <c r="Q316" s="132" t="s">
        <v>93</v>
      </c>
      <c r="R316" s="218">
        <v>3.3359999999999999</v>
      </c>
      <c r="S316" s="129">
        <v>1</v>
      </c>
      <c r="T316" s="129">
        <v>0</v>
      </c>
      <c r="U316" s="129">
        <v>0</v>
      </c>
      <c r="V316" s="129">
        <v>0</v>
      </c>
      <c r="W316" s="129">
        <v>0</v>
      </c>
      <c r="X316" s="27">
        <f t="shared" si="110"/>
        <v>0</v>
      </c>
      <c r="Y316" s="29">
        <f ca="1">VLOOKUP(Z316,CHOOSE({2,1},Fac_Fecha,Fac_OT),2,0)</f>
        <v>43874</v>
      </c>
      <c r="Z316" s="26" t="s">
        <v>2862</v>
      </c>
      <c r="AA316" s="28">
        <f t="shared" ca="1" si="141"/>
        <v>301.08699110000003</v>
      </c>
      <c r="AB316" s="28">
        <f ca="1">SUMIF(Salida_OT,Facturacion!Z316,Salida_Suma)</f>
        <v>0</v>
      </c>
      <c r="AC316" s="28">
        <f t="shared" ca="1" si="126"/>
        <v>0</v>
      </c>
      <c r="AD316" s="28">
        <f t="shared" ca="1" si="127"/>
        <v>0</v>
      </c>
      <c r="AE316" s="28">
        <f ca="1">(SUMIF(Asig_OT,Z316,Asig_Hora_Mec))*'Costos x MO'!$B$6*'Costos x MO'!$B$7</f>
        <v>0</v>
      </c>
      <c r="AF316" s="28">
        <f ca="1">SUMIF(Asig_OT,Z316,Asig_Hora_Pla)*'Costos x MO'!$B$4*'Costos x MO'!$B$7</f>
        <v>30.150000000000002</v>
      </c>
      <c r="AG316" s="28">
        <f ca="1">SUMIF(Asig_OT,Z316,Asig_paño_Pin)*'Costos x MO'!$B$5*'Costos x MO'!$B$7</f>
        <v>70.350000000000009</v>
      </c>
      <c r="AH316" s="28">
        <f ca="1">(SUMIF(Asig_OT,Z316,Asig_Terc_Pla)*'Costos x MO'!$B$7)+(SUMIF(Asig_OT,Z316,Asig_Terc_Pin)*'Costos x MO'!$B$7)</f>
        <v>0</v>
      </c>
      <c r="AI316" s="28">
        <f t="shared" ca="1" si="128"/>
        <v>100.50000000000001</v>
      </c>
      <c r="AJ316" s="28">
        <f t="shared" ca="1" si="129"/>
        <v>200.58699110000003</v>
      </c>
      <c r="AK316" s="31">
        <f t="shared" ca="1" si="130"/>
        <v>0.66620942461568877</v>
      </c>
      <c r="AL316" s="28" t="str">
        <f t="shared" ca="1" si="131"/>
        <v>RIMAC</v>
      </c>
      <c r="AM316" s="28" t="str">
        <f t="shared" ca="1" si="132"/>
        <v>LEVE</v>
      </c>
      <c r="AN316" s="30" t="str">
        <f t="shared" ca="1" si="133"/>
        <v>February</v>
      </c>
      <c r="AO316" s="42">
        <f t="shared" ca="1" si="134"/>
        <v>2020</v>
      </c>
      <c r="AP316" s="42">
        <f t="shared" ca="1" si="135"/>
        <v>15</v>
      </c>
      <c r="AQ316" s="26">
        <v>1</v>
      </c>
      <c r="AR316" s="30">
        <f t="shared" ca="1" si="136"/>
        <v>43859</v>
      </c>
      <c r="AS316" s="30" t="str">
        <f t="shared" ca="1" si="137"/>
        <v>BJF224</v>
      </c>
      <c r="AT316" s="26" t="str">
        <f t="shared" ca="1" si="138"/>
        <v>MAZDA</v>
      </c>
      <c r="AU316" s="26" t="str">
        <f t="shared" ca="1" si="139"/>
        <v>MAZDA 6</v>
      </c>
      <c r="AV316" s="26" t="str">
        <f t="shared" ca="1" si="140"/>
        <v>RIMAC SEGUROS  Y REASEGUROS S.A</v>
      </c>
    </row>
    <row r="317" spans="1:48" x14ac:dyDescent="0.2">
      <c r="A317" s="220">
        <v>43775</v>
      </c>
      <c r="B317" s="130" t="s">
        <v>68</v>
      </c>
      <c r="C317" s="130" t="s">
        <v>102</v>
      </c>
      <c r="D317" s="130" t="s">
        <v>1883</v>
      </c>
      <c r="E317" s="130" t="s">
        <v>895</v>
      </c>
      <c r="F317" s="130" t="s">
        <v>925</v>
      </c>
      <c r="G317" s="220">
        <v>43763</v>
      </c>
      <c r="H317" s="130" t="s">
        <v>1882</v>
      </c>
      <c r="I317" s="130" t="s">
        <v>1881</v>
      </c>
      <c r="J317" s="130" t="s">
        <v>95</v>
      </c>
      <c r="K317" s="130" t="s">
        <v>96</v>
      </c>
      <c r="L317" s="174" t="s">
        <v>71</v>
      </c>
      <c r="M317" s="131" t="s">
        <v>72</v>
      </c>
      <c r="N317" s="130" t="s">
        <v>73</v>
      </c>
      <c r="O317" s="219" t="s">
        <v>69</v>
      </c>
      <c r="P317" s="130" t="s">
        <v>1699</v>
      </c>
      <c r="Q317" s="132" t="s">
        <v>93</v>
      </c>
      <c r="R317" s="218">
        <v>3.339</v>
      </c>
      <c r="S317" s="129">
        <v>1</v>
      </c>
      <c r="T317" s="129">
        <v>100</v>
      </c>
      <c r="U317" s="129">
        <v>100</v>
      </c>
      <c r="V317" s="129">
        <v>18</v>
      </c>
      <c r="W317" s="129">
        <v>118</v>
      </c>
      <c r="X317" s="27">
        <f t="shared" si="110"/>
        <v>333.9</v>
      </c>
      <c r="Y317" s="29">
        <f ca="1">VLOOKUP(Z317,CHOOSE({2,1},Fac_Fecha,Fac_OT),2,0)</f>
        <v>43874</v>
      </c>
      <c r="Z317" s="26" t="s">
        <v>2870</v>
      </c>
      <c r="AA317" s="28">
        <f t="shared" ca="1" si="141"/>
        <v>436.40698710000009</v>
      </c>
      <c r="AB317" s="28">
        <f ca="1">SUMIF(Salida_OT,Facturacion!Z317,Salida_Suma)</f>
        <v>0</v>
      </c>
      <c r="AC317" s="28">
        <f t="shared" ca="1" si="126"/>
        <v>0</v>
      </c>
      <c r="AD317" s="28">
        <f t="shared" ca="1" si="127"/>
        <v>0</v>
      </c>
      <c r="AE317" s="28">
        <f ca="1">(SUMIF(Asig_OT,Z317,Asig_Hora_Mec))*'Costos x MO'!$B$6*'Costos x MO'!$B$7</f>
        <v>0</v>
      </c>
      <c r="AF317" s="28">
        <f ca="1">SUMIF(Asig_OT,Z317,Asig_Hora_Pla)*'Costos x MO'!$B$4*'Costos x MO'!$B$7</f>
        <v>30.150000000000002</v>
      </c>
      <c r="AG317" s="28">
        <f ca="1">SUMIF(Asig_OT,Z317,Asig_paño_Pin)*'Costos x MO'!$B$5*'Costos x MO'!$B$7</f>
        <v>70.350000000000009</v>
      </c>
      <c r="AH317" s="28">
        <f ca="1">(SUMIF(Asig_OT,Z317,Asig_Terc_Pla)*'Costos x MO'!$B$7)+(SUMIF(Asig_OT,Z317,Asig_Terc_Pin)*'Costos x MO'!$B$7)</f>
        <v>0</v>
      </c>
      <c r="AI317" s="28">
        <f t="shared" ca="1" si="128"/>
        <v>100.50000000000001</v>
      </c>
      <c r="AJ317" s="28">
        <f t="shared" ca="1" si="129"/>
        <v>335.90698710000009</v>
      </c>
      <c r="AK317" s="31">
        <f t="shared" ca="1" si="130"/>
        <v>0.76971037822322719</v>
      </c>
      <c r="AL317" s="28" t="str">
        <f t="shared" ca="1" si="131"/>
        <v>RIMAC</v>
      </c>
      <c r="AM317" s="28" t="str">
        <f t="shared" ca="1" si="132"/>
        <v>LEVE</v>
      </c>
      <c r="AN317" s="30" t="str">
        <f t="shared" ca="1" si="133"/>
        <v>February</v>
      </c>
      <c r="AO317" s="42">
        <f t="shared" ca="1" si="134"/>
        <v>2020</v>
      </c>
      <c r="AP317" s="42">
        <f t="shared" ca="1" si="135"/>
        <v>9</v>
      </c>
      <c r="AQ317" s="26">
        <v>1</v>
      </c>
      <c r="AR317" s="30">
        <f t="shared" ca="1" si="136"/>
        <v>43865</v>
      </c>
      <c r="AS317" s="30" t="str">
        <f t="shared" ca="1" si="137"/>
        <v>A3E362</v>
      </c>
      <c r="AT317" s="26" t="str">
        <f t="shared" ca="1" si="138"/>
        <v>TOYOTA</v>
      </c>
      <c r="AU317" s="26" t="str">
        <f t="shared" ca="1" si="139"/>
        <v>RAV 4</v>
      </c>
      <c r="AV317" s="26" t="str">
        <f t="shared" ca="1" si="140"/>
        <v>PATRON JORGE RICARDO GALLEGOS RIZO</v>
      </c>
    </row>
    <row r="318" spans="1:48" x14ac:dyDescent="0.2">
      <c r="A318" s="220">
        <v>43775</v>
      </c>
      <c r="B318" s="130" t="s">
        <v>68</v>
      </c>
      <c r="C318" s="130" t="s">
        <v>102</v>
      </c>
      <c r="D318" s="130" t="s">
        <v>1880</v>
      </c>
      <c r="E318" s="130" t="s">
        <v>828</v>
      </c>
      <c r="F318" s="130" t="s">
        <v>910</v>
      </c>
      <c r="G318" s="220">
        <v>43759</v>
      </c>
      <c r="H318" s="130" t="s">
        <v>387</v>
      </c>
      <c r="I318" s="130" t="s">
        <v>386</v>
      </c>
      <c r="J318" s="130" t="s">
        <v>97</v>
      </c>
      <c r="K318" s="130" t="s">
        <v>98</v>
      </c>
      <c r="L318" s="174" t="s">
        <v>71</v>
      </c>
      <c r="M318" s="131" t="s">
        <v>72</v>
      </c>
      <c r="N318" s="130" t="s">
        <v>73</v>
      </c>
      <c r="O318" s="219" t="s">
        <v>99</v>
      </c>
      <c r="P318" s="130" t="s">
        <v>98</v>
      </c>
      <c r="Q318" s="132" t="s">
        <v>74</v>
      </c>
      <c r="R318" s="218">
        <v>3.339</v>
      </c>
      <c r="S318" s="129">
        <v>1</v>
      </c>
      <c r="T318" s="129">
        <v>2160</v>
      </c>
      <c r="U318" s="129">
        <v>2160</v>
      </c>
      <c r="V318" s="129">
        <v>388.8</v>
      </c>
      <c r="W318" s="129">
        <v>2548.8000000000002</v>
      </c>
      <c r="X318" s="27">
        <f t="shared" si="110"/>
        <v>2160</v>
      </c>
      <c r="Y318" s="29">
        <f ca="1">VLOOKUP(Z318,CHOOSE({2,1},Fac_Fecha,Fac_OT),2,0)</f>
        <v>43875</v>
      </c>
      <c r="Z318" s="26" t="s">
        <v>2880</v>
      </c>
      <c r="AA318" s="28">
        <f t="shared" ca="1" si="141"/>
        <v>1646.8025</v>
      </c>
      <c r="AB318" s="28">
        <f ca="1">SUMIF(Salida_OT,Facturacion!Z318,Salida_Suma)</f>
        <v>0</v>
      </c>
      <c r="AC318" s="28">
        <f t="shared" ca="1" si="126"/>
        <v>0</v>
      </c>
      <c r="AD318" s="28">
        <f t="shared" ca="1" si="127"/>
        <v>0</v>
      </c>
      <c r="AE318" s="28">
        <f ca="1">(SUMIF(Asig_OT,Z318,Asig_Hora_Mec))*'Costos x MO'!$B$6*'Costos x MO'!$B$7</f>
        <v>30.150000000000002</v>
      </c>
      <c r="AF318" s="28">
        <f ca="1">SUMIF(Asig_OT,Z318,Asig_Hora_Pla)*'Costos x MO'!$B$4*'Costos x MO'!$B$7</f>
        <v>135.67500000000001</v>
      </c>
      <c r="AG318" s="28">
        <f ca="1">SUMIF(Asig_OT,Z318,Asig_paño_Pin)*'Costos x MO'!$B$5*'Costos x MO'!$B$7</f>
        <v>246.22499999999999</v>
      </c>
      <c r="AH318" s="28">
        <f ca="1">(SUMIF(Asig_OT,Z318,Asig_Terc_Pla)*'Costos x MO'!$B$7)+(SUMIF(Asig_OT,Z318,Asig_Terc_Pin)*'Costos x MO'!$B$7)</f>
        <v>0</v>
      </c>
      <c r="AI318" s="28">
        <f t="shared" ca="1" si="128"/>
        <v>412.05</v>
      </c>
      <c r="AJ318" s="28">
        <f t="shared" ca="1" si="129"/>
        <v>1234.7525000000001</v>
      </c>
      <c r="AK318" s="31">
        <f t="shared" ca="1" si="130"/>
        <v>0.74978784644788921</v>
      </c>
      <c r="AL318" s="28" t="str">
        <f t="shared" ca="1" si="131"/>
        <v>RIMAC</v>
      </c>
      <c r="AM318" s="28" t="str">
        <f t="shared" ca="1" si="132"/>
        <v>MEDIANO</v>
      </c>
      <c r="AN318" s="30" t="str">
        <f t="shared" ca="1" si="133"/>
        <v>February</v>
      </c>
      <c r="AO318" s="42">
        <f t="shared" ca="1" si="134"/>
        <v>2020</v>
      </c>
      <c r="AP318" s="42">
        <f t="shared" ca="1" si="135"/>
        <v>9</v>
      </c>
      <c r="AQ318" s="26">
        <v>1</v>
      </c>
      <c r="AR318" s="30">
        <f t="shared" ca="1" si="136"/>
        <v>43866</v>
      </c>
      <c r="AS318" s="30" t="str">
        <f t="shared" ca="1" si="137"/>
        <v>BDO197</v>
      </c>
      <c r="AT318" s="26" t="str">
        <f t="shared" ca="1" si="138"/>
        <v>HYUNDAI</v>
      </c>
      <c r="AU318" s="26" t="str">
        <f t="shared" ca="1" si="139"/>
        <v>ELANTRA</v>
      </c>
      <c r="AV318" s="26" t="str">
        <f t="shared" ca="1" si="140"/>
        <v>RIMAC SEGUROS  Y REASEGUROS S.A</v>
      </c>
    </row>
    <row r="319" spans="1:48" x14ac:dyDescent="0.2">
      <c r="A319" s="220">
        <v>43775</v>
      </c>
      <c r="B319" s="130" t="s">
        <v>68</v>
      </c>
      <c r="C319" s="130" t="s">
        <v>102</v>
      </c>
      <c r="D319" s="130" t="s">
        <v>1880</v>
      </c>
      <c r="E319" s="130" t="s">
        <v>828</v>
      </c>
      <c r="F319" s="130" t="s">
        <v>910</v>
      </c>
      <c r="G319" s="220">
        <v>43759</v>
      </c>
      <c r="H319" s="130" t="s">
        <v>387</v>
      </c>
      <c r="I319" s="130" t="s">
        <v>386</v>
      </c>
      <c r="J319" s="130" t="s">
        <v>100</v>
      </c>
      <c r="K319" s="130" t="s">
        <v>101</v>
      </c>
      <c r="L319" s="174" t="s">
        <v>71</v>
      </c>
      <c r="M319" s="131" t="s">
        <v>72</v>
      </c>
      <c r="N319" s="130" t="s">
        <v>73</v>
      </c>
      <c r="O319" s="219" t="s">
        <v>72</v>
      </c>
      <c r="P319" s="130" t="s">
        <v>101</v>
      </c>
      <c r="Q319" s="132" t="s">
        <v>74</v>
      </c>
      <c r="R319" s="218">
        <v>3.339</v>
      </c>
      <c r="S319" s="129">
        <v>1</v>
      </c>
      <c r="T319" s="129">
        <v>1575</v>
      </c>
      <c r="U319" s="129">
        <v>1575</v>
      </c>
      <c r="V319" s="129">
        <v>283.5</v>
      </c>
      <c r="W319" s="129">
        <v>1858.5</v>
      </c>
      <c r="X319" s="27">
        <f t="shared" si="110"/>
        <v>1575</v>
      </c>
      <c r="Y319" s="29">
        <f ca="1">VLOOKUP(Z319,CHOOSE({2,1},Fac_Fecha,Fac_OT),2,0)</f>
        <v>43876</v>
      </c>
      <c r="Z319" s="26" t="s">
        <v>2901</v>
      </c>
      <c r="AA319" s="28">
        <f t="shared" ca="1" si="141"/>
        <v>2115.0000625000002</v>
      </c>
      <c r="AB319" s="28">
        <f ca="1">SUMIF(Salida_OT,Facturacion!Z319,Salida_Suma)</f>
        <v>0</v>
      </c>
      <c r="AC319" s="28">
        <f t="shared" ca="1" si="126"/>
        <v>0</v>
      </c>
      <c r="AD319" s="28">
        <f t="shared" ca="1" si="127"/>
        <v>0</v>
      </c>
      <c r="AE319" s="28">
        <f ca="1">(SUMIF(Asig_OT,Z319,Asig_Hora_Mec))*'Costos x MO'!$B$6*'Costos x MO'!$B$7</f>
        <v>0</v>
      </c>
      <c r="AF319" s="28">
        <f ca="1">SUMIF(Asig_OT,Z319,Asig_Hora_Pla)*'Costos x MO'!$B$4*'Costos x MO'!$B$7</f>
        <v>105.52500000000001</v>
      </c>
      <c r="AG319" s="28">
        <f ca="1">SUMIF(Asig_OT,Z319,Asig_paño_Pin)*'Costos x MO'!$B$5*'Costos x MO'!$B$7</f>
        <v>351.75</v>
      </c>
      <c r="AH319" s="28">
        <f ca="1">(SUMIF(Asig_OT,Z319,Asig_Terc_Pla)*'Costos x MO'!$B$7)+(SUMIF(Asig_OT,Z319,Asig_Terc_Pin)*'Costos x MO'!$B$7)</f>
        <v>0</v>
      </c>
      <c r="AI319" s="28">
        <f t="shared" ca="1" si="128"/>
        <v>457.27499999999998</v>
      </c>
      <c r="AJ319" s="28">
        <f t="shared" ca="1" si="129"/>
        <v>1657.7250625000001</v>
      </c>
      <c r="AK319" s="31">
        <f t="shared" ca="1" si="130"/>
        <v>0.78379433263019105</v>
      </c>
      <c r="AL319" s="28" t="str">
        <f t="shared" ca="1" si="131"/>
        <v>RIMAC</v>
      </c>
      <c r="AM319" s="28" t="str">
        <f t="shared" ca="1" si="132"/>
        <v>MEDIANO</v>
      </c>
      <c r="AN319" s="30" t="str">
        <f t="shared" ca="1" si="133"/>
        <v>February</v>
      </c>
      <c r="AO319" s="42">
        <f t="shared" ca="1" si="134"/>
        <v>2020</v>
      </c>
      <c r="AP319" s="42">
        <f t="shared" ca="1" si="135"/>
        <v>5</v>
      </c>
      <c r="AQ319" s="26">
        <v>1</v>
      </c>
      <c r="AR319" s="30">
        <f t="shared" ca="1" si="136"/>
        <v>43871</v>
      </c>
      <c r="AS319" s="30" t="str">
        <f t="shared" ca="1" si="137"/>
        <v>ATO331</v>
      </c>
      <c r="AT319" s="26" t="str">
        <f t="shared" ca="1" si="138"/>
        <v>MAZDA</v>
      </c>
      <c r="AU319" s="26" t="str">
        <f t="shared" ca="1" si="139"/>
        <v>CX5</v>
      </c>
      <c r="AV319" s="26" t="str">
        <f t="shared" ca="1" si="140"/>
        <v>RIMAC SEGUROS  Y REASEGUROS S.A</v>
      </c>
    </row>
    <row r="320" spans="1:48" x14ac:dyDescent="0.2">
      <c r="A320" s="220">
        <v>43775</v>
      </c>
      <c r="B320" s="130" t="s">
        <v>68</v>
      </c>
      <c r="C320" s="130" t="s">
        <v>102</v>
      </c>
      <c r="D320" s="130" t="s">
        <v>1880</v>
      </c>
      <c r="E320" s="130" t="s">
        <v>828</v>
      </c>
      <c r="F320" s="130" t="s">
        <v>910</v>
      </c>
      <c r="G320" s="220">
        <v>43759</v>
      </c>
      <c r="H320" s="130" t="s">
        <v>387</v>
      </c>
      <c r="I320" s="130" t="s">
        <v>386</v>
      </c>
      <c r="J320" s="130" t="s">
        <v>92</v>
      </c>
      <c r="K320" s="130" t="s">
        <v>113</v>
      </c>
      <c r="L320" s="174" t="s">
        <v>71</v>
      </c>
      <c r="M320" s="131" t="s">
        <v>72</v>
      </c>
      <c r="N320" s="130" t="s">
        <v>73</v>
      </c>
      <c r="O320" s="219" t="s">
        <v>69</v>
      </c>
      <c r="P320" s="130" t="s">
        <v>1699</v>
      </c>
      <c r="Q320" s="132" t="s">
        <v>74</v>
      </c>
      <c r="R320" s="218">
        <v>3.339</v>
      </c>
      <c r="S320" s="129">
        <v>1</v>
      </c>
      <c r="T320" s="129">
        <v>820</v>
      </c>
      <c r="U320" s="129">
        <v>820</v>
      </c>
      <c r="V320" s="129">
        <v>147.59998000000007</v>
      </c>
      <c r="W320" s="129">
        <v>967.59998000000007</v>
      </c>
      <c r="X320" s="27">
        <f t="shared" si="110"/>
        <v>820</v>
      </c>
      <c r="Y320" s="29">
        <f ca="1">VLOOKUP(Z320,CHOOSE({2,1},Fac_Fecha,Fac_OT),2,0)</f>
        <v>43876</v>
      </c>
      <c r="Z320" s="26" t="s">
        <v>2898</v>
      </c>
      <c r="AA320" s="28">
        <f t="shared" ca="1" si="141"/>
        <v>690.33602039999994</v>
      </c>
      <c r="AB320" s="28">
        <f ca="1">SUMIF(Salida_OT,Facturacion!Z320,Salida_Suma)</f>
        <v>0</v>
      </c>
      <c r="AC320" s="28">
        <f t="shared" ca="1" si="126"/>
        <v>0</v>
      </c>
      <c r="AD320" s="28">
        <f t="shared" ca="1" si="127"/>
        <v>76.27</v>
      </c>
      <c r="AE320" s="28">
        <f ca="1">(SUMIF(Asig_OT,Z320,Asig_Hora_Mec))*'Costos x MO'!$B$6*'Costos x MO'!$B$7</f>
        <v>0</v>
      </c>
      <c r="AF320" s="28">
        <f ca="1">SUMIF(Asig_OT,Z320,Asig_Hora_Pla)*'Costos x MO'!$B$4*'Costos x MO'!$B$7</f>
        <v>30.150000000000002</v>
      </c>
      <c r="AG320" s="28">
        <f ca="1">SUMIF(Asig_OT,Z320,Asig_paño_Pin)*'Costos x MO'!$B$5*'Costos x MO'!$B$7</f>
        <v>70.350000000000009</v>
      </c>
      <c r="AH320" s="28">
        <f ca="1">(SUMIF(Asig_OT,Z320,Asig_Terc_Pla)*'Costos x MO'!$B$7)+(SUMIF(Asig_OT,Z320,Asig_Terc_Pin)*'Costos x MO'!$B$7)</f>
        <v>0</v>
      </c>
      <c r="AI320" s="28">
        <f t="shared" ca="1" si="128"/>
        <v>176.77</v>
      </c>
      <c r="AJ320" s="28">
        <f t="shared" ca="1" si="129"/>
        <v>513.56602039999996</v>
      </c>
      <c r="AK320" s="31">
        <f t="shared" ca="1" si="130"/>
        <v>0.74393629366525804</v>
      </c>
      <c r="AL320" s="28" t="str">
        <f t="shared" ca="1" si="131"/>
        <v>RIMAC</v>
      </c>
      <c r="AM320" s="28" t="str">
        <f t="shared" ca="1" si="132"/>
        <v>LEVE</v>
      </c>
      <c r="AN320" s="30" t="str">
        <f t="shared" ca="1" si="133"/>
        <v>February</v>
      </c>
      <c r="AO320" s="42">
        <f t="shared" ca="1" si="134"/>
        <v>2020</v>
      </c>
      <c r="AP320" s="42">
        <f t="shared" ca="1" si="135"/>
        <v>7</v>
      </c>
      <c r="AQ320" s="26">
        <v>1</v>
      </c>
      <c r="AR320" s="30">
        <f t="shared" ca="1" si="136"/>
        <v>43869</v>
      </c>
      <c r="AS320" s="30" t="str">
        <f t="shared" ca="1" si="137"/>
        <v>AZS168</v>
      </c>
      <c r="AT320" s="26" t="str">
        <f t="shared" ca="1" si="138"/>
        <v>KIA</v>
      </c>
      <c r="AU320" s="26" t="str">
        <f t="shared" ca="1" si="139"/>
        <v>SPORTAGE</v>
      </c>
      <c r="AV320" s="26" t="str">
        <f t="shared" ca="1" si="140"/>
        <v>RIMAC SEGUROS  Y REASEGUROS S.A</v>
      </c>
    </row>
    <row r="321" spans="1:48" x14ac:dyDescent="0.2">
      <c r="A321" s="220">
        <v>43775</v>
      </c>
      <c r="B321" s="130" t="s">
        <v>68</v>
      </c>
      <c r="C321" s="130" t="s">
        <v>102</v>
      </c>
      <c r="D321" s="130" t="s">
        <v>1880</v>
      </c>
      <c r="E321" s="130" t="s">
        <v>828</v>
      </c>
      <c r="F321" s="130" t="s">
        <v>910</v>
      </c>
      <c r="G321" s="220">
        <v>43759</v>
      </c>
      <c r="H321" s="130" t="s">
        <v>387</v>
      </c>
      <c r="I321" s="130" t="s">
        <v>386</v>
      </c>
      <c r="J321" s="130" t="s">
        <v>70</v>
      </c>
      <c r="K321" s="130" t="s">
        <v>112</v>
      </c>
      <c r="L321" s="174" t="s">
        <v>71</v>
      </c>
      <c r="M321" s="131" t="s">
        <v>72</v>
      </c>
      <c r="N321" s="130" t="s">
        <v>73</v>
      </c>
      <c r="O321" s="219" t="s">
        <v>69</v>
      </c>
      <c r="P321" s="130" t="s">
        <v>1699</v>
      </c>
      <c r="Q321" s="132" t="s">
        <v>74</v>
      </c>
      <c r="R321" s="218">
        <v>3.339</v>
      </c>
      <c r="S321" s="129">
        <v>1</v>
      </c>
      <c r="T321" s="129">
        <v>568.75420999999994</v>
      </c>
      <c r="U321" s="129">
        <v>568.75420999999994</v>
      </c>
      <c r="V321" s="129">
        <v>102.37579000000005</v>
      </c>
      <c r="W321" s="129">
        <v>671.13</v>
      </c>
      <c r="X321" s="27">
        <f t="shared" si="110"/>
        <v>568.75420999999994</v>
      </c>
      <c r="Y321" s="29">
        <f ca="1">VLOOKUP(Z321,CHOOSE({2,1},Fac_Fecha,Fac_OT),2,0)</f>
        <v>43876</v>
      </c>
      <c r="Z321" s="26" t="s">
        <v>2865</v>
      </c>
      <c r="AA321" s="28">
        <f t="shared" ca="1" si="141"/>
        <v>1913.6520565500002</v>
      </c>
      <c r="AB321" s="28">
        <f ca="1">SUMIF(Salida_OT,Facturacion!Z321,Salida_Suma)</f>
        <v>0</v>
      </c>
      <c r="AC321" s="28">
        <f t="shared" ca="1" si="126"/>
        <v>0</v>
      </c>
      <c r="AD321" s="28">
        <f t="shared" ca="1" si="127"/>
        <v>252.55</v>
      </c>
      <c r="AE321" s="28">
        <f ca="1">(SUMIF(Asig_OT,Z321,Asig_Hora_Mec))*'Costos x MO'!$B$6*'Costos x MO'!$B$7</f>
        <v>0</v>
      </c>
      <c r="AF321" s="28">
        <f ca="1">SUMIF(Asig_OT,Z321,Asig_Hora_Pla)*'Costos x MO'!$B$4*'Costos x MO'!$B$7</f>
        <v>90.45</v>
      </c>
      <c r="AG321" s="28">
        <f ca="1">SUMIF(Asig_OT,Z321,Asig_paño_Pin)*'Costos x MO'!$B$5*'Costos x MO'!$B$7</f>
        <v>316.57499999999999</v>
      </c>
      <c r="AH321" s="28">
        <f ca="1">(SUMIF(Asig_OT,Z321,Asig_Terc_Pla)*'Costos x MO'!$B$7)+(SUMIF(Asig_OT,Z321,Asig_Terc_Pin)*'Costos x MO'!$B$7)</f>
        <v>0</v>
      </c>
      <c r="AI321" s="28">
        <f t="shared" ca="1" si="128"/>
        <v>659.57500000000005</v>
      </c>
      <c r="AJ321" s="28">
        <f t="shared" ca="1" si="129"/>
        <v>1254.0770565500002</v>
      </c>
      <c r="AK321" s="31">
        <f t="shared" ca="1" si="130"/>
        <v>0.65533180509883016</v>
      </c>
      <c r="AL321" s="28" t="str">
        <f t="shared" ca="1" si="131"/>
        <v>RIMAC</v>
      </c>
      <c r="AM321" s="28" t="str">
        <f t="shared" ca="1" si="132"/>
        <v>LEVE</v>
      </c>
      <c r="AN321" s="30" t="str">
        <f t="shared" ca="1" si="133"/>
        <v>February</v>
      </c>
      <c r="AO321" s="42">
        <f t="shared" ca="1" si="134"/>
        <v>2020</v>
      </c>
      <c r="AP321" s="42">
        <f t="shared" ca="1" si="135"/>
        <v>16</v>
      </c>
      <c r="AQ321" s="26">
        <v>1</v>
      </c>
      <c r="AR321" s="30">
        <f t="shared" ca="1" si="136"/>
        <v>43860</v>
      </c>
      <c r="AS321" s="30" t="str">
        <f t="shared" ref="AS321:AS354" ca="1" si="142">IFERROR(VLOOKUP(Z321,Matriz2,2,0),"S/PLACA")</f>
        <v>BFO123</v>
      </c>
      <c r="AT321" s="26" t="str">
        <f t="shared" ca="1" si="138"/>
        <v>MAZDA</v>
      </c>
      <c r="AU321" s="26" t="str">
        <f t="shared" ca="1" si="139"/>
        <v xml:space="preserve">MAZDA 5 </v>
      </c>
      <c r="AV321" s="26" t="str">
        <f t="shared" ca="1" si="140"/>
        <v>RIMAC SEGUROS  Y REASEGUROS S.A</v>
      </c>
    </row>
    <row r="322" spans="1:48" x14ac:dyDescent="0.2">
      <c r="A322" s="220">
        <v>43775</v>
      </c>
      <c r="B322" s="130" t="s">
        <v>68</v>
      </c>
      <c r="C322" s="130" t="s">
        <v>102</v>
      </c>
      <c r="D322" s="130" t="s">
        <v>1880</v>
      </c>
      <c r="E322" s="130" t="s">
        <v>828</v>
      </c>
      <c r="F322" s="130" t="s">
        <v>910</v>
      </c>
      <c r="G322" s="220">
        <v>43759</v>
      </c>
      <c r="H322" s="130" t="s">
        <v>387</v>
      </c>
      <c r="I322" s="130" t="s">
        <v>386</v>
      </c>
      <c r="J322" s="130" t="s">
        <v>104</v>
      </c>
      <c r="K322" s="130" t="s">
        <v>105</v>
      </c>
      <c r="L322" s="174" t="s">
        <v>71</v>
      </c>
      <c r="M322" s="131" t="s">
        <v>72</v>
      </c>
      <c r="N322" s="130" t="s">
        <v>73</v>
      </c>
      <c r="O322" s="219" t="s">
        <v>69</v>
      </c>
      <c r="P322" s="130" t="s">
        <v>1699</v>
      </c>
      <c r="Q322" s="132" t="s">
        <v>74</v>
      </c>
      <c r="R322" s="218">
        <v>3.339</v>
      </c>
      <c r="S322" s="129">
        <v>1</v>
      </c>
      <c r="T322" s="129">
        <v>4212</v>
      </c>
      <c r="U322" s="129">
        <v>4212</v>
      </c>
      <c r="V322" s="129">
        <v>758.16020000000015</v>
      </c>
      <c r="W322" s="129">
        <v>4970.1602000000003</v>
      </c>
      <c r="X322" s="27">
        <f t="shared" si="110"/>
        <v>4212</v>
      </c>
      <c r="Y322" s="29">
        <f ca="1">VLOOKUP(Z322,CHOOSE({2,1},Fac_Fecha,Fac_OT),2,0)</f>
        <v>43876</v>
      </c>
      <c r="Z322" s="26" t="s">
        <v>2879</v>
      </c>
      <c r="AA322" s="28">
        <f t="shared" ca="1" si="141"/>
        <v>710.64002100000005</v>
      </c>
      <c r="AB322" s="28">
        <f ca="1">SUMIF(Salida_OT,Facturacion!Z322,Salida_Suma)</f>
        <v>0</v>
      </c>
      <c r="AC322" s="28">
        <f t="shared" ca="1" si="126"/>
        <v>0</v>
      </c>
      <c r="AD322" s="28">
        <f t="shared" ca="1" si="127"/>
        <v>0</v>
      </c>
      <c r="AE322" s="28">
        <f ca="1">(SUMIF(Asig_OT,Z322,Asig_Hora_Mec))*'Costos x MO'!$B$6*'Costos x MO'!$B$7</f>
        <v>0</v>
      </c>
      <c r="AF322" s="28">
        <f ca="1">SUMIF(Asig_OT,Z322,Asig_Hora_Pla)*'Costos x MO'!$B$4*'Costos x MO'!$B$7</f>
        <v>30.150000000000002</v>
      </c>
      <c r="AG322" s="28">
        <f ca="1">SUMIF(Asig_OT,Z322,Asig_paño_Pin)*'Costos x MO'!$B$5*'Costos x MO'!$B$7</f>
        <v>70.350000000000009</v>
      </c>
      <c r="AH322" s="28">
        <f ca="1">(SUMIF(Asig_OT,Z322,Asig_Terc_Pla)*'Costos x MO'!$B$7)+(SUMIF(Asig_OT,Z322,Asig_Terc_Pin)*'Costos x MO'!$B$7)</f>
        <v>0</v>
      </c>
      <c r="AI322" s="28">
        <f t="shared" ca="1" si="128"/>
        <v>100.50000000000001</v>
      </c>
      <c r="AJ322" s="28">
        <f t="shared" ca="1" si="129"/>
        <v>610.14002100000005</v>
      </c>
      <c r="AK322" s="31">
        <f t="shared" ca="1" si="130"/>
        <v>0.85857818722539969</v>
      </c>
      <c r="AL322" s="28" t="str">
        <f t="shared" ca="1" si="131"/>
        <v>RIMAC</v>
      </c>
      <c r="AM322" s="28" t="str">
        <f t="shared" ca="1" si="132"/>
        <v>LEVE</v>
      </c>
      <c r="AN322" s="30" t="str">
        <f t="shared" ca="1" si="133"/>
        <v>February</v>
      </c>
      <c r="AO322" s="42">
        <f t="shared" ca="1" si="134"/>
        <v>2020</v>
      </c>
      <c r="AP322" s="42">
        <f t="shared" ca="1" si="135"/>
        <v>9</v>
      </c>
      <c r="AQ322" s="26">
        <v>1</v>
      </c>
      <c r="AR322" s="30">
        <f t="shared" ca="1" si="136"/>
        <v>43867</v>
      </c>
      <c r="AS322" s="30" t="str">
        <f t="shared" ca="1" si="142"/>
        <v>BFO123</v>
      </c>
      <c r="AT322" s="26" t="str">
        <f t="shared" ca="1" si="138"/>
        <v>MAZDA</v>
      </c>
      <c r="AU322" s="26" t="str">
        <f t="shared" ca="1" si="139"/>
        <v xml:space="preserve">MAZDA 5 </v>
      </c>
      <c r="AV322" s="26" t="str">
        <f t="shared" ca="1" si="140"/>
        <v>RIMAC SEGUROS  Y REASEGUROS S.A</v>
      </c>
    </row>
    <row r="323" spans="1:48" x14ac:dyDescent="0.2">
      <c r="A323" s="220">
        <v>43775</v>
      </c>
      <c r="B323" s="130" t="s">
        <v>68</v>
      </c>
      <c r="C323" s="130" t="s">
        <v>102</v>
      </c>
      <c r="D323" s="130" t="s">
        <v>632</v>
      </c>
      <c r="E323" s="130" t="s">
        <v>840</v>
      </c>
      <c r="F323" s="130" t="s">
        <v>945</v>
      </c>
      <c r="G323" s="220">
        <v>43754</v>
      </c>
      <c r="H323" s="130" t="s">
        <v>387</v>
      </c>
      <c r="I323" s="130" t="s">
        <v>386</v>
      </c>
      <c r="J323" s="130" t="s">
        <v>97</v>
      </c>
      <c r="K323" s="130" t="s">
        <v>98</v>
      </c>
      <c r="L323" s="174" t="s">
        <v>71</v>
      </c>
      <c r="M323" s="131" t="s">
        <v>72</v>
      </c>
      <c r="N323" s="130" t="s">
        <v>73</v>
      </c>
      <c r="O323" s="219" t="s">
        <v>99</v>
      </c>
      <c r="P323" s="130" t="s">
        <v>98</v>
      </c>
      <c r="Q323" s="132" t="s">
        <v>74</v>
      </c>
      <c r="R323" s="218">
        <v>3.339</v>
      </c>
      <c r="S323" s="129">
        <v>1</v>
      </c>
      <c r="T323" s="129">
        <v>2497.5</v>
      </c>
      <c r="U323" s="129">
        <v>2497.5</v>
      </c>
      <c r="V323" s="129">
        <v>449.55</v>
      </c>
      <c r="W323" s="129">
        <v>2947.05</v>
      </c>
      <c r="X323" s="27">
        <f t="shared" si="110"/>
        <v>2497.5</v>
      </c>
      <c r="Y323" s="29">
        <f ca="1">VLOOKUP(Z323,CHOOSE({2,1},Fac_Fecha,Fac_OT),2,0)</f>
        <v>43878</v>
      </c>
      <c r="Z323" s="26" t="s">
        <v>2876</v>
      </c>
      <c r="AA323" s="28">
        <f t="shared" ca="1" si="141"/>
        <v>2777.4322948754207</v>
      </c>
      <c r="AB323" s="28">
        <f ca="1">SUMIF(Salida_OT,Facturacion!Z323,Salida_Suma)</f>
        <v>0</v>
      </c>
      <c r="AC323" s="28">
        <f t="shared" ca="1" si="126"/>
        <v>0</v>
      </c>
      <c r="AD323" s="28">
        <f t="shared" ca="1" si="127"/>
        <v>76.27</v>
      </c>
      <c r="AE323" s="28">
        <f ca="1">(SUMIF(Asig_OT,Z323,Asig_Hora_Mec))*'Costos x MO'!$B$6*'Costos x MO'!$B$7</f>
        <v>0</v>
      </c>
      <c r="AF323" s="28">
        <f ca="1">SUMIF(Asig_OT,Z323,Asig_Hora_Pla)*'Costos x MO'!$B$4*'Costos x MO'!$B$7</f>
        <v>271.35000000000002</v>
      </c>
      <c r="AG323" s="28">
        <f ca="1">SUMIF(Asig_OT,Z323,Asig_paño_Pin)*'Costos x MO'!$B$5*'Costos x MO'!$B$7</f>
        <v>281.40000000000003</v>
      </c>
      <c r="AH323" s="28">
        <f ca="1">(SUMIF(Asig_OT,Z323,Asig_Terc_Pla)*'Costos x MO'!$B$7)+(SUMIF(Asig_OT,Z323,Asig_Terc_Pin)*'Costos x MO'!$B$7)</f>
        <v>0</v>
      </c>
      <c r="AI323" s="28">
        <f t="shared" ca="1" si="128"/>
        <v>629.02</v>
      </c>
      <c r="AJ323" s="28">
        <f t="shared" ca="1" si="129"/>
        <v>2148.4122948754207</v>
      </c>
      <c r="AK323" s="31">
        <f t="shared" ca="1" si="130"/>
        <v>0.77352463238776659</v>
      </c>
      <c r="AL323" s="28" t="str">
        <f t="shared" ca="1" si="131"/>
        <v>RIMAC</v>
      </c>
      <c r="AM323" s="28" t="str">
        <f t="shared" ca="1" si="132"/>
        <v>GRAVE</v>
      </c>
      <c r="AN323" s="30" t="str">
        <f t="shared" ca="1" si="133"/>
        <v>February</v>
      </c>
      <c r="AO323" s="42">
        <f t="shared" ca="1" si="134"/>
        <v>2020</v>
      </c>
      <c r="AP323" s="42">
        <f t="shared" ca="1" si="135"/>
        <v>13</v>
      </c>
      <c r="AQ323" s="26">
        <v>1</v>
      </c>
      <c r="AR323" s="30">
        <f t="shared" ca="1" si="136"/>
        <v>43865</v>
      </c>
      <c r="AS323" s="30" t="str">
        <f t="shared" ca="1" si="142"/>
        <v>B4F196</v>
      </c>
      <c r="AT323" s="26" t="str">
        <f t="shared" ca="1" si="138"/>
        <v>VOLKSWAGEN</v>
      </c>
      <c r="AU323" s="26" t="str">
        <f t="shared" ca="1" si="139"/>
        <v>PASSANT</v>
      </c>
      <c r="AV323" s="26" t="str">
        <f t="shared" ca="1" si="140"/>
        <v>RIMAC SEGUROS  Y REASEGUROS S.A</v>
      </c>
    </row>
    <row r="324" spans="1:48" x14ac:dyDescent="0.2">
      <c r="A324" s="220">
        <v>43775</v>
      </c>
      <c r="B324" s="130" t="s">
        <v>68</v>
      </c>
      <c r="C324" s="130" t="s">
        <v>102</v>
      </c>
      <c r="D324" s="130" t="s">
        <v>632</v>
      </c>
      <c r="E324" s="130" t="s">
        <v>840</v>
      </c>
      <c r="F324" s="130" t="s">
        <v>945</v>
      </c>
      <c r="G324" s="220">
        <v>43754</v>
      </c>
      <c r="H324" s="130" t="s">
        <v>387</v>
      </c>
      <c r="I324" s="130" t="s">
        <v>386</v>
      </c>
      <c r="J324" s="130" t="s">
        <v>100</v>
      </c>
      <c r="K324" s="130" t="s">
        <v>101</v>
      </c>
      <c r="L324" s="174" t="s">
        <v>71</v>
      </c>
      <c r="M324" s="131" t="s">
        <v>72</v>
      </c>
      <c r="N324" s="130" t="s">
        <v>73</v>
      </c>
      <c r="O324" s="219" t="s">
        <v>72</v>
      </c>
      <c r="P324" s="130" t="s">
        <v>101</v>
      </c>
      <c r="Q324" s="132" t="s">
        <v>74</v>
      </c>
      <c r="R324" s="218">
        <v>3.339</v>
      </c>
      <c r="S324" s="129">
        <v>1</v>
      </c>
      <c r="T324" s="129">
        <v>1610</v>
      </c>
      <c r="U324" s="129">
        <v>1610</v>
      </c>
      <c r="V324" s="129">
        <v>289.8</v>
      </c>
      <c r="W324" s="129">
        <v>1899.8</v>
      </c>
      <c r="X324" s="27">
        <f t="shared" si="110"/>
        <v>1610</v>
      </c>
      <c r="Y324" s="29">
        <f ca="1">VLOOKUP(Z324,CHOOSE({2,1},Fac_Fecha,Fac_OT),2,0)</f>
        <v>43878</v>
      </c>
      <c r="Z324" s="26" t="s">
        <v>2894</v>
      </c>
      <c r="AA324" s="28">
        <f t="shared" ca="1" si="141"/>
        <v>372.24001100000004</v>
      </c>
      <c r="AB324" s="28">
        <f ca="1">SUMIF(Salida_OT,Facturacion!Z324,Salida_Suma)</f>
        <v>0</v>
      </c>
      <c r="AC324" s="28">
        <f t="shared" ca="1" si="126"/>
        <v>0</v>
      </c>
      <c r="AD324" s="28">
        <f t="shared" ca="1" si="127"/>
        <v>255.76</v>
      </c>
      <c r="AE324" s="28">
        <f ca="1">(SUMIF(Asig_OT,Z324,Asig_Hora_Mec))*'Costos x MO'!$B$6*'Costos x MO'!$B$7</f>
        <v>45.225000000000001</v>
      </c>
      <c r="AF324" s="28">
        <f ca="1">SUMIF(Asig_OT,Z324,Asig_Hora_Pla)*'Costos x MO'!$B$4*'Costos x MO'!$B$7</f>
        <v>0</v>
      </c>
      <c r="AG324" s="28">
        <f ca="1">SUMIF(Asig_OT,Z324,Asig_paño_Pin)*'Costos x MO'!$B$5*'Costos x MO'!$B$7</f>
        <v>0</v>
      </c>
      <c r="AH324" s="28">
        <f ca="1">(SUMIF(Asig_OT,Z324,Asig_Terc_Pla)*'Costos x MO'!$B$7)+(SUMIF(Asig_OT,Z324,Asig_Terc_Pin)*'Costos x MO'!$B$7)</f>
        <v>0</v>
      </c>
      <c r="AI324" s="28">
        <f t="shared" ca="1" si="128"/>
        <v>300.98500000000001</v>
      </c>
      <c r="AJ324" s="28">
        <f t="shared" ca="1" si="129"/>
        <v>71.255011000000025</v>
      </c>
      <c r="AK324" s="31">
        <f t="shared" ca="1" si="130"/>
        <v>0.19142222462485373</v>
      </c>
      <c r="AL324" s="28" t="str">
        <f t="shared" ca="1" si="131"/>
        <v>RIMAC</v>
      </c>
      <c r="AM324" s="28" t="str">
        <f t="shared" ca="1" si="132"/>
        <v>LEVE</v>
      </c>
      <c r="AN324" s="30" t="str">
        <f t="shared" ca="1" si="133"/>
        <v>February</v>
      </c>
      <c r="AO324" s="42">
        <f t="shared" ca="1" si="134"/>
        <v>2020</v>
      </c>
      <c r="AP324" s="42">
        <f t="shared" ca="1" si="135"/>
        <v>27</v>
      </c>
      <c r="AQ324" s="26">
        <v>1</v>
      </c>
      <c r="AR324" s="30">
        <f t="shared" ca="1" si="136"/>
        <v>43851</v>
      </c>
      <c r="AS324" s="30" t="str">
        <f t="shared" ca="1" si="142"/>
        <v>AVF200</v>
      </c>
      <c r="AT324" s="26" t="str">
        <f t="shared" ca="1" si="138"/>
        <v>VOLVO</v>
      </c>
      <c r="AU324" s="26" t="str">
        <f t="shared" ca="1" si="139"/>
        <v>S60</v>
      </c>
      <c r="AV324" s="26" t="str">
        <f t="shared" ca="1" si="140"/>
        <v>RIMAC SEGUROS  Y REASEGUROS S.A</v>
      </c>
    </row>
    <row r="325" spans="1:48" x14ac:dyDescent="0.2">
      <c r="A325" s="220">
        <v>43775</v>
      </c>
      <c r="B325" s="130" t="s">
        <v>68</v>
      </c>
      <c r="C325" s="130" t="s">
        <v>102</v>
      </c>
      <c r="D325" s="130" t="s">
        <v>632</v>
      </c>
      <c r="E325" s="130" t="s">
        <v>840</v>
      </c>
      <c r="F325" s="130" t="s">
        <v>945</v>
      </c>
      <c r="G325" s="220">
        <v>43754</v>
      </c>
      <c r="H325" s="130" t="s">
        <v>387</v>
      </c>
      <c r="I325" s="130" t="s">
        <v>386</v>
      </c>
      <c r="J325" s="130" t="s">
        <v>92</v>
      </c>
      <c r="K325" s="130" t="s">
        <v>113</v>
      </c>
      <c r="L325" s="174" t="s">
        <v>71</v>
      </c>
      <c r="M325" s="131" t="s">
        <v>72</v>
      </c>
      <c r="N325" s="130" t="s">
        <v>73</v>
      </c>
      <c r="O325" s="219" t="s">
        <v>69</v>
      </c>
      <c r="P325" s="130" t="s">
        <v>1699</v>
      </c>
      <c r="Q325" s="132" t="s">
        <v>74</v>
      </c>
      <c r="R325" s="218">
        <v>3.339</v>
      </c>
      <c r="S325" s="129">
        <v>1</v>
      </c>
      <c r="T325" s="129">
        <v>750</v>
      </c>
      <c r="U325" s="129">
        <v>750</v>
      </c>
      <c r="V325" s="129">
        <v>135</v>
      </c>
      <c r="W325" s="129">
        <v>885</v>
      </c>
      <c r="X325" s="27">
        <f t="shared" ref="X325:X388" si="143">IF(Q325="$",(U325*R325),U325)</f>
        <v>750</v>
      </c>
      <c r="Y325" s="29">
        <f ca="1">VLOOKUP(Z325,CHOOSE({2,1},Fac_Fecha,Fac_OT),2,0)</f>
        <v>43878</v>
      </c>
      <c r="Z325" s="26" t="s">
        <v>2908</v>
      </c>
      <c r="AA325" s="28">
        <f t="shared" ca="1" si="141"/>
        <v>521.13601539999991</v>
      </c>
      <c r="AB325" s="28">
        <f ca="1">SUMIF(Salida_OT,Facturacion!Z325,Salida_Suma)</f>
        <v>0</v>
      </c>
      <c r="AC325" s="28">
        <f t="shared" ca="1" si="126"/>
        <v>0</v>
      </c>
      <c r="AD325" s="28">
        <f t="shared" ca="1" si="127"/>
        <v>0</v>
      </c>
      <c r="AE325" s="28">
        <f ca="1">(SUMIF(Asig_OT,Z325,Asig_Hora_Mec))*'Costos x MO'!$B$6*'Costos x MO'!$B$7</f>
        <v>0</v>
      </c>
      <c r="AF325" s="28">
        <f ca="1">SUMIF(Asig_OT,Z325,Asig_Hora_Pla)*'Costos x MO'!$B$4*'Costos x MO'!$B$7</f>
        <v>15.075000000000001</v>
      </c>
      <c r="AG325" s="28">
        <f ca="1">SUMIF(Asig_OT,Z325,Asig_paño_Pin)*'Costos x MO'!$B$5*'Costos x MO'!$B$7</f>
        <v>70.350000000000009</v>
      </c>
      <c r="AH325" s="28">
        <f ca="1">(SUMIF(Asig_OT,Z325,Asig_Terc_Pla)*'Costos x MO'!$B$7)+(SUMIF(Asig_OT,Z325,Asig_Terc_Pin)*'Costos x MO'!$B$7)</f>
        <v>0</v>
      </c>
      <c r="AI325" s="28">
        <f t="shared" ca="1" si="128"/>
        <v>85.425000000000011</v>
      </c>
      <c r="AJ325" s="28">
        <f t="shared" ca="1" si="129"/>
        <v>435.71101539999989</v>
      </c>
      <c r="AK325" s="31">
        <f t="shared" ca="1" si="130"/>
        <v>0.83607926246580422</v>
      </c>
      <c r="AL325" s="28" t="str">
        <f t="shared" ca="1" si="131"/>
        <v>RIMAC</v>
      </c>
      <c r="AM325" s="28" t="str">
        <f t="shared" ca="1" si="132"/>
        <v>LEVE</v>
      </c>
      <c r="AN325" s="30" t="str">
        <f t="shared" ca="1" si="133"/>
        <v>February</v>
      </c>
      <c r="AO325" s="42">
        <f t="shared" ca="1" si="134"/>
        <v>2020</v>
      </c>
      <c r="AP325" s="42">
        <f t="shared" ca="1" si="135"/>
        <v>6</v>
      </c>
      <c r="AQ325" s="26">
        <v>1</v>
      </c>
      <c r="AR325" s="30">
        <f t="shared" ca="1" si="136"/>
        <v>43872</v>
      </c>
      <c r="AS325" s="30" t="str">
        <f t="shared" ca="1" si="142"/>
        <v>ABI176</v>
      </c>
      <c r="AT325" s="26" t="str">
        <f t="shared" ca="1" si="138"/>
        <v>CHEVROLET</v>
      </c>
      <c r="AU325" s="26" t="str">
        <f t="shared" ca="1" si="139"/>
        <v>TRACKER</v>
      </c>
      <c r="AV325" s="26" t="str">
        <f t="shared" ca="1" si="140"/>
        <v>PROMUNE S.A.C</v>
      </c>
    </row>
    <row r="326" spans="1:48" x14ac:dyDescent="0.2">
      <c r="A326" s="220">
        <v>43775</v>
      </c>
      <c r="B326" s="130" t="s">
        <v>68</v>
      </c>
      <c r="C326" s="130" t="s">
        <v>102</v>
      </c>
      <c r="D326" s="130" t="s">
        <v>632</v>
      </c>
      <c r="E326" s="130" t="s">
        <v>840</v>
      </c>
      <c r="F326" s="130" t="s">
        <v>945</v>
      </c>
      <c r="G326" s="220">
        <v>43754</v>
      </c>
      <c r="H326" s="130" t="s">
        <v>387</v>
      </c>
      <c r="I326" s="130" t="s">
        <v>386</v>
      </c>
      <c r="J326" s="130" t="s">
        <v>70</v>
      </c>
      <c r="K326" s="130" t="s">
        <v>112</v>
      </c>
      <c r="L326" s="174" t="s">
        <v>71</v>
      </c>
      <c r="M326" s="131" t="s">
        <v>72</v>
      </c>
      <c r="N326" s="130" t="s">
        <v>73</v>
      </c>
      <c r="O326" s="219" t="s">
        <v>69</v>
      </c>
      <c r="P326" s="130" t="s">
        <v>1699</v>
      </c>
      <c r="Q326" s="132" t="s">
        <v>74</v>
      </c>
      <c r="R326" s="218">
        <v>3.339</v>
      </c>
      <c r="S326" s="129">
        <v>1</v>
      </c>
      <c r="T326" s="129">
        <v>813.75420999999972</v>
      </c>
      <c r="U326" s="129">
        <v>813.75420999999972</v>
      </c>
      <c r="V326" s="129">
        <v>146.47577000000035</v>
      </c>
      <c r="W326" s="129">
        <v>960.22998000000007</v>
      </c>
      <c r="X326" s="27">
        <f t="shared" si="143"/>
        <v>813.75420999999972</v>
      </c>
      <c r="Y326" s="29">
        <f ca="1">VLOOKUP(Z326,CHOOSE({2,1},Fac_Fecha,Fac_OT),2,0)</f>
        <v>43879</v>
      </c>
      <c r="Z326" s="26" t="s">
        <v>2851</v>
      </c>
      <c r="AA326" s="28">
        <f t="shared" ca="1" si="141"/>
        <v>168.36821777542002</v>
      </c>
      <c r="AB326" s="28">
        <f ca="1">SUMIF(Salida_OT,Facturacion!Z326,Salida_Suma)</f>
        <v>0</v>
      </c>
      <c r="AC326" s="28">
        <f t="shared" ca="1" si="126"/>
        <v>42.37</v>
      </c>
      <c r="AD326" s="28">
        <f t="shared" ca="1" si="127"/>
        <v>0</v>
      </c>
      <c r="AE326" s="28">
        <f ca="1">(SUMIF(Asig_OT,Z326,Asig_Hora_Mec))*'Costos x MO'!$B$6*'Costos x MO'!$B$7</f>
        <v>0</v>
      </c>
      <c r="AF326" s="28">
        <f ca="1">SUMIF(Asig_OT,Z326,Asig_Hora_Pla)*'Costos x MO'!$B$4*'Costos x MO'!$B$7</f>
        <v>15.075000000000001</v>
      </c>
      <c r="AG326" s="28">
        <f ca="1">SUMIF(Asig_OT,Z326,Asig_paño_Pin)*'Costos x MO'!$B$5*'Costos x MO'!$B$7</f>
        <v>17.587500000000002</v>
      </c>
      <c r="AH326" s="28">
        <f ca="1">(SUMIF(Asig_OT,Z326,Asig_Terc_Pla)*'Costos x MO'!$B$7)+(SUMIF(Asig_OT,Z326,Asig_Terc_Pin)*'Costos x MO'!$B$7)</f>
        <v>0</v>
      </c>
      <c r="AI326" s="28">
        <f t="shared" ca="1" si="128"/>
        <v>75.032499999999999</v>
      </c>
      <c r="AJ326" s="28">
        <f t="shared" ca="1" si="129"/>
        <v>93.335717775420022</v>
      </c>
      <c r="AK326" s="31">
        <f t="shared" ca="1" si="130"/>
        <v>0.55435472922756124</v>
      </c>
      <c r="AL326" s="28" t="str">
        <f t="shared" ca="1" si="131"/>
        <v>RIMAC</v>
      </c>
      <c r="AM326" s="28" t="str">
        <f t="shared" ca="1" si="132"/>
        <v>LEVE</v>
      </c>
      <c r="AN326" s="30" t="str">
        <f t="shared" ca="1" si="133"/>
        <v>February</v>
      </c>
      <c r="AO326" s="42">
        <f t="shared" ca="1" si="134"/>
        <v>2020</v>
      </c>
      <c r="AP326" s="42">
        <f t="shared" ca="1" si="135"/>
        <v>20</v>
      </c>
      <c r="AQ326" s="26">
        <v>1</v>
      </c>
      <c r="AR326" s="30">
        <f t="shared" ca="1" si="136"/>
        <v>43859</v>
      </c>
      <c r="AS326" s="30" t="str">
        <f t="shared" ca="1" si="142"/>
        <v>BKW218</v>
      </c>
      <c r="AT326" s="26" t="str">
        <f t="shared" ca="1" si="138"/>
        <v>HONDA</v>
      </c>
      <c r="AU326" s="26" t="str">
        <f t="shared" ca="1" si="139"/>
        <v>PILOT</v>
      </c>
      <c r="AV326" s="26" t="str">
        <f t="shared" ca="1" si="140"/>
        <v>RIMAC SEGUROS  Y REASEGUROS S.A</v>
      </c>
    </row>
    <row r="327" spans="1:48" x14ac:dyDescent="0.2">
      <c r="A327" s="220">
        <v>43775</v>
      </c>
      <c r="B327" s="130" t="s">
        <v>68</v>
      </c>
      <c r="C327" s="130" t="s">
        <v>102</v>
      </c>
      <c r="D327" s="130" t="s">
        <v>632</v>
      </c>
      <c r="E327" s="130" t="s">
        <v>840</v>
      </c>
      <c r="F327" s="130" t="s">
        <v>945</v>
      </c>
      <c r="G327" s="220">
        <v>43754</v>
      </c>
      <c r="H327" s="130" t="s">
        <v>387</v>
      </c>
      <c r="I327" s="130" t="s">
        <v>386</v>
      </c>
      <c r="J327" s="130" t="s">
        <v>104</v>
      </c>
      <c r="K327" s="130" t="s">
        <v>105</v>
      </c>
      <c r="L327" s="174" t="s">
        <v>71</v>
      </c>
      <c r="M327" s="131" t="s">
        <v>72</v>
      </c>
      <c r="N327" s="130" t="s">
        <v>73</v>
      </c>
      <c r="O327" s="219" t="s">
        <v>69</v>
      </c>
      <c r="P327" s="130" t="s">
        <v>1699</v>
      </c>
      <c r="Q327" s="132" t="s">
        <v>74</v>
      </c>
      <c r="R327" s="218">
        <v>3.339</v>
      </c>
      <c r="S327" s="129">
        <v>1</v>
      </c>
      <c r="T327" s="129">
        <v>3921</v>
      </c>
      <c r="U327" s="129">
        <v>3921</v>
      </c>
      <c r="V327" s="129">
        <v>705.7797999999998</v>
      </c>
      <c r="W327" s="129">
        <v>4626.7798000000003</v>
      </c>
      <c r="X327" s="27">
        <f t="shared" si="143"/>
        <v>3921</v>
      </c>
      <c r="Y327" s="29">
        <f ca="1">VLOOKUP(Z327,CHOOSE({2,1},Fac_Fecha,Fac_OT),2,0)</f>
        <v>43880</v>
      </c>
      <c r="Z327" s="26" t="s">
        <v>2919</v>
      </c>
      <c r="AA327" s="28">
        <f t="shared" ca="1" si="141"/>
        <v>807.21661996016996</v>
      </c>
      <c r="AB327" s="28">
        <f ca="1">SUMIF(Salida_OT,Facturacion!Z327,Salida_Suma)</f>
        <v>0</v>
      </c>
      <c r="AC327" s="28">
        <f t="shared" ca="1" si="126"/>
        <v>0</v>
      </c>
      <c r="AD327" s="28">
        <f t="shared" ca="1" si="127"/>
        <v>0</v>
      </c>
      <c r="AE327" s="28">
        <f ca="1">(SUMIF(Asig_OT,Z327,Asig_Hora_Mec))*'Costos x MO'!$B$6*'Costos x MO'!$B$7</f>
        <v>0</v>
      </c>
      <c r="AF327" s="28">
        <f ca="1">SUMIF(Asig_OT,Z327,Asig_Hora_Pla)*'Costos x MO'!$B$4*'Costos x MO'!$B$7</f>
        <v>30.150000000000002</v>
      </c>
      <c r="AG327" s="28">
        <f ca="1">SUMIF(Asig_OT,Z327,Asig_paño_Pin)*'Costos x MO'!$B$5*'Costos x MO'!$B$7</f>
        <v>140.70000000000002</v>
      </c>
      <c r="AH327" s="28">
        <f ca="1">(SUMIF(Asig_OT,Z327,Asig_Terc_Pla)*'Costos x MO'!$B$7)+(SUMIF(Asig_OT,Z327,Asig_Terc_Pin)*'Costos x MO'!$B$7)</f>
        <v>0</v>
      </c>
      <c r="AI327" s="28">
        <f t="shared" ca="1" si="128"/>
        <v>170.85000000000002</v>
      </c>
      <c r="AJ327" s="28">
        <f t="shared" ca="1" si="129"/>
        <v>636.36661996016994</v>
      </c>
      <c r="AK327" s="31">
        <f t="shared" ca="1" si="130"/>
        <v>0.78834677610028625</v>
      </c>
      <c r="AL327" s="28" t="str">
        <f t="shared" ca="1" si="131"/>
        <v>RIMAC</v>
      </c>
      <c r="AM327" s="28" t="str">
        <f t="shared" ca="1" si="132"/>
        <v>LEVE</v>
      </c>
      <c r="AN327" s="30" t="str">
        <f t="shared" ca="1" si="133"/>
        <v>February</v>
      </c>
      <c r="AO327" s="42">
        <f t="shared" ca="1" si="134"/>
        <v>2020</v>
      </c>
      <c r="AP327" s="42">
        <f t="shared" ca="1" si="135"/>
        <v>2</v>
      </c>
      <c r="AQ327" s="26">
        <v>1</v>
      </c>
      <c r="AR327" s="30">
        <f t="shared" ca="1" si="136"/>
        <v>43878</v>
      </c>
      <c r="AS327" s="30" t="str">
        <f t="shared" ca="1" si="142"/>
        <v>F1D251</v>
      </c>
      <c r="AT327" s="26" t="str">
        <f t="shared" ca="1" si="138"/>
        <v>SUBARU</v>
      </c>
      <c r="AU327" s="26" t="str">
        <f t="shared" ca="1" si="139"/>
        <v>NEW XV</v>
      </c>
      <c r="AV327" s="26" t="str">
        <f t="shared" ca="1" si="140"/>
        <v>RIMAC SEGUROS  Y REASEGUROS S.A</v>
      </c>
    </row>
    <row r="328" spans="1:48" x14ac:dyDescent="0.2">
      <c r="A328" s="220">
        <v>43775</v>
      </c>
      <c r="B328" s="130" t="s">
        <v>68</v>
      </c>
      <c r="C328" s="130" t="s">
        <v>102</v>
      </c>
      <c r="D328" s="130" t="s">
        <v>1879</v>
      </c>
      <c r="E328" s="130" t="s">
        <v>844</v>
      </c>
      <c r="F328" s="130" t="s">
        <v>940</v>
      </c>
      <c r="G328" s="220">
        <v>43761</v>
      </c>
      <c r="H328" s="130" t="s">
        <v>387</v>
      </c>
      <c r="I328" s="130" t="s">
        <v>386</v>
      </c>
      <c r="J328" s="130" t="s">
        <v>97</v>
      </c>
      <c r="K328" s="130" t="s">
        <v>98</v>
      </c>
      <c r="L328" s="174" t="s">
        <v>71</v>
      </c>
      <c r="M328" s="131" t="s">
        <v>72</v>
      </c>
      <c r="N328" s="130" t="s">
        <v>73</v>
      </c>
      <c r="O328" s="219" t="s">
        <v>99</v>
      </c>
      <c r="P328" s="130" t="s">
        <v>98</v>
      </c>
      <c r="Q328" s="132" t="s">
        <v>74</v>
      </c>
      <c r="R328" s="218">
        <v>3.339</v>
      </c>
      <c r="S328" s="129">
        <v>1</v>
      </c>
      <c r="T328" s="129">
        <v>1687.5</v>
      </c>
      <c r="U328" s="129">
        <v>1687.5</v>
      </c>
      <c r="V328" s="129">
        <v>303.75</v>
      </c>
      <c r="W328" s="129">
        <v>1991.25</v>
      </c>
      <c r="X328" s="27">
        <f t="shared" si="143"/>
        <v>1687.5</v>
      </c>
      <c r="Y328" s="29">
        <f ca="1">VLOOKUP(Z328,CHOOSE({2,1},Fac_Fecha,Fac_OT),2,0)</f>
        <v>43880</v>
      </c>
      <c r="Z328" s="26" t="s">
        <v>2690</v>
      </c>
      <c r="AA328" s="28">
        <f t="shared" ca="1" si="141"/>
        <v>310.50770322966002</v>
      </c>
      <c r="AB328" s="28">
        <f ca="1">SUMIF(Salida_OT,Facturacion!Z328,Salida_Suma)</f>
        <v>0</v>
      </c>
      <c r="AC328" s="28">
        <f t="shared" ca="1" si="126"/>
        <v>0</v>
      </c>
      <c r="AD328" s="28">
        <f t="shared" ca="1" si="127"/>
        <v>0</v>
      </c>
      <c r="AE328" s="28">
        <f ca="1">(SUMIF(Asig_OT,Z328,Asig_Hora_Mec))*'Costos x MO'!$B$6*'Costos x MO'!$B$7</f>
        <v>0</v>
      </c>
      <c r="AF328" s="28">
        <f ca="1">SUMIF(Asig_OT,Z328,Asig_Hora_Pla)*'Costos x MO'!$B$4*'Costos x MO'!$B$7</f>
        <v>15.075000000000001</v>
      </c>
      <c r="AG328" s="28">
        <f ca="1">SUMIF(Asig_OT,Z328,Asig_paño_Pin)*'Costos x MO'!$B$5*'Costos x MO'!$B$7</f>
        <v>70.350000000000009</v>
      </c>
      <c r="AH328" s="28">
        <f ca="1">(SUMIF(Asig_OT,Z328,Asig_Terc_Pla)*'Costos x MO'!$B$7)+(SUMIF(Asig_OT,Z328,Asig_Terc_Pin)*'Costos x MO'!$B$7)</f>
        <v>0</v>
      </c>
      <c r="AI328" s="28">
        <f t="shared" ca="1" si="128"/>
        <v>85.425000000000011</v>
      </c>
      <c r="AJ328" s="28">
        <f t="shared" ca="1" si="129"/>
        <v>225.08270322966001</v>
      </c>
      <c r="AK328" s="31">
        <f t="shared" ca="1" si="130"/>
        <v>0.72488605238621939</v>
      </c>
      <c r="AL328" s="28" t="str">
        <f t="shared" ca="1" si="131"/>
        <v>RIMAC</v>
      </c>
      <c r="AM328" s="28" t="str">
        <f t="shared" ca="1" si="132"/>
        <v>LEVE</v>
      </c>
      <c r="AN328" s="30" t="str">
        <f t="shared" ca="1" si="133"/>
        <v>February</v>
      </c>
      <c r="AO328" s="42">
        <f t="shared" ca="1" si="134"/>
        <v>2020</v>
      </c>
      <c r="AP328" s="42">
        <f t="shared" ca="1" si="135"/>
        <v>22</v>
      </c>
      <c r="AQ328" s="26">
        <v>1</v>
      </c>
      <c r="AR328" s="30">
        <f t="shared" ca="1" si="136"/>
        <v>43858</v>
      </c>
      <c r="AS328" s="30" t="str">
        <f t="shared" ca="1" si="142"/>
        <v>F1D251</v>
      </c>
      <c r="AT328" s="26" t="str">
        <f t="shared" ca="1" si="138"/>
        <v>SUBARU</v>
      </c>
      <c r="AU328" s="26" t="str">
        <f t="shared" ca="1" si="139"/>
        <v>NEXU</v>
      </c>
      <c r="AV328" s="26" t="str">
        <f t="shared" ca="1" si="140"/>
        <v>RIMAC SEGUROS  Y REASEGUROS S.A</v>
      </c>
    </row>
    <row r="329" spans="1:48" x14ac:dyDescent="0.2">
      <c r="A329" s="220">
        <v>43775</v>
      </c>
      <c r="B329" s="130" t="s">
        <v>68</v>
      </c>
      <c r="C329" s="130" t="s">
        <v>102</v>
      </c>
      <c r="D329" s="130" t="s">
        <v>1879</v>
      </c>
      <c r="E329" s="130" t="s">
        <v>844</v>
      </c>
      <c r="F329" s="130" t="s">
        <v>940</v>
      </c>
      <c r="G329" s="220">
        <v>43761</v>
      </c>
      <c r="H329" s="130" t="s">
        <v>387</v>
      </c>
      <c r="I329" s="130" t="s">
        <v>386</v>
      </c>
      <c r="J329" s="130" t="s">
        <v>100</v>
      </c>
      <c r="K329" s="130" t="s">
        <v>101</v>
      </c>
      <c r="L329" s="174" t="s">
        <v>71</v>
      </c>
      <c r="M329" s="131" t="s">
        <v>72</v>
      </c>
      <c r="N329" s="130" t="s">
        <v>73</v>
      </c>
      <c r="O329" s="219" t="s">
        <v>72</v>
      </c>
      <c r="P329" s="130" t="s">
        <v>101</v>
      </c>
      <c r="Q329" s="132" t="s">
        <v>74</v>
      </c>
      <c r="R329" s="218">
        <v>3.339</v>
      </c>
      <c r="S329" s="129">
        <v>1</v>
      </c>
      <c r="T329" s="129">
        <v>560</v>
      </c>
      <c r="U329" s="129">
        <v>560</v>
      </c>
      <c r="V329" s="129">
        <v>100.79998999999997</v>
      </c>
      <c r="W329" s="129">
        <v>660.79998999999998</v>
      </c>
      <c r="X329" s="27">
        <f t="shared" si="143"/>
        <v>560</v>
      </c>
      <c r="Y329" s="29">
        <f ca="1">VLOOKUP(Z329,CHOOSE({2,1},Fac_Fecha,Fac_OT),2,0)</f>
        <v>43881</v>
      </c>
      <c r="Z329" s="26" t="s">
        <v>2889</v>
      </c>
      <c r="AA329" s="28">
        <f t="shared" ca="1" si="141"/>
        <v>301.1760089</v>
      </c>
      <c r="AB329" s="28">
        <f ca="1">SUMIF(Salida_OT,Facturacion!Z329,Salida_Suma)</f>
        <v>0</v>
      </c>
      <c r="AC329" s="28">
        <f t="shared" ca="1" si="126"/>
        <v>0</v>
      </c>
      <c r="AD329" s="28">
        <f t="shared" ca="1" si="127"/>
        <v>0</v>
      </c>
      <c r="AE329" s="28">
        <f ca="1">(SUMIF(Asig_OT,Z329,Asig_Hora_Mec))*'Costos x MO'!$B$6*'Costos x MO'!$B$7</f>
        <v>0</v>
      </c>
      <c r="AF329" s="28">
        <f ca="1">SUMIF(Asig_OT,Z329,Asig_Hora_Pla)*'Costos x MO'!$B$4*'Costos x MO'!$B$7</f>
        <v>30.150000000000002</v>
      </c>
      <c r="AG329" s="28">
        <f ca="1">SUMIF(Asig_OT,Z329,Asig_paño_Pin)*'Costos x MO'!$B$5*'Costos x MO'!$B$7</f>
        <v>70.350000000000009</v>
      </c>
      <c r="AH329" s="28">
        <f ca="1">(SUMIF(Asig_OT,Z329,Asig_Terc_Pla)*'Costos x MO'!$B$7)+(SUMIF(Asig_OT,Z329,Asig_Terc_Pin)*'Costos x MO'!$B$7)</f>
        <v>0</v>
      </c>
      <c r="AI329" s="28">
        <f t="shared" ca="1" si="128"/>
        <v>100.50000000000001</v>
      </c>
      <c r="AJ329" s="28">
        <f t="shared" ca="1" si="129"/>
        <v>200.6760089</v>
      </c>
      <c r="AK329" s="31">
        <f t="shared" ca="1" si="130"/>
        <v>0.66630808221723536</v>
      </c>
      <c r="AL329" s="28" t="str">
        <f t="shared" ca="1" si="131"/>
        <v>RIMAC</v>
      </c>
      <c r="AM329" s="28" t="str">
        <f t="shared" ca="1" si="132"/>
        <v>LEVE</v>
      </c>
      <c r="AN329" s="30" t="str">
        <f t="shared" ca="1" si="133"/>
        <v>February</v>
      </c>
      <c r="AO329" s="42">
        <f t="shared" ca="1" si="134"/>
        <v>2020</v>
      </c>
      <c r="AP329" s="42">
        <f t="shared" ca="1" si="135"/>
        <v>14</v>
      </c>
      <c r="AQ329" s="26">
        <v>1</v>
      </c>
      <c r="AR329" s="30">
        <f t="shared" ca="1" si="136"/>
        <v>43867</v>
      </c>
      <c r="AS329" s="30" t="str">
        <f t="shared" ca="1" si="142"/>
        <v>BKS038</v>
      </c>
      <c r="AT329" s="26" t="str">
        <f t="shared" ca="1" si="138"/>
        <v>MAZDA</v>
      </c>
      <c r="AU329" s="26" t="str">
        <f t="shared" ca="1" si="139"/>
        <v>CX9</v>
      </c>
      <c r="AV329" s="26" t="str">
        <f t="shared" ca="1" si="140"/>
        <v>RIMAC SEGUROS  Y REASEGUROS S.A</v>
      </c>
    </row>
    <row r="330" spans="1:48" x14ac:dyDescent="0.2">
      <c r="A330" s="220">
        <v>43775</v>
      </c>
      <c r="B330" s="130" t="s">
        <v>68</v>
      </c>
      <c r="C330" s="130" t="s">
        <v>102</v>
      </c>
      <c r="D330" s="130" t="s">
        <v>1879</v>
      </c>
      <c r="E330" s="130" t="s">
        <v>844</v>
      </c>
      <c r="F330" s="130" t="s">
        <v>940</v>
      </c>
      <c r="G330" s="220">
        <v>43761</v>
      </c>
      <c r="H330" s="130" t="s">
        <v>387</v>
      </c>
      <c r="I330" s="130" t="s">
        <v>386</v>
      </c>
      <c r="J330" s="130" t="s">
        <v>92</v>
      </c>
      <c r="K330" s="130" t="s">
        <v>113</v>
      </c>
      <c r="L330" s="174" t="s">
        <v>71</v>
      </c>
      <c r="M330" s="131" t="s">
        <v>72</v>
      </c>
      <c r="N330" s="130" t="s">
        <v>73</v>
      </c>
      <c r="O330" s="219" t="s">
        <v>69</v>
      </c>
      <c r="P330" s="130" t="s">
        <v>1699</v>
      </c>
      <c r="Q330" s="132" t="s">
        <v>74</v>
      </c>
      <c r="R330" s="218">
        <v>3.339</v>
      </c>
      <c r="S330" s="129">
        <v>1</v>
      </c>
      <c r="T330" s="129">
        <v>140</v>
      </c>
      <c r="U330" s="129">
        <v>140</v>
      </c>
      <c r="V330" s="129">
        <v>25.2</v>
      </c>
      <c r="W330" s="129">
        <v>165.2</v>
      </c>
      <c r="X330" s="27">
        <f t="shared" si="143"/>
        <v>140</v>
      </c>
      <c r="Y330" s="29">
        <f ca="1">VLOOKUP(Z330,CHOOSE({2,1},Fac_Fecha,Fac_OT),2,0)</f>
        <v>43881</v>
      </c>
      <c r="Z330" s="26" t="s">
        <v>2914</v>
      </c>
      <c r="AA330" s="28">
        <f t="shared" ca="1" si="141"/>
        <v>856.1520253000001</v>
      </c>
      <c r="AB330" s="28">
        <f ca="1">SUMIF(Salida_OT,Facturacion!Z330,Salida_Suma)</f>
        <v>0</v>
      </c>
      <c r="AC330" s="28">
        <f t="shared" ca="1" si="126"/>
        <v>0</v>
      </c>
      <c r="AD330" s="28">
        <f t="shared" ca="1" si="127"/>
        <v>0</v>
      </c>
      <c r="AE330" s="28">
        <f ca="1">(SUMIF(Asig_OT,Z330,Asig_Hora_Mec))*'Costos x MO'!$B$6*'Costos x MO'!$B$7</f>
        <v>0</v>
      </c>
      <c r="AF330" s="28">
        <f ca="1">SUMIF(Asig_OT,Z330,Asig_Hora_Pla)*'Costos x MO'!$B$4*'Costos x MO'!$B$7</f>
        <v>60.300000000000004</v>
      </c>
      <c r="AG330" s="28">
        <f ca="1">SUMIF(Asig_OT,Z330,Asig_paño_Pin)*'Costos x MO'!$B$5*'Costos x MO'!$B$7</f>
        <v>140.70000000000002</v>
      </c>
      <c r="AH330" s="28">
        <f ca="1">(SUMIF(Asig_OT,Z330,Asig_Terc_Pla)*'Costos x MO'!$B$7)+(SUMIF(Asig_OT,Z330,Asig_Terc_Pin)*'Costos x MO'!$B$7)</f>
        <v>0</v>
      </c>
      <c r="AI330" s="28">
        <f t="shared" ca="1" si="128"/>
        <v>201.00000000000003</v>
      </c>
      <c r="AJ330" s="28">
        <f t="shared" ca="1" si="129"/>
        <v>655.1520253000001</v>
      </c>
      <c r="AK330" s="31">
        <f t="shared" ca="1" si="130"/>
        <v>0.76522861120422092</v>
      </c>
      <c r="AL330" s="28" t="str">
        <f t="shared" ca="1" si="131"/>
        <v>RIMAC</v>
      </c>
      <c r="AM330" s="28" t="str">
        <f t="shared" ca="1" si="132"/>
        <v>LEVE</v>
      </c>
      <c r="AN330" s="30" t="str">
        <f t="shared" ca="1" si="133"/>
        <v>February</v>
      </c>
      <c r="AO330" s="42">
        <f t="shared" ca="1" si="134"/>
        <v>2020</v>
      </c>
      <c r="AP330" s="42">
        <f t="shared" ca="1" si="135"/>
        <v>8</v>
      </c>
      <c r="AQ330" s="26">
        <v>1</v>
      </c>
      <c r="AR330" s="30">
        <f t="shared" ca="1" si="136"/>
        <v>43873</v>
      </c>
      <c r="AS330" s="30" t="str">
        <f t="shared" ca="1" si="142"/>
        <v>BKF172</v>
      </c>
      <c r="AT330" s="26" t="str">
        <f t="shared" ca="1" si="138"/>
        <v>MAZDA</v>
      </c>
      <c r="AU330" s="26" t="str">
        <f t="shared" ca="1" si="139"/>
        <v>MAZDA3</v>
      </c>
      <c r="AV330" s="26" t="str">
        <f t="shared" ca="1" si="140"/>
        <v>RIMAC SEGUROS  Y REASEGUROS S.A</v>
      </c>
    </row>
    <row r="331" spans="1:48" x14ac:dyDescent="0.2">
      <c r="A331" s="220">
        <v>43775</v>
      </c>
      <c r="B331" s="130" t="s">
        <v>68</v>
      </c>
      <c r="C331" s="130" t="s">
        <v>102</v>
      </c>
      <c r="D331" s="130" t="s">
        <v>1879</v>
      </c>
      <c r="E331" s="130" t="s">
        <v>844</v>
      </c>
      <c r="F331" s="130" t="s">
        <v>940</v>
      </c>
      <c r="G331" s="220">
        <v>43761</v>
      </c>
      <c r="H331" s="130" t="s">
        <v>387</v>
      </c>
      <c r="I331" s="130" t="s">
        <v>386</v>
      </c>
      <c r="J331" s="130" t="s">
        <v>70</v>
      </c>
      <c r="K331" s="130" t="s">
        <v>112</v>
      </c>
      <c r="L331" s="174" t="s">
        <v>71</v>
      </c>
      <c r="M331" s="131" t="s">
        <v>72</v>
      </c>
      <c r="N331" s="130" t="s">
        <v>73</v>
      </c>
      <c r="O331" s="219" t="s">
        <v>69</v>
      </c>
      <c r="P331" s="130" t="s">
        <v>1699</v>
      </c>
      <c r="Q331" s="132" t="s">
        <v>74</v>
      </c>
      <c r="R331" s="218">
        <v>3.339</v>
      </c>
      <c r="S331" s="129">
        <v>1</v>
      </c>
      <c r="T331" s="129">
        <v>323.75421</v>
      </c>
      <c r="U331" s="129">
        <v>323.75420999999994</v>
      </c>
      <c r="V331" s="129">
        <v>58.275790000000015</v>
      </c>
      <c r="W331" s="129">
        <v>382.03</v>
      </c>
      <c r="X331" s="27">
        <f t="shared" si="143"/>
        <v>323.75420999999994</v>
      </c>
      <c r="Y331" s="29">
        <f ca="1">VLOOKUP(Z331,CHOOSE({2,1},Fac_Fecha,Fac_OT),2,0)</f>
        <v>43882</v>
      </c>
      <c r="Z331" s="26" t="s">
        <v>2588</v>
      </c>
      <c r="AA331" s="28">
        <f t="shared" ca="1" si="141"/>
        <v>2430.3679999999995</v>
      </c>
      <c r="AB331" s="28">
        <f ca="1">SUMIF(Salida_OT,Facturacion!Z331,Salida_Suma)</f>
        <v>0</v>
      </c>
      <c r="AC331" s="28">
        <f t="shared" ca="1" si="126"/>
        <v>0</v>
      </c>
      <c r="AD331" s="28">
        <f t="shared" ca="1" si="127"/>
        <v>220.33999999999997</v>
      </c>
      <c r="AE331" s="28">
        <f ca="1">(SUMIF(Asig_OT,Z331,Asig_Hora_Mec))*'Costos x MO'!$B$6*'Costos x MO'!$B$7</f>
        <v>30.150000000000002</v>
      </c>
      <c r="AF331" s="28">
        <f ca="1">SUMIF(Asig_OT,Z331,Asig_Hora_Pla)*'Costos x MO'!$B$4*'Costos x MO'!$B$7</f>
        <v>226.125</v>
      </c>
      <c r="AG331" s="28">
        <f ca="1">SUMIF(Asig_OT,Z331,Asig_paño_Pin)*'Costos x MO'!$B$5*'Costos x MO'!$B$7</f>
        <v>211.05</v>
      </c>
      <c r="AH331" s="28">
        <f ca="1">(SUMIF(Asig_OT,Z331,Asig_Terc_Pla)*'Costos x MO'!$B$7)+(SUMIF(Asig_OT,Z331,Asig_Terc_Pin)*'Costos x MO'!$B$7)</f>
        <v>0</v>
      </c>
      <c r="AI331" s="28">
        <f t="shared" ca="1" si="128"/>
        <v>687.66499999999996</v>
      </c>
      <c r="AJ331" s="28">
        <f t="shared" ca="1" si="129"/>
        <v>1742.7029999999995</v>
      </c>
      <c r="AK331" s="31">
        <f t="shared" ca="1" si="130"/>
        <v>0.71705313763183187</v>
      </c>
      <c r="AL331" s="28" t="str">
        <f t="shared" ca="1" si="131"/>
        <v>RIMAC</v>
      </c>
      <c r="AM331" s="28" t="str">
        <f t="shared" ca="1" si="132"/>
        <v>MEDIANO</v>
      </c>
      <c r="AN331" s="30" t="str">
        <f t="shared" ca="1" si="133"/>
        <v>February</v>
      </c>
      <c r="AO331" s="42">
        <f t="shared" ca="1" si="134"/>
        <v>2020</v>
      </c>
      <c r="AP331" s="42">
        <f t="shared" ca="1" si="135"/>
        <v>37</v>
      </c>
      <c r="AQ331" s="26">
        <v>1</v>
      </c>
      <c r="AR331" s="30">
        <f t="shared" ca="1" si="136"/>
        <v>43845</v>
      </c>
      <c r="AS331" s="30" t="str">
        <f t="shared" ca="1" si="142"/>
        <v>BDS618</v>
      </c>
      <c r="AT331" s="26" t="str">
        <f t="shared" ca="1" si="138"/>
        <v>JEEP</v>
      </c>
      <c r="AU331" s="26" t="str">
        <f t="shared" ca="1" si="139"/>
        <v>RENEGADE</v>
      </c>
      <c r="AV331" s="26" t="str">
        <f t="shared" ca="1" si="140"/>
        <v>RIMAC SEGUROS  Y REASEGUROS S.A</v>
      </c>
    </row>
    <row r="332" spans="1:48" x14ac:dyDescent="0.2">
      <c r="A332" s="220">
        <v>43775</v>
      </c>
      <c r="B332" s="130" t="s">
        <v>68</v>
      </c>
      <c r="C332" s="130" t="s">
        <v>102</v>
      </c>
      <c r="D332" s="130" t="s">
        <v>1879</v>
      </c>
      <c r="E332" s="130" t="s">
        <v>844</v>
      </c>
      <c r="F332" s="130" t="s">
        <v>940</v>
      </c>
      <c r="G332" s="220">
        <v>43761</v>
      </c>
      <c r="H332" s="130" t="s">
        <v>387</v>
      </c>
      <c r="I332" s="130" t="s">
        <v>386</v>
      </c>
      <c r="J332" s="130" t="s">
        <v>104</v>
      </c>
      <c r="K332" s="130" t="s">
        <v>105</v>
      </c>
      <c r="L332" s="174" t="s">
        <v>71</v>
      </c>
      <c r="M332" s="131" t="s">
        <v>72</v>
      </c>
      <c r="N332" s="130" t="s">
        <v>73</v>
      </c>
      <c r="O332" s="219" t="s">
        <v>69</v>
      </c>
      <c r="P332" s="130" t="s">
        <v>1699</v>
      </c>
      <c r="Q332" s="132" t="s">
        <v>74</v>
      </c>
      <c r="R332" s="218">
        <v>3.339</v>
      </c>
      <c r="S332" s="129">
        <v>1</v>
      </c>
      <c r="T332" s="129">
        <v>1230</v>
      </c>
      <c r="U332" s="129">
        <v>1230</v>
      </c>
      <c r="V332" s="129">
        <v>221.4</v>
      </c>
      <c r="W332" s="129">
        <v>1451.4</v>
      </c>
      <c r="X332" s="27">
        <f t="shared" si="143"/>
        <v>1230</v>
      </c>
      <c r="Y332" s="29">
        <f ca="1">VLOOKUP(Z332,CHOOSE({2,1},Fac_Fecha,Fac_OT),2,0)</f>
        <v>43882</v>
      </c>
      <c r="Z332" s="26" t="s">
        <v>2920</v>
      </c>
      <c r="AA332" s="28">
        <f t="shared" ca="1" si="141"/>
        <v>909.05600000000004</v>
      </c>
      <c r="AB332" s="28">
        <f ca="1">SUMIF(Salida_OT,Facturacion!Z332,Salida_Suma)</f>
        <v>0</v>
      </c>
      <c r="AC332" s="28">
        <f t="shared" ca="1" si="126"/>
        <v>0</v>
      </c>
      <c r="AD332" s="28">
        <f t="shared" ca="1" si="127"/>
        <v>0</v>
      </c>
      <c r="AE332" s="28">
        <f ca="1">(SUMIF(Asig_OT,Z332,Asig_Hora_Mec))*'Costos x MO'!$B$6*'Costos x MO'!$B$7</f>
        <v>0</v>
      </c>
      <c r="AF332" s="28">
        <f ca="1">SUMIF(Asig_OT,Z332,Asig_Hora_Pla)*'Costos x MO'!$B$4*'Costos x MO'!$B$7</f>
        <v>105.52500000000001</v>
      </c>
      <c r="AG332" s="28">
        <f ca="1">SUMIF(Asig_OT,Z332,Asig_paño_Pin)*'Costos x MO'!$B$5*'Costos x MO'!$B$7</f>
        <v>175.875</v>
      </c>
      <c r="AH332" s="28">
        <f ca="1">(SUMIF(Asig_OT,Z332,Asig_Terc_Pla)*'Costos x MO'!$B$7)+(SUMIF(Asig_OT,Z332,Asig_Terc_Pin)*'Costos x MO'!$B$7)</f>
        <v>0</v>
      </c>
      <c r="AI332" s="28">
        <f t="shared" ca="1" si="128"/>
        <v>281.39999999999998</v>
      </c>
      <c r="AJ332" s="28">
        <f t="shared" ca="1" si="129"/>
        <v>627.65600000000006</v>
      </c>
      <c r="AK332" s="31">
        <f t="shared" ca="1" si="130"/>
        <v>0.69044811320754718</v>
      </c>
      <c r="AL332" s="28" t="str">
        <f t="shared" ca="1" si="131"/>
        <v>RIMAC</v>
      </c>
      <c r="AM332" s="28" t="str">
        <f t="shared" ca="1" si="132"/>
        <v>LEVE</v>
      </c>
      <c r="AN332" s="30" t="str">
        <f t="shared" ca="1" si="133"/>
        <v>February</v>
      </c>
      <c r="AO332" s="42">
        <f t="shared" ca="1" si="134"/>
        <v>2020</v>
      </c>
      <c r="AP332" s="42">
        <f t="shared" ca="1" si="135"/>
        <v>4</v>
      </c>
      <c r="AQ332" s="26">
        <v>1</v>
      </c>
      <c r="AR332" s="30">
        <f t="shared" ca="1" si="136"/>
        <v>43878</v>
      </c>
      <c r="AS332" s="30" t="str">
        <f t="shared" ca="1" si="142"/>
        <v>C4R002</v>
      </c>
      <c r="AT332" s="26" t="str">
        <f t="shared" ca="1" si="138"/>
        <v>KIA</v>
      </c>
      <c r="AU332" s="26" t="str">
        <f t="shared" ca="1" si="139"/>
        <v>SPORTAGE</v>
      </c>
      <c r="AV332" s="26" t="str">
        <f t="shared" ca="1" si="140"/>
        <v>RIMAC SEGUROS  Y REASEGUROS S.A</v>
      </c>
    </row>
    <row r="333" spans="1:48" x14ac:dyDescent="0.2">
      <c r="A333" s="220">
        <v>43775</v>
      </c>
      <c r="B333" s="130" t="s">
        <v>68</v>
      </c>
      <c r="C333" s="130" t="s">
        <v>102</v>
      </c>
      <c r="D333" s="130" t="s">
        <v>1878</v>
      </c>
      <c r="E333" s="130" t="s">
        <v>856</v>
      </c>
      <c r="F333" s="130" t="s">
        <v>986</v>
      </c>
      <c r="G333" s="220">
        <v>43762</v>
      </c>
      <c r="H333" s="130" t="s">
        <v>387</v>
      </c>
      <c r="I333" s="130" t="s">
        <v>386</v>
      </c>
      <c r="J333" s="130" t="s">
        <v>97</v>
      </c>
      <c r="K333" s="130" t="s">
        <v>98</v>
      </c>
      <c r="L333" s="174" t="s">
        <v>71</v>
      </c>
      <c r="M333" s="131" t="s">
        <v>72</v>
      </c>
      <c r="N333" s="130" t="s">
        <v>73</v>
      </c>
      <c r="O333" s="219" t="s">
        <v>99</v>
      </c>
      <c r="P333" s="130" t="s">
        <v>98</v>
      </c>
      <c r="Q333" s="132" t="s">
        <v>74</v>
      </c>
      <c r="R333" s="218">
        <v>3.339</v>
      </c>
      <c r="S333" s="129">
        <v>1</v>
      </c>
      <c r="T333" s="129">
        <v>1957.5</v>
      </c>
      <c r="U333" s="129">
        <v>1957.5</v>
      </c>
      <c r="V333" s="129">
        <v>352.35010000000011</v>
      </c>
      <c r="W333" s="129">
        <v>2309.8501000000001</v>
      </c>
      <c r="X333" s="27">
        <f t="shared" si="143"/>
        <v>1957.5</v>
      </c>
      <c r="Y333" s="29">
        <f ca="1">VLOOKUP(Z333,CHOOSE({2,1},Fac_Fecha,Fac_OT),2,0)</f>
        <v>43882</v>
      </c>
      <c r="Z333" s="26" t="s">
        <v>2905</v>
      </c>
      <c r="AA333" s="28">
        <f t="shared" ca="1" si="141"/>
        <v>1482.3039999999999</v>
      </c>
      <c r="AB333" s="28">
        <f ca="1">SUMIF(Salida_OT,Facturacion!Z333,Salida_Suma)</f>
        <v>0</v>
      </c>
      <c r="AC333" s="28">
        <f t="shared" ca="1" si="126"/>
        <v>0</v>
      </c>
      <c r="AD333" s="28">
        <f t="shared" ca="1" si="127"/>
        <v>0</v>
      </c>
      <c r="AE333" s="28">
        <f ca="1">(SUMIF(Asig_OT,Z333,Asig_Hora_Mec))*'Costos x MO'!$B$6*'Costos x MO'!$B$7</f>
        <v>30.150000000000002</v>
      </c>
      <c r="AF333" s="28">
        <f ca="1">SUMIF(Asig_OT,Z333,Asig_Hora_Pla)*'Costos x MO'!$B$4*'Costos x MO'!$B$7</f>
        <v>105.52500000000001</v>
      </c>
      <c r="AG333" s="28">
        <f ca="1">SUMIF(Asig_OT,Z333,Asig_paño_Pin)*'Costos x MO'!$B$5*'Costos x MO'!$B$7</f>
        <v>351.75</v>
      </c>
      <c r="AH333" s="28">
        <f ca="1">(SUMIF(Asig_OT,Z333,Asig_Terc_Pla)*'Costos x MO'!$B$7)+(SUMIF(Asig_OT,Z333,Asig_Terc_Pin)*'Costos x MO'!$B$7)</f>
        <v>0</v>
      </c>
      <c r="AI333" s="28">
        <f t="shared" ca="1" si="128"/>
        <v>487.42500000000001</v>
      </c>
      <c r="AJ333" s="28">
        <f t="shared" ca="1" si="129"/>
        <v>994.87899999999991</v>
      </c>
      <c r="AK333" s="31">
        <f t="shared" ca="1" si="130"/>
        <v>0.67117069103233884</v>
      </c>
      <c r="AL333" s="28" t="str">
        <f t="shared" ca="1" si="131"/>
        <v>RIMAC</v>
      </c>
      <c r="AM333" s="28" t="str">
        <f t="shared" ca="1" si="132"/>
        <v>MEDIANO</v>
      </c>
      <c r="AN333" s="30" t="str">
        <f t="shared" ca="1" si="133"/>
        <v>February</v>
      </c>
      <c r="AO333" s="42">
        <f t="shared" ca="1" si="134"/>
        <v>2020</v>
      </c>
      <c r="AP333" s="42">
        <f t="shared" ca="1" si="135"/>
        <v>11</v>
      </c>
      <c r="AQ333" s="26">
        <v>1</v>
      </c>
      <c r="AR333" s="30">
        <f t="shared" ca="1" si="136"/>
        <v>43871</v>
      </c>
      <c r="AS333" s="30" t="str">
        <f t="shared" ca="1" si="142"/>
        <v>V4K291</v>
      </c>
      <c r="AT333" s="26" t="str">
        <f t="shared" ca="1" si="138"/>
        <v>TOYOTA</v>
      </c>
      <c r="AU333" s="26" t="str">
        <f t="shared" ca="1" si="139"/>
        <v>COROLLA</v>
      </c>
      <c r="AV333" s="26" t="str">
        <f t="shared" ca="1" si="140"/>
        <v>RIMAC SEGUROS  Y REASEGUROS S.A</v>
      </c>
    </row>
    <row r="334" spans="1:48" x14ac:dyDescent="0.2">
      <c r="A334" s="220">
        <v>43775</v>
      </c>
      <c r="B334" s="130" t="s">
        <v>68</v>
      </c>
      <c r="C334" s="130" t="s">
        <v>102</v>
      </c>
      <c r="D334" s="130" t="s">
        <v>1878</v>
      </c>
      <c r="E334" s="130" t="s">
        <v>856</v>
      </c>
      <c r="F334" s="130" t="s">
        <v>986</v>
      </c>
      <c r="G334" s="220">
        <v>43762</v>
      </c>
      <c r="H334" s="130" t="s">
        <v>387</v>
      </c>
      <c r="I334" s="130" t="s">
        <v>386</v>
      </c>
      <c r="J334" s="130" t="s">
        <v>100</v>
      </c>
      <c r="K334" s="130" t="s">
        <v>101</v>
      </c>
      <c r="L334" s="174" t="s">
        <v>71</v>
      </c>
      <c r="M334" s="131" t="s">
        <v>72</v>
      </c>
      <c r="N334" s="130" t="s">
        <v>73</v>
      </c>
      <c r="O334" s="219" t="s">
        <v>72</v>
      </c>
      <c r="P334" s="130" t="s">
        <v>101</v>
      </c>
      <c r="Q334" s="132" t="s">
        <v>74</v>
      </c>
      <c r="R334" s="218">
        <v>3.339</v>
      </c>
      <c r="S334" s="129">
        <v>1</v>
      </c>
      <c r="T334" s="129">
        <v>1085</v>
      </c>
      <c r="U334" s="129">
        <v>1085</v>
      </c>
      <c r="V334" s="129">
        <v>195.3</v>
      </c>
      <c r="W334" s="129">
        <v>1280.3</v>
      </c>
      <c r="X334" s="27">
        <f t="shared" si="143"/>
        <v>1085</v>
      </c>
      <c r="Y334" s="29">
        <f ca="1">VLOOKUP(Z334,CHOOSE({2,1},Fac_Fecha,Fac_OT),2,0)</f>
        <v>43883</v>
      </c>
      <c r="Z334" s="26" t="s">
        <v>2937</v>
      </c>
      <c r="AA334" s="28">
        <f t="shared" ca="1" si="141"/>
        <v>50.9100015</v>
      </c>
      <c r="AB334" s="28">
        <f ca="1">SUMIF(Salida_OT,Facturacion!Z334,Salida_Suma)</f>
        <v>0</v>
      </c>
      <c r="AC334" s="28">
        <f t="shared" ca="1" si="126"/>
        <v>0</v>
      </c>
      <c r="AD334" s="28">
        <f t="shared" ca="1" si="127"/>
        <v>0</v>
      </c>
      <c r="AE334" s="28">
        <f ca="1">(SUMIF(Asig_OT,Z334,Asig_Hora_Mec))*'Costos x MO'!$B$6*'Costos x MO'!$B$7</f>
        <v>0</v>
      </c>
      <c r="AF334" s="28">
        <f ca="1">SUMIF(Asig_OT,Z334,Asig_Hora_Pla)*'Costos x MO'!$B$4*'Costos x MO'!$B$7</f>
        <v>0</v>
      </c>
      <c r="AG334" s="28">
        <f ca="1">SUMIF(Asig_OT,Z334,Asig_paño_Pin)*'Costos x MO'!$B$5*'Costos x MO'!$B$7</f>
        <v>0</v>
      </c>
      <c r="AH334" s="28">
        <f ca="1">(SUMIF(Asig_OT,Z334,Asig_Terc_Pla)*'Costos x MO'!$B$7)+(SUMIF(Asig_OT,Z334,Asig_Terc_Pin)*'Costos x MO'!$B$7)</f>
        <v>0</v>
      </c>
      <c r="AI334" s="28">
        <f t="shared" ca="1" si="128"/>
        <v>0</v>
      </c>
      <c r="AJ334" s="28">
        <f t="shared" ca="1" si="129"/>
        <v>50.9100015</v>
      </c>
      <c r="AK334" s="31">
        <f t="shared" ca="1" si="130"/>
        <v>1</v>
      </c>
      <c r="AL334" s="28" t="s">
        <v>123</v>
      </c>
      <c r="AM334" s="28" t="s">
        <v>124</v>
      </c>
      <c r="AN334" s="30" t="str">
        <f t="shared" ca="1" si="133"/>
        <v>February</v>
      </c>
      <c r="AO334" s="42">
        <f t="shared" ca="1" si="134"/>
        <v>2020</v>
      </c>
      <c r="AP334" s="42">
        <f t="shared" ca="1" si="135"/>
        <v>7</v>
      </c>
      <c r="AQ334" s="26">
        <v>1</v>
      </c>
      <c r="AR334" s="30">
        <f t="shared" ca="1" si="136"/>
        <v>43876</v>
      </c>
      <c r="AS334" s="30" t="str">
        <f t="shared" ca="1" si="142"/>
        <v>AXW530</v>
      </c>
      <c r="AT334" s="26" t="s">
        <v>122</v>
      </c>
      <c r="AU334" s="26" t="s">
        <v>3236</v>
      </c>
      <c r="AV334" s="26" t="str">
        <f t="shared" ca="1" si="140"/>
        <v>RIMAC SEGUROS  Y REASEGUROS S.A</v>
      </c>
    </row>
    <row r="335" spans="1:48" x14ac:dyDescent="0.2">
      <c r="A335" s="220">
        <v>43775</v>
      </c>
      <c r="B335" s="130" t="s">
        <v>68</v>
      </c>
      <c r="C335" s="130" t="s">
        <v>102</v>
      </c>
      <c r="D335" s="130" t="s">
        <v>1878</v>
      </c>
      <c r="E335" s="130" t="s">
        <v>856</v>
      </c>
      <c r="F335" s="130" t="s">
        <v>986</v>
      </c>
      <c r="G335" s="220">
        <v>43762</v>
      </c>
      <c r="H335" s="130" t="s">
        <v>387</v>
      </c>
      <c r="I335" s="130" t="s">
        <v>386</v>
      </c>
      <c r="J335" s="130" t="s">
        <v>92</v>
      </c>
      <c r="K335" s="130" t="s">
        <v>113</v>
      </c>
      <c r="L335" s="174" t="s">
        <v>71</v>
      </c>
      <c r="M335" s="131" t="s">
        <v>72</v>
      </c>
      <c r="N335" s="130" t="s">
        <v>73</v>
      </c>
      <c r="O335" s="219" t="s">
        <v>69</v>
      </c>
      <c r="P335" s="130" t="s">
        <v>1699</v>
      </c>
      <c r="Q335" s="132" t="s">
        <v>74</v>
      </c>
      <c r="R335" s="218">
        <v>3.339</v>
      </c>
      <c r="S335" s="129">
        <v>1</v>
      </c>
      <c r="T335" s="129">
        <v>870</v>
      </c>
      <c r="U335" s="129">
        <v>870</v>
      </c>
      <c r="V335" s="129">
        <v>156.59999999999985</v>
      </c>
      <c r="W335" s="129">
        <v>1026.5999999999999</v>
      </c>
      <c r="X335" s="27">
        <f t="shared" si="143"/>
        <v>870</v>
      </c>
      <c r="Y335" s="29">
        <f ca="1">VLOOKUP(Z335,CHOOSE({2,1},Fac_Fecha,Fac_OT),2,0)</f>
        <v>43883</v>
      </c>
      <c r="Z335" s="26" t="s">
        <v>3061</v>
      </c>
      <c r="AA335" s="28">
        <f t="shared" ca="1" si="141"/>
        <v>290</v>
      </c>
      <c r="AB335" s="28">
        <f ca="1">SUMIF(Salida_OT,Facturacion!Z335,Salida_Suma)</f>
        <v>0</v>
      </c>
      <c r="AC335" s="28">
        <f t="shared" ca="1" si="126"/>
        <v>0</v>
      </c>
      <c r="AD335" s="28">
        <f t="shared" ca="1" si="127"/>
        <v>169.49</v>
      </c>
      <c r="AE335" s="28">
        <f ca="1">(SUMIF(Asig_OT,Z335,Asig_Hora_Mec))*'Costos x MO'!$B$6*'Costos x MO'!$B$7</f>
        <v>40.250250000000001</v>
      </c>
      <c r="AF335" s="28">
        <f ca="1">SUMIF(Asig_OT,Z335,Asig_Hora_Pla)*'Costos x MO'!$B$4*'Costos x MO'!$B$7</f>
        <v>0</v>
      </c>
      <c r="AG335" s="28">
        <f ca="1">SUMIF(Asig_OT,Z335,Asig_paño_Pin)*'Costos x MO'!$B$5*'Costos x MO'!$B$7</f>
        <v>0</v>
      </c>
      <c r="AH335" s="28">
        <f ca="1">(SUMIF(Asig_OT,Z335,Asig_Terc_Pla)*'Costos x MO'!$B$7)+(SUMIF(Asig_OT,Z335,Asig_Terc_Pin)*'Costos x MO'!$B$7)</f>
        <v>0</v>
      </c>
      <c r="AI335" s="28">
        <f t="shared" ca="1" si="128"/>
        <v>209.74025</v>
      </c>
      <c r="AJ335" s="28">
        <f t="shared" ca="1" si="129"/>
        <v>80.259749999999997</v>
      </c>
      <c r="AK335" s="31">
        <f t="shared" ca="1" si="130"/>
        <v>0.27675775862068963</v>
      </c>
      <c r="AL335" s="28" t="s">
        <v>770</v>
      </c>
      <c r="AM335" s="28" t="s">
        <v>447</v>
      </c>
      <c r="AN335" s="30" t="str">
        <f t="shared" ca="1" si="133"/>
        <v>February</v>
      </c>
      <c r="AO335" s="42">
        <f t="shared" ca="1" si="134"/>
        <v>2020</v>
      </c>
      <c r="AP335" s="42">
        <f t="shared" ca="1" si="135"/>
        <v>2</v>
      </c>
      <c r="AQ335" s="26">
        <v>1</v>
      </c>
      <c r="AR335" s="30">
        <f t="shared" ca="1" si="136"/>
        <v>43881</v>
      </c>
      <c r="AS335" s="30" t="str">
        <f t="shared" ca="1" si="142"/>
        <v>F0B164</v>
      </c>
      <c r="AT335" s="26" t="str">
        <f t="shared" ca="1" si="138"/>
        <v>CHEVROLET</v>
      </c>
      <c r="AU335" s="26" t="str">
        <f t="shared" ca="1" si="139"/>
        <v>SAIL</v>
      </c>
      <c r="AV335" s="26" t="str">
        <f t="shared" ca="1" si="140"/>
        <v>EDPYME ACCESO CREDITICIO SOCIEDAD ANONIMA</v>
      </c>
    </row>
    <row r="336" spans="1:48" x14ac:dyDescent="0.2">
      <c r="A336" s="220">
        <v>43775</v>
      </c>
      <c r="B336" s="130" t="s">
        <v>68</v>
      </c>
      <c r="C336" s="130" t="s">
        <v>102</v>
      </c>
      <c r="D336" s="130" t="s">
        <v>1878</v>
      </c>
      <c r="E336" s="130" t="s">
        <v>856</v>
      </c>
      <c r="F336" s="130" t="s">
        <v>986</v>
      </c>
      <c r="G336" s="220">
        <v>43762</v>
      </c>
      <c r="H336" s="130" t="s">
        <v>387</v>
      </c>
      <c r="I336" s="130" t="s">
        <v>386</v>
      </c>
      <c r="J336" s="130" t="s">
        <v>70</v>
      </c>
      <c r="K336" s="130" t="s">
        <v>112</v>
      </c>
      <c r="L336" s="174" t="s">
        <v>71</v>
      </c>
      <c r="M336" s="131" t="s">
        <v>72</v>
      </c>
      <c r="N336" s="130" t="s">
        <v>73</v>
      </c>
      <c r="O336" s="219" t="s">
        <v>69</v>
      </c>
      <c r="P336" s="130" t="s">
        <v>1699</v>
      </c>
      <c r="Q336" s="132" t="s">
        <v>74</v>
      </c>
      <c r="R336" s="218">
        <v>3.339</v>
      </c>
      <c r="S336" s="129">
        <v>1</v>
      </c>
      <c r="T336" s="129">
        <v>708.75420999999972</v>
      </c>
      <c r="U336" s="129">
        <v>708.75420999999972</v>
      </c>
      <c r="V336" s="129">
        <v>127.57581000000006</v>
      </c>
      <c r="W336" s="129">
        <v>836.33001999999976</v>
      </c>
      <c r="X336" s="27">
        <f t="shared" si="143"/>
        <v>708.75420999999972</v>
      </c>
      <c r="Y336" s="29">
        <f ca="1">VLOOKUP(Z336,CHOOSE({2,1},Fac_Fecha,Fac_OT),2,0)</f>
        <v>43883</v>
      </c>
      <c r="Z336" s="26" t="s">
        <v>2885</v>
      </c>
      <c r="AA336" s="28">
        <f t="shared" ca="1" si="141"/>
        <v>1601.9680472</v>
      </c>
      <c r="AB336" s="28">
        <f ca="1">SUMIF(Salida_OT,Facturacion!Z336,Salida_Suma)</f>
        <v>0</v>
      </c>
      <c r="AC336" s="28">
        <f t="shared" ca="1" si="126"/>
        <v>0</v>
      </c>
      <c r="AD336" s="28">
        <f t="shared" ca="1" si="127"/>
        <v>0</v>
      </c>
      <c r="AE336" s="28">
        <f ca="1">(SUMIF(Asig_OT,Z336,Asig_Hora_Mec))*'Costos x MO'!$B$6*'Costos x MO'!$B$7</f>
        <v>0</v>
      </c>
      <c r="AF336" s="28">
        <f ca="1">SUMIF(Asig_OT,Z336,Asig_Hora_Pla)*'Costos x MO'!$B$4*'Costos x MO'!$B$7</f>
        <v>97.987499999999997</v>
      </c>
      <c r="AG336" s="28">
        <f ca="1">SUMIF(Asig_OT,Z336,Asig_paño_Pin)*'Costos x MO'!$B$5*'Costos x MO'!$B$7</f>
        <v>211.05</v>
      </c>
      <c r="AH336" s="28">
        <f ca="1">(SUMIF(Asig_OT,Z336,Asig_Terc_Pla)*'Costos x MO'!$B$7)+(SUMIF(Asig_OT,Z336,Asig_Terc_Pin)*'Costos x MO'!$B$7)</f>
        <v>0</v>
      </c>
      <c r="AI336" s="28">
        <f t="shared" ca="1" si="128"/>
        <v>309.03750000000002</v>
      </c>
      <c r="AJ336" s="28">
        <f t="shared" ca="1" si="129"/>
        <v>1292.9305472000001</v>
      </c>
      <c r="AK336" s="31">
        <f t="shared" ca="1" si="130"/>
        <v>0.80708884890672372</v>
      </c>
      <c r="AL336" s="28" t="str">
        <f t="shared" ca="1" si="131"/>
        <v>RIMAC</v>
      </c>
      <c r="AM336" s="28" t="str">
        <f t="shared" ca="1" si="132"/>
        <v>MEDIANO</v>
      </c>
      <c r="AN336" s="30" t="str">
        <f t="shared" ca="1" si="133"/>
        <v>February</v>
      </c>
      <c r="AO336" s="42">
        <f t="shared" ca="1" si="134"/>
        <v>2020</v>
      </c>
      <c r="AP336" s="42">
        <f t="shared" ca="1" si="135"/>
        <v>15</v>
      </c>
      <c r="AQ336" s="26">
        <v>1</v>
      </c>
      <c r="AR336" s="30">
        <f t="shared" ca="1" si="136"/>
        <v>43868</v>
      </c>
      <c r="AS336" s="30" t="str">
        <f t="shared" ca="1" si="142"/>
        <v>BHG013</v>
      </c>
      <c r="AT336" s="26" t="str">
        <f t="shared" ca="1" si="138"/>
        <v>SSAN YONG</v>
      </c>
      <c r="AU336" s="26" t="str">
        <f t="shared" ca="1" si="139"/>
        <v>RODIOUS</v>
      </c>
      <c r="AV336" s="26" t="str">
        <f t="shared" ca="1" si="140"/>
        <v>RIMAC SEGUROS  Y REASEGUROS S.A</v>
      </c>
    </row>
    <row r="337" spans="1:48" x14ac:dyDescent="0.2">
      <c r="A337" s="220">
        <v>43775</v>
      </c>
      <c r="B337" s="130" t="s">
        <v>68</v>
      </c>
      <c r="C337" s="130" t="s">
        <v>102</v>
      </c>
      <c r="D337" s="130" t="s">
        <v>1878</v>
      </c>
      <c r="E337" s="130" t="s">
        <v>856</v>
      </c>
      <c r="F337" s="130" t="s">
        <v>986</v>
      </c>
      <c r="G337" s="220">
        <v>43762</v>
      </c>
      <c r="H337" s="130" t="s">
        <v>387</v>
      </c>
      <c r="I337" s="130" t="s">
        <v>386</v>
      </c>
      <c r="J337" s="130" t="s">
        <v>104</v>
      </c>
      <c r="K337" s="130" t="s">
        <v>105</v>
      </c>
      <c r="L337" s="174" t="s">
        <v>71</v>
      </c>
      <c r="M337" s="131" t="s">
        <v>72</v>
      </c>
      <c r="N337" s="130" t="s">
        <v>73</v>
      </c>
      <c r="O337" s="219" t="s">
        <v>69</v>
      </c>
      <c r="P337" s="130" t="s">
        <v>1699</v>
      </c>
      <c r="Q337" s="132" t="s">
        <v>74</v>
      </c>
      <c r="R337" s="218">
        <v>3.339</v>
      </c>
      <c r="S337" s="129">
        <v>1</v>
      </c>
      <c r="T337" s="129">
        <v>3500</v>
      </c>
      <c r="U337" s="129">
        <v>3500</v>
      </c>
      <c r="V337" s="129">
        <v>630</v>
      </c>
      <c r="W337" s="129">
        <v>4130</v>
      </c>
      <c r="X337" s="27">
        <f t="shared" si="143"/>
        <v>3500</v>
      </c>
      <c r="Y337" s="29">
        <f ca="1">VLOOKUP(Z337,CHOOSE({2,1},Fac_Fecha,Fac_OT),2,0)</f>
        <v>43885</v>
      </c>
      <c r="Z337" s="26" t="s">
        <v>2903</v>
      </c>
      <c r="AA337" s="28">
        <f t="shared" ca="1" si="141"/>
        <v>3438.9848900654215</v>
      </c>
      <c r="AB337" s="28">
        <f ca="1">SUMIF(Salida_OT,Facturacion!Z337,Salida_Suma)</f>
        <v>0</v>
      </c>
      <c r="AC337" s="28">
        <f t="shared" ca="1" si="126"/>
        <v>0</v>
      </c>
      <c r="AD337" s="28">
        <f t="shared" ca="1" si="127"/>
        <v>144.07</v>
      </c>
      <c r="AE337" s="28">
        <f ca="1">(SUMIF(Asig_OT,Z337,Asig_Hora_Mec))*'Costos x MO'!$B$6*'Costos x MO'!$B$7</f>
        <v>30.150000000000002</v>
      </c>
      <c r="AF337" s="28">
        <f ca="1">SUMIF(Asig_OT,Z337,Asig_Hora_Pla)*'Costos x MO'!$B$4*'Costos x MO'!$B$7</f>
        <v>241.20000000000002</v>
      </c>
      <c r="AG337" s="28">
        <f ca="1">SUMIF(Asig_OT,Z337,Asig_paño_Pin)*'Costos x MO'!$B$5*'Costos x MO'!$B$7</f>
        <v>474.86250000000001</v>
      </c>
      <c r="AH337" s="28">
        <f ca="1">(SUMIF(Asig_OT,Z337,Asig_Terc_Pla)*'Costos x MO'!$B$7)+(SUMIF(Asig_OT,Z337,Asig_Terc_Pin)*'Costos x MO'!$B$7)</f>
        <v>0</v>
      </c>
      <c r="AI337" s="28">
        <f t="shared" ca="1" si="128"/>
        <v>890.28250000000003</v>
      </c>
      <c r="AJ337" s="28">
        <f t="shared" ca="1" si="129"/>
        <v>2548.7023900654212</v>
      </c>
      <c r="AK337" s="31">
        <f t="shared" ca="1" si="130"/>
        <v>0.74112055491378914</v>
      </c>
      <c r="AL337" s="28" t="str">
        <f t="shared" ca="1" si="131"/>
        <v>RIMAC</v>
      </c>
      <c r="AM337" s="28" t="str">
        <f t="shared" ca="1" si="132"/>
        <v>GRAVE</v>
      </c>
      <c r="AN337" s="30" t="str">
        <f t="shared" ca="1" si="133"/>
        <v>February</v>
      </c>
      <c r="AO337" s="42">
        <f t="shared" ca="1" si="134"/>
        <v>2020</v>
      </c>
      <c r="AP337" s="42">
        <f t="shared" ca="1" si="135"/>
        <v>14</v>
      </c>
      <c r="AQ337" s="26">
        <v>1</v>
      </c>
      <c r="AR337" s="30">
        <f t="shared" ca="1" si="136"/>
        <v>43871</v>
      </c>
      <c r="AS337" s="30" t="str">
        <f t="shared" ca="1" si="142"/>
        <v>D9G573</v>
      </c>
      <c r="AT337" s="26" t="str">
        <f t="shared" ca="1" si="138"/>
        <v>HYUNDAI</v>
      </c>
      <c r="AU337" s="26" t="str">
        <f t="shared" ca="1" si="139"/>
        <v>TUCSON</v>
      </c>
      <c r="AV337" s="26" t="str">
        <f t="shared" ca="1" si="140"/>
        <v>RIMAC SEGUROS  Y REASEGUROS S.A</v>
      </c>
    </row>
    <row r="338" spans="1:48" x14ac:dyDescent="0.2">
      <c r="A338" s="220">
        <v>43775</v>
      </c>
      <c r="B338" s="130" t="s">
        <v>68</v>
      </c>
      <c r="C338" s="130" t="s">
        <v>102</v>
      </c>
      <c r="D338" s="130" t="s">
        <v>1877</v>
      </c>
      <c r="E338" s="130" t="s">
        <v>895</v>
      </c>
      <c r="F338" s="130" t="s">
        <v>925</v>
      </c>
      <c r="G338" s="220">
        <v>43763</v>
      </c>
      <c r="H338" s="130" t="s">
        <v>90</v>
      </c>
      <c r="I338" s="130" t="s">
        <v>91</v>
      </c>
      <c r="J338" s="130" t="s">
        <v>97</v>
      </c>
      <c r="K338" s="130" t="s">
        <v>98</v>
      </c>
      <c r="L338" s="174" t="s">
        <v>71</v>
      </c>
      <c r="M338" s="131" t="s">
        <v>72</v>
      </c>
      <c r="N338" s="130" t="s">
        <v>73</v>
      </c>
      <c r="O338" s="219" t="s">
        <v>99</v>
      </c>
      <c r="P338" s="130" t="s">
        <v>98</v>
      </c>
      <c r="Q338" s="132" t="s">
        <v>93</v>
      </c>
      <c r="R338" s="218">
        <v>3.339</v>
      </c>
      <c r="S338" s="129">
        <v>1</v>
      </c>
      <c r="T338" s="129">
        <v>177</v>
      </c>
      <c r="U338" s="129">
        <v>177</v>
      </c>
      <c r="V338" s="129">
        <v>31.86</v>
      </c>
      <c r="W338" s="129">
        <v>208.86</v>
      </c>
      <c r="X338" s="27">
        <f t="shared" si="143"/>
        <v>591.00300000000004</v>
      </c>
      <c r="Y338" s="29">
        <f ca="1">VLOOKUP(Z338,CHOOSE({2,1},Fac_Fecha,Fac_OT),2,0)</f>
        <v>43885</v>
      </c>
      <c r="Z338" s="26" t="s">
        <v>2929</v>
      </c>
      <c r="AA338" s="28">
        <f t="shared" ca="1" si="141"/>
        <v>1062.3220313000002</v>
      </c>
      <c r="AB338" s="28">
        <f ca="1">SUMIF(Salida_OT,Facturacion!Z338,Salida_Suma)</f>
        <v>0</v>
      </c>
      <c r="AC338" s="28">
        <f t="shared" ca="1" si="126"/>
        <v>0</v>
      </c>
      <c r="AD338" s="28">
        <f t="shared" ca="1" si="127"/>
        <v>0</v>
      </c>
      <c r="AE338" s="28">
        <f ca="1">(SUMIF(Asig_OT,Z338,Asig_Hora_Mec))*'Costos x MO'!$B$6*'Costos x MO'!$B$7</f>
        <v>0</v>
      </c>
      <c r="AF338" s="28">
        <f ca="1">SUMIF(Asig_OT,Z338,Asig_Hora_Pla)*'Costos x MO'!$B$4*'Costos x MO'!$B$7</f>
        <v>120.60000000000001</v>
      </c>
      <c r="AG338" s="28">
        <f ca="1">SUMIF(Asig_OT,Z338,Asig_paño_Pin)*'Costos x MO'!$B$5*'Costos x MO'!$B$7</f>
        <v>140.70000000000002</v>
      </c>
      <c r="AH338" s="28">
        <f ca="1">(SUMIF(Asig_OT,Z338,Asig_Terc_Pla)*'Costos x MO'!$B$7)+(SUMIF(Asig_OT,Z338,Asig_Terc_Pin)*'Costos x MO'!$B$7)</f>
        <v>0</v>
      </c>
      <c r="AI338" s="28">
        <f t="shared" ca="1" si="128"/>
        <v>261.3</v>
      </c>
      <c r="AJ338" s="28">
        <f t="shared" ca="1" si="129"/>
        <v>801.02203130000021</v>
      </c>
      <c r="AK338" s="31">
        <f t="shared" ca="1" si="130"/>
        <v>0.75402938816938769</v>
      </c>
      <c r="AL338" s="28" t="str">
        <f t="shared" ca="1" si="131"/>
        <v>RIMAC</v>
      </c>
      <c r="AM338" s="28" t="str">
        <f t="shared" ca="1" si="132"/>
        <v>MEDIANO</v>
      </c>
      <c r="AN338" s="30" t="str">
        <f t="shared" ca="1" si="133"/>
        <v>February</v>
      </c>
      <c r="AO338" s="42">
        <f t="shared" ca="1" si="134"/>
        <v>2020</v>
      </c>
      <c r="AP338" s="42">
        <f t="shared" ca="1" si="135"/>
        <v>7</v>
      </c>
      <c r="AQ338" s="26">
        <v>1</v>
      </c>
      <c r="AR338" s="30">
        <f t="shared" ca="1" si="136"/>
        <v>43878</v>
      </c>
      <c r="AS338" s="30" t="str">
        <f t="shared" ca="1" si="142"/>
        <v>BBM137</v>
      </c>
      <c r="AT338" s="26" t="str">
        <f t="shared" ca="1" si="138"/>
        <v>SUBARU</v>
      </c>
      <c r="AU338" s="26" t="str">
        <f t="shared" ca="1" si="139"/>
        <v>NEW XV</v>
      </c>
      <c r="AV338" s="26" t="str">
        <f t="shared" ca="1" si="140"/>
        <v>RIMAC SEGUROS  Y REASEGUROS S.A</v>
      </c>
    </row>
    <row r="339" spans="1:48" x14ac:dyDescent="0.2">
      <c r="A339" s="220">
        <v>43775</v>
      </c>
      <c r="B339" s="130" t="s">
        <v>68</v>
      </c>
      <c r="C339" s="130" t="s">
        <v>102</v>
      </c>
      <c r="D339" s="130" t="s">
        <v>1877</v>
      </c>
      <c r="E339" s="130" t="s">
        <v>895</v>
      </c>
      <c r="F339" s="130" t="s">
        <v>925</v>
      </c>
      <c r="G339" s="220">
        <v>43763</v>
      </c>
      <c r="H339" s="130" t="s">
        <v>90</v>
      </c>
      <c r="I339" s="130" t="s">
        <v>91</v>
      </c>
      <c r="J339" s="130" t="s">
        <v>100</v>
      </c>
      <c r="K339" s="130" t="s">
        <v>101</v>
      </c>
      <c r="L339" s="174" t="s">
        <v>71</v>
      </c>
      <c r="M339" s="131" t="s">
        <v>72</v>
      </c>
      <c r="N339" s="130" t="s">
        <v>73</v>
      </c>
      <c r="O339" s="219" t="s">
        <v>72</v>
      </c>
      <c r="P339" s="130" t="s">
        <v>101</v>
      </c>
      <c r="Q339" s="132" t="s">
        <v>93</v>
      </c>
      <c r="R339" s="218">
        <v>3.339</v>
      </c>
      <c r="S339" s="129">
        <v>1</v>
      </c>
      <c r="T339" s="129">
        <v>90</v>
      </c>
      <c r="U339" s="129">
        <v>90</v>
      </c>
      <c r="V339" s="129">
        <v>16.2</v>
      </c>
      <c r="W339" s="129">
        <v>106.2</v>
      </c>
      <c r="X339" s="27">
        <f t="shared" si="143"/>
        <v>300.51</v>
      </c>
      <c r="Y339" s="29">
        <f ca="1">VLOOKUP(Z339,CHOOSE({2,1},Fac_Fecha,Fac_OT),2,0)</f>
        <v>43886</v>
      </c>
      <c r="Z339" s="26" t="s">
        <v>2981</v>
      </c>
      <c r="AA339" s="28">
        <f t="shared" ca="1" si="141"/>
        <v>1501.1640000000002</v>
      </c>
      <c r="AB339" s="28">
        <f ca="1">SUMIF(Salida_OT,Facturacion!Z339,Salida_Suma)</f>
        <v>0</v>
      </c>
      <c r="AC339" s="28">
        <f t="shared" ca="1" si="126"/>
        <v>0</v>
      </c>
      <c r="AD339" s="28">
        <f t="shared" ca="1" si="127"/>
        <v>0</v>
      </c>
      <c r="AE339" s="28">
        <f ca="1">(SUMIF(Asig_OT,Z339,Asig_Hora_Mec))*'Costos x MO'!$B$6*'Costos x MO'!$B$7</f>
        <v>0</v>
      </c>
      <c r="AF339" s="28">
        <f ca="1">SUMIF(Asig_OT,Z339,Asig_Hora_Pla)*'Costos x MO'!$B$4*'Costos x MO'!$B$7</f>
        <v>90.45</v>
      </c>
      <c r="AG339" s="28">
        <f ca="1">SUMIF(Asig_OT,Z339,Asig_paño_Pin)*'Costos x MO'!$B$5*'Costos x MO'!$B$7</f>
        <v>281.40000000000003</v>
      </c>
      <c r="AH339" s="28">
        <f ca="1">(SUMIF(Asig_OT,Z339,Asig_Terc_Pla)*'Costos x MO'!$B$7)+(SUMIF(Asig_OT,Z339,Asig_Terc_Pin)*'Costos x MO'!$B$7)</f>
        <v>0</v>
      </c>
      <c r="AI339" s="28">
        <f t="shared" ca="1" si="128"/>
        <v>371.85</v>
      </c>
      <c r="AJ339" s="28">
        <f t="shared" ca="1" si="129"/>
        <v>1129.3140000000003</v>
      </c>
      <c r="AK339" s="31">
        <f t="shared" ca="1" si="130"/>
        <v>0.75229222123632067</v>
      </c>
      <c r="AL339" s="28" t="s">
        <v>123</v>
      </c>
      <c r="AM339" s="28" t="s">
        <v>23</v>
      </c>
      <c r="AN339" s="30" t="str">
        <f t="shared" ca="1" si="133"/>
        <v>February</v>
      </c>
      <c r="AO339" s="42">
        <f t="shared" ca="1" si="134"/>
        <v>2020</v>
      </c>
      <c r="AP339" s="42">
        <f t="shared" ca="1" si="135"/>
        <v>12</v>
      </c>
      <c r="AQ339" s="26">
        <v>1</v>
      </c>
      <c r="AR339" s="30">
        <f t="shared" ca="1" si="136"/>
        <v>43874</v>
      </c>
      <c r="AS339" s="30" t="str">
        <f t="shared" ca="1" si="142"/>
        <v>AFW077</v>
      </c>
      <c r="AT339" s="26" t="str">
        <f t="shared" ca="1" si="138"/>
        <v>TOYOTA</v>
      </c>
      <c r="AU339" s="26" t="str">
        <f t="shared" ca="1" si="139"/>
        <v>YARIS</v>
      </c>
      <c r="AV339" s="26" t="str">
        <f t="shared" ca="1" si="140"/>
        <v>RIMAC SEGUROS  Y REASEGUROS S.A</v>
      </c>
    </row>
    <row r="340" spans="1:48" x14ac:dyDescent="0.2">
      <c r="A340" s="220">
        <v>43775</v>
      </c>
      <c r="B340" s="130" t="s">
        <v>68</v>
      </c>
      <c r="C340" s="130" t="s">
        <v>102</v>
      </c>
      <c r="D340" s="130" t="s">
        <v>1877</v>
      </c>
      <c r="E340" s="130" t="s">
        <v>895</v>
      </c>
      <c r="F340" s="130" t="s">
        <v>925</v>
      </c>
      <c r="G340" s="220">
        <v>43763</v>
      </c>
      <c r="H340" s="130" t="s">
        <v>90</v>
      </c>
      <c r="I340" s="130" t="s">
        <v>91</v>
      </c>
      <c r="J340" s="130" t="s">
        <v>92</v>
      </c>
      <c r="K340" s="130" t="s">
        <v>113</v>
      </c>
      <c r="L340" s="174" t="s">
        <v>71</v>
      </c>
      <c r="M340" s="131" t="s">
        <v>72</v>
      </c>
      <c r="N340" s="130" t="s">
        <v>73</v>
      </c>
      <c r="O340" s="219" t="s">
        <v>69</v>
      </c>
      <c r="P340" s="130" t="s">
        <v>1699</v>
      </c>
      <c r="Q340" s="132" t="s">
        <v>93</v>
      </c>
      <c r="R340" s="218">
        <v>3.339</v>
      </c>
      <c r="S340" s="129">
        <v>1</v>
      </c>
      <c r="T340" s="129">
        <v>35</v>
      </c>
      <c r="U340" s="129">
        <v>35</v>
      </c>
      <c r="V340" s="129">
        <v>6.299998999999989</v>
      </c>
      <c r="W340" s="129">
        <v>41.299998999999985</v>
      </c>
      <c r="X340" s="27">
        <f t="shared" si="143"/>
        <v>116.86499999999999</v>
      </c>
      <c r="Y340" s="29">
        <f ca="1">VLOOKUP(Z340,CHOOSE({2,1},Fac_Fecha,Fac_OT),2,0)</f>
        <v>43886</v>
      </c>
      <c r="Z340" s="26" t="s">
        <v>2916</v>
      </c>
      <c r="AA340" s="28">
        <f t="shared" ca="1" si="141"/>
        <v>1911.346</v>
      </c>
      <c r="AB340" s="28">
        <f ca="1">SUMIF(Salida_OT,Facturacion!Z340,Salida_Suma)</f>
        <v>0</v>
      </c>
      <c r="AC340" s="28">
        <f t="shared" ca="1" si="126"/>
        <v>0</v>
      </c>
      <c r="AD340" s="28">
        <f t="shared" ca="1" si="127"/>
        <v>0</v>
      </c>
      <c r="AE340" s="28">
        <f ca="1">(SUMIF(Asig_OT,Z340,Asig_Hora_Mec))*'Costos x MO'!$B$6*'Costos x MO'!$B$7</f>
        <v>0</v>
      </c>
      <c r="AF340" s="28">
        <f ca="1">SUMIF(Asig_OT,Z340,Asig_Hora_Pla)*'Costos x MO'!$B$4*'Costos x MO'!$B$7</f>
        <v>211.05</v>
      </c>
      <c r="AG340" s="28">
        <f ca="1">SUMIF(Asig_OT,Z340,Asig_paño_Pin)*'Costos x MO'!$B$5*'Costos x MO'!$B$7</f>
        <v>246.22499999999999</v>
      </c>
      <c r="AH340" s="28">
        <f ca="1">(SUMIF(Asig_OT,Z340,Asig_Terc_Pla)*'Costos x MO'!$B$7)+(SUMIF(Asig_OT,Z340,Asig_Terc_Pin)*'Costos x MO'!$B$7)</f>
        <v>0</v>
      </c>
      <c r="AI340" s="28">
        <f t="shared" ca="1" si="128"/>
        <v>457.27499999999998</v>
      </c>
      <c r="AJ340" s="28">
        <f t="shared" ca="1" si="129"/>
        <v>1454.0709999999999</v>
      </c>
      <c r="AK340" s="31">
        <f t="shared" ca="1" si="130"/>
        <v>0.76075760223423694</v>
      </c>
      <c r="AL340" s="28" t="str">
        <f t="shared" ca="1" si="131"/>
        <v>RIMAC</v>
      </c>
      <c r="AM340" s="28" t="str">
        <f t="shared" ca="1" si="132"/>
        <v>GRAVE</v>
      </c>
      <c r="AN340" s="30" t="str">
        <f t="shared" ca="1" si="133"/>
        <v>February</v>
      </c>
      <c r="AO340" s="42">
        <f t="shared" ca="1" si="134"/>
        <v>2020</v>
      </c>
      <c r="AP340" s="42">
        <f t="shared" ca="1" si="135"/>
        <v>11</v>
      </c>
      <c r="AQ340" s="26">
        <v>1</v>
      </c>
      <c r="AR340" s="30">
        <f t="shared" ca="1" si="136"/>
        <v>43875</v>
      </c>
      <c r="AS340" s="30" t="str">
        <f t="shared" ca="1" si="142"/>
        <v>AFX260</v>
      </c>
      <c r="AT340" s="26" t="str">
        <f t="shared" ca="1" si="138"/>
        <v>SUZUKI</v>
      </c>
      <c r="AU340" s="26" t="str">
        <f t="shared" ca="1" si="139"/>
        <v>SCROOS</v>
      </c>
      <c r="AV340" s="26" t="str">
        <f t="shared" ca="1" si="140"/>
        <v>RIMAC SEGUROS  Y REASEGUROS S.A</v>
      </c>
    </row>
    <row r="341" spans="1:48" x14ac:dyDescent="0.2">
      <c r="A341" s="220">
        <v>43775</v>
      </c>
      <c r="B341" s="130" t="s">
        <v>68</v>
      </c>
      <c r="C341" s="130" t="s">
        <v>102</v>
      </c>
      <c r="D341" s="130" t="s">
        <v>1877</v>
      </c>
      <c r="E341" s="130" t="s">
        <v>895</v>
      </c>
      <c r="F341" s="130" t="s">
        <v>925</v>
      </c>
      <c r="G341" s="220">
        <v>43763</v>
      </c>
      <c r="H341" s="130" t="s">
        <v>90</v>
      </c>
      <c r="I341" s="130" t="s">
        <v>91</v>
      </c>
      <c r="J341" s="130" t="s">
        <v>95</v>
      </c>
      <c r="K341" s="130" t="s">
        <v>96</v>
      </c>
      <c r="L341" s="174" t="s">
        <v>71</v>
      </c>
      <c r="M341" s="131" t="s">
        <v>72</v>
      </c>
      <c r="N341" s="130" t="s">
        <v>73</v>
      </c>
      <c r="O341" s="219" t="s">
        <v>69</v>
      </c>
      <c r="P341" s="130" t="s">
        <v>1699</v>
      </c>
      <c r="Q341" s="132" t="s">
        <v>93</v>
      </c>
      <c r="R341" s="218">
        <v>3.339</v>
      </c>
      <c r="S341" s="129">
        <v>-1</v>
      </c>
      <c r="T341" s="129">
        <v>100</v>
      </c>
      <c r="U341" s="129">
        <v>-100</v>
      </c>
      <c r="V341" s="129">
        <v>-18</v>
      </c>
      <c r="W341" s="129">
        <v>-118</v>
      </c>
      <c r="X341" s="27">
        <f t="shared" si="143"/>
        <v>-333.9</v>
      </c>
      <c r="Y341" s="29">
        <f ca="1">VLOOKUP(Z341,CHOOSE({2,1},Fac_Fecha,Fac_OT),2,0)</f>
        <v>43887</v>
      </c>
      <c r="Z341" s="26" t="s">
        <v>2912</v>
      </c>
      <c r="AA341" s="28">
        <f t="shared" ca="1" si="141"/>
        <v>1648.02</v>
      </c>
      <c r="AB341" s="28">
        <f ca="1">SUMIF(Salida_OT,Facturacion!Z341,Salida_Suma)</f>
        <v>0</v>
      </c>
      <c r="AC341" s="28">
        <f t="shared" ca="1" si="126"/>
        <v>0</v>
      </c>
      <c r="AD341" s="28">
        <f t="shared" ca="1" si="127"/>
        <v>33.9</v>
      </c>
      <c r="AE341" s="28">
        <f ca="1">(SUMIF(Asig_OT,Z341,Asig_Hora_Mec))*'Costos x MO'!$B$6*'Costos x MO'!$B$7</f>
        <v>0</v>
      </c>
      <c r="AF341" s="28">
        <f ca="1">SUMIF(Asig_OT,Z341,Asig_Hora_Pla)*'Costos x MO'!$B$4*'Costos x MO'!$B$7</f>
        <v>120.60000000000001</v>
      </c>
      <c r="AG341" s="28">
        <f ca="1">SUMIF(Asig_OT,Z341,Asig_paño_Pin)*'Costos x MO'!$B$5*'Costos x MO'!$B$7</f>
        <v>246.22499999999999</v>
      </c>
      <c r="AH341" s="28">
        <f ca="1">(SUMIF(Asig_OT,Z341,Asig_Terc_Pla)*'Costos x MO'!$B$7)+(SUMIF(Asig_OT,Z341,Asig_Terc_Pin)*'Costos x MO'!$B$7)</f>
        <v>0</v>
      </c>
      <c r="AI341" s="28">
        <f t="shared" ca="1" si="128"/>
        <v>400.72500000000002</v>
      </c>
      <c r="AJ341" s="28">
        <f t="shared" ca="1" si="129"/>
        <v>1247.2950000000001</v>
      </c>
      <c r="AK341" s="31">
        <f t="shared" ca="1" si="130"/>
        <v>0.75684457712891839</v>
      </c>
      <c r="AL341" s="28" t="str">
        <f t="shared" ca="1" si="131"/>
        <v>RIMAC</v>
      </c>
      <c r="AM341" s="28" t="str">
        <f t="shared" ca="1" si="132"/>
        <v>MEDIANO</v>
      </c>
      <c r="AN341" s="30" t="str">
        <f t="shared" ca="1" si="133"/>
        <v>February</v>
      </c>
      <c r="AO341" s="42">
        <f t="shared" ca="1" si="134"/>
        <v>2020</v>
      </c>
      <c r="AP341" s="42">
        <f t="shared" ca="1" si="135"/>
        <v>41</v>
      </c>
      <c r="AQ341" s="26">
        <v>1</v>
      </c>
      <c r="AR341" s="30">
        <f t="shared" ca="1" si="136"/>
        <v>43846</v>
      </c>
      <c r="AS341" s="30" t="str">
        <f t="shared" ca="1" si="142"/>
        <v>M3K474</v>
      </c>
      <c r="AT341" s="26" t="str">
        <f t="shared" ca="1" si="138"/>
        <v>TOYOTA</v>
      </c>
      <c r="AU341" s="26" t="str">
        <f t="shared" ca="1" si="139"/>
        <v>RAV 4</v>
      </c>
      <c r="AV341" s="26" t="str">
        <f t="shared" ca="1" si="140"/>
        <v>RIMAC SEGUROS  Y REASEGUROS S.A</v>
      </c>
    </row>
    <row r="342" spans="1:48" x14ac:dyDescent="0.2">
      <c r="A342" s="220">
        <v>43775</v>
      </c>
      <c r="B342" s="130" t="s">
        <v>68</v>
      </c>
      <c r="C342" s="130" t="s">
        <v>102</v>
      </c>
      <c r="D342" s="130" t="s">
        <v>1877</v>
      </c>
      <c r="E342" s="130" t="s">
        <v>895</v>
      </c>
      <c r="F342" s="130" t="s">
        <v>925</v>
      </c>
      <c r="G342" s="220">
        <v>43763</v>
      </c>
      <c r="H342" s="130" t="s">
        <v>90</v>
      </c>
      <c r="I342" s="130" t="s">
        <v>91</v>
      </c>
      <c r="J342" s="130" t="s">
        <v>104</v>
      </c>
      <c r="K342" s="130" t="s">
        <v>105</v>
      </c>
      <c r="L342" s="174" t="s">
        <v>71</v>
      </c>
      <c r="M342" s="131" t="s">
        <v>72</v>
      </c>
      <c r="N342" s="130" t="s">
        <v>73</v>
      </c>
      <c r="O342" s="219" t="s">
        <v>69</v>
      </c>
      <c r="P342" s="130" t="s">
        <v>1699</v>
      </c>
      <c r="Q342" s="132" t="s">
        <v>93</v>
      </c>
      <c r="R342" s="218">
        <v>3.339</v>
      </c>
      <c r="S342" s="129">
        <v>1</v>
      </c>
      <c r="T342" s="129">
        <v>0</v>
      </c>
      <c r="U342" s="129">
        <v>0</v>
      </c>
      <c r="V342" s="129">
        <v>0</v>
      </c>
      <c r="W342" s="129">
        <v>0</v>
      </c>
      <c r="X342" s="27">
        <f t="shared" si="143"/>
        <v>0</v>
      </c>
      <c r="Y342" s="29">
        <f ca="1">VLOOKUP(Z342,CHOOSE({2,1},Fac_Fecha,Fac_OT),2,0)</f>
        <v>43887</v>
      </c>
      <c r="Z342" s="26" t="s">
        <v>2649</v>
      </c>
      <c r="AA342" s="28">
        <f t="shared" ca="1" si="141"/>
        <v>3772.74</v>
      </c>
      <c r="AB342" s="28">
        <f ca="1">SUMIF(Salida_OT,Facturacion!Z342,Salida_Suma)</f>
        <v>0</v>
      </c>
      <c r="AC342" s="28">
        <f t="shared" ca="1" si="126"/>
        <v>0</v>
      </c>
      <c r="AD342" s="28">
        <f t="shared" ca="1" si="127"/>
        <v>101.69</v>
      </c>
      <c r="AE342" s="28">
        <f ca="1">(SUMIF(Asig_OT,Z342,Asig_Hora_Mec))*'Costos x MO'!$B$6*'Costos x MO'!$B$7</f>
        <v>60.300000000000004</v>
      </c>
      <c r="AF342" s="28">
        <f ca="1">SUMIF(Asig_OT,Z342,Asig_Hora_Pla)*'Costos x MO'!$B$4*'Costos x MO'!$B$7</f>
        <v>331.65000000000003</v>
      </c>
      <c r="AG342" s="28">
        <f ca="1">SUMIF(Asig_OT,Z342,Asig_paño_Pin)*'Costos x MO'!$B$5*'Costos x MO'!$B$7</f>
        <v>422.1</v>
      </c>
      <c r="AH342" s="28">
        <f ca="1">(SUMIF(Asig_OT,Z342,Asig_Terc_Pla)*'Costos x MO'!$B$7)+(SUMIF(Asig_OT,Z342,Asig_Terc_Pin)*'Costos x MO'!$B$7)</f>
        <v>0</v>
      </c>
      <c r="AI342" s="28">
        <f t="shared" ca="1" si="128"/>
        <v>915.74</v>
      </c>
      <c r="AJ342" s="28">
        <f t="shared" ca="1" si="129"/>
        <v>2857</v>
      </c>
      <c r="AK342" s="31">
        <f t="shared" ca="1" si="130"/>
        <v>0.75727455377258968</v>
      </c>
      <c r="AL342" s="28" t="str">
        <f t="shared" ca="1" si="131"/>
        <v>RIMAC</v>
      </c>
      <c r="AM342" s="28" t="str">
        <f t="shared" ca="1" si="132"/>
        <v>GRAVE</v>
      </c>
      <c r="AN342" s="30" t="str">
        <f t="shared" ca="1" si="133"/>
        <v>February</v>
      </c>
      <c r="AO342" s="42">
        <f t="shared" ca="1" si="134"/>
        <v>2020</v>
      </c>
      <c r="AP342" s="42">
        <f t="shared" ca="1" si="135"/>
        <v>96</v>
      </c>
      <c r="AQ342" s="26">
        <v>1</v>
      </c>
      <c r="AR342" s="30">
        <f t="shared" ca="1" si="136"/>
        <v>43791</v>
      </c>
      <c r="AS342" s="30" t="str">
        <f t="shared" ca="1" si="142"/>
        <v>A4H567</v>
      </c>
      <c r="AT342" s="26" t="str">
        <f t="shared" ca="1" si="138"/>
        <v>CITROEN</v>
      </c>
      <c r="AU342" s="26" t="str">
        <f t="shared" ca="1" si="139"/>
        <v>C4</v>
      </c>
      <c r="AV342" s="26" t="str">
        <f t="shared" ca="1" si="140"/>
        <v>RIMAC SEGUROS  Y REASEGUROS S.A</v>
      </c>
    </row>
    <row r="343" spans="1:48" x14ac:dyDescent="0.2">
      <c r="A343" s="220">
        <v>43776</v>
      </c>
      <c r="B343" s="130" t="s">
        <v>68</v>
      </c>
      <c r="C343" s="130" t="s">
        <v>102</v>
      </c>
      <c r="D343" s="130" t="s">
        <v>1876</v>
      </c>
      <c r="E343" s="130" t="s">
        <v>852</v>
      </c>
      <c r="F343" s="130" t="s">
        <v>943</v>
      </c>
      <c r="G343" s="220">
        <v>43754</v>
      </c>
      <c r="H343" s="130" t="s">
        <v>387</v>
      </c>
      <c r="I343" s="130" t="s">
        <v>386</v>
      </c>
      <c r="J343" s="130" t="s">
        <v>97</v>
      </c>
      <c r="K343" s="130" t="s">
        <v>98</v>
      </c>
      <c r="L343" s="174" t="s">
        <v>71</v>
      </c>
      <c r="M343" s="131" t="s">
        <v>72</v>
      </c>
      <c r="N343" s="130" t="s">
        <v>73</v>
      </c>
      <c r="O343" s="219" t="s">
        <v>99</v>
      </c>
      <c r="P343" s="130" t="s">
        <v>98</v>
      </c>
      <c r="Q343" s="132" t="s">
        <v>74</v>
      </c>
      <c r="R343" s="218">
        <v>3.3410001</v>
      </c>
      <c r="S343" s="129">
        <v>1</v>
      </c>
      <c r="T343" s="129">
        <v>1485</v>
      </c>
      <c r="U343" s="129">
        <v>1485</v>
      </c>
      <c r="V343" s="129">
        <v>267.3</v>
      </c>
      <c r="W343" s="129">
        <v>1752.3</v>
      </c>
      <c r="X343" s="27">
        <f t="shared" si="143"/>
        <v>1485</v>
      </c>
      <c r="Y343" s="29">
        <f ca="1">VLOOKUP(Z343,CHOOSE({2,1},Fac_Fecha,Fac_OT),2,0)</f>
        <v>43887</v>
      </c>
      <c r="Z343" s="26" t="s">
        <v>2935</v>
      </c>
      <c r="AA343" s="28">
        <f t="shared" ca="1" si="141"/>
        <v>1384.1324999999999</v>
      </c>
      <c r="AB343" s="28">
        <f ca="1">SUMIF(Salida_OT,Facturacion!Z343,Salida_Suma)</f>
        <v>0</v>
      </c>
      <c r="AC343" s="28">
        <f t="shared" ca="1" si="126"/>
        <v>0</v>
      </c>
      <c r="AD343" s="28">
        <f t="shared" ca="1" si="127"/>
        <v>0</v>
      </c>
      <c r="AE343" s="28">
        <f ca="1">(SUMIF(Asig_OT,Z343,Asig_Hora_Mec))*'Costos x MO'!$B$6*'Costos x MO'!$B$7</f>
        <v>0</v>
      </c>
      <c r="AF343" s="28">
        <f ca="1">SUMIF(Asig_OT,Z343,Asig_Hora_Pla)*'Costos x MO'!$B$4*'Costos x MO'!$B$7</f>
        <v>90.45</v>
      </c>
      <c r="AG343" s="28">
        <f ca="1">SUMIF(Asig_OT,Z343,Asig_paño_Pin)*'Costos x MO'!$B$5*'Costos x MO'!$B$7</f>
        <v>246.22499999999999</v>
      </c>
      <c r="AH343" s="28">
        <f ca="1">(SUMIF(Asig_OT,Z343,Asig_Terc_Pla)*'Costos x MO'!$B$7)+(SUMIF(Asig_OT,Z343,Asig_Terc_Pin)*'Costos x MO'!$B$7)</f>
        <v>0</v>
      </c>
      <c r="AI343" s="28">
        <f t="shared" ca="1" si="128"/>
        <v>336.67500000000001</v>
      </c>
      <c r="AJ343" s="28">
        <f t="shared" ca="1" si="129"/>
        <v>1047.4575</v>
      </c>
      <c r="AK343" s="31">
        <f t="shared" ca="1" si="130"/>
        <v>0.7567610037333854</v>
      </c>
      <c r="AL343" s="28" t="str">
        <f t="shared" ca="1" si="131"/>
        <v>RIMAC</v>
      </c>
      <c r="AM343" s="28" t="str">
        <f t="shared" ca="1" si="132"/>
        <v>LEVE</v>
      </c>
      <c r="AN343" s="30" t="str">
        <f t="shared" ca="1" si="133"/>
        <v>February</v>
      </c>
      <c r="AO343" s="42">
        <f t="shared" ca="1" si="134"/>
        <v>2020</v>
      </c>
      <c r="AP343" s="42">
        <f t="shared" ca="1" si="135"/>
        <v>11</v>
      </c>
      <c r="AQ343" s="26">
        <v>1</v>
      </c>
      <c r="AR343" s="30">
        <f t="shared" ca="1" si="136"/>
        <v>43876</v>
      </c>
      <c r="AS343" s="30" t="str">
        <f t="shared" ca="1" si="142"/>
        <v>ANL279</v>
      </c>
      <c r="AT343" s="26" t="str">
        <f t="shared" ca="1" si="138"/>
        <v>HYUNDAI</v>
      </c>
      <c r="AU343" s="26" t="str">
        <f t="shared" ca="1" si="139"/>
        <v>ACCENT</v>
      </c>
      <c r="AV343" s="26" t="str">
        <f t="shared" ca="1" si="140"/>
        <v>RIMAC SEGUROS  Y REASEGUROS S.A</v>
      </c>
    </row>
    <row r="344" spans="1:48" x14ac:dyDescent="0.2">
      <c r="A344" s="220">
        <v>43776</v>
      </c>
      <c r="B344" s="130" t="s">
        <v>68</v>
      </c>
      <c r="C344" s="130" t="s">
        <v>102</v>
      </c>
      <c r="D344" s="130" t="s">
        <v>1876</v>
      </c>
      <c r="E344" s="130" t="s">
        <v>852</v>
      </c>
      <c r="F344" s="130" t="s">
        <v>943</v>
      </c>
      <c r="G344" s="220">
        <v>43754</v>
      </c>
      <c r="H344" s="130" t="s">
        <v>387</v>
      </c>
      <c r="I344" s="130" t="s">
        <v>386</v>
      </c>
      <c r="J344" s="130" t="s">
        <v>100</v>
      </c>
      <c r="K344" s="130" t="s">
        <v>101</v>
      </c>
      <c r="L344" s="174" t="s">
        <v>71</v>
      </c>
      <c r="M344" s="131" t="s">
        <v>72</v>
      </c>
      <c r="N344" s="130" t="s">
        <v>73</v>
      </c>
      <c r="O344" s="219" t="s">
        <v>72</v>
      </c>
      <c r="P344" s="130" t="s">
        <v>101</v>
      </c>
      <c r="Q344" s="132" t="s">
        <v>74</v>
      </c>
      <c r="R344" s="218">
        <v>3.3410001</v>
      </c>
      <c r="S344" s="129">
        <v>1</v>
      </c>
      <c r="T344" s="129">
        <v>770</v>
      </c>
      <c r="U344" s="129">
        <v>770</v>
      </c>
      <c r="V344" s="129">
        <v>138.59998000000007</v>
      </c>
      <c r="W344" s="129">
        <v>908.59998000000007</v>
      </c>
      <c r="X344" s="27">
        <f t="shared" si="143"/>
        <v>770</v>
      </c>
      <c r="Y344" s="29">
        <f ca="1">VLOOKUP(Z344,CHOOSE({2,1},Fac_Fecha,Fac_OT),2,0)</f>
        <v>43875</v>
      </c>
      <c r="Z344" s="26" t="s">
        <v>3029</v>
      </c>
      <c r="AA344" s="28">
        <f t="shared" ca="1" si="141"/>
        <v>297.88</v>
      </c>
      <c r="AB344" s="28">
        <f ca="1">SUMIF(Salida_OT,Facturacion!Z344,Salida_Suma)</f>
        <v>0</v>
      </c>
      <c r="AC344" s="28">
        <f t="shared" ca="1" si="126"/>
        <v>0</v>
      </c>
      <c r="AD344" s="28">
        <f t="shared" ca="1" si="127"/>
        <v>0</v>
      </c>
      <c r="AE344" s="28">
        <f ca="1">(SUMIF(Asig_OT,Z344,Asig_Hora_Mec))*'Costos x MO'!$B$6*'Costos x MO'!$B$7</f>
        <v>40.250250000000001</v>
      </c>
      <c r="AF344" s="28">
        <f ca="1">SUMIF(Asig_OT,Z344,Asig_Hora_Pla)*'Costos x MO'!$B$4*'Costos x MO'!$B$7</f>
        <v>0</v>
      </c>
      <c r="AG344" s="28">
        <f ca="1">SUMIF(Asig_OT,Z344,Asig_paño_Pin)*'Costos x MO'!$B$5*'Costos x MO'!$B$7</f>
        <v>0</v>
      </c>
      <c r="AH344" s="28">
        <f ca="1">(SUMIF(Asig_OT,Z344,Asig_Terc_Pla)*'Costos x MO'!$B$7)+(SUMIF(Asig_OT,Z344,Asig_Terc_Pin)*'Costos x MO'!$B$7)</f>
        <v>0</v>
      </c>
      <c r="AI344" s="28">
        <f t="shared" ca="1" si="128"/>
        <v>40.250250000000001</v>
      </c>
      <c r="AJ344" s="28">
        <f t="shared" ca="1" si="129"/>
        <v>257.62975</v>
      </c>
      <c r="AK344" s="31">
        <f t="shared" ca="1" si="130"/>
        <v>0.86487763528937833</v>
      </c>
      <c r="AL344" s="28" t="s">
        <v>121</v>
      </c>
      <c r="AM344" s="28" t="s">
        <v>447</v>
      </c>
      <c r="AN344" s="30" t="str">
        <f t="shared" ca="1" si="133"/>
        <v>February</v>
      </c>
      <c r="AO344" s="42">
        <f t="shared" ca="1" si="134"/>
        <v>2020</v>
      </c>
      <c r="AP344" s="42">
        <f t="shared" ca="1" si="135"/>
        <v>4</v>
      </c>
      <c r="AQ344" s="26">
        <v>1</v>
      </c>
      <c r="AR344" s="30">
        <f t="shared" ca="1" si="136"/>
        <v>43871</v>
      </c>
      <c r="AS344" s="30" t="str">
        <f t="shared" ca="1" si="142"/>
        <v>C3N598</v>
      </c>
      <c r="AT344" s="26" t="str">
        <f t="shared" ca="1" si="138"/>
        <v>NISSAN</v>
      </c>
      <c r="AU344" s="26" t="str">
        <f t="shared" ca="1" si="139"/>
        <v>TIIDA</v>
      </c>
      <c r="AV344" s="26" t="str">
        <f t="shared" ca="1" si="140"/>
        <v>RUIZ PALACIOS ANGEL GUSTAVO</v>
      </c>
    </row>
    <row r="345" spans="1:48" x14ac:dyDescent="0.2">
      <c r="A345" s="220">
        <v>43776</v>
      </c>
      <c r="B345" s="130" t="s">
        <v>68</v>
      </c>
      <c r="C345" s="130" t="s">
        <v>102</v>
      </c>
      <c r="D345" s="130" t="s">
        <v>1876</v>
      </c>
      <c r="E345" s="130" t="s">
        <v>852</v>
      </c>
      <c r="F345" s="130" t="s">
        <v>943</v>
      </c>
      <c r="G345" s="220">
        <v>43754</v>
      </c>
      <c r="H345" s="130" t="s">
        <v>387</v>
      </c>
      <c r="I345" s="130" t="s">
        <v>386</v>
      </c>
      <c r="J345" s="130" t="s">
        <v>92</v>
      </c>
      <c r="K345" s="130" t="s">
        <v>113</v>
      </c>
      <c r="L345" s="174" t="s">
        <v>71</v>
      </c>
      <c r="M345" s="131" t="s">
        <v>72</v>
      </c>
      <c r="N345" s="130" t="s">
        <v>73</v>
      </c>
      <c r="O345" s="219" t="s">
        <v>69</v>
      </c>
      <c r="P345" s="130" t="s">
        <v>1699</v>
      </c>
      <c r="Q345" s="132" t="s">
        <v>74</v>
      </c>
      <c r="R345" s="218">
        <v>3.3410001</v>
      </c>
      <c r="S345" s="129">
        <v>1</v>
      </c>
      <c r="T345" s="129">
        <v>450</v>
      </c>
      <c r="U345" s="129">
        <v>450</v>
      </c>
      <c r="V345" s="129">
        <v>81</v>
      </c>
      <c r="W345" s="129">
        <v>531</v>
      </c>
      <c r="X345" s="27">
        <f t="shared" si="143"/>
        <v>450</v>
      </c>
      <c r="Y345" s="29">
        <f ca="1">VLOOKUP(Z345,CHOOSE({2,1},Fac_Fecha,Fac_OT),2,0)</f>
        <v>43875</v>
      </c>
      <c r="Z345" s="26" t="s">
        <v>2884</v>
      </c>
      <c r="AA345" s="28">
        <f t="shared" ca="1" si="141"/>
        <v>279</v>
      </c>
      <c r="AB345" s="28">
        <f ca="1">SUMIF(Salida_OT,Facturacion!Z345,Salida_Suma)</f>
        <v>159.07990009999997</v>
      </c>
      <c r="AC345" s="28">
        <f t="shared" ca="1" si="126"/>
        <v>0</v>
      </c>
      <c r="AD345" s="28">
        <f t="shared" ca="1" si="127"/>
        <v>0</v>
      </c>
      <c r="AE345" s="28">
        <f ca="1">(SUMIF(Asig_OT,Z345,Asig_Hora_Mec))*'Costos x MO'!$B$6*'Costos x MO'!$B$7</f>
        <v>30.150000000000002</v>
      </c>
      <c r="AF345" s="28">
        <f ca="1">SUMIF(Asig_OT,Z345,Asig_Hora_Pla)*'Costos x MO'!$B$4*'Costos x MO'!$B$7</f>
        <v>0</v>
      </c>
      <c r="AG345" s="28">
        <f ca="1">SUMIF(Asig_OT,Z345,Asig_paño_Pin)*'Costos x MO'!$B$5*'Costos x MO'!$B$7</f>
        <v>0</v>
      </c>
      <c r="AH345" s="28">
        <f ca="1">(SUMIF(Asig_OT,Z345,Asig_Terc_Pla)*'Costos x MO'!$B$7)+(SUMIF(Asig_OT,Z345,Asig_Terc_Pin)*'Costos x MO'!$B$7)</f>
        <v>0</v>
      </c>
      <c r="AI345" s="28">
        <f t="shared" ca="1" si="128"/>
        <v>189.22990009999998</v>
      </c>
      <c r="AJ345" s="28">
        <f t="shared" ca="1" si="129"/>
        <v>89.770099900000019</v>
      </c>
      <c r="AK345" s="31">
        <f t="shared" ca="1" si="130"/>
        <v>0.32175663046594988</v>
      </c>
      <c r="AL345" s="28" t="str">
        <f t="shared" ca="1" si="131"/>
        <v>C.C</v>
      </c>
      <c r="AM345" s="28" t="str">
        <f t="shared" ca="1" si="132"/>
        <v>MECANICA</v>
      </c>
      <c r="AN345" s="30" t="str">
        <f t="shared" ca="1" si="133"/>
        <v>February</v>
      </c>
      <c r="AO345" s="42">
        <f t="shared" ca="1" si="134"/>
        <v>2020</v>
      </c>
      <c r="AP345" s="42">
        <f t="shared" ca="1" si="135"/>
        <v>4</v>
      </c>
      <c r="AQ345" s="26">
        <v>1</v>
      </c>
      <c r="AR345" s="30">
        <f t="shared" ca="1" si="136"/>
        <v>43871</v>
      </c>
      <c r="AS345" s="30" t="str">
        <f t="shared" ca="1" si="142"/>
        <v>C3N598</v>
      </c>
      <c r="AT345" s="26" t="str">
        <f t="shared" ca="1" si="138"/>
        <v>NISSAN</v>
      </c>
      <c r="AU345" s="26" t="str">
        <f t="shared" ca="1" si="139"/>
        <v>TIIDA</v>
      </c>
      <c r="AV345" s="26" t="str">
        <f t="shared" ca="1" si="140"/>
        <v>RUIZ PALACIOS ANGEL GUSTAVO</v>
      </c>
    </row>
    <row r="346" spans="1:48" x14ac:dyDescent="0.2">
      <c r="A346" s="220">
        <v>43776</v>
      </c>
      <c r="B346" s="130" t="s">
        <v>68</v>
      </c>
      <c r="C346" s="130" t="s">
        <v>102</v>
      </c>
      <c r="D346" s="130" t="s">
        <v>1876</v>
      </c>
      <c r="E346" s="130" t="s">
        <v>852</v>
      </c>
      <c r="F346" s="130" t="s">
        <v>943</v>
      </c>
      <c r="G346" s="220">
        <v>43754</v>
      </c>
      <c r="H346" s="130" t="s">
        <v>387</v>
      </c>
      <c r="I346" s="130" t="s">
        <v>386</v>
      </c>
      <c r="J346" s="130" t="s">
        <v>70</v>
      </c>
      <c r="K346" s="130" t="s">
        <v>112</v>
      </c>
      <c r="L346" s="174" t="s">
        <v>71</v>
      </c>
      <c r="M346" s="131" t="s">
        <v>72</v>
      </c>
      <c r="N346" s="130" t="s">
        <v>73</v>
      </c>
      <c r="O346" s="219" t="s">
        <v>69</v>
      </c>
      <c r="P346" s="130" t="s">
        <v>1699</v>
      </c>
      <c r="Q346" s="132" t="s">
        <v>74</v>
      </c>
      <c r="R346" s="218">
        <v>3.3410001</v>
      </c>
      <c r="S346" s="129">
        <v>1</v>
      </c>
      <c r="T346" s="129">
        <v>323.75421</v>
      </c>
      <c r="U346" s="129">
        <v>323.75420999999994</v>
      </c>
      <c r="V346" s="129">
        <v>58.275790000000015</v>
      </c>
      <c r="W346" s="129">
        <v>382.03</v>
      </c>
      <c r="X346" s="27">
        <f t="shared" si="143"/>
        <v>323.75420999999994</v>
      </c>
      <c r="Y346" s="29">
        <f ca="1">VLOOKUP(Z346,CHOOSE({2,1},Fac_Fecha,Fac_OT),2,0)</f>
        <v>43875</v>
      </c>
      <c r="Z346" s="26" t="s">
        <v>2891</v>
      </c>
      <c r="AA346" s="28">
        <f t="shared" ca="1" si="141"/>
        <v>358.58050038499994</v>
      </c>
      <c r="AB346" s="28">
        <f ca="1">SUMIF(Salida_OT,Facturacion!Z346,Salida_Suma)</f>
        <v>0</v>
      </c>
      <c r="AC346" s="28">
        <f t="shared" ca="1" si="126"/>
        <v>0</v>
      </c>
      <c r="AD346" s="28">
        <f t="shared" ca="1" si="127"/>
        <v>0</v>
      </c>
      <c r="AE346" s="28">
        <f ca="1">(SUMIF(Asig_OT,Z346,Asig_Hora_Mec))*'Costos x MO'!$B$6*'Costos x MO'!$B$7</f>
        <v>0</v>
      </c>
      <c r="AF346" s="28">
        <f ca="1">SUMIF(Asig_OT,Z346,Asig_Hora_Pla)*'Costos x MO'!$B$4*'Costos x MO'!$B$7</f>
        <v>15.075000000000001</v>
      </c>
      <c r="AG346" s="28">
        <f ca="1">SUMIF(Asig_OT,Z346,Asig_paño_Pin)*'Costos x MO'!$B$5*'Costos x MO'!$B$7</f>
        <v>70.350000000000009</v>
      </c>
      <c r="AH346" s="28">
        <f ca="1">(SUMIF(Asig_OT,Z346,Asig_Terc_Pla)*'Costos x MO'!$B$7)+(SUMIF(Asig_OT,Z346,Asig_Terc_Pin)*'Costos x MO'!$B$7)</f>
        <v>0</v>
      </c>
      <c r="AI346" s="28">
        <f t="shared" ca="1" si="128"/>
        <v>85.425000000000011</v>
      </c>
      <c r="AJ346" s="28">
        <f t="shared" ca="1" si="129"/>
        <v>273.15550038499993</v>
      </c>
      <c r="AK346" s="31">
        <f t="shared" ca="1" si="130"/>
        <v>0.76176897542314459</v>
      </c>
      <c r="AL346" s="28" t="str">
        <f t="shared" ca="1" si="131"/>
        <v>C.C</v>
      </c>
      <c r="AM346" s="28" t="str">
        <f t="shared" ca="1" si="132"/>
        <v>LEVE</v>
      </c>
      <c r="AN346" s="30" t="str">
        <f t="shared" ca="1" si="133"/>
        <v>February</v>
      </c>
      <c r="AO346" s="42">
        <f t="shared" ca="1" si="134"/>
        <v>2020</v>
      </c>
      <c r="AP346" s="42">
        <f t="shared" ca="1" si="135"/>
        <v>4</v>
      </c>
      <c r="AQ346" s="26">
        <v>1</v>
      </c>
      <c r="AR346" s="30">
        <f t="shared" ca="1" si="136"/>
        <v>43871</v>
      </c>
      <c r="AS346" s="30" t="str">
        <f t="shared" ca="1" si="142"/>
        <v>AWJ049</v>
      </c>
      <c r="AT346" s="26" t="str">
        <f t="shared" ca="1" si="138"/>
        <v>RENAULT</v>
      </c>
      <c r="AU346" s="26" t="str">
        <f t="shared" ca="1" si="139"/>
        <v>DUSTER</v>
      </c>
      <c r="AV346" s="26" t="str">
        <f t="shared" ca="1" si="140"/>
        <v>VALENZUELA IZURRIETA SILVIA</v>
      </c>
    </row>
    <row r="347" spans="1:48" x14ac:dyDescent="0.2">
      <c r="A347" s="220">
        <v>43776</v>
      </c>
      <c r="B347" s="130" t="s">
        <v>68</v>
      </c>
      <c r="C347" s="130" t="s">
        <v>102</v>
      </c>
      <c r="D347" s="130" t="s">
        <v>1876</v>
      </c>
      <c r="E347" s="130" t="s">
        <v>852</v>
      </c>
      <c r="F347" s="130" t="s">
        <v>943</v>
      </c>
      <c r="G347" s="220">
        <v>43754</v>
      </c>
      <c r="H347" s="130" t="s">
        <v>387</v>
      </c>
      <c r="I347" s="130" t="s">
        <v>386</v>
      </c>
      <c r="J347" s="130" t="s">
        <v>104</v>
      </c>
      <c r="K347" s="130" t="s">
        <v>105</v>
      </c>
      <c r="L347" s="174" t="s">
        <v>71</v>
      </c>
      <c r="M347" s="131" t="s">
        <v>72</v>
      </c>
      <c r="N347" s="130" t="s">
        <v>73</v>
      </c>
      <c r="O347" s="219" t="s">
        <v>69</v>
      </c>
      <c r="P347" s="130" t="s">
        <v>1699</v>
      </c>
      <c r="Q347" s="132" t="s">
        <v>74</v>
      </c>
      <c r="R347" s="218">
        <v>3.3410001</v>
      </c>
      <c r="S347" s="129">
        <v>1</v>
      </c>
      <c r="T347" s="129">
        <v>4204</v>
      </c>
      <c r="U347" s="129">
        <v>4204</v>
      </c>
      <c r="V347" s="129">
        <v>756.72019999999964</v>
      </c>
      <c r="W347" s="129">
        <v>4960.7201999999997</v>
      </c>
      <c r="X347" s="27">
        <f t="shared" si="143"/>
        <v>4204</v>
      </c>
      <c r="Y347" s="29">
        <f ca="1">VLOOKUP(Z347,CHOOSE({2,1},Fac_Fecha,Fac_OT),2,0)</f>
        <v>43876</v>
      </c>
      <c r="Z347" s="26" t="s">
        <v>3022</v>
      </c>
      <c r="AA347" s="28">
        <f t="shared" ca="1" si="141"/>
        <v>33.898400000000002</v>
      </c>
      <c r="AB347" s="28">
        <f ca="1">SUMIF(Salida_OT,Facturacion!Z347,Salida_Suma)</f>
        <v>0</v>
      </c>
      <c r="AC347" s="28">
        <f t="shared" ca="1" si="126"/>
        <v>0</v>
      </c>
      <c r="AD347" s="28">
        <f t="shared" ca="1" si="127"/>
        <v>16.95</v>
      </c>
      <c r="AE347" s="28">
        <f ca="1">(SUMIF(Asig_OT,Z347,Asig_Hora_Mec))*'Costos x MO'!$B$6*'Costos x MO'!$B$7</f>
        <v>0</v>
      </c>
      <c r="AF347" s="28">
        <f ca="1">SUMIF(Asig_OT,Z347,Asig_Hora_Pla)*'Costos x MO'!$B$4*'Costos x MO'!$B$7</f>
        <v>0</v>
      </c>
      <c r="AG347" s="28">
        <f ca="1">SUMIF(Asig_OT,Z347,Asig_paño_Pin)*'Costos x MO'!$B$5*'Costos x MO'!$B$7</f>
        <v>0</v>
      </c>
      <c r="AH347" s="28">
        <f ca="1">(SUMIF(Asig_OT,Z347,Asig_Terc_Pla)*'Costos x MO'!$B$7)+(SUMIF(Asig_OT,Z347,Asig_Terc_Pin)*'Costos x MO'!$B$7)</f>
        <v>0</v>
      </c>
      <c r="AI347" s="28">
        <f t="shared" ca="1" si="128"/>
        <v>16.95</v>
      </c>
      <c r="AJ347" s="28">
        <f t="shared" ca="1" si="129"/>
        <v>16.948400000000003</v>
      </c>
      <c r="AK347" s="31">
        <f t="shared" ca="1" si="130"/>
        <v>0.49997640006607985</v>
      </c>
      <c r="AL347" s="28" t="s">
        <v>121</v>
      </c>
      <c r="AM347" s="28" t="s">
        <v>447</v>
      </c>
      <c r="AN347" s="30" t="str">
        <f t="shared" ca="1" si="133"/>
        <v>February</v>
      </c>
      <c r="AO347" s="42">
        <f t="shared" ca="1" si="134"/>
        <v>2020</v>
      </c>
      <c r="AP347" s="42">
        <f t="shared" ca="1" si="135"/>
        <v>4</v>
      </c>
      <c r="AQ347" s="26">
        <v>1</v>
      </c>
      <c r="AR347" s="30">
        <f t="shared" ca="1" si="136"/>
        <v>43872</v>
      </c>
      <c r="AS347" s="30" t="str">
        <f t="shared" ca="1" si="142"/>
        <v>BFO123</v>
      </c>
      <c r="AT347" s="26" t="str">
        <f t="shared" ca="1" si="138"/>
        <v>MAZDA</v>
      </c>
      <c r="AU347" s="26" t="str">
        <f t="shared" ca="1" si="139"/>
        <v xml:space="preserve">MAZDA 3 </v>
      </c>
      <c r="AV347" s="26" t="str">
        <f t="shared" ca="1" si="140"/>
        <v>DE LA CRUZ TENORIO JULIAN</v>
      </c>
    </row>
    <row r="348" spans="1:48" x14ac:dyDescent="0.2">
      <c r="A348" s="220">
        <v>43776</v>
      </c>
      <c r="B348" s="130" t="s">
        <v>68</v>
      </c>
      <c r="C348" s="130" t="s">
        <v>102</v>
      </c>
      <c r="D348" s="130" t="s">
        <v>631</v>
      </c>
      <c r="E348" s="130" t="s">
        <v>903</v>
      </c>
      <c r="F348" s="130" t="s">
        <v>924</v>
      </c>
      <c r="G348" s="220">
        <v>43767</v>
      </c>
      <c r="H348" s="130" t="s">
        <v>90</v>
      </c>
      <c r="I348" s="130" t="s">
        <v>91</v>
      </c>
      <c r="J348" s="130" t="s">
        <v>97</v>
      </c>
      <c r="K348" s="130" t="s">
        <v>98</v>
      </c>
      <c r="L348" s="174" t="s">
        <v>71</v>
      </c>
      <c r="M348" s="131" t="s">
        <v>72</v>
      </c>
      <c r="N348" s="130" t="s">
        <v>73</v>
      </c>
      <c r="O348" s="219" t="s">
        <v>99</v>
      </c>
      <c r="P348" s="130" t="s">
        <v>98</v>
      </c>
      <c r="Q348" s="132" t="s">
        <v>93</v>
      </c>
      <c r="R348" s="218">
        <v>3.3410001</v>
      </c>
      <c r="S348" s="129">
        <v>1</v>
      </c>
      <c r="T348" s="129">
        <v>236</v>
      </c>
      <c r="U348" s="129">
        <v>236</v>
      </c>
      <c r="V348" s="129">
        <v>42.48001</v>
      </c>
      <c r="W348" s="129">
        <v>278.48000999999999</v>
      </c>
      <c r="X348" s="27">
        <f t="shared" si="143"/>
        <v>788.47602359999996</v>
      </c>
      <c r="Y348" s="29">
        <f ca="1">VLOOKUP(Z348,CHOOSE({2,1},Fac_Fecha,Fac_OT),2,0)</f>
        <v>43878</v>
      </c>
      <c r="Z348" s="26" t="s">
        <v>3011</v>
      </c>
      <c r="AA348" s="28">
        <f t="shared" ca="1" si="141"/>
        <v>25.423700000000004</v>
      </c>
      <c r="AB348" s="28">
        <f ca="1">SUMIF(Salida_OT,Facturacion!Z348,Salida_Suma)</f>
        <v>0</v>
      </c>
      <c r="AC348" s="28">
        <f t="shared" ca="1" si="126"/>
        <v>0</v>
      </c>
      <c r="AD348" s="28">
        <f t="shared" ca="1" si="127"/>
        <v>0</v>
      </c>
      <c r="AE348" s="28">
        <f ca="1">(SUMIF(Asig_OT,Z348,Asig_Hora_Mec))*'Costos x MO'!$B$6*'Costos x MO'!$B$7</f>
        <v>0</v>
      </c>
      <c r="AF348" s="28">
        <f ca="1">SUMIF(Asig_OT,Z348,Asig_Hora_Pla)*'Costos x MO'!$B$4*'Costos x MO'!$B$7</f>
        <v>0</v>
      </c>
      <c r="AG348" s="28">
        <f ca="1">SUMIF(Asig_OT,Z348,Asig_paño_Pin)*'Costos x MO'!$B$5*'Costos x MO'!$B$7</f>
        <v>0</v>
      </c>
      <c r="AH348" s="28">
        <f ca="1">(SUMIF(Asig_OT,Z348,Asig_Terc_Pla)*'Costos x MO'!$B$7)+(SUMIF(Asig_OT,Z348,Asig_Terc_Pin)*'Costos x MO'!$B$7)</f>
        <v>0</v>
      </c>
      <c r="AI348" s="28">
        <f t="shared" ca="1" si="128"/>
        <v>0</v>
      </c>
      <c r="AJ348" s="28">
        <f t="shared" ca="1" si="129"/>
        <v>25.423700000000004</v>
      </c>
      <c r="AK348" s="31">
        <f t="shared" ca="1" si="130"/>
        <v>1</v>
      </c>
      <c r="AL348" s="28" t="s">
        <v>121</v>
      </c>
      <c r="AM348" s="28" t="s">
        <v>447</v>
      </c>
      <c r="AN348" s="30" t="str">
        <f t="shared" ca="1" si="133"/>
        <v>February</v>
      </c>
      <c r="AO348" s="42">
        <f t="shared" ca="1" si="134"/>
        <v>2020</v>
      </c>
      <c r="AP348" s="42">
        <f t="shared" ca="1" si="135"/>
        <v>4</v>
      </c>
      <c r="AQ348" s="26">
        <v>1</v>
      </c>
      <c r="AR348" s="30">
        <f t="shared" ca="1" si="136"/>
        <v>43874</v>
      </c>
      <c r="AS348" s="30" t="str">
        <f t="shared" ca="1" si="142"/>
        <v>AVF200</v>
      </c>
      <c r="AT348" s="26" t="s">
        <v>2896</v>
      </c>
      <c r="AU348" s="26" t="s">
        <v>2897</v>
      </c>
      <c r="AV348" s="26" t="str">
        <f t="shared" ca="1" si="140"/>
        <v>GALLESE D ANGELO STEFANO</v>
      </c>
    </row>
    <row r="349" spans="1:48" x14ac:dyDescent="0.2">
      <c r="A349" s="220">
        <v>43776</v>
      </c>
      <c r="B349" s="130" t="s">
        <v>68</v>
      </c>
      <c r="C349" s="130" t="s">
        <v>102</v>
      </c>
      <c r="D349" s="130" t="s">
        <v>631</v>
      </c>
      <c r="E349" s="130" t="s">
        <v>903</v>
      </c>
      <c r="F349" s="130" t="s">
        <v>924</v>
      </c>
      <c r="G349" s="220">
        <v>43767</v>
      </c>
      <c r="H349" s="130" t="s">
        <v>90</v>
      </c>
      <c r="I349" s="130" t="s">
        <v>91</v>
      </c>
      <c r="J349" s="130" t="s">
        <v>100</v>
      </c>
      <c r="K349" s="130" t="s">
        <v>101</v>
      </c>
      <c r="L349" s="174" t="s">
        <v>71</v>
      </c>
      <c r="M349" s="131" t="s">
        <v>72</v>
      </c>
      <c r="N349" s="130" t="s">
        <v>73</v>
      </c>
      <c r="O349" s="219" t="s">
        <v>72</v>
      </c>
      <c r="P349" s="130" t="s">
        <v>101</v>
      </c>
      <c r="Q349" s="132" t="s">
        <v>93</v>
      </c>
      <c r="R349" s="218">
        <v>3.3410001</v>
      </c>
      <c r="S349" s="129">
        <v>1</v>
      </c>
      <c r="T349" s="129">
        <v>390</v>
      </c>
      <c r="U349" s="129">
        <v>390</v>
      </c>
      <c r="V349" s="129">
        <v>70.200010000000105</v>
      </c>
      <c r="W349" s="129">
        <v>460.20001000000013</v>
      </c>
      <c r="X349" s="27">
        <f t="shared" si="143"/>
        <v>1302.990039</v>
      </c>
      <c r="Y349" s="29">
        <f ca="1">VLOOKUP(Z349,CHOOSE({2,1},Fac_Fecha,Fac_OT),2,0)</f>
        <v>43878</v>
      </c>
      <c r="Z349" s="26" t="s">
        <v>3010</v>
      </c>
      <c r="AA349" s="28">
        <f t="shared" ca="1" si="141"/>
        <v>338.40001000000001</v>
      </c>
      <c r="AB349" s="28">
        <f ca="1">SUMIF(Salida_OT,Facturacion!Z349,Salida_Suma)</f>
        <v>0</v>
      </c>
      <c r="AC349" s="28">
        <f t="shared" ca="1" si="126"/>
        <v>0</v>
      </c>
      <c r="AD349" s="28">
        <f t="shared" ca="1" si="127"/>
        <v>0</v>
      </c>
      <c r="AE349" s="28">
        <f ca="1">(SUMIF(Asig_OT,Z349,Asig_Hora_Mec))*'Costos x MO'!$B$6*'Costos x MO'!$B$7</f>
        <v>40.250250000000001</v>
      </c>
      <c r="AF349" s="28">
        <f ca="1">SUMIF(Asig_OT,Z349,Asig_Hora_Pla)*'Costos x MO'!$B$4*'Costos x MO'!$B$7</f>
        <v>0</v>
      </c>
      <c r="AG349" s="28">
        <f ca="1">SUMIF(Asig_OT,Z349,Asig_paño_Pin)*'Costos x MO'!$B$5*'Costos x MO'!$B$7</f>
        <v>0</v>
      </c>
      <c r="AH349" s="28">
        <f ca="1">(SUMIF(Asig_OT,Z349,Asig_Terc_Pla)*'Costos x MO'!$B$7)+(SUMIF(Asig_OT,Z349,Asig_Terc_Pin)*'Costos x MO'!$B$7)</f>
        <v>0</v>
      </c>
      <c r="AI349" s="28">
        <f t="shared" ca="1" si="128"/>
        <v>40.250250000000001</v>
      </c>
      <c r="AJ349" s="28">
        <f t="shared" ca="1" si="129"/>
        <v>298.14976000000001</v>
      </c>
      <c r="AK349" s="31">
        <f t="shared" ca="1" si="130"/>
        <v>0.88105718436592251</v>
      </c>
      <c r="AL349" s="28" t="s">
        <v>121</v>
      </c>
      <c r="AM349" s="28" t="s">
        <v>447</v>
      </c>
      <c r="AN349" s="30" t="str">
        <f t="shared" ca="1" si="133"/>
        <v>February</v>
      </c>
      <c r="AO349" s="42">
        <f t="shared" ca="1" si="134"/>
        <v>2020</v>
      </c>
      <c r="AP349" s="42">
        <f t="shared" ca="1" si="135"/>
        <v>2</v>
      </c>
      <c r="AQ349" s="26">
        <v>1</v>
      </c>
      <c r="AR349" s="30">
        <f t="shared" ca="1" si="136"/>
        <v>43876</v>
      </c>
      <c r="AS349" s="30" t="str">
        <f t="shared" ca="1" si="142"/>
        <v>AVF200</v>
      </c>
      <c r="AT349" s="26" t="s">
        <v>2896</v>
      </c>
      <c r="AU349" s="26" t="s">
        <v>2897</v>
      </c>
      <c r="AV349" s="26" t="str">
        <f t="shared" ca="1" si="140"/>
        <v>GALLESE D ANGELO STEFANO</v>
      </c>
    </row>
    <row r="350" spans="1:48" x14ac:dyDescent="0.2">
      <c r="A350" s="220">
        <v>43776</v>
      </c>
      <c r="B350" s="130" t="s">
        <v>68</v>
      </c>
      <c r="C350" s="130" t="s">
        <v>102</v>
      </c>
      <c r="D350" s="130" t="s">
        <v>631</v>
      </c>
      <c r="E350" s="130" t="s">
        <v>903</v>
      </c>
      <c r="F350" s="130" t="s">
        <v>924</v>
      </c>
      <c r="G350" s="220">
        <v>43767</v>
      </c>
      <c r="H350" s="130" t="s">
        <v>90</v>
      </c>
      <c r="I350" s="130" t="s">
        <v>91</v>
      </c>
      <c r="J350" s="130" t="s">
        <v>92</v>
      </c>
      <c r="K350" s="130" t="s">
        <v>113</v>
      </c>
      <c r="L350" s="174" t="s">
        <v>71</v>
      </c>
      <c r="M350" s="131" t="s">
        <v>72</v>
      </c>
      <c r="N350" s="130" t="s">
        <v>73</v>
      </c>
      <c r="O350" s="219" t="s">
        <v>69</v>
      </c>
      <c r="P350" s="130" t="s">
        <v>1699</v>
      </c>
      <c r="Q350" s="132" t="s">
        <v>93</v>
      </c>
      <c r="R350" s="218">
        <v>3.3410001</v>
      </c>
      <c r="S350" s="129">
        <v>1</v>
      </c>
      <c r="T350" s="129">
        <v>65</v>
      </c>
      <c r="U350" s="129">
        <v>65</v>
      </c>
      <c r="V350" s="129">
        <v>11.699996999999994</v>
      </c>
      <c r="W350" s="129">
        <v>76.699996999999996</v>
      </c>
      <c r="X350" s="27">
        <f t="shared" si="143"/>
        <v>217.1650065</v>
      </c>
      <c r="Y350" s="29">
        <f ca="1">VLOOKUP(Z350,CHOOSE({2,1},Fac_Fecha,Fac_OT),2,0)</f>
        <v>43880</v>
      </c>
      <c r="Z350" s="26" t="s">
        <v>3006</v>
      </c>
      <c r="AA350" s="28">
        <f t="shared" ca="1" si="141"/>
        <v>1084.7542000000003</v>
      </c>
      <c r="AB350" s="28">
        <f ca="1">SUMIF(Salida_OT,Facturacion!Z350,Salida_Suma)</f>
        <v>0</v>
      </c>
      <c r="AC350" s="28">
        <f t="shared" ca="1" si="126"/>
        <v>0</v>
      </c>
      <c r="AD350" s="28">
        <f t="shared" ca="1" si="127"/>
        <v>0</v>
      </c>
      <c r="AE350" s="28">
        <f ca="1">(SUMIF(Asig_OT,Z350,Asig_Hora_Mec))*'Costos x MO'!$B$6*'Costos x MO'!$B$7</f>
        <v>0</v>
      </c>
      <c r="AF350" s="28">
        <f ca="1">SUMIF(Asig_OT,Z350,Asig_Hora_Pla)*'Costos x MO'!$B$4*'Costos x MO'!$B$7</f>
        <v>0</v>
      </c>
      <c r="AG350" s="28">
        <f ca="1">SUMIF(Asig_OT,Z350,Asig_paño_Pin)*'Costos x MO'!$B$5*'Costos x MO'!$B$7</f>
        <v>0</v>
      </c>
      <c r="AH350" s="28">
        <f ca="1">(SUMIF(Asig_OT,Z350,Asig_Terc_Pla)*'Costos x MO'!$B$7)+(SUMIF(Asig_OT,Z350,Asig_Terc_Pin)*'Costos x MO'!$B$7)</f>
        <v>0</v>
      </c>
      <c r="AI350" s="28">
        <f t="shared" ca="1" si="128"/>
        <v>0</v>
      </c>
      <c r="AJ350" s="28">
        <f t="shared" ca="1" si="129"/>
        <v>1084.7542000000003</v>
      </c>
      <c r="AK350" s="31">
        <f t="shared" ca="1" si="130"/>
        <v>1</v>
      </c>
      <c r="AL350" s="28" t="s">
        <v>121</v>
      </c>
      <c r="AM350" s="28" t="s">
        <v>447</v>
      </c>
      <c r="AN350" s="30" t="str">
        <f t="shared" ca="1" si="133"/>
        <v>February</v>
      </c>
      <c r="AO350" s="42">
        <f t="shared" ca="1" si="134"/>
        <v>2020</v>
      </c>
      <c r="AP350" s="42">
        <f t="shared" ca="1" si="135"/>
        <v>1</v>
      </c>
      <c r="AQ350" s="26">
        <v>1</v>
      </c>
      <c r="AR350" s="30">
        <f t="shared" ca="1" si="136"/>
        <v>43879</v>
      </c>
      <c r="AS350" s="30" t="str">
        <f t="shared" ca="1" si="142"/>
        <v>BEE120</v>
      </c>
      <c r="AT350" s="26" t="str">
        <f t="shared" ca="1" si="138"/>
        <v>CHERY</v>
      </c>
      <c r="AU350" s="26" t="str">
        <f t="shared" ca="1" si="139"/>
        <v>QQ</v>
      </c>
      <c r="AV350" s="26" t="str">
        <f t="shared" ca="1" si="140"/>
        <v>RENE PARLONA ALVARADO</v>
      </c>
    </row>
    <row r="351" spans="1:48" x14ac:dyDescent="0.2">
      <c r="A351" s="220">
        <v>43776</v>
      </c>
      <c r="B351" s="130" t="s">
        <v>68</v>
      </c>
      <c r="C351" s="130" t="s">
        <v>102</v>
      </c>
      <c r="D351" s="130" t="s">
        <v>631</v>
      </c>
      <c r="E351" s="130" t="s">
        <v>903</v>
      </c>
      <c r="F351" s="130" t="s">
        <v>924</v>
      </c>
      <c r="G351" s="220">
        <v>43767</v>
      </c>
      <c r="H351" s="130" t="s">
        <v>90</v>
      </c>
      <c r="I351" s="130" t="s">
        <v>91</v>
      </c>
      <c r="J351" s="130" t="s">
        <v>70</v>
      </c>
      <c r="K351" s="130" t="s">
        <v>112</v>
      </c>
      <c r="L351" s="174" t="s">
        <v>71</v>
      </c>
      <c r="M351" s="131" t="s">
        <v>72</v>
      </c>
      <c r="N351" s="130" t="s">
        <v>73</v>
      </c>
      <c r="O351" s="219" t="s">
        <v>69</v>
      </c>
      <c r="P351" s="130" t="s">
        <v>1699</v>
      </c>
      <c r="Q351" s="132" t="s">
        <v>93</v>
      </c>
      <c r="R351" s="218">
        <v>3.3410001</v>
      </c>
      <c r="S351" s="129">
        <v>1</v>
      </c>
      <c r="T351" s="129">
        <v>15</v>
      </c>
      <c r="U351" s="129">
        <v>15</v>
      </c>
      <c r="V351" s="129">
        <v>2.7000009999999999</v>
      </c>
      <c r="W351" s="129">
        <v>17.700001</v>
      </c>
      <c r="X351" s="27">
        <f t="shared" si="143"/>
        <v>50.115001499999998</v>
      </c>
      <c r="Y351" s="29">
        <f ca="1">VLOOKUP(Z351,CHOOSE({2,1},Fac_Fecha,Fac_OT),2,0)</f>
        <v>43880</v>
      </c>
      <c r="Z351" s="26" t="s">
        <v>2932</v>
      </c>
      <c r="AA351" s="28">
        <f t="shared" ca="1" si="141"/>
        <v>286.97772626857966</v>
      </c>
      <c r="AB351" s="28">
        <f ca="1">SUMIF(Salida_OT,Facturacion!Z351,Salida_Suma)</f>
        <v>0</v>
      </c>
      <c r="AC351" s="28">
        <f t="shared" ca="1" si="126"/>
        <v>0</v>
      </c>
      <c r="AD351" s="28">
        <f t="shared" ca="1" si="127"/>
        <v>0</v>
      </c>
      <c r="AE351" s="28">
        <f ca="1">(SUMIF(Asig_OT,Z351,Asig_Hora_Mec))*'Costos x MO'!$B$6*'Costos x MO'!$B$7</f>
        <v>0</v>
      </c>
      <c r="AF351" s="28">
        <f ca="1">SUMIF(Asig_OT,Z351,Asig_Hora_Pla)*'Costos x MO'!$B$4*'Costos x MO'!$B$7</f>
        <v>0</v>
      </c>
      <c r="AG351" s="28">
        <f ca="1">SUMIF(Asig_OT,Z351,Asig_paño_Pin)*'Costos x MO'!$B$5*'Costos x MO'!$B$7</f>
        <v>0</v>
      </c>
      <c r="AH351" s="28">
        <f ca="1">(SUMIF(Asig_OT,Z351,Asig_Terc_Pla)*'Costos x MO'!$B$7)+(SUMIF(Asig_OT,Z351,Asig_Terc_Pin)*'Costos x MO'!$B$7)</f>
        <v>0</v>
      </c>
      <c r="AI351" s="28">
        <f t="shared" ca="1" si="128"/>
        <v>0</v>
      </c>
      <c r="AJ351" s="28">
        <f t="shared" ca="1" si="129"/>
        <v>286.97772626857966</v>
      </c>
      <c r="AK351" s="31">
        <f t="shared" ca="1" si="130"/>
        <v>1</v>
      </c>
      <c r="AL351" s="28" t="str">
        <f t="shared" ca="1" si="131"/>
        <v>C.C</v>
      </c>
      <c r="AM351" s="28" t="str">
        <f t="shared" ca="1" si="132"/>
        <v>MECANICA</v>
      </c>
      <c r="AN351" s="30" t="str">
        <f t="shared" ca="1" si="133"/>
        <v>February</v>
      </c>
      <c r="AO351" s="42">
        <f t="shared" ca="1" si="134"/>
        <v>2020</v>
      </c>
      <c r="AP351" s="42">
        <f t="shared" ca="1" si="135"/>
        <v>0</v>
      </c>
      <c r="AQ351" s="26">
        <v>1</v>
      </c>
      <c r="AR351" s="30">
        <f t="shared" ca="1" si="136"/>
        <v>43880</v>
      </c>
      <c r="AS351" s="30" t="str">
        <f t="shared" ca="1" si="142"/>
        <v>BEE120</v>
      </c>
      <c r="AT351" s="26" t="str">
        <f t="shared" ca="1" si="138"/>
        <v>CHERY</v>
      </c>
      <c r="AU351" s="26" t="str">
        <f t="shared" ca="1" si="139"/>
        <v>QQ</v>
      </c>
      <c r="AV351" s="26" t="str">
        <f t="shared" ca="1" si="140"/>
        <v>RENE PARLONA ALVARADO</v>
      </c>
    </row>
    <row r="352" spans="1:48" x14ac:dyDescent="0.2">
      <c r="A352" s="220">
        <v>43776</v>
      </c>
      <c r="B352" s="130" t="s">
        <v>68</v>
      </c>
      <c r="C352" s="130" t="s">
        <v>102</v>
      </c>
      <c r="D352" s="130" t="s">
        <v>631</v>
      </c>
      <c r="E352" s="130" t="s">
        <v>903</v>
      </c>
      <c r="F352" s="130" t="s">
        <v>924</v>
      </c>
      <c r="G352" s="220">
        <v>43767</v>
      </c>
      <c r="H352" s="130" t="s">
        <v>90</v>
      </c>
      <c r="I352" s="130" t="s">
        <v>91</v>
      </c>
      <c r="J352" s="130" t="s">
        <v>95</v>
      </c>
      <c r="K352" s="130" t="s">
        <v>96</v>
      </c>
      <c r="L352" s="174" t="s">
        <v>71</v>
      </c>
      <c r="M352" s="131" t="s">
        <v>72</v>
      </c>
      <c r="N352" s="130" t="s">
        <v>73</v>
      </c>
      <c r="O352" s="219" t="s">
        <v>69</v>
      </c>
      <c r="P352" s="130" t="s">
        <v>1699</v>
      </c>
      <c r="Q352" s="132" t="s">
        <v>93</v>
      </c>
      <c r="R352" s="218">
        <v>3.3410001</v>
      </c>
      <c r="S352" s="129">
        <v>-1</v>
      </c>
      <c r="T352" s="129">
        <v>100</v>
      </c>
      <c r="U352" s="129">
        <v>-100</v>
      </c>
      <c r="V352" s="129">
        <v>-18</v>
      </c>
      <c r="W352" s="129">
        <v>-118</v>
      </c>
      <c r="X352" s="27">
        <f t="shared" si="143"/>
        <v>-334.10001</v>
      </c>
      <c r="Y352" s="29">
        <f ca="1">VLOOKUP(Z352,CHOOSE({2,1},Fac_Fecha,Fac_OT),2,0)</f>
        <v>43881</v>
      </c>
      <c r="Z352" s="26" t="s">
        <v>2931</v>
      </c>
      <c r="AA352" s="28">
        <f t="shared" ca="1" si="141"/>
        <v>101.520003</v>
      </c>
      <c r="AB352" s="28">
        <f ca="1">SUMIF(Salida_OT,Facturacion!Z352,Salida_Suma)</f>
        <v>0</v>
      </c>
      <c r="AC352" s="28">
        <f t="shared" ca="1" si="126"/>
        <v>0</v>
      </c>
      <c r="AD352" s="28">
        <f t="shared" ca="1" si="127"/>
        <v>0</v>
      </c>
      <c r="AE352" s="28">
        <f ca="1">(SUMIF(Asig_OT,Z352,Asig_Hora_Mec))*'Costos x MO'!$B$6*'Costos x MO'!$B$7</f>
        <v>0</v>
      </c>
      <c r="AF352" s="28">
        <f ca="1">SUMIF(Asig_OT,Z352,Asig_Hora_Pla)*'Costos x MO'!$B$4*'Costos x MO'!$B$7</f>
        <v>0</v>
      </c>
      <c r="AG352" s="28">
        <f ca="1">SUMIF(Asig_OT,Z352,Asig_paño_Pin)*'Costos x MO'!$B$5*'Costos x MO'!$B$7</f>
        <v>35.175000000000004</v>
      </c>
      <c r="AH352" s="28">
        <f ca="1">(SUMIF(Asig_OT,Z352,Asig_Terc_Pla)*'Costos x MO'!$B$7)+(SUMIF(Asig_OT,Z352,Asig_Terc_Pin)*'Costos x MO'!$B$7)</f>
        <v>0</v>
      </c>
      <c r="AI352" s="28">
        <f t="shared" ca="1" si="128"/>
        <v>35.175000000000004</v>
      </c>
      <c r="AJ352" s="28">
        <f t="shared" ca="1" si="129"/>
        <v>66.345002999999991</v>
      </c>
      <c r="AK352" s="31">
        <f t="shared" ca="1" si="130"/>
        <v>0.65351655870222924</v>
      </c>
      <c r="AL352" s="28" t="str">
        <f t="shared" ca="1" si="131"/>
        <v>C.C</v>
      </c>
      <c r="AM352" s="28" t="str">
        <f t="shared" ca="1" si="132"/>
        <v>LEVE</v>
      </c>
      <c r="AN352" s="30" t="str">
        <f t="shared" ca="1" si="133"/>
        <v>February</v>
      </c>
      <c r="AO352" s="42">
        <f t="shared" ca="1" si="134"/>
        <v>2020</v>
      </c>
      <c r="AP352" s="42">
        <f t="shared" ca="1" si="135"/>
        <v>1</v>
      </c>
      <c r="AQ352" s="26">
        <v>1</v>
      </c>
      <c r="AR352" s="30">
        <f t="shared" ca="1" si="136"/>
        <v>43880</v>
      </c>
      <c r="AS352" s="30" t="str">
        <f t="shared" ca="1" si="142"/>
        <v>BKS038</v>
      </c>
      <c r="AT352" s="26" t="str">
        <f t="shared" ca="1" si="138"/>
        <v>MAZDA</v>
      </c>
      <c r="AU352" s="26" t="str">
        <f t="shared" ca="1" si="139"/>
        <v>CX9</v>
      </c>
      <c r="AV352" s="26" t="str">
        <f t="shared" ca="1" si="140"/>
        <v>KELLY SANTOS TRUJILLO</v>
      </c>
    </row>
    <row r="353" spans="1:48" x14ac:dyDescent="0.2">
      <c r="A353" s="220">
        <v>43776</v>
      </c>
      <c r="B353" s="130" t="s">
        <v>68</v>
      </c>
      <c r="C353" s="130" t="s">
        <v>102</v>
      </c>
      <c r="D353" s="130" t="s">
        <v>631</v>
      </c>
      <c r="E353" s="130" t="s">
        <v>903</v>
      </c>
      <c r="F353" s="130" t="s">
        <v>924</v>
      </c>
      <c r="G353" s="220">
        <v>43767</v>
      </c>
      <c r="H353" s="130" t="s">
        <v>90</v>
      </c>
      <c r="I353" s="130" t="s">
        <v>91</v>
      </c>
      <c r="J353" s="130" t="s">
        <v>104</v>
      </c>
      <c r="K353" s="130" t="s">
        <v>105</v>
      </c>
      <c r="L353" s="174" t="s">
        <v>71</v>
      </c>
      <c r="M353" s="131" t="s">
        <v>72</v>
      </c>
      <c r="N353" s="130" t="s">
        <v>73</v>
      </c>
      <c r="O353" s="219" t="s">
        <v>69</v>
      </c>
      <c r="P353" s="130" t="s">
        <v>1699</v>
      </c>
      <c r="Q353" s="132" t="s">
        <v>93</v>
      </c>
      <c r="R353" s="218">
        <v>3.3410001</v>
      </c>
      <c r="S353" s="129">
        <v>1</v>
      </c>
      <c r="T353" s="129">
        <v>0</v>
      </c>
      <c r="U353" s="129">
        <v>0</v>
      </c>
      <c r="V353" s="129">
        <v>0</v>
      </c>
      <c r="W353" s="129">
        <v>0</v>
      </c>
      <c r="X353" s="27">
        <f t="shared" si="143"/>
        <v>0</v>
      </c>
      <c r="Y353" s="29">
        <f ca="1">VLOOKUP(Z353,CHOOSE({2,1},Fac_Fecha,Fac_OT),2,0)</f>
        <v>43885</v>
      </c>
      <c r="Z353" s="26" t="s">
        <v>2907</v>
      </c>
      <c r="AA353" s="28">
        <f t="shared" ca="1" si="141"/>
        <v>763.65002249999998</v>
      </c>
      <c r="AB353" s="28">
        <f ca="1">SUMIF(Salida_OT,Facturacion!Z353,Salida_Suma)</f>
        <v>0</v>
      </c>
      <c r="AC353" s="28">
        <f t="shared" ref="AC353:AC354" ca="1" si="144">SUMIFS(Compras_Suma,Compras_OT,Z353,Compras_Tipo,"RP")</f>
        <v>0</v>
      </c>
      <c r="AD353" s="28">
        <f t="shared" ref="AD353:AD354" ca="1" si="145">SUMIFS(Compras_Suma,Compras_OT,Z353,Compras_Tipo,"ST")</f>
        <v>0</v>
      </c>
      <c r="AE353" s="28">
        <f ca="1">(SUMIF(Asig_OT,Z353,Asig_Hora_Mec))*'Costos x MO'!$B$6*'Costos x MO'!$B$7</f>
        <v>0</v>
      </c>
      <c r="AF353" s="28">
        <f ca="1">SUMIF(Asig_OT,Z353,Asig_Hora_Pla)*'Costos x MO'!$B$4*'Costos x MO'!$B$7</f>
        <v>45.225000000000001</v>
      </c>
      <c r="AG353" s="28">
        <f ca="1">SUMIF(Asig_OT,Z353,Asig_paño_Pin)*'Costos x MO'!$B$5*'Costos x MO'!$B$7</f>
        <v>211.05</v>
      </c>
      <c r="AH353" s="28">
        <f ca="1">(SUMIF(Asig_OT,Z353,Asig_Terc_Pla)*'Costos x MO'!$B$7)+(SUMIF(Asig_OT,Z353,Asig_Terc_Pin)*'Costos x MO'!$B$7)</f>
        <v>0</v>
      </c>
      <c r="AI353" s="28">
        <f t="shared" ref="AI353:AI354" ca="1" si="146">SUM(AB353:AH353)</f>
        <v>256.27500000000003</v>
      </c>
      <c r="AJ353" s="28">
        <f t="shared" ref="AJ353:AJ354" ca="1" si="147">+AA353-AI353</f>
        <v>507.37502249999994</v>
      </c>
      <c r="AK353" s="31">
        <f t="shared" ref="AK353:AK354" ca="1" si="148">IFERROR(AJ353/AA353,0)</f>
        <v>0.6644077883203362</v>
      </c>
      <c r="AL353" s="28" t="str">
        <f t="shared" ref="AL353:AL354" ca="1" si="149">IFERROR(VLOOKUP(Z353,Matriz,5,0),"S/TIPO")</f>
        <v>C.C</v>
      </c>
      <c r="AM353" s="28" t="str">
        <f t="shared" ref="AM353:AM354" ca="1" si="150">IFERROR(VLOOKUP(Z353,Matriz,17,0),"S/TIPO")</f>
        <v>LEVE</v>
      </c>
      <c r="AN353" s="30" t="str">
        <f t="shared" ref="AN353:AN354" ca="1" si="151">PROPER(TEXT(Y353,"mmmm"))</f>
        <v>February</v>
      </c>
      <c r="AO353" s="42">
        <f t="shared" ref="AO353:AO354" ca="1" si="152">YEAR(Y353)</f>
        <v>2020</v>
      </c>
      <c r="AP353" s="42">
        <f t="shared" ref="AP353:AP354" ca="1" si="153">+Y353-AR353</f>
        <v>11</v>
      </c>
      <c r="AQ353" s="26">
        <v>1</v>
      </c>
      <c r="AR353" s="30">
        <f t="shared" ref="AR353:AR354" ca="1" si="154">VLOOKUP(Z353,Matriz2,3,0)</f>
        <v>43874</v>
      </c>
      <c r="AS353" s="30" t="str">
        <f t="shared" ca="1" si="142"/>
        <v>D9G573</v>
      </c>
      <c r="AT353" s="26" t="str">
        <f t="shared" ref="AT353:AT354" ca="1" si="155">IFERROR(VLOOKUP(Z353,Matriz,3,0),"S/MARCA")</f>
        <v>HYUNDAI</v>
      </c>
      <c r="AU353" s="26" t="str">
        <f t="shared" ref="AU353:AU354" ca="1" si="156">IFERROR(VLOOKUP(Z353,Matriz,4,0),"S/MODELO")</f>
        <v>TUCSON</v>
      </c>
      <c r="AV353" s="26" t="str">
        <f t="shared" ref="AV353:AV354" ca="1" si="157">VLOOKUP(Z353,Matriz2,5,0)</f>
        <v>MONTESINOS TORRES ORLANDO</v>
      </c>
    </row>
    <row r="354" spans="1:48" x14ac:dyDescent="0.2">
      <c r="A354" s="220">
        <v>43777</v>
      </c>
      <c r="B354" s="130" t="s">
        <v>68</v>
      </c>
      <c r="C354" s="130" t="s">
        <v>102</v>
      </c>
      <c r="D354" s="130" t="s">
        <v>1875</v>
      </c>
      <c r="E354" s="130" t="s">
        <v>1272</v>
      </c>
      <c r="F354" s="130" t="s">
        <v>1868</v>
      </c>
      <c r="G354" s="220">
        <v>43775</v>
      </c>
      <c r="H354" s="130" t="s">
        <v>1872</v>
      </c>
      <c r="I354" s="130" t="s">
        <v>1871</v>
      </c>
      <c r="J354" s="130" t="s">
        <v>95</v>
      </c>
      <c r="K354" s="130" t="s">
        <v>96</v>
      </c>
      <c r="L354" s="174" t="s">
        <v>71</v>
      </c>
      <c r="M354" s="131" t="s">
        <v>72</v>
      </c>
      <c r="N354" s="130" t="s">
        <v>73</v>
      </c>
      <c r="O354" s="219" t="s">
        <v>69</v>
      </c>
      <c r="P354" s="130" t="s">
        <v>1699</v>
      </c>
      <c r="Q354" s="132" t="s">
        <v>93</v>
      </c>
      <c r="R354" s="218">
        <v>3.3450000000000002</v>
      </c>
      <c r="S354" s="129">
        <v>1</v>
      </c>
      <c r="T354" s="129">
        <v>100</v>
      </c>
      <c r="U354" s="129">
        <v>100</v>
      </c>
      <c r="V354" s="129">
        <v>18</v>
      </c>
      <c r="W354" s="129">
        <v>118</v>
      </c>
      <c r="X354" s="27">
        <f t="shared" si="143"/>
        <v>334.5</v>
      </c>
      <c r="Y354" s="29">
        <f ca="1">VLOOKUP(Z354,CHOOSE({2,1},Fac_Fecha,Fac_OT),2,0)</f>
        <v>43886</v>
      </c>
      <c r="Z354" s="26" t="s">
        <v>2962</v>
      </c>
      <c r="AA354" s="28">
        <f t="shared" ca="1" si="141"/>
        <v>241.20339999999999</v>
      </c>
      <c r="AB354" s="28">
        <f ca="1">SUMIF(Salida_OT,Facturacion!Z354,Salida_Suma)</f>
        <v>0</v>
      </c>
      <c r="AC354" s="28">
        <f t="shared" ca="1" si="144"/>
        <v>0</v>
      </c>
      <c r="AD354" s="28">
        <f t="shared" ca="1" si="145"/>
        <v>0</v>
      </c>
      <c r="AE354" s="28">
        <f ca="1">(SUMIF(Asig_OT,Z354,Asig_Hora_Mec))*'Costos x MO'!$B$6*'Costos x MO'!$B$7</f>
        <v>30.150000000000002</v>
      </c>
      <c r="AF354" s="28">
        <f ca="1">SUMIF(Asig_OT,Z354,Asig_Hora_Pla)*'Costos x MO'!$B$4*'Costos x MO'!$B$7</f>
        <v>0</v>
      </c>
      <c r="AG354" s="28">
        <f ca="1">SUMIF(Asig_OT,Z354,Asig_paño_Pin)*'Costos x MO'!$B$5*'Costos x MO'!$B$7</f>
        <v>0</v>
      </c>
      <c r="AH354" s="28">
        <f ca="1">(SUMIF(Asig_OT,Z354,Asig_Terc_Pla)*'Costos x MO'!$B$7)+(SUMIF(Asig_OT,Z354,Asig_Terc_Pin)*'Costos x MO'!$B$7)</f>
        <v>0</v>
      </c>
      <c r="AI354" s="28">
        <f t="shared" ca="1" si="146"/>
        <v>30.150000000000002</v>
      </c>
      <c r="AJ354" s="28">
        <f t="shared" ca="1" si="147"/>
        <v>211.05339999999998</v>
      </c>
      <c r="AK354" s="31">
        <f t="shared" ca="1" si="148"/>
        <v>0.87500176199837976</v>
      </c>
      <c r="AL354" s="28" t="str">
        <f t="shared" ca="1" si="149"/>
        <v>C.C</v>
      </c>
      <c r="AM354" s="28" t="str">
        <f t="shared" ca="1" si="150"/>
        <v>MECANICA</v>
      </c>
      <c r="AN354" s="30" t="str">
        <f t="shared" ca="1" si="151"/>
        <v>February</v>
      </c>
      <c r="AO354" s="42">
        <f t="shared" ca="1" si="152"/>
        <v>2020</v>
      </c>
      <c r="AP354" s="42">
        <f t="shared" ca="1" si="153"/>
        <v>0</v>
      </c>
      <c r="AQ354" s="26">
        <v>1</v>
      </c>
      <c r="AR354" s="30">
        <f t="shared" ca="1" si="154"/>
        <v>43886</v>
      </c>
      <c r="AS354" s="30" t="str">
        <f t="shared" ca="1" si="142"/>
        <v>F5B055</v>
      </c>
      <c r="AT354" s="26" t="str">
        <f t="shared" ca="1" si="155"/>
        <v>CHANGAN</v>
      </c>
      <c r="AU354" s="26" t="str">
        <f t="shared" ca="1" si="156"/>
        <v>C835</v>
      </c>
      <c r="AV354" s="26" t="str">
        <f t="shared" ca="1" si="157"/>
        <v>ZEGARRA RAMIREZ LEONOR MARIA</v>
      </c>
    </row>
    <row r="355" spans="1:48" x14ac:dyDescent="0.2">
      <c r="A355" s="220">
        <v>43777</v>
      </c>
      <c r="B355" s="130" t="s">
        <v>68</v>
      </c>
      <c r="C355" s="130" t="s">
        <v>102</v>
      </c>
      <c r="D355" s="130" t="s">
        <v>1874</v>
      </c>
      <c r="E355" s="130" t="s">
        <v>1873</v>
      </c>
      <c r="F355" s="130" t="s">
        <v>1868</v>
      </c>
      <c r="G355" s="220">
        <v>43775</v>
      </c>
      <c r="H355" s="130" t="s">
        <v>1872</v>
      </c>
      <c r="I355" s="130" t="s">
        <v>1871</v>
      </c>
      <c r="J355" s="130" t="s">
        <v>97</v>
      </c>
      <c r="K355" s="130" t="s">
        <v>98</v>
      </c>
      <c r="L355" s="174" t="s">
        <v>71</v>
      </c>
      <c r="M355" s="131" t="s">
        <v>72</v>
      </c>
      <c r="N355" s="130" t="s">
        <v>73</v>
      </c>
      <c r="O355" s="219" t="s">
        <v>99</v>
      </c>
      <c r="P355" s="130" t="s">
        <v>98</v>
      </c>
      <c r="Q355" s="132" t="s">
        <v>93</v>
      </c>
      <c r="R355" s="218">
        <v>3.3450000000000002</v>
      </c>
      <c r="S355" s="129">
        <v>1</v>
      </c>
      <c r="T355" s="129">
        <v>120</v>
      </c>
      <c r="U355" s="129">
        <v>120</v>
      </c>
      <c r="V355" s="129">
        <v>21.600010000000019</v>
      </c>
      <c r="W355" s="129">
        <v>141.60001000000003</v>
      </c>
      <c r="X355" s="27">
        <f t="shared" si="143"/>
        <v>401.40000000000003</v>
      </c>
      <c r="Y355" s="29">
        <f ca="1">VLOOKUP(Z355,CHOOSE({2,1},Fac_Fecha,Fac_OT),2,0)</f>
        <v>43888</v>
      </c>
      <c r="Z355" s="26" t="s">
        <v>3179</v>
      </c>
      <c r="AA355" s="28">
        <f t="shared" ca="1" si="141"/>
        <v>406.02798810000002</v>
      </c>
      <c r="AB355" s="28">
        <f ca="1">SUMIF(Salida_OT,Facturacion!Z355,Salida_Suma)</f>
        <v>0</v>
      </c>
      <c r="AC355" s="28">
        <f t="shared" ref="AC355:AC367" ca="1" si="158">SUMIFS(Compras_Suma,Compras_OT,Z355,Compras_Tipo,"RP")</f>
        <v>0</v>
      </c>
      <c r="AD355" s="28">
        <f t="shared" ref="AD355:AD367" ca="1" si="159">SUMIFS(Compras_Suma,Compras_OT,Z355,Compras_Tipo,"ST")</f>
        <v>0</v>
      </c>
      <c r="AE355" s="28">
        <f ca="1">(SUMIF(Asig_OT,Z355,Asig_Hora_Mec))*'Costos x MO'!$B$6*'Costos x MO'!$B$7</f>
        <v>0</v>
      </c>
      <c r="AF355" s="28">
        <f ca="1">SUMIF(Asig_OT,Z355,Asig_Hora_Pla)*'Costos x MO'!$B$4*'Costos x MO'!$B$7</f>
        <v>22.612500000000001</v>
      </c>
      <c r="AG355" s="28">
        <f ca="1">SUMIF(Asig_OT,Z355,Asig_paño_Pin)*'Costos x MO'!$B$5*'Costos x MO'!$B$7</f>
        <v>70.350000000000009</v>
      </c>
      <c r="AH355" s="28">
        <f ca="1">(SUMIF(Asig_OT,Z355,Asig_Terc_Pla)*'Costos x MO'!$B$7)+(SUMIF(Asig_OT,Z355,Asig_Terc_Pin)*'Costos x MO'!$B$7)</f>
        <v>0</v>
      </c>
      <c r="AI355" s="28">
        <f t="shared" ref="AI355:AI367" ca="1" si="160">SUM(AB355:AH355)</f>
        <v>92.962500000000006</v>
      </c>
      <c r="AJ355" s="28">
        <f t="shared" ref="AJ355:AJ367" ca="1" si="161">+AA355-AI355</f>
        <v>313.06548810000004</v>
      </c>
      <c r="AK355" s="31">
        <f t="shared" ref="AK355:AK367" ca="1" si="162">IFERROR(AJ355/AA355,0)</f>
        <v>0.77104410847386118</v>
      </c>
      <c r="AL355" s="28" t="str">
        <f t="shared" ref="AL355:AL367" ca="1" si="163">IFERROR(VLOOKUP(Z355,Matriz,5,0),"S/TIPO")</f>
        <v>RIMAC</v>
      </c>
      <c r="AM355" s="28" t="str">
        <f t="shared" ref="AM355:AM367" ca="1" si="164">IFERROR(VLOOKUP(Z355,Matriz,17,0),"S/TIPO")</f>
        <v>LEVE</v>
      </c>
      <c r="AN355" s="30" t="str">
        <f t="shared" ref="AN355:AN367" ca="1" si="165">PROPER(TEXT(Y355,"mmmm"))</f>
        <v>February</v>
      </c>
      <c r="AO355" s="42">
        <f t="shared" ref="AO355:AO367" ca="1" si="166">YEAR(Y355)</f>
        <v>2020</v>
      </c>
      <c r="AP355" s="42">
        <f t="shared" ref="AP355:AP367" ca="1" si="167">+Y355-AR355</f>
        <v>10</v>
      </c>
      <c r="AQ355" s="26">
        <v>1</v>
      </c>
      <c r="AR355" s="30">
        <f t="shared" ref="AR355:AR367" ca="1" si="168">VLOOKUP(Z355,Matriz2,3,0)</f>
        <v>43878</v>
      </c>
      <c r="AS355" s="30" t="str">
        <f t="shared" ref="AS355:AS367" ca="1" si="169">IFERROR(VLOOKUP(Z355,Matriz2,2,0),"S/PLACA")</f>
        <v>ADB122</v>
      </c>
      <c r="AT355" s="26" t="str">
        <f t="shared" ref="AT355:AT367" ca="1" si="170">IFERROR(VLOOKUP(Z355,Matriz,3,0),"S/MARCA")</f>
        <v>TOYOTA</v>
      </c>
      <c r="AU355" s="26" t="str">
        <f t="shared" ref="AU355:AU367" ca="1" si="171">IFERROR(VLOOKUP(Z355,Matriz,4,0),"S/MODELO")</f>
        <v>COROLLA</v>
      </c>
      <c r="AV355" s="26" t="str">
        <f t="shared" ref="AV355:AV367" ca="1" si="172">VLOOKUP(Z355,Matriz2,5,0)</f>
        <v>RIMAC SEGUROS  Y REASEGUROS S.A</v>
      </c>
    </row>
    <row r="356" spans="1:48" x14ac:dyDescent="0.2">
      <c r="A356" s="220">
        <v>43777</v>
      </c>
      <c r="B356" s="130" t="s">
        <v>68</v>
      </c>
      <c r="C356" s="130" t="s">
        <v>102</v>
      </c>
      <c r="D356" s="130" t="s">
        <v>1874</v>
      </c>
      <c r="E356" s="130" t="s">
        <v>1873</v>
      </c>
      <c r="F356" s="130" t="s">
        <v>1868</v>
      </c>
      <c r="G356" s="220">
        <v>43775</v>
      </c>
      <c r="H356" s="130" t="s">
        <v>1872</v>
      </c>
      <c r="I356" s="130" t="s">
        <v>1871</v>
      </c>
      <c r="J356" s="130" t="s">
        <v>100</v>
      </c>
      <c r="K356" s="130" t="s">
        <v>101</v>
      </c>
      <c r="L356" s="174" t="s">
        <v>71</v>
      </c>
      <c r="M356" s="131" t="s">
        <v>72</v>
      </c>
      <c r="N356" s="130" t="s">
        <v>73</v>
      </c>
      <c r="O356" s="219" t="s">
        <v>72</v>
      </c>
      <c r="P356" s="130" t="s">
        <v>101</v>
      </c>
      <c r="Q356" s="132" t="s">
        <v>93</v>
      </c>
      <c r="R356" s="218">
        <v>3.3450000000000002</v>
      </c>
      <c r="S356" s="129">
        <v>1</v>
      </c>
      <c r="T356" s="129">
        <v>80.008499</v>
      </c>
      <c r="U356" s="129">
        <v>80.008499</v>
      </c>
      <c r="V356" s="129">
        <v>14.401505000000025</v>
      </c>
      <c r="W356" s="129">
        <v>94.410004000000029</v>
      </c>
      <c r="X356" s="27">
        <f t="shared" si="143"/>
        <v>267.62842915499999</v>
      </c>
      <c r="Y356" s="29">
        <f ca="1">VLOOKUP(Z356,CHOOSE({2,1},Fac_Fecha,Fac_OT),2,0)</f>
        <v>43888</v>
      </c>
      <c r="Z356" s="26" t="s">
        <v>3189</v>
      </c>
      <c r="AA356" s="28">
        <f t="shared" ref="AA356:AA367" ca="1" si="173">SUMIFS(Fac_Suma,Fac_OT,Z356,Fac_Fecha,Y356)</f>
        <v>439.20339999999999</v>
      </c>
      <c r="AB356" s="28">
        <f ca="1">SUMIF(Salida_OT,Facturacion!Z356,Salida_Suma)</f>
        <v>0</v>
      </c>
      <c r="AC356" s="28">
        <f t="shared" ca="1" si="158"/>
        <v>12.71</v>
      </c>
      <c r="AD356" s="28">
        <f t="shared" ca="1" si="159"/>
        <v>0</v>
      </c>
      <c r="AE356" s="28">
        <f ca="1">(SUMIF(Asig_OT,Z356,Asig_Hora_Mec))*'Costos x MO'!$B$6*'Costos x MO'!$B$7</f>
        <v>40.250250000000001</v>
      </c>
      <c r="AF356" s="28">
        <f ca="1">SUMIF(Asig_OT,Z356,Asig_Hora_Pla)*'Costos x MO'!$B$4*'Costos x MO'!$B$7</f>
        <v>0</v>
      </c>
      <c r="AG356" s="28">
        <f ca="1">SUMIF(Asig_OT,Z356,Asig_paño_Pin)*'Costos x MO'!$B$5*'Costos x MO'!$B$7</f>
        <v>0</v>
      </c>
      <c r="AH356" s="28">
        <f ca="1">(SUMIF(Asig_OT,Z356,Asig_Terc_Pla)*'Costos x MO'!$B$7)+(SUMIF(Asig_OT,Z356,Asig_Terc_Pin)*'Costos x MO'!$B$7)</f>
        <v>0</v>
      </c>
      <c r="AI356" s="28">
        <f t="shared" ca="1" si="160"/>
        <v>52.960250000000002</v>
      </c>
      <c r="AJ356" s="28">
        <f t="shared" ca="1" si="161"/>
        <v>386.24315000000001</v>
      </c>
      <c r="AK356" s="31">
        <f t="shared" ca="1" si="162"/>
        <v>0.87941748629450511</v>
      </c>
      <c r="AL356" s="28" t="str">
        <f t="shared" ca="1" si="163"/>
        <v>C.C</v>
      </c>
      <c r="AM356" s="28" t="str">
        <f t="shared" ca="1" si="164"/>
        <v>MECANICA</v>
      </c>
      <c r="AN356" s="30" t="str">
        <f t="shared" ca="1" si="165"/>
        <v>February</v>
      </c>
      <c r="AO356" s="42">
        <f t="shared" ca="1" si="166"/>
        <v>2020</v>
      </c>
      <c r="AP356" s="42">
        <f t="shared" ca="1" si="167"/>
        <v>1</v>
      </c>
      <c r="AQ356" s="26">
        <v>1</v>
      </c>
      <c r="AR356" s="30">
        <f t="shared" ca="1" si="168"/>
        <v>43887</v>
      </c>
      <c r="AS356" s="30" t="str">
        <f t="shared" ca="1" si="169"/>
        <v>B0T312</v>
      </c>
      <c r="AT356" s="26" t="str">
        <f t="shared" ca="1" si="170"/>
        <v>TOYOTA</v>
      </c>
      <c r="AU356" s="26" t="str">
        <f t="shared" ca="1" si="171"/>
        <v>RAV 4</v>
      </c>
      <c r="AV356" s="26" t="str">
        <f t="shared" ca="1" si="172"/>
        <v>AGB BUSINESS EIRL</v>
      </c>
    </row>
    <row r="357" spans="1:48" x14ac:dyDescent="0.2">
      <c r="A357" s="220">
        <v>43777</v>
      </c>
      <c r="B357" s="130" t="s">
        <v>68</v>
      </c>
      <c r="C357" s="130" t="s">
        <v>102</v>
      </c>
      <c r="D357" s="130" t="s">
        <v>1870</v>
      </c>
      <c r="E357" s="130" t="s">
        <v>926</v>
      </c>
      <c r="F357" s="130" t="s">
        <v>927</v>
      </c>
      <c r="G357" s="220">
        <v>43763</v>
      </c>
      <c r="H357" s="130" t="s">
        <v>90</v>
      </c>
      <c r="I357" s="130" t="s">
        <v>91</v>
      </c>
      <c r="J357" s="130" t="s">
        <v>97</v>
      </c>
      <c r="K357" s="130" t="s">
        <v>98</v>
      </c>
      <c r="L357" s="174" t="s">
        <v>71</v>
      </c>
      <c r="M357" s="131" t="s">
        <v>72</v>
      </c>
      <c r="N357" s="130" t="s">
        <v>73</v>
      </c>
      <c r="O357" s="219" t="s">
        <v>99</v>
      </c>
      <c r="P357" s="130" t="s">
        <v>98</v>
      </c>
      <c r="Q357" s="132" t="s">
        <v>93</v>
      </c>
      <c r="R357" s="218">
        <v>3.3450000000000002</v>
      </c>
      <c r="S357" s="129">
        <v>1</v>
      </c>
      <c r="T357" s="129">
        <v>118</v>
      </c>
      <c r="U357" s="129">
        <v>118</v>
      </c>
      <c r="V357" s="129">
        <v>21.240010000000019</v>
      </c>
      <c r="W357" s="129">
        <v>139.24001000000001</v>
      </c>
      <c r="X357" s="27">
        <f t="shared" si="143"/>
        <v>394.71000000000004</v>
      </c>
      <c r="Y357" s="29">
        <f ca="1">VLOOKUP(Z357,CHOOSE({2,1},Fac_Fecha,Fac_OT),2,0)</f>
        <v>43888</v>
      </c>
      <c r="Z357" s="26" t="s">
        <v>2933</v>
      </c>
      <c r="AA357" s="28">
        <f t="shared" ca="1" si="173"/>
        <v>1317.0319614</v>
      </c>
      <c r="AB357" s="28">
        <f ca="1">SUMIF(Salida_OT,Facturacion!Z357,Salida_Suma)</f>
        <v>0</v>
      </c>
      <c r="AC357" s="28">
        <f t="shared" ca="1" si="158"/>
        <v>0</v>
      </c>
      <c r="AD357" s="28">
        <f t="shared" ca="1" si="159"/>
        <v>0</v>
      </c>
      <c r="AE357" s="28">
        <f ca="1">(SUMIF(Asig_OT,Z357,Asig_Hora_Mec))*'Costos x MO'!$B$6*'Costos x MO'!$B$7</f>
        <v>0</v>
      </c>
      <c r="AF357" s="28">
        <f ca="1">SUMIF(Asig_OT,Z357,Asig_Hora_Pla)*'Costos x MO'!$B$4*'Costos x MO'!$B$7</f>
        <v>0</v>
      </c>
      <c r="AG357" s="28">
        <f ca="1">SUMIF(Asig_OT,Z357,Asig_paño_Pin)*'Costos x MO'!$B$5*'Costos x MO'!$B$7</f>
        <v>281.40000000000003</v>
      </c>
      <c r="AH357" s="28">
        <f ca="1">(SUMIF(Asig_OT,Z357,Asig_Terc_Pla)*'Costos x MO'!$B$7)+(SUMIF(Asig_OT,Z357,Asig_Terc_Pin)*'Costos x MO'!$B$7)</f>
        <v>0</v>
      </c>
      <c r="AI357" s="28">
        <f t="shared" ca="1" si="160"/>
        <v>281.40000000000003</v>
      </c>
      <c r="AJ357" s="28">
        <f t="shared" ca="1" si="161"/>
        <v>1035.6319613999999</v>
      </c>
      <c r="AK357" s="31">
        <f t="shared" ca="1" si="162"/>
        <v>0.78633775925918081</v>
      </c>
      <c r="AL357" s="28" t="str">
        <f t="shared" ca="1" si="163"/>
        <v>RIMAC</v>
      </c>
      <c r="AM357" s="28" t="str">
        <f t="shared" ca="1" si="164"/>
        <v>LEVE</v>
      </c>
      <c r="AN357" s="30" t="str">
        <f t="shared" ca="1" si="165"/>
        <v>February</v>
      </c>
      <c r="AO357" s="42">
        <f t="shared" ca="1" si="166"/>
        <v>2020</v>
      </c>
      <c r="AP357" s="42">
        <f t="shared" ca="1" si="167"/>
        <v>10</v>
      </c>
      <c r="AQ357" s="26">
        <v>1</v>
      </c>
      <c r="AR357" s="30">
        <f t="shared" ca="1" si="168"/>
        <v>43878</v>
      </c>
      <c r="AS357" s="30" t="str">
        <f t="shared" ca="1" si="169"/>
        <v>W3G525</v>
      </c>
      <c r="AT357" s="26" t="str">
        <f t="shared" ca="1" si="170"/>
        <v>MAZDA</v>
      </c>
      <c r="AU357" s="26" t="str">
        <f t="shared" ca="1" si="171"/>
        <v>MAZDA3</v>
      </c>
      <c r="AV357" s="26" t="str">
        <f t="shared" ca="1" si="172"/>
        <v>AGUERO MARTINEZ JOSE LUIS</v>
      </c>
    </row>
    <row r="358" spans="1:48" x14ac:dyDescent="0.2">
      <c r="A358" s="220">
        <v>43777</v>
      </c>
      <c r="B358" s="130" t="s">
        <v>68</v>
      </c>
      <c r="C358" s="130" t="s">
        <v>102</v>
      </c>
      <c r="D358" s="130" t="s">
        <v>1870</v>
      </c>
      <c r="E358" s="130" t="s">
        <v>926</v>
      </c>
      <c r="F358" s="130" t="s">
        <v>927</v>
      </c>
      <c r="G358" s="220">
        <v>43763</v>
      </c>
      <c r="H358" s="130" t="s">
        <v>90</v>
      </c>
      <c r="I358" s="130" t="s">
        <v>91</v>
      </c>
      <c r="J358" s="130" t="s">
        <v>100</v>
      </c>
      <c r="K358" s="130" t="s">
        <v>101</v>
      </c>
      <c r="L358" s="174" t="s">
        <v>71</v>
      </c>
      <c r="M358" s="131" t="s">
        <v>72</v>
      </c>
      <c r="N358" s="130" t="s">
        <v>73</v>
      </c>
      <c r="O358" s="219" t="s">
        <v>72</v>
      </c>
      <c r="P358" s="130" t="s">
        <v>101</v>
      </c>
      <c r="Q358" s="132" t="s">
        <v>93</v>
      </c>
      <c r="R358" s="218">
        <v>3.3450000000000002</v>
      </c>
      <c r="S358" s="129">
        <v>1</v>
      </c>
      <c r="T358" s="129">
        <v>210</v>
      </c>
      <c r="U358" s="129">
        <v>210</v>
      </c>
      <c r="V358" s="129">
        <v>37.799999999999997</v>
      </c>
      <c r="W358" s="129">
        <v>247.8</v>
      </c>
      <c r="X358" s="27">
        <f t="shared" si="143"/>
        <v>702.45</v>
      </c>
      <c r="Y358" s="29">
        <f ca="1">VLOOKUP(Z358,CHOOSE({2,1},Fac_Fecha,Fac_OT),2,0)</f>
        <v>43889</v>
      </c>
      <c r="Z358" s="26" t="s">
        <v>3184</v>
      </c>
      <c r="AA358" s="28">
        <f t="shared" ca="1" si="173"/>
        <v>343.00000999999997</v>
      </c>
      <c r="AB358" s="28">
        <f ca="1">SUMIF(Salida_OT,Facturacion!Z358,Salida_Suma)</f>
        <v>0</v>
      </c>
      <c r="AC358" s="28">
        <f t="shared" ca="1" si="158"/>
        <v>0</v>
      </c>
      <c r="AD358" s="28">
        <f t="shared" ca="1" si="159"/>
        <v>0</v>
      </c>
      <c r="AE358" s="28">
        <f ca="1">(SUMIF(Asig_OT,Z358,Asig_Hora_Mec))*'Costos x MO'!$B$6*'Costos x MO'!$B$7</f>
        <v>30.150000000000002</v>
      </c>
      <c r="AF358" s="28">
        <f ca="1">SUMIF(Asig_OT,Z358,Asig_Hora_Pla)*'Costos x MO'!$B$4*'Costos x MO'!$B$7</f>
        <v>0</v>
      </c>
      <c r="AG358" s="28">
        <f ca="1">SUMIF(Asig_OT,Z358,Asig_paño_Pin)*'Costos x MO'!$B$5*'Costos x MO'!$B$7</f>
        <v>0</v>
      </c>
      <c r="AH358" s="28">
        <f ca="1">(SUMIF(Asig_OT,Z358,Asig_Terc_Pla)*'Costos x MO'!$B$7)+(SUMIF(Asig_OT,Z358,Asig_Terc_Pin)*'Costos x MO'!$B$7)</f>
        <v>0</v>
      </c>
      <c r="AI358" s="28">
        <f t="shared" ca="1" si="160"/>
        <v>30.150000000000002</v>
      </c>
      <c r="AJ358" s="28">
        <f t="shared" ca="1" si="161"/>
        <v>312.85001</v>
      </c>
      <c r="AK358" s="31">
        <f t="shared" ca="1" si="162"/>
        <v>0.91209912792713921</v>
      </c>
      <c r="AL358" s="28" t="str">
        <f t="shared" ca="1" si="163"/>
        <v>RIMAC</v>
      </c>
      <c r="AM358" s="28" t="str">
        <f t="shared" ca="1" si="164"/>
        <v>LEVE</v>
      </c>
      <c r="AN358" s="30" t="str">
        <f t="shared" ca="1" si="165"/>
        <v>February</v>
      </c>
      <c r="AO358" s="42">
        <f t="shared" ca="1" si="166"/>
        <v>2020</v>
      </c>
      <c r="AP358" s="42">
        <f t="shared" ca="1" si="167"/>
        <v>3</v>
      </c>
      <c r="AQ358" s="26">
        <v>1</v>
      </c>
      <c r="AR358" s="30">
        <f t="shared" ca="1" si="168"/>
        <v>43886</v>
      </c>
      <c r="AS358" s="30" t="str">
        <f t="shared" ca="1" si="169"/>
        <v>CQW106</v>
      </c>
      <c r="AT358" s="26" t="str">
        <f t="shared" ca="1" si="170"/>
        <v>TOYOTA</v>
      </c>
      <c r="AU358" s="26" t="str">
        <f t="shared" ca="1" si="171"/>
        <v>COROLLA</v>
      </c>
      <c r="AV358" s="26" t="str">
        <f t="shared" ca="1" si="172"/>
        <v>RIMAC SEGUROS  Y REASEGUROS S.A</v>
      </c>
    </row>
    <row r="359" spans="1:48" x14ac:dyDescent="0.2">
      <c r="A359" s="220">
        <v>43777</v>
      </c>
      <c r="B359" s="130" t="s">
        <v>68</v>
      </c>
      <c r="C359" s="130" t="s">
        <v>102</v>
      </c>
      <c r="D359" s="130" t="s">
        <v>1870</v>
      </c>
      <c r="E359" s="130" t="s">
        <v>926</v>
      </c>
      <c r="F359" s="130" t="s">
        <v>927</v>
      </c>
      <c r="G359" s="220">
        <v>43763</v>
      </c>
      <c r="H359" s="130" t="s">
        <v>90</v>
      </c>
      <c r="I359" s="130" t="s">
        <v>91</v>
      </c>
      <c r="J359" s="130" t="s">
        <v>92</v>
      </c>
      <c r="K359" s="130" t="s">
        <v>113</v>
      </c>
      <c r="L359" s="174" t="s">
        <v>71</v>
      </c>
      <c r="M359" s="131" t="s">
        <v>72</v>
      </c>
      <c r="N359" s="130" t="s">
        <v>73</v>
      </c>
      <c r="O359" s="219" t="s">
        <v>69</v>
      </c>
      <c r="P359" s="130" t="s">
        <v>1699</v>
      </c>
      <c r="Q359" s="132" t="s">
        <v>93</v>
      </c>
      <c r="R359" s="218">
        <v>3.3450000000000002</v>
      </c>
      <c r="S359" s="129">
        <v>1</v>
      </c>
      <c r="T359" s="129">
        <v>35</v>
      </c>
      <c r="U359" s="129">
        <v>35</v>
      </c>
      <c r="V359" s="129">
        <v>6.299998999999989</v>
      </c>
      <c r="W359" s="129">
        <v>41.299998999999985</v>
      </c>
      <c r="X359" s="27">
        <f t="shared" si="143"/>
        <v>117.075</v>
      </c>
      <c r="Y359" s="29">
        <f ca="1">VLOOKUP(Z359,CHOOSE({2,1},Fac_Fecha,Fac_OT),2,0)</f>
        <v>43889</v>
      </c>
      <c r="Z359" s="26" t="s">
        <v>1022</v>
      </c>
      <c r="AA359" s="28">
        <f t="shared" ca="1" si="173"/>
        <v>531.65001549999999</v>
      </c>
      <c r="AB359" s="28">
        <f ca="1">SUMIF(Salida_OT,Facturacion!Z359,Salida_Suma)</f>
        <v>0</v>
      </c>
      <c r="AC359" s="28">
        <f t="shared" ca="1" si="158"/>
        <v>21.19</v>
      </c>
      <c r="AD359" s="28">
        <f t="shared" ca="1" si="159"/>
        <v>0</v>
      </c>
      <c r="AE359" s="28">
        <f ca="1">(SUMIF(Asig_OT,Z359,Asig_Hora_Mec))*'Costos x MO'!$B$6*'Costos x MO'!$B$7</f>
        <v>0</v>
      </c>
      <c r="AF359" s="28">
        <f ca="1">SUMIF(Asig_OT,Z359,Asig_Hora_Pla)*'Costos x MO'!$B$4*'Costos x MO'!$B$7</f>
        <v>60.300000000000004</v>
      </c>
      <c r="AG359" s="28">
        <f ca="1">SUMIF(Asig_OT,Z359,Asig_paño_Pin)*'Costos x MO'!$B$5*'Costos x MO'!$B$7</f>
        <v>105.52500000000001</v>
      </c>
      <c r="AH359" s="28">
        <f ca="1">(SUMIF(Asig_OT,Z359,Asig_Terc_Pla)*'Costos x MO'!$B$7)+(SUMIF(Asig_OT,Z359,Asig_Terc_Pin)*'Costos x MO'!$B$7)</f>
        <v>0</v>
      </c>
      <c r="AI359" s="28">
        <f t="shared" ca="1" si="160"/>
        <v>187.01500000000001</v>
      </c>
      <c r="AJ359" s="28">
        <f t="shared" ca="1" si="161"/>
        <v>344.63501550000001</v>
      </c>
      <c r="AK359" s="31">
        <f t="shared" ca="1" si="162"/>
        <v>0.64823663209316695</v>
      </c>
      <c r="AL359" s="28" t="str">
        <f t="shared" ca="1" si="163"/>
        <v>RIMAC</v>
      </c>
      <c r="AM359" s="28" t="str">
        <f t="shared" ca="1" si="164"/>
        <v>LEVE</v>
      </c>
      <c r="AN359" s="30" t="str">
        <f t="shared" ca="1" si="165"/>
        <v>February</v>
      </c>
      <c r="AO359" s="42">
        <f t="shared" ca="1" si="166"/>
        <v>2020</v>
      </c>
      <c r="AP359" s="42">
        <f t="shared" ca="1" si="167"/>
        <v>4</v>
      </c>
      <c r="AQ359" s="26">
        <v>1</v>
      </c>
      <c r="AR359" s="30">
        <f t="shared" ca="1" si="168"/>
        <v>43885</v>
      </c>
      <c r="AS359" s="30" t="str">
        <f t="shared" ca="1" si="169"/>
        <v>BAK335</v>
      </c>
      <c r="AT359" s="26" t="str">
        <f t="shared" ca="1" si="170"/>
        <v>JEEP</v>
      </c>
      <c r="AU359" s="26" t="str">
        <f t="shared" ca="1" si="171"/>
        <v>CHEROKE</v>
      </c>
      <c r="AV359" s="26" t="str">
        <f t="shared" ca="1" si="172"/>
        <v>DE PIEROLA, PIZARRO, ARCE &amp; BARRON ABOGADOS S.A.C.</v>
      </c>
    </row>
    <row r="360" spans="1:48" x14ac:dyDescent="0.2">
      <c r="A360" s="220">
        <v>43777</v>
      </c>
      <c r="B360" s="130" t="s">
        <v>68</v>
      </c>
      <c r="C360" s="130" t="s">
        <v>102</v>
      </c>
      <c r="D360" s="130" t="s">
        <v>1870</v>
      </c>
      <c r="E360" s="130" t="s">
        <v>926</v>
      </c>
      <c r="F360" s="130" t="s">
        <v>927</v>
      </c>
      <c r="G360" s="220">
        <v>43763</v>
      </c>
      <c r="H360" s="130" t="s">
        <v>90</v>
      </c>
      <c r="I360" s="130" t="s">
        <v>91</v>
      </c>
      <c r="J360" s="130" t="s">
        <v>95</v>
      </c>
      <c r="K360" s="130" t="s">
        <v>96</v>
      </c>
      <c r="L360" s="174" t="s">
        <v>71</v>
      </c>
      <c r="M360" s="131" t="s">
        <v>72</v>
      </c>
      <c r="N360" s="130" t="s">
        <v>73</v>
      </c>
      <c r="O360" s="219" t="s">
        <v>69</v>
      </c>
      <c r="P360" s="130" t="s">
        <v>1699</v>
      </c>
      <c r="Q360" s="132" t="s">
        <v>93</v>
      </c>
      <c r="R360" s="218">
        <v>3.3450000000000002</v>
      </c>
      <c r="S360" s="129">
        <v>-1</v>
      </c>
      <c r="T360" s="129">
        <v>100</v>
      </c>
      <c r="U360" s="129">
        <v>-100</v>
      </c>
      <c r="V360" s="129">
        <v>-18</v>
      </c>
      <c r="W360" s="129">
        <v>-118</v>
      </c>
      <c r="X360" s="27">
        <f t="shared" si="143"/>
        <v>-334.5</v>
      </c>
      <c r="Y360" s="29">
        <f ca="1">VLOOKUP(Z360,CHOOSE({2,1},Fac_Fecha,Fac_OT),2,0)</f>
        <v>43889</v>
      </c>
      <c r="Z360" s="26" t="s">
        <v>3181</v>
      </c>
      <c r="AA360" s="28">
        <f t="shared" ca="1" si="173"/>
        <v>686.00002000000006</v>
      </c>
      <c r="AB360" s="28">
        <f ca="1">SUMIF(Salida_OT,Facturacion!Z360,Salida_Suma)</f>
        <v>0</v>
      </c>
      <c r="AC360" s="28">
        <f t="shared" ca="1" si="158"/>
        <v>0</v>
      </c>
      <c r="AD360" s="28">
        <f t="shared" ca="1" si="159"/>
        <v>0</v>
      </c>
      <c r="AE360" s="28">
        <f ca="1">(SUMIF(Asig_OT,Z360,Asig_Hora_Mec))*'Costos x MO'!$B$6*'Costos x MO'!$B$7</f>
        <v>0</v>
      </c>
      <c r="AF360" s="28">
        <f ca="1">SUMIF(Asig_OT,Z360,Asig_Hora_Pla)*'Costos x MO'!$B$4*'Costos x MO'!$B$7</f>
        <v>75.375</v>
      </c>
      <c r="AG360" s="28">
        <f ca="1">SUMIF(Asig_OT,Z360,Asig_paño_Pin)*'Costos x MO'!$B$5*'Costos x MO'!$B$7</f>
        <v>140.70000000000002</v>
      </c>
      <c r="AH360" s="28">
        <f ca="1">(SUMIF(Asig_OT,Z360,Asig_Terc_Pla)*'Costos x MO'!$B$7)+(SUMIF(Asig_OT,Z360,Asig_Terc_Pin)*'Costos x MO'!$B$7)</f>
        <v>0</v>
      </c>
      <c r="AI360" s="28">
        <f t="shared" ca="1" si="160"/>
        <v>216.07500000000002</v>
      </c>
      <c r="AJ360" s="28">
        <f t="shared" ca="1" si="161"/>
        <v>469.92502000000002</v>
      </c>
      <c r="AK360" s="31">
        <f t="shared" ca="1" si="162"/>
        <v>0.68502187507224854</v>
      </c>
      <c r="AL360" s="28" t="str">
        <f t="shared" ca="1" si="163"/>
        <v>RIMAC</v>
      </c>
      <c r="AM360" s="28" t="str">
        <f t="shared" ca="1" si="164"/>
        <v>LEVE</v>
      </c>
      <c r="AN360" s="30" t="str">
        <f t="shared" ca="1" si="165"/>
        <v>February</v>
      </c>
      <c r="AO360" s="42">
        <f t="shared" ca="1" si="166"/>
        <v>2020</v>
      </c>
      <c r="AP360" s="42">
        <f t="shared" ca="1" si="167"/>
        <v>4</v>
      </c>
      <c r="AQ360" s="26">
        <v>1</v>
      </c>
      <c r="AR360" s="30">
        <f t="shared" ca="1" si="168"/>
        <v>43885</v>
      </c>
      <c r="AS360" s="30" t="str">
        <f t="shared" ca="1" si="169"/>
        <v>BAK335</v>
      </c>
      <c r="AT360" s="26" t="str">
        <f t="shared" ca="1" si="170"/>
        <v>JEEP</v>
      </c>
      <c r="AU360" s="26" t="str">
        <f t="shared" ca="1" si="171"/>
        <v>CHEROKE</v>
      </c>
      <c r="AV360" s="26" t="str">
        <f t="shared" ca="1" si="172"/>
        <v>DE PIEROLA, PIZARRO, ARCE &amp; BARRON ABOGADOS S.A.C.</v>
      </c>
    </row>
    <row r="361" spans="1:48" x14ac:dyDescent="0.2">
      <c r="A361" s="220">
        <v>43777</v>
      </c>
      <c r="B361" s="130" t="s">
        <v>68</v>
      </c>
      <c r="C361" s="130" t="s">
        <v>102</v>
      </c>
      <c r="D361" s="130" t="s">
        <v>1870</v>
      </c>
      <c r="E361" s="130" t="s">
        <v>926</v>
      </c>
      <c r="F361" s="130" t="s">
        <v>927</v>
      </c>
      <c r="G361" s="220">
        <v>43763</v>
      </c>
      <c r="H361" s="130" t="s">
        <v>90</v>
      </c>
      <c r="I361" s="130" t="s">
        <v>91</v>
      </c>
      <c r="J361" s="130" t="s">
        <v>104</v>
      </c>
      <c r="K361" s="130" t="s">
        <v>105</v>
      </c>
      <c r="L361" s="174" t="s">
        <v>71</v>
      </c>
      <c r="M361" s="131" t="s">
        <v>72</v>
      </c>
      <c r="N361" s="130" t="s">
        <v>73</v>
      </c>
      <c r="O361" s="219" t="s">
        <v>69</v>
      </c>
      <c r="P361" s="130" t="s">
        <v>1699</v>
      </c>
      <c r="Q361" s="132" t="s">
        <v>93</v>
      </c>
      <c r="R361" s="218">
        <v>3.3450000000000002</v>
      </c>
      <c r="S361" s="129">
        <v>1</v>
      </c>
      <c r="T361" s="129">
        <v>0</v>
      </c>
      <c r="U361" s="129">
        <v>0</v>
      </c>
      <c r="V361" s="129">
        <v>0</v>
      </c>
      <c r="W361" s="129">
        <v>0</v>
      </c>
      <c r="X361" s="27">
        <f t="shared" si="143"/>
        <v>0</v>
      </c>
      <c r="Y361" s="29">
        <f ca="1">VLOOKUP(Z361,CHOOSE({2,1},Fac_Fecha,Fac_OT),2,0)</f>
        <v>43889</v>
      </c>
      <c r="Z361" s="26" t="s">
        <v>3180</v>
      </c>
      <c r="AA361" s="28">
        <f t="shared" ca="1" si="173"/>
        <v>308.70000899999997</v>
      </c>
      <c r="AB361" s="28">
        <f ca="1">SUMIF(Salida_OT,Facturacion!Z361,Salida_Suma)</f>
        <v>0</v>
      </c>
      <c r="AC361" s="28">
        <f t="shared" ca="1" si="158"/>
        <v>0</v>
      </c>
      <c r="AD361" s="28">
        <f t="shared" ca="1" si="159"/>
        <v>0</v>
      </c>
      <c r="AE361" s="28">
        <f ca="1">(SUMIF(Asig_OT,Z361,Asig_Hora_Mec))*'Costos x MO'!$B$6*'Costos x MO'!$B$7</f>
        <v>0</v>
      </c>
      <c r="AF361" s="28">
        <f ca="1">SUMIF(Asig_OT,Z361,Asig_Hora_Pla)*'Costos x MO'!$B$4*'Costos x MO'!$B$7</f>
        <v>30.150000000000002</v>
      </c>
      <c r="AG361" s="28">
        <f ca="1">SUMIF(Asig_OT,Z361,Asig_paño_Pin)*'Costos x MO'!$B$5*'Costos x MO'!$B$7</f>
        <v>70.350000000000009</v>
      </c>
      <c r="AH361" s="28">
        <f ca="1">(SUMIF(Asig_OT,Z361,Asig_Terc_Pla)*'Costos x MO'!$B$7)+(SUMIF(Asig_OT,Z361,Asig_Terc_Pin)*'Costos x MO'!$B$7)</f>
        <v>0</v>
      </c>
      <c r="AI361" s="28">
        <f t="shared" ca="1" si="160"/>
        <v>100.50000000000001</v>
      </c>
      <c r="AJ361" s="28">
        <f t="shared" ca="1" si="161"/>
        <v>208.20000899999997</v>
      </c>
      <c r="AK361" s="31">
        <f t="shared" ca="1" si="162"/>
        <v>0.67444121454495964</v>
      </c>
      <c r="AL361" s="28" t="str">
        <f t="shared" ca="1" si="163"/>
        <v>RIMAC</v>
      </c>
      <c r="AM361" s="28" t="str">
        <f t="shared" ca="1" si="164"/>
        <v>LEVE</v>
      </c>
      <c r="AN361" s="30" t="str">
        <f t="shared" ca="1" si="165"/>
        <v>February</v>
      </c>
      <c r="AO361" s="42">
        <f t="shared" ca="1" si="166"/>
        <v>2020</v>
      </c>
      <c r="AP361" s="42">
        <f t="shared" ca="1" si="167"/>
        <v>4</v>
      </c>
      <c r="AQ361" s="26">
        <v>1</v>
      </c>
      <c r="AR361" s="30">
        <f t="shared" ca="1" si="168"/>
        <v>43885</v>
      </c>
      <c r="AS361" s="30" t="str">
        <f t="shared" ca="1" si="169"/>
        <v>BAK335</v>
      </c>
      <c r="AT361" s="26" t="str">
        <f t="shared" ca="1" si="170"/>
        <v>JEEP</v>
      </c>
      <c r="AU361" s="26" t="str">
        <f t="shared" ca="1" si="171"/>
        <v>CHEROKE</v>
      </c>
      <c r="AV361" s="26" t="str">
        <f t="shared" ca="1" si="172"/>
        <v>DE PIEROLA, PIZARRO, ARCE &amp; BARRON ABOGADOS S.A.C.</v>
      </c>
    </row>
    <row r="362" spans="1:48" x14ac:dyDescent="0.2">
      <c r="A362" s="220">
        <v>43777</v>
      </c>
      <c r="B362" s="130" t="s">
        <v>68</v>
      </c>
      <c r="C362" s="130" t="s">
        <v>102</v>
      </c>
      <c r="D362" s="130" t="s">
        <v>1869</v>
      </c>
      <c r="E362" s="130" t="s">
        <v>1272</v>
      </c>
      <c r="F362" s="130" t="s">
        <v>1868</v>
      </c>
      <c r="G362" s="220">
        <v>43775</v>
      </c>
      <c r="H362" s="130" t="s">
        <v>90</v>
      </c>
      <c r="I362" s="130" t="s">
        <v>91</v>
      </c>
      <c r="J362" s="130" t="s">
        <v>97</v>
      </c>
      <c r="K362" s="130" t="s">
        <v>98</v>
      </c>
      <c r="L362" s="174" t="s">
        <v>71</v>
      </c>
      <c r="M362" s="131" t="s">
        <v>72</v>
      </c>
      <c r="N362" s="130" t="s">
        <v>73</v>
      </c>
      <c r="O362" s="219" t="s">
        <v>99</v>
      </c>
      <c r="P362" s="130" t="s">
        <v>98</v>
      </c>
      <c r="Q362" s="132" t="s">
        <v>93</v>
      </c>
      <c r="R362" s="218">
        <v>3.3450000000000002</v>
      </c>
      <c r="S362" s="129">
        <v>1</v>
      </c>
      <c r="T362" s="129">
        <v>132.75419999999997</v>
      </c>
      <c r="U362" s="129">
        <v>132.75419999999997</v>
      </c>
      <c r="V362" s="129">
        <v>23.895790000000034</v>
      </c>
      <c r="W362" s="129">
        <v>156.64999</v>
      </c>
      <c r="X362" s="27">
        <f t="shared" si="143"/>
        <v>444.06279899999993</v>
      </c>
      <c r="Y362" s="29">
        <f ca="1">VLOOKUP(Z362,CHOOSE({2,1},Fac_Fecha,Fac_OT),2,0)</f>
        <v>43889</v>
      </c>
      <c r="Z362" s="26" t="s">
        <v>3213</v>
      </c>
      <c r="AA362" s="28">
        <f t="shared" ca="1" si="173"/>
        <v>1711.5700498999995</v>
      </c>
      <c r="AB362" s="28">
        <f ca="1">SUMIF(Salida_OT,Facturacion!Z362,Salida_Suma)</f>
        <v>0</v>
      </c>
      <c r="AC362" s="28">
        <f t="shared" ca="1" si="158"/>
        <v>0</v>
      </c>
      <c r="AD362" s="28">
        <f t="shared" ca="1" si="159"/>
        <v>0</v>
      </c>
      <c r="AE362" s="28">
        <f ca="1">(SUMIF(Asig_OT,Z362,Asig_Hora_Mec))*'Costos x MO'!$B$6*'Costos x MO'!$B$7</f>
        <v>0</v>
      </c>
      <c r="AF362" s="28">
        <f ca="1">SUMIF(Asig_OT,Z362,Asig_Hora_Pla)*'Costos x MO'!$B$4*'Costos x MO'!$B$7</f>
        <v>241.20000000000002</v>
      </c>
      <c r="AG362" s="28">
        <f ca="1">SUMIF(Asig_OT,Z362,Asig_paño_Pin)*'Costos x MO'!$B$5*'Costos x MO'!$B$7</f>
        <v>246.22499999999999</v>
      </c>
      <c r="AH362" s="28">
        <f ca="1">(SUMIF(Asig_OT,Z362,Asig_Terc_Pla)*'Costos x MO'!$B$7)+(SUMIF(Asig_OT,Z362,Asig_Terc_Pin)*'Costos x MO'!$B$7)</f>
        <v>0</v>
      </c>
      <c r="AI362" s="28">
        <f t="shared" ca="1" si="160"/>
        <v>487.42500000000001</v>
      </c>
      <c r="AJ362" s="28">
        <f t="shared" ca="1" si="161"/>
        <v>1224.1450498999995</v>
      </c>
      <c r="AK362" s="31">
        <f t="shared" ca="1" si="162"/>
        <v>0.71521761552880736</v>
      </c>
      <c r="AL362" s="28" t="s">
        <v>123</v>
      </c>
      <c r="AM362" s="28" t="str">
        <f t="shared" ca="1" si="164"/>
        <v>GRAVE</v>
      </c>
      <c r="AN362" s="30" t="str">
        <f t="shared" ca="1" si="165"/>
        <v>February</v>
      </c>
      <c r="AO362" s="42">
        <f t="shared" ca="1" si="166"/>
        <v>2020</v>
      </c>
      <c r="AP362" s="42">
        <f t="shared" ca="1" si="167"/>
        <v>9</v>
      </c>
      <c r="AQ362" s="26">
        <v>1</v>
      </c>
      <c r="AR362" s="30">
        <f t="shared" ca="1" si="168"/>
        <v>43880</v>
      </c>
      <c r="AS362" s="30" t="str">
        <f t="shared" ca="1" si="169"/>
        <v>F3Y336</v>
      </c>
      <c r="AT362" s="26" t="s">
        <v>186</v>
      </c>
      <c r="AU362" s="26" t="s">
        <v>188</v>
      </c>
      <c r="AV362" s="26" t="str">
        <f t="shared" ca="1" si="172"/>
        <v>SEVILLA RODRIGUEZ SRL</v>
      </c>
    </row>
    <row r="363" spans="1:48" x14ac:dyDescent="0.2">
      <c r="A363" s="220">
        <v>43777</v>
      </c>
      <c r="B363" s="130" t="s">
        <v>68</v>
      </c>
      <c r="C363" s="130" t="s">
        <v>102</v>
      </c>
      <c r="D363" s="130" t="s">
        <v>1869</v>
      </c>
      <c r="E363" s="130" t="s">
        <v>1272</v>
      </c>
      <c r="F363" s="130" t="s">
        <v>1868</v>
      </c>
      <c r="G363" s="220">
        <v>43775</v>
      </c>
      <c r="H363" s="130" t="s">
        <v>90</v>
      </c>
      <c r="I363" s="130" t="s">
        <v>91</v>
      </c>
      <c r="J363" s="130" t="s">
        <v>100</v>
      </c>
      <c r="K363" s="130" t="s">
        <v>101</v>
      </c>
      <c r="L363" s="174" t="s">
        <v>71</v>
      </c>
      <c r="M363" s="131" t="s">
        <v>72</v>
      </c>
      <c r="N363" s="130" t="s">
        <v>73</v>
      </c>
      <c r="O363" s="219" t="s">
        <v>72</v>
      </c>
      <c r="P363" s="130" t="s">
        <v>101</v>
      </c>
      <c r="Q363" s="132" t="s">
        <v>93</v>
      </c>
      <c r="R363" s="218">
        <v>3.3450000000000002</v>
      </c>
      <c r="S363" s="129">
        <v>1</v>
      </c>
      <c r="T363" s="129">
        <v>135</v>
      </c>
      <c r="U363" s="129">
        <v>135</v>
      </c>
      <c r="V363" s="129">
        <v>24.3</v>
      </c>
      <c r="W363" s="129">
        <v>159.30000000000001</v>
      </c>
      <c r="X363" s="27">
        <f t="shared" si="143"/>
        <v>451.57500000000005</v>
      </c>
      <c r="Y363" s="29">
        <f ca="1">VLOOKUP(Z363,CHOOSE({2,1},Fac_Fecha,Fac_OT),2,0)</f>
        <v>43889</v>
      </c>
      <c r="Z363" s="26" t="s">
        <v>3217</v>
      </c>
      <c r="AA363" s="28">
        <f t="shared" ca="1" si="173"/>
        <v>857.32579128492023</v>
      </c>
      <c r="AB363" s="28">
        <f ca="1">SUMIF(Salida_OT,Facturacion!Z363,Salida_Suma)</f>
        <v>0</v>
      </c>
      <c r="AC363" s="28">
        <f t="shared" ca="1" si="158"/>
        <v>0</v>
      </c>
      <c r="AD363" s="28">
        <f t="shared" ca="1" si="159"/>
        <v>0</v>
      </c>
      <c r="AE363" s="28">
        <f ca="1">(SUMIF(Asig_OT,Z363,Asig_Hora_Mec))*'Costos x MO'!$B$6*'Costos x MO'!$B$7</f>
        <v>0</v>
      </c>
      <c r="AF363" s="28">
        <f ca="1">SUMIF(Asig_OT,Z363,Asig_Hora_Pla)*'Costos x MO'!$B$4*'Costos x MO'!$B$7</f>
        <v>45.225000000000001</v>
      </c>
      <c r="AG363" s="28">
        <f ca="1">SUMIF(Asig_OT,Z363,Asig_paño_Pin)*'Costos x MO'!$B$5*'Costos x MO'!$B$7</f>
        <v>140.70000000000002</v>
      </c>
      <c r="AH363" s="28">
        <f ca="1">(SUMIF(Asig_OT,Z363,Asig_Terc_Pla)*'Costos x MO'!$B$7)+(SUMIF(Asig_OT,Z363,Asig_Terc_Pin)*'Costos x MO'!$B$7)</f>
        <v>0</v>
      </c>
      <c r="AI363" s="28">
        <f t="shared" ca="1" si="160"/>
        <v>185.92500000000001</v>
      </c>
      <c r="AJ363" s="28">
        <f t="shared" ca="1" si="161"/>
        <v>671.40079128492016</v>
      </c>
      <c r="AK363" s="31">
        <f t="shared" ca="1" si="162"/>
        <v>0.78313378427430225</v>
      </c>
      <c r="AL363" s="28" t="str">
        <f t="shared" ca="1" si="163"/>
        <v>C.C</v>
      </c>
      <c r="AM363" s="28" t="str">
        <f t="shared" ca="1" si="164"/>
        <v>LEVE</v>
      </c>
      <c r="AN363" s="30" t="str">
        <f t="shared" ca="1" si="165"/>
        <v>February</v>
      </c>
      <c r="AO363" s="42">
        <f t="shared" ca="1" si="166"/>
        <v>2020</v>
      </c>
      <c r="AP363" s="42">
        <f t="shared" ca="1" si="167"/>
        <v>8</v>
      </c>
      <c r="AQ363" s="26">
        <v>1</v>
      </c>
      <c r="AR363" s="30">
        <f t="shared" ca="1" si="168"/>
        <v>43881</v>
      </c>
      <c r="AS363" s="30" t="str">
        <f t="shared" ca="1" si="169"/>
        <v>F3Y336</v>
      </c>
      <c r="AT363" s="26" t="s">
        <v>186</v>
      </c>
      <c r="AU363" s="26" t="s">
        <v>188</v>
      </c>
      <c r="AV363" s="26" t="str">
        <f t="shared" ca="1" si="172"/>
        <v>SEVILLA RODRIGUEZ SRL</v>
      </c>
    </row>
    <row r="364" spans="1:48" x14ac:dyDescent="0.2">
      <c r="A364" s="220">
        <v>43777</v>
      </c>
      <c r="B364" s="130" t="s">
        <v>68</v>
      </c>
      <c r="C364" s="130" t="s">
        <v>102</v>
      </c>
      <c r="D364" s="130" t="s">
        <v>1869</v>
      </c>
      <c r="E364" s="130" t="s">
        <v>1272</v>
      </c>
      <c r="F364" s="130" t="s">
        <v>1868</v>
      </c>
      <c r="G364" s="220">
        <v>43775</v>
      </c>
      <c r="H364" s="130" t="s">
        <v>90</v>
      </c>
      <c r="I364" s="130" t="s">
        <v>91</v>
      </c>
      <c r="J364" s="130" t="s">
        <v>92</v>
      </c>
      <c r="K364" s="130" t="s">
        <v>113</v>
      </c>
      <c r="L364" s="174" t="s">
        <v>71</v>
      </c>
      <c r="M364" s="131" t="s">
        <v>72</v>
      </c>
      <c r="N364" s="130" t="s">
        <v>73</v>
      </c>
      <c r="O364" s="219" t="s">
        <v>69</v>
      </c>
      <c r="P364" s="130" t="s">
        <v>1699</v>
      </c>
      <c r="Q364" s="132" t="s">
        <v>93</v>
      </c>
      <c r="R364" s="218">
        <v>3.3450000000000002</v>
      </c>
      <c r="S364" s="129">
        <v>1</v>
      </c>
      <c r="T364" s="129">
        <v>35</v>
      </c>
      <c r="U364" s="129">
        <v>35</v>
      </c>
      <c r="V364" s="129">
        <v>6.299998999999989</v>
      </c>
      <c r="W364" s="129">
        <v>41.299998999999985</v>
      </c>
      <c r="X364" s="27">
        <f t="shared" si="143"/>
        <v>117.075</v>
      </c>
      <c r="Y364" s="29">
        <f ca="1">VLOOKUP(Z364,CHOOSE({2,1},Fac_Fecha,Fac_OT),2,0)</f>
        <v>43889</v>
      </c>
      <c r="Z364" s="26" t="s">
        <v>3182</v>
      </c>
      <c r="AA364" s="28">
        <f t="shared" ca="1" si="173"/>
        <v>408.17001189999996</v>
      </c>
      <c r="AB364" s="28">
        <f ca="1">SUMIF(Salida_OT,Facturacion!Z364,Salida_Suma)</f>
        <v>0</v>
      </c>
      <c r="AC364" s="28">
        <f t="shared" ca="1" si="158"/>
        <v>0</v>
      </c>
      <c r="AD364" s="28">
        <f t="shared" ca="1" si="159"/>
        <v>0</v>
      </c>
      <c r="AE364" s="28">
        <f ca="1">(SUMIF(Asig_OT,Z364,Asig_Hora_Mec))*'Costos x MO'!$B$6*'Costos x MO'!$B$7</f>
        <v>0</v>
      </c>
      <c r="AF364" s="28">
        <f ca="1">SUMIF(Asig_OT,Z364,Asig_Hora_Pla)*'Costos x MO'!$B$4*'Costos x MO'!$B$7</f>
        <v>37.6875</v>
      </c>
      <c r="AG364" s="28">
        <f ca="1">SUMIF(Asig_OT,Z364,Asig_paño_Pin)*'Costos x MO'!$B$5*'Costos x MO'!$B$7</f>
        <v>70.350000000000009</v>
      </c>
      <c r="AH364" s="28">
        <f ca="1">(SUMIF(Asig_OT,Z364,Asig_Terc_Pla)*'Costos x MO'!$B$7)+(SUMIF(Asig_OT,Z364,Asig_Terc_Pin)*'Costos x MO'!$B$7)</f>
        <v>0</v>
      </c>
      <c r="AI364" s="28">
        <f t="shared" ca="1" si="160"/>
        <v>108.03750000000001</v>
      </c>
      <c r="AJ364" s="28">
        <f t="shared" ca="1" si="161"/>
        <v>300.13251189999994</v>
      </c>
      <c r="AK364" s="31">
        <f t="shared" ca="1" si="162"/>
        <v>0.73531250006071303</v>
      </c>
      <c r="AL364" s="28" t="str">
        <f t="shared" ca="1" si="163"/>
        <v>RIMAC</v>
      </c>
      <c r="AM364" s="28" t="str">
        <f t="shared" ca="1" si="164"/>
        <v>LEVE</v>
      </c>
      <c r="AN364" s="30" t="str">
        <f t="shared" ca="1" si="165"/>
        <v>February</v>
      </c>
      <c r="AO364" s="42">
        <f t="shared" ca="1" si="166"/>
        <v>2020</v>
      </c>
      <c r="AP364" s="42">
        <f t="shared" ca="1" si="167"/>
        <v>27</v>
      </c>
      <c r="AQ364" s="26">
        <v>1</v>
      </c>
      <c r="AR364" s="30">
        <f t="shared" ca="1" si="168"/>
        <v>43862</v>
      </c>
      <c r="AS364" s="30" t="str">
        <f t="shared" ca="1" si="169"/>
        <v>BBM206</v>
      </c>
      <c r="AT364" s="26" t="str">
        <f t="shared" ca="1" si="170"/>
        <v>HONDA</v>
      </c>
      <c r="AU364" s="26" t="str">
        <f t="shared" ca="1" si="171"/>
        <v>HR-V</v>
      </c>
      <c r="AV364" s="26" t="str">
        <f t="shared" ca="1" si="172"/>
        <v>RIMAC SEGUROS  Y REASEGUROS S.A</v>
      </c>
    </row>
    <row r="365" spans="1:48" x14ac:dyDescent="0.2">
      <c r="A365" s="220">
        <v>43777</v>
      </c>
      <c r="B365" s="130" t="s">
        <v>68</v>
      </c>
      <c r="C365" s="130" t="s">
        <v>102</v>
      </c>
      <c r="D365" s="130" t="s">
        <v>1869</v>
      </c>
      <c r="E365" s="130" t="s">
        <v>1272</v>
      </c>
      <c r="F365" s="130" t="s">
        <v>1868</v>
      </c>
      <c r="G365" s="220">
        <v>43775</v>
      </c>
      <c r="H365" s="130" t="s">
        <v>90</v>
      </c>
      <c r="I365" s="130" t="s">
        <v>91</v>
      </c>
      <c r="J365" s="130" t="s">
        <v>95</v>
      </c>
      <c r="K365" s="130" t="s">
        <v>96</v>
      </c>
      <c r="L365" s="174" t="s">
        <v>71</v>
      </c>
      <c r="M365" s="131" t="s">
        <v>72</v>
      </c>
      <c r="N365" s="130" t="s">
        <v>73</v>
      </c>
      <c r="O365" s="219" t="s">
        <v>69</v>
      </c>
      <c r="P365" s="130" t="s">
        <v>1699</v>
      </c>
      <c r="Q365" s="132" t="s">
        <v>93</v>
      </c>
      <c r="R365" s="218">
        <v>3.3450000000000002</v>
      </c>
      <c r="S365" s="129">
        <v>-1</v>
      </c>
      <c r="T365" s="129">
        <v>100</v>
      </c>
      <c r="U365" s="129">
        <v>-100</v>
      </c>
      <c r="V365" s="129">
        <v>-18</v>
      </c>
      <c r="W365" s="129">
        <v>-118</v>
      </c>
      <c r="X365" s="27">
        <f t="shared" si="143"/>
        <v>-334.5</v>
      </c>
      <c r="Y365" s="29">
        <f ca="1">VLOOKUP(Z365,CHOOSE({2,1},Fac_Fecha,Fac_OT),2,0)</f>
        <v>43889</v>
      </c>
      <c r="Z365" s="26" t="s">
        <v>3163</v>
      </c>
      <c r="AA365" s="28">
        <f t="shared" ca="1" si="173"/>
        <v>3045.8400887999996</v>
      </c>
      <c r="AB365" s="28">
        <f ca="1">SUMIF(Salida_OT,Facturacion!Z365,Salida_Suma)</f>
        <v>0</v>
      </c>
      <c r="AC365" s="28">
        <f t="shared" ca="1" si="158"/>
        <v>0</v>
      </c>
      <c r="AD365" s="28">
        <f t="shared" ca="1" si="159"/>
        <v>0</v>
      </c>
      <c r="AE365" s="28">
        <f ca="1">(SUMIF(Asig_OT,Z365,Asig_Hora_Mec))*'Costos x MO'!$B$6*'Costos x MO'!$B$7</f>
        <v>0</v>
      </c>
      <c r="AF365" s="28">
        <f ca="1">SUMIF(Asig_OT,Z365,Asig_Hora_Pla)*'Costos x MO'!$B$4*'Costos x MO'!$B$7</f>
        <v>120.60000000000001</v>
      </c>
      <c r="AG365" s="28">
        <f ca="1">SUMIF(Asig_OT,Z365,Asig_paño_Pin)*'Costos x MO'!$B$5*'Costos x MO'!$B$7</f>
        <v>844.2</v>
      </c>
      <c r="AH365" s="28">
        <f ca="1">(SUMIF(Asig_OT,Z365,Asig_Terc_Pla)*'Costos x MO'!$B$7)+(SUMIF(Asig_OT,Z365,Asig_Terc_Pin)*'Costos x MO'!$B$7)</f>
        <v>0</v>
      </c>
      <c r="AI365" s="28">
        <f t="shared" ca="1" si="160"/>
        <v>964.80000000000007</v>
      </c>
      <c r="AJ365" s="28">
        <f t="shared" ca="1" si="161"/>
        <v>2081.0400887999995</v>
      </c>
      <c r="AK365" s="31">
        <f t="shared" ca="1" si="162"/>
        <v>0.68324010063833907</v>
      </c>
      <c r="AL365" s="28" t="str">
        <f t="shared" ca="1" si="163"/>
        <v>RIMAC</v>
      </c>
      <c r="AM365" s="28" t="str">
        <f t="shared" ca="1" si="164"/>
        <v>MEDIANO</v>
      </c>
      <c r="AN365" s="30" t="str">
        <f t="shared" ca="1" si="165"/>
        <v>February</v>
      </c>
      <c r="AO365" s="42">
        <f t="shared" ca="1" si="166"/>
        <v>2020</v>
      </c>
      <c r="AP365" s="42">
        <f t="shared" ca="1" si="167"/>
        <v>10</v>
      </c>
      <c r="AQ365" s="26">
        <v>1</v>
      </c>
      <c r="AR365" s="30">
        <f t="shared" ca="1" si="168"/>
        <v>43879</v>
      </c>
      <c r="AS365" s="30" t="str">
        <f t="shared" ca="1" si="169"/>
        <v>AVH107</v>
      </c>
      <c r="AT365" s="26" t="str">
        <f t="shared" ca="1" si="170"/>
        <v>KIA</v>
      </c>
      <c r="AU365" s="26" t="str">
        <f t="shared" ca="1" si="171"/>
        <v>SPORTAGE</v>
      </c>
      <c r="AV365" s="26" t="str">
        <f t="shared" ca="1" si="172"/>
        <v>RIMAC SEGUROS  Y REASEGUROS S.A</v>
      </c>
    </row>
    <row r="366" spans="1:48" x14ac:dyDescent="0.2">
      <c r="A366" s="220">
        <v>43777</v>
      </c>
      <c r="B366" s="130" t="s">
        <v>68</v>
      </c>
      <c r="C366" s="130" t="s">
        <v>102</v>
      </c>
      <c r="D366" s="130" t="s">
        <v>1869</v>
      </c>
      <c r="E366" s="130" t="s">
        <v>1272</v>
      </c>
      <c r="F366" s="130" t="s">
        <v>1868</v>
      </c>
      <c r="G366" s="220">
        <v>43775</v>
      </c>
      <c r="H366" s="130" t="s">
        <v>90</v>
      </c>
      <c r="I366" s="130" t="s">
        <v>91</v>
      </c>
      <c r="J366" s="130" t="s">
        <v>104</v>
      </c>
      <c r="K366" s="130" t="s">
        <v>105</v>
      </c>
      <c r="L366" s="174" t="s">
        <v>71</v>
      </c>
      <c r="M366" s="131" t="s">
        <v>72</v>
      </c>
      <c r="N366" s="130" t="s">
        <v>73</v>
      </c>
      <c r="O366" s="219" t="s">
        <v>69</v>
      </c>
      <c r="P366" s="130" t="s">
        <v>1699</v>
      </c>
      <c r="Q366" s="132" t="s">
        <v>93</v>
      </c>
      <c r="R366" s="218">
        <v>3.3450000000000002</v>
      </c>
      <c r="S366" s="129">
        <v>1</v>
      </c>
      <c r="T366" s="129">
        <v>0</v>
      </c>
      <c r="U366" s="129">
        <v>0</v>
      </c>
      <c r="V366" s="129">
        <v>0</v>
      </c>
      <c r="W366" s="129">
        <v>0</v>
      </c>
      <c r="X366" s="27">
        <f t="shared" si="143"/>
        <v>0</v>
      </c>
      <c r="Y366" s="29">
        <f ca="1">VLOOKUP(Z366,CHOOSE({2,1},Fac_Fecha,Fac_OT),2,0)</f>
        <v>43889</v>
      </c>
      <c r="Z366" s="26" t="s">
        <v>3165</v>
      </c>
      <c r="AA366" s="28">
        <f t="shared" ca="1" si="173"/>
        <v>2689.1200783999993</v>
      </c>
      <c r="AB366" s="28">
        <f ca="1">SUMIF(Salida_OT,Facturacion!Z366,Salida_Suma)</f>
        <v>0</v>
      </c>
      <c r="AC366" s="28">
        <f t="shared" ca="1" si="158"/>
        <v>0</v>
      </c>
      <c r="AD366" s="28">
        <f t="shared" ca="1" si="159"/>
        <v>0</v>
      </c>
      <c r="AE366" s="28">
        <f ca="1">(SUMIF(Asig_OT,Z366,Asig_Hora_Mec))*'Costos x MO'!$B$6*'Costos x MO'!$B$7</f>
        <v>0</v>
      </c>
      <c r="AF366" s="28">
        <f ca="1">SUMIF(Asig_OT,Z366,Asig_Hora_Pla)*'Costos x MO'!$B$4*'Costos x MO'!$B$7</f>
        <v>165.82500000000002</v>
      </c>
      <c r="AG366" s="28">
        <f ca="1">SUMIF(Asig_OT,Z366,Asig_paño_Pin)*'Costos x MO'!$B$5*'Costos x MO'!$B$7</f>
        <v>422.1</v>
      </c>
      <c r="AH366" s="28">
        <f ca="1">(SUMIF(Asig_OT,Z366,Asig_Terc_Pla)*'Costos x MO'!$B$7)+(SUMIF(Asig_OT,Z366,Asig_Terc_Pin)*'Costos x MO'!$B$7)</f>
        <v>0</v>
      </c>
      <c r="AI366" s="28">
        <f t="shared" ca="1" si="160"/>
        <v>587.92500000000007</v>
      </c>
      <c r="AJ366" s="28">
        <f t="shared" ca="1" si="161"/>
        <v>2101.1950783999991</v>
      </c>
      <c r="AK366" s="31">
        <f t="shared" ca="1" si="162"/>
        <v>0.78136900441061374</v>
      </c>
      <c r="AL366" s="28" t="str">
        <f t="shared" ca="1" si="163"/>
        <v>RIMAC</v>
      </c>
      <c r="AM366" s="28" t="str">
        <f t="shared" ca="1" si="164"/>
        <v>GRAVE</v>
      </c>
      <c r="AN366" s="30" t="str">
        <f t="shared" ca="1" si="165"/>
        <v>February</v>
      </c>
      <c r="AO366" s="42">
        <f t="shared" ca="1" si="166"/>
        <v>2020</v>
      </c>
      <c r="AP366" s="42">
        <f t="shared" ca="1" si="167"/>
        <v>10</v>
      </c>
      <c r="AQ366" s="26">
        <v>1</v>
      </c>
      <c r="AR366" s="30">
        <f t="shared" ca="1" si="168"/>
        <v>43879</v>
      </c>
      <c r="AS366" s="30" t="str">
        <f t="shared" ca="1" si="169"/>
        <v>ACW155</v>
      </c>
      <c r="AT366" s="26" t="str">
        <f t="shared" ca="1" si="170"/>
        <v>CHEVROLET</v>
      </c>
      <c r="AU366" s="26" t="str">
        <f t="shared" ca="1" si="171"/>
        <v>SPARK</v>
      </c>
      <c r="AV366" s="26" t="str">
        <f t="shared" ca="1" si="172"/>
        <v>RIMAC SEGUROS  Y REASEGUROS S.A</v>
      </c>
    </row>
    <row r="367" spans="1:48" x14ac:dyDescent="0.2">
      <c r="A367" s="220">
        <v>43778</v>
      </c>
      <c r="B367" s="130" t="s">
        <v>68</v>
      </c>
      <c r="C367" s="130" t="s">
        <v>102</v>
      </c>
      <c r="D367" s="130" t="s">
        <v>1867</v>
      </c>
      <c r="E367" s="130" t="s">
        <v>865</v>
      </c>
      <c r="F367" s="130" t="s">
        <v>1002</v>
      </c>
      <c r="G367" s="220">
        <v>43762</v>
      </c>
      <c r="H367" s="130" t="s">
        <v>387</v>
      </c>
      <c r="I367" s="130" t="s">
        <v>386</v>
      </c>
      <c r="J367" s="130" t="s">
        <v>97</v>
      </c>
      <c r="K367" s="130" t="s">
        <v>98</v>
      </c>
      <c r="L367" s="174" t="s">
        <v>71</v>
      </c>
      <c r="M367" s="131" t="s">
        <v>72</v>
      </c>
      <c r="N367" s="130" t="s">
        <v>73</v>
      </c>
      <c r="O367" s="219" t="s">
        <v>99</v>
      </c>
      <c r="P367" s="130" t="s">
        <v>98</v>
      </c>
      <c r="Q367" s="132" t="s">
        <v>74</v>
      </c>
      <c r="R367" s="218">
        <v>3.3529998999999999</v>
      </c>
      <c r="S367" s="129">
        <v>1</v>
      </c>
      <c r="T367" s="129">
        <v>2396.2542000000003</v>
      </c>
      <c r="U367" s="129">
        <v>2396.2542000000003</v>
      </c>
      <c r="V367" s="129">
        <v>431.32589999999999</v>
      </c>
      <c r="W367" s="129">
        <v>2827.5801000000001</v>
      </c>
      <c r="X367" s="27">
        <f t="shared" si="143"/>
        <v>2396.2542000000003</v>
      </c>
      <c r="Y367" s="29">
        <f ca="1">VLOOKUP(Z367,CHOOSE({2,1},Fac_Fecha,Fac_OT),2,0)</f>
        <v>43889</v>
      </c>
      <c r="Z367" s="26" t="s">
        <v>3161</v>
      </c>
      <c r="AA367" s="28">
        <f t="shared" ca="1" si="173"/>
        <v>290.67809218457967</v>
      </c>
      <c r="AB367" s="28">
        <f ca="1">SUMIF(Salida_OT,Facturacion!Z367,Salida_Suma)</f>
        <v>0</v>
      </c>
      <c r="AC367" s="28">
        <f t="shared" ca="1" si="158"/>
        <v>0</v>
      </c>
      <c r="AD367" s="28">
        <f t="shared" ca="1" si="159"/>
        <v>0</v>
      </c>
      <c r="AE367" s="28">
        <f ca="1">(SUMIF(Asig_OT,Z367,Asig_Hora_Mec))*'Costos x MO'!$B$6*'Costos x MO'!$B$7</f>
        <v>0</v>
      </c>
      <c r="AF367" s="28">
        <f ca="1">SUMIF(Asig_OT,Z367,Asig_Hora_Pla)*'Costos x MO'!$B$4*'Costos x MO'!$B$7</f>
        <v>0</v>
      </c>
      <c r="AG367" s="28">
        <f ca="1">SUMIF(Asig_OT,Z367,Asig_paño_Pin)*'Costos x MO'!$B$5*'Costos x MO'!$B$7</f>
        <v>70.350000000000009</v>
      </c>
      <c r="AH367" s="28">
        <f ca="1">(SUMIF(Asig_OT,Z367,Asig_Terc_Pla)*'Costos x MO'!$B$7)+(SUMIF(Asig_OT,Z367,Asig_Terc_Pin)*'Costos x MO'!$B$7)</f>
        <v>0</v>
      </c>
      <c r="AI367" s="28">
        <f t="shared" ca="1" si="160"/>
        <v>70.350000000000009</v>
      </c>
      <c r="AJ367" s="28">
        <f t="shared" ca="1" si="161"/>
        <v>220.32809218457965</v>
      </c>
      <c r="AK367" s="31">
        <f t="shared" ca="1" si="162"/>
        <v>0.75797969681413768</v>
      </c>
      <c r="AL367" s="28" t="str">
        <f t="shared" ca="1" si="163"/>
        <v>C.C</v>
      </c>
      <c r="AM367" s="28" t="str">
        <f t="shared" ca="1" si="164"/>
        <v>LEVE</v>
      </c>
      <c r="AN367" s="30" t="str">
        <f t="shared" ca="1" si="165"/>
        <v>February</v>
      </c>
      <c r="AO367" s="42">
        <f t="shared" ca="1" si="166"/>
        <v>2020</v>
      </c>
      <c r="AP367" s="42">
        <f t="shared" ca="1" si="167"/>
        <v>3</v>
      </c>
      <c r="AQ367" s="26">
        <v>1</v>
      </c>
      <c r="AR367" s="30">
        <f t="shared" ca="1" si="168"/>
        <v>43886</v>
      </c>
      <c r="AS367" s="30" t="str">
        <f t="shared" ca="1" si="169"/>
        <v>BBM206</v>
      </c>
      <c r="AT367" s="26" t="str">
        <f t="shared" ca="1" si="170"/>
        <v>HONDA</v>
      </c>
      <c r="AU367" s="26" t="str">
        <f t="shared" ca="1" si="171"/>
        <v>HR-V</v>
      </c>
      <c r="AV367" s="26" t="str">
        <f t="shared" ca="1" si="172"/>
        <v>NANCY DOMINGUEZ RODRIGUEZ</v>
      </c>
    </row>
    <row r="368" spans="1:48" x14ac:dyDescent="0.2">
      <c r="A368" s="220">
        <v>43778</v>
      </c>
      <c r="B368" s="130" t="s">
        <v>68</v>
      </c>
      <c r="C368" s="130" t="s">
        <v>102</v>
      </c>
      <c r="D368" s="130" t="s">
        <v>1867</v>
      </c>
      <c r="E368" s="130" t="s">
        <v>865</v>
      </c>
      <c r="F368" s="130" t="s">
        <v>1002</v>
      </c>
      <c r="G368" s="220">
        <v>43762</v>
      </c>
      <c r="H368" s="130" t="s">
        <v>387</v>
      </c>
      <c r="I368" s="130" t="s">
        <v>386</v>
      </c>
      <c r="J368" s="130" t="s">
        <v>100</v>
      </c>
      <c r="K368" s="130" t="s">
        <v>101</v>
      </c>
      <c r="L368" s="174" t="s">
        <v>71</v>
      </c>
      <c r="M368" s="131" t="s">
        <v>72</v>
      </c>
      <c r="N368" s="130" t="s">
        <v>73</v>
      </c>
      <c r="O368" s="219" t="s">
        <v>72</v>
      </c>
      <c r="P368" s="130" t="s">
        <v>101</v>
      </c>
      <c r="Q368" s="132" t="s">
        <v>74</v>
      </c>
      <c r="R368" s="218">
        <v>3.3529998999999999</v>
      </c>
      <c r="S368" s="129">
        <v>1</v>
      </c>
      <c r="T368" s="129">
        <v>1575</v>
      </c>
      <c r="U368" s="129">
        <v>1575</v>
      </c>
      <c r="V368" s="129">
        <v>283.5</v>
      </c>
      <c r="W368" s="129">
        <v>1858.5</v>
      </c>
      <c r="X368" s="27">
        <f t="shared" si="143"/>
        <v>1575</v>
      </c>
    </row>
    <row r="369" spans="1:24" x14ac:dyDescent="0.2">
      <c r="A369" s="220">
        <v>43778</v>
      </c>
      <c r="B369" s="130" t="s">
        <v>68</v>
      </c>
      <c r="C369" s="130" t="s">
        <v>102</v>
      </c>
      <c r="D369" s="130" t="s">
        <v>1867</v>
      </c>
      <c r="E369" s="130" t="s">
        <v>865</v>
      </c>
      <c r="F369" s="130" t="s">
        <v>1002</v>
      </c>
      <c r="G369" s="220">
        <v>43762</v>
      </c>
      <c r="H369" s="130" t="s">
        <v>387</v>
      </c>
      <c r="I369" s="130" t="s">
        <v>386</v>
      </c>
      <c r="J369" s="130" t="s">
        <v>92</v>
      </c>
      <c r="K369" s="130" t="s">
        <v>113</v>
      </c>
      <c r="L369" s="174" t="s">
        <v>71</v>
      </c>
      <c r="M369" s="131" t="s">
        <v>72</v>
      </c>
      <c r="N369" s="130" t="s">
        <v>73</v>
      </c>
      <c r="O369" s="219" t="s">
        <v>69</v>
      </c>
      <c r="P369" s="130" t="s">
        <v>1699</v>
      </c>
      <c r="Q369" s="132" t="s">
        <v>74</v>
      </c>
      <c r="R369" s="218">
        <v>3.3529998999999999</v>
      </c>
      <c r="S369" s="129">
        <v>1</v>
      </c>
      <c r="T369" s="129">
        <v>850</v>
      </c>
      <c r="U369" s="129">
        <v>850</v>
      </c>
      <c r="V369" s="129">
        <v>153</v>
      </c>
      <c r="W369" s="129">
        <v>1003</v>
      </c>
      <c r="X369" s="27">
        <f t="shared" si="143"/>
        <v>850</v>
      </c>
    </row>
    <row r="370" spans="1:24" x14ac:dyDescent="0.2">
      <c r="A370" s="220">
        <v>43778</v>
      </c>
      <c r="B370" s="130" t="s">
        <v>68</v>
      </c>
      <c r="C370" s="130" t="s">
        <v>102</v>
      </c>
      <c r="D370" s="130" t="s">
        <v>1867</v>
      </c>
      <c r="E370" s="130" t="s">
        <v>865</v>
      </c>
      <c r="F370" s="130" t="s">
        <v>1002</v>
      </c>
      <c r="G370" s="220">
        <v>43762</v>
      </c>
      <c r="H370" s="130" t="s">
        <v>387</v>
      </c>
      <c r="I370" s="130" t="s">
        <v>386</v>
      </c>
      <c r="J370" s="130" t="s">
        <v>70</v>
      </c>
      <c r="K370" s="130" t="s">
        <v>112</v>
      </c>
      <c r="L370" s="174" t="s">
        <v>71</v>
      </c>
      <c r="M370" s="131" t="s">
        <v>72</v>
      </c>
      <c r="N370" s="130" t="s">
        <v>73</v>
      </c>
      <c r="O370" s="219" t="s">
        <v>69</v>
      </c>
      <c r="P370" s="130" t="s">
        <v>1699</v>
      </c>
      <c r="Q370" s="132" t="s">
        <v>74</v>
      </c>
      <c r="R370" s="218">
        <v>3.3529998999999999</v>
      </c>
      <c r="S370" s="129">
        <v>1</v>
      </c>
      <c r="T370" s="129">
        <v>568.75420999999994</v>
      </c>
      <c r="U370" s="129">
        <v>568.75420999999994</v>
      </c>
      <c r="V370" s="129">
        <v>102.37579000000005</v>
      </c>
      <c r="W370" s="129">
        <v>671.13</v>
      </c>
      <c r="X370" s="27">
        <f t="shared" si="143"/>
        <v>568.75420999999994</v>
      </c>
    </row>
    <row r="371" spans="1:24" x14ac:dyDescent="0.2">
      <c r="A371" s="220">
        <v>43778</v>
      </c>
      <c r="B371" s="130" t="s">
        <v>68</v>
      </c>
      <c r="C371" s="130" t="s">
        <v>102</v>
      </c>
      <c r="D371" s="130" t="s">
        <v>1867</v>
      </c>
      <c r="E371" s="130" t="s">
        <v>865</v>
      </c>
      <c r="F371" s="130" t="s">
        <v>1002</v>
      </c>
      <c r="G371" s="220">
        <v>43762</v>
      </c>
      <c r="H371" s="130" t="s">
        <v>387</v>
      </c>
      <c r="I371" s="130" t="s">
        <v>386</v>
      </c>
      <c r="J371" s="130" t="s">
        <v>104</v>
      </c>
      <c r="K371" s="130" t="s">
        <v>105</v>
      </c>
      <c r="L371" s="174" t="s">
        <v>71</v>
      </c>
      <c r="M371" s="131" t="s">
        <v>72</v>
      </c>
      <c r="N371" s="130" t="s">
        <v>73</v>
      </c>
      <c r="O371" s="219" t="s">
        <v>69</v>
      </c>
      <c r="P371" s="130" t="s">
        <v>1699</v>
      </c>
      <c r="Q371" s="132" t="s">
        <v>74</v>
      </c>
      <c r="R371" s="218">
        <v>3.3529998999999999</v>
      </c>
      <c r="S371" s="129">
        <v>1</v>
      </c>
      <c r="T371" s="129">
        <v>3263</v>
      </c>
      <c r="U371" s="129">
        <v>3263</v>
      </c>
      <c r="V371" s="129">
        <v>587.34010000000012</v>
      </c>
      <c r="W371" s="129">
        <v>3850.3400999999999</v>
      </c>
      <c r="X371" s="27">
        <f t="shared" si="143"/>
        <v>3263</v>
      </c>
    </row>
    <row r="372" spans="1:24" x14ac:dyDescent="0.2">
      <c r="A372" s="220">
        <v>43778</v>
      </c>
      <c r="B372" s="130" t="s">
        <v>68</v>
      </c>
      <c r="C372" s="130" t="s">
        <v>102</v>
      </c>
      <c r="D372" s="130" t="s">
        <v>630</v>
      </c>
      <c r="E372" s="130" t="s">
        <v>888</v>
      </c>
      <c r="F372" s="130" t="s">
        <v>1864</v>
      </c>
      <c r="G372" s="220">
        <v>43764</v>
      </c>
      <c r="H372" s="130" t="s">
        <v>90</v>
      </c>
      <c r="I372" s="130" t="s">
        <v>91</v>
      </c>
      <c r="J372" s="130" t="s">
        <v>97</v>
      </c>
      <c r="K372" s="130" t="s">
        <v>98</v>
      </c>
      <c r="L372" s="174" t="s">
        <v>71</v>
      </c>
      <c r="M372" s="131" t="s">
        <v>72</v>
      </c>
      <c r="N372" s="130" t="s">
        <v>73</v>
      </c>
      <c r="O372" s="219" t="s">
        <v>99</v>
      </c>
      <c r="P372" s="130" t="s">
        <v>98</v>
      </c>
      <c r="Q372" s="132" t="s">
        <v>93</v>
      </c>
      <c r="R372" s="218">
        <v>3.3529998999999999</v>
      </c>
      <c r="S372" s="129">
        <v>1</v>
      </c>
      <c r="T372" s="129">
        <v>59</v>
      </c>
      <c r="U372" s="129">
        <v>59</v>
      </c>
      <c r="V372" s="129">
        <v>10.620002999999997</v>
      </c>
      <c r="W372" s="129">
        <v>69.620002999999997</v>
      </c>
      <c r="X372" s="27">
        <f t="shared" si="143"/>
        <v>197.82699410000001</v>
      </c>
    </row>
    <row r="373" spans="1:24" x14ac:dyDescent="0.2">
      <c r="A373" s="220">
        <v>43778</v>
      </c>
      <c r="B373" s="130" t="s">
        <v>68</v>
      </c>
      <c r="C373" s="130" t="s">
        <v>102</v>
      </c>
      <c r="D373" s="130" t="s">
        <v>630</v>
      </c>
      <c r="E373" s="130" t="s">
        <v>888</v>
      </c>
      <c r="F373" s="130" t="s">
        <v>1864</v>
      </c>
      <c r="G373" s="220">
        <v>43764</v>
      </c>
      <c r="H373" s="130" t="s">
        <v>90</v>
      </c>
      <c r="I373" s="130" t="s">
        <v>91</v>
      </c>
      <c r="J373" s="130" t="s">
        <v>100</v>
      </c>
      <c r="K373" s="130" t="s">
        <v>101</v>
      </c>
      <c r="L373" s="174" t="s">
        <v>71</v>
      </c>
      <c r="M373" s="131" t="s">
        <v>72</v>
      </c>
      <c r="N373" s="130" t="s">
        <v>73</v>
      </c>
      <c r="O373" s="219" t="s">
        <v>72</v>
      </c>
      <c r="P373" s="130" t="s">
        <v>101</v>
      </c>
      <c r="Q373" s="132" t="s">
        <v>93</v>
      </c>
      <c r="R373" s="218">
        <v>3.3529998999999999</v>
      </c>
      <c r="S373" s="129">
        <v>1</v>
      </c>
      <c r="T373" s="129">
        <v>30</v>
      </c>
      <c r="U373" s="129">
        <v>30</v>
      </c>
      <c r="V373" s="129">
        <v>5.4000019999999997</v>
      </c>
      <c r="W373" s="129">
        <v>35.400002000000001</v>
      </c>
      <c r="X373" s="27">
        <f t="shared" si="143"/>
        <v>100.589997</v>
      </c>
    </row>
    <row r="374" spans="1:24" x14ac:dyDescent="0.2">
      <c r="A374" s="220">
        <v>43778</v>
      </c>
      <c r="B374" s="130" t="s">
        <v>68</v>
      </c>
      <c r="C374" s="130" t="s">
        <v>102</v>
      </c>
      <c r="D374" s="130" t="s">
        <v>630</v>
      </c>
      <c r="E374" s="130" t="s">
        <v>888</v>
      </c>
      <c r="F374" s="130" t="s">
        <v>1864</v>
      </c>
      <c r="G374" s="220">
        <v>43764</v>
      </c>
      <c r="H374" s="130" t="s">
        <v>90</v>
      </c>
      <c r="I374" s="130" t="s">
        <v>91</v>
      </c>
      <c r="J374" s="130" t="s">
        <v>104</v>
      </c>
      <c r="K374" s="130" t="s">
        <v>105</v>
      </c>
      <c r="L374" s="174" t="s">
        <v>71</v>
      </c>
      <c r="M374" s="131" t="s">
        <v>72</v>
      </c>
      <c r="N374" s="130" t="s">
        <v>73</v>
      </c>
      <c r="O374" s="219" t="s">
        <v>69</v>
      </c>
      <c r="P374" s="130" t="s">
        <v>1699</v>
      </c>
      <c r="Q374" s="132" t="s">
        <v>93</v>
      </c>
      <c r="R374" s="218">
        <v>3.3529998999999999</v>
      </c>
      <c r="S374" s="129">
        <v>1</v>
      </c>
      <c r="T374" s="129">
        <v>0</v>
      </c>
      <c r="U374" s="129">
        <v>0</v>
      </c>
      <c r="V374" s="129">
        <v>0</v>
      </c>
      <c r="W374" s="129">
        <v>0</v>
      </c>
      <c r="X374" s="27">
        <f t="shared" si="143"/>
        <v>0</v>
      </c>
    </row>
    <row r="375" spans="1:24" x14ac:dyDescent="0.2">
      <c r="A375" s="220">
        <v>43778</v>
      </c>
      <c r="B375" s="130" t="s">
        <v>68</v>
      </c>
      <c r="C375" s="130" t="s">
        <v>102</v>
      </c>
      <c r="D375" s="130" t="s">
        <v>1866</v>
      </c>
      <c r="E375" s="130" t="s">
        <v>1865</v>
      </c>
      <c r="F375" s="130" t="s">
        <v>1864</v>
      </c>
      <c r="G375" s="220">
        <v>43773</v>
      </c>
      <c r="H375" s="130" t="s">
        <v>557</v>
      </c>
      <c r="I375" s="130" t="s">
        <v>556</v>
      </c>
      <c r="J375" s="130" t="s">
        <v>97</v>
      </c>
      <c r="K375" s="130" t="s">
        <v>98</v>
      </c>
      <c r="L375" s="174" t="s">
        <v>71</v>
      </c>
      <c r="M375" s="131" t="s">
        <v>72</v>
      </c>
      <c r="N375" s="130" t="s">
        <v>73</v>
      </c>
      <c r="O375" s="219" t="s">
        <v>99</v>
      </c>
      <c r="P375" s="130" t="s">
        <v>98</v>
      </c>
      <c r="Q375" s="132" t="s">
        <v>93</v>
      </c>
      <c r="R375" s="218">
        <v>3.3529998999999999</v>
      </c>
      <c r="S375" s="129">
        <v>1</v>
      </c>
      <c r="T375" s="129">
        <v>14.754200000000001</v>
      </c>
      <c r="U375" s="129">
        <v>14.754200000000001</v>
      </c>
      <c r="V375" s="129">
        <v>2.6557999999999993</v>
      </c>
      <c r="W375" s="129">
        <v>17.41</v>
      </c>
      <c r="X375" s="27">
        <f t="shared" si="143"/>
        <v>49.470831124580002</v>
      </c>
    </row>
    <row r="376" spans="1:24" x14ac:dyDescent="0.2">
      <c r="A376" s="220">
        <v>43778</v>
      </c>
      <c r="B376" s="130" t="s">
        <v>68</v>
      </c>
      <c r="C376" s="130" t="s">
        <v>102</v>
      </c>
      <c r="D376" s="130" t="s">
        <v>1866</v>
      </c>
      <c r="E376" s="130" t="s">
        <v>1865</v>
      </c>
      <c r="F376" s="130" t="s">
        <v>1864</v>
      </c>
      <c r="G376" s="220">
        <v>43773</v>
      </c>
      <c r="H376" s="130" t="s">
        <v>557</v>
      </c>
      <c r="I376" s="130" t="s">
        <v>556</v>
      </c>
      <c r="J376" s="130" t="s">
        <v>100</v>
      </c>
      <c r="K376" s="130" t="s">
        <v>101</v>
      </c>
      <c r="L376" s="174" t="s">
        <v>71</v>
      </c>
      <c r="M376" s="131" t="s">
        <v>72</v>
      </c>
      <c r="N376" s="130" t="s">
        <v>73</v>
      </c>
      <c r="O376" s="219" t="s">
        <v>72</v>
      </c>
      <c r="P376" s="130" t="s">
        <v>101</v>
      </c>
      <c r="Q376" s="132" t="s">
        <v>93</v>
      </c>
      <c r="R376" s="218">
        <v>3.3529998999999999</v>
      </c>
      <c r="S376" s="129">
        <v>1</v>
      </c>
      <c r="T376" s="129">
        <v>15</v>
      </c>
      <c r="U376" s="129">
        <v>15</v>
      </c>
      <c r="V376" s="129">
        <v>2.7000009999999999</v>
      </c>
      <c r="W376" s="129">
        <v>17.700001</v>
      </c>
      <c r="X376" s="27">
        <f t="shared" si="143"/>
        <v>50.294998499999998</v>
      </c>
    </row>
    <row r="377" spans="1:24" x14ac:dyDescent="0.2">
      <c r="A377" s="220">
        <v>43778</v>
      </c>
      <c r="B377" s="130" t="s">
        <v>68</v>
      </c>
      <c r="C377" s="130" t="s">
        <v>102</v>
      </c>
      <c r="D377" s="130" t="s">
        <v>1866</v>
      </c>
      <c r="E377" s="130" t="s">
        <v>1865</v>
      </c>
      <c r="F377" s="130" t="s">
        <v>1864</v>
      </c>
      <c r="G377" s="220">
        <v>43773</v>
      </c>
      <c r="H377" s="130" t="s">
        <v>557</v>
      </c>
      <c r="I377" s="130" t="s">
        <v>556</v>
      </c>
      <c r="J377" s="130" t="s">
        <v>104</v>
      </c>
      <c r="K377" s="130" t="s">
        <v>105</v>
      </c>
      <c r="L377" s="174" t="s">
        <v>71</v>
      </c>
      <c r="M377" s="131" t="s">
        <v>72</v>
      </c>
      <c r="N377" s="130" t="s">
        <v>73</v>
      </c>
      <c r="O377" s="219" t="s">
        <v>69</v>
      </c>
      <c r="P377" s="130" t="s">
        <v>1699</v>
      </c>
      <c r="Q377" s="132" t="s">
        <v>93</v>
      </c>
      <c r="R377" s="218">
        <v>3.3529998999999999</v>
      </c>
      <c r="S377" s="129">
        <v>1</v>
      </c>
      <c r="T377" s="129">
        <v>35</v>
      </c>
      <c r="U377" s="129">
        <v>35</v>
      </c>
      <c r="V377" s="129">
        <v>6.299998999999989</v>
      </c>
      <c r="W377" s="129">
        <v>41.299998999999985</v>
      </c>
      <c r="X377" s="27">
        <f t="shared" si="143"/>
        <v>117.3549965</v>
      </c>
    </row>
    <row r="378" spans="1:24" x14ac:dyDescent="0.2">
      <c r="A378" s="220">
        <v>43780</v>
      </c>
      <c r="B378" s="130" t="s">
        <v>68</v>
      </c>
      <c r="C378" s="130" t="s">
        <v>102</v>
      </c>
      <c r="D378" s="130" t="s">
        <v>1863</v>
      </c>
      <c r="E378" s="130" t="s">
        <v>894</v>
      </c>
      <c r="F378" s="130" t="s">
        <v>1861</v>
      </c>
      <c r="G378" s="220">
        <v>43766</v>
      </c>
      <c r="H378" s="130" t="s">
        <v>557</v>
      </c>
      <c r="I378" s="130" t="s">
        <v>556</v>
      </c>
      <c r="J378" s="130" t="s">
        <v>95</v>
      </c>
      <c r="K378" s="130" t="s">
        <v>96</v>
      </c>
      <c r="L378" s="174" t="s">
        <v>71</v>
      </c>
      <c r="M378" s="131" t="s">
        <v>72</v>
      </c>
      <c r="N378" s="130" t="s">
        <v>73</v>
      </c>
      <c r="O378" s="219" t="s">
        <v>69</v>
      </c>
      <c r="P378" s="130" t="s">
        <v>1699</v>
      </c>
      <c r="Q378" s="132" t="s">
        <v>93</v>
      </c>
      <c r="R378" s="218">
        <v>3.3529998999999999</v>
      </c>
      <c r="S378" s="129">
        <v>1</v>
      </c>
      <c r="T378" s="129">
        <v>100</v>
      </c>
      <c r="U378" s="129">
        <v>100</v>
      </c>
      <c r="V378" s="129">
        <v>18</v>
      </c>
      <c r="W378" s="129">
        <v>118</v>
      </c>
      <c r="X378" s="27">
        <f t="shared" si="143"/>
        <v>335.29998999999998</v>
      </c>
    </row>
    <row r="379" spans="1:24" x14ac:dyDescent="0.2">
      <c r="A379" s="220">
        <v>43780</v>
      </c>
      <c r="B379" s="130" t="s">
        <v>68</v>
      </c>
      <c r="C379" s="130" t="s">
        <v>102</v>
      </c>
      <c r="D379" s="130" t="s">
        <v>1862</v>
      </c>
      <c r="E379" s="130" t="s">
        <v>894</v>
      </c>
      <c r="F379" s="130" t="s">
        <v>1861</v>
      </c>
      <c r="G379" s="220">
        <v>43766</v>
      </c>
      <c r="H379" s="130" t="s">
        <v>90</v>
      </c>
      <c r="I379" s="130" t="s">
        <v>91</v>
      </c>
      <c r="J379" s="130" t="s">
        <v>97</v>
      </c>
      <c r="K379" s="130" t="s">
        <v>98</v>
      </c>
      <c r="L379" s="174" t="s">
        <v>71</v>
      </c>
      <c r="M379" s="131" t="s">
        <v>72</v>
      </c>
      <c r="N379" s="130" t="s">
        <v>73</v>
      </c>
      <c r="O379" s="219" t="s">
        <v>99</v>
      </c>
      <c r="P379" s="130" t="s">
        <v>98</v>
      </c>
      <c r="Q379" s="132" t="s">
        <v>93</v>
      </c>
      <c r="R379" s="218">
        <v>3.3529998999999999</v>
      </c>
      <c r="S379" s="129">
        <v>1</v>
      </c>
      <c r="T379" s="129">
        <v>147.5</v>
      </c>
      <c r="U379" s="129">
        <v>147.5</v>
      </c>
      <c r="V379" s="129">
        <v>26.55</v>
      </c>
      <c r="W379" s="129">
        <v>174.05</v>
      </c>
      <c r="X379" s="27">
        <f t="shared" si="143"/>
        <v>494.56748525</v>
      </c>
    </row>
    <row r="380" spans="1:24" x14ac:dyDescent="0.2">
      <c r="A380" s="220">
        <v>43780</v>
      </c>
      <c r="B380" s="130" t="s">
        <v>68</v>
      </c>
      <c r="C380" s="130" t="s">
        <v>102</v>
      </c>
      <c r="D380" s="130" t="s">
        <v>1862</v>
      </c>
      <c r="E380" s="130" t="s">
        <v>894</v>
      </c>
      <c r="F380" s="130" t="s">
        <v>1861</v>
      </c>
      <c r="G380" s="220">
        <v>43766</v>
      </c>
      <c r="H380" s="130" t="s">
        <v>90</v>
      </c>
      <c r="I380" s="130" t="s">
        <v>91</v>
      </c>
      <c r="J380" s="130" t="s">
        <v>100</v>
      </c>
      <c r="K380" s="130" t="s">
        <v>101</v>
      </c>
      <c r="L380" s="174" t="s">
        <v>71</v>
      </c>
      <c r="M380" s="131" t="s">
        <v>72</v>
      </c>
      <c r="N380" s="130" t="s">
        <v>73</v>
      </c>
      <c r="O380" s="219" t="s">
        <v>72</v>
      </c>
      <c r="P380" s="130" t="s">
        <v>101</v>
      </c>
      <c r="Q380" s="132" t="s">
        <v>93</v>
      </c>
      <c r="R380" s="218">
        <v>3.3529998999999999</v>
      </c>
      <c r="S380" s="129">
        <v>1</v>
      </c>
      <c r="T380" s="129">
        <v>90</v>
      </c>
      <c r="U380" s="129">
        <v>90</v>
      </c>
      <c r="V380" s="129">
        <v>16.2</v>
      </c>
      <c r="W380" s="129">
        <v>106.2</v>
      </c>
      <c r="X380" s="27">
        <f t="shared" si="143"/>
        <v>301.769991</v>
      </c>
    </row>
    <row r="381" spans="1:24" x14ac:dyDescent="0.2">
      <c r="A381" s="220">
        <v>43780</v>
      </c>
      <c r="B381" s="130" t="s">
        <v>68</v>
      </c>
      <c r="C381" s="130" t="s">
        <v>102</v>
      </c>
      <c r="D381" s="130" t="s">
        <v>1862</v>
      </c>
      <c r="E381" s="130" t="s">
        <v>894</v>
      </c>
      <c r="F381" s="130" t="s">
        <v>1861</v>
      </c>
      <c r="G381" s="220">
        <v>43766</v>
      </c>
      <c r="H381" s="130" t="s">
        <v>90</v>
      </c>
      <c r="I381" s="130" t="s">
        <v>91</v>
      </c>
      <c r="J381" s="130" t="s">
        <v>95</v>
      </c>
      <c r="K381" s="130" t="s">
        <v>96</v>
      </c>
      <c r="L381" s="174" t="s">
        <v>71</v>
      </c>
      <c r="M381" s="131" t="s">
        <v>72</v>
      </c>
      <c r="N381" s="130" t="s">
        <v>73</v>
      </c>
      <c r="O381" s="219" t="s">
        <v>69</v>
      </c>
      <c r="P381" s="130" t="s">
        <v>1699</v>
      </c>
      <c r="Q381" s="132" t="s">
        <v>93</v>
      </c>
      <c r="R381" s="218">
        <v>3.3529998999999999</v>
      </c>
      <c r="S381" s="129">
        <v>-1</v>
      </c>
      <c r="T381" s="129">
        <v>100</v>
      </c>
      <c r="U381" s="129">
        <v>-100</v>
      </c>
      <c r="V381" s="129">
        <v>-18</v>
      </c>
      <c r="W381" s="129">
        <v>-118</v>
      </c>
      <c r="X381" s="27">
        <f t="shared" si="143"/>
        <v>-335.29998999999998</v>
      </c>
    </row>
    <row r="382" spans="1:24" x14ac:dyDescent="0.2">
      <c r="A382" s="220">
        <v>43780</v>
      </c>
      <c r="B382" s="130" t="s">
        <v>68</v>
      </c>
      <c r="C382" s="130" t="s">
        <v>102</v>
      </c>
      <c r="D382" s="130" t="s">
        <v>1862</v>
      </c>
      <c r="E382" s="130" t="s">
        <v>894</v>
      </c>
      <c r="F382" s="130" t="s">
        <v>1861</v>
      </c>
      <c r="G382" s="220">
        <v>43766</v>
      </c>
      <c r="H382" s="130" t="s">
        <v>90</v>
      </c>
      <c r="I382" s="130" t="s">
        <v>91</v>
      </c>
      <c r="J382" s="130" t="s">
        <v>104</v>
      </c>
      <c r="K382" s="130" t="s">
        <v>105</v>
      </c>
      <c r="L382" s="174" t="s">
        <v>71</v>
      </c>
      <c r="M382" s="131" t="s">
        <v>72</v>
      </c>
      <c r="N382" s="130" t="s">
        <v>73</v>
      </c>
      <c r="O382" s="219" t="s">
        <v>69</v>
      </c>
      <c r="P382" s="130" t="s">
        <v>1699</v>
      </c>
      <c r="Q382" s="132" t="s">
        <v>93</v>
      </c>
      <c r="R382" s="218">
        <v>3.3529998999999999</v>
      </c>
      <c r="S382" s="129">
        <v>1</v>
      </c>
      <c r="T382" s="129">
        <v>0</v>
      </c>
      <c r="U382" s="129">
        <v>0</v>
      </c>
      <c r="V382" s="129">
        <v>0</v>
      </c>
      <c r="W382" s="129">
        <v>0</v>
      </c>
      <c r="X382" s="27">
        <f t="shared" si="143"/>
        <v>0</v>
      </c>
    </row>
    <row r="383" spans="1:24" x14ac:dyDescent="0.2">
      <c r="A383" s="220">
        <v>43780</v>
      </c>
      <c r="B383" s="130" t="s">
        <v>68</v>
      </c>
      <c r="C383" s="130" t="s">
        <v>102</v>
      </c>
      <c r="D383" s="130" t="s">
        <v>708</v>
      </c>
      <c r="E383" s="130" t="s">
        <v>1223</v>
      </c>
      <c r="F383" s="130" t="s">
        <v>1224</v>
      </c>
      <c r="G383" s="220">
        <v>43767</v>
      </c>
      <c r="H383" s="130" t="s">
        <v>90</v>
      </c>
      <c r="I383" s="130" t="s">
        <v>91</v>
      </c>
      <c r="J383" s="130" t="s">
        <v>97</v>
      </c>
      <c r="K383" s="130" t="s">
        <v>98</v>
      </c>
      <c r="L383" s="174" t="s">
        <v>71</v>
      </c>
      <c r="M383" s="131" t="s">
        <v>72</v>
      </c>
      <c r="N383" s="130" t="s">
        <v>73</v>
      </c>
      <c r="O383" s="219" t="s">
        <v>99</v>
      </c>
      <c r="P383" s="130" t="s">
        <v>98</v>
      </c>
      <c r="Q383" s="132" t="s">
        <v>93</v>
      </c>
      <c r="R383" s="218">
        <v>3.3529998999999999</v>
      </c>
      <c r="S383" s="129">
        <v>1</v>
      </c>
      <c r="T383" s="129">
        <v>59</v>
      </c>
      <c r="U383" s="129">
        <v>59</v>
      </c>
      <c r="V383" s="129">
        <v>10.620002999999997</v>
      </c>
      <c r="W383" s="129">
        <v>69.620002999999997</v>
      </c>
      <c r="X383" s="27">
        <f t="shared" si="143"/>
        <v>197.82699410000001</v>
      </c>
    </row>
    <row r="384" spans="1:24" x14ac:dyDescent="0.2">
      <c r="A384" s="220">
        <v>43780</v>
      </c>
      <c r="B384" s="130" t="s">
        <v>68</v>
      </c>
      <c r="C384" s="130" t="s">
        <v>102</v>
      </c>
      <c r="D384" s="130" t="s">
        <v>708</v>
      </c>
      <c r="E384" s="130" t="s">
        <v>1223</v>
      </c>
      <c r="F384" s="130" t="s">
        <v>1224</v>
      </c>
      <c r="G384" s="220">
        <v>43767</v>
      </c>
      <c r="H384" s="130" t="s">
        <v>90</v>
      </c>
      <c r="I384" s="130" t="s">
        <v>91</v>
      </c>
      <c r="J384" s="130" t="s">
        <v>100</v>
      </c>
      <c r="K384" s="130" t="s">
        <v>101</v>
      </c>
      <c r="L384" s="174" t="s">
        <v>71</v>
      </c>
      <c r="M384" s="131" t="s">
        <v>72</v>
      </c>
      <c r="N384" s="130" t="s">
        <v>73</v>
      </c>
      <c r="O384" s="219" t="s">
        <v>72</v>
      </c>
      <c r="P384" s="130" t="s">
        <v>101</v>
      </c>
      <c r="Q384" s="132" t="s">
        <v>93</v>
      </c>
      <c r="R384" s="218">
        <v>3.3529998999999999</v>
      </c>
      <c r="S384" s="129">
        <v>1</v>
      </c>
      <c r="T384" s="129">
        <v>30</v>
      </c>
      <c r="U384" s="129">
        <v>30</v>
      </c>
      <c r="V384" s="129">
        <v>5.4000019999999997</v>
      </c>
      <c r="W384" s="129">
        <v>35.400002000000001</v>
      </c>
      <c r="X384" s="27">
        <f t="shared" si="143"/>
        <v>100.589997</v>
      </c>
    </row>
    <row r="385" spans="1:24" x14ac:dyDescent="0.2">
      <c r="A385" s="220">
        <v>43780</v>
      </c>
      <c r="B385" s="130" t="s">
        <v>68</v>
      </c>
      <c r="C385" s="130" t="s">
        <v>102</v>
      </c>
      <c r="D385" s="130" t="s">
        <v>708</v>
      </c>
      <c r="E385" s="130" t="s">
        <v>1223</v>
      </c>
      <c r="F385" s="130" t="s">
        <v>1224</v>
      </c>
      <c r="G385" s="220">
        <v>43767</v>
      </c>
      <c r="H385" s="130" t="s">
        <v>90</v>
      </c>
      <c r="I385" s="130" t="s">
        <v>91</v>
      </c>
      <c r="J385" s="130" t="s">
        <v>92</v>
      </c>
      <c r="K385" s="130" t="s">
        <v>113</v>
      </c>
      <c r="L385" s="174" t="s">
        <v>71</v>
      </c>
      <c r="M385" s="131" t="s">
        <v>72</v>
      </c>
      <c r="N385" s="130" t="s">
        <v>73</v>
      </c>
      <c r="O385" s="219" t="s">
        <v>69</v>
      </c>
      <c r="P385" s="130" t="s">
        <v>1699</v>
      </c>
      <c r="Q385" s="132" t="s">
        <v>93</v>
      </c>
      <c r="R385" s="218">
        <v>3.3529998999999999</v>
      </c>
      <c r="S385" s="129">
        <v>1</v>
      </c>
      <c r="T385" s="129">
        <v>50</v>
      </c>
      <c r="U385" s="129">
        <v>50</v>
      </c>
      <c r="V385" s="129">
        <v>9</v>
      </c>
      <c r="W385" s="129">
        <v>59</v>
      </c>
      <c r="X385" s="27">
        <f t="shared" si="143"/>
        <v>167.64999499999999</v>
      </c>
    </row>
    <row r="386" spans="1:24" x14ac:dyDescent="0.2">
      <c r="A386" s="220">
        <v>43780</v>
      </c>
      <c r="B386" s="130" t="s">
        <v>68</v>
      </c>
      <c r="C386" s="130" t="s">
        <v>102</v>
      </c>
      <c r="D386" s="130" t="s">
        <v>629</v>
      </c>
      <c r="E386" s="130" t="s">
        <v>1226</v>
      </c>
      <c r="F386" s="130" t="s">
        <v>1227</v>
      </c>
      <c r="G386" s="220">
        <v>43767</v>
      </c>
      <c r="H386" s="130" t="s">
        <v>557</v>
      </c>
      <c r="I386" s="130" t="s">
        <v>556</v>
      </c>
      <c r="J386" s="130" t="s">
        <v>95</v>
      </c>
      <c r="K386" s="130" t="s">
        <v>96</v>
      </c>
      <c r="L386" s="174" t="s">
        <v>71</v>
      </c>
      <c r="M386" s="131" t="s">
        <v>72</v>
      </c>
      <c r="N386" s="130" t="s">
        <v>73</v>
      </c>
      <c r="O386" s="219" t="s">
        <v>69</v>
      </c>
      <c r="P386" s="130" t="s">
        <v>1699</v>
      </c>
      <c r="Q386" s="132" t="s">
        <v>93</v>
      </c>
      <c r="R386" s="218">
        <v>3.3529998999999999</v>
      </c>
      <c r="S386" s="129">
        <v>1</v>
      </c>
      <c r="T386" s="129">
        <v>100</v>
      </c>
      <c r="U386" s="129">
        <v>100</v>
      </c>
      <c r="V386" s="129">
        <v>18</v>
      </c>
      <c r="W386" s="129">
        <v>118</v>
      </c>
      <c r="X386" s="27">
        <f t="shared" si="143"/>
        <v>335.29998999999998</v>
      </c>
    </row>
    <row r="387" spans="1:24" x14ac:dyDescent="0.2">
      <c r="A387" s="220">
        <v>43780</v>
      </c>
      <c r="B387" s="130" t="s">
        <v>68</v>
      </c>
      <c r="C387" s="130" t="s">
        <v>102</v>
      </c>
      <c r="D387" s="130" t="s">
        <v>1860</v>
      </c>
      <c r="E387" s="130" t="s">
        <v>1226</v>
      </c>
      <c r="F387" s="130" t="s">
        <v>1227</v>
      </c>
      <c r="G387" s="220">
        <v>43767</v>
      </c>
      <c r="H387" s="130" t="s">
        <v>90</v>
      </c>
      <c r="I387" s="130" t="s">
        <v>91</v>
      </c>
      <c r="J387" s="130" t="s">
        <v>97</v>
      </c>
      <c r="K387" s="130" t="s">
        <v>98</v>
      </c>
      <c r="L387" s="174" t="s">
        <v>71</v>
      </c>
      <c r="M387" s="131" t="s">
        <v>72</v>
      </c>
      <c r="N387" s="130" t="s">
        <v>73</v>
      </c>
      <c r="O387" s="219" t="s">
        <v>99</v>
      </c>
      <c r="P387" s="130" t="s">
        <v>98</v>
      </c>
      <c r="Q387" s="132" t="s">
        <v>93</v>
      </c>
      <c r="R387" s="218">
        <v>3.3529998999999999</v>
      </c>
      <c r="S387" s="129">
        <v>1</v>
      </c>
      <c r="T387" s="129">
        <v>73.754203999999987</v>
      </c>
      <c r="U387" s="129">
        <v>73.754203999999987</v>
      </c>
      <c r="V387" s="129">
        <v>13.275795000000016</v>
      </c>
      <c r="W387" s="129">
        <v>87.029999000000004</v>
      </c>
      <c r="X387" s="27">
        <f t="shared" si="143"/>
        <v>247.29783863657954</v>
      </c>
    </row>
    <row r="388" spans="1:24" x14ac:dyDescent="0.2">
      <c r="A388" s="220">
        <v>43780</v>
      </c>
      <c r="B388" s="130" t="s">
        <v>68</v>
      </c>
      <c r="C388" s="130" t="s">
        <v>102</v>
      </c>
      <c r="D388" s="130" t="s">
        <v>1860</v>
      </c>
      <c r="E388" s="130" t="s">
        <v>1226</v>
      </c>
      <c r="F388" s="130" t="s">
        <v>1227</v>
      </c>
      <c r="G388" s="220">
        <v>43767</v>
      </c>
      <c r="H388" s="130" t="s">
        <v>90</v>
      </c>
      <c r="I388" s="130" t="s">
        <v>91</v>
      </c>
      <c r="J388" s="130" t="s">
        <v>100</v>
      </c>
      <c r="K388" s="130" t="s">
        <v>101</v>
      </c>
      <c r="L388" s="174" t="s">
        <v>71</v>
      </c>
      <c r="M388" s="131" t="s">
        <v>72</v>
      </c>
      <c r="N388" s="130" t="s">
        <v>73</v>
      </c>
      <c r="O388" s="219" t="s">
        <v>72</v>
      </c>
      <c r="P388" s="130" t="s">
        <v>101</v>
      </c>
      <c r="Q388" s="132" t="s">
        <v>93</v>
      </c>
      <c r="R388" s="218">
        <v>3.3529998999999999</v>
      </c>
      <c r="S388" s="129">
        <v>1</v>
      </c>
      <c r="T388" s="129">
        <v>37.5</v>
      </c>
      <c r="U388" s="129">
        <v>37.5</v>
      </c>
      <c r="V388" s="129">
        <v>6.75</v>
      </c>
      <c r="W388" s="129">
        <v>44.25</v>
      </c>
      <c r="X388" s="27">
        <f t="shared" si="143"/>
        <v>125.73749624999999</v>
      </c>
    </row>
    <row r="389" spans="1:24" x14ac:dyDescent="0.2">
      <c r="A389" s="220">
        <v>43780</v>
      </c>
      <c r="B389" s="130" t="s">
        <v>68</v>
      </c>
      <c r="C389" s="130" t="s">
        <v>102</v>
      </c>
      <c r="D389" s="130" t="s">
        <v>1860</v>
      </c>
      <c r="E389" s="130" t="s">
        <v>1226</v>
      </c>
      <c r="F389" s="130" t="s">
        <v>1227</v>
      </c>
      <c r="G389" s="220">
        <v>43767</v>
      </c>
      <c r="H389" s="130" t="s">
        <v>90</v>
      </c>
      <c r="I389" s="130" t="s">
        <v>91</v>
      </c>
      <c r="J389" s="130" t="s">
        <v>92</v>
      </c>
      <c r="K389" s="130" t="s">
        <v>113</v>
      </c>
      <c r="L389" s="174" t="s">
        <v>71</v>
      </c>
      <c r="M389" s="131" t="s">
        <v>72</v>
      </c>
      <c r="N389" s="130" t="s">
        <v>73</v>
      </c>
      <c r="O389" s="219" t="s">
        <v>69</v>
      </c>
      <c r="P389" s="130" t="s">
        <v>1699</v>
      </c>
      <c r="Q389" s="132" t="s">
        <v>93</v>
      </c>
      <c r="R389" s="218">
        <v>3.3529998999999999</v>
      </c>
      <c r="S389" s="129">
        <v>1</v>
      </c>
      <c r="T389" s="129">
        <v>15</v>
      </c>
      <c r="U389" s="129">
        <v>15</v>
      </c>
      <c r="V389" s="129">
        <v>2.7000009999999999</v>
      </c>
      <c r="W389" s="129">
        <v>17.700001</v>
      </c>
      <c r="X389" s="27">
        <f t="shared" ref="X389:X452" si="174">IF(Q389="$",(U389*R389),U389)</f>
        <v>50.294998499999998</v>
      </c>
    </row>
    <row r="390" spans="1:24" x14ac:dyDescent="0.2">
      <c r="A390" s="220">
        <v>43780</v>
      </c>
      <c r="B390" s="130" t="s">
        <v>68</v>
      </c>
      <c r="C390" s="130" t="s">
        <v>102</v>
      </c>
      <c r="D390" s="130" t="s">
        <v>1860</v>
      </c>
      <c r="E390" s="130" t="s">
        <v>1226</v>
      </c>
      <c r="F390" s="130" t="s">
        <v>1227</v>
      </c>
      <c r="G390" s="220">
        <v>43767</v>
      </c>
      <c r="H390" s="130" t="s">
        <v>90</v>
      </c>
      <c r="I390" s="130" t="s">
        <v>91</v>
      </c>
      <c r="J390" s="130" t="s">
        <v>95</v>
      </c>
      <c r="K390" s="130" t="s">
        <v>96</v>
      </c>
      <c r="L390" s="174" t="s">
        <v>71</v>
      </c>
      <c r="M390" s="131" t="s">
        <v>72</v>
      </c>
      <c r="N390" s="130" t="s">
        <v>73</v>
      </c>
      <c r="O390" s="219" t="s">
        <v>69</v>
      </c>
      <c r="P390" s="130" t="s">
        <v>1699</v>
      </c>
      <c r="Q390" s="132" t="s">
        <v>93</v>
      </c>
      <c r="R390" s="218">
        <v>3.3529998999999999</v>
      </c>
      <c r="S390" s="129">
        <v>-1</v>
      </c>
      <c r="T390" s="129">
        <v>100</v>
      </c>
      <c r="U390" s="129">
        <v>-100</v>
      </c>
      <c r="V390" s="129">
        <v>-18</v>
      </c>
      <c r="W390" s="129">
        <v>-118</v>
      </c>
      <c r="X390" s="27">
        <f t="shared" si="174"/>
        <v>-335.29998999999998</v>
      </c>
    </row>
    <row r="391" spans="1:24" x14ac:dyDescent="0.2">
      <c r="A391" s="220">
        <v>43780</v>
      </c>
      <c r="B391" s="130" t="s">
        <v>68</v>
      </c>
      <c r="C391" s="130" t="s">
        <v>102</v>
      </c>
      <c r="D391" s="130" t="s">
        <v>1860</v>
      </c>
      <c r="E391" s="130" t="s">
        <v>1226</v>
      </c>
      <c r="F391" s="130" t="s">
        <v>1227</v>
      </c>
      <c r="G391" s="220">
        <v>43767</v>
      </c>
      <c r="H391" s="130" t="s">
        <v>90</v>
      </c>
      <c r="I391" s="130" t="s">
        <v>91</v>
      </c>
      <c r="J391" s="130" t="s">
        <v>104</v>
      </c>
      <c r="K391" s="130" t="s">
        <v>105</v>
      </c>
      <c r="L391" s="174" t="s">
        <v>71</v>
      </c>
      <c r="M391" s="131" t="s">
        <v>72</v>
      </c>
      <c r="N391" s="130" t="s">
        <v>73</v>
      </c>
      <c r="O391" s="219" t="s">
        <v>69</v>
      </c>
      <c r="P391" s="130" t="s">
        <v>1699</v>
      </c>
      <c r="Q391" s="132" t="s">
        <v>93</v>
      </c>
      <c r="R391" s="218">
        <v>3.3529998999999999</v>
      </c>
      <c r="S391" s="129">
        <v>1</v>
      </c>
      <c r="T391" s="129">
        <v>0</v>
      </c>
      <c r="U391" s="129">
        <v>0</v>
      </c>
      <c r="V391" s="129">
        <v>0</v>
      </c>
      <c r="W391" s="129">
        <v>0</v>
      </c>
      <c r="X391" s="27">
        <f t="shared" si="174"/>
        <v>0</v>
      </c>
    </row>
    <row r="392" spans="1:24" x14ac:dyDescent="0.2">
      <c r="A392" s="220">
        <v>43780</v>
      </c>
      <c r="B392" s="130" t="s">
        <v>68</v>
      </c>
      <c r="C392" s="130" t="s">
        <v>102</v>
      </c>
      <c r="D392" s="130" t="s">
        <v>1859</v>
      </c>
      <c r="E392" s="130" t="s">
        <v>1268</v>
      </c>
      <c r="F392" s="130" t="s">
        <v>1858</v>
      </c>
      <c r="G392" s="220">
        <v>43767</v>
      </c>
      <c r="H392" s="130" t="s">
        <v>557</v>
      </c>
      <c r="I392" s="130" t="s">
        <v>556</v>
      </c>
      <c r="J392" s="130" t="s">
        <v>97</v>
      </c>
      <c r="K392" s="130" t="s">
        <v>98</v>
      </c>
      <c r="L392" s="174" t="s">
        <v>71</v>
      </c>
      <c r="M392" s="131" t="s">
        <v>72</v>
      </c>
      <c r="N392" s="130" t="s">
        <v>73</v>
      </c>
      <c r="O392" s="219" t="s">
        <v>99</v>
      </c>
      <c r="P392" s="130" t="s">
        <v>98</v>
      </c>
      <c r="Q392" s="132" t="s">
        <v>93</v>
      </c>
      <c r="R392" s="218">
        <v>3.3529998999999999</v>
      </c>
      <c r="S392" s="129">
        <v>1</v>
      </c>
      <c r="T392" s="129">
        <v>586.75420999999994</v>
      </c>
      <c r="U392" s="129">
        <v>586.75420999999994</v>
      </c>
      <c r="V392" s="129">
        <v>105.61579000000005</v>
      </c>
      <c r="W392" s="129">
        <v>692.37</v>
      </c>
      <c r="X392" s="27">
        <f t="shared" si="174"/>
        <v>1967.3868074545787</v>
      </c>
    </row>
    <row r="393" spans="1:24" x14ac:dyDescent="0.2">
      <c r="A393" s="220">
        <v>43780</v>
      </c>
      <c r="B393" s="130" t="s">
        <v>68</v>
      </c>
      <c r="C393" s="130" t="s">
        <v>102</v>
      </c>
      <c r="D393" s="130" t="s">
        <v>1859</v>
      </c>
      <c r="E393" s="130" t="s">
        <v>1268</v>
      </c>
      <c r="F393" s="130" t="s">
        <v>1858</v>
      </c>
      <c r="G393" s="220">
        <v>43767</v>
      </c>
      <c r="H393" s="130" t="s">
        <v>557</v>
      </c>
      <c r="I393" s="130" t="s">
        <v>556</v>
      </c>
      <c r="J393" s="130" t="s">
        <v>100</v>
      </c>
      <c r="K393" s="130" t="s">
        <v>101</v>
      </c>
      <c r="L393" s="174" t="s">
        <v>71</v>
      </c>
      <c r="M393" s="131" t="s">
        <v>72</v>
      </c>
      <c r="N393" s="130" t="s">
        <v>73</v>
      </c>
      <c r="O393" s="219" t="s">
        <v>72</v>
      </c>
      <c r="P393" s="130" t="s">
        <v>101</v>
      </c>
      <c r="Q393" s="132" t="s">
        <v>93</v>
      </c>
      <c r="R393" s="218">
        <v>3.3529998999999999</v>
      </c>
      <c r="S393" s="129">
        <v>1</v>
      </c>
      <c r="T393" s="129">
        <v>420</v>
      </c>
      <c r="U393" s="129">
        <v>420</v>
      </c>
      <c r="V393" s="129">
        <v>75.600009999999898</v>
      </c>
      <c r="W393" s="129">
        <v>495.60000999999988</v>
      </c>
      <c r="X393" s="27">
        <f t="shared" si="174"/>
        <v>1408.2599579999999</v>
      </c>
    </row>
    <row r="394" spans="1:24" x14ac:dyDescent="0.2">
      <c r="A394" s="220">
        <v>43780</v>
      </c>
      <c r="B394" s="130" t="s">
        <v>68</v>
      </c>
      <c r="C394" s="130" t="s">
        <v>102</v>
      </c>
      <c r="D394" s="130" t="s">
        <v>1859</v>
      </c>
      <c r="E394" s="130" t="s">
        <v>1268</v>
      </c>
      <c r="F394" s="130" t="s">
        <v>1858</v>
      </c>
      <c r="G394" s="220">
        <v>43767</v>
      </c>
      <c r="H394" s="130" t="s">
        <v>557</v>
      </c>
      <c r="I394" s="130" t="s">
        <v>556</v>
      </c>
      <c r="J394" s="130" t="s">
        <v>92</v>
      </c>
      <c r="K394" s="130" t="s">
        <v>113</v>
      </c>
      <c r="L394" s="174" t="s">
        <v>71</v>
      </c>
      <c r="M394" s="131" t="s">
        <v>72</v>
      </c>
      <c r="N394" s="130" t="s">
        <v>73</v>
      </c>
      <c r="O394" s="219" t="s">
        <v>69</v>
      </c>
      <c r="P394" s="130" t="s">
        <v>1699</v>
      </c>
      <c r="Q394" s="132" t="s">
        <v>93</v>
      </c>
      <c r="R394" s="218">
        <v>3.3529998999999999</v>
      </c>
      <c r="S394" s="129">
        <v>1</v>
      </c>
      <c r="T394" s="129">
        <v>105</v>
      </c>
      <c r="U394" s="129">
        <v>105</v>
      </c>
      <c r="V394" s="129">
        <v>18.899999999999999</v>
      </c>
      <c r="W394" s="129">
        <v>123.9</v>
      </c>
      <c r="X394" s="27">
        <f t="shared" si="174"/>
        <v>352.06498949999997</v>
      </c>
    </row>
    <row r="395" spans="1:24" x14ac:dyDescent="0.2">
      <c r="A395" s="220">
        <v>43781</v>
      </c>
      <c r="B395" s="130" t="s">
        <v>68</v>
      </c>
      <c r="C395" s="130" t="s">
        <v>102</v>
      </c>
      <c r="D395" s="130" t="s">
        <v>1857</v>
      </c>
      <c r="E395" s="130" t="s">
        <v>1319</v>
      </c>
      <c r="F395" s="130" t="s">
        <v>1856</v>
      </c>
      <c r="G395" s="220">
        <v>43776</v>
      </c>
      <c r="H395" s="130" t="s">
        <v>1855</v>
      </c>
      <c r="I395" s="130" t="s">
        <v>1854</v>
      </c>
      <c r="J395" s="130" t="s">
        <v>70</v>
      </c>
      <c r="K395" s="130" t="s">
        <v>112</v>
      </c>
      <c r="L395" s="174" t="s">
        <v>71</v>
      </c>
      <c r="M395" s="131" t="s">
        <v>72</v>
      </c>
      <c r="N395" s="130" t="s">
        <v>73</v>
      </c>
      <c r="O395" s="219" t="s">
        <v>69</v>
      </c>
      <c r="P395" s="130" t="s">
        <v>1699</v>
      </c>
      <c r="Q395" s="132" t="s">
        <v>74</v>
      </c>
      <c r="R395" s="218">
        <v>3.3640001000000002</v>
      </c>
      <c r="S395" s="129">
        <v>1</v>
      </c>
      <c r="T395" s="129">
        <v>240</v>
      </c>
      <c r="U395" s="129">
        <v>240</v>
      </c>
      <c r="V395" s="129">
        <v>43.200010000000042</v>
      </c>
      <c r="W395" s="129">
        <v>283.20001000000002</v>
      </c>
      <c r="X395" s="27">
        <f t="shared" si="174"/>
        <v>240</v>
      </c>
    </row>
    <row r="396" spans="1:24" x14ac:dyDescent="0.2">
      <c r="A396" s="220">
        <v>43781</v>
      </c>
      <c r="B396" s="130" t="s">
        <v>68</v>
      </c>
      <c r="C396" s="130" t="s">
        <v>102</v>
      </c>
      <c r="D396" s="130" t="s">
        <v>1857</v>
      </c>
      <c r="E396" s="130" t="s">
        <v>1319</v>
      </c>
      <c r="F396" s="130" t="s">
        <v>1856</v>
      </c>
      <c r="G396" s="220">
        <v>43776</v>
      </c>
      <c r="H396" s="130" t="s">
        <v>1855</v>
      </c>
      <c r="I396" s="130" t="s">
        <v>1854</v>
      </c>
      <c r="J396" s="130" t="s">
        <v>104</v>
      </c>
      <c r="K396" s="130" t="s">
        <v>105</v>
      </c>
      <c r="L396" s="174" t="s">
        <v>71</v>
      </c>
      <c r="M396" s="131" t="s">
        <v>72</v>
      </c>
      <c r="N396" s="130" t="s">
        <v>73</v>
      </c>
      <c r="O396" s="219" t="s">
        <v>69</v>
      </c>
      <c r="P396" s="130" t="s">
        <v>1699</v>
      </c>
      <c r="Q396" s="132" t="s">
        <v>74</v>
      </c>
      <c r="R396" s="218">
        <v>3.3640001000000002</v>
      </c>
      <c r="S396" s="129">
        <v>1</v>
      </c>
      <c r="T396" s="129">
        <v>280</v>
      </c>
      <c r="U396" s="129">
        <v>280</v>
      </c>
      <c r="V396" s="129">
        <v>50.399990000000031</v>
      </c>
      <c r="W396" s="129">
        <v>330.39999000000006</v>
      </c>
      <c r="X396" s="27">
        <f t="shared" si="174"/>
        <v>280</v>
      </c>
    </row>
    <row r="397" spans="1:24" x14ac:dyDescent="0.2">
      <c r="A397" s="220">
        <v>43781</v>
      </c>
      <c r="B397" s="130" t="s">
        <v>68</v>
      </c>
      <c r="C397" s="130" t="s">
        <v>102</v>
      </c>
      <c r="D397" s="130" t="s">
        <v>1853</v>
      </c>
      <c r="E397" s="130" t="s">
        <v>1342</v>
      </c>
      <c r="F397" s="130" t="s">
        <v>1002</v>
      </c>
      <c r="G397" s="220">
        <v>43781</v>
      </c>
      <c r="H397" s="130" t="s">
        <v>387</v>
      </c>
      <c r="I397" s="130" t="s">
        <v>386</v>
      </c>
      <c r="J397" s="130" t="s">
        <v>104</v>
      </c>
      <c r="K397" s="130" t="s">
        <v>105</v>
      </c>
      <c r="L397" s="174" t="s">
        <v>71</v>
      </c>
      <c r="M397" s="131" t="s">
        <v>72</v>
      </c>
      <c r="N397" s="130" t="s">
        <v>73</v>
      </c>
      <c r="O397" s="219" t="s">
        <v>69</v>
      </c>
      <c r="P397" s="130" t="s">
        <v>1699</v>
      </c>
      <c r="Q397" s="132" t="s">
        <v>74</v>
      </c>
      <c r="R397" s="218">
        <v>3.3640001000000002</v>
      </c>
      <c r="S397" s="129">
        <v>1</v>
      </c>
      <c r="T397" s="129">
        <v>350</v>
      </c>
      <c r="U397" s="129">
        <v>350</v>
      </c>
      <c r="V397" s="129">
        <v>63</v>
      </c>
      <c r="W397" s="129">
        <v>413</v>
      </c>
      <c r="X397" s="27">
        <f t="shared" si="174"/>
        <v>350</v>
      </c>
    </row>
    <row r="398" spans="1:24" x14ac:dyDescent="0.2">
      <c r="A398" s="220">
        <v>43781</v>
      </c>
      <c r="B398" s="130" t="s">
        <v>68</v>
      </c>
      <c r="C398" s="130" t="s">
        <v>102</v>
      </c>
      <c r="D398" s="130" t="s">
        <v>1852</v>
      </c>
      <c r="E398" s="130" t="s">
        <v>846</v>
      </c>
      <c r="F398" s="130" t="s">
        <v>1221</v>
      </c>
      <c r="G398" s="220">
        <v>43754</v>
      </c>
      <c r="H398" s="130" t="s">
        <v>387</v>
      </c>
      <c r="I398" s="130" t="s">
        <v>386</v>
      </c>
      <c r="J398" s="130" t="s">
        <v>97</v>
      </c>
      <c r="K398" s="130" t="s">
        <v>98</v>
      </c>
      <c r="L398" s="174" t="s">
        <v>71</v>
      </c>
      <c r="M398" s="131" t="s">
        <v>72</v>
      </c>
      <c r="N398" s="130" t="s">
        <v>73</v>
      </c>
      <c r="O398" s="219" t="s">
        <v>99</v>
      </c>
      <c r="P398" s="130" t="s">
        <v>98</v>
      </c>
      <c r="Q398" s="132" t="s">
        <v>74</v>
      </c>
      <c r="R398" s="218">
        <v>3.3640001000000002</v>
      </c>
      <c r="S398" s="129">
        <v>1</v>
      </c>
      <c r="T398" s="129">
        <v>2700</v>
      </c>
      <c r="U398" s="129">
        <v>2700</v>
      </c>
      <c r="V398" s="129">
        <v>486</v>
      </c>
      <c r="W398" s="129">
        <v>3186</v>
      </c>
      <c r="X398" s="27">
        <f t="shared" si="174"/>
        <v>2700</v>
      </c>
    </row>
    <row r="399" spans="1:24" x14ac:dyDescent="0.2">
      <c r="A399" s="220">
        <v>43781</v>
      </c>
      <c r="B399" s="130" t="s">
        <v>68</v>
      </c>
      <c r="C399" s="130" t="s">
        <v>102</v>
      </c>
      <c r="D399" s="130" t="s">
        <v>1852</v>
      </c>
      <c r="E399" s="130" t="s">
        <v>846</v>
      </c>
      <c r="F399" s="130" t="s">
        <v>1221</v>
      </c>
      <c r="G399" s="220">
        <v>43754</v>
      </c>
      <c r="H399" s="130" t="s">
        <v>387</v>
      </c>
      <c r="I399" s="130" t="s">
        <v>386</v>
      </c>
      <c r="J399" s="130" t="s">
        <v>100</v>
      </c>
      <c r="K399" s="130" t="s">
        <v>101</v>
      </c>
      <c r="L399" s="174" t="s">
        <v>71</v>
      </c>
      <c r="M399" s="131" t="s">
        <v>72</v>
      </c>
      <c r="N399" s="130" t="s">
        <v>73</v>
      </c>
      <c r="O399" s="219" t="s">
        <v>72</v>
      </c>
      <c r="P399" s="130" t="s">
        <v>101</v>
      </c>
      <c r="Q399" s="132" t="s">
        <v>74</v>
      </c>
      <c r="R399" s="218">
        <v>3.3640001000000002</v>
      </c>
      <c r="S399" s="129">
        <v>1</v>
      </c>
      <c r="T399" s="129">
        <v>1330</v>
      </c>
      <c r="U399" s="129">
        <v>1330</v>
      </c>
      <c r="V399" s="129">
        <v>239.4</v>
      </c>
      <c r="W399" s="129">
        <v>1569.4</v>
      </c>
      <c r="X399" s="27">
        <f t="shared" si="174"/>
        <v>1330</v>
      </c>
    </row>
    <row r="400" spans="1:24" x14ac:dyDescent="0.2">
      <c r="A400" s="220">
        <v>43781</v>
      </c>
      <c r="B400" s="130" t="s">
        <v>68</v>
      </c>
      <c r="C400" s="130" t="s">
        <v>102</v>
      </c>
      <c r="D400" s="130" t="s">
        <v>1852</v>
      </c>
      <c r="E400" s="130" t="s">
        <v>846</v>
      </c>
      <c r="F400" s="130" t="s">
        <v>1221</v>
      </c>
      <c r="G400" s="220">
        <v>43754</v>
      </c>
      <c r="H400" s="130" t="s">
        <v>387</v>
      </c>
      <c r="I400" s="130" t="s">
        <v>386</v>
      </c>
      <c r="J400" s="130" t="s">
        <v>92</v>
      </c>
      <c r="K400" s="130" t="s">
        <v>113</v>
      </c>
      <c r="L400" s="174" t="s">
        <v>71</v>
      </c>
      <c r="M400" s="131" t="s">
        <v>72</v>
      </c>
      <c r="N400" s="130" t="s">
        <v>73</v>
      </c>
      <c r="O400" s="219" t="s">
        <v>69</v>
      </c>
      <c r="P400" s="130" t="s">
        <v>1699</v>
      </c>
      <c r="Q400" s="132" t="s">
        <v>74</v>
      </c>
      <c r="R400" s="218">
        <v>3.3640001000000002</v>
      </c>
      <c r="S400" s="129">
        <v>1</v>
      </c>
      <c r="T400" s="129">
        <v>570</v>
      </c>
      <c r="U400" s="129">
        <v>570</v>
      </c>
      <c r="V400" s="129">
        <v>102.59998000000007</v>
      </c>
      <c r="W400" s="129">
        <v>672.59998000000007</v>
      </c>
      <c r="X400" s="27">
        <f t="shared" si="174"/>
        <v>570</v>
      </c>
    </row>
    <row r="401" spans="1:24" x14ac:dyDescent="0.2">
      <c r="A401" s="220">
        <v>43781</v>
      </c>
      <c r="B401" s="130" t="s">
        <v>68</v>
      </c>
      <c r="C401" s="130" t="s">
        <v>102</v>
      </c>
      <c r="D401" s="130" t="s">
        <v>1852</v>
      </c>
      <c r="E401" s="130" t="s">
        <v>846</v>
      </c>
      <c r="F401" s="130" t="s">
        <v>1221</v>
      </c>
      <c r="G401" s="220">
        <v>43754</v>
      </c>
      <c r="H401" s="130" t="s">
        <v>387</v>
      </c>
      <c r="I401" s="130" t="s">
        <v>386</v>
      </c>
      <c r="J401" s="130" t="s">
        <v>132</v>
      </c>
      <c r="K401" s="130" t="s">
        <v>109</v>
      </c>
      <c r="L401" s="174" t="s">
        <v>71</v>
      </c>
      <c r="M401" s="131" t="s">
        <v>72</v>
      </c>
      <c r="N401" s="130" t="s">
        <v>73</v>
      </c>
      <c r="O401" s="219" t="s">
        <v>69</v>
      </c>
      <c r="P401" s="130" t="s">
        <v>1699</v>
      </c>
      <c r="Q401" s="132" t="s">
        <v>74</v>
      </c>
      <c r="R401" s="218">
        <v>3.3640001000000002</v>
      </c>
      <c r="S401" s="129">
        <v>48</v>
      </c>
      <c r="T401" s="129">
        <v>35</v>
      </c>
      <c r="U401" s="129">
        <v>1680</v>
      </c>
      <c r="V401" s="129">
        <v>302.39995199999953</v>
      </c>
      <c r="W401" s="129">
        <v>1982.3999519999995</v>
      </c>
      <c r="X401" s="27">
        <f t="shared" si="174"/>
        <v>1680</v>
      </c>
    </row>
    <row r="402" spans="1:24" x14ac:dyDescent="0.2">
      <c r="A402" s="220">
        <v>43781</v>
      </c>
      <c r="B402" s="130" t="s">
        <v>68</v>
      </c>
      <c r="C402" s="130" t="s">
        <v>102</v>
      </c>
      <c r="D402" s="130" t="s">
        <v>1852</v>
      </c>
      <c r="E402" s="130" t="s">
        <v>846</v>
      </c>
      <c r="F402" s="130" t="s">
        <v>1221</v>
      </c>
      <c r="G402" s="220">
        <v>43754</v>
      </c>
      <c r="H402" s="130" t="s">
        <v>387</v>
      </c>
      <c r="I402" s="130" t="s">
        <v>386</v>
      </c>
      <c r="J402" s="130" t="s">
        <v>139</v>
      </c>
      <c r="K402" s="130" t="s">
        <v>133</v>
      </c>
      <c r="L402" s="174" t="s">
        <v>71</v>
      </c>
      <c r="M402" s="131" t="s">
        <v>72</v>
      </c>
      <c r="N402" s="130" t="s">
        <v>73</v>
      </c>
      <c r="O402" s="219" t="s">
        <v>69</v>
      </c>
      <c r="P402" s="130" t="s">
        <v>1699</v>
      </c>
      <c r="Q402" s="132" t="s">
        <v>74</v>
      </c>
      <c r="R402" s="218">
        <v>3.3640001000000002</v>
      </c>
      <c r="S402" s="129">
        <v>1</v>
      </c>
      <c r="T402" s="129">
        <v>1304</v>
      </c>
      <c r="U402" s="129">
        <v>1304</v>
      </c>
      <c r="V402" s="129">
        <v>234.72</v>
      </c>
      <c r="W402" s="129">
        <v>1538.72</v>
      </c>
      <c r="X402" s="27">
        <f t="shared" si="174"/>
        <v>1304</v>
      </c>
    </row>
    <row r="403" spans="1:24" x14ac:dyDescent="0.2">
      <c r="A403" s="220">
        <v>43781</v>
      </c>
      <c r="B403" s="130" t="s">
        <v>68</v>
      </c>
      <c r="C403" s="130" t="s">
        <v>102</v>
      </c>
      <c r="D403" s="130" t="s">
        <v>1852</v>
      </c>
      <c r="E403" s="130" t="s">
        <v>846</v>
      </c>
      <c r="F403" s="130" t="s">
        <v>1221</v>
      </c>
      <c r="G403" s="220">
        <v>43754</v>
      </c>
      <c r="H403" s="130" t="s">
        <v>387</v>
      </c>
      <c r="I403" s="130" t="s">
        <v>386</v>
      </c>
      <c r="J403" s="130" t="s">
        <v>70</v>
      </c>
      <c r="K403" s="130" t="s">
        <v>112</v>
      </c>
      <c r="L403" s="174" t="s">
        <v>71</v>
      </c>
      <c r="M403" s="131" t="s">
        <v>72</v>
      </c>
      <c r="N403" s="130" t="s">
        <v>73</v>
      </c>
      <c r="O403" s="219" t="s">
        <v>69</v>
      </c>
      <c r="P403" s="130" t="s">
        <v>1699</v>
      </c>
      <c r="Q403" s="132" t="s">
        <v>74</v>
      </c>
      <c r="R403" s="218">
        <v>3.3640001000000002</v>
      </c>
      <c r="S403" s="129">
        <v>1</v>
      </c>
      <c r="T403" s="129">
        <v>288.75421</v>
      </c>
      <c r="U403" s="129">
        <v>288.75420999999994</v>
      </c>
      <c r="V403" s="129">
        <v>51.975799999999907</v>
      </c>
      <c r="W403" s="129">
        <v>340.73000999999988</v>
      </c>
      <c r="X403" s="27">
        <f t="shared" si="174"/>
        <v>288.75420999999994</v>
      </c>
    </row>
    <row r="404" spans="1:24" x14ac:dyDescent="0.2">
      <c r="A404" s="220">
        <v>43781</v>
      </c>
      <c r="B404" s="130" t="s">
        <v>68</v>
      </c>
      <c r="C404" s="130" t="s">
        <v>102</v>
      </c>
      <c r="D404" s="130" t="s">
        <v>1852</v>
      </c>
      <c r="E404" s="130" t="s">
        <v>846</v>
      </c>
      <c r="F404" s="130" t="s">
        <v>1221</v>
      </c>
      <c r="G404" s="220">
        <v>43754</v>
      </c>
      <c r="H404" s="130" t="s">
        <v>387</v>
      </c>
      <c r="I404" s="130" t="s">
        <v>386</v>
      </c>
      <c r="J404" s="130" t="s">
        <v>104</v>
      </c>
      <c r="K404" s="130" t="s">
        <v>105</v>
      </c>
      <c r="L404" s="174" t="s">
        <v>71</v>
      </c>
      <c r="M404" s="131" t="s">
        <v>72</v>
      </c>
      <c r="N404" s="130" t="s">
        <v>73</v>
      </c>
      <c r="O404" s="219" t="s">
        <v>69</v>
      </c>
      <c r="P404" s="130" t="s">
        <v>1699</v>
      </c>
      <c r="Q404" s="132" t="s">
        <v>74</v>
      </c>
      <c r="R404" s="218">
        <v>3.3640001000000002</v>
      </c>
      <c r="S404" s="129">
        <v>1</v>
      </c>
      <c r="T404" s="129">
        <v>2296.7542000000003</v>
      </c>
      <c r="U404" s="129">
        <v>2296.7542000000003</v>
      </c>
      <c r="V404" s="129">
        <v>413.41569999999979</v>
      </c>
      <c r="W404" s="129">
        <v>2710.1698999999999</v>
      </c>
      <c r="X404" s="27">
        <f t="shared" si="174"/>
        <v>2296.7542000000003</v>
      </c>
    </row>
    <row r="405" spans="1:24" x14ac:dyDescent="0.2">
      <c r="A405" s="220">
        <v>43781</v>
      </c>
      <c r="B405" s="130" t="s">
        <v>68</v>
      </c>
      <c r="C405" s="130" t="s">
        <v>102</v>
      </c>
      <c r="D405" s="130" t="s">
        <v>1851</v>
      </c>
      <c r="E405" s="130" t="s">
        <v>1298</v>
      </c>
      <c r="F405" s="130" t="s">
        <v>1850</v>
      </c>
      <c r="G405" s="220">
        <v>43777</v>
      </c>
      <c r="H405" s="130" t="s">
        <v>387</v>
      </c>
      <c r="I405" s="130" t="s">
        <v>386</v>
      </c>
      <c r="J405" s="130" t="s">
        <v>70</v>
      </c>
      <c r="K405" s="130" t="s">
        <v>112</v>
      </c>
      <c r="L405" s="174" t="s">
        <v>71</v>
      </c>
      <c r="M405" s="131" t="s">
        <v>72</v>
      </c>
      <c r="N405" s="130" t="s">
        <v>73</v>
      </c>
      <c r="O405" s="219" t="s">
        <v>69</v>
      </c>
      <c r="P405" s="130" t="s">
        <v>1699</v>
      </c>
      <c r="Q405" s="132" t="s">
        <v>74</v>
      </c>
      <c r="R405" s="218">
        <v>3.3640001000000002</v>
      </c>
      <c r="S405" s="129">
        <v>1</v>
      </c>
      <c r="T405" s="129">
        <v>105</v>
      </c>
      <c r="U405" s="129">
        <v>105</v>
      </c>
      <c r="V405" s="129">
        <v>18.899999999999999</v>
      </c>
      <c r="W405" s="129">
        <v>123.9</v>
      </c>
      <c r="X405" s="27">
        <f t="shared" si="174"/>
        <v>105</v>
      </c>
    </row>
    <row r="406" spans="1:24" x14ac:dyDescent="0.2">
      <c r="A406" s="220">
        <v>43781</v>
      </c>
      <c r="B406" s="130" t="s">
        <v>68</v>
      </c>
      <c r="C406" s="130" t="s">
        <v>102</v>
      </c>
      <c r="D406" s="130" t="s">
        <v>1851</v>
      </c>
      <c r="E406" s="130" t="s">
        <v>1298</v>
      </c>
      <c r="F406" s="130" t="s">
        <v>1850</v>
      </c>
      <c r="G406" s="220">
        <v>43777</v>
      </c>
      <c r="H406" s="130" t="s">
        <v>387</v>
      </c>
      <c r="I406" s="130" t="s">
        <v>386</v>
      </c>
      <c r="J406" s="130" t="s">
        <v>104</v>
      </c>
      <c r="K406" s="130" t="s">
        <v>105</v>
      </c>
      <c r="L406" s="174" t="s">
        <v>71</v>
      </c>
      <c r="M406" s="131" t="s">
        <v>72</v>
      </c>
      <c r="N406" s="130" t="s">
        <v>73</v>
      </c>
      <c r="O406" s="219" t="s">
        <v>69</v>
      </c>
      <c r="P406" s="130" t="s">
        <v>1699</v>
      </c>
      <c r="Q406" s="132" t="s">
        <v>74</v>
      </c>
      <c r="R406" s="218">
        <v>3.3640001000000002</v>
      </c>
      <c r="S406" s="129">
        <v>1</v>
      </c>
      <c r="T406" s="129">
        <v>210</v>
      </c>
      <c r="U406" s="129">
        <v>210</v>
      </c>
      <c r="V406" s="129">
        <v>37.799999999999997</v>
      </c>
      <c r="W406" s="129">
        <v>247.8</v>
      </c>
      <c r="X406" s="27">
        <f t="shared" si="174"/>
        <v>210</v>
      </c>
    </row>
    <row r="407" spans="1:24" x14ac:dyDescent="0.2">
      <c r="A407" s="220">
        <v>43781</v>
      </c>
      <c r="B407" s="130" t="s">
        <v>68</v>
      </c>
      <c r="C407" s="130" t="s">
        <v>102</v>
      </c>
      <c r="D407" s="130" t="s">
        <v>628</v>
      </c>
      <c r="E407" s="130" t="s">
        <v>901</v>
      </c>
      <c r="F407" s="130" t="s">
        <v>1228</v>
      </c>
      <c r="G407" s="220">
        <v>43767</v>
      </c>
      <c r="H407" s="130" t="s">
        <v>90</v>
      </c>
      <c r="I407" s="130" t="s">
        <v>91</v>
      </c>
      <c r="J407" s="130" t="s">
        <v>97</v>
      </c>
      <c r="K407" s="130" t="s">
        <v>98</v>
      </c>
      <c r="L407" s="174" t="s">
        <v>71</v>
      </c>
      <c r="M407" s="131" t="s">
        <v>72</v>
      </c>
      <c r="N407" s="130" t="s">
        <v>73</v>
      </c>
      <c r="O407" s="219" t="s">
        <v>99</v>
      </c>
      <c r="P407" s="130" t="s">
        <v>98</v>
      </c>
      <c r="Q407" s="132" t="s">
        <v>93</v>
      </c>
      <c r="R407" s="218">
        <v>3.3640001000000002</v>
      </c>
      <c r="S407" s="129">
        <v>1</v>
      </c>
      <c r="T407" s="129">
        <v>309.75421</v>
      </c>
      <c r="U407" s="129">
        <v>309.75420999999994</v>
      </c>
      <c r="V407" s="129">
        <v>55.755800000000129</v>
      </c>
      <c r="W407" s="129">
        <v>365.51001000000014</v>
      </c>
      <c r="X407" s="27">
        <f t="shared" si="174"/>
        <v>1042.0131934154208</v>
      </c>
    </row>
    <row r="408" spans="1:24" x14ac:dyDescent="0.2">
      <c r="A408" s="220">
        <v>43781</v>
      </c>
      <c r="B408" s="130" t="s">
        <v>68</v>
      </c>
      <c r="C408" s="130" t="s">
        <v>102</v>
      </c>
      <c r="D408" s="130" t="s">
        <v>628</v>
      </c>
      <c r="E408" s="130" t="s">
        <v>901</v>
      </c>
      <c r="F408" s="130" t="s">
        <v>1228</v>
      </c>
      <c r="G408" s="220">
        <v>43767</v>
      </c>
      <c r="H408" s="130" t="s">
        <v>90</v>
      </c>
      <c r="I408" s="130" t="s">
        <v>91</v>
      </c>
      <c r="J408" s="130" t="s">
        <v>100</v>
      </c>
      <c r="K408" s="130" t="s">
        <v>101</v>
      </c>
      <c r="L408" s="174" t="s">
        <v>71</v>
      </c>
      <c r="M408" s="131" t="s">
        <v>72</v>
      </c>
      <c r="N408" s="130" t="s">
        <v>73</v>
      </c>
      <c r="O408" s="219" t="s">
        <v>72</v>
      </c>
      <c r="P408" s="130" t="s">
        <v>101</v>
      </c>
      <c r="Q408" s="132" t="s">
        <v>93</v>
      </c>
      <c r="R408" s="218">
        <v>3.3640001000000002</v>
      </c>
      <c r="S408" s="129">
        <v>1</v>
      </c>
      <c r="T408" s="129">
        <v>330</v>
      </c>
      <c r="U408" s="129">
        <v>330</v>
      </c>
      <c r="V408" s="129">
        <v>59.399990000000031</v>
      </c>
      <c r="W408" s="129">
        <v>389.39999000000006</v>
      </c>
      <c r="X408" s="27">
        <f t="shared" si="174"/>
        <v>1110.1200330000001</v>
      </c>
    </row>
    <row r="409" spans="1:24" x14ac:dyDescent="0.2">
      <c r="A409" s="220">
        <v>43781</v>
      </c>
      <c r="B409" s="130" t="s">
        <v>68</v>
      </c>
      <c r="C409" s="130" t="s">
        <v>102</v>
      </c>
      <c r="D409" s="130" t="s">
        <v>628</v>
      </c>
      <c r="E409" s="130" t="s">
        <v>901</v>
      </c>
      <c r="F409" s="130" t="s">
        <v>1228</v>
      </c>
      <c r="G409" s="220">
        <v>43767</v>
      </c>
      <c r="H409" s="130" t="s">
        <v>90</v>
      </c>
      <c r="I409" s="130" t="s">
        <v>91</v>
      </c>
      <c r="J409" s="130" t="s">
        <v>92</v>
      </c>
      <c r="K409" s="130" t="s">
        <v>113</v>
      </c>
      <c r="L409" s="174" t="s">
        <v>71</v>
      </c>
      <c r="M409" s="131" t="s">
        <v>72</v>
      </c>
      <c r="N409" s="130" t="s">
        <v>73</v>
      </c>
      <c r="O409" s="219" t="s">
        <v>69</v>
      </c>
      <c r="P409" s="130" t="s">
        <v>1699</v>
      </c>
      <c r="Q409" s="132" t="s">
        <v>93</v>
      </c>
      <c r="R409" s="218">
        <v>3.3640001000000002</v>
      </c>
      <c r="S409" s="129">
        <v>1</v>
      </c>
      <c r="T409" s="129">
        <v>70</v>
      </c>
      <c r="U409" s="129">
        <v>70</v>
      </c>
      <c r="V409" s="129">
        <v>12.599997999999978</v>
      </c>
      <c r="W409" s="129">
        <v>82.599997999999971</v>
      </c>
      <c r="X409" s="27">
        <f t="shared" si="174"/>
        <v>235.480007</v>
      </c>
    </row>
    <row r="410" spans="1:24" x14ac:dyDescent="0.2">
      <c r="A410" s="220">
        <v>43781</v>
      </c>
      <c r="B410" s="130" t="s">
        <v>68</v>
      </c>
      <c r="C410" s="130" t="s">
        <v>102</v>
      </c>
      <c r="D410" s="130" t="s">
        <v>628</v>
      </c>
      <c r="E410" s="130" t="s">
        <v>901</v>
      </c>
      <c r="F410" s="130" t="s">
        <v>1228</v>
      </c>
      <c r="G410" s="220">
        <v>43767</v>
      </c>
      <c r="H410" s="130" t="s">
        <v>90</v>
      </c>
      <c r="I410" s="130" t="s">
        <v>91</v>
      </c>
      <c r="J410" s="130" t="s">
        <v>132</v>
      </c>
      <c r="K410" s="130" t="s">
        <v>133</v>
      </c>
      <c r="L410" s="174" t="s">
        <v>71</v>
      </c>
      <c r="M410" s="131" t="s">
        <v>72</v>
      </c>
      <c r="N410" s="130" t="s">
        <v>73</v>
      </c>
      <c r="O410" s="219" t="s">
        <v>69</v>
      </c>
      <c r="P410" s="130" t="s">
        <v>1699</v>
      </c>
      <c r="Q410" s="132" t="s">
        <v>93</v>
      </c>
      <c r="R410" s="218">
        <v>3.3640001000000002</v>
      </c>
      <c r="S410" s="129">
        <v>1</v>
      </c>
      <c r="T410" s="129">
        <v>0</v>
      </c>
      <c r="U410" s="129">
        <v>0</v>
      </c>
      <c r="V410" s="129">
        <v>0</v>
      </c>
      <c r="W410" s="129">
        <v>0</v>
      </c>
      <c r="X410" s="27">
        <f t="shared" si="174"/>
        <v>0</v>
      </c>
    </row>
    <row r="411" spans="1:24" x14ac:dyDescent="0.2">
      <c r="A411" s="220">
        <v>43781</v>
      </c>
      <c r="B411" s="130" t="s">
        <v>68</v>
      </c>
      <c r="C411" s="130" t="s">
        <v>102</v>
      </c>
      <c r="D411" s="130" t="s">
        <v>628</v>
      </c>
      <c r="E411" s="130" t="s">
        <v>901</v>
      </c>
      <c r="F411" s="130" t="s">
        <v>1228</v>
      </c>
      <c r="G411" s="220">
        <v>43767</v>
      </c>
      <c r="H411" s="130" t="s">
        <v>90</v>
      </c>
      <c r="I411" s="130" t="s">
        <v>91</v>
      </c>
      <c r="J411" s="130" t="s">
        <v>70</v>
      </c>
      <c r="K411" s="130" t="s">
        <v>112</v>
      </c>
      <c r="L411" s="174" t="s">
        <v>71</v>
      </c>
      <c r="M411" s="131" t="s">
        <v>72</v>
      </c>
      <c r="N411" s="130" t="s">
        <v>73</v>
      </c>
      <c r="O411" s="219" t="s">
        <v>69</v>
      </c>
      <c r="P411" s="130" t="s">
        <v>1699</v>
      </c>
      <c r="Q411" s="132" t="s">
        <v>93</v>
      </c>
      <c r="R411" s="218">
        <v>3.3640001000000002</v>
      </c>
      <c r="S411" s="129">
        <v>1</v>
      </c>
      <c r="T411" s="129">
        <v>30</v>
      </c>
      <c r="U411" s="129">
        <v>30</v>
      </c>
      <c r="V411" s="129">
        <v>5.4000019999999997</v>
      </c>
      <c r="W411" s="129">
        <v>35.400002000000001</v>
      </c>
      <c r="X411" s="27">
        <f t="shared" si="174"/>
        <v>100.92000300000001</v>
      </c>
    </row>
    <row r="412" spans="1:24" x14ac:dyDescent="0.2">
      <c r="A412" s="220">
        <v>43781</v>
      </c>
      <c r="B412" s="130" t="s">
        <v>68</v>
      </c>
      <c r="C412" s="130" t="s">
        <v>102</v>
      </c>
      <c r="D412" s="130" t="s">
        <v>628</v>
      </c>
      <c r="E412" s="130" t="s">
        <v>901</v>
      </c>
      <c r="F412" s="130" t="s">
        <v>1228</v>
      </c>
      <c r="G412" s="220">
        <v>43767</v>
      </c>
      <c r="H412" s="130" t="s">
        <v>90</v>
      </c>
      <c r="I412" s="130" t="s">
        <v>91</v>
      </c>
      <c r="J412" s="130" t="s">
        <v>95</v>
      </c>
      <c r="K412" s="130" t="s">
        <v>96</v>
      </c>
      <c r="L412" s="174" t="s">
        <v>71</v>
      </c>
      <c r="M412" s="131" t="s">
        <v>72</v>
      </c>
      <c r="N412" s="130" t="s">
        <v>73</v>
      </c>
      <c r="O412" s="219" t="s">
        <v>69</v>
      </c>
      <c r="P412" s="130" t="s">
        <v>1699</v>
      </c>
      <c r="Q412" s="132" t="s">
        <v>93</v>
      </c>
      <c r="R412" s="218">
        <v>3.3640001000000002</v>
      </c>
      <c r="S412" s="129">
        <v>-1</v>
      </c>
      <c r="T412" s="129">
        <v>215.27968999999996</v>
      </c>
      <c r="U412" s="129">
        <v>-215.27968999999996</v>
      </c>
      <c r="V412" s="129">
        <v>-38.750310000000027</v>
      </c>
      <c r="W412" s="129">
        <v>-254.03</v>
      </c>
      <c r="X412" s="27">
        <f t="shared" si="174"/>
        <v>-724.2008986879689</v>
      </c>
    </row>
    <row r="413" spans="1:24" x14ac:dyDescent="0.2">
      <c r="A413" s="220">
        <v>43781</v>
      </c>
      <c r="B413" s="130" t="s">
        <v>68</v>
      </c>
      <c r="C413" s="130" t="s">
        <v>102</v>
      </c>
      <c r="D413" s="130" t="s">
        <v>628</v>
      </c>
      <c r="E413" s="130" t="s">
        <v>901</v>
      </c>
      <c r="F413" s="130" t="s">
        <v>1228</v>
      </c>
      <c r="G413" s="220">
        <v>43767</v>
      </c>
      <c r="H413" s="130" t="s">
        <v>90</v>
      </c>
      <c r="I413" s="130" t="s">
        <v>91</v>
      </c>
      <c r="J413" s="130" t="s">
        <v>104</v>
      </c>
      <c r="K413" s="130" t="s">
        <v>105</v>
      </c>
      <c r="L413" s="174" t="s">
        <v>71</v>
      </c>
      <c r="M413" s="131" t="s">
        <v>72</v>
      </c>
      <c r="N413" s="130" t="s">
        <v>73</v>
      </c>
      <c r="O413" s="219" t="s">
        <v>69</v>
      </c>
      <c r="P413" s="130" t="s">
        <v>1699</v>
      </c>
      <c r="Q413" s="132" t="s">
        <v>93</v>
      </c>
      <c r="R413" s="218">
        <v>3.3640001000000002</v>
      </c>
      <c r="S413" s="129">
        <v>1</v>
      </c>
      <c r="T413" s="129">
        <v>0</v>
      </c>
      <c r="U413" s="129">
        <v>0</v>
      </c>
      <c r="V413" s="129">
        <v>0</v>
      </c>
      <c r="W413" s="129">
        <v>0</v>
      </c>
      <c r="X413" s="27">
        <f t="shared" si="174"/>
        <v>0</v>
      </c>
    </row>
    <row r="414" spans="1:24" x14ac:dyDescent="0.2">
      <c r="A414" s="220">
        <v>43781</v>
      </c>
      <c r="B414" s="130" t="s">
        <v>68</v>
      </c>
      <c r="C414" s="130" t="s">
        <v>102</v>
      </c>
      <c r="D414" s="130" t="s">
        <v>1849</v>
      </c>
      <c r="E414" s="130" t="s">
        <v>1280</v>
      </c>
      <c r="F414" s="130" t="s">
        <v>1023</v>
      </c>
      <c r="G414" s="220">
        <v>43773</v>
      </c>
      <c r="H414" s="130" t="s">
        <v>90</v>
      </c>
      <c r="I414" s="130" t="s">
        <v>91</v>
      </c>
      <c r="J414" s="130" t="s">
        <v>97</v>
      </c>
      <c r="K414" s="130" t="s">
        <v>98</v>
      </c>
      <c r="L414" s="174" t="s">
        <v>71</v>
      </c>
      <c r="M414" s="131" t="s">
        <v>72</v>
      </c>
      <c r="N414" s="130" t="s">
        <v>73</v>
      </c>
      <c r="O414" s="219" t="s">
        <v>99</v>
      </c>
      <c r="P414" s="130" t="s">
        <v>98</v>
      </c>
      <c r="Q414" s="132" t="s">
        <v>93</v>
      </c>
      <c r="R414" s="218">
        <v>3.3640001000000002</v>
      </c>
      <c r="S414" s="129">
        <v>1</v>
      </c>
      <c r="T414" s="129">
        <v>59</v>
      </c>
      <c r="U414" s="129">
        <v>59</v>
      </c>
      <c r="V414" s="129">
        <v>10.620002999999997</v>
      </c>
      <c r="W414" s="129">
        <v>69.620002999999997</v>
      </c>
      <c r="X414" s="27">
        <f t="shared" si="174"/>
        <v>198.47600590000002</v>
      </c>
    </row>
    <row r="415" spans="1:24" x14ac:dyDescent="0.2">
      <c r="A415" s="220">
        <v>43781</v>
      </c>
      <c r="B415" s="130" t="s">
        <v>68</v>
      </c>
      <c r="C415" s="130" t="s">
        <v>102</v>
      </c>
      <c r="D415" s="130" t="s">
        <v>1849</v>
      </c>
      <c r="E415" s="130" t="s">
        <v>1280</v>
      </c>
      <c r="F415" s="130" t="s">
        <v>1023</v>
      </c>
      <c r="G415" s="220">
        <v>43773</v>
      </c>
      <c r="H415" s="130" t="s">
        <v>90</v>
      </c>
      <c r="I415" s="130" t="s">
        <v>91</v>
      </c>
      <c r="J415" s="130" t="s">
        <v>100</v>
      </c>
      <c r="K415" s="130" t="s">
        <v>101</v>
      </c>
      <c r="L415" s="174" t="s">
        <v>71</v>
      </c>
      <c r="M415" s="131" t="s">
        <v>72</v>
      </c>
      <c r="N415" s="130" t="s">
        <v>73</v>
      </c>
      <c r="O415" s="219" t="s">
        <v>72</v>
      </c>
      <c r="P415" s="130" t="s">
        <v>101</v>
      </c>
      <c r="Q415" s="132" t="s">
        <v>93</v>
      </c>
      <c r="R415" s="218">
        <v>3.3640001000000002</v>
      </c>
      <c r="S415" s="129">
        <v>1</v>
      </c>
      <c r="T415" s="129">
        <v>30</v>
      </c>
      <c r="U415" s="129">
        <v>30</v>
      </c>
      <c r="V415" s="129">
        <v>5.4000019999999997</v>
      </c>
      <c r="W415" s="129">
        <v>35.400002000000001</v>
      </c>
      <c r="X415" s="27">
        <f t="shared" si="174"/>
        <v>100.92000300000001</v>
      </c>
    </row>
    <row r="416" spans="1:24" x14ac:dyDescent="0.2">
      <c r="A416" s="220">
        <v>43781</v>
      </c>
      <c r="B416" s="130" t="s">
        <v>68</v>
      </c>
      <c r="C416" s="130" t="s">
        <v>102</v>
      </c>
      <c r="D416" s="130" t="s">
        <v>1849</v>
      </c>
      <c r="E416" s="130" t="s">
        <v>1280</v>
      </c>
      <c r="F416" s="130" t="s">
        <v>1023</v>
      </c>
      <c r="G416" s="220">
        <v>43773</v>
      </c>
      <c r="H416" s="130" t="s">
        <v>90</v>
      </c>
      <c r="I416" s="130" t="s">
        <v>91</v>
      </c>
      <c r="J416" s="130" t="s">
        <v>104</v>
      </c>
      <c r="K416" s="130" t="s">
        <v>105</v>
      </c>
      <c r="L416" s="174" t="s">
        <v>71</v>
      </c>
      <c r="M416" s="131" t="s">
        <v>72</v>
      </c>
      <c r="N416" s="130" t="s">
        <v>73</v>
      </c>
      <c r="O416" s="219" t="s">
        <v>69</v>
      </c>
      <c r="P416" s="130" t="s">
        <v>1699</v>
      </c>
      <c r="Q416" s="132" t="s">
        <v>93</v>
      </c>
      <c r="R416" s="218">
        <v>3.3640001000000002</v>
      </c>
      <c r="S416" s="129">
        <v>1</v>
      </c>
      <c r="T416" s="129">
        <v>0</v>
      </c>
      <c r="U416" s="129">
        <v>0</v>
      </c>
      <c r="V416" s="129">
        <v>0</v>
      </c>
      <c r="W416" s="129">
        <v>0</v>
      </c>
      <c r="X416" s="27">
        <f t="shared" si="174"/>
        <v>0</v>
      </c>
    </row>
    <row r="417" spans="1:24" x14ac:dyDescent="0.2">
      <c r="A417" s="220">
        <v>43781</v>
      </c>
      <c r="B417" s="130" t="s">
        <v>68</v>
      </c>
      <c r="C417" s="130" t="s">
        <v>102</v>
      </c>
      <c r="D417" s="130" t="s">
        <v>1848</v>
      </c>
      <c r="E417" s="130" t="s">
        <v>1279</v>
      </c>
      <c r="F417" s="130" t="s">
        <v>1023</v>
      </c>
      <c r="G417" s="220">
        <v>43775</v>
      </c>
      <c r="H417" s="130" t="s">
        <v>90</v>
      </c>
      <c r="I417" s="130" t="s">
        <v>91</v>
      </c>
      <c r="J417" s="130" t="s">
        <v>97</v>
      </c>
      <c r="K417" s="130" t="s">
        <v>98</v>
      </c>
      <c r="L417" s="174" t="s">
        <v>71</v>
      </c>
      <c r="M417" s="131" t="s">
        <v>72</v>
      </c>
      <c r="N417" s="130" t="s">
        <v>73</v>
      </c>
      <c r="O417" s="219" t="s">
        <v>99</v>
      </c>
      <c r="P417" s="130" t="s">
        <v>98</v>
      </c>
      <c r="Q417" s="132" t="s">
        <v>93</v>
      </c>
      <c r="R417" s="218">
        <v>3.3640001000000002</v>
      </c>
      <c r="S417" s="129">
        <v>1</v>
      </c>
      <c r="T417" s="129">
        <v>59</v>
      </c>
      <c r="U417" s="129">
        <v>59</v>
      </c>
      <c r="V417" s="129">
        <v>10.620002999999997</v>
      </c>
      <c r="W417" s="129">
        <v>69.620002999999997</v>
      </c>
      <c r="X417" s="27">
        <f t="shared" si="174"/>
        <v>198.47600590000002</v>
      </c>
    </row>
    <row r="418" spans="1:24" x14ac:dyDescent="0.2">
      <c r="A418" s="220">
        <v>43781</v>
      </c>
      <c r="B418" s="130" t="s">
        <v>68</v>
      </c>
      <c r="C418" s="130" t="s">
        <v>102</v>
      </c>
      <c r="D418" s="130" t="s">
        <v>1848</v>
      </c>
      <c r="E418" s="130" t="s">
        <v>1279</v>
      </c>
      <c r="F418" s="130" t="s">
        <v>1023</v>
      </c>
      <c r="G418" s="220">
        <v>43775</v>
      </c>
      <c r="H418" s="130" t="s">
        <v>90</v>
      </c>
      <c r="I418" s="130" t="s">
        <v>91</v>
      </c>
      <c r="J418" s="130" t="s">
        <v>100</v>
      </c>
      <c r="K418" s="130" t="s">
        <v>101</v>
      </c>
      <c r="L418" s="174" t="s">
        <v>71</v>
      </c>
      <c r="M418" s="131" t="s">
        <v>72</v>
      </c>
      <c r="N418" s="130" t="s">
        <v>73</v>
      </c>
      <c r="O418" s="219" t="s">
        <v>72</v>
      </c>
      <c r="P418" s="130" t="s">
        <v>101</v>
      </c>
      <c r="Q418" s="132" t="s">
        <v>93</v>
      </c>
      <c r="R418" s="218">
        <v>3.3640001000000002</v>
      </c>
      <c r="S418" s="129">
        <v>1</v>
      </c>
      <c r="T418" s="129">
        <v>30</v>
      </c>
      <c r="U418" s="129">
        <v>30</v>
      </c>
      <c r="V418" s="129">
        <v>5.4000019999999997</v>
      </c>
      <c r="W418" s="129">
        <v>35.400002000000001</v>
      </c>
      <c r="X418" s="27">
        <f t="shared" si="174"/>
        <v>100.92000300000001</v>
      </c>
    </row>
    <row r="419" spans="1:24" x14ac:dyDescent="0.2">
      <c r="A419" s="220">
        <v>43781</v>
      </c>
      <c r="B419" s="130" t="s">
        <v>68</v>
      </c>
      <c r="C419" s="130" t="s">
        <v>102</v>
      </c>
      <c r="D419" s="130" t="s">
        <v>1848</v>
      </c>
      <c r="E419" s="130" t="s">
        <v>1279</v>
      </c>
      <c r="F419" s="130" t="s">
        <v>1023</v>
      </c>
      <c r="G419" s="220">
        <v>43775</v>
      </c>
      <c r="H419" s="130" t="s">
        <v>90</v>
      </c>
      <c r="I419" s="130" t="s">
        <v>91</v>
      </c>
      <c r="J419" s="130" t="s">
        <v>104</v>
      </c>
      <c r="K419" s="130" t="s">
        <v>105</v>
      </c>
      <c r="L419" s="174" t="s">
        <v>71</v>
      </c>
      <c r="M419" s="131" t="s">
        <v>72</v>
      </c>
      <c r="N419" s="130" t="s">
        <v>73</v>
      </c>
      <c r="O419" s="219" t="s">
        <v>69</v>
      </c>
      <c r="P419" s="130" t="s">
        <v>1699</v>
      </c>
      <c r="Q419" s="132" t="s">
        <v>93</v>
      </c>
      <c r="R419" s="218">
        <v>3.3640001000000002</v>
      </c>
      <c r="S419" s="129">
        <v>1</v>
      </c>
      <c r="T419" s="129">
        <v>0</v>
      </c>
      <c r="U419" s="129">
        <v>0</v>
      </c>
      <c r="V419" s="129">
        <v>0</v>
      </c>
      <c r="W419" s="129">
        <v>0</v>
      </c>
      <c r="X419" s="27">
        <f t="shared" si="174"/>
        <v>0</v>
      </c>
    </row>
    <row r="420" spans="1:24" x14ac:dyDescent="0.2">
      <c r="A420" s="220">
        <v>43782</v>
      </c>
      <c r="B420" s="130" t="s">
        <v>68</v>
      </c>
      <c r="C420" s="130" t="s">
        <v>102</v>
      </c>
      <c r="D420" s="130" t="s">
        <v>1847</v>
      </c>
      <c r="E420" s="130" t="s">
        <v>1294</v>
      </c>
      <c r="F420" s="130" t="s">
        <v>1846</v>
      </c>
      <c r="G420" s="220">
        <v>43777</v>
      </c>
      <c r="H420" s="130" t="s">
        <v>387</v>
      </c>
      <c r="I420" s="130" t="s">
        <v>386</v>
      </c>
      <c r="J420" s="130" t="s">
        <v>70</v>
      </c>
      <c r="K420" s="130" t="s">
        <v>112</v>
      </c>
      <c r="L420" s="174" t="s">
        <v>71</v>
      </c>
      <c r="M420" s="131" t="s">
        <v>72</v>
      </c>
      <c r="N420" s="130" t="s">
        <v>73</v>
      </c>
      <c r="O420" s="219" t="s">
        <v>69</v>
      </c>
      <c r="P420" s="130" t="s">
        <v>1699</v>
      </c>
      <c r="Q420" s="132" t="s">
        <v>74</v>
      </c>
      <c r="R420" s="218">
        <v>3.3759999000000001</v>
      </c>
      <c r="S420" s="129">
        <v>1</v>
      </c>
      <c r="T420" s="129">
        <v>105</v>
      </c>
      <c r="U420" s="129">
        <v>105</v>
      </c>
      <c r="V420" s="129">
        <v>18.899999999999999</v>
      </c>
      <c r="W420" s="129">
        <v>123.9</v>
      </c>
      <c r="X420" s="27">
        <f t="shared" si="174"/>
        <v>105</v>
      </c>
    </row>
    <row r="421" spans="1:24" x14ac:dyDescent="0.2">
      <c r="A421" s="220">
        <v>43782</v>
      </c>
      <c r="B421" s="130" t="s">
        <v>68</v>
      </c>
      <c r="C421" s="130" t="s">
        <v>102</v>
      </c>
      <c r="D421" s="130" t="s">
        <v>1847</v>
      </c>
      <c r="E421" s="130" t="s">
        <v>1294</v>
      </c>
      <c r="F421" s="130" t="s">
        <v>1846</v>
      </c>
      <c r="G421" s="220">
        <v>43777</v>
      </c>
      <c r="H421" s="130" t="s">
        <v>387</v>
      </c>
      <c r="I421" s="130" t="s">
        <v>386</v>
      </c>
      <c r="J421" s="130" t="s">
        <v>104</v>
      </c>
      <c r="K421" s="130" t="s">
        <v>105</v>
      </c>
      <c r="L421" s="174" t="s">
        <v>71</v>
      </c>
      <c r="M421" s="131" t="s">
        <v>72</v>
      </c>
      <c r="N421" s="130" t="s">
        <v>73</v>
      </c>
      <c r="O421" s="219" t="s">
        <v>69</v>
      </c>
      <c r="P421" s="130" t="s">
        <v>1699</v>
      </c>
      <c r="Q421" s="132" t="s">
        <v>74</v>
      </c>
      <c r="R421" s="218">
        <v>3.3759999000000001</v>
      </c>
      <c r="S421" s="129">
        <v>1</v>
      </c>
      <c r="T421" s="129">
        <v>620</v>
      </c>
      <c r="U421" s="129">
        <v>620</v>
      </c>
      <c r="V421" s="129">
        <v>111.59998000000007</v>
      </c>
      <c r="W421" s="129">
        <v>731.59998000000007</v>
      </c>
      <c r="X421" s="27">
        <f t="shared" si="174"/>
        <v>620</v>
      </c>
    </row>
    <row r="422" spans="1:24" x14ac:dyDescent="0.2">
      <c r="A422" s="220">
        <v>43782</v>
      </c>
      <c r="B422" s="130" t="s">
        <v>68</v>
      </c>
      <c r="C422" s="130" t="s">
        <v>102</v>
      </c>
      <c r="D422" s="130" t="s">
        <v>1845</v>
      </c>
      <c r="E422" s="130" t="s">
        <v>1293</v>
      </c>
      <c r="F422" s="130" t="s">
        <v>1700</v>
      </c>
      <c r="G422" s="220">
        <v>43776</v>
      </c>
      <c r="H422" s="130" t="s">
        <v>557</v>
      </c>
      <c r="I422" s="130" t="s">
        <v>556</v>
      </c>
      <c r="J422" s="130" t="s">
        <v>95</v>
      </c>
      <c r="K422" s="130" t="s">
        <v>96</v>
      </c>
      <c r="L422" s="174" t="s">
        <v>71</v>
      </c>
      <c r="M422" s="131" t="s">
        <v>72</v>
      </c>
      <c r="N422" s="130" t="s">
        <v>73</v>
      </c>
      <c r="O422" s="219" t="s">
        <v>69</v>
      </c>
      <c r="P422" s="130" t="s">
        <v>1699</v>
      </c>
      <c r="Q422" s="132" t="s">
        <v>93</v>
      </c>
      <c r="R422" s="218">
        <v>3.3759999000000001</v>
      </c>
      <c r="S422" s="129">
        <v>1</v>
      </c>
      <c r="T422" s="129">
        <v>100</v>
      </c>
      <c r="U422" s="129">
        <v>100</v>
      </c>
      <c r="V422" s="129">
        <v>18</v>
      </c>
      <c r="W422" s="129">
        <v>118</v>
      </c>
      <c r="X422" s="27">
        <f t="shared" si="174"/>
        <v>337.59998999999999</v>
      </c>
    </row>
    <row r="423" spans="1:24" x14ac:dyDescent="0.2">
      <c r="A423" s="220">
        <v>43782</v>
      </c>
      <c r="B423" s="130" t="s">
        <v>68</v>
      </c>
      <c r="C423" s="130" t="s">
        <v>102</v>
      </c>
      <c r="D423" s="130" t="s">
        <v>627</v>
      </c>
      <c r="E423" s="130" t="s">
        <v>1293</v>
      </c>
      <c r="F423" s="130" t="s">
        <v>1700</v>
      </c>
      <c r="G423" s="220">
        <v>43776</v>
      </c>
      <c r="H423" s="130" t="s">
        <v>90</v>
      </c>
      <c r="I423" s="130" t="s">
        <v>91</v>
      </c>
      <c r="J423" s="130" t="s">
        <v>97</v>
      </c>
      <c r="K423" s="130" t="s">
        <v>98</v>
      </c>
      <c r="L423" s="174" t="s">
        <v>71</v>
      </c>
      <c r="M423" s="131" t="s">
        <v>72</v>
      </c>
      <c r="N423" s="130" t="s">
        <v>73</v>
      </c>
      <c r="O423" s="219" t="s">
        <v>99</v>
      </c>
      <c r="P423" s="130" t="s">
        <v>98</v>
      </c>
      <c r="Q423" s="132" t="s">
        <v>93</v>
      </c>
      <c r="R423" s="218">
        <v>3.3759999000000001</v>
      </c>
      <c r="S423" s="129">
        <v>1</v>
      </c>
      <c r="T423" s="129">
        <v>59</v>
      </c>
      <c r="U423" s="129">
        <v>59</v>
      </c>
      <c r="V423" s="129">
        <v>10.620002999999997</v>
      </c>
      <c r="W423" s="129">
        <v>69.620002999999997</v>
      </c>
      <c r="X423" s="27">
        <f t="shared" si="174"/>
        <v>199.18399410000001</v>
      </c>
    </row>
    <row r="424" spans="1:24" x14ac:dyDescent="0.2">
      <c r="A424" s="220">
        <v>43782</v>
      </c>
      <c r="B424" s="130" t="s">
        <v>68</v>
      </c>
      <c r="C424" s="130" t="s">
        <v>102</v>
      </c>
      <c r="D424" s="130" t="s">
        <v>627</v>
      </c>
      <c r="E424" s="130" t="s">
        <v>1293</v>
      </c>
      <c r="F424" s="130" t="s">
        <v>1700</v>
      </c>
      <c r="G424" s="220">
        <v>43776</v>
      </c>
      <c r="H424" s="130" t="s">
        <v>90</v>
      </c>
      <c r="I424" s="130" t="s">
        <v>91</v>
      </c>
      <c r="J424" s="130" t="s">
        <v>100</v>
      </c>
      <c r="K424" s="130" t="s">
        <v>101</v>
      </c>
      <c r="L424" s="174" t="s">
        <v>71</v>
      </c>
      <c r="M424" s="131" t="s">
        <v>72</v>
      </c>
      <c r="N424" s="130" t="s">
        <v>73</v>
      </c>
      <c r="O424" s="219" t="s">
        <v>72</v>
      </c>
      <c r="P424" s="130" t="s">
        <v>101</v>
      </c>
      <c r="Q424" s="132" t="s">
        <v>93</v>
      </c>
      <c r="R424" s="218">
        <v>3.3759999000000001</v>
      </c>
      <c r="S424" s="129">
        <v>1</v>
      </c>
      <c r="T424" s="129">
        <v>30</v>
      </c>
      <c r="U424" s="129">
        <v>30</v>
      </c>
      <c r="V424" s="129">
        <v>5.4000019999999997</v>
      </c>
      <c r="W424" s="129">
        <v>35.400002000000001</v>
      </c>
      <c r="X424" s="27">
        <f t="shared" si="174"/>
        <v>101.27999700000001</v>
      </c>
    </row>
    <row r="425" spans="1:24" x14ac:dyDescent="0.2">
      <c r="A425" s="220">
        <v>43782</v>
      </c>
      <c r="B425" s="130" t="s">
        <v>68</v>
      </c>
      <c r="C425" s="130" t="s">
        <v>102</v>
      </c>
      <c r="D425" s="130" t="s">
        <v>627</v>
      </c>
      <c r="E425" s="130" t="s">
        <v>1293</v>
      </c>
      <c r="F425" s="130" t="s">
        <v>1700</v>
      </c>
      <c r="G425" s="220">
        <v>43776</v>
      </c>
      <c r="H425" s="130" t="s">
        <v>90</v>
      </c>
      <c r="I425" s="130" t="s">
        <v>91</v>
      </c>
      <c r="J425" s="130" t="s">
        <v>92</v>
      </c>
      <c r="K425" s="130" t="s">
        <v>113</v>
      </c>
      <c r="L425" s="174" t="s">
        <v>71</v>
      </c>
      <c r="M425" s="131" t="s">
        <v>72</v>
      </c>
      <c r="N425" s="130" t="s">
        <v>73</v>
      </c>
      <c r="O425" s="219" t="s">
        <v>69</v>
      </c>
      <c r="P425" s="130" t="s">
        <v>1699</v>
      </c>
      <c r="Q425" s="132" t="s">
        <v>93</v>
      </c>
      <c r="R425" s="218">
        <v>3.3759999000000001</v>
      </c>
      <c r="S425" s="129">
        <v>1</v>
      </c>
      <c r="T425" s="129">
        <v>37.5</v>
      </c>
      <c r="U425" s="129">
        <v>37.5</v>
      </c>
      <c r="V425" s="129">
        <v>6.75</v>
      </c>
      <c r="W425" s="129">
        <v>44.25</v>
      </c>
      <c r="X425" s="27">
        <f t="shared" si="174"/>
        <v>126.59999625</v>
      </c>
    </row>
    <row r="426" spans="1:24" x14ac:dyDescent="0.2">
      <c r="A426" s="220">
        <v>43782</v>
      </c>
      <c r="B426" s="130" t="s">
        <v>68</v>
      </c>
      <c r="C426" s="130" t="s">
        <v>102</v>
      </c>
      <c r="D426" s="130" t="s">
        <v>627</v>
      </c>
      <c r="E426" s="130" t="s">
        <v>1293</v>
      </c>
      <c r="F426" s="130" t="s">
        <v>1700</v>
      </c>
      <c r="G426" s="220">
        <v>43776</v>
      </c>
      <c r="H426" s="130" t="s">
        <v>90</v>
      </c>
      <c r="I426" s="130" t="s">
        <v>91</v>
      </c>
      <c r="J426" s="130" t="s">
        <v>95</v>
      </c>
      <c r="K426" s="130" t="s">
        <v>96</v>
      </c>
      <c r="L426" s="174" t="s">
        <v>71</v>
      </c>
      <c r="M426" s="131" t="s">
        <v>72</v>
      </c>
      <c r="N426" s="130" t="s">
        <v>73</v>
      </c>
      <c r="O426" s="219" t="s">
        <v>69</v>
      </c>
      <c r="P426" s="130" t="s">
        <v>1699</v>
      </c>
      <c r="Q426" s="132" t="s">
        <v>93</v>
      </c>
      <c r="R426" s="218">
        <v>3.3759999000000001</v>
      </c>
      <c r="S426" s="129">
        <v>-1</v>
      </c>
      <c r="T426" s="129">
        <v>100</v>
      </c>
      <c r="U426" s="129">
        <v>-100</v>
      </c>
      <c r="V426" s="129">
        <v>-18</v>
      </c>
      <c r="W426" s="129">
        <v>-118</v>
      </c>
      <c r="X426" s="27">
        <f t="shared" si="174"/>
        <v>-337.59998999999999</v>
      </c>
    </row>
    <row r="427" spans="1:24" x14ac:dyDescent="0.2">
      <c r="A427" s="220">
        <v>43782</v>
      </c>
      <c r="B427" s="130" t="s">
        <v>68</v>
      </c>
      <c r="C427" s="130" t="s">
        <v>102</v>
      </c>
      <c r="D427" s="130" t="s">
        <v>1844</v>
      </c>
      <c r="E427" s="130" t="s">
        <v>1290</v>
      </c>
      <c r="F427" s="130" t="s">
        <v>1700</v>
      </c>
      <c r="G427" s="220">
        <v>43773</v>
      </c>
      <c r="H427" s="130" t="s">
        <v>557</v>
      </c>
      <c r="I427" s="130" t="s">
        <v>556</v>
      </c>
      <c r="J427" s="130" t="s">
        <v>95</v>
      </c>
      <c r="K427" s="130" t="s">
        <v>96</v>
      </c>
      <c r="L427" s="174" t="s">
        <v>71</v>
      </c>
      <c r="M427" s="131" t="s">
        <v>72</v>
      </c>
      <c r="N427" s="130" t="s">
        <v>73</v>
      </c>
      <c r="O427" s="219" t="s">
        <v>69</v>
      </c>
      <c r="P427" s="130" t="s">
        <v>1699</v>
      </c>
      <c r="Q427" s="132" t="s">
        <v>93</v>
      </c>
      <c r="R427" s="218">
        <v>3.3759999000000001</v>
      </c>
      <c r="S427" s="129">
        <v>1</v>
      </c>
      <c r="T427" s="129">
        <v>100</v>
      </c>
      <c r="U427" s="129">
        <v>100</v>
      </c>
      <c r="V427" s="129">
        <v>18</v>
      </c>
      <c r="W427" s="129">
        <v>118</v>
      </c>
      <c r="X427" s="27">
        <f t="shared" si="174"/>
        <v>337.59998999999999</v>
      </c>
    </row>
    <row r="428" spans="1:24" x14ac:dyDescent="0.2">
      <c r="A428" s="220">
        <v>43782</v>
      </c>
      <c r="B428" s="130" t="s">
        <v>68</v>
      </c>
      <c r="C428" s="130" t="s">
        <v>102</v>
      </c>
      <c r="D428" s="130" t="s">
        <v>1843</v>
      </c>
      <c r="E428" s="130" t="s">
        <v>1290</v>
      </c>
      <c r="F428" s="130" t="s">
        <v>1700</v>
      </c>
      <c r="G428" s="220">
        <v>43773</v>
      </c>
      <c r="H428" s="130" t="s">
        <v>90</v>
      </c>
      <c r="I428" s="130" t="s">
        <v>91</v>
      </c>
      <c r="J428" s="130" t="s">
        <v>97</v>
      </c>
      <c r="K428" s="130" t="s">
        <v>98</v>
      </c>
      <c r="L428" s="174" t="s">
        <v>71</v>
      </c>
      <c r="M428" s="131" t="s">
        <v>72</v>
      </c>
      <c r="N428" s="130" t="s">
        <v>73</v>
      </c>
      <c r="O428" s="219" t="s">
        <v>99</v>
      </c>
      <c r="P428" s="130" t="s">
        <v>98</v>
      </c>
      <c r="Q428" s="132" t="s">
        <v>93</v>
      </c>
      <c r="R428" s="218">
        <v>3.3759999000000001</v>
      </c>
      <c r="S428" s="129">
        <v>1</v>
      </c>
      <c r="T428" s="129">
        <v>88.5</v>
      </c>
      <c r="U428" s="129">
        <v>88.5</v>
      </c>
      <c r="V428" s="129">
        <v>15.93</v>
      </c>
      <c r="W428" s="129">
        <v>104.43</v>
      </c>
      <c r="X428" s="27">
        <f t="shared" si="174"/>
        <v>298.77599114999998</v>
      </c>
    </row>
    <row r="429" spans="1:24" x14ac:dyDescent="0.2">
      <c r="A429" s="220">
        <v>43782</v>
      </c>
      <c r="B429" s="130" t="s">
        <v>68</v>
      </c>
      <c r="C429" s="130" t="s">
        <v>102</v>
      </c>
      <c r="D429" s="130" t="s">
        <v>1843</v>
      </c>
      <c r="E429" s="130" t="s">
        <v>1290</v>
      </c>
      <c r="F429" s="130" t="s">
        <v>1700</v>
      </c>
      <c r="G429" s="220">
        <v>43773</v>
      </c>
      <c r="H429" s="130" t="s">
        <v>90</v>
      </c>
      <c r="I429" s="130" t="s">
        <v>91</v>
      </c>
      <c r="J429" s="130" t="s">
        <v>100</v>
      </c>
      <c r="K429" s="130" t="s">
        <v>101</v>
      </c>
      <c r="L429" s="174" t="s">
        <v>71</v>
      </c>
      <c r="M429" s="131" t="s">
        <v>72</v>
      </c>
      <c r="N429" s="130" t="s">
        <v>73</v>
      </c>
      <c r="O429" s="219" t="s">
        <v>72</v>
      </c>
      <c r="P429" s="130" t="s">
        <v>101</v>
      </c>
      <c r="Q429" s="132" t="s">
        <v>93</v>
      </c>
      <c r="R429" s="218">
        <v>3.3759999000000001</v>
      </c>
      <c r="S429" s="129">
        <v>1</v>
      </c>
      <c r="T429" s="129">
        <v>30</v>
      </c>
      <c r="U429" s="129">
        <v>30</v>
      </c>
      <c r="V429" s="129">
        <v>5.4000019999999997</v>
      </c>
      <c r="W429" s="129">
        <v>35.400002000000001</v>
      </c>
      <c r="X429" s="27">
        <f t="shared" si="174"/>
        <v>101.27999700000001</v>
      </c>
    </row>
    <row r="430" spans="1:24" x14ac:dyDescent="0.2">
      <c r="A430" s="220">
        <v>43782</v>
      </c>
      <c r="B430" s="130" t="s">
        <v>68</v>
      </c>
      <c r="C430" s="130" t="s">
        <v>102</v>
      </c>
      <c r="D430" s="130" t="s">
        <v>1843</v>
      </c>
      <c r="E430" s="130" t="s">
        <v>1290</v>
      </c>
      <c r="F430" s="130" t="s">
        <v>1700</v>
      </c>
      <c r="G430" s="220">
        <v>43773</v>
      </c>
      <c r="H430" s="130" t="s">
        <v>90</v>
      </c>
      <c r="I430" s="130" t="s">
        <v>91</v>
      </c>
      <c r="J430" s="130" t="s">
        <v>92</v>
      </c>
      <c r="K430" s="130" t="s">
        <v>113</v>
      </c>
      <c r="L430" s="174" t="s">
        <v>71</v>
      </c>
      <c r="M430" s="131" t="s">
        <v>72</v>
      </c>
      <c r="N430" s="130" t="s">
        <v>73</v>
      </c>
      <c r="O430" s="219" t="s">
        <v>69</v>
      </c>
      <c r="P430" s="130" t="s">
        <v>1699</v>
      </c>
      <c r="Q430" s="132" t="s">
        <v>93</v>
      </c>
      <c r="R430" s="218">
        <v>3.3759999000000001</v>
      </c>
      <c r="S430" s="129">
        <v>1</v>
      </c>
      <c r="T430" s="129">
        <v>30</v>
      </c>
      <c r="U430" s="129">
        <v>30</v>
      </c>
      <c r="V430" s="129">
        <v>5.4000019999999997</v>
      </c>
      <c r="W430" s="129">
        <v>35.400002000000001</v>
      </c>
      <c r="X430" s="27">
        <f t="shared" si="174"/>
        <v>101.27999700000001</v>
      </c>
    </row>
    <row r="431" spans="1:24" x14ac:dyDescent="0.2">
      <c r="A431" s="220">
        <v>43782</v>
      </c>
      <c r="B431" s="130" t="s">
        <v>68</v>
      </c>
      <c r="C431" s="130" t="s">
        <v>102</v>
      </c>
      <c r="D431" s="130" t="s">
        <v>1843</v>
      </c>
      <c r="E431" s="130" t="s">
        <v>1290</v>
      </c>
      <c r="F431" s="130" t="s">
        <v>1700</v>
      </c>
      <c r="G431" s="220">
        <v>43773</v>
      </c>
      <c r="H431" s="130" t="s">
        <v>90</v>
      </c>
      <c r="I431" s="130" t="s">
        <v>91</v>
      </c>
      <c r="J431" s="130" t="s">
        <v>95</v>
      </c>
      <c r="K431" s="130" t="s">
        <v>96</v>
      </c>
      <c r="L431" s="174" t="s">
        <v>71</v>
      </c>
      <c r="M431" s="131" t="s">
        <v>72</v>
      </c>
      <c r="N431" s="130" t="s">
        <v>73</v>
      </c>
      <c r="O431" s="219" t="s">
        <v>69</v>
      </c>
      <c r="P431" s="130" t="s">
        <v>1699</v>
      </c>
      <c r="Q431" s="132" t="s">
        <v>93</v>
      </c>
      <c r="R431" s="218">
        <v>3.3759999000000001</v>
      </c>
      <c r="S431" s="129">
        <v>-1</v>
      </c>
      <c r="T431" s="129">
        <v>100</v>
      </c>
      <c r="U431" s="129">
        <v>-100</v>
      </c>
      <c r="V431" s="129">
        <v>-18</v>
      </c>
      <c r="W431" s="129">
        <v>-118</v>
      </c>
      <c r="X431" s="27">
        <f t="shared" si="174"/>
        <v>-337.59998999999999</v>
      </c>
    </row>
    <row r="432" spans="1:24" x14ac:dyDescent="0.2">
      <c r="A432" s="220">
        <v>43783</v>
      </c>
      <c r="B432" s="130" t="s">
        <v>68</v>
      </c>
      <c r="C432" s="130" t="s">
        <v>102</v>
      </c>
      <c r="D432" s="130" t="s">
        <v>626</v>
      </c>
      <c r="E432" s="130" t="s">
        <v>1829</v>
      </c>
      <c r="F432" s="130" t="s">
        <v>1828</v>
      </c>
      <c r="G432" s="220">
        <v>43774</v>
      </c>
      <c r="H432" s="130" t="s">
        <v>1842</v>
      </c>
      <c r="I432" s="130" t="s">
        <v>1841</v>
      </c>
      <c r="J432" s="130" t="s">
        <v>95</v>
      </c>
      <c r="K432" s="130" t="s">
        <v>96</v>
      </c>
      <c r="L432" s="174" t="s">
        <v>71</v>
      </c>
      <c r="M432" s="131" t="s">
        <v>72</v>
      </c>
      <c r="N432" s="130" t="s">
        <v>73</v>
      </c>
      <c r="O432" s="219" t="s">
        <v>69</v>
      </c>
      <c r="P432" s="130" t="s">
        <v>1699</v>
      </c>
      <c r="Q432" s="132" t="s">
        <v>93</v>
      </c>
      <c r="R432" s="218">
        <v>3.3919999999999999</v>
      </c>
      <c r="S432" s="129">
        <v>1</v>
      </c>
      <c r="T432" s="129">
        <v>100</v>
      </c>
      <c r="U432" s="129">
        <v>100</v>
      </c>
      <c r="V432" s="129">
        <v>18</v>
      </c>
      <c r="W432" s="129">
        <v>118</v>
      </c>
      <c r="X432" s="27">
        <f t="shared" si="174"/>
        <v>339.2</v>
      </c>
    </row>
    <row r="433" spans="1:24" x14ac:dyDescent="0.2">
      <c r="A433" s="220">
        <v>43783</v>
      </c>
      <c r="B433" s="130" t="s">
        <v>68</v>
      </c>
      <c r="C433" s="130" t="s">
        <v>102</v>
      </c>
      <c r="D433" s="130" t="s">
        <v>625</v>
      </c>
      <c r="E433" s="130" t="s">
        <v>877</v>
      </c>
      <c r="F433" s="130" t="s">
        <v>1229</v>
      </c>
      <c r="G433" s="220">
        <v>43754</v>
      </c>
      <c r="H433" s="130" t="s">
        <v>387</v>
      </c>
      <c r="I433" s="130" t="s">
        <v>386</v>
      </c>
      <c r="J433" s="130" t="s">
        <v>97</v>
      </c>
      <c r="K433" s="130" t="s">
        <v>98</v>
      </c>
      <c r="L433" s="174" t="s">
        <v>71</v>
      </c>
      <c r="M433" s="131" t="s">
        <v>72</v>
      </c>
      <c r="N433" s="130" t="s">
        <v>73</v>
      </c>
      <c r="O433" s="219" t="s">
        <v>99</v>
      </c>
      <c r="P433" s="130" t="s">
        <v>98</v>
      </c>
      <c r="Q433" s="132" t="s">
        <v>74</v>
      </c>
      <c r="R433" s="218">
        <v>3.3919999999999999</v>
      </c>
      <c r="S433" s="129">
        <v>1</v>
      </c>
      <c r="T433" s="129">
        <v>2295</v>
      </c>
      <c r="U433" s="129">
        <v>2295</v>
      </c>
      <c r="V433" s="129">
        <v>413.10010000000011</v>
      </c>
      <c r="W433" s="129">
        <v>2708.1001000000001</v>
      </c>
      <c r="X433" s="27">
        <f t="shared" si="174"/>
        <v>2295</v>
      </c>
    </row>
    <row r="434" spans="1:24" x14ac:dyDescent="0.2">
      <c r="A434" s="220">
        <v>43783</v>
      </c>
      <c r="B434" s="130" t="s">
        <v>68</v>
      </c>
      <c r="C434" s="130" t="s">
        <v>102</v>
      </c>
      <c r="D434" s="130" t="s">
        <v>625</v>
      </c>
      <c r="E434" s="130" t="s">
        <v>877</v>
      </c>
      <c r="F434" s="130" t="s">
        <v>1229</v>
      </c>
      <c r="G434" s="220">
        <v>43754</v>
      </c>
      <c r="H434" s="130" t="s">
        <v>387</v>
      </c>
      <c r="I434" s="130" t="s">
        <v>386</v>
      </c>
      <c r="J434" s="130" t="s">
        <v>100</v>
      </c>
      <c r="K434" s="130" t="s">
        <v>101</v>
      </c>
      <c r="L434" s="174" t="s">
        <v>71</v>
      </c>
      <c r="M434" s="131" t="s">
        <v>72</v>
      </c>
      <c r="N434" s="130" t="s">
        <v>73</v>
      </c>
      <c r="O434" s="219" t="s">
        <v>72</v>
      </c>
      <c r="P434" s="130" t="s">
        <v>101</v>
      </c>
      <c r="Q434" s="132" t="s">
        <v>74</v>
      </c>
      <c r="R434" s="218">
        <v>3.3919999999999999</v>
      </c>
      <c r="S434" s="129">
        <v>1</v>
      </c>
      <c r="T434" s="129">
        <v>1225</v>
      </c>
      <c r="U434" s="129">
        <v>1225</v>
      </c>
      <c r="V434" s="129">
        <v>220.5</v>
      </c>
      <c r="W434" s="129">
        <v>1445.5</v>
      </c>
      <c r="X434" s="27">
        <f t="shared" si="174"/>
        <v>1225</v>
      </c>
    </row>
    <row r="435" spans="1:24" x14ac:dyDescent="0.2">
      <c r="A435" s="220">
        <v>43783</v>
      </c>
      <c r="B435" s="130" t="s">
        <v>68</v>
      </c>
      <c r="C435" s="130" t="s">
        <v>102</v>
      </c>
      <c r="D435" s="130" t="s">
        <v>625</v>
      </c>
      <c r="E435" s="130" t="s">
        <v>877</v>
      </c>
      <c r="F435" s="130" t="s">
        <v>1229</v>
      </c>
      <c r="G435" s="220">
        <v>43754</v>
      </c>
      <c r="H435" s="130" t="s">
        <v>387</v>
      </c>
      <c r="I435" s="130" t="s">
        <v>386</v>
      </c>
      <c r="J435" s="130" t="s">
        <v>92</v>
      </c>
      <c r="K435" s="130" t="s">
        <v>113</v>
      </c>
      <c r="L435" s="174" t="s">
        <v>71</v>
      </c>
      <c r="M435" s="131" t="s">
        <v>72</v>
      </c>
      <c r="N435" s="130" t="s">
        <v>73</v>
      </c>
      <c r="O435" s="219" t="s">
        <v>69</v>
      </c>
      <c r="P435" s="130" t="s">
        <v>1699</v>
      </c>
      <c r="Q435" s="132" t="s">
        <v>74</v>
      </c>
      <c r="R435" s="218">
        <v>3.3919999999999999</v>
      </c>
      <c r="S435" s="129">
        <v>1</v>
      </c>
      <c r="T435" s="129">
        <v>380</v>
      </c>
      <c r="U435" s="129">
        <v>380</v>
      </c>
      <c r="V435" s="129">
        <v>68.399990000000031</v>
      </c>
      <c r="W435" s="129">
        <v>448.39999000000006</v>
      </c>
      <c r="X435" s="27">
        <f t="shared" si="174"/>
        <v>380</v>
      </c>
    </row>
    <row r="436" spans="1:24" x14ac:dyDescent="0.2">
      <c r="A436" s="220">
        <v>43783</v>
      </c>
      <c r="B436" s="130" t="s">
        <v>68</v>
      </c>
      <c r="C436" s="130" t="s">
        <v>102</v>
      </c>
      <c r="D436" s="130" t="s">
        <v>625</v>
      </c>
      <c r="E436" s="130" t="s">
        <v>877</v>
      </c>
      <c r="F436" s="130" t="s">
        <v>1229</v>
      </c>
      <c r="G436" s="220">
        <v>43754</v>
      </c>
      <c r="H436" s="130" t="s">
        <v>387</v>
      </c>
      <c r="I436" s="130" t="s">
        <v>386</v>
      </c>
      <c r="J436" s="130" t="s">
        <v>132</v>
      </c>
      <c r="K436" s="130" t="s">
        <v>94</v>
      </c>
      <c r="L436" s="174" t="s">
        <v>71</v>
      </c>
      <c r="M436" s="131" t="s">
        <v>72</v>
      </c>
      <c r="N436" s="130" t="s">
        <v>73</v>
      </c>
      <c r="O436" s="219" t="s">
        <v>69</v>
      </c>
      <c r="P436" s="130" t="s">
        <v>1699</v>
      </c>
      <c r="Q436" s="132" t="s">
        <v>74</v>
      </c>
      <c r="R436" s="218">
        <v>3.3919999999999999</v>
      </c>
      <c r="S436" s="129">
        <v>1</v>
      </c>
      <c r="T436" s="129">
        <v>310</v>
      </c>
      <c r="U436" s="129">
        <v>310</v>
      </c>
      <c r="V436" s="129">
        <v>55.799990000000037</v>
      </c>
      <c r="W436" s="129">
        <v>365.79999000000004</v>
      </c>
      <c r="X436" s="27">
        <f t="shared" si="174"/>
        <v>310</v>
      </c>
    </row>
    <row r="437" spans="1:24" x14ac:dyDescent="0.2">
      <c r="A437" s="220">
        <v>43783</v>
      </c>
      <c r="B437" s="130" t="s">
        <v>68</v>
      </c>
      <c r="C437" s="130" t="s">
        <v>102</v>
      </c>
      <c r="D437" s="130" t="s">
        <v>625</v>
      </c>
      <c r="E437" s="130" t="s">
        <v>877</v>
      </c>
      <c r="F437" s="130" t="s">
        <v>1229</v>
      </c>
      <c r="G437" s="220">
        <v>43754</v>
      </c>
      <c r="H437" s="130" t="s">
        <v>387</v>
      </c>
      <c r="I437" s="130" t="s">
        <v>386</v>
      </c>
      <c r="J437" s="130" t="s">
        <v>139</v>
      </c>
      <c r="K437" s="130" t="s">
        <v>621</v>
      </c>
      <c r="L437" s="174" t="s">
        <v>71</v>
      </c>
      <c r="M437" s="131" t="s">
        <v>72</v>
      </c>
      <c r="N437" s="130" t="s">
        <v>73</v>
      </c>
      <c r="O437" s="219" t="s">
        <v>69</v>
      </c>
      <c r="P437" s="130" t="s">
        <v>1699</v>
      </c>
      <c r="Q437" s="132" t="s">
        <v>74</v>
      </c>
      <c r="R437" s="218">
        <v>3.3919999999999999</v>
      </c>
      <c r="S437" s="129">
        <v>1</v>
      </c>
      <c r="T437" s="129">
        <v>1529</v>
      </c>
      <c r="U437" s="129">
        <v>1529</v>
      </c>
      <c r="V437" s="129">
        <v>275.22000000000003</v>
      </c>
      <c r="W437" s="129">
        <v>1804.22</v>
      </c>
      <c r="X437" s="27">
        <f t="shared" si="174"/>
        <v>1529</v>
      </c>
    </row>
    <row r="438" spans="1:24" x14ac:dyDescent="0.2">
      <c r="A438" s="220">
        <v>43783</v>
      </c>
      <c r="B438" s="130" t="s">
        <v>68</v>
      </c>
      <c r="C438" s="130" t="s">
        <v>102</v>
      </c>
      <c r="D438" s="130" t="s">
        <v>625</v>
      </c>
      <c r="E438" s="130" t="s">
        <v>877</v>
      </c>
      <c r="F438" s="130" t="s">
        <v>1229</v>
      </c>
      <c r="G438" s="220">
        <v>43754</v>
      </c>
      <c r="H438" s="130" t="s">
        <v>387</v>
      </c>
      <c r="I438" s="130" t="s">
        <v>386</v>
      </c>
      <c r="J438" s="130" t="s">
        <v>70</v>
      </c>
      <c r="K438" s="130" t="s">
        <v>112</v>
      </c>
      <c r="L438" s="174" t="s">
        <v>71</v>
      </c>
      <c r="M438" s="131" t="s">
        <v>72</v>
      </c>
      <c r="N438" s="130" t="s">
        <v>73</v>
      </c>
      <c r="O438" s="219" t="s">
        <v>69</v>
      </c>
      <c r="P438" s="130" t="s">
        <v>1699</v>
      </c>
      <c r="Q438" s="132" t="s">
        <v>74</v>
      </c>
      <c r="R438" s="218">
        <v>3.3919999999999999</v>
      </c>
      <c r="S438" s="129">
        <v>1</v>
      </c>
      <c r="T438" s="129">
        <v>358.75421</v>
      </c>
      <c r="U438" s="129">
        <v>358.75421</v>
      </c>
      <c r="V438" s="129">
        <v>64.575780000000009</v>
      </c>
      <c r="W438" s="129">
        <v>423.32999000000001</v>
      </c>
      <c r="X438" s="27">
        <f t="shared" si="174"/>
        <v>358.75421</v>
      </c>
    </row>
    <row r="439" spans="1:24" x14ac:dyDescent="0.2">
      <c r="A439" s="220">
        <v>43783</v>
      </c>
      <c r="B439" s="130" t="s">
        <v>68</v>
      </c>
      <c r="C439" s="130" t="s">
        <v>102</v>
      </c>
      <c r="D439" s="130" t="s">
        <v>625</v>
      </c>
      <c r="E439" s="130" t="s">
        <v>877</v>
      </c>
      <c r="F439" s="130" t="s">
        <v>1229</v>
      </c>
      <c r="G439" s="220">
        <v>43754</v>
      </c>
      <c r="H439" s="130" t="s">
        <v>387</v>
      </c>
      <c r="I439" s="130" t="s">
        <v>386</v>
      </c>
      <c r="J439" s="130" t="s">
        <v>104</v>
      </c>
      <c r="K439" s="130" t="s">
        <v>105</v>
      </c>
      <c r="L439" s="174" t="s">
        <v>71</v>
      </c>
      <c r="M439" s="131" t="s">
        <v>72</v>
      </c>
      <c r="N439" s="130" t="s">
        <v>73</v>
      </c>
      <c r="O439" s="219" t="s">
        <v>69</v>
      </c>
      <c r="P439" s="130" t="s">
        <v>1699</v>
      </c>
      <c r="Q439" s="132" t="s">
        <v>74</v>
      </c>
      <c r="R439" s="218">
        <v>3.3919999999999999</v>
      </c>
      <c r="S439" s="129">
        <v>1</v>
      </c>
      <c r="T439" s="129">
        <v>3777</v>
      </c>
      <c r="U439" s="129">
        <v>3777</v>
      </c>
      <c r="V439" s="129">
        <v>679.85989999999993</v>
      </c>
      <c r="W439" s="129">
        <v>4456.8598999999995</v>
      </c>
      <c r="X439" s="27">
        <f t="shared" si="174"/>
        <v>3777</v>
      </c>
    </row>
    <row r="440" spans="1:24" x14ac:dyDescent="0.2">
      <c r="A440" s="220">
        <v>43783</v>
      </c>
      <c r="B440" s="130" t="s">
        <v>68</v>
      </c>
      <c r="C440" s="130" t="s">
        <v>102</v>
      </c>
      <c r="D440" s="130" t="s">
        <v>624</v>
      </c>
      <c r="E440" s="130" t="s">
        <v>848</v>
      </c>
      <c r="F440" s="130" t="s">
        <v>949</v>
      </c>
      <c r="G440" s="220">
        <v>43754</v>
      </c>
      <c r="H440" s="130" t="s">
        <v>387</v>
      </c>
      <c r="I440" s="130" t="s">
        <v>386</v>
      </c>
      <c r="J440" s="130" t="s">
        <v>97</v>
      </c>
      <c r="K440" s="130" t="s">
        <v>98</v>
      </c>
      <c r="L440" s="174" t="s">
        <v>71</v>
      </c>
      <c r="M440" s="131" t="s">
        <v>72</v>
      </c>
      <c r="N440" s="130" t="s">
        <v>73</v>
      </c>
      <c r="O440" s="219" t="s">
        <v>99</v>
      </c>
      <c r="P440" s="130" t="s">
        <v>98</v>
      </c>
      <c r="Q440" s="132" t="s">
        <v>74</v>
      </c>
      <c r="R440" s="218">
        <v>3.3919999999999999</v>
      </c>
      <c r="S440" s="129">
        <v>1</v>
      </c>
      <c r="T440" s="129">
        <v>2295</v>
      </c>
      <c r="U440" s="129">
        <v>2295</v>
      </c>
      <c r="V440" s="129">
        <v>413.10010000000011</v>
      </c>
      <c r="W440" s="129">
        <v>2708.1001000000001</v>
      </c>
      <c r="X440" s="27">
        <f t="shared" si="174"/>
        <v>2295</v>
      </c>
    </row>
    <row r="441" spans="1:24" x14ac:dyDescent="0.2">
      <c r="A441" s="220">
        <v>43783</v>
      </c>
      <c r="B441" s="130" t="s">
        <v>68</v>
      </c>
      <c r="C441" s="130" t="s">
        <v>102</v>
      </c>
      <c r="D441" s="130" t="s">
        <v>624</v>
      </c>
      <c r="E441" s="130" t="s">
        <v>848</v>
      </c>
      <c r="F441" s="130" t="s">
        <v>949</v>
      </c>
      <c r="G441" s="220">
        <v>43754</v>
      </c>
      <c r="H441" s="130" t="s">
        <v>387</v>
      </c>
      <c r="I441" s="130" t="s">
        <v>386</v>
      </c>
      <c r="J441" s="130" t="s">
        <v>100</v>
      </c>
      <c r="K441" s="130" t="s">
        <v>101</v>
      </c>
      <c r="L441" s="174" t="s">
        <v>71</v>
      </c>
      <c r="M441" s="131" t="s">
        <v>72</v>
      </c>
      <c r="N441" s="130" t="s">
        <v>73</v>
      </c>
      <c r="O441" s="219" t="s">
        <v>72</v>
      </c>
      <c r="P441" s="130" t="s">
        <v>101</v>
      </c>
      <c r="Q441" s="132" t="s">
        <v>74</v>
      </c>
      <c r="R441" s="218">
        <v>3.3919999999999999</v>
      </c>
      <c r="S441" s="129">
        <v>1</v>
      </c>
      <c r="T441" s="129">
        <v>2030</v>
      </c>
      <c r="U441" s="129">
        <v>2030</v>
      </c>
      <c r="V441" s="129">
        <v>365.39989999999989</v>
      </c>
      <c r="W441" s="129">
        <v>2395.3998999999999</v>
      </c>
      <c r="X441" s="27">
        <f t="shared" si="174"/>
        <v>2030</v>
      </c>
    </row>
    <row r="442" spans="1:24" x14ac:dyDescent="0.2">
      <c r="A442" s="220">
        <v>43783</v>
      </c>
      <c r="B442" s="130" t="s">
        <v>68</v>
      </c>
      <c r="C442" s="130" t="s">
        <v>102</v>
      </c>
      <c r="D442" s="130" t="s">
        <v>624</v>
      </c>
      <c r="E442" s="130" t="s">
        <v>848</v>
      </c>
      <c r="F442" s="130" t="s">
        <v>949</v>
      </c>
      <c r="G442" s="220">
        <v>43754</v>
      </c>
      <c r="H442" s="130" t="s">
        <v>387</v>
      </c>
      <c r="I442" s="130" t="s">
        <v>386</v>
      </c>
      <c r="J442" s="130" t="s">
        <v>92</v>
      </c>
      <c r="K442" s="130" t="s">
        <v>113</v>
      </c>
      <c r="L442" s="174" t="s">
        <v>71</v>
      </c>
      <c r="M442" s="131" t="s">
        <v>72</v>
      </c>
      <c r="N442" s="130" t="s">
        <v>73</v>
      </c>
      <c r="O442" s="219" t="s">
        <v>69</v>
      </c>
      <c r="P442" s="130" t="s">
        <v>1699</v>
      </c>
      <c r="Q442" s="132" t="s">
        <v>74</v>
      </c>
      <c r="R442" s="218">
        <v>3.3919999999999999</v>
      </c>
      <c r="S442" s="129">
        <v>1</v>
      </c>
      <c r="T442" s="129">
        <v>420</v>
      </c>
      <c r="U442" s="129">
        <v>420</v>
      </c>
      <c r="V442" s="129">
        <v>75.600009999999898</v>
      </c>
      <c r="W442" s="129">
        <v>495.60000999999988</v>
      </c>
      <c r="X442" s="27">
        <f t="shared" si="174"/>
        <v>420</v>
      </c>
    </row>
    <row r="443" spans="1:24" x14ac:dyDescent="0.2">
      <c r="A443" s="220">
        <v>43783</v>
      </c>
      <c r="B443" s="130" t="s">
        <v>68</v>
      </c>
      <c r="C443" s="130" t="s">
        <v>102</v>
      </c>
      <c r="D443" s="130" t="s">
        <v>624</v>
      </c>
      <c r="E443" s="130" t="s">
        <v>848</v>
      </c>
      <c r="F443" s="130" t="s">
        <v>949</v>
      </c>
      <c r="G443" s="220">
        <v>43754</v>
      </c>
      <c r="H443" s="130" t="s">
        <v>387</v>
      </c>
      <c r="I443" s="130" t="s">
        <v>386</v>
      </c>
      <c r="J443" s="130" t="s">
        <v>132</v>
      </c>
      <c r="K443" s="130" t="s">
        <v>107</v>
      </c>
      <c r="L443" s="174" t="s">
        <v>71</v>
      </c>
      <c r="M443" s="131" t="s">
        <v>72</v>
      </c>
      <c r="N443" s="130" t="s">
        <v>73</v>
      </c>
      <c r="O443" s="219" t="s">
        <v>69</v>
      </c>
      <c r="P443" s="130" t="s">
        <v>1699</v>
      </c>
      <c r="Q443" s="132" t="s">
        <v>74</v>
      </c>
      <c r="R443" s="218">
        <v>3.3919999999999999</v>
      </c>
      <c r="S443" s="129">
        <v>1</v>
      </c>
      <c r="T443" s="129">
        <v>35</v>
      </c>
      <c r="U443" s="129">
        <v>35</v>
      </c>
      <c r="V443" s="129">
        <v>6.299998999999989</v>
      </c>
      <c r="W443" s="129">
        <v>41.299998999999985</v>
      </c>
      <c r="X443" s="27">
        <f t="shared" si="174"/>
        <v>35</v>
      </c>
    </row>
    <row r="444" spans="1:24" x14ac:dyDescent="0.2">
      <c r="A444" s="220">
        <v>43783</v>
      </c>
      <c r="B444" s="130" t="s">
        <v>68</v>
      </c>
      <c r="C444" s="130" t="s">
        <v>102</v>
      </c>
      <c r="D444" s="130" t="s">
        <v>624</v>
      </c>
      <c r="E444" s="130" t="s">
        <v>848</v>
      </c>
      <c r="F444" s="130" t="s">
        <v>949</v>
      </c>
      <c r="G444" s="220">
        <v>43754</v>
      </c>
      <c r="H444" s="130" t="s">
        <v>387</v>
      </c>
      <c r="I444" s="130" t="s">
        <v>386</v>
      </c>
      <c r="J444" s="130" t="s">
        <v>139</v>
      </c>
      <c r="K444" s="130" t="s">
        <v>133</v>
      </c>
      <c r="L444" s="174" t="s">
        <v>71</v>
      </c>
      <c r="M444" s="131" t="s">
        <v>72</v>
      </c>
      <c r="N444" s="130" t="s">
        <v>73</v>
      </c>
      <c r="O444" s="219" t="s">
        <v>69</v>
      </c>
      <c r="P444" s="130" t="s">
        <v>1699</v>
      </c>
      <c r="Q444" s="132" t="s">
        <v>74</v>
      </c>
      <c r="R444" s="218">
        <v>3.3919999999999999</v>
      </c>
      <c r="S444" s="129">
        <v>2</v>
      </c>
      <c r="T444" s="129">
        <v>120</v>
      </c>
      <c r="U444" s="129">
        <v>240</v>
      </c>
      <c r="V444" s="129">
        <v>43.200020000000038</v>
      </c>
      <c r="W444" s="129">
        <v>283.20002000000005</v>
      </c>
      <c r="X444" s="27">
        <f t="shared" si="174"/>
        <v>240</v>
      </c>
    </row>
    <row r="445" spans="1:24" x14ac:dyDescent="0.2">
      <c r="A445" s="220">
        <v>43783</v>
      </c>
      <c r="B445" s="130" t="s">
        <v>68</v>
      </c>
      <c r="C445" s="130" t="s">
        <v>102</v>
      </c>
      <c r="D445" s="130" t="s">
        <v>624</v>
      </c>
      <c r="E445" s="130" t="s">
        <v>848</v>
      </c>
      <c r="F445" s="130" t="s">
        <v>949</v>
      </c>
      <c r="G445" s="220">
        <v>43754</v>
      </c>
      <c r="H445" s="130" t="s">
        <v>387</v>
      </c>
      <c r="I445" s="130" t="s">
        <v>386</v>
      </c>
      <c r="J445" s="130" t="s">
        <v>70</v>
      </c>
      <c r="K445" s="130" t="s">
        <v>112</v>
      </c>
      <c r="L445" s="174" t="s">
        <v>71</v>
      </c>
      <c r="M445" s="131" t="s">
        <v>72</v>
      </c>
      <c r="N445" s="130" t="s">
        <v>73</v>
      </c>
      <c r="O445" s="219" t="s">
        <v>69</v>
      </c>
      <c r="P445" s="130" t="s">
        <v>1699</v>
      </c>
      <c r="Q445" s="132" t="s">
        <v>74</v>
      </c>
      <c r="R445" s="218">
        <v>3.3919999999999999</v>
      </c>
      <c r="S445" s="129">
        <v>1</v>
      </c>
      <c r="T445" s="129">
        <v>358.75421</v>
      </c>
      <c r="U445" s="129">
        <v>358.75421</v>
      </c>
      <c r="V445" s="129">
        <v>64.575780000000009</v>
      </c>
      <c r="W445" s="129">
        <v>423.32999000000001</v>
      </c>
      <c r="X445" s="27">
        <f t="shared" si="174"/>
        <v>358.75421</v>
      </c>
    </row>
    <row r="446" spans="1:24" x14ac:dyDescent="0.2">
      <c r="A446" s="220">
        <v>43783</v>
      </c>
      <c r="B446" s="130" t="s">
        <v>68</v>
      </c>
      <c r="C446" s="130" t="s">
        <v>102</v>
      </c>
      <c r="D446" s="130" t="s">
        <v>624</v>
      </c>
      <c r="E446" s="130" t="s">
        <v>848</v>
      </c>
      <c r="F446" s="130" t="s">
        <v>949</v>
      </c>
      <c r="G446" s="220">
        <v>43754</v>
      </c>
      <c r="H446" s="130" t="s">
        <v>387</v>
      </c>
      <c r="I446" s="130" t="s">
        <v>386</v>
      </c>
      <c r="J446" s="130" t="s">
        <v>104</v>
      </c>
      <c r="K446" s="130" t="s">
        <v>105</v>
      </c>
      <c r="L446" s="174" t="s">
        <v>71</v>
      </c>
      <c r="M446" s="131" t="s">
        <v>72</v>
      </c>
      <c r="N446" s="130" t="s">
        <v>73</v>
      </c>
      <c r="O446" s="219" t="s">
        <v>69</v>
      </c>
      <c r="P446" s="130" t="s">
        <v>1699</v>
      </c>
      <c r="Q446" s="132" t="s">
        <v>74</v>
      </c>
      <c r="R446" s="218">
        <v>3.3919999999999999</v>
      </c>
      <c r="S446" s="129">
        <v>1</v>
      </c>
      <c r="T446" s="129">
        <v>2460</v>
      </c>
      <c r="U446" s="129">
        <v>2460</v>
      </c>
      <c r="V446" s="129">
        <v>442.8</v>
      </c>
      <c r="W446" s="129">
        <v>2902.8</v>
      </c>
      <c r="X446" s="27">
        <f t="shared" si="174"/>
        <v>2460</v>
      </c>
    </row>
    <row r="447" spans="1:24" x14ac:dyDescent="0.2">
      <c r="A447" s="220">
        <v>43783</v>
      </c>
      <c r="B447" s="130" t="s">
        <v>68</v>
      </c>
      <c r="C447" s="130" t="s">
        <v>102</v>
      </c>
      <c r="D447" s="130" t="s">
        <v>623</v>
      </c>
      <c r="E447" s="130" t="s">
        <v>1250</v>
      </c>
      <c r="F447" s="130" t="s">
        <v>1251</v>
      </c>
      <c r="G447" s="220">
        <v>43777</v>
      </c>
      <c r="H447" s="130" t="s">
        <v>387</v>
      </c>
      <c r="I447" s="130" t="s">
        <v>386</v>
      </c>
      <c r="J447" s="130" t="s">
        <v>97</v>
      </c>
      <c r="K447" s="130" t="s">
        <v>98</v>
      </c>
      <c r="L447" s="174" t="s">
        <v>71</v>
      </c>
      <c r="M447" s="131" t="s">
        <v>72</v>
      </c>
      <c r="N447" s="130" t="s">
        <v>73</v>
      </c>
      <c r="O447" s="219" t="s">
        <v>99</v>
      </c>
      <c r="P447" s="130" t="s">
        <v>98</v>
      </c>
      <c r="Q447" s="132" t="s">
        <v>74</v>
      </c>
      <c r="R447" s="218">
        <v>3.3919999999999999</v>
      </c>
      <c r="S447" s="129">
        <v>1</v>
      </c>
      <c r="T447" s="129">
        <v>405</v>
      </c>
      <c r="U447" s="129">
        <v>405</v>
      </c>
      <c r="V447" s="129">
        <v>72.899990000000031</v>
      </c>
      <c r="W447" s="129">
        <v>477.89999000000006</v>
      </c>
      <c r="X447" s="27">
        <f t="shared" si="174"/>
        <v>405</v>
      </c>
    </row>
    <row r="448" spans="1:24" x14ac:dyDescent="0.2">
      <c r="A448" s="220">
        <v>43783</v>
      </c>
      <c r="B448" s="130" t="s">
        <v>68</v>
      </c>
      <c r="C448" s="130" t="s">
        <v>102</v>
      </c>
      <c r="D448" s="130" t="s">
        <v>623</v>
      </c>
      <c r="E448" s="130" t="s">
        <v>1250</v>
      </c>
      <c r="F448" s="130" t="s">
        <v>1251</v>
      </c>
      <c r="G448" s="220">
        <v>43777</v>
      </c>
      <c r="H448" s="130" t="s">
        <v>387</v>
      </c>
      <c r="I448" s="130" t="s">
        <v>386</v>
      </c>
      <c r="J448" s="130" t="s">
        <v>92</v>
      </c>
      <c r="K448" s="130" t="s">
        <v>113</v>
      </c>
      <c r="L448" s="174" t="s">
        <v>71</v>
      </c>
      <c r="M448" s="131" t="s">
        <v>72</v>
      </c>
      <c r="N448" s="130" t="s">
        <v>73</v>
      </c>
      <c r="O448" s="219" t="s">
        <v>69</v>
      </c>
      <c r="P448" s="130" t="s">
        <v>1699</v>
      </c>
      <c r="Q448" s="132" t="s">
        <v>74</v>
      </c>
      <c r="R448" s="218">
        <v>3.3919999999999999</v>
      </c>
      <c r="S448" s="129">
        <v>1</v>
      </c>
      <c r="T448" s="129">
        <v>360</v>
      </c>
      <c r="U448" s="129">
        <v>360</v>
      </c>
      <c r="V448" s="129">
        <v>64.799990000000037</v>
      </c>
      <c r="W448" s="129">
        <v>424.79999000000004</v>
      </c>
      <c r="X448" s="27">
        <f t="shared" si="174"/>
        <v>360</v>
      </c>
    </row>
    <row r="449" spans="1:24" x14ac:dyDescent="0.2">
      <c r="A449" s="220">
        <v>43783</v>
      </c>
      <c r="B449" s="130" t="s">
        <v>68</v>
      </c>
      <c r="C449" s="130" t="s">
        <v>102</v>
      </c>
      <c r="D449" s="130" t="s">
        <v>623</v>
      </c>
      <c r="E449" s="130" t="s">
        <v>1250</v>
      </c>
      <c r="F449" s="130" t="s">
        <v>1251</v>
      </c>
      <c r="G449" s="220">
        <v>43777</v>
      </c>
      <c r="H449" s="130" t="s">
        <v>387</v>
      </c>
      <c r="I449" s="130" t="s">
        <v>386</v>
      </c>
      <c r="J449" s="130" t="s">
        <v>70</v>
      </c>
      <c r="K449" s="130" t="s">
        <v>112</v>
      </c>
      <c r="L449" s="174" t="s">
        <v>71</v>
      </c>
      <c r="M449" s="131" t="s">
        <v>72</v>
      </c>
      <c r="N449" s="130" t="s">
        <v>73</v>
      </c>
      <c r="O449" s="219" t="s">
        <v>69</v>
      </c>
      <c r="P449" s="130" t="s">
        <v>1699</v>
      </c>
      <c r="Q449" s="132" t="s">
        <v>74</v>
      </c>
      <c r="R449" s="218">
        <v>3.3919999999999999</v>
      </c>
      <c r="S449" s="129">
        <v>1</v>
      </c>
      <c r="T449" s="129">
        <v>70</v>
      </c>
      <c r="U449" s="129">
        <v>70</v>
      </c>
      <c r="V449" s="129">
        <v>12.599997999999978</v>
      </c>
      <c r="W449" s="129">
        <v>82.599997999999971</v>
      </c>
      <c r="X449" s="27">
        <f t="shared" si="174"/>
        <v>70</v>
      </c>
    </row>
    <row r="450" spans="1:24" x14ac:dyDescent="0.2">
      <c r="A450" s="220">
        <v>43783</v>
      </c>
      <c r="B450" s="130" t="s">
        <v>68</v>
      </c>
      <c r="C450" s="130" t="s">
        <v>102</v>
      </c>
      <c r="D450" s="130" t="s">
        <v>623</v>
      </c>
      <c r="E450" s="130" t="s">
        <v>1250</v>
      </c>
      <c r="F450" s="130" t="s">
        <v>1251</v>
      </c>
      <c r="G450" s="220">
        <v>43777</v>
      </c>
      <c r="H450" s="130" t="s">
        <v>387</v>
      </c>
      <c r="I450" s="130" t="s">
        <v>386</v>
      </c>
      <c r="J450" s="130" t="s">
        <v>104</v>
      </c>
      <c r="K450" s="130" t="s">
        <v>105</v>
      </c>
      <c r="L450" s="174" t="s">
        <v>71</v>
      </c>
      <c r="M450" s="131" t="s">
        <v>72</v>
      </c>
      <c r="N450" s="130" t="s">
        <v>73</v>
      </c>
      <c r="O450" s="219" t="s">
        <v>69</v>
      </c>
      <c r="P450" s="130" t="s">
        <v>1699</v>
      </c>
      <c r="Q450" s="132" t="s">
        <v>74</v>
      </c>
      <c r="R450" s="218">
        <v>3.3919999999999999</v>
      </c>
      <c r="S450" s="129">
        <v>1</v>
      </c>
      <c r="T450" s="129">
        <v>1058</v>
      </c>
      <c r="U450" s="129">
        <v>1058</v>
      </c>
      <c r="V450" s="129">
        <v>190.43989999999991</v>
      </c>
      <c r="W450" s="129">
        <v>1248.4398999999999</v>
      </c>
      <c r="X450" s="27">
        <f t="shared" si="174"/>
        <v>1058</v>
      </c>
    </row>
    <row r="451" spans="1:24" x14ac:dyDescent="0.2">
      <c r="A451" s="220">
        <v>43783</v>
      </c>
      <c r="B451" s="130" t="s">
        <v>68</v>
      </c>
      <c r="C451" s="130" t="s">
        <v>102</v>
      </c>
      <c r="D451" s="130" t="s">
        <v>622</v>
      </c>
      <c r="E451" s="130" t="s">
        <v>1246</v>
      </c>
      <c r="F451" s="130" t="s">
        <v>1247</v>
      </c>
      <c r="G451" s="220">
        <v>43775</v>
      </c>
      <c r="H451" s="130" t="s">
        <v>387</v>
      </c>
      <c r="I451" s="130" t="s">
        <v>386</v>
      </c>
      <c r="J451" s="130" t="s">
        <v>97</v>
      </c>
      <c r="K451" s="130" t="s">
        <v>98</v>
      </c>
      <c r="L451" s="174" t="s">
        <v>71</v>
      </c>
      <c r="M451" s="131" t="s">
        <v>72</v>
      </c>
      <c r="N451" s="130" t="s">
        <v>73</v>
      </c>
      <c r="O451" s="219" t="s">
        <v>99</v>
      </c>
      <c r="P451" s="130" t="s">
        <v>98</v>
      </c>
      <c r="Q451" s="132" t="s">
        <v>74</v>
      </c>
      <c r="R451" s="218">
        <v>3.3919999999999999</v>
      </c>
      <c r="S451" s="129">
        <v>1</v>
      </c>
      <c r="T451" s="129">
        <v>2700</v>
      </c>
      <c r="U451" s="129">
        <v>2700</v>
      </c>
      <c r="V451" s="129">
        <v>486</v>
      </c>
      <c r="W451" s="129">
        <v>3186</v>
      </c>
      <c r="X451" s="27">
        <f t="shared" si="174"/>
        <v>2700</v>
      </c>
    </row>
    <row r="452" spans="1:24" x14ac:dyDescent="0.2">
      <c r="A452" s="220">
        <v>43783</v>
      </c>
      <c r="B452" s="130" t="s">
        <v>68</v>
      </c>
      <c r="C452" s="130" t="s">
        <v>102</v>
      </c>
      <c r="D452" s="130" t="s">
        <v>622</v>
      </c>
      <c r="E452" s="130" t="s">
        <v>1246</v>
      </c>
      <c r="F452" s="130" t="s">
        <v>1247</v>
      </c>
      <c r="G452" s="220">
        <v>43775</v>
      </c>
      <c r="H452" s="130" t="s">
        <v>387</v>
      </c>
      <c r="I452" s="130" t="s">
        <v>386</v>
      </c>
      <c r="J452" s="130" t="s">
        <v>100</v>
      </c>
      <c r="K452" s="130" t="s">
        <v>101</v>
      </c>
      <c r="L452" s="174" t="s">
        <v>71</v>
      </c>
      <c r="M452" s="131" t="s">
        <v>72</v>
      </c>
      <c r="N452" s="130" t="s">
        <v>73</v>
      </c>
      <c r="O452" s="219" t="s">
        <v>72</v>
      </c>
      <c r="P452" s="130" t="s">
        <v>101</v>
      </c>
      <c r="Q452" s="132" t="s">
        <v>74</v>
      </c>
      <c r="R452" s="218">
        <v>3.3919999999999999</v>
      </c>
      <c r="S452" s="129">
        <v>1</v>
      </c>
      <c r="T452" s="129">
        <v>1470</v>
      </c>
      <c r="U452" s="129">
        <v>1470</v>
      </c>
      <c r="V452" s="129">
        <v>264.60000000000002</v>
      </c>
      <c r="W452" s="129">
        <v>1734.6</v>
      </c>
      <c r="X452" s="27">
        <f t="shared" si="174"/>
        <v>1470</v>
      </c>
    </row>
    <row r="453" spans="1:24" x14ac:dyDescent="0.2">
      <c r="A453" s="220">
        <v>43783</v>
      </c>
      <c r="B453" s="130" t="s">
        <v>68</v>
      </c>
      <c r="C453" s="130" t="s">
        <v>102</v>
      </c>
      <c r="D453" s="130" t="s">
        <v>622</v>
      </c>
      <c r="E453" s="130" t="s">
        <v>1246</v>
      </c>
      <c r="F453" s="130" t="s">
        <v>1247</v>
      </c>
      <c r="G453" s="220">
        <v>43775</v>
      </c>
      <c r="H453" s="130" t="s">
        <v>387</v>
      </c>
      <c r="I453" s="130" t="s">
        <v>386</v>
      </c>
      <c r="J453" s="130" t="s">
        <v>92</v>
      </c>
      <c r="K453" s="130" t="s">
        <v>113</v>
      </c>
      <c r="L453" s="174" t="s">
        <v>71</v>
      </c>
      <c r="M453" s="131" t="s">
        <v>72</v>
      </c>
      <c r="N453" s="130" t="s">
        <v>73</v>
      </c>
      <c r="O453" s="219" t="s">
        <v>69</v>
      </c>
      <c r="P453" s="130" t="s">
        <v>1699</v>
      </c>
      <c r="Q453" s="132" t="s">
        <v>74</v>
      </c>
      <c r="R453" s="218">
        <v>3.3919999999999999</v>
      </c>
      <c r="S453" s="129">
        <v>1</v>
      </c>
      <c r="T453" s="129">
        <v>970</v>
      </c>
      <c r="U453" s="129">
        <v>970</v>
      </c>
      <c r="V453" s="129">
        <v>174.59999999999985</v>
      </c>
      <c r="W453" s="129">
        <v>1144.5999999999999</v>
      </c>
      <c r="X453" s="27">
        <f t="shared" ref="X453:X516" si="175">IF(Q453="$",(U453*R453),U453)</f>
        <v>970</v>
      </c>
    </row>
    <row r="454" spans="1:24" x14ac:dyDescent="0.2">
      <c r="A454" s="220">
        <v>43783</v>
      </c>
      <c r="B454" s="130" t="s">
        <v>68</v>
      </c>
      <c r="C454" s="130" t="s">
        <v>102</v>
      </c>
      <c r="D454" s="130" t="s">
        <v>622</v>
      </c>
      <c r="E454" s="130" t="s">
        <v>1246</v>
      </c>
      <c r="F454" s="130" t="s">
        <v>1247</v>
      </c>
      <c r="G454" s="220">
        <v>43775</v>
      </c>
      <c r="H454" s="130" t="s">
        <v>387</v>
      </c>
      <c r="I454" s="130" t="s">
        <v>386</v>
      </c>
      <c r="J454" s="130" t="s">
        <v>132</v>
      </c>
      <c r="K454" s="130" t="s">
        <v>133</v>
      </c>
      <c r="L454" s="174" t="s">
        <v>71</v>
      </c>
      <c r="M454" s="131" t="s">
        <v>72</v>
      </c>
      <c r="N454" s="130" t="s">
        <v>73</v>
      </c>
      <c r="O454" s="219" t="s">
        <v>69</v>
      </c>
      <c r="P454" s="130" t="s">
        <v>1699</v>
      </c>
      <c r="Q454" s="132" t="s">
        <v>74</v>
      </c>
      <c r="R454" s="218">
        <v>3.3919999999999999</v>
      </c>
      <c r="S454" s="129">
        <v>1</v>
      </c>
      <c r="T454" s="129">
        <v>1340</v>
      </c>
      <c r="U454" s="129">
        <v>1340</v>
      </c>
      <c r="V454" s="129">
        <v>241.2</v>
      </c>
      <c r="W454" s="129">
        <v>1581.2</v>
      </c>
      <c r="X454" s="27">
        <f t="shared" si="175"/>
        <v>1340</v>
      </c>
    </row>
    <row r="455" spans="1:24" x14ac:dyDescent="0.2">
      <c r="A455" s="220">
        <v>43783</v>
      </c>
      <c r="B455" s="130" t="s">
        <v>68</v>
      </c>
      <c r="C455" s="130" t="s">
        <v>102</v>
      </c>
      <c r="D455" s="130" t="s">
        <v>622</v>
      </c>
      <c r="E455" s="130" t="s">
        <v>1246</v>
      </c>
      <c r="F455" s="130" t="s">
        <v>1247</v>
      </c>
      <c r="G455" s="220">
        <v>43775</v>
      </c>
      <c r="H455" s="130" t="s">
        <v>387</v>
      </c>
      <c r="I455" s="130" t="s">
        <v>386</v>
      </c>
      <c r="J455" s="130" t="s">
        <v>139</v>
      </c>
      <c r="K455" s="130" t="s">
        <v>133</v>
      </c>
      <c r="L455" s="174" t="s">
        <v>71</v>
      </c>
      <c r="M455" s="131" t="s">
        <v>72</v>
      </c>
      <c r="N455" s="130" t="s">
        <v>73</v>
      </c>
      <c r="O455" s="219" t="s">
        <v>69</v>
      </c>
      <c r="P455" s="130" t="s">
        <v>1699</v>
      </c>
      <c r="Q455" s="132" t="s">
        <v>74</v>
      </c>
      <c r="R455" s="218">
        <v>3.3919999999999999</v>
      </c>
      <c r="S455" s="129">
        <v>1</v>
      </c>
      <c r="T455" s="129">
        <v>170</v>
      </c>
      <c r="U455" s="129">
        <v>170</v>
      </c>
      <c r="V455" s="129">
        <v>30.600010000000001</v>
      </c>
      <c r="W455" s="129">
        <v>200.60001</v>
      </c>
      <c r="X455" s="27">
        <f t="shared" si="175"/>
        <v>170</v>
      </c>
    </row>
    <row r="456" spans="1:24" x14ac:dyDescent="0.2">
      <c r="A456" s="220">
        <v>43783</v>
      </c>
      <c r="B456" s="130" t="s">
        <v>68</v>
      </c>
      <c r="C456" s="130" t="s">
        <v>102</v>
      </c>
      <c r="D456" s="130" t="s">
        <v>622</v>
      </c>
      <c r="E456" s="130" t="s">
        <v>1246</v>
      </c>
      <c r="F456" s="130" t="s">
        <v>1247</v>
      </c>
      <c r="G456" s="220">
        <v>43775</v>
      </c>
      <c r="H456" s="130" t="s">
        <v>387</v>
      </c>
      <c r="I456" s="130" t="s">
        <v>386</v>
      </c>
      <c r="J456" s="130" t="s">
        <v>139</v>
      </c>
      <c r="K456" s="130" t="s">
        <v>1840</v>
      </c>
      <c r="L456" s="174" t="s">
        <v>71</v>
      </c>
      <c r="M456" s="131" t="s">
        <v>72</v>
      </c>
      <c r="N456" s="130" t="s">
        <v>73</v>
      </c>
      <c r="O456" s="219" t="s">
        <v>69</v>
      </c>
      <c r="P456" s="130" t="s">
        <v>1699</v>
      </c>
      <c r="Q456" s="132" t="s">
        <v>74</v>
      </c>
      <c r="R456" s="218">
        <v>3.3919999999999999</v>
      </c>
      <c r="S456" s="129">
        <v>1</v>
      </c>
      <c r="T456" s="129">
        <v>100</v>
      </c>
      <c r="U456" s="129">
        <v>100</v>
      </c>
      <c r="V456" s="129">
        <v>18</v>
      </c>
      <c r="W456" s="129">
        <v>118</v>
      </c>
      <c r="X456" s="27">
        <f t="shared" si="175"/>
        <v>100</v>
      </c>
    </row>
    <row r="457" spans="1:24" x14ac:dyDescent="0.2">
      <c r="A457" s="220">
        <v>43783</v>
      </c>
      <c r="B457" s="130" t="s">
        <v>68</v>
      </c>
      <c r="C457" s="130" t="s">
        <v>102</v>
      </c>
      <c r="D457" s="130" t="s">
        <v>622</v>
      </c>
      <c r="E457" s="130" t="s">
        <v>1246</v>
      </c>
      <c r="F457" s="130" t="s">
        <v>1247</v>
      </c>
      <c r="G457" s="220">
        <v>43775</v>
      </c>
      <c r="H457" s="130" t="s">
        <v>387</v>
      </c>
      <c r="I457" s="130" t="s">
        <v>386</v>
      </c>
      <c r="J457" s="130" t="s">
        <v>139</v>
      </c>
      <c r="K457" s="130" t="s">
        <v>109</v>
      </c>
      <c r="L457" s="174" t="s">
        <v>71</v>
      </c>
      <c r="M457" s="131" t="s">
        <v>72</v>
      </c>
      <c r="N457" s="130" t="s">
        <v>73</v>
      </c>
      <c r="O457" s="219" t="s">
        <v>69</v>
      </c>
      <c r="P457" s="130" t="s">
        <v>1699</v>
      </c>
      <c r="Q457" s="132" t="s">
        <v>74</v>
      </c>
      <c r="R457" s="218">
        <v>3.3919999999999999</v>
      </c>
      <c r="S457" s="129">
        <v>3</v>
      </c>
      <c r="T457" s="129">
        <v>35</v>
      </c>
      <c r="U457" s="129">
        <v>105</v>
      </c>
      <c r="V457" s="129">
        <v>18.899996999999971</v>
      </c>
      <c r="W457" s="129">
        <v>123.89999699999997</v>
      </c>
      <c r="X457" s="27">
        <f t="shared" si="175"/>
        <v>105</v>
      </c>
    </row>
    <row r="458" spans="1:24" x14ac:dyDescent="0.2">
      <c r="A458" s="220">
        <v>43783</v>
      </c>
      <c r="B458" s="130" t="s">
        <v>68</v>
      </c>
      <c r="C458" s="130" t="s">
        <v>102</v>
      </c>
      <c r="D458" s="130" t="s">
        <v>622</v>
      </c>
      <c r="E458" s="130" t="s">
        <v>1246</v>
      </c>
      <c r="F458" s="130" t="s">
        <v>1247</v>
      </c>
      <c r="G458" s="220">
        <v>43775</v>
      </c>
      <c r="H458" s="130" t="s">
        <v>387</v>
      </c>
      <c r="I458" s="130" t="s">
        <v>386</v>
      </c>
      <c r="J458" s="130" t="s">
        <v>70</v>
      </c>
      <c r="K458" s="130" t="s">
        <v>112</v>
      </c>
      <c r="L458" s="174" t="s">
        <v>71</v>
      </c>
      <c r="M458" s="131" t="s">
        <v>72</v>
      </c>
      <c r="N458" s="130" t="s">
        <v>73</v>
      </c>
      <c r="O458" s="219" t="s">
        <v>69</v>
      </c>
      <c r="P458" s="130" t="s">
        <v>1699</v>
      </c>
      <c r="Q458" s="132" t="s">
        <v>74</v>
      </c>
      <c r="R458" s="218">
        <v>3.3919999999999999</v>
      </c>
      <c r="S458" s="129">
        <v>1</v>
      </c>
      <c r="T458" s="129">
        <v>778.75420999999972</v>
      </c>
      <c r="U458" s="129">
        <v>778.75420999999972</v>
      </c>
      <c r="V458" s="129">
        <v>140.17578000000023</v>
      </c>
      <c r="W458" s="129">
        <v>918.92998999999998</v>
      </c>
      <c r="X458" s="27">
        <f t="shared" si="175"/>
        <v>778.75420999999972</v>
      </c>
    </row>
    <row r="459" spans="1:24" x14ac:dyDescent="0.2">
      <c r="A459" s="220">
        <v>43783</v>
      </c>
      <c r="B459" s="130" t="s">
        <v>68</v>
      </c>
      <c r="C459" s="130" t="s">
        <v>102</v>
      </c>
      <c r="D459" s="130" t="s">
        <v>622</v>
      </c>
      <c r="E459" s="130" t="s">
        <v>1246</v>
      </c>
      <c r="F459" s="130" t="s">
        <v>1247</v>
      </c>
      <c r="G459" s="220">
        <v>43775</v>
      </c>
      <c r="H459" s="130" t="s">
        <v>387</v>
      </c>
      <c r="I459" s="130" t="s">
        <v>386</v>
      </c>
      <c r="J459" s="130" t="s">
        <v>104</v>
      </c>
      <c r="K459" s="130" t="s">
        <v>105</v>
      </c>
      <c r="L459" s="174" t="s">
        <v>71</v>
      </c>
      <c r="M459" s="131" t="s">
        <v>72</v>
      </c>
      <c r="N459" s="130" t="s">
        <v>73</v>
      </c>
      <c r="O459" s="219" t="s">
        <v>69</v>
      </c>
      <c r="P459" s="130" t="s">
        <v>1699</v>
      </c>
      <c r="Q459" s="132" t="s">
        <v>74</v>
      </c>
      <c r="R459" s="218">
        <v>3.3919999999999999</v>
      </c>
      <c r="S459" s="129">
        <v>1</v>
      </c>
      <c r="T459" s="129">
        <v>2162</v>
      </c>
      <c r="U459" s="129">
        <v>2162</v>
      </c>
      <c r="V459" s="129">
        <v>389.15989999999988</v>
      </c>
      <c r="W459" s="129">
        <v>2551.1599000000001</v>
      </c>
      <c r="X459" s="27">
        <f t="shared" si="175"/>
        <v>2162</v>
      </c>
    </row>
    <row r="460" spans="1:24" x14ac:dyDescent="0.2">
      <c r="A460" s="220">
        <v>43783</v>
      </c>
      <c r="B460" s="130" t="s">
        <v>68</v>
      </c>
      <c r="C460" s="130" t="s">
        <v>102</v>
      </c>
      <c r="D460" s="130" t="s">
        <v>1838</v>
      </c>
      <c r="E460" s="130" t="s">
        <v>879</v>
      </c>
      <c r="F460" s="130" t="s">
        <v>983</v>
      </c>
      <c r="G460" s="220">
        <v>43754</v>
      </c>
      <c r="H460" s="130" t="s">
        <v>387</v>
      </c>
      <c r="I460" s="130" t="s">
        <v>386</v>
      </c>
      <c r="J460" s="130" t="s">
        <v>97</v>
      </c>
      <c r="K460" s="130" t="s">
        <v>98</v>
      </c>
      <c r="L460" s="174" t="s">
        <v>71</v>
      </c>
      <c r="M460" s="131" t="s">
        <v>72</v>
      </c>
      <c r="N460" s="130" t="s">
        <v>73</v>
      </c>
      <c r="O460" s="219" t="s">
        <v>99</v>
      </c>
      <c r="P460" s="130" t="s">
        <v>98</v>
      </c>
      <c r="Q460" s="132" t="s">
        <v>74</v>
      </c>
      <c r="R460" s="218">
        <v>3.3919999999999999</v>
      </c>
      <c r="S460" s="129">
        <v>1</v>
      </c>
      <c r="T460" s="129">
        <v>2565</v>
      </c>
      <c r="U460" s="129">
        <v>2565</v>
      </c>
      <c r="V460" s="129">
        <v>461.7</v>
      </c>
      <c r="W460" s="129">
        <v>3026.7</v>
      </c>
      <c r="X460" s="27">
        <f t="shared" si="175"/>
        <v>2565</v>
      </c>
    </row>
    <row r="461" spans="1:24" x14ac:dyDescent="0.2">
      <c r="A461" s="220">
        <v>43783</v>
      </c>
      <c r="B461" s="130" t="s">
        <v>68</v>
      </c>
      <c r="C461" s="130" t="s">
        <v>102</v>
      </c>
      <c r="D461" s="130" t="s">
        <v>1838</v>
      </c>
      <c r="E461" s="130" t="s">
        <v>879</v>
      </c>
      <c r="F461" s="130" t="s">
        <v>983</v>
      </c>
      <c r="G461" s="220">
        <v>43754</v>
      </c>
      <c r="H461" s="130" t="s">
        <v>387</v>
      </c>
      <c r="I461" s="130" t="s">
        <v>386</v>
      </c>
      <c r="J461" s="130" t="s">
        <v>100</v>
      </c>
      <c r="K461" s="130" t="s">
        <v>101</v>
      </c>
      <c r="L461" s="174" t="s">
        <v>71</v>
      </c>
      <c r="M461" s="131" t="s">
        <v>72</v>
      </c>
      <c r="N461" s="130" t="s">
        <v>73</v>
      </c>
      <c r="O461" s="219" t="s">
        <v>72</v>
      </c>
      <c r="P461" s="130" t="s">
        <v>101</v>
      </c>
      <c r="Q461" s="132" t="s">
        <v>74</v>
      </c>
      <c r="R461" s="218">
        <v>3.3919999999999999</v>
      </c>
      <c r="S461" s="129">
        <v>1</v>
      </c>
      <c r="T461" s="129">
        <v>1540</v>
      </c>
      <c r="U461" s="129">
        <v>1540</v>
      </c>
      <c r="V461" s="129">
        <v>277.2</v>
      </c>
      <c r="W461" s="129">
        <v>1817.2</v>
      </c>
      <c r="X461" s="27">
        <f t="shared" si="175"/>
        <v>1540</v>
      </c>
    </row>
    <row r="462" spans="1:24" x14ac:dyDescent="0.2">
      <c r="A462" s="220">
        <v>43783</v>
      </c>
      <c r="B462" s="130" t="s">
        <v>68</v>
      </c>
      <c r="C462" s="130" t="s">
        <v>102</v>
      </c>
      <c r="D462" s="130" t="s">
        <v>1838</v>
      </c>
      <c r="E462" s="130" t="s">
        <v>879</v>
      </c>
      <c r="F462" s="130" t="s">
        <v>983</v>
      </c>
      <c r="G462" s="220">
        <v>43754</v>
      </c>
      <c r="H462" s="130" t="s">
        <v>387</v>
      </c>
      <c r="I462" s="130" t="s">
        <v>386</v>
      </c>
      <c r="J462" s="130" t="s">
        <v>92</v>
      </c>
      <c r="K462" s="130" t="s">
        <v>113</v>
      </c>
      <c r="L462" s="174" t="s">
        <v>71</v>
      </c>
      <c r="M462" s="131" t="s">
        <v>72</v>
      </c>
      <c r="N462" s="130" t="s">
        <v>73</v>
      </c>
      <c r="O462" s="219" t="s">
        <v>69</v>
      </c>
      <c r="P462" s="130" t="s">
        <v>1699</v>
      </c>
      <c r="Q462" s="132" t="s">
        <v>74</v>
      </c>
      <c r="R462" s="218">
        <v>3.3919999999999999</v>
      </c>
      <c r="S462" s="129">
        <v>1</v>
      </c>
      <c r="T462" s="129">
        <v>480</v>
      </c>
      <c r="U462" s="129">
        <v>480</v>
      </c>
      <c r="V462" s="129">
        <v>86.400020000000083</v>
      </c>
      <c r="W462" s="129">
        <v>566.40002000000004</v>
      </c>
      <c r="X462" s="27">
        <f t="shared" si="175"/>
        <v>480</v>
      </c>
    </row>
    <row r="463" spans="1:24" x14ac:dyDescent="0.2">
      <c r="A463" s="220">
        <v>43783</v>
      </c>
      <c r="B463" s="130" t="s">
        <v>68</v>
      </c>
      <c r="C463" s="130" t="s">
        <v>102</v>
      </c>
      <c r="D463" s="130" t="s">
        <v>1838</v>
      </c>
      <c r="E463" s="130" t="s">
        <v>879</v>
      </c>
      <c r="F463" s="130" t="s">
        <v>983</v>
      </c>
      <c r="G463" s="220">
        <v>43754</v>
      </c>
      <c r="H463" s="130" t="s">
        <v>387</v>
      </c>
      <c r="I463" s="130" t="s">
        <v>386</v>
      </c>
      <c r="J463" s="130" t="s">
        <v>132</v>
      </c>
      <c r="K463" s="130" t="s">
        <v>1839</v>
      </c>
      <c r="L463" s="174" t="s">
        <v>71</v>
      </c>
      <c r="M463" s="131" t="s">
        <v>72</v>
      </c>
      <c r="N463" s="130" t="s">
        <v>73</v>
      </c>
      <c r="O463" s="219" t="s">
        <v>69</v>
      </c>
      <c r="P463" s="130" t="s">
        <v>1699</v>
      </c>
      <c r="Q463" s="132" t="s">
        <v>74</v>
      </c>
      <c r="R463" s="218">
        <v>3.3919999999999999</v>
      </c>
      <c r="S463" s="129">
        <v>1</v>
      </c>
      <c r="T463" s="129">
        <v>658</v>
      </c>
      <c r="U463" s="129">
        <v>658</v>
      </c>
      <c r="V463" s="129">
        <v>118.44</v>
      </c>
      <c r="W463" s="129">
        <v>776.44</v>
      </c>
      <c r="X463" s="27">
        <f t="shared" si="175"/>
        <v>658</v>
      </c>
    </row>
    <row r="464" spans="1:24" x14ac:dyDescent="0.2">
      <c r="A464" s="220">
        <v>43783</v>
      </c>
      <c r="B464" s="130" t="s">
        <v>68</v>
      </c>
      <c r="C464" s="130" t="s">
        <v>102</v>
      </c>
      <c r="D464" s="130" t="s">
        <v>1838</v>
      </c>
      <c r="E464" s="130" t="s">
        <v>879</v>
      </c>
      <c r="F464" s="130" t="s">
        <v>983</v>
      </c>
      <c r="G464" s="220">
        <v>43754</v>
      </c>
      <c r="H464" s="130" t="s">
        <v>387</v>
      </c>
      <c r="I464" s="130" t="s">
        <v>386</v>
      </c>
      <c r="J464" s="130" t="s">
        <v>139</v>
      </c>
      <c r="K464" s="130" t="s">
        <v>133</v>
      </c>
      <c r="L464" s="174" t="s">
        <v>71</v>
      </c>
      <c r="M464" s="131" t="s">
        <v>72</v>
      </c>
      <c r="N464" s="130" t="s">
        <v>73</v>
      </c>
      <c r="O464" s="219" t="s">
        <v>69</v>
      </c>
      <c r="P464" s="130" t="s">
        <v>1699</v>
      </c>
      <c r="Q464" s="132" t="s">
        <v>74</v>
      </c>
      <c r="R464" s="218">
        <v>3.3919999999999999</v>
      </c>
      <c r="S464" s="129">
        <v>2</v>
      </c>
      <c r="T464" s="129">
        <v>130</v>
      </c>
      <c r="U464" s="129">
        <v>260</v>
      </c>
      <c r="V464" s="129">
        <v>46.799980000000033</v>
      </c>
      <c r="W464" s="129">
        <v>306.79998000000001</v>
      </c>
      <c r="X464" s="27">
        <f t="shared" si="175"/>
        <v>260</v>
      </c>
    </row>
    <row r="465" spans="1:24" x14ac:dyDescent="0.2">
      <c r="A465" s="220">
        <v>43783</v>
      </c>
      <c r="B465" s="130" t="s">
        <v>68</v>
      </c>
      <c r="C465" s="130" t="s">
        <v>102</v>
      </c>
      <c r="D465" s="130" t="s">
        <v>1838</v>
      </c>
      <c r="E465" s="130" t="s">
        <v>879</v>
      </c>
      <c r="F465" s="130" t="s">
        <v>983</v>
      </c>
      <c r="G465" s="220">
        <v>43754</v>
      </c>
      <c r="H465" s="130" t="s">
        <v>387</v>
      </c>
      <c r="I465" s="130" t="s">
        <v>386</v>
      </c>
      <c r="J465" s="130" t="s">
        <v>70</v>
      </c>
      <c r="K465" s="130" t="s">
        <v>112</v>
      </c>
      <c r="L465" s="174" t="s">
        <v>71</v>
      </c>
      <c r="M465" s="131" t="s">
        <v>72</v>
      </c>
      <c r="N465" s="130" t="s">
        <v>73</v>
      </c>
      <c r="O465" s="219" t="s">
        <v>69</v>
      </c>
      <c r="P465" s="130" t="s">
        <v>1699</v>
      </c>
      <c r="Q465" s="132" t="s">
        <v>74</v>
      </c>
      <c r="R465" s="218">
        <v>3.3919999999999999</v>
      </c>
      <c r="S465" s="129">
        <v>1</v>
      </c>
      <c r="T465" s="129">
        <v>463.75421</v>
      </c>
      <c r="U465" s="129">
        <v>463.75421</v>
      </c>
      <c r="V465" s="129">
        <v>83.475769999999898</v>
      </c>
      <c r="W465" s="129">
        <v>547.22997999999995</v>
      </c>
      <c r="X465" s="27">
        <f t="shared" si="175"/>
        <v>463.75421</v>
      </c>
    </row>
    <row r="466" spans="1:24" x14ac:dyDescent="0.2">
      <c r="A466" s="220">
        <v>43783</v>
      </c>
      <c r="B466" s="130" t="s">
        <v>68</v>
      </c>
      <c r="C466" s="130" t="s">
        <v>102</v>
      </c>
      <c r="D466" s="130" t="s">
        <v>1838</v>
      </c>
      <c r="E466" s="130" t="s">
        <v>879</v>
      </c>
      <c r="F466" s="130" t="s">
        <v>983</v>
      </c>
      <c r="G466" s="220">
        <v>43754</v>
      </c>
      <c r="H466" s="130" t="s">
        <v>387</v>
      </c>
      <c r="I466" s="130" t="s">
        <v>386</v>
      </c>
      <c r="J466" s="130" t="s">
        <v>104</v>
      </c>
      <c r="K466" s="130" t="s">
        <v>105</v>
      </c>
      <c r="L466" s="174" t="s">
        <v>71</v>
      </c>
      <c r="M466" s="131" t="s">
        <v>72</v>
      </c>
      <c r="N466" s="130" t="s">
        <v>73</v>
      </c>
      <c r="O466" s="219" t="s">
        <v>69</v>
      </c>
      <c r="P466" s="130" t="s">
        <v>1699</v>
      </c>
      <c r="Q466" s="132" t="s">
        <v>74</v>
      </c>
      <c r="R466" s="218">
        <v>3.3919999999999999</v>
      </c>
      <c r="S466" s="129">
        <v>1</v>
      </c>
      <c r="T466" s="129">
        <v>3120</v>
      </c>
      <c r="U466" s="129">
        <v>3120</v>
      </c>
      <c r="V466" s="129">
        <v>561.60010000000011</v>
      </c>
      <c r="W466" s="129">
        <v>3681.6001000000001</v>
      </c>
      <c r="X466" s="27">
        <f t="shared" si="175"/>
        <v>3120</v>
      </c>
    </row>
    <row r="467" spans="1:24" x14ac:dyDescent="0.2">
      <c r="A467" s="220">
        <v>43783</v>
      </c>
      <c r="B467" s="130" t="s">
        <v>68</v>
      </c>
      <c r="C467" s="130" t="s">
        <v>102</v>
      </c>
      <c r="D467" s="130" t="s">
        <v>1837</v>
      </c>
      <c r="E467" s="130" t="s">
        <v>1329</v>
      </c>
      <c r="F467" s="130" t="s">
        <v>1825</v>
      </c>
      <c r="G467" s="220">
        <v>43774</v>
      </c>
      <c r="H467" s="130" t="s">
        <v>1836</v>
      </c>
      <c r="I467" s="130" t="s">
        <v>1835</v>
      </c>
      <c r="J467" s="130" t="s">
        <v>95</v>
      </c>
      <c r="K467" s="130" t="s">
        <v>96</v>
      </c>
      <c r="L467" s="174" t="s">
        <v>71</v>
      </c>
      <c r="M467" s="131" t="s">
        <v>72</v>
      </c>
      <c r="N467" s="130" t="s">
        <v>73</v>
      </c>
      <c r="O467" s="219" t="s">
        <v>69</v>
      </c>
      <c r="P467" s="130" t="s">
        <v>1699</v>
      </c>
      <c r="Q467" s="132" t="s">
        <v>93</v>
      </c>
      <c r="R467" s="218">
        <v>3.3919999999999999</v>
      </c>
      <c r="S467" s="129">
        <v>1</v>
      </c>
      <c r="T467" s="129">
        <v>100</v>
      </c>
      <c r="U467" s="129">
        <v>100</v>
      </c>
      <c r="V467" s="129">
        <v>18</v>
      </c>
      <c r="W467" s="129">
        <v>118</v>
      </c>
      <c r="X467" s="27">
        <f t="shared" si="175"/>
        <v>339.2</v>
      </c>
    </row>
    <row r="468" spans="1:24" x14ac:dyDescent="0.2">
      <c r="A468" s="220">
        <v>43783</v>
      </c>
      <c r="B468" s="130" t="s">
        <v>68</v>
      </c>
      <c r="C468" s="130" t="s">
        <v>102</v>
      </c>
      <c r="D468" s="130" t="s">
        <v>1834</v>
      </c>
      <c r="E468" s="130" t="s">
        <v>1312</v>
      </c>
      <c r="F468" s="130" t="s">
        <v>1823</v>
      </c>
      <c r="G468" s="220">
        <v>43774</v>
      </c>
      <c r="H468" s="130" t="s">
        <v>1832</v>
      </c>
      <c r="I468" s="130" t="s">
        <v>1831</v>
      </c>
      <c r="J468" s="130" t="s">
        <v>95</v>
      </c>
      <c r="K468" s="130" t="s">
        <v>96</v>
      </c>
      <c r="L468" s="174" t="s">
        <v>71</v>
      </c>
      <c r="M468" s="131" t="s">
        <v>72</v>
      </c>
      <c r="N468" s="130" t="s">
        <v>73</v>
      </c>
      <c r="O468" s="219" t="s">
        <v>69</v>
      </c>
      <c r="P468" s="130" t="s">
        <v>1699</v>
      </c>
      <c r="Q468" s="132" t="s">
        <v>93</v>
      </c>
      <c r="R468" s="218">
        <v>3.3919999999999999</v>
      </c>
      <c r="S468" s="129">
        <v>1</v>
      </c>
      <c r="T468" s="129">
        <v>100</v>
      </c>
      <c r="U468" s="129">
        <v>100</v>
      </c>
      <c r="V468" s="129">
        <v>18</v>
      </c>
      <c r="W468" s="129">
        <v>118</v>
      </c>
      <c r="X468" s="27">
        <f t="shared" si="175"/>
        <v>339.2</v>
      </c>
    </row>
    <row r="469" spans="1:24" x14ac:dyDescent="0.2">
      <c r="A469" s="220">
        <v>43783</v>
      </c>
      <c r="B469" s="130" t="s">
        <v>68</v>
      </c>
      <c r="C469" s="130" t="s">
        <v>102</v>
      </c>
      <c r="D469" s="130" t="s">
        <v>1833</v>
      </c>
      <c r="E469" s="130" t="s">
        <v>1315</v>
      </c>
      <c r="F469" s="130" t="s">
        <v>1823</v>
      </c>
      <c r="G469" s="220">
        <v>43776</v>
      </c>
      <c r="H469" s="130" t="s">
        <v>1832</v>
      </c>
      <c r="I469" s="130" t="s">
        <v>1831</v>
      </c>
      <c r="J469" s="130" t="s">
        <v>97</v>
      </c>
      <c r="K469" s="130" t="s">
        <v>98</v>
      </c>
      <c r="L469" s="174" t="s">
        <v>71</v>
      </c>
      <c r="M469" s="131" t="s">
        <v>72</v>
      </c>
      <c r="N469" s="130" t="s">
        <v>73</v>
      </c>
      <c r="O469" s="219" t="s">
        <v>99</v>
      </c>
      <c r="P469" s="130" t="s">
        <v>98</v>
      </c>
      <c r="Q469" s="132" t="s">
        <v>93</v>
      </c>
      <c r="R469" s="218">
        <v>3.3919999999999999</v>
      </c>
      <c r="S469" s="129">
        <v>1</v>
      </c>
      <c r="T469" s="129">
        <v>60</v>
      </c>
      <c r="U469" s="129">
        <v>60</v>
      </c>
      <c r="V469" s="129">
        <v>10.800002999999997</v>
      </c>
      <c r="W469" s="129">
        <v>70.800003000000004</v>
      </c>
      <c r="X469" s="27">
        <f t="shared" si="175"/>
        <v>203.51999999999998</v>
      </c>
    </row>
    <row r="470" spans="1:24" x14ac:dyDescent="0.2">
      <c r="A470" s="220">
        <v>43783</v>
      </c>
      <c r="B470" s="130" t="s">
        <v>68</v>
      </c>
      <c r="C470" s="130" t="s">
        <v>102</v>
      </c>
      <c r="D470" s="130" t="s">
        <v>1833</v>
      </c>
      <c r="E470" s="130" t="s">
        <v>1315</v>
      </c>
      <c r="F470" s="130" t="s">
        <v>1823</v>
      </c>
      <c r="G470" s="220">
        <v>43776</v>
      </c>
      <c r="H470" s="130" t="s">
        <v>1832</v>
      </c>
      <c r="I470" s="130" t="s">
        <v>1831</v>
      </c>
      <c r="J470" s="130" t="s">
        <v>100</v>
      </c>
      <c r="K470" s="130" t="s">
        <v>101</v>
      </c>
      <c r="L470" s="174" t="s">
        <v>71</v>
      </c>
      <c r="M470" s="131" t="s">
        <v>72</v>
      </c>
      <c r="N470" s="130" t="s">
        <v>73</v>
      </c>
      <c r="O470" s="219" t="s">
        <v>72</v>
      </c>
      <c r="P470" s="130" t="s">
        <v>101</v>
      </c>
      <c r="Q470" s="132" t="s">
        <v>93</v>
      </c>
      <c r="R470" s="218">
        <v>3.3919999999999999</v>
      </c>
      <c r="S470" s="129">
        <v>1</v>
      </c>
      <c r="T470" s="129">
        <v>40.008499000000008</v>
      </c>
      <c r="U470" s="129">
        <v>40.008499000000008</v>
      </c>
      <c r="V470" s="129">
        <v>7.20150000000001</v>
      </c>
      <c r="W470" s="129">
        <v>47.209999000000018</v>
      </c>
      <c r="X470" s="27">
        <f t="shared" si="175"/>
        <v>135.70882860800003</v>
      </c>
    </row>
    <row r="471" spans="1:24" x14ac:dyDescent="0.2">
      <c r="A471" s="220">
        <v>43783</v>
      </c>
      <c r="B471" s="130" t="s">
        <v>68</v>
      </c>
      <c r="C471" s="130" t="s">
        <v>102</v>
      </c>
      <c r="D471" s="130" t="s">
        <v>1830</v>
      </c>
      <c r="E471" s="130" t="s">
        <v>1829</v>
      </c>
      <c r="F471" s="130" t="s">
        <v>1828</v>
      </c>
      <c r="G471" s="220">
        <v>43774</v>
      </c>
      <c r="H471" s="130" t="s">
        <v>90</v>
      </c>
      <c r="I471" s="130" t="s">
        <v>91</v>
      </c>
      <c r="J471" s="130" t="s">
        <v>97</v>
      </c>
      <c r="K471" s="130" t="s">
        <v>98</v>
      </c>
      <c r="L471" s="174" t="s">
        <v>71</v>
      </c>
      <c r="M471" s="131" t="s">
        <v>72</v>
      </c>
      <c r="N471" s="130" t="s">
        <v>73</v>
      </c>
      <c r="O471" s="219" t="s">
        <v>99</v>
      </c>
      <c r="P471" s="130" t="s">
        <v>98</v>
      </c>
      <c r="Q471" s="132" t="s">
        <v>93</v>
      </c>
      <c r="R471" s="218">
        <v>3.3919999999999999</v>
      </c>
      <c r="S471" s="129">
        <v>1</v>
      </c>
      <c r="T471" s="129">
        <v>177</v>
      </c>
      <c r="U471" s="129">
        <v>177</v>
      </c>
      <c r="V471" s="129">
        <v>31.86</v>
      </c>
      <c r="W471" s="129">
        <v>208.86</v>
      </c>
      <c r="X471" s="27">
        <f t="shared" si="175"/>
        <v>600.38400000000001</v>
      </c>
    </row>
    <row r="472" spans="1:24" x14ac:dyDescent="0.2">
      <c r="A472" s="220">
        <v>43783</v>
      </c>
      <c r="B472" s="130" t="s">
        <v>68</v>
      </c>
      <c r="C472" s="130" t="s">
        <v>102</v>
      </c>
      <c r="D472" s="130" t="s">
        <v>1830</v>
      </c>
      <c r="E472" s="130" t="s">
        <v>1829</v>
      </c>
      <c r="F472" s="130" t="s">
        <v>1828</v>
      </c>
      <c r="G472" s="220">
        <v>43774</v>
      </c>
      <c r="H472" s="130" t="s">
        <v>90</v>
      </c>
      <c r="I472" s="130" t="s">
        <v>91</v>
      </c>
      <c r="J472" s="130" t="s">
        <v>100</v>
      </c>
      <c r="K472" s="130" t="s">
        <v>101</v>
      </c>
      <c r="L472" s="174" t="s">
        <v>71</v>
      </c>
      <c r="M472" s="131" t="s">
        <v>72</v>
      </c>
      <c r="N472" s="130" t="s">
        <v>73</v>
      </c>
      <c r="O472" s="219" t="s">
        <v>72</v>
      </c>
      <c r="P472" s="130" t="s">
        <v>101</v>
      </c>
      <c r="Q472" s="132" t="s">
        <v>93</v>
      </c>
      <c r="R472" s="218">
        <v>3.3919999999999999</v>
      </c>
      <c r="S472" s="129">
        <v>1</v>
      </c>
      <c r="T472" s="129">
        <v>120</v>
      </c>
      <c r="U472" s="129">
        <v>120</v>
      </c>
      <c r="V472" s="129">
        <v>21.600010000000019</v>
      </c>
      <c r="W472" s="129">
        <v>141.60001000000003</v>
      </c>
      <c r="X472" s="27">
        <f t="shared" si="175"/>
        <v>407.03999999999996</v>
      </c>
    </row>
    <row r="473" spans="1:24" x14ac:dyDescent="0.2">
      <c r="A473" s="220">
        <v>43783</v>
      </c>
      <c r="B473" s="130" t="s">
        <v>68</v>
      </c>
      <c r="C473" s="130" t="s">
        <v>102</v>
      </c>
      <c r="D473" s="130" t="s">
        <v>1830</v>
      </c>
      <c r="E473" s="130" t="s">
        <v>1829</v>
      </c>
      <c r="F473" s="130" t="s">
        <v>1828</v>
      </c>
      <c r="G473" s="220">
        <v>43774</v>
      </c>
      <c r="H473" s="130" t="s">
        <v>90</v>
      </c>
      <c r="I473" s="130" t="s">
        <v>91</v>
      </c>
      <c r="J473" s="130" t="s">
        <v>92</v>
      </c>
      <c r="K473" s="130" t="s">
        <v>113</v>
      </c>
      <c r="L473" s="174" t="s">
        <v>71</v>
      </c>
      <c r="M473" s="131" t="s">
        <v>72</v>
      </c>
      <c r="N473" s="130" t="s">
        <v>73</v>
      </c>
      <c r="O473" s="219" t="s">
        <v>69</v>
      </c>
      <c r="P473" s="130" t="s">
        <v>1699</v>
      </c>
      <c r="Q473" s="132" t="s">
        <v>93</v>
      </c>
      <c r="R473" s="218">
        <v>3.3919999999999999</v>
      </c>
      <c r="S473" s="129">
        <v>1</v>
      </c>
      <c r="T473" s="129">
        <v>30</v>
      </c>
      <c r="U473" s="129">
        <v>30</v>
      </c>
      <c r="V473" s="129">
        <v>5.4000019999999997</v>
      </c>
      <c r="W473" s="129">
        <v>35.400002000000001</v>
      </c>
      <c r="X473" s="27">
        <f t="shared" si="175"/>
        <v>101.75999999999999</v>
      </c>
    </row>
    <row r="474" spans="1:24" x14ac:dyDescent="0.2">
      <c r="A474" s="220">
        <v>43783</v>
      </c>
      <c r="B474" s="130" t="s">
        <v>68</v>
      </c>
      <c r="C474" s="130" t="s">
        <v>102</v>
      </c>
      <c r="D474" s="130" t="s">
        <v>1830</v>
      </c>
      <c r="E474" s="130" t="s">
        <v>1829</v>
      </c>
      <c r="F474" s="130" t="s">
        <v>1828</v>
      </c>
      <c r="G474" s="220">
        <v>43774</v>
      </c>
      <c r="H474" s="130" t="s">
        <v>90</v>
      </c>
      <c r="I474" s="130" t="s">
        <v>91</v>
      </c>
      <c r="J474" s="130" t="s">
        <v>95</v>
      </c>
      <c r="K474" s="130" t="s">
        <v>96</v>
      </c>
      <c r="L474" s="174" t="s">
        <v>71</v>
      </c>
      <c r="M474" s="131" t="s">
        <v>72</v>
      </c>
      <c r="N474" s="130" t="s">
        <v>73</v>
      </c>
      <c r="O474" s="219" t="s">
        <v>69</v>
      </c>
      <c r="P474" s="130" t="s">
        <v>1699</v>
      </c>
      <c r="Q474" s="132" t="s">
        <v>93</v>
      </c>
      <c r="R474" s="218">
        <v>3.3919999999999999</v>
      </c>
      <c r="S474" s="129">
        <v>-1</v>
      </c>
      <c r="T474" s="129">
        <v>100</v>
      </c>
      <c r="U474" s="129">
        <v>-100</v>
      </c>
      <c r="V474" s="129">
        <v>-18</v>
      </c>
      <c r="W474" s="129">
        <v>-118</v>
      </c>
      <c r="X474" s="27">
        <f t="shared" si="175"/>
        <v>-339.2</v>
      </c>
    </row>
    <row r="475" spans="1:24" x14ac:dyDescent="0.2">
      <c r="A475" s="220">
        <v>43783</v>
      </c>
      <c r="B475" s="130" t="s">
        <v>68</v>
      </c>
      <c r="C475" s="130" t="s">
        <v>102</v>
      </c>
      <c r="D475" s="130" t="s">
        <v>1830</v>
      </c>
      <c r="E475" s="130" t="s">
        <v>1829</v>
      </c>
      <c r="F475" s="130" t="s">
        <v>1828</v>
      </c>
      <c r="G475" s="220">
        <v>43774</v>
      </c>
      <c r="H475" s="130" t="s">
        <v>90</v>
      </c>
      <c r="I475" s="130" t="s">
        <v>91</v>
      </c>
      <c r="J475" s="130" t="s">
        <v>104</v>
      </c>
      <c r="K475" s="130" t="s">
        <v>105</v>
      </c>
      <c r="L475" s="174" t="s">
        <v>71</v>
      </c>
      <c r="M475" s="131" t="s">
        <v>72</v>
      </c>
      <c r="N475" s="130" t="s">
        <v>73</v>
      </c>
      <c r="O475" s="219" t="s">
        <v>69</v>
      </c>
      <c r="P475" s="130" t="s">
        <v>1699</v>
      </c>
      <c r="Q475" s="132" t="s">
        <v>93</v>
      </c>
      <c r="R475" s="218">
        <v>3.3919999999999999</v>
      </c>
      <c r="S475" s="129">
        <v>1</v>
      </c>
      <c r="T475" s="129">
        <v>0</v>
      </c>
      <c r="U475" s="129">
        <v>0</v>
      </c>
      <c r="V475" s="129">
        <v>0</v>
      </c>
      <c r="W475" s="129">
        <v>0</v>
      </c>
      <c r="X475" s="27">
        <f t="shared" si="175"/>
        <v>0</v>
      </c>
    </row>
    <row r="476" spans="1:24" x14ac:dyDescent="0.2">
      <c r="A476" s="220">
        <v>43783</v>
      </c>
      <c r="B476" s="130" t="s">
        <v>68</v>
      </c>
      <c r="C476" s="130" t="s">
        <v>102</v>
      </c>
      <c r="D476" s="130" t="s">
        <v>1827</v>
      </c>
      <c r="E476" s="130" t="s">
        <v>1322</v>
      </c>
      <c r="F476" s="130" t="s">
        <v>1740</v>
      </c>
      <c r="G476" s="220">
        <v>43775</v>
      </c>
      <c r="H476" s="130" t="s">
        <v>90</v>
      </c>
      <c r="I476" s="130" t="s">
        <v>91</v>
      </c>
      <c r="J476" s="130" t="s">
        <v>97</v>
      </c>
      <c r="K476" s="130" t="s">
        <v>98</v>
      </c>
      <c r="L476" s="174" t="s">
        <v>71</v>
      </c>
      <c r="M476" s="131" t="s">
        <v>72</v>
      </c>
      <c r="N476" s="130" t="s">
        <v>73</v>
      </c>
      <c r="O476" s="219" t="s">
        <v>99</v>
      </c>
      <c r="P476" s="130" t="s">
        <v>98</v>
      </c>
      <c r="Q476" s="132" t="s">
        <v>93</v>
      </c>
      <c r="R476" s="218">
        <v>3.3919999999999999</v>
      </c>
      <c r="S476" s="129">
        <v>1</v>
      </c>
      <c r="T476" s="129">
        <v>118</v>
      </c>
      <c r="U476" s="129">
        <v>118</v>
      </c>
      <c r="V476" s="129">
        <v>21.240010000000019</v>
      </c>
      <c r="W476" s="129">
        <v>139.24001000000001</v>
      </c>
      <c r="X476" s="27">
        <f t="shared" si="175"/>
        <v>400.25599999999997</v>
      </c>
    </row>
    <row r="477" spans="1:24" x14ac:dyDescent="0.2">
      <c r="A477" s="220">
        <v>43783</v>
      </c>
      <c r="B477" s="130" t="s">
        <v>68</v>
      </c>
      <c r="C477" s="130" t="s">
        <v>102</v>
      </c>
      <c r="D477" s="130" t="s">
        <v>1827</v>
      </c>
      <c r="E477" s="130" t="s">
        <v>1322</v>
      </c>
      <c r="F477" s="130" t="s">
        <v>1740</v>
      </c>
      <c r="G477" s="220">
        <v>43775</v>
      </c>
      <c r="H477" s="130" t="s">
        <v>90</v>
      </c>
      <c r="I477" s="130" t="s">
        <v>91</v>
      </c>
      <c r="J477" s="130" t="s">
        <v>100</v>
      </c>
      <c r="K477" s="130" t="s">
        <v>101</v>
      </c>
      <c r="L477" s="174" t="s">
        <v>71</v>
      </c>
      <c r="M477" s="131" t="s">
        <v>72</v>
      </c>
      <c r="N477" s="130" t="s">
        <v>73</v>
      </c>
      <c r="O477" s="219" t="s">
        <v>72</v>
      </c>
      <c r="P477" s="130" t="s">
        <v>101</v>
      </c>
      <c r="Q477" s="132" t="s">
        <v>93</v>
      </c>
      <c r="R477" s="218">
        <v>3.3919999999999999</v>
      </c>
      <c r="S477" s="129">
        <v>1</v>
      </c>
      <c r="T477" s="129">
        <v>75</v>
      </c>
      <c r="U477" s="129">
        <v>75</v>
      </c>
      <c r="V477" s="129">
        <v>13.5</v>
      </c>
      <c r="W477" s="129">
        <v>88.5</v>
      </c>
      <c r="X477" s="27">
        <f t="shared" si="175"/>
        <v>254.4</v>
      </c>
    </row>
    <row r="478" spans="1:24" x14ac:dyDescent="0.2">
      <c r="A478" s="220">
        <v>43783</v>
      </c>
      <c r="B478" s="130" t="s">
        <v>68</v>
      </c>
      <c r="C478" s="130" t="s">
        <v>102</v>
      </c>
      <c r="D478" s="130" t="s">
        <v>1827</v>
      </c>
      <c r="E478" s="130" t="s">
        <v>1322</v>
      </c>
      <c r="F478" s="130" t="s">
        <v>1740</v>
      </c>
      <c r="G478" s="220">
        <v>43775</v>
      </c>
      <c r="H478" s="130" t="s">
        <v>90</v>
      </c>
      <c r="I478" s="130" t="s">
        <v>91</v>
      </c>
      <c r="J478" s="130" t="s">
        <v>95</v>
      </c>
      <c r="K478" s="130" t="s">
        <v>96</v>
      </c>
      <c r="L478" s="174" t="s">
        <v>71</v>
      </c>
      <c r="M478" s="131" t="s">
        <v>72</v>
      </c>
      <c r="N478" s="130" t="s">
        <v>73</v>
      </c>
      <c r="O478" s="219" t="s">
        <v>69</v>
      </c>
      <c r="P478" s="130" t="s">
        <v>1699</v>
      </c>
      <c r="Q478" s="132" t="s">
        <v>93</v>
      </c>
      <c r="R478" s="218">
        <v>3.3919999999999999</v>
      </c>
      <c r="S478" s="129">
        <v>-1</v>
      </c>
      <c r="T478" s="129">
        <v>100</v>
      </c>
      <c r="U478" s="129">
        <v>-100</v>
      </c>
      <c r="V478" s="129">
        <v>-18</v>
      </c>
      <c r="W478" s="129">
        <v>-118</v>
      </c>
      <c r="X478" s="27">
        <f t="shared" si="175"/>
        <v>-339.2</v>
      </c>
    </row>
    <row r="479" spans="1:24" x14ac:dyDescent="0.2">
      <c r="A479" s="220">
        <v>43783</v>
      </c>
      <c r="B479" s="130" t="s">
        <v>68</v>
      </c>
      <c r="C479" s="130" t="s">
        <v>102</v>
      </c>
      <c r="D479" s="130" t="s">
        <v>1826</v>
      </c>
      <c r="E479" s="130" t="s">
        <v>1329</v>
      </c>
      <c r="F479" s="130" t="s">
        <v>1825</v>
      </c>
      <c r="G479" s="220">
        <v>43774</v>
      </c>
      <c r="H479" s="130" t="s">
        <v>90</v>
      </c>
      <c r="I479" s="130" t="s">
        <v>91</v>
      </c>
      <c r="J479" s="130" t="s">
        <v>97</v>
      </c>
      <c r="K479" s="130" t="s">
        <v>98</v>
      </c>
      <c r="L479" s="174" t="s">
        <v>71</v>
      </c>
      <c r="M479" s="131" t="s">
        <v>72</v>
      </c>
      <c r="N479" s="130" t="s">
        <v>73</v>
      </c>
      <c r="O479" s="219" t="s">
        <v>99</v>
      </c>
      <c r="P479" s="130" t="s">
        <v>98</v>
      </c>
      <c r="Q479" s="132" t="s">
        <v>93</v>
      </c>
      <c r="R479" s="218">
        <v>3.3919999999999999</v>
      </c>
      <c r="S479" s="129">
        <v>1</v>
      </c>
      <c r="T479" s="129">
        <v>147.5</v>
      </c>
      <c r="U479" s="129">
        <v>147.5</v>
      </c>
      <c r="V479" s="129">
        <v>26.55</v>
      </c>
      <c r="W479" s="129">
        <v>174.05</v>
      </c>
      <c r="X479" s="27">
        <f t="shared" si="175"/>
        <v>500.32</v>
      </c>
    </row>
    <row r="480" spans="1:24" x14ac:dyDescent="0.2">
      <c r="A480" s="220">
        <v>43783</v>
      </c>
      <c r="B480" s="130" t="s">
        <v>68</v>
      </c>
      <c r="C480" s="130" t="s">
        <v>102</v>
      </c>
      <c r="D480" s="130" t="s">
        <v>1826</v>
      </c>
      <c r="E480" s="130" t="s">
        <v>1329</v>
      </c>
      <c r="F480" s="130" t="s">
        <v>1825</v>
      </c>
      <c r="G480" s="220">
        <v>43774</v>
      </c>
      <c r="H480" s="130" t="s">
        <v>90</v>
      </c>
      <c r="I480" s="130" t="s">
        <v>91</v>
      </c>
      <c r="J480" s="130" t="s">
        <v>100</v>
      </c>
      <c r="K480" s="130" t="s">
        <v>101</v>
      </c>
      <c r="L480" s="174" t="s">
        <v>71</v>
      </c>
      <c r="M480" s="131" t="s">
        <v>72</v>
      </c>
      <c r="N480" s="130" t="s">
        <v>73</v>
      </c>
      <c r="O480" s="219" t="s">
        <v>72</v>
      </c>
      <c r="P480" s="130" t="s">
        <v>101</v>
      </c>
      <c r="Q480" s="132" t="s">
        <v>93</v>
      </c>
      <c r="R480" s="218">
        <v>3.3919999999999999</v>
      </c>
      <c r="S480" s="129">
        <v>1</v>
      </c>
      <c r="T480" s="129">
        <v>120</v>
      </c>
      <c r="U480" s="129">
        <v>120</v>
      </c>
      <c r="V480" s="129">
        <v>21.600010000000019</v>
      </c>
      <c r="W480" s="129">
        <v>141.60001000000003</v>
      </c>
      <c r="X480" s="27">
        <f t="shared" si="175"/>
        <v>407.03999999999996</v>
      </c>
    </row>
    <row r="481" spans="1:24" x14ac:dyDescent="0.2">
      <c r="A481" s="220">
        <v>43783</v>
      </c>
      <c r="B481" s="130" t="s">
        <v>68</v>
      </c>
      <c r="C481" s="130" t="s">
        <v>102</v>
      </c>
      <c r="D481" s="130" t="s">
        <v>1826</v>
      </c>
      <c r="E481" s="130" t="s">
        <v>1329</v>
      </c>
      <c r="F481" s="130" t="s">
        <v>1825</v>
      </c>
      <c r="G481" s="220">
        <v>43774</v>
      </c>
      <c r="H481" s="130" t="s">
        <v>90</v>
      </c>
      <c r="I481" s="130" t="s">
        <v>91</v>
      </c>
      <c r="J481" s="130" t="s">
        <v>92</v>
      </c>
      <c r="K481" s="130" t="s">
        <v>113</v>
      </c>
      <c r="L481" s="174" t="s">
        <v>71</v>
      </c>
      <c r="M481" s="131" t="s">
        <v>72</v>
      </c>
      <c r="N481" s="130" t="s">
        <v>73</v>
      </c>
      <c r="O481" s="219" t="s">
        <v>69</v>
      </c>
      <c r="P481" s="130" t="s">
        <v>1699</v>
      </c>
      <c r="Q481" s="132" t="s">
        <v>93</v>
      </c>
      <c r="R481" s="218">
        <v>3.3919999999999999</v>
      </c>
      <c r="S481" s="129">
        <v>1</v>
      </c>
      <c r="T481" s="129">
        <v>55</v>
      </c>
      <c r="U481" s="129">
        <v>55</v>
      </c>
      <c r="V481" s="129">
        <v>9.9000020000000131</v>
      </c>
      <c r="W481" s="129">
        <v>64.900002000000015</v>
      </c>
      <c r="X481" s="27">
        <f t="shared" si="175"/>
        <v>186.56</v>
      </c>
    </row>
    <row r="482" spans="1:24" x14ac:dyDescent="0.2">
      <c r="A482" s="220">
        <v>43783</v>
      </c>
      <c r="B482" s="130" t="s">
        <v>68</v>
      </c>
      <c r="C482" s="130" t="s">
        <v>102</v>
      </c>
      <c r="D482" s="130" t="s">
        <v>1826</v>
      </c>
      <c r="E482" s="130" t="s">
        <v>1329</v>
      </c>
      <c r="F482" s="130" t="s">
        <v>1825</v>
      </c>
      <c r="G482" s="220">
        <v>43774</v>
      </c>
      <c r="H482" s="130" t="s">
        <v>90</v>
      </c>
      <c r="I482" s="130" t="s">
        <v>91</v>
      </c>
      <c r="J482" s="130" t="s">
        <v>95</v>
      </c>
      <c r="K482" s="130" t="s">
        <v>96</v>
      </c>
      <c r="L482" s="174" t="s">
        <v>71</v>
      </c>
      <c r="M482" s="131" t="s">
        <v>72</v>
      </c>
      <c r="N482" s="130" t="s">
        <v>73</v>
      </c>
      <c r="O482" s="219" t="s">
        <v>69</v>
      </c>
      <c r="P482" s="130" t="s">
        <v>1699</v>
      </c>
      <c r="Q482" s="132" t="s">
        <v>93</v>
      </c>
      <c r="R482" s="218">
        <v>3.3919999999999999</v>
      </c>
      <c r="S482" s="129">
        <v>-1</v>
      </c>
      <c r="T482" s="129">
        <v>100</v>
      </c>
      <c r="U482" s="129">
        <v>-100</v>
      </c>
      <c r="V482" s="129">
        <v>-18</v>
      </c>
      <c r="W482" s="129">
        <v>-118</v>
      </c>
      <c r="X482" s="27">
        <f t="shared" si="175"/>
        <v>-339.2</v>
      </c>
    </row>
    <row r="483" spans="1:24" x14ac:dyDescent="0.2">
      <c r="A483" s="220">
        <v>43783</v>
      </c>
      <c r="B483" s="130" t="s">
        <v>68</v>
      </c>
      <c r="C483" s="130" t="s">
        <v>102</v>
      </c>
      <c r="D483" s="130" t="s">
        <v>1824</v>
      </c>
      <c r="E483" s="130" t="s">
        <v>1312</v>
      </c>
      <c r="F483" s="130" t="s">
        <v>1823</v>
      </c>
      <c r="G483" s="220">
        <v>43774</v>
      </c>
      <c r="H483" s="130" t="s">
        <v>90</v>
      </c>
      <c r="I483" s="130" t="s">
        <v>91</v>
      </c>
      <c r="J483" s="130" t="s">
        <v>97</v>
      </c>
      <c r="K483" s="130" t="s">
        <v>98</v>
      </c>
      <c r="L483" s="174" t="s">
        <v>71</v>
      </c>
      <c r="M483" s="131" t="s">
        <v>72</v>
      </c>
      <c r="N483" s="130" t="s">
        <v>73</v>
      </c>
      <c r="O483" s="219" t="s">
        <v>99</v>
      </c>
      <c r="P483" s="130" t="s">
        <v>98</v>
      </c>
      <c r="Q483" s="132" t="s">
        <v>93</v>
      </c>
      <c r="R483" s="218">
        <v>3.3919999999999999</v>
      </c>
      <c r="S483" s="129">
        <v>1</v>
      </c>
      <c r="T483" s="129">
        <v>118</v>
      </c>
      <c r="U483" s="129">
        <v>118</v>
      </c>
      <c r="V483" s="129">
        <v>21.240010000000019</v>
      </c>
      <c r="W483" s="129">
        <v>139.24001000000001</v>
      </c>
      <c r="X483" s="27">
        <f t="shared" si="175"/>
        <v>400.25599999999997</v>
      </c>
    </row>
    <row r="484" spans="1:24" x14ac:dyDescent="0.2">
      <c r="A484" s="220">
        <v>43783</v>
      </c>
      <c r="B484" s="130" t="s">
        <v>68</v>
      </c>
      <c r="C484" s="130" t="s">
        <v>102</v>
      </c>
      <c r="D484" s="130" t="s">
        <v>1824</v>
      </c>
      <c r="E484" s="130" t="s">
        <v>1312</v>
      </c>
      <c r="F484" s="130" t="s">
        <v>1823</v>
      </c>
      <c r="G484" s="220">
        <v>43774</v>
      </c>
      <c r="H484" s="130" t="s">
        <v>90</v>
      </c>
      <c r="I484" s="130" t="s">
        <v>91</v>
      </c>
      <c r="J484" s="130" t="s">
        <v>100</v>
      </c>
      <c r="K484" s="130" t="s">
        <v>101</v>
      </c>
      <c r="L484" s="174" t="s">
        <v>71</v>
      </c>
      <c r="M484" s="131" t="s">
        <v>72</v>
      </c>
      <c r="N484" s="130" t="s">
        <v>73</v>
      </c>
      <c r="O484" s="219" t="s">
        <v>72</v>
      </c>
      <c r="P484" s="130" t="s">
        <v>101</v>
      </c>
      <c r="Q484" s="132" t="s">
        <v>93</v>
      </c>
      <c r="R484" s="218">
        <v>3.3919999999999999</v>
      </c>
      <c r="S484" s="129">
        <v>1</v>
      </c>
      <c r="T484" s="129">
        <v>225</v>
      </c>
      <c r="U484" s="129">
        <v>225</v>
      </c>
      <c r="V484" s="129">
        <v>40.5</v>
      </c>
      <c r="W484" s="129">
        <v>265.5</v>
      </c>
      <c r="X484" s="27">
        <f t="shared" si="175"/>
        <v>763.19999999999993</v>
      </c>
    </row>
    <row r="485" spans="1:24" x14ac:dyDescent="0.2">
      <c r="A485" s="220">
        <v>43783</v>
      </c>
      <c r="B485" s="130" t="s">
        <v>68</v>
      </c>
      <c r="C485" s="130" t="s">
        <v>102</v>
      </c>
      <c r="D485" s="130" t="s">
        <v>1824</v>
      </c>
      <c r="E485" s="130" t="s">
        <v>1312</v>
      </c>
      <c r="F485" s="130" t="s">
        <v>1823</v>
      </c>
      <c r="G485" s="220">
        <v>43774</v>
      </c>
      <c r="H485" s="130" t="s">
        <v>90</v>
      </c>
      <c r="I485" s="130" t="s">
        <v>91</v>
      </c>
      <c r="J485" s="130" t="s">
        <v>95</v>
      </c>
      <c r="K485" s="130" t="s">
        <v>96</v>
      </c>
      <c r="L485" s="174" t="s">
        <v>71</v>
      </c>
      <c r="M485" s="131" t="s">
        <v>72</v>
      </c>
      <c r="N485" s="130" t="s">
        <v>73</v>
      </c>
      <c r="O485" s="219" t="s">
        <v>69</v>
      </c>
      <c r="P485" s="130" t="s">
        <v>1699</v>
      </c>
      <c r="Q485" s="132" t="s">
        <v>93</v>
      </c>
      <c r="R485" s="218">
        <v>3.3919999999999999</v>
      </c>
      <c r="S485" s="129">
        <v>-1</v>
      </c>
      <c r="T485" s="129">
        <v>100</v>
      </c>
      <c r="U485" s="129">
        <v>-100</v>
      </c>
      <c r="V485" s="129">
        <v>-18</v>
      </c>
      <c r="W485" s="129">
        <v>-118</v>
      </c>
      <c r="X485" s="27">
        <f t="shared" si="175"/>
        <v>-339.2</v>
      </c>
    </row>
    <row r="486" spans="1:24" x14ac:dyDescent="0.2">
      <c r="A486" s="220">
        <v>43783</v>
      </c>
      <c r="B486" s="130" t="s">
        <v>68</v>
      </c>
      <c r="C486" s="130" t="s">
        <v>102</v>
      </c>
      <c r="D486" s="130" t="s">
        <v>1824</v>
      </c>
      <c r="E486" s="130" t="s">
        <v>1312</v>
      </c>
      <c r="F486" s="130" t="s">
        <v>1823</v>
      </c>
      <c r="G486" s="220">
        <v>43774</v>
      </c>
      <c r="H486" s="130" t="s">
        <v>90</v>
      </c>
      <c r="I486" s="130" t="s">
        <v>91</v>
      </c>
      <c r="J486" s="130" t="s">
        <v>104</v>
      </c>
      <c r="K486" s="130" t="s">
        <v>105</v>
      </c>
      <c r="L486" s="174" t="s">
        <v>71</v>
      </c>
      <c r="M486" s="131" t="s">
        <v>72</v>
      </c>
      <c r="N486" s="130" t="s">
        <v>73</v>
      </c>
      <c r="O486" s="219" t="s">
        <v>69</v>
      </c>
      <c r="P486" s="130" t="s">
        <v>1699</v>
      </c>
      <c r="Q486" s="132" t="s">
        <v>93</v>
      </c>
      <c r="R486" s="218">
        <v>3.3919999999999999</v>
      </c>
      <c r="S486" s="129">
        <v>1</v>
      </c>
      <c r="T486" s="129">
        <v>0</v>
      </c>
      <c r="U486" s="129">
        <v>0</v>
      </c>
      <c r="V486" s="129">
        <v>0</v>
      </c>
      <c r="W486" s="129">
        <v>0</v>
      </c>
      <c r="X486" s="27">
        <f t="shared" si="175"/>
        <v>0</v>
      </c>
    </row>
    <row r="487" spans="1:24" x14ac:dyDescent="0.2">
      <c r="A487" s="220">
        <v>43783</v>
      </c>
      <c r="B487" s="130" t="s">
        <v>68</v>
      </c>
      <c r="C487" s="130" t="s">
        <v>102</v>
      </c>
      <c r="D487" s="130" t="s">
        <v>620</v>
      </c>
      <c r="E487" s="130" t="s">
        <v>1239</v>
      </c>
      <c r="F487" s="130" t="s">
        <v>1240</v>
      </c>
      <c r="G487" s="220">
        <v>43773</v>
      </c>
      <c r="H487" s="130" t="s">
        <v>90</v>
      </c>
      <c r="I487" s="130" t="s">
        <v>91</v>
      </c>
      <c r="J487" s="130" t="s">
        <v>97</v>
      </c>
      <c r="K487" s="130" t="s">
        <v>98</v>
      </c>
      <c r="L487" s="174" t="s">
        <v>71</v>
      </c>
      <c r="M487" s="131" t="s">
        <v>72</v>
      </c>
      <c r="N487" s="130" t="s">
        <v>73</v>
      </c>
      <c r="O487" s="219" t="s">
        <v>99</v>
      </c>
      <c r="P487" s="130" t="s">
        <v>98</v>
      </c>
      <c r="Q487" s="132" t="s">
        <v>93</v>
      </c>
      <c r="R487" s="218">
        <v>3.3919999999999999</v>
      </c>
      <c r="S487" s="129">
        <v>1</v>
      </c>
      <c r="T487" s="129">
        <v>295</v>
      </c>
      <c r="U487" s="129">
        <v>295</v>
      </c>
      <c r="V487" s="129">
        <v>53.100009999999891</v>
      </c>
      <c r="W487" s="129">
        <v>348.10000999999988</v>
      </c>
      <c r="X487" s="27">
        <f t="shared" si="175"/>
        <v>1000.64</v>
      </c>
    </row>
    <row r="488" spans="1:24" x14ac:dyDescent="0.2">
      <c r="A488" s="220">
        <v>43783</v>
      </c>
      <c r="B488" s="130" t="s">
        <v>68</v>
      </c>
      <c r="C488" s="130" t="s">
        <v>102</v>
      </c>
      <c r="D488" s="130" t="s">
        <v>620</v>
      </c>
      <c r="E488" s="130" t="s">
        <v>1239</v>
      </c>
      <c r="F488" s="130" t="s">
        <v>1240</v>
      </c>
      <c r="G488" s="220">
        <v>43773</v>
      </c>
      <c r="H488" s="130" t="s">
        <v>90</v>
      </c>
      <c r="I488" s="130" t="s">
        <v>91</v>
      </c>
      <c r="J488" s="130" t="s">
        <v>100</v>
      </c>
      <c r="K488" s="130" t="s">
        <v>101</v>
      </c>
      <c r="L488" s="174" t="s">
        <v>71</v>
      </c>
      <c r="M488" s="131" t="s">
        <v>72</v>
      </c>
      <c r="N488" s="130" t="s">
        <v>73</v>
      </c>
      <c r="O488" s="219" t="s">
        <v>72</v>
      </c>
      <c r="P488" s="130" t="s">
        <v>101</v>
      </c>
      <c r="Q488" s="132" t="s">
        <v>93</v>
      </c>
      <c r="R488" s="218">
        <v>3.3919999999999999</v>
      </c>
      <c r="S488" s="129">
        <v>1</v>
      </c>
      <c r="T488" s="129">
        <v>135</v>
      </c>
      <c r="U488" s="129">
        <v>135</v>
      </c>
      <c r="V488" s="129">
        <v>24.3</v>
      </c>
      <c r="W488" s="129">
        <v>159.30000000000001</v>
      </c>
      <c r="X488" s="27">
        <f t="shared" si="175"/>
        <v>457.91999999999996</v>
      </c>
    </row>
    <row r="489" spans="1:24" x14ac:dyDescent="0.2">
      <c r="A489" s="220">
        <v>43783</v>
      </c>
      <c r="B489" s="130" t="s">
        <v>68</v>
      </c>
      <c r="C489" s="130" t="s">
        <v>102</v>
      </c>
      <c r="D489" s="130" t="s">
        <v>620</v>
      </c>
      <c r="E489" s="130" t="s">
        <v>1239</v>
      </c>
      <c r="F489" s="130" t="s">
        <v>1240</v>
      </c>
      <c r="G489" s="220">
        <v>43773</v>
      </c>
      <c r="H489" s="130" t="s">
        <v>90</v>
      </c>
      <c r="I489" s="130" t="s">
        <v>91</v>
      </c>
      <c r="J489" s="130" t="s">
        <v>92</v>
      </c>
      <c r="K489" s="130" t="s">
        <v>113</v>
      </c>
      <c r="L489" s="174" t="s">
        <v>71</v>
      </c>
      <c r="M489" s="131" t="s">
        <v>72</v>
      </c>
      <c r="N489" s="130" t="s">
        <v>73</v>
      </c>
      <c r="O489" s="219" t="s">
        <v>69</v>
      </c>
      <c r="P489" s="130" t="s">
        <v>1699</v>
      </c>
      <c r="Q489" s="132" t="s">
        <v>93</v>
      </c>
      <c r="R489" s="218">
        <v>3.3919999999999999</v>
      </c>
      <c r="S489" s="129">
        <v>1</v>
      </c>
      <c r="T489" s="129">
        <v>90</v>
      </c>
      <c r="U489" s="129">
        <v>90</v>
      </c>
      <c r="V489" s="129">
        <v>16.2</v>
      </c>
      <c r="W489" s="129">
        <v>106.2</v>
      </c>
      <c r="X489" s="27">
        <f t="shared" si="175"/>
        <v>305.27999999999997</v>
      </c>
    </row>
    <row r="490" spans="1:24" x14ac:dyDescent="0.2">
      <c r="A490" s="220">
        <v>43783</v>
      </c>
      <c r="B490" s="130" t="s">
        <v>68</v>
      </c>
      <c r="C490" s="130" t="s">
        <v>102</v>
      </c>
      <c r="D490" s="130" t="s">
        <v>620</v>
      </c>
      <c r="E490" s="130" t="s">
        <v>1239</v>
      </c>
      <c r="F490" s="130" t="s">
        <v>1240</v>
      </c>
      <c r="G490" s="220">
        <v>43773</v>
      </c>
      <c r="H490" s="130" t="s">
        <v>90</v>
      </c>
      <c r="I490" s="130" t="s">
        <v>91</v>
      </c>
      <c r="J490" s="130" t="s">
        <v>95</v>
      </c>
      <c r="K490" s="130" t="s">
        <v>96</v>
      </c>
      <c r="L490" s="174" t="s">
        <v>71</v>
      </c>
      <c r="M490" s="131" t="s">
        <v>72</v>
      </c>
      <c r="N490" s="130" t="s">
        <v>73</v>
      </c>
      <c r="O490" s="219" t="s">
        <v>69</v>
      </c>
      <c r="P490" s="130" t="s">
        <v>1699</v>
      </c>
      <c r="Q490" s="132" t="s">
        <v>93</v>
      </c>
      <c r="R490" s="218">
        <v>3.3919999999999999</v>
      </c>
      <c r="S490" s="129">
        <v>-1</v>
      </c>
      <c r="T490" s="129">
        <v>110.20340000000002</v>
      </c>
      <c r="U490" s="129">
        <v>-110.20340000000002</v>
      </c>
      <c r="V490" s="129">
        <v>-19.836589999999998</v>
      </c>
      <c r="W490" s="129">
        <v>-130.03999000000002</v>
      </c>
      <c r="X490" s="27">
        <f t="shared" si="175"/>
        <v>-373.80993280000007</v>
      </c>
    </row>
    <row r="491" spans="1:24" x14ac:dyDescent="0.2">
      <c r="A491" s="220">
        <v>43783</v>
      </c>
      <c r="B491" s="130" t="s">
        <v>68</v>
      </c>
      <c r="C491" s="130" t="s">
        <v>102</v>
      </c>
      <c r="D491" s="130" t="s">
        <v>620</v>
      </c>
      <c r="E491" s="130" t="s">
        <v>1239</v>
      </c>
      <c r="F491" s="130" t="s">
        <v>1240</v>
      </c>
      <c r="G491" s="220">
        <v>43773</v>
      </c>
      <c r="H491" s="130" t="s">
        <v>90</v>
      </c>
      <c r="I491" s="130" t="s">
        <v>91</v>
      </c>
      <c r="J491" s="130" t="s">
        <v>104</v>
      </c>
      <c r="K491" s="130" t="s">
        <v>105</v>
      </c>
      <c r="L491" s="174" t="s">
        <v>71</v>
      </c>
      <c r="M491" s="131" t="s">
        <v>72</v>
      </c>
      <c r="N491" s="130" t="s">
        <v>73</v>
      </c>
      <c r="O491" s="219" t="s">
        <v>69</v>
      </c>
      <c r="P491" s="130" t="s">
        <v>1699</v>
      </c>
      <c r="Q491" s="132" t="s">
        <v>93</v>
      </c>
      <c r="R491" s="218">
        <v>3.3919999999999999</v>
      </c>
      <c r="S491" s="129">
        <v>1</v>
      </c>
      <c r="T491" s="129">
        <v>0</v>
      </c>
      <c r="U491" s="129">
        <v>0</v>
      </c>
      <c r="V491" s="129">
        <v>0</v>
      </c>
      <c r="W491" s="129">
        <v>0</v>
      </c>
      <c r="X491" s="27">
        <f t="shared" si="175"/>
        <v>0</v>
      </c>
    </row>
    <row r="492" spans="1:24" x14ac:dyDescent="0.2">
      <c r="A492" s="220">
        <v>43784</v>
      </c>
      <c r="B492" s="130" t="s">
        <v>68</v>
      </c>
      <c r="C492" s="130" t="s">
        <v>102</v>
      </c>
      <c r="D492" s="130" t="s">
        <v>619</v>
      </c>
      <c r="E492" s="130" t="s">
        <v>1337</v>
      </c>
      <c r="F492" s="130" t="s">
        <v>1819</v>
      </c>
      <c r="G492" s="220">
        <v>43776</v>
      </c>
      <c r="H492" s="130" t="s">
        <v>1822</v>
      </c>
      <c r="I492" s="130" t="s">
        <v>1821</v>
      </c>
      <c r="J492" s="130" t="s">
        <v>95</v>
      </c>
      <c r="K492" s="130" t="s">
        <v>96</v>
      </c>
      <c r="L492" s="174" t="s">
        <v>71</v>
      </c>
      <c r="M492" s="131" t="s">
        <v>72</v>
      </c>
      <c r="N492" s="130" t="s">
        <v>73</v>
      </c>
      <c r="O492" s="219" t="s">
        <v>69</v>
      </c>
      <c r="P492" s="130" t="s">
        <v>1699</v>
      </c>
      <c r="Q492" s="132" t="s">
        <v>93</v>
      </c>
      <c r="R492" s="218">
        <v>3.391</v>
      </c>
      <c r="S492" s="129">
        <v>1</v>
      </c>
      <c r="T492" s="129">
        <v>100</v>
      </c>
      <c r="U492" s="129">
        <v>100</v>
      </c>
      <c r="V492" s="129">
        <v>18</v>
      </c>
      <c r="W492" s="129">
        <v>118</v>
      </c>
      <c r="X492" s="27">
        <f t="shared" si="175"/>
        <v>339.1</v>
      </c>
    </row>
    <row r="493" spans="1:24" x14ac:dyDescent="0.2">
      <c r="A493" s="220">
        <v>43784</v>
      </c>
      <c r="B493" s="130" t="s">
        <v>68</v>
      </c>
      <c r="C493" s="130" t="s">
        <v>102</v>
      </c>
      <c r="D493" s="130" t="s">
        <v>1820</v>
      </c>
      <c r="E493" s="130" t="s">
        <v>1333</v>
      </c>
      <c r="F493" s="130" t="s">
        <v>1733</v>
      </c>
      <c r="G493" s="220">
        <v>43775</v>
      </c>
      <c r="H493" s="130" t="s">
        <v>90</v>
      </c>
      <c r="I493" s="130" t="s">
        <v>91</v>
      </c>
      <c r="J493" s="130" t="s">
        <v>97</v>
      </c>
      <c r="K493" s="130" t="s">
        <v>98</v>
      </c>
      <c r="L493" s="174" t="s">
        <v>71</v>
      </c>
      <c r="M493" s="131" t="s">
        <v>72</v>
      </c>
      <c r="N493" s="130" t="s">
        <v>73</v>
      </c>
      <c r="O493" s="219" t="s">
        <v>99</v>
      </c>
      <c r="P493" s="130" t="s">
        <v>98</v>
      </c>
      <c r="Q493" s="132" t="s">
        <v>93</v>
      </c>
      <c r="R493" s="218">
        <v>3.391</v>
      </c>
      <c r="S493" s="129">
        <v>1</v>
      </c>
      <c r="T493" s="129">
        <v>177</v>
      </c>
      <c r="U493" s="129">
        <v>177</v>
      </c>
      <c r="V493" s="129">
        <v>31.86</v>
      </c>
      <c r="W493" s="129">
        <v>208.86</v>
      </c>
      <c r="X493" s="27">
        <f t="shared" si="175"/>
        <v>600.20699999999999</v>
      </c>
    </row>
    <row r="494" spans="1:24" x14ac:dyDescent="0.2">
      <c r="A494" s="220">
        <v>43784</v>
      </c>
      <c r="B494" s="130" t="s">
        <v>68</v>
      </c>
      <c r="C494" s="130" t="s">
        <v>102</v>
      </c>
      <c r="D494" s="130" t="s">
        <v>1820</v>
      </c>
      <c r="E494" s="130" t="s">
        <v>1333</v>
      </c>
      <c r="F494" s="130" t="s">
        <v>1733</v>
      </c>
      <c r="G494" s="220">
        <v>43775</v>
      </c>
      <c r="H494" s="130" t="s">
        <v>90</v>
      </c>
      <c r="I494" s="130" t="s">
        <v>91</v>
      </c>
      <c r="J494" s="130" t="s">
        <v>100</v>
      </c>
      <c r="K494" s="130" t="s">
        <v>101</v>
      </c>
      <c r="L494" s="174" t="s">
        <v>71</v>
      </c>
      <c r="M494" s="131" t="s">
        <v>72</v>
      </c>
      <c r="N494" s="130" t="s">
        <v>73</v>
      </c>
      <c r="O494" s="219" t="s">
        <v>72</v>
      </c>
      <c r="P494" s="130" t="s">
        <v>101</v>
      </c>
      <c r="Q494" s="132" t="s">
        <v>93</v>
      </c>
      <c r="R494" s="218">
        <v>3.391</v>
      </c>
      <c r="S494" s="129">
        <v>1</v>
      </c>
      <c r="T494" s="129">
        <v>285</v>
      </c>
      <c r="U494" s="129">
        <v>285</v>
      </c>
      <c r="V494" s="129">
        <v>51.299990000000037</v>
      </c>
      <c r="W494" s="129">
        <v>336.29999000000004</v>
      </c>
      <c r="X494" s="27">
        <f t="shared" si="175"/>
        <v>966.43500000000006</v>
      </c>
    </row>
    <row r="495" spans="1:24" x14ac:dyDescent="0.2">
      <c r="A495" s="220">
        <v>43784</v>
      </c>
      <c r="B495" s="130" t="s">
        <v>68</v>
      </c>
      <c r="C495" s="130" t="s">
        <v>102</v>
      </c>
      <c r="D495" s="130" t="s">
        <v>1820</v>
      </c>
      <c r="E495" s="130" t="s">
        <v>1333</v>
      </c>
      <c r="F495" s="130" t="s">
        <v>1733</v>
      </c>
      <c r="G495" s="220">
        <v>43775</v>
      </c>
      <c r="H495" s="130" t="s">
        <v>90</v>
      </c>
      <c r="I495" s="130" t="s">
        <v>91</v>
      </c>
      <c r="J495" s="130" t="s">
        <v>92</v>
      </c>
      <c r="K495" s="130" t="s">
        <v>113</v>
      </c>
      <c r="L495" s="174" t="s">
        <v>71</v>
      </c>
      <c r="M495" s="131" t="s">
        <v>72</v>
      </c>
      <c r="N495" s="130" t="s">
        <v>73</v>
      </c>
      <c r="O495" s="219" t="s">
        <v>69</v>
      </c>
      <c r="P495" s="130" t="s">
        <v>1699</v>
      </c>
      <c r="Q495" s="132" t="s">
        <v>93</v>
      </c>
      <c r="R495" s="218">
        <v>3.391</v>
      </c>
      <c r="S495" s="129">
        <v>1</v>
      </c>
      <c r="T495" s="129">
        <v>60</v>
      </c>
      <c r="U495" s="129">
        <v>60</v>
      </c>
      <c r="V495" s="129">
        <v>10.800002999999997</v>
      </c>
      <c r="W495" s="129">
        <v>70.800003000000004</v>
      </c>
      <c r="X495" s="27">
        <f t="shared" si="175"/>
        <v>203.46</v>
      </c>
    </row>
    <row r="496" spans="1:24" x14ac:dyDescent="0.2">
      <c r="A496" s="220">
        <v>43784</v>
      </c>
      <c r="B496" s="130" t="s">
        <v>68</v>
      </c>
      <c r="C496" s="130" t="s">
        <v>102</v>
      </c>
      <c r="D496" s="130" t="s">
        <v>1820</v>
      </c>
      <c r="E496" s="130" t="s">
        <v>1333</v>
      </c>
      <c r="F496" s="130" t="s">
        <v>1733</v>
      </c>
      <c r="G496" s="220">
        <v>43775</v>
      </c>
      <c r="H496" s="130" t="s">
        <v>90</v>
      </c>
      <c r="I496" s="130" t="s">
        <v>91</v>
      </c>
      <c r="J496" s="130" t="s">
        <v>95</v>
      </c>
      <c r="K496" s="130" t="s">
        <v>96</v>
      </c>
      <c r="L496" s="174" t="s">
        <v>71</v>
      </c>
      <c r="M496" s="131" t="s">
        <v>72</v>
      </c>
      <c r="N496" s="130" t="s">
        <v>73</v>
      </c>
      <c r="O496" s="219" t="s">
        <v>69</v>
      </c>
      <c r="P496" s="130" t="s">
        <v>1699</v>
      </c>
      <c r="Q496" s="132" t="s">
        <v>93</v>
      </c>
      <c r="R496" s="218">
        <v>3.391</v>
      </c>
      <c r="S496" s="129">
        <v>-1</v>
      </c>
      <c r="T496" s="129">
        <v>100</v>
      </c>
      <c r="U496" s="129">
        <v>-100</v>
      </c>
      <c r="V496" s="129">
        <v>-18</v>
      </c>
      <c r="W496" s="129">
        <v>-118</v>
      </c>
      <c r="X496" s="27">
        <f t="shared" si="175"/>
        <v>-339.1</v>
      </c>
    </row>
    <row r="497" spans="1:24" x14ac:dyDescent="0.2">
      <c r="A497" s="220">
        <v>43784</v>
      </c>
      <c r="B497" s="130" t="s">
        <v>68</v>
      </c>
      <c r="C497" s="130" t="s">
        <v>102</v>
      </c>
      <c r="D497" s="130" t="s">
        <v>1820</v>
      </c>
      <c r="E497" s="130" t="s">
        <v>1333</v>
      </c>
      <c r="F497" s="130" t="s">
        <v>1733</v>
      </c>
      <c r="G497" s="220">
        <v>43775</v>
      </c>
      <c r="H497" s="130" t="s">
        <v>90</v>
      </c>
      <c r="I497" s="130" t="s">
        <v>91</v>
      </c>
      <c r="J497" s="130" t="s">
        <v>104</v>
      </c>
      <c r="K497" s="130" t="s">
        <v>105</v>
      </c>
      <c r="L497" s="174" t="s">
        <v>71</v>
      </c>
      <c r="M497" s="131" t="s">
        <v>72</v>
      </c>
      <c r="N497" s="130" t="s">
        <v>73</v>
      </c>
      <c r="O497" s="219" t="s">
        <v>69</v>
      </c>
      <c r="P497" s="130" t="s">
        <v>1699</v>
      </c>
      <c r="Q497" s="132" t="s">
        <v>93</v>
      </c>
      <c r="R497" s="218">
        <v>3.391</v>
      </c>
      <c r="S497" s="129">
        <v>1</v>
      </c>
      <c r="T497" s="129">
        <v>0</v>
      </c>
      <c r="U497" s="129">
        <v>0</v>
      </c>
      <c r="V497" s="129">
        <v>0</v>
      </c>
      <c r="W497" s="129">
        <v>0</v>
      </c>
      <c r="X497" s="27">
        <f t="shared" si="175"/>
        <v>0</v>
      </c>
    </row>
    <row r="498" spans="1:24" x14ac:dyDescent="0.2">
      <c r="A498" s="220">
        <v>43784</v>
      </c>
      <c r="B498" s="130" t="s">
        <v>68</v>
      </c>
      <c r="C498" s="130" t="s">
        <v>102</v>
      </c>
      <c r="D498" s="130" t="s">
        <v>618</v>
      </c>
      <c r="E498" s="130" t="s">
        <v>1337</v>
      </c>
      <c r="F498" s="130" t="s">
        <v>1819</v>
      </c>
      <c r="G498" s="220">
        <v>43776</v>
      </c>
      <c r="H498" s="130" t="s">
        <v>90</v>
      </c>
      <c r="I498" s="130" t="s">
        <v>91</v>
      </c>
      <c r="J498" s="130" t="s">
        <v>97</v>
      </c>
      <c r="K498" s="130" t="s">
        <v>98</v>
      </c>
      <c r="L498" s="174" t="s">
        <v>71</v>
      </c>
      <c r="M498" s="131" t="s">
        <v>72</v>
      </c>
      <c r="N498" s="130" t="s">
        <v>73</v>
      </c>
      <c r="O498" s="219" t="s">
        <v>99</v>
      </c>
      <c r="P498" s="130" t="s">
        <v>98</v>
      </c>
      <c r="Q498" s="132" t="s">
        <v>93</v>
      </c>
      <c r="R498" s="218">
        <v>3.391</v>
      </c>
      <c r="S498" s="129">
        <v>1</v>
      </c>
      <c r="T498" s="129">
        <v>177</v>
      </c>
      <c r="U498" s="129">
        <v>177</v>
      </c>
      <c r="V498" s="129">
        <v>31.86</v>
      </c>
      <c r="W498" s="129">
        <v>208.86</v>
      </c>
      <c r="X498" s="27">
        <f t="shared" si="175"/>
        <v>600.20699999999999</v>
      </c>
    </row>
    <row r="499" spans="1:24" x14ac:dyDescent="0.2">
      <c r="A499" s="220">
        <v>43784</v>
      </c>
      <c r="B499" s="130" t="s">
        <v>68</v>
      </c>
      <c r="C499" s="130" t="s">
        <v>102</v>
      </c>
      <c r="D499" s="130" t="s">
        <v>618</v>
      </c>
      <c r="E499" s="130" t="s">
        <v>1337</v>
      </c>
      <c r="F499" s="130" t="s">
        <v>1819</v>
      </c>
      <c r="G499" s="220">
        <v>43776</v>
      </c>
      <c r="H499" s="130" t="s">
        <v>90</v>
      </c>
      <c r="I499" s="130" t="s">
        <v>91</v>
      </c>
      <c r="J499" s="130" t="s">
        <v>100</v>
      </c>
      <c r="K499" s="130" t="s">
        <v>101</v>
      </c>
      <c r="L499" s="174" t="s">
        <v>71</v>
      </c>
      <c r="M499" s="131" t="s">
        <v>72</v>
      </c>
      <c r="N499" s="130" t="s">
        <v>73</v>
      </c>
      <c r="O499" s="219" t="s">
        <v>72</v>
      </c>
      <c r="P499" s="130" t="s">
        <v>101</v>
      </c>
      <c r="Q499" s="132" t="s">
        <v>93</v>
      </c>
      <c r="R499" s="218">
        <v>3.391</v>
      </c>
      <c r="S499" s="129">
        <v>1</v>
      </c>
      <c r="T499" s="129">
        <v>165</v>
      </c>
      <c r="U499" s="129">
        <v>165</v>
      </c>
      <c r="V499" s="129">
        <v>29.7</v>
      </c>
      <c r="W499" s="129">
        <v>194.7</v>
      </c>
      <c r="X499" s="27">
        <f t="shared" si="175"/>
        <v>559.51499999999999</v>
      </c>
    </row>
    <row r="500" spans="1:24" x14ac:dyDescent="0.2">
      <c r="A500" s="220">
        <v>43784</v>
      </c>
      <c r="B500" s="130" t="s">
        <v>68</v>
      </c>
      <c r="C500" s="130" t="s">
        <v>102</v>
      </c>
      <c r="D500" s="130" t="s">
        <v>618</v>
      </c>
      <c r="E500" s="130" t="s">
        <v>1337</v>
      </c>
      <c r="F500" s="130" t="s">
        <v>1819</v>
      </c>
      <c r="G500" s="220">
        <v>43776</v>
      </c>
      <c r="H500" s="130" t="s">
        <v>90</v>
      </c>
      <c r="I500" s="130" t="s">
        <v>91</v>
      </c>
      <c r="J500" s="130" t="s">
        <v>92</v>
      </c>
      <c r="K500" s="130" t="s">
        <v>113</v>
      </c>
      <c r="L500" s="174" t="s">
        <v>71</v>
      </c>
      <c r="M500" s="131" t="s">
        <v>72</v>
      </c>
      <c r="N500" s="130" t="s">
        <v>73</v>
      </c>
      <c r="O500" s="219" t="s">
        <v>69</v>
      </c>
      <c r="P500" s="130" t="s">
        <v>1699</v>
      </c>
      <c r="Q500" s="132" t="s">
        <v>93</v>
      </c>
      <c r="R500" s="218">
        <v>3.391</v>
      </c>
      <c r="S500" s="129">
        <v>1</v>
      </c>
      <c r="T500" s="129">
        <v>30</v>
      </c>
      <c r="U500" s="129">
        <v>30</v>
      </c>
      <c r="V500" s="129">
        <v>5.4000019999999997</v>
      </c>
      <c r="W500" s="129">
        <v>35.400002000000001</v>
      </c>
      <c r="X500" s="27">
        <f t="shared" si="175"/>
        <v>101.73</v>
      </c>
    </row>
    <row r="501" spans="1:24" x14ac:dyDescent="0.2">
      <c r="A501" s="220">
        <v>43784</v>
      </c>
      <c r="B501" s="130" t="s">
        <v>68</v>
      </c>
      <c r="C501" s="130" t="s">
        <v>102</v>
      </c>
      <c r="D501" s="130" t="s">
        <v>618</v>
      </c>
      <c r="E501" s="130" t="s">
        <v>1337</v>
      </c>
      <c r="F501" s="130" t="s">
        <v>1819</v>
      </c>
      <c r="G501" s="220">
        <v>43776</v>
      </c>
      <c r="H501" s="130" t="s">
        <v>90</v>
      </c>
      <c r="I501" s="130" t="s">
        <v>91</v>
      </c>
      <c r="J501" s="130" t="s">
        <v>95</v>
      </c>
      <c r="K501" s="130" t="s">
        <v>96</v>
      </c>
      <c r="L501" s="174" t="s">
        <v>71</v>
      </c>
      <c r="M501" s="131" t="s">
        <v>72</v>
      </c>
      <c r="N501" s="130" t="s">
        <v>73</v>
      </c>
      <c r="O501" s="219" t="s">
        <v>69</v>
      </c>
      <c r="P501" s="130" t="s">
        <v>1699</v>
      </c>
      <c r="Q501" s="132" t="s">
        <v>93</v>
      </c>
      <c r="R501" s="218">
        <v>3.391</v>
      </c>
      <c r="S501" s="129">
        <v>-1</v>
      </c>
      <c r="T501" s="129">
        <v>100</v>
      </c>
      <c r="U501" s="129">
        <v>-100</v>
      </c>
      <c r="V501" s="129">
        <v>-18</v>
      </c>
      <c r="W501" s="129">
        <v>-118</v>
      </c>
      <c r="X501" s="27">
        <f t="shared" si="175"/>
        <v>-339.1</v>
      </c>
    </row>
    <row r="502" spans="1:24" x14ac:dyDescent="0.2">
      <c r="A502" s="220">
        <v>43784</v>
      </c>
      <c r="B502" s="130" t="s">
        <v>68</v>
      </c>
      <c r="C502" s="130" t="s">
        <v>102</v>
      </c>
      <c r="D502" s="130" t="s">
        <v>618</v>
      </c>
      <c r="E502" s="130" t="s">
        <v>1337</v>
      </c>
      <c r="F502" s="130" t="s">
        <v>1819</v>
      </c>
      <c r="G502" s="220">
        <v>43776</v>
      </c>
      <c r="H502" s="130" t="s">
        <v>90</v>
      </c>
      <c r="I502" s="130" t="s">
        <v>91</v>
      </c>
      <c r="J502" s="130" t="s">
        <v>104</v>
      </c>
      <c r="K502" s="130" t="s">
        <v>105</v>
      </c>
      <c r="L502" s="174" t="s">
        <v>71</v>
      </c>
      <c r="M502" s="131" t="s">
        <v>72</v>
      </c>
      <c r="N502" s="130" t="s">
        <v>73</v>
      </c>
      <c r="O502" s="219" t="s">
        <v>69</v>
      </c>
      <c r="P502" s="130" t="s">
        <v>1699</v>
      </c>
      <c r="Q502" s="132" t="s">
        <v>93</v>
      </c>
      <c r="R502" s="218">
        <v>3.391</v>
      </c>
      <c r="S502" s="129">
        <v>1</v>
      </c>
      <c r="T502" s="129">
        <v>0</v>
      </c>
      <c r="U502" s="129">
        <v>0</v>
      </c>
      <c r="V502" s="129">
        <v>0</v>
      </c>
      <c r="W502" s="129">
        <v>0</v>
      </c>
      <c r="X502" s="27">
        <f t="shared" si="175"/>
        <v>0</v>
      </c>
    </row>
    <row r="503" spans="1:24" x14ac:dyDescent="0.2">
      <c r="A503" s="220">
        <v>43784</v>
      </c>
      <c r="B503" s="130" t="s">
        <v>68</v>
      </c>
      <c r="C503" s="130" t="s">
        <v>102</v>
      </c>
      <c r="D503" s="130" t="s">
        <v>1494</v>
      </c>
      <c r="E503" s="130" t="s">
        <v>1261</v>
      </c>
      <c r="F503" s="130" t="s">
        <v>1818</v>
      </c>
      <c r="G503" s="220">
        <v>43769</v>
      </c>
      <c r="H503" s="130" t="s">
        <v>90</v>
      </c>
      <c r="I503" s="130" t="s">
        <v>91</v>
      </c>
      <c r="J503" s="130" t="s">
        <v>97</v>
      </c>
      <c r="K503" s="130" t="s">
        <v>98</v>
      </c>
      <c r="L503" s="174" t="s">
        <v>71</v>
      </c>
      <c r="M503" s="131" t="s">
        <v>72</v>
      </c>
      <c r="N503" s="130" t="s">
        <v>73</v>
      </c>
      <c r="O503" s="219" t="s">
        <v>99</v>
      </c>
      <c r="P503" s="130" t="s">
        <v>98</v>
      </c>
      <c r="Q503" s="132" t="s">
        <v>93</v>
      </c>
      <c r="R503" s="218">
        <v>3.391</v>
      </c>
      <c r="S503" s="129">
        <v>1</v>
      </c>
      <c r="T503" s="129">
        <v>309.75421</v>
      </c>
      <c r="U503" s="129">
        <v>309.75420999999994</v>
      </c>
      <c r="V503" s="129">
        <v>55.755800000000129</v>
      </c>
      <c r="W503" s="129">
        <v>365.51001000000014</v>
      </c>
      <c r="X503" s="27">
        <f t="shared" si="175"/>
        <v>1050.3765261099998</v>
      </c>
    </row>
    <row r="504" spans="1:24" x14ac:dyDescent="0.2">
      <c r="A504" s="220">
        <v>43784</v>
      </c>
      <c r="B504" s="130" t="s">
        <v>68</v>
      </c>
      <c r="C504" s="130" t="s">
        <v>102</v>
      </c>
      <c r="D504" s="130" t="s">
        <v>1494</v>
      </c>
      <c r="E504" s="130" t="s">
        <v>1261</v>
      </c>
      <c r="F504" s="130" t="s">
        <v>1818</v>
      </c>
      <c r="G504" s="220">
        <v>43769</v>
      </c>
      <c r="H504" s="130" t="s">
        <v>90</v>
      </c>
      <c r="I504" s="130" t="s">
        <v>91</v>
      </c>
      <c r="J504" s="130" t="s">
        <v>100</v>
      </c>
      <c r="K504" s="130" t="s">
        <v>101</v>
      </c>
      <c r="L504" s="174" t="s">
        <v>71</v>
      </c>
      <c r="M504" s="131" t="s">
        <v>72</v>
      </c>
      <c r="N504" s="130" t="s">
        <v>73</v>
      </c>
      <c r="O504" s="219" t="s">
        <v>72</v>
      </c>
      <c r="P504" s="130" t="s">
        <v>101</v>
      </c>
      <c r="Q504" s="132" t="s">
        <v>93</v>
      </c>
      <c r="R504" s="218">
        <v>3.391</v>
      </c>
      <c r="S504" s="129">
        <v>1</v>
      </c>
      <c r="T504" s="129">
        <v>285</v>
      </c>
      <c r="U504" s="129">
        <v>285</v>
      </c>
      <c r="V504" s="129">
        <v>51.299990000000037</v>
      </c>
      <c r="W504" s="129">
        <v>336.29999000000004</v>
      </c>
      <c r="X504" s="27">
        <f t="shared" si="175"/>
        <v>966.43500000000006</v>
      </c>
    </row>
    <row r="505" spans="1:24" x14ac:dyDescent="0.2">
      <c r="A505" s="220">
        <v>43784</v>
      </c>
      <c r="B505" s="130" t="s">
        <v>68</v>
      </c>
      <c r="C505" s="130" t="s">
        <v>102</v>
      </c>
      <c r="D505" s="130" t="s">
        <v>1494</v>
      </c>
      <c r="E505" s="130" t="s">
        <v>1261</v>
      </c>
      <c r="F505" s="130" t="s">
        <v>1818</v>
      </c>
      <c r="G505" s="220">
        <v>43769</v>
      </c>
      <c r="H505" s="130" t="s">
        <v>90</v>
      </c>
      <c r="I505" s="130" t="s">
        <v>91</v>
      </c>
      <c r="J505" s="130" t="s">
        <v>92</v>
      </c>
      <c r="K505" s="130" t="s">
        <v>113</v>
      </c>
      <c r="L505" s="174" t="s">
        <v>71</v>
      </c>
      <c r="M505" s="131" t="s">
        <v>72</v>
      </c>
      <c r="N505" s="130" t="s">
        <v>73</v>
      </c>
      <c r="O505" s="219" t="s">
        <v>69</v>
      </c>
      <c r="P505" s="130" t="s">
        <v>1699</v>
      </c>
      <c r="Q505" s="132" t="s">
        <v>93</v>
      </c>
      <c r="R505" s="218">
        <v>3.391</v>
      </c>
      <c r="S505" s="129">
        <v>1</v>
      </c>
      <c r="T505" s="129">
        <v>140</v>
      </c>
      <c r="U505" s="129">
        <v>140</v>
      </c>
      <c r="V505" s="129">
        <v>25.2</v>
      </c>
      <c r="W505" s="129">
        <v>165.2</v>
      </c>
      <c r="X505" s="27">
        <f t="shared" si="175"/>
        <v>474.74</v>
      </c>
    </row>
    <row r="506" spans="1:24" x14ac:dyDescent="0.2">
      <c r="A506" s="220">
        <v>43784</v>
      </c>
      <c r="B506" s="130" t="s">
        <v>68</v>
      </c>
      <c r="C506" s="130" t="s">
        <v>102</v>
      </c>
      <c r="D506" s="130" t="s">
        <v>1494</v>
      </c>
      <c r="E506" s="130" t="s">
        <v>1261</v>
      </c>
      <c r="F506" s="130" t="s">
        <v>1818</v>
      </c>
      <c r="G506" s="220">
        <v>43769</v>
      </c>
      <c r="H506" s="130" t="s">
        <v>90</v>
      </c>
      <c r="I506" s="130" t="s">
        <v>91</v>
      </c>
      <c r="J506" s="130" t="s">
        <v>104</v>
      </c>
      <c r="K506" s="130" t="s">
        <v>105</v>
      </c>
      <c r="L506" s="174" t="s">
        <v>71</v>
      </c>
      <c r="M506" s="131" t="s">
        <v>72</v>
      </c>
      <c r="N506" s="130" t="s">
        <v>73</v>
      </c>
      <c r="O506" s="219" t="s">
        <v>69</v>
      </c>
      <c r="P506" s="130" t="s">
        <v>1699</v>
      </c>
      <c r="Q506" s="132" t="s">
        <v>93</v>
      </c>
      <c r="R506" s="218">
        <v>3.391</v>
      </c>
      <c r="S506" s="129">
        <v>1</v>
      </c>
      <c r="T506" s="129">
        <v>0</v>
      </c>
      <c r="U506" s="129">
        <v>0</v>
      </c>
      <c r="V506" s="129">
        <v>0</v>
      </c>
      <c r="W506" s="129">
        <v>0</v>
      </c>
      <c r="X506" s="27">
        <f t="shared" si="175"/>
        <v>0</v>
      </c>
    </row>
    <row r="507" spans="1:24" x14ac:dyDescent="0.2">
      <c r="A507" s="220">
        <v>43785</v>
      </c>
      <c r="B507" s="130" t="s">
        <v>68</v>
      </c>
      <c r="C507" s="130" t="s">
        <v>102</v>
      </c>
      <c r="D507" s="130" t="s">
        <v>617</v>
      </c>
      <c r="E507" s="130" t="s">
        <v>1335</v>
      </c>
      <c r="F507" s="130" t="s">
        <v>1730</v>
      </c>
      <c r="G507" s="220">
        <v>43771</v>
      </c>
      <c r="H507" s="130" t="s">
        <v>90</v>
      </c>
      <c r="I507" s="130" t="s">
        <v>91</v>
      </c>
      <c r="J507" s="130" t="s">
        <v>97</v>
      </c>
      <c r="K507" s="130" t="s">
        <v>98</v>
      </c>
      <c r="L507" s="174" t="s">
        <v>71</v>
      </c>
      <c r="M507" s="131" t="s">
        <v>72</v>
      </c>
      <c r="N507" s="130" t="s">
        <v>73</v>
      </c>
      <c r="O507" s="219" t="s">
        <v>99</v>
      </c>
      <c r="P507" s="130" t="s">
        <v>98</v>
      </c>
      <c r="Q507" s="132" t="s">
        <v>93</v>
      </c>
      <c r="R507" s="218">
        <v>3.3729998999999999</v>
      </c>
      <c r="S507" s="129">
        <v>1</v>
      </c>
      <c r="T507" s="129">
        <v>118</v>
      </c>
      <c r="U507" s="129">
        <v>118</v>
      </c>
      <c r="V507" s="129">
        <v>21.240010000000019</v>
      </c>
      <c r="W507" s="129">
        <v>139.24001000000001</v>
      </c>
      <c r="X507" s="27">
        <f t="shared" si="175"/>
        <v>398.01398819999997</v>
      </c>
    </row>
    <row r="508" spans="1:24" x14ac:dyDescent="0.2">
      <c r="A508" s="220">
        <v>43785</v>
      </c>
      <c r="B508" s="130" t="s">
        <v>68</v>
      </c>
      <c r="C508" s="130" t="s">
        <v>102</v>
      </c>
      <c r="D508" s="130" t="s">
        <v>617</v>
      </c>
      <c r="E508" s="130" t="s">
        <v>1335</v>
      </c>
      <c r="F508" s="130" t="s">
        <v>1730</v>
      </c>
      <c r="G508" s="220">
        <v>43771</v>
      </c>
      <c r="H508" s="130" t="s">
        <v>90</v>
      </c>
      <c r="I508" s="130" t="s">
        <v>91</v>
      </c>
      <c r="J508" s="130" t="s">
        <v>100</v>
      </c>
      <c r="K508" s="130" t="s">
        <v>101</v>
      </c>
      <c r="L508" s="174" t="s">
        <v>71</v>
      </c>
      <c r="M508" s="131" t="s">
        <v>72</v>
      </c>
      <c r="N508" s="130" t="s">
        <v>73</v>
      </c>
      <c r="O508" s="219" t="s">
        <v>72</v>
      </c>
      <c r="P508" s="130" t="s">
        <v>101</v>
      </c>
      <c r="Q508" s="132" t="s">
        <v>93</v>
      </c>
      <c r="R508" s="218">
        <v>3.3729998999999999</v>
      </c>
      <c r="S508" s="129">
        <v>1</v>
      </c>
      <c r="T508" s="129">
        <v>300</v>
      </c>
      <c r="U508" s="129">
        <v>300</v>
      </c>
      <c r="V508" s="129">
        <v>54</v>
      </c>
      <c r="W508" s="129">
        <v>354</v>
      </c>
      <c r="X508" s="27">
        <f t="shared" si="175"/>
        <v>1011.8999699999999</v>
      </c>
    </row>
    <row r="509" spans="1:24" x14ac:dyDescent="0.2">
      <c r="A509" s="220">
        <v>43785</v>
      </c>
      <c r="B509" s="130" t="s">
        <v>68</v>
      </c>
      <c r="C509" s="130" t="s">
        <v>102</v>
      </c>
      <c r="D509" s="130" t="s">
        <v>617</v>
      </c>
      <c r="E509" s="130" t="s">
        <v>1335</v>
      </c>
      <c r="F509" s="130" t="s">
        <v>1730</v>
      </c>
      <c r="G509" s="220">
        <v>43771</v>
      </c>
      <c r="H509" s="130" t="s">
        <v>90</v>
      </c>
      <c r="I509" s="130" t="s">
        <v>91</v>
      </c>
      <c r="J509" s="130" t="s">
        <v>92</v>
      </c>
      <c r="K509" s="130" t="s">
        <v>113</v>
      </c>
      <c r="L509" s="174" t="s">
        <v>71</v>
      </c>
      <c r="M509" s="131" t="s">
        <v>72</v>
      </c>
      <c r="N509" s="130" t="s">
        <v>73</v>
      </c>
      <c r="O509" s="219" t="s">
        <v>69</v>
      </c>
      <c r="P509" s="130" t="s">
        <v>1699</v>
      </c>
      <c r="Q509" s="132" t="s">
        <v>93</v>
      </c>
      <c r="R509" s="218">
        <v>3.3729998999999999</v>
      </c>
      <c r="S509" s="129">
        <v>1</v>
      </c>
      <c r="T509" s="129">
        <v>25</v>
      </c>
      <c r="U509" s="129">
        <v>25</v>
      </c>
      <c r="V509" s="129">
        <v>4.5</v>
      </c>
      <c r="W509" s="129">
        <v>29.5</v>
      </c>
      <c r="X509" s="27">
        <f t="shared" si="175"/>
        <v>84.324997499999995</v>
      </c>
    </row>
    <row r="510" spans="1:24" x14ac:dyDescent="0.2">
      <c r="A510" s="220">
        <v>43785</v>
      </c>
      <c r="B510" s="130" t="s">
        <v>68</v>
      </c>
      <c r="C510" s="130" t="s">
        <v>102</v>
      </c>
      <c r="D510" s="130" t="s">
        <v>617</v>
      </c>
      <c r="E510" s="130" t="s">
        <v>1335</v>
      </c>
      <c r="F510" s="130" t="s">
        <v>1730</v>
      </c>
      <c r="G510" s="220">
        <v>43771</v>
      </c>
      <c r="H510" s="130" t="s">
        <v>90</v>
      </c>
      <c r="I510" s="130" t="s">
        <v>91</v>
      </c>
      <c r="J510" s="130" t="s">
        <v>95</v>
      </c>
      <c r="K510" s="130" t="s">
        <v>96</v>
      </c>
      <c r="L510" s="174" t="s">
        <v>71</v>
      </c>
      <c r="M510" s="131" t="s">
        <v>72</v>
      </c>
      <c r="N510" s="130" t="s">
        <v>73</v>
      </c>
      <c r="O510" s="219" t="s">
        <v>69</v>
      </c>
      <c r="P510" s="130" t="s">
        <v>1699</v>
      </c>
      <c r="Q510" s="132" t="s">
        <v>93</v>
      </c>
      <c r="R510" s="218">
        <v>3.3729998999999999</v>
      </c>
      <c r="S510" s="129">
        <v>-1</v>
      </c>
      <c r="T510" s="129">
        <v>100</v>
      </c>
      <c r="U510" s="129">
        <v>-100</v>
      </c>
      <c r="V510" s="129">
        <v>-18</v>
      </c>
      <c r="W510" s="129">
        <v>-118</v>
      </c>
      <c r="X510" s="27">
        <f t="shared" si="175"/>
        <v>-337.29998999999998</v>
      </c>
    </row>
    <row r="511" spans="1:24" x14ac:dyDescent="0.2">
      <c r="A511" s="220">
        <v>43785</v>
      </c>
      <c r="B511" s="130" t="s">
        <v>68</v>
      </c>
      <c r="C511" s="130" t="s">
        <v>102</v>
      </c>
      <c r="D511" s="130" t="s">
        <v>617</v>
      </c>
      <c r="E511" s="130" t="s">
        <v>1335</v>
      </c>
      <c r="F511" s="130" t="s">
        <v>1730</v>
      </c>
      <c r="G511" s="220">
        <v>43771</v>
      </c>
      <c r="H511" s="130" t="s">
        <v>90</v>
      </c>
      <c r="I511" s="130" t="s">
        <v>91</v>
      </c>
      <c r="J511" s="130" t="s">
        <v>104</v>
      </c>
      <c r="K511" s="130" t="s">
        <v>105</v>
      </c>
      <c r="L511" s="174" t="s">
        <v>71</v>
      </c>
      <c r="M511" s="131" t="s">
        <v>72</v>
      </c>
      <c r="N511" s="130" t="s">
        <v>73</v>
      </c>
      <c r="O511" s="219" t="s">
        <v>69</v>
      </c>
      <c r="P511" s="130" t="s">
        <v>1699</v>
      </c>
      <c r="Q511" s="132" t="s">
        <v>93</v>
      </c>
      <c r="R511" s="218">
        <v>3.3729998999999999</v>
      </c>
      <c r="S511" s="129">
        <v>1</v>
      </c>
      <c r="T511" s="129">
        <v>0</v>
      </c>
      <c r="U511" s="129">
        <v>0</v>
      </c>
      <c r="V511" s="129">
        <v>0</v>
      </c>
      <c r="W511" s="129">
        <v>0</v>
      </c>
      <c r="X511" s="27">
        <f t="shared" si="175"/>
        <v>0</v>
      </c>
    </row>
    <row r="512" spans="1:24" x14ac:dyDescent="0.2">
      <c r="A512" s="220">
        <v>43785</v>
      </c>
      <c r="B512" s="130" t="s">
        <v>68</v>
      </c>
      <c r="C512" s="130" t="s">
        <v>102</v>
      </c>
      <c r="D512" s="130" t="s">
        <v>1817</v>
      </c>
      <c r="E512" s="130" t="s">
        <v>1326</v>
      </c>
      <c r="F512" s="130" t="s">
        <v>1816</v>
      </c>
      <c r="G512" s="220">
        <v>43773</v>
      </c>
      <c r="H512" s="130" t="s">
        <v>90</v>
      </c>
      <c r="I512" s="130" t="s">
        <v>91</v>
      </c>
      <c r="J512" s="130" t="s">
        <v>97</v>
      </c>
      <c r="K512" s="130" t="s">
        <v>98</v>
      </c>
      <c r="L512" s="174" t="s">
        <v>71</v>
      </c>
      <c r="M512" s="131" t="s">
        <v>72</v>
      </c>
      <c r="N512" s="130" t="s">
        <v>73</v>
      </c>
      <c r="O512" s="219" t="s">
        <v>99</v>
      </c>
      <c r="P512" s="130" t="s">
        <v>98</v>
      </c>
      <c r="Q512" s="132" t="s">
        <v>93</v>
      </c>
      <c r="R512" s="218">
        <v>3.3729998999999999</v>
      </c>
      <c r="S512" s="129">
        <v>1</v>
      </c>
      <c r="T512" s="129">
        <v>268.44918999999993</v>
      </c>
      <c r="U512" s="129">
        <v>268.44918999999993</v>
      </c>
      <c r="V512" s="129">
        <v>48.32080000000002</v>
      </c>
      <c r="W512" s="129">
        <v>316.76998999999995</v>
      </c>
      <c r="X512" s="27">
        <f t="shared" si="175"/>
        <v>905.47909102508072</v>
      </c>
    </row>
    <row r="513" spans="1:24" x14ac:dyDescent="0.2">
      <c r="A513" s="220">
        <v>43785</v>
      </c>
      <c r="B513" s="130" t="s">
        <v>68</v>
      </c>
      <c r="C513" s="130" t="s">
        <v>102</v>
      </c>
      <c r="D513" s="130" t="s">
        <v>1817</v>
      </c>
      <c r="E513" s="130" t="s">
        <v>1326</v>
      </c>
      <c r="F513" s="130" t="s">
        <v>1816</v>
      </c>
      <c r="G513" s="220">
        <v>43773</v>
      </c>
      <c r="H513" s="130" t="s">
        <v>90</v>
      </c>
      <c r="I513" s="130" t="s">
        <v>91</v>
      </c>
      <c r="J513" s="130" t="s">
        <v>100</v>
      </c>
      <c r="K513" s="130" t="s">
        <v>101</v>
      </c>
      <c r="L513" s="174" t="s">
        <v>71</v>
      </c>
      <c r="M513" s="131" t="s">
        <v>72</v>
      </c>
      <c r="N513" s="130" t="s">
        <v>73</v>
      </c>
      <c r="O513" s="219" t="s">
        <v>72</v>
      </c>
      <c r="P513" s="130" t="s">
        <v>101</v>
      </c>
      <c r="Q513" s="132" t="s">
        <v>93</v>
      </c>
      <c r="R513" s="218">
        <v>3.3729998999999999</v>
      </c>
      <c r="S513" s="129">
        <v>1</v>
      </c>
      <c r="T513" s="129">
        <v>90</v>
      </c>
      <c r="U513" s="129">
        <v>90</v>
      </c>
      <c r="V513" s="129">
        <v>16.2</v>
      </c>
      <c r="W513" s="129">
        <v>106.2</v>
      </c>
      <c r="X513" s="27">
        <f t="shared" si="175"/>
        <v>303.56999100000002</v>
      </c>
    </row>
    <row r="514" spans="1:24" x14ac:dyDescent="0.2">
      <c r="A514" s="220">
        <v>43785</v>
      </c>
      <c r="B514" s="130" t="s">
        <v>68</v>
      </c>
      <c r="C514" s="130" t="s">
        <v>102</v>
      </c>
      <c r="D514" s="130" t="s">
        <v>1817</v>
      </c>
      <c r="E514" s="130" t="s">
        <v>1326</v>
      </c>
      <c r="F514" s="130" t="s">
        <v>1816</v>
      </c>
      <c r="G514" s="220">
        <v>43773</v>
      </c>
      <c r="H514" s="130" t="s">
        <v>90</v>
      </c>
      <c r="I514" s="130" t="s">
        <v>91</v>
      </c>
      <c r="J514" s="130" t="s">
        <v>92</v>
      </c>
      <c r="K514" s="130" t="s">
        <v>113</v>
      </c>
      <c r="L514" s="174" t="s">
        <v>71</v>
      </c>
      <c r="M514" s="131" t="s">
        <v>72</v>
      </c>
      <c r="N514" s="130" t="s">
        <v>73</v>
      </c>
      <c r="O514" s="219" t="s">
        <v>69</v>
      </c>
      <c r="P514" s="130" t="s">
        <v>1699</v>
      </c>
      <c r="Q514" s="132" t="s">
        <v>93</v>
      </c>
      <c r="R514" s="218">
        <v>3.3729998999999999</v>
      </c>
      <c r="S514" s="129">
        <v>1</v>
      </c>
      <c r="T514" s="129">
        <v>25</v>
      </c>
      <c r="U514" s="129">
        <v>25</v>
      </c>
      <c r="V514" s="129">
        <v>4.5</v>
      </c>
      <c r="W514" s="129">
        <v>29.5</v>
      </c>
      <c r="X514" s="27">
        <f t="shared" si="175"/>
        <v>84.324997499999995</v>
      </c>
    </row>
    <row r="515" spans="1:24" x14ac:dyDescent="0.2">
      <c r="A515" s="220">
        <v>43785</v>
      </c>
      <c r="B515" s="130" t="s">
        <v>68</v>
      </c>
      <c r="C515" s="130" t="s">
        <v>102</v>
      </c>
      <c r="D515" s="130" t="s">
        <v>1817</v>
      </c>
      <c r="E515" s="130" t="s">
        <v>1326</v>
      </c>
      <c r="F515" s="130" t="s">
        <v>1816</v>
      </c>
      <c r="G515" s="220">
        <v>43773</v>
      </c>
      <c r="H515" s="130" t="s">
        <v>90</v>
      </c>
      <c r="I515" s="130" t="s">
        <v>91</v>
      </c>
      <c r="J515" s="130" t="s">
        <v>104</v>
      </c>
      <c r="K515" s="130" t="s">
        <v>105</v>
      </c>
      <c r="L515" s="174" t="s">
        <v>71</v>
      </c>
      <c r="M515" s="131" t="s">
        <v>72</v>
      </c>
      <c r="N515" s="130" t="s">
        <v>73</v>
      </c>
      <c r="O515" s="219" t="s">
        <v>69</v>
      </c>
      <c r="P515" s="130" t="s">
        <v>1699</v>
      </c>
      <c r="Q515" s="132" t="s">
        <v>93</v>
      </c>
      <c r="R515" s="218">
        <v>3.3729998999999999</v>
      </c>
      <c r="S515" s="129">
        <v>1</v>
      </c>
      <c r="T515" s="129">
        <v>0</v>
      </c>
      <c r="U515" s="129">
        <v>0</v>
      </c>
      <c r="V515" s="129">
        <v>0</v>
      </c>
      <c r="W515" s="129">
        <v>0</v>
      </c>
      <c r="X515" s="27">
        <f t="shared" si="175"/>
        <v>0</v>
      </c>
    </row>
    <row r="516" spans="1:24" x14ac:dyDescent="0.2">
      <c r="A516" s="220">
        <v>43787</v>
      </c>
      <c r="B516" s="130" t="s">
        <v>68</v>
      </c>
      <c r="C516" s="130" t="s">
        <v>102</v>
      </c>
      <c r="D516" s="130" t="s">
        <v>1815</v>
      </c>
      <c r="E516" s="130" t="s">
        <v>1339</v>
      </c>
      <c r="F516" s="130" t="s">
        <v>1721</v>
      </c>
      <c r="G516" s="220">
        <v>43774</v>
      </c>
      <c r="H516" s="130" t="s">
        <v>90</v>
      </c>
      <c r="I516" s="130" t="s">
        <v>91</v>
      </c>
      <c r="J516" s="130" t="s">
        <v>97</v>
      </c>
      <c r="K516" s="130" t="s">
        <v>98</v>
      </c>
      <c r="L516" s="174" t="s">
        <v>71</v>
      </c>
      <c r="M516" s="131" t="s">
        <v>72</v>
      </c>
      <c r="N516" s="130" t="s">
        <v>73</v>
      </c>
      <c r="O516" s="219" t="s">
        <v>99</v>
      </c>
      <c r="P516" s="130" t="s">
        <v>98</v>
      </c>
      <c r="Q516" s="132" t="s">
        <v>93</v>
      </c>
      <c r="R516" s="218">
        <v>3.3729998999999999</v>
      </c>
      <c r="S516" s="129">
        <v>1</v>
      </c>
      <c r="T516" s="129">
        <v>118</v>
      </c>
      <c r="U516" s="129">
        <v>118</v>
      </c>
      <c r="V516" s="129">
        <v>21.240010000000019</v>
      </c>
      <c r="W516" s="129">
        <v>139.24001000000001</v>
      </c>
      <c r="X516" s="27">
        <f t="shared" si="175"/>
        <v>398.01398819999997</v>
      </c>
    </row>
    <row r="517" spans="1:24" x14ac:dyDescent="0.2">
      <c r="A517" s="220">
        <v>43787</v>
      </c>
      <c r="B517" s="130" t="s">
        <v>68</v>
      </c>
      <c r="C517" s="130" t="s">
        <v>102</v>
      </c>
      <c r="D517" s="130" t="s">
        <v>1815</v>
      </c>
      <c r="E517" s="130" t="s">
        <v>1339</v>
      </c>
      <c r="F517" s="130" t="s">
        <v>1721</v>
      </c>
      <c r="G517" s="220">
        <v>43774</v>
      </c>
      <c r="H517" s="130" t="s">
        <v>90</v>
      </c>
      <c r="I517" s="130" t="s">
        <v>91</v>
      </c>
      <c r="J517" s="130" t="s">
        <v>100</v>
      </c>
      <c r="K517" s="130" t="s">
        <v>101</v>
      </c>
      <c r="L517" s="174" t="s">
        <v>71</v>
      </c>
      <c r="M517" s="131" t="s">
        <v>72</v>
      </c>
      <c r="N517" s="130" t="s">
        <v>73</v>
      </c>
      <c r="O517" s="219" t="s">
        <v>72</v>
      </c>
      <c r="P517" s="130" t="s">
        <v>101</v>
      </c>
      <c r="Q517" s="132" t="s">
        <v>93</v>
      </c>
      <c r="R517" s="218">
        <v>3.3729998999999999</v>
      </c>
      <c r="S517" s="129">
        <v>1</v>
      </c>
      <c r="T517" s="129">
        <v>105</v>
      </c>
      <c r="U517" s="129">
        <v>105</v>
      </c>
      <c r="V517" s="129">
        <v>18.899999999999999</v>
      </c>
      <c r="W517" s="129">
        <v>123.9</v>
      </c>
      <c r="X517" s="27">
        <f t="shared" ref="X517:X580" si="176">IF(Q517="$",(U517*R517),U517)</f>
        <v>354.16498949999999</v>
      </c>
    </row>
    <row r="518" spans="1:24" x14ac:dyDescent="0.2">
      <c r="A518" s="220">
        <v>43787</v>
      </c>
      <c r="B518" s="130" t="s">
        <v>68</v>
      </c>
      <c r="C518" s="130" t="s">
        <v>102</v>
      </c>
      <c r="D518" s="130" t="s">
        <v>1815</v>
      </c>
      <c r="E518" s="130" t="s">
        <v>1339</v>
      </c>
      <c r="F518" s="130" t="s">
        <v>1721</v>
      </c>
      <c r="G518" s="220">
        <v>43774</v>
      </c>
      <c r="H518" s="130" t="s">
        <v>90</v>
      </c>
      <c r="I518" s="130" t="s">
        <v>91</v>
      </c>
      <c r="J518" s="130" t="s">
        <v>95</v>
      </c>
      <c r="K518" s="130" t="s">
        <v>96</v>
      </c>
      <c r="L518" s="174" t="s">
        <v>71</v>
      </c>
      <c r="M518" s="131" t="s">
        <v>72</v>
      </c>
      <c r="N518" s="130" t="s">
        <v>73</v>
      </c>
      <c r="O518" s="219" t="s">
        <v>69</v>
      </c>
      <c r="P518" s="130" t="s">
        <v>1699</v>
      </c>
      <c r="Q518" s="132" t="s">
        <v>93</v>
      </c>
      <c r="R518" s="218">
        <v>3.3729998999999999</v>
      </c>
      <c r="S518" s="129">
        <v>-1</v>
      </c>
      <c r="T518" s="129">
        <v>68.762703000000002</v>
      </c>
      <c r="U518" s="129">
        <v>-68.762703000000002</v>
      </c>
      <c r="V518" s="129">
        <v>-12.377296000000015</v>
      </c>
      <c r="W518" s="129">
        <v>-81.139999000000017</v>
      </c>
      <c r="X518" s="27">
        <f t="shared" si="176"/>
        <v>-231.93659034272972</v>
      </c>
    </row>
    <row r="519" spans="1:24" x14ac:dyDescent="0.2">
      <c r="A519" s="220">
        <v>43787</v>
      </c>
      <c r="B519" s="130" t="s">
        <v>68</v>
      </c>
      <c r="C519" s="130" t="s">
        <v>102</v>
      </c>
      <c r="D519" s="130" t="s">
        <v>1814</v>
      </c>
      <c r="E519" s="130" t="s">
        <v>1286</v>
      </c>
      <c r="F519" s="130" t="s">
        <v>1724</v>
      </c>
      <c r="G519" s="220">
        <v>43773</v>
      </c>
      <c r="H519" s="130" t="s">
        <v>90</v>
      </c>
      <c r="I519" s="130" t="s">
        <v>91</v>
      </c>
      <c r="J519" s="130" t="s">
        <v>97</v>
      </c>
      <c r="K519" s="130" t="s">
        <v>98</v>
      </c>
      <c r="L519" s="174" t="s">
        <v>71</v>
      </c>
      <c r="M519" s="131" t="s">
        <v>72</v>
      </c>
      <c r="N519" s="130" t="s">
        <v>73</v>
      </c>
      <c r="O519" s="219" t="s">
        <v>99</v>
      </c>
      <c r="P519" s="130" t="s">
        <v>98</v>
      </c>
      <c r="Q519" s="132" t="s">
        <v>93</v>
      </c>
      <c r="R519" s="218">
        <v>3.3729998999999999</v>
      </c>
      <c r="S519" s="129">
        <v>1</v>
      </c>
      <c r="T519" s="129">
        <v>118</v>
      </c>
      <c r="U519" s="129">
        <v>118</v>
      </c>
      <c r="V519" s="129">
        <v>21.240010000000019</v>
      </c>
      <c r="W519" s="129">
        <v>139.24001000000001</v>
      </c>
      <c r="X519" s="27">
        <f t="shared" si="176"/>
        <v>398.01398819999997</v>
      </c>
    </row>
    <row r="520" spans="1:24" x14ac:dyDescent="0.2">
      <c r="A520" s="220">
        <v>43787</v>
      </c>
      <c r="B520" s="130" t="s">
        <v>68</v>
      </c>
      <c r="C520" s="130" t="s">
        <v>102</v>
      </c>
      <c r="D520" s="130" t="s">
        <v>1814</v>
      </c>
      <c r="E520" s="130" t="s">
        <v>1286</v>
      </c>
      <c r="F520" s="130" t="s">
        <v>1724</v>
      </c>
      <c r="G520" s="220">
        <v>43773</v>
      </c>
      <c r="H520" s="130" t="s">
        <v>90</v>
      </c>
      <c r="I520" s="130" t="s">
        <v>91</v>
      </c>
      <c r="J520" s="130" t="s">
        <v>100</v>
      </c>
      <c r="K520" s="130" t="s">
        <v>101</v>
      </c>
      <c r="L520" s="174" t="s">
        <v>71</v>
      </c>
      <c r="M520" s="131" t="s">
        <v>72</v>
      </c>
      <c r="N520" s="130" t="s">
        <v>73</v>
      </c>
      <c r="O520" s="219" t="s">
        <v>72</v>
      </c>
      <c r="P520" s="130" t="s">
        <v>101</v>
      </c>
      <c r="Q520" s="132" t="s">
        <v>93</v>
      </c>
      <c r="R520" s="218">
        <v>3.3729998999999999</v>
      </c>
      <c r="S520" s="129">
        <v>1</v>
      </c>
      <c r="T520" s="129">
        <v>210</v>
      </c>
      <c r="U520" s="129">
        <v>210</v>
      </c>
      <c r="V520" s="129">
        <v>37.799999999999997</v>
      </c>
      <c r="W520" s="129">
        <v>247.8</v>
      </c>
      <c r="X520" s="27">
        <f t="shared" si="176"/>
        <v>708.32997899999998</v>
      </c>
    </row>
    <row r="521" spans="1:24" x14ac:dyDescent="0.2">
      <c r="A521" s="220">
        <v>43787</v>
      </c>
      <c r="B521" s="130" t="s">
        <v>68</v>
      </c>
      <c r="C521" s="130" t="s">
        <v>102</v>
      </c>
      <c r="D521" s="130" t="s">
        <v>1814</v>
      </c>
      <c r="E521" s="130" t="s">
        <v>1286</v>
      </c>
      <c r="F521" s="130" t="s">
        <v>1724</v>
      </c>
      <c r="G521" s="220">
        <v>43773</v>
      </c>
      <c r="H521" s="130" t="s">
        <v>90</v>
      </c>
      <c r="I521" s="130" t="s">
        <v>91</v>
      </c>
      <c r="J521" s="130" t="s">
        <v>104</v>
      </c>
      <c r="K521" s="130" t="s">
        <v>105</v>
      </c>
      <c r="L521" s="174" t="s">
        <v>71</v>
      </c>
      <c r="M521" s="131" t="s">
        <v>72</v>
      </c>
      <c r="N521" s="130" t="s">
        <v>73</v>
      </c>
      <c r="O521" s="219" t="s">
        <v>69</v>
      </c>
      <c r="P521" s="130" t="s">
        <v>1699</v>
      </c>
      <c r="Q521" s="132" t="s">
        <v>93</v>
      </c>
      <c r="R521" s="218">
        <v>3.3729998999999999</v>
      </c>
      <c r="S521" s="129">
        <v>1</v>
      </c>
      <c r="T521" s="129">
        <v>0</v>
      </c>
      <c r="U521" s="129">
        <v>0</v>
      </c>
      <c r="V521" s="129">
        <v>0</v>
      </c>
      <c r="W521" s="129">
        <v>0</v>
      </c>
      <c r="X521" s="27">
        <f t="shared" si="176"/>
        <v>0</v>
      </c>
    </row>
    <row r="522" spans="1:24" x14ac:dyDescent="0.2">
      <c r="A522" s="220">
        <v>43787</v>
      </c>
      <c r="B522" s="130" t="s">
        <v>68</v>
      </c>
      <c r="C522" s="130" t="s">
        <v>102</v>
      </c>
      <c r="D522" s="130" t="s">
        <v>1813</v>
      </c>
      <c r="E522" s="130" t="s">
        <v>1284</v>
      </c>
      <c r="F522" s="130" t="s">
        <v>1724</v>
      </c>
      <c r="G522" s="220">
        <v>43771</v>
      </c>
      <c r="H522" s="130" t="s">
        <v>90</v>
      </c>
      <c r="I522" s="130" t="s">
        <v>91</v>
      </c>
      <c r="J522" s="130" t="s">
        <v>97</v>
      </c>
      <c r="K522" s="130" t="s">
        <v>98</v>
      </c>
      <c r="L522" s="174" t="s">
        <v>71</v>
      </c>
      <c r="M522" s="131" t="s">
        <v>72</v>
      </c>
      <c r="N522" s="130" t="s">
        <v>73</v>
      </c>
      <c r="O522" s="219" t="s">
        <v>99</v>
      </c>
      <c r="P522" s="130" t="s">
        <v>98</v>
      </c>
      <c r="Q522" s="132" t="s">
        <v>93</v>
      </c>
      <c r="R522" s="218">
        <v>3.3729998999999999</v>
      </c>
      <c r="S522" s="129">
        <v>1</v>
      </c>
      <c r="T522" s="129">
        <v>118</v>
      </c>
      <c r="U522" s="129">
        <v>118</v>
      </c>
      <c r="V522" s="129">
        <v>21.240010000000019</v>
      </c>
      <c r="W522" s="129">
        <v>139.24001000000001</v>
      </c>
      <c r="X522" s="27">
        <f t="shared" si="176"/>
        <v>398.01398819999997</v>
      </c>
    </row>
    <row r="523" spans="1:24" x14ac:dyDescent="0.2">
      <c r="A523" s="220">
        <v>43787</v>
      </c>
      <c r="B523" s="130" t="s">
        <v>68</v>
      </c>
      <c r="C523" s="130" t="s">
        <v>102</v>
      </c>
      <c r="D523" s="130" t="s">
        <v>1813</v>
      </c>
      <c r="E523" s="130" t="s">
        <v>1284</v>
      </c>
      <c r="F523" s="130" t="s">
        <v>1724</v>
      </c>
      <c r="G523" s="220">
        <v>43771</v>
      </c>
      <c r="H523" s="130" t="s">
        <v>90</v>
      </c>
      <c r="I523" s="130" t="s">
        <v>91</v>
      </c>
      <c r="J523" s="130" t="s">
        <v>100</v>
      </c>
      <c r="K523" s="130" t="s">
        <v>101</v>
      </c>
      <c r="L523" s="174" t="s">
        <v>71</v>
      </c>
      <c r="M523" s="131" t="s">
        <v>72</v>
      </c>
      <c r="N523" s="130" t="s">
        <v>73</v>
      </c>
      <c r="O523" s="219" t="s">
        <v>72</v>
      </c>
      <c r="P523" s="130" t="s">
        <v>101</v>
      </c>
      <c r="Q523" s="132" t="s">
        <v>93</v>
      </c>
      <c r="R523" s="218">
        <v>3.3729998999999999</v>
      </c>
      <c r="S523" s="129">
        <v>1</v>
      </c>
      <c r="T523" s="129">
        <v>165</v>
      </c>
      <c r="U523" s="129">
        <v>165</v>
      </c>
      <c r="V523" s="129">
        <v>29.7</v>
      </c>
      <c r="W523" s="129">
        <v>194.7</v>
      </c>
      <c r="X523" s="27">
        <f t="shared" si="176"/>
        <v>556.54498349999994</v>
      </c>
    </row>
    <row r="524" spans="1:24" x14ac:dyDescent="0.2">
      <c r="A524" s="220">
        <v>43787</v>
      </c>
      <c r="B524" s="130" t="s">
        <v>68</v>
      </c>
      <c r="C524" s="130" t="s">
        <v>102</v>
      </c>
      <c r="D524" s="130" t="s">
        <v>1813</v>
      </c>
      <c r="E524" s="130" t="s">
        <v>1284</v>
      </c>
      <c r="F524" s="130" t="s">
        <v>1724</v>
      </c>
      <c r="G524" s="220">
        <v>43771</v>
      </c>
      <c r="H524" s="130" t="s">
        <v>90</v>
      </c>
      <c r="I524" s="130" t="s">
        <v>91</v>
      </c>
      <c r="J524" s="130" t="s">
        <v>92</v>
      </c>
      <c r="K524" s="130" t="s">
        <v>113</v>
      </c>
      <c r="L524" s="174" t="s">
        <v>71</v>
      </c>
      <c r="M524" s="131" t="s">
        <v>72</v>
      </c>
      <c r="N524" s="130" t="s">
        <v>73</v>
      </c>
      <c r="O524" s="219" t="s">
        <v>69</v>
      </c>
      <c r="P524" s="130" t="s">
        <v>1699</v>
      </c>
      <c r="Q524" s="132" t="s">
        <v>93</v>
      </c>
      <c r="R524" s="218">
        <v>3.3729998999999999</v>
      </c>
      <c r="S524" s="129">
        <v>1</v>
      </c>
      <c r="T524" s="129">
        <v>25</v>
      </c>
      <c r="U524" s="129">
        <v>25</v>
      </c>
      <c r="V524" s="129">
        <v>4.5</v>
      </c>
      <c r="W524" s="129">
        <v>29.5</v>
      </c>
      <c r="X524" s="27">
        <f t="shared" si="176"/>
        <v>84.324997499999995</v>
      </c>
    </row>
    <row r="525" spans="1:24" x14ac:dyDescent="0.2">
      <c r="A525" s="220">
        <v>43787</v>
      </c>
      <c r="B525" s="130" t="s">
        <v>68</v>
      </c>
      <c r="C525" s="130" t="s">
        <v>102</v>
      </c>
      <c r="D525" s="130" t="s">
        <v>1813</v>
      </c>
      <c r="E525" s="130" t="s">
        <v>1284</v>
      </c>
      <c r="F525" s="130" t="s">
        <v>1724</v>
      </c>
      <c r="G525" s="220">
        <v>43771</v>
      </c>
      <c r="H525" s="130" t="s">
        <v>90</v>
      </c>
      <c r="I525" s="130" t="s">
        <v>91</v>
      </c>
      <c r="J525" s="130" t="s">
        <v>95</v>
      </c>
      <c r="K525" s="130" t="s">
        <v>96</v>
      </c>
      <c r="L525" s="174" t="s">
        <v>71</v>
      </c>
      <c r="M525" s="131" t="s">
        <v>72</v>
      </c>
      <c r="N525" s="130" t="s">
        <v>73</v>
      </c>
      <c r="O525" s="219" t="s">
        <v>69</v>
      </c>
      <c r="P525" s="130" t="s">
        <v>1699</v>
      </c>
      <c r="Q525" s="132" t="s">
        <v>93</v>
      </c>
      <c r="R525" s="218">
        <v>3.3729998999999999</v>
      </c>
      <c r="S525" s="129">
        <v>-1</v>
      </c>
      <c r="T525" s="129">
        <v>100</v>
      </c>
      <c r="U525" s="129">
        <v>-100</v>
      </c>
      <c r="V525" s="129">
        <v>-18</v>
      </c>
      <c r="W525" s="129">
        <v>-118</v>
      </c>
      <c r="X525" s="27">
        <f t="shared" si="176"/>
        <v>-337.29998999999998</v>
      </c>
    </row>
    <row r="526" spans="1:24" x14ac:dyDescent="0.2">
      <c r="A526" s="220">
        <v>43787</v>
      </c>
      <c r="B526" s="130" t="s">
        <v>68</v>
      </c>
      <c r="C526" s="130" t="s">
        <v>102</v>
      </c>
      <c r="D526" s="130" t="s">
        <v>1813</v>
      </c>
      <c r="E526" s="130" t="s">
        <v>1284</v>
      </c>
      <c r="F526" s="130" t="s">
        <v>1724</v>
      </c>
      <c r="G526" s="220">
        <v>43771</v>
      </c>
      <c r="H526" s="130" t="s">
        <v>90</v>
      </c>
      <c r="I526" s="130" t="s">
        <v>91</v>
      </c>
      <c r="J526" s="130" t="s">
        <v>104</v>
      </c>
      <c r="K526" s="130" t="s">
        <v>105</v>
      </c>
      <c r="L526" s="174" t="s">
        <v>71</v>
      </c>
      <c r="M526" s="131" t="s">
        <v>72</v>
      </c>
      <c r="N526" s="130" t="s">
        <v>73</v>
      </c>
      <c r="O526" s="219" t="s">
        <v>69</v>
      </c>
      <c r="P526" s="130" t="s">
        <v>1699</v>
      </c>
      <c r="Q526" s="132" t="s">
        <v>93</v>
      </c>
      <c r="R526" s="218">
        <v>3.3729998999999999</v>
      </c>
      <c r="S526" s="129">
        <v>1</v>
      </c>
      <c r="T526" s="129">
        <v>0</v>
      </c>
      <c r="U526" s="129">
        <v>0</v>
      </c>
      <c r="V526" s="129">
        <v>0</v>
      </c>
      <c r="W526" s="129">
        <v>0</v>
      </c>
      <c r="X526" s="27">
        <f t="shared" si="176"/>
        <v>0</v>
      </c>
    </row>
    <row r="527" spans="1:24" x14ac:dyDescent="0.2">
      <c r="A527" s="220">
        <v>43788</v>
      </c>
      <c r="B527" s="130" t="s">
        <v>68</v>
      </c>
      <c r="C527" s="130" t="s">
        <v>102</v>
      </c>
      <c r="D527" s="130" t="s">
        <v>1812</v>
      </c>
      <c r="E527" s="130" t="s">
        <v>1345</v>
      </c>
      <c r="F527" s="130" t="s">
        <v>1718</v>
      </c>
      <c r="G527" s="220">
        <v>43764</v>
      </c>
      <c r="H527" s="130" t="s">
        <v>90</v>
      </c>
      <c r="I527" s="130" t="s">
        <v>91</v>
      </c>
      <c r="J527" s="130" t="s">
        <v>97</v>
      </c>
      <c r="K527" s="130" t="s">
        <v>98</v>
      </c>
      <c r="L527" s="174" t="s">
        <v>71</v>
      </c>
      <c r="M527" s="131" t="s">
        <v>72</v>
      </c>
      <c r="N527" s="130" t="s">
        <v>73</v>
      </c>
      <c r="O527" s="219" t="s">
        <v>99</v>
      </c>
      <c r="P527" s="130" t="s">
        <v>98</v>
      </c>
      <c r="Q527" s="132" t="s">
        <v>93</v>
      </c>
      <c r="R527" s="218">
        <v>3.3719999999999999</v>
      </c>
      <c r="S527" s="129">
        <v>1</v>
      </c>
      <c r="T527" s="129">
        <v>177</v>
      </c>
      <c r="U527" s="129">
        <v>177</v>
      </c>
      <c r="V527" s="129">
        <v>31.86</v>
      </c>
      <c r="W527" s="129">
        <v>208.86</v>
      </c>
      <c r="X527" s="27">
        <f t="shared" si="176"/>
        <v>596.84399999999994</v>
      </c>
    </row>
    <row r="528" spans="1:24" x14ac:dyDescent="0.2">
      <c r="A528" s="220">
        <v>43788</v>
      </c>
      <c r="B528" s="130" t="s">
        <v>68</v>
      </c>
      <c r="C528" s="130" t="s">
        <v>102</v>
      </c>
      <c r="D528" s="130" t="s">
        <v>1812</v>
      </c>
      <c r="E528" s="130" t="s">
        <v>1345</v>
      </c>
      <c r="F528" s="130" t="s">
        <v>1718</v>
      </c>
      <c r="G528" s="220">
        <v>43764</v>
      </c>
      <c r="H528" s="130" t="s">
        <v>90</v>
      </c>
      <c r="I528" s="130" t="s">
        <v>91</v>
      </c>
      <c r="J528" s="130" t="s">
        <v>100</v>
      </c>
      <c r="K528" s="130" t="s">
        <v>101</v>
      </c>
      <c r="L528" s="174" t="s">
        <v>71</v>
      </c>
      <c r="M528" s="131" t="s">
        <v>72</v>
      </c>
      <c r="N528" s="130" t="s">
        <v>73</v>
      </c>
      <c r="O528" s="219" t="s">
        <v>72</v>
      </c>
      <c r="P528" s="130" t="s">
        <v>101</v>
      </c>
      <c r="Q528" s="132" t="s">
        <v>93</v>
      </c>
      <c r="R528" s="218">
        <v>3.3719999999999999</v>
      </c>
      <c r="S528" s="129">
        <v>1</v>
      </c>
      <c r="T528" s="129">
        <v>240</v>
      </c>
      <c r="U528" s="129">
        <v>240</v>
      </c>
      <c r="V528" s="129">
        <v>43.200010000000042</v>
      </c>
      <c r="W528" s="129">
        <v>283.20001000000002</v>
      </c>
      <c r="X528" s="27">
        <f t="shared" si="176"/>
        <v>809.28</v>
      </c>
    </row>
    <row r="529" spans="1:24" x14ac:dyDescent="0.2">
      <c r="A529" s="220">
        <v>43788</v>
      </c>
      <c r="B529" s="130" t="s">
        <v>68</v>
      </c>
      <c r="C529" s="130" t="s">
        <v>102</v>
      </c>
      <c r="D529" s="130" t="s">
        <v>1812</v>
      </c>
      <c r="E529" s="130" t="s">
        <v>1345</v>
      </c>
      <c r="F529" s="130" t="s">
        <v>1718</v>
      </c>
      <c r="G529" s="220">
        <v>43764</v>
      </c>
      <c r="H529" s="130" t="s">
        <v>90</v>
      </c>
      <c r="I529" s="130" t="s">
        <v>91</v>
      </c>
      <c r="J529" s="130" t="s">
        <v>92</v>
      </c>
      <c r="K529" s="130" t="s">
        <v>113</v>
      </c>
      <c r="L529" s="174" t="s">
        <v>71</v>
      </c>
      <c r="M529" s="131" t="s">
        <v>72</v>
      </c>
      <c r="N529" s="130" t="s">
        <v>73</v>
      </c>
      <c r="O529" s="219" t="s">
        <v>69</v>
      </c>
      <c r="P529" s="130" t="s">
        <v>1699</v>
      </c>
      <c r="Q529" s="132" t="s">
        <v>93</v>
      </c>
      <c r="R529" s="218">
        <v>3.3719999999999999</v>
      </c>
      <c r="S529" s="129">
        <v>1</v>
      </c>
      <c r="T529" s="129">
        <v>30</v>
      </c>
      <c r="U529" s="129">
        <v>30</v>
      </c>
      <c r="V529" s="129">
        <v>5.4000019999999997</v>
      </c>
      <c r="W529" s="129">
        <v>35.400002000000001</v>
      </c>
      <c r="X529" s="27">
        <f t="shared" si="176"/>
        <v>101.16</v>
      </c>
    </row>
    <row r="530" spans="1:24" x14ac:dyDescent="0.2">
      <c r="A530" s="220">
        <v>43788</v>
      </c>
      <c r="B530" s="130" t="s">
        <v>68</v>
      </c>
      <c r="C530" s="130" t="s">
        <v>102</v>
      </c>
      <c r="D530" s="130" t="s">
        <v>1812</v>
      </c>
      <c r="E530" s="130" t="s">
        <v>1345</v>
      </c>
      <c r="F530" s="130" t="s">
        <v>1718</v>
      </c>
      <c r="G530" s="220">
        <v>43764</v>
      </c>
      <c r="H530" s="130" t="s">
        <v>90</v>
      </c>
      <c r="I530" s="130" t="s">
        <v>91</v>
      </c>
      <c r="J530" s="130" t="s">
        <v>95</v>
      </c>
      <c r="K530" s="130" t="s">
        <v>96</v>
      </c>
      <c r="L530" s="174" t="s">
        <v>71</v>
      </c>
      <c r="M530" s="131" t="s">
        <v>72</v>
      </c>
      <c r="N530" s="130" t="s">
        <v>73</v>
      </c>
      <c r="O530" s="219" t="s">
        <v>69</v>
      </c>
      <c r="P530" s="130" t="s">
        <v>1699</v>
      </c>
      <c r="Q530" s="132" t="s">
        <v>93</v>
      </c>
      <c r="R530" s="218">
        <v>3.3719999999999999</v>
      </c>
      <c r="S530" s="129">
        <v>-1</v>
      </c>
      <c r="T530" s="129">
        <v>100</v>
      </c>
      <c r="U530" s="129">
        <v>-100</v>
      </c>
      <c r="V530" s="129">
        <v>-18</v>
      </c>
      <c r="W530" s="129">
        <v>-118</v>
      </c>
      <c r="X530" s="27">
        <f t="shared" si="176"/>
        <v>-337.2</v>
      </c>
    </row>
    <row r="531" spans="1:24" x14ac:dyDescent="0.2">
      <c r="A531" s="220">
        <v>43788</v>
      </c>
      <c r="B531" s="130" t="s">
        <v>68</v>
      </c>
      <c r="C531" s="130" t="s">
        <v>102</v>
      </c>
      <c r="D531" s="130" t="s">
        <v>1812</v>
      </c>
      <c r="E531" s="130" t="s">
        <v>1345</v>
      </c>
      <c r="F531" s="130" t="s">
        <v>1718</v>
      </c>
      <c r="G531" s="220">
        <v>43764</v>
      </c>
      <c r="H531" s="130" t="s">
        <v>90</v>
      </c>
      <c r="I531" s="130" t="s">
        <v>91</v>
      </c>
      <c r="J531" s="130" t="s">
        <v>104</v>
      </c>
      <c r="K531" s="130" t="s">
        <v>105</v>
      </c>
      <c r="L531" s="174" t="s">
        <v>71</v>
      </c>
      <c r="M531" s="131" t="s">
        <v>72</v>
      </c>
      <c r="N531" s="130" t="s">
        <v>73</v>
      </c>
      <c r="O531" s="219" t="s">
        <v>69</v>
      </c>
      <c r="P531" s="130" t="s">
        <v>1699</v>
      </c>
      <c r="Q531" s="132" t="s">
        <v>93</v>
      </c>
      <c r="R531" s="218">
        <v>3.3719999999999999</v>
      </c>
      <c r="S531" s="129">
        <v>1</v>
      </c>
      <c r="T531" s="129">
        <v>0</v>
      </c>
      <c r="U531" s="129">
        <v>0</v>
      </c>
      <c r="V531" s="129">
        <v>0</v>
      </c>
      <c r="W531" s="129">
        <v>0</v>
      </c>
      <c r="X531" s="27">
        <f t="shared" si="176"/>
        <v>0</v>
      </c>
    </row>
    <row r="532" spans="1:24" x14ac:dyDescent="0.2">
      <c r="A532" s="220">
        <v>43789</v>
      </c>
      <c r="B532" s="130" t="s">
        <v>68</v>
      </c>
      <c r="C532" s="130" t="s">
        <v>102</v>
      </c>
      <c r="D532" s="130" t="s">
        <v>1811</v>
      </c>
      <c r="E532" s="130" t="s">
        <v>1307</v>
      </c>
      <c r="F532" s="130" t="s">
        <v>1796</v>
      </c>
      <c r="G532" s="220">
        <v>43774</v>
      </c>
      <c r="H532" s="130" t="s">
        <v>1810</v>
      </c>
      <c r="I532" s="130" t="s">
        <v>1809</v>
      </c>
      <c r="J532" s="130" t="s">
        <v>95</v>
      </c>
      <c r="K532" s="130" t="s">
        <v>96</v>
      </c>
      <c r="L532" s="174" t="s">
        <v>71</v>
      </c>
      <c r="M532" s="131" t="s">
        <v>72</v>
      </c>
      <c r="N532" s="130" t="s">
        <v>73</v>
      </c>
      <c r="O532" s="219" t="s">
        <v>69</v>
      </c>
      <c r="P532" s="130" t="s">
        <v>1699</v>
      </c>
      <c r="Q532" s="132" t="s">
        <v>93</v>
      </c>
      <c r="R532" s="218">
        <v>3.3809999999999998</v>
      </c>
      <c r="S532" s="129">
        <v>1</v>
      </c>
      <c r="T532" s="129">
        <v>150</v>
      </c>
      <c r="U532" s="129">
        <v>150</v>
      </c>
      <c r="V532" s="129">
        <v>27</v>
      </c>
      <c r="W532" s="129">
        <v>177</v>
      </c>
      <c r="X532" s="27">
        <f t="shared" si="176"/>
        <v>507.15</v>
      </c>
    </row>
    <row r="533" spans="1:24" x14ac:dyDescent="0.2">
      <c r="A533" s="220">
        <v>43789</v>
      </c>
      <c r="B533" s="130" t="s">
        <v>68</v>
      </c>
      <c r="C533" s="130" t="s">
        <v>102</v>
      </c>
      <c r="D533" s="130" t="s">
        <v>1808</v>
      </c>
      <c r="E533" s="130" t="s">
        <v>1304</v>
      </c>
      <c r="F533" s="130" t="s">
        <v>1708</v>
      </c>
      <c r="G533" s="220">
        <v>43775</v>
      </c>
      <c r="H533" s="130" t="s">
        <v>90</v>
      </c>
      <c r="I533" s="130" t="s">
        <v>91</v>
      </c>
      <c r="J533" s="130" t="s">
        <v>97</v>
      </c>
      <c r="K533" s="130" t="s">
        <v>98</v>
      </c>
      <c r="L533" s="174" t="s">
        <v>71</v>
      </c>
      <c r="M533" s="131" t="s">
        <v>72</v>
      </c>
      <c r="N533" s="130" t="s">
        <v>73</v>
      </c>
      <c r="O533" s="219" t="s">
        <v>99</v>
      </c>
      <c r="P533" s="130" t="s">
        <v>98</v>
      </c>
      <c r="Q533" s="132" t="s">
        <v>93</v>
      </c>
      <c r="R533" s="218">
        <v>3.3809999999999998</v>
      </c>
      <c r="S533" s="129">
        <v>1</v>
      </c>
      <c r="T533" s="129">
        <v>250.75419999999997</v>
      </c>
      <c r="U533" s="129">
        <v>250.75419999999997</v>
      </c>
      <c r="V533" s="129">
        <v>45.135810000000021</v>
      </c>
      <c r="W533" s="129">
        <v>295.89001000000002</v>
      </c>
      <c r="X533" s="27">
        <f t="shared" si="176"/>
        <v>847.79995019999978</v>
      </c>
    </row>
    <row r="534" spans="1:24" x14ac:dyDescent="0.2">
      <c r="A534" s="220">
        <v>43789</v>
      </c>
      <c r="B534" s="130" t="s">
        <v>68</v>
      </c>
      <c r="C534" s="130" t="s">
        <v>102</v>
      </c>
      <c r="D534" s="130" t="s">
        <v>1808</v>
      </c>
      <c r="E534" s="130" t="s">
        <v>1304</v>
      </c>
      <c r="F534" s="130" t="s">
        <v>1708</v>
      </c>
      <c r="G534" s="220">
        <v>43775</v>
      </c>
      <c r="H534" s="130" t="s">
        <v>90</v>
      </c>
      <c r="I534" s="130" t="s">
        <v>91</v>
      </c>
      <c r="J534" s="130" t="s">
        <v>100</v>
      </c>
      <c r="K534" s="130" t="s">
        <v>101</v>
      </c>
      <c r="L534" s="174" t="s">
        <v>71</v>
      </c>
      <c r="M534" s="131" t="s">
        <v>72</v>
      </c>
      <c r="N534" s="130" t="s">
        <v>73</v>
      </c>
      <c r="O534" s="219" t="s">
        <v>72</v>
      </c>
      <c r="P534" s="130" t="s">
        <v>101</v>
      </c>
      <c r="Q534" s="132" t="s">
        <v>93</v>
      </c>
      <c r="R534" s="218">
        <v>3.3809999999999998</v>
      </c>
      <c r="S534" s="129">
        <v>1</v>
      </c>
      <c r="T534" s="129">
        <v>135</v>
      </c>
      <c r="U534" s="129">
        <v>135</v>
      </c>
      <c r="V534" s="129">
        <v>24.3</v>
      </c>
      <c r="W534" s="129">
        <v>159.30000000000001</v>
      </c>
      <c r="X534" s="27">
        <f t="shared" si="176"/>
        <v>456.43499999999995</v>
      </c>
    </row>
    <row r="535" spans="1:24" x14ac:dyDescent="0.2">
      <c r="A535" s="220">
        <v>43789</v>
      </c>
      <c r="B535" s="130" t="s">
        <v>68</v>
      </c>
      <c r="C535" s="130" t="s">
        <v>102</v>
      </c>
      <c r="D535" s="130" t="s">
        <v>1808</v>
      </c>
      <c r="E535" s="130" t="s">
        <v>1304</v>
      </c>
      <c r="F535" s="130" t="s">
        <v>1708</v>
      </c>
      <c r="G535" s="220">
        <v>43775</v>
      </c>
      <c r="H535" s="130" t="s">
        <v>90</v>
      </c>
      <c r="I535" s="130" t="s">
        <v>91</v>
      </c>
      <c r="J535" s="130" t="s">
        <v>92</v>
      </c>
      <c r="K535" s="130" t="s">
        <v>113</v>
      </c>
      <c r="L535" s="174" t="s">
        <v>71</v>
      </c>
      <c r="M535" s="131" t="s">
        <v>72</v>
      </c>
      <c r="N535" s="130" t="s">
        <v>73</v>
      </c>
      <c r="O535" s="219" t="s">
        <v>69</v>
      </c>
      <c r="P535" s="130" t="s">
        <v>1699</v>
      </c>
      <c r="Q535" s="132" t="s">
        <v>93</v>
      </c>
      <c r="R535" s="218">
        <v>3.3809999999999998</v>
      </c>
      <c r="S535" s="129">
        <v>1</v>
      </c>
      <c r="T535" s="129">
        <v>30</v>
      </c>
      <c r="U535" s="129">
        <v>30</v>
      </c>
      <c r="V535" s="129">
        <v>5.4000019999999997</v>
      </c>
      <c r="W535" s="129">
        <v>35.400002000000001</v>
      </c>
      <c r="X535" s="27">
        <f t="shared" si="176"/>
        <v>101.42999999999999</v>
      </c>
    </row>
    <row r="536" spans="1:24" x14ac:dyDescent="0.2">
      <c r="A536" s="220">
        <v>43789</v>
      </c>
      <c r="B536" s="130" t="s">
        <v>68</v>
      </c>
      <c r="C536" s="130" t="s">
        <v>102</v>
      </c>
      <c r="D536" s="130" t="s">
        <v>1808</v>
      </c>
      <c r="E536" s="130" t="s">
        <v>1304</v>
      </c>
      <c r="F536" s="130" t="s">
        <v>1708</v>
      </c>
      <c r="G536" s="220">
        <v>43775</v>
      </c>
      <c r="H536" s="130" t="s">
        <v>90</v>
      </c>
      <c r="I536" s="130" t="s">
        <v>91</v>
      </c>
      <c r="J536" s="130" t="s">
        <v>70</v>
      </c>
      <c r="K536" s="130" t="s">
        <v>112</v>
      </c>
      <c r="L536" s="174" t="s">
        <v>71</v>
      </c>
      <c r="M536" s="131" t="s">
        <v>72</v>
      </c>
      <c r="N536" s="130" t="s">
        <v>73</v>
      </c>
      <c r="O536" s="219" t="s">
        <v>69</v>
      </c>
      <c r="P536" s="130" t="s">
        <v>1699</v>
      </c>
      <c r="Q536" s="132" t="s">
        <v>93</v>
      </c>
      <c r="R536" s="218">
        <v>3.3809999999999998</v>
      </c>
      <c r="S536" s="129">
        <v>1</v>
      </c>
      <c r="T536" s="129">
        <v>45</v>
      </c>
      <c r="U536" s="129">
        <v>45</v>
      </c>
      <c r="V536" s="129">
        <v>8.0999980000000047</v>
      </c>
      <c r="W536" s="129">
        <v>53.099998000000006</v>
      </c>
      <c r="X536" s="27">
        <f t="shared" si="176"/>
        <v>152.14499999999998</v>
      </c>
    </row>
    <row r="537" spans="1:24" x14ac:dyDescent="0.2">
      <c r="A537" s="220">
        <v>43789</v>
      </c>
      <c r="B537" s="130" t="s">
        <v>68</v>
      </c>
      <c r="C537" s="130" t="s">
        <v>102</v>
      </c>
      <c r="D537" s="130" t="s">
        <v>1808</v>
      </c>
      <c r="E537" s="130" t="s">
        <v>1304</v>
      </c>
      <c r="F537" s="130" t="s">
        <v>1708</v>
      </c>
      <c r="G537" s="220">
        <v>43775</v>
      </c>
      <c r="H537" s="130" t="s">
        <v>90</v>
      </c>
      <c r="I537" s="130" t="s">
        <v>91</v>
      </c>
      <c r="J537" s="130" t="s">
        <v>95</v>
      </c>
      <c r="K537" s="130" t="s">
        <v>96</v>
      </c>
      <c r="L537" s="174" t="s">
        <v>71</v>
      </c>
      <c r="M537" s="131" t="s">
        <v>72</v>
      </c>
      <c r="N537" s="130" t="s">
        <v>73</v>
      </c>
      <c r="O537" s="219" t="s">
        <v>69</v>
      </c>
      <c r="P537" s="130" t="s">
        <v>1699</v>
      </c>
      <c r="Q537" s="132" t="s">
        <v>93</v>
      </c>
      <c r="R537" s="218">
        <v>3.3809999999999998</v>
      </c>
      <c r="S537" s="129">
        <v>-1</v>
      </c>
      <c r="T537" s="129">
        <v>212.22881000000004</v>
      </c>
      <c r="U537" s="129">
        <v>-212.22881000000004</v>
      </c>
      <c r="V537" s="129">
        <v>-38.201179999999916</v>
      </c>
      <c r="W537" s="129">
        <v>-250.42998999999998</v>
      </c>
      <c r="X537" s="27">
        <f t="shared" si="176"/>
        <v>-717.54560661000005</v>
      </c>
    </row>
    <row r="538" spans="1:24" x14ac:dyDescent="0.2">
      <c r="A538" s="220">
        <v>43789</v>
      </c>
      <c r="B538" s="130" t="s">
        <v>68</v>
      </c>
      <c r="C538" s="130" t="s">
        <v>102</v>
      </c>
      <c r="D538" s="130" t="s">
        <v>1808</v>
      </c>
      <c r="E538" s="130" t="s">
        <v>1304</v>
      </c>
      <c r="F538" s="130" t="s">
        <v>1708</v>
      </c>
      <c r="G538" s="220">
        <v>43775</v>
      </c>
      <c r="H538" s="130" t="s">
        <v>90</v>
      </c>
      <c r="I538" s="130" t="s">
        <v>91</v>
      </c>
      <c r="J538" s="130" t="s">
        <v>104</v>
      </c>
      <c r="K538" s="130" t="s">
        <v>105</v>
      </c>
      <c r="L538" s="174" t="s">
        <v>71</v>
      </c>
      <c r="M538" s="131" t="s">
        <v>72</v>
      </c>
      <c r="N538" s="130" t="s">
        <v>73</v>
      </c>
      <c r="O538" s="219" t="s">
        <v>69</v>
      </c>
      <c r="P538" s="130" t="s">
        <v>1699</v>
      </c>
      <c r="Q538" s="132" t="s">
        <v>93</v>
      </c>
      <c r="R538" s="218">
        <v>3.3809999999999998</v>
      </c>
      <c r="S538" s="129">
        <v>1</v>
      </c>
      <c r="T538" s="129">
        <v>0</v>
      </c>
      <c r="U538" s="129">
        <v>0</v>
      </c>
      <c r="V538" s="129">
        <v>0</v>
      </c>
      <c r="W538" s="129">
        <v>0</v>
      </c>
      <c r="X538" s="27">
        <f t="shared" si="176"/>
        <v>0</v>
      </c>
    </row>
    <row r="539" spans="1:24" x14ac:dyDescent="0.2">
      <c r="A539" s="220">
        <v>43789</v>
      </c>
      <c r="B539" s="130" t="s">
        <v>68</v>
      </c>
      <c r="C539" s="130" t="s">
        <v>102</v>
      </c>
      <c r="D539" s="130" t="s">
        <v>1807</v>
      </c>
      <c r="E539" s="130" t="s">
        <v>1349</v>
      </c>
      <c r="F539" s="130" t="s">
        <v>1428</v>
      </c>
      <c r="G539" s="220">
        <v>43780</v>
      </c>
      <c r="H539" s="130" t="s">
        <v>90</v>
      </c>
      <c r="I539" s="130" t="s">
        <v>91</v>
      </c>
      <c r="J539" s="130" t="s">
        <v>97</v>
      </c>
      <c r="K539" s="130" t="s">
        <v>98</v>
      </c>
      <c r="L539" s="174" t="s">
        <v>71</v>
      </c>
      <c r="M539" s="131" t="s">
        <v>72</v>
      </c>
      <c r="N539" s="130" t="s">
        <v>73</v>
      </c>
      <c r="O539" s="219" t="s">
        <v>99</v>
      </c>
      <c r="P539" s="130" t="s">
        <v>98</v>
      </c>
      <c r="Q539" s="132" t="s">
        <v>93</v>
      </c>
      <c r="R539" s="218">
        <v>3.3809999999999998</v>
      </c>
      <c r="S539" s="129">
        <v>1</v>
      </c>
      <c r="T539" s="129">
        <v>162.25419999999997</v>
      </c>
      <c r="U539" s="129">
        <v>162.25419999999997</v>
      </c>
      <c r="V539" s="129">
        <v>29.205810000000021</v>
      </c>
      <c r="W539" s="129">
        <v>191.46001000000001</v>
      </c>
      <c r="X539" s="27">
        <f t="shared" si="176"/>
        <v>548.58145019999984</v>
      </c>
    </row>
    <row r="540" spans="1:24" x14ac:dyDescent="0.2">
      <c r="A540" s="220">
        <v>43789</v>
      </c>
      <c r="B540" s="130" t="s">
        <v>68</v>
      </c>
      <c r="C540" s="130" t="s">
        <v>102</v>
      </c>
      <c r="D540" s="130" t="s">
        <v>1807</v>
      </c>
      <c r="E540" s="130" t="s">
        <v>1349</v>
      </c>
      <c r="F540" s="130" t="s">
        <v>1428</v>
      </c>
      <c r="G540" s="220">
        <v>43780</v>
      </c>
      <c r="H540" s="130" t="s">
        <v>90</v>
      </c>
      <c r="I540" s="130" t="s">
        <v>91</v>
      </c>
      <c r="J540" s="130" t="s">
        <v>100</v>
      </c>
      <c r="K540" s="130" t="s">
        <v>101</v>
      </c>
      <c r="L540" s="174" t="s">
        <v>71</v>
      </c>
      <c r="M540" s="131" t="s">
        <v>72</v>
      </c>
      <c r="N540" s="130" t="s">
        <v>73</v>
      </c>
      <c r="O540" s="219" t="s">
        <v>72</v>
      </c>
      <c r="P540" s="130" t="s">
        <v>101</v>
      </c>
      <c r="Q540" s="132" t="s">
        <v>93</v>
      </c>
      <c r="R540" s="218">
        <v>3.3809999999999998</v>
      </c>
      <c r="S540" s="129">
        <v>1</v>
      </c>
      <c r="T540" s="129">
        <v>150</v>
      </c>
      <c r="U540" s="129">
        <v>150</v>
      </c>
      <c r="V540" s="129">
        <v>27</v>
      </c>
      <c r="W540" s="129">
        <v>177</v>
      </c>
      <c r="X540" s="27">
        <f t="shared" si="176"/>
        <v>507.15</v>
      </c>
    </row>
    <row r="541" spans="1:24" x14ac:dyDescent="0.2">
      <c r="A541" s="220">
        <v>43789</v>
      </c>
      <c r="B541" s="130" t="s">
        <v>68</v>
      </c>
      <c r="C541" s="130" t="s">
        <v>102</v>
      </c>
      <c r="D541" s="130" t="s">
        <v>1807</v>
      </c>
      <c r="E541" s="130" t="s">
        <v>1349</v>
      </c>
      <c r="F541" s="130" t="s">
        <v>1428</v>
      </c>
      <c r="G541" s="220">
        <v>43780</v>
      </c>
      <c r="H541" s="130" t="s">
        <v>90</v>
      </c>
      <c r="I541" s="130" t="s">
        <v>91</v>
      </c>
      <c r="J541" s="130" t="s">
        <v>92</v>
      </c>
      <c r="K541" s="130" t="s">
        <v>113</v>
      </c>
      <c r="L541" s="174" t="s">
        <v>71</v>
      </c>
      <c r="M541" s="131" t="s">
        <v>72</v>
      </c>
      <c r="N541" s="130" t="s">
        <v>73</v>
      </c>
      <c r="O541" s="219" t="s">
        <v>69</v>
      </c>
      <c r="P541" s="130" t="s">
        <v>1699</v>
      </c>
      <c r="Q541" s="132" t="s">
        <v>93</v>
      </c>
      <c r="R541" s="218">
        <v>3.3809999999999998</v>
      </c>
      <c r="S541" s="129">
        <v>1</v>
      </c>
      <c r="T541" s="129">
        <v>50</v>
      </c>
      <c r="U541" s="129">
        <v>50</v>
      </c>
      <c r="V541" s="129">
        <v>9</v>
      </c>
      <c r="W541" s="129">
        <v>59</v>
      </c>
      <c r="X541" s="27">
        <f t="shared" si="176"/>
        <v>169.04999999999998</v>
      </c>
    </row>
    <row r="542" spans="1:24" x14ac:dyDescent="0.2">
      <c r="A542" s="220">
        <v>43789</v>
      </c>
      <c r="B542" s="130" t="s">
        <v>68</v>
      </c>
      <c r="C542" s="130" t="s">
        <v>102</v>
      </c>
      <c r="D542" s="130" t="s">
        <v>1807</v>
      </c>
      <c r="E542" s="130" t="s">
        <v>1349</v>
      </c>
      <c r="F542" s="130" t="s">
        <v>1428</v>
      </c>
      <c r="G542" s="220">
        <v>43780</v>
      </c>
      <c r="H542" s="130" t="s">
        <v>90</v>
      </c>
      <c r="I542" s="130" t="s">
        <v>91</v>
      </c>
      <c r="J542" s="130" t="s">
        <v>70</v>
      </c>
      <c r="K542" s="130" t="s">
        <v>112</v>
      </c>
      <c r="L542" s="174" t="s">
        <v>71</v>
      </c>
      <c r="M542" s="131" t="s">
        <v>72</v>
      </c>
      <c r="N542" s="130" t="s">
        <v>73</v>
      </c>
      <c r="O542" s="219" t="s">
        <v>69</v>
      </c>
      <c r="P542" s="130" t="s">
        <v>1699</v>
      </c>
      <c r="Q542" s="132" t="s">
        <v>93</v>
      </c>
      <c r="R542" s="218">
        <v>3.3809999999999998</v>
      </c>
      <c r="S542" s="129">
        <v>1</v>
      </c>
      <c r="T542" s="129">
        <v>30</v>
      </c>
      <c r="U542" s="129">
        <v>30</v>
      </c>
      <c r="V542" s="129">
        <v>5.4000019999999997</v>
      </c>
      <c r="W542" s="129">
        <v>35.400002000000001</v>
      </c>
      <c r="X542" s="27">
        <f t="shared" si="176"/>
        <v>101.42999999999999</v>
      </c>
    </row>
    <row r="543" spans="1:24" x14ac:dyDescent="0.2">
      <c r="A543" s="220">
        <v>43789</v>
      </c>
      <c r="B543" s="130" t="s">
        <v>68</v>
      </c>
      <c r="C543" s="130" t="s">
        <v>102</v>
      </c>
      <c r="D543" s="130" t="s">
        <v>1807</v>
      </c>
      <c r="E543" s="130" t="s">
        <v>1349</v>
      </c>
      <c r="F543" s="130" t="s">
        <v>1428</v>
      </c>
      <c r="G543" s="220">
        <v>43780</v>
      </c>
      <c r="H543" s="130" t="s">
        <v>90</v>
      </c>
      <c r="I543" s="130" t="s">
        <v>91</v>
      </c>
      <c r="J543" s="130" t="s">
        <v>95</v>
      </c>
      <c r="K543" s="130" t="s">
        <v>96</v>
      </c>
      <c r="L543" s="174" t="s">
        <v>71</v>
      </c>
      <c r="M543" s="131" t="s">
        <v>72</v>
      </c>
      <c r="N543" s="130" t="s">
        <v>73</v>
      </c>
      <c r="O543" s="219" t="s">
        <v>69</v>
      </c>
      <c r="P543" s="130" t="s">
        <v>1699</v>
      </c>
      <c r="Q543" s="132" t="s">
        <v>93</v>
      </c>
      <c r="R543" s="218">
        <v>3.3809999999999998</v>
      </c>
      <c r="S543" s="129">
        <v>-1</v>
      </c>
      <c r="T543" s="129">
        <v>334.31360000000006</v>
      </c>
      <c r="U543" s="129">
        <v>-334.31360000000006</v>
      </c>
      <c r="V543" s="129">
        <v>-60.176389999999955</v>
      </c>
      <c r="W543" s="129">
        <v>-394.48999000000003</v>
      </c>
      <c r="X543" s="27">
        <f t="shared" si="176"/>
        <v>-1130.3142816000002</v>
      </c>
    </row>
    <row r="544" spans="1:24" x14ac:dyDescent="0.2">
      <c r="A544" s="220">
        <v>43789</v>
      </c>
      <c r="B544" s="130" t="s">
        <v>68</v>
      </c>
      <c r="C544" s="130" t="s">
        <v>102</v>
      </c>
      <c r="D544" s="130" t="s">
        <v>1807</v>
      </c>
      <c r="E544" s="130" t="s">
        <v>1349</v>
      </c>
      <c r="F544" s="130" t="s">
        <v>1428</v>
      </c>
      <c r="G544" s="220">
        <v>43780</v>
      </c>
      <c r="H544" s="130" t="s">
        <v>90</v>
      </c>
      <c r="I544" s="130" t="s">
        <v>91</v>
      </c>
      <c r="J544" s="130" t="s">
        <v>104</v>
      </c>
      <c r="K544" s="130" t="s">
        <v>105</v>
      </c>
      <c r="L544" s="174" t="s">
        <v>71</v>
      </c>
      <c r="M544" s="131" t="s">
        <v>72</v>
      </c>
      <c r="N544" s="130" t="s">
        <v>73</v>
      </c>
      <c r="O544" s="219" t="s">
        <v>69</v>
      </c>
      <c r="P544" s="130" t="s">
        <v>1699</v>
      </c>
      <c r="Q544" s="132" t="s">
        <v>93</v>
      </c>
      <c r="R544" s="218">
        <v>3.3809999999999998</v>
      </c>
      <c r="S544" s="129">
        <v>1</v>
      </c>
      <c r="T544" s="129">
        <v>0</v>
      </c>
      <c r="U544" s="129">
        <v>0</v>
      </c>
      <c r="V544" s="129">
        <v>0</v>
      </c>
      <c r="W544" s="129">
        <v>0</v>
      </c>
      <c r="X544" s="27">
        <f t="shared" si="176"/>
        <v>0</v>
      </c>
    </row>
    <row r="545" spans="1:24" x14ac:dyDescent="0.2">
      <c r="A545" s="220">
        <v>43789</v>
      </c>
      <c r="B545" s="130" t="s">
        <v>68</v>
      </c>
      <c r="C545" s="130" t="s">
        <v>102</v>
      </c>
      <c r="D545" s="130" t="s">
        <v>1806</v>
      </c>
      <c r="E545" s="130" t="s">
        <v>1258</v>
      </c>
      <c r="F545" s="130" t="s">
        <v>1714</v>
      </c>
      <c r="G545" s="220">
        <v>43760</v>
      </c>
      <c r="H545" s="130" t="s">
        <v>90</v>
      </c>
      <c r="I545" s="130" t="s">
        <v>91</v>
      </c>
      <c r="J545" s="130" t="s">
        <v>97</v>
      </c>
      <c r="K545" s="130" t="s">
        <v>98</v>
      </c>
      <c r="L545" s="174" t="s">
        <v>71</v>
      </c>
      <c r="M545" s="131" t="s">
        <v>72</v>
      </c>
      <c r="N545" s="130" t="s">
        <v>73</v>
      </c>
      <c r="O545" s="219" t="s">
        <v>99</v>
      </c>
      <c r="P545" s="130" t="s">
        <v>98</v>
      </c>
      <c r="Q545" s="132" t="s">
        <v>93</v>
      </c>
      <c r="R545" s="218">
        <v>3.3809999999999998</v>
      </c>
      <c r="S545" s="129">
        <v>1</v>
      </c>
      <c r="T545" s="129">
        <v>324.5</v>
      </c>
      <c r="U545" s="129">
        <v>324.5</v>
      </c>
      <c r="V545" s="129">
        <v>58.41</v>
      </c>
      <c r="W545" s="129">
        <v>382.91</v>
      </c>
      <c r="X545" s="27">
        <f t="shared" si="176"/>
        <v>1097.1344999999999</v>
      </c>
    </row>
    <row r="546" spans="1:24" x14ac:dyDescent="0.2">
      <c r="A546" s="220">
        <v>43789</v>
      </c>
      <c r="B546" s="130" t="s">
        <v>68</v>
      </c>
      <c r="C546" s="130" t="s">
        <v>102</v>
      </c>
      <c r="D546" s="130" t="s">
        <v>1806</v>
      </c>
      <c r="E546" s="130" t="s">
        <v>1258</v>
      </c>
      <c r="F546" s="130" t="s">
        <v>1714</v>
      </c>
      <c r="G546" s="220">
        <v>43760</v>
      </c>
      <c r="H546" s="130" t="s">
        <v>90</v>
      </c>
      <c r="I546" s="130" t="s">
        <v>91</v>
      </c>
      <c r="J546" s="130" t="s">
        <v>100</v>
      </c>
      <c r="K546" s="130" t="s">
        <v>101</v>
      </c>
      <c r="L546" s="174" t="s">
        <v>71</v>
      </c>
      <c r="M546" s="131" t="s">
        <v>72</v>
      </c>
      <c r="N546" s="130" t="s">
        <v>73</v>
      </c>
      <c r="O546" s="219" t="s">
        <v>72</v>
      </c>
      <c r="P546" s="130" t="s">
        <v>101</v>
      </c>
      <c r="Q546" s="132" t="s">
        <v>93</v>
      </c>
      <c r="R546" s="218">
        <v>3.3809999999999998</v>
      </c>
      <c r="S546" s="129">
        <v>1</v>
      </c>
      <c r="T546" s="129">
        <v>480</v>
      </c>
      <c r="U546" s="129">
        <v>480</v>
      </c>
      <c r="V546" s="129">
        <v>86.400020000000083</v>
      </c>
      <c r="W546" s="129">
        <v>566.40002000000004</v>
      </c>
      <c r="X546" s="27">
        <f t="shared" si="176"/>
        <v>1622.8799999999999</v>
      </c>
    </row>
    <row r="547" spans="1:24" x14ac:dyDescent="0.2">
      <c r="A547" s="220">
        <v>43789</v>
      </c>
      <c r="B547" s="130" t="s">
        <v>68</v>
      </c>
      <c r="C547" s="130" t="s">
        <v>102</v>
      </c>
      <c r="D547" s="130" t="s">
        <v>1806</v>
      </c>
      <c r="E547" s="130" t="s">
        <v>1258</v>
      </c>
      <c r="F547" s="130" t="s">
        <v>1714</v>
      </c>
      <c r="G547" s="220">
        <v>43760</v>
      </c>
      <c r="H547" s="130" t="s">
        <v>90</v>
      </c>
      <c r="I547" s="130" t="s">
        <v>91</v>
      </c>
      <c r="J547" s="130" t="s">
        <v>92</v>
      </c>
      <c r="K547" s="130" t="s">
        <v>113</v>
      </c>
      <c r="L547" s="174" t="s">
        <v>71</v>
      </c>
      <c r="M547" s="131" t="s">
        <v>72</v>
      </c>
      <c r="N547" s="130" t="s">
        <v>73</v>
      </c>
      <c r="O547" s="219" t="s">
        <v>69</v>
      </c>
      <c r="P547" s="130" t="s">
        <v>1699</v>
      </c>
      <c r="Q547" s="132" t="s">
        <v>93</v>
      </c>
      <c r="R547" s="218">
        <v>3.3809999999999998</v>
      </c>
      <c r="S547" s="129">
        <v>1</v>
      </c>
      <c r="T547" s="129">
        <v>50</v>
      </c>
      <c r="U547" s="129">
        <v>50</v>
      </c>
      <c r="V547" s="129">
        <v>9</v>
      </c>
      <c r="W547" s="129">
        <v>59</v>
      </c>
      <c r="X547" s="27">
        <f t="shared" si="176"/>
        <v>169.04999999999998</v>
      </c>
    </row>
    <row r="548" spans="1:24" x14ac:dyDescent="0.2">
      <c r="A548" s="220">
        <v>43789</v>
      </c>
      <c r="B548" s="130" t="s">
        <v>68</v>
      </c>
      <c r="C548" s="130" t="s">
        <v>102</v>
      </c>
      <c r="D548" s="130" t="s">
        <v>1806</v>
      </c>
      <c r="E548" s="130" t="s">
        <v>1258</v>
      </c>
      <c r="F548" s="130" t="s">
        <v>1714</v>
      </c>
      <c r="G548" s="220">
        <v>43760</v>
      </c>
      <c r="H548" s="130" t="s">
        <v>90</v>
      </c>
      <c r="I548" s="130" t="s">
        <v>91</v>
      </c>
      <c r="J548" s="130" t="s">
        <v>70</v>
      </c>
      <c r="K548" s="130" t="s">
        <v>112</v>
      </c>
      <c r="L548" s="174" t="s">
        <v>71</v>
      </c>
      <c r="M548" s="131" t="s">
        <v>72</v>
      </c>
      <c r="N548" s="130" t="s">
        <v>73</v>
      </c>
      <c r="O548" s="219" t="s">
        <v>69</v>
      </c>
      <c r="P548" s="130" t="s">
        <v>1699</v>
      </c>
      <c r="Q548" s="132" t="s">
        <v>93</v>
      </c>
      <c r="R548" s="218">
        <v>3.3809999999999998</v>
      </c>
      <c r="S548" s="129">
        <v>1</v>
      </c>
      <c r="T548" s="129">
        <v>45</v>
      </c>
      <c r="U548" s="129">
        <v>45</v>
      </c>
      <c r="V548" s="129">
        <v>8.0999980000000047</v>
      </c>
      <c r="W548" s="129">
        <v>53.099998000000006</v>
      </c>
      <c r="X548" s="27">
        <f t="shared" si="176"/>
        <v>152.14499999999998</v>
      </c>
    </row>
    <row r="549" spans="1:24" x14ac:dyDescent="0.2">
      <c r="A549" s="220">
        <v>43789</v>
      </c>
      <c r="B549" s="130" t="s">
        <v>68</v>
      </c>
      <c r="C549" s="130" t="s">
        <v>102</v>
      </c>
      <c r="D549" s="130" t="s">
        <v>1806</v>
      </c>
      <c r="E549" s="130" t="s">
        <v>1258</v>
      </c>
      <c r="F549" s="130" t="s">
        <v>1714</v>
      </c>
      <c r="G549" s="220">
        <v>43760</v>
      </c>
      <c r="H549" s="130" t="s">
        <v>90</v>
      </c>
      <c r="I549" s="130" t="s">
        <v>91</v>
      </c>
      <c r="J549" s="130" t="s">
        <v>95</v>
      </c>
      <c r="K549" s="130" t="s">
        <v>96</v>
      </c>
      <c r="L549" s="174" t="s">
        <v>71</v>
      </c>
      <c r="M549" s="131" t="s">
        <v>72</v>
      </c>
      <c r="N549" s="130" t="s">
        <v>73</v>
      </c>
      <c r="O549" s="219" t="s">
        <v>69</v>
      </c>
      <c r="P549" s="130" t="s">
        <v>1699</v>
      </c>
      <c r="Q549" s="132" t="s">
        <v>93</v>
      </c>
      <c r="R549" s="218">
        <v>3.3809999999999998</v>
      </c>
      <c r="S549" s="129">
        <v>-1</v>
      </c>
      <c r="T549" s="129">
        <v>264.48309000000006</v>
      </c>
      <c r="U549" s="129">
        <v>-264.48309000000006</v>
      </c>
      <c r="V549" s="129">
        <v>-47.606909999999914</v>
      </c>
      <c r="W549" s="129">
        <v>-312.08999999999997</v>
      </c>
      <c r="X549" s="27">
        <f t="shared" si="176"/>
        <v>-894.21732729000018</v>
      </c>
    </row>
    <row r="550" spans="1:24" x14ac:dyDescent="0.2">
      <c r="A550" s="220">
        <v>43789</v>
      </c>
      <c r="B550" s="130" t="s">
        <v>68</v>
      </c>
      <c r="C550" s="130" t="s">
        <v>102</v>
      </c>
      <c r="D550" s="130" t="s">
        <v>1806</v>
      </c>
      <c r="E550" s="130" t="s">
        <v>1258</v>
      </c>
      <c r="F550" s="130" t="s">
        <v>1714</v>
      </c>
      <c r="G550" s="220">
        <v>43760</v>
      </c>
      <c r="H550" s="130" t="s">
        <v>90</v>
      </c>
      <c r="I550" s="130" t="s">
        <v>91</v>
      </c>
      <c r="J550" s="130" t="s">
        <v>104</v>
      </c>
      <c r="K550" s="130" t="s">
        <v>105</v>
      </c>
      <c r="L550" s="174" t="s">
        <v>71</v>
      </c>
      <c r="M550" s="131" t="s">
        <v>72</v>
      </c>
      <c r="N550" s="130" t="s">
        <v>73</v>
      </c>
      <c r="O550" s="219" t="s">
        <v>69</v>
      </c>
      <c r="P550" s="130" t="s">
        <v>1699</v>
      </c>
      <c r="Q550" s="132" t="s">
        <v>93</v>
      </c>
      <c r="R550" s="218">
        <v>3.3809999999999998</v>
      </c>
      <c r="S550" s="129">
        <v>1</v>
      </c>
      <c r="T550" s="129">
        <v>0</v>
      </c>
      <c r="U550" s="129">
        <v>0</v>
      </c>
      <c r="V550" s="129">
        <v>0</v>
      </c>
      <c r="W550" s="129">
        <v>0</v>
      </c>
      <c r="X550" s="27">
        <f t="shared" si="176"/>
        <v>0</v>
      </c>
    </row>
    <row r="551" spans="1:24" x14ac:dyDescent="0.2">
      <c r="A551" s="220">
        <v>43789</v>
      </c>
      <c r="B551" s="130" t="s">
        <v>68</v>
      </c>
      <c r="C551" s="130" t="s">
        <v>102</v>
      </c>
      <c r="D551" s="130" t="s">
        <v>1805</v>
      </c>
      <c r="E551" s="130" t="s">
        <v>1307</v>
      </c>
      <c r="F551" s="130" t="s">
        <v>1796</v>
      </c>
      <c r="G551" s="220">
        <v>43774</v>
      </c>
      <c r="H551" s="130" t="s">
        <v>90</v>
      </c>
      <c r="I551" s="130" t="s">
        <v>91</v>
      </c>
      <c r="J551" s="130" t="s">
        <v>97</v>
      </c>
      <c r="K551" s="130" t="s">
        <v>98</v>
      </c>
      <c r="L551" s="174" t="s">
        <v>71</v>
      </c>
      <c r="M551" s="131" t="s">
        <v>72</v>
      </c>
      <c r="N551" s="130" t="s">
        <v>73</v>
      </c>
      <c r="O551" s="219" t="s">
        <v>99</v>
      </c>
      <c r="P551" s="130" t="s">
        <v>98</v>
      </c>
      <c r="Q551" s="132" t="s">
        <v>93</v>
      </c>
      <c r="R551" s="218">
        <v>3.3809999999999998</v>
      </c>
      <c r="S551" s="129">
        <v>1</v>
      </c>
      <c r="T551" s="129">
        <v>137.5</v>
      </c>
      <c r="U551" s="129">
        <v>137.5</v>
      </c>
      <c r="V551" s="129">
        <v>24.75</v>
      </c>
      <c r="W551" s="129">
        <v>162.25</v>
      </c>
      <c r="X551" s="27">
        <f t="shared" si="176"/>
        <v>464.88749999999999</v>
      </c>
    </row>
    <row r="552" spans="1:24" x14ac:dyDescent="0.2">
      <c r="A552" s="220">
        <v>43789</v>
      </c>
      <c r="B552" s="130" t="s">
        <v>68</v>
      </c>
      <c r="C552" s="130" t="s">
        <v>102</v>
      </c>
      <c r="D552" s="130" t="s">
        <v>1805</v>
      </c>
      <c r="E552" s="130" t="s">
        <v>1307</v>
      </c>
      <c r="F552" s="130" t="s">
        <v>1796</v>
      </c>
      <c r="G552" s="220">
        <v>43774</v>
      </c>
      <c r="H552" s="130" t="s">
        <v>90</v>
      </c>
      <c r="I552" s="130" t="s">
        <v>91</v>
      </c>
      <c r="J552" s="130" t="s">
        <v>100</v>
      </c>
      <c r="K552" s="130" t="s">
        <v>101</v>
      </c>
      <c r="L552" s="174" t="s">
        <v>71</v>
      </c>
      <c r="M552" s="131" t="s">
        <v>72</v>
      </c>
      <c r="N552" s="130" t="s">
        <v>73</v>
      </c>
      <c r="O552" s="219" t="s">
        <v>72</v>
      </c>
      <c r="P552" s="130" t="s">
        <v>101</v>
      </c>
      <c r="Q552" s="132" t="s">
        <v>93</v>
      </c>
      <c r="R552" s="218">
        <v>3.3809999999999998</v>
      </c>
      <c r="S552" s="129">
        <v>1</v>
      </c>
      <c r="T552" s="129">
        <v>156</v>
      </c>
      <c r="U552" s="129">
        <v>156</v>
      </c>
      <c r="V552" s="129">
        <v>28.08</v>
      </c>
      <c r="W552" s="129">
        <v>184.08</v>
      </c>
      <c r="X552" s="27">
        <f t="shared" si="176"/>
        <v>527.43599999999992</v>
      </c>
    </row>
    <row r="553" spans="1:24" x14ac:dyDescent="0.2">
      <c r="A553" s="220">
        <v>43789</v>
      </c>
      <c r="B553" s="130" t="s">
        <v>68</v>
      </c>
      <c r="C553" s="130" t="s">
        <v>102</v>
      </c>
      <c r="D553" s="130" t="s">
        <v>1805</v>
      </c>
      <c r="E553" s="130" t="s">
        <v>1307</v>
      </c>
      <c r="F553" s="130" t="s">
        <v>1796</v>
      </c>
      <c r="G553" s="220">
        <v>43774</v>
      </c>
      <c r="H553" s="130" t="s">
        <v>90</v>
      </c>
      <c r="I553" s="130" t="s">
        <v>91</v>
      </c>
      <c r="J553" s="130" t="s">
        <v>92</v>
      </c>
      <c r="K553" s="130" t="s">
        <v>113</v>
      </c>
      <c r="L553" s="174" t="s">
        <v>71</v>
      </c>
      <c r="M553" s="131" t="s">
        <v>72</v>
      </c>
      <c r="N553" s="130" t="s">
        <v>73</v>
      </c>
      <c r="O553" s="219" t="s">
        <v>69</v>
      </c>
      <c r="P553" s="130" t="s">
        <v>1699</v>
      </c>
      <c r="Q553" s="132" t="s">
        <v>93</v>
      </c>
      <c r="R553" s="218">
        <v>3.3809999999999998</v>
      </c>
      <c r="S553" s="129">
        <v>1</v>
      </c>
      <c r="T553" s="129">
        <v>55</v>
      </c>
      <c r="U553" s="129">
        <v>55</v>
      </c>
      <c r="V553" s="129">
        <v>9.9000020000000131</v>
      </c>
      <c r="W553" s="129">
        <v>64.900002000000015</v>
      </c>
      <c r="X553" s="27">
        <f t="shared" si="176"/>
        <v>185.95499999999998</v>
      </c>
    </row>
    <row r="554" spans="1:24" x14ac:dyDescent="0.2">
      <c r="A554" s="220">
        <v>43789</v>
      </c>
      <c r="B554" s="130" t="s">
        <v>68</v>
      </c>
      <c r="C554" s="130" t="s">
        <v>102</v>
      </c>
      <c r="D554" s="130" t="s">
        <v>1805</v>
      </c>
      <c r="E554" s="130" t="s">
        <v>1307</v>
      </c>
      <c r="F554" s="130" t="s">
        <v>1796</v>
      </c>
      <c r="G554" s="220">
        <v>43774</v>
      </c>
      <c r="H554" s="130" t="s">
        <v>90</v>
      </c>
      <c r="I554" s="130" t="s">
        <v>91</v>
      </c>
      <c r="J554" s="130" t="s">
        <v>95</v>
      </c>
      <c r="K554" s="130" t="s">
        <v>96</v>
      </c>
      <c r="L554" s="174" t="s">
        <v>71</v>
      </c>
      <c r="M554" s="131" t="s">
        <v>72</v>
      </c>
      <c r="N554" s="130" t="s">
        <v>73</v>
      </c>
      <c r="O554" s="219" t="s">
        <v>69</v>
      </c>
      <c r="P554" s="130" t="s">
        <v>1699</v>
      </c>
      <c r="Q554" s="132" t="s">
        <v>93</v>
      </c>
      <c r="R554" s="218">
        <v>3.3809999999999998</v>
      </c>
      <c r="S554" s="129">
        <v>-1</v>
      </c>
      <c r="T554" s="129">
        <v>150</v>
      </c>
      <c r="U554" s="129">
        <v>-150</v>
      </c>
      <c r="V554" s="129">
        <v>-27</v>
      </c>
      <c r="W554" s="129">
        <v>-177</v>
      </c>
      <c r="X554" s="27">
        <f t="shared" si="176"/>
        <v>-507.15</v>
      </c>
    </row>
    <row r="555" spans="1:24" x14ac:dyDescent="0.2">
      <c r="A555" s="220">
        <v>43789</v>
      </c>
      <c r="B555" s="130" t="s">
        <v>68</v>
      </c>
      <c r="C555" s="130" t="s">
        <v>102</v>
      </c>
      <c r="D555" s="130" t="s">
        <v>1805</v>
      </c>
      <c r="E555" s="130" t="s">
        <v>1307</v>
      </c>
      <c r="F555" s="130" t="s">
        <v>1796</v>
      </c>
      <c r="G555" s="220">
        <v>43774</v>
      </c>
      <c r="H555" s="130" t="s">
        <v>90</v>
      </c>
      <c r="I555" s="130" t="s">
        <v>91</v>
      </c>
      <c r="J555" s="130" t="s">
        <v>104</v>
      </c>
      <c r="K555" s="130" t="s">
        <v>105</v>
      </c>
      <c r="L555" s="174" t="s">
        <v>71</v>
      </c>
      <c r="M555" s="131" t="s">
        <v>72</v>
      </c>
      <c r="N555" s="130" t="s">
        <v>73</v>
      </c>
      <c r="O555" s="219" t="s">
        <v>69</v>
      </c>
      <c r="P555" s="130" t="s">
        <v>1699</v>
      </c>
      <c r="Q555" s="132" t="s">
        <v>93</v>
      </c>
      <c r="R555" s="218">
        <v>3.3809999999999998</v>
      </c>
      <c r="S555" s="129">
        <v>1</v>
      </c>
      <c r="T555" s="129">
        <v>0</v>
      </c>
      <c r="U555" s="129">
        <v>0</v>
      </c>
      <c r="V555" s="129">
        <v>0</v>
      </c>
      <c r="W555" s="129">
        <v>0</v>
      </c>
      <c r="X555" s="27">
        <f t="shared" si="176"/>
        <v>0</v>
      </c>
    </row>
    <row r="556" spans="1:24" x14ac:dyDescent="0.2">
      <c r="A556" s="220">
        <v>43789</v>
      </c>
      <c r="B556" s="130" t="s">
        <v>68</v>
      </c>
      <c r="C556" s="130" t="s">
        <v>102</v>
      </c>
      <c r="D556" s="130" t="s">
        <v>1804</v>
      </c>
      <c r="E556" s="130" t="s">
        <v>1343</v>
      </c>
      <c r="F556" s="130" t="s">
        <v>1703</v>
      </c>
      <c r="G556" s="220">
        <v>43780</v>
      </c>
      <c r="H556" s="130" t="s">
        <v>90</v>
      </c>
      <c r="I556" s="130" t="s">
        <v>91</v>
      </c>
      <c r="J556" s="130" t="s">
        <v>97</v>
      </c>
      <c r="K556" s="130" t="s">
        <v>98</v>
      </c>
      <c r="L556" s="174" t="s">
        <v>71</v>
      </c>
      <c r="M556" s="131" t="s">
        <v>72</v>
      </c>
      <c r="N556" s="130" t="s">
        <v>73</v>
      </c>
      <c r="O556" s="219" t="s">
        <v>99</v>
      </c>
      <c r="P556" s="130" t="s">
        <v>98</v>
      </c>
      <c r="Q556" s="132" t="s">
        <v>93</v>
      </c>
      <c r="R556" s="218">
        <v>3.3809999999999998</v>
      </c>
      <c r="S556" s="129">
        <v>1</v>
      </c>
      <c r="T556" s="129">
        <v>118</v>
      </c>
      <c r="U556" s="129">
        <v>118</v>
      </c>
      <c r="V556" s="129">
        <v>21.240010000000019</v>
      </c>
      <c r="W556" s="129">
        <v>139.24001000000001</v>
      </c>
      <c r="X556" s="27">
        <f t="shared" si="176"/>
        <v>398.95799999999997</v>
      </c>
    </row>
    <row r="557" spans="1:24" x14ac:dyDescent="0.2">
      <c r="A557" s="220">
        <v>43789</v>
      </c>
      <c r="B557" s="130" t="s">
        <v>68</v>
      </c>
      <c r="C557" s="130" t="s">
        <v>102</v>
      </c>
      <c r="D557" s="130" t="s">
        <v>1804</v>
      </c>
      <c r="E557" s="130" t="s">
        <v>1343</v>
      </c>
      <c r="F557" s="130" t="s">
        <v>1703</v>
      </c>
      <c r="G557" s="220">
        <v>43780</v>
      </c>
      <c r="H557" s="130" t="s">
        <v>90</v>
      </c>
      <c r="I557" s="130" t="s">
        <v>91</v>
      </c>
      <c r="J557" s="130" t="s">
        <v>100</v>
      </c>
      <c r="K557" s="130" t="s">
        <v>101</v>
      </c>
      <c r="L557" s="174" t="s">
        <v>71</v>
      </c>
      <c r="M557" s="131" t="s">
        <v>72</v>
      </c>
      <c r="N557" s="130" t="s">
        <v>73</v>
      </c>
      <c r="O557" s="219" t="s">
        <v>72</v>
      </c>
      <c r="P557" s="130" t="s">
        <v>101</v>
      </c>
      <c r="Q557" s="132" t="s">
        <v>93</v>
      </c>
      <c r="R557" s="218">
        <v>3.3809999999999998</v>
      </c>
      <c r="S557" s="129">
        <v>1</v>
      </c>
      <c r="T557" s="129">
        <v>75</v>
      </c>
      <c r="U557" s="129">
        <v>75</v>
      </c>
      <c r="V557" s="129">
        <v>13.5</v>
      </c>
      <c r="W557" s="129">
        <v>88.5</v>
      </c>
      <c r="X557" s="27">
        <f t="shared" si="176"/>
        <v>253.57499999999999</v>
      </c>
    </row>
    <row r="558" spans="1:24" x14ac:dyDescent="0.2">
      <c r="A558" s="220">
        <v>43789</v>
      </c>
      <c r="B558" s="130" t="s">
        <v>68</v>
      </c>
      <c r="C558" s="130" t="s">
        <v>102</v>
      </c>
      <c r="D558" s="130" t="s">
        <v>1804</v>
      </c>
      <c r="E558" s="130" t="s">
        <v>1343</v>
      </c>
      <c r="F558" s="130" t="s">
        <v>1703</v>
      </c>
      <c r="G558" s="220">
        <v>43780</v>
      </c>
      <c r="H558" s="130" t="s">
        <v>90</v>
      </c>
      <c r="I558" s="130" t="s">
        <v>91</v>
      </c>
      <c r="J558" s="130" t="s">
        <v>92</v>
      </c>
      <c r="K558" s="130" t="s">
        <v>113</v>
      </c>
      <c r="L558" s="174" t="s">
        <v>71</v>
      </c>
      <c r="M558" s="131" t="s">
        <v>72</v>
      </c>
      <c r="N558" s="130" t="s">
        <v>73</v>
      </c>
      <c r="O558" s="219" t="s">
        <v>69</v>
      </c>
      <c r="P558" s="130" t="s">
        <v>1699</v>
      </c>
      <c r="Q558" s="132" t="s">
        <v>93</v>
      </c>
      <c r="R558" s="218">
        <v>3.3809999999999998</v>
      </c>
      <c r="S558" s="129">
        <v>1</v>
      </c>
      <c r="T558" s="129">
        <v>45</v>
      </c>
      <c r="U558" s="129">
        <v>45</v>
      </c>
      <c r="V558" s="129">
        <v>8.0999980000000047</v>
      </c>
      <c r="W558" s="129">
        <v>53.099998000000006</v>
      </c>
      <c r="X558" s="27">
        <f t="shared" si="176"/>
        <v>152.14499999999998</v>
      </c>
    </row>
    <row r="559" spans="1:24" x14ac:dyDescent="0.2">
      <c r="A559" s="220">
        <v>43789</v>
      </c>
      <c r="B559" s="130" t="s">
        <v>68</v>
      </c>
      <c r="C559" s="130" t="s">
        <v>102</v>
      </c>
      <c r="D559" s="130" t="s">
        <v>1804</v>
      </c>
      <c r="E559" s="130" t="s">
        <v>1343</v>
      </c>
      <c r="F559" s="130" t="s">
        <v>1703</v>
      </c>
      <c r="G559" s="220">
        <v>43780</v>
      </c>
      <c r="H559" s="130" t="s">
        <v>90</v>
      </c>
      <c r="I559" s="130" t="s">
        <v>91</v>
      </c>
      <c r="J559" s="130" t="s">
        <v>95</v>
      </c>
      <c r="K559" s="130" t="s">
        <v>96</v>
      </c>
      <c r="L559" s="174" t="s">
        <v>71</v>
      </c>
      <c r="M559" s="131" t="s">
        <v>72</v>
      </c>
      <c r="N559" s="130" t="s">
        <v>73</v>
      </c>
      <c r="O559" s="219" t="s">
        <v>69</v>
      </c>
      <c r="P559" s="130" t="s">
        <v>1699</v>
      </c>
      <c r="Q559" s="132" t="s">
        <v>93</v>
      </c>
      <c r="R559" s="218">
        <v>3.3809999999999998</v>
      </c>
      <c r="S559" s="129">
        <v>-1</v>
      </c>
      <c r="T559" s="129">
        <v>100</v>
      </c>
      <c r="U559" s="129">
        <v>-100</v>
      </c>
      <c r="V559" s="129">
        <v>-18</v>
      </c>
      <c r="W559" s="129">
        <v>-118</v>
      </c>
      <c r="X559" s="27">
        <f t="shared" si="176"/>
        <v>-338.09999999999997</v>
      </c>
    </row>
    <row r="560" spans="1:24" x14ac:dyDescent="0.2">
      <c r="A560" s="220">
        <v>43789</v>
      </c>
      <c r="B560" s="130" t="s">
        <v>68</v>
      </c>
      <c r="C560" s="130" t="s">
        <v>102</v>
      </c>
      <c r="D560" s="130" t="s">
        <v>1804</v>
      </c>
      <c r="E560" s="130" t="s">
        <v>1343</v>
      </c>
      <c r="F560" s="130" t="s">
        <v>1703</v>
      </c>
      <c r="G560" s="220">
        <v>43780</v>
      </c>
      <c r="H560" s="130" t="s">
        <v>90</v>
      </c>
      <c r="I560" s="130" t="s">
        <v>91</v>
      </c>
      <c r="J560" s="130" t="s">
        <v>104</v>
      </c>
      <c r="K560" s="130" t="s">
        <v>105</v>
      </c>
      <c r="L560" s="174" t="s">
        <v>71</v>
      </c>
      <c r="M560" s="131" t="s">
        <v>72</v>
      </c>
      <c r="N560" s="130" t="s">
        <v>73</v>
      </c>
      <c r="O560" s="219" t="s">
        <v>69</v>
      </c>
      <c r="P560" s="130" t="s">
        <v>1699</v>
      </c>
      <c r="Q560" s="132" t="s">
        <v>93</v>
      </c>
      <c r="R560" s="218">
        <v>3.3809999999999998</v>
      </c>
      <c r="S560" s="129">
        <v>1</v>
      </c>
      <c r="T560" s="129">
        <v>0</v>
      </c>
      <c r="U560" s="129">
        <v>0</v>
      </c>
      <c r="V560" s="129">
        <v>0</v>
      </c>
      <c r="W560" s="129">
        <v>0</v>
      </c>
      <c r="X560" s="27">
        <f t="shared" si="176"/>
        <v>0</v>
      </c>
    </row>
    <row r="561" spans="1:24" x14ac:dyDescent="0.2">
      <c r="A561" s="220">
        <v>43790</v>
      </c>
      <c r="B561" s="130" t="s">
        <v>68</v>
      </c>
      <c r="C561" s="130" t="s">
        <v>102</v>
      </c>
      <c r="D561" s="130" t="s">
        <v>1803</v>
      </c>
      <c r="E561" s="130" t="s">
        <v>1800</v>
      </c>
      <c r="F561" s="130" t="s">
        <v>1457</v>
      </c>
      <c r="G561" s="220">
        <v>43761</v>
      </c>
      <c r="H561" s="130" t="s">
        <v>557</v>
      </c>
      <c r="I561" s="130" t="s">
        <v>556</v>
      </c>
      <c r="J561" s="130" t="s">
        <v>95</v>
      </c>
      <c r="K561" s="130" t="s">
        <v>96</v>
      </c>
      <c r="L561" s="174" t="s">
        <v>71</v>
      </c>
      <c r="M561" s="131" t="s">
        <v>72</v>
      </c>
      <c r="N561" s="130" t="s">
        <v>73</v>
      </c>
      <c r="O561" s="219" t="s">
        <v>69</v>
      </c>
      <c r="P561" s="130" t="s">
        <v>1699</v>
      </c>
      <c r="Q561" s="132" t="s">
        <v>93</v>
      </c>
      <c r="R561" s="218">
        <v>3.3870000999999998</v>
      </c>
      <c r="S561" s="129">
        <v>1</v>
      </c>
      <c r="T561" s="129">
        <v>146.5085</v>
      </c>
      <c r="U561" s="129">
        <v>146.5085</v>
      </c>
      <c r="V561" s="129">
        <v>26.371500000000012</v>
      </c>
      <c r="W561" s="129">
        <v>172.88</v>
      </c>
      <c r="X561" s="27">
        <f t="shared" si="176"/>
        <v>496.22430415084995</v>
      </c>
    </row>
    <row r="562" spans="1:24" x14ac:dyDescent="0.2">
      <c r="A562" s="220">
        <v>43790</v>
      </c>
      <c r="B562" s="130" t="s">
        <v>68</v>
      </c>
      <c r="C562" s="130" t="s">
        <v>102</v>
      </c>
      <c r="D562" s="130" t="s">
        <v>1802</v>
      </c>
      <c r="E562" s="130" t="s">
        <v>1456</v>
      </c>
      <c r="F562" s="130" t="s">
        <v>1457</v>
      </c>
      <c r="G562" s="220">
        <v>43790</v>
      </c>
      <c r="H562" s="130" t="s">
        <v>557</v>
      </c>
      <c r="I562" s="130" t="s">
        <v>556</v>
      </c>
      <c r="J562" s="130" t="s">
        <v>92</v>
      </c>
      <c r="K562" s="130" t="s">
        <v>113</v>
      </c>
      <c r="L562" s="174" t="s">
        <v>71</v>
      </c>
      <c r="M562" s="131" t="s">
        <v>72</v>
      </c>
      <c r="N562" s="130" t="s">
        <v>73</v>
      </c>
      <c r="O562" s="219" t="s">
        <v>69</v>
      </c>
      <c r="P562" s="130" t="s">
        <v>1699</v>
      </c>
      <c r="Q562" s="132" t="s">
        <v>93</v>
      </c>
      <c r="R562" s="218">
        <v>3.3870000999999998</v>
      </c>
      <c r="S562" s="129">
        <v>1</v>
      </c>
      <c r="T562" s="129">
        <v>30</v>
      </c>
      <c r="U562" s="129">
        <v>30</v>
      </c>
      <c r="V562" s="129">
        <v>5.4000019999999997</v>
      </c>
      <c r="W562" s="129">
        <v>35.400002000000001</v>
      </c>
      <c r="X562" s="27">
        <f t="shared" si="176"/>
        <v>101.61000299999999</v>
      </c>
    </row>
    <row r="563" spans="1:24" x14ac:dyDescent="0.2">
      <c r="A563" s="220">
        <v>43790</v>
      </c>
      <c r="B563" s="130" t="s">
        <v>68</v>
      </c>
      <c r="C563" s="130" t="s">
        <v>102</v>
      </c>
      <c r="D563" s="130" t="s">
        <v>1801</v>
      </c>
      <c r="E563" s="130" t="s">
        <v>1800</v>
      </c>
      <c r="F563" s="130" t="s">
        <v>1457</v>
      </c>
      <c r="G563" s="220">
        <v>43761</v>
      </c>
      <c r="H563" s="130" t="s">
        <v>90</v>
      </c>
      <c r="I563" s="130" t="s">
        <v>91</v>
      </c>
      <c r="J563" s="130" t="s">
        <v>92</v>
      </c>
      <c r="K563" s="130" t="s">
        <v>113</v>
      </c>
      <c r="L563" s="174" t="s">
        <v>71</v>
      </c>
      <c r="M563" s="131" t="s">
        <v>72</v>
      </c>
      <c r="N563" s="130" t="s">
        <v>73</v>
      </c>
      <c r="O563" s="219" t="s">
        <v>69</v>
      </c>
      <c r="P563" s="130" t="s">
        <v>1699</v>
      </c>
      <c r="Q563" s="132" t="s">
        <v>93</v>
      </c>
      <c r="R563" s="218">
        <v>3.3870000999999998</v>
      </c>
      <c r="S563" s="129">
        <v>1</v>
      </c>
      <c r="T563" s="129">
        <v>90</v>
      </c>
      <c r="U563" s="129">
        <v>90</v>
      </c>
      <c r="V563" s="129">
        <v>16.2</v>
      </c>
      <c r="W563" s="129">
        <v>106.2</v>
      </c>
      <c r="X563" s="27">
        <f t="shared" si="176"/>
        <v>304.83000899999996</v>
      </c>
    </row>
    <row r="564" spans="1:24" x14ac:dyDescent="0.2">
      <c r="A564" s="220">
        <v>43790</v>
      </c>
      <c r="B564" s="130" t="s">
        <v>68</v>
      </c>
      <c r="C564" s="130" t="s">
        <v>102</v>
      </c>
      <c r="D564" s="130" t="s">
        <v>1801</v>
      </c>
      <c r="E564" s="130" t="s">
        <v>1800</v>
      </c>
      <c r="F564" s="130" t="s">
        <v>1457</v>
      </c>
      <c r="G564" s="220">
        <v>43761</v>
      </c>
      <c r="H564" s="130" t="s">
        <v>90</v>
      </c>
      <c r="I564" s="130" t="s">
        <v>91</v>
      </c>
      <c r="J564" s="130" t="s">
        <v>70</v>
      </c>
      <c r="K564" s="130" t="s">
        <v>112</v>
      </c>
      <c r="L564" s="174" t="s">
        <v>71</v>
      </c>
      <c r="M564" s="131" t="s">
        <v>72</v>
      </c>
      <c r="N564" s="130" t="s">
        <v>73</v>
      </c>
      <c r="O564" s="219" t="s">
        <v>69</v>
      </c>
      <c r="P564" s="130" t="s">
        <v>1699</v>
      </c>
      <c r="Q564" s="132" t="s">
        <v>93</v>
      </c>
      <c r="R564" s="218">
        <v>3.3870000999999998</v>
      </c>
      <c r="S564" s="129">
        <v>1</v>
      </c>
      <c r="T564" s="129">
        <v>60</v>
      </c>
      <c r="U564" s="129">
        <v>60</v>
      </c>
      <c r="V564" s="129">
        <v>10.800002999999997</v>
      </c>
      <c r="W564" s="129">
        <v>70.800003000000004</v>
      </c>
      <c r="X564" s="27">
        <f t="shared" si="176"/>
        <v>203.22000599999998</v>
      </c>
    </row>
    <row r="565" spans="1:24" x14ac:dyDescent="0.2">
      <c r="A565" s="220">
        <v>43790</v>
      </c>
      <c r="B565" s="130" t="s">
        <v>68</v>
      </c>
      <c r="C565" s="130" t="s">
        <v>102</v>
      </c>
      <c r="D565" s="130" t="s">
        <v>1801</v>
      </c>
      <c r="E565" s="130" t="s">
        <v>1800</v>
      </c>
      <c r="F565" s="130" t="s">
        <v>1457</v>
      </c>
      <c r="G565" s="220">
        <v>43761</v>
      </c>
      <c r="H565" s="130" t="s">
        <v>90</v>
      </c>
      <c r="I565" s="130" t="s">
        <v>91</v>
      </c>
      <c r="J565" s="130" t="s">
        <v>95</v>
      </c>
      <c r="K565" s="130" t="s">
        <v>96</v>
      </c>
      <c r="L565" s="174" t="s">
        <v>71</v>
      </c>
      <c r="M565" s="131" t="s">
        <v>72</v>
      </c>
      <c r="N565" s="130" t="s">
        <v>73</v>
      </c>
      <c r="O565" s="219" t="s">
        <v>69</v>
      </c>
      <c r="P565" s="130" t="s">
        <v>1699</v>
      </c>
      <c r="Q565" s="132" t="s">
        <v>93</v>
      </c>
      <c r="R565" s="218">
        <v>3.3870000999999998</v>
      </c>
      <c r="S565" s="129">
        <v>-1</v>
      </c>
      <c r="T565" s="129">
        <v>146.5085</v>
      </c>
      <c r="U565" s="129">
        <v>-146.5085</v>
      </c>
      <c r="V565" s="129">
        <v>-26.371500000000012</v>
      </c>
      <c r="W565" s="129">
        <v>-172.88</v>
      </c>
      <c r="X565" s="27">
        <f t="shared" si="176"/>
        <v>-496.22430415084995</v>
      </c>
    </row>
    <row r="566" spans="1:24" x14ac:dyDescent="0.2">
      <c r="A566" s="220">
        <v>43790</v>
      </c>
      <c r="B566" s="130" t="s">
        <v>68</v>
      </c>
      <c r="C566" s="130" t="s">
        <v>102</v>
      </c>
      <c r="D566" s="130" t="s">
        <v>1801</v>
      </c>
      <c r="E566" s="130" t="s">
        <v>1800</v>
      </c>
      <c r="F566" s="130" t="s">
        <v>1457</v>
      </c>
      <c r="G566" s="220">
        <v>43761</v>
      </c>
      <c r="H566" s="130" t="s">
        <v>90</v>
      </c>
      <c r="I566" s="130" t="s">
        <v>91</v>
      </c>
      <c r="J566" s="130" t="s">
        <v>104</v>
      </c>
      <c r="K566" s="130" t="s">
        <v>105</v>
      </c>
      <c r="L566" s="174" t="s">
        <v>71</v>
      </c>
      <c r="M566" s="131" t="s">
        <v>72</v>
      </c>
      <c r="N566" s="130" t="s">
        <v>73</v>
      </c>
      <c r="O566" s="219" t="s">
        <v>69</v>
      </c>
      <c r="P566" s="130" t="s">
        <v>1699</v>
      </c>
      <c r="Q566" s="132" t="s">
        <v>93</v>
      </c>
      <c r="R566" s="218">
        <v>3.3870000999999998</v>
      </c>
      <c r="S566" s="129">
        <v>1</v>
      </c>
      <c r="T566" s="129">
        <v>0</v>
      </c>
      <c r="U566" s="129">
        <v>0</v>
      </c>
      <c r="V566" s="129">
        <v>0</v>
      </c>
      <c r="W566" s="129">
        <v>0</v>
      </c>
      <c r="X566" s="27">
        <f t="shared" si="176"/>
        <v>0</v>
      </c>
    </row>
    <row r="567" spans="1:24" x14ac:dyDescent="0.2">
      <c r="A567" s="220">
        <v>43791</v>
      </c>
      <c r="B567" s="130" t="s">
        <v>68</v>
      </c>
      <c r="C567" s="130" t="s">
        <v>102</v>
      </c>
      <c r="D567" s="130" t="s">
        <v>1799</v>
      </c>
      <c r="E567" s="130" t="s">
        <v>1358</v>
      </c>
      <c r="F567" s="130" t="s">
        <v>1191</v>
      </c>
      <c r="G567" s="220">
        <v>43755</v>
      </c>
      <c r="H567" s="130" t="s">
        <v>90</v>
      </c>
      <c r="I567" s="130" t="s">
        <v>91</v>
      </c>
      <c r="J567" s="130" t="s">
        <v>97</v>
      </c>
      <c r="K567" s="130" t="s">
        <v>98</v>
      </c>
      <c r="L567" s="174" t="s">
        <v>71</v>
      </c>
      <c r="M567" s="131" t="s">
        <v>72</v>
      </c>
      <c r="N567" s="130" t="s">
        <v>73</v>
      </c>
      <c r="O567" s="219" t="s">
        <v>99</v>
      </c>
      <c r="P567" s="130" t="s">
        <v>98</v>
      </c>
      <c r="Q567" s="132" t="s">
        <v>93</v>
      </c>
      <c r="R567" s="218">
        <v>3.3800001000000002</v>
      </c>
      <c r="S567" s="129">
        <v>1</v>
      </c>
      <c r="T567" s="129">
        <v>88.5</v>
      </c>
      <c r="U567" s="129">
        <v>88.5</v>
      </c>
      <c r="V567" s="129">
        <v>15.93</v>
      </c>
      <c r="W567" s="129">
        <v>104.43</v>
      </c>
      <c r="X567" s="27">
        <f t="shared" si="176"/>
        <v>299.13000885000002</v>
      </c>
    </row>
    <row r="568" spans="1:24" x14ac:dyDescent="0.2">
      <c r="A568" s="220">
        <v>43791</v>
      </c>
      <c r="B568" s="130" t="s">
        <v>68</v>
      </c>
      <c r="C568" s="130" t="s">
        <v>102</v>
      </c>
      <c r="D568" s="130" t="s">
        <v>1799</v>
      </c>
      <c r="E568" s="130" t="s">
        <v>1358</v>
      </c>
      <c r="F568" s="130" t="s">
        <v>1191</v>
      </c>
      <c r="G568" s="220">
        <v>43755</v>
      </c>
      <c r="H568" s="130" t="s">
        <v>90</v>
      </c>
      <c r="I568" s="130" t="s">
        <v>91</v>
      </c>
      <c r="J568" s="130" t="s">
        <v>100</v>
      </c>
      <c r="K568" s="130" t="s">
        <v>101</v>
      </c>
      <c r="L568" s="174" t="s">
        <v>71</v>
      </c>
      <c r="M568" s="131" t="s">
        <v>72</v>
      </c>
      <c r="N568" s="130" t="s">
        <v>73</v>
      </c>
      <c r="O568" s="219" t="s">
        <v>72</v>
      </c>
      <c r="P568" s="130" t="s">
        <v>101</v>
      </c>
      <c r="Q568" s="132" t="s">
        <v>93</v>
      </c>
      <c r="R568" s="218">
        <v>3.3800001000000002</v>
      </c>
      <c r="S568" s="129">
        <v>1</v>
      </c>
      <c r="T568" s="129">
        <v>30</v>
      </c>
      <c r="U568" s="129">
        <v>30</v>
      </c>
      <c r="V568" s="129">
        <v>5.4000019999999997</v>
      </c>
      <c r="W568" s="129">
        <v>35.400002000000001</v>
      </c>
      <c r="X568" s="27">
        <f t="shared" si="176"/>
        <v>101.400003</v>
      </c>
    </row>
    <row r="569" spans="1:24" x14ac:dyDescent="0.2">
      <c r="A569" s="220">
        <v>43791</v>
      </c>
      <c r="B569" s="130" t="s">
        <v>68</v>
      </c>
      <c r="C569" s="130" t="s">
        <v>102</v>
      </c>
      <c r="D569" s="130" t="s">
        <v>1799</v>
      </c>
      <c r="E569" s="130" t="s">
        <v>1358</v>
      </c>
      <c r="F569" s="130" t="s">
        <v>1191</v>
      </c>
      <c r="G569" s="220">
        <v>43755</v>
      </c>
      <c r="H569" s="130" t="s">
        <v>90</v>
      </c>
      <c r="I569" s="130" t="s">
        <v>91</v>
      </c>
      <c r="J569" s="130" t="s">
        <v>92</v>
      </c>
      <c r="K569" s="130" t="s">
        <v>113</v>
      </c>
      <c r="L569" s="174" t="s">
        <v>71</v>
      </c>
      <c r="M569" s="131" t="s">
        <v>72</v>
      </c>
      <c r="N569" s="130" t="s">
        <v>73</v>
      </c>
      <c r="O569" s="219" t="s">
        <v>69</v>
      </c>
      <c r="P569" s="130" t="s">
        <v>1699</v>
      </c>
      <c r="Q569" s="132" t="s">
        <v>93</v>
      </c>
      <c r="R569" s="218">
        <v>3.3800001000000002</v>
      </c>
      <c r="S569" s="129">
        <v>1</v>
      </c>
      <c r="T569" s="129">
        <v>20</v>
      </c>
      <c r="U569" s="129">
        <v>20</v>
      </c>
      <c r="V569" s="129">
        <v>3.6</v>
      </c>
      <c r="W569" s="129">
        <v>23.6</v>
      </c>
      <c r="X569" s="27">
        <f t="shared" si="176"/>
        <v>67.600002000000003</v>
      </c>
    </row>
    <row r="570" spans="1:24" x14ac:dyDescent="0.2">
      <c r="A570" s="220">
        <v>43791</v>
      </c>
      <c r="B570" s="130" t="s">
        <v>68</v>
      </c>
      <c r="C570" s="130" t="s">
        <v>102</v>
      </c>
      <c r="D570" s="130" t="s">
        <v>1799</v>
      </c>
      <c r="E570" s="130" t="s">
        <v>1358</v>
      </c>
      <c r="F570" s="130" t="s">
        <v>1191</v>
      </c>
      <c r="G570" s="220">
        <v>43755</v>
      </c>
      <c r="H570" s="130" t="s">
        <v>90</v>
      </c>
      <c r="I570" s="130" t="s">
        <v>91</v>
      </c>
      <c r="J570" s="130" t="s">
        <v>104</v>
      </c>
      <c r="K570" s="130" t="s">
        <v>105</v>
      </c>
      <c r="L570" s="174" t="s">
        <v>71</v>
      </c>
      <c r="M570" s="131" t="s">
        <v>72</v>
      </c>
      <c r="N570" s="130" t="s">
        <v>73</v>
      </c>
      <c r="O570" s="219" t="s">
        <v>69</v>
      </c>
      <c r="P570" s="130" t="s">
        <v>1699</v>
      </c>
      <c r="Q570" s="132" t="s">
        <v>93</v>
      </c>
      <c r="R570" s="218">
        <v>3.3800001000000002</v>
      </c>
      <c r="S570" s="129">
        <v>1</v>
      </c>
      <c r="T570" s="129">
        <v>0</v>
      </c>
      <c r="U570" s="129">
        <v>0</v>
      </c>
      <c r="V570" s="129">
        <v>0</v>
      </c>
      <c r="W570" s="129">
        <v>0</v>
      </c>
      <c r="X570" s="27">
        <f t="shared" si="176"/>
        <v>0</v>
      </c>
    </row>
    <row r="571" spans="1:24" x14ac:dyDescent="0.2">
      <c r="A571" s="220">
        <v>43791</v>
      </c>
      <c r="B571" s="130" t="s">
        <v>68</v>
      </c>
      <c r="C571" s="130" t="s">
        <v>102</v>
      </c>
      <c r="D571" s="130" t="s">
        <v>1798</v>
      </c>
      <c r="E571" s="130" t="s">
        <v>1348</v>
      </c>
      <c r="F571" s="130" t="s">
        <v>1251</v>
      </c>
      <c r="G571" s="220">
        <v>43790</v>
      </c>
      <c r="H571" s="130" t="s">
        <v>387</v>
      </c>
      <c r="I571" s="130" t="s">
        <v>386</v>
      </c>
      <c r="J571" s="130" t="s">
        <v>92</v>
      </c>
      <c r="K571" s="130" t="s">
        <v>113</v>
      </c>
      <c r="L571" s="174" t="s">
        <v>71</v>
      </c>
      <c r="M571" s="131" t="s">
        <v>72</v>
      </c>
      <c r="N571" s="130" t="s">
        <v>73</v>
      </c>
      <c r="O571" s="219" t="s">
        <v>69</v>
      </c>
      <c r="P571" s="130" t="s">
        <v>1699</v>
      </c>
      <c r="Q571" s="132" t="s">
        <v>74</v>
      </c>
      <c r="R571" s="218">
        <v>3.3800001000000002</v>
      </c>
      <c r="S571" s="129">
        <v>1</v>
      </c>
      <c r="T571" s="129">
        <v>270</v>
      </c>
      <c r="U571" s="129">
        <v>270</v>
      </c>
      <c r="V571" s="129">
        <v>48.600010000000005</v>
      </c>
      <c r="W571" s="129">
        <v>318.60001</v>
      </c>
      <c r="X571" s="27">
        <f t="shared" si="176"/>
        <v>270</v>
      </c>
    </row>
    <row r="572" spans="1:24" x14ac:dyDescent="0.2">
      <c r="A572" s="220">
        <v>43791</v>
      </c>
      <c r="B572" s="130" t="s">
        <v>68</v>
      </c>
      <c r="C572" s="130" t="s">
        <v>102</v>
      </c>
      <c r="D572" s="130" t="s">
        <v>1798</v>
      </c>
      <c r="E572" s="130" t="s">
        <v>1348</v>
      </c>
      <c r="F572" s="130" t="s">
        <v>1251</v>
      </c>
      <c r="G572" s="220">
        <v>43790</v>
      </c>
      <c r="H572" s="130" t="s">
        <v>387</v>
      </c>
      <c r="I572" s="130" t="s">
        <v>386</v>
      </c>
      <c r="J572" s="130" t="s">
        <v>70</v>
      </c>
      <c r="K572" s="130" t="s">
        <v>112</v>
      </c>
      <c r="L572" s="174" t="s">
        <v>71</v>
      </c>
      <c r="M572" s="131" t="s">
        <v>72</v>
      </c>
      <c r="N572" s="130" t="s">
        <v>73</v>
      </c>
      <c r="O572" s="219" t="s">
        <v>69</v>
      </c>
      <c r="P572" s="130" t="s">
        <v>1699</v>
      </c>
      <c r="Q572" s="132" t="s">
        <v>74</v>
      </c>
      <c r="R572" s="218">
        <v>3.3800001000000002</v>
      </c>
      <c r="S572" s="129">
        <v>1</v>
      </c>
      <c r="T572" s="129">
        <v>210</v>
      </c>
      <c r="U572" s="129">
        <v>210</v>
      </c>
      <c r="V572" s="129">
        <v>37.799999999999997</v>
      </c>
      <c r="W572" s="129">
        <v>247.8</v>
      </c>
      <c r="X572" s="27">
        <f t="shared" si="176"/>
        <v>210</v>
      </c>
    </row>
    <row r="573" spans="1:24" x14ac:dyDescent="0.2">
      <c r="A573" s="220">
        <v>43791</v>
      </c>
      <c r="B573" s="130" t="s">
        <v>68</v>
      </c>
      <c r="C573" s="130" t="s">
        <v>102</v>
      </c>
      <c r="D573" s="130" t="s">
        <v>1798</v>
      </c>
      <c r="E573" s="130" t="s">
        <v>1348</v>
      </c>
      <c r="F573" s="130" t="s">
        <v>1251</v>
      </c>
      <c r="G573" s="220">
        <v>43790</v>
      </c>
      <c r="H573" s="130" t="s">
        <v>387</v>
      </c>
      <c r="I573" s="130" t="s">
        <v>386</v>
      </c>
      <c r="J573" s="130" t="s">
        <v>104</v>
      </c>
      <c r="K573" s="130" t="s">
        <v>105</v>
      </c>
      <c r="L573" s="174" t="s">
        <v>71</v>
      </c>
      <c r="M573" s="131" t="s">
        <v>72</v>
      </c>
      <c r="N573" s="130" t="s">
        <v>73</v>
      </c>
      <c r="O573" s="219" t="s">
        <v>69</v>
      </c>
      <c r="P573" s="130" t="s">
        <v>1699</v>
      </c>
      <c r="Q573" s="132" t="s">
        <v>74</v>
      </c>
      <c r="R573" s="218">
        <v>3.3800001000000002</v>
      </c>
      <c r="S573" s="129">
        <v>1</v>
      </c>
      <c r="T573" s="129">
        <v>1644</v>
      </c>
      <c r="U573" s="129">
        <v>1644</v>
      </c>
      <c r="V573" s="129">
        <v>295.92</v>
      </c>
      <c r="W573" s="129">
        <v>1939.92</v>
      </c>
      <c r="X573" s="27">
        <f t="shared" si="176"/>
        <v>1644</v>
      </c>
    </row>
    <row r="574" spans="1:24" x14ac:dyDescent="0.2">
      <c r="A574" s="220">
        <v>43791</v>
      </c>
      <c r="B574" s="130" t="s">
        <v>68</v>
      </c>
      <c r="C574" s="130" t="s">
        <v>102</v>
      </c>
      <c r="D574" s="130" t="s">
        <v>1797</v>
      </c>
      <c r="E574" s="130" t="s">
        <v>1307</v>
      </c>
      <c r="F574" s="130" t="s">
        <v>1796</v>
      </c>
      <c r="G574" s="220">
        <v>43774</v>
      </c>
      <c r="H574" s="130" t="s">
        <v>1795</v>
      </c>
      <c r="I574" s="130" t="s">
        <v>1794</v>
      </c>
      <c r="J574" s="130" t="s">
        <v>97</v>
      </c>
      <c r="K574" s="130" t="s">
        <v>98</v>
      </c>
      <c r="L574" s="174" t="s">
        <v>71</v>
      </c>
      <c r="M574" s="131" t="s">
        <v>72</v>
      </c>
      <c r="N574" s="130" t="s">
        <v>73</v>
      </c>
      <c r="O574" s="219" t="s">
        <v>99</v>
      </c>
      <c r="P574" s="130" t="s">
        <v>98</v>
      </c>
      <c r="Q574" s="132" t="s">
        <v>93</v>
      </c>
      <c r="R574" s="218">
        <v>3.3800001000000002</v>
      </c>
      <c r="S574" s="129">
        <v>1</v>
      </c>
      <c r="T574" s="129">
        <v>137.5</v>
      </c>
      <c r="U574" s="129">
        <v>137.5</v>
      </c>
      <c r="V574" s="129">
        <v>24.75</v>
      </c>
      <c r="W574" s="129">
        <v>162.25</v>
      </c>
      <c r="X574" s="27">
        <f t="shared" si="176"/>
        <v>464.75001375000005</v>
      </c>
    </row>
    <row r="575" spans="1:24" x14ac:dyDescent="0.2">
      <c r="A575" s="220">
        <v>43791</v>
      </c>
      <c r="B575" s="130" t="s">
        <v>68</v>
      </c>
      <c r="C575" s="130" t="s">
        <v>102</v>
      </c>
      <c r="D575" s="130" t="s">
        <v>1797</v>
      </c>
      <c r="E575" s="130" t="s">
        <v>1307</v>
      </c>
      <c r="F575" s="130" t="s">
        <v>1796</v>
      </c>
      <c r="G575" s="220">
        <v>43774</v>
      </c>
      <c r="H575" s="130" t="s">
        <v>1795</v>
      </c>
      <c r="I575" s="130" t="s">
        <v>1794</v>
      </c>
      <c r="J575" s="130" t="s">
        <v>100</v>
      </c>
      <c r="K575" s="130" t="s">
        <v>101</v>
      </c>
      <c r="L575" s="174" t="s">
        <v>71</v>
      </c>
      <c r="M575" s="131" t="s">
        <v>72</v>
      </c>
      <c r="N575" s="130" t="s">
        <v>73</v>
      </c>
      <c r="O575" s="219" t="s">
        <v>72</v>
      </c>
      <c r="P575" s="130" t="s">
        <v>101</v>
      </c>
      <c r="Q575" s="132" t="s">
        <v>93</v>
      </c>
      <c r="R575" s="218">
        <v>3.3800001000000002</v>
      </c>
      <c r="S575" s="129">
        <v>1</v>
      </c>
      <c r="T575" s="129">
        <v>156</v>
      </c>
      <c r="U575" s="129">
        <v>156</v>
      </c>
      <c r="V575" s="129">
        <v>28.08</v>
      </c>
      <c r="W575" s="129">
        <v>184.08</v>
      </c>
      <c r="X575" s="27">
        <f t="shared" si="176"/>
        <v>527.28001560000007</v>
      </c>
    </row>
    <row r="576" spans="1:24" x14ac:dyDescent="0.2">
      <c r="A576" s="220">
        <v>43791</v>
      </c>
      <c r="B576" s="130" t="s">
        <v>68</v>
      </c>
      <c r="C576" s="130" t="s">
        <v>102</v>
      </c>
      <c r="D576" s="130" t="s">
        <v>1797</v>
      </c>
      <c r="E576" s="130" t="s">
        <v>1307</v>
      </c>
      <c r="F576" s="130" t="s">
        <v>1796</v>
      </c>
      <c r="G576" s="220">
        <v>43774</v>
      </c>
      <c r="H576" s="130" t="s">
        <v>1795</v>
      </c>
      <c r="I576" s="130" t="s">
        <v>1794</v>
      </c>
      <c r="J576" s="130" t="s">
        <v>92</v>
      </c>
      <c r="K576" s="130" t="s">
        <v>113</v>
      </c>
      <c r="L576" s="174" t="s">
        <v>71</v>
      </c>
      <c r="M576" s="131" t="s">
        <v>72</v>
      </c>
      <c r="N576" s="130" t="s">
        <v>73</v>
      </c>
      <c r="O576" s="219" t="s">
        <v>69</v>
      </c>
      <c r="P576" s="130" t="s">
        <v>1699</v>
      </c>
      <c r="Q576" s="132" t="s">
        <v>93</v>
      </c>
      <c r="R576" s="218">
        <v>3.3800001000000002</v>
      </c>
      <c r="S576" s="129">
        <v>1</v>
      </c>
      <c r="T576" s="129">
        <v>55</v>
      </c>
      <c r="U576" s="129">
        <v>55</v>
      </c>
      <c r="V576" s="129">
        <v>9.9000020000000131</v>
      </c>
      <c r="W576" s="129">
        <v>64.900002000000015</v>
      </c>
      <c r="X576" s="27">
        <f t="shared" si="176"/>
        <v>185.90000550000002</v>
      </c>
    </row>
    <row r="577" spans="1:24" x14ac:dyDescent="0.2">
      <c r="A577" s="220">
        <v>43791</v>
      </c>
      <c r="B577" s="130" t="s">
        <v>68</v>
      </c>
      <c r="C577" s="130" t="s">
        <v>102</v>
      </c>
      <c r="D577" s="130" t="s">
        <v>1797</v>
      </c>
      <c r="E577" s="130" t="s">
        <v>1307</v>
      </c>
      <c r="F577" s="130" t="s">
        <v>1796</v>
      </c>
      <c r="G577" s="220">
        <v>43774</v>
      </c>
      <c r="H577" s="130" t="s">
        <v>1795</v>
      </c>
      <c r="I577" s="130" t="s">
        <v>1794</v>
      </c>
      <c r="J577" s="130" t="s">
        <v>95</v>
      </c>
      <c r="K577" s="130" t="s">
        <v>96</v>
      </c>
      <c r="L577" s="174" t="s">
        <v>71</v>
      </c>
      <c r="M577" s="131" t="s">
        <v>72</v>
      </c>
      <c r="N577" s="130" t="s">
        <v>73</v>
      </c>
      <c r="O577" s="219" t="s">
        <v>69</v>
      </c>
      <c r="P577" s="130" t="s">
        <v>1699</v>
      </c>
      <c r="Q577" s="132" t="s">
        <v>93</v>
      </c>
      <c r="R577" s="218">
        <v>3.3800001000000002</v>
      </c>
      <c r="S577" s="129">
        <v>-1</v>
      </c>
      <c r="T577" s="129">
        <v>150</v>
      </c>
      <c r="U577" s="129">
        <v>-150</v>
      </c>
      <c r="V577" s="129">
        <v>-27</v>
      </c>
      <c r="W577" s="129">
        <v>-177</v>
      </c>
      <c r="X577" s="27">
        <f t="shared" si="176"/>
        <v>-507.00001500000002</v>
      </c>
    </row>
    <row r="578" spans="1:24" x14ac:dyDescent="0.2">
      <c r="A578" s="220">
        <v>43791</v>
      </c>
      <c r="B578" s="130" t="s">
        <v>68</v>
      </c>
      <c r="C578" s="130" t="s">
        <v>102</v>
      </c>
      <c r="D578" s="130" t="s">
        <v>1797</v>
      </c>
      <c r="E578" s="130" t="s">
        <v>1307</v>
      </c>
      <c r="F578" s="130" t="s">
        <v>1796</v>
      </c>
      <c r="G578" s="220">
        <v>43774</v>
      </c>
      <c r="H578" s="130" t="s">
        <v>1795</v>
      </c>
      <c r="I578" s="130" t="s">
        <v>1794</v>
      </c>
      <c r="J578" s="130" t="s">
        <v>104</v>
      </c>
      <c r="K578" s="130" t="s">
        <v>105</v>
      </c>
      <c r="L578" s="174" t="s">
        <v>71</v>
      </c>
      <c r="M578" s="131" t="s">
        <v>72</v>
      </c>
      <c r="N578" s="130" t="s">
        <v>73</v>
      </c>
      <c r="O578" s="219" t="s">
        <v>69</v>
      </c>
      <c r="P578" s="130" t="s">
        <v>1699</v>
      </c>
      <c r="Q578" s="132" t="s">
        <v>93</v>
      </c>
      <c r="R578" s="218">
        <v>3.3800001000000002</v>
      </c>
      <c r="S578" s="129">
        <v>1</v>
      </c>
      <c r="T578" s="129">
        <v>0</v>
      </c>
      <c r="U578" s="129">
        <v>0</v>
      </c>
      <c r="V578" s="129">
        <v>0</v>
      </c>
      <c r="W578" s="129">
        <v>0</v>
      </c>
      <c r="X578" s="27">
        <f t="shared" si="176"/>
        <v>0</v>
      </c>
    </row>
    <row r="579" spans="1:24" x14ac:dyDescent="0.2">
      <c r="A579" s="220">
        <v>43792</v>
      </c>
      <c r="B579" s="130" t="s">
        <v>68</v>
      </c>
      <c r="C579" s="130" t="s">
        <v>102</v>
      </c>
      <c r="D579" s="130" t="s">
        <v>1793</v>
      </c>
      <c r="E579" s="130" t="s">
        <v>938</v>
      </c>
      <c r="F579" s="130" t="s">
        <v>939</v>
      </c>
      <c r="G579" s="220">
        <v>43766</v>
      </c>
      <c r="H579" s="130" t="s">
        <v>387</v>
      </c>
      <c r="I579" s="130" t="s">
        <v>386</v>
      </c>
      <c r="J579" s="130" t="s">
        <v>97</v>
      </c>
      <c r="K579" s="130" t="s">
        <v>98</v>
      </c>
      <c r="L579" s="174" t="s">
        <v>71</v>
      </c>
      <c r="M579" s="131" t="s">
        <v>72</v>
      </c>
      <c r="N579" s="130" t="s">
        <v>73</v>
      </c>
      <c r="O579" s="219" t="s">
        <v>99</v>
      </c>
      <c r="P579" s="130" t="s">
        <v>98</v>
      </c>
      <c r="Q579" s="132" t="s">
        <v>74</v>
      </c>
      <c r="R579" s="218">
        <v>3.3849999999999998</v>
      </c>
      <c r="S579" s="129">
        <v>1</v>
      </c>
      <c r="T579" s="129">
        <v>1687.5</v>
      </c>
      <c r="U579" s="129">
        <v>1687.5</v>
      </c>
      <c r="V579" s="129">
        <v>303.75</v>
      </c>
      <c r="W579" s="129">
        <v>1991.25</v>
      </c>
      <c r="X579" s="27">
        <f t="shared" si="176"/>
        <v>1687.5</v>
      </c>
    </row>
    <row r="580" spans="1:24" x14ac:dyDescent="0.2">
      <c r="A580" s="220">
        <v>43792</v>
      </c>
      <c r="B580" s="130" t="s">
        <v>68</v>
      </c>
      <c r="C580" s="130" t="s">
        <v>102</v>
      </c>
      <c r="D580" s="130" t="s">
        <v>1793</v>
      </c>
      <c r="E580" s="130" t="s">
        <v>938</v>
      </c>
      <c r="F580" s="130" t="s">
        <v>939</v>
      </c>
      <c r="G580" s="220">
        <v>43766</v>
      </c>
      <c r="H580" s="130" t="s">
        <v>387</v>
      </c>
      <c r="I580" s="130" t="s">
        <v>386</v>
      </c>
      <c r="J580" s="130" t="s">
        <v>100</v>
      </c>
      <c r="K580" s="130" t="s">
        <v>101</v>
      </c>
      <c r="L580" s="174" t="s">
        <v>71</v>
      </c>
      <c r="M580" s="131" t="s">
        <v>72</v>
      </c>
      <c r="N580" s="130" t="s">
        <v>73</v>
      </c>
      <c r="O580" s="219" t="s">
        <v>72</v>
      </c>
      <c r="P580" s="130" t="s">
        <v>101</v>
      </c>
      <c r="Q580" s="132" t="s">
        <v>74</v>
      </c>
      <c r="R580" s="218">
        <v>3.3849999999999998</v>
      </c>
      <c r="S580" s="129">
        <v>1</v>
      </c>
      <c r="T580" s="129">
        <v>910</v>
      </c>
      <c r="U580" s="129">
        <v>910</v>
      </c>
      <c r="V580" s="129">
        <v>163.80000000000001</v>
      </c>
      <c r="W580" s="129">
        <v>1073.8</v>
      </c>
      <c r="X580" s="27">
        <f t="shared" si="176"/>
        <v>910</v>
      </c>
    </row>
    <row r="581" spans="1:24" x14ac:dyDescent="0.2">
      <c r="A581" s="220">
        <v>43792</v>
      </c>
      <c r="B581" s="130" t="s">
        <v>68</v>
      </c>
      <c r="C581" s="130" t="s">
        <v>102</v>
      </c>
      <c r="D581" s="130" t="s">
        <v>1793</v>
      </c>
      <c r="E581" s="130" t="s">
        <v>938</v>
      </c>
      <c r="F581" s="130" t="s">
        <v>939</v>
      </c>
      <c r="G581" s="220">
        <v>43766</v>
      </c>
      <c r="H581" s="130" t="s">
        <v>387</v>
      </c>
      <c r="I581" s="130" t="s">
        <v>386</v>
      </c>
      <c r="J581" s="130" t="s">
        <v>92</v>
      </c>
      <c r="K581" s="130" t="s">
        <v>113</v>
      </c>
      <c r="L581" s="174" t="s">
        <v>71</v>
      </c>
      <c r="M581" s="131" t="s">
        <v>72</v>
      </c>
      <c r="N581" s="130" t="s">
        <v>73</v>
      </c>
      <c r="O581" s="219" t="s">
        <v>69</v>
      </c>
      <c r="P581" s="130" t="s">
        <v>1699</v>
      </c>
      <c r="Q581" s="132" t="s">
        <v>74</v>
      </c>
      <c r="R581" s="218">
        <v>3.3849999999999998</v>
      </c>
      <c r="S581" s="129">
        <v>1</v>
      </c>
      <c r="T581" s="129">
        <v>1320</v>
      </c>
      <c r="U581" s="129">
        <v>1320</v>
      </c>
      <c r="V581" s="129">
        <v>237.6</v>
      </c>
      <c r="W581" s="129">
        <v>1557.6</v>
      </c>
      <c r="X581" s="27">
        <f t="shared" ref="X581:X644" si="177">IF(Q581="$",(U581*R581),U581)</f>
        <v>1320</v>
      </c>
    </row>
    <row r="582" spans="1:24" x14ac:dyDescent="0.2">
      <c r="A582" s="220">
        <v>43792</v>
      </c>
      <c r="B582" s="130" t="s">
        <v>68</v>
      </c>
      <c r="C582" s="130" t="s">
        <v>102</v>
      </c>
      <c r="D582" s="130" t="s">
        <v>1793</v>
      </c>
      <c r="E582" s="130" t="s">
        <v>938</v>
      </c>
      <c r="F582" s="130" t="s">
        <v>939</v>
      </c>
      <c r="G582" s="220">
        <v>43766</v>
      </c>
      <c r="H582" s="130" t="s">
        <v>387</v>
      </c>
      <c r="I582" s="130" t="s">
        <v>386</v>
      </c>
      <c r="J582" s="130" t="s">
        <v>132</v>
      </c>
      <c r="K582" s="130" t="s">
        <v>133</v>
      </c>
      <c r="L582" s="174" t="s">
        <v>71</v>
      </c>
      <c r="M582" s="131" t="s">
        <v>72</v>
      </c>
      <c r="N582" s="130" t="s">
        <v>73</v>
      </c>
      <c r="O582" s="219" t="s">
        <v>69</v>
      </c>
      <c r="P582" s="130" t="s">
        <v>1699</v>
      </c>
      <c r="Q582" s="132" t="s">
        <v>74</v>
      </c>
      <c r="R582" s="218">
        <v>3.3849999999999998</v>
      </c>
      <c r="S582" s="129">
        <v>1</v>
      </c>
      <c r="T582" s="129">
        <v>1265</v>
      </c>
      <c r="U582" s="129">
        <v>1265</v>
      </c>
      <c r="V582" s="129">
        <v>227.7</v>
      </c>
      <c r="W582" s="129">
        <v>1492.7</v>
      </c>
      <c r="X582" s="27">
        <f t="shared" si="177"/>
        <v>1265</v>
      </c>
    </row>
    <row r="583" spans="1:24" x14ac:dyDescent="0.2">
      <c r="A583" s="220">
        <v>43792</v>
      </c>
      <c r="B583" s="130" t="s">
        <v>68</v>
      </c>
      <c r="C583" s="130" t="s">
        <v>102</v>
      </c>
      <c r="D583" s="130" t="s">
        <v>1793</v>
      </c>
      <c r="E583" s="130" t="s">
        <v>938</v>
      </c>
      <c r="F583" s="130" t="s">
        <v>939</v>
      </c>
      <c r="G583" s="220">
        <v>43766</v>
      </c>
      <c r="H583" s="130" t="s">
        <v>387</v>
      </c>
      <c r="I583" s="130" t="s">
        <v>386</v>
      </c>
      <c r="J583" s="130" t="s">
        <v>70</v>
      </c>
      <c r="K583" s="130" t="s">
        <v>112</v>
      </c>
      <c r="L583" s="174" t="s">
        <v>71</v>
      </c>
      <c r="M583" s="131" t="s">
        <v>72</v>
      </c>
      <c r="N583" s="130" t="s">
        <v>73</v>
      </c>
      <c r="O583" s="219" t="s">
        <v>69</v>
      </c>
      <c r="P583" s="130" t="s">
        <v>1699</v>
      </c>
      <c r="Q583" s="132" t="s">
        <v>74</v>
      </c>
      <c r="R583" s="218">
        <v>3.3849999999999998</v>
      </c>
      <c r="S583" s="129">
        <v>1</v>
      </c>
      <c r="T583" s="129">
        <v>848.75420999999972</v>
      </c>
      <c r="U583" s="129">
        <v>848.75420999999972</v>
      </c>
      <c r="V583" s="129">
        <v>152.77579000000026</v>
      </c>
      <c r="W583" s="129">
        <v>1001.53</v>
      </c>
      <c r="X583" s="27">
        <f t="shared" si="177"/>
        <v>848.75420999999972</v>
      </c>
    </row>
    <row r="584" spans="1:24" x14ac:dyDescent="0.2">
      <c r="A584" s="220">
        <v>43792</v>
      </c>
      <c r="B584" s="130" t="s">
        <v>68</v>
      </c>
      <c r="C584" s="130" t="s">
        <v>102</v>
      </c>
      <c r="D584" s="130" t="s">
        <v>1793</v>
      </c>
      <c r="E584" s="130" t="s">
        <v>938</v>
      </c>
      <c r="F584" s="130" t="s">
        <v>939</v>
      </c>
      <c r="G584" s="220">
        <v>43766</v>
      </c>
      <c r="H584" s="130" t="s">
        <v>387</v>
      </c>
      <c r="I584" s="130" t="s">
        <v>386</v>
      </c>
      <c r="J584" s="130" t="s">
        <v>104</v>
      </c>
      <c r="K584" s="130" t="s">
        <v>105</v>
      </c>
      <c r="L584" s="174" t="s">
        <v>71</v>
      </c>
      <c r="M584" s="131" t="s">
        <v>72</v>
      </c>
      <c r="N584" s="130" t="s">
        <v>73</v>
      </c>
      <c r="O584" s="219" t="s">
        <v>69</v>
      </c>
      <c r="P584" s="130" t="s">
        <v>1699</v>
      </c>
      <c r="Q584" s="132" t="s">
        <v>74</v>
      </c>
      <c r="R584" s="218">
        <v>3.3849999999999998</v>
      </c>
      <c r="S584" s="129">
        <v>1</v>
      </c>
      <c r="T584" s="129">
        <v>3426</v>
      </c>
      <c r="U584" s="129">
        <v>3426</v>
      </c>
      <c r="V584" s="129">
        <v>616.67989999999986</v>
      </c>
      <c r="W584" s="129">
        <v>4042.6799000000001</v>
      </c>
      <c r="X584" s="27">
        <f t="shared" si="177"/>
        <v>3426</v>
      </c>
    </row>
    <row r="585" spans="1:24" x14ac:dyDescent="0.2">
      <c r="A585" s="220">
        <v>43792</v>
      </c>
      <c r="B585" s="130" t="s">
        <v>68</v>
      </c>
      <c r="C585" s="130" t="s">
        <v>102</v>
      </c>
      <c r="D585" s="130" t="s">
        <v>1792</v>
      </c>
      <c r="E585" s="130" t="s">
        <v>1019</v>
      </c>
      <c r="F585" s="130" t="s">
        <v>1020</v>
      </c>
      <c r="G585" s="220">
        <v>43777</v>
      </c>
      <c r="H585" s="130" t="s">
        <v>387</v>
      </c>
      <c r="I585" s="130" t="s">
        <v>386</v>
      </c>
      <c r="J585" s="130" t="s">
        <v>97</v>
      </c>
      <c r="K585" s="130" t="s">
        <v>98</v>
      </c>
      <c r="L585" s="174" t="s">
        <v>71</v>
      </c>
      <c r="M585" s="131" t="s">
        <v>72</v>
      </c>
      <c r="N585" s="130" t="s">
        <v>73</v>
      </c>
      <c r="O585" s="219" t="s">
        <v>99</v>
      </c>
      <c r="P585" s="130" t="s">
        <v>98</v>
      </c>
      <c r="Q585" s="132" t="s">
        <v>74</v>
      </c>
      <c r="R585" s="218">
        <v>3.3849999999999998</v>
      </c>
      <c r="S585" s="129">
        <v>1</v>
      </c>
      <c r="T585" s="129">
        <v>2025</v>
      </c>
      <c r="U585" s="129">
        <v>2025</v>
      </c>
      <c r="V585" s="129">
        <v>364.5</v>
      </c>
      <c r="W585" s="129">
        <v>2389.5</v>
      </c>
      <c r="X585" s="27">
        <f t="shared" si="177"/>
        <v>2025</v>
      </c>
    </row>
    <row r="586" spans="1:24" x14ac:dyDescent="0.2">
      <c r="A586" s="220">
        <v>43792</v>
      </c>
      <c r="B586" s="130" t="s">
        <v>68</v>
      </c>
      <c r="C586" s="130" t="s">
        <v>102</v>
      </c>
      <c r="D586" s="130" t="s">
        <v>1792</v>
      </c>
      <c r="E586" s="130" t="s">
        <v>1019</v>
      </c>
      <c r="F586" s="130" t="s">
        <v>1020</v>
      </c>
      <c r="G586" s="220">
        <v>43777</v>
      </c>
      <c r="H586" s="130" t="s">
        <v>387</v>
      </c>
      <c r="I586" s="130" t="s">
        <v>386</v>
      </c>
      <c r="J586" s="130" t="s">
        <v>100</v>
      </c>
      <c r="K586" s="130" t="s">
        <v>101</v>
      </c>
      <c r="L586" s="174" t="s">
        <v>71</v>
      </c>
      <c r="M586" s="131" t="s">
        <v>72</v>
      </c>
      <c r="N586" s="130" t="s">
        <v>73</v>
      </c>
      <c r="O586" s="219" t="s">
        <v>72</v>
      </c>
      <c r="P586" s="130" t="s">
        <v>101</v>
      </c>
      <c r="Q586" s="132" t="s">
        <v>74</v>
      </c>
      <c r="R586" s="218">
        <v>3.3849999999999998</v>
      </c>
      <c r="S586" s="129">
        <v>1</v>
      </c>
      <c r="T586" s="129">
        <v>1540</v>
      </c>
      <c r="U586" s="129">
        <v>1540</v>
      </c>
      <c r="V586" s="129">
        <v>277.2</v>
      </c>
      <c r="W586" s="129">
        <v>1817.2</v>
      </c>
      <c r="X586" s="27">
        <f t="shared" si="177"/>
        <v>1540</v>
      </c>
    </row>
    <row r="587" spans="1:24" x14ac:dyDescent="0.2">
      <c r="A587" s="220">
        <v>43792</v>
      </c>
      <c r="B587" s="130" t="s">
        <v>68</v>
      </c>
      <c r="C587" s="130" t="s">
        <v>102</v>
      </c>
      <c r="D587" s="130" t="s">
        <v>1792</v>
      </c>
      <c r="E587" s="130" t="s">
        <v>1019</v>
      </c>
      <c r="F587" s="130" t="s">
        <v>1020</v>
      </c>
      <c r="G587" s="220">
        <v>43777</v>
      </c>
      <c r="H587" s="130" t="s">
        <v>387</v>
      </c>
      <c r="I587" s="130" t="s">
        <v>386</v>
      </c>
      <c r="J587" s="130" t="s">
        <v>92</v>
      </c>
      <c r="K587" s="130" t="s">
        <v>113</v>
      </c>
      <c r="L587" s="174" t="s">
        <v>71</v>
      </c>
      <c r="M587" s="131" t="s">
        <v>72</v>
      </c>
      <c r="N587" s="130" t="s">
        <v>73</v>
      </c>
      <c r="O587" s="219" t="s">
        <v>69</v>
      </c>
      <c r="P587" s="130" t="s">
        <v>1699</v>
      </c>
      <c r="Q587" s="132" t="s">
        <v>74</v>
      </c>
      <c r="R587" s="218">
        <v>3.3849999999999998</v>
      </c>
      <c r="S587" s="129">
        <v>1</v>
      </c>
      <c r="T587" s="129">
        <v>605</v>
      </c>
      <c r="U587" s="129">
        <v>605</v>
      </c>
      <c r="V587" s="129">
        <v>108.90002000000023</v>
      </c>
      <c r="W587" s="129">
        <v>713.90002000000027</v>
      </c>
      <c r="X587" s="27">
        <f t="shared" si="177"/>
        <v>605</v>
      </c>
    </row>
    <row r="588" spans="1:24" x14ac:dyDescent="0.2">
      <c r="A588" s="220">
        <v>43792</v>
      </c>
      <c r="B588" s="130" t="s">
        <v>68</v>
      </c>
      <c r="C588" s="130" t="s">
        <v>102</v>
      </c>
      <c r="D588" s="130" t="s">
        <v>1792</v>
      </c>
      <c r="E588" s="130" t="s">
        <v>1019</v>
      </c>
      <c r="F588" s="130" t="s">
        <v>1020</v>
      </c>
      <c r="G588" s="220">
        <v>43777</v>
      </c>
      <c r="H588" s="130" t="s">
        <v>387</v>
      </c>
      <c r="I588" s="130" t="s">
        <v>386</v>
      </c>
      <c r="J588" s="130" t="s">
        <v>132</v>
      </c>
      <c r="K588" s="130" t="s">
        <v>133</v>
      </c>
      <c r="L588" s="174" t="s">
        <v>71</v>
      </c>
      <c r="M588" s="131" t="s">
        <v>72</v>
      </c>
      <c r="N588" s="130" t="s">
        <v>73</v>
      </c>
      <c r="O588" s="219" t="s">
        <v>69</v>
      </c>
      <c r="P588" s="130" t="s">
        <v>1699</v>
      </c>
      <c r="Q588" s="132" t="s">
        <v>74</v>
      </c>
      <c r="R588" s="218">
        <v>3.3849999999999998</v>
      </c>
      <c r="S588" s="129">
        <v>1</v>
      </c>
      <c r="T588" s="129">
        <v>1495</v>
      </c>
      <c r="U588" s="129">
        <v>1495</v>
      </c>
      <c r="V588" s="129">
        <v>269.10000000000002</v>
      </c>
      <c r="W588" s="129">
        <v>1764.1</v>
      </c>
      <c r="X588" s="27">
        <f t="shared" si="177"/>
        <v>1495</v>
      </c>
    </row>
    <row r="589" spans="1:24" x14ac:dyDescent="0.2">
      <c r="A589" s="220">
        <v>43792</v>
      </c>
      <c r="B589" s="130" t="s">
        <v>68</v>
      </c>
      <c r="C589" s="130" t="s">
        <v>102</v>
      </c>
      <c r="D589" s="130" t="s">
        <v>1792</v>
      </c>
      <c r="E589" s="130" t="s">
        <v>1019</v>
      </c>
      <c r="F589" s="130" t="s">
        <v>1020</v>
      </c>
      <c r="G589" s="220">
        <v>43777</v>
      </c>
      <c r="H589" s="130" t="s">
        <v>387</v>
      </c>
      <c r="I589" s="130" t="s">
        <v>386</v>
      </c>
      <c r="J589" s="130" t="s">
        <v>70</v>
      </c>
      <c r="K589" s="130" t="s">
        <v>112</v>
      </c>
      <c r="L589" s="174" t="s">
        <v>71</v>
      </c>
      <c r="M589" s="131" t="s">
        <v>72</v>
      </c>
      <c r="N589" s="130" t="s">
        <v>73</v>
      </c>
      <c r="O589" s="219" t="s">
        <v>69</v>
      </c>
      <c r="P589" s="130" t="s">
        <v>1699</v>
      </c>
      <c r="Q589" s="132" t="s">
        <v>74</v>
      </c>
      <c r="R589" s="218">
        <v>3.3849999999999998</v>
      </c>
      <c r="S589" s="129">
        <v>1</v>
      </c>
      <c r="T589" s="129">
        <v>883.75420999999972</v>
      </c>
      <c r="U589" s="129">
        <v>883.75420999999972</v>
      </c>
      <c r="V589" s="129">
        <v>159.07579000000027</v>
      </c>
      <c r="W589" s="129">
        <v>1042.83</v>
      </c>
      <c r="X589" s="27">
        <f t="shared" si="177"/>
        <v>883.75420999999972</v>
      </c>
    </row>
    <row r="590" spans="1:24" x14ac:dyDescent="0.2">
      <c r="A590" s="220">
        <v>43792</v>
      </c>
      <c r="B590" s="130" t="s">
        <v>68</v>
      </c>
      <c r="C590" s="130" t="s">
        <v>102</v>
      </c>
      <c r="D590" s="130" t="s">
        <v>1792</v>
      </c>
      <c r="E590" s="130" t="s">
        <v>1019</v>
      </c>
      <c r="F590" s="130" t="s">
        <v>1020</v>
      </c>
      <c r="G590" s="220">
        <v>43777</v>
      </c>
      <c r="H590" s="130" t="s">
        <v>387</v>
      </c>
      <c r="I590" s="130" t="s">
        <v>386</v>
      </c>
      <c r="J590" s="130" t="s">
        <v>104</v>
      </c>
      <c r="K590" s="130" t="s">
        <v>105</v>
      </c>
      <c r="L590" s="174" t="s">
        <v>71</v>
      </c>
      <c r="M590" s="131" t="s">
        <v>72</v>
      </c>
      <c r="N590" s="130" t="s">
        <v>73</v>
      </c>
      <c r="O590" s="219" t="s">
        <v>69</v>
      </c>
      <c r="P590" s="130" t="s">
        <v>1699</v>
      </c>
      <c r="Q590" s="132" t="s">
        <v>74</v>
      </c>
      <c r="R590" s="218">
        <v>3.3849999999999998</v>
      </c>
      <c r="S590" s="129">
        <v>1</v>
      </c>
      <c r="T590" s="129">
        <v>2672</v>
      </c>
      <c r="U590" s="129">
        <v>2672</v>
      </c>
      <c r="V590" s="129">
        <v>480.96</v>
      </c>
      <c r="W590" s="129">
        <v>3152.96</v>
      </c>
      <c r="X590" s="27">
        <f t="shared" si="177"/>
        <v>2672</v>
      </c>
    </row>
    <row r="591" spans="1:24" x14ac:dyDescent="0.2">
      <c r="A591" s="220">
        <v>43794</v>
      </c>
      <c r="B591" s="130" t="s">
        <v>68</v>
      </c>
      <c r="C591" s="130" t="s">
        <v>102</v>
      </c>
      <c r="D591" s="130" t="s">
        <v>1791</v>
      </c>
      <c r="E591" s="130" t="s">
        <v>1402</v>
      </c>
      <c r="F591" s="130" t="s">
        <v>1429</v>
      </c>
      <c r="G591" s="220">
        <v>43788</v>
      </c>
      <c r="H591" s="130" t="s">
        <v>90</v>
      </c>
      <c r="I591" s="130" t="s">
        <v>91</v>
      </c>
      <c r="J591" s="130" t="s">
        <v>92</v>
      </c>
      <c r="K591" s="130" t="s">
        <v>113</v>
      </c>
      <c r="L591" s="174" t="s">
        <v>71</v>
      </c>
      <c r="M591" s="131" t="s">
        <v>72</v>
      </c>
      <c r="N591" s="130" t="s">
        <v>73</v>
      </c>
      <c r="O591" s="219" t="s">
        <v>69</v>
      </c>
      <c r="P591" s="130" t="s">
        <v>1699</v>
      </c>
      <c r="Q591" s="132" t="s">
        <v>93</v>
      </c>
      <c r="R591" s="218">
        <v>3.3849999999999998</v>
      </c>
      <c r="S591" s="129">
        <v>1</v>
      </c>
      <c r="T591" s="129">
        <v>80</v>
      </c>
      <c r="U591" s="129">
        <v>80</v>
      </c>
      <c r="V591" s="129">
        <v>14.400002000000004</v>
      </c>
      <c r="W591" s="129">
        <v>94.400002000000001</v>
      </c>
      <c r="X591" s="27">
        <f t="shared" si="177"/>
        <v>270.79999999999995</v>
      </c>
    </row>
    <row r="592" spans="1:24" x14ac:dyDescent="0.2">
      <c r="A592" s="220">
        <v>43794</v>
      </c>
      <c r="B592" s="130" t="s">
        <v>68</v>
      </c>
      <c r="C592" s="130" t="s">
        <v>102</v>
      </c>
      <c r="D592" s="130" t="s">
        <v>1791</v>
      </c>
      <c r="E592" s="130" t="s">
        <v>1402</v>
      </c>
      <c r="F592" s="130" t="s">
        <v>1429</v>
      </c>
      <c r="G592" s="220">
        <v>43788</v>
      </c>
      <c r="H592" s="130" t="s">
        <v>90</v>
      </c>
      <c r="I592" s="130" t="s">
        <v>91</v>
      </c>
      <c r="J592" s="130" t="s">
        <v>70</v>
      </c>
      <c r="K592" s="130" t="s">
        <v>112</v>
      </c>
      <c r="L592" s="174" t="s">
        <v>71</v>
      </c>
      <c r="M592" s="131" t="s">
        <v>72</v>
      </c>
      <c r="N592" s="130" t="s">
        <v>73</v>
      </c>
      <c r="O592" s="219" t="s">
        <v>69</v>
      </c>
      <c r="P592" s="130" t="s">
        <v>1699</v>
      </c>
      <c r="Q592" s="132" t="s">
        <v>93</v>
      </c>
      <c r="R592" s="218">
        <v>3.3849999999999998</v>
      </c>
      <c r="S592" s="129">
        <v>1</v>
      </c>
      <c r="T592" s="129">
        <v>15</v>
      </c>
      <c r="U592" s="129">
        <v>15</v>
      </c>
      <c r="V592" s="129">
        <v>2.7000009999999999</v>
      </c>
      <c r="W592" s="129">
        <v>17.700001</v>
      </c>
      <c r="X592" s="27">
        <f t="shared" si="177"/>
        <v>50.774999999999999</v>
      </c>
    </row>
    <row r="593" spans="1:24" x14ac:dyDescent="0.2">
      <c r="A593" s="220">
        <v>43794</v>
      </c>
      <c r="B593" s="130" t="s">
        <v>68</v>
      </c>
      <c r="C593" s="130" t="s">
        <v>102</v>
      </c>
      <c r="D593" s="130" t="s">
        <v>1791</v>
      </c>
      <c r="E593" s="130" t="s">
        <v>1402</v>
      </c>
      <c r="F593" s="130" t="s">
        <v>1429</v>
      </c>
      <c r="G593" s="220">
        <v>43788</v>
      </c>
      <c r="H593" s="130" t="s">
        <v>90</v>
      </c>
      <c r="I593" s="130" t="s">
        <v>91</v>
      </c>
      <c r="J593" s="130" t="s">
        <v>104</v>
      </c>
      <c r="K593" s="130" t="s">
        <v>105</v>
      </c>
      <c r="L593" s="174" t="s">
        <v>71</v>
      </c>
      <c r="M593" s="131" t="s">
        <v>72</v>
      </c>
      <c r="N593" s="130" t="s">
        <v>73</v>
      </c>
      <c r="O593" s="219" t="s">
        <v>69</v>
      </c>
      <c r="P593" s="130" t="s">
        <v>1699</v>
      </c>
      <c r="Q593" s="132" t="s">
        <v>93</v>
      </c>
      <c r="R593" s="218">
        <v>3.3849999999999998</v>
      </c>
      <c r="S593" s="129">
        <v>1</v>
      </c>
      <c r="T593" s="129">
        <v>0</v>
      </c>
      <c r="U593" s="129">
        <v>0</v>
      </c>
      <c r="V593" s="129">
        <v>0</v>
      </c>
      <c r="W593" s="129">
        <v>0</v>
      </c>
      <c r="X593" s="27">
        <f t="shared" si="177"/>
        <v>0</v>
      </c>
    </row>
    <row r="594" spans="1:24" x14ac:dyDescent="0.2">
      <c r="A594" s="220">
        <v>43794</v>
      </c>
      <c r="B594" s="130" t="s">
        <v>68</v>
      </c>
      <c r="C594" s="130" t="s">
        <v>102</v>
      </c>
      <c r="D594" s="130" t="s">
        <v>1790</v>
      </c>
      <c r="E594" s="130" t="s">
        <v>1008</v>
      </c>
      <c r="F594" s="130" t="s">
        <v>1009</v>
      </c>
      <c r="G594" s="220">
        <v>43766</v>
      </c>
      <c r="H594" s="130" t="s">
        <v>387</v>
      </c>
      <c r="I594" s="130" t="s">
        <v>386</v>
      </c>
      <c r="J594" s="130" t="s">
        <v>97</v>
      </c>
      <c r="K594" s="130" t="s">
        <v>98</v>
      </c>
      <c r="L594" s="174" t="s">
        <v>71</v>
      </c>
      <c r="M594" s="131" t="s">
        <v>72</v>
      </c>
      <c r="N594" s="130" t="s">
        <v>73</v>
      </c>
      <c r="O594" s="219" t="s">
        <v>99</v>
      </c>
      <c r="P594" s="130" t="s">
        <v>98</v>
      </c>
      <c r="Q594" s="132" t="s">
        <v>74</v>
      </c>
      <c r="R594" s="218">
        <v>3.3849999999999998</v>
      </c>
      <c r="S594" s="129">
        <v>1</v>
      </c>
      <c r="T594" s="129">
        <v>2295</v>
      </c>
      <c r="U594" s="129">
        <v>2295</v>
      </c>
      <c r="V594" s="129">
        <v>413.10010000000011</v>
      </c>
      <c r="W594" s="129">
        <v>2708.1001000000001</v>
      </c>
      <c r="X594" s="27">
        <f t="shared" si="177"/>
        <v>2295</v>
      </c>
    </row>
    <row r="595" spans="1:24" x14ac:dyDescent="0.2">
      <c r="A595" s="220">
        <v>43794</v>
      </c>
      <c r="B595" s="130" t="s">
        <v>68</v>
      </c>
      <c r="C595" s="130" t="s">
        <v>102</v>
      </c>
      <c r="D595" s="130" t="s">
        <v>1790</v>
      </c>
      <c r="E595" s="130" t="s">
        <v>1008</v>
      </c>
      <c r="F595" s="130" t="s">
        <v>1009</v>
      </c>
      <c r="G595" s="220">
        <v>43766</v>
      </c>
      <c r="H595" s="130" t="s">
        <v>387</v>
      </c>
      <c r="I595" s="130" t="s">
        <v>386</v>
      </c>
      <c r="J595" s="130" t="s">
        <v>100</v>
      </c>
      <c r="K595" s="130" t="s">
        <v>101</v>
      </c>
      <c r="L595" s="174" t="s">
        <v>71</v>
      </c>
      <c r="M595" s="131" t="s">
        <v>72</v>
      </c>
      <c r="N595" s="130" t="s">
        <v>73</v>
      </c>
      <c r="O595" s="219" t="s">
        <v>72</v>
      </c>
      <c r="P595" s="130" t="s">
        <v>101</v>
      </c>
      <c r="Q595" s="132" t="s">
        <v>74</v>
      </c>
      <c r="R595" s="218">
        <v>3.3849999999999998</v>
      </c>
      <c r="S595" s="129">
        <v>1</v>
      </c>
      <c r="T595" s="129">
        <v>1015</v>
      </c>
      <c r="U595" s="129">
        <v>1015</v>
      </c>
      <c r="V595" s="129">
        <v>182.7</v>
      </c>
      <c r="W595" s="129">
        <v>1197.7</v>
      </c>
      <c r="X595" s="27">
        <f t="shared" si="177"/>
        <v>1015</v>
      </c>
    </row>
    <row r="596" spans="1:24" x14ac:dyDescent="0.2">
      <c r="A596" s="220">
        <v>43794</v>
      </c>
      <c r="B596" s="130" t="s">
        <v>68</v>
      </c>
      <c r="C596" s="130" t="s">
        <v>102</v>
      </c>
      <c r="D596" s="130" t="s">
        <v>1790</v>
      </c>
      <c r="E596" s="130" t="s">
        <v>1008</v>
      </c>
      <c r="F596" s="130" t="s">
        <v>1009</v>
      </c>
      <c r="G596" s="220">
        <v>43766</v>
      </c>
      <c r="H596" s="130" t="s">
        <v>387</v>
      </c>
      <c r="I596" s="130" t="s">
        <v>386</v>
      </c>
      <c r="J596" s="130" t="s">
        <v>92</v>
      </c>
      <c r="K596" s="130" t="s">
        <v>113</v>
      </c>
      <c r="L596" s="174" t="s">
        <v>71</v>
      </c>
      <c r="M596" s="131" t="s">
        <v>72</v>
      </c>
      <c r="N596" s="130" t="s">
        <v>73</v>
      </c>
      <c r="O596" s="219" t="s">
        <v>69</v>
      </c>
      <c r="P596" s="130" t="s">
        <v>1699</v>
      </c>
      <c r="Q596" s="132" t="s">
        <v>74</v>
      </c>
      <c r="R596" s="218">
        <v>3.3849999999999998</v>
      </c>
      <c r="S596" s="129">
        <v>1</v>
      </c>
      <c r="T596" s="129">
        <v>1140</v>
      </c>
      <c r="U596" s="129">
        <v>1140</v>
      </c>
      <c r="V596" s="129">
        <v>205.2</v>
      </c>
      <c r="W596" s="129">
        <v>1345.2</v>
      </c>
      <c r="X596" s="27">
        <f t="shared" si="177"/>
        <v>1140</v>
      </c>
    </row>
    <row r="597" spans="1:24" x14ac:dyDescent="0.2">
      <c r="A597" s="220">
        <v>43794</v>
      </c>
      <c r="B597" s="130" t="s">
        <v>68</v>
      </c>
      <c r="C597" s="130" t="s">
        <v>102</v>
      </c>
      <c r="D597" s="130" t="s">
        <v>1790</v>
      </c>
      <c r="E597" s="130" t="s">
        <v>1008</v>
      </c>
      <c r="F597" s="130" t="s">
        <v>1009</v>
      </c>
      <c r="G597" s="220">
        <v>43766</v>
      </c>
      <c r="H597" s="130" t="s">
        <v>387</v>
      </c>
      <c r="I597" s="130" t="s">
        <v>386</v>
      </c>
      <c r="J597" s="130" t="s">
        <v>132</v>
      </c>
      <c r="K597" s="130" t="s">
        <v>133</v>
      </c>
      <c r="L597" s="174" t="s">
        <v>71</v>
      </c>
      <c r="M597" s="131" t="s">
        <v>72</v>
      </c>
      <c r="N597" s="130" t="s">
        <v>73</v>
      </c>
      <c r="O597" s="219" t="s">
        <v>69</v>
      </c>
      <c r="P597" s="130" t="s">
        <v>1699</v>
      </c>
      <c r="Q597" s="132" t="s">
        <v>74</v>
      </c>
      <c r="R597" s="218">
        <v>3.3849999999999998</v>
      </c>
      <c r="S597" s="129">
        <v>1</v>
      </c>
      <c r="T597" s="129">
        <v>1903</v>
      </c>
      <c r="U597" s="129">
        <v>1903</v>
      </c>
      <c r="V597" s="129">
        <v>342.54</v>
      </c>
      <c r="W597" s="129">
        <v>2245.54</v>
      </c>
      <c r="X597" s="27">
        <f t="shared" si="177"/>
        <v>1903</v>
      </c>
    </row>
    <row r="598" spans="1:24" x14ac:dyDescent="0.2">
      <c r="A598" s="220">
        <v>43794</v>
      </c>
      <c r="B598" s="130" t="s">
        <v>68</v>
      </c>
      <c r="C598" s="130" t="s">
        <v>102</v>
      </c>
      <c r="D598" s="130" t="s">
        <v>1790</v>
      </c>
      <c r="E598" s="130" t="s">
        <v>1008</v>
      </c>
      <c r="F598" s="130" t="s">
        <v>1009</v>
      </c>
      <c r="G598" s="220">
        <v>43766</v>
      </c>
      <c r="H598" s="130" t="s">
        <v>387</v>
      </c>
      <c r="I598" s="130" t="s">
        <v>386</v>
      </c>
      <c r="J598" s="130" t="s">
        <v>70</v>
      </c>
      <c r="K598" s="130" t="s">
        <v>112</v>
      </c>
      <c r="L598" s="174" t="s">
        <v>71</v>
      </c>
      <c r="M598" s="131" t="s">
        <v>72</v>
      </c>
      <c r="N598" s="130" t="s">
        <v>73</v>
      </c>
      <c r="O598" s="219" t="s">
        <v>69</v>
      </c>
      <c r="P598" s="130" t="s">
        <v>1699</v>
      </c>
      <c r="Q598" s="132" t="s">
        <v>74</v>
      </c>
      <c r="R598" s="218">
        <v>3.3849999999999998</v>
      </c>
      <c r="S598" s="129">
        <v>1</v>
      </c>
      <c r="T598" s="129">
        <v>988.75420999999972</v>
      </c>
      <c r="U598" s="129">
        <v>988.75420999999972</v>
      </c>
      <c r="V598" s="129">
        <v>177.97579000000027</v>
      </c>
      <c r="W598" s="129">
        <v>1166.73</v>
      </c>
      <c r="X598" s="27">
        <f t="shared" si="177"/>
        <v>988.75420999999972</v>
      </c>
    </row>
    <row r="599" spans="1:24" x14ac:dyDescent="0.2">
      <c r="A599" s="220">
        <v>43794</v>
      </c>
      <c r="B599" s="130" t="s">
        <v>68</v>
      </c>
      <c r="C599" s="130" t="s">
        <v>102</v>
      </c>
      <c r="D599" s="130" t="s">
        <v>1790</v>
      </c>
      <c r="E599" s="130" t="s">
        <v>1008</v>
      </c>
      <c r="F599" s="130" t="s">
        <v>1009</v>
      </c>
      <c r="G599" s="220">
        <v>43766</v>
      </c>
      <c r="H599" s="130" t="s">
        <v>387</v>
      </c>
      <c r="I599" s="130" t="s">
        <v>386</v>
      </c>
      <c r="J599" s="130" t="s">
        <v>104</v>
      </c>
      <c r="K599" s="130" t="s">
        <v>105</v>
      </c>
      <c r="L599" s="174" t="s">
        <v>71</v>
      </c>
      <c r="M599" s="131" t="s">
        <v>72</v>
      </c>
      <c r="N599" s="130" t="s">
        <v>73</v>
      </c>
      <c r="O599" s="219" t="s">
        <v>69</v>
      </c>
      <c r="P599" s="130" t="s">
        <v>1699</v>
      </c>
      <c r="Q599" s="132" t="s">
        <v>74</v>
      </c>
      <c r="R599" s="218">
        <v>3.3849999999999998</v>
      </c>
      <c r="S599" s="129">
        <v>1</v>
      </c>
      <c r="T599" s="129">
        <v>2319</v>
      </c>
      <c r="U599" s="129">
        <v>2319</v>
      </c>
      <c r="V599" s="129">
        <v>417.41989999999993</v>
      </c>
      <c r="W599" s="129">
        <v>2736.4198999999999</v>
      </c>
      <c r="X599" s="27">
        <f t="shared" si="177"/>
        <v>2319</v>
      </c>
    </row>
    <row r="600" spans="1:24" x14ac:dyDescent="0.2">
      <c r="A600" s="220">
        <v>43795</v>
      </c>
      <c r="B600" s="130" t="s">
        <v>68</v>
      </c>
      <c r="C600" s="130" t="s">
        <v>102</v>
      </c>
      <c r="D600" s="130" t="s">
        <v>1789</v>
      </c>
      <c r="E600" s="130" t="s">
        <v>1359</v>
      </c>
      <c r="F600" s="130" t="s">
        <v>1787</v>
      </c>
      <c r="G600" s="220">
        <v>43767</v>
      </c>
      <c r="H600" s="130" t="s">
        <v>557</v>
      </c>
      <c r="I600" s="130" t="s">
        <v>556</v>
      </c>
      <c r="J600" s="130" t="s">
        <v>95</v>
      </c>
      <c r="K600" s="130" t="s">
        <v>96</v>
      </c>
      <c r="L600" s="174" t="s">
        <v>71</v>
      </c>
      <c r="M600" s="131" t="s">
        <v>72</v>
      </c>
      <c r="N600" s="130" t="s">
        <v>73</v>
      </c>
      <c r="O600" s="219" t="s">
        <v>69</v>
      </c>
      <c r="P600" s="130" t="s">
        <v>1699</v>
      </c>
      <c r="Q600" s="132" t="s">
        <v>93</v>
      </c>
      <c r="R600" s="218">
        <v>3.391</v>
      </c>
      <c r="S600" s="129">
        <v>1</v>
      </c>
      <c r="T600" s="129">
        <v>234.85589999999996</v>
      </c>
      <c r="U600" s="129">
        <v>234.85589999999996</v>
      </c>
      <c r="V600" s="129">
        <v>42.274100000000033</v>
      </c>
      <c r="W600" s="129">
        <v>277.13</v>
      </c>
      <c r="X600" s="27">
        <f t="shared" si="177"/>
        <v>796.39635689999989</v>
      </c>
    </row>
    <row r="601" spans="1:24" x14ac:dyDescent="0.2">
      <c r="A601" s="220">
        <v>43795</v>
      </c>
      <c r="B601" s="130" t="s">
        <v>68</v>
      </c>
      <c r="C601" s="130" t="s">
        <v>102</v>
      </c>
      <c r="D601" s="130" t="s">
        <v>1788</v>
      </c>
      <c r="E601" s="130" t="s">
        <v>1359</v>
      </c>
      <c r="F601" s="130" t="s">
        <v>1787</v>
      </c>
      <c r="G601" s="220">
        <v>43767</v>
      </c>
      <c r="H601" s="130" t="s">
        <v>90</v>
      </c>
      <c r="I601" s="130" t="s">
        <v>91</v>
      </c>
      <c r="J601" s="130" t="s">
        <v>97</v>
      </c>
      <c r="K601" s="130" t="s">
        <v>98</v>
      </c>
      <c r="L601" s="174" t="s">
        <v>71</v>
      </c>
      <c r="M601" s="131" t="s">
        <v>72</v>
      </c>
      <c r="N601" s="130" t="s">
        <v>73</v>
      </c>
      <c r="O601" s="219" t="s">
        <v>99</v>
      </c>
      <c r="P601" s="130" t="s">
        <v>98</v>
      </c>
      <c r="Q601" s="132" t="s">
        <v>93</v>
      </c>
      <c r="R601" s="218">
        <v>3.391</v>
      </c>
      <c r="S601" s="129">
        <v>1</v>
      </c>
      <c r="T601" s="129">
        <v>162.25419999999997</v>
      </c>
      <c r="U601" s="129">
        <v>162.25419999999997</v>
      </c>
      <c r="V601" s="129">
        <v>29.205810000000021</v>
      </c>
      <c r="W601" s="129">
        <v>191.46001000000001</v>
      </c>
      <c r="X601" s="27">
        <f t="shared" si="177"/>
        <v>550.2039921999999</v>
      </c>
    </row>
    <row r="602" spans="1:24" x14ac:dyDescent="0.2">
      <c r="A602" s="220">
        <v>43795</v>
      </c>
      <c r="B602" s="130" t="s">
        <v>68</v>
      </c>
      <c r="C602" s="130" t="s">
        <v>102</v>
      </c>
      <c r="D602" s="130" t="s">
        <v>1788</v>
      </c>
      <c r="E602" s="130" t="s">
        <v>1359</v>
      </c>
      <c r="F602" s="130" t="s">
        <v>1787</v>
      </c>
      <c r="G602" s="220">
        <v>43767</v>
      </c>
      <c r="H602" s="130" t="s">
        <v>90</v>
      </c>
      <c r="I602" s="130" t="s">
        <v>91</v>
      </c>
      <c r="J602" s="130" t="s">
        <v>100</v>
      </c>
      <c r="K602" s="130" t="s">
        <v>101</v>
      </c>
      <c r="L602" s="174" t="s">
        <v>71</v>
      </c>
      <c r="M602" s="131" t="s">
        <v>72</v>
      </c>
      <c r="N602" s="130" t="s">
        <v>73</v>
      </c>
      <c r="O602" s="219" t="s">
        <v>72</v>
      </c>
      <c r="P602" s="130" t="s">
        <v>101</v>
      </c>
      <c r="Q602" s="132" t="s">
        <v>93</v>
      </c>
      <c r="R602" s="218">
        <v>3.391</v>
      </c>
      <c r="S602" s="129">
        <v>1</v>
      </c>
      <c r="T602" s="129">
        <v>135</v>
      </c>
      <c r="U602" s="129">
        <v>135</v>
      </c>
      <c r="V602" s="129">
        <v>24.3</v>
      </c>
      <c r="W602" s="129">
        <v>159.30000000000001</v>
      </c>
      <c r="X602" s="27">
        <f t="shared" si="177"/>
        <v>457.78500000000003</v>
      </c>
    </row>
    <row r="603" spans="1:24" x14ac:dyDescent="0.2">
      <c r="A603" s="220">
        <v>43795</v>
      </c>
      <c r="B603" s="130" t="s">
        <v>68</v>
      </c>
      <c r="C603" s="130" t="s">
        <v>102</v>
      </c>
      <c r="D603" s="130" t="s">
        <v>1788</v>
      </c>
      <c r="E603" s="130" t="s">
        <v>1359</v>
      </c>
      <c r="F603" s="130" t="s">
        <v>1787</v>
      </c>
      <c r="G603" s="220">
        <v>43767</v>
      </c>
      <c r="H603" s="130" t="s">
        <v>90</v>
      </c>
      <c r="I603" s="130" t="s">
        <v>91</v>
      </c>
      <c r="J603" s="130" t="s">
        <v>92</v>
      </c>
      <c r="K603" s="130" t="s">
        <v>113</v>
      </c>
      <c r="L603" s="174" t="s">
        <v>71</v>
      </c>
      <c r="M603" s="131" t="s">
        <v>72</v>
      </c>
      <c r="N603" s="130" t="s">
        <v>73</v>
      </c>
      <c r="O603" s="219" t="s">
        <v>69</v>
      </c>
      <c r="P603" s="130" t="s">
        <v>1699</v>
      </c>
      <c r="Q603" s="132" t="s">
        <v>93</v>
      </c>
      <c r="R603" s="218">
        <v>3.391</v>
      </c>
      <c r="S603" s="129">
        <v>1</v>
      </c>
      <c r="T603" s="129">
        <v>35</v>
      </c>
      <c r="U603" s="129">
        <v>35</v>
      </c>
      <c r="V603" s="129">
        <v>6.299998999999989</v>
      </c>
      <c r="W603" s="129">
        <v>41.299998999999985</v>
      </c>
      <c r="X603" s="27">
        <f t="shared" si="177"/>
        <v>118.685</v>
      </c>
    </row>
    <row r="604" spans="1:24" x14ac:dyDescent="0.2">
      <c r="A604" s="220">
        <v>43795</v>
      </c>
      <c r="B604" s="130" t="s">
        <v>68</v>
      </c>
      <c r="C604" s="130" t="s">
        <v>102</v>
      </c>
      <c r="D604" s="130" t="s">
        <v>1788</v>
      </c>
      <c r="E604" s="130" t="s">
        <v>1359</v>
      </c>
      <c r="F604" s="130" t="s">
        <v>1787</v>
      </c>
      <c r="G604" s="220">
        <v>43767</v>
      </c>
      <c r="H604" s="130" t="s">
        <v>90</v>
      </c>
      <c r="I604" s="130" t="s">
        <v>91</v>
      </c>
      <c r="J604" s="130" t="s">
        <v>132</v>
      </c>
      <c r="K604" s="130" t="s">
        <v>94</v>
      </c>
      <c r="L604" s="174" t="s">
        <v>71</v>
      </c>
      <c r="M604" s="131" t="s">
        <v>72</v>
      </c>
      <c r="N604" s="130" t="s">
        <v>73</v>
      </c>
      <c r="O604" s="219" t="s">
        <v>69</v>
      </c>
      <c r="P604" s="130" t="s">
        <v>1699</v>
      </c>
      <c r="Q604" s="132" t="s">
        <v>93</v>
      </c>
      <c r="R604" s="218">
        <v>3.391</v>
      </c>
      <c r="S604" s="129">
        <v>1</v>
      </c>
      <c r="T604" s="129">
        <v>45</v>
      </c>
      <c r="U604" s="129">
        <v>45</v>
      </c>
      <c r="V604" s="129">
        <v>8.0999980000000047</v>
      </c>
      <c r="W604" s="129">
        <v>53.099998000000006</v>
      </c>
      <c r="X604" s="27">
        <f t="shared" si="177"/>
        <v>152.595</v>
      </c>
    </row>
    <row r="605" spans="1:24" x14ac:dyDescent="0.2">
      <c r="A605" s="220">
        <v>43795</v>
      </c>
      <c r="B605" s="130" t="s">
        <v>68</v>
      </c>
      <c r="C605" s="130" t="s">
        <v>102</v>
      </c>
      <c r="D605" s="130" t="s">
        <v>1788</v>
      </c>
      <c r="E605" s="130" t="s">
        <v>1359</v>
      </c>
      <c r="F605" s="130" t="s">
        <v>1787</v>
      </c>
      <c r="G605" s="220">
        <v>43767</v>
      </c>
      <c r="H605" s="130" t="s">
        <v>90</v>
      </c>
      <c r="I605" s="130" t="s">
        <v>91</v>
      </c>
      <c r="J605" s="130" t="s">
        <v>70</v>
      </c>
      <c r="K605" s="130" t="s">
        <v>112</v>
      </c>
      <c r="L605" s="174" t="s">
        <v>71</v>
      </c>
      <c r="M605" s="131" t="s">
        <v>72</v>
      </c>
      <c r="N605" s="130" t="s">
        <v>73</v>
      </c>
      <c r="O605" s="219" t="s">
        <v>69</v>
      </c>
      <c r="P605" s="130" t="s">
        <v>1699</v>
      </c>
      <c r="Q605" s="132" t="s">
        <v>93</v>
      </c>
      <c r="R605" s="218">
        <v>3.391</v>
      </c>
      <c r="S605" s="129">
        <v>1</v>
      </c>
      <c r="T605" s="129">
        <v>30</v>
      </c>
      <c r="U605" s="129">
        <v>30</v>
      </c>
      <c r="V605" s="129">
        <v>5.4000019999999997</v>
      </c>
      <c r="W605" s="129">
        <v>35.400002000000001</v>
      </c>
      <c r="X605" s="27">
        <f t="shared" si="177"/>
        <v>101.73</v>
      </c>
    </row>
    <row r="606" spans="1:24" x14ac:dyDescent="0.2">
      <c r="A606" s="220">
        <v>43795</v>
      </c>
      <c r="B606" s="130" t="s">
        <v>68</v>
      </c>
      <c r="C606" s="130" t="s">
        <v>102</v>
      </c>
      <c r="D606" s="130" t="s">
        <v>1788</v>
      </c>
      <c r="E606" s="130" t="s">
        <v>1359</v>
      </c>
      <c r="F606" s="130" t="s">
        <v>1787</v>
      </c>
      <c r="G606" s="220">
        <v>43767</v>
      </c>
      <c r="H606" s="130" t="s">
        <v>90</v>
      </c>
      <c r="I606" s="130" t="s">
        <v>91</v>
      </c>
      <c r="J606" s="130" t="s">
        <v>95</v>
      </c>
      <c r="K606" s="130" t="s">
        <v>96</v>
      </c>
      <c r="L606" s="174" t="s">
        <v>71</v>
      </c>
      <c r="M606" s="131" t="s">
        <v>72</v>
      </c>
      <c r="N606" s="130" t="s">
        <v>73</v>
      </c>
      <c r="O606" s="219" t="s">
        <v>69</v>
      </c>
      <c r="P606" s="130" t="s">
        <v>1699</v>
      </c>
      <c r="Q606" s="132" t="s">
        <v>93</v>
      </c>
      <c r="R606" s="218">
        <v>3.391</v>
      </c>
      <c r="S606" s="129">
        <v>-1</v>
      </c>
      <c r="T606" s="129">
        <v>234.85589999999996</v>
      </c>
      <c r="U606" s="129">
        <v>-234.85589999999996</v>
      </c>
      <c r="V606" s="129">
        <v>-42.274100000000033</v>
      </c>
      <c r="W606" s="129">
        <v>-277.13</v>
      </c>
      <c r="X606" s="27">
        <f t="shared" si="177"/>
        <v>-796.39635689999989</v>
      </c>
    </row>
    <row r="607" spans="1:24" x14ac:dyDescent="0.2">
      <c r="A607" s="220">
        <v>43795</v>
      </c>
      <c r="B607" s="130" t="s">
        <v>68</v>
      </c>
      <c r="C607" s="130" t="s">
        <v>102</v>
      </c>
      <c r="D607" s="130" t="s">
        <v>1788</v>
      </c>
      <c r="E607" s="130" t="s">
        <v>1359</v>
      </c>
      <c r="F607" s="130" t="s">
        <v>1787</v>
      </c>
      <c r="G607" s="220">
        <v>43767</v>
      </c>
      <c r="H607" s="130" t="s">
        <v>90</v>
      </c>
      <c r="I607" s="130" t="s">
        <v>91</v>
      </c>
      <c r="J607" s="130" t="s">
        <v>104</v>
      </c>
      <c r="K607" s="130" t="s">
        <v>105</v>
      </c>
      <c r="L607" s="174" t="s">
        <v>71</v>
      </c>
      <c r="M607" s="131" t="s">
        <v>72</v>
      </c>
      <c r="N607" s="130" t="s">
        <v>73</v>
      </c>
      <c r="O607" s="219" t="s">
        <v>69</v>
      </c>
      <c r="P607" s="130" t="s">
        <v>1699</v>
      </c>
      <c r="Q607" s="132" t="s">
        <v>93</v>
      </c>
      <c r="R607" s="218">
        <v>3.391</v>
      </c>
      <c r="S607" s="129">
        <v>1</v>
      </c>
      <c r="T607" s="129">
        <v>0</v>
      </c>
      <c r="U607" s="129">
        <v>0</v>
      </c>
      <c r="V607" s="129">
        <v>0</v>
      </c>
      <c r="W607" s="129">
        <v>0</v>
      </c>
      <c r="X607" s="27">
        <f t="shared" si="177"/>
        <v>0</v>
      </c>
    </row>
    <row r="608" spans="1:24" x14ac:dyDescent="0.2">
      <c r="A608" s="220">
        <v>43796</v>
      </c>
      <c r="B608" s="130" t="s">
        <v>68</v>
      </c>
      <c r="C608" s="130" t="s">
        <v>102</v>
      </c>
      <c r="D608" s="130" t="s">
        <v>1786</v>
      </c>
      <c r="E608" s="130" t="s">
        <v>1387</v>
      </c>
      <c r="F608" s="130" t="s">
        <v>1782</v>
      </c>
      <c r="G608" s="220">
        <v>43787</v>
      </c>
      <c r="H608" s="130" t="s">
        <v>1785</v>
      </c>
      <c r="I608" s="130" t="s">
        <v>1784</v>
      </c>
      <c r="J608" s="130" t="s">
        <v>95</v>
      </c>
      <c r="K608" s="130" t="s">
        <v>96</v>
      </c>
      <c r="L608" s="174" t="s">
        <v>71</v>
      </c>
      <c r="M608" s="131" t="s">
        <v>72</v>
      </c>
      <c r="N608" s="130" t="s">
        <v>73</v>
      </c>
      <c r="O608" s="219" t="s">
        <v>69</v>
      </c>
      <c r="P608" s="130" t="s">
        <v>1699</v>
      </c>
      <c r="Q608" s="132" t="s">
        <v>93</v>
      </c>
      <c r="R608" s="218">
        <v>3.3849999999999998</v>
      </c>
      <c r="S608" s="129">
        <v>1</v>
      </c>
      <c r="T608" s="129">
        <v>133.51691</v>
      </c>
      <c r="U608" s="129">
        <v>133.51691</v>
      </c>
      <c r="V608" s="129">
        <v>24.033090000000012</v>
      </c>
      <c r="W608" s="129">
        <v>157.55000000000001</v>
      </c>
      <c r="X608" s="27">
        <f t="shared" si="177"/>
        <v>451.95474034999995</v>
      </c>
    </row>
    <row r="609" spans="1:24" x14ac:dyDescent="0.2">
      <c r="A609" s="220">
        <v>43796</v>
      </c>
      <c r="B609" s="130" t="s">
        <v>68</v>
      </c>
      <c r="C609" s="130" t="s">
        <v>102</v>
      </c>
      <c r="D609" s="130" t="s">
        <v>1783</v>
      </c>
      <c r="E609" s="130" t="s">
        <v>1387</v>
      </c>
      <c r="F609" s="130" t="s">
        <v>1782</v>
      </c>
      <c r="G609" s="220">
        <v>43787</v>
      </c>
      <c r="H609" s="130" t="s">
        <v>90</v>
      </c>
      <c r="I609" s="130" t="s">
        <v>91</v>
      </c>
      <c r="J609" s="130" t="s">
        <v>97</v>
      </c>
      <c r="K609" s="130" t="s">
        <v>98</v>
      </c>
      <c r="L609" s="174" t="s">
        <v>71</v>
      </c>
      <c r="M609" s="131" t="s">
        <v>72</v>
      </c>
      <c r="N609" s="130" t="s">
        <v>73</v>
      </c>
      <c r="O609" s="219" t="s">
        <v>99</v>
      </c>
      <c r="P609" s="130" t="s">
        <v>98</v>
      </c>
      <c r="Q609" s="132" t="s">
        <v>93</v>
      </c>
      <c r="R609" s="218">
        <v>3.3849999999999998</v>
      </c>
      <c r="S609" s="129">
        <v>1</v>
      </c>
      <c r="T609" s="129">
        <v>265.5</v>
      </c>
      <c r="U609" s="129">
        <v>265.5</v>
      </c>
      <c r="V609" s="129">
        <v>47.790010000000002</v>
      </c>
      <c r="W609" s="129">
        <v>313.29001</v>
      </c>
      <c r="X609" s="27">
        <f t="shared" si="177"/>
        <v>898.71749999999997</v>
      </c>
    </row>
    <row r="610" spans="1:24" x14ac:dyDescent="0.2">
      <c r="A610" s="220">
        <v>43796</v>
      </c>
      <c r="B610" s="130" t="s">
        <v>68</v>
      </c>
      <c r="C610" s="130" t="s">
        <v>102</v>
      </c>
      <c r="D610" s="130" t="s">
        <v>1783</v>
      </c>
      <c r="E610" s="130" t="s">
        <v>1387</v>
      </c>
      <c r="F610" s="130" t="s">
        <v>1782</v>
      </c>
      <c r="G610" s="220">
        <v>43787</v>
      </c>
      <c r="H610" s="130" t="s">
        <v>90</v>
      </c>
      <c r="I610" s="130" t="s">
        <v>91</v>
      </c>
      <c r="J610" s="130" t="s">
        <v>100</v>
      </c>
      <c r="K610" s="130" t="s">
        <v>101</v>
      </c>
      <c r="L610" s="174" t="s">
        <v>71</v>
      </c>
      <c r="M610" s="131" t="s">
        <v>72</v>
      </c>
      <c r="N610" s="130" t="s">
        <v>73</v>
      </c>
      <c r="O610" s="219" t="s">
        <v>72</v>
      </c>
      <c r="P610" s="130" t="s">
        <v>101</v>
      </c>
      <c r="Q610" s="132" t="s">
        <v>93</v>
      </c>
      <c r="R610" s="218">
        <v>3.3849999999999998</v>
      </c>
      <c r="S610" s="129">
        <v>1</v>
      </c>
      <c r="T610" s="129">
        <v>135</v>
      </c>
      <c r="U610" s="129">
        <v>135</v>
      </c>
      <c r="V610" s="129">
        <v>24.3</v>
      </c>
      <c r="W610" s="129">
        <v>159.30000000000001</v>
      </c>
      <c r="X610" s="27">
        <f t="shared" si="177"/>
        <v>456.97499999999997</v>
      </c>
    </row>
    <row r="611" spans="1:24" x14ac:dyDescent="0.2">
      <c r="A611" s="220">
        <v>43796</v>
      </c>
      <c r="B611" s="130" t="s">
        <v>68</v>
      </c>
      <c r="C611" s="130" t="s">
        <v>102</v>
      </c>
      <c r="D611" s="130" t="s">
        <v>1783</v>
      </c>
      <c r="E611" s="130" t="s">
        <v>1387</v>
      </c>
      <c r="F611" s="130" t="s">
        <v>1782</v>
      </c>
      <c r="G611" s="220">
        <v>43787</v>
      </c>
      <c r="H611" s="130" t="s">
        <v>90</v>
      </c>
      <c r="I611" s="130" t="s">
        <v>91</v>
      </c>
      <c r="J611" s="130" t="s">
        <v>92</v>
      </c>
      <c r="K611" s="130" t="s">
        <v>113</v>
      </c>
      <c r="L611" s="174" t="s">
        <v>71</v>
      </c>
      <c r="M611" s="131" t="s">
        <v>72</v>
      </c>
      <c r="N611" s="130" t="s">
        <v>73</v>
      </c>
      <c r="O611" s="219" t="s">
        <v>69</v>
      </c>
      <c r="P611" s="130" t="s">
        <v>1699</v>
      </c>
      <c r="Q611" s="132" t="s">
        <v>93</v>
      </c>
      <c r="R611" s="218">
        <v>3.3849999999999998</v>
      </c>
      <c r="S611" s="129">
        <v>1</v>
      </c>
      <c r="T611" s="129">
        <v>15</v>
      </c>
      <c r="U611" s="129">
        <v>15</v>
      </c>
      <c r="V611" s="129">
        <v>2.7000009999999999</v>
      </c>
      <c r="W611" s="129">
        <v>17.700001</v>
      </c>
      <c r="X611" s="27">
        <f t="shared" si="177"/>
        <v>50.774999999999999</v>
      </c>
    </row>
    <row r="612" spans="1:24" x14ac:dyDescent="0.2">
      <c r="A612" s="220">
        <v>43796</v>
      </c>
      <c r="B612" s="130" t="s">
        <v>68</v>
      </c>
      <c r="C612" s="130" t="s">
        <v>102</v>
      </c>
      <c r="D612" s="130" t="s">
        <v>1783</v>
      </c>
      <c r="E612" s="130" t="s">
        <v>1387</v>
      </c>
      <c r="F612" s="130" t="s">
        <v>1782</v>
      </c>
      <c r="G612" s="220">
        <v>43787</v>
      </c>
      <c r="H612" s="130" t="s">
        <v>90</v>
      </c>
      <c r="I612" s="130" t="s">
        <v>91</v>
      </c>
      <c r="J612" s="130" t="s">
        <v>95</v>
      </c>
      <c r="K612" s="130" t="s">
        <v>96</v>
      </c>
      <c r="L612" s="174" t="s">
        <v>71</v>
      </c>
      <c r="M612" s="131" t="s">
        <v>72</v>
      </c>
      <c r="N612" s="130" t="s">
        <v>73</v>
      </c>
      <c r="O612" s="219" t="s">
        <v>69</v>
      </c>
      <c r="P612" s="130" t="s">
        <v>1699</v>
      </c>
      <c r="Q612" s="132" t="s">
        <v>93</v>
      </c>
      <c r="R612" s="218">
        <v>3.3849999999999998</v>
      </c>
      <c r="S612" s="129">
        <v>-1</v>
      </c>
      <c r="T612" s="129">
        <v>133.51691</v>
      </c>
      <c r="U612" s="129">
        <v>-133.51691</v>
      </c>
      <c r="V612" s="129">
        <v>-24.033090000000012</v>
      </c>
      <c r="W612" s="129">
        <v>-157.55000000000001</v>
      </c>
      <c r="X612" s="27">
        <f t="shared" si="177"/>
        <v>-451.95474034999995</v>
      </c>
    </row>
    <row r="613" spans="1:24" x14ac:dyDescent="0.2">
      <c r="A613" s="220">
        <v>43796</v>
      </c>
      <c r="B613" s="130" t="s">
        <v>68</v>
      </c>
      <c r="C613" s="130" t="s">
        <v>102</v>
      </c>
      <c r="D613" s="130" t="s">
        <v>1783</v>
      </c>
      <c r="E613" s="130" t="s">
        <v>1387</v>
      </c>
      <c r="F613" s="130" t="s">
        <v>1782</v>
      </c>
      <c r="G613" s="220">
        <v>43787</v>
      </c>
      <c r="H613" s="130" t="s">
        <v>90</v>
      </c>
      <c r="I613" s="130" t="s">
        <v>91</v>
      </c>
      <c r="J613" s="130" t="s">
        <v>104</v>
      </c>
      <c r="K613" s="130" t="s">
        <v>105</v>
      </c>
      <c r="L613" s="174" t="s">
        <v>71</v>
      </c>
      <c r="M613" s="131" t="s">
        <v>72</v>
      </c>
      <c r="N613" s="130" t="s">
        <v>73</v>
      </c>
      <c r="O613" s="219" t="s">
        <v>69</v>
      </c>
      <c r="P613" s="130" t="s">
        <v>1699</v>
      </c>
      <c r="Q613" s="132" t="s">
        <v>93</v>
      </c>
      <c r="R613" s="218">
        <v>3.3849999999999998</v>
      </c>
      <c r="S613" s="129">
        <v>1</v>
      </c>
      <c r="T613" s="129">
        <v>0</v>
      </c>
      <c r="U613" s="129">
        <v>0</v>
      </c>
      <c r="V613" s="129">
        <v>0</v>
      </c>
      <c r="W613" s="129">
        <v>0</v>
      </c>
      <c r="X613" s="27">
        <f t="shared" si="177"/>
        <v>0</v>
      </c>
    </row>
    <row r="614" spans="1:24" x14ac:dyDescent="0.2">
      <c r="A614" s="220">
        <v>43797</v>
      </c>
      <c r="B614" s="130" t="s">
        <v>68</v>
      </c>
      <c r="C614" s="130" t="s">
        <v>102</v>
      </c>
      <c r="D614" s="130" t="s">
        <v>707</v>
      </c>
      <c r="E614" s="130" t="s">
        <v>1396</v>
      </c>
      <c r="F614" s="130" t="s">
        <v>1460</v>
      </c>
      <c r="G614" s="220">
        <v>43748</v>
      </c>
      <c r="H614" s="130" t="s">
        <v>1781</v>
      </c>
      <c r="I614" s="130" t="s">
        <v>1780</v>
      </c>
      <c r="J614" s="130" t="s">
        <v>95</v>
      </c>
      <c r="K614" s="130" t="s">
        <v>96</v>
      </c>
      <c r="L614" s="174" t="s">
        <v>71</v>
      </c>
      <c r="M614" s="131" t="s">
        <v>72</v>
      </c>
      <c r="N614" s="130" t="s">
        <v>73</v>
      </c>
      <c r="O614" s="219" t="s">
        <v>69</v>
      </c>
      <c r="P614" s="130" t="s">
        <v>1699</v>
      </c>
      <c r="Q614" s="132" t="s">
        <v>93</v>
      </c>
      <c r="R614" s="218">
        <v>3.3940001</v>
      </c>
      <c r="S614" s="129">
        <v>1</v>
      </c>
      <c r="T614" s="129">
        <v>150</v>
      </c>
      <c r="U614" s="129">
        <v>150</v>
      </c>
      <c r="V614" s="129">
        <v>27</v>
      </c>
      <c r="W614" s="129">
        <v>177</v>
      </c>
      <c r="X614" s="27">
        <f t="shared" si="177"/>
        <v>509.10001499999998</v>
      </c>
    </row>
    <row r="615" spans="1:24" x14ac:dyDescent="0.2">
      <c r="A615" s="220">
        <v>43797</v>
      </c>
      <c r="B615" s="130" t="s">
        <v>68</v>
      </c>
      <c r="C615" s="130" t="s">
        <v>102</v>
      </c>
      <c r="D615" s="130" t="s">
        <v>706</v>
      </c>
      <c r="E615" s="130" t="s">
        <v>1396</v>
      </c>
      <c r="F615" s="130" t="s">
        <v>1460</v>
      </c>
      <c r="G615" s="220">
        <v>43748</v>
      </c>
      <c r="H615" s="130" t="s">
        <v>90</v>
      </c>
      <c r="I615" s="130" t="s">
        <v>91</v>
      </c>
      <c r="J615" s="130" t="s">
        <v>100</v>
      </c>
      <c r="K615" s="130" t="s">
        <v>101</v>
      </c>
      <c r="L615" s="174" t="s">
        <v>71</v>
      </c>
      <c r="M615" s="131" t="s">
        <v>72</v>
      </c>
      <c r="N615" s="130" t="s">
        <v>73</v>
      </c>
      <c r="O615" s="219" t="s">
        <v>72</v>
      </c>
      <c r="P615" s="130" t="s">
        <v>101</v>
      </c>
      <c r="Q615" s="132" t="s">
        <v>93</v>
      </c>
      <c r="R615" s="218">
        <v>3.3940001</v>
      </c>
      <c r="S615" s="129">
        <v>1</v>
      </c>
      <c r="T615" s="129">
        <v>90</v>
      </c>
      <c r="U615" s="129">
        <v>90</v>
      </c>
      <c r="V615" s="129">
        <v>16.2</v>
      </c>
      <c r="W615" s="129">
        <v>106.2</v>
      </c>
      <c r="X615" s="27">
        <f t="shared" si="177"/>
        <v>305.46000900000001</v>
      </c>
    </row>
    <row r="616" spans="1:24" x14ac:dyDescent="0.2">
      <c r="A616" s="220">
        <v>43797</v>
      </c>
      <c r="B616" s="130" t="s">
        <v>68</v>
      </c>
      <c r="C616" s="130" t="s">
        <v>102</v>
      </c>
      <c r="D616" s="130" t="s">
        <v>706</v>
      </c>
      <c r="E616" s="130" t="s">
        <v>1396</v>
      </c>
      <c r="F616" s="130" t="s">
        <v>1460</v>
      </c>
      <c r="G616" s="220">
        <v>43748</v>
      </c>
      <c r="H616" s="130" t="s">
        <v>90</v>
      </c>
      <c r="I616" s="130" t="s">
        <v>91</v>
      </c>
      <c r="J616" s="130" t="s">
        <v>92</v>
      </c>
      <c r="K616" s="130" t="s">
        <v>113</v>
      </c>
      <c r="L616" s="174" t="s">
        <v>71</v>
      </c>
      <c r="M616" s="131" t="s">
        <v>72</v>
      </c>
      <c r="N616" s="130" t="s">
        <v>73</v>
      </c>
      <c r="O616" s="219" t="s">
        <v>69</v>
      </c>
      <c r="P616" s="130" t="s">
        <v>1699</v>
      </c>
      <c r="Q616" s="132" t="s">
        <v>93</v>
      </c>
      <c r="R616" s="218">
        <v>3.3940001</v>
      </c>
      <c r="S616" s="129">
        <v>1</v>
      </c>
      <c r="T616" s="129">
        <v>135</v>
      </c>
      <c r="U616" s="129">
        <v>135</v>
      </c>
      <c r="V616" s="129">
        <v>24.3</v>
      </c>
      <c r="W616" s="129">
        <v>159.30000000000001</v>
      </c>
      <c r="X616" s="27">
        <f t="shared" si="177"/>
        <v>458.19001350000002</v>
      </c>
    </row>
    <row r="617" spans="1:24" x14ac:dyDescent="0.2">
      <c r="A617" s="220">
        <v>43797</v>
      </c>
      <c r="B617" s="130" t="s">
        <v>68</v>
      </c>
      <c r="C617" s="130" t="s">
        <v>102</v>
      </c>
      <c r="D617" s="130" t="s">
        <v>706</v>
      </c>
      <c r="E617" s="130" t="s">
        <v>1396</v>
      </c>
      <c r="F617" s="130" t="s">
        <v>1460</v>
      </c>
      <c r="G617" s="220">
        <v>43748</v>
      </c>
      <c r="H617" s="130" t="s">
        <v>90</v>
      </c>
      <c r="I617" s="130" t="s">
        <v>91</v>
      </c>
      <c r="J617" s="130" t="s">
        <v>70</v>
      </c>
      <c r="K617" s="130" t="s">
        <v>112</v>
      </c>
      <c r="L617" s="174" t="s">
        <v>71</v>
      </c>
      <c r="M617" s="131" t="s">
        <v>72</v>
      </c>
      <c r="N617" s="130" t="s">
        <v>73</v>
      </c>
      <c r="O617" s="219" t="s">
        <v>69</v>
      </c>
      <c r="P617" s="130" t="s">
        <v>1699</v>
      </c>
      <c r="Q617" s="132" t="s">
        <v>93</v>
      </c>
      <c r="R617" s="218">
        <v>3.3940001</v>
      </c>
      <c r="S617" s="129">
        <v>1</v>
      </c>
      <c r="T617" s="129">
        <v>15</v>
      </c>
      <c r="U617" s="129">
        <v>15</v>
      </c>
      <c r="V617" s="129">
        <v>2.7000009999999999</v>
      </c>
      <c r="W617" s="129">
        <v>17.700001</v>
      </c>
      <c r="X617" s="27">
        <f t="shared" si="177"/>
        <v>50.9100015</v>
      </c>
    </row>
    <row r="618" spans="1:24" x14ac:dyDescent="0.2">
      <c r="A618" s="220">
        <v>43797</v>
      </c>
      <c r="B618" s="130" t="s">
        <v>68</v>
      </c>
      <c r="C618" s="130" t="s">
        <v>102</v>
      </c>
      <c r="D618" s="130" t="s">
        <v>706</v>
      </c>
      <c r="E618" s="130" t="s">
        <v>1396</v>
      </c>
      <c r="F618" s="130" t="s">
        <v>1460</v>
      </c>
      <c r="G618" s="220">
        <v>43748</v>
      </c>
      <c r="H618" s="130" t="s">
        <v>90</v>
      </c>
      <c r="I618" s="130" t="s">
        <v>91</v>
      </c>
      <c r="J618" s="130" t="s">
        <v>95</v>
      </c>
      <c r="K618" s="130" t="s">
        <v>96</v>
      </c>
      <c r="L618" s="174" t="s">
        <v>71</v>
      </c>
      <c r="M618" s="131" t="s">
        <v>72</v>
      </c>
      <c r="N618" s="130" t="s">
        <v>73</v>
      </c>
      <c r="O618" s="219" t="s">
        <v>69</v>
      </c>
      <c r="P618" s="130" t="s">
        <v>1699</v>
      </c>
      <c r="Q618" s="132" t="s">
        <v>93</v>
      </c>
      <c r="R618" s="218">
        <v>3.3940001</v>
      </c>
      <c r="S618" s="129">
        <v>-1</v>
      </c>
      <c r="T618" s="129">
        <v>150</v>
      </c>
      <c r="U618" s="129">
        <v>-150</v>
      </c>
      <c r="V618" s="129">
        <v>-27</v>
      </c>
      <c r="W618" s="129">
        <v>-177</v>
      </c>
      <c r="X618" s="27">
        <f t="shared" si="177"/>
        <v>-509.10001499999998</v>
      </c>
    </row>
    <row r="619" spans="1:24" x14ac:dyDescent="0.2">
      <c r="A619" s="220">
        <v>43797</v>
      </c>
      <c r="B619" s="130" t="s">
        <v>68</v>
      </c>
      <c r="C619" s="130" t="s">
        <v>102</v>
      </c>
      <c r="D619" s="130" t="s">
        <v>706</v>
      </c>
      <c r="E619" s="130" t="s">
        <v>1396</v>
      </c>
      <c r="F619" s="130" t="s">
        <v>1460</v>
      </c>
      <c r="G619" s="220">
        <v>43748</v>
      </c>
      <c r="H619" s="130" t="s">
        <v>90</v>
      </c>
      <c r="I619" s="130" t="s">
        <v>91</v>
      </c>
      <c r="J619" s="130" t="s">
        <v>104</v>
      </c>
      <c r="K619" s="130" t="s">
        <v>105</v>
      </c>
      <c r="L619" s="174" t="s">
        <v>71</v>
      </c>
      <c r="M619" s="131" t="s">
        <v>72</v>
      </c>
      <c r="N619" s="130" t="s">
        <v>73</v>
      </c>
      <c r="O619" s="219" t="s">
        <v>69</v>
      </c>
      <c r="P619" s="130" t="s">
        <v>1699</v>
      </c>
      <c r="Q619" s="132" t="s">
        <v>93</v>
      </c>
      <c r="R619" s="218">
        <v>3.3940001</v>
      </c>
      <c r="S619" s="129">
        <v>1</v>
      </c>
      <c r="T619" s="129">
        <v>0</v>
      </c>
      <c r="U619" s="129">
        <v>0</v>
      </c>
      <c r="V619" s="129">
        <v>0</v>
      </c>
      <c r="W619" s="129">
        <v>0</v>
      </c>
      <c r="X619" s="27">
        <f t="shared" si="177"/>
        <v>0</v>
      </c>
    </row>
    <row r="620" spans="1:24" x14ac:dyDescent="0.2">
      <c r="A620" s="220">
        <v>43798</v>
      </c>
      <c r="B620" s="130" t="s">
        <v>68</v>
      </c>
      <c r="C620" s="130" t="s">
        <v>102</v>
      </c>
      <c r="D620" s="130" t="s">
        <v>1779</v>
      </c>
      <c r="E620" s="130" t="s">
        <v>1404</v>
      </c>
      <c r="F620" s="130" t="s">
        <v>1769</v>
      </c>
      <c r="G620" s="220">
        <v>43790</v>
      </c>
      <c r="H620" s="130" t="s">
        <v>1778</v>
      </c>
      <c r="I620" s="130" t="s">
        <v>1777</v>
      </c>
      <c r="J620" s="130" t="s">
        <v>95</v>
      </c>
      <c r="K620" s="130" t="s">
        <v>96</v>
      </c>
      <c r="L620" s="174" t="s">
        <v>71</v>
      </c>
      <c r="M620" s="131" t="s">
        <v>72</v>
      </c>
      <c r="N620" s="130" t="s">
        <v>73</v>
      </c>
      <c r="O620" s="219" t="s">
        <v>69</v>
      </c>
      <c r="P620" s="130" t="s">
        <v>1699</v>
      </c>
      <c r="Q620" s="132" t="s">
        <v>93</v>
      </c>
      <c r="R620" s="218">
        <v>3.3900001</v>
      </c>
      <c r="S620" s="129">
        <v>1</v>
      </c>
      <c r="T620" s="129">
        <v>301.54239000000001</v>
      </c>
      <c r="U620" s="129">
        <v>301.54239000000007</v>
      </c>
      <c r="V620" s="129">
        <v>54.277620000000098</v>
      </c>
      <c r="W620" s="129">
        <v>355.82001000000014</v>
      </c>
      <c r="X620" s="27">
        <f t="shared" si="177"/>
        <v>1022.2287322542393</v>
      </c>
    </row>
    <row r="621" spans="1:24" x14ac:dyDescent="0.2">
      <c r="A621" s="220">
        <v>43798</v>
      </c>
      <c r="B621" s="130" t="s">
        <v>68</v>
      </c>
      <c r="C621" s="130" t="s">
        <v>102</v>
      </c>
      <c r="D621" s="130" t="s">
        <v>1495</v>
      </c>
      <c r="E621" s="130" t="s">
        <v>1243</v>
      </c>
      <c r="F621" s="130" t="s">
        <v>1244</v>
      </c>
      <c r="G621" s="220">
        <v>43777</v>
      </c>
      <c r="H621" s="130" t="s">
        <v>1145</v>
      </c>
      <c r="I621" s="130" t="s">
        <v>1146</v>
      </c>
      <c r="J621" s="130" t="s">
        <v>97</v>
      </c>
      <c r="K621" s="130" t="s">
        <v>98</v>
      </c>
      <c r="L621" s="174" t="s">
        <v>71</v>
      </c>
      <c r="M621" s="131" t="s">
        <v>72</v>
      </c>
      <c r="N621" s="130" t="s">
        <v>73</v>
      </c>
      <c r="O621" s="219" t="s">
        <v>99</v>
      </c>
      <c r="P621" s="130" t="s">
        <v>98</v>
      </c>
      <c r="Q621" s="132" t="s">
        <v>74</v>
      </c>
      <c r="R621" s="218">
        <v>3.3900001</v>
      </c>
      <c r="S621" s="129">
        <v>1</v>
      </c>
      <c r="T621" s="129">
        <v>2565</v>
      </c>
      <c r="U621" s="129">
        <v>2565</v>
      </c>
      <c r="V621" s="129">
        <v>461.7</v>
      </c>
      <c r="W621" s="129">
        <v>3026.7</v>
      </c>
      <c r="X621" s="27">
        <f t="shared" si="177"/>
        <v>2565</v>
      </c>
    </row>
    <row r="622" spans="1:24" x14ac:dyDescent="0.2">
      <c r="A622" s="220">
        <v>43798</v>
      </c>
      <c r="B622" s="130" t="s">
        <v>68</v>
      </c>
      <c r="C622" s="130" t="s">
        <v>102</v>
      </c>
      <c r="D622" s="130" t="s">
        <v>1495</v>
      </c>
      <c r="E622" s="130" t="s">
        <v>1243</v>
      </c>
      <c r="F622" s="130" t="s">
        <v>1244</v>
      </c>
      <c r="G622" s="220">
        <v>43777</v>
      </c>
      <c r="H622" s="130" t="s">
        <v>1145</v>
      </c>
      <c r="I622" s="130" t="s">
        <v>1146</v>
      </c>
      <c r="J622" s="130" t="s">
        <v>100</v>
      </c>
      <c r="K622" s="130" t="s">
        <v>101</v>
      </c>
      <c r="L622" s="174" t="s">
        <v>71</v>
      </c>
      <c r="M622" s="131" t="s">
        <v>72</v>
      </c>
      <c r="N622" s="130" t="s">
        <v>73</v>
      </c>
      <c r="O622" s="219" t="s">
        <v>72</v>
      </c>
      <c r="P622" s="130" t="s">
        <v>101</v>
      </c>
      <c r="Q622" s="132" t="s">
        <v>74</v>
      </c>
      <c r="R622" s="218">
        <v>3.3900001</v>
      </c>
      <c r="S622" s="129">
        <v>1</v>
      </c>
      <c r="T622" s="129">
        <v>1960</v>
      </c>
      <c r="U622" s="129">
        <v>1960</v>
      </c>
      <c r="V622" s="129">
        <v>352.8</v>
      </c>
      <c r="W622" s="129">
        <v>2312.8000000000002</v>
      </c>
      <c r="X622" s="27">
        <f t="shared" si="177"/>
        <v>1960</v>
      </c>
    </row>
    <row r="623" spans="1:24" x14ac:dyDescent="0.2">
      <c r="A623" s="220">
        <v>43798</v>
      </c>
      <c r="B623" s="130" t="s">
        <v>68</v>
      </c>
      <c r="C623" s="130" t="s">
        <v>102</v>
      </c>
      <c r="D623" s="130" t="s">
        <v>1495</v>
      </c>
      <c r="E623" s="130" t="s">
        <v>1243</v>
      </c>
      <c r="F623" s="130" t="s">
        <v>1244</v>
      </c>
      <c r="G623" s="220">
        <v>43777</v>
      </c>
      <c r="H623" s="130" t="s">
        <v>1145</v>
      </c>
      <c r="I623" s="130" t="s">
        <v>1146</v>
      </c>
      <c r="J623" s="130" t="s">
        <v>92</v>
      </c>
      <c r="K623" s="130" t="s">
        <v>113</v>
      </c>
      <c r="L623" s="174" t="s">
        <v>71</v>
      </c>
      <c r="M623" s="131" t="s">
        <v>72</v>
      </c>
      <c r="N623" s="130" t="s">
        <v>73</v>
      </c>
      <c r="O623" s="219" t="s">
        <v>69</v>
      </c>
      <c r="P623" s="130" t="s">
        <v>1699</v>
      </c>
      <c r="Q623" s="132" t="s">
        <v>74</v>
      </c>
      <c r="R623" s="218">
        <v>3.3900001</v>
      </c>
      <c r="S623" s="129">
        <v>1</v>
      </c>
      <c r="T623" s="129">
        <v>985</v>
      </c>
      <c r="U623" s="129">
        <v>985</v>
      </c>
      <c r="V623" s="129">
        <v>177.3</v>
      </c>
      <c r="W623" s="129">
        <v>1162.3</v>
      </c>
      <c r="X623" s="27">
        <f t="shared" si="177"/>
        <v>985</v>
      </c>
    </row>
    <row r="624" spans="1:24" x14ac:dyDescent="0.2">
      <c r="A624" s="220">
        <v>43798</v>
      </c>
      <c r="B624" s="130" t="s">
        <v>68</v>
      </c>
      <c r="C624" s="130" t="s">
        <v>102</v>
      </c>
      <c r="D624" s="130" t="s">
        <v>1495</v>
      </c>
      <c r="E624" s="130" t="s">
        <v>1243</v>
      </c>
      <c r="F624" s="130" t="s">
        <v>1244</v>
      </c>
      <c r="G624" s="220">
        <v>43777</v>
      </c>
      <c r="H624" s="130" t="s">
        <v>1145</v>
      </c>
      <c r="I624" s="130" t="s">
        <v>1146</v>
      </c>
      <c r="J624" s="130" t="s">
        <v>132</v>
      </c>
      <c r="K624" s="130" t="s">
        <v>133</v>
      </c>
      <c r="L624" s="174" t="s">
        <v>71</v>
      </c>
      <c r="M624" s="131" t="s">
        <v>72</v>
      </c>
      <c r="N624" s="130" t="s">
        <v>73</v>
      </c>
      <c r="O624" s="219" t="s">
        <v>69</v>
      </c>
      <c r="P624" s="130" t="s">
        <v>1699</v>
      </c>
      <c r="Q624" s="132" t="s">
        <v>74</v>
      </c>
      <c r="R624" s="218">
        <v>3.3900001</v>
      </c>
      <c r="S624" s="129">
        <v>1</v>
      </c>
      <c r="T624" s="129">
        <v>3070</v>
      </c>
      <c r="U624" s="129">
        <v>3070</v>
      </c>
      <c r="V624" s="129">
        <v>552.60010000000011</v>
      </c>
      <c r="W624" s="129">
        <v>3622.6001000000001</v>
      </c>
      <c r="X624" s="27">
        <f t="shared" si="177"/>
        <v>3070</v>
      </c>
    </row>
    <row r="625" spans="1:24" x14ac:dyDescent="0.2">
      <c r="A625" s="220">
        <v>43798</v>
      </c>
      <c r="B625" s="130" t="s">
        <v>68</v>
      </c>
      <c r="C625" s="130" t="s">
        <v>102</v>
      </c>
      <c r="D625" s="130" t="s">
        <v>1495</v>
      </c>
      <c r="E625" s="130" t="s">
        <v>1243</v>
      </c>
      <c r="F625" s="130" t="s">
        <v>1244</v>
      </c>
      <c r="G625" s="220">
        <v>43777</v>
      </c>
      <c r="H625" s="130" t="s">
        <v>1145</v>
      </c>
      <c r="I625" s="130" t="s">
        <v>1146</v>
      </c>
      <c r="J625" s="130" t="s">
        <v>139</v>
      </c>
      <c r="K625" s="130" t="s">
        <v>1776</v>
      </c>
      <c r="L625" s="174" t="s">
        <v>71</v>
      </c>
      <c r="M625" s="131" t="s">
        <v>72</v>
      </c>
      <c r="N625" s="130" t="s">
        <v>73</v>
      </c>
      <c r="O625" s="219" t="s">
        <v>69</v>
      </c>
      <c r="P625" s="130" t="s">
        <v>1699</v>
      </c>
      <c r="Q625" s="132" t="s">
        <v>74</v>
      </c>
      <c r="R625" s="218">
        <v>3.3900001</v>
      </c>
      <c r="S625" s="129">
        <v>1</v>
      </c>
      <c r="T625" s="129">
        <v>70</v>
      </c>
      <c r="U625" s="129">
        <v>70</v>
      </c>
      <c r="V625" s="129">
        <v>12.599997999999978</v>
      </c>
      <c r="W625" s="129">
        <v>82.599997999999971</v>
      </c>
      <c r="X625" s="27">
        <f t="shared" si="177"/>
        <v>70</v>
      </c>
    </row>
    <row r="626" spans="1:24" x14ac:dyDescent="0.2">
      <c r="A626" s="220">
        <v>43798</v>
      </c>
      <c r="B626" s="130" t="s">
        <v>68</v>
      </c>
      <c r="C626" s="130" t="s">
        <v>102</v>
      </c>
      <c r="D626" s="130" t="s">
        <v>1495</v>
      </c>
      <c r="E626" s="130" t="s">
        <v>1243</v>
      </c>
      <c r="F626" s="130" t="s">
        <v>1244</v>
      </c>
      <c r="G626" s="220">
        <v>43777</v>
      </c>
      <c r="H626" s="130" t="s">
        <v>1145</v>
      </c>
      <c r="I626" s="130" t="s">
        <v>1146</v>
      </c>
      <c r="J626" s="130" t="s">
        <v>70</v>
      </c>
      <c r="K626" s="130" t="s">
        <v>112</v>
      </c>
      <c r="L626" s="174" t="s">
        <v>71</v>
      </c>
      <c r="M626" s="131" t="s">
        <v>72</v>
      </c>
      <c r="N626" s="130" t="s">
        <v>73</v>
      </c>
      <c r="O626" s="219" t="s">
        <v>69</v>
      </c>
      <c r="P626" s="130" t="s">
        <v>1699</v>
      </c>
      <c r="Q626" s="132" t="s">
        <v>74</v>
      </c>
      <c r="R626" s="218">
        <v>3.3900001</v>
      </c>
      <c r="S626" s="129">
        <v>1</v>
      </c>
      <c r="T626" s="129">
        <v>673.75420999999972</v>
      </c>
      <c r="U626" s="129">
        <v>673.75420999999972</v>
      </c>
      <c r="V626" s="129">
        <v>121.27582000000038</v>
      </c>
      <c r="W626" s="129">
        <v>795.03003000000012</v>
      </c>
      <c r="X626" s="27">
        <f t="shared" si="177"/>
        <v>673.75420999999972</v>
      </c>
    </row>
    <row r="627" spans="1:24" x14ac:dyDescent="0.2">
      <c r="A627" s="220">
        <v>43798</v>
      </c>
      <c r="B627" s="130" t="s">
        <v>68</v>
      </c>
      <c r="C627" s="130" t="s">
        <v>102</v>
      </c>
      <c r="D627" s="130" t="s">
        <v>1495</v>
      </c>
      <c r="E627" s="130" t="s">
        <v>1243</v>
      </c>
      <c r="F627" s="130" t="s">
        <v>1244</v>
      </c>
      <c r="G627" s="220">
        <v>43777</v>
      </c>
      <c r="H627" s="130" t="s">
        <v>1145</v>
      </c>
      <c r="I627" s="130" t="s">
        <v>1146</v>
      </c>
      <c r="J627" s="130" t="s">
        <v>104</v>
      </c>
      <c r="K627" s="130" t="s">
        <v>105</v>
      </c>
      <c r="L627" s="174" t="s">
        <v>71</v>
      </c>
      <c r="M627" s="131" t="s">
        <v>72</v>
      </c>
      <c r="N627" s="130" t="s">
        <v>73</v>
      </c>
      <c r="O627" s="219" t="s">
        <v>69</v>
      </c>
      <c r="P627" s="130" t="s">
        <v>1699</v>
      </c>
      <c r="Q627" s="132" t="s">
        <v>74</v>
      </c>
      <c r="R627" s="218">
        <v>3.3900001</v>
      </c>
      <c r="S627" s="129">
        <v>1</v>
      </c>
      <c r="T627" s="129">
        <v>1967</v>
      </c>
      <c r="U627" s="129">
        <v>1967</v>
      </c>
      <c r="V627" s="129">
        <v>354.06010000000009</v>
      </c>
      <c r="W627" s="129">
        <v>2321.0601000000001</v>
      </c>
      <c r="X627" s="27">
        <f t="shared" si="177"/>
        <v>1967</v>
      </c>
    </row>
    <row r="628" spans="1:24" x14ac:dyDescent="0.2">
      <c r="A628" s="220">
        <v>43798</v>
      </c>
      <c r="B628" s="130" t="s">
        <v>68</v>
      </c>
      <c r="C628" s="130" t="s">
        <v>102</v>
      </c>
      <c r="D628" s="130" t="s">
        <v>1773</v>
      </c>
      <c r="E628" s="130" t="s">
        <v>936</v>
      </c>
      <c r="F628" s="130" t="s">
        <v>937</v>
      </c>
      <c r="G628" s="220">
        <v>43766</v>
      </c>
      <c r="H628" s="130" t="s">
        <v>1145</v>
      </c>
      <c r="I628" s="130" t="s">
        <v>1146</v>
      </c>
      <c r="J628" s="130" t="s">
        <v>97</v>
      </c>
      <c r="K628" s="130" t="s">
        <v>98</v>
      </c>
      <c r="L628" s="174" t="s">
        <v>71</v>
      </c>
      <c r="M628" s="131" t="s">
        <v>72</v>
      </c>
      <c r="N628" s="130" t="s">
        <v>73</v>
      </c>
      <c r="O628" s="219" t="s">
        <v>99</v>
      </c>
      <c r="P628" s="130" t="s">
        <v>98</v>
      </c>
      <c r="Q628" s="132" t="s">
        <v>74</v>
      </c>
      <c r="R628" s="218">
        <v>3.3900001</v>
      </c>
      <c r="S628" s="129">
        <v>1</v>
      </c>
      <c r="T628" s="129">
        <v>1822.5</v>
      </c>
      <c r="U628" s="129">
        <v>1822.5</v>
      </c>
      <c r="V628" s="129">
        <v>328.05</v>
      </c>
      <c r="W628" s="129">
        <v>2150.5500000000002</v>
      </c>
      <c r="X628" s="27">
        <f t="shared" si="177"/>
        <v>1822.5</v>
      </c>
    </row>
    <row r="629" spans="1:24" x14ac:dyDescent="0.2">
      <c r="A629" s="220">
        <v>43798</v>
      </c>
      <c r="B629" s="130" t="s">
        <v>68</v>
      </c>
      <c r="C629" s="130" t="s">
        <v>102</v>
      </c>
      <c r="D629" s="130" t="s">
        <v>1773</v>
      </c>
      <c r="E629" s="130" t="s">
        <v>936</v>
      </c>
      <c r="F629" s="130" t="s">
        <v>937</v>
      </c>
      <c r="G629" s="220">
        <v>43766</v>
      </c>
      <c r="H629" s="130" t="s">
        <v>1145</v>
      </c>
      <c r="I629" s="130" t="s">
        <v>1146</v>
      </c>
      <c r="J629" s="130" t="s">
        <v>100</v>
      </c>
      <c r="K629" s="130" t="s">
        <v>101</v>
      </c>
      <c r="L629" s="174" t="s">
        <v>71</v>
      </c>
      <c r="M629" s="131" t="s">
        <v>72</v>
      </c>
      <c r="N629" s="130" t="s">
        <v>73</v>
      </c>
      <c r="O629" s="219" t="s">
        <v>72</v>
      </c>
      <c r="P629" s="130" t="s">
        <v>101</v>
      </c>
      <c r="Q629" s="132" t="s">
        <v>74</v>
      </c>
      <c r="R629" s="218">
        <v>3.3900001</v>
      </c>
      <c r="S629" s="129">
        <v>1</v>
      </c>
      <c r="T629" s="129">
        <v>875</v>
      </c>
      <c r="U629" s="129">
        <v>875</v>
      </c>
      <c r="V629" s="129">
        <v>157.5</v>
      </c>
      <c r="W629" s="129">
        <v>1032.5</v>
      </c>
      <c r="X629" s="27">
        <f t="shared" si="177"/>
        <v>875</v>
      </c>
    </row>
    <row r="630" spans="1:24" x14ac:dyDescent="0.2">
      <c r="A630" s="220">
        <v>43798</v>
      </c>
      <c r="B630" s="130" t="s">
        <v>68</v>
      </c>
      <c r="C630" s="130" t="s">
        <v>102</v>
      </c>
      <c r="D630" s="130" t="s">
        <v>1773</v>
      </c>
      <c r="E630" s="130" t="s">
        <v>936</v>
      </c>
      <c r="F630" s="130" t="s">
        <v>937</v>
      </c>
      <c r="G630" s="220">
        <v>43766</v>
      </c>
      <c r="H630" s="130" t="s">
        <v>1145</v>
      </c>
      <c r="I630" s="130" t="s">
        <v>1146</v>
      </c>
      <c r="J630" s="130" t="s">
        <v>92</v>
      </c>
      <c r="K630" s="130" t="s">
        <v>113</v>
      </c>
      <c r="L630" s="174" t="s">
        <v>71</v>
      </c>
      <c r="M630" s="131" t="s">
        <v>72</v>
      </c>
      <c r="N630" s="130" t="s">
        <v>73</v>
      </c>
      <c r="O630" s="219" t="s">
        <v>69</v>
      </c>
      <c r="P630" s="130" t="s">
        <v>1699</v>
      </c>
      <c r="Q630" s="132" t="s">
        <v>74</v>
      </c>
      <c r="R630" s="218">
        <v>3.3900001</v>
      </c>
      <c r="S630" s="129">
        <v>1</v>
      </c>
      <c r="T630" s="129">
        <v>1185</v>
      </c>
      <c r="U630" s="129">
        <v>1185</v>
      </c>
      <c r="V630" s="129">
        <v>213.3</v>
      </c>
      <c r="W630" s="129">
        <v>1398.3</v>
      </c>
      <c r="X630" s="27">
        <f t="shared" si="177"/>
        <v>1185</v>
      </c>
    </row>
    <row r="631" spans="1:24" x14ac:dyDescent="0.2">
      <c r="A631" s="220">
        <v>43798</v>
      </c>
      <c r="B631" s="130" t="s">
        <v>68</v>
      </c>
      <c r="C631" s="130" t="s">
        <v>102</v>
      </c>
      <c r="D631" s="130" t="s">
        <v>1773</v>
      </c>
      <c r="E631" s="130" t="s">
        <v>936</v>
      </c>
      <c r="F631" s="130" t="s">
        <v>937</v>
      </c>
      <c r="G631" s="220">
        <v>43766</v>
      </c>
      <c r="H631" s="130" t="s">
        <v>1145</v>
      </c>
      <c r="I631" s="130" t="s">
        <v>1146</v>
      </c>
      <c r="J631" s="130" t="s">
        <v>132</v>
      </c>
      <c r="K631" s="130" t="s">
        <v>133</v>
      </c>
      <c r="L631" s="174" t="s">
        <v>71</v>
      </c>
      <c r="M631" s="131" t="s">
        <v>72</v>
      </c>
      <c r="N631" s="130" t="s">
        <v>73</v>
      </c>
      <c r="O631" s="219" t="s">
        <v>69</v>
      </c>
      <c r="P631" s="130" t="s">
        <v>1699</v>
      </c>
      <c r="Q631" s="132" t="s">
        <v>74</v>
      </c>
      <c r="R631" s="218">
        <v>3.3900001</v>
      </c>
      <c r="S631" s="129">
        <v>1</v>
      </c>
      <c r="T631" s="129">
        <v>1512</v>
      </c>
      <c r="U631" s="129">
        <v>1512</v>
      </c>
      <c r="V631" s="129">
        <v>272.16000000000003</v>
      </c>
      <c r="W631" s="129">
        <v>1784.16</v>
      </c>
      <c r="X631" s="27">
        <f t="shared" si="177"/>
        <v>1512</v>
      </c>
    </row>
    <row r="632" spans="1:24" x14ac:dyDescent="0.2">
      <c r="A632" s="220">
        <v>43798</v>
      </c>
      <c r="B632" s="130" t="s">
        <v>68</v>
      </c>
      <c r="C632" s="130" t="s">
        <v>102</v>
      </c>
      <c r="D632" s="130" t="s">
        <v>1773</v>
      </c>
      <c r="E632" s="130" t="s">
        <v>936</v>
      </c>
      <c r="F632" s="130" t="s">
        <v>937</v>
      </c>
      <c r="G632" s="220">
        <v>43766</v>
      </c>
      <c r="H632" s="130" t="s">
        <v>1145</v>
      </c>
      <c r="I632" s="130" t="s">
        <v>1146</v>
      </c>
      <c r="J632" s="130" t="s">
        <v>139</v>
      </c>
      <c r="K632" s="130" t="s">
        <v>1775</v>
      </c>
      <c r="L632" s="174" t="s">
        <v>71</v>
      </c>
      <c r="M632" s="131" t="s">
        <v>72</v>
      </c>
      <c r="N632" s="130" t="s">
        <v>73</v>
      </c>
      <c r="O632" s="219" t="s">
        <v>69</v>
      </c>
      <c r="P632" s="130" t="s">
        <v>1699</v>
      </c>
      <c r="Q632" s="132" t="s">
        <v>74</v>
      </c>
      <c r="R632" s="218">
        <v>3.3900001</v>
      </c>
      <c r="S632" s="129">
        <v>1</v>
      </c>
      <c r="T632" s="129">
        <v>110</v>
      </c>
      <c r="U632" s="129">
        <v>110</v>
      </c>
      <c r="V632" s="129">
        <v>19.8</v>
      </c>
      <c r="W632" s="129">
        <v>129.80000000000001</v>
      </c>
      <c r="X632" s="27">
        <f t="shared" si="177"/>
        <v>110</v>
      </c>
    </row>
    <row r="633" spans="1:24" x14ac:dyDescent="0.2">
      <c r="A633" s="220">
        <v>43798</v>
      </c>
      <c r="B633" s="130" t="s">
        <v>68</v>
      </c>
      <c r="C633" s="130" t="s">
        <v>102</v>
      </c>
      <c r="D633" s="130" t="s">
        <v>1773</v>
      </c>
      <c r="E633" s="130" t="s">
        <v>936</v>
      </c>
      <c r="F633" s="130" t="s">
        <v>937</v>
      </c>
      <c r="G633" s="220">
        <v>43766</v>
      </c>
      <c r="H633" s="130" t="s">
        <v>1145</v>
      </c>
      <c r="I633" s="130" t="s">
        <v>1146</v>
      </c>
      <c r="J633" s="130" t="s">
        <v>139</v>
      </c>
      <c r="K633" s="130" t="s">
        <v>109</v>
      </c>
      <c r="L633" s="174" t="s">
        <v>71</v>
      </c>
      <c r="M633" s="131" t="s">
        <v>72</v>
      </c>
      <c r="N633" s="130" t="s">
        <v>73</v>
      </c>
      <c r="O633" s="219" t="s">
        <v>69</v>
      </c>
      <c r="P633" s="130" t="s">
        <v>1699</v>
      </c>
      <c r="Q633" s="132" t="s">
        <v>74</v>
      </c>
      <c r="R633" s="218">
        <v>3.3900001</v>
      </c>
      <c r="S633" s="129">
        <v>6</v>
      </c>
      <c r="T633" s="129">
        <v>35</v>
      </c>
      <c r="U633" s="129">
        <v>210</v>
      </c>
      <c r="V633" s="129">
        <v>37.799993999999941</v>
      </c>
      <c r="W633" s="129">
        <v>247.79999399999994</v>
      </c>
      <c r="X633" s="27">
        <f t="shared" si="177"/>
        <v>210</v>
      </c>
    </row>
    <row r="634" spans="1:24" x14ac:dyDescent="0.2">
      <c r="A634" s="220">
        <v>43798</v>
      </c>
      <c r="B634" s="130" t="s">
        <v>68</v>
      </c>
      <c r="C634" s="130" t="s">
        <v>102</v>
      </c>
      <c r="D634" s="130" t="s">
        <v>1773</v>
      </c>
      <c r="E634" s="130" t="s">
        <v>936</v>
      </c>
      <c r="F634" s="130" t="s">
        <v>937</v>
      </c>
      <c r="G634" s="220">
        <v>43766</v>
      </c>
      <c r="H634" s="130" t="s">
        <v>1145</v>
      </c>
      <c r="I634" s="130" t="s">
        <v>1146</v>
      </c>
      <c r="J634" s="130" t="s">
        <v>139</v>
      </c>
      <c r="K634" s="130" t="s">
        <v>1774</v>
      </c>
      <c r="L634" s="174" t="s">
        <v>71</v>
      </c>
      <c r="M634" s="131" t="s">
        <v>72</v>
      </c>
      <c r="N634" s="130" t="s">
        <v>73</v>
      </c>
      <c r="O634" s="219" t="s">
        <v>69</v>
      </c>
      <c r="P634" s="130" t="s">
        <v>1699</v>
      </c>
      <c r="Q634" s="132" t="s">
        <v>74</v>
      </c>
      <c r="R634" s="218">
        <v>3.3900001</v>
      </c>
      <c r="S634" s="129">
        <v>2</v>
      </c>
      <c r="T634" s="129">
        <v>70</v>
      </c>
      <c r="U634" s="129">
        <v>140</v>
      </c>
      <c r="V634" s="129">
        <v>25.199995999999956</v>
      </c>
      <c r="W634" s="129">
        <v>165.19999599999994</v>
      </c>
      <c r="X634" s="27">
        <f t="shared" si="177"/>
        <v>140</v>
      </c>
    </row>
    <row r="635" spans="1:24" x14ac:dyDescent="0.2">
      <c r="A635" s="220">
        <v>43798</v>
      </c>
      <c r="B635" s="130" t="s">
        <v>68</v>
      </c>
      <c r="C635" s="130" t="s">
        <v>102</v>
      </c>
      <c r="D635" s="130" t="s">
        <v>1773</v>
      </c>
      <c r="E635" s="130" t="s">
        <v>936</v>
      </c>
      <c r="F635" s="130" t="s">
        <v>937</v>
      </c>
      <c r="G635" s="220">
        <v>43766</v>
      </c>
      <c r="H635" s="130" t="s">
        <v>1145</v>
      </c>
      <c r="I635" s="130" t="s">
        <v>1146</v>
      </c>
      <c r="J635" s="130" t="s">
        <v>70</v>
      </c>
      <c r="K635" s="130" t="s">
        <v>112</v>
      </c>
      <c r="L635" s="174" t="s">
        <v>71</v>
      </c>
      <c r="M635" s="131" t="s">
        <v>72</v>
      </c>
      <c r="N635" s="130" t="s">
        <v>73</v>
      </c>
      <c r="O635" s="219" t="s">
        <v>69</v>
      </c>
      <c r="P635" s="130" t="s">
        <v>1699</v>
      </c>
      <c r="Q635" s="132" t="s">
        <v>74</v>
      </c>
      <c r="R635" s="218">
        <v>3.3900001</v>
      </c>
      <c r="S635" s="129">
        <v>1</v>
      </c>
      <c r="T635" s="129">
        <v>743.75420999999972</v>
      </c>
      <c r="U635" s="129">
        <v>743.75420999999972</v>
      </c>
      <c r="V635" s="129">
        <v>133.87579000000028</v>
      </c>
      <c r="W635" s="129">
        <v>877.63</v>
      </c>
      <c r="X635" s="27">
        <f t="shared" si="177"/>
        <v>743.75420999999972</v>
      </c>
    </row>
    <row r="636" spans="1:24" x14ac:dyDescent="0.2">
      <c r="A636" s="220">
        <v>43798</v>
      </c>
      <c r="B636" s="130" t="s">
        <v>68</v>
      </c>
      <c r="C636" s="130" t="s">
        <v>102</v>
      </c>
      <c r="D636" s="130" t="s">
        <v>1773</v>
      </c>
      <c r="E636" s="130" t="s">
        <v>936</v>
      </c>
      <c r="F636" s="130" t="s">
        <v>937</v>
      </c>
      <c r="G636" s="220">
        <v>43766</v>
      </c>
      <c r="H636" s="130" t="s">
        <v>1145</v>
      </c>
      <c r="I636" s="130" t="s">
        <v>1146</v>
      </c>
      <c r="J636" s="130" t="s">
        <v>104</v>
      </c>
      <c r="K636" s="130" t="s">
        <v>105</v>
      </c>
      <c r="L636" s="174" t="s">
        <v>71</v>
      </c>
      <c r="M636" s="131" t="s">
        <v>72</v>
      </c>
      <c r="N636" s="130" t="s">
        <v>73</v>
      </c>
      <c r="O636" s="219" t="s">
        <v>69</v>
      </c>
      <c r="P636" s="130" t="s">
        <v>1699</v>
      </c>
      <c r="Q636" s="132" t="s">
        <v>74</v>
      </c>
      <c r="R636" s="218">
        <v>3.3900001</v>
      </c>
      <c r="S636" s="129">
        <v>1</v>
      </c>
      <c r="T636" s="129">
        <v>1607</v>
      </c>
      <c r="U636" s="129">
        <v>1607</v>
      </c>
      <c r="V636" s="129">
        <v>289.26</v>
      </c>
      <c r="W636" s="129">
        <v>1896.26</v>
      </c>
      <c r="X636" s="27">
        <f t="shared" si="177"/>
        <v>1607</v>
      </c>
    </row>
    <row r="637" spans="1:24" x14ac:dyDescent="0.2">
      <c r="A637" s="220">
        <v>43798</v>
      </c>
      <c r="B637" s="130" t="s">
        <v>68</v>
      </c>
      <c r="C637" s="130" t="s">
        <v>102</v>
      </c>
      <c r="D637" s="130" t="s">
        <v>1771</v>
      </c>
      <c r="E637" s="130" t="s">
        <v>1011</v>
      </c>
      <c r="F637" s="130" t="s">
        <v>1012</v>
      </c>
      <c r="G637" s="220">
        <v>43775</v>
      </c>
      <c r="H637" s="130" t="s">
        <v>1145</v>
      </c>
      <c r="I637" s="130" t="s">
        <v>1146</v>
      </c>
      <c r="J637" s="130" t="s">
        <v>97</v>
      </c>
      <c r="K637" s="130" t="s">
        <v>98</v>
      </c>
      <c r="L637" s="174" t="s">
        <v>71</v>
      </c>
      <c r="M637" s="131" t="s">
        <v>72</v>
      </c>
      <c r="N637" s="130" t="s">
        <v>73</v>
      </c>
      <c r="O637" s="219" t="s">
        <v>99</v>
      </c>
      <c r="P637" s="130" t="s">
        <v>98</v>
      </c>
      <c r="Q637" s="132" t="s">
        <v>74</v>
      </c>
      <c r="R637" s="218">
        <v>3.3900001</v>
      </c>
      <c r="S637" s="129">
        <v>1</v>
      </c>
      <c r="T637" s="129">
        <v>2700</v>
      </c>
      <c r="U637" s="129">
        <v>2700</v>
      </c>
      <c r="V637" s="129">
        <v>486</v>
      </c>
      <c r="W637" s="129">
        <v>3186</v>
      </c>
      <c r="X637" s="27">
        <f t="shared" si="177"/>
        <v>2700</v>
      </c>
    </row>
    <row r="638" spans="1:24" x14ac:dyDescent="0.2">
      <c r="A638" s="220">
        <v>43798</v>
      </c>
      <c r="B638" s="130" t="s">
        <v>68</v>
      </c>
      <c r="C638" s="130" t="s">
        <v>102</v>
      </c>
      <c r="D638" s="130" t="s">
        <v>1771</v>
      </c>
      <c r="E638" s="130" t="s">
        <v>1011</v>
      </c>
      <c r="F638" s="130" t="s">
        <v>1012</v>
      </c>
      <c r="G638" s="220">
        <v>43775</v>
      </c>
      <c r="H638" s="130" t="s">
        <v>1145</v>
      </c>
      <c r="I638" s="130" t="s">
        <v>1146</v>
      </c>
      <c r="J638" s="130" t="s">
        <v>100</v>
      </c>
      <c r="K638" s="130" t="s">
        <v>101</v>
      </c>
      <c r="L638" s="174" t="s">
        <v>71</v>
      </c>
      <c r="M638" s="131" t="s">
        <v>72</v>
      </c>
      <c r="N638" s="130" t="s">
        <v>73</v>
      </c>
      <c r="O638" s="219" t="s">
        <v>72</v>
      </c>
      <c r="P638" s="130" t="s">
        <v>101</v>
      </c>
      <c r="Q638" s="132" t="s">
        <v>74</v>
      </c>
      <c r="R638" s="218">
        <v>3.3900001</v>
      </c>
      <c r="S638" s="129">
        <v>1</v>
      </c>
      <c r="T638" s="129">
        <v>1575</v>
      </c>
      <c r="U638" s="129">
        <v>1575</v>
      </c>
      <c r="V638" s="129">
        <v>283.5</v>
      </c>
      <c r="W638" s="129">
        <v>1858.5</v>
      </c>
      <c r="X638" s="27">
        <f t="shared" si="177"/>
        <v>1575</v>
      </c>
    </row>
    <row r="639" spans="1:24" x14ac:dyDescent="0.2">
      <c r="A639" s="220">
        <v>43798</v>
      </c>
      <c r="B639" s="130" t="s">
        <v>68</v>
      </c>
      <c r="C639" s="130" t="s">
        <v>102</v>
      </c>
      <c r="D639" s="130" t="s">
        <v>1771</v>
      </c>
      <c r="E639" s="130" t="s">
        <v>1011</v>
      </c>
      <c r="F639" s="130" t="s">
        <v>1012</v>
      </c>
      <c r="G639" s="220">
        <v>43775</v>
      </c>
      <c r="H639" s="130" t="s">
        <v>1145</v>
      </c>
      <c r="I639" s="130" t="s">
        <v>1146</v>
      </c>
      <c r="J639" s="130" t="s">
        <v>92</v>
      </c>
      <c r="K639" s="130" t="s">
        <v>113</v>
      </c>
      <c r="L639" s="174" t="s">
        <v>71</v>
      </c>
      <c r="M639" s="131" t="s">
        <v>72</v>
      </c>
      <c r="N639" s="130" t="s">
        <v>73</v>
      </c>
      <c r="O639" s="219" t="s">
        <v>69</v>
      </c>
      <c r="P639" s="130" t="s">
        <v>1699</v>
      </c>
      <c r="Q639" s="132" t="s">
        <v>74</v>
      </c>
      <c r="R639" s="218">
        <v>3.3900001</v>
      </c>
      <c r="S639" s="129">
        <v>1</v>
      </c>
      <c r="T639" s="129">
        <v>890</v>
      </c>
      <c r="U639" s="129">
        <v>890</v>
      </c>
      <c r="V639" s="129">
        <v>160.19999999999999</v>
      </c>
      <c r="W639" s="129">
        <v>1050.2</v>
      </c>
      <c r="X639" s="27">
        <f t="shared" si="177"/>
        <v>890</v>
      </c>
    </row>
    <row r="640" spans="1:24" x14ac:dyDescent="0.2">
      <c r="A640" s="220">
        <v>43798</v>
      </c>
      <c r="B640" s="130" t="s">
        <v>68</v>
      </c>
      <c r="C640" s="130" t="s">
        <v>102</v>
      </c>
      <c r="D640" s="130" t="s">
        <v>1771</v>
      </c>
      <c r="E640" s="130" t="s">
        <v>1011</v>
      </c>
      <c r="F640" s="130" t="s">
        <v>1012</v>
      </c>
      <c r="G640" s="220">
        <v>43775</v>
      </c>
      <c r="H640" s="130" t="s">
        <v>1145</v>
      </c>
      <c r="I640" s="130" t="s">
        <v>1146</v>
      </c>
      <c r="J640" s="130" t="s">
        <v>132</v>
      </c>
      <c r="K640" s="130" t="s">
        <v>1772</v>
      </c>
      <c r="L640" s="174" t="s">
        <v>71</v>
      </c>
      <c r="M640" s="131" t="s">
        <v>72</v>
      </c>
      <c r="N640" s="130" t="s">
        <v>73</v>
      </c>
      <c r="O640" s="219" t="s">
        <v>69</v>
      </c>
      <c r="P640" s="130" t="s">
        <v>1699</v>
      </c>
      <c r="Q640" s="132" t="s">
        <v>74</v>
      </c>
      <c r="R640" s="218">
        <v>3.3900001</v>
      </c>
      <c r="S640" s="129">
        <v>1</v>
      </c>
      <c r="T640" s="129">
        <v>730</v>
      </c>
      <c r="U640" s="129">
        <v>730</v>
      </c>
      <c r="V640" s="129">
        <v>131.40002000000021</v>
      </c>
      <c r="W640" s="129">
        <v>861.40002000000027</v>
      </c>
      <c r="X640" s="27">
        <f t="shared" si="177"/>
        <v>730</v>
      </c>
    </row>
    <row r="641" spans="1:24" x14ac:dyDescent="0.2">
      <c r="A641" s="220">
        <v>43798</v>
      </c>
      <c r="B641" s="130" t="s">
        <v>68</v>
      </c>
      <c r="C641" s="130" t="s">
        <v>102</v>
      </c>
      <c r="D641" s="130" t="s">
        <v>1771</v>
      </c>
      <c r="E641" s="130" t="s">
        <v>1011</v>
      </c>
      <c r="F641" s="130" t="s">
        <v>1012</v>
      </c>
      <c r="G641" s="220">
        <v>43775</v>
      </c>
      <c r="H641" s="130" t="s">
        <v>1145</v>
      </c>
      <c r="I641" s="130" t="s">
        <v>1146</v>
      </c>
      <c r="J641" s="130" t="s">
        <v>70</v>
      </c>
      <c r="K641" s="130" t="s">
        <v>112</v>
      </c>
      <c r="L641" s="174" t="s">
        <v>71</v>
      </c>
      <c r="M641" s="131" t="s">
        <v>72</v>
      </c>
      <c r="N641" s="130" t="s">
        <v>73</v>
      </c>
      <c r="O641" s="219" t="s">
        <v>69</v>
      </c>
      <c r="P641" s="130" t="s">
        <v>1699</v>
      </c>
      <c r="Q641" s="132" t="s">
        <v>74</v>
      </c>
      <c r="R641" s="218">
        <v>3.3900001</v>
      </c>
      <c r="S641" s="129">
        <v>1</v>
      </c>
      <c r="T641" s="129">
        <v>848.75420999999972</v>
      </c>
      <c r="U641" s="129">
        <v>848.75420999999972</v>
      </c>
      <c r="V641" s="129">
        <v>152.77579000000026</v>
      </c>
      <c r="W641" s="129">
        <v>1001.53</v>
      </c>
      <c r="X641" s="27">
        <f t="shared" si="177"/>
        <v>848.75420999999972</v>
      </c>
    </row>
    <row r="642" spans="1:24" x14ac:dyDescent="0.2">
      <c r="A642" s="220">
        <v>43798</v>
      </c>
      <c r="B642" s="130" t="s">
        <v>68</v>
      </c>
      <c r="C642" s="130" t="s">
        <v>102</v>
      </c>
      <c r="D642" s="130" t="s">
        <v>1771</v>
      </c>
      <c r="E642" s="130" t="s">
        <v>1011</v>
      </c>
      <c r="F642" s="130" t="s">
        <v>1012</v>
      </c>
      <c r="G642" s="220">
        <v>43775</v>
      </c>
      <c r="H642" s="130" t="s">
        <v>1145</v>
      </c>
      <c r="I642" s="130" t="s">
        <v>1146</v>
      </c>
      <c r="J642" s="130" t="s">
        <v>104</v>
      </c>
      <c r="K642" s="130" t="s">
        <v>105</v>
      </c>
      <c r="L642" s="174" t="s">
        <v>71</v>
      </c>
      <c r="M642" s="131" t="s">
        <v>72</v>
      </c>
      <c r="N642" s="130" t="s">
        <v>73</v>
      </c>
      <c r="O642" s="219" t="s">
        <v>69</v>
      </c>
      <c r="P642" s="130" t="s">
        <v>1699</v>
      </c>
      <c r="Q642" s="132" t="s">
        <v>74</v>
      </c>
      <c r="R642" s="218">
        <v>3.3900001</v>
      </c>
      <c r="S642" s="129">
        <v>1</v>
      </c>
      <c r="T642" s="129">
        <v>3057</v>
      </c>
      <c r="U642" s="129">
        <v>3057</v>
      </c>
      <c r="V642" s="129">
        <v>550.26</v>
      </c>
      <c r="W642" s="129">
        <v>3607.26</v>
      </c>
      <c r="X642" s="27">
        <f t="shared" si="177"/>
        <v>3057</v>
      </c>
    </row>
    <row r="643" spans="1:24" x14ac:dyDescent="0.2">
      <c r="A643" s="220">
        <v>43798</v>
      </c>
      <c r="B643" s="130" t="s">
        <v>68</v>
      </c>
      <c r="C643" s="130" t="s">
        <v>102</v>
      </c>
      <c r="D643" s="130" t="s">
        <v>705</v>
      </c>
      <c r="E643" s="130" t="s">
        <v>1420</v>
      </c>
      <c r="F643" s="130" t="s">
        <v>1421</v>
      </c>
      <c r="G643" s="220">
        <v>43749</v>
      </c>
      <c r="H643" s="130" t="s">
        <v>557</v>
      </c>
      <c r="I643" s="130" t="s">
        <v>556</v>
      </c>
      <c r="J643" s="130" t="s">
        <v>92</v>
      </c>
      <c r="K643" s="130" t="s">
        <v>113</v>
      </c>
      <c r="L643" s="174" t="s">
        <v>71</v>
      </c>
      <c r="M643" s="131" t="s">
        <v>72</v>
      </c>
      <c r="N643" s="130" t="s">
        <v>73</v>
      </c>
      <c r="O643" s="219" t="s">
        <v>69</v>
      </c>
      <c r="P643" s="130" t="s">
        <v>1699</v>
      </c>
      <c r="Q643" s="132" t="s">
        <v>93</v>
      </c>
      <c r="R643" s="218">
        <v>3.3900001</v>
      </c>
      <c r="S643" s="129">
        <v>1</v>
      </c>
      <c r="T643" s="129">
        <v>130</v>
      </c>
      <c r="U643" s="129">
        <v>130</v>
      </c>
      <c r="V643" s="129">
        <v>23.399990000000017</v>
      </c>
      <c r="W643" s="129">
        <v>153.39999</v>
      </c>
      <c r="X643" s="27">
        <f t="shared" si="177"/>
        <v>440.70001300000001</v>
      </c>
    </row>
    <row r="644" spans="1:24" x14ac:dyDescent="0.2">
      <c r="A644" s="220">
        <v>43798</v>
      </c>
      <c r="B644" s="130" t="s">
        <v>68</v>
      </c>
      <c r="C644" s="130" t="s">
        <v>102</v>
      </c>
      <c r="D644" s="130" t="s">
        <v>705</v>
      </c>
      <c r="E644" s="130" t="s">
        <v>1420</v>
      </c>
      <c r="F644" s="130" t="s">
        <v>1421</v>
      </c>
      <c r="G644" s="220">
        <v>43749</v>
      </c>
      <c r="H644" s="130" t="s">
        <v>557</v>
      </c>
      <c r="I644" s="130" t="s">
        <v>556</v>
      </c>
      <c r="J644" s="130" t="s">
        <v>70</v>
      </c>
      <c r="K644" s="130" t="s">
        <v>112</v>
      </c>
      <c r="L644" s="174" t="s">
        <v>71</v>
      </c>
      <c r="M644" s="131" t="s">
        <v>72</v>
      </c>
      <c r="N644" s="130" t="s">
        <v>73</v>
      </c>
      <c r="O644" s="219" t="s">
        <v>69</v>
      </c>
      <c r="P644" s="130" t="s">
        <v>1699</v>
      </c>
      <c r="Q644" s="132" t="s">
        <v>93</v>
      </c>
      <c r="R644" s="218">
        <v>3.3900001</v>
      </c>
      <c r="S644" s="129">
        <v>1</v>
      </c>
      <c r="T644" s="129">
        <v>127.5</v>
      </c>
      <c r="U644" s="129">
        <v>127.5</v>
      </c>
      <c r="V644" s="129">
        <v>22.949999999999982</v>
      </c>
      <c r="W644" s="129">
        <v>150.44999999999999</v>
      </c>
      <c r="X644" s="27">
        <f t="shared" si="177"/>
        <v>432.22501275000002</v>
      </c>
    </row>
    <row r="645" spans="1:24" x14ac:dyDescent="0.2">
      <c r="A645" s="220">
        <v>43798</v>
      </c>
      <c r="B645" s="130" t="s">
        <v>68</v>
      </c>
      <c r="C645" s="130" t="s">
        <v>102</v>
      </c>
      <c r="D645" s="130" t="s">
        <v>705</v>
      </c>
      <c r="E645" s="130" t="s">
        <v>1420</v>
      </c>
      <c r="F645" s="130" t="s">
        <v>1421</v>
      </c>
      <c r="G645" s="220">
        <v>43749</v>
      </c>
      <c r="H645" s="130" t="s">
        <v>557</v>
      </c>
      <c r="I645" s="130" t="s">
        <v>556</v>
      </c>
      <c r="J645" s="130" t="s">
        <v>104</v>
      </c>
      <c r="K645" s="130" t="s">
        <v>105</v>
      </c>
      <c r="L645" s="174" t="s">
        <v>71</v>
      </c>
      <c r="M645" s="131" t="s">
        <v>72</v>
      </c>
      <c r="N645" s="130" t="s">
        <v>73</v>
      </c>
      <c r="O645" s="219" t="s">
        <v>69</v>
      </c>
      <c r="P645" s="130" t="s">
        <v>1699</v>
      </c>
      <c r="Q645" s="132" t="s">
        <v>93</v>
      </c>
      <c r="R645" s="218">
        <v>3.3900001</v>
      </c>
      <c r="S645" s="129">
        <v>1</v>
      </c>
      <c r="T645" s="129">
        <v>1802.4492</v>
      </c>
      <c r="U645" s="129">
        <v>1802.4492</v>
      </c>
      <c r="V645" s="129">
        <v>324.44069999999977</v>
      </c>
      <c r="W645" s="129">
        <v>2126.8899000000001</v>
      </c>
      <c r="X645" s="27">
        <f t="shared" ref="X645:X708" si="178">IF(Q645="$",(U645*R645),U645)</f>
        <v>6110.3029682449196</v>
      </c>
    </row>
    <row r="646" spans="1:24" x14ac:dyDescent="0.2">
      <c r="A646" s="220">
        <v>43798</v>
      </c>
      <c r="B646" s="130" t="s">
        <v>68</v>
      </c>
      <c r="C646" s="130" t="s">
        <v>102</v>
      </c>
      <c r="D646" s="130" t="s">
        <v>1770</v>
      </c>
      <c r="E646" s="130" t="s">
        <v>1381</v>
      </c>
      <c r="F646" s="130" t="s">
        <v>1441</v>
      </c>
      <c r="G646" s="220">
        <v>43788</v>
      </c>
      <c r="H646" s="130" t="s">
        <v>90</v>
      </c>
      <c r="I646" s="130" t="s">
        <v>91</v>
      </c>
      <c r="J646" s="130" t="s">
        <v>97</v>
      </c>
      <c r="K646" s="130" t="s">
        <v>98</v>
      </c>
      <c r="L646" s="174" t="s">
        <v>71</v>
      </c>
      <c r="M646" s="131" t="s">
        <v>72</v>
      </c>
      <c r="N646" s="130" t="s">
        <v>73</v>
      </c>
      <c r="O646" s="219" t="s">
        <v>99</v>
      </c>
      <c r="P646" s="130" t="s">
        <v>98</v>
      </c>
      <c r="Q646" s="132" t="s">
        <v>93</v>
      </c>
      <c r="R646" s="218">
        <v>3.3900001</v>
      </c>
      <c r="S646" s="129">
        <v>1</v>
      </c>
      <c r="T646" s="129">
        <v>118</v>
      </c>
      <c r="U646" s="129">
        <v>118</v>
      </c>
      <c r="V646" s="129">
        <v>21.240010000000019</v>
      </c>
      <c r="W646" s="129">
        <v>139.24001000000001</v>
      </c>
      <c r="X646" s="27">
        <f t="shared" si="178"/>
        <v>400.02001180000002</v>
      </c>
    </row>
    <row r="647" spans="1:24" x14ac:dyDescent="0.2">
      <c r="A647" s="220">
        <v>43798</v>
      </c>
      <c r="B647" s="130" t="s">
        <v>68</v>
      </c>
      <c r="C647" s="130" t="s">
        <v>102</v>
      </c>
      <c r="D647" s="130" t="s">
        <v>1770</v>
      </c>
      <c r="E647" s="130" t="s">
        <v>1381</v>
      </c>
      <c r="F647" s="130" t="s">
        <v>1441</v>
      </c>
      <c r="G647" s="220">
        <v>43788</v>
      </c>
      <c r="H647" s="130" t="s">
        <v>90</v>
      </c>
      <c r="I647" s="130" t="s">
        <v>91</v>
      </c>
      <c r="J647" s="130" t="s">
        <v>100</v>
      </c>
      <c r="K647" s="130" t="s">
        <v>101</v>
      </c>
      <c r="L647" s="174" t="s">
        <v>71</v>
      </c>
      <c r="M647" s="131" t="s">
        <v>72</v>
      </c>
      <c r="N647" s="130" t="s">
        <v>73</v>
      </c>
      <c r="O647" s="219" t="s">
        <v>72</v>
      </c>
      <c r="P647" s="130" t="s">
        <v>101</v>
      </c>
      <c r="Q647" s="132" t="s">
        <v>93</v>
      </c>
      <c r="R647" s="218">
        <v>3.3900001</v>
      </c>
      <c r="S647" s="129">
        <v>1</v>
      </c>
      <c r="T647" s="129">
        <v>90</v>
      </c>
      <c r="U647" s="129">
        <v>90</v>
      </c>
      <c r="V647" s="129">
        <v>16.2</v>
      </c>
      <c r="W647" s="129">
        <v>106.2</v>
      </c>
      <c r="X647" s="27">
        <f t="shared" si="178"/>
        <v>305.100009</v>
      </c>
    </row>
    <row r="648" spans="1:24" x14ac:dyDescent="0.2">
      <c r="A648" s="220">
        <v>43798</v>
      </c>
      <c r="B648" s="130" t="s">
        <v>68</v>
      </c>
      <c r="C648" s="130" t="s">
        <v>102</v>
      </c>
      <c r="D648" s="130" t="s">
        <v>1770</v>
      </c>
      <c r="E648" s="130" t="s">
        <v>1381</v>
      </c>
      <c r="F648" s="130" t="s">
        <v>1441</v>
      </c>
      <c r="G648" s="220">
        <v>43788</v>
      </c>
      <c r="H648" s="130" t="s">
        <v>90</v>
      </c>
      <c r="I648" s="130" t="s">
        <v>91</v>
      </c>
      <c r="J648" s="130" t="s">
        <v>92</v>
      </c>
      <c r="K648" s="130" t="s">
        <v>113</v>
      </c>
      <c r="L648" s="174" t="s">
        <v>71</v>
      </c>
      <c r="M648" s="131" t="s">
        <v>72</v>
      </c>
      <c r="N648" s="130" t="s">
        <v>73</v>
      </c>
      <c r="O648" s="219" t="s">
        <v>69</v>
      </c>
      <c r="P648" s="130" t="s">
        <v>1699</v>
      </c>
      <c r="Q648" s="132" t="s">
        <v>93</v>
      </c>
      <c r="R648" s="218">
        <v>3.3900001</v>
      </c>
      <c r="S648" s="129">
        <v>1</v>
      </c>
      <c r="T648" s="129">
        <v>65</v>
      </c>
      <c r="U648" s="129">
        <v>65</v>
      </c>
      <c r="V648" s="129">
        <v>11.699996999999994</v>
      </c>
      <c r="W648" s="129">
        <v>76.699996999999996</v>
      </c>
      <c r="X648" s="27">
        <f t="shared" si="178"/>
        <v>220.35000650000001</v>
      </c>
    </row>
    <row r="649" spans="1:24" x14ac:dyDescent="0.2">
      <c r="A649" s="220">
        <v>43798</v>
      </c>
      <c r="B649" s="130" t="s">
        <v>68</v>
      </c>
      <c r="C649" s="130" t="s">
        <v>102</v>
      </c>
      <c r="D649" s="130" t="s">
        <v>1770</v>
      </c>
      <c r="E649" s="130" t="s">
        <v>1381</v>
      </c>
      <c r="F649" s="130" t="s">
        <v>1441</v>
      </c>
      <c r="G649" s="220">
        <v>43788</v>
      </c>
      <c r="H649" s="130" t="s">
        <v>90</v>
      </c>
      <c r="I649" s="130" t="s">
        <v>91</v>
      </c>
      <c r="J649" s="130" t="s">
        <v>70</v>
      </c>
      <c r="K649" s="130" t="s">
        <v>112</v>
      </c>
      <c r="L649" s="174" t="s">
        <v>71</v>
      </c>
      <c r="M649" s="131" t="s">
        <v>72</v>
      </c>
      <c r="N649" s="130" t="s">
        <v>73</v>
      </c>
      <c r="O649" s="219" t="s">
        <v>69</v>
      </c>
      <c r="P649" s="130" t="s">
        <v>1699</v>
      </c>
      <c r="Q649" s="132" t="s">
        <v>93</v>
      </c>
      <c r="R649" s="218">
        <v>3.3900001</v>
      </c>
      <c r="S649" s="129">
        <v>1</v>
      </c>
      <c r="T649" s="129">
        <v>30</v>
      </c>
      <c r="U649" s="129">
        <v>30</v>
      </c>
      <c r="V649" s="129">
        <v>5.4000019999999997</v>
      </c>
      <c r="W649" s="129">
        <v>35.400002000000001</v>
      </c>
      <c r="X649" s="27">
        <f t="shared" si="178"/>
        <v>101.700003</v>
      </c>
    </row>
    <row r="650" spans="1:24" x14ac:dyDescent="0.2">
      <c r="A650" s="220">
        <v>43798</v>
      </c>
      <c r="B650" s="130" t="s">
        <v>68</v>
      </c>
      <c r="C650" s="130" t="s">
        <v>102</v>
      </c>
      <c r="D650" s="130" t="s">
        <v>1770</v>
      </c>
      <c r="E650" s="130" t="s">
        <v>1381</v>
      </c>
      <c r="F650" s="130" t="s">
        <v>1441</v>
      </c>
      <c r="G650" s="220">
        <v>43788</v>
      </c>
      <c r="H650" s="130" t="s">
        <v>90</v>
      </c>
      <c r="I650" s="130" t="s">
        <v>91</v>
      </c>
      <c r="J650" s="130" t="s">
        <v>95</v>
      </c>
      <c r="K650" s="130" t="s">
        <v>96</v>
      </c>
      <c r="L650" s="174" t="s">
        <v>71</v>
      </c>
      <c r="M650" s="131" t="s">
        <v>72</v>
      </c>
      <c r="N650" s="130" t="s">
        <v>73</v>
      </c>
      <c r="O650" s="219" t="s">
        <v>69</v>
      </c>
      <c r="P650" s="130" t="s">
        <v>1699</v>
      </c>
      <c r="Q650" s="132" t="s">
        <v>93</v>
      </c>
      <c r="R650" s="218">
        <v>3.3900001</v>
      </c>
      <c r="S650" s="129">
        <v>-1</v>
      </c>
      <c r="T650" s="129">
        <v>100</v>
      </c>
      <c r="U650" s="129">
        <v>-100</v>
      </c>
      <c r="V650" s="129">
        <v>-18</v>
      </c>
      <c r="W650" s="129">
        <v>-118</v>
      </c>
      <c r="X650" s="27">
        <f t="shared" si="178"/>
        <v>-339.00000999999997</v>
      </c>
    </row>
    <row r="651" spans="1:24" x14ac:dyDescent="0.2">
      <c r="A651" s="220">
        <v>43798</v>
      </c>
      <c r="B651" s="130" t="s">
        <v>68</v>
      </c>
      <c r="C651" s="130" t="s">
        <v>102</v>
      </c>
      <c r="D651" s="130" t="s">
        <v>1770</v>
      </c>
      <c r="E651" s="130" t="s">
        <v>1381</v>
      </c>
      <c r="F651" s="130" t="s">
        <v>1441</v>
      </c>
      <c r="G651" s="220">
        <v>43788</v>
      </c>
      <c r="H651" s="130" t="s">
        <v>90</v>
      </c>
      <c r="I651" s="130" t="s">
        <v>91</v>
      </c>
      <c r="J651" s="130" t="s">
        <v>104</v>
      </c>
      <c r="K651" s="130" t="s">
        <v>105</v>
      </c>
      <c r="L651" s="174" t="s">
        <v>71</v>
      </c>
      <c r="M651" s="131" t="s">
        <v>72</v>
      </c>
      <c r="N651" s="130" t="s">
        <v>73</v>
      </c>
      <c r="O651" s="219" t="s">
        <v>69</v>
      </c>
      <c r="P651" s="130" t="s">
        <v>1699</v>
      </c>
      <c r="Q651" s="132" t="s">
        <v>93</v>
      </c>
      <c r="R651" s="218">
        <v>3.3900001</v>
      </c>
      <c r="S651" s="129">
        <v>1</v>
      </c>
      <c r="T651" s="129">
        <v>0</v>
      </c>
      <c r="U651" s="129">
        <v>0</v>
      </c>
      <c r="V651" s="129">
        <v>0</v>
      </c>
      <c r="W651" s="129">
        <v>0</v>
      </c>
      <c r="X651" s="27">
        <f t="shared" si="178"/>
        <v>0</v>
      </c>
    </row>
    <row r="652" spans="1:24" x14ac:dyDescent="0.2">
      <c r="A652" s="220">
        <v>43798</v>
      </c>
      <c r="B652" s="130" t="s">
        <v>68</v>
      </c>
      <c r="C652" s="130" t="s">
        <v>102</v>
      </c>
      <c r="D652" s="130" t="s">
        <v>704</v>
      </c>
      <c r="E652" s="130" t="s">
        <v>1363</v>
      </c>
      <c r="F652" s="130" t="s">
        <v>1440</v>
      </c>
      <c r="G652" s="220">
        <v>43749</v>
      </c>
      <c r="H652" s="130" t="s">
        <v>557</v>
      </c>
      <c r="I652" s="130" t="s">
        <v>556</v>
      </c>
      <c r="J652" s="130" t="s">
        <v>95</v>
      </c>
      <c r="K652" s="130" t="s">
        <v>96</v>
      </c>
      <c r="L652" s="174" t="s">
        <v>71</v>
      </c>
      <c r="M652" s="131" t="s">
        <v>72</v>
      </c>
      <c r="N652" s="130" t="s">
        <v>73</v>
      </c>
      <c r="O652" s="219" t="s">
        <v>69</v>
      </c>
      <c r="P652" s="130" t="s">
        <v>1699</v>
      </c>
      <c r="Q652" s="132" t="s">
        <v>93</v>
      </c>
      <c r="R652" s="218">
        <v>3.3900001</v>
      </c>
      <c r="S652" s="129">
        <v>1</v>
      </c>
      <c r="T652" s="129">
        <v>235.90680000000003</v>
      </c>
      <c r="U652" s="129">
        <v>235.90680000000003</v>
      </c>
      <c r="V652" s="129">
        <v>42.463199999999958</v>
      </c>
      <c r="W652" s="129">
        <v>278.37</v>
      </c>
      <c r="X652" s="27">
        <f t="shared" si="178"/>
        <v>799.72407559068006</v>
      </c>
    </row>
    <row r="653" spans="1:24" x14ac:dyDescent="0.2">
      <c r="A653" s="220">
        <v>43798</v>
      </c>
      <c r="B653" s="130" t="s">
        <v>68</v>
      </c>
      <c r="C653" s="130" t="s">
        <v>102</v>
      </c>
      <c r="D653" s="130" t="s">
        <v>703</v>
      </c>
      <c r="E653" s="130" t="s">
        <v>1404</v>
      </c>
      <c r="F653" s="130" t="s">
        <v>1769</v>
      </c>
      <c r="G653" s="220">
        <v>43790</v>
      </c>
      <c r="H653" s="130" t="s">
        <v>90</v>
      </c>
      <c r="I653" s="130" t="s">
        <v>91</v>
      </c>
      <c r="J653" s="130" t="s">
        <v>97</v>
      </c>
      <c r="K653" s="130" t="s">
        <v>98</v>
      </c>
      <c r="L653" s="174" t="s">
        <v>71</v>
      </c>
      <c r="M653" s="131" t="s">
        <v>72</v>
      </c>
      <c r="N653" s="130" t="s">
        <v>73</v>
      </c>
      <c r="O653" s="219" t="s">
        <v>99</v>
      </c>
      <c r="P653" s="130" t="s">
        <v>98</v>
      </c>
      <c r="Q653" s="132" t="s">
        <v>93</v>
      </c>
      <c r="R653" s="218">
        <v>3.3900001</v>
      </c>
      <c r="S653" s="129">
        <v>1</v>
      </c>
      <c r="T653" s="129">
        <v>295</v>
      </c>
      <c r="U653" s="129">
        <v>295</v>
      </c>
      <c r="V653" s="129">
        <v>53.100009999999891</v>
      </c>
      <c r="W653" s="129">
        <v>348.10000999999988</v>
      </c>
      <c r="X653" s="27">
        <f t="shared" si="178"/>
        <v>1000.0500294999999</v>
      </c>
    </row>
    <row r="654" spans="1:24" x14ac:dyDescent="0.2">
      <c r="A654" s="220">
        <v>43798</v>
      </c>
      <c r="B654" s="130" t="s">
        <v>68</v>
      </c>
      <c r="C654" s="130" t="s">
        <v>102</v>
      </c>
      <c r="D654" s="130" t="s">
        <v>703</v>
      </c>
      <c r="E654" s="130" t="s">
        <v>1404</v>
      </c>
      <c r="F654" s="130" t="s">
        <v>1769</v>
      </c>
      <c r="G654" s="220">
        <v>43790</v>
      </c>
      <c r="H654" s="130" t="s">
        <v>90</v>
      </c>
      <c r="I654" s="130" t="s">
        <v>91</v>
      </c>
      <c r="J654" s="130" t="s">
        <v>100</v>
      </c>
      <c r="K654" s="130" t="s">
        <v>101</v>
      </c>
      <c r="L654" s="174" t="s">
        <v>71</v>
      </c>
      <c r="M654" s="131" t="s">
        <v>72</v>
      </c>
      <c r="N654" s="130" t="s">
        <v>73</v>
      </c>
      <c r="O654" s="219" t="s">
        <v>72</v>
      </c>
      <c r="P654" s="130" t="s">
        <v>101</v>
      </c>
      <c r="Q654" s="132" t="s">
        <v>93</v>
      </c>
      <c r="R654" s="218">
        <v>3.3900001</v>
      </c>
      <c r="S654" s="129">
        <v>1</v>
      </c>
      <c r="T654" s="129">
        <v>300</v>
      </c>
      <c r="U654" s="129">
        <v>300</v>
      </c>
      <c r="V654" s="129">
        <v>54</v>
      </c>
      <c r="W654" s="129">
        <v>354</v>
      </c>
      <c r="X654" s="27">
        <f t="shared" si="178"/>
        <v>1017.00003</v>
      </c>
    </row>
    <row r="655" spans="1:24" x14ac:dyDescent="0.2">
      <c r="A655" s="220">
        <v>43798</v>
      </c>
      <c r="B655" s="130" t="s">
        <v>68</v>
      </c>
      <c r="C655" s="130" t="s">
        <v>102</v>
      </c>
      <c r="D655" s="130" t="s">
        <v>703</v>
      </c>
      <c r="E655" s="130" t="s">
        <v>1404</v>
      </c>
      <c r="F655" s="130" t="s">
        <v>1769</v>
      </c>
      <c r="G655" s="220">
        <v>43790</v>
      </c>
      <c r="H655" s="130" t="s">
        <v>90</v>
      </c>
      <c r="I655" s="130" t="s">
        <v>91</v>
      </c>
      <c r="J655" s="130" t="s">
        <v>92</v>
      </c>
      <c r="K655" s="130" t="s">
        <v>113</v>
      </c>
      <c r="L655" s="174" t="s">
        <v>71</v>
      </c>
      <c r="M655" s="131" t="s">
        <v>72</v>
      </c>
      <c r="N655" s="130" t="s">
        <v>73</v>
      </c>
      <c r="O655" s="219" t="s">
        <v>69</v>
      </c>
      <c r="P655" s="130" t="s">
        <v>1699</v>
      </c>
      <c r="Q655" s="132" t="s">
        <v>93</v>
      </c>
      <c r="R655" s="218">
        <v>3.3900001</v>
      </c>
      <c r="S655" s="129">
        <v>1</v>
      </c>
      <c r="T655" s="129">
        <v>105</v>
      </c>
      <c r="U655" s="129">
        <v>105</v>
      </c>
      <c r="V655" s="129">
        <v>18.899999999999999</v>
      </c>
      <c r="W655" s="129">
        <v>123.9</v>
      </c>
      <c r="X655" s="27">
        <f t="shared" si="178"/>
        <v>355.95001050000002</v>
      </c>
    </row>
    <row r="656" spans="1:24" x14ac:dyDescent="0.2">
      <c r="A656" s="220">
        <v>43798</v>
      </c>
      <c r="B656" s="130" t="s">
        <v>68</v>
      </c>
      <c r="C656" s="130" t="s">
        <v>102</v>
      </c>
      <c r="D656" s="130" t="s">
        <v>703</v>
      </c>
      <c r="E656" s="130" t="s">
        <v>1404</v>
      </c>
      <c r="F656" s="130" t="s">
        <v>1769</v>
      </c>
      <c r="G656" s="220">
        <v>43790</v>
      </c>
      <c r="H656" s="130" t="s">
        <v>90</v>
      </c>
      <c r="I656" s="130" t="s">
        <v>91</v>
      </c>
      <c r="J656" s="130" t="s">
        <v>95</v>
      </c>
      <c r="K656" s="130" t="s">
        <v>96</v>
      </c>
      <c r="L656" s="174" t="s">
        <v>71</v>
      </c>
      <c r="M656" s="131" t="s">
        <v>72</v>
      </c>
      <c r="N656" s="130" t="s">
        <v>73</v>
      </c>
      <c r="O656" s="219" t="s">
        <v>69</v>
      </c>
      <c r="P656" s="130" t="s">
        <v>1699</v>
      </c>
      <c r="Q656" s="132" t="s">
        <v>93</v>
      </c>
      <c r="R656" s="218">
        <v>3.3900001</v>
      </c>
      <c r="S656" s="129">
        <v>-1</v>
      </c>
      <c r="T656" s="129">
        <v>301.54239000000001</v>
      </c>
      <c r="U656" s="129">
        <v>-301.54239000000007</v>
      </c>
      <c r="V656" s="129">
        <v>-54.277620000000098</v>
      </c>
      <c r="W656" s="129">
        <v>-355.82001000000014</v>
      </c>
      <c r="X656" s="27">
        <f t="shared" si="178"/>
        <v>-1022.2287322542393</v>
      </c>
    </row>
    <row r="657" spans="1:24" x14ac:dyDescent="0.2">
      <c r="A657" s="220">
        <v>43798</v>
      </c>
      <c r="B657" s="130" t="s">
        <v>68</v>
      </c>
      <c r="C657" s="130" t="s">
        <v>102</v>
      </c>
      <c r="D657" s="130" t="s">
        <v>703</v>
      </c>
      <c r="E657" s="130" t="s">
        <v>1404</v>
      </c>
      <c r="F657" s="130" t="s">
        <v>1769</v>
      </c>
      <c r="G657" s="220">
        <v>43790</v>
      </c>
      <c r="H657" s="130" t="s">
        <v>90</v>
      </c>
      <c r="I657" s="130" t="s">
        <v>91</v>
      </c>
      <c r="J657" s="130" t="s">
        <v>104</v>
      </c>
      <c r="K657" s="130" t="s">
        <v>105</v>
      </c>
      <c r="L657" s="174" t="s">
        <v>71</v>
      </c>
      <c r="M657" s="131" t="s">
        <v>72</v>
      </c>
      <c r="N657" s="130" t="s">
        <v>73</v>
      </c>
      <c r="O657" s="219" t="s">
        <v>69</v>
      </c>
      <c r="P657" s="130" t="s">
        <v>1699</v>
      </c>
      <c r="Q657" s="132" t="s">
        <v>93</v>
      </c>
      <c r="R657" s="218">
        <v>3.3900001</v>
      </c>
      <c r="S657" s="129">
        <v>1</v>
      </c>
      <c r="T657" s="129">
        <v>0</v>
      </c>
      <c r="U657" s="129">
        <v>0</v>
      </c>
      <c r="V657" s="129">
        <v>0</v>
      </c>
      <c r="W657" s="129">
        <v>0</v>
      </c>
      <c r="X657" s="27">
        <f t="shared" si="178"/>
        <v>0</v>
      </c>
    </row>
    <row r="658" spans="1:24" x14ac:dyDescent="0.2">
      <c r="A658" s="220">
        <v>43798</v>
      </c>
      <c r="B658" s="130" t="s">
        <v>68</v>
      </c>
      <c r="C658" s="130" t="s">
        <v>102</v>
      </c>
      <c r="D658" s="130" t="s">
        <v>702</v>
      </c>
      <c r="E658" s="130" t="s">
        <v>1363</v>
      </c>
      <c r="F658" s="130" t="s">
        <v>1440</v>
      </c>
      <c r="G658" s="220">
        <v>43749</v>
      </c>
      <c r="H658" s="130" t="s">
        <v>90</v>
      </c>
      <c r="I658" s="130" t="s">
        <v>91</v>
      </c>
      <c r="J658" s="130" t="s">
        <v>97</v>
      </c>
      <c r="K658" s="130" t="s">
        <v>98</v>
      </c>
      <c r="L658" s="174" t="s">
        <v>71</v>
      </c>
      <c r="M658" s="131" t="s">
        <v>72</v>
      </c>
      <c r="N658" s="130" t="s">
        <v>73</v>
      </c>
      <c r="O658" s="219" t="s">
        <v>99</v>
      </c>
      <c r="P658" s="130" t="s">
        <v>98</v>
      </c>
      <c r="Q658" s="132" t="s">
        <v>93</v>
      </c>
      <c r="R658" s="218">
        <v>3.3900001</v>
      </c>
      <c r="S658" s="129">
        <v>1</v>
      </c>
      <c r="T658" s="129">
        <v>324.5</v>
      </c>
      <c r="U658" s="129">
        <v>324.5</v>
      </c>
      <c r="V658" s="129">
        <v>58.41</v>
      </c>
      <c r="W658" s="129">
        <v>382.91</v>
      </c>
      <c r="X658" s="27">
        <f t="shared" si="178"/>
        <v>1100.05503245</v>
      </c>
    </row>
    <row r="659" spans="1:24" x14ac:dyDescent="0.2">
      <c r="A659" s="220">
        <v>43798</v>
      </c>
      <c r="B659" s="130" t="s">
        <v>68</v>
      </c>
      <c r="C659" s="130" t="s">
        <v>102</v>
      </c>
      <c r="D659" s="130" t="s">
        <v>702</v>
      </c>
      <c r="E659" s="130" t="s">
        <v>1363</v>
      </c>
      <c r="F659" s="130" t="s">
        <v>1440</v>
      </c>
      <c r="G659" s="220">
        <v>43749</v>
      </c>
      <c r="H659" s="130" t="s">
        <v>90</v>
      </c>
      <c r="I659" s="130" t="s">
        <v>91</v>
      </c>
      <c r="J659" s="130" t="s">
        <v>100</v>
      </c>
      <c r="K659" s="130" t="s">
        <v>101</v>
      </c>
      <c r="L659" s="174" t="s">
        <v>71</v>
      </c>
      <c r="M659" s="131" t="s">
        <v>72</v>
      </c>
      <c r="N659" s="130" t="s">
        <v>73</v>
      </c>
      <c r="O659" s="219" t="s">
        <v>72</v>
      </c>
      <c r="P659" s="130" t="s">
        <v>101</v>
      </c>
      <c r="Q659" s="132" t="s">
        <v>93</v>
      </c>
      <c r="R659" s="218">
        <v>3.3900001</v>
      </c>
      <c r="S659" s="129">
        <v>1</v>
      </c>
      <c r="T659" s="129">
        <v>360</v>
      </c>
      <c r="U659" s="129">
        <v>360</v>
      </c>
      <c r="V659" s="129">
        <v>64.799990000000037</v>
      </c>
      <c r="W659" s="129">
        <v>424.79999000000004</v>
      </c>
      <c r="X659" s="27">
        <f t="shared" si="178"/>
        <v>1220.400036</v>
      </c>
    </row>
    <row r="660" spans="1:24" x14ac:dyDescent="0.2">
      <c r="A660" s="220">
        <v>43798</v>
      </c>
      <c r="B660" s="130" t="s">
        <v>68</v>
      </c>
      <c r="C660" s="130" t="s">
        <v>102</v>
      </c>
      <c r="D660" s="130" t="s">
        <v>702</v>
      </c>
      <c r="E660" s="130" t="s">
        <v>1363</v>
      </c>
      <c r="F660" s="130" t="s">
        <v>1440</v>
      </c>
      <c r="G660" s="220">
        <v>43749</v>
      </c>
      <c r="H660" s="130" t="s">
        <v>90</v>
      </c>
      <c r="I660" s="130" t="s">
        <v>91</v>
      </c>
      <c r="J660" s="130" t="s">
        <v>92</v>
      </c>
      <c r="K660" s="130" t="s">
        <v>113</v>
      </c>
      <c r="L660" s="174" t="s">
        <v>71</v>
      </c>
      <c r="M660" s="131" t="s">
        <v>72</v>
      </c>
      <c r="N660" s="130" t="s">
        <v>73</v>
      </c>
      <c r="O660" s="219" t="s">
        <v>69</v>
      </c>
      <c r="P660" s="130" t="s">
        <v>1699</v>
      </c>
      <c r="Q660" s="132" t="s">
        <v>93</v>
      </c>
      <c r="R660" s="218">
        <v>3.3900001</v>
      </c>
      <c r="S660" s="129">
        <v>1</v>
      </c>
      <c r="T660" s="129">
        <v>110</v>
      </c>
      <c r="U660" s="129">
        <v>110</v>
      </c>
      <c r="V660" s="129">
        <v>19.8</v>
      </c>
      <c r="W660" s="129">
        <v>129.80000000000001</v>
      </c>
      <c r="X660" s="27">
        <f t="shared" si="178"/>
        <v>372.90001100000001</v>
      </c>
    </row>
    <row r="661" spans="1:24" x14ac:dyDescent="0.2">
      <c r="A661" s="220">
        <v>43798</v>
      </c>
      <c r="B661" s="130" t="s">
        <v>68</v>
      </c>
      <c r="C661" s="130" t="s">
        <v>102</v>
      </c>
      <c r="D661" s="130" t="s">
        <v>702</v>
      </c>
      <c r="E661" s="130" t="s">
        <v>1363</v>
      </c>
      <c r="F661" s="130" t="s">
        <v>1440</v>
      </c>
      <c r="G661" s="220">
        <v>43749</v>
      </c>
      <c r="H661" s="130" t="s">
        <v>90</v>
      </c>
      <c r="I661" s="130" t="s">
        <v>91</v>
      </c>
      <c r="J661" s="130" t="s">
        <v>132</v>
      </c>
      <c r="K661" s="130" t="s">
        <v>94</v>
      </c>
      <c r="L661" s="174" t="s">
        <v>71</v>
      </c>
      <c r="M661" s="131" t="s">
        <v>72</v>
      </c>
      <c r="N661" s="130" t="s">
        <v>73</v>
      </c>
      <c r="O661" s="219" t="s">
        <v>69</v>
      </c>
      <c r="P661" s="130" t="s">
        <v>1699</v>
      </c>
      <c r="Q661" s="132" t="s">
        <v>93</v>
      </c>
      <c r="R661" s="218">
        <v>3.3900001</v>
      </c>
      <c r="S661" s="129">
        <v>1</v>
      </c>
      <c r="T661" s="129">
        <v>40</v>
      </c>
      <c r="U661" s="129">
        <v>40</v>
      </c>
      <c r="V661" s="129">
        <v>7.2000010000000021</v>
      </c>
      <c r="W661" s="129">
        <v>47.200001</v>
      </c>
      <c r="X661" s="27">
        <f t="shared" si="178"/>
        <v>135.60000400000001</v>
      </c>
    </row>
    <row r="662" spans="1:24" x14ac:dyDescent="0.2">
      <c r="A662" s="220">
        <v>43798</v>
      </c>
      <c r="B662" s="130" t="s">
        <v>68</v>
      </c>
      <c r="C662" s="130" t="s">
        <v>102</v>
      </c>
      <c r="D662" s="130" t="s">
        <v>702</v>
      </c>
      <c r="E662" s="130" t="s">
        <v>1363</v>
      </c>
      <c r="F662" s="130" t="s">
        <v>1440</v>
      </c>
      <c r="G662" s="220">
        <v>43749</v>
      </c>
      <c r="H662" s="130" t="s">
        <v>90</v>
      </c>
      <c r="I662" s="130" t="s">
        <v>91</v>
      </c>
      <c r="J662" s="130" t="s">
        <v>70</v>
      </c>
      <c r="K662" s="130" t="s">
        <v>112</v>
      </c>
      <c r="L662" s="174" t="s">
        <v>71</v>
      </c>
      <c r="M662" s="131" t="s">
        <v>72</v>
      </c>
      <c r="N662" s="130" t="s">
        <v>73</v>
      </c>
      <c r="O662" s="219" t="s">
        <v>69</v>
      </c>
      <c r="P662" s="130" t="s">
        <v>1699</v>
      </c>
      <c r="Q662" s="132" t="s">
        <v>93</v>
      </c>
      <c r="R662" s="218">
        <v>3.3900001</v>
      </c>
      <c r="S662" s="129">
        <v>1</v>
      </c>
      <c r="T662" s="129">
        <v>30</v>
      </c>
      <c r="U662" s="129">
        <v>30</v>
      </c>
      <c r="V662" s="129">
        <v>5.4000019999999997</v>
      </c>
      <c r="W662" s="129">
        <v>35.400002000000001</v>
      </c>
      <c r="X662" s="27">
        <f t="shared" si="178"/>
        <v>101.700003</v>
      </c>
    </row>
    <row r="663" spans="1:24" x14ac:dyDescent="0.2">
      <c r="A663" s="220">
        <v>43798</v>
      </c>
      <c r="B663" s="130" t="s">
        <v>68</v>
      </c>
      <c r="C663" s="130" t="s">
        <v>102</v>
      </c>
      <c r="D663" s="130" t="s">
        <v>702</v>
      </c>
      <c r="E663" s="130" t="s">
        <v>1363</v>
      </c>
      <c r="F663" s="130" t="s">
        <v>1440</v>
      </c>
      <c r="G663" s="220">
        <v>43749</v>
      </c>
      <c r="H663" s="130" t="s">
        <v>90</v>
      </c>
      <c r="I663" s="130" t="s">
        <v>91</v>
      </c>
      <c r="J663" s="130" t="s">
        <v>95</v>
      </c>
      <c r="K663" s="130" t="s">
        <v>96</v>
      </c>
      <c r="L663" s="174" t="s">
        <v>71</v>
      </c>
      <c r="M663" s="131" t="s">
        <v>72</v>
      </c>
      <c r="N663" s="130" t="s">
        <v>73</v>
      </c>
      <c r="O663" s="219" t="s">
        <v>69</v>
      </c>
      <c r="P663" s="130" t="s">
        <v>1699</v>
      </c>
      <c r="Q663" s="132" t="s">
        <v>93</v>
      </c>
      <c r="R663" s="218">
        <v>3.3900001</v>
      </c>
      <c r="S663" s="129">
        <v>-1</v>
      </c>
      <c r="T663" s="129">
        <v>235.90680000000003</v>
      </c>
      <c r="U663" s="129">
        <v>-235.90680000000003</v>
      </c>
      <c r="V663" s="129">
        <v>-42.463199999999958</v>
      </c>
      <c r="W663" s="129">
        <v>-278.37</v>
      </c>
      <c r="X663" s="27">
        <f t="shared" si="178"/>
        <v>-799.72407559068006</v>
      </c>
    </row>
    <row r="664" spans="1:24" x14ac:dyDescent="0.2">
      <c r="A664" s="220">
        <v>43798</v>
      </c>
      <c r="B664" s="130" t="s">
        <v>68</v>
      </c>
      <c r="C664" s="130" t="s">
        <v>102</v>
      </c>
      <c r="D664" s="130" t="s">
        <v>702</v>
      </c>
      <c r="E664" s="130" t="s">
        <v>1363</v>
      </c>
      <c r="F664" s="130" t="s">
        <v>1440</v>
      </c>
      <c r="G664" s="220">
        <v>43749</v>
      </c>
      <c r="H664" s="130" t="s">
        <v>90</v>
      </c>
      <c r="I664" s="130" t="s">
        <v>91</v>
      </c>
      <c r="J664" s="130" t="s">
        <v>104</v>
      </c>
      <c r="K664" s="130" t="s">
        <v>105</v>
      </c>
      <c r="L664" s="174" t="s">
        <v>71</v>
      </c>
      <c r="M664" s="131" t="s">
        <v>72</v>
      </c>
      <c r="N664" s="130" t="s">
        <v>73</v>
      </c>
      <c r="O664" s="219" t="s">
        <v>69</v>
      </c>
      <c r="P664" s="130" t="s">
        <v>1699</v>
      </c>
      <c r="Q664" s="132" t="s">
        <v>93</v>
      </c>
      <c r="R664" s="218">
        <v>3.3900001</v>
      </c>
      <c r="S664" s="129">
        <v>1</v>
      </c>
      <c r="T664" s="129">
        <v>0</v>
      </c>
      <c r="U664" s="129">
        <v>0</v>
      </c>
      <c r="V664" s="129">
        <v>0</v>
      </c>
      <c r="W664" s="129">
        <v>0</v>
      </c>
      <c r="X664" s="27">
        <f t="shared" si="178"/>
        <v>0</v>
      </c>
    </row>
    <row r="665" spans="1:24" x14ac:dyDescent="0.2">
      <c r="A665" s="220">
        <v>43799</v>
      </c>
      <c r="B665" s="130" t="s">
        <v>68</v>
      </c>
      <c r="C665" s="130" t="s">
        <v>102</v>
      </c>
      <c r="D665" s="130" t="s">
        <v>701</v>
      </c>
      <c r="E665" s="130" t="s">
        <v>1406</v>
      </c>
      <c r="F665" s="130" t="s">
        <v>1766</v>
      </c>
      <c r="G665" s="220">
        <v>43791</v>
      </c>
      <c r="H665" s="130" t="s">
        <v>1768</v>
      </c>
      <c r="I665" s="130" t="s">
        <v>1767</v>
      </c>
      <c r="J665" s="130" t="s">
        <v>95</v>
      </c>
      <c r="K665" s="130" t="s">
        <v>96</v>
      </c>
      <c r="L665" s="174" t="s">
        <v>71</v>
      </c>
      <c r="M665" s="131" t="s">
        <v>72</v>
      </c>
      <c r="N665" s="130" t="s">
        <v>73</v>
      </c>
      <c r="O665" s="219" t="s">
        <v>69</v>
      </c>
      <c r="P665" s="130" t="s">
        <v>1699</v>
      </c>
      <c r="Q665" s="132" t="s">
        <v>93</v>
      </c>
      <c r="R665" s="218">
        <v>3.4000001000000002</v>
      </c>
      <c r="S665" s="129">
        <v>1</v>
      </c>
      <c r="T665" s="129">
        <v>100</v>
      </c>
      <c r="U665" s="129">
        <v>100</v>
      </c>
      <c r="V665" s="129">
        <v>18</v>
      </c>
      <c r="W665" s="129">
        <v>118</v>
      </c>
      <c r="X665" s="27">
        <f t="shared" si="178"/>
        <v>340.00001000000003</v>
      </c>
    </row>
    <row r="666" spans="1:24" x14ac:dyDescent="0.2">
      <c r="A666" s="220">
        <v>43799</v>
      </c>
      <c r="B666" s="130" t="s">
        <v>68</v>
      </c>
      <c r="C666" s="130" t="s">
        <v>102</v>
      </c>
      <c r="D666" s="130" t="s">
        <v>700</v>
      </c>
      <c r="E666" s="130" t="s">
        <v>1408</v>
      </c>
      <c r="F666" s="130" t="s">
        <v>1766</v>
      </c>
      <c r="G666" s="220">
        <v>43795</v>
      </c>
      <c r="H666" s="130" t="s">
        <v>1768</v>
      </c>
      <c r="I666" s="130" t="s">
        <v>1767</v>
      </c>
      <c r="J666" s="130" t="s">
        <v>97</v>
      </c>
      <c r="K666" s="130" t="s">
        <v>98</v>
      </c>
      <c r="L666" s="174" t="s">
        <v>71</v>
      </c>
      <c r="M666" s="131" t="s">
        <v>72</v>
      </c>
      <c r="N666" s="130" t="s">
        <v>73</v>
      </c>
      <c r="O666" s="219" t="s">
        <v>99</v>
      </c>
      <c r="P666" s="130" t="s">
        <v>98</v>
      </c>
      <c r="Q666" s="132" t="s">
        <v>93</v>
      </c>
      <c r="R666" s="218">
        <v>3.4000001000000002</v>
      </c>
      <c r="S666" s="129">
        <v>1</v>
      </c>
      <c r="T666" s="129">
        <v>20</v>
      </c>
      <c r="U666" s="129">
        <v>20</v>
      </c>
      <c r="V666" s="129">
        <v>3.6</v>
      </c>
      <c r="W666" s="129">
        <v>23.6</v>
      </c>
      <c r="X666" s="27">
        <f t="shared" si="178"/>
        <v>68.000002000000009</v>
      </c>
    </row>
    <row r="667" spans="1:24" x14ac:dyDescent="0.2">
      <c r="A667" s="220">
        <v>43799</v>
      </c>
      <c r="B667" s="130" t="s">
        <v>68</v>
      </c>
      <c r="C667" s="130" t="s">
        <v>102</v>
      </c>
      <c r="D667" s="130" t="s">
        <v>700</v>
      </c>
      <c r="E667" s="130" t="s">
        <v>1408</v>
      </c>
      <c r="F667" s="130" t="s">
        <v>1766</v>
      </c>
      <c r="G667" s="220">
        <v>43795</v>
      </c>
      <c r="H667" s="130" t="s">
        <v>1768</v>
      </c>
      <c r="I667" s="130" t="s">
        <v>1767</v>
      </c>
      <c r="J667" s="130" t="s">
        <v>92</v>
      </c>
      <c r="K667" s="130" t="s">
        <v>113</v>
      </c>
      <c r="L667" s="174" t="s">
        <v>71</v>
      </c>
      <c r="M667" s="131" t="s">
        <v>72</v>
      </c>
      <c r="N667" s="130" t="s">
        <v>73</v>
      </c>
      <c r="O667" s="219" t="s">
        <v>69</v>
      </c>
      <c r="P667" s="130" t="s">
        <v>1699</v>
      </c>
      <c r="Q667" s="132" t="s">
        <v>93</v>
      </c>
      <c r="R667" s="218">
        <v>3.4000001000000002</v>
      </c>
      <c r="S667" s="129">
        <v>1</v>
      </c>
      <c r="T667" s="129">
        <v>25</v>
      </c>
      <c r="U667" s="129">
        <v>25</v>
      </c>
      <c r="V667" s="129">
        <v>4.5</v>
      </c>
      <c r="W667" s="129">
        <v>29.5</v>
      </c>
      <c r="X667" s="27">
        <f t="shared" si="178"/>
        <v>85.000002500000008</v>
      </c>
    </row>
    <row r="668" spans="1:24" x14ac:dyDescent="0.2">
      <c r="A668" s="220">
        <v>43799</v>
      </c>
      <c r="B668" s="130" t="s">
        <v>68</v>
      </c>
      <c r="C668" s="130" t="s">
        <v>102</v>
      </c>
      <c r="D668" s="130" t="s">
        <v>699</v>
      </c>
      <c r="E668" s="130" t="s">
        <v>1406</v>
      </c>
      <c r="F668" s="130" t="s">
        <v>1766</v>
      </c>
      <c r="G668" s="220">
        <v>43791</v>
      </c>
      <c r="H668" s="130" t="s">
        <v>90</v>
      </c>
      <c r="I668" s="130" t="s">
        <v>91</v>
      </c>
      <c r="J668" s="130" t="s">
        <v>97</v>
      </c>
      <c r="K668" s="130" t="s">
        <v>98</v>
      </c>
      <c r="L668" s="174" t="s">
        <v>71</v>
      </c>
      <c r="M668" s="131" t="s">
        <v>72</v>
      </c>
      <c r="N668" s="130" t="s">
        <v>73</v>
      </c>
      <c r="O668" s="219" t="s">
        <v>99</v>
      </c>
      <c r="P668" s="130" t="s">
        <v>98</v>
      </c>
      <c r="Q668" s="132" t="s">
        <v>93</v>
      </c>
      <c r="R668" s="218">
        <v>3.4000001000000002</v>
      </c>
      <c r="S668" s="129">
        <v>1</v>
      </c>
      <c r="T668" s="129">
        <v>324.5</v>
      </c>
      <c r="U668" s="129">
        <v>324.5</v>
      </c>
      <c r="V668" s="129">
        <v>58.41</v>
      </c>
      <c r="W668" s="129">
        <v>382.91</v>
      </c>
      <c r="X668" s="27">
        <f t="shared" si="178"/>
        <v>1103.3000324500001</v>
      </c>
    </row>
    <row r="669" spans="1:24" x14ac:dyDescent="0.2">
      <c r="A669" s="220">
        <v>43799</v>
      </c>
      <c r="B669" s="130" t="s">
        <v>68</v>
      </c>
      <c r="C669" s="130" t="s">
        <v>102</v>
      </c>
      <c r="D669" s="130" t="s">
        <v>699</v>
      </c>
      <c r="E669" s="130" t="s">
        <v>1406</v>
      </c>
      <c r="F669" s="130" t="s">
        <v>1766</v>
      </c>
      <c r="G669" s="220">
        <v>43791</v>
      </c>
      <c r="H669" s="130" t="s">
        <v>90</v>
      </c>
      <c r="I669" s="130" t="s">
        <v>91</v>
      </c>
      <c r="J669" s="130" t="s">
        <v>100</v>
      </c>
      <c r="K669" s="130" t="s">
        <v>101</v>
      </c>
      <c r="L669" s="174" t="s">
        <v>71</v>
      </c>
      <c r="M669" s="131" t="s">
        <v>72</v>
      </c>
      <c r="N669" s="130" t="s">
        <v>73</v>
      </c>
      <c r="O669" s="219" t="s">
        <v>72</v>
      </c>
      <c r="P669" s="130" t="s">
        <v>101</v>
      </c>
      <c r="Q669" s="132" t="s">
        <v>93</v>
      </c>
      <c r="R669" s="218">
        <v>3.4000001000000002</v>
      </c>
      <c r="S669" s="129">
        <v>1</v>
      </c>
      <c r="T669" s="129">
        <v>292.5</v>
      </c>
      <c r="U669" s="129">
        <v>292.5</v>
      </c>
      <c r="V669" s="129">
        <v>52.649990000000031</v>
      </c>
      <c r="W669" s="129">
        <v>345.14999000000006</v>
      </c>
      <c r="X669" s="27">
        <f t="shared" si="178"/>
        <v>994.50002925000001</v>
      </c>
    </row>
    <row r="670" spans="1:24" x14ac:dyDescent="0.2">
      <c r="A670" s="220">
        <v>43799</v>
      </c>
      <c r="B670" s="130" t="s">
        <v>68</v>
      </c>
      <c r="C670" s="130" t="s">
        <v>102</v>
      </c>
      <c r="D670" s="130" t="s">
        <v>699</v>
      </c>
      <c r="E670" s="130" t="s">
        <v>1406</v>
      </c>
      <c r="F670" s="130" t="s">
        <v>1766</v>
      </c>
      <c r="G670" s="220">
        <v>43791</v>
      </c>
      <c r="H670" s="130" t="s">
        <v>90</v>
      </c>
      <c r="I670" s="130" t="s">
        <v>91</v>
      </c>
      <c r="J670" s="130" t="s">
        <v>92</v>
      </c>
      <c r="K670" s="130" t="s">
        <v>113</v>
      </c>
      <c r="L670" s="174" t="s">
        <v>71</v>
      </c>
      <c r="M670" s="131" t="s">
        <v>72</v>
      </c>
      <c r="N670" s="130" t="s">
        <v>73</v>
      </c>
      <c r="O670" s="219" t="s">
        <v>69</v>
      </c>
      <c r="P670" s="130" t="s">
        <v>1699</v>
      </c>
      <c r="Q670" s="132" t="s">
        <v>93</v>
      </c>
      <c r="R670" s="218">
        <v>3.4000001000000002</v>
      </c>
      <c r="S670" s="129">
        <v>1</v>
      </c>
      <c r="T670" s="129">
        <v>30</v>
      </c>
      <c r="U670" s="129">
        <v>30</v>
      </c>
      <c r="V670" s="129">
        <v>5.4000019999999997</v>
      </c>
      <c r="W670" s="129">
        <v>35.400002000000001</v>
      </c>
      <c r="X670" s="27">
        <f t="shared" si="178"/>
        <v>102.00000300000001</v>
      </c>
    </row>
    <row r="671" spans="1:24" x14ac:dyDescent="0.2">
      <c r="A671" s="220">
        <v>43799</v>
      </c>
      <c r="B671" s="130" t="s">
        <v>68</v>
      </c>
      <c r="C671" s="130" t="s">
        <v>102</v>
      </c>
      <c r="D671" s="130" t="s">
        <v>699</v>
      </c>
      <c r="E671" s="130" t="s">
        <v>1406</v>
      </c>
      <c r="F671" s="130" t="s">
        <v>1766</v>
      </c>
      <c r="G671" s="220">
        <v>43791</v>
      </c>
      <c r="H671" s="130" t="s">
        <v>90</v>
      </c>
      <c r="I671" s="130" t="s">
        <v>91</v>
      </c>
      <c r="J671" s="130" t="s">
        <v>70</v>
      </c>
      <c r="K671" s="130" t="s">
        <v>112</v>
      </c>
      <c r="L671" s="174" t="s">
        <v>71</v>
      </c>
      <c r="M671" s="131" t="s">
        <v>72</v>
      </c>
      <c r="N671" s="130" t="s">
        <v>73</v>
      </c>
      <c r="O671" s="219" t="s">
        <v>69</v>
      </c>
      <c r="P671" s="130" t="s">
        <v>1699</v>
      </c>
      <c r="Q671" s="132" t="s">
        <v>93</v>
      </c>
      <c r="R671" s="218">
        <v>3.4000001000000002</v>
      </c>
      <c r="S671" s="129">
        <v>1</v>
      </c>
      <c r="T671" s="129">
        <v>30</v>
      </c>
      <c r="U671" s="129">
        <v>30</v>
      </c>
      <c r="V671" s="129">
        <v>5.4000019999999997</v>
      </c>
      <c r="W671" s="129">
        <v>35.400002000000001</v>
      </c>
      <c r="X671" s="27">
        <f t="shared" si="178"/>
        <v>102.00000300000001</v>
      </c>
    </row>
    <row r="672" spans="1:24" x14ac:dyDescent="0.2">
      <c r="A672" s="220">
        <v>43799</v>
      </c>
      <c r="B672" s="130" t="s">
        <v>68</v>
      </c>
      <c r="C672" s="130" t="s">
        <v>102</v>
      </c>
      <c r="D672" s="130" t="s">
        <v>699</v>
      </c>
      <c r="E672" s="130" t="s">
        <v>1406</v>
      </c>
      <c r="F672" s="130" t="s">
        <v>1766</v>
      </c>
      <c r="G672" s="220">
        <v>43791</v>
      </c>
      <c r="H672" s="130" t="s">
        <v>90</v>
      </c>
      <c r="I672" s="130" t="s">
        <v>91</v>
      </c>
      <c r="J672" s="130" t="s">
        <v>95</v>
      </c>
      <c r="K672" s="130" t="s">
        <v>96</v>
      </c>
      <c r="L672" s="174" t="s">
        <v>71</v>
      </c>
      <c r="M672" s="131" t="s">
        <v>72</v>
      </c>
      <c r="N672" s="130" t="s">
        <v>73</v>
      </c>
      <c r="O672" s="219" t="s">
        <v>69</v>
      </c>
      <c r="P672" s="130" t="s">
        <v>1699</v>
      </c>
      <c r="Q672" s="132" t="s">
        <v>93</v>
      </c>
      <c r="R672" s="218">
        <v>3.4000001000000002</v>
      </c>
      <c r="S672" s="129">
        <v>-1</v>
      </c>
      <c r="T672" s="129">
        <v>100</v>
      </c>
      <c r="U672" s="129">
        <v>-100</v>
      </c>
      <c r="V672" s="129">
        <v>-18</v>
      </c>
      <c r="W672" s="129">
        <v>-118</v>
      </c>
      <c r="X672" s="27">
        <f t="shared" si="178"/>
        <v>-340.00001000000003</v>
      </c>
    </row>
    <row r="673" spans="1:24" x14ac:dyDescent="0.2">
      <c r="A673" s="220">
        <v>43799</v>
      </c>
      <c r="B673" s="130" t="s">
        <v>68</v>
      </c>
      <c r="C673" s="130" t="s">
        <v>102</v>
      </c>
      <c r="D673" s="130" t="s">
        <v>699</v>
      </c>
      <c r="E673" s="130" t="s">
        <v>1406</v>
      </c>
      <c r="F673" s="130" t="s">
        <v>1766</v>
      </c>
      <c r="G673" s="220">
        <v>43791</v>
      </c>
      <c r="H673" s="130" t="s">
        <v>90</v>
      </c>
      <c r="I673" s="130" t="s">
        <v>91</v>
      </c>
      <c r="J673" s="130" t="s">
        <v>104</v>
      </c>
      <c r="K673" s="130" t="s">
        <v>105</v>
      </c>
      <c r="L673" s="174" t="s">
        <v>71</v>
      </c>
      <c r="M673" s="131" t="s">
        <v>72</v>
      </c>
      <c r="N673" s="130" t="s">
        <v>73</v>
      </c>
      <c r="O673" s="219" t="s">
        <v>69</v>
      </c>
      <c r="P673" s="130" t="s">
        <v>1699</v>
      </c>
      <c r="Q673" s="132" t="s">
        <v>93</v>
      </c>
      <c r="R673" s="218">
        <v>3.4000001000000002</v>
      </c>
      <c r="S673" s="129">
        <v>1</v>
      </c>
      <c r="T673" s="129">
        <v>0</v>
      </c>
      <c r="U673" s="129">
        <v>0</v>
      </c>
      <c r="V673" s="129">
        <v>0</v>
      </c>
      <c r="W673" s="129">
        <v>0</v>
      </c>
      <c r="X673" s="27">
        <f t="shared" si="178"/>
        <v>0</v>
      </c>
    </row>
    <row r="674" spans="1:24" x14ac:dyDescent="0.2">
      <c r="A674" s="220">
        <v>43771</v>
      </c>
      <c r="B674" s="130" t="s">
        <v>111</v>
      </c>
      <c r="C674" s="130" t="s">
        <v>102</v>
      </c>
      <c r="D674" s="130" t="s">
        <v>672</v>
      </c>
      <c r="E674" s="130" t="s">
        <v>884</v>
      </c>
      <c r="F674" s="130" t="s">
        <v>1225</v>
      </c>
      <c r="G674" s="220">
        <v>43761</v>
      </c>
      <c r="H674" s="130" t="s">
        <v>1765</v>
      </c>
      <c r="I674" s="130" t="s">
        <v>1764</v>
      </c>
      <c r="J674" s="130" t="s">
        <v>95</v>
      </c>
      <c r="K674" s="130" t="s">
        <v>96</v>
      </c>
      <c r="L674" s="174" t="s">
        <v>71</v>
      </c>
      <c r="M674" s="131" t="s">
        <v>72</v>
      </c>
      <c r="N674" s="130" t="s">
        <v>73</v>
      </c>
      <c r="O674" s="219" t="s">
        <v>69</v>
      </c>
      <c r="P674" s="130" t="s">
        <v>1699</v>
      </c>
      <c r="Q674" s="132" t="s">
        <v>93</v>
      </c>
      <c r="R674" s="218">
        <v>3.3490000000000002</v>
      </c>
      <c r="S674" s="129">
        <v>1</v>
      </c>
      <c r="T674" s="129">
        <v>50</v>
      </c>
      <c r="U674" s="129">
        <v>50</v>
      </c>
      <c r="V674" s="129">
        <v>9</v>
      </c>
      <c r="W674" s="129">
        <v>59</v>
      </c>
      <c r="X674" s="27">
        <f t="shared" si="178"/>
        <v>167.45000000000002</v>
      </c>
    </row>
    <row r="675" spans="1:24" x14ac:dyDescent="0.2">
      <c r="A675" s="220">
        <v>43771</v>
      </c>
      <c r="B675" s="130" t="s">
        <v>111</v>
      </c>
      <c r="C675" s="130" t="s">
        <v>102</v>
      </c>
      <c r="D675" s="130" t="s">
        <v>671</v>
      </c>
      <c r="E675" s="130" t="s">
        <v>1763</v>
      </c>
      <c r="F675" s="130" t="s">
        <v>1762</v>
      </c>
      <c r="G675" s="220">
        <v>43771</v>
      </c>
      <c r="H675" s="130" t="s">
        <v>1761</v>
      </c>
      <c r="I675" s="130" t="s">
        <v>1760</v>
      </c>
      <c r="J675" s="130" t="s">
        <v>70</v>
      </c>
      <c r="K675" s="130" t="s">
        <v>112</v>
      </c>
      <c r="L675" s="174" t="s">
        <v>71</v>
      </c>
      <c r="M675" s="131" t="s">
        <v>72</v>
      </c>
      <c r="N675" s="130" t="s">
        <v>73</v>
      </c>
      <c r="O675" s="219" t="s">
        <v>69</v>
      </c>
      <c r="P675" s="130" t="s">
        <v>1699</v>
      </c>
      <c r="Q675" s="132" t="s">
        <v>74</v>
      </c>
      <c r="R675" s="218">
        <v>3.3490000000000002</v>
      </c>
      <c r="S675" s="129">
        <v>1</v>
      </c>
      <c r="T675" s="129">
        <v>211.87289000000001</v>
      </c>
      <c r="U675" s="129">
        <v>211.87289000000001</v>
      </c>
      <c r="V675" s="129">
        <v>38.137099999999954</v>
      </c>
      <c r="W675" s="129">
        <v>250.00998999999996</v>
      </c>
      <c r="X675" s="27">
        <f t="shared" si="178"/>
        <v>211.87289000000001</v>
      </c>
    </row>
    <row r="676" spans="1:24" x14ac:dyDescent="0.2">
      <c r="A676" s="220">
        <v>43771</v>
      </c>
      <c r="B676" s="130" t="s">
        <v>111</v>
      </c>
      <c r="C676" s="130" t="s">
        <v>102</v>
      </c>
      <c r="D676" s="130" t="s">
        <v>671</v>
      </c>
      <c r="E676" s="130" t="s">
        <v>1763</v>
      </c>
      <c r="F676" s="130" t="s">
        <v>1762</v>
      </c>
      <c r="G676" s="220">
        <v>43771</v>
      </c>
      <c r="H676" s="130" t="s">
        <v>1761</v>
      </c>
      <c r="I676" s="130" t="s">
        <v>1760</v>
      </c>
      <c r="J676" s="130" t="s">
        <v>104</v>
      </c>
      <c r="K676" s="130" t="s">
        <v>105</v>
      </c>
      <c r="L676" s="174" t="s">
        <v>71</v>
      </c>
      <c r="M676" s="131" t="s">
        <v>72</v>
      </c>
      <c r="N676" s="130" t="s">
        <v>73</v>
      </c>
      <c r="O676" s="219" t="s">
        <v>69</v>
      </c>
      <c r="P676" s="130" t="s">
        <v>1699</v>
      </c>
      <c r="Q676" s="132" t="s">
        <v>74</v>
      </c>
      <c r="R676" s="218">
        <v>3.3490000000000002</v>
      </c>
      <c r="S676" s="129">
        <v>1</v>
      </c>
      <c r="T676" s="129">
        <v>0</v>
      </c>
      <c r="U676" s="129">
        <v>0</v>
      </c>
      <c r="V676" s="129">
        <v>0</v>
      </c>
      <c r="W676" s="129">
        <v>0</v>
      </c>
      <c r="X676" s="27">
        <f t="shared" si="178"/>
        <v>0</v>
      </c>
    </row>
    <row r="677" spans="1:24" x14ac:dyDescent="0.2">
      <c r="A677" s="220">
        <v>43773</v>
      </c>
      <c r="B677" s="130" t="s">
        <v>111</v>
      </c>
      <c r="C677" s="130" t="s">
        <v>102</v>
      </c>
      <c r="D677" s="130" t="s">
        <v>670</v>
      </c>
      <c r="E677" s="130" t="s">
        <v>886</v>
      </c>
      <c r="F677" s="130" t="s">
        <v>1759</v>
      </c>
      <c r="G677" s="220">
        <v>43760</v>
      </c>
      <c r="H677" s="130" t="s">
        <v>1758</v>
      </c>
      <c r="I677" s="130" t="s">
        <v>1757</v>
      </c>
      <c r="J677" s="130" t="s">
        <v>95</v>
      </c>
      <c r="K677" s="130" t="s">
        <v>96</v>
      </c>
      <c r="L677" s="174" t="s">
        <v>71</v>
      </c>
      <c r="M677" s="131" t="s">
        <v>72</v>
      </c>
      <c r="N677" s="130" t="s">
        <v>73</v>
      </c>
      <c r="O677" s="219" t="s">
        <v>69</v>
      </c>
      <c r="P677" s="130" t="s">
        <v>1699</v>
      </c>
      <c r="Q677" s="132" t="s">
        <v>93</v>
      </c>
      <c r="R677" s="218">
        <v>3.3490000000000002</v>
      </c>
      <c r="S677" s="129">
        <v>1</v>
      </c>
      <c r="T677" s="129">
        <v>100</v>
      </c>
      <c r="U677" s="129">
        <v>100</v>
      </c>
      <c r="V677" s="129">
        <v>18</v>
      </c>
      <c r="W677" s="129">
        <v>118</v>
      </c>
      <c r="X677" s="27">
        <f t="shared" si="178"/>
        <v>334.90000000000003</v>
      </c>
    </row>
    <row r="678" spans="1:24" x14ac:dyDescent="0.2">
      <c r="A678" s="220">
        <v>43774</v>
      </c>
      <c r="B678" s="130" t="s">
        <v>111</v>
      </c>
      <c r="C678" s="130" t="s">
        <v>102</v>
      </c>
      <c r="D678" s="130" t="s">
        <v>669</v>
      </c>
      <c r="E678" s="130" t="s">
        <v>875</v>
      </c>
      <c r="F678" s="130" t="s">
        <v>908</v>
      </c>
      <c r="G678" s="220">
        <v>43762</v>
      </c>
      <c r="H678" s="130" t="s">
        <v>1756</v>
      </c>
      <c r="I678" s="130" t="s">
        <v>1755</v>
      </c>
      <c r="J678" s="130" t="s">
        <v>95</v>
      </c>
      <c r="K678" s="130" t="s">
        <v>96</v>
      </c>
      <c r="L678" s="174" t="s">
        <v>71</v>
      </c>
      <c r="M678" s="131" t="s">
        <v>72</v>
      </c>
      <c r="N678" s="130" t="s">
        <v>73</v>
      </c>
      <c r="O678" s="219" t="s">
        <v>69</v>
      </c>
      <c r="P678" s="130" t="s">
        <v>1699</v>
      </c>
      <c r="Q678" s="132" t="s">
        <v>93</v>
      </c>
      <c r="R678" s="218">
        <v>3.3359999999999999</v>
      </c>
      <c r="S678" s="129">
        <v>1</v>
      </c>
      <c r="T678" s="129">
        <v>150</v>
      </c>
      <c r="U678" s="129">
        <v>150</v>
      </c>
      <c r="V678" s="129">
        <v>27</v>
      </c>
      <c r="W678" s="129">
        <v>177</v>
      </c>
      <c r="X678" s="27">
        <f t="shared" si="178"/>
        <v>500.4</v>
      </c>
    </row>
    <row r="679" spans="1:24" x14ac:dyDescent="0.2">
      <c r="A679" s="220">
        <v>43774</v>
      </c>
      <c r="B679" s="130" t="s">
        <v>111</v>
      </c>
      <c r="C679" s="130" t="s">
        <v>102</v>
      </c>
      <c r="D679" s="130" t="s">
        <v>668</v>
      </c>
      <c r="E679" s="130" t="s">
        <v>881</v>
      </c>
      <c r="F679" s="130" t="s">
        <v>909</v>
      </c>
      <c r="G679" s="220">
        <v>43766</v>
      </c>
      <c r="H679" s="130" t="s">
        <v>1754</v>
      </c>
      <c r="I679" s="130" t="s">
        <v>1753</v>
      </c>
      <c r="J679" s="130" t="s">
        <v>70</v>
      </c>
      <c r="K679" s="130" t="s">
        <v>112</v>
      </c>
      <c r="L679" s="174" t="s">
        <v>71</v>
      </c>
      <c r="M679" s="131" t="s">
        <v>72</v>
      </c>
      <c r="N679" s="130" t="s">
        <v>73</v>
      </c>
      <c r="O679" s="219" t="s">
        <v>69</v>
      </c>
      <c r="P679" s="130" t="s">
        <v>1699</v>
      </c>
      <c r="Q679" s="132" t="s">
        <v>74</v>
      </c>
      <c r="R679" s="218">
        <v>3.3359999999999999</v>
      </c>
      <c r="S679" s="129">
        <v>1</v>
      </c>
      <c r="T679" s="129">
        <v>150</v>
      </c>
      <c r="U679" s="129">
        <v>150</v>
      </c>
      <c r="V679" s="129">
        <v>27</v>
      </c>
      <c r="W679" s="129">
        <v>177</v>
      </c>
      <c r="X679" s="27">
        <f t="shared" si="178"/>
        <v>150</v>
      </c>
    </row>
    <row r="680" spans="1:24" x14ac:dyDescent="0.2">
      <c r="A680" s="220">
        <v>43774</v>
      </c>
      <c r="B680" s="130" t="s">
        <v>111</v>
      </c>
      <c r="C680" s="130" t="s">
        <v>102</v>
      </c>
      <c r="D680" s="130" t="s">
        <v>668</v>
      </c>
      <c r="E680" s="130" t="s">
        <v>881</v>
      </c>
      <c r="F680" s="130" t="s">
        <v>909</v>
      </c>
      <c r="G680" s="220">
        <v>43766</v>
      </c>
      <c r="H680" s="130" t="s">
        <v>1754</v>
      </c>
      <c r="I680" s="130" t="s">
        <v>1753</v>
      </c>
      <c r="J680" s="130" t="s">
        <v>104</v>
      </c>
      <c r="K680" s="130" t="s">
        <v>105</v>
      </c>
      <c r="L680" s="174" t="s">
        <v>71</v>
      </c>
      <c r="M680" s="131" t="s">
        <v>72</v>
      </c>
      <c r="N680" s="130" t="s">
        <v>73</v>
      </c>
      <c r="O680" s="219" t="s">
        <v>69</v>
      </c>
      <c r="P680" s="130" t="s">
        <v>1699</v>
      </c>
      <c r="Q680" s="132" t="s">
        <v>74</v>
      </c>
      <c r="R680" s="218">
        <v>3.3359999999999999</v>
      </c>
      <c r="S680" s="129">
        <v>1</v>
      </c>
      <c r="T680" s="129">
        <v>0</v>
      </c>
      <c r="U680" s="129">
        <v>0</v>
      </c>
      <c r="V680" s="129">
        <v>0</v>
      </c>
      <c r="W680" s="129">
        <v>0</v>
      </c>
      <c r="X680" s="27">
        <f t="shared" si="178"/>
        <v>0</v>
      </c>
    </row>
    <row r="681" spans="1:24" x14ac:dyDescent="0.2">
      <c r="A681" s="220">
        <v>43776</v>
      </c>
      <c r="B681" s="130" t="s">
        <v>111</v>
      </c>
      <c r="C681" s="130" t="s">
        <v>102</v>
      </c>
      <c r="D681" s="130" t="s">
        <v>667</v>
      </c>
      <c r="E681" s="130" t="s">
        <v>903</v>
      </c>
      <c r="F681" s="130" t="s">
        <v>924</v>
      </c>
      <c r="G681" s="220">
        <v>43767</v>
      </c>
      <c r="H681" s="130" t="s">
        <v>1752</v>
      </c>
      <c r="I681" s="130" t="s">
        <v>1751</v>
      </c>
      <c r="J681" s="130" t="s">
        <v>95</v>
      </c>
      <c r="K681" s="130" t="s">
        <v>96</v>
      </c>
      <c r="L681" s="174" t="s">
        <v>71</v>
      </c>
      <c r="M681" s="131" t="s">
        <v>72</v>
      </c>
      <c r="N681" s="130" t="s">
        <v>73</v>
      </c>
      <c r="O681" s="219" t="s">
        <v>69</v>
      </c>
      <c r="P681" s="130" t="s">
        <v>1699</v>
      </c>
      <c r="Q681" s="132" t="s">
        <v>93</v>
      </c>
      <c r="R681" s="218">
        <v>3.3410001</v>
      </c>
      <c r="S681" s="129">
        <v>1</v>
      </c>
      <c r="T681" s="129">
        <v>100</v>
      </c>
      <c r="U681" s="129">
        <v>100</v>
      </c>
      <c r="V681" s="129">
        <v>18</v>
      </c>
      <c r="W681" s="129">
        <v>118</v>
      </c>
      <c r="X681" s="27">
        <f t="shared" si="178"/>
        <v>334.10001</v>
      </c>
    </row>
    <row r="682" spans="1:24" x14ac:dyDescent="0.2">
      <c r="A682" s="220">
        <v>43776</v>
      </c>
      <c r="B682" s="130" t="s">
        <v>111</v>
      </c>
      <c r="C682" s="130" t="s">
        <v>102</v>
      </c>
      <c r="D682" s="130" t="s">
        <v>666</v>
      </c>
      <c r="E682" s="130" t="s">
        <v>892</v>
      </c>
      <c r="F682" s="130" t="s">
        <v>975</v>
      </c>
      <c r="G682" s="220">
        <v>43768</v>
      </c>
      <c r="H682" s="130" t="s">
        <v>1749</v>
      </c>
      <c r="I682" s="130" t="s">
        <v>1748</v>
      </c>
      <c r="J682" s="130" t="s">
        <v>70</v>
      </c>
      <c r="K682" s="130" t="s">
        <v>112</v>
      </c>
      <c r="L682" s="174" t="s">
        <v>71</v>
      </c>
      <c r="M682" s="131" t="s">
        <v>72</v>
      </c>
      <c r="N682" s="130" t="s">
        <v>73</v>
      </c>
      <c r="O682" s="219" t="s">
        <v>69</v>
      </c>
      <c r="P682" s="130" t="s">
        <v>1699</v>
      </c>
      <c r="Q682" s="132" t="s">
        <v>74</v>
      </c>
      <c r="R682" s="218">
        <v>3.3410001</v>
      </c>
      <c r="S682" s="129">
        <v>1</v>
      </c>
      <c r="T682" s="129">
        <v>427</v>
      </c>
      <c r="U682" s="129">
        <v>427</v>
      </c>
      <c r="V682" s="129">
        <v>76.859990000000039</v>
      </c>
      <c r="W682" s="129">
        <v>503.85999000000004</v>
      </c>
      <c r="X682" s="27">
        <f t="shared" si="178"/>
        <v>427</v>
      </c>
    </row>
    <row r="683" spans="1:24" x14ac:dyDescent="0.2">
      <c r="A683" s="220">
        <v>43776</v>
      </c>
      <c r="B683" s="130" t="s">
        <v>111</v>
      </c>
      <c r="C683" s="130" t="s">
        <v>102</v>
      </c>
      <c r="D683" s="130" t="s">
        <v>666</v>
      </c>
      <c r="E683" s="130" t="s">
        <v>892</v>
      </c>
      <c r="F683" s="130" t="s">
        <v>975</v>
      </c>
      <c r="G683" s="220">
        <v>43768</v>
      </c>
      <c r="H683" s="130" t="s">
        <v>1749</v>
      </c>
      <c r="I683" s="130" t="s">
        <v>1748</v>
      </c>
      <c r="J683" s="130" t="s">
        <v>104</v>
      </c>
      <c r="K683" s="130" t="s">
        <v>105</v>
      </c>
      <c r="L683" s="174" t="s">
        <v>71</v>
      </c>
      <c r="M683" s="131" t="s">
        <v>72</v>
      </c>
      <c r="N683" s="130" t="s">
        <v>73</v>
      </c>
      <c r="O683" s="219" t="s">
        <v>69</v>
      </c>
      <c r="P683" s="130" t="s">
        <v>1699</v>
      </c>
      <c r="Q683" s="132" t="s">
        <v>74</v>
      </c>
      <c r="R683" s="218">
        <v>3.3410001</v>
      </c>
      <c r="S683" s="129">
        <v>1</v>
      </c>
      <c r="T683" s="129">
        <v>675.4237099999998</v>
      </c>
      <c r="U683" s="129">
        <v>675.4237099999998</v>
      </c>
      <c r="V683" s="129">
        <v>121.57629000000016</v>
      </c>
      <c r="W683" s="129">
        <v>797</v>
      </c>
      <c r="X683" s="27">
        <f t="shared" si="178"/>
        <v>675.4237099999998</v>
      </c>
    </row>
    <row r="684" spans="1:24" x14ac:dyDescent="0.2">
      <c r="A684" s="220">
        <v>43776</v>
      </c>
      <c r="B684" s="130" t="s">
        <v>111</v>
      </c>
      <c r="C684" s="130" t="s">
        <v>102</v>
      </c>
      <c r="D684" s="130" t="s">
        <v>665</v>
      </c>
      <c r="E684" s="130" t="s">
        <v>1750</v>
      </c>
      <c r="F684" s="130" t="s">
        <v>975</v>
      </c>
      <c r="G684" s="220">
        <v>43763</v>
      </c>
      <c r="H684" s="130" t="s">
        <v>1749</v>
      </c>
      <c r="I684" s="130" t="s">
        <v>1748</v>
      </c>
      <c r="J684" s="130" t="s">
        <v>70</v>
      </c>
      <c r="K684" s="130" t="s">
        <v>112</v>
      </c>
      <c r="L684" s="174" t="s">
        <v>71</v>
      </c>
      <c r="M684" s="131" t="s">
        <v>72</v>
      </c>
      <c r="N684" s="130" t="s">
        <v>73</v>
      </c>
      <c r="O684" s="219" t="s">
        <v>69</v>
      </c>
      <c r="P684" s="130" t="s">
        <v>1699</v>
      </c>
      <c r="Q684" s="132" t="s">
        <v>74</v>
      </c>
      <c r="R684" s="218">
        <v>3.3410001</v>
      </c>
      <c r="S684" s="129">
        <v>1</v>
      </c>
      <c r="T684" s="129">
        <v>211.87289000000001</v>
      </c>
      <c r="U684" s="129">
        <v>211.87289000000001</v>
      </c>
      <c r="V684" s="129">
        <v>38.137099999999954</v>
      </c>
      <c r="W684" s="129">
        <v>250.00998999999996</v>
      </c>
      <c r="X684" s="27">
        <f t="shared" si="178"/>
        <v>211.87289000000001</v>
      </c>
    </row>
    <row r="685" spans="1:24" x14ac:dyDescent="0.2">
      <c r="A685" s="220">
        <v>43776</v>
      </c>
      <c r="B685" s="130" t="s">
        <v>111</v>
      </c>
      <c r="C685" s="130" t="s">
        <v>102</v>
      </c>
      <c r="D685" s="130" t="s">
        <v>665</v>
      </c>
      <c r="E685" s="130" t="s">
        <v>1750</v>
      </c>
      <c r="F685" s="130" t="s">
        <v>975</v>
      </c>
      <c r="G685" s="220">
        <v>43763</v>
      </c>
      <c r="H685" s="130" t="s">
        <v>1749</v>
      </c>
      <c r="I685" s="130" t="s">
        <v>1748</v>
      </c>
      <c r="J685" s="130" t="s">
        <v>104</v>
      </c>
      <c r="K685" s="130" t="s">
        <v>105</v>
      </c>
      <c r="L685" s="174" t="s">
        <v>71</v>
      </c>
      <c r="M685" s="131" t="s">
        <v>72</v>
      </c>
      <c r="N685" s="130" t="s">
        <v>73</v>
      </c>
      <c r="O685" s="219" t="s">
        <v>69</v>
      </c>
      <c r="P685" s="130" t="s">
        <v>1699</v>
      </c>
      <c r="Q685" s="132" t="s">
        <v>74</v>
      </c>
      <c r="R685" s="218">
        <v>3.3410001</v>
      </c>
      <c r="S685" s="129">
        <v>1</v>
      </c>
      <c r="T685" s="129">
        <v>0</v>
      </c>
      <c r="U685" s="129">
        <v>0</v>
      </c>
      <c r="V685" s="129">
        <v>0</v>
      </c>
      <c r="W685" s="129">
        <v>0</v>
      </c>
      <c r="X685" s="27">
        <f t="shared" si="178"/>
        <v>0</v>
      </c>
    </row>
    <row r="686" spans="1:24" x14ac:dyDescent="0.2">
      <c r="A686" s="220">
        <v>43777</v>
      </c>
      <c r="B686" s="130" t="s">
        <v>111</v>
      </c>
      <c r="C686" s="130" t="s">
        <v>102</v>
      </c>
      <c r="D686" s="130" t="s">
        <v>664</v>
      </c>
      <c r="E686" s="130" t="s">
        <v>926</v>
      </c>
      <c r="F686" s="130" t="s">
        <v>927</v>
      </c>
      <c r="G686" s="220">
        <v>43763</v>
      </c>
      <c r="H686" s="130" t="s">
        <v>1747</v>
      </c>
      <c r="I686" s="130" t="s">
        <v>1746</v>
      </c>
      <c r="J686" s="130" t="s">
        <v>95</v>
      </c>
      <c r="K686" s="130" t="s">
        <v>96</v>
      </c>
      <c r="L686" s="174" t="s">
        <v>71</v>
      </c>
      <c r="M686" s="131" t="s">
        <v>72</v>
      </c>
      <c r="N686" s="130" t="s">
        <v>73</v>
      </c>
      <c r="O686" s="219" t="s">
        <v>69</v>
      </c>
      <c r="P686" s="130" t="s">
        <v>1699</v>
      </c>
      <c r="Q686" s="132" t="s">
        <v>93</v>
      </c>
      <c r="R686" s="218">
        <v>3.3450000000000002</v>
      </c>
      <c r="S686" s="129">
        <v>1</v>
      </c>
      <c r="T686" s="129">
        <v>100</v>
      </c>
      <c r="U686" s="129">
        <v>100</v>
      </c>
      <c r="V686" s="129">
        <v>18</v>
      </c>
      <c r="W686" s="129">
        <v>118</v>
      </c>
      <c r="X686" s="27">
        <f t="shared" si="178"/>
        <v>334.5</v>
      </c>
    </row>
    <row r="687" spans="1:24" x14ac:dyDescent="0.2">
      <c r="A687" s="220">
        <v>43781</v>
      </c>
      <c r="B687" s="130" t="s">
        <v>111</v>
      </c>
      <c r="C687" s="130" t="s">
        <v>102</v>
      </c>
      <c r="D687" s="130" t="s">
        <v>663</v>
      </c>
      <c r="E687" s="130" t="s">
        <v>901</v>
      </c>
      <c r="F687" s="130" t="s">
        <v>1228</v>
      </c>
      <c r="G687" s="220">
        <v>43767</v>
      </c>
      <c r="H687" s="130" t="s">
        <v>1745</v>
      </c>
      <c r="I687" s="130" t="s">
        <v>1744</v>
      </c>
      <c r="J687" s="130" t="s">
        <v>95</v>
      </c>
      <c r="K687" s="130" t="s">
        <v>96</v>
      </c>
      <c r="L687" s="174" t="s">
        <v>71</v>
      </c>
      <c r="M687" s="131" t="s">
        <v>72</v>
      </c>
      <c r="N687" s="130" t="s">
        <v>73</v>
      </c>
      <c r="O687" s="219" t="s">
        <v>69</v>
      </c>
      <c r="P687" s="130" t="s">
        <v>1699</v>
      </c>
      <c r="Q687" s="132" t="s">
        <v>93</v>
      </c>
      <c r="R687" s="218">
        <v>3.3640001000000002</v>
      </c>
      <c r="S687" s="129">
        <v>1</v>
      </c>
      <c r="T687" s="129">
        <v>215.27968999999996</v>
      </c>
      <c r="U687" s="129">
        <v>215.27968999999996</v>
      </c>
      <c r="V687" s="129">
        <v>38.750310000000027</v>
      </c>
      <c r="W687" s="129">
        <v>254.03</v>
      </c>
      <c r="X687" s="27">
        <f t="shared" si="178"/>
        <v>724.2008986879689</v>
      </c>
    </row>
    <row r="688" spans="1:24" x14ac:dyDescent="0.2">
      <c r="A688" s="220">
        <v>43781</v>
      </c>
      <c r="B688" s="130" t="s">
        <v>111</v>
      </c>
      <c r="C688" s="130" t="s">
        <v>102</v>
      </c>
      <c r="D688" s="130" t="s">
        <v>662</v>
      </c>
      <c r="E688" s="130" t="s">
        <v>1254</v>
      </c>
      <c r="F688" s="130" t="s">
        <v>1023</v>
      </c>
      <c r="G688" s="220">
        <v>43775</v>
      </c>
      <c r="H688" s="130" t="s">
        <v>1742</v>
      </c>
      <c r="I688" s="130" t="s">
        <v>1741</v>
      </c>
      <c r="J688" s="130" t="s">
        <v>70</v>
      </c>
      <c r="K688" s="130" t="s">
        <v>112</v>
      </c>
      <c r="L688" s="174" t="s">
        <v>71</v>
      </c>
      <c r="M688" s="131" t="s">
        <v>72</v>
      </c>
      <c r="N688" s="130" t="s">
        <v>73</v>
      </c>
      <c r="O688" s="219" t="s">
        <v>69</v>
      </c>
      <c r="P688" s="130" t="s">
        <v>1699</v>
      </c>
      <c r="Q688" s="132" t="s">
        <v>74</v>
      </c>
      <c r="R688" s="218">
        <v>3.3640001000000002</v>
      </c>
      <c r="S688" s="129">
        <v>1</v>
      </c>
      <c r="T688" s="129">
        <v>449</v>
      </c>
      <c r="U688" s="129">
        <v>449</v>
      </c>
      <c r="V688" s="129">
        <v>80.82001000000011</v>
      </c>
      <c r="W688" s="129">
        <v>529.82001000000014</v>
      </c>
      <c r="X688" s="27">
        <f t="shared" si="178"/>
        <v>449</v>
      </c>
    </row>
    <row r="689" spans="1:24" x14ac:dyDescent="0.2">
      <c r="A689" s="220">
        <v>43781</v>
      </c>
      <c r="B689" s="130" t="s">
        <v>111</v>
      </c>
      <c r="C689" s="130" t="s">
        <v>102</v>
      </c>
      <c r="D689" s="130" t="s">
        <v>662</v>
      </c>
      <c r="E689" s="130" t="s">
        <v>1254</v>
      </c>
      <c r="F689" s="130" t="s">
        <v>1023</v>
      </c>
      <c r="G689" s="220">
        <v>43775</v>
      </c>
      <c r="H689" s="130" t="s">
        <v>1742</v>
      </c>
      <c r="I689" s="130" t="s">
        <v>1741</v>
      </c>
      <c r="J689" s="130" t="s">
        <v>104</v>
      </c>
      <c r="K689" s="130" t="s">
        <v>105</v>
      </c>
      <c r="L689" s="174" t="s">
        <v>71</v>
      </c>
      <c r="M689" s="131" t="s">
        <v>72</v>
      </c>
      <c r="N689" s="130" t="s">
        <v>73</v>
      </c>
      <c r="O689" s="219" t="s">
        <v>69</v>
      </c>
      <c r="P689" s="130" t="s">
        <v>1699</v>
      </c>
      <c r="Q689" s="132" t="s">
        <v>74</v>
      </c>
      <c r="R689" s="218">
        <v>3.3640001000000002</v>
      </c>
      <c r="S689" s="129">
        <v>1</v>
      </c>
      <c r="T689" s="129">
        <v>0</v>
      </c>
      <c r="U689" s="129">
        <v>0</v>
      </c>
      <c r="V689" s="129">
        <v>0</v>
      </c>
      <c r="W689" s="129">
        <v>0</v>
      </c>
      <c r="X689" s="27">
        <f t="shared" si="178"/>
        <v>0</v>
      </c>
    </row>
    <row r="690" spans="1:24" x14ac:dyDescent="0.2">
      <c r="A690" s="220">
        <v>43781</v>
      </c>
      <c r="B690" s="130" t="s">
        <v>111</v>
      </c>
      <c r="C690" s="130" t="s">
        <v>102</v>
      </c>
      <c r="D690" s="130" t="s">
        <v>661</v>
      </c>
      <c r="E690" s="130" t="s">
        <v>1318</v>
      </c>
      <c r="F690" s="130" t="s">
        <v>1023</v>
      </c>
      <c r="G690" s="220">
        <v>43777</v>
      </c>
      <c r="H690" s="130" t="s">
        <v>1742</v>
      </c>
      <c r="I690" s="130" t="s">
        <v>1741</v>
      </c>
      <c r="J690" s="130" t="s">
        <v>92</v>
      </c>
      <c r="K690" s="130" t="s">
        <v>1743</v>
      </c>
      <c r="L690" s="174" t="s">
        <v>71</v>
      </c>
      <c r="M690" s="131" t="s">
        <v>72</v>
      </c>
      <c r="N690" s="130" t="s">
        <v>73</v>
      </c>
      <c r="O690" s="219" t="s">
        <v>69</v>
      </c>
      <c r="P690" s="130" t="s">
        <v>1699</v>
      </c>
      <c r="Q690" s="132" t="s">
        <v>74</v>
      </c>
      <c r="R690" s="218">
        <v>3.3640001000000002</v>
      </c>
      <c r="S690" s="129">
        <v>1</v>
      </c>
      <c r="T690" s="129">
        <v>50</v>
      </c>
      <c r="U690" s="129">
        <v>50</v>
      </c>
      <c r="V690" s="129">
        <v>9</v>
      </c>
      <c r="W690" s="129">
        <v>59</v>
      </c>
      <c r="X690" s="27">
        <f t="shared" si="178"/>
        <v>50</v>
      </c>
    </row>
    <row r="691" spans="1:24" x14ac:dyDescent="0.2">
      <c r="A691" s="220">
        <v>43781</v>
      </c>
      <c r="B691" s="130" t="s">
        <v>111</v>
      </c>
      <c r="C691" s="130" t="s">
        <v>102</v>
      </c>
      <c r="D691" s="130" t="s">
        <v>661</v>
      </c>
      <c r="E691" s="130" t="s">
        <v>1318</v>
      </c>
      <c r="F691" s="130" t="s">
        <v>1023</v>
      </c>
      <c r="G691" s="220">
        <v>43777</v>
      </c>
      <c r="H691" s="130" t="s">
        <v>1742</v>
      </c>
      <c r="I691" s="130" t="s">
        <v>1741</v>
      </c>
      <c r="J691" s="130" t="s">
        <v>70</v>
      </c>
      <c r="K691" s="130" t="s">
        <v>112</v>
      </c>
      <c r="L691" s="174" t="s">
        <v>71</v>
      </c>
      <c r="M691" s="131" t="s">
        <v>72</v>
      </c>
      <c r="N691" s="130" t="s">
        <v>73</v>
      </c>
      <c r="O691" s="219" t="s">
        <v>69</v>
      </c>
      <c r="P691" s="130" t="s">
        <v>1699</v>
      </c>
      <c r="Q691" s="132" t="s">
        <v>74</v>
      </c>
      <c r="R691" s="218">
        <v>3.3640001000000002</v>
      </c>
      <c r="S691" s="129">
        <v>1</v>
      </c>
      <c r="T691" s="129">
        <v>100</v>
      </c>
      <c r="U691" s="129">
        <v>100</v>
      </c>
      <c r="V691" s="129">
        <v>18</v>
      </c>
      <c r="W691" s="129">
        <v>118</v>
      </c>
      <c r="X691" s="27">
        <f t="shared" si="178"/>
        <v>100</v>
      </c>
    </row>
    <row r="692" spans="1:24" x14ac:dyDescent="0.2">
      <c r="A692" s="220">
        <v>43781</v>
      </c>
      <c r="B692" s="130" t="s">
        <v>111</v>
      </c>
      <c r="C692" s="130" t="s">
        <v>102</v>
      </c>
      <c r="D692" s="130" t="s">
        <v>661</v>
      </c>
      <c r="E692" s="130" t="s">
        <v>1318</v>
      </c>
      <c r="F692" s="130" t="s">
        <v>1023</v>
      </c>
      <c r="G692" s="220">
        <v>43777</v>
      </c>
      <c r="H692" s="130" t="s">
        <v>1742</v>
      </c>
      <c r="I692" s="130" t="s">
        <v>1741</v>
      </c>
      <c r="J692" s="130" t="s">
        <v>104</v>
      </c>
      <c r="K692" s="130" t="s">
        <v>105</v>
      </c>
      <c r="L692" s="174" t="s">
        <v>71</v>
      </c>
      <c r="M692" s="131" t="s">
        <v>72</v>
      </c>
      <c r="N692" s="130" t="s">
        <v>73</v>
      </c>
      <c r="O692" s="219" t="s">
        <v>69</v>
      </c>
      <c r="P692" s="130" t="s">
        <v>1699</v>
      </c>
      <c r="Q692" s="132" t="s">
        <v>74</v>
      </c>
      <c r="R692" s="218">
        <v>3.3640001000000002</v>
      </c>
      <c r="S692" s="129">
        <v>1</v>
      </c>
      <c r="T692" s="129">
        <v>717.5</v>
      </c>
      <c r="U692" s="129">
        <v>717.5</v>
      </c>
      <c r="V692" s="129">
        <v>129.15002000000021</v>
      </c>
      <c r="W692" s="129">
        <v>846.65002000000027</v>
      </c>
      <c r="X692" s="27">
        <f t="shared" si="178"/>
        <v>717.5</v>
      </c>
    </row>
    <row r="693" spans="1:24" x14ac:dyDescent="0.2">
      <c r="A693" s="220">
        <v>43783</v>
      </c>
      <c r="B693" s="130" t="s">
        <v>111</v>
      </c>
      <c r="C693" s="130" t="s">
        <v>102</v>
      </c>
      <c r="D693" s="130" t="s">
        <v>660</v>
      </c>
      <c r="E693" s="130" t="s">
        <v>1322</v>
      </c>
      <c r="F693" s="130" t="s">
        <v>1740</v>
      </c>
      <c r="G693" s="220">
        <v>43775</v>
      </c>
      <c r="H693" s="130" t="s">
        <v>1739</v>
      </c>
      <c r="I693" s="130" t="s">
        <v>1738</v>
      </c>
      <c r="J693" s="130" t="s">
        <v>95</v>
      </c>
      <c r="K693" s="130" t="s">
        <v>96</v>
      </c>
      <c r="L693" s="174" t="s">
        <v>71</v>
      </c>
      <c r="M693" s="131" t="s">
        <v>72</v>
      </c>
      <c r="N693" s="130" t="s">
        <v>73</v>
      </c>
      <c r="O693" s="219" t="s">
        <v>69</v>
      </c>
      <c r="P693" s="130" t="s">
        <v>1699</v>
      </c>
      <c r="Q693" s="132" t="s">
        <v>93</v>
      </c>
      <c r="R693" s="218">
        <v>3.3919999999999999</v>
      </c>
      <c r="S693" s="129">
        <v>1</v>
      </c>
      <c r="T693" s="129">
        <v>100</v>
      </c>
      <c r="U693" s="129">
        <v>100</v>
      </c>
      <c r="V693" s="129">
        <v>18</v>
      </c>
      <c r="W693" s="129">
        <v>118</v>
      </c>
      <c r="X693" s="27">
        <f t="shared" si="178"/>
        <v>339.2</v>
      </c>
    </row>
    <row r="694" spans="1:24" x14ac:dyDescent="0.2">
      <c r="A694" s="220">
        <v>43783</v>
      </c>
      <c r="B694" s="130" t="s">
        <v>111</v>
      </c>
      <c r="C694" s="130" t="s">
        <v>102</v>
      </c>
      <c r="D694" s="130" t="s">
        <v>709</v>
      </c>
      <c r="E694" s="130" t="s">
        <v>1325</v>
      </c>
      <c r="F694" s="130" t="s">
        <v>1740</v>
      </c>
      <c r="G694" s="220">
        <v>43780</v>
      </c>
      <c r="H694" s="130" t="s">
        <v>1739</v>
      </c>
      <c r="I694" s="130" t="s">
        <v>1738</v>
      </c>
      <c r="J694" s="130" t="s">
        <v>97</v>
      </c>
      <c r="K694" s="130" t="s">
        <v>98</v>
      </c>
      <c r="L694" s="174" t="s">
        <v>71</v>
      </c>
      <c r="M694" s="131" t="s">
        <v>72</v>
      </c>
      <c r="N694" s="130" t="s">
        <v>73</v>
      </c>
      <c r="O694" s="219" t="s">
        <v>99</v>
      </c>
      <c r="P694" s="130" t="s">
        <v>98</v>
      </c>
      <c r="Q694" s="132" t="s">
        <v>93</v>
      </c>
      <c r="R694" s="218">
        <v>3.3919999999999999</v>
      </c>
      <c r="S694" s="129">
        <v>1</v>
      </c>
      <c r="T694" s="129">
        <v>69.754203999999987</v>
      </c>
      <c r="U694" s="129">
        <v>69.754203999999987</v>
      </c>
      <c r="V694" s="129">
        <v>12.555793999999986</v>
      </c>
      <c r="W694" s="129">
        <v>82.309997999999979</v>
      </c>
      <c r="X694" s="27">
        <f t="shared" si="178"/>
        <v>236.60625996799996</v>
      </c>
    </row>
    <row r="695" spans="1:24" x14ac:dyDescent="0.2">
      <c r="A695" s="220">
        <v>43783</v>
      </c>
      <c r="B695" s="130" t="s">
        <v>111</v>
      </c>
      <c r="C695" s="130" t="s">
        <v>102</v>
      </c>
      <c r="D695" s="130" t="s">
        <v>709</v>
      </c>
      <c r="E695" s="130" t="s">
        <v>1325</v>
      </c>
      <c r="F695" s="130" t="s">
        <v>1740</v>
      </c>
      <c r="G695" s="220">
        <v>43780</v>
      </c>
      <c r="H695" s="130" t="s">
        <v>1739</v>
      </c>
      <c r="I695" s="130" t="s">
        <v>1738</v>
      </c>
      <c r="J695" s="130" t="s">
        <v>100</v>
      </c>
      <c r="K695" s="130" t="s">
        <v>101</v>
      </c>
      <c r="L695" s="174" t="s">
        <v>71</v>
      </c>
      <c r="M695" s="131" t="s">
        <v>72</v>
      </c>
      <c r="N695" s="130" t="s">
        <v>73</v>
      </c>
      <c r="O695" s="219" t="s">
        <v>72</v>
      </c>
      <c r="P695" s="130" t="s">
        <v>101</v>
      </c>
      <c r="Q695" s="132" t="s">
        <v>93</v>
      </c>
      <c r="R695" s="218">
        <v>3.3919999999999999</v>
      </c>
      <c r="S695" s="129">
        <v>1</v>
      </c>
      <c r="T695" s="129">
        <v>15</v>
      </c>
      <c r="U695" s="129">
        <v>15</v>
      </c>
      <c r="V695" s="129">
        <v>2.7000009999999999</v>
      </c>
      <c r="W695" s="129">
        <v>17.700001</v>
      </c>
      <c r="X695" s="27">
        <f t="shared" si="178"/>
        <v>50.879999999999995</v>
      </c>
    </row>
    <row r="696" spans="1:24" x14ac:dyDescent="0.2">
      <c r="A696" s="220">
        <v>43783</v>
      </c>
      <c r="B696" s="130" t="s">
        <v>111</v>
      </c>
      <c r="C696" s="130" t="s">
        <v>102</v>
      </c>
      <c r="D696" s="130" t="s">
        <v>659</v>
      </c>
      <c r="E696" s="130" t="s">
        <v>1252</v>
      </c>
      <c r="F696" s="130" t="s">
        <v>1253</v>
      </c>
      <c r="G696" s="220">
        <v>43783</v>
      </c>
      <c r="H696" s="130" t="s">
        <v>1737</v>
      </c>
      <c r="I696" s="130" t="s">
        <v>1736</v>
      </c>
      <c r="J696" s="130" t="s">
        <v>70</v>
      </c>
      <c r="K696" s="130" t="s">
        <v>112</v>
      </c>
      <c r="L696" s="174" t="s">
        <v>71</v>
      </c>
      <c r="M696" s="131" t="s">
        <v>72</v>
      </c>
      <c r="N696" s="130" t="s">
        <v>73</v>
      </c>
      <c r="O696" s="219" t="s">
        <v>69</v>
      </c>
      <c r="P696" s="130" t="s">
        <v>1699</v>
      </c>
      <c r="Q696" s="132" t="s">
        <v>74</v>
      </c>
      <c r="R696" s="218">
        <v>3.3919999999999999</v>
      </c>
      <c r="S696" s="129">
        <v>1</v>
      </c>
      <c r="T696" s="129">
        <v>450</v>
      </c>
      <c r="U696" s="129">
        <v>450</v>
      </c>
      <c r="V696" s="129">
        <v>81</v>
      </c>
      <c r="W696" s="129">
        <v>531</v>
      </c>
      <c r="X696" s="27">
        <f t="shared" si="178"/>
        <v>450</v>
      </c>
    </row>
    <row r="697" spans="1:24" x14ac:dyDescent="0.2">
      <c r="A697" s="220">
        <v>43783</v>
      </c>
      <c r="B697" s="130" t="s">
        <v>111</v>
      </c>
      <c r="C697" s="130" t="s">
        <v>102</v>
      </c>
      <c r="D697" s="130" t="s">
        <v>659</v>
      </c>
      <c r="E697" s="130" t="s">
        <v>1252</v>
      </c>
      <c r="F697" s="130" t="s">
        <v>1253</v>
      </c>
      <c r="G697" s="220">
        <v>43783</v>
      </c>
      <c r="H697" s="130" t="s">
        <v>1737</v>
      </c>
      <c r="I697" s="130" t="s">
        <v>1736</v>
      </c>
      <c r="J697" s="130" t="s">
        <v>104</v>
      </c>
      <c r="K697" s="130" t="s">
        <v>105</v>
      </c>
      <c r="L697" s="174" t="s">
        <v>71</v>
      </c>
      <c r="M697" s="131" t="s">
        <v>72</v>
      </c>
      <c r="N697" s="130" t="s">
        <v>73</v>
      </c>
      <c r="O697" s="219" t="s">
        <v>69</v>
      </c>
      <c r="P697" s="130" t="s">
        <v>1699</v>
      </c>
      <c r="Q697" s="132" t="s">
        <v>74</v>
      </c>
      <c r="R697" s="218">
        <v>3.3919999999999999</v>
      </c>
      <c r="S697" s="129">
        <v>1</v>
      </c>
      <c r="T697" s="129">
        <v>0</v>
      </c>
      <c r="U697" s="129">
        <v>0</v>
      </c>
      <c r="V697" s="129">
        <v>0</v>
      </c>
      <c r="W697" s="129">
        <v>0</v>
      </c>
      <c r="X697" s="27">
        <f t="shared" si="178"/>
        <v>0</v>
      </c>
    </row>
    <row r="698" spans="1:24" x14ac:dyDescent="0.2">
      <c r="A698" s="220">
        <v>43783</v>
      </c>
      <c r="B698" s="130" t="s">
        <v>111</v>
      </c>
      <c r="C698" s="130" t="s">
        <v>102</v>
      </c>
      <c r="D698" s="130" t="s">
        <v>658</v>
      </c>
      <c r="E698" s="130" t="s">
        <v>1239</v>
      </c>
      <c r="F698" s="130" t="s">
        <v>1240</v>
      </c>
      <c r="G698" s="220">
        <v>43773</v>
      </c>
      <c r="H698" s="130" t="s">
        <v>1735</v>
      </c>
      <c r="I698" s="130" t="s">
        <v>1734</v>
      </c>
      <c r="J698" s="130" t="s">
        <v>95</v>
      </c>
      <c r="K698" s="130" t="s">
        <v>96</v>
      </c>
      <c r="L698" s="174" t="s">
        <v>71</v>
      </c>
      <c r="M698" s="131" t="s">
        <v>72</v>
      </c>
      <c r="N698" s="130" t="s">
        <v>73</v>
      </c>
      <c r="O698" s="219" t="s">
        <v>69</v>
      </c>
      <c r="P698" s="130" t="s">
        <v>1699</v>
      </c>
      <c r="Q698" s="132" t="s">
        <v>93</v>
      </c>
      <c r="R698" s="218">
        <v>3.3919999999999999</v>
      </c>
      <c r="S698" s="129">
        <v>1</v>
      </c>
      <c r="T698" s="129">
        <v>110.20340000000002</v>
      </c>
      <c r="U698" s="129">
        <v>110.20340000000002</v>
      </c>
      <c r="V698" s="129">
        <v>19.836589999999998</v>
      </c>
      <c r="W698" s="129">
        <v>130.03999000000002</v>
      </c>
      <c r="X698" s="27">
        <f t="shared" si="178"/>
        <v>373.80993280000007</v>
      </c>
    </row>
    <row r="699" spans="1:24" x14ac:dyDescent="0.2">
      <c r="A699" s="220">
        <v>43784</v>
      </c>
      <c r="B699" s="130" t="s">
        <v>111</v>
      </c>
      <c r="C699" s="130" t="s">
        <v>102</v>
      </c>
      <c r="D699" s="130" t="s">
        <v>657</v>
      </c>
      <c r="E699" s="130" t="s">
        <v>1333</v>
      </c>
      <c r="F699" s="130" t="s">
        <v>1733</v>
      </c>
      <c r="G699" s="220">
        <v>43775</v>
      </c>
      <c r="H699" s="130" t="s">
        <v>1732</v>
      </c>
      <c r="I699" s="130" t="s">
        <v>1731</v>
      </c>
      <c r="J699" s="130" t="s">
        <v>95</v>
      </c>
      <c r="K699" s="130" t="s">
        <v>96</v>
      </c>
      <c r="L699" s="174" t="s">
        <v>71</v>
      </c>
      <c r="M699" s="131" t="s">
        <v>72</v>
      </c>
      <c r="N699" s="130" t="s">
        <v>73</v>
      </c>
      <c r="O699" s="219" t="s">
        <v>69</v>
      </c>
      <c r="P699" s="130" t="s">
        <v>1699</v>
      </c>
      <c r="Q699" s="132" t="s">
        <v>93</v>
      </c>
      <c r="R699" s="218">
        <v>3.391</v>
      </c>
      <c r="S699" s="129">
        <v>1</v>
      </c>
      <c r="T699" s="129">
        <v>100</v>
      </c>
      <c r="U699" s="129">
        <v>100</v>
      </c>
      <c r="V699" s="129">
        <v>18</v>
      </c>
      <c r="W699" s="129">
        <v>118</v>
      </c>
      <c r="X699" s="27">
        <f t="shared" si="178"/>
        <v>339.1</v>
      </c>
    </row>
    <row r="700" spans="1:24" x14ac:dyDescent="0.2">
      <c r="A700" s="220">
        <v>43785</v>
      </c>
      <c r="B700" s="130" t="s">
        <v>111</v>
      </c>
      <c r="C700" s="130" t="s">
        <v>102</v>
      </c>
      <c r="D700" s="130" t="s">
        <v>656</v>
      </c>
      <c r="E700" s="130" t="s">
        <v>1335</v>
      </c>
      <c r="F700" s="130" t="s">
        <v>1730</v>
      </c>
      <c r="G700" s="220">
        <v>43771</v>
      </c>
      <c r="H700" s="130" t="s">
        <v>1729</v>
      </c>
      <c r="I700" s="130" t="s">
        <v>1728</v>
      </c>
      <c r="J700" s="130" t="s">
        <v>95</v>
      </c>
      <c r="K700" s="130" t="s">
        <v>96</v>
      </c>
      <c r="L700" s="174" t="s">
        <v>71</v>
      </c>
      <c r="M700" s="131" t="s">
        <v>72</v>
      </c>
      <c r="N700" s="130" t="s">
        <v>73</v>
      </c>
      <c r="O700" s="219" t="s">
        <v>69</v>
      </c>
      <c r="P700" s="130" t="s">
        <v>1699</v>
      </c>
      <c r="Q700" s="132" t="s">
        <v>93</v>
      </c>
      <c r="R700" s="218">
        <v>3.3729998999999999</v>
      </c>
      <c r="S700" s="129">
        <v>1</v>
      </c>
      <c r="T700" s="129">
        <v>100</v>
      </c>
      <c r="U700" s="129">
        <v>100</v>
      </c>
      <c r="V700" s="129">
        <v>18</v>
      </c>
      <c r="W700" s="129">
        <v>118</v>
      </c>
      <c r="X700" s="27">
        <f t="shared" si="178"/>
        <v>337.29998999999998</v>
      </c>
    </row>
    <row r="701" spans="1:24" x14ac:dyDescent="0.2">
      <c r="A701" s="220">
        <v>43785</v>
      </c>
      <c r="B701" s="130" t="s">
        <v>111</v>
      </c>
      <c r="C701" s="130" t="s">
        <v>102</v>
      </c>
      <c r="D701" s="130" t="s">
        <v>655</v>
      </c>
      <c r="E701" s="130" t="s">
        <v>1354</v>
      </c>
      <c r="F701" s="130" t="s">
        <v>1727</v>
      </c>
      <c r="G701" s="220">
        <v>43785</v>
      </c>
      <c r="H701" s="130" t="s">
        <v>1726</v>
      </c>
      <c r="I701" s="130" t="s">
        <v>1725</v>
      </c>
      <c r="J701" s="130" t="s">
        <v>70</v>
      </c>
      <c r="K701" s="130" t="s">
        <v>112</v>
      </c>
      <c r="L701" s="174" t="s">
        <v>71</v>
      </c>
      <c r="M701" s="131" t="s">
        <v>72</v>
      </c>
      <c r="N701" s="130" t="s">
        <v>73</v>
      </c>
      <c r="O701" s="219" t="s">
        <v>69</v>
      </c>
      <c r="P701" s="130" t="s">
        <v>1699</v>
      </c>
      <c r="Q701" s="132" t="s">
        <v>74</v>
      </c>
      <c r="R701" s="218">
        <v>3.3729998999999999</v>
      </c>
      <c r="S701" s="129">
        <v>1</v>
      </c>
      <c r="T701" s="129">
        <v>349</v>
      </c>
      <c r="U701" s="129">
        <v>349</v>
      </c>
      <c r="V701" s="129">
        <v>62.82001000000011</v>
      </c>
      <c r="W701" s="129">
        <v>411.82001000000014</v>
      </c>
      <c r="X701" s="27">
        <f t="shared" si="178"/>
        <v>349</v>
      </c>
    </row>
    <row r="702" spans="1:24" x14ac:dyDescent="0.2">
      <c r="A702" s="220">
        <v>43785</v>
      </c>
      <c r="B702" s="130" t="s">
        <v>111</v>
      </c>
      <c r="C702" s="130" t="s">
        <v>102</v>
      </c>
      <c r="D702" s="130" t="s">
        <v>655</v>
      </c>
      <c r="E702" s="130" t="s">
        <v>1354</v>
      </c>
      <c r="F702" s="130" t="s">
        <v>1727</v>
      </c>
      <c r="G702" s="220">
        <v>43785</v>
      </c>
      <c r="H702" s="130" t="s">
        <v>1726</v>
      </c>
      <c r="I702" s="130" t="s">
        <v>1725</v>
      </c>
      <c r="J702" s="130" t="s">
        <v>104</v>
      </c>
      <c r="K702" s="130" t="s">
        <v>105</v>
      </c>
      <c r="L702" s="174" t="s">
        <v>71</v>
      </c>
      <c r="M702" s="131" t="s">
        <v>72</v>
      </c>
      <c r="N702" s="130" t="s">
        <v>73</v>
      </c>
      <c r="O702" s="219" t="s">
        <v>69</v>
      </c>
      <c r="P702" s="130" t="s">
        <v>1699</v>
      </c>
      <c r="Q702" s="132" t="s">
        <v>74</v>
      </c>
      <c r="R702" s="218">
        <v>3.3729998999999999</v>
      </c>
      <c r="S702" s="129">
        <v>1</v>
      </c>
      <c r="T702" s="129">
        <v>0</v>
      </c>
      <c r="U702" s="129">
        <v>0</v>
      </c>
      <c r="V702" s="129">
        <v>0</v>
      </c>
      <c r="W702" s="129">
        <v>0</v>
      </c>
      <c r="X702" s="27">
        <f t="shared" si="178"/>
        <v>0</v>
      </c>
    </row>
    <row r="703" spans="1:24" x14ac:dyDescent="0.2">
      <c r="A703" s="220">
        <v>43787</v>
      </c>
      <c r="B703" s="130" t="s">
        <v>111</v>
      </c>
      <c r="C703" s="130" t="s">
        <v>102</v>
      </c>
      <c r="D703" s="130" t="s">
        <v>654</v>
      </c>
      <c r="E703" s="130" t="s">
        <v>1284</v>
      </c>
      <c r="F703" s="130" t="s">
        <v>1724</v>
      </c>
      <c r="G703" s="220">
        <v>43771</v>
      </c>
      <c r="H703" s="130" t="s">
        <v>1723</v>
      </c>
      <c r="I703" s="130" t="s">
        <v>1722</v>
      </c>
      <c r="J703" s="130" t="s">
        <v>95</v>
      </c>
      <c r="K703" s="130" t="s">
        <v>96</v>
      </c>
      <c r="L703" s="174" t="s">
        <v>71</v>
      </c>
      <c r="M703" s="131" t="s">
        <v>72</v>
      </c>
      <c r="N703" s="130" t="s">
        <v>73</v>
      </c>
      <c r="O703" s="219" t="s">
        <v>69</v>
      </c>
      <c r="P703" s="130" t="s">
        <v>1699</v>
      </c>
      <c r="Q703" s="132" t="s">
        <v>93</v>
      </c>
      <c r="R703" s="218">
        <v>3.3729998999999999</v>
      </c>
      <c r="S703" s="129">
        <v>1</v>
      </c>
      <c r="T703" s="129">
        <v>100</v>
      </c>
      <c r="U703" s="129">
        <v>100</v>
      </c>
      <c r="V703" s="129">
        <v>18</v>
      </c>
      <c r="W703" s="129">
        <v>118</v>
      </c>
      <c r="X703" s="27">
        <f t="shared" si="178"/>
        <v>337.29998999999998</v>
      </c>
    </row>
    <row r="704" spans="1:24" x14ac:dyDescent="0.2">
      <c r="A704" s="220">
        <v>43787</v>
      </c>
      <c r="B704" s="130" t="s">
        <v>111</v>
      </c>
      <c r="C704" s="130" t="s">
        <v>102</v>
      </c>
      <c r="D704" s="130" t="s">
        <v>653</v>
      </c>
      <c r="E704" s="130" t="s">
        <v>1287</v>
      </c>
      <c r="F704" s="130" t="s">
        <v>1724</v>
      </c>
      <c r="G704" s="220">
        <v>43773</v>
      </c>
      <c r="H704" s="130" t="s">
        <v>1723</v>
      </c>
      <c r="I704" s="130" t="s">
        <v>1722</v>
      </c>
      <c r="J704" s="130" t="s">
        <v>97</v>
      </c>
      <c r="K704" s="130" t="s">
        <v>98</v>
      </c>
      <c r="L704" s="174" t="s">
        <v>71</v>
      </c>
      <c r="M704" s="131" t="s">
        <v>72</v>
      </c>
      <c r="N704" s="130" t="s">
        <v>73</v>
      </c>
      <c r="O704" s="219" t="s">
        <v>99</v>
      </c>
      <c r="P704" s="130" t="s">
        <v>98</v>
      </c>
      <c r="Q704" s="132" t="s">
        <v>93</v>
      </c>
      <c r="R704" s="218">
        <v>3.3729998999999999</v>
      </c>
      <c r="S704" s="129">
        <v>1</v>
      </c>
      <c r="T704" s="129">
        <v>288.75421</v>
      </c>
      <c r="U704" s="129">
        <v>288.75420999999994</v>
      </c>
      <c r="V704" s="129">
        <v>51.975799999999907</v>
      </c>
      <c r="W704" s="129">
        <v>340.73000999999988</v>
      </c>
      <c r="X704" s="27">
        <f t="shared" si="178"/>
        <v>973.9679214545788</v>
      </c>
    </row>
    <row r="705" spans="1:24" x14ac:dyDescent="0.2">
      <c r="A705" s="220">
        <v>43787</v>
      </c>
      <c r="B705" s="130" t="s">
        <v>111</v>
      </c>
      <c r="C705" s="130" t="s">
        <v>102</v>
      </c>
      <c r="D705" s="130" t="s">
        <v>653</v>
      </c>
      <c r="E705" s="130" t="s">
        <v>1287</v>
      </c>
      <c r="F705" s="130" t="s">
        <v>1724</v>
      </c>
      <c r="G705" s="220">
        <v>43773</v>
      </c>
      <c r="H705" s="130" t="s">
        <v>1723</v>
      </c>
      <c r="I705" s="130" t="s">
        <v>1722</v>
      </c>
      <c r="J705" s="130" t="s">
        <v>100</v>
      </c>
      <c r="K705" s="130" t="s">
        <v>101</v>
      </c>
      <c r="L705" s="174" t="s">
        <v>71</v>
      </c>
      <c r="M705" s="131" t="s">
        <v>72</v>
      </c>
      <c r="N705" s="130" t="s">
        <v>73</v>
      </c>
      <c r="O705" s="219" t="s">
        <v>72</v>
      </c>
      <c r="P705" s="130" t="s">
        <v>101</v>
      </c>
      <c r="Q705" s="132" t="s">
        <v>93</v>
      </c>
      <c r="R705" s="218">
        <v>3.3729998999999999</v>
      </c>
      <c r="S705" s="129">
        <v>1</v>
      </c>
      <c r="T705" s="129">
        <v>121.2458</v>
      </c>
      <c r="U705" s="129">
        <v>121.2458</v>
      </c>
      <c r="V705" s="129">
        <v>21.824210000000022</v>
      </c>
      <c r="W705" s="129">
        <v>143.07001000000002</v>
      </c>
      <c r="X705" s="27">
        <f t="shared" si="178"/>
        <v>408.96207127541999</v>
      </c>
    </row>
    <row r="706" spans="1:24" x14ac:dyDescent="0.2">
      <c r="A706" s="220">
        <v>43787</v>
      </c>
      <c r="B706" s="130" t="s">
        <v>111</v>
      </c>
      <c r="C706" s="130" t="s">
        <v>102</v>
      </c>
      <c r="D706" s="130" t="s">
        <v>653</v>
      </c>
      <c r="E706" s="130" t="s">
        <v>1287</v>
      </c>
      <c r="F706" s="130" t="s">
        <v>1724</v>
      </c>
      <c r="G706" s="220">
        <v>43773</v>
      </c>
      <c r="H706" s="130" t="s">
        <v>1723</v>
      </c>
      <c r="I706" s="130" t="s">
        <v>1722</v>
      </c>
      <c r="J706" s="130" t="s">
        <v>92</v>
      </c>
      <c r="K706" s="130" t="s">
        <v>113</v>
      </c>
      <c r="L706" s="174" t="s">
        <v>71</v>
      </c>
      <c r="M706" s="131" t="s">
        <v>72</v>
      </c>
      <c r="N706" s="130" t="s">
        <v>73</v>
      </c>
      <c r="O706" s="219" t="s">
        <v>69</v>
      </c>
      <c r="P706" s="130" t="s">
        <v>1699</v>
      </c>
      <c r="Q706" s="132" t="s">
        <v>93</v>
      </c>
      <c r="R706" s="218">
        <v>3.3729998999999999</v>
      </c>
      <c r="S706" s="129">
        <v>1</v>
      </c>
      <c r="T706" s="129">
        <v>90</v>
      </c>
      <c r="U706" s="129">
        <v>90</v>
      </c>
      <c r="V706" s="129">
        <v>16.2</v>
      </c>
      <c r="W706" s="129">
        <v>106.2</v>
      </c>
      <c r="X706" s="27">
        <f t="shared" si="178"/>
        <v>303.56999100000002</v>
      </c>
    </row>
    <row r="707" spans="1:24" x14ac:dyDescent="0.2">
      <c r="A707" s="220">
        <v>43787</v>
      </c>
      <c r="B707" s="130" t="s">
        <v>111</v>
      </c>
      <c r="C707" s="130" t="s">
        <v>102</v>
      </c>
      <c r="D707" s="130" t="s">
        <v>652</v>
      </c>
      <c r="E707" s="130" t="s">
        <v>1339</v>
      </c>
      <c r="F707" s="130" t="s">
        <v>1721</v>
      </c>
      <c r="G707" s="220">
        <v>43774</v>
      </c>
      <c r="H707" s="130" t="s">
        <v>1720</v>
      </c>
      <c r="I707" s="130" t="s">
        <v>1719</v>
      </c>
      <c r="J707" s="130" t="s">
        <v>95</v>
      </c>
      <c r="K707" s="130" t="s">
        <v>96</v>
      </c>
      <c r="L707" s="174" t="s">
        <v>71</v>
      </c>
      <c r="M707" s="131" t="s">
        <v>72</v>
      </c>
      <c r="N707" s="130" t="s">
        <v>73</v>
      </c>
      <c r="O707" s="219" t="s">
        <v>69</v>
      </c>
      <c r="P707" s="130" t="s">
        <v>1699</v>
      </c>
      <c r="Q707" s="132" t="s">
        <v>93</v>
      </c>
      <c r="R707" s="218">
        <v>3.3729998999999999</v>
      </c>
      <c r="S707" s="129">
        <v>1</v>
      </c>
      <c r="T707" s="129">
        <v>68.762703000000002</v>
      </c>
      <c r="U707" s="129">
        <v>68.762703000000002</v>
      </c>
      <c r="V707" s="129">
        <v>12.377296000000015</v>
      </c>
      <c r="W707" s="129">
        <v>81.139999000000017</v>
      </c>
      <c r="X707" s="27">
        <f t="shared" si="178"/>
        <v>231.93659034272972</v>
      </c>
    </row>
    <row r="708" spans="1:24" x14ac:dyDescent="0.2">
      <c r="A708" s="220">
        <v>43787</v>
      </c>
      <c r="B708" s="130" t="s">
        <v>111</v>
      </c>
      <c r="C708" s="130" t="s">
        <v>102</v>
      </c>
      <c r="D708" s="130" t="s">
        <v>651</v>
      </c>
      <c r="E708" s="130" t="s">
        <v>1341</v>
      </c>
      <c r="F708" s="130" t="s">
        <v>1721</v>
      </c>
      <c r="G708" s="220">
        <v>43781</v>
      </c>
      <c r="H708" s="130" t="s">
        <v>1720</v>
      </c>
      <c r="I708" s="130" t="s">
        <v>1719</v>
      </c>
      <c r="J708" s="130" t="s">
        <v>97</v>
      </c>
      <c r="K708" s="130" t="s">
        <v>98</v>
      </c>
      <c r="L708" s="174" t="s">
        <v>71</v>
      </c>
      <c r="M708" s="131" t="s">
        <v>72</v>
      </c>
      <c r="N708" s="130" t="s">
        <v>73</v>
      </c>
      <c r="O708" s="219" t="s">
        <v>99</v>
      </c>
      <c r="P708" s="130" t="s">
        <v>98</v>
      </c>
      <c r="Q708" s="132" t="s">
        <v>93</v>
      </c>
      <c r="R708" s="218">
        <v>3.3729998999999999</v>
      </c>
      <c r="S708" s="129">
        <v>1</v>
      </c>
      <c r="T708" s="129">
        <v>60</v>
      </c>
      <c r="U708" s="129">
        <v>60</v>
      </c>
      <c r="V708" s="129">
        <v>10.800002999999997</v>
      </c>
      <c r="W708" s="129">
        <v>70.800003000000004</v>
      </c>
      <c r="X708" s="27">
        <f t="shared" si="178"/>
        <v>202.37999400000001</v>
      </c>
    </row>
    <row r="709" spans="1:24" x14ac:dyDescent="0.2">
      <c r="A709" s="220">
        <v>43787</v>
      </c>
      <c r="B709" s="130" t="s">
        <v>111</v>
      </c>
      <c r="C709" s="130" t="s">
        <v>102</v>
      </c>
      <c r="D709" s="130" t="s">
        <v>651</v>
      </c>
      <c r="E709" s="130" t="s">
        <v>1341</v>
      </c>
      <c r="F709" s="130" t="s">
        <v>1721</v>
      </c>
      <c r="G709" s="220">
        <v>43781</v>
      </c>
      <c r="H709" s="130" t="s">
        <v>1720</v>
      </c>
      <c r="I709" s="130" t="s">
        <v>1719</v>
      </c>
      <c r="J709" s="130" t="s">
        <v>100</v>
      </c>
      <c r="K709" s="130" t="s">
        <v>101</v>
      </c>
      <c r="L709" s="174" t="s">
        <v>71</v>
      </c>
      <c r="M709" s="131" t="s">
        <v>72</v>
      </c>
      <c r="N709" s="130" t="s">
        <v>73</v>
      </c>
      <c r="O709" s="219" t="s">
        <v>72</v>
      </c>
      <c r="P709" s="130" t="s">
        <v>101</v>
      </c>
      <c r="Q709" s="132" t="s">
        <v>93</v>
      </c>
      <c r="R709" s="218">
        <v>3.3729998999999999</v>
      </c>
      <c r="S709" s="129">
        <v>1</v>
      </c>
      <c r="T709" s="129">
        <v>40</v>
      </c>
      <c r="U709" s="129">
        <v>40</v>
      </c>
      <c r="V709" s="129">
        <v>7.2000010000000021</v>
      </c>
      <c r="W709" s="129">
        <v>47.200001</v>
      </c>
      <c r="X709" s="27">
        <f t="shared" ref="X709:X772" si="179">IF(Q709="$",(U709*R709),U709)</f>
        <v>134.919996</v>
      </c>
    </row>
    <row r="710" spans="1:24" x14ac:dyDescent="0.2">
      <c r="A710" s="220">
        <v>43788</v>
      </c>
      <c r="B710" s="130" t="s">
        <v>111</v>
      </c>
      <c r="C710" s="130" t="s">
        <v>102</v>
      </c>
      <c r="D710" s="130" t="s">
        <v>650</v>
      </c>
      <c r="E710" s="130" t="s">
        <v>1345</v>
      </c>
      <c r="F710" s="130" t="s">
        <v>1718</v>
      </c>
      <c r="G710" s="220">
        <v>43764</v>
      </c>
      <c r="H710" s="130" t="s">
        <v>1717</v>
      </c>
      <c r="I710" s="130" t="s">
        <v>1716</v>
      </c>
      <c r="J710" s="130" t="s">
        <v>95</v>
      </c>
      <c r="K710" s="130" t="s">
        <v>96</v>
      </c>
      <c r="L710" s="174" t="s">
        <v>71</v>
      </c>
      <c r="M710" s="131" t="s">
        <v>72</v>
      </c>
      <c r="N710" s="130" t="s">
        <v>73</v>
      </c>
      <c r="O710" s="219" t="s">
        <v>69</v>
      </c>
      <c r="P710" s="130" t="s">
        <v>1699</v>
      </c>
      <c r="Q710" s="132" t="s">
        <v>93</v>
      </c>
      <c r="R710" s="218">
        <v>3.3719999999999999</v>
      </c>
      <c r="S710" s="129">
        <v>1</v>
      </c>
      <c r="T710" s="129">
        <v>100</v>
      </c>
      <c r="U710" s="129">
        <v>100</v>
      </c>
      <c r="V710" s="129">
        <v>18</v>
      </c>
      <c r="W710" s="129">
        <v>118</v>
      </c>
      <c r="X710" s="27">
        <f t="shared" si="179"/>
        <v>337.2</v>
      </c>
    </row>
    <row r="711" spans="1:24" x14ac:dyDescent="0.2">
      <c r="A711" s="220">
        <v>43789</v>
      </c>
      <c r="B711" s="130" t="s">
        <v>111</v>
      </c>
      <c r="C711" s="130" t="s">
        <v>102</v>
      </c>
      <c r="D711" s="130" t="s">
        <v>649</v>
      </c>
      <c r="E711" s="130" t="s">
        <v>1343</v>
      </c>
      <c r="F711" s="130" t="s">
        <v>1703</v>
      </c>
      <c r="G711" s="220">
        <v>43780</v>
      </c>
      <c r="H711" s="130" t="s">
        <v>1702</v>
      </c>
      <c r="I711" s="130" t="s">
        <v>1701</v>
      </c>
      <c r="J711" s="130" t="s">
        <v>95</v>
      </c>
      <c r="K711" s="130" t="s">
        <v>96</v>
      </c>
      <c r="L711" s="174" t="s">
        <v>71</v>
      </c>
      <c r="M711" s="131" t="s">
        <v>72</v>
      </c>
      <c r="N711" s="130" t="s">
        <v>73</v>
      </c>
      <c r="O711" s="219" t="s">
        <v>69</v>
      </c>
      <c r="P711" s="130" t="s">
        <v>1699</v>
      </c>
      <c r="Q711" s="132" t="s">
        <v>93</v>
      </c>
      <c r="R711" s="218">
        <v>3.3809999999999998</v>
      </c>
      <c r="S711" s="129">
        <v>1</v>
      </c>
      <c r="T711" s="129">
        <v>100</v>
      </c>
      <c r="U711" s="129">
        <v>100</v>
      </c>
      <c r="V711" s="129">
        <v>18</v>
      </c>
      <c r="W711" s="129">
        <v>118</v>
      </c>
      <c r="X711" s="27">
        <f t="shared" si="179"/>
        <v>338.09999999999997</v>
      </c>
    </row>
    <row r="712" spans="1:24" x14ac:dyDescent="0.2">
      <c r="A712" s="220">
        <v>43789</v>
      </c>
      <c r="B712" s="130" t="s">
        <v>111</v>
      </c>
      <c r="C712" s="130" t="s">
        <v>102</v>
      </c>
      <c r="D712" s="130" t="s">
        <v>648</v>
      </c>
      <c r="E712" s="130" t="s">
        <v>1715</v>
      </c>
      <c r="F712" s="130" t="s">
        <v>1703</v>
      </c>
      <c r="G712" s="220">
        <v>43788</v>
      </c>
      <c r="H712" s="130" t="s">
        <v>1702</v>
      </c>
      <c r="I712" s="130" t="s">
        <v>1701</v>
      </c>
      <c r="J712" s="130" t="s">
        <v>104</v>
      </c>
      <c r="K712" s="130" t="s">
        <v>105</v>
      </c>
      <c r="L712" s="174" t="s">
        <v>71</v>
      </c>
      <c r="M712" s="131" t="s">
        <v>72</v>
      </c>
      <c r="N712" s="130" t="s">
        <v>73</v>
      </c>
      <c r="O712" s="219" t="s">
        <v>69</v>
      </c>
      <c r="P712" s="130" t="s">
        <v>1699</v>
      </c>
      <c r="Q712" s="132" t="s">
        <v>74</v>
      </c>
      <c r="R712" s="218">
        <v>3.3809999999999998</v>
      </c>
      <c r="S712" s="129">
        <v>1</v>
      </c>
      <c r="T712" s="129">
        <v>260</v>
      </c>
      <c r="U712" s="129">
        <v>260</v>
      </c>
      <c r="V712" s="129">
        <v>46.799989999999958</v>
      </c>
      <c r="W712" s="129">
        <v>306.79998999999998</v>
      </c>
      <c r="X712" s="27">
        <f t="shared" si="179"/>
        <v>260</v>
      </c>
    </row>
    <row r="713" spans="1:24" x14ac:dyDescent="0.2">
      <c r="A713" s="220">
        <v>43789</v>
      </c>
      <c r="B713" s="130" t="s">
        <v>111</v>
      </c>
      <c r="C713" s="130" t="s">
        <v>102</v>
      </c>
      <c r="D713" s="130" t="s">
        <v>647</v>
      </c>
      <c r="E713" s="130" t="s">
        <v>1258</v>
      </c>
      <c r="F713" s="130" t="s">
        <v>1714</v>
      </c>
      <c r="G713" s="220">
        <v>43760</v>
      </c>
      <c r="H713" s="130" t="s">
        <v>1713</v>
      </c>
      <c r="I713" s="130" t="s">
        <v>1712</v>
      </c>
      <c r="J713" s="130" t="s">
        <v>95</v>
      </c>
      <c r="K713" s="130" t="s">
        <v>96</v>
      </c>
      <c r="L713" s="174" t="s">
        <v>71</v>
      </c>
      <c r="M713" s="131" t="s">
        <v>72</v>
      </c>
      <c r="N713" s="130" t="s">
        <v>73</v>
      </c>
      <c r="O713" s="219" t="s">
        <v>69</v>
      </c>
      <c r="P713" s="130" t="s">
        <v>1699</v>
      </c>
      <c r="Q713" s="132" t="s">
        <v>93</v>
      </c>
      <c r="R713" s="218">
        <v>3.3809999999999998</v>
      </c>
      <c r="S713" s="129">
        <v>1</v>
      </c>
      <c r="T713" s="129">
        <v>264.48309000000006</v>
      </c>
      <c r="U713" s="129">
        <v>264.48309000000006</v>
      </c>
      <c r="V713" s="129">
        <v>47.606909999999914</v>
      </c>
      <c r="W713" s="129">
        <v>312.08999999999997</v>
      </c>
      <c r="X713" s="27">
        <f t="shared" si="179"/>
        <v>894.21732729000018</v>
      </c>
    </row>
    <row r="714" spans="1:24" x14ac:dyDescent="0.2">
      <c r="A714" s="220">
        <v>43789</v>
      </c>
      <c r="B714" s="130" t="s">
        <v>111</v>
      </c>
      <c r="C714" s="130" t="s">
        <v>102</v>
      </c>
      <c r="D714" s="130" t="s">
        <v>646</v>
      </c>
      <c r="E714" s="130" t="s">
        <v>1349</v>
      </c>
      <c r="F714" s="130" t="s">
        <v>1428</v>
      </c>
      <c r="G714" s="220">
        <v>43780</v>
      </c>
      <c r="H714" s="130" t="s">
        <v>1710</v>
      </c>
      <c r="I714" s="130" t="s">
        <v>1709</v>
      </c>
      <c r="J714" s="130" t="s">
        <v>95</v>
      </c>
      <c r="K714" s="130" t="s">
        <v>96</v>
      </c>
      <c r="L714" s="174" t="s">
        <v>71</v>
      </c>
      <c r="M714" s="131" t="s">
        <v>72</v>
      </c>
      <c r="N714" s="130" t="s">
        <v>73</v>
      </c>
      <c r="O714" s="219" t="s">
        <v>69</v>
      </c>
      <c r="P714" s="130" t="s">
        <v>1699</v>
      </c>
      <c r="Q714" s="132" t="s">
        <v>93</v>
      </c>
      <c r="R714" s="218">
        <v>3.3809999999999998</v>
      </c>
      <c r="S714" s="129">
        <v>1</v>
      </c>
      <c r="T714" s="129">
        <v>334.31360000000006</v>
      </c>
      <c r="U714" s="129">
        <v>334.31360000000006</v>
      </c>
      <c r="V714" s="129">
        <v>60.176389999999955</v>
      </c>
      <c r="W714" s="129">
        <v>394.48999000000003</v>
      </c>
      <c r="X714" s="27">
        <f t="shared" si="179"/>
        <v>1130.3142816000002</v>
      </c>
    </row>
    <row r="715" spans="1:24" x14ac:dyDescent="0.2">
      <c r="A715" s="220">
        <v>43789</v>
      </c>
      <c r="B715" s="130" t="s">
        <v>111</v>
      </c>
      <c r="C715" s="130" t="s">
        <v>102</v>
      </c>
      <c r="D715" s="130" t="s">
        <v>645</v>
      </c>
      <c r="E715" s="130" t="s">
        <v>1711</v>
      </c>
      <c r="F715" s="130" t="s">
        <v>1428</v>
      </c>
      <c r="G715" s="220">
        <v>43789</v>
      </c>
      <c r="H715" s="130" t="s">
        <v>1710</v>
      </c>
      <c r="I715" s="130" t="s">
        <v>1709</v>
      </c>
      <c r="J715" s="130" t="s">
        <v>104</v>
      </c>
      <c r="K715" s="130" t="s">
        <v>105</v>
      </c>
      <c r="L715" s="174" t="s">
        <v>71</v>
      </c>
      <c r="M715" s="131" t="s">
        <v>72</v>
      </c>
      <c r="N715" s="130" t="s">
        <v>73</v>
      </c>
      <c r="O715" s="219" t="s">
        <v>69</v>
      </c>
      <c r="P715" s="130" t="s">
        <v>1699</v>
      </c>
      <c r="Q715" s="132" t="s">
        <v>74</v>
      </c>
      <c r="R715" s="218">
        <v>3.3809999999999998</v>
      </c>
      <c r="S715" s="129">
        <v>1</v>
      </c>
      <c r="T715" s="129">
        <v>16.949200000000001</v>
      </c>
      <c r="U715" s="129">
        <v>16.949200000000001</v>
      </c>
      <c r="V715" s="129">
        <v>3.0507999999999993</v>
      </c>
      <c r="W715" s="129">
        <v>20</v>
      </c>
      <c r="X715" s="27">
        <f t="shared" si="179"/>
        <v>16.949200000000001</v>
      </c>
    </row>
    <row r="716" spans="1:24" x14ac:dyDescent="0.2">
      <c r="A716" s="220">
        <v>43789</v>
      </c>
      <c r="B716" s="130" t="s">
        <v>111</v>
      </c>
      <c r="C716" s="130" t="s">
        <v>102</v>
      </c>
      <c r="D716" s="130" t="s">
        <v>644</v>
      </c>
      <c r="E716" s="130" t="s">
        <v>1304</v>
      </c>
      <c r="F716" s="130" t="s">
        <v>1708</v>
      </c>
      <c r="G716" s="220">
        <v>43775</v>
      </c>
      <c r="H716" s="130" t="s">
        <v>1707</v>
      </c>
      <c r="I716" s="130" t="s">
        <v>1706</v>
      </c>
      <c r="J716" s="130" t="s">
        <v>95</v>
      </c>
      <c r="K716" s="130" t="s">
        <v>96</v>
      </c>
      <c r="L716" s="174" t="s">
        <v>71</v>
      </c>
      <c r="M716" s="131" t="s">
        <v>72</v>
      </c>
      <c r="N716" s="130" t="s">
        <v>73</v>
      </c>
      <c r="O716" s="219" t="s">
        <v>69</v>
      </c>
      <c r="P716" s="130" t="s">
        <v>1699</v>
      </c>
      <c r="Q716" s="132" t="s">
        <v>93</v>
      </c>
      <c r="R716" s="218">
        <v>3.3809999999999998</v>
      </c>
      <c r="S716" s="129">
        <v>1</v>
      </c>
      <c r="T716" s="129">
        <v>212.22881000000004</v>
      </c>
      <c r="U716" s="129">
        <v>212.22881000000004</v>
      </c>
      <c r="V716" s="129">
        <v>38.201179999999916</v>
      </c>
      <c r="W716" s="129">
        <v>250.42998999999998</v>
      </c>
      <c r="X716" s="27">
        <f t="shared" si="179"/>
        <v>717.54560661000005</v>
      </c>
    </row>
    <row r="717" spans="1:24" x14ac:dyDescent="0.2">
      <c r="A717" s="220">
        <v>43798</v>
      </c>
      <c r="B717" s="130" t="s">
        <v>111</v>
      </c>
      <c r="C717" s="130" t="s">
        <v>102</v>
      </c>
      <c r="D717" s="130" t="s">
        <v>643</v>
      </c>
      <c r="E717" s="130" t="s">
        <v>1381</v>
      </c>
      <c r="F717" s="130" t="s">
        <v>1441</v>
      </c>
      <c r="G717" s="220">
        <v>43788</v>
      </c>
      <c r="H717" s="130" t="s">
        <v>1705</v>
      </c>
      <c r="I717" s="130" t="s">
        <v>1704</v>
      </c>
      <c r="J717" s="130" t="s">
        <v>95</v>
      </c>
      <c r="K717" s="130" t="s">
        <v>96</v>
      </c>
      <c r="L717" s="174" t="s">
        <v>71</v>
      </c>
      <c r="M717" s="131" t="s">
        <v>72</v>
      </c>
      <c r="N717" s="130" t="s">
        <v>73</v>
      </c>
      <c r="O717" s="219" t="s">
        <v>69</v>
      </c>
      <c r="P717" s="130" t="s">
        <v>1699</v>
      </c>
      <c r="Q717" s="132" t="s">
        <v>93</v>
      </c>
      <c r="R717" s="218">
        <v>3.3900001</v>
      </c>
      <c r="S717" s="129">
        <v>1</v>
      </c>
      <c r="T717" s="129">
        <v>100</v>
      </c>
      <c r="U717" s="129">
        <v>100</v>
      </c>
      <c r="V717" s="129">
        <v>18</v>
      </c>
      <c r="W717" s="129">
        <v>118</v>
      </c>
      <c r="X717" s="27">
        <f t="shared" si="179"/>
        <v>339.00000999999997</v>
      </c>
    </row>
    <row r="718" spans="1:24" x14ac:dyDescent="0.2">
      <c r="A718" s="220">
        <v>43799</v>
      </c>
      <c r="B718" s="130" t="s">
        <v>111</v>
      </c>
      <c r="C718" s="130" t="s">
        <v>102</v>
      </c>
      <c r="D718" s="130" t="s">
        <v>642</v>
      </c>
      <c r="E718" s="130" t="s">
        <v>1419</v>
      </c>
      <c r="F718" s="130" t="s">
        <v>1703</v>
      </c>
      <c r="G718" s="220">
        <v>43799</v>
      </c>
      <c r="H718" s="130" t="s">
        <v>1702</v>
      </c>
      <c r="I718" s="130" t="s">
        <v>1701</v>
      </c>
      <c r="J718" s="130" t="s">
        <v>70</v>
      </c>
      <c r="K718" s="130" t="s">
        <v>112</v>
      </c>
      <c r="L718" s="174" t="s">
        <v>71</v>
      </c>
      <c r="M718" s="131" t="s">
        <v>72</v>
      </c>
      <c r="N718" s="130" t="s">
        <v>73</v>
      </c>
      <c r="O718" s="219" t="s">
        <v>69</v>
      </c>
      <c r="P718" s="130" t="s">
        <v>1699</v>
      </c>
      <c r="Q718" s="132" t="s">
        <v>74</v>
      </c>
      <c r="R718" s="218">
        <v>3.4000001000000002</v>
      </c>
      <c r="S718" s="129">
        <v>1</v>
      </c>
      <c r="T718" s="129">
        <v>350</v>
      </c>
      <c r="U718" s="129">
        <v>350</v>
      </c>
      <c r="V718" s="129">
        <v>63</v>
      </c>
      <c r="W718" s="129">
        <v>413</v>
      </c>
      <c r="X718" s="27">
        <f t="shared" si="179"/>
        <v>350</v>
      </c>
    </row>
    <row r="719" spans="1:24" x14ac:dyDescent="0.2">
      <c r="A719" s="220">
        <v>43799</v>
      </c>
      <c r="B719" s="130" t="s">
        <v>111</v>
      </c>
      <c r="C719" s="130" t="s">
        <v>102</v>
      </c>
      <c r="D719" s="130" t="s">
        <v>642</v>
      </c>
      <c r="E719" s="130" t="s">
        <v>1419</v>
      </c>
      <c r="F719" s="130" t="s">
        <v>1703</v>
      </c>
      <c r="G719" s="220">
        <v>43799</v>
      </c>
      <c r="H719" s="130" t="s">
        <v>1702</v>
      </c>
      <c r="I719" s="130" t="s">
        <v>1701</v>
      </c>
      <c r="J719" s="130" t="s">
        <v>104</v>
      </c>
      <c r="K719" s="130" t="s">
        <v>105</v>
      </c>
      <c r="L719" s="174" t="s">
        <v>71</v>
      </c>
      <c r="M719" s="131" t="s">
        <v>72</v>
      </c>
      <c r="N719" s="130" t="s">
        <v>73</v>
      </c>
      <c r="O719" s="219" t="s">
        <v>69</v>
      </c>
      <c r="P719" s="130" t="s">
        <v>1699</v>
      </c>
      <c r="Q719" s="132" t="s">
        <v>74</v>
      </c>
      <c r="R719" s="218">
        <v>3.4000001000000002</v>
      </c>
      <c r="S719" s="129">
        <v>1</v>
      </c>
      <c r="T719" s="129">
        <v>0</v>
      </c>
      <c r="U719" s="129">
        <v>0</v>
      </c>
      <c r="V719" s="129">
        <v>0</v>
      </c>
      <c r="W719" s="129">
        <v>0</v>
      </c>
      <c r="X719" s="27">
        <f t="shared" si="179"/>
        <v>0</v>
      </c>
    </row>
    <row r="720" spans="1:24" x14ac:dyDescent="0.2">
      <c r="A720" s="220">
        <v>43791</v>
      </c>
      <c r="B720" s="130" t="s">
        <v>114</v>
      </c>
      <c r="C720" s="130" t="s">
        <v>102</v>
      </c>
      <c r="D720" s="130" t="s">
        <v>696</v>
      </c>
      <c r="E720" s="130" t="s">
        <v>1887</v>
      </c>
      <c r="F720" s="130">
        <v>0</v>
      </c>
      <c r="G720" s="220">
        <v>43791</v>
      </c>
      <c r="H720" s="130" t="s">
        <v>90</v>
      </c>
      <c r="I720" s="130" t="s">
        <v>91</v>
      </c>
      <c r="J720" s="130" t="s">
        <v>97</v>
      </c>
      <c r="K720" s="130" t="s">
        <v>98</v>
      </c>
      <c r="L720" s="174" t="s">
        <v>72</v>
      </c>
      <c r="M720" s="131" t="s">
        <v>72</v>
      </c>
      <c r="N720" s="130" t="s">
        <v>73</v>
      </c>
      <c r="O720" s="219" t="s">
        <v>99</v>
      </c>
      <c r="P720" s="130" t="s">
        <v>98</v>
      </c>
      <c r="Q720" s="132" t="s">
        <v>93</v>
      </c>
      <c r="R720" s="218">
        <v>3.3809999999999998</v>
      </c>
      <c r="S720" s="129">
        <v>-1</v>
      </c>
      <c r="T720" s="129">
        <v>-137.5</v>
      </c>
      <c r="U720" s="129">
        <v>-137.5</v>
      </c>
      <c r="V720" s="129">
        <v>-24.75</v>
      </c>
      <c r="W720" s="129">
        <v>-162.25</v>
      </c>
      <c r="X720" s="27">
        <f t="shared" si="179"/>
        <v>-464.88749999999999</v>
      </c>
    </row>
    <row r="721" spans="1:24" x14ac:dyDescent="0.2">
      <c r="A721" s="220">
        <v>43791</v>
      </c>
      <c r="B721" s="130" t="s">
        <v>114</v>
      </c>
      <c r="C721" s="130" t="s">
        <v>102</v>
      </c>
      <c r="D721" s="130" t="s">
        <v>696</v>
      </c>
      <c r="E721" s="130" t="s">
        <v>1887</v>
      </c>
      <c r="F721" s="130">
        <v>0</v>
      </c>
      <c r="G721" s="220">
        <v>43791</v>
      </c>
      <c r="H721" s="130" t="s">
        <v>90</v>
      </c>
      <c r="I721" s="130" t="s">
        <v>91</v>
      </c>
      <c r="J721" s="130" t="s">
        <v>100</v>
      </c>
      <c r="K721" s="130" t="s">
        <v>101</v>
      </c>
      <c r="L721" s="174" t="s">
        <v>72</v>
      </c>
      <c r="M721" s="131" t="s">
        <v>72</v>
      </c>
      <c r="N721" s="130" t="s">
        <v>73</v>
      </c>
      <c r="O721" s="219" t="s">
        <v>72</v>
      </c>
      <c r="P721" s="130" t="s">
        <v>101</v>
      </c>
      <c r="Q721" s="132" t="s">
        <v>93</v>
      </c>
      <c r="R721" s="218">
        <v>3.3809999999999998</v>
      </c>
      <c r="S721" s="129">
        <v>-1</v>
      </c>
      <c r="T721" s="129">
        <v>-156</v>
      </c>
      <c r="U721" s="129">
        <v>-156</v>
      </c>
      <c r="V721" s="129">
        <v>-28.08</v>
      </c>
      <c r="W721" s="129">
        <v>-184.08</v>
      </c>
      <c r="X721" s="27">
        <f t="shared" si="179"/>
        <v>-527.43599999999992</v>
      </c>
    </row>
    <row r="722" spans="1:24" x14ac:dyDescent="0.2">
      <c r="A722" s="220">
        <v>43791</v>
      </c>
      <c r="B722" s="130" t="s">
        <v>114</v>
      </c>
      <c r="C722" s="130" t="s">
        <v>102</v>
      </c>
      <c r="D722" s="130" t="s">
        <v>696</v>
      </c>
      <c r="E722" s="130" t="s">
        <v>1887</v>
      </c>
      <c r="F722" s="130">
        <v>0</v>
      </c>
      <c r="G722" s="220">
        <v>43791</v>
      </c>
      <c r="H722" s="130" t="s">
        <v>90</v>
      </c>
      <c r="I722" s="130" t="s">
        <v>91</v>
      </c>
      <c r="J722" s="130" t="s">
        <v>92</v>
      </c>
      <c r="K722" s="130" t="s">
        <v>113</v>
      </c>
      <c r="L722" s="174" t="s">
        <v>72</v>
      </c>
      <c r="M722" s="131" t="s">
        <v>72</v>
      </c>
      <c r="N722" s="130" t="s">
        <v>73</v>
      </c>
      <c r="O722" s="219" t="s">
        <v>69</v>
      </c>
      <c r="P722" s="130" t="s">
        <v>1699</v>
      </c>
      <c r="Q722" s="132" t="s">
        <v>93</v>
      </c>
      <c r="R722" s="218">
        <v>3.3809999999999998</v>
      </c>
      <c r="S722" s="129">
        <v>-1</v>
      </c>
      <c r="T722" s="129">
        <v>-55</v>
      </c>
      <c r="U722" s="129">
        <v>-55</v>
      </c>
      <c r="V722" s="129">
        <v>-9.9000020000000131</v>
      </c>
      <c r="W722" s="129">
        <v>-64.900002000000015</v>
      </c>
      <c r="X722" s="27">
        <f t="shared" si="179"/>
        <v>-185.95499999999998</v>
      </c>
    </row>
    <row r="723" spans="1:24" x14ac:dyDescent="0.2">
      <c r="A723" s="220">
        <v>43791</v>
      </c>
      <c r="B723" s="130" t="s">
        <v>114</v>
      </c>
      <c r="C723" s="130" t="s">
        <v>102</v>
      </c>
      <c r="D723" s="130" t="s">
        <v>696</v>
      </c>
      <c r="E723" s="130" t="s">
        <v>1887</v>
      </c>
      <c r="F723" s="130">
        <v>0</v>
      </c>
      <c r="G723" s="220">
        <v>43791</v>
      </c>
      <c r="H723" s="130" t="s">
        <v>90</v>
      </c>
      <c r="I723" s="130" t="s">
        <v>91</v>
      </c>
      <c r="J723" s="130" t="s">
        <v>95</v>
      </c>
      <c r="K723" s="130" t="s">
        <v>96</v>
      </c>
      <c r="L723" s="174" t="s">
        <v>72</v>
      </c>
      <c r="M723" s="131" t="s">
        <v>72</v>
      </c>
      <c r="N723" s="130" t="s">
        <v>73</v>
      </c>
      <c r="O723" s="219" t="s">
        <v>69</v>
      </c>
      <c r="P723" s="130" t="s">
        <v>1699</v>
      </c>
      <c r="Q723" s="132" t="s">
        <v>93</v>
      </c>
      <c r="R723" s="218">
        <v>3.3809999999999998</v>
      </c>
      <c r="S723" s="129">
        <v>1</v>
      </c>
      <c r="T723" s="129">
        <v>-150</v>
      </c>
      <c r="U723" s="129">
        <v>150</v>
      </c>
      <c r="V723" s="129">
        <v>27</v>
      </c>
      <c r="W723" s="129">
        <v>177</v>
      </c>
      <c r="X723" s="27">
        <f t="shared" si="179"/>
        <v>507.15</v>
      </c>
    </row>
    <row r="724" spans="1:24" x14ac:dyDescent="0.2">
      <c r="A724" s="220">
        <v>43791</v>
      </c>
      <c r="B724" s="130" t="s">
        <v>114</v>
      </c>
      <c r="C724" s="130" t="s">
        <v>102</v>
      </c>
      <c r="D724" s="130" t="s">
        <v>696</v>
      </c>
      <c r="E724" s="130" t="s">
        <v>1887</v>
      </c>
      <c r="F724" s="130">
        <v>0</v>
      </c>
      <c r="G724" s="220">
        <v>43791</v>
      </c>
      <c r="H724" s="130" t="s">
        <v>90</v>
      </c>
      <c r="I724" s="130" t="s">
        <v>91</v>
      </c>
      <c r="J724" s="130" t="s">
        <v>104</v>
      </c>
      <c r="K724" s="130" t="s">
        <v>105</v>
      </c>
      <c r="L724" s="174" t="s">
        <v>72</v>
      </c>
      <c r="M724" s="131" t="s">
        <v>72</v>
      </c>
      <c r="N724" s="130" t="s">
        <v>73</v>
      </c>
      <c r="O724" s="219" t="s">
        <v>69</v>
      </c>
      <c r="P724" s="130" t="s">
        <v>1699</v>
      </c>
      <c r="Q724" s="132" t="s">
        <v>93</v>
      </c>
      <c r="R724" s="218">
        <v>3.3809999999999998</v>
      </c>
      <c r="S724" s="129">
        <v>-1</v>
      </c>
      <c r="T724" s="129">
        <v>0</v>
      </c>
      <c r="U724" s="129">
        <v>0</v>
      </c>
      <c r="V724" s="129">
        <v>0</v>
      </c>
      <c r="W724" s="129">
        <v>0</v>
      </c>
      <c r="X724" s="27">
        <f t="shared" si="179"/>
        <v>0</v>
      </c>
    </row>
    <row r="725" spans="1:24" x14ac:dyDescent="0.2">
      <c r="A725" s="220">
        <v>43794</v>
      </c>
      <c r="B725" s="130" t="s">
        <v>114</v>
      </c>
      <c r="C725" s="130" t="s">
        <v>102</v>
      </c>
      <c r="D725" s="130" t="s">
        <v>695</v>
      </c>
      <c r="E725" s="130" t="s">
        <v>1293</v>
      </c>
      <c r="F725" s="130" t="s">
        <v>1700</v>
      </c>
      <c r="G725" s="220">
        <v>43776</v>
      </c>
      <c r="H725" s="130" t="s">
        <v>90</v>
      </c>
      <c r="I725" s="130" t="s">
        <v>91</v>
      </c>
      <c r="J725" s="130" t="s">
        <v>115</v>
      </c>
      <c r="K725" s="130" t="s">
        <v>138</v>
      </c>
      <c r="L725" s="174" t="s">
        <v>72</v>
      </c>
      <c r="M725" s="131" t="s">
        <v>72</v>
      </c>
      <c r="N725" s="130" t="s">
        <v>73</v>
      </c>
      <c r="O725" s="219" t="s">
        <v>69</v>
      </c>
      <c r="P725" s="130" t="s">
        <v>1699</v>
      </c>
      <c r="Q725" s="132" t="s">
        <v>93</v>
      </c>
      <c r="R725" s="218">
        <v>3.3759999000000001</v>
      </c>
      <c r="S725" s="129">
        <v>-1</v>
      </c>
      <c r="T725" s="129">
        <v>-7.5</v>
      </c>
      <c r="U725" s="129">
        <v>-7.5</v>
      </c>
      <c r="V725" s="129">
        <v>-1.3500004000000023</v>
      </c>
      <c r="W725" s="129">
        <v>-8.8500004000000025</v>
      </c>
      <c r="X725" s="27">
        <f t="shared" si="179"/>
        <v>-25.319999250000002</v>
      </c>
    </row>
    <row r="726" spans="1:24" x14ac:dyDescent="0.2">
      <c r="A726" s="220">
        <v>43796</v>
      </c>
      <c r="B726" s="130" t="s">
        <v>114</v>
      </c>
      <c r="C726" s="130" t="s">
        <v>102</v>
      </c>
      <c r="D726" s="130" t="s">
        <v>694</v>
      </c>
      <c r="E726" s="130" t="s">
        <v>1888</v>
      </c>
      <c r="F726" s="130">
        <v>0</v>
      </c>
      <c r="G726" s="220">
        <v>43796</v>
      </c>
      <c r="H726" s="130" t="s">
        <v>90</v>
      </c>
      <c r="I726" s="130" t="s">
        <v>91</v>
      </c>
      <c r="J726" s="130" t="s">
        <v>115</v>
      </c>
      <c r="K726" s="130" t="s">
        <v>138</v>
      </c>
      <c r="L726" s="174" t="s">
        <v>72</v>
      </c>
      <c r="M726" s="131" t="s">
        <v>72</v>
      </c>
      <c r="N726" s="130" t="s">
        <v>73</v>
      </c>
      <c r="O726" s="219" t="s">
        <v>69</v>
      </c>
      <c r="P726" s="130" t="s">
        <v>1699</v>
      </c>
      <c r="Q726" s="132" t="s">
        <v>93</v>
      </c>
      <c r="R726" s="218">
        <v>3.3640001000000002</v>
      </c>
      <c r="S726" s="129">
        <v>-1</v>
      </c>
      <c r="T726" s="129">
        <v>-14.96</v>
      </c>
      <c r="U726" s="129">
        <v>-14.96</v>
      </c>
      <c r="V726" s="129">
        <v>-2.6927999999999974</v>
      </c>
      <c r="W726" s="129">
        <v>-17.652799999999999</v>
      </c>
      <c r="X726" s="27">
        <f t="shared" si="179"/>
        <v>-50.325441496000003</v>
      </c>
    </row>
    <row r="727" spans="1:24" x14ac:dyDescent="0.2">
      <c r="A727" s="220">
        <v>43794</v>
      </c>
      <c r="B727" s="130" t="s">
        <v>720</v>
      </c>
      <c r="C727" s="130" t="s">
        <v>102</v>
      </c>
      <c r="D727" s="130" t="s">
        <v>595</v>
      </c>
      <c r="E727" s="130" t="s">
        <v>1889</v>
      </c>
      <c r="F727" s="130">
        <v>0</v>
      </c>
      <c r="G727" s="220">
        <v>43794</v>
      </c>
      <c r="H727" s="130" t="s">
        <v>1131</v>
      </c>
      <c r="I727" s="130" t="s">
        <v>1132</v>
      </c>
      <c r="J727" s="130" t="s">
        <v>100</v>
      </c>
      <c r="K727" s="130" t="s">
        <v>1698</v>
      </c>
      <c r="L727" s="174" t="s">
        <v>72</v>
      </c>
      <c r="M727" s="131" t="s">
        <v>72</v>
      </c>
      <c r="N727" s="130" t="s">
        <v>73</v>
      </c>
      <c r="O727" s="219" t="s">
        <v>72</v>
      </c>
      <c r="P727" s="130" t="s">
        <v>101</v>
      </c>
      <c r="Q727" s="132" t="s">
        <v>93</v>
      </c>
      <c r="R727" s="218">
        <v>3.3849999999999998</v>
      </c>
      <c r="S727" s="129">
        <v>1</v>
      </c>
      <c r="T727" s="129">
        <v>57.450001</v>
      </c>
      <c r="U727" s="129">
        <v>57.450001</v>
      </c>
      <c r="V727" s="129">
        <v>10.34</v>
      </c>
      <c r="W727" s="129">
        <v>67.790001000000004</v>
      </c>
      <c r="X727" s="27">
        <f t="shared" si="179"/>
        <v>194.468253385</v>
      </c>
    </row>
    <row r="728" spans="1:24" x14ac:dyDescent="0.2">
      <c r="A728" s="220">
        <v>43802</v>
      </c>
      <c r="B728" s="130" t="s">
        <v>68</v>
      </c>
      <c r="C728" s="130" t="s">
        <v>102</v>
      </c>
      <c r="D728" s="130" t="s">
        <v>2284</v>
      </c>
      <c r="E728" s="130" t="s">
        <v>1409</v>
      </c>
      <c r="F728" s="130" t="s">
        <v>2285</v>
      </c>
      <c r="G728" s="220">
        <v>43776</v>
      </c>
      <c r="H728" s="130" t="s">
        <v>90</v>
      </c>
      <c r="I728" s="130" t="s">
        <v>91</v>
      </c>
      <c r="J728" s="130" t="s">
        <v>97</v>
      </c>
      <c r="K728" s="130" t="s">
        <v>98</v>
      </c>
      <c r="L728" s="174" t="s">
        <v>71</v>
      </c>
      <c r="M728" s="131" t="s">
        <v>72</v>
      </c>
      <c r="N728" s="130" t="s">
        <v>73</v>
      </c>
      <c r="O728" s="219" t="s">
        <v>99</v>
      </c>
      <c r="P728" s="130" t="s">
        <v>98</v>
      </c>
      <c r="Q728" s="132" t="s">
        <v>93</v>
      </c>
      <c r="R728" s="221">
        <v>3.4030000999999999</v>
      </c>
      <c r="S728" s="53">
        <v>1</v>
      </c>
      <c r="T728" s="53">
        <v>295</v>
      </c>
      <c r="U728" s="53">
        <v>295</v>
      </c>
      <c r="V728" s="53">
        <v>53.100009999999891</v>
      </c>
      <c r="W728" s="53">
        <v>348.10000999999988</v>
      </c>
      <c r="X728" s="27">
        <f t="shared" si="179"/>
        <v>1003.8850295</v>
      </c>
    </row>
    <row r="729" spans="1:24" x14ac:dyDescent="0.2">
      <c r="A729" s="220">
        <v>43802</v>
      </c>
      <c r="B729" s="130" t="s">
        <v>68</v>
      </c>
      <c r="C729" s="130" t="s">
        <v>102</v>
      </c>
      <c r="D729" s="130" t="s">
        <v>2284</v>
      </c>
      <c r="E729" s="130" t="s">
        <v>1409</v>
      </c>
      <c r="F729" s="130" t="s">
        <v>2285</v>
      </c>
      <c r="G729" s="220">
        <v>43776</v>
      </c>
      <c r="H729" s="130" t="s">
        <v>90</v>
      </c>
      <c r="I729" s="130" t="s">
        <v>91</v>
      </c>
      <c r="J729" s="130" t="s">
        <v>100</v>
      </c>
      <c r="K729" s="130" t="s">
        <v>101</v>
      </c>
      <c r="L729" s="174" t="s">
        <v>71</v>
      </c>
      <c r="M729" s="131" t="s">
        <v>72</v>
      </c>
      <c r="N729" s="130" t="s">
        <v>73</v>
      </c>
      <c r="O729" s="219" t="s">
        <v>72</v>
      </c>
      <c r="P729" s="130" t="s">
        <v>101</v>
      </c>
      <c r="Q729" s="132" t="s">
        <v>93</v>
      </c>
      <c r="R729" s="221">
        <v>3.4030000999999999</v>
      </c>
      <c r="S729" s="53">
        <v>1</v>
      </c>
      <c r="T729" s="53">
        <v>180</v>
      </c>
      <c r="U729" s="53">
        <v>180</v>
      </c>
      <c r="V729" s="53">
        <v>32.39998999999996</v>
      </c>
      <c r="W729" s="53">
        <v>212.39998999999997</v>
      </c>
      <c r="X729" s="27">
        <f t="shared" si="179"/>
        <v>612.54001799999992</v>
      </c>
    </row>
    <row r="730" spans="1:24" x14ac:dyDescent="0.2">
      <c r="A730" s="220">
        <v>43802</v>
      </c>
      <c r="B730" s="130" t="s">
        <v>68</v>
      </c>
      <c r="C730" s="130" t="s">
        <v>102</v>
      </c>
      <c r="D730" s="130" t="s">
        <v>2284</v>
      </c>
      <c r="E730" s="130" t="s">
        <v>1409</v>
      </c>
      <c r="F730" s="130" t="s">
        <v>2285</v>
      </c>
      <c r="G730" s="220">
        <v>43776</v>
      </c>
      <c r="H730" s="130" t="s">
        <v>90</v>
      </c>
      <c r="I730" s="130" t="s">
        <v>91</v>
      </c>
      <c r="J730" s="130" t="s">
        <v>92</v>
      </c>
      <c r="K730" s="130" t="s">
        <v>113</v>
      </c>
      <c r="L730" s="174" t="s">
        <v>71</v>
      </c>
      <c r="M730" s="131" t="s">
        <v>72</v>
      </c>
      <c r="N730" s="130" t="s">
        <v>73</v>
      </c>
      <c r="O730" s="219" t="s">
        <v>69</v>
      </c>
      <c r="P730" s="130" t="s">
        <v>1699</v>
      </c>
      <c r="Q730" s="132" t="s">
        <v>93</v>
      </c>
      <c r="R730" s="221">
        <v>3.4030000999999999</v>
      </c>
      <c r="S730" s="53">
        <v>1</v>
      </c>
      <c r="T730" s="53">
        <v>50</v>
      </c>
      <c r="U730" s="53">
        <v>50</v>
      </c>
      <c r="V730" s="53">
        <v>9</v>
      </c>
      <c r="W730" s="53">
        <v>59</v>
      </c>
      <c r="X730" s="27">
        <f t="shared" si="179"/>
        <v>170.15000499999999</v>
      </c>
    </row>
    <row r="731" spans="1:24" x14ac:dyDescent="0.2">
      <c r="A731" s="220">
        <v>43802</v>
      </c>
      <c r="B731" s="130" t="s">
        <v>68</v>
      </c>
      <c r="C731" s="130" t="s">
        <v>102</v>
      </c>
      <c r="D731" s="130" t="s">
        <v>2284</v>
      </c>
      <c r="E731" s="130" t="s">
        <v>1409</v>
      </c>
      <c r="F731" s="130" t="s">
        <v>2285</v>
      </c>
      <c r="G731" s="220">
        <v>43776</v>
      </c>
      <c r="H731" s="130" t="s">
        <v>90</v>
      </c>
      <c r="I731" s="130" t="s">
        <v>91</v>
      </c>
      <c r="J731" s="130" t="s">
        <v>95</v>
      </c>
      <c r="K731" s="130" t="s">
        <v>96</v>
      </c>
      <c r="L731" s="174" t="s">
        <v>71</v>
      </c>
      <c r="M731" s="131" t="s">
        <v>72</v>
      </c>
      <c r="N731" s="130" t="s">
        <v>73</v>
      </c>
      <c r="O731" s="219" t="s">
        <v>69</v>
      </c>
      <c r="P731" s="130" t="s">
        <v>1699</v>
      </c>
      <c r="Q731" s="132" t="s">
        <v>93</v>
      </c>
      <c r="R731" s="221">
        <v>3.4030000999999999</v>
      </c>
      <c r="S731" s="53">
        <v>-1</v>
      </c>
      <c r="T731" s="53">
        <v>108.85590000000002</v>
      </c>
      <c r="U731" s="53">
        <v>-108.85590000000002</v>
      </c>
      <c r="V731" s="53">
        <v>-19.594099999999962</v>
      </c>
      <c r="W731" s="53">
        <v>-128.44999999999999</v>
      </c>
      <c r="X731" s="27">
        <f t="shared" si="179"/>
        <v>-370.43663858559006</v>
      </c>
    </row>
    <row r="732" spans="1:24" x14ac:dyDescent="0.2">
      <c r="A732" s="220">
        <v>43802</v>
      </c>
      <c r="B732" s="130" t="s">
        <v>68</v>
      </c>
      <c r="C732" s="130" t="s">
        <v>102</v>
      </c>
      <c r="D732" s="130" t="s">
        <v>2284</v>
      </c>
      <c r="E732" s="130" t="s">
        <v>1409</v>
      </c>
      <c r="F732" s="130" t="s">
        <v>2285</v>
      </c>
      <c r="G732" s="220">
        <v>43776</v>
      </c>
      <c r="H732" s="130" t="s">
        <v>90</v>
      </c>
      <c r="I732" s="130" t="s">
        <v>91</v>
      </c>
      <c r="J732" s="130" t="s">
        <v>104</v>
      </c>
      <c r="K732" s="130" t="s">
        <v>105</v>
      </c>
      <c r="L732" s="174" t="s">
        <v>71</v>
      </c>
      <c r="M732" s="131" t="s">
        <v>72</v>
      </c>
      <c r="N732" s="130" t="s">
        <v>73</v>
      </c>
      <c r="O732" s="219" t="s">
        <v>69</v>
      </c>
      <c r="P732" s="130" t="s">
        <v>1699</v>
      </c>
      <c r="Q732" s="132" t="s">
        <v>93</v>
      </c>
      <c r="R732" s="221">
        <v>3.4030000999999999</v>
      </c>
      <c r="S732" s="53">
        <v>1</v>
      </c>
      <c r="T732" s="53">
        <v>0</v>
      </c>
      <c r="U732" s="53">
        <v>0</v>
      </c>
      <c r="V732" s="53">
        <v>0</v>
      </c>
      <c r="W732" s="53">
        <v>0</v>
      </c>
      <c r="X732" s="27">
        <f t="shared" si="179"/>
        <v>0</v>
      </c>
    </row>
    <row r="733" spans="1:24" x14ac:dyDescent="0.2">
      <c r="A733" s="220">
        <v>43802</v>
      </c>
      <c r="B733" s="130" t="s">
        <v>68</v>
      </c>
      <c r="C733" s="130" t="s">
        <v>102</v>
      </c>
      <c r="D733" s="130" t="s">
        <v>2286</v>
      </c>
      <c r="E733" s="130" t="s">
        <v>1414</v>
      </c>
      <c r="F733" s="130" t="s">
        <v>2287</v>
      </c>
      <c r="G733" s="220">
        <v>43795</v>
      </c>
      <c r="H733" s="130" t="s">
        <v>90</v>
      </c>
      <c r="I733" s="130" t="s">
        <v>91</v>
      </c>
      <c r="J733" s="130" t="s">
        <v>97</v>
      </c>
      <c r="K733" s="130" t="s">
        <v>98</v>
      </c>
      <c r="L733" s="174" t="s">
        <v>71</v>
      </c>
      <c r="M733" s="131" t="s">
        <v>72</v>
      </c>
      <c r="N733" s="130" t="s">
        <v>73</v>
      </c>
      <c r="O733" s="219" t="s">
        <v>99</v>
      </c>
      <c r="P733" s="130" t="s">
        <v>98</v>
      </c>
      <c r="Q733" s="132" t="s">
        <v>93</v>
      </c>
      <c r="R733" s="221">
        <v>3.4030000999999999</v>
      </c>
      <c r="S733" s="53">
        <v>1</v>
      </c>
      <c r="T733" s="53">
        <v>118</v>
      </c>
      <c r="U733" s="53">
        <v>118</v>
      </c>
      <c r="V733" s="53">
        <v>21.240010000000019</v>
      </c>
      <c r="W733" s="53">
        <v>139.24001000000001</v>
      </c>
      <c r="X733" s="27">
        <f t="shared" si="179"/>
        <v>401.55401180000001</v>
      </c>
    </row>
    <row r="734" spans="1:24" x14ac:dyDescent="0.2">
      <c r="A734" s="220">
        <v>43802</v>
      </c>
      <c r="B734" s="130" t="s">
        <v>68</v>
      </c>
      <c r="C734" s="130" t="s">
        <v>102</v>
      </c>
      <c r="D734" s="130" t="s">
        <v>2286</v>
      </c>
      <c r="E734" s="130" t="s">
        <v>1414</v>
      </c>
      <c r="F734" s="130" t="s">
        <v>2287</v>
      </c>
      <c r="G734" s="220">
        <v>43795</v>
      </c>
      <c r="H734" s="130" t="s">
        <v>90</v>
      </c>
      <c r="I734" s="130" t="s">
        <v>91</v>
      </c>
      <c r="J734" s="130" t="s">
        <v>100</v>
      </c>
      <c r="K734" s="130" t="s">
        <v>101</v>
      </c>
      <c r="L734" s="174" t="s">
        <v>71</v>
      </c>
      <c r="M734" s="131" t="s">
        <v>72</v>
      </c>
      <c r="N734" s="130" t="s">
        <v>73</v>
      </c>
      <c r="O734" s="219" t="s">
        <v>72</v>
      </c>
      <c r="P734" s="130" t="s">
        <v>101</v>
      </c>
      <c r="Q734" s="132" t="s">
        <v>93</v>
      </c>
      <c r="R734" s="221">
        <v>3.4030000999999999</v>
      </c>
      <c r="S734" s="53">
        <v>1</v>
      </c>
      <c r="T734" s="53">
        <v>52.5</v>
      </c>
      <c r="U734" s="53">
        <v>52.5</v>
      </c>
      <c r="V734" s="53">
        <v>9.4500010000000021</v>
      </c>
      <c r="W734" s="53">
        <v>61.950001</v>
      </c>
      <c r="X734" s="27">
        <f t="shared" si="179"/>
        <v>178.65750524999999</v>
      </c>
    </row>
    <row r="735" spans="1:24" x14ac:dyDescent="0.2">
      <c r="A735" s="220">
        <v>43802</v>
      </c>
      <c r="B735" s="130" t="s">
        <v>68</v>
      </c>
      <c r="C735" s="130" t="s">
        <v>102</v>
      </c>
      <c r="D735" s="130" t="s">
        <v>2286</v>
      </c>
      <c r="E735" s="130" t="s">
        <v>1414</v>
      </c>
      <c r="F735" s="130" t="s">
        <v>2287</v>
      </c>
      <c r="G735" s="220">
        <v>43795</v>
      </c>
      <c r="H735" s="130" t="s">
        <v>90</v>
      </c>
      <c r="I735" s="130" t="s">
        <v>91</v>
      </c>
      <c r="J735" s="130" t="s">
        <v>92</v>
      </c>
      <c r="K735" s="130" t="s">
        <v>113</v>
      </c>
      <c r="L735" s="174" t="s">
        <v>71</v>
      </c>
      <c r="M735" s="131" t="s">
        <v>72</v>
      </c>
      <c r="N735" s="130" t="s">
        <v>73</v>
      </c>
      <c r="O735" s="219" t="s">
        <v>69</v>
      </c>
      <c r="P735" s="130" t="s">
        <v>1699</v>
      </c>
      <c r="Q735" s="132" t="s">
        <v>93</v>
      </c>
      <c r="R735" s="221">
        <v>3.4030000999999999</v>
      </c>
      <c r="S735" s="53">
        <v>1</v>
      </c>
      <c r="T735" s="53">
        <v>30</v>
      </c>
      <c r="U735" s="53">
        <v>30</v>
      </c>
      <c r="V735" s="53">
        <v>5.4000019999999997</v>
      </c>
      <c r="W735" s="53">
        <v>35.400002000000001</v>
      </c>
      <c r="X735" s="27">
        <f t="shared" si="179"/>
        <v>102.090003</v>
      </c>
    </row>
    <row r="736" spans="1:24" x14ac:dyDescent="0.2">
      <c r="A736" s="220">
        <v>43802</v>
      </c>
      <c r="B736" s="130" t="s">
        <v>68</v>
      </c>
      <c r="C736" s="130" t="s">
        <v>102</v>
      </c>
      <c r="D736" s="130" t="s">
        <v>2286</v>
      </c>
      <c r="E736" s="130" t="s">
        <v>1414</v>
      </c>
      <c r="F736" s="130" t="s">
        <v>2287</v>
      </c>
      <c r="G736" s="220">
        <v>43795</v>
      </c>
      <c r="H736" s="130" t="s">
        <v>90</v>
      </c>
      <c r="I736" s="130" t="s">
        <v>91</v>
      </c>
      <c r="J736" s="130" t="s">
        <v>95</v>
      </c>
      <c r="K736" s="130" t="s">
        <v>96</v>
      </c>
      <c r="L736" s="174" t="s">
        <v>71</v>
      </c>
      <c r="M736" s="131" t="s">
        <v>72</v>
      </c>
      <c r="N736" s="130" t="s">
        <v>73</v>
      </c>
      <c r="O736" s="219" t="s">
        <v>69</v>
      </c>
      <c r="P736" s="130" t="s">
        <v>1699</v>
      </c>
      <c r="Q736" s="132" t="s">
        <v>93</v>
      </c>
      <c r="R736" s="221">
        <v>3.4030000999999999</v>
      </c>
      <c r="S736" s="53">
        <v>-1</v>
      </c>
      <c r="T736" s="53">
        <v>100</v>
      </c>
      <c r="U736" s="53">
        <v>-100</v>
      </c>
      <c r="V736" s="53">
        <v>-18</v>
      </c>
      <c r="W736" s="53">
        <v>-118</v>
      </c>
      <c r="X736" s="27">
        <f t="shared" si="179"/>
        <v>-340.30000999999999</v>
      </c>
    </row>
    <row r="737" spans="1:24" x14ac:dyDescent="0.2">
      <c r="A737" s="220">
        <v>43804</v>
      </c>
      <c r="B737" s="130" t="s">
        <v>68</v>
      </c>
      <c r="C737" s="130" t="s">
        <v>102</v>
      </c>
      <c r="D737" s="130" t="s">
        <v>1500</v>
      </c>
      <c r="E737" s="130" t="s">
        <v>1371</v>
      </c>
      <c r="F737" s="130" t="s">
        <v>2288</v>
      </c>
      <c r="G737" s="220">
        <v>43790</v>
      </c>
      <c r="H737" s="130" t="s">
        <v>387</v>
      </c>
      <c r="I737" s="130" t="s">
        <v>386</v>
      </c>
      <c r="J737" s="130" t="s">
        <v>92</v>
      </c>
      <c r="K737" s="130" t="s">
        <v>113</v>
      </c>
      <c r="L737" s="174" t="s">
        <v>71</v>
      </c>
      <c r="M737" s="131" t="s">
        <v>72</v>
      </c>
      <c r="N737" s="130" t="s">
        <v>73</v>
      </c>
      <c r="O737" s="219" t="s">
        <v>69</v>
      </c>
      <c r="P737" s="130" t="s">
        <v>1699</v>
      </c>
      <c r="Q737" s="132" t="s">
        <v>74</v>
      </c>
      <c r="R737" s="221">
        <v>3.3859998999999998</v>
      </c>
      <c r="S737" s="53">
        <v>1</v>
      </c>
      <c r="T737" s="53">
        <v>100</v>
      </c>
      <c r="U737" s="53">
        <v>100</v>
      </c>
      <c r="V737" s="53">
        <v>18</v>
      </c>
      <c r="W737" s="53">
        <v>118</v>
      </c>
      <c r="X737" s="27">
        <f t="shared" si="179"/>
        <v>100</v>
      </c>
    </row>
    <row r="738" spans="1:24" x14ac:dyDescent="0.2">
      <c r="A738" s="220">
        <v>43804</v>
      </c>
      <c r="B738" s="130" t="s">
        <v>68</v>
      </c>
      <c r="C738" s="130" t="s">
        <v>102</v>
      </c>
      <c r="D738" s="130" t="s">
        <v>1500</v>
      </c>
      <c r="E738" s="130" t="s">
        <v>1371</v>
      </c>
      <c r="F738" s="130" t="s">
        <v>2288</v>
      </c>
      <c r="G738" s="220">
        <v>43790</v>
      </c>
      <c r="H738" s="130" t="s">
        <v>387</v>
      </c>
      <c r="I738" s="130" t="s">
        <v>386</v>
      </c>
      <c r="J738" s="130" t="s">
        <v>70</v>
      </c>
      <c r="K738" s="130" t="s">
        <v>112</v>
      </c>
      <c r="L738" s="174" t="s">
        <v>71</v>
      </c>
      <c r="M738" s="131" t="s">
        <v>72</v>
      </c>
      <c r="N738" s="130" t="s">
        <v>73</v>
      </c>
      <c r="O738" s="219" t="s">
        <v>69</v>
      </c>
      <c r="P738" s="130" t="s">
        <v>1699</v>
      </c>
      <c r="Q738" s="132" t="s">
        <v>74</v>
      </c>
      <c r="R738" s="221">
        <v>3.3859998999999998</v>
      </c>
      <c r="S738" s="53">
        <v>1</v>
      </c>
      <c r="T738" s="53">
        <v>428.75421</v>
      </c>
      <c r="U738" s="53">
        <v>428.75421</v>
      </c>
      <c r="V738" s="53">
        <v>77.175780000000017</v>
      </c>
      <c r="W738" s="53">
        <v>505.92999000000003</v>
      </c>
      <c r="X738" s="27">
        <f t="shared" si="179"/>
        <v>428.75421</v>
      </c>
    </row>
    <row r="739" spans="1:24" x14ac:dyDescent="0.2">
      <c r="A739" s="220">
        <v>43804</v>
      </c>
      <c r="B739" s="130" t="s">
        <v>68</v>
      </c>
      <c r="C739" s="130" t="s">
        <v>102</v>
      </c>
      <c r="D739" s="130" t="s">
        <v>1500</v>
      </c>
      <c r="E739" s="130" t="s">
        <v>1371</v>
      </c>
      <c r="F739" s="130" t="s">
        <v>2288</v>
      </c>
      <c r="G739" s="220">
        <v>43790</v>
      </c>
      <c r="H739" s="130" t="s">
        <v>387</v>
      </c>
      <c r="I739" s="130" t="s">
        <v>386</v>
      </c>
      <c r="J739" s="130" t="s">
        <v>104</v>
      </c>
      <c r="K739" s="130" t="s">
        <v>105</v>
      </c>
      <c r="L739" s="174" t="s">
        <v>71</v>
      </c>
      <c r="M739" s="131" t="s">
        <v>72</v>
      </c>
      <c r="N739" s="130" t="s">
        <v>73</v>
      </c>
      <c r="O739" s="219" t="s">
        <v>69</v>
      </c>
      <c r="P739" s="130" t="s">
        <v>1699</v>
      </c>
      <c r="Q739" s="132" t="s">
        <v>74</v>
      </c>
      <c r="R739" s="221">
        <v>3.3859998999999998</v>
      </c>
      <c r="S739" s="53">
        <v>1</v>
      </c>
      <c r="T739" s="53">
        <v>1377</v>
      </c>
      <c r="U739" s="53">
        <v>1377</v>
      </c>
      <c r="V739" s="53">
        <v>247.86</v>
      </c>
      <c r="W739" s="53">
        <v>1624.86</v>
      </c>
      <c r="X739" s="27">
        <f t="shared" si="179"/>
        <v>1377</v>
      </c>
    </row>
    <row r="740" spans="1:24" x14ac:dyDescent="0.2">
      <c r="A740" s="220">
        <v>43804</v>
      </c>
      <c r="B740" s="130" t="s">
        <v>68</v>
      </c>
      <c r="C740" s="130" t="s">
        <v>102</v>
      </c>
      <c r="D740" s="130" t="s">
        <v>1503</v>
      </c>
      <c r="E740" s="130" t="s">
        <v>1013</v>
      </c>
      <c r="F740" s="130" t="s">
        <v>1014</v>
      </c>
      <c r="G740" s="220">
        <v>43777</v>
      </c>
      <c r="H740" s="130" t="s">
        <v>387</v>
      </c>
      <c r="I740" s="130" t="s">
        <v>386</v>
      </c>
      <c r="J740" s="130" t="s">
        <v>97</v>
      </c>
      <c r="K740" s="130" t="s">
        <v>98</v>
      </c>
      <c r="L740" s="174" t="s">
        <v>71</v>
      </c>
      <c r="M740" s="131" t="s">
        <v>72</v>
      </c>
      <c r="N740" s="130" t="s">
        <v>73</v>
      </c>
      <c r="O740" s="219" t="s">
        <v>99</v>
      </c>
      <c r="P740" s="130" t="s">
        <v>98</v>
      </c>
      <c r="Q740" s="132" t="s">
        <v>74</v>
      </c>
      <c r="R740" s="221">
        <v>3.3859998999999998</v>
      </c>
      <c r="S740" s="53">
        <v>1</v>
      </c>
      <c r="T740" s="53">
        <v>2430</v>
      </c>
      <c r="U740" s="53">
        <v>2430</v>
      </c>
      <c r="V740" s="53">
        <v>437.39989999999989</v>
      </c>
      <c r="W740" s="53">
        <v>2867.3998999999999</v>
      </c>
      <c r="X740" s="27">
        <f t="shared" si="179"/>
        <v>2430</v>
      </c>
    </row>
    <row r="741" spans="1:24" x14ac:dyDescent="0.2">
      <c r="A741" s="220">
        <v>43804</v>
      </c>
      <c r="B741" s="130" t="s">
        <v>68</v>
      </c>
      <c r="C741" s="130" t="s">
        <v>102</v>
      </c>
      <c r="D741" s="130" t="s">
        <v>1503</v>
      </c>
      <c r="E741" s="130" t="s">
        <v>1013</v>
      </c>
      <c r="F741" s="130" t="s">
        <v>1014</v>
      </c>
      <c r="G741" s="220">
        <v>43777</v>
      </c>
      <c r="H741" s="130" t="s">
        <v>387</v>
      </c>
      <c r="I741" s="130" t="s">
        <v>386</v>
      </c>
      <c r="J741" s="130" t="s">
        <v>100</v>
      </c>
      <c r="K741" s="130" t="s">
        <v>101</v>
      </c>
      <c r="L741" s="174" t="s">
        <v>71</v>
      </c>
      <c r="M741" s="131" t="s">
        <v>72</v>
      </c>
      <c r="N741" s="130" t="s">
        <v>73</v>
      </c>
      <c r="O741" s="219" t="s">
        <v>72</v>
      </c>
      <c r="P741" s="130" t="s">
        <v>101</v>
      </c>
      <c r="Q741" s="132" t="s">
        <v>74</v>
      </c>
      <c r="R741" s="221">
        <v>3.3859998999999998</v>
      </c>
      <c r="S741" s="53">
        <v>1</v>
      </c>
      <c r="T741" s="53">
        <v>1715</v>
      </c>
      <c r="U741" s="53">
        <v>1715</v>
      </c>
      <c r="V741" s="53">
        <v>308.7</v>
      </c>
      <c r="W741" s="53">
        <v>2023.7</v>
      </c>
      <c r="X741" s="27">
        <f t="shared" si="179"/>
        <v>1715</v>
      </c>
    </row>
    <row r="742" spans="1:24" x14ac:dyDescent="0.2">
      <c r="A742" s="220">
        <v>43804</v>
      </c>
      <c r="B742" s="130" t="s">
        <v>68</v>
      </c>
      <c r="C742" s="130" t="s">
        <v>102</v>
      </c>
      <c r="D742" s="130" t="s">
        <v>1503</v>
      </c>
      <c r="E742" s="130" t="s">
        <v>1013</v>
      </c>
      <c r="F742" s="130" t="s">
        <v>1014</v>
      </c>
      <c r="G742" s="220">
        <v>43777</v>
      </c>
      <c r="H742" s="130" t="s">
        <v>387</v>
      </c>
      <c r="I742" s="130" t="s">
        <v>386</v>
      </c>
      <c r="J742" s="130" t="s">
        <v>92</v>
      </c>
      <c r="K742" s="130" t="s">
        <v>113</v>
      </c>
      <c r="L742" s="174" t="s">
        <v>71</v>
      </c>
      <c r="M742" s="131" t="s">
        <v>72</v>
      </c>
      <c r="N742" s="130" t="s">
        <v>73</v>
      </c>
      <c r="O742" s="219" t="s">
        <v>69</v>
      </c>
      <c r="P742" s="130" t="s">
        <v>1699</v>
      </c>
      <c r="Q742" s="132" t="s">
        <v>74</v>
      </c>
      <c r="R742" s="221">
        <v>3.3859998999999998</v>
      </c>
      <c r="S742" s="53">
        <v>1</v>
      </c>
      <c r="T742" s="53">
        <v>460</v>
      </c>
      <c r="U742" s="53">
        <v>460</v>
      </c>
      <c r="V742" s="53">
        <v>82.799990000000037</v>
      </c>
      <c r="W742" s="53">
        <v>542.79998999999998</v>
      </c>
      <c r="X742" s="27">
        <f t="shared" si="179"/>
        <v>460</v>
      </c>
    </row>
    <row r="743" spans="1:24" x14ac:dyDescent="0.2">
      <c r="A743" s="220">
        <v>43804</v>
      </c>
      <c r="B743" s="130" t="s">
        <v>68</v>
      </c>
      <c r="C743" s="130" t="s">
        <v>102</v>
      </c>
      <c r="D743" s="130" t="s">
        <v>1503</v>
      </c>
      <c r="E743" s="130" t="s">
        <v>1013</v>
      </c>
      <c r="F743" s="130" t="s">
        <v>1014</v>
      </c>
      <c r="G743" s="220">
        <v>43777</v>
      </c>
      <c r="H743" s="130" t="s">
        <v>387</v>
      </c>
      <c r="I743" s="130" t="s">
        <v>386</v>
      </c>
      <c r="J743" s="130" t="s">
        <v>132</v>
      </c>
      <c r="K743" s="130" t="s">
        <v>133</v>
      </c>
      <c r="L743" s="174" t="s">
        <v>71</v>
      </c>
      <c r="M743" s="131" t="s">
        <v>72</v>
      </c>
      <c r="N743" s="130" t="s">
        <v>73</v>
      </c>
      <c r="O743" s="219" t="s">
        <v>69</v>
      </c>
      <c r="P743" s="130" t="s">
        <v>1699</v>
      </c>
      <c r="Q743" s="132" t="s">
        <v>74</v>
      </c>
      <c r="R743" s="221">
        <v>3.3859998999999998</v>
      </c>
      <c r="S743" s="53">
        <v>1</v>
      </c>
      <c r="T743" s="53">
        <v>1344</v>
      </c>
      <c r="U743" s="53">
        <v>1344</v>
      </c>
      <c r="V743" s="53">
        <v>241.92</v>
      </c>
      <c r="W743" s="53">
        <v>1585.92</v>
      </c>
      <c r="X743" s="27">
        <f t="shared" si="179"/>
        <v>1344</v>
      </c>
    </row>
    <row r="744" spans="1:24" x14ac:dyDescent="0.2">
      <c r="A744" s="220">
        <v>43804</v>
      </c>
      <c r="B744" s="130" t="s">
        <v>68</v>
      </c>
      <c r="C744" s="130" t="s">
        <v>102</v>
      </c>
      <c r="D744" s="130" t="s">
        <v>1503</v>
      </c>
      <c r="E744" s="130" t="s">
        <v>1013</v>
      </c>
      <c r="F744" s="130" t="s">
        <v>1014</v>
      </c>
      <c r="G744" s="220">
        <v>43777</v>
      </c>
      <c r="H744" s="130" t="s">
        <v>387</v>
      </c>
      <c r="I744" s="130" t="s">
        <v>386</v>
      </c>
      <c r="J744" s="130" t="s">
        <v>139</v>
      </c>
      <c r="K744" s="130" t="s">
        <v>2289</v>
      </c>
      <c r="L744" s="174" t="s">
        <v>71</v>
      </c>
      <c r="M744" s="131" t="s">
        <v>72</v>
      </c>
      <c r="N744" s="130" t="s">
        <v>73</v>
      </c>
      <c r="O744" s="219" t="s">
        <v>69</v>
      </c>
      <c r="P744" s="130" t="s">
        <v>1699</v>
      </c>
      <c r="Q744" s="132" t="s">
        <v>74</v>
      </c>
      <c r="R744" s="221">
        <v>3.3859998999999998</v>
      </c>
      <c r="S744" s="53">
        <v>12</v>
      </c>
      <c r="T744" s="53">
        <v>35</v>
      </c>
      <c r="U744" s="53">
        <v>420</v>
      </c>
      <c r="V744" s="53">
        <v>75.599987999999883</v>
      </c>
      <c r="W744" s="53">
        <v>495.59998799999988</v>
      </c>
      <c r="X744" s="27">
        <f t="shared" si="179"/>
        <v>420</v>
      </c>
    </row>
    <row r="745" spans="1:24" x14ac:dyDescent="0.2">
      <c r="A745" s="220">
        <v>43804</v>
      </c>
      <c r="B745" s="130" t="s">
        <v>68</v>
      </c>
      <c r="C745" s="130" t="s">
        <v>102</v>
      </c>
      <c r="D745" s="130" t="s">
        <v>1503</v>
      </c>
      <c r="E745" s="130" t="s">
        <v>1013</v>
      </c>
      <c r="F745" s="130" t="s">
        <v>1014</v>
      </c>
      <c r="G745" s="220">
        <v>43777</v>
      </c>
      <c r="H745" s="130" t="s">
        <v>387</v>
      </c>
      <c r="I745" s="130" t="s">
        <v>386</v>
      </c>
      <c r="J745" s="130" t="s">
        <v>70</v>
      </c>
      <c r="K745" s="130" t="s">
        <v>112</v>
      </c>
      <c r="L745" s="174" t="s">
        <v>71</v>
      </c>
      <c r="M745" s="131" t="s">
        <v>72</v>
      </c>
      <c r="N745" s="130" t="s">
        <v>73</v>
      </c>
      <c r="O745" s="219" t="s">
        <v>69</v>
      </c>
      <c r="P745" s="130" t="s">
        <v>1699</v>
      </c>
      <c r="Q745" s="132" t="s">
        <v>74</v>
      </c>
      <c r="R745" s="221">
        <v>3.3859998999999998</v>
      </c>
      <c r="S745" s="53">
        <v>1</v>
      </c>
      <c r="T745" s="53">
        <v>288.75421</v>
      </c>
      <c r="U745" s="53">
        <v>288.75420999999994</v>
      </c>
      <c r="V745" s="53">
        <v>51.975799999999907</v>
      </c>
      <c r="W745" s="53">
        <v>340.73000999999988</v>
      </c>
      <c r="X745" s="27">
        <f t="shared" si="179"/>
        <v>288.75420999999994</v>
      </c>
    </row>
    <row r="746" spans="1:24" x14ac:dyDescent="0.2">
      <c r="A746" s="220">
        <v>43804</v>
      </c>
      <c r="B746" s="130" t="s">
        <v>68</v>
      </c>
      <c r="C746" s="130" t="s">
        <v>102</v>
      </c>
      <c r="D746" s="130" t="s">
        <v>1503</v>
      </c>
      <c r="E746" s="130" t="s">
        <v>1013</v>
      </c>
      <c r="F746" s="130" t="s">
        <v>1014</v>
      </c>
      <c r="G746" s="220">
        <v>43777</v>
      </c>
      <c r="H746" s="130" t="s">
        <v>387</v>
      </c>
      <c r="I746" s="130" t="s">
        <v>386</v>
      </c>
      <c r="J746" s="130" t="s">
        <v>104</v>
      </c>
      <c r="K746" s="130" t="s">
        <v>105</v>
      </c>
      <c r="L746" s="174" t="s">
        <v>71</v>
      </c>
      <c r="M746" s="131" t="s">
        <v>72</v>
      </c>
      <c r="N746" s="130" t="s">
        <v>73</v>
      </c>
      <c r="O746" s="219" t="s">
        <v>69</v>
      </c>
      <c r="P746" s="130" t="s">
        <v>1699</v>
      </c>
      <c r="Q746" s="132" t="s">
        <v>74</v>
      </c>
      <c r="R746" s="221">
        <v>3.3859998999999998</v>
      </c>
      <c r="S746" s="53">
        <v>1</v>
      </c>
      <c r="T746" s="53">
        <v>2888</v>
      </c>
      <c r="U746" s="53">
        <v>2888</v>
      </c>
      <c r="V746" s="53">
        <v>519.84010000000012</v>
      </c>
      <c r="W746" s="53">
        <v>3407.8400999999999</v>
      </c>
      <c r="X746" s="27">
        <f t="shared" si="179"/>
        <v>2888</v>
      </c>
    </row>
    <row r="747" spans="1:24" x14ac:dyDescent="0.2">
      <c r="A747" s="220">
        <v>43805</v>
      </c>
      <c r="B747" s="130" t="s">
        <v>68</v>
      </c>
      <c r="C747" s="130" t="s">
        <v>102</v>
      </c>
      <c r="D747" s="130" t="s">
        <v>1506</v>
      </c>
      <c r="E747" s="130" t="s">
        <v>1896</v>
      </c>
      <c r="F747" s="130" t="s">
        <v>2290</v>
      </c>
      <c r="G747" s="220">
        <v>43794</v>
      </c>
      <c r="H747" s="130" t="s">
        <v>90</v>
      </c>
      <c r="I747" s="130" t="s">
        <v>91</v>
      </c>
      <c r="J747" s="130" t="s">
        <v>97</v>
      </c>
      <c r="K747" s="130" t="s">
        <v>98</v>
      </c>
      <c r="L747" s="174" t="s">
        <v>71</v>
      </c>
      <c r="M747" s="131" t="s">
        <v>72</v>
      </c>
      <c r="N747" s="130" t="s">
        <v>73</v>
      </c>
      <c r="O747" s="219" t="s">
        <v>99</v>
      </c>
      <c r="P747" s="130" t="s">
        <v>98</v>
      </c>
      <c r="Q747" s="132" t="s">
        <v>93</v>
      </c>
      <c r="R747" s="221">
        <v>3.3800001000000002</v>
      </c>
      <c r="S747" s="53">
        <v>1</v>
      </c>
      <c r="T747" s="53">
        <v>147.5</v>
      </c>
      <c r="U747" s="53">
        <v>147.5</v>
      </c>
      <c r="V747" s="53">
        <v>26.55</v>
      </c>
      <c r="W747" s="53">
        <v>174.05</v>
      </c>
      <c r="X747" s="27">
        <f t="shared" si="179"/>
        <v>498.55001475</v>
      </c>
    </row>
    <row r="748" spans="1:24" x14ac:dyDescent="0.2">
      <c r="A748" s="220">
        <v>43805</v>
      </c>
      <c r="B748" s="130" t="s">
        <v>68</v>
      </c>
      <c r="C748" s="130" t="s">
        <v>102</v>
      </c>
      <c r="D748" s="130" t="s">
        <v>1506</v>
      </c>
      <c r="E748" s="130" t="s">
        <v>1896</v>
      </c>
      <c r="F748" s="130" t="s">
        <v>2290</v>
      </c>
      <c r="G748" s="220">
        <v>43794</v>
      </c>
      <c r="H748" s="130" t="s">
        <v>90</v>
      </c>
      <c r="I748" s="130" t="s">
        <v>91</v>
      </c>
      <c r="J748" s="130" t="s">
        <v>100</v>
      </c>
      <c r="K748" s="130" t="s">
        <v>101</v>
      </c>
      <c r="L748" s="174" t="s">
        <v>71</v>
      </c>
      <c r="M748" s="131" t="s">
        <v>72</v>
      </c>
      <c r="N748" s="130" t="s">
        <v>73</v>
      </c>
      <c r="O748" s="219" t="s">
        <v>72</v>
      </c>
      <c r="P748" s="130" t="s">
        <v>101</v>
      </c>
      <c r="Q748" s="132" t="s">
        <v>93</v>
      </c>
      <c r="R748" s="221">
        <v>3.3800001000000002</v>
      </c>
      <c r="S748" s="53">
        <v>1</v>
      </c>
      <c r="T748" s="53">
        <v>120</v>
      </c>
      <c r="U748" s="53">
        <v>120</v>
      </c>
      <c r="V748" s="53">
        <v>21.600010000000019</v>
      </c>
      <c r="W748" s="53">
        <v>141.60001000000003</v>
      </c>
      <c r="X748" s="27">
        <f t="shared" si="179"/>
        <v>405.60001199999999</v>
      </c>
    </row>
    <row r="749" spans="1:24" x14ac:dyDescent="0.2">
      <c r="A749" s="220">
        <v>43805</v>
      </c>
      <c r="B749" s="130" t="s">
        <v>68</v>
      </c>
      <c r="C749" s="130" t="s">
        <v>102</v>
      </c>
      <c r="D749" s="130" t="s">
        <v>1506</v>
      </c>
      <c r="E749" s="130" t="s">
        <v>1896</v>
      </c>
      <c r="F749" s="130" t="s">
        <v>2290</v>
      </c>
      <c r="G749" s="220">
        <v>43794</v>
      </c>
      <c r="H749" s="130" t="s">
        <v>90</v>
      </c>
      <c r="I749" s="130" t="s">
        <v>91</v>
      </c>
      <c r="J749" s="130" t="s">
        <v>92</v>
      </c>
      <c r="K749" s="130" t="s">
        <v>113</v>
      </c>
      <c r="L749" s="174" t="s">
        <v>71</v>
      </c>
      <c r="M749" s="131" t="s">
        <v>72</v>
      </c>
      <c r="N749" s="130" t="s">
        <v>73</v>
      </c>
      <c r="O749" s="219" t="s">
        <v>69</v>
      </c>
      <c r="P749" s="130" t="s">
        <v>1699</v>
      </c>
      <c r="Q749" s="132" t="s">
        <v>93</v>
      </c>
      <c r="R749" s="221">
        <v>3.3800001000000002</v>
      </c>
      <c r="S749" s="53">
        <v>1</v>
      </c>
      <c r="T749" s="53">
        <v>75</v>
      </c>
      <c r="U749" s="53">
        <v>75</v>
      </c>
      <c r="V749" s="53">
        <v>13.5</v>
      </c>
      <c r="W749" s="53">
        <v>88.5</v>
      </c>
      <c r="X749" s="27">
        <f t="shared" si="179"/>
        <v>253.50000750000001</v>
      </c>
    </row>
    <row r="750" spans="1:24" x14ac:dyDescent="0.2">
      <c r="A750" s="220">
        <v>43805</v>
      </c>
      <c r="B750" s="130" t="s">
        <v>68</v>
      </c>
      <c r="C750" s="130" t="s">
        <v>102</v>
      </c>
      <c r="D750" s="130" t="s">
        <v>1506</v>
      </c>
      <c r="E750" s="130" t="s">
        <v>1896</v>
      </c>
      <c r="F750" s="130" t="s">
        <v>2290</v>
      </c>
      <c r="G750" s="220">
        <v>43794</v>
      </c>
      <c r="H750" s="130" t="s">
        <v>90</v>
      </c>
      <c r="I750" s="130" t="s">
        <v>91</v>
      </c>
      <c r="J750" s="130" t="s">
        <v>104</v>
      </c>
      <c r="K750" s="130" t="s">
        <v>105</v>
      </c>
      <c r="L750" s="174" t="s">
        <v>71</v>
      </c>
      <c r="M750" s="131" t="s">
        <v>72</v>
      </c>
      <c r="N750" s="130" t="s">
        <v>73</v>
      </c>
      <c r="O750" s="219" t="s">
        <v>69</v>
      </c>
      <c r="P750" s="130" t="s">
        <v>1699</v>
      </c>
      <c r="Q750" s="132" t="s">
        <v>93</v>
      </c>
      <c r="R750" s="221">
        <v>3.3800001000000002</v>
      </c>
      <c r="S750" s="53">
        <v>1</v>
      </c>
      <c r="T750" s="53">
        <v>0</v>
      </c>
      <c r="U750" s="53">
        <v>0</v>
      </c>
      <c r="V750" s="53">
        <v>0</v>
      </c>
      <c r="W750" s="53">
        <v>0</v>
      </c>
      <c r="X750" s="27">
        <f t="shared" si="179"/>
        <v>0</v>
      </c>
    </row>
    <row r="751" spans="1:24" x14ac:dyDescent="0.2">
      <c r="A751" s="220">
        <v>43805</v>
      </c>
      <c r="B751" s="130" t="s">
        <v>68</v>
      </c>
      <c r="C751" s="130" t="s">
        <v>102</v>
      </c>
      <c r="D751" s="130" t="s">
        <v>2291</v>
      </c>
      <c r="E751" s="130" t="s">
        <v>1904</v>
      </c>
      <c r="F751" s="130" t="s">
        <v>1229</v>
      </c>
      <c r="G751" s="220">
        <v>43801</v>
      </c>
      <c r="H751" s="130" t="s">
        <v>387</v>
      </c>
      <c r="I751" s="130" t="s">
        <v>386</v>
      </c>
      <c r="J751" s="130" t="s">
        <v>92</v>
      </c>
      <c r="K751" s="130" t="s">
        <v>113</v>
      </c>
      <c r="L751" s="174" t="s">
        <v>71</v>
      </c>
      <c r="M751" s="131" t="s">
        <v>72</v>
      </c>
      <c r="N751" s="130" t="s">
        <v>73</v>
      </c>
      <c r="O751" s="219" t="s">
        <v>69</v>
      </c>
      <c r="P751" s="130" t="s">
        <v>1699</v>
      </c>
      <c r="Q751" s="132" t="s">
        <v>74</v>
      </c>
      <c r="R751" s="221">
        <v>3.3800001000000002</v>
      </c>
      <c r="S751" s="53">
        <v>1</v>
      </c>
      <c r="T751" s="53">
        <v>310</v>
      </c>
      <c r="U751" s="53">
        <v>310</v>
      </c>
      <c r="V751" s="53">
        <v>55.799990000000037</v>
      </c>
      <c r="W751" s="53">
        <v>365.79999000000004</v>
      </c>
      <c r="X751" s="27">
        <f t="shared" si="179"/>
        <v>310</v>
      </c>
    </row>
    <row r="752" spans="1:24" x14ac:dyDescent="0.2">
      <c r="A752" s="220">
        <v>43805</v>
      </c>
      <c r="B752" s="130" t="s">
        <v>68</v>
      </c>
      <c r="C752" s="130" t="s">
        <v>102</v>
      </c>
      <c r="D752" s="130" t="s">
        <v>2291</v>
      </c>
      <c r="E752" s="130" t="s">
        <v>1904</v>
      </c>
      <c r="F752" s="130" t="s">
        <v>1229</v>
      </c>
      <c r="G752" s="220">
        <v>43801</v>
      </c>
      <c r="H752" s="130" t="s">
        <v>387</v>
      </c>
      <c r="I752" s="130" t="s">
        <v>386</v>
      </c>
      <c r="J752" s="130" t="s">
        <v>70</v>
      </c>
      <c r="K752" s="130" t="s">
        <v>112</v>
      </c>
      <c r="L752" s="174" t="s">
        <v>71</v>
      </c>
      <c r="M752" s="131" t="s">
        <v>72</v>
      </c>
      <c r="N752" s="130" t="s">
        <v>73</v>
      </c>
      <c r="O752" s="219" t="s">
        <v>69</v>
      </c>
      <c r="P752" s="130" t="s">
        <v>1699</v>
      </c>
      <c r="Q752" s="132" t="s">
        <v>74</v>
      </c>
      <c r="R752" s="221">
        <v>3.3800001000000002</v>
      </c>
      <c r="S752" s="53">
        <v>1</v>
      </c>
      <c r="T752" s="53">
        <v>70</v>
      </c>
      <c r="U752" s="53">
        <v>70</v>
      </c>
      <c r="V752" s="53">
        <v>12.599997999999978</v>
      </c>
      <c r="W752" s="53">
        <v>82.599997999999971</v>
      </c>
      <c r="X752" s="27">
        <f t="shared" si="179"/>
        <v>70</v>
      </c>
    </row>
    <row r="753" spans="1:24" x14ac:dyDescent="0.2">
      <c r="A753" s="220">
        <v>43805</v>
      </c>
      <c r="B753" s="130" t="s">
        <v>68</v>
      </c>
      <c r="C753" s="130" t="s">
        <v>102</v>
      </c>
      <c r="D753" s="130" t="s">
        <v>2291</v>
      </c>
      <c r="E753" s="130" t="s">
        <v>1904</v>
      </c>
      <c r="F753" s="130" t="s">
        <v>1229</v>
      </c>
      <c r="G753" s="220">
        <v>43801</v>
      </c>
      <c r="H753" s="130" t="s">
        <v>387</v>
      </c>
      <c r="I753" s="130" t="s">
        <v>386</v>
      </c>
      <c r="J753" s="130" t="s">
        <v>104</v>
      </c>
      <c r="K753" s="130" t="s">
        <v>105</v>
      </c>
      <c r="L753" s="174" t="s">
        <v>71</v>
      </c>
      <c r="M753" s="131" t="s">
        <v>72</v>
      </c>
      <c r="N753" s="130" t="s">
        <v>73</v>
      </c>
      <c r="O753" s="219" t="s">
        <v>69</v>
      </c>
      <c r="P753" s="130" t="s">
        <v>1699</v>
      </c>
      <c r="Q753" s="132" t="s">
        <v>74</v>
      </c>
      <c r="R753" s="221">
        <v>3.3800001000000002</v>
      </c>
      <c r="S753" s="53">
        <v>1</v>
      </c>
      <c r="T753" s="53">
        <v>350</v>
      </c>
      <c r="U753" s="53">
        <v>350</v>
      </c>
      <c r="V753" s="53">
        <v>63</v>
      </c>
      <c r="W753" s="53">
        <v>413</v>
      </c>
      <c r="X753" s="27">
        <f t="shared" si="179"/>
        <v>350</v>
      </c>
    </row>
    <row r="754" spans="1:24" x14ac:dyDescent="0.2">
      <c r="A754" s="220">
        <v>43805</v>
      </c>
      <c r="B754" s="130" t="s">
        <v>68</v>
      </c>
      <c r="C754" s="130" t="s">
        <v>102</v>
      </c>
      <c r="D754" s="130" t="s">
        <v>1517</v>
      </c>
      <c r="E754" s="130" t="s">
        <v>1900</v>
      </c>
      <c r="F754" s="130" t="s">
        <v>2292</v>
      </c>
      <c r="G754" s="220">
        <v>43794</v>
      </c>
      <c r="H754" s="130" t="s">
        <v>90</v>
      </c>
      <c r="I754" s="130" t="s">
        <v>91</v>
      </c>
      <c r="J754" s="130" t="s">
        <v>97</v>
      </c>
      <c r="K754" s="130" t="s">
        <v>98</v>
      </c>
      <c r="L754" s="174" t="s">
        <v>71</v>
      </c>
      <c r="M754" s="131" t="s">
        <v>72</v>
      </c>
      <c r="N754" s="130" t="s">
        <v>73</v>
      </c>
      <c r="O754" s="219" t="s">
        <v>99</v>
      </c>
      <c r="P754" s="130" t="s">
        <v>98</v>
      </c>
      <c r="Q754" s="132" t="s">
        <v>93</v>
      </c>
      <c r="R754" s="221">
        <v>3.3800001000000002</v>
      </c>
      <c r="S754" s="53">
        <v>1</v>
      </c>
      <c r="T754" s="53">
        <v>354</v>
      </c>
      <c r="U754" s="53">
        <v>354</v>
      </c>
      <c r="V754" s="53">
        <v>63.72</v>
      </c>
      <c r="W754" s="53">
        <v>417.72</v>
      </c>
      <c r="X754" s="27">
        <f t="shared" si="179"/>
        <v>1196.5200354000001</v>
      </c>
    </row>
    <row r="755" spans="1:24" x14ac:dyDescent="0.2">
      <c r="A755" s="220">
        <v>43805</v>
      </c>
      <c r="B755" s="130" t="s">
        <v>68</v>
      </c>
      <c r="C755" s="130" t="s">
        <v>102</v>
      </c>
      <c r="D755" s="130" t="s">
        <v>1517</v>
      </c>
      <c r="E755" s="130" t="s">
        <v>1900</v>
      </c>
      <c r="F755" s="130" t="s">
        <v>2292</v>
      </c>
      <c r="G755" s="220">
        <v>43794</v>
      </c>
      <c r="H755" s="130" t="s">
        <v>90</v>
      </c>
      <c r="I755" s="130" t="s">
        <v>91</v>
      </c>
      <c r="J755" s="130" t="s">
        <v>100</v>
      </c>
      <c r="K755" s="130" t="s">
        <v>101</v>
      </c>
      <c r="L755" s="174" t="s">
        <v>71</v>
      </c>
      <c r="M755" s="131" t="s">
        <v>72</v>
      </c>
      <c r="N755" s="130" t="s">
        <v>73</v>
      </c>
      <c r="O755" s="219" t="s">
        <v>72</v>
      </c>
      <c r="P755" s="130" t="s">
        <v>101</v>
      </c>
      <c r="Q755" s="132" t="s">
        <v>93</v>
      </c>
      <c r="R755" s="221">
        <v>3.3800001000000002</v>
      </c>
      <c r="S755" s="53">
        <v>1</v>
      </c>
      <c r="T755" s="53">
        <v>135</v>
      </c>
      <c r="U755" s="53">
        <v>135</v>
      </c>
      <c r="V755" s="53">
        <v>24.3</v>
      </c>
      <c r="W755" s="53">
        <v>159.30000000000001</v>
      </c>
      <c r="X755" s="27">
        <f t="shared" si="179"/>
        <v>456.30001350000003</v>
      </c>
    </row>
    <row r="756" spans="1:24" x14ac:dyDescent="0.2">
      <c r="A756" s="220">
        <v>43805</v>
      </c>
      <c r="B756" s="130" t="s">
        <v>68</v>
      </c>
      <c r="C756" s="130" t="s">
        <v>102</v>
      </c>
      <c r="D756" s="130" t="s">
        <v>1517</v>
      </c>
      <c r="E756" s="130" t="s">
        <v>1900</v>
      </c>
      <c r="F756" s="130" t="s">
        <v>2292</v>
      </c>
      <c r="G756" s="220">
        <v>43794</v>
      </c>
      <c r="H756" s="130" t="s">
        <v>90</v>
      </c>
      <c r="I756" s="130" t="s">
        <v>91</v>
      </c>
      <c r="J756" s="130" t="s">
        <v>95</v>
      </c>
      <c r="K756" s="130" t="s">
        <v>96</v>
      </c>
      <c r="L756" s="174" t="s">
        <v>71</v>
      </c>
      <c r="M756" s="131" t="s">
        <v>72</v>
      </c>
      <c r="N756" s="130" t="s">
        <v>73</v>
      </c>
      <c r="O756" s="219" t="s">
        <v>69</v>
      </c>
      <c r="P756" s="130" t="s">
        <v>1699</v>
      </c>
      <c r="Q756" s="132" t="s">
        <v>93</v>
      </c>
      <c r="R756" s="221">
        <v>3.3800001000000002</v>
      </c>
      <c r="S756" s="53">
        <v>-1</v>
      </c>
      <c r="T756" s="53">
        <v>100</v>
      </c>
      <c r="U756" s="53">
        <v>-100</v>
      </c>
      <c r="V756" s="53">
        <v>-18</v>
      </c>
      <c r="W756" s="53">
        <v>-118</v>
      </c>
      <c r="X756" s="27">
        <f t="shared" si="179"/>
        <v>-338.00001000000003</v>
      </c>
    </row>
    <row r="757" spans="1:24" x14ac:dyDescent="0.2">
      <c r="A757" s="220">
        <v>43806</v>
      </c>
      <c r="B757" s="130" t="s">
        <v>68</v>
      </c>
      <c r="C757" s="130" t="s">
        <v>102</v>
      </c>
      <c r="D757" s="130" t="s">
        <v>2293</v>
      </c>
      <c r="E757" s="130" t="s">
        <v>1894</v>
      </c>
      <c r="F757" s="130" t="s">
        <v>2294</v>
      </c>
      <c r="G757" s="220">
        <v>43798</v>
      </c>
      <c r="H757" s="130" t="s">
        <v>90</v>
      </c>
      <c r="I757" s="130" t="s">
        <v>91</v>
      </c>
      <c r="J757" s="130" t="s">
        <v>97</v>
      </c>
      <c r="K757" s="130" t="s">
        <v>98</v>
      </c>
      <c r="L757" s="174" t="s">
        <v>71</v>
      </c>
      <c r="M757" s="131" t="s">
        <v>72</v>
      </c>
      <c r="N757" s="130" t="s">
        <v>73</v>
      </c>
      <c r="O757" s="219" t="s">
        <v>99</v>
      </c>
      <c r="P757" s="130" t="s">
        <v>98</v>
      </c>
      <c r="Q757" s="132" t="s">
        <v>93</v>
      </c>
      <c r="R757" s="221">
        <v>3.3809999999999998</v>
      </c>
      <c r="S757" s="53">
        <v>1</v>
      </c>
      <c r="T757" s="53">
        <v>147.5</v>
      </c>
      <c r="U757" s="53">
        <v>147.5</v>
      </c>
      <c r="V757" s="53">
        <v>26.55</v>
      </c>
      <c r="W757" s="53">
        <v>174.05</v>
      </c>
      <c r="X757" s="27">
        <f t="shared" si="179"/>
        <v>498.69749999999999</v>
      </c>
    </row>
    <row r="758" spans="1:24" x14ac:dyDescent="0.2">
      <c r="A758" s="220">
        <v>43806</v>
      </c>
      <c r="B758" s="130" t="s">
        <v>68</v>
      </c>
      <c r="C758" s="130" t="s">
        <v>102</v>
      </c>
      <c r="D758" s="130" t="s">
        <v>2293</v>
      </c>
      <c r="E758" s="130" t="s">
        <v>1894</v>
      </c>
      <c r="F758" s="130" t="s">
        <v>2294</v>
      </c>
      <c r="G758" s="220">
        <v>43798</v>
      </c>
      <c r="H758" s="130" t="s">
        <v>90</v>
      </c>
      <c r="I758" s="130" t="s">
        <v>91</v>
      </c>
      <c r="J758" s="130" t="s">
        <v>100</v>
      </c>
      <c r="K758" s="130" t="s">
        <v>101</v>
      </c>
      <c r="L758" s="174" t="s">
        <v>71</v>
      </c>
      <c r="M758" s="131" t="s">
        <v>72</v>
      </c>
      <c r="N758" s="130" t="s">
        <v>73</v>
      </c>
      <c r="O758" s="219" t="s">
        <v>72</v>
      </c>
      <c r="P758" s="130" t="s">
        <v>101</v>
      </c>
      <c r="Q758" s="132" t="s">
        <v>93</v>
      </c>
      <c r="R758" s="221">
        <v>3.3809999999999998</v>
      </c>
      <c r="S758" s="53">
        <v>1</v>
      </c>
      <c r="T758" s="53">
        <v>210</v>
      </c>
      <c r="U758" s="53">
        <v>210</v>
      </c>
      <c r="V758" s="53">
        <v>37.799999999999997</v>
      </c>
      <c r="W758" s="53">
        <v>247.8</v>
      </c>
      <c r="X758" s="27">
        <f t="shared" si="179"/>
        <v>710.01</v>
      </c>
    </row>
    <row r="759" spans="1:24" x14ac:dyDescent="0.2">
      <c r="A759" s="220">
        <v>43806</v>
      </c>
      <c r="B759" s="130" t="s">
        <v>68</v>
      </c>
      <c r="C759" s="130" t="s">
        <v>102</v>
      </c>
      <c r="D759" s="130" t="s">
        <v>2293</v>
      </c>
      <c r="E759" s="130" t="s">
        <v>1894</v>
      </c>
      <c r="F759" s="130" t="s">
        <v>2294</v>
      </c>
      <c r="G759" s="220">
        <v>43798</v>
      </c>
      <c r="H759" s="130" t="s">
        <v>90</v>
      </c>
      <c r="I759" s="130" t="s">
        <v>91</v>
      </c>
      <c r="J759" s="130" t="s">
        <v>92</v>
      </c>
      <c r="K759" s="130" t="s">
        <v>113</v>
      </c>
      <c r="L759" s="174" t="s">
        <v>71</v>
      </c>
      <c r="M759" s="131" t="s">
        <v>72</v>
      </c>
      <c r="N759" s="130" t="s">
        <v>73</v>
      </c>
      <c r="O759" s="219" t="s">
        <v>69</v>
      </c>
      <c r="P759" s="130" t="s">
        <v>1699</v>
      </c>
      <c r="Q759" s="132" t="s">
        <v>93</v>
      </c>
      <c r="R759" s="221">
        <v>3.3809999999999998</v>
      </c>
      <c r="S759" s="53">
        <v>1</v>
      </c>
      <c r="T759" s="53">
        <v>25</v>
      </c>
      <c r="U759" s="53">
        <v>25</v>
      </c>
      <c r="V759" s="53">
        <v>4.5</v>
      </c>
      <c r="W759" s="53">
        <v>29.5</v>
      </c>
      <c r="X759" s="27">
        <f t="shared" si="179"/>
        <v>84.524999999999991</v>
      </c>
    </row>
    <row r="760" spans="1:24" x14ac:dyDescent="0.2">
      <c r="A760" s="220">
        <v>43806</v>
      </c>
      <c r="B760" s="130" t="s">
        <v>68</v>
      </c>
      <c r="C760" s="130" t="s">
        <v>102</v>
      </c>
      <c r="D760" s="130" t="s">
        <v>2293</v>
      </c>
      <c r="E760" s="130" t="s">
        <v>1894</v>
      </c>
      <c r="F760" s="130" t="s">
        <v>2294</v>
      </c>
      <c r="G760" s="220">
        <v>43798</v>
      </c>
      <c r="H760" s="130" t="s">
        <v>90</v>
      </c>
      <c r="I760" s="130" t="s">
        <v>91</v>
      </c>
      <c r="J760" s="130" t="s">
        <v>95</v>
      </c>
      <c r="K760" s="130" t="s">
        <v>96</v>
      </c>
      <c r="L760" s="174" t="s">
        <v>71</v>
      </c>
      <c r="M760" s="131" t="s">
        <v>72</v>
      </c>
      <c r="N760" s="130" t="s">
        <v>73</v>
      </c>
      <c r="O760" s="219" t="s">
        <v>69</v>
      </c>
      <c r="P760" s="130" t="s">
        <v>1699</v>
      </c>
      <c r="Q760" s="132" t="s">
        <v>93</v>
      </c>
      <c r="R760" s="221">
        <v>3.3809999999999998</v>
      </c>
      <c r="S760" s="53">
        <v>-1</v>
      </c>
      <c r="T760" s="53">
        <v>100</v>
      </c>
      <c r="U760" s="53">
        <v>-100</v>
      </c>
      <c r="V760" s="53">
        <v>-18</v>
      </c>
      <c r="W760" s="53">
        <v>-118</v>
      </c>
      <c r="X760" s="27">
        <f t="shared" si="179"/>
        <v>-338.09999999999997</v>
      </c>
    </row>
    <row r="761" spans="1:24" x14ac:dyDescent="0.2">
      <c r="A761" s="220">
        <v>43806</v>
      </c>
      <c r="B761" s="130" t="s">
        <v>68</v>
      </c>
      <c r="C761" s="130" t="s">
        <v>102</v>
      </c>
      <c r="D761" s="130" t="s">
        <v>2295</v>
      </c>
      <c r="E761" s="130" t="s">
        <v>1898</v>
      </c>
      <c r="F761" s="130" t="s">
        <v>2296</v>
      </c>
      <c r="G761" s="220">
        <v>43795</v>
      </c>
      <c r="H761" s="130" t="s">
        <v>90</v>
      </c>
      <c r="I761" s="130" t="s">
        <v>91</v>
      </c>
      <c r="J761" s="130" t="s">
        <v>97</v>
      </c>
      <c r="K761" s="130" t="s">
        <v>98</v>
      </c>
      <c r="L761" s="174" t="s">
        <v>71</v>
      </c>
      <c r="M761" s="131" t="s">
        <v>72</v>
      </c>
      <c r="N761" s="130" t="s">
        <v>73</v>
      </c>
      <c r="O761" s="219" t="s">
        <v>99</v>
      </c>
      <c r="P761" s="130" t="s">
        <v>98</v>
      </c>
      <c r="Q761" s="132" t="s">
        <v>93</v>
      </c>
      <c r="R761" s="221">
        <v>3.3809999999999998</v>
      </c>
      <c r="S761" s="53">
        <v>1</v>
      </c>
      <c r="T761" s="53">
        <v>295</v>
      </c>
      <c r="U761" s="53">
        <v>295</v>
      </c>
      <c r="V761" s="53">
        <v>53.100009999999891</v>
      </c>
      <c r="W761" s="53">
        <v>348.10000999999988</v>
      </c>
      <c r="X761" s="27">
        <f t="shared" si="179"/>
        <v>997.39499999999998</v>
      </c>
    </row>
    <row r="762" spans="1:24" x14ac:dyDescent="0.2">
      <c r="A762" s="220">
        <v>43806</v>
      </c>
      <c r="B762" s="130" t="s">
        <v>68</v>
      </c>
      <c r="C762" s="130" t="s">
        <v>102</v>
      </c>
      <c r="D762" s="130" t="s">
        <v>2295</v>
      </c>
      <c r="E762" s="130" t="s">
        <v>1898</v>
      </c>
      <c r="F762" s="130" t="s">
        <v>2296</v>
      </c>
      <c r="G762" s="220">
        <v>43795</v>
      </c>
      <c r="H762" s="130" t="s">
        <v>90</v>
      </c>
      <c r="I762" s="130" t="s">
        <v>91</v>
      </c>
      <c r="J762" s="130" t="s">
        <v>100</v>
      </c>
      <c r="K762" s="130" t="s">
        <v>101</v>
      </c>
      <c r="L762" s="174" t="s">
        <v>71</v>
      </c>
      <c r="M762" s="131" t="s">
        <v>72</v>
      </c>
      <c r="N762" s="130" t="s">
        <v>73</v>
      </c>
      <c r="O762" s="219" t="s">
        <v>72</v>
      </c>
      <c r="P762" s="130" t="s">
        <v>101</v>
      </c>
      <c r="Q762" s="132" t="s">
        <v>93</v>
      </c>
      <c r="R762" s="221">
        <v>3.3809999999999998</v>
      </c>
      <c r="S762" s="53">
        <v>1</v>
      </c>
      <c r="T762" s="53">
        <v>300</v>
      </c>
      <c r="U762" s="53">
        <v>300</v>
      </c>
      <c r="V762" s="53">
        <v>54</v>
      </c>
      <c r="W762" s="53">
        <v>354</v>
      </c>
      <c r="X762" s="27">
        <f t="shared" si="179"/>
        <v>1014.3</v>
      </c>
    </row>
    <row r="763" spans="1:24" x14ac:dyDescent="0.2">
      <c r="A763" s="220">
        <v>43806</v>
      </c>
      <c r="B763" s="130" t="s">
        <v>68</v>
      </c>
      <c r="C763" s="130" t="s">
        <v>102</v>
      </c>
      <c r="D763" s="130" t="s">
        <v>2295</v>
      </c>
      <c r="E763" s="130" t="s">
        <v>1898</v>
      </c>
      <c r="F763" s="130" t="s">
        <v>2296</v>
      </c>
      <c r="G763" s="220">
        <v>43795</v>
      </c>
      <c r="H763" s="130" t="s">
        <v>90</v>
      </c>
      <c r="I763" s="130" t="s">
        <v>91</v>
      </c>
      <c r="J763" s="130" t="s">
        <v>92</v>
      </c>
      <c r="K763" s="130" t="s">
        <v>113</v>
      </c>
      <c r="L763" s="174" t="s">
        <v>71</v>
      </c>
      <c r="M763" s="131" t="s">
        <v>72</v>
      </c>
      <c r="N763" s="130" t="s">
        <v>73</v>
      </c>
      <c r="O763" s="219" t="s">
        <v>69</v>
      </c>
      <c r="P763" s="130" t="s">
        <v>1699</v>
      </c>
      <c r="Q763" s="132" t="s">
        <v>93</v>
      </c>
      <c r="R763" s="221">
        <v>3.3809999999999998</v>
      </c>
      <c r="S763" s="53">
        <v>1</v>
      </c>
      <c r="T763" s="53">
        <v>15</v>
      </c>
      <c r="U763" s="53">
        <v>15</v>
      </c>
      <c r="V763" s="53">
        <v>2.7000009999999999</v>
      </c>
      <c r="W763" s="53">
        <v>17.700001</v>
      </c>
      <c r="X763" s="27">
        <f t="shared" si="179"/>
        <v>50.714999999999996</v>
      </c>
    </row>
    <row r="764" spans="1:24" x14ac:dyDescent="0.2">
      <c r="A764" s="220">
        <v>43806</v>
      </c>
      <c r="B764" s="130" t="s">
        <v>68</v>
      </c>
      <c r="C764" s="130" t="s">
        <v>102</v>
      </c>
      <c r="D764" s="130" t="s">
        <v>2295</v>
      </c>
      <c r="E764" s="130" t="s">
        <v>1898</v>
      </c>
      <c r="F764" s="130" t="s">
        <v>2296</v>
      </c>
      <c r="G764" s="220">
        <v>43795</v>
      </c>
      <c r="H764" s="130" t="s">
        <v>90</v>
      </c>
      <c r="I764" s="130" t="s">
        <v>91</v>
      </c>
      <c r="J764" s="130" t="s">
        <v>95</v>
      </c>
      <c r="K764" s="130" t="s">
        <v>96</v>
      </c>
      <c r="L764" s="174" t="s">
        <v>71</v>
      </c>
      <c r="M764" s="131" t="s">
        <v>72</v>
      </c>
      <c r="N764" s="130" t="s">
        <v>73</v>
      </c>
      <c r="O764" s="219" t="s">
        <v>69</v>
      </c>
      <c r="P764" s="130" t="s">
        <v>1699</v>
      </c>
      <c r="Q764" s="132" t="s">
        <v>93</v>
      </c>
      <c r="R764" s="221">
        <v>3.3809999999999998</v>
      </c>
      <c r="S764" s="53">
        <v>-1</v>
      </c>
      <c r="T764" s="53">
        <v>152.6525</v>
      </c>
      <c r="U764" s="53">
        <v>-152.6525</v>
      </c>
      <c r="V764" s="53">
        <v>-27.477499999999999</v>
      </c>
      <c r="W764" s="53">
        <v>-180.13</v>
      </c>
      <c r="X764" s="27">
        <f t="shared" si="179"/>
        <v>-516.11810249999996</v>
      </c>
    </row>
    <row r="765" spans="1:24" x14ac:dyDescent="0.2">
      <c r="A765" s="220">
        <v>43806</v>
      </c>
      <c r="B765" s="130" t="s">
        <v>68</v>
      </c>
      <c r="C765" s="130" t="s">
        <v>102</v>
      </c>
      <c r="D765" s="130" t="s">
        <v>2295</v>
      </c>
      <c r="E765" s="130" t="s">
        <v>1898</v>
      </c>
      <c r="F765" s="130" t="s">
        <v>2296</v>
      </c>
      <c r="G765" s="220">
        <v>43795</v>
      </c>
      <c r="H765" s="130" t="s">
        <v>90</v>
      </c>
      <c r="I765" s="130" t="s">
        <v>91</v>
      </c>
      <c r="J765" s="130" t="s">
        <v>104</v>
      </c>
      <c r="K765" s="130" t="s">
        <v>105</v>
      </c>
      <c r="L765" s="174" t="s">
        <v>71</v>
      </c>
      <c r="M765" s="131" t="s">
        <v>72</v>
      </c>
      <c r="N765" s="130" t="s">
        <v>73</v>
      </c>
      <c r="O765" s="219" t="s">
        <v>69</v>
      </c>
      <c r="P765" s="130" t="s">
        <v>1699</v>
      </c>
      <c r="Q765" s="132" t="s">
        <v>93</v>
      </c>
      <c r="R765" s="221">
        <v>3.3809999999999998</v>
      </c>
      <c r="S765" s="53">
        <v>1</v>
      </c>
      <c r="T765" s="53">
        <v>0</v>
      </c>
      <c r="U765" s="53">
        <v>0</v>
      </c>
      <c r="V765" s="53">
        <v>0</v>
      </c>
      <c r="W765" s="53">
        <v>0</v>
      </c>
      <c r="X765" s="27">
        <f t="shared" si="179"/>
        <v>0</v>
      </c>
    </row>
    <row r="766" spans="1:24" x14ac:dyDescent="0.2">
      <c r="A766" s="220">
        <v>43806</v>
      </c>
      <c r="B766" s="130" t="s">
        <v>68</v>
      </c>
      <c r="C766" s="130" t="s">
        <v>102</v>
      </c>
      <c r="D766" s="130" t="s">
        <v>1689</v>
      </c>
      <c r="E766" s="130" t="s">
        <v>1365</v>
      </c>
      <c r="F766" s="130" t="s">
        <v>2297</v>
      </c>
      <c r="G766" s="220">
        <v>43790</v>
      </c>
      <c r="H766" s="130" t="s">
        <v>387</v>
      </c>
      <c r="I766" s="130" t="s">
        <v>386</v>
      </c>
      <c r="J766" s="130" t="s">
        <v>97</v>
      </c>
      <c r="K766" s="130" t="s">
        <v>98</v>
      </c>
      <c r="L766" s="174" t="s">
        <v>71</v>
      </c>
      <c r="M766" s="131" t="s">
        <v>72</v>
      </c>
      <c r="N766" s="130" t="s">
        <v>73</v>
      </c>
      <c r="O766" s="219" t="s">
        <v>99</v>
      </c>
      <c r="P766" s="130" t="s">
        <v>98</v>
      </c>
      <c r="Q766" s="132" t="s">
        <v>74</v>
      </c>
      <c r="R766" s="221">
        <v>3.3809999999999998</v>
      </c>
      <c r="S766" s="53">
        <v>1</v>
      </c>
      <c r="T766" s="53">
        <v>2700</v>
      </c>
      <c r="U766" s="53">
        <v>2700</v>
      </c>
      <c r="V766" s="53">
        <v>486</v>
      </c>
      <c r="W766" s="53">
        <v>3186</v>
      </c>
      <c r="X766" s="27">
        <f t="shared" si="179"/>
        <v>2700</v>
      </c>
    </row>
    <row r="767" spans="1:24" x14ac:dyDescent="0.2">
      <c r="A767" s="220">
        <v>43806</v>
      </c>
      <c r="B767" s="130" t="s">
        <v>68</v>
      </c>
      <c r="C767" s="130" t="s">
        <v>102</v>
      </c>
      <c r="D767" s="130" t="s">
        <v>1689</v>
      </c>
      <c r="E767" s="130" t="s">
        <v>1365</v>
      </c>
      <c r="F767" s="130" t="s">
        <v>2297</v>
      </c>
      <c r="G767" s="220">
        <v>43790</v>
      </c>
      <c r="H767" s="130" t="s">
        <v>387</v>
      </c>
      <c r="I767" s="130" t="s">
        <v>386</v>
      </c>
      <c r="J767" s="130" t="s">
        <v>100</v>
      </c>
      <c r="K767" s="130" t="s">
        <v>101</v>
      </c>
      <c r="L767" s="174" t="s">
        <v>71</v>
      </c>
      <c r="M767" s="131" t="s">
        <v>72</v>
      </c>
      <c r="N767" s="130" t="s">
        <v>73</v>
      </c>
      <c r="O767" s="219" t="s">
        <v>72</v>
      </c>
      <c r="P767" s="130" t="s">
        <v>101</v>
      </c>
      <c r="Q767" s="132" t="s">
        <v>74</v>
      </c>
      <c r="R767" s="221">
        <v>3.3809999999999998</v>
      </c>
      <c r="S767" s="53">
        <v>1</v>
      </c>
      <c r="T767" s="53">
        <v>1680</v>
      </c>
      <c r="U767" s="53">
        <v>1680</v>
      </c>
      <c r="V767" s="53">
        <v>302.39999999999998</v>
      </c>
      <c r="W767" s="53">
        <v>1982.4</v>
      </c>
      <c r="X767" s="27">
        <f t="shared" si="179"/>
        <v>1680</v>
      </c>
    </row>
    <row r="768" spans="1:24" x14ac:dyDescent="0.2">
      <c r="A768" s="220">
        <v>43806</v>
      </c>
      <c r="B768" s="130" t="s">
        <v>68</v>
      </c>
      <c r="C768" s="130" t="s">
        <v>102</v>
      </c>
      <c r="D768" s="130" t="s">
        <v>1689</v>
      </c>
      <c r="E768" s="130" t="s">
        <v>1365</v>
      </c>
      <c r="F768" s="130" t="s">
        <v>2297</v>
      </c>
      <c r="G768" s="220">
        <v>43790</v>
      </c>
      <c r="H768" s="130" t="s">
        <v>387</v>
      </c>
      <c r="I768" s="130" t="s">
        <v>386</v>
      </c>
      <c r="J768" s="130" t="s">
        <v>92</v>
      </c>
      <c r="K768" s="130" t="s">
        <v>113</v>
      </c>
      <c r="L768" s="174" t="s">
        <v>71</v>
      </c>
      <c r="M768" s="131" t="s">
        <v>72</v>
      </c>
      <c r="N768" s="130" t="s">
        <v>73</v>
      </c>
      <c r="O768" s="219" t="s">
        <v>69</v>
      </c>
      <c r="P768" s="130" t="s">
        <v>1699</v>
      </c>
      <c r="Q768" s="132" t="s">
        <v>74</v>
      </c>
      <c r="R768" s="221">
        <v>3.3809999999999998</v>
      </c>
      <c r="S768" s="53">
        <v>1</v>
      </c>
      <c r="T768" s="53">
        <v>500</v>
      </c>
      <c r="U768" s="53">
        <v>500</v>
      </c>
      <c r="V768" s="53">
        <v>90</v>
      </c>
      <c r="W768" s="53">
        <v>590</v>
      </c>
      <c r="X768" s="27">
        <f t="shared" si="179"/>
        <v>500</v>
      </c>
    </row>
    <row r="769" spans="1:24" x14ac:dyDescent="0.2">
      <c r="A769" s="220">
        <v>43806</v>
      </c>
      <c r="B769" s="130" t="s">
        <v>68</v>
      </c>
      <c r="C769" s="130" t="s">
        <v>102</v>
      </c>
      <c r="D769" s="130" t="s">
        <v>1689</v>
      </c>
      <c r="E769" s="130" t="s">
        <v>1365</v>
      </c>
      <c r="F769" s="130" t="s">
        <v>2297</v>
      </c>
      <c r="G769" s="220">
        <v>43790</v>
      </c>
      <c r="H769" s="130" t="s">
        <v>387</v>
      </c>
      <c r="I769" s="130" t="s">
        <v>386</v>
      </c>
      <c r="J769" s="130" t="s">
        <v>132</v>
      </c>
      <c r="K769" s="130" t="s">
        <v>2298</v>
      </c>
      <c r="L769" s="174" t="s">
        <v>71</v>
      </c>
      <c r="M769" s="131" t="s">
        <v>72</v>
      </c>
      <c r="N769" s="130" t="s">
        <v>73</v>
      </c>
      <c r="O769" s="219" t="s">
        <v>69</v>
      </c>
      <c r="P769" s="130" t="s">
        <v>1699</v>
      </c>
      <c r="Q769" s="132" t="s">
        <v>74</v>
      </c>
      <c r="R769" s="221">
        <v>3.3809999999999998</v>
      </c>
      <c r="S769" s="53">
        <v>1</v>
      </c>
      <c r="T769" s="53">
        <v>1717</v>
      </c>
      <c r="U769" s="53">
        <v>1717</v>
      </c>
      <c r="V769" s="53">
        <v>309.06009999999981</v>
      </c>
      <c r="W769" s="53">
        <v>2026.0600999999997</v>
      </c>
      <c r="X769" s="27">
        <f t="shared" si="179"/>
        <v>1717</v>
      </c>
    </row>
    <row r="770" spans="1:24" x14ac:dyDescent="0.2">
      <c r="A770" s="220">
        <v>43806</v>
      </c>
      <c r="B770" s="130" t="s">
        <v>68</v>
      </c>
      <c r="C770" s="130" t="s">
        <v>102</v>
      </c>
      <c r="D770" s="130" t="s">
        <v>1689</v>
      </c>
      <c r="E770" s="130" t="s">
        <v>1365</v>
      </c>
      <c r="F770" s="130" t="s">
        <v>2297</v>
      </c>
      <c r="G770" s="220">
        <v>43790</v>
      </c>
      <c r="H770" s="130" t="s">
        <v>387</v>
      </c>
      <c r="I770" s="130" t="s">
        <v>386</v>
      </c>
      <c r="J770" s="130" t="s">
        <v>70</v>
      </c>
      <c r="K770" s="130" t="s">
        <v>112</v>
      </c>
      <c r="L770" s="174" t="s">
        <v>71</v>
      </c>
      <c r="M770" s="131" t="s">
        <v>72</v>
      </c>
      <c r="N770" s="130" t="s">
        <v>73</v>
      </c>
      <c r="O770" s="219" t="s">
        <v>69</v>
      </c>
      <c r="P770" s="130" t="s">
        <v>1699</v>
      </c>
      <c r="Q770" s="132" t="s">
        <v>74</v>
      </c>
      <c r="R770" s="221">
        <v>3.3809999999999998</v>
      </c>
      <c r="S770" s="53">
        <v>1</v>
      </c>
      <c r="T770" s="53">
        <v>673.75420999999972</v>
      </c>
      <c r="U770" s="53">
        <v>673.75420999999972</v>
      </c>
      <c r="V770" s="53">
        <v>121.27582000000038</v>
      </c>
      <c r="W770" s="53">
        <v>795.03003000000012</v>
      </c>
      <c r="X770" s="27">
        <f t="shared" si="179"/>
        <v>673.75420999999972</v>
      </c>
    </row>
    <row r="771" spans="1:24" x14ac:dyDescent="0.2">
      <c r="A771" s="220">
        <v>43806</v>
      </c>
      <c r="B771" s="130" t="s">
        <v>68</v>
      </c>
      <c r="C771" s="130" t="s">
        <v>102</v>
      </c>
      <c r="D771" s="130" t="s">
        <v>1689</v>
      </c>
      <c r="E771" s="130" t="s">
        <v>1365</v>
      </c>
      <c r="F771" s="130" t="s">
        <v>2297</v>
      </c>
      <c r="G771" s="220">
        <v>43790</v>
      </c>
      <c r="H771" s="130" t="s">
        <v>387</v>
      </c>
      <c r="I771" s="130" t="s">
        <v>386</v>
      </c>
      <c r="J771" s="130" t="s">
        <v>104</v>
      </c>
      <c r="K771" s="130" t="s">
        <v>105</v>
      </c>
      <c r="L771" s="174" t="s">
        <v>71</v>
      </c>
      <c r="M771" s="131" t="s">
        <v>72</v>
      </c>
      <c r="N771" s="130" t="s">
        <v>73</v>
      </c>
      <c r="O771" s="219" t="s">
        <v>69</v>
      </c>
      <c r="P771" s="130" t="s">
        <v>1699</v>
      </c>
      <c r="Q771" s="132" t="s">
        <v>74</v>
      </c>
      <c r="R771" s="221">
        <v>3.3809999999999998</v>
      </c>
      <c r="S771" s="53">
        <v>1</v>
      </c>
      <c r="T771" s="53">
        <v>2645</v>
      </c>
      <c r="U771" s="53">
        <v>2645</v>
      </c>
      <c r="V771" s="53">
        <v>476.10010000000011</v>
      </c>
      <c r="W771" s="53">
        <v>3121.1001000000001</v>
      </c>
      <c r="X771" s="27">
        <f t="shared" si="179"/>
        <v>2645</v>
      </c>
    </row>
    <row r="772" spans="1:24" x14ac:dyDescent="0.2">
      <c r="A772" s="220">
        <v>43806</v>
      </c>
      <c r="B772" s="130" t="s">
        <v>68</v>
      </c>
      <c r="C772" s="130" t="s">
        <v>102</v>
      </c>
      <c r="D772" s="130" t="s">
        <v>1570</v>
      </c>
      <c r="E772" s="130" t="s">
        <v>1412</v>
      </c>
      <c r="F772" s="130" t="s">
        <v>2006</v>
      </c>
      <c r="G772" s="220">
        <v>43794</v>
      </c>
      <c r="H772" s="130" t="s">
        <v>557</v>
      </c>
      <c r="I772" s="130" t="s">
        <v>556</v>
      </c>
      <c r="J772" s="130" t="s">
        <v>97</v>
      </c>
      <c r="K772" s="130" t="s">
        <v>98</v>
      </c>
      <c r="L772" s="174" t="s">
        <v>71</v>
      </c>
      <c r="M772" s="131" t="s">
        <v>72</v>
      </c>
      <c r="N772" s="130" t="s">
        <v>73</v>
      </c>
      <c r="O772" s="219" t="s">
        <v>99</v>
      </c>
      <c r="P772" s="130" t="s">
        <v>98</v>
      </c>
      <c r="Q772" s="132" t="s">
        <v>93</v>
      </c>
      <c r="R772" s="221">
        <v>3.3809999999999998</v>
      </c>
      <c r="S772" s="53">
        <v>1</v>
      </c>
      <c r="T772" s="53">
        <v>180</v>
      </c>
      <c r="U772" s="53">
        <v>180</v>
      </c>
      <c r="V772" s="53">
        <v>32.39998999999996</v>
      </c>
      <c r="W772" s="53">
        <v>212.39998999999997</v>
      </c>
      <c r="X772" s="27">
        <f t="shared" si="179"/>
        <v>608.57999999999993</v>
      </c>
    </row>
    <row r="773" spans="1:24" x14ac:dyDescent="0.2">
      <c r="A773" s="220">
        <v>43806</v>
      </c>
      <c r="B773" s="130" t="s">
        <v>68</v>
      </c>
      <c r="C773" s="130" t="s">
        <v>102</v>
      </c>
      <c r="D773" s="130" t="s">
        <v>1570</v>
      </c>
      <c r="E773" s="130" t="s">
        <v>1412</v>
      </c>
      <c r="F773" s="130" t="s">
        <v>2006</v>
      </c>
      <c r="G773" s="220">
        <v>43794</v>
      </c>
      <c r="H773" s="130" t="s">
        <v>557</v>
      </c>
      <c r="I773" s="130" t="s">
        <v>556</v>
      </c>
      <c r="J773" s="130" t="s">
        <v>100</v>
      </c>
      <c r="K773" s="130" t="s">
        <v>101</v>
      </c>
      <c r="L773" s="174" t="s">
        <v>71</v>
      </c>
      <c r="M773" s="131" t="s">
        <v>72</v>
      </c>
      <c r="N773" s="130" t="s">
        <v>73</v>
      </c>
      <c r="O773" s="219" t="s">
        <v>72</v>
      </c>
      <c r="P773" s="130" t="s">
        <v>101</v>
      </c>
      <c r="Q773" s="132" t="s">
        <v>93</v>
      </c>
      <c r="R773" s="221">
        <v>3.3809999999999998</v>
      </c>
      <c r="S773" s="53">
        <v>1</v>
      </c>
      <c r="T773" s="53">
        <v>187.5</v>
      </c>
      <c r="U773" s="53">
        <v>187.5</v>
      </c>
      <c r="V773" s="53">
        <v>33.75</v>
      </c>
      <c r="W773" s="53">
        <v>221.25</v>
      </c>
      <c r="X773" s="27">
        <f t="shared" ref="X773:X836" si="180">IF(Q773="$",(U773*R773),U773)</f>
        <v>633.9375</v>
      </c>
    </row>
    <row r="774" spans="1:24" x14ac:dyDescent="0.2">
      <c r="A774" s="220">
        <v>43806</v>
      </c>
      <c r="B774" s="130" t="s">
        <v>68</v>
      </c>
      <c r="C774" s="130" t="s">
        <v>102</v>
      </c>
      <c r="D774" s="130" t="s">
        <v>1570</v>
      </c>
      <c r="E774" s="130" t="s">
        <v>1412</v>
      </c>
      <c r="F774" s="130" t="s">
        <v>2006</v>
      </c>
      <c r="G774" s="220">
        <v>43794</v>
      </c>
      <c r="H774" s="130" t="s">
        <v>557</v>
      </c>
      <c r="I774" s="130" t="s">
        <v>556</v>
      </c>
      <c r="J774" s="130" t="s">
        <v>92</v>
      </c>
      <c r="K774" s="130" t="s">
        <v>113</v>
      </c>
      <c r="L774" s="174" t="s">
        <v>71</v>
      </c>
      <c r="M774" s="131" t="s">
        <v>72</v>
      </c>
      <c r="N774" s="130" t="s">
        <v>73</v>
      </c>
      <c r="O774" s="219" t="s">
        <v>69</v>
      </c>
      <c r="P774" s="130" t="s">
        <v>1699</v>
      </c>
      <c r="Q774" s="132" t="s">
        <v>93</v>
      </c>
      <c r="R774" s="221">
        <v>3.3809999999999998</v>
      </c>
      <c r="S774" s="53">
        <v>1</v>
      </c>
      <c r="T774" s="53">
        <v>60</v>
      </c>
      <c r="U774" s="53">
        <v>60</v>
      </c>
      <c r="V774" s="53">
        <v>10.800002999999997</v>
      </c>
      <c r="W774" s="53">
        <v>70.800003000000004</v>
      </c>
      <c r="X774" s="27">
        <f t="shared" si="180"/>
        <v>202.85999999999999</v>
      </c>
    </row>
    <row r="775" spans="1:24" x14ac:dyDescent="0.2">
      <c r="A775" s="220">
        <v>43808</v>
      </c>
      <c r="B775" s="130" t="s">
        <v>68</v>
      </c>
      <c r="C775" s="130" t="s">
        <v>102</v>
      </c>
      <c r="D775" s="130" t="s">
        <v>2299</v>
      </c>
      <c r="E775" s="130" t="s">
        <v>1913</v>
      </c>
      <c r="F775" s="130" t="s">
        <v>2300</v>
      </c>
      <c r="G775" s="220">
        <v>43802</v>
      </c>
      <c r="H775" s="130" t="s">
        <v>557</v>
      </c>
      <c r="I775" s="130" t="s">
        <v>556</v>
      </c>
      <c r="J775" s="130" t="s">
        <v>97</v>
      </c>
      <c r="K775" s="130" t="s">
        <v>98</v>
      </c>
      <c r="L775" s="174" t="s">
        <v>71</v>
      </c>
      <c r="M775" s="131" t="s">
        <v>72</v>
      </c>
      <c r="N775" s="130" t="s">
        <v>73</v>
      </c>
      <c r="O775" s="219" t="s">
        <v>99</v>
      </c>
      <c r="P775" s="130" t="s">
        <v>98</v>
      </c>
      <c r="Q775" s="132" t="s">
        <v>93</v>
      </c>
      <c r="R775" s="221">
        <v>3.3809999999999998</v>
      </c>
      <c r="S775" s="53">
        <v>1</v>
      </c>
      <c r="T775" s="53">
        <v>59</v>
      </c>
      <c r="U775" s="53">
        <v>59</v>
      </c>
      <c r="V775" s="53">
        <v>10.620002999999997</v>
      </c>
      <c r="W775" s="53">
        <v>69.620002999999997</v>
      </c>
      <c r="X775" s="27">
        <f t="shared" si="180"/>
        <v>199.47899999999998</v>
      </c>
    </row>
    <row r="776" spans="1:24" x14ac:dyDescent="0.2">
      <c r="A776" s="220">
        <v>43808</v>
      </c>
      <c r="B776" s="130" t="s">
        <v>68</v>
      </c>
      <c r="C776" s="130" t="s">
        <v>102</v>
      </c>
      <c r="D776" s="130" t="s">
        <v>2299</v>
      </c>
      <c r="E776" s="130" t="s">
        <v>1913</v>
      </c>
      <c r="F776" s="130" t="s">
        <v>2300</v>
      </c>
      <c r="G776" s="220">
        <v>43802</v>
      </c>
      <c r="H776" s="130" t="s">
        <v>557</v>
      </c>
      <c r="I776" s="130" t="s">
        <v>556</v>
      </c>
      <c r="J776" s="130" t="s">
        <v>100</v>
      </c>
      <c r="K776" s="130" t="s">
        <v>101</v>
      </c>
      <c r="L776" s="174" t="s">
        <v>71</v>
      </c>
      <c r="M776" s="131" t="s">
        <v>72</v>
      </c>
      <c r="N776" s="130" t="s">
        <v>73</v>
      </c>
      <c r="O776" s="219" t="s">
        <v>72</v>
      </c>
      <c r="P776" s="130" t="s">
        <v>101</v>
      </c>
      <c r="Q776" s="132" t="s">
        <v>93</v>
      </c>
      <c r="R776" s="221">
        <v>3.3809999999999998</v>
      </c>
      <c r="S776" s="53">
        <v>1</v>
      </c>
      <c r="T776" s="53">
        <v>30</v>
      </c>
      <c r="U776" s="53">
        <v>30</v>
      </c>
      <c r="V776" s="53">
        <v>5.4000019999999997</v>
      </c>
      <c r="W776" s="53">
        <v>35.400002000000001</v>
      </c>
      <c r="X776" s="27">
        <f t="shared" si="180"/>
        <v>101.42999999999999</v>
      </c>
    </row>
    <row r="777" spans="1:24" x14ac:dyDescent="0.2">
      <c r="A777" s="220">
        <v>43808</v>
      </c>
      <c r="B777" s="130" t="s">
        <v>68</v>
      </c>
      <c r="C777" s="130" t="s">
        <v>102</v>
      </c>
      <c r="D777" s="130" t="s">
        <v>2299</v>
      </c>
      <c r="E777" s="130" t="s">
        <v>1913</v>
      </c>
      <c r="F777" s="130" t="s">
        <v>2300</v>
      </c>
      <c r="G777" s="220">
        <v>43802</v>
      </c>
      <c r="H777" s="130" t="s">
        <v>557</v>
      </c>
      <c r="I777" s="130" t="s">
        <v>556</v>
      </c>
      <c r="J777" s="130" t="s">
        <v>92</v>
      </c>
      <c r="K777" s="130" t="s">
        <v>113</v>
      </c>
      <c r="L777" s="174" t="s">
        <v>71</v>
      </c>
      <c r="M777" s="131" t="s">
        <v>72</v>
      </c>
      <c r="N777" s="130" t="s">
        <v>73</v>
      </c>
      <c r="O777" s="219" t="s">
        <v>69</v>
      </c>
      <c r="P777" s="130" t="s">
        <v>1699</v>
      </c>
      <c r="Q777" s="132" t="s">
        <v>93</v>
      </c>
      <c r="R777" s="221">
        <v>3.3809999999999998</v>
      </c>
      <c r="S777" s="53">
        <v>1</v>
      </c>
      <c r="T777" s="53">
        <v>30</v>
      </c>
      <c r="U777" s="53">
        <v>30</v>
      </c>
      <c r="V777" s="53">
        <v>5.4000019999999997</v>
      </c>
      <c r="W777" s="53">
        <v>35.400002000000001</v>
      </c>
      <c r="X777" s="27">
        <f t="shared" si="180"/>
        <v>101.42999999999999</v>
      </c>
    </row>
    <row r="778" spans="1:24" x14ac:dyDescent="0.2">
      <c r="A778" s="220">
        <v>43808</v>
      </c>
      <c r="B778" s="130" t="s">
        <v>68</v>
      </c>
      <c r="C778" s="130" t="s">
        <v>102</v>
      </c>
      <c r="D778" s="130" t="s">
        <v>2299</v>
      </c>
      <c r="E778" s="130" t="s">
        <v>1913</v>
      </c>
      <c r="F778" s="130" t="s">
        <v>2300</v>
      </c>
      <c r="G778" s="220">
        <v>43802</v>
      </c>
      <c r="H778" s="130" t="s">
        <v>557</v>
      </c>
      <c r="I778" s="130" t="s">
        <v>556</v>
      </c>
      <c r="J778" s="130" t="s">
        <v>104</v>
      </c>
      <c r="K778" s="130" t="s">
        <v>105</v>
      </c>
      <c r="L778" s="174" t="s">
        <v>71</v>
      </c>
      <c r="M778" s="131" t="s">
        <v>72</v>
      </c>
      <c r="N778" s="130" t="s">
        <v>73</v>
      </c>
      <c r="O778" s="219" t="s">
        <v>69</v>
      </c>
      <c r="P778" s="130" t="s">
        <v>1699</v>
      </c>
      <c r="Q778" s="132" t="s">
        <v>93</v>
      </c>
      <c r="R778" s="221">
        <v>3.3809999999999998</v>
      </c>
      <c r="S778" s="53">
        <v>1</v>
      </c>
      <c r="T778" s="53">
        <v>0</v>
      </c>
      <c r="U778" s="53">
        <v>0</v>
      </c>
      <c r="V778" s="53">
        <v>0</v>
      </c>
      <c r="W778" s="53">
        <v>0</v>
      </c>
      <c r="X778" s="27">
        <f t="shared" si="180"/>
        <v>0</v>
      </c>
    </row>
    <row r="779" spans="1:24" x14ac:dyDescent="0.2">
      <c r="A779" s="220">
        <v>43808</v>
      </c>
      <c r="B779" s="130" t="s">
        <v>68</v>
      </c>
      <c r="C779" s="130" t="s">
        <v>102</v>
      </c>
      <c r="D779" s="130" t="s">
        <v>1537</v>
      </c>
      <c r="E779" s="130" t="s">
        <v>1915</v>
      </c>
      <c r="F779" s="130" t="s">
        <v>2300</v>
      </c>
      <c r="G779" s="220">
        <v>43802</v>
      </c>
      <c r="H779" s="130" t="s">
        <v>90</v>
      </c>
      <c r="I779" s="130" t="s">
        <v>91</v>
      </c>
      <c r="J779" s="130" t="s">
        <v>97</v>
      </c>
      <c r="K779" s="130" t="s">
        <v>98</v>
      </c>
      <c r="L779" s="174" t="s">
        <v>71</v>
      </c>
      <c r="M779" s="131" t="s">
        <v>72</v>
      </c>
      <c r="N779" s="130" t="s">
        <v>73</v>
      </c>
      <c r="O779" s="219" t="s">
        <v>99</v>
      </c>
      <c r="P779" s="130" t="s">
        <v>98</v>
      </c>
      <c r="Q779" s="132" t="s">
        <v>93</v>
      </c>
      <c r="R779" s="221">
        <v>3.3809999999999998</v>
      </c>
      <c r="S779" s="53">
        <v>1</v>
      </c>
      <c r="T779" s="53">
        <v>118</v>
      </c>
      <c r="U779" s="53">
        <v>118</v>
      </c>
      <c r="V779" s="53">
        <v>21.240010000000019</v>
      </c>
      <c r="W779" s="53">
        <v>139.24001000000001</v>
      </c>
      <c r="X779" s="27">
        <f t="shared" si="180"/>
        <v>398.95799999999997</v>
      </c>
    </row>
    <row r="780" spans="1:24" x14ac:dyDescent="0.2">
      <c r="A780" s="220">
        <v>43808</v>
      </c>
      <c r="B780" s="130" t="s">
        <v>68</v>
      </c>
      <c r="C780" s="130" t="s">
        <v>102</v>
      </c>
      <c r="D780" s="130" t="s">
        <v>1537</v>
      </c>
      <c r="E780" s="130" t="s">
        <v>1915</v>
      </c>
      <c r="F780" s="130" t="s">
        <v>2300</v>
      </c>
      <c r="G780" s="220">
        <v>43802</v>
      </c>
      <c r="H780" s="130" t="s">
        <v>90</v>
      </c>
      <c r="I780" s="130" t="s">
        <v>91</v>
      </c>
      <c r="J780" s="130" t="s">
        <v>100</v>
      </c>
      <c r="K780" s="130" t="s">
        <v>101</v>
      </c>
      <c r="L780" s="174" t="s">
        <v>71</v>
      </c>
      <c r="M780" s="131" t="s">
        <v>72</v>
      </c>
      <c r="N780" s="130" t="s">
        <v>73</v>
      </c>
      <c r="O780" s="219" t="s">
        <v>72</v>
      </c>
      <c r="P780" s="130" t="s">
        <v>101</v>
      </c>
      <c r="Q780" s="132" t="s">
        <v>93</v>
      </c>
      <c r="R780" s="221">
        <v>3.3809999999999998</v>
      </c>
      <c r="S780" s="53">
        <v>1</v>
      </c>
      <c r="T780" s="53">
        <v>75</v>
      </c>
      <c r="U780" s="53">
        <v>75</v>
      </c>
      <c r="V780" s="53">
        <v>13.5</v>
      </c>
      <c r="W780" s="53">
        <v>88.5</v>
      </c>
      <c r="X780" s="27">
        <f t="shared" si="180"/>
        <v>253.57499999999999</v>
      </c>
    </row>
    <row r="781" spans="1:24" x14ac:dyDescent="0.2">
      <c r="A781" s="220">
        <v>43808</v>
      </c>
      <c r="B781" s="130" t="s">
        <v>68</v>
      </c>
      <c r="C781" s="130" t="s">
        <v>102</v>
      </c>
      <c r="D781" s="130" t="s">
        <v>1537</v>
      </c>
      <c r="E781" s="130" t="s">
        <v>1915</v>
      </c>
      <c r="F781" s="130" t="s">
        <v>2300</v>
      </c>
      <c r="G781" s="220">
        <v>43802</v>
      </c>
      <c r="H781" s="130" t="s">
        <v>90</v>
      </c>
      <c r="I781" s="130" t="s">
        <v>91</v>
      </c>
      <c r="J781" s="130" t="s">
        <v>95</v>
      </c>
      <c r="K781" s="130" t="s">
        <v>96</v>
      </c>
      <c r="L781" s="174" t="s">
        <v>71</v>
      </c>
      <c r="M781" s="131" t="s">
        <v>72</v>
      </c>
      <c r="N781" s="130" t="s">
        <v>73</v>
      </c>
      <c r="O781" s="219" t="s">
        <v>69</v>
      </c>
      <c r="P781" s="130" t="s">
        <v>1699</v>
      </c>
      <c r="Q781" s="132" t="s">
        <v>93</v>
      </c>
      <c r="R781" s="221">
        <v>3.3809999999999998</v>
      </c>
      <c r="S781" s="53">
        <v>1</v>
      </c>
      <c r="T781" s="53">
        <v>100</v>
      </c>
      <c r="U781" s="53">
        <v>100</v>
      </c>
      <c r="V781" s="53">
        <v>18</v>
      </c>
      <c r="W781" s="53">
        <v>118</v>
      </c>
      <c r="X781" s="27">
        <f t="shared" si="180"/>
        <v>338.09999999999997</v>
      </c>
    </row>
    <row r="782" spans="1:24" x14ac:dyDescent="0.2">
      <c r="A782" s="220">
        <v>43808</v>
      </c>
      <c r="B782" s="130" t="s">
        <v>68</v>
      </c>
      <c r="C782" s="130" t="s">
        <v>102</v>
      </c>
      <c r="D782" s="130" t="s">
        <v>1537</v>
      </c>
      <c r="E782" s="130" t="s">
        <v>1915</v>
      </c>
      <c r="F782" s="130" t="s">
        <v>2300</v>
      </c>
      <c r="G782" s="220">
        <v>43802</v>
      </c>
      <c r="H782" s="130" t="s">
        <v>90</v>
      </c>
      <c r="I782" s="130" t="s">
        <v>91</v>
      </c>
      <c r="J782" s="130" t="s">
        <v>95</v>
      </c>
      <c r="K782" s="130" t="s">
        <v>96</v>
      </c>
      <c r="L782" s="174" t="s">
        <v>71</v>
      </c>
      <c r="M782" s="131" t="s">
        <v>72</v>
      </c>
      <c r="N782" s="130" t="s">
        <v>73</v>
      </c>
      <c r="O782" s="219" t="s">
        <v>69</v>
      </c>
      <c r="P782" s="130" t="s">
        <v>1699</v>
      </c>
      <c r="Q782" s="132" t="s">
        <v>93</v>
      </c>
      <c r="R782" s="221">
        <v>3.3809999999999998</v>
      </c>
      <c r="S782" s="53">
        <v>-1</v>
      </c>
      <c r="T782" s="53">
        <v>100</v>
      </c>
      <c r="U782" s="53">
        <v>-100</v>
      </c>
      <c r="V782" s="53">
        <v>-18</v>
      </c>
      <c r="W782" s="53">
        <v>-118</v>
      </c>
      <c r="X782" s="27">
        <f t="shared" si="180"/>
        <v>-338.09999999999997</v>
      </c>
    </row>
    <row r="783" spans="1:24" x14ac:dyDescent="0.2">
      <c r="A783" s="220">
        <v>43808</v>
      </c>
      <c r="B783" s="130" t="s">
        <v>68</v>
      </c>
      <c r="C783" s="130" t="s">
        <v>102</v>
      </c>
      <c r="D783" s="130" t="s">
        <v>1537</v>
      </c>
      <c r="E783" s="130" t="s">
        <v>1915</v>
      </c>
      <c r="F783" s="130" t="s">
        <v>2300</v>
      </c>
      <c r="G783" s="220">
        <v>43802</v>
      </c>
      <c r="H783" s="130" t="s">
        <v>90</v>
      </c>
      <c r="I783" s="130" t="s">
        <v>91</v>
      </c>
      <c r="J783" s="130" t="s">
        <v>104</v>
      </c>
      <c r="K783" s="130" t="s">
        <v>105</v>
      </c>
      <c r="L783" s="174" t="s">
        <v>71</v>
      </c>
      <c r="M783" s="131" t="s">
        <v>72</v>
      </c>
      <c r="N783" s="130" t="s">
        <v>73</v>
      </c>
      <c r="O783" s="219" t="s">
        <v>69</v>
      </c>
      <c r="P783" s="130" t="s">
        <v>1699</v>
      </c>
      <c r="Q783" s="132" t="s">
        <v>93</v>
      </c>
      <c r="R783" s="221">
        <v>3.3809999999999998</v>
      </c>
      <c r="S783" s="53">
        <v>1</v>
      </c>
      <c r="T783" s="53">
        <v>0</v>
      </c>
      <c r="U783" s="53">
        <v>0</v>
      </c>
      <c r="V783" s="53">
        <v>0</v>
      </c>
      <c r="W783" s="53">
        <v>0</v>
      </c>
      <c r="X783" s="27">
        <f t="shared" si="180"/>
        <v>0</v>
      </c>
    </row>
    <row r="784" spans="1:24" x14ac:dyDescent="0.2">
      <c r="A784" s="220">
        <v>43808</v>
      </c>
      <c r="B784" s="130" t="s">
        <v>68</v>
      </c>
      <c r="C784" s="130" t="s">
        <v>102</v>
      </c>
      <c r="D784" s="130" t="s">
        <v>1575</v>
      </c>
      <c r="E784" s="130" t="s">
        <v>1916</v>
      </c>
      <c r="F784" s="130" t="s">
        <v>1769</v>
      </c>
      <c r="G784" s="220">
        <v>43802</v>
      </c>
      <c r="H784" s="130" t="s">
        <v>90</v>
      </c>
      <c r="I784" s="130" t="s">
        <v>91</v>
      </c>
      <c r="J784" s="130" t="s">
        <v>97</v>
      </c>
      <c r="K784" s="130" t="s">
        <v>98</v>
      </c>
      <c r="L784" s="174" t="s">
        <v>71</v>
      </c>
      <c r="M784" s="131" t="s">
        <v>72</v>
      </c>
      <c r="N784" s="130" t="s">
        <v>73</v>
      </c>
      <c r="O784" s="219" t="s">
        <v>99</v>
      </c>
      <c r="P784" s="130" t="s">
        <v>98</v>
      </c>
      <c r="Q784" s="132" t="s">
        <v>93</v>
      </c>
      <c r="R784" s="221">
        <v>3.3809999999999998</v>
      </c>
      <c r="S784" s="53">
        <v>1</v>
      </c>
      <c r="T784" s="53">
        <v>221.25419999999997</v>
      </c>
      <c r="U784" s="53">
        <v>221.25419999999997</v>
      </c>
      <c r="V784" s="53">
        <v>39.825789999999976</v>
      </c>
      <c r="W784" s="53">
        <v>261.07998999999995</v>
      </c>
      <c r="X784" s="27">
        <f t="shared" si="180"/>
        <v>748.06045019999988</v>
      </c>
    </row>
    <row r="785" spans="1:24" x14ac:dyDescent="0.2">
      <c r="A785" s="220">
        <v>43808</v>
      </c>
      <c r="B785" s="130" t="s">
        <v>68</v>
      </c>
      <c r="C785" s="130" t="s">
        <v>102</v>
      </c>
      <c r="D785" s="130" t="s">
        <v>1575</v>
      </c>
      <c r="E785" s="130" t="s">
        <v>1916</v>
      </c>
      <c r="F785" s="130" t="s">
        <v>1769</v>
      </c>
      <c r="G785" s="220">
        <v>43802</v>
      </c>
      <c r="H785" s="130" t="s">
        <v>90</v>
      </c>
      <c r="I785" s="130" t="s">
        <v>91</v>
      </c>
      <c r="J785" s="130" t="s">
        <v>100</v>
      </c>
      <c r="K785" s="130" t="s">
        <v>101</v>
      </c>
      <c r="L785" s="174" t="s">
        <v>71</v>
      </c>
      <c r="M785" s="131" t="s">
        <v>72</v>
      </c>
      <c r="N785" s="130" t="s">
        <v>73</v>
      </c>
      <c r="O785" s="219" t="s">
        <v>72</v>
      </c>
      <c r="P785" s="130" t="s">
        <v>101</v>
      </c>
      <c r="Q785" s="132" t="s">
        <v>93</v>
      </c>
      <c r="R785" s="221">
        <v>3.3809999999999998</v>
      </c>
      <c r="S785" s="53">
        <v>1</v>
      </c>
      <c r="T785" s="53">
        <v>165</v>
      </c>
      <c r="U785" s="53">
        <v>165</v>
      </c>
      <c r="V785" s="53">
        <v>29.7</v>
      </c>
      <c r="W785" s="53">
        <v>194.7</v>
      </c>
      <c r="X785" s="27">
        <f t="shared" si="180"/>
        <v>557.86500000000001</v>
      </c>
    </row>
    <row r="786" spans="1:24" x14ac:dyDescent="0.2">
      <c r="A786" s="220">
        <v>43808</v>
      </c>
      <c r="B786" s="130" t="s">
        <v>68</v>
      </c>
      <c r="C786" s="130" t="s">
        <v>102</v>
      </c>
      <c r="D786" s="130" t="s">
        <v>1575</v>
      </c>
      <c r="E786" s="130" t="s">
        <v>1916</v>
      </c>
      <c r="F786" s="130" t="s">
        <v>1769</v>
      </c>
      <c r="G786" s="220">
        <v>43802</v>
      </c>
      <c r="H786" s="130" t="s">
        <v>90</v>
      </c>
      <c r="I786" s="130" t="s">
        <v>91</v>
      </c>
      <c r="J786" s="130" t="s">
        <v>92</v>
      </c>
      <c r="K786" s="130" t="s">
        <v>113</v>
      </c>
      <c r="L786" s="174" t="s">
        <v>71</v>
      </c>
      <c r="M786" s="131" t="s">
        <v>72</v>
      </c>
      <c r="N786" s="130" t="s">
        <v>73</v>
      </c>
      <c r="O786" s="219" t="s">
        <v>69</v>
      </c>
      <c r="P786" s="130" t="s">
        <v>1699</v>
      </c>
      <c r="Q786" s="132" t="s">
        <v>93</v>
      </c>
      <c r="R786" s="221">
        <v>3.3809999999999998</v>
      </c>
      <c r="S786" s="53">
        <v>1</v>
      </c>
      <c r="T786" s="53">
        <v>10</v>
      </c>
      <c r="U786" s="53">
        <v>10</v>
      </c>
      <c r="V786" s="53">
        <v>1.8</v>
      </c>
      <c r="W786" s="53">
        <v>11.8</v>
      </c>
      <c r="X786" s="27">
        <f t="shared" si="180"/>
        <v>33.809999999999995</v>
      </c>
    </row>
    <row r="787" spans="1:24" x14ac:dyDescent="0.2">
      <c r="A787" s="220">
        <v>43808</v>
      </c>
      <c r="B787" s="130" t="s">
        <v>68</v>
      </c>
      <c r="C787" s="130" t="s">
        <v>102</v>
      </c>
      <c r="D787" s="130" t="s">
        <v>1575</v>
      </c>
      <c r="E787" s="130" t="s">
        <v>1916</v>
      </c>
      <c r="F787" s="130" t="s">
        <v>1769</v>
      </c>
      <c r="G787" s="220">
        <v>43802</v>
      </c>
      <c r="H787" s="130" t="s">
        <v>90</v>
      </c>
      <c r="I787" s="130" t="s">
        <v>91</v>
      </c>
      <c r="J787" s="130" t="s">
        <v>104</v>
      </c>
      <c r="K787" s="130" t="s">
        <v>105</v>
      </c>
      <c r="L787" s="174" t="s">
        <v>71</v>
      </c>
      <c r="M787" s="131" t="s">
        <v>72</v>
      </c>
      <c r="N787" s="130" t="s">
        <v>73</v>
      </c>
      <c r="O787" s="219" t="s">
        <v>69</v>
      </c>
      <c r="P787" s="130" t="s">
        <v>1699</v>
      </c>
      <c r="Q787" s="132" t="s">
        <v>93</v>
      </c>
      <c r="R787" s="221">
        <v>3.3809999999999998</v>
      </c>
      <c r="S787" s="53">
        <v>1</v>
      </c>
      <c r="T787" s="53">
        <v>0</v>
      </c>
      <c r="U787" s="53">
        <v>0</v>
      </c>
      <c r="V787" s="53">
        <v>0</v>
      </c>
      <c r="W787" s="53">
        <v>0</v>
      </c>
      <c r="X787" s="27">
        <f t="shared" si="180"/>
        <v>0</v>
      </c>
    </row>
    <row r="788" spans="1:24" x14ac:dyDescent="0.2">
      <c r="A788" s="220">
        <v>43808</v>
      </c>
      <c r="B788" s="130" t="s">
        <v>68</v>
      </c>
      <c r="C788" s="130" t="s">
        <v>102</v>
      </c>
      <c r="D788" s="130" t="s">
        <v>2301</v>
      </c>
      <c r="E788" s="130" t="s">
        <v>1915</v>
      </c>
      <c r="F788" s="130" t="s">
        <v>2300</v>
      </c>
      <c r="G788" s="220">
        <v>43802</v>
      </c>
      <c r="H788" s="130" t="s">
        <v>557</v>
      </c>
      <c r="I788" s="130" t="s">
        <v>556</v>
      </c>
      <c r="J788" s="130" t="s">
        <v>95</v>
      </c>
      <c r="K788" s="130" t="s">
        <v>96</v>
      </c>
      <c r="L788" s="174" t="s">
        <v>71</v>
      </c>
      <c r="M788" s="131" t="s">
        <v>72</v>
      </c>
      <c r="N788" s="130" t="s">
        <v>73</v>
      </c>
      <c r="O788" s="219" t="s">
        <v>69</v>
      </c>
      <c r="P788" s="130" t="s">
        <v>1699</v>
      </c>
      <c r="Q788" s="132" t="s">
        <v>93</v>
      </c>
      <c r="R788" s="221">
        <v>3.3809999999999998</v>
      </c>
      <c r="S788" s="53">
        <v>1</v>
      </c>
      <c r="T788" s="53">
        <v>100</v>
      </c>
      <c r="U788" s="53">
        <v>100</v>
      </c>
      <c r="V788" s="53">
        <v>18</v>
      </c>
      <c r="W788" s="53">
        <v>118</v>
      </c>
      <c r="X788" s="27">
        <f t="shared" si="180"/>
        <v>338.09999999999997</v>
      </c>
    </row>
    <row r="789" spans="1:24" x14ac:dyDescent="0.2">
      <c r="A789" s="220">
        <v>43808</v>
      </c>
      <c r="B789" s="130" t="s">
        <v>68</v>
      </c>
      <c r="C789" s="130" t="s">
        <v>102</v>
      </c>
      <c r="D789" s="130" t="s">
        <v>1553</v>
      </c>
      <c r="E789" s="130" t="s">
        <v>1913</v>
      </c>
      <c r="F789" s="130" t="s">
        <v>2300</v>
      </c>
      <c r="G789" s="220">
        <v>43802</v>
      </c>
      <c r="H789" s="130" t="s">
        <v>557</v>
      </c>
      <c r="I789" s="130" t="s">
        <v>556</v>
      </c>
      <c r="J789" s="130" t="s">
        <v>95</v>
      </c>
      <c r="K789" s="130" t="s">
        <v>96</v>
      </c>
      <c r="L789" s="174" t="s">
        <v>71</v>
      </c>
      <c r="M789" s="131" t="s">
        <v>72</v>
      </c>
      <c r="N789" s="130" t="s">
        <v>73</v>
      </c>
      <c r="O789" s="219" t="s">
        <v>69</v>
      </c>
      <c r="P789" s="130" t="s">
        <v>1699</v>
      </c>
      <c r="Q789" s="132" t="s">
        <v>93</v>
      </c>
      <c r="R789" s="221">
        <v>3.3809999999999998</v>
      </c>
      <c r="S789" s="53">
        <v>1</v>
      </c>
      <c r="T789" s="53">
        <v>100</v>
      </c>
      <c r="U789" s="53">
        <v>100</v>
      </c>
      <c r="V789" s="53">
        <v>18</v>
      </c>
      <c r="W789" s="53">
        <v>118</v>
      </c>
      <c r="X789" s="27">
        <f t="shared" si="180"/>
        <v>338.09999999999997</v>
      </c>
    </row>
    <row r="790" spans="1:24" x14ac:dyDescent="0.2">
      <c r="A790" s="220">
        <v>43808</v>
      </c>
      <c r="B790" s="130" t="s">
        <v>68</v>
      </c>
      <c r="C790" s="130" t="s">
        <v>102</v>
      </c>
      <c r="D790" s="130" t="s">
        <v>1550</v>
      </c>
      <c r="E790" s="130" t="s">
        <v>1913</v>
      </c>
      <c r="F790" s="130" t="s">
        <v>2300</v>
      </c>
      <c r="G790" s="220">
        <v>43802</v>
      </c>
      <c r="H790" s="130" t="s">
        <v>90</v>
      </c>
      <c r="I790" s="130" t="s">
        <v>91</v>
      </c>
      <c r="J790" s="130" t="s">
        <v>97</v>
      </c>
      <c r="K790" s="130" t="s">
        <v>98</v>
      </c>
      <c r="L790" s="174" t="s">
        <v>71</v>
      </c>
      <c r="M790" s="131" t="s">
        <v>72</v>
      </c>
      <c r="N790" s="130" t="s">
        <v>73</v>
      </c>
      <c r="O790" s="219" t="s">
        <v>99</v>
      </c>
      <c r="P790" s="130" t="s">
        <v>98</v>
      </c>
      <c r="Q790" s="132" t="s">
        <v>93</v>
      </c>
      <c r="R790" s="221">
        <v>3.3809999999999998</v>
      </c>
      <c r="S790" s="53">
        <v>1</v>
      </c>
      <c r="T790" s="53">
        <v>59</v>
      </c>
      <c r="U790" s="53">
        <v>59</v>
      </c>
      <c r="V790" s="53">
        <v>10.620002999999997</v>
      </c>
      <c r="W790" s="53">
        <v>69.620002999999997</v>
      </c>
      <c r="X790" s="27">
        <f t="shared" si="180"/>
        <v>199.47899999999998</v>
      </c>
    </row>
    <row r="791" spans="1:24" x14ac:dyDescent="0.2">
      <c r="A791" s="220">
        <v>43808</v>
      </c>
      <c r="B791" s="130" t="s">
        <v>68</v>
      </c>
      <c r="C791" s="130" t="s">
        <v>102</v>
      </c>
      <c r="D791" s="130" t="s">
        <v>1550</v>
      </c>
      <c r="E791" s="130" t="s">
        <v>1913</v>
      </c>
      <c r="F791" s="130" t="s">
        <v>2300</v>
      </c>
      <c r="G791" s="220">
        <v>43802</v>
      </c>
      <c r="H791" s="130" t="s">
        <v>90</v>
      </c>
      <c r="I791" s="130" t="s">
        <v>91</v>
      </c>
      <c r="J791" s="130" t="s">
        <v>100</v>
      </c>
      <c r="K791" s="130" t="s">
        <v>101</v>
      </c>
      <c r="L791" s="174" t="s">
        <v>71</v>
      </c>
      <c r="M791" s="131" t="s">
        <v>72</v>
      </c>
      <c r="N791" s="130" t="s">
        <v>73</v>
      </c>
      <c r="O791" s="219" t="s">
        <v>72</v>
      </c>
      <c r="P791" s="130" t="s">
        <v>101</v>
      </c>
      <c r="Q791" s="132" t="s">
        <v>93</v>
      </c>
      <c r="R791" s="221">
        <v>3.3809999999999998</v>
      </c>
      <c r="S791" s="53">
        <v>1</v>
      </c>
      <c r="T791" s="53">
        <v>30</v>
      </c>
      <c r="U791" s="53">
        <v>30</v>
      </c>
      <c r="V791" s="53">
        <v>5.4000019999999997</v>
      </c>
      <c r="W791" s="53">
        <v>35.400002000000001</v>
      </c>
      <c r="X791" s="27">
        <f t="shared" si="180"/>
        <v>101.42999999999999</v>
      </c>
    </row>
    <row r="792" spans="1:24" x14ac:dyDescent="0.2">
      <c r="A792" s="220">
        <v>43808</v>
      </c>
      <c r="B792" s="130" t="s">
        <v>68</v>
      </c>
      <c r="C792" s="130" t="s">
        <v>102</v>
      </c>
      <c r="D792" s="130" t="s">
        <v>1550</v>
      </c>
      <c r="E792" s="130" t="s">
        <v>1913</v>
      </c>
      <c r="F792" s="130" t="s">
        <v>2300</v>
      </c>
      <c r="G792" s="220">
        <v>43802</v>
      </c>
      <c r="H792" s="130" t="s">
        <v>90</v>
      </c>
      <c r="I792" s="130" t="s">
        <v>91</v>
      </c>
      <c r="J792" s="130" t="s">
        <v>92</v>
      </c>
      <c r="K792" s="130" t="s">
        <v>113</v>
      </c>
      <c r="L792" s="174" t="s">
        <v>71</v>
      </c>
      <c r="M792" s="131" t="s">
        <v>72</v>
      </c>
      <c r="N792" s="130" t="s">
        <v>73</v>
      </c>
      <c r="O792" s="219" t="s">
        <v>69</v>
      </c>
      <c r="P792" s="130" t="s">
        <v>1699</v>
      </c>
      <c r="Q792" s="132" t="s">
        <v>93</v>
      </c>
      <c r="R792" s="221">
        <v>3.3809999999999998</v>
      </c>
      <c r="S792" s="53">
        <v>1</v>
      </c>
      <c r="T792" s="53">
        <v>30</v>
      </c>
      <c r="U792" s="53">
        <v>30</v>
      </c>
      <c r="V792" s="53">
        <v>5.4000019999999997</v>
      </c>
      <c r="W792" s="53">
        <v>35.400002000000001</v>
      </c>
      <c r="X792" s="27">
        <f t="shared" si="180"/>
        <v>101.42999999999999</v>
      </c>
    </row>
    <row r="793" spans="1:24" x14ac:dyDescent="0.2">
      <c r="A793" s="220">
        <v>43808</v>
      </c>
      <c r="B793" s="130" t="s">
        <v>68</v>
      </c>
      <c r="C793" s="130" t="s">
        <v>102</v>
      </c>
      <c r="D793" s="130" t="s">
        <v>1550</v>
      </c>
      <c r="E793" s="130" t="s">
        <v>1913</v>
      </c>
      <c r="F793" s="130" t="s">
        <v>2300</v>
      </c>
      <c r="G793" s="220">
        <v>43802</v>
      </c>
      <c r="H793" s="130" t="s">
        <v>90</v>
      </c>
      <c r="I793" s="130" t="s">
        <v>91</v>
      </c>
      <c r="J793" s="130" t="s">
        <v>95</v>
      </c>
      <c r="K793" s="130" t="s">
        <v>96</v>
      </c>
      <c r="L793" s="174" t="s">
        <v>71</v>
      </c>
      <c r="M793" s="131" t="s">
        <v>72</v>
      </c>
      <c r="N793" s="130" t="s">
        <v>73</v>
      </c>
      <c r="O793" s="219" t="s">
        <v>69</v>
      </c>
      <c r="P793" s="130" t="s">
        <v>1699</v>
      </c>
      <c r="Q793" s="132" t="s">
        <v>93</v>
      </c>
      <c r="R793" s="221">
        <v>3.3809999999999998</v>
      </c>
      <c r="S793" s="53">
        <v>-1</v>
      </c>
      <c r="T793" s="53">
        <v>100</v>
      </c>
      <c r="U793" s="53">
        <v>-100</v>
      </c>
      <c r="V793" s="53">
        <v>-18</v>
      </c>
      <c r="W793" s="53">
        <v>-118</v>
      </c>
      <c r="X793" s="27">
        <f t="shared" si="180"/>
        <v>-338.09999999999997</v>
      </c>
    </row>
    <row r="794" spans="1:24" x14ac:dyDescent="0.2">
      <c r="A794" s="220">
        <v>43808</v>
      </c>
      <c r="B794" s="130" t="s">
        <v>68</v>
      </c>
      <c r="C794" s="130" t="s">
        <v>102</v>
      </c>
      <c r="D794" s="130" t="s">
        <v>1550</v>
      </c>
      <c r="E794" s="130" t="s">
        <v>1913</v>
      </c>
      <c r="F794" s="130" t="s">
        <v>2300</v>
      </c>
      <c r="G794" s="220">
        <v>43802</v>
      </c>
      <c r="H794" s="130" t="s">
        <v>90</v>
      </c>
      <c r="I794" s="130" t="s">
        <v>91</v>
      </c>
      <c r="J794" s="130" t="s">
        <v>104</v>
      </c>
      <c r="K794" s="130" t="s">
        <v>105</v>
      </c>
      <c r="L794" s="174" t="s">
        <v>71</v>
      </c>
      <c r="M794" s="131" t="s">
        <v>72</v>
      </c>
      <c r="N794" s="130" t="s">
        <v>73</v>
      </c>
      <c r="O794" s="219" t="s">
        <v>69</v>
      </c>
      <c r="P794" s="130" t="s">
        <v>1699</v>
      </c>
      <c r="Q794" s="132" t="s">
        <v>93</v>
      </c>
      <c r="R794" s="221">
        <v>3.3809999999999998</v>
      </c>
      <c r="S794" s="53">
        <v>1</v>
      </c>
      <c r="T794" s="53">
        <v>0</v>
      </c>
      <c r="U794" s="53">
        <v>0</v>
      </c>
      <c r="V794" s="53">
        <v>0</v>
      </c>
      <c r="W794" s="53">
        <v>0</v>
      </c>
      <c r="X794" s="27">
        <f t="shared" si="180"/>
        <v>0</v>
      </c>
    </row>
    <row r="795" spans="1:24" x14ac:dyDescent="0.2">
      <c r="A795" s="220">
        <v>43808</v>
      </c>
      <c r="B795" s="130" t="s">
        <v>68</v>
      </c>
      <c r="C795" s="130" t="s">
        <v>102</v>
      </c>
      <c r="D795" s="130" t="s">
        <v>1555</v>
      </c>
      <c r="E795" s="130" t="s">
        <v>1915</v>
      </c>
      <c r="F795" s="130" t="s">
        <v>2300</v>
      </c>
      <c r="G795" s="220">
        <v>43802</v>
      </c>
      <c r="H795" s="130" t="s">
        <v>90</v>
      </c>
      <c r="I795" s="130" t="s">
        <v>91</v>
      </c>
      <c r="J795" s="130" t="s">
        <v>97</v>
      </c>
      <c r="K795" s="130" t="s">
        <v>98</v>
      </c>
      <c r="L795" s="174" t="s">
        <v>71</v>
      </c>
      <c r="M795" s="131" t="s">
        <v>72</v>
      </c>
      <c r="N795" s="130" t="s">
        <v>73</v>
      </c>
      <c r="O795" s="219" t="s">
        <v>99</v>
      </c>
      <c r="P795" s="130" t="s">
        <v>98</v>
      </c>
      <c r="Q795" s="132" t="s">
        <v>93</v>
      </c>
      <c r="R795" s="221">
        <v>3.3809999999999998</v>
      </c>
      <c r="S795" s="53">
        <v>1</v>
      </c>
      <c r="T795" s="53">
        <v>118</v>
      </c>
      <c r="U795" s="53">
        <v>118</v>
      </c>
      <c r="V795" s="53">
        <v>21.240010000000019</v>
      </c>
      <c r="W795" s="53">
        <v>139.24001000000001</v>
      </c>
      <c r="X795" s="27">
        <f t="shared" si="180"/>
        <v>398.95799999999997</v>
      </c>
    </row>
    <row r="796" spans="1:24" x14ac:dyDescent="0.2">
      <c r="A796" s="220">
        <v>43808</v>
      </c>
      <c r="B796" s="130" t="s">
        <v>68</v>
      </c>
      <c r="C796" s="130" t="s">
        <v>102</v>
      </c>
      <c r="D796" s="130" t="s">
        <v>1555</v>
      </c>
      <c r="E796" s="130" t="s">
        <v>1915</v>
      </c>
      <c r="F796" s="130" t="s">
        <v>2300</v>
      </c>
      <c r="G796" s="220">
        <v>43802</v>
      </c>
      <c r="H796" s="130" t="s">
        <v>90</v>
      </c>
      <c r="I796" s="130" t="s">
        <v>91</v>
      </c>
      <c r="J796" s="130" t="s">
        <v>100</v>
      </c>
      <c r="K796" s="130" t="s">
        <v>101</v>
      </c>
      <c r="L796" s="174" t="s">
        <v>71</v>
      </c>
      <c r="M796" s="131" t="s">
        <v>72</v>
      </c>
      <c r="N796" s="130" t="s">
        <v>73</v>
      </c>
      <c r="O796" s="219" t="s">
        <v>72</v>
      </c>
      <c r="P796" s="130" t="s">
        <v>101</v>
      </c>
      <c r="Q796" s="132" t="s">
        <v>93</v>
      </c>
      <c r="R796" s="221">
        <v>3.3809999999999998</v>
      </c>
      <c r="S796" s="53">
        <v>1</v>
      </c>
      <c r="T796" s="53">
        <v>75</v>
      </c>
      <c r="U796" s="53">
        <v>75</v>
      </c>
      <c r="V796" s="53">
        <v>13.5</v>
      </c>
      <c r="W796" s="53">
        <v>88.5</v>
      </c>
      <c r="X796" s="27">
        <f t="shared" si="180"/>
        <v>253.57499999999999</v>
      </c>
    </row>
    <row r="797" spans="1:24" x14ac:dyDescent="0.2">
      <c r="A797" s="220">
        <v>43808</v>
      </c>
      <c r="B797" s="130" t="s">
        <v>68</v>
      </c>
      <c r="C797" s="130" t="s">
        <v>102</v>
      </c>
      <c r="D797" s="130" t="s">
        <v>1555</v>
      </c>
      <c r="E797" s="130" t="s">
        <v>1915</v>
      </c>
      <c r="F797" s="130" t="s">
        <v>2300</v>
      </c>
      <c r="G797" s="220">
        <v>43802</v>
      </c>
      <c r="H797" s="130" t="s">
        <v>90</v>
      </c>
      <c r="I797" s="130" t="s">
        <v>91</v>
      </c>
      <c r="J797" s="130" t="s">
        <v>95</v>
      </c>
      <c r="K797" s="130" t="s">
        <v>96</v>
      </c>
      <c r="L797" s="174" t="s">
        <v>71</v>
      </c>
      <c r="M797" s="131" t="s">
        <v>72</v>
      </c>
      <c r="N797" s="130" t="s">
        <v>73</v>
      </c>
      <c r="O797" s="219" t="s">
        <v>69</v>
      </c>
      <c r="P797" s="130" t="s">
        <v>1699</v>
      </c>
      <c r="Q797" s="132" t="s">
        <v>93</v>
      </c>
      <c r="R797" s="221">
        <v>3.3809999999999998</v>
      </c>
      <c r="S797" s="53">
        <v>-1</v>
      </c>
      <c r="T797" s="53">
        <v>100</v>
      </c>
      <c r="U797" s="53">
        <v>-100</v>
      </c>
      <c r="V797" s="53">
        <v>-18</v>
      </c>
      <c r="W797" s="53">
        <v>-118</v>
      </c>
      <c r="X797" s="27">
        <f t="shared" si="180"/>
        <v>-338.09999999999997</v>
      </c>
    </row>
    <row r="798" spans="1:24" x14ac:dyDescent="0.2">
      <c r="A798" s="220">
        <v>43808</v>
      </c>
      <c r="B798" s="130" t="s">
        <v>68</v>
      </c>
      <c r="C798" s="130" t="s">
        <v>102</v>
      </c>
      <c r="D798" s="130" t="s">
        <v>1555</v>
      </c>
      <c r="E798" s="130" t="s">
        <v>1915</v>
      </c>
      <c r="F798" s="130" t="s">
        <v>2300</v>
      </c>
      <c r="G798" s="220">
        <v>43802</v>
      </c>
      <c r="H798" s="130" t="s">
        <v>90</v>
      </c>
      <c r="I798" s="130" t="s">
        <v>91</v>
      </c>
      <c r="J798" s="130" t="s">
        <v>104</v>
      </c>
      <c r="K798" s="130" t="s">
        <v>105</v>
      </c>
      <c r="L798" s="174" t="s">
        <v>71</v>
      </c>
      <c r="M798" s="131" t="s">
        <v>72</v>
      </c>
      <c r="N798" s="130" t="s">
        <v>73</v>
      </c>
      <c r="O798" s="219" t="s">
        <v>69</v>
      </c>
      <c r="P798" s="130" t="s">
        <v>1699</v>
      </c>
      <c r="Q798" s="132" t="s">
        <v>93</v>
      </c>
      <c r="R798" s="221">
        <v>3.3809999999999998</v>
      </c>
      <c r="S798" s="53">
        <v>1</v>
      </c>
      <c r="T798" s="53">
        <v>0</v>
      </c>
      <c r="U798" s="53">
        <v>0</v>
      </c>
      <c r="V798" s="53">
        <v>0</v>
      </c>
      <c r="W798" s="53">
        <v>0</v>
      </c>
      <c r="X798" s="27">
        <f t="shared" si="180"/>
        <v>0</v>
      </c>
    </row>
    <row r="799" spans="1:24" x14ac:dyDescent="0.2">
      <c r="A799" s="220">
        <v>43809</v>
      </c>
      <c r="B799" s="130" t="s">
        <v>68</v>
      </c>
      <c r="C799" s="130" t="s">
        <v>102</v>
      </c>
      <c r="D799" s="130" t="s">
        <v>1606</v>
      </c>
      <c r="E799" s="130" t="s">
        <v>936</v>
      </c>
      <c r="F799" s="130" t="s">
        <v>937</v>
      </c>
      <c r="G799" s="220">
        <v>43766</v>
      </c>
      <c r="H799" s="130" t="s">
        <v>387</v>
      </c>
      <c r="I799" s="130" t="s">
        <v>386</v>
      </c>
      <c r="J799" s="130" t="s">
        <v>97</v>
      </c>
      <c r="K799" s="130" t="s">
        <v>98</v>
      </c>
      <c r="L799" s="174" t="s">
        <v>71</v>
      </c>
      <c r="M799" s="131" t="s">
        <v>72</v>
      </c>
      <c r="N799" s="130" t="s">
        <v>73</v>
      </c>
      <c r="O799" s="219" t="s">
        <v>99</v>
      </c>
      <c r="P799" s="130" t="s">
        <v>98</v>
      </c>
      <c r="Q799" s="132" t="s">
        <v>74</v>
      </c>
      <c r="R799" s="221">
        <v>3.3800001000000002</v>
      </c>
      <c r="S799" s="53">
        <v>1</v>
      </c>
      <c r="T799" s="53">
        <v>1822.5</v>
      </c>
      <c r="U799" s="53">
        <v>1822.5</v>
      </c>
      <c r="V799" s="53">
        <v>328.05</v>
      </c>
      <c r="W799" s="53">
        <v>2150.5500000000002</v>
      </c>
      <c r="X799" s="27">
        <f t="shared" si="180"/>
        <v>1822.5</v>
      </c>
    </row>
    <row r="800" spans="1:24" x14ac:dyDescent="0.2">
      <c r="A800" s="220">
        <v>43809</v>
      </c>
      <c r="B800" s="130" t="s">
        <v>68</v>
      </c>
      <c r="C800" s="130" t="s">
        <v>102</v>
      </c>
      <c r="D800" s="130" t="s">
        <v>1606</v>
      </c>
      <c r="E800" s="130" t="s">
        <v>936</v>
      </c>
      <c r="F800" s="130" t="s">
        <v>937</v>
      </c>
      <c r="G800" s="220">
        <v>43766</v>
      </c>
      <c r="H800" s="130" t="s">
        <v>387</v>
      </c>
      <c r="I800" s="130" t="s">
        <v>386</v>
      </c>
      <c r="J800" s="130" t="s">
        <v>100</v>
      </c>
      <c r="K800" s="130" t="s">
        <v>101</v>
      </c>
      <c r="L800" s="174" t="s">
        <v>71</v>
      </c>
      <c r="M800" s="131" t="s">
        <v>72</v>
      </c>
      <c r="N800" s="130" t="s">
        <v>73</v>
      </c>
      <c r="O800" s="219" t="s">
        <v>72</v>
      </c>
      <c r="P800" s="130" t="s">
        <v>101</v>
      </c>
      <c r="Q800" s="132" t="s">
        <v>74</v>
      </c>
      <c r="R800" s="221">
        <v>3.3800001000000002</v>
      </c>
      <c r="S800" s="53">
        <v>1</v>
      </c>
      <c r="T800" s="53">
        <v>875</v>
      </c>
      <c r="U800" s="53">
        <v>875</v>
      </c>
      <c r="V800" s="53">
        <v>157.5</v>
      </c>
      <c r="W800" s="53">
        <v>1032.5</v>
      </c>
      <c r="X800" s="27">
        <f t="shared" si="180"/>
        <v>875</v>
      </c>
    </row>
    <row r="801" spans="1:24" x14ac:dyDescent="0.2">
      <c r="A801" s="220">
        <v>43809</v>
      </c>
      <c r="B801" s="130" t="s">
        <v>68</v>
      </c>
      <c r="C801" s="130" t="s">
        <v>102</v>
      </c>
      <c r="D801" s="130" t="s">
        <v>1606</v>
      </c>
      <c r="E801" s="130" t="s">
        <v>936</v>
      </c>
      <c r="F801" s="130" t="s">
        <v>937</v>
      </c>
      <c r="G801" s="220">
        <v>43766</v>
      </c>
      <c r="H801" s="130" t="s">
        <v>387</v>
      </c>
      <c r="I801" s="130" t="s">
        <v>386</v>
      </c>
      <c r="J801" s="130" t="s">
        <v>92</v>
      </c>
      <c r="K801" s="130" t="s">
        <v>113</v>
      </c>
      <c r="L801" s="174" t="s">
        <v>71</v>
      </c>
      <c r="M801" s="131" t="s">
        <v>72</v>
      </c>
      <c r="N801" s="130" t="s">
        <v>73</v>
      </c>
      <c r="O801" s="219" t="s">
        <v>69</v>
      </c>
      <c r="P801" s="130" t="s">
        <v>1699</v>
      </c>
      <c r="Q801" s="132" t="s">
        <v>74</v>
      </c>
      <c r="R801" s="221">
        <v>3.3800001000000002</v>
      </c>
      <c r="S801" s="53">
        <v>1</v>
      </c>
      <c r="T801" s="53">
        <v>1185</v>
      </c>
      <c r="U801" s="53">
        <v>1185</v>
      </c>
      <c r="V801" s="53">
        <v>213.3</v>
      </c>
      <c r="W801" s="53">
        <v>1398.3</v>
      </c>
      <c r="X801" s="27">
        <f t="shared" si="180"/>
        <v>1185</v>
      </c>
    </row>
    <row r="802" spans="1:24" x14ac:dyDescent="0.2">
      <c r="A802" s="220">
        <v>43809</v>
      </c>
      <c r="B802" s="130" t="s">
        <v>68</v>
      </c>
      <c r="C802" s="130" t="s">
        <v>102</v>
      </c>
      <c r="D802" s="130" t="s">
        <v>1606</v>
      </c>
      <c r="E802" s="130" t="s">
        <v>936</v>
      </c>
      <c r="F802" s="130" t="s">
        <v>937</v>
      </c>
      <c r="G802" s="220">
        <v>43766</v>
      </c>
      <c r="H802" s="130" t="s">
        <v>387</v>
      </c>
      <c r="I802" s="130" t="s">
        <v>386</v>
      </c>
      <c r="J802" s="130" t="s">
        <v>132</v>
      </c>
      <c r="K802" s="130" t="s">
        <v>133</v>
      </c>
      <c r="L802" s="174" t="s">
        <v>71</v>
      </c>
      <c r="M802" s="131" t="s">
        <v>72</v>
      </c>
      <c r="N802" s="130" t="s">
        <v>73</v>
      </c>
      <c r="O802" s="219" t="s">
        <v>69</v>
      </c>
      <c r="P802" s="130" t="s">
        <v>1699</v>
      </c>
      <c r="Q802" s="132" t="s">
        <v>74</v>
      </c>
      <c r="R802" s="221">
        <v>3.3800001000000002</v>
      </c>
      <c r="S802" s="53">
        <v>1</v>
      </c>
      <c r="T802" s="53">
        <v>1512</v>
      </c>
      <c r="U802" s="53">
        <v>1512</v>
      </c>
      <c r="V802" s="53">
        <v>272.16000000000003</v>
      </c>
      <c r="W802" s="53">
        <v>1784.16</v>
      </c>
      <c r="X802" s="27">
        <f t="shared" si="180"/>
        <v>1512</v>
      </c>
    </row>
    <row r="803" spans="1:24" x14ac:dyDescent="0.2">
      <c r="A803" s="220">
        <v>43809</v>
      </c>
      <c r="B803" s="130" t="s">
        <v>68</v>
      </c>
      <c r="C803" s="130" t="s">
        <v>102</v>
      </c>
      <c r="D803" s="130" t="s">
        <v>1606</v>
      </c>
      <c r="E803" s="130" t="s">
        <v>936</v>
      </c>
      <c r="F803" s="130" t="s">
        <v>937</v>
      </c>
      <c r="G803" s="220">
        <v>43766</v>
      </c>
      <c r="H803" s="130" t="s">
        <v>387</v>
      </c>
      <c r="I803" s="130" t="s">
        <v>386</v>
      </c>
      <c r="J803" s="130" t="s">
        <v>139</v>
      </c>
      <c r="K803" s="130" t="s">
        <v>1775</v>
      </c>
      <c r="L803" s="174" t="s">
        <v>71</v>
      </c>
      <c r="M803" s="131" t="s">
        <v>72</v>
      </c>
      <c r="N803" s="130" t="s">
        <v>73</v>
      </c>
      <c r="O803" s="219" t="s">
        <v>69</v>
      </c>
      <c r="P803" s="130" t="s">
        <v>1699</v>
      </c>
      <c r="Q803" s="132" t="s">
        <v>74</v>
      </c>
      <c r="R803" s="221">
        <v>3.3800001000000002</v>
      </c>
      <c r="S803" s="53">
        <v>1</v>
      </c>
      <c r="T803" s="53">
        <v>110</v>
      </c>
      <c r="U803" s="53">
        <v>110</v>
      </c>
      <c r="V803" s="53">
        <v>19.8</v>
      </c>
      <c r="W803" s="53">
        <v>129.80000000000001</v>
      </c>
      <c r="X803" s="27">
        <f t="shared" si="180"/>
        <v>110</v>
      </c>
    </row>
    <row r="804" spans="1:24" x14ac:dyDescent="0.2">
      <c r="A804" s="220">
        <v>43809</v>
      </c>
      <c r="B804" s="130" t="s">
        <v>68</v>
      </c>
      <c r="C804" s="130" t="s">
        <v>102</v>
      </c>
      <c r="D804" s="130" t="s">
        <v>1606</v>
      </c>
      <c r="E804" s="130" t="s">
        <v>936</v>
      </c>
      <c r="F804" s="130" t="s">
        <v>937</v>
      </c>
      <c r="G804" s="220">
        <v>43766</v>
      </c>
      <c r="H804" s="130" t="s">
        <v>387</v>
      </c>
      <c r="I804" s="130" t="s">
        <v>386</v>
      </c>
      <c r="J804" s="130" t="s">
        <v>139</v>
      </c>
      <c r="K804" s="130" t="s">
        <v>109</v>
      </c>
      <c r="L804" s="174" t="s">
        <v>71</v>
      </c>
      <c r="M804" s="131" t="s">
        <v>72</v>
      </c>
      <c r="N804" s="130" t="s">
        <v>73</v>
      </c>
      <c r="O804" s="219" t="s">
        <v>69</v>
      </c>
      <c r="P804" s="130" t="s">
        <v>1699</v>
      </c>
      <c r="Q804" s="132" t="s">
        <v>74</v>
      </c>
      <c r="R804" s="221">
        <v>3.3800001000000002</v>
      </c>
      <c r="S804" s="53">
        <v>6</v>
      </c>
      <c r="T804" s="53">
        <v>35</v>
      </c>
      <c r="U804" s="53">
        <v>210</v>
      </c>
      <c r="V804" s="53">
        <v>37.799993999999941</v>
      </c>
      <c r="W804" s="53">
        <v>247.79999399999994</v>
      </c>
      <c r="X804" s="27">
        <f t="shared" si="180"/>
        <v>210</v>
      </c>
    </row>
    <row r="805" spans="1:24" x14ac:dyDescent="0.2">
      <c r="A805" s="220">
        <v>43809</v>
      </c>
      <c r="B805" s="130" t="s">
        <v>68</v>
      </c>
      <c r="C805" s="130" t="s">
        <v>102</v>
      </c>
      <c r="D805" s="130" t="s">
        <v>1606</v>
      </c>
      <c r="E805" s="130" t="s">
        <v>936</v>
      </c>
      <c r="F805" s="130" t="s">
        <v>937</v>
      </c>
      <c r="G805" s="220">
        <v>43766</v>
      </c>
      <c r="H805" s="130" t="s">
        <v>387</v>
      </c>
      <c r="I805" s="130" t="s">
        <v>386</v>
      </c>
      <c r="J805" s="130" t="s">
        <v>139</v>
      </c>
      <c r="K805" s="130" t="s">
        <v>1774</v>
      </c>
      <c r="L805" s="174" t="s">
        <v>71</v>
      </c>
      <c r="M805" s="131" t="s">
        <v>72</v>
      </c>
      <c r="N805" s="130" t="s">
        <v>73</v>
      </c>
      <c r="O805" s="219" t="s">
        <v>69</v>
      </c>
      <c r="P805" s="130" t="s">
        <v>1699</v>
      </c>
      <c r="Q805" s="132" t="s">
        <v>74</v>
      </c>
      <c r="R805" s="221">
        <v>3.3800001000000002</v>
      </c>
      <c r="S805" s="53">
        <v>2</v>
      </c>
      <c r="T805" s="53">
        <v>70</v>
      </c>
      <c r="U805" s="53">
        <v>140</v>
      </c>
      <c r="V805" s="53">
        <v>25.199995999999956</v>
      </c>
      <c r="W805" s="53">
        <v>165.19999599999994</v>
      </c>
      <c r="X805" s="27">
        <f t="shared" si="180"/>
        <v>140</v>
      </c>
    </row>
    <row r="806" spans="1:24" x14ac:dyDescent="0.2">
      <c r="A806" s="220">
        <v>43809</v>
      </c>
      <c r="B806" s="130" t="s">
        <v>68</v>
      </c>
      <c r="C806" s="130" t="s">
        <v>102</v>
      </c>
      <c r="D806" s="130" t="s">
        <v>1606</v>
      </c>
      <c r="E806" s="130" t="s">
        <v>936</v>
      </c>
      <c r="F806" s="130" t="s">
        <v>937</v>
      </c>
      <c r="G806" s="220">
        <v>43766</v>
      </c>
      <c r="H806" s="130" t="s">
        <v>387</v>
      </c>
      <c r="I806" s="130" t="s">
        <v>386</v>
      </c>
      <c r="J806" s="130" t="s">
        <v>70</v>
      </c>
      <c r="K806" s="130" t="s">
        <v>112</v>
      </c>
      <c r="L806" s="174" t="s">
        <v>71</v>
      </c>
      <c r="M806" s="131" t="s">
        <v>72</v>
      </c>
      <c r="N806" s="130" t="s">
        <v>73</v>
      </c>
      <c r="O806" s="219" t="s">
        <v>69</v>
      </c>
      <c r="P806" s="130" t="s">
        <v>1699</v>
      </c>
      <c r="Q806" s="132" t="s">
        <v>74</v>
      </c>
      <c r="R806" s="221">
        <v>3.3800001000000002</v>
      </c>
      <c r="S806" s="53">
        <v>1</v>
      </c>
      <c r="T806" s="53">
        <v>743.75420999999972</v>
      </c>
      <c r="U806" s="53">
        <v>743.75420999999972</v>
      </c>
      <c r="V806" s="53">
        <v>133.87579000000028</v>
      </c>
      <c r="W806" s="53">
        <v>877.63</v>
      </c>
      <c r="X806" s="27">
        <f t="shared" si="180"/>
        <v>743.75420999999972</v>
      </c>
    </row>
    <row r="807" spans="1:24" x14ac:dyDescent="0.2">
      <c r="A807" s="220">
        <v>43809</v>
      </c>
      <c r="B807" s="130" t="s">
        <v>68</v>
      </c>
      <c r="C807" s="130" t="s">
        <v>102</v>
      </c>
      <c r="D807" s="130" t="s">
        <v>1606</v>
      </c>
      <c r="E807" s="130" t="s">
        <v>936</v>
      </c>
      <c r="F807" s="130" t="s">
        <v>937</v>
      </c>
      <c r="G807" s="220">
        <v>43766</v>
      </c>
      <c r="H807" s="130" t="s">
        <v>387</v>
      </c>
      <c r="I807" s="130" t="s">
        <v>386</v>
      </c>
      <c r="J807" s="130" t="s">
        <v>104</v>
      </c>
      <c r="K807" s="130" t="s">
        <v>105</v>
      </c>
      <c r="L807" s="174" t="s">
        <v>71</v>
      </c>
      <c r="M807" s="131" t="s">
        <v>72</v>
      </c>
      <c r="N807" s="130" t="s">
        <v>73</v>
      </c>
      <c r="O807" s="219" t="s">
        <v>69</v>
      </c>
      <c r="P807" s="130" t="s">
        <v>1699</v>
      </c>
      <c r="Q807" s="132" t="s">
        <v>74</v>
      </c>
      <c r="R807" s="221">
        <v>3.3800001000000002</v>
      </c>
      <c r="S807" s="53">
        <v>1</v>
      </c>
      <c r="T807" s="53">
        <v>1607</v>
      </c>
      <c r="U807" s="53">
        <v>1607</v>
      </c>
      <c r="V807" s="53">
        <v>289.26</v>
      </c>
      <c r="W807" s="53">
        <v>1896.26</v>
      </c>
      <c r="X807" s="27">
        <f t="shared" si="180"/>
        <v>1607</v>
      </c>
    </row>
    <row r="808" spans="1:24" x14ac:dyDescent="0.2">
      <c r="A808" s="220">
        <v>43809</v>
      </c>
      <c r="B808" s="130" t="s">
        <v>68</v>
      </c>
      <c r="C808" s="130" t="s">
        <v>102</v>
      </c>
      <c r="D808" s="130" t="s">
        <v>2302</v>
      </c>
      <c r="E808" s="130" t="s">
        <v>1011</v>
      </c>
      <c r="F808" s="130" t="s">
        <v>1012</v>
      </c>
      <c r="G808" s="220">
        <v>43775</v>
      </c>
      <c r="H808" s="130" t="s">
        <v>387</v>
      </c>
      <c r="I808" s="130" t="s">
        <v>386</v>
      </c>
      <c r="J808" s="130" t="s">
        <v>97</v>
      </c>
      <c r="K808" s="130" t="s">
        <v>98</v>
      </c>
      <c r="L808" s="174" t="s">
        <v>71</v>
      </c>
      <c r="M808" s="131" t="s">
        <v>72</v>
      </c>
      <c r="N808" s="130" t="s">
        <v>73</v>
      </c>
      <c r="O808" s="219" t="s">
        <v>99</v>
      </c>
      <c r="P808" s="130" t="s">
        <v>98</v>
      </c>
      <c r="Q808" s="132" t="s">
        <v>74</v>
      </c>
      <c r="R808" s="221">
        <v>3.3800001000000002</v>
      </c>
      <c r="S808" s="53">
        <v>1</v>
      </c>
      <c r="T808" s="53">
        <v>2700</v>
      </c>
      <c r="U808" s="53">
        <v>2700</v>
      </c>
      <c r="V808" s="53">
        <v>486</v>
      </c>
      <c r="W808" s="53">
        <v>3186</v>
      </c>
      <c r="X808" s="27">
        <f t="shared" si="180"/>
        <v>2700</v>
      </c>
    </row>
    <row r="809" spans="1:24" x14ac:dyDescent="0.2">
      <c r="A809" s="220">
        <v>43809</v>
      </c>
      <c r="B809" s="130" t="s">
        <v>68</v>
      </c>
      <c r="C809" s="130" t="s">
        <v>102</v>
      </c>
      <c r="D809" s="130" t="s">
        <v>2302</v>
      </c>
      <c r="E809" s="130" t="s">
        <v>1011</v>
      </c>
      <c r="F809" s="130" t="s">
        <v>1012</v>
      </c>
      <c r="G809" s="220">
        <v>43775</v>
      </c>
      <c r="H809" s="130" t="s">
        <v>387</v>
      </c>
      <c r="I809" s="130" t="s">
        <v>386</v>
      </c>
      <c r="J809" s="130" t="s">
        <v>100</v>
      </c>
      <c r="K809" s="130" t="s">
        <v>101</v>
      </c>
      <c r="L809" s="174" t="s">
        <v>71</v>
      </c>
      <c r="M809" s="131" t="s">
        <v>72</v>
      </c>
      <c r="N809" s="130" t="s">
        <v>73</v>
      </c>
      <c r="O809" s="219" t="s">
        <v>72</v>
      </c>
      <c r="P809" s="130" t="s">
        <v>101</v>
      </c>
      <c r="Q809" s="132" t="s">
        <v>74</v>
      </c>
      <c r="R809" s="221">
        <v>3.3800001000000002</v>
      </c>
      <c r="S809" s="53">
        <v>1</v>
      </c>
      <c r="T809" s="53">
        <v>1575</v>
      </c>
      <c r="U809" s="53">
        <v>1575</v>
      </c>
      <c r="V809" s="53">
        <v>283.5</v>
      </c>
      <c r="W809" s="53">
        <v>1858.5</v>
      </c>
      <c r="X809" s="27">
        <f t="shared" si="180"/>
        <v>1575</v>
      </c>
    </row>
    <row r="810" spans="1:24" x14ac:dyDescent="0.2">
      <c r="A810" s="220">
        <v>43809</v>
      </c>
      <c r="B810" s="130" t="s">
        <v>68</v>
      </c>
      <c r="C810" s="130" t="s">
        <v>102</v>
      </c>
      <c r="D810" s="130" t="s">
        <v>2302</v>
      </c>
      <c r="E810" s="130" t="s">
        <v>1011</v>
      </c>
      <c r="F810" s="130" t="s">
        <v>1012</v>
      </c>
      <c r="G810" s="220">
        <v>43775</v>
      </c>
      <c r="H810" s="130" t="s">
        <v>387</v>
      </c>
      <c r="I810" s="130" t="s">
        <v>386</v>
      </c>
      <c r="J810" s="130" t="s">
        <v>92</v>
      </c>
      <c r="K810" s="130" t="s">
        <v>113</v>
      </c>
      <c r="L810" s="174" t="s">
        <v>71</v>
      </c>
      <c r="M810" s="131" t="s">
        <v>72</v>
      </c>
      <c r="N810" s="130" t="s">
        <v>73</v>
      </c>
      <c r="O810" s="219" t="s">
        <v>69</v>
      </c>
      <c r="P810" s="130" t="s">
        <v>1699</v>
      </c>
      <c r="Q810" s="132" t="s">
        <v>74</v>
      </c>
      <c r="R810" s="221">
        <v>3.3800001000000002</v>
      </c>
      <c r="S810" s="53">
        <v>1</v>
      </c>
      <c r="T810" s="53">
        <v>890</v>
      </c>
      <c r="U810" s="53">
        <v>890</v>
      </c>
      <c r="V810" s="53">
        <v>160.19999999999999</v>
      </c>
      <c r="W810" s="53">
        <v>1050.2</v>
      </c>
      <c r="X810" s="27">
        <f t="shared" si="180"/>
        <v>890</v>
      </c>
    </row>
    <row r="811" spans="1:24" x14ac:dyDescent="0.2">
      <c r="A811" s="220">
        <v>43809</v>
      </c>
      <c r="B811" s="130" t="s">
        <v>68</v>
      </c>
      <c r="C811" s="130" t="s">
        <v>102</v>
      </c>
      <c r="D811" s="130" t="s">
        <v>2302</v>
      </c>
      <c r="E811" s="130" t="s">
        <v>1011</v>
      </c>
      <c r="F811" s="130" t="s">
        <v>1012</v>
      </c>
      <c r="G811" s="220">
        <v>43775</v>
      </c>
      <c r="H811" s="130" t="s">
        <v>387</v>
      </c>
      <c r="I811" s="130" t="s">
        <v>386</v>
      </c>
      <c r="J811" s="130" t="s">
        <v>132</v>
      </c>
      <c r="K811" s="130" t="s">
        <v>1772</v>
      </c>
      <c r="L811" s="174" t="s">
        <v>71</v>
      </c>
      <c r="M811" s="131" t="s">
        <v>72</v>
      </c>
      <c r="N811" s="130" t="s">
        <v>73</v>
      </c>
      <c r="O811" s="219" t="s">
        <v>69</v>
      </c>
      <c r="P811" s="130" t="s">
        <v>1699</v>
      </c>
      <c r="Q811" s="132" t="s">
        <v>74</v>
      </c>
      <c r="R811" s="221">
        <v>3.3800001000000002</v>
      </c>
      <c r="S811" s="53">
        <v>1</v>
      </c>
      <c r="T811" s="53">
        <v>730</v>
      </c>
      <c r="U811" s="53">
        <v>730</v>
      </c>
      <c r="V811" s="53">
        <v>131.40002000000021</v>
      </c>
      <c r="W811" s="53">
        <v>861.40002000000027</v>
      </c>
      <c r="X811" s="27">
        <f t="shared" si="180"/>
        <v>730</v>
      </c>
    </row>
    <row r="812" spans="1:24" x14ac:dyDescent="0.2">
      <c r="A812" s="220">
        <v>43809</v>
      </c>
      <c r="B812" s="130" t="s">
        <v>68</v>
      </c>
      <c r="C812" s="130" t="s">
        <v>102</v>
      </c>
      <c r="D812" s="130" t="s">
        <v>2302</v>
      </c>
      <c r="E812" s="130" t="s">
        <v>1011</v>
      </c>
      <c r="F812" s="130" t="s">
        <v>1012</v>
      </c>
      <c r="G812" s="220">
        <v>43775</v>
      </c>
      <c r="H812" s="130" t="s">
        <v>387</v>
      </c>
      <c r="I812" s="130" t="s">
        <v>386</v>
      </c>
      <c r="J812" s="130" t="s">
        <v>70</v>
      </c>
      <c r="K812" s="130" t="s">
        <v>112</v>
      </c>
      <c r="L812" s="174" t="s">
        <v>71</v>
      </c>
      <c r="M812" s="131" t="s">
        <v>72</v>
      </c>
      <c r="N812" s="130" t="s">
        <v>73</v>
      </c>
      <c r="O812" s="219" t="s">
        <v>69</v>
      </c>
      <c r="P812" s="130" t="s">
        <v>1699</v>
      </c>
      <c r="Q812" s="132" t="s">
        <v>74</v>
      </c>
      <c r="R812" s="221">
        <v>3.3800001000000002</v>
      </c>
      <c r="S812" s="53">
        <v>1</v>
      </c>
      <c r="T812" s="53">
        <v>848.75420999999972</v>
      </c>
      <c r="U812" s="53">
        <v>848.75420999999972</v>
      </c>
      <c r="V812" s="53">
        <v>152.77579000000026</v>
      </c>
      <c r="W812" s="53">
        <v>1001.53</v>
      </c>
      <c r="X812" s="27">
        <f t="shared" si="180"/>
        <v>848.75420999999972</v>
      </c>
    </row>
    <row r="813" spans="1:24" x14ac:dyDescent="0.2">
      <c r="A813" s="220">
        <v>43809</v>
      </c>
      <c r="B813" s="130" t="s">
        <v>68</v>
      </c>
      <c r="C813" s="130" t="s">
        <v>102</v>
      </c>
      <c r="D813" s="130" t="s">
        <v>2302</v>
      </c>
      <c r="E813" s="130" t="s">
        <v>1011</v>
      </c>
      <c r="F813" s="130" t="s">
        <v>1012</v>
      </c>
      <c r="G813" s="220">
        <v>43775</v>
      </c>
      <c r="H813" s="130" t="s">
        <v>387</v>
      </c>
      <c r="I813" s="130" t="s">
        <v>386</v>
      </c>
      <c r="J813" s="130" t="s">
        <v>104</v>
      </c>
      <c r="K813" s="130" t="s">
        <v>105</v>
      </c>
      <c r="L813" s="174" t="s">
        <v>71</v>
      </c>
      <c r="M813" s="131" t="s">
        <v>72</v>
      </c>
      <c r="N813" s="130" t="s">
        <v>73</v>
      </c>
      <c r="O813" s="219" t="s">
        <v>69</v>
      </c>
      <c r="P813" s="130" t="s">
        <v>1699</v>
      </c>
      <c r="Q813" s="132" t="s">
        <v>74</v>
      </c>
      <c r="R813" s="221">
        <v>3.3800001000000002</v>
      </c>
      <c r="S813" s="53">
        <v>1</v>
      </c>
      <c r="T813" s="53">
        <v>3057</v>
      </c>
      <c r="U813" s="53">
        <v>3057</v>
      </c>
      <c r="V813" s="53">
        <v>550.26</v>
      </c>
      <c r="W813" s="53">
        <v>3607.26</v>
      </c>
      <c r="X813" s="27">
        <f t="shared" si="180"/>
        <v>3057</v>
      </c>
    </row>
    <row r="814" spans="1:24" x14ac:dyDescent="0.2">
      <c r="A814" s="220">
        <v>43809</v>
      </c>
      <c r="B814" s="130" t="s">
        <v>68</v>
      </c>
      <c r="C814" s="130" t="s">
        <v>102</v>
      </c>
      <c r="D814" s="130" t="s">
        <v>1673</v>
      </c>
      <c r="E814" s="130" t="s">
        <v>1243</v>
      </c>
      <c r="F814" s="130" t="s">
        <v>1244</v>
      </c>
      <c r="G814" s="220">
        <v>43777</v>
      </c>
      <c r="H814" s="130" t="s">
        <v>387</v>
      </c>
      <c r="I814" s="130" t="s">
        <v>386</v>
      </c>
      <c r="J814" s="130" t="s">
        <v>97</v>
      </c>
      <c r="K814" s="130" t="s">
        <v>98</v>
      </c>
      <c r="L814" s="174" t="s">
        <v>71</v>
      </c>
      <c r="M814" s="131" t="s">
        <v>72</v>
      </c>
      <c r="N814" s="130" t="s">
        <v>73</v>
      </c>
      <c r="O814" s="219" t="s">
        <v>99</v>
      </c>
      <c r="P814" s="130" t="s">
        <v>98</v>
      </c>
      <c r="Q814" s="132" t="s">
        <v>74</v>
      </c>
      <c r="R814" s="221">
        <v>3.3800001000000002</v>
      </c>
      <c r="S814" s="53">
        <v>1</v>
      </c>
      <c r="T814" s="53">
        <v>2565</v>
      </c>
      <c r="U814" s="53">
        <v>2565</v>
      </c>
      <c r="V814" s="53">
        <v>461.7</v>
      </c>
      <c r="W814" s="53">
        <v>3026.7</v>
      </c>
      <c r="X814" s="27">
        <f t="shared" si="180"/>
        <v>2565</v>
      </c>
    </row>
    <row r="815" spans="1:24" x14ac:dyDescent="0.2">
      <c r="A815" s="220">
        <v>43809</v>
      </c>
      <c r="B815" s="130" t="s">
        <v>68</v>
      </c>
      <c r="C815" s="130" t="s">
        <v>102</v>
      </c>
      <c r="D815" s="130" t="s">
        <v>1673</v>
      </c>
      <c r="E815" s="130" t="s">
        <v>1243</v>
      </c>
      <c r="F815" s="130" t="s">
        <v>1244</v>
      </c>
      <c r="G815" s="220">
        <v>43777</v>
      </c>
      <c r="H815" s="130" t="s">
        <v>387</v>
      </c>
      <c r="I815" s="130" t="s">
        <v>386</v>
      </c>
      <c r="J815" s="130" t="s">
        <v>100</v>
      </c>
      <c r="K815" s="130" t="s">
        <v>101</v>
      </c>
      <c r="L815" s="174" t="s">
        <v>71</v>
      </c>
      <c r="M815" s="131" t="s">
        <v>72</v>
      </c>
      <c r="N815" s="130" t="s">
        <v>73</v>
      </c>
      <c r="O815" s="219" t="s">
        <v>72</v>
      </c>
      <c r="P815" s="130" t="s">
        <v>101</v>
      </c>
      <c r="Q815" s="132" t="s">
        <v>74</v>
      </c>
      <c r="R815" s="221">
        <v>3.3800001000000002</v>
      </c>
      <c r="S815" s="53">
        <v>1</v>
      </c>
      <c r="T815" s="53">
        <v>1960</v>
      </c>
      <c r="U815" s="53">
        <v>1960</v>
      </c>
      <c r="V815" s="53">
        <v>352.8</v>
      </c>
      <c r="W815" s="53">
        <v>2312.8000000000002</v>
      </c>
      <c r="X815" s="27">
        <f t="shared" si="180"/>
        <v>1960</v>
      </c>
    </row>
    <row r="816" spans="1:24" x14ac:dyDescent="0.2">
      <c r="A816" s="220">
        <v>43809</v>
      </c>
      <c r="B816" s="130" t="s">
        <v>68</v>
      </c>
      <c r="C816" s="130" t="s">
        <v>102</v>
      </c>
      <c r="D816" s="130" t="s">
        <v>1673</v>
      </c>
      <c r="E816" s="130" t="s">
        <v>1243</v>
      </c>
      <c r="F816" s="130" t="s">
        <v>1244</v>
      </c>
      <c r="G816" s="220">
        <v>43777</v>
      </c>
      <c r="H816" s="130" t="s">
        <v>387</v>
      </c>
      <c r="I816" s="130" t="s">
        <v>386</v>
      </c>
      <c r="J816" s="130" t="s">
        <v>92</v>
      </c>
      <c r="K816" s="130" t="s">
        <v>113</v>
      </c>
      <c r="L816" s="174" t="s">
        <v>71</v>
      </c>
      <c r="M816" s="131" t="s">
        <v>72</v>
      </c>
      <c r="N816" s="130" t="s">
        <v>73</v>
      </c>
      <c r="O816" s="219" t="s">
        <v>69</v>
      </c>
      <c r="P816" s="130" t="s">
        <v>1699</v>
      </c>
      <c r="Q816" s="132" t="s">
        <v>74</v>
      </c>
      <c r="R816" s="221">
        <v>3.3800001000000002</v>
      </c>
      <c r="S816" s="53">
        <v>1</v>
      </c>
      <c r="T816" s="53">
        <v>985</v>
      </c>
      <c r="U816" s="53">
        <v>985</v>
      </c>
      <c r="V816" s="53">
        <v>177.3</v>
      </c>
      <c r="W816" s="53">
        <v>1162.3</v>
      </c>
      <c r="X816" s="27">
        <f t="shared" si="180"/>
        <v>985</v>
      </c>
    </row>
    <row r="817" spans="1:24" x14ac:dyDescent="0.2">
      <c r="A817" s="220">
        <v>43809</v>
      </c>
      <c r="B817" s="130" t="s">
        <v>68</v>
      </c>
      <c r="C817" s="130" t="s">
        <v>102</v>
      </c>
      <c r="D817" s="130" t="s">
        <v>1673</v>
      </c>
      <c r="E817" s="130" t="s">
        <v>1243</v>
      </c>
      <c r="F817" s="130" t="s">
        <v>1244</v>
      </c>
      <c r="G817" s="220">
        <v>43777</v>
      </c>
      <c r="H817" s="130" t="s">
        <v>387</v>
      </c>
      <c r="I817" s="130" t="s">
        <v>386</v>
      </c>
      <c r="J817" s="130" t="s">
        <v>132</v>
      </c>
      <c r="K817" s="130" t="s">
        <v>133</v>
      </c>
      <c r="L817" s="174" t="s">
        <v>71</v>
      </c>
      <c r="M817" s="131" t="s">
        <v>72</v>
      </c>
      <c r="N817" s="130" t="s">
        <v>73</v>
      </c>
      <c r="O817" s="219" t="s">
        <v>69</v>
      </c>
      <c r="P817" s="130" t="s">
        <v>1699</v>
      </c>
      <c r="Q817" s="132" t="s">
        <v>74</v>
      </c>
      <c r="R817" s="221">
        <v>3.3800001000000002</v>
      </c>
      <c r="S817" s="53">
        <v>1</v>
      </c>
      <c r="T817" s="53">
        <v>3070</v>
      </c>
      <c r="U817" s="53">
        <v>3070</v>
      </c>
      <c r="V817" s="53">
        <v>552.60010000000011</v>
      </c>
      <c r="W817" s="53">
        <v>3622.6001000000001</v>
      </c>
      <c r="X817" s="27">
        <f t="shared" si="180"/>
        <v>3070</v>
      </c>
    </row>
    <row r="818" spans="1:24" x14ac:dyDescent="0.2">
      <c r="A818" s="220">
        <v>43809</v>
      </c>
      <c r="B818" s="130" t="s">
        <v>68</v>
      </c>
      <c r="C818" s="130" t="s">
        <v>102</v>
      </c>
      <c r="D818" s="130" t="s">
        <v>1673</v>
      </c>
      <c r="E818" s="130" t="s">
        <v>1243</v>
      </c>
      <c r="F818" s="130" t="s">
        <v>1244</v>
      </c>
      <c r="G818" s="220">
        <v>43777</v>
      </c>
      <c r="H818" s="130" t="s">
        <v>387</v>
      </c>
      <c r="I818" s="130" t="s">
        <v>386</v>
      </c>
      <c r="J818" s="130" t="s">
        <v>139</v>
      </c>
      <c r="K818" s="130" t="s">
        <v>1776</v>
      </c>
      <c r="L818" s="174" t="s">
        <v>71</v>
      </c>
      <c r="M818" s="131" t="s">
        <v>72</v>
      </c>
      <c r="N818" s="130" t="s">
        <v>73</v>
      </c>
      <c r="O818" s="219" t="s">
        <v>69</v>
      </c>
      <c r="P818" s="130" t="s">
        <v>1699</v>
      </c>
      <c r="Q818" s="132" t="s">
        <v>74</v>
      </c>
      <c r="R818" s="221">
        <v>3.3800001000000002</v>
      </c>
      <c r="S818" s="53">
        <v>1</v>
      </c>
      <c r="T818" s="53">
        <v>70</v>
      </c>
      <c r="U818" s="53">
        <v>70</v>
      </c>
      <c r="V818" s="53">
        <v>12.599997999999978</v>
      </c>
      <c r="W818" s="53">
        <v>82.599997999999971</v>
      </c>
      <c r="X818" s="27">
        <f t="shared" si="180"/>
        <v>70</v>
      </c>
    </row>
    <row r="819" spans="1:24" x14ac:dyDescent="0.2">
      <c r="A819" s="220">
        <v>43809</v>
      </c>
      <c r="B819" s="130" t="s">
        <v>68</v>
      </c>
      <c r="C819" s="130" t="s">
        <v>102</v>
      </c>
      <c r="D819" s="130" t="s">
        <v>1673</v>
      </c>
      <c r="E819" s="130" t="s">
        <v>1243</v>
      </c>
      <c r="F819" s="130" t="s">
        <v>1244</v>
      </c>
      <c r="G819" s="220">
        <v>43777</v>
      </c>
      <c r="H819" s="130" t="s">
        <v>387</v>
      </c>
      <c r="I819" s="130" t="s">
        <v>386</v>
      </c>
      <c r="J819" s="130" t="s">
        <v>70</v>
      </c>
      <c r="K819" s="130" t="s">
        <v>112</v>
      </c>
      <c r="L819" s="174" t="s">
        <v>71</v>
      </c>
      <c r="M819" s="131" t="s">
        <v>72</v>
      </c>
      <c r="N819" s="130" t="s">
        <v>73</v>
      </c>
      <c r="O819" s="219" t="s">
        <v>69</v>
      </c>
      <c r="P819" s="130" t="s">
        <v>1699</v>
      </c>
      <c r="Q819" s="132" t="s">
        <v>74</v>
      </c>
      <c r="R819" s="221">
        <v>3.3800001000000002</v>
      </c>
      <c r="S819" s="53">
        <v>1</v>
      </c>
      <c r="T819" s="53">
        <v>673.75420999999972</v>
      </c>
      <c r="U819" s="53">
        <v>673.75420999999972</v>
      </c>
      <c r="V819" s="53">
        <v>121.27582000000038</v>
      </c>
      <c r="W819" s="53">
        <v>795.03003000000012</v>
      </c>
      <c r="X819" s="27">
        <f t="shared" si="180"/>
        <v>673.75420999999972</v>
      </c>
    </row>
    <row r="820" spans="1:24" x14ac:dyDescent="0.2">
      <c r="A820" s="220">
        <v>43809</v>
      </c>
      <c r="B820" s="130" t="s">
        <v>68</v>
      </c>
      <c r="C820" s="130" t="s">
        <v>102</v>
      </c>
      <c r="D820" s="130" t="s">
        <v>1673</v>
      </c>
      <c r="E820" s="130" t="s">
        <v>1243</v>
      </c>
      <c r="F820" s="130" t="s">
        <v>1244</v>
      </c>
      <c r="G820" s="220">
        <v>43777</v>
      </c>
      <c r="H820" s="130" t="s">
        <v>387</v>
      </c>
      <c r="I820" s="130" t="s">
        <v>386</v>
      </c>
      <c r="J820" s="130" t="s">
        <v>104</v>
      </c>
      <c r="K820" s="130" t="s">
        <v>105</v>
      </c>
      <c r="L820" s="174" t="s">
        <v>71</v>
      </c>
      <c r="M820" s="131" t="s">
        <v>72</v>
      </c>
      <c r="N820" s="130" t="s">
        <v>73</v>
      </c>
      <c r="O820" s="219" t="s">
        <v>69</v>
      </c>
      <c r="P820" s="130" t="s">
        <v>1699</v>
      </c>
      <c r="Q820" s="132" t="s">
        <v>74</v>
      </c>
      <c r="R820" s="221">
        <v>3.3800001000000002</v>
      </c>
      <c r="S820" s="53">
        <v>1</v>
      </c>
      <c r="T820" s="53">
        <v>1967</v>
      </c>
      <c r="U820" s="53">
        <v>1967</v>
      </c>
      <c r="V820" s="53">
        <v>354.06010000000009</v>
      </c>
      <c r="W820" s="53">
        <v>2321.0601000000001</v>
      </c>
      <c r="X820" s="27">
        <f t="shared" si="180"/>
        <v>1967</v>
      </c>
    </row>
    <row r="821" spans="1:24" x14ac:dyDescent="0.2">
      <c r="A821" s="220">
        <v>43809</v>
      </c>
      <c r="B821" s="130" t="s">
        <v>68</v>
      </c>
      <c r="C821" s="130" t="s">
        <v>102</v>
      </c>
      <c r="D821" s="130" t="s">
        <v>1560</v>
      </c>
      <c r="E821" s="130" t="s">
        <v>1919</v>
      </c>
      <c r="F821" s="130" t="s">
        <v>2303</v>
      </c>
      <c r="G821" s="220">
        <v>43801</v>
      </c>
      <c r="H821" s="130" t="s">
        <v>90</v>
      </c>
      <c r="I821" s="130" t="s">
        <v>91</v>
      </c>
      <c r="J821" s="130" t="s">
        <v>97</v>
      </c>
      <c r="K821" s="130" t="s">
        <v>98</v>
      </c>
      <c r="L821" s="174" t="s">
        <v>71</v>
      </c>
      <c r="M821" s="131" t="s">
        <v>72</v>
      </c>
      <c r="N821" s="130" t="s">
        <v>73</v>
      </c>
      <c r="O821" s="219" t="s">
        <v>99</v>
      </c>
      <c r="P821" s="130" t="s">
        <v>98</v>
      </c>
      <c r="Q821" s="132" t="s">
        <v>93</v>
      </c>
      <c r="R821" s="221">
        <v>3.3800001000000002</v>
      </c>
      <c r="S821" s="53">
        <v>1</v>
      </c>
      <c r="T821" s="53">
        <v>88.5</v>
      </c>
      <c r="U821" s="53">
        <v>88.5</v>
      </c>
      <c r="V821" s="53">
        <v>15.93</v>
      </c>
      <c r="W821" s="53">
        <v>104.43</v>
      </c>
      <c r="X821" s="27">
        <f t="shared" si="180"/>
        <v>299.13000885000002</v>
      </c>
    </row>
    <row r="822" spans="1:24" x14ac:dyDescent="0.2">
      <c r="A822" s="220">
        <v>43809</v>
      </c>
      <c r="B822" s="130" t="s">
        <v>68</v>
      </c>
      <c r="C822" s="130" t="s">
        <v>102</v>
      </c>
      <c r="D822" s="130" t="s">
        <v>1560</v>
      </c>
      <c r="E822" s="130" t="s">
        <v>1919</v>
      </c>
      <c r="F822" s="130" t="s">
        <v>2303</v>
      </c>
      <c r="G822" s="220">
        <v>43801</v>
      </c>
      <c r="H822" s="130" t="s">
        <v>90</v>
      </c>
      <c r="I822" s="130" t="s">
        <v>91</v>
      </c>
      <c r="J822" s="130" t="s">
        <v>100</v>
      </c>
      <c r="K822" s="130" t="s">
        <v>101</v>
      </c>
      <c r="L822" s="174" t="s">
        <v>71</v>
      </c>
      <c r="M822" s="131" t="s">
        <v>72</v>
      </c>
      <c r="N822" s="130" t="s">
        <v>73</v>
      </c>
      <c r="O822" s="219" t="s">
        <v>72</v>
      </c>
      <c r="P822" s="130" t="s">
        <v>101</v>
      </c>
      <c r="Q822" s="132" t="s">
        <v>93</v>
      </c>
      <c r="R822" s="221">
        <v>3.3800001000000002</v>
      </c>
      <c r="S822" s="53">
        <v>1</v>
      </c>
      <c r="T822" s="53">
        <v>105</v>
      </c>
      <c r="U822" s="53">
        <v>105</v>
      </c>
      <c r="V822" s="53">
        <v>18.899999999999999</v>
      </c>
      <c r="W822" s="53">
        <v>123.9</v>
      </c>
      <c r="X822" s="27">
        <f t="shared" si="180"/>
        <v>354.90001050000001</v>
      </c>
    </row>
    <row r="823" spans="1:24" x14ac:dyDescent="0.2">
      <c r="A823" s="220">
        <v>43809</v>
      </c>
      <c r="B823" s="130" t="s">
        <v>68</v>
      </c>
      <c r="C823" s="130" t="s">
        <v>102</v>
      </c>
      <c r="D823" s="130" t="s">
        <v>1560</v>
      </c>
      <c r="E823" s="130" t="s">
        <v>1919</v>
      </c>
      <c r="F823" s="130" t="s">
        <v>2303</v>
      </c>
      <c r="G823" s="220">
        <v>43801</v>
      </c>
      <c r="H823" s="130" t="s">
        <v>90</v>
      </c>
      <c r="I823" s="130" t="s">
        <v>91</v>
      </c>
      <c r="J823" s="130" t="s">
        <v>95</v>
      </c>
      <c r="K823" s="130" t="s">
        <v>96</v>
      </c>
      <c r="L823" s="174" t="s">
        <v>71</v>
      </c>
      <c r="M823" s="131" t="s">
        <v>72</v>
      </c>
      <c r="N823" s="130" t="s">
        <v>73</v>
      </c>
      <c r="O823" s="219" t="s">
        <v>69</v>
      </c>
      <c r="P823" s="130" t="s">
        <v>1699</v>
      </c>
      <c r="Q823" s="132" t="s">
        <v>93</v>
      </c>
      <c r="R823" s="221">
        <v>3.3800001000000002</v>
      </c>
      <c r="S823" s="53">
        <v>-1</v>
      </c>
      <c r="T823" s="53">
        <v>100</v>
      </c>
      <c r="U823" s="53">
        <v>-100</v>
      </c>
      <c r="V823" s="53">
        <v>-18</v>
      </c>
      <c r="W823" s="53">
        <v>-118</v>
      </c>
      <c r="X823" s="27">
        <f t="shared" si="180"/>
        <v>-338.00001000000003</v>
      </c>
    </row>
    <row r="824" spans="1:24" x14ac:dyDescent="0.2">
      <c r="A824" s="220">
        <v>43809</v>
      </c>
      <c r="B824" s="130" t="s">
        <v>68</v>
      </c>
      <c r="C824" s="130" t="s">
        <v>102</v>
      </c>
      <c r="D824" s="130" t="s">
        <v>1560</v>
      </c>
      <c r="E824" s="130" t="s">
        <v>1919</v>
      </c>
      <c r="F824" s="130" t="s">
        <v>2303</v>
      </c>
      <c r="G824" s="220">
        <v>43801</v>
      </c>
      <c r="H824" s="130" t="s">
        <v>90</v>
      </c>
      <c r="I824" s="130" t="s">
        <v>91</v>
      </c>
      <c r="J824" s="130" t="s">
        <v>104</v>
      </c>
      <c r="K824" s="130" t="s">
        <v>105</v>
      </c>
      <c r="L824" s="174" t="s">
        <v>71</v>
      </c>
      <c r="M824" s="131" t="s">
        <v>72</v>
      </c>
      <c r="N824" s="130" t="s">
        <v>73</v>
      </c>
      <c r="O824" s="219" t="s">
        <v>69</v>
      </c>
      <c r="P824" s="130" t="s">
        <v>1699</v>
      </c>
      <c r="Q824" s="132" t="s">
        <v>93</v>
      </c>
      <c r="R824" s="221">
        <v>3.3800001000000002</v>
      </c>
      <c r="S824" s="53">
        <v>1</v>
      </c>
      <c r="T824" s="53">
        <v>0</v>
      </c>
      <c r="U824" s="53">
        <v>0</v>
      </c>
      <c r="V824" s="53">
        <v>0</v>
      </c>
      <c r="W824" s="53">
        <v>0</v>
      </c>
      <c r="X824" s="27">
        <f t="shared" si="180"/>
        <v>0</v>
      </c>
    </row>
    <row r="825" spans="1:24" x14ac:dyDescent="0.2">
      <c r="A825" s="220">
        <v>43810</v>
      </c>
      <c r="B825" s="130" t="s">
        <v>68</v>
      </c>
      <c r="C825" s="130" t="s">
        <v>102</v>
      </c>
      <c r="D825" s="130" t="s">
        <v>1561</v>
      </c>
      <c r="E825" s="130" t="s">
        <v>850</v>
      </c>
      <c r="F825" s="130" t="s">
        <v>972</v>
      </c>
      <c r="G825" s="220">
        <v>43760</v>
      </c>
      <c r="H825" s="130" t="s">
        <v>387</v>
      </c>
      <c r="I825" s="130" t="s">
        <v>386</v>
      </c>
      <c r="J825" s="130" t="s">
        <v>97</v>
      </c>
      <c r="K825" s="130" t="s">
        <v>98</v>
      </c>
      <c r="L825" s="174" t="s">
        <v>71</v>
      </c>
      <c r="M825" s="131" t="s">
        <v>72</v>
      </c>
      <c r="N825" s="130" t="s">
        <v>73</v>
      </c>
      <c r="O825" s="219" t="s">
        <v>99</v>
      </c>
      <c r="P825" s="130" t="s">
        <v>98</v>
      </c>
      <c r="Q825" s="132" t="s">
        <v>74</v>
      </c>
      <c r="R825" s="221">
        <v>3.391</v>
      </c>
      <c r="S825" s="53">
        <v>1</v>
      </c>
      <c r="T825" s="53">
        <v>2565</v>
      </c>
      <c r="U825" s="53">
        <v>2565</v>
      </c>
      <c r="V825" s="53">
        <v>461.7</v>
      </c>
      <c r="W825" s="53">
        <v>3026.7</v>
      </c>
      <c r="X825" s="27">
        <f t="shared" si="180"/>
        <v>2565</v>
      </c>
    </row>
    <row r="826" spans="1:24" x14ac:dyDescent="0.2">
      <c r="A826" s="220">
        <v>43810</v>
      </c>
      <c r="B826" s="130" t="s">
        <v>68</v>
      </c>
      <c r="C826" s="130" t="s">
        <v>102</v>
      </c>
      <c r="D826" s="130" t="s">
        <v>1561</v>
      </c>
      <c r="E826" s="130" t="s">
        <v>850</v>
      </c>
      <c r="F826" s="130" t="s">
        <v>972</v>
      </c>
      <c r="G826" s="220">
        <v>43760</v>
      </c>
      <c r="H826" s="130" t="s">
        <v>387</v>
      </c>
      <c r="I826" s="130" t="s">
        <v>386</v>
      </c>
      <c r="J826" s="130" t="s">
        <v>100</v>
      </c>
      <c r="K826" s="130" t="s">
        <v>101</v>
      </c>
      <c r="L826" s="174" t="s">
        <v>71</v>
      </c>
      <c r="M826" s="131" t="s">
        <v>72</v>
      </c>
      <c r="N826" s="130" t="s">
        <v>73</v>
      </c>
      <c r="O826" s="219" t="s">
        <v>72</v>
      </c>
      <c r="P826" s="130" t="s">
        <v>101</v>
      </c>
      <c r="Q826" s="132" t="s">
        <v>74</v>
      </c>
      <c r="R826" s="221">
        <v>3.391</v>
      </c>
      <c r="S826" s="53">
        <v>1</v>
      </c>
      <c r="T826" s="53">
        <v>1417.5</v>
      </c>
      <c r="U826" s="53">
        <v>1417.5</v>
      </c>
      <c r="V826" s="53">
        <v>255.15</v>
      </c>
      <c r="W826" s="53">
        <v>1672.65</v>
      </c>
      <c r="X826" s="27">
        <f t="shared" si="180"/>
        <v>1417.5</v>
      </c>
    </row>
    <row r="827" spans="1:24" x14ac:dyDescent="0.2">
      <c r="A827" s="220">
        <v>43810</v>
      </c>
      <c r="B827" s="130" t="s">
        <v>68</v>
      </c>
      <c r="C827" s="130" t="s">
        <v>102</v>
      </c>
      <c r="D827" s="130" t="s">
        <v>1561</v>
      </c>
      <c r="E827" s="130" t="s">
        <v>850</v>
      </c>
      <c r="F827" s="130" t="s">
        <v>972</v>
      </c>
      <c r="G827" s="220">
        <v>43760</v>
      </c>
      <c r="H827" s="130" t="s">
        <v>387</v>
      </c>
      <c r="I827" s="130" t="s">
        <v>386</v>
      </c>
      <c r="J827" s="130" t="s">
        <v>92</v>
      </c>
      <c r="K827" s="130" t="s">
        <v>113</v>
      </c>
      <c r="L827" s="174" t="s">
        <v>71</v>
      </c>
      <c r="M827" s="131" t="s">
        <v>72</v>
      </c>
      <c r="N827" s="130" t="s">
        <v>73</v>
      </c>
      <c r="O827" s="219" t="s">
        <v>69</v>
      </c>
      <c r="P827" s="130" t="s">
        <v>1699</v>
      </c>
      <c r="Q827" s="132" t="s">
        <v>74</v>
      </c>
      <c r="R827" s="221">
        <v>3.391</v>
      </c>
      <c r="S827" s="53">
        <v>1</v>
      </c>
      <c r="T827" s="53">
        <v>930</v>
      </c>
      <c r="U827" s="53">
        <v>930</v>
      </c>
      <c r="V827" s="53">
        <v>167.4</v>
      </c>
      <c r="W827" s="53">
        <v>1097.4000000000001</v>
      </c>
      <c r="X827" s="27">
        <f t="shared" si="180"/>
        <v>930</v>
      </c>
    </row>
    <row r="828" spans="1:24" x14ac:dyDescent="0.2">
      <c r="A828" s="220">
        <v>43810</v>
      </c>
      <c r="B828" s="130" t="s">
        <v>68</v>
      </c>
      <c r="C828" s="130" t="s">
        <v>102</v>
      </c>
      <c r="D828" s="130" t="s">
        <v>1561</v>
      </c>
      <c r="E828" s="130" t="s">
        <v>850</v>
      </c>
      <c r="F828" s="130" t="s">
        <v>972</v>
      </c>
      <c r="G828" s="220">
        <v>43760</v>
      </c>
      <c r="H828" s="130" t="s">
        <v>387</v>
      </c>
      <c r="I828" s="130" t="s">
        <v>386</v>
      </c>
      <c r="J828" s="130" t="s">
        <v>132</v>
      </c>
      <c r="K828" s="130" t="s">
        <v>133</v>
      </c>
      <c r="L828" s="174" t="s">
        <v>71</v>
      </c>
      <c r="M828" s="131" t="s">
        <v>72</v>
      </c>
      <c r="N828" s="130" t="s">
        <v>73</v>
      </c>
      <c r="O828" s="219" t="s">
        <v>69</v>
      </c>
      <c r="P828" s="130" t="s">
        <v>1699</v>
      </c>
      <c r="Q828" s="132" t="s">
        <v>74</v>
      </c>
      <c r="R828" s="221">
        <v>3.391</v>
      </c>
      <c r="S828" s="53">
        <v>1</v>
      </c>
      <c r="T828" s="53">
        <v>166</v>
      </c>
      <c r="U828" s="53">
        <v>166</v>
      </c>
      <c r="V828" s="53">
        <v>29.88</v>
      </c>
      <c r="W828" s="53">
        <v>195.88</v>
      </c>
      <c r="X828" s="27">
        <f t="shared" si="180"/>
        <v>166</v>
      </c>
    </row>
    <row r="829" spans="1:24" x14ac:dyDescent="0.2">
      <c r="A829" s="220">
        <v>43810</v>
      </c>
      <c r="B829" s="130" t="s">
        <v>68</v>
      </c>
      <c r="C829" s="130" t="s">
        <v>102</v>
      </c>
      <c r="D829" s="130" t="s">
        <v>1561</v>
      </c>
      <c r="E829" s="130" t="s">
        <v>850</v>
      </c>
      <c r="F829" s="130" t="s">
        <v>972</v>
      </c>
      <c r="G829" s="220">
        <v>43760</v>
      </c>
      <c r="H829" s="130" t="s">
        <v>387</v>
      </c>
      <c r="I829" s="130" t="s">
        <v>386</v>
      </c>
      <c r="J829" s="130" t="s">
        <v>70</v>
      </c>
      <c r="K829" s="130" t="s">
        <v>112</v>
      </c>
      <c r="L829" s="174" t="s">
        <v>71</v>
      </c>
      <c r="M829" s="131" t="s">
        <v>72</v>
      </c>
      <c r="N829" s="130" t="s">
        <v>73</v>
      </c>
      <c r="O829" s="219" t="s">
        <v>69</v>
      </c>
      <c r="P829" s="130" t="s">
        <v>1699</v>
      </c>
      <c r="Q829" s="132" t="s">
        <v>74</v>
      </c>
      <c r="R829" s="221">
        <v>3.391</v>
      </c>
      <c r="S829" s="53">
        <v>1</v>
      </c>
      <c r="T829" s="53">
        <v>603.75420999999994</v>
      </c>
      <c r="U829" s="53">
        <v>603.75420999999994</v>
      </c>
      <c r="V829" s="53">
        <v>108.67578000000002</v>
      </c>
      <c r="W829" s="53">
        <v>712.42998999999998</v>
      </c>
      <c r="X829" s="27">
        <f t="shared" si="180"/>
        <v>603.75420999999994</v>
      </c>
    </row>
    <row r="830" spans="1:24" x14ac:dyDescent="0.2">
      <c r="A830" s="220">
        <v>43810</v>
      </c>
      <c r="B830" s="130" t="s">
        <v>68</v>
      </c>
      <c r="C830" s="130" t="s">
        <v>102</v>
      </c>
      <c r="D830" s="130" t="s">
        <v>1561</v>
      </c>
      <c r="E830" s="130" t="s">
        <v>850</v>
      </c>
      <c r="F830" s="130" t="s">
        <v>972</v>
      </c>
      <c r="G830" s="220">
        <v>43760</v>
      </c>
      <c r="H830" s="130" t="s">
        <v>387</v>
      </c>
      <c r="I830" s="130" t="s">
        <v>386</v>
      </c>
      <c r="J830" s="130" t="s">
        <v>104</v>
      </c>
      <c r="K830" s="130" t="s">
        <v>105</v>
      </c>
      <c r="L830" s="174" t="s">
        <v>71</v>
      </c>
      <c r="M830" s="131" t="s">
        <v>72</v>
      </c>
      <c r="N830" s="130" t="s">
        <v>73</v>
      </c>
      <c r="O830" s="219" t="s">
        <v>69</v>
      </c>
      <c r="P830" s="130" t="s">
        <v>1699</v>
      </c>
      <c r="Q830" s="132" t="s">
        <v>74</v>
      </c>
      <c r="R830" s="221">
        <v>3.391</v>
      </c>
      <c r="S830" s="53">
        <v>1</v>
      </c>
      <c r="T830" s="53">
        <v>3044</v>
      </c>
      <c r="U830" s="53">
        <v>3044</v>
      </c>
      <c r="V830" s="53">
        <v>547.91989999999987</v>
      </c>
      <c r="W830" s="53">
        <v>3591.9198999999999</v>
      </c>
      <c r="X830" s="27">
        <f t="shared" si="180"/>
        <v>3044</v>
      </c>
    </row>
    <row r="831" spans="1:24" x14ac:dyDescent="0.2">
      <c r="A831" s="220">
        <v>43810</v>
      </c>
      <c r="B831" s="130" t="s">
        <v>68</v>
      </c>
      <c r="C831" s="130" t="s">
        <v>102</v>
      </c>
      <c r="D831" s="130" t="s">
        <v>1558</v>
      </c>
      <c r="E831" s="130" t="s">
        <v>1383</v>
      </c>
      <c r="F831" s="130" t="s">
        <v>2304</v>
      </c>
      <c r="G831" s="220">
        <v>43791</v>
      </c>
      <c r="H831" s="130" t="s">
        <v>387</v>
      </c>
      <c r="I831" s="130" t="s">
        <v>386</v>
      </c>
      <c r="J831" s="130" t="s">
        <v>97</v>
      </c>
      <c r="K831" s="130" t="s">
        <v>98</v>
      </c>
      <c r="L831" s="174" t="s">
        <v>71</v>
      </c>
      <c r="M831" s="131" t="s">
        <v>72</v>
      </c>
      <c r="N831" s="130" t="s">
        <v>73</v>
      </c>
      <c r="O831" s="219" t="s">
        <v>99</v>
      </c>
      <c r="P831" s="130" t="s">
        <v>98</v>
      </c>
      <c r="Q831" s="132" t="s">
        <v>74</v>
      </c>
      <c r="R831" s="221">
        <v>3.391</v>
      </c>
      <c r="S831" s="53">
        <v>1</v>
      </c>
      <c r="T831" s="53">
        <v>2835</v>
      </c>
      <c r="U831" s="53">
        <v>2835</v>
      </c>
      <c r="V831" s="53">
        <v>510.3</v>
      </c>
      <c r="W831" s="53">
        <v>3345.3</v>
      </c>
      <c r="X831" s="27">
        <f t="shared" si="180"/>
        <v>2835</v>
      </c>
    </row>
    <row r="832" spans="1:24" x14ac:dyDescent="0.2">
      <c r="A832" s="220">
        <v>43810</v>
      </c>
      <c r="B832" s="130" t="s">
        <v>68</v>
      </c>
      <c r="C832" s="130" t="s">
        <v>102</v>
      </c>
      <c r="D832" s="130" t="s">
        <v>1558</v>
      </c>
      <c r="E832" s="130" t="s">
        <v>1383</v>
      </c>
      <c r="F832" s="130" t="s">
        <v>2304</v>
      </c>
      <c r="G832" s="220">
        <v>43791</v>
      </c>
      <c r="H832" s="130" t="s">
        <v>387</v>
      </c>
      <c r="I832" s="130" t="s">
        <v>386</v>
      </c>
      <c r="J832" s="130" t="s">
        <v>100</v>
      </c>
      <c r="K832" s="130" t="s">
        <v>101</v>
      </c>
      <c r="L832" s="174" t="s">
        <v>71</v>
      </c>
      <c r="M832" s="131" t="s">
        <v>72</v>
      </c>
      <c r="N832" s="130" t="s">
        <v>73</v>
      </c>
      <c r="O832" s="219" t="s">
        <v>72</v>
      </c>
      <c r="P832" s="130" t="s">
        <v>101</v>
      </c>
      <c r="Q832" s="132" t="s">
        <v>74</v>
      </c>
      <c r="R832" s="221">
        <v>3.391</v>
      </c>
      <c r="S832" s="53">
        <v>1</v>
      </c>
      <c r="T832" s="53">
        <v>1540</v>
      </c>
      <c r="U832" s="53">
        <v>1540</v>
      </c>
      <c r="V832" s="53">
        <v>277.2</v>
      </c>
      <c r="W832" s="53">
        <v>1817.2</v>
      </c>
      <c r="X832" s="27">
        <f t="shared" si="180"/>
        <v>1540</v>
      </c>
    </row>
    <row r="833" spans="1:24" x14ac:dyDescent="0.2">
      <c r="A833" s="220">
        <v>43810</v>
      </c>
      <c r="B833" s="130" t="s">
        <v>68</v>
      </c>
      <c r="C833" s="130" t="s">
        <v>102</v>
      </c>
      <c r="D833" s="130" t="s">
        <v>1558</v>
      </c>
      <c r="E833" s="130" t="s">
        <v>1383</v>
      </c>
      <c r="F833" s="130" t="s">
        <v>2304</v>
      </c>
      <c r="G833" s="220">
        <v>43791</v>
      </c>
      <c r="H833" s="130" t="s">
        <v>387</v>
      </c>
      <c r="I833" s="130" t="s">
        <v>386</v>
      </c>
      <c r="J833" s="130" t="s">
        <v>92</v>
      </c>
      <c r="K833" s="130" t="s">
        <v>113</v>
      </c>
      <c r="L833" s="174" t="s">
        <v>71</v>
      </c>
      <c r="M833" s="131" t="s">
        <v>72</v>
      </c>
      <c r="N833" s="130" t="s">
        <v>73</v>
      </c>
      <c r="O833" s="219" t="s">
        <v>69</v>
      </c>
      <c r="P833" s="130" t="s">
        <v>1699</v>
      </c>
      <c r="Q833" s="132" t="s">
        <v>74</v>
      </c>
      <c r="R833" s="221">
        <v>3.391</v>
      </c>
      <c r="S833" s="53">
        <v>1</v>
      </c>
      <c r="T833" s="53">
        <v>1180</v>
      </c>
      <c r="U833" s="53">
        <v>1180</v>
      </c>
      <c r="V833" s="53">
        <v>212.4</v>
      </c>
      <c r="W833" s="53">
        <v>1392.4</v>
      </c>
      <c r="X833" s="27">
        <f t="shared" si="180"/>
        <v>1180</v>
      </c>
    </row>
    <row r="834" spans="1:24" x14ac:dyDescent="0.2">
      <c r="A834" s="220">
        <v>43810</v>
      </c>
      <c r="B834" s="130" t="s">
        <v>68</v>
      </c>
      <c r="C834" s="130" t="s">
        <v>102</v>
      </c>
      <c r="D834" s="130" t="s">
        <v>1558</v>
      </c>
      <c r="E834" s="130" t="s">
        <v>1383</v>
      </c>
      <c r="F834" s="130" t="s">
        <v>2304</v>
      </c>
      <c r="G834" s="220">
        <v>43791</v>
      </c>
      <c r="H834" s="130" t="s">
        <v>387</v>
      </c>
      <c r="I834" s="130" t="s">
        <v>386</v>
      </c>
      <c r="J834" s="130" t="s">
        <v>132</v>
      </c>
      <c r="K834" s="130" t="s">
        <v>107</v>
      </c>
      <c r="L834" s="174" t="s">
        <v>71</v>
      </c>
      <c r="M834" s="131" t="s">
        <v>72</v>
      </c>
      <c r="N834" s="130" t="s">
        <v>73</v>
      </c>
      <c r="O834" s="219" t="s">
        <v>69</v>
      </c>
      <c r="P834" s="130" t="s">
        <v>1699</v>
      </c>
      <c r="Q834" s="132" t="s">
        <v>74</v>
      </c>
      <c r="R834" s="221">
        <v>3.391</v>
      </c>
      <c r="S834" s="53">
        <v>1</v>
      </c>
      <c r="T834" s="53">
        <v>3571</v>
      </c>
      <c r="U834" s="53">
        <v>3571</v>
      </c>
      <c r="V834" s="53">
        <v>642.7797999999998</v>
      </c>
      <c r="W834" s="53">
        <v>4213.7798000000003</v>
      </c>
      <c r="X834" s="27">
        <f t="shared" si="180"/>
        <v>3571</v>
      </c>
    </row>
    <row r="835" spans="1:24" x14ac:dyDescent="0.2">
      <c r="A835" s="220">
        <v>43810</v>
      </c>
      <c r="B835" s="130" t="s">
        <v>68</v>
      </c>
      <c r="C835" s="130" t="s">
        <v>102</v>
      </c>
      <c r="D835" s="130" t="s">
        <v>1558</v>
      </c>
      <c r="E835" s="130" t="s">
        <v>1383</v>
      </c>
      <c r="F835" s="130" t="s">
        <v>2304</v>
      </c>
      <c r="G835" s="220">
        <v>43791</v>
      </c>
      <c r="H835" s="130" t="s">
        <v>387</v>
      </c>
      <c r="I835" s="130" t="s">
        <v>386</v>
      </c>
      <c r="J835" s="130" t="s">
        <v>70</v>
      </c>
      <c r="K835" s="130" t="s">
        <v>112</v>
      </c>
      <c r="L835" s="174" t="s">
        <v>71</v>
      </c>
      <c r="M835" s="131" t="s">
        <v>72</v>
      </c>
      <c r="N835" s="130" t="s">
        <v>73</v>
      </c>
      <c r="O835" s="219" t="s">
        <v>69</v>
      </c>
      <c r="P835" s="130" t="s">
        <v>1699</v>
      </c>
      <c r="Q835" s="132" t="s">
        <v>74</v>
      </c>
      <c r="R835" s="221">
        <v>3.391</v>
      </c>
      <c r="S835" s="53">
        <v>1</v>
      </c>
      <c r="T835" s="53">
        <v>813.75420999999972</v>
      </c>
      <c r="U835" s="53">
        <v>813.75420999999972</v>
      </c>
      <c r="V835" s="53">
        <v>146.47577000000035</v>
      </c>
      <c r="W835" s="53">
        <v>960.22998000000007</v>
      </c>
      <c r="X835" s="27">
        <f t="shared" si="180"/>
        <v>813.75420999999972</v>
      </c>
    </row>
    <row r="836" spans="1:24" x14ac:dyDescent="0.2">
      <c r="A836" s="220">
        <v>43810</v>
      </c>
      <c r="B836" s="130" t="s">
        <v>68</v>
      </c>
      <c r="C836" s="130" t="s">
        <v>102</v>
      </c>
      <c r="D836" s="130" t="s">
        <v>1558</v>
      </c>
      <c r="E836" s="130" t="s">
        <v>1383</v>
      </c>
      <c r="F836" s="130" t="s">
        <v>2304</v>
      </c>
      <c r="G836" s="220">
        <v>43791</v>
      </c>
      <c r="H836" s="130" t="s">
        <v>387</v>
      </c>
      <c r="I836" s="130" t="s">
        <v>386</v>
      </c>
      <c r="J836" s="130" t="s">
        <v>104</v>
      </c>
      <c r="K836" s="130" t="s">
        <v>105</v>
      </c>
      <c r="L836" s="174" t="s">
        <v>71</v>
      </c>
      <c r="M836" s="131" t="s">
        <v>72</v>
      </c>
      <c r="N836" s="130" t="s">
        <v>73</v>
      </c>
      <c r="O836" s="219" t="s">
        <v>69</v>
      </c>
      <c r="P836" s="130" t="s">
        <v>1699</v>
      </c>
      <c r="Q836" s="132" t="s">
        <v>74</v>
      </c>
      <c r="R836" s="221">
        <v>3.391</v>
      </c>
      <c r="S836" s="53">
        <v>1</v>
      </c>
      <c r="T836" s="53">
        <v>2777</v>
      </c>
      <c r="U836" s="53">
        <v>2777</v>
      </c>
      <c r="V836" s="53">
        <v>499.8601000000001</v>
      </c>
      <c r="W836" s="53">
        <v>3276.8600999999999</v>
      </c>
      <c r="X836" s="27">
        <f t="shared" si="180"/>
        <v>2777</v>
      </c>
    </row>
    <row r="837" spans="1:24" x14ac:dyDescent="0.2">
      <c r="A837" s="220">
        <v>43810</v>
      </c>
      <c r="B837" s="130" t="s">
        <v>68</v>
      </c>
      <c r="C837" s="130" t="s">
        <v>102</v>
      </c>
      <c r="D837" s="130" t="s">
        <v>1678</v>
      </c>
      <c r="E837" s="130" t="s">
        <v>2305</v>
      </c>
      <c r="F837" s="130" t="s">
        <v>1016</v>
      </c>
      <c r="G837" s="220">
        <v>43803</v>
      </c>
      <c r="H837" s="130" t="s">
        <v>1145</v>
      </c>
      <c r="I837" s="130" t="s">
        <v>1146</v>
      </c>
      <c r="J837" s="130" t="s">
        <v>92</v>
      </c>
      <c r="K837" s="130" t="s">
        <v>113</v>
      </c>
      <c r="L837" s="174" t="s">
        <v>71</v>
      </c>
      <c r="M837" s="131" t="s">
        <v>72</v>
      </c>
      <c r="N837" s="130" t="s">
        <v>73</v>
      </c>
      <c r="O837" s="219" t="s">
        <v>69</v>
      </c>
      <c r="P837" s="130" t="s">
        <v>1699</v>
      </c>
      <c r="Q837" s="132" t="s">
        <v>74</v>
      </c>
      <c r="R837" s="221">
        <v>3.391</v>
      </c>
      <c r="S837" s="53">
        <v>1</v>
      </c>
      <c r="T837" s="53">
        <v>205</v>
      </c>
      <c r="U837" s="53">
        <v>205</v>
      </c>
      <c r="V837" s="53">
        <v>36.89998999999996</v>
      </c>
      <c r="W837" s="53">
        <v>241.89998999999997</v>
      </c>
      <c r="X837" s="27">
        <f t="shared" ref="X837:X900" si="181">IF(Q837="$",(U837*R837),U837)</f>
        <v>205</v>
      </c>
    </row>
    <row r="838" spans="1:24" x14ac:dyDescent="0.2">
      <c r="A838" s="220">
        <v>43810</v>
      </c>
      <c r="B838" s="130" t="s">
        <v>68</v>
      </c>
      <c r="C838" s="130" t="s">
        <v>102</v>
      </c>
      <c r="D838" s="130" t="s">
        <v>1678</v>
      </c>
      <c r="E838" s="130" t="s">
        <v>2305</v>
      </c>
      <c r="F838" s="130" t="s">
        <v>1016</v>
      </c>
      <c r="G838" s="220">
        <v>43803</v>
      </c>
      <c r="H838" s="130" t="s">
        <v>1145</v>
      </c>
      <c r="I838" s="130" t="s">
        <v>1146</v>
      </c>
      <c r="J838" s="130" t="s">
        <v>70</v>
      </c>
      <c r="K838" s="130" t="s">
        <v>112</v>
      </c>
      <c r="L838" s="174" t="s">
        <v>71</v>
      </c>
      <c r="M838" s="131" t="s">
        <v>72</v>
      </c>
      <c r="N838" s="130" t="s">
        <v>73</v>
      </c>
      <c r="O838" s="219" t="s">
        <v>69</v>
      </c>
      <c r="P838" s="130" t="s">
        <v>1699</v>
      </c>
      <c r="Q838" s="132" t="s">
        <v>74</v>
      </c>
      <c r="R838" s="221">
        <v>3.391</v>
      </c>
      <c r="S838" s="53">
        <v>1</v>
      </c>
      <c r="T838" s="53">
        <v>280</v>
      </c>
      <c r="U838" s="53">
        <v>280</v>
      </c>
      <c r="V838" s="53">
        <v>50.399990000000031</v>
      </c>
      <c r="W838" s="53">
        <v>330.39999000000006</v>
      </c>
      <c r="X838" s="27">
        <f t="shared" si="181"/>
        <v>280</v>
      </c>
    </row>
    <row r="839" spans="1:24" x14ac:dyDescent="0.2">
      <c r="A839" s="220">
        <v>43810</v>
      </c>
      <c r="B839" s="130" t="s">
        <v>68</v>
      </c>
      <c r="C839" s="130" t="s">
        <v>102</v>
      </c>
      <c r="D839" s="130" t="s">
        <v>1678</v>
      </c>
      <c r="E839" s="130" t="s">
        <v>2305</v>
      </c>
      <c r="F839" s="130" t="s">
        <v>1016</v>
      </c>
      <c r="G839" s="220">
        <v>43803</v>
      </c>
      <c r="H839" s="130" t="s">
        <v>1145</v>
      </c>
      <c r="I839" s="130" t="s">
        <v>1146</v>
      </c>
      <c r="J839" s="130" t="s">
        <v>104</v>
      </c>
      <c r="K839" s="130" t="s">
        <v>105</v>
      </c>
      <c r="L839" s="174" t="s">
        <v>71</v>
      </c>
      <c r="M839" s="131" t="s">
        <v>72</v>
      </c>
      <c r="N839" s="130" t="s">
        <v>73</v>
      </c>
      <c r="O839" s="219" t="s">
        <v>69</v>
      </c>
      <c r="P839" s="130" t="s">
        <v>1699</v>
      </c>
      <c r="Q839" s="132" t="s">
        <v>74</v>
      </c>
      <c r="R839" s="221">
        <v>3.391</v>
      </c>
      <c r="S839" s="53">
        <v>1</v>
      </c>
      <c r="T839" s="53">
        <v>2031</v>
      </c>
      <c r="U839" s="53">
        <v>2031</v>
      </c>
      <c r="V839" s="53">
        <v>365.58010000000007</v>
      </c>
      <c r="W839" s="53">
        <v>2396.5801000000001</v>
      </c>
      <c r="X839" s="27">
        <f t="shared" si="181"/>
        <v>2031</v>
      </c>
    </row>
    <row r="840" spans="1:24" x14ac:dyDescent="0.2">
      <c r="A840" s="220">
        <v>43810</v>
      </c>
      <c r="B840" s="130" t="s">
        <v>68</v>
      </c>
      <c r="C840" s="130" t="s">
        <v>102</v>
      </c>
      <c r="D840" s="130" t="s">
        <v>1680</v>
      </c>
      <c r="E840" s="130" t="s">
        <v>1015</v>
      </c>
      <c r="F840" s="130" t="s">
        <v>1016</v>
      </c>
      <c r="G840" s="220">
        <v>43766</v>
      </c>
      <c r="H840" s="130" t="s">
        <v>1145</v>
      </c>
      <c r="I840" s="130" t="s">
        <v>1146</v>
      </c>
      <c r="J840" s="130" t="s">
        <v>97</v>
      </c>
      <c r="K840" s="130" t="s">
        <v>98</v>
      </c>
      <c r="L840" s="174" t="s">
        <v>71</v>
      </c>
      <c r="M840" s="131" t="s">
        <v>72</v>
      </c>
      <c r="N840" s="130" t="s">
        <v>73</v>
      </c>
      <c r="O840" s="219" t="s">
        <v>99</v>
      </c>
      <c r="P840" s="130" t="s">
        <v>98</v>
      </c>
      <c r="Q840" s="132" t="s">
        <v>74</v>
      </c>
      <c r="R840" s="221">
        <v>3.391</v>
      </c>
      <c r="S840" s="53">
        <v>1</v>
      </c>
      <c r="T840" s="53">
        <v>2430</v>
      </c>
      <c r="U840" s="53">
        <v>2430</v>
      </c>
      <c r="V840" s="53">
        <v>437.39989999999989</v>
      </c>
      <c r="W840" s="53">
        <v>2867.3998999999999</v>
      </c>
      <c r="X840" s="27">
        <f t="shared" si="181"/>
        <v>2430</v>
      </c>
    </row>
    <row r="841" spans="1:24" x14ac:dyDescent="0.2">
      <c r="A841" s="220">
        <v>43810</v>
      </c>
      <c r="B841" s="130" t="s">
        <v>68</v>
      </c>
      <c r="C841" s="130" t="s">
        <v>102</v>
      </c>
      <c r="D841" s="130" t="s">
        <v>1680</v>
      </c>
      <c r="E841" s="130" t="s">
        <v>1015</v>
      </c>
      <c r="F841" s="130" t="s">
        <v>1016</v>
      </c>
      <c r="G841" s="220">
        <v>43766</v>
      </c>
      <c r="H841" s="130" t="s">
        <v>1145</v>
      </c>
      <c r="I841" s="130" t="s">
        <v>1146</v>
      </c>
      <c r="J841" s="130" t="s">
        <v>100</v>
      </c>
      <c r="K841" s="130" t="s">
        <v>101</v>
      </c>
      <c r="L841" s="174" t="s">
        <v>71</v>
      </c>
      <c r="M841" s="131" t="s">
        <v>72</v>
      </c>
      <c r="N841" s="130" t="s">
        <v>73</v>
      </c>
      <c r="O841" s="219" t="s">
        <v>72</v>
      </c>
      <c r="P841" s="130" t="s">
        <v>101</v>
      </c>
      <c r="Q841" s="132" t="s">
        <v>74</v>
      </c>
      <c r="R841" s="221">
        <v>3.391</v>
      </c>
      <c r="S841" s="53">
        <v>1</v>
      </c>
      <c r="T841" s="53">
        <v>1715</v>
      </c>
      <c r="U841" s="53">
        <v>1715</v>
      </c>
      <c r="V841" s="53">
        <v>308.7</v>
      </c>
      <c r="W841" s="53">
        <v>2023.7</v>
      </c>
      <c r="X841" s="27">
        <f t="shared" si="181"/>
        <v>1715</v>
      </c>
    </row>
    <row r="842" spans="1:24" x14ac:dyDescent="0.2">
      <c r="A842" s="220">
        <v>43810</v>
      </c>
      <c r="B842" s="130" t="s">
        <v>68</v>
      </c>
      <c r="C842" s="130" t="s">
        <v>102</v>
      </c>
      <c r="D842" s="130" t="s">
        <v>1680</v>
      </c>
      <c r="E842" s="130" t="s">
        <v>1015</v>
      </c>
      <c r="F842" s="130" t="s">
        <v>1016</v>
      </c>
      <c r="G842" s="220">
        <v>43766</v>
      </c>
      <c r="H842" s="130" t="s">
        <v>1145</v>
      </c>
      <c r="I842" s="130" t="s">
        <v>1146</v>
      </c>
      <c r="J842" s="130" t="s">
        <v>92</v>
      </c>
      <c r="K842" s="130" t="s">
        <v>113</v>
      </c>
      <c r="L842" s="174" t="s">
        <v>71</v>
      </c>
      <c r="M842" s="131" t="s">
        <v>72</v>
      </c>
      <c r="N842" s="130" t="s">
        <v>73</v>
      </c>
      <c r="O842" s="219" t="s">
        <v>69</v>
      </c>
      <c r="P842" s="130" t="s">
        <v>1699</v>
      </c>
      <c r="Q842" s="132" t="s">
        <v>74</v>
      </c>
      <c r="R842" s="221">
        <v>3.391</v>
      </c>
      <c r="S842" s="53">
        <v>1</v>
      </c>
      <c r="T842" s="53">
        <v>975</v>
      </c>
      <c r="U842" s="53">
        <v>975</v>
      </c>
      <c r="V842" s="53">
        <v>175.5</v>
      </c>
      <c r="W842" s="53">
        <v>1150.5</v>
      </c>
      <c r="X842" s="27">
        <f t="shared" si="181"/>
        <v>975</v>
      </c>
    </row>
    <row r="843" spans="1:24" x14ac:dyDescent="0.2">
      <c r="A843" s="220">
        <v>43810</v>
      </c>
      <c r="B843" s="130" t="s">
        <v>68</v>
      </c>
      <c r="C843" s="130" t="s">
        <v>102</v>
      </c>
      <c r="D843" s="130" t="s">
        <v>1680</v>
      </c>
      <c r="E843" s="130" t="s">
        <v>1015</v>
      </c>
      <c r="F843" s="130" t="s">
        <v>1016</v>
      </c>
      <c r="G843" s="220">
        <v>43766</v>
      </c>
      <c r="H843" s="130" t="s">
        <v>1145</v>
      </c>
      <c r="I843" s="130" t="s">
        <v>1146</v>
      </c>
      <c r="J843" s="130" t="s">
        <v>132</v>
      </c>
      <c r="K843" s="130" t="s">
        <v>133</v>
      </c>
      <c r="L843" s="174" t="s">
        <v>71</v>
      </c>
      <c r="M843" s="131" t="s">
        <v>72</v>
      </c>
      <c r="N843" s="130" t="s">
        <v>73</v>
      </c>
      <c r="O843" s="219" t="s">
        <v>69</v>
      </c>
      <c r="P843" s="130" t="s">
        <v>1699</v>
      </c>
      <c r="Q843" s="132" t="s">
        <v>74</v>
      </c>
      <c r="R843" s="221">
        <v>3.391</v>
      </c>
      <c r="S843" s="53">
        <v>1</v>
      </c>
      <c r="T843" s="53">
        <v>1825</v>
      </c>
      <c r="U843" s="53">
        <v>1825</v>
      </c>
      <c r="V843" s="53">
        <v>328.5</v>
      </c>
      <c r="W843" s="53">
        <v>2153.5</v>
      </c>
      <c r="X843" s="27">
        <f t="shared" si="181"/>
        <v>1825</v>
      </c>
    </row>
    <row r="844" spans="1:24" x14ac:dyDescent="0.2">
      <c r="A844" s="220">
        <v>43810</v>
      </c>
      <c r="B844" s="130" t="s">
        <v>68</v>
      </c>
      <c r="C844" s="130" t="s">
        <v>102</v>
      </c>
      <c r="D844" s="130" t="s">
        <v>1680</v>
      </c>
      <c r="E844" s="130" t="s">
        <v>1015</v>
      </c>
      <c r="F844" s="130" t="s">
        <v>1016</v>
      </c>
      <c r="G844" s="220">
        <v>43766</v>
      </c>
      <c r="H844" s="130" t="s">
        <v>1145</v>
      </c>
      <c r="I844" s="130" t="s">
        <v>1146</v>
      </c>
      <c r="J844" s="130" t="s">
        <v>70</v>
      </c>
      <c r="K844" s="130" t="s">
        <v>112</v>
      </c>
      <c r="L844" s="174" t="s">
        <v>71</v>
      </c>
      <c r="M844" s="131" t="s">
        <v>72</v>
      </c>
      <c r="N844" s="130" t="s">
        <v>73</v>
      </c>
      <c r="O844" s="219" t="s">
        <v>69</v>
      </c>
      <c r="P844" s="130" t="s">
        <v>1699</v>
      </c>
      <c r="Q844" s="132" t="s">
        <v>74</v>
      </c>
      <c r="R844" s="221">
        <v>3.391</v>
      </c>
      <c r="S844" s="53">
        <v>1</v>
      </c>
      <c r="T844" s="53">
        <v>498.75421</v>
      </c>
      <c r="U844" s="53">
        <v>498.75421</v>
      </c>
      <c r="V844" s="53">
        <v>89.775819999999953</v>
      </c>
      <c r="W844" s="53">
        <v>588.53003000000001</v>
      </c>
      <c r="X844" s="27">
        <f t="shared" si="181"/>
        <v>498.75421</v>
      </c>
    </row>
    <row r="845" spans="1:24" x14ac:dyDescent="0.2">
      <c r="A845" s="220">
        <v>43810</v>
      </c>
      <c r="B845" s="130" t="s">
        <v>68</v>
      </c>
      <c r="C845" s="130" t="s">
        <v>102</v>
      </c>
      <c r="D845" s="130" t="s">
        <v>1680</v>
      </c>
      <c r="E845" s="130" t="s">
        <v>1015</v>
      </c>
      <c r="F845" s="130" t="s">
        <v>1016</v>
      </c>
      <c r="G845" s="220">
        <v>43766</v>
      </c>
      <c r="H845" s="130" t="s">
        <v>1145</v>
      </c>
      <c r="I845" s="130" t="s">
        <v>1146</v>
      </c>
      <c r="J845" s="130" t="s">
        <v>104</v>
      </c>
      <c r="K845" s="130" t="s">
        <v>105</v>
      </c>
      <c r="L845" s="174" t="s">
        <v>71</v>
      </c>
      <c r="M845" s="131" t="s">
        <v>72</v>
      </c>
      <c r="N845" s="130" t="s">
        <v>73</v>
      </c>
      <c r="O845" s="219" t="s">
        <v>69</v>
      </c>
      <c r="P845" s="130" t="s">
        <v>1699</v>
      </c>
      <c r="Q845" s="132" t="s">
        <v>74</v>
      </c>
      <c r="R845" s="221">
        <v>3.391</v>
      </c>
      <c r="S845" s="53">
        <v>1</v>
      </c>
      <c r="T845" s="53">
        <v>3601</v>
      </c>
      <c r="U845" s="53">
        <v>3601</v>
      </c>
      <c r="V845" s="53">
        <v>648.18019999999956</v>
      </c>
      <c r="W845" s="53">
        <v>4249.1801999999998</v>
      </c>
      <c r="X845" s="27">
        <f t="shared" si="181"/>
        <v>3601</v>
      </c>
    </row>
    <row r="846" spans="1:24" x14ac:dyDescent="0.2">
      <c r="A846" s="220">
        <v>43811</v>
      </c>
      <c r="B846" s="130" t="s">
        <v>68</v>
      </c>
      <c r="C846" s="130" t="s">
        <v>102</v>
      </c>
      <c r="D846" s="130" t="s">
        <v>1679</v>
      </c>
      <c r="E846" s="130" t="s">
        <v>1921</v>
      </c>
      <c r="F846" s="130" t="s">
        <v>2306</v>
      </c>
      <c r="G846" s="220">
        <v>43804</v>
      </c>
      <c r="H846" s="130" t="s">
        <v>90</v>
      </c>
      <c r="I846" s="130" t="s">
        <v>91</v>
      </c>
      <c r="J846" s="130" t="s">
        <v>97</v>
      </c>
      <c r="K846" s="130" t="s">
        <v>98</v>
      </c>
      <c r="L846" s="174" t="s">
        <v>71</v>
      </c>
      <c r="M846" s="131" t="s">
        <v>72</v>
      </c>
      <c r="N846" s="130" t="s">
        <v>73</v>
      </c>
      <c r="O846" s="219" t="s">
        <v>99</v>
      </c>
      <c r="P846" s="130" t="s">
        <v>98</v>
      </c>
      <c r="Q846" s="132" t="s">
        <v>93</v>
      </c>
      <c r="R846" s="221">
        <v>3.3929999</v>
      </c>
      <c r="S846" s="53">
        <v>1</v>
      </c>
      <c r="T846" s="53">
        <v>118</v>
      </c>
      <c r="U846" s="53">
        <v>118</v>
      </c>
      <c r="V846" s="53">
        <v>21.240010000000019</v>
      </c>
      <c r="W846" s="53">
        <v>139.24001000000001</v>
      </c>
      <c r="X846" s="27">
        <f t="shared" si="181"/>
        <v>400.37398819999999</v>
      </c>
    </row>
    <row r="847" spans="1:24" x14ac:dyDescent="0.2">
      <c r="A847" s="220">
        <v>43811</v>
      </c>
      <c r="B847" s="130" t="s">
        <v>68</v>
      </c>
      <c r="C847" s="130" t="s">
        <v>102</v>
      </c>
      <c r="D847" s="130" t="s">
        <v>1679</v>
      </c>
      <c r="E847" s="130" t="s">
        <v>1921</v>
      </c>
      <c r="F847" s="130" t="s">
        <v>2306</v>
      </c>
      <c r="G847" s="220">
        <v>43804</v>
      </c>
      <c r="H847" s="130" t="s">
        <v>90</v>
      </c>
      <c r="I847" s="130" t="s">
        <v>91</v>
      </c>
      <c r="J847" s="130" t="s">
        <v>100</v>
      </c>
      <c r="K847" s="130" t="s">
        <v>101</v>
      </c>
      <c r="L847" s="174" t="s">
        <v>71</v>
      </c>
      <c r="M847" s="131" t="s">
        <v>72</v>
      </c>
      <c r="N847" s="130" t="s">
        <v>73</v>
      </c>
      <c r="O847" s="219" t="s">
        <v>72</v>
      </c>
      <c r="P847" s="130" t="s">
        <v>101</v>
      </c>
      <c r="Q847" s="132" t="s">
        <v>93</v>
      </c>
      <c r="R847" s="221">
        <v>3.3929999</v>
      </c>
      <c r="S847" s="53">
        <v>1</v>
      </c>
      <c r="T847" s="53">
        <v>180</v>
      </c>
      <c r="U847" s="53">
        <v>180</v>
      </c>
      <c r="V847" s="53">
        <v>32.39998999999996</v>
      </c>
      <c r="W847" s="53">
        <v>212.39998999999997</v>
      </c>
      <c r="X847" s="27">
        <f t="shared" si="181"/>
        <v>610.73998199999994</v>
      </c>
    </row>
    <row r="848" spans="1:24" x14ac:dyDescent="0.2">
      <c r="A848" s="220">
        <v>43812</v>
      </c>
      <c r="B848" s="130" t="s">
        <v>68</v>
      </c>
      <c r="C848" s="130" t="s">
        <v>102</v>
      </c>
      <c r="D848" s="130" t="s">
        <v>2307</v>
      </c>
      <c r="E848" s="130" t="s">
        <v>1910</v>
      </c>
      <c r="F848" s="130" t="s">
        <v>2308</v>
      </c>
      <c r="G848" s="220">
        <v>43798</v>
      </c>
      <c r="H848" s="130" t="s">
        <v>557</v>
      </c>
      <c r="I848" s="130" t="s">
        <v>556</v>
      </c>
      <c r="J848" s="130" t="s">
        <v>95</v>
      </c>
      <c r="K848" s="130" t="s">
        <v>96</v>
      </c>
      <c r="L848" s="174" t="s">
        <v>71</v>
      </c>
      <c r="M848" s="131" t="s">
        <v>72</v>
      </c>
      <c r="N848" s="130" t="s">
        <v>73</v>
      </c>
      <c r="O848" s="219" t="s">
        <v>69</v>
      </c>
      <c r="P848" s="130" t="s">
        <v>1699</v>
      </c>
      <c r="Q848" s="132" t="s">
        <v>93</v>
      </c>
      <c r="R848" s="221">
        <v>3.3929999</v>
      </c>
      <c r="S848" s="53">
        <v>1</v>
      </c>
      <c r="T848" s="53">
        <v>100</v>
      </c>
      <c r="U848" s="53">
        <v>100</v>
      </c>
      <c r="V848" s="53">
        <v>18</v>
      </c>
      <c r="W848" s="53">
        <v>118</v>
      </c>
      <c r="X848" s="27">
        <f t="shared" si="181"/>
        <v>339.29998999999998</v>
      </c>
    </row>
    <row r="849" spans="1:24" x14ac:dyDescent="0.2">
      <c r="A849" s="220">
        <v>43812</v>
      </c>
      <c r="B849" s="130" t="s">
        <v>68</v>
      </c>
      <c r="C849" s="130" t="s">
        <v>102</v>
      </c>
      <c r="D849" s="130" t="s">
        <v>2309</v>
      </c>
      <c r="E849" s="130" t="s">
        <v>1910</v>
      </c>
      <c r="F849" s="130" t="s">
        <v>2308</v>
      </c>
      <c r="G849" s="220">
        <v>43798</v>
      </c>
      <c r="H849" s="130" t="s">
        <v>90</v>
      </c>
      <c r="I849" s="130" t="s">
        <v>91</v>
      </c>
      <c r="J849" s="130" t="s">
        <v>97</v>
      </c>
      <c r="K849" s="130" t="s">
        <v>98</v>
      </c>
      <c r="L849" s="174" t="s">
        <v>71</v>
      </c>
      <c r="M849" s="131" t="s">
        <v>72</v>
      </c>
      <c r="N849" s="130" t="s">
        <v>73</v>
      </c>
      <c r="O849" s="219" t="s">
        <v>99</v>
      </c>
      <c r="P849" s="130" t="s">
        <v>98</v>
      </c>
      <c r="Q849" s="132" t="s">
        <v>93</v>
      </c>
      <c r="R849" s="221">
        <v>3.3929999</v>
      </c>
      <c r="S849" s="53">
        <v>1</v>
      </c>
      <c r="T849" s="53">
        <v>118</v>
      </c>
      <c r="U849" s="53">
        <v>118</v>
      </c>
      <c r="V849" s="53">
        <v>21.240010000000019</v>
      </c>
      <c r="W849" s="53">
        <v>139.24001000000001</v>
      </c>
      <c r="X849" s="27">
        <f t="shared" si="181"/>
        <v>400.37398819999999</v>
      </c>
    </row>
    <row r="850" spans="1:24" x14ac:dyDescent="0.2">
      <c r="A850" s="220">
        <v>43812</v>
      </c>
      <c r="B850" s="130" t="s">
        <v>68</v>
      </c>
      <c r="C850" s="130" t="s">
        <v>102</v>
      </c>
      <c r="D850" s="130" t="s">
        <v>2309</v>
      </c>
      <c r="E850" s="130" t="s">
        <v>1910</v>
      </c>
      <c r="F850" s="130" t="s">
        <v>2308</v>
      </c>
      <c r="G850" s="220">
        <v>43798</v>
      </c>
      <c r="H850" s="130" t="s">
        <v>90</v>
      </c>
      <c r="I850" s="130" t="s">
        <v>91</v>
      </c>
      <c r="J850" s="130" t="s">
        <v>100</v>
      </c>
      <c r="K850" s="130" t="s">
        <v>101</v>
      </c>
      <c r="L850" s="174" t="s">
        <v>71</v>
      </c>
      <c r="M850" s="131" t="s">
        <v>72</v>
      </c>
      <c r="N850" s="130" t="s">
        <v>73</v>
      </c>
      <c r="O850" s="219" t="s">
        <v>72</v>
      </c>
      <c r="P850" s="130" t="s">
        <v>101</v>
      </c>
      <c r="Q850" s="132" t="s">
        <v>93</v>
      </c>
      <c r="R850" s="221">
        <v>3.3929999</v>
      </c>
      <c r="S850" s="53">
        <v>1</v>
      </c>
      <c r="T850" s="53">
        <v>165</v>
      </c>
      <c r="U850" s="53">
        <v>165</v>
      </c>
      <c r="V850" s="53">
        <v>29.7</v>
      </c>
      <c r="W850" s="53">
        <v>194.7</v>
      </c>
      <c r="X850" s="27">
        <f t="shared" si="181"/>
        <v>559.84498350000001</v>
      </c>
    </row>
    <row r="851" spans="1:24" x14ac:dyDescent="0.2">
      <c r="A851" s="220">
        <v>43812</v>
      </c>
      <c r="B851" s="130" t="s">
        <v>68</v>
      </c>
      <c r="C851" s="130" t="s">
        <v>102</v>
      </c>
      <c r="D851" s="130" t="s">
        <v>2309</v>
      </c>
      <c r="E851" s="130" t="s">
        <v>1910</v>
      </c>
      <c r="F851" s="130" t="s">
        <v>2308</v>
      </c>
      <c r="G851" s="220">
        <v>43798</v>
      </c>
      <c r="H851" s="130" t="s">
        <v>90</v>
      </c>
      <c r="I851" s="130" t="s">
        <v>91</v>
      </c>
      <c r="J851" s="130" t="s">
        <v>95</v>
      </c>
      <c r="K851" s="130" t="s">
        <v>96</v>
      </c>
      <c r="L851" s="174" t="s">
        <v>71</v>
      </c>
      <c r="M851" s="131" t="s">
        <v>72</v>
      </c>
      <c r="N851" s="130" t="s">
        <v>73</v>
      </c>
      <c r="O851" s="219" t="s">
        <v>69</v>
      </c>
      <c r="P851" s="130" t="s">
        <v>1699</v>
      </c>
      <c r="Q851" s="132" t="s">
        <v>93</v>
      </c>
      <c r="R851" s="221">
        <v>3.3929999</v>
      </c>
      <c r="S851" s="53">
        <v>-1</v>
      </c>
      <c r="T851" s="53">
        <v>100</v>
      </c>
      <c r="U851" s="53">
        <v>-100</v>
      </c>
      <c r="V851" s="53">
        <v>-18</v>
      </c>
      <c r="W851" s="53">
        <v>-118</v>
      </c>
      <c r="X851" s="27">
        <f t="shared" si="181"/>
        <v>-339.29998999999998</v>
      </c>
    </row>
    <row r="852" spans="1:24" x14ac:dyDescent="0.2">
      <c r="A852" s="220">
        <v>43812</v>
      </c>
      <c r="B852" s="130" t="s">
        <v>68</v>
      </c>
      <c r="C852" s="130" t="s">
        <v>102</v>
      </c>
      <c r="D852" s="130" t="s">
        <v>2309</v>
      </c>
      <c r="E852" s="130" t="s">
        <v>1910</v>
      </c>
      <c r="F852" s="130" t="s">
        <v>2308</v>
      </c>
      <c r="G852" s="220">
        <v>43798</v>
      </c>
      <c r="H852" s="130" t="s">
        <v>90</v>
      </c>
      <c r="I852" s="130" t="s">
        <v>91</v>
      </c>
      <c r="J852" s="130" t="s">
        <v>104</v>
      </c>
      <c r="K852" s="130" t="s">
        <v>105</v>
      </c>
      <c r="L852" s="174" t="s">
        <v>71</v>
      </c>
      <c r="M852" s="131" t="s">
        <v>72</v>
      </c>
      <c r="N852" s="130" t="s">
        <v>73</v>
      </c>
      <c r="O852" s="219" t="s">
        <v>69</v>
      </c>
      <c r="P852" s="130" t="s">
        <v>1699</v>
      </c>
      <c r="Q852" s="132" t="s">
        <v>93</v>
      </c>
      <c r="R852" s="221">
        <v>3.3929999</v>
      </c>
      <c r="S852" s="53">
        <v>1</v>
      </c>
      <c r="T852" s="53">
        <v>0</v>
      </c>
      <c r="U852" s="53">
        <v>0</v>
      </c>
      <c r="V852" s="53">
        <v>0</v>
      </c>
      <c r="W852" s="53">
        <v>0</v>
      </c>
      <c r="X852" s="27">
        <f t="shared" si="181"/>
        <v>0</v>
      </c>
    </row>
    <row r="853" spans="1:24" x14ac:dyDescent="0.2">
      <c r="A853" s="220">
        <v>43813</v>
      </c>
      <c r="B853" s="130" t="s">
        <v>68</v>
      </c>
      <c r="C853" s="130" t="s">
        <v>102</v>
      </c>
      <c r="D853" s="130" t="s">
        <v>2069</v>
      </c>
      <c r="E853" s="130" t="s">
        <v>1917</v>
      </c>
      <c r="F853" s="130" t="s">
        <v>2310</v>
      </c>
      <c r="G853" s="220">
        <v>43801</v>
      </c>
      <c r="H853" s="130" t="s">
        <v>2311</v>
      </c>
      <c r="I853" s="130" t="s">
        <v>2312</v>
      </c>
      <c r="J853" s="130" t="s">
        <v>95</v>
      </c>
      <c r="K853" s="130" t="s">
        <v>96</v>
      </c>
      <c r="L853" s="174" t="s">
        <v>71</v>
      </c>
      <c r="M853" s="131" t="s">
        <v>72</v>
      </c>
      <c r="N853" s="130" t="s">
        <v>73</v>
      </c>
      <c r="O853" s="219" t="s">
        <v>69</v>
      </c>
      <c r="P853" s="130" t="s">
        <v>1699</v>
      </c>
      <c r="Q853" s="132" t="s">
        <v>93</v>
      </c>
      <c r="R853" s="221">
        <v>3.3729998999999999</v>
      </c>
      <c r="S853" s="53">
        <v>1</v>
      </c>
      <c r="T853" s="53">
        <v>126.17800000000001</v>
      </c>
      <c r="U853" s="53">
        <v>126.178</v>
      </c>
      <c r="V853" s="53">
        <v>22.711999999999971</v>
      </c>
      <c r="W853" s="53">
        <v>148.88999999999999</v>
      </c>
      <c r="X853" s="27">
        <f t="shared" si="181"/>
        <v>425.59838138219999</v>
      </c>
    </row>
    <row r="854" spans="1:24" x14ac:dyDescent="0.2">
      <c r="A854" s="220">
        <v>43813</v>
      </c>
      <c r="B854" s="130" t="s">
        <v>68</v>
      </c>
      <c r="C854" s="130" t="s">
        <v>102</v>
      </c>
      <c r="D854" s="130" t="s">
        <v>2313</v>
      </c>
      <c r="E854" s="130" t="s">
        <v>1917</v>
      </c>
      <c r="F854" s="130" t="s">
        <v>2310</v>
      </c>
      <c r="G854" s="220">
        <v>43801</v>
      </c>
      <c r="H854" s="130" t="s">
        <v>90</v>
      </c>
      <c r="I854" s="130" t="s">
        <v>91</v>
      </c>
      <c r="J854" s="130" t="s">
        <v>97</v>
      </c>
      <c r="K854" s="130" t="s">
        <v>98</v>
      </c>
      <c r="L854" s="174" t="s">
        <v>71</v>
      </c>
      <c r="M854" s="131" t="s">
        <v>72</v>
      </c>
      <c r="N854" s="130" t="s">
        <v>73</v>
      </c>
      <c r="O854" s="219" t="s">
        <v>99</v>
      </c>
      <c r="P854" s="130" t="s">
        <v>98</v>
      </c>
      <c r="Q854" s="132" t="s">
        <v>93</v>
      </c>
      <c r="R854" s="221">
        <v>3.3729998999999999</v>
      </c>
      <c r="S854" s="53">
        <v>1</v>
      </c>
      <c r="T854" s="53">
        <v>324.5</v>
      </c>
      <c r="U854" s="53">
        <v>324.5</v>
      </c>
      <c r="V854" s="53">
        <v>58.41</v>
      </c>
      <c r="W854" s="53">
        <v>382.91</v>
      </c>
      <c r="X854" s="27">
        <f t="shared" si="181"/>
        <v>1094.53846755</v>
      </c>
    </row>
    <row r="855" spans="1:24" x14ac:dyDescent="0.2">
      <c r="A855" s="220">
        <v>43813</v>
      </c>
      <c r="B855" s="130" t="s">
        <v>68</v>
      </c>
      <c r="C855" s="130" t="s">
        <v>102</v>
      </c>
      <c r="D855" s="130" t="s">
        <v>2313</v>
      </c>
      <c r="E855" s="130" t="s">
        <v>1917</v>
      </c>
      <c r="F855" s="130" t="s">
        <v>2310</v>
      </c>
      <c r="G855" s="220">
        <v>43801</v>
      </c>
      <c r="H855" s="130" t="s">
        <v>90</v>
      </c>
      <c r="I855" s="130" t="s">
        <v>91</v>
      </c>
      <c r="J855" s="130" t="s">
        <v>100</v>
      </c>
      <c r="K855" s="130" t="s">
        <v>101</v>
      </c>
      <c r="L855" s="174" t="s">
        <v>71</v>
      </c>
      <c r="M855" s="131" t="s">
        <v>72</v>
      </c>
      <c r="N855" s="130" t="s">
        <v>73</v>
      </c>
      <c r="O855" s="219" t="s">
        <v>72</v>
      </c>
      <c r="P855" s="130" t="s">
        <v>101</v>
      </c>
      <c r="Q855" s="132" t="s">
        <v>93</v>
      </c>
      <c r="R855" s="221">
        <v>3.3729998999999999</v>
      </c>
      <c r="S855" s="53">
        <v>1</v>
      </c>
      <c r="T855" s="53">
        <v>450</v>
      </c>
      <c r="U855" s="53">
        <v>450</v>
      </c>
      <c r="V855" s="53">
        <v>81</v>
      </c>
      <c r="W855" s="53">
        <v>531</v>
      </c>
      <c r="X855" s="27">
        <f t="shared" si="181"/>
        <v>1517.8499549999999</v>
      </c>
    </row>
    <row r="856" spans="1:24" x14ac:dyDescent="0.2">
      <c r="A856" s="220">
        <v>43813</v>
      </c>
      <c r="B856" s="130" t="s">
        <v>68</v>
      </c>
      <c r="C856" s="130" t="s">
        <v>102</v>
      </c>
      <c r="D856" s="130" t="s">
        <v>2313</v>
      </c>
      <c r="E856" s="130" t="s">
        <v>1917</v>
      </c>
      <c r="F856" s="130" t="s">
        <v>2310</v>
      </c>
      <c r="G856" s="220">
        <v>43801</v>
      </c>
      <c r="H856" s="130" t="s">
        <v>90</v>
      </c>
      <c r="I856" s="130" t="s">
        <v>91</v>
      </c>
      <c r="J856" s="130" t="s">
        <v>92</v>
      </c>
      <c r="K856" s="130" t="s">
        <v>113</v>
      </c>
      <c r="L856" s="174" t="s">
        <v>71</v>
      </c>
      <c r="M856" s="131" t="s">
        <v>72</v>
      </c>
      <c r="N856" s="130" t="s">
        <v>73</v>
      </c>
      <c r="O856" s="219" t="s">
        <v>69</v>
      </c>
      <c r="P856" s="130" t="s">
        <v>1699</v>
      </c>
      <c r="Q856" s="132" t="s">
        <v>93</v>
      </c>
      <c r="R856" s="221">
        <v>3.3729998999999999</v>
      </c>
      <c r="S856" s="53">
        <v>1</v>
      </c>
      <c r="T856" s="53">
        <v>65</v>
      </c>
      <c r="U856" s="53">
        <v>65</v>
      </c>
      <c r="V856" s="53">
        <v>11.699996999999994</v>
      </c>
      <c r="W856" s="53">
        <v>76.699996999999996</v>
      </c>
      <c r="X856" s="27">
        <f t="shared" si="181"/>
        <v>219.24499349999999</v>
      </c>
    </row>
    <row r="857" spans="1:24" x14ac:dyDescent="0.2">
      <c r="A857" s="220">
        <v>43813</v>
      </c>
      <c r="B857" s="130" t="s">
        <v>68</v>
      </c>
      <c r="C857" s="130" t="s">
        <v>102</v>
      </c>
      <c r="D857" s="130" t="s">
        <v>2313</v>
      </c>
      <c r="E857" s="130" t="s">
        <v>1917</v>
      </c>
      <c r="F857" s="130" t="s">
        <v>2310</v>
      </c>
      <c r="G857" s="220">
        <v>43801</v>
      </c>
      <c r="H857" s="130" t="s">
        <v>90</v>
      </c>
      <c r="I857" s="130" t="s">
        <v>91</v>
      </c>
      <c r="J857" s="130" t="s">
        <v>95</v>
      </c>
      <c r="K857" s="130" t="s">
        <v>96</v>
      </c>
      <c r="L857" s="174" t="s">
        <v>71</v>
      </c>
      <c r="M857" s="131" t="s">
        <v>72</v>
      </c>
      <c r="N857" s="130" t="s">
        <v>73</v>
      </c>
      <c r="O857" s="219" t="s">
        <v>69</v>
      </c>
      <c r="P857" s="130" t="s">
        <v>1699</v>
      </c>
      <c r="Q857" s="132" t="s">
        <v>93</v>
      </c>
      <c r="R857" s="221">
        <v>3.3729998999999999</v>
      </c>
      <c r="S857" s="53">
        <v>-1</v>
      </c>
      <c r="T857" s="53">
        <v>126.17800000000001</v>
      </c>
      <c r="U857" s="53">
        <v>-126.178</v>
      </c>
      <c r="V857" s="53">
        <v>-22.711999999999971</v>
      </c>
      <c r="W857" s="53">
        <v>-148.88999999999999</v>
      </c>
      <c r="X857" s="27">
        <f t="shared" si="181"/>
        <v>-425.59838138219999</v>
      </c>
    </row>
    <row r="858" spans="1:24" x14ac:dyDescent="0.2">
      <c r="A858" s="220">
        <v>43813</v>
      </c>
      <c r="B858" s="130" t="s">
        <v>68</v>
      </c>
      <c r="C858" s="130" t="s">
        <v>102</v>
      </c>
      <c r="D858" s="130" t="s">
        <v>2313</v>
      </c>
      <c r="E858" s="130" t="s">
        <v>1917</v>
      </c>
      <c r="F858" s="130" t="s">
        <v>2310</v>
      </c>
      <c r="G858" s="220">
        <v>43801</v>
      </c>
      <c r="H858" s="130" t="s">
        <v>90</v>
      </c>
      <c r="I858" s="130" t="s">
        <v>91</v>
      </c>
      <c r="J858" s="130" t="s">
        <v>104</v>
      </c>
      <c r="K858" s="130" t="s">
        <v>105</v>
      </c>
      <c r="L858" s="174" t="s">
        <v>71</v>
      </c>
      <c r="M858" s="131" t="s">
        <v>72</v>
      </c>
      <c r="N858" s="130" t="s">
        <v>73</v>
      </c>
      <c r="O858" s="219" t="s">
        <v>69</v>
      </c>
      <c r="P858" s="130" t="s">
        <v>1699</v>
      </c>
      <c r="Q858" s="132" t="s">
        <v>93</v>
      </c>
      <c r="R858" s="221">
        <v>3.3729998999999999</v>
      </c>
      <c r="S858" s="53">
        <v>1</v>
      </c>
      <c r="T858" s="53">
        <v>0</v>
      </c>
      <c r="U858" s="53">
        <v>0</v>
      </c>
      <c r="V858" s="53">
        <v>0</v>
      </c>
      <c r="W858" s="53">
        <v>0</v>
      </c>
      <c r="X858" s="27">
        <f t="shared" si="181"/>
        <v>0</v>
      </c>
    </row>
    <row r="859" spans="1:24" x14ac:dyDescent="0.2">
      <c r="A859" s="220">
        <v>43813</v>
      </c>
      <c r="B859" s="130" t="s">
        <v>68</v>
      </c>
      <c r="C859" s="130" t="s">
        <v>102</v>
      </c>
      <c r="D859" s="130" t="s">
        <v>2314</v>
      </c>
      <c r="E859" s="130" t="s">
        <v>1927</v>
      </c>
      <c r="F859" s="130" t="s">
        <v>2011</v>
      </c>
      <c r="G859" s="220">
        <v>43804</v>
      </c>
      <c r="H859" s="130" t="s">
        <v>2315</v>
      </c>
      <c r="I859" s="130" t="s">
        <v>2316</v>
      </c>
      <c r="J859" s="130" t="s">
        <v>95</v>
      </c>
      <c r="K859" s="130" t="s">
        <v>96</v>
      </c>
      <c r="L859" s="174" t="s">
        <v>71</v>
      </c>
      <c r="M859" s="131" t="s">
        <v>72</v>
      </c>
      <c r="N859" s="130" t="s">
        <v>73</v>
      </c>
      <c r="O859" s="219" t="s">
        <v>69</v>
      </c>
      <c r="P859" s="130" t="s">
        <v>1699</v>
      </c>
      <c r="Q859" s="132" t="s">
        <v>93</v>
      </c>
      <c r="R859" s="221">
        <v>3.3729998999999999</v>
      </c>
      <c r="S859" s="53">
        <v>1</v>
      </c>
      <c r="T859" s="53">
        <v>150</v>
      </c>
      <c r="U859" s="53">
        <v>150</v>
      </c>
      <c r="V859" s="53">
        <v>27</v>
      </c>
      <c r="W859" s="53">
        <v>177</v>
      </c>
      <c r="X859" s="27">
        <f t="shared" si="181"/>
        <v>505.94998499999997</v>
      </c>
    </row>
    <row r="860" spans="1:24" x14ac:dyDescent="0.2">
      <c r="A860" s="220">
        <v>43813</v>
      </c>
      <c r="B860" s="130" t="s">
        <v>68</v>
      </c>
      <c r="C860" s="130" t="s">
        <v>102</v>
      </c>
      <c r="D860" s="130" t="s">
        <v>2317</v>
      </c>
      <c r="E860" s="130" t="s">
        <v>1927</v>
      </c>
      <c r="F860" s="130" t="s">
        <v>2011</v>
      </c>
      <c r="G860" s="220">
        <v>43804</v>
      </c>
      <c r="H860" s="130" t="s">
        <v>90</v>
      </c>
      <c r="I860" s="130" t="s">
        <v>91</v>
      </c>
      <c r="J860" s="130" t="s">
        <v>97</v>
      </c>
      <c r="K860" s="130" t="s">
        <v>98</v>
      </c>
      <c r="L860" s="174" t="s">
        <v>71</v>
      </c>
      <c r="M860" s="131" t="s">
        <v>72</v>
      </c>
      <c r="N860" s="130" t="s">
        <v>73</v>
      </c>
      <c r="O860" s="219" t="s">
        <v>99</v>
      </c>
      <c r="P860" s="130" t="s">
        <v>98</v>
      </c>
      <c r="Q860" s="132" t="s">
        <v>93</v>
      </c>
      <c r="R860" s="221">
        <v>3.3729998999999999</v>
      </c>
      <c r="S860" s="53">
        <v>1</v>
      </c>
      <c r="T860" s="53">
        <v>236</v>
      </c>
      <c r="U860" s="53">
        <v>236</v>
      </c>
      <c r="V860" s="53">
        <v>42.48001</v>
      </c>
      <c r="W860" s="53">
        <v>278.48000999999999</v>
      </c>
      <c r="X860" s="27">
        <f t="shared" si="181"/>
        <v>796.02797639999994</v>
      </c>
    </row>
    <row r="861" spans="1:24" x14ac:dyDescent="0.2">
      <c r="A861" s="220">
        <v>43813</v>
      </c>
      <c r="B861" s="130" t="s">
        <v>68</v>
      </c>
      <c r="C861" s="130" t="s">
        <v>102</v>
      </c>
      <c r="D861" s="130" t="s">
        <v>2317</v>
      </c>
      <c r="E861" s="130" t="s">
        <v>1927</v>
      </c>
      <c r="F861" s="130" t="s">
        <v>2011</v>
      </c>
      <c r="G861" s="220">
        <v>43804</v>
      </c>
      <c r="H861" s="130" t="s">
        <v>90</v>
      </c>
      <c r="I861" s="130" t="s">
        <v>91</v>
      </c>
      <c r="J861" s="130" t="s">
        <v>100</v>
      </c>
      <c r="K861" s="130" t="s">
        <v>101</v>
      </c>
      <c r="L861" s="174" t="s">
        <v>71</v>
      </c>
      <c r="M861" s="131" t="s">
        <v>72</v>
      </c>
      <c r="N861" s="130" t="s">
        <v>73</v>
      </c>
      <c r="O861" s="219" t="s">
        <v>72</v>
      </c>
      <c r="P861" s="130" t="s">
        <v>101</v>
      </c>
      <c r="Q861" s="132" t="s">
        <v>93</v>
      </c>
      <c r="R861" s="221">
        <v>3.3729998999999999</v>
      </c>
      <c r="S861" s="53">
        <v>1</v>
      </c>
      <c r="T861" s="53">
        <v>450</v>
      </c>
      <c r="U861" s="53">
        <v>450</v>
      </c>
      <c r="V861" s="53">
        <v>81</v>
      </c>
      <c r="W861" s="53">
        <v>531</v>
      </c>
      <c r="X861" s="27">
        <f t="shared" si="181"/>
        <v>1517.8499549999999</v>
      </c>
    </row>
    <row r="862" spans="1:24" x14ac:dyDescent="0.2">
      <c r="A862" s="220">
        <v>43813</v>
      </c>
      <c r="B862" s="130" t="s">
        <v>68</v>
      </c>
      <c r="C862" s="130" t="s">
        <v>102</v>
      </c>
      <c r="D862" s="130" t="s">
        <v>2317</v>
      </c>
      <c r="E862" s="130" t="s">
        <v>1927</v>
      </c>
      <c r="F862" s="130" t="s">
        <v>2011</v>
      </c>
      <c r="G862" s="220">
        <v>43804</v>
      </c>
      <c r="H862" s="130" t="s">
        <v>90</v>
      </c>
      <c r="I862" s="130" t="s">
        <v>91</v>
      </c>
      <c r="J862" s="130" t="s">
        <v>92</v>
      </c>
      <c r="K862" s="130" t="s">
        <v>113</v>
      </c>
      <c r="L862" s="174" t="s">
        <v>71</v>
      </c>
      <c r="M862" s="131" t="s">
        <v>72</v>
      </c>
      <c r="N862" s="130" t="s">
        <v>73</v>
      </c>
      <c r="O862" s="219" t="s">
        <v>69</v>
      </c>
      <c r="P862" s="130" t="s">
        <v>1699</v>
      </c>
      <c r="Q862" s="132" t="s">
        <v>93</v>
      </c>
      <c r="R862" s="221">
        <v>3.3729998999999999</v>
      </c>
      <c r="S862" s="53">
        <v>1</v>
      </c>
      <c r="T862" s="53">
        <v>50</v>
      </c>
      <c r="U862" s="53">
        <v>50</v>
      </c>
      <c r="V862" s="53">
        <v>9</v>
      </c>
      <c r="W862" s="53">
        <v>59</v>
      </c>
      <c r="X862" s="27">
        <f t="shared" si="181"/>
        <v>168.64999499999999</v>
      </c>
    </row>
    <row r="863" spans="1:24" x14ac:dyDescent="0.2">
      <c r="A863" s="220">
        <v>43813</v>
      </c>
      <c r="B863" s="130" t="s">
        <v>68</v>
      </c>
      <c r="C863" s="130" t="s">
        <v>102</v>
      </c>
      <c r="D863" s="130" t="s">
        <v>2317</v>
      </c>
      <c r="E863" s="130" t="s">
        <v>1927</v>
      </c>
      <c r="F863" s="130" t="s">
        <v>2011</v>
      </c>
      <c r="G863" s="220">
        <v>43804</v>
      </c>
      <c r="H863" s="130" t="s">
        <v>90</v>
      </c>
      <c r="I863" s="130" t="s">
        <v>91</v>
      </c>
      <c r="J863" s="130" t="s">
        <v>95</v>
      </c>
      <c r="K863" s="130" t="s">
        <v>96</v>
      </c>
      <c r="L863" s="174" t="s">
        <v>71</v>
      </c>
      <c r="M863" s="131" t="s">
        <v>72</v>
      </c>
      <c r="N863" s="130" t="s">
        <v>73</v>
      </c>
      <c r="O863" s="219" t="s">
        <v>69</v>
      </c>
      <c r="P863" s="130" t="s">
        <v>1699</v>
      </c>
      <c r="Q863" s="132" t="s">
        <v>93</v>
      </c>
      <c r="R863" s="221">
        <v>3.3729998999999999</v>
      </c>
      <c r="S863" s="53">
        <v>-1</v>
      </c>
      <c r="T863" s="53">
        <v>150</v>
      </c>
      <c r="U863" s="53">
        <v>-150</v>
      </c>
      <c r="V863" s="53">
        <v>-27</v>
      </c>
      <c r="W863" s="53">
        <v>-177</v>
      </c>
      <c r="X863" s="27">
        <f t="shared" si="181"/>
        <v>-505.94998499999997</v>
      </c>
    </row>
    <row r="864" spans="1:24" x14ac:dyDescent="0.2">
      <c r="A864" s="220">
        <v>43813</v>
      </c>
      <c r="B864" s="130" t="s">
        <v>68</v>
      </c>
      <c r="C864" s="130" t="s">
        <v>102</v>
      </c>
      <c r="D864" s="130" t="s">
        <v>2317</v>
      </c>
      <c r="E864" s="130" t="s">
        <v>1927</v>
      </c>
      <c r="F864" s="130" t="s">
        <v>2011</v>
      </c>
      <c r="G864" s="220">
        <v>43804</v>
      </c>
      <c r="H864" s="130" t="s">
        <v>90</v>
      </c>
      <c r="I864" s="130" t="s">
        <v>91</v>
      </c>
      <c r="J864" s="130" t="s">
        <v>104</v>
      </c>
      <c r="K864" s="130" t="s">
        <v>105</v>
      </c>
      <c r="L864" s="174" t="s">
        <v>71</v>
      </c>
      <c r="M864" s="131" t="s">
        <v>72</v>
      </c>
      <c r="N864" s="130" t="s">
        <v>73</v>
      </c>
      <c r="O864" s="219" t="s">
        <v>69</v>
      </c>
      <c r="P864" s="130" t="s">
        <v>1699</v>
      </c>
      <c r="Q864" s="132" t="s">
        <v>93</v>
      </c>
      <c r="R864" s="221">
        <v>3.3729998999999999</v>
      </c>
      <c r="S864" s="53">
        <v>1</v>
      </c>
      <c r="T864" s="53">
        <v>0</v>
      </c>
      <c r="U864" s="53">
        <v>0</v>
      </c>
      <c r="V864" s="53">
        <v>0</v>
      </c>
      <c r="W864" s="53">
        <v>0</v>
      </c>
      <c r="X864" s="27">
        <f t="shared" si="181"/>
        <v>0</v>
      </c>
    </row>
    <row r="865" spans="1:24" x14ac:dyDescent="0.2">
      <c r="A865" s="220">
        <v>43815</v>
      </c>
      <c r="B865" s="130" t="s">
        <v>68</v>
      </c>
      <c r="C865" s="130" t="s">
        <v>102</v>
      </c>
      <c r="D865" s="130" t="s">
        <v>2318</v>
      </c>
      <c r="E865" s="130" t="s">
        <v>1941</v>
      </c>
      <c r="F865" s="130" t="s">
        <v>2319</v>
      </c>
      <c r="G865" s="220">
        <v>43809</v>
      </c>
      <c r="H865" s="130" t="s">
        <v>90</v>
      </c>
      <c r="I865" s="130" t="s">
        <v>91</v>
      </c>
      <c r="J865" s="130" t="s">
        <v>97</v>
      </c>
      <c r="K865" s="130" t="s">
        <v>98</v>
      </c>
      <c r="L865" s="174" t="s">
        <v>71</v>
      </c>
      <c r="M865" s="131" t="s">
        <v>72</v>
      </c>
      <c r="N865" s="130" t="s">
        <v>73</v>
      </c>
      <c r="O865" s="219" t="s">
        <v>99</v>
      </c>
      <c r="P865" s="130" t="s">
        <v>98</v>
      </c>
      <c r="Q865" s="132" t="s">
        <v>93</v>
      </c>
      <c r="R865" s="221">
        <v>3.3729998999999999</v>
      </c>
      <c r="S865" s="53">
        <v>1</v>
      </c>
      <c r="T865" s="53">
        <v>88.5</v>
      </c>
      <c r="U865" s="53">
        <v>88.5</v>
      </c>
      <c r="V865" s="53">
        <v>15.93</v>
      </c>
      <c r="W865" s="53">
        <v>104.43</v>
      </c>
      <c r="X865" s="27">
        <f t="shared" si="181"/>
        <v>298.51049115000001</v>
      </c>
    </row>
    <row r="866" spans="1:24" x14ac:dyDescent="0.2">
      <c r="A866" s="220">
        <v>43815</v>
      </c>
      <c r="B866" s="130" t="s">
        <v>68</v>
      </c>
      <c r="C866" s="130" t="s">
        <v>102</v>
      </c>
      <c r="D866" s="130" t="s">
        <v>2318</v>
      </c>
      <c r="E866" s="130" t="s">
        <v>1941</v>
      </c>
      <c r="F866" s="130" t="s">
        <v>2319</v>
      </c>
      <c r="G866" s="220">
        <v>43809</v>
      </c>
      <c r="H866" s="130" t="s">
        <v>90</v>
      </c>
      <c r="I866" s="130" t="s">
        <v>91</v>
      </c>
      <c r="J866" s="130" t="s">
        <v>100</v>
      </c>
      <c r="K866" s="130" t="s">
        <v>101</v>
      </c>
      <c r="L866" s="174" t="s">
        <v>71</v>
      </c>
      <c r="M866" s="131" t="s">
        <v>72</v>
      </c>
      <c r="N866" s="130" t="s">
        <v>73</v>
      </c>
      <c r="O866" s="219" t="s">
        <v>72</v>
      </c>
      <c r="P866" s="130" t="s">
        <v>101</v>
      </c>
      <c r="Q866" s="132" t="s">
        <v>93</v>
      </c>
      <c r="R866" s="221">
        <v>3.3729998999999999</v>
      </c>
      <c r="S866" s="53">
        <v>1</v>
      </c>
      <c r="T866" s="53">
        <v>30</v>
      </c>
      <c r="U866" s="53">
        <v>30</v>
      </c>
      <c r="V866" s="53">
        <v>5.4000019999999997</v>
      </c>
      <c r="W866" s="53">
        <v>35.400002000000001</v>
      </c>
      <c r="X866" s="27">
        <f t="shared" si="181"/>
        <v>101.18999700000001</v>
      </c>
    </row>
    <row r="867" spans="1:24" x14ac:dyDescent="0.2">
      <c r="A867" s="220">
        <v>43815</v>
      </c>
      <c r="B867" s="130" t="s">
        <v>68</v>
      </c>
      <c r="C867" s="130" t="s">
        <v>102</v>
      </c>
      <c r="D867" s="130" t="s">
        <v>2318</v>
      </c>
      <c r="E867" s="130" t="s">
        <v>1941</v>
      </c>
      <c r="F867" s="130" t="s">
        <v>2319</v>
      </c>
      <c r="G867" s="220">
        <v>43809</v>
      </c>
      <c r="H867" s="130" t="s">
        <v>90</v>
      </c>
      <c r="I867" s="130" t="s">
        <v>91</v>
      </c>
      <c r="J867" s="130" t="s">
        <v>92</v>
      </c>
      <c r="K867" s="130" t="s">
        <v>113</v>
      </c>
      <c r="L867" s="174" t="s">
        <v>71</v>
      </c>
      <c r="M867" s="131" t="s">
        <v>72</v>
      </c>
      <c r="N867" s="130" t="s">
        <v>73</v>
      </c>
      <c r="O867" s="219" t="s">
        <v>69</v>
      </c>
      <c r="P867" s="130" t="s">
        <v>1699</v>
      </c>
      <c r="Q867" s="132" t="s">
        <v>93</v>
      </c>
      <c r="R867" s="221">
        <v>3.3729998999999999</v>
      </c>
      <c r="S867" s="53">
        <v>1</v>
      </c>
      <c r="T867" s="53">
        <v>45</v>
      </c>
      <c r="U867" s="53">
        <v>45</v>
      </c>
      <c r="V867" s="53">
        <v>8.0999980000000047</v>
      </c>
      <c r="W867" s="53">
        <v>53.099998000000006</v>
      </c>
      <c r="X867" s="27">
        <f t="shared" si="181"/>
        <v>151.78499550000001</v>
      </c>
    </row>
    <row r="868" spans="1:24" x14ac:dyDescent="0.2">
      <c r="A868" s="220">
        <v>43816</v>
      </c>
      <c r="B868" s="130" t="s">
        <v>68</v>
      </c>
      <c r="C868" s="130" t="s">
        <v>102</v>
      </c>
      <c r="D868" s="130" t="s">
        <v>2074</v>
      </c>
      <c r="E868" s="130" t="s">
        <v>1932</v>
      </c>
      <c r="F868" s="130" t="s">
        <v>2012</v>
      </c>
      <c r="G868" s="220">
        <v>43804</v>
      </c>
      <c r="H868" s="130" t="s">
        <v>90</v>
      </c>
      <c r="I868" s="130" t="s">
        <v>91</v>
      </c>
      <c r="J868" s="130" t="s">
        <v>97</v>
      </c>
      <c r="K868" s="130" t="s">
        <v>98</v>
      </c>
      <c r="L868" s="174" t="s">
        <v>71</v>
      </c>
      <c r="M868" s="131" t="s">
        <v>72</v>
      </c>
      <c r="N868" s="130" t="s">
        <v>73</v>
      </c>
      <c r="O868" s="219" t="s">
        <v>99</v>
      </c>
      <c r="P868" s="130" t="s">
        <v>98</v>
      </c>
      <c r="Q868" s="132" t="s">
        <v>93</v>
      </c>
      <c r="R868" s="221">
        <v>3.3599999</v>
      </c>
      <c r="S868" s="53">
        <v>1</v>
      </c>
      <c r="T868" s="53">
        <v>324.5</v>
      </c>
      <c r="U868" s="53">
        <v>324.5</v>
      </c>
      <c r="V868" s="53">
        <v>58.41</v>
      </c>
      <c r="W868" s="53">
        <v>382.91</v>
      </c>
      <c r="X868" s="27">
        <f t="shared" si="181"/>
        <v>1090.31996755</v>
      </c>
    </row>
    <row r="869" spans="1:24" x14ac:dyDescent="0.2">
      <c r="A869" s="220">
        <v>43816</v>
      </c>
      <c r="B869" s="130" t="s">
        <v>68</v>
      </c>
      <c r="C869" s="130" t="s">
        <v>102</v>
      </c>
      <c r="D869" s="130" t="s">
        <v>2074</v>
      </c>
      <c r="E869" s="130" t="s">
        <v>1932</v>
      </c>
      <c r="F869" s="130" t="s">
        <v>2012</v>
      </c>
      <c r="G869" s="220">
        <v>43804</v>
      </c>
      <c r="H869" s="130" t="s">
        <v>90</v>
      </c>
      <c r="I869" s="130" t="s">
        <v>91</v>
      </c>
      <c r="J869" s="130" t="s">
        <v>100</v>
      </c>
      <c r="K869" s="130" t="s">
        <v>101</v>
      </c>
      <c r="L869" s="174" t="s">
        <v>71</v>
      </c>
      <c r="M869" s="131" t="s">
        <v>72</v>
      </c>
      <c r="N869" s="130" t="s">
        <v>73</v>
      </c>
      <c r="O869" s="219" t="s">
        <v>72</v>
      </c>
      <c r="P869" s="130" t="s">
        <v>101</v>
      </c>
      <c r="Q869" s="132" t="s">
        <v>93</v>
      </c>
      <c r="R869" s="221">
        <v>3.3599999</v>
      </c>
      <c r="S869" s="53">
        <v>1</v>
      </c>
      <c r="T869" s="53">
        <v>180</v>
      </c>
      <c r="U869" s="53">
        <v>180</v>
      </c>
      <c r="V869" s="53">
        <v>32.39998999999996</v>
      </c>
      <c r="W869" s="53">
        <v>212.39998999999997</v>
      </c>
      <c r="X869" s="27">
        <f t="shared" si="181"/>
        <v>604.799982</v>
      </c>
    </row>
    <row r="870" spans="1:24" x14ac:dyDescent="0.2">
      <c r="A870" s="220">
        <v>43816</v>
      </c>
      <c r="B870" s="130" t="s">
        <v>68</v>
      </c>
      <c r="C870" s="130" t="s">
        <v>102</v>
      </c>
      <c r="D870" s="130" t="s">
        <v>2074</v>
      </c>
      <c r="E870" s="130" t="s">
        <v>1932</v>
      </c>
      <c r="F870" s="130" t="s">
        <v>2012</v>
      </c>
      <c r="G870" s="220">
        <v>43804</v>
      </c>
      <c r="H870" s="130" t="s">
        <v>90</v>
      </c>
      <c r="I870" s="130" t="s">
        <v>91</v>
      </c>
      <c r="J870" s="130" t="s">
        <v>92</v>
      </c>
      <c r="K870" s="130" t="s">
        <v>113</v>
      </c>
      <c r="L870" s="174" t="s">
        <v>71</v>
      </c>
      <c r="M870" s="131" t="s">
        <v>72</v>
      </c>
      <c r="N870" s="130" t="s">
        <v>73</v>
      </c>
      <c r="O870" s="219" t="s">
        <v>69</v>
      </c>
      <c r="P870" s="130" t="s">
        <v>1699</v>
      </c>
      <c r="Q870" s="132" t="s">
        <v>93</v>
      </c>
      <c r="R870" s="221">
        <v>3.3599999</v>
      </c>
      <c r="S870" s="53">
        <v>1</v>
      </c>
      <c r="T870" s="53">
        <v>70</v>
      </c>
      <c r="U870" s="53">
        <v>70</v>
      </c>
      <c r="V870" s="53">
        <v>12.599997999999978</v>
      </c>
      <c r="W870" s="53">
        <v>82.599997999999971</v>
      </c>
      <c r="X870" s="27">
        <f t="shared" si="181"/>
        <v>235.19999300000001</v>
      </c>
    </row>
    <row r="871" spans="1:24" x14ac:dyDescent="0.2">
      <c r="A871" s="220">
        <v>43816</v>
      </c>
      <c r="B871" s="130" t="s">
        <v>68</v>
      </c>
      <c r="C871" s="130" t="s">
        <v>102</v>
      </c>
      <c r="D871" s="130" t="s">
        <v>2074</v>
      </c>
      <c r="E871" s="130" t="s">
        <v>1932</v>
      </c>
      <c r="F871" s="130" t="s">
        <v>2012</v>
      </c>
      <c r="G871" s="220">
        <v>43804</v>
      </c>
      <c r="H871" s="130" t="s">
        <v>90</v>
      </c>
      <c r="I871" s="130" t="s">
        <v>91</v>
      </c>
      <c r="J871" s="130" t="s">
        <v>95</v>
      </c>
      <c r="K871" s="130" t="s">
        <v>96</v>
      </c>
      <c r="L871" s="174" t="s">
        <v>71</v>
      </c>
      <c r="M871" s="131" t="s">
        <v>72</v>
      </c>
      <c r="N871" s="130" t="s">
        <v>73</v>
      </c>
      <c r="O871" s="219" t="s">
        <v>69</v>
      </c>
      <c r="P871" s="130" t="s">
        <v>1699</v>
      </c>
      <c r="Q871" s="132" t="s">
        <v>93</v>
      </c>
      <c r="R871" s="221">
        <v>3.3599999</v>
      </c>
      <c r="S871" s="53">
        <v>-1</v>
      </c>
      <c r="T871" s="53">
        <v>200</v>
      </c>
      <c r="U871" s="53">
        <v>-200</v>
      </c>
      <c r="V871" s="53">
        <v>-36</v>
      </c>
      <c r="W871" s="53">
        <v>-236</v>
      </c>
      <c r="X871" s="27">
        <f t="shared" si="181"/>
        <v>-671.99998000000005</v>
      </c>
    </row>
    <row r="872" spans="1:24" x14ac:dyDescent="0.2">
      <c r="A872" s="220">
        <v>43816</v>
      </c>
      <c r="B872" s="130" t="s">
        <v>68</v>
      </c>
      <c r="C872" s="130" t="s">
        <v>102</v>
      </c>
      <c r="D872" s="130" t="s">
        <v>2074</v>
      </c>
      <c r="E872" s="130" t="s">
        <v>1932</v>
      </c>
      <c r="F872" s="130" t="s">
        <v>2012</v>
      </c>
      <c r="G872" s="220">
        <v>43804</v>
      </c>
      <c r="H872" s="130" t="s">
        <v>90</v>
      </c>
      <c r="I872" s="130" t="s">
        <v>91</v>
      </c>
      <c r="J872" s="130" t="s">
        <v>104</v>
      </c>
      <c r="K872" s="130" t="s">
        <v>105</v>
      </c>
      <c r="L872" s="174" t="s">
        <v>71</v>
      </c>
      <c r="M872" s="131" t="s">
        <v>72</v>
      </c>
      <c r="N872" s="130" t="s">
        <v>73</v>
      </c>
      <c r="O872" s="219" t="s">
        <v>69</v>
      </c>
      <c r="P872" s="130" t="s">
        <v>1699</v>
      </c>
      <c r="Q872" s="132" t="s">
        <v>93</v>
      </c>
      <c r="R872" s="221">
        <v>3.3599999</v>
      </c>
      <c r="S872" s="53">
        <v>1</v>
      </c>
      <c r="T872" s="53">
        <v>0</v>
      </c>
      <c r="U872" s="53">
        <v>0</v>
      </c>
      <c r="V872" s="53">
        <v>0</v>
      </c>
      <c r="W872" s="53">
        <v>0</v>
      </c>
      <c r="X872" s="27">
        <f t="shared" si="181"/>
        <v>0</v>
      </c>
    </row>
    <row r="873" spans="1:24" x14ac:dyDescent="0.2">
      <c r="A873" s="220">
        <v>43816</v>
      </c>
      <c r="B873" s="130" t="s">
        <v>68</v>
      </c>
      <c r="C873" s="130" t="s">
        <v>102</v>
      </c>
      <c r="D873" s="130" t="s">
        <v>2320</v>
      </c>
      <c r="E873" s="130" t="s">
        <v>1935</v>
      </c>
      <c r="F873" s="130" t="s">
        <v>2321</v>
      </c>
      <c r="G873" s="220">
        <v>43808</v>
      </c>
      <c r="H873" s="130" t="s">
        <v>557</v>
      </c>
      <c r="I873" s="130" t="s">
        <v>556</v>
      </c>
      <c r="J873" s="130" t="s">
        <v>95</v>
      </c>
      <c r="K873" s="130" t="s">
        <v>96</v>
      </c>
      <c r="L873" s="174" t="s">
        <v>71</v>
      </c>
      <c r="M873" s="131" t="s">
        <v>72</v>
      </c>
      <c r="N873" s="130" t="s">
        <v>73</v>
      </c>
      <c r="O873" s="219" t="s">
        <v>69</v>
      </c>
      <c r="P873" s="130" t="s">
        <v>1699</v>
      </c>
      <c r="Q873" s="132" t="s">
        <v>93</v>
      </c>
      <c r="R873" s="221">
        <v>3.3599999</v>
      </c>
      <c r="S873" s="53">
        <v>1</v>
      </c>
      <c r="T873" s="53">
        <v>100</v>
      </c>
      <c r="U873" s="53">
        <v>100</v>
      </c>
      <c r="V873" s="53">
        <v>18</v>
      </c>
      <c r="W873" s="53">
        <v>118</v>
      </c>
      <c r="X873" s="27">
        <f t="shared" si="181"/>
        <v>335.99999000000003</v>
      </c>
    </row>
    <row r="874" spans="1:24" x14ac:dyDescent="0.2">
      <c r="A874" s="220">
        <v>43816</v>
      </c>
      <c r="B874" s="130" t="s">
        <v>68</v>
      </c>
      <c r="C874" s="130" t="s">
        <v>102</v>
      </c>
      <c r="D874" s="130" t="s">
        <v>2322</v>
      </c>
      <c r="E874" s="130" t="s">
        <v>1935</v>
      </c>
      <c r="F874" s="130" t="s">
        <v>2321</v>
      </c>
      <c r="G874" s="220">
        <v>43808</v>
      </c>
      <c r="H874" s="130" t="s">
        <v>90</v>
      </c>
      <c r="I874" s="130" t="s">
        <v>91</v>
      </c>
      <c r="J874" s="130" t="s">
        <v>97</v>
      </c>
      <c r="K874" s="130" t="s">
        <v>98</v>
      </c>
      <c r="L874" s="174" t="s">
        <v>71</v>
      </c>
      <c r="M874" s="131" t="s">
        <v>72</v>
      </c>
      <c r="N874" s="130" t="s">
        <v>73</v>
      </c>
      <c r="O874" s="219" t="s">
        <v>99</v>
      </c>
      <c r="P874" s="130" t="s">
        <v>98</v>
      </c>
      <c r="Q874" s="132" t="s">
        <v>93</v>
      </c>
      <c r="R874" s="221">
        <v>3.3599999</v>
      </c>
      <c r="S874" s="53">
        <v>1</v>
      </c>
      <c r="T874" s="53">
        <v>76.703400000000002</v>
      </c>
      <c r="U874" s="53">
        <v>76.703400000000002</v>
      </c>
      <c r="V874" s="53">
        <v>13.806602000000003</v>
      </c>
      <c r="W874" s="53">
        <v>90.510002</v>
      </c>
      <c r="X874" s="27">
        <f t="shared" si="181"/>
        <v>257.72341632965998</v>
      </c>
    </row>
    <row r="875" spans="1:24" x14ac:dyDescent="0.2">
      <c r="A875" s="220">
        <v>43816</v>
      </c>
      <c r="B875" s="130" t="s">
        <v>68</v>
      </c>
      <c r="C875" s="130" t="s">
        <v>102</v>
      </c>
      <c r="D875" s="130" t="s">
        <v>2322</v>
      </c>
      <c r="E875" s="130" t="s">
        <v>1935</v>
      </c>
      <c r="F875" s="130" t="s">
        <v>2321</v>
      </c>
      <c r="G875" s="220">
        <v>43808</v>
      </c>
      <c r="H875" s="130" t="s">
        <v>90</v>
      </c>
      <c r="I875" s="130" t="s">
        <v>91</v>
      </c>
      <c r="J875" s="130" t="s">
        <v>100</v>
      </c>
      <c r="K875" s="130" t="s">
        <v>101</v>
      </c>
      <c r="L875" s="174" t="s">
        <v>71</v>
      </c>
      <c r="M875" s="131" t="s">
        <v>72</v>
      </c>
      <c r="N875" s="130" t="s">
        <v>73</v>
      </c>
      <c r="O875" s="219" t="s">
        <v>72</v>
      </c>
      <c r="P875" s="130" t="s">
        <v>101</v>
      </c>
      <c r="Q875" s="132" t="s">
        <v>93</v>
      </c>
      <c r="R875" s="221">
        <v>3.3599999</v>
      </c>
      <c r="S875" s="53">
        <v>1</v>
      </c>
      <c r="T875" s="53">
        <v>30</v>
      </c>
      <c r="U875" s="53">
        <v>30</v>
      </c>
      <c r="V875" s="53">
        <v>5.4000019999999997</v>
      </c>
      <c r="W875" s="53">
        <v>35.400002000000001</v>
      </c>
      <c r="X875" s="27">
        <f t="shared" si="181"/>
        <v>100.799997</v>
      </c>
    </row>
    <row r="876" spans="1:24" x14ac:dyDescent="0.2">
      <c r="A876" s="220">
        <v>43816</v>
      </c>
      <c r="B876" s="130" t="s">
        <v>68</v>
      </c>
      <c r="C876" s="130" t="s">
        <v>102</v>
      </c>
      <c r="D876" s="130" t="s">
        <v>2322</v>
      </c>
      <c r="E876" s="130" t="s">
        <v>1935</v>
      </c>
      <c r="F876" s="130" t="s">
        <v>2321</v>
      </c>
      <c r="G876" s="220">
        <v>43808</v>
      </c>
      <c r="H876" s="130" t="s">
        <v>90</v>
      </c>
      <c r="I876" s="130" t="s">
        <v>91</v>
      </c>
      <c r="J876" s="130" t="s">
        <v>92</v>
      </c>
      <c r="K876" s="130" t="s">
        <v>113</v>
      </c>
      <c r="L876" s="174" t="s">
        <v>71</v>
      </c>
      <c r="M876" s="131" t="s">
        <v>72</v>
      </c>
      <c r="N876" s="130" t="s">
        <v>73</v>
      </c>
      <c r="O876" s="219" t="s">
        <v>69</v>
      </c>
      <c r="P876" s="130" t="s">
        <v>1699</v>
      </c>
      <c r="Q876" s="132" t="s">
        <v>93</v>
      </c>
      <c r="R876" s="221">
        <v>3.3599999</v>
      </c>
      <c r="S876" s="53">
        <v>1</v>
      </c>
      <c r="T876" s="53">
        <v>30</v>
      </c>
      <c r="U876" s="53">
        <v>30</v>
      </c>
      <c r="V876" s="53">
        <v>5.4000019999999997</v>
      </c>
      <c r="W876" s="53">
        <v>35.400002000000001</v>
      </c>
      <c r="X876" s="27">
        <f t="shared" si="181"/>
        <v>100.799997</v>
      </c>
    </row>
    <row r="877" spans="1:24" x14ac:dyDescent="0.2">
      <c r="A877" s="220">
        <v>43816</v>
      </c>
      <c r="B877" s="130" t="s">
        <v>68</v>
      </c>
      <c r="C877" s="130" t="s">
        <v>102</v>
      </c>
      <c r="D877" s="130" t="s">
        <v>2322</v>
      </c>
      <c r="E877" s="130" t="s">
        <v>1935</v>
      </c>
      <c r="F877" s="130" t="s">
        <v>2321</v>
      </c>
      <c r="G877" s="220">
        <v>43808</v>
      </c>
      <c r="H877" s="130" t="s">
        <v>90</v>
      </c>
      <c r="I877" s="130" t="s">
        <v>91</v>
      </c>
      <c r="J877" s="130" t="s">
        <v>95</v>
      </c>
      <c r="K877" s="130" t="s">
        <v>96</v>
      </c>
      <c r="L877" s="174" t="s">
        <v>71</v>
      </c>
      <c r="M877" s="131" t="s">
        <v>72</v>
      </c>
      <c r="N877" s="130" t="s">
        <v>73</v>
      </c>
      <c r="O877" s="219" t="s">
        <v>69</v>
      </c>
      <c r="P877" s="130" t="s">
        <v>1699</v>
      </c>
      <c r="Q877" s="132" t="s">
        <v>93</v>
      </c>
      <c r="R877" s="221">
        <v>3.3599999</v>
      </c>
      <c r="S877" s="53">
        <v>-1</v>
      </c>
      <c r="T877" s="53">
        <v>100</v>
      </c>
      <c r="U877" s="53">
        <v>-100</v>
      </c>
      <c r="V877" s="53">
        <v>-18</v>
      </c>
      <c r="W877" s="53">
        <v>-118</v>
      </c>
      <c r="X877" s="27">
        <f t="shared" si="181"/>
        <v>-335.99999000000003</v>
      </c>
    </row>
    <row r="878" spans="1:24" x14ac:dyDescent="0.2">
      <c r="A878" s="220">
        <v>43816</v>
      </c>
      <c r="B878" s="130" t="s">
        <v>68</v>
      </c>
      <c r="C878" s="130" t="s">
        <v>102</v>
      </c>
      <c r="D878" s="130" t="s">
        <v>2322</v>
      </c>
      <c r="E878" s="130" t="s">
        <v>1935</v>
      </c>
      <c r="F878" s="130" t="s">
        <v>2321</v>
      </c>
      <c r="G878" s="220">
        <v>43808</v>
      </c>
      <c r="H878" s="130" t="s">
        <v>90</v>
      </c>
      <c r="I878" s="130" t="s">
        <v>91</v>
      </c>
      <c r="J878" s="130" t="s">
        <v>104</v>
      </c>
      <c r="K878" s="130" t="s">
        <v>105</v>
      </c>
      <c r="L878" s="174" t="s">
        <v>71</v>
      </c>
      <c r="M878" s="131" t="s">
        <v>72</v>
      </c>
      <c r="N878" s="130" t="s">
        <v>73</v>
      </c>
      <c r="O878" s="219" t="s">
        <v>69</v>
      </c>
      <c r="P878" s="130" t="s">
        <v>1699</v>
      </c>
      <c r="Q878" s="132" t="s">
        <v>93</v>
      </c>
      <c r="R878" s="221">
        <v>3.3599999</v>
      </c>
      <c r="S878" s="53">
        <v>1</v>
      </c>
      <c r="T878" s="53">
        <v>0</v>
      </c>
      <c r="U878" s="53">
        <v>0</v>
      </c>
      <c r="V878" s="53">
        <v>0</v>
      </c>
      <c r="W878" s="53">
        <v>0</v>
      </c>
      <c r="X878" s="27">
        <f t="shared" si="181"/>
        <v>0</v>
      </c>
    </row>
    <row r="879" spans="1:24" x14ac:dyDescent="0.2">
      <c r="A879" s="220">
        <v>43816</v>
      </c>
      <c r="B879" s="130" t="s">
        <v>68</v>
      </c>
      <c r="C879" s="130" t="s">
        <v>102</v>
      </c>
      <c r="D879" s="130" t="s">
        <v>2091</v>
      </c>
      <c r="E879" s="130" t="s">
        <v>1925</v>
      </c>
      <c r="F879" s="130" t="s">
        <v>2323</v>
      </c>
      <c r="G879" s="220">
        <v>43804</v>
      </c>
      <c r="H879" s="130" t="s">
        <v>557</v>
      </c>
      <c r="I879" s="130" t="s">
        <v>556</v>
      </c>
      <c r="J879" s="130" t="s">
        <v>95</v>
      </c>
      <c r="K879" s="130" t="s">
        <v>96</v>
      </c>
      <c r="L879" s="174" t="s">
        <v>71</v>
      </c>
      <c r="M879" s="131" t="s">
        <v>72</v>
      </c>
      <c r="N879" s="130" t="s">
        <v>73</v>
      </c>
      <c r="O879" s="219" t="s">
        <v>69</v>
      </c>
      <c r="P879" s="130" t="s">
        <v>1699</v>
      </c>
      <c r="Q879" s="132" t="s">
        <v>93</v>
      </c>
      <c r="R879" s="221">
        <v>3.3599999</v>
      </c>
      <c r="S879" s="53">
        <v>1</v>
      </c>
      <c r="T879" s="53">
        <v>100</v>
      </c>
      <c r="U879" s="53">
        <v>100</v>
      </c>
      <c r="V879" s="53">
        <v>18</v>
      </c>
      <c r="W879" s="53">
        <v>118</v>
      </c>
      <c r="X879" s="27">
        <f t="shared" si="181"/>
        <v>335.99999000000003</v>
      </c>
    </row>
    <row r="880" spans="1:24" x14ac:dyDescent="0.2">
      <c r="A880" s="220">
        <v>43816</v>
      </c>
      <c r="B880" s="130" t="s">
        <v>68</v>
      </c>
      <c r="C880" s="130" t="s">
        <v>102</v>
      </c>
      <c r="D880" s="130" t="s">
        <v>2324</v>
      </c>
      <c r="E880" s="130" t="s">
        <v>1925</v>
      </c>
      <c r="F880" s="130" t="s">
        <v>2323</v>
      </c>
      <c r="G880" s="220">
        <v>43804</v>
      </c>
      <c r="H880" s="130" t="s">
        <v>90</v>
      </c>
      <c r="I880" s="130" t="s">
        <v>91</v>
      </c>
      <c r="J880" s="130" t="s">
        <v>97</v>
      </c>
      <c r="K880" s="130" t="s">
        <v>98</v>
      </c>
      <c r="L880" s="174" t="s">
        <v>71</v>
      </c>
      <c r="M880" s="131" t="s">
        <v>72</v>
      </c>
      <c r="N880" s="130" t="s">
        <v>73</v>
      </c>
      <c r="O880" s="219" t="s">
        <v>99</v>
      </c>
      <c r="P880" s="130" t="s">
        <v>98</v>
      </c>
      <c r="Q880" s="132" t="s">
        <v>93</v>
      </c>
      <c r="R880" s="221">
        <v>3.3599999</v>
      </c>
      <c r="S880" s="53">
        <v>1</v>
      </c>
      <c r="T880" s="53">
        <v>88.5</v>
      </c>
      <c r="U880" s="53">
        <v>88.5</v>
      </c>
      <c r="V880" s="53">
        <v>15.93</v>
      </c>
      <c r="W880" s="53">
        <v>104.43</v>
      </c>
      <c r="X880" s="27">
        <f t="shared" si="181"/>
        <v>297.35999114999998</v>
      </c>
    </row>
    <row r="881" spans="1:24" x14ac:dyDescent="0.2">
      <c r="A881" s="220">
        <v>43816</v>
      </c>
      <c r="B881" s="130" t="s">
        <v>68</v>
      </c>
      <c r="C881" s="130" t="s">
        <v>102</v>
      </c>
      <c r="D881" s="130" t="s">
        <v>2324</v>
      </c>
      <c r="E881" s="130" t="s">
        <v>1925</v>
      </c>
      <c r="F881" s="130" t="s">
        <v>2323</v>
      </c>
      <c r="G881" s="220">
        <v>43804</v>
      </c>
      <c r="H881" s="130" t="s">
        <v>90</v>
      </c>
      <c r="I881" s="130" t="s">
        <v>91</v>
      </c>
      <c r="J881" s="130" t="s">
        <v>100</v>
      </c>
      <c r="K881" s="130" t="s">
        <v>101</v>
      </c>
      <c r="L881" s="174" t="s">
        <v>71</v>
      </c>
      <c r="M881" s="131" t="s">
        <v>72</v>
      </c>
      <c r="N881" s="130" t="s">
        <v>73</v>
      </c>
      <c r="O881" s="219" t="s">
        <v>72</v>
      </c>
      <c r="P881" s="130" t="s">
        <v>101</v>
      </c>
      <c r="Q881" s="132" t="s">
        <v>93</v>
      </c>
      <c r="R881" s="221">
        <v>3.3599999</v>
      </c>
      <c r="S881" s="53">
        <v>1</v>
      </c>
      <c r="T881" s="53">
        <v>30</v>
      </c>
      <c r="U881" s="53">
        <v>30</v>
      </c>
      <c r="V881" s="53">
        <v>5.4000019999999997</v>
      </c>
      <c r="W881" s="53">
        <v>35.400002000000001</v>
      </c>
      <c r="X881" s="27">
        <f t="shared" si="181"/>
        <v>100.799997</v>
      </c>
    </row>
    <row r="882" spans="1:24" x14ac:dyDescent="0.2">
      <c r="A882" s="220">
        <v>43816</v>
      </c>
      <c r="B882" s="130" t="s">
        <v>68</v>
      </c>
      <c r="C882" s="130" t="s">
        <v>102</v>
      </c>
      <c r="D882" s="130" t="s">
        <v>2324</v>
      </c>
      <c r="E882" s="130" t="s">
        <v>1925</v>
      </c>
      <c r="F882" s="130" t="s">
        <v>2323</v>
      </c>
      <c r="G882" s="220">
        <v>43804</v>
      </c>
      <c r="H882" s="130" t="s">
        <v>90</v>
      </c>
      <c r="I882" s="130" t="s">
        <v>91</v>
      </c>
      <c r="J882" s="130" t="s">
        <v>92</v>
      </c>
      <c r="K882" s="130" t="s">
        <v>113</v>
      </c>
      <c r="L882" s="174" t="s">
        <v>71</v>
      </c>
      <c r="M882" s="131" t="s">
        <v>72</v>
      </c>
      <c r="N882" s="130" t="s">
        <v>73</v>
      </c>
      <c r="O882" s="219" t="s">
        <v>69</v>
      </c>
      <c r="P882" s="130" t="s">
        <v>1699</v>
      </c>
      <c r="Q882" s="132" t="s">
        <v>93</v>
      </c>
      <c r="R882" s="221">
        <v>3.3599999</v>
      </c>
      <c r="S882" s="53">
        <v>1</v>
      </c>
      <c r="T882" s="53">
        <v>25</v>
      </c>
      <c r="U882" s="53">
        <v>25</v>
      </c>
      <c r="V882" s="53">
        <v>4.5</v>
      </c>
      <c r="W882" s="53">
        <v>29.5</v>
      </c>
      <c r="X882" s="27">
        <f t="shared" si="181"/>
        <v>83.999997500000006</v>
      </c>
    </row>
    <row r="883" spans="1:24" x14ac:dyDescent="0.2">
      <c r="A883" s="220">
        <v>43816</v>
      </c>
      <c r="B883" s="130" t="s">
        <v>68</v>
      </c>
      <c r="C883" s="130" t="s">
        <v>102</v>
      </c>
      <c r="D883" s="130" t="s">
        <v>2324</v>
      </c>
      <c r="E883" s="130" t="s">
        <v>1925</v>
      </c>
      <c r="F883" s="130" t="s">
        <v>2323</v>
      </c>
      <c r="G883" s="220">
        <v>43804</v>
      </c>
      <c r="H883" s="130" t="s">
        <v>90</v>
      </c>
      <c r="I883" s="130" t="s">
        <v>91</v>
      </c>
      <c r="J883" s="130" t="s">
        <v>95</v>
      </c>
      <c r="K883" s="130" t="s">
        <v>96</v>
      </c>
      <c r="L883" s="174" t="s">
        <v>71</v>
      </c>
      <c r="M883" s="131" t="s">
        <v>72</v>
      </c>
      <c r="N883" s="130" t="s">
        <v>73</v>
      </c>
      <c r="O883" s="219" t="s">
        <v>69</v>
      </c>
      <c r="P883" s="130" t="s">
        <v>1699</v>
      </c>
      <c r="Q883" s="132" t="s">
        <v>93</v>
      </c>
      <c r="R883" s="221">
        <v>3.3599999</v>
      </c>
      <c r="S883" s="53">
        <v>-1</v>
      </c>
      <c r="T883" s="53">
        <v>100</v>
      </c>
      <c r="U883" s="53">
        <v>-100</v>
      </c>
      <c r="V883" s="53">
        <v>-18</v>
      </c>
      <c r="W883" s="53">
        <v>-118</v>
      </c>
      <c r="X883" s="27">
        <f t="shared" si="181"/>
        <v>-335.99999000000003</v>
      </c>
    </row>
    <row r="884" spans="1:24" x14ac:dyDescent="0.2">
      <c r="A884" s="220">
        <v>43816</v>
      </c>
      <c r="B884" s="130" t="s">
        <v>68</v>
      </c>
      <c r="C884" s="130" t="s">
        <v>102</v>
      </c>
      <c r="D884" s="130" t="s">
        <v>2324</v>
      </c>
      <c r="E884" s="130" t="s">
        <v>1925</v>
      </c>
      <c r="F884" s="130" t="s">
        <v>2323</v>
      </c>
      <c r="G884" s="220">
        <v>43804</v>
      </c>
      <c r="H884" s="130" t="s">
        <v>90</v>
      </c>
      <c r="I884" s="130" t="s">
        <v>91</v>
      </c>
      <c r="J884" s="130" t="s">
        <v>104</v>
      </c>
      <c r="K884" s="130" t="s">
        <v>105</v>
      </c>
      <c r="L884" s="174" t="s">
        <v>71</v>
      </c>
      <c r="M884" s="131" t="s">
        <v>72</v>
      </c>
      <c r="N884" s="130" t="s">
        <v>73</v>
      </c>
      <c r="O884" s="219" t="s">
        <v>69</v>
      </c>
      <c r="P884" s="130" t="s">
        <v>1699</v>
      </c>
      <c r="Q884" s="132" t="s">
        <v>93</v>
      </c>
      <c r="R884" s="221">
        <v>3.3599999</v>
      </c>
      <c r="S884" s="53">
        <v>1</v>
      </c>
      <c r="T884" s="53">
        <v>0</v>
      </c>
      <c r="U884" s="53">
        <v>0</v>
      </c>
      <c r="V884" s="53">
        <v>0</v>
      </c>
      <c r="W884" s="53">
        <v>0</v>
      </c>
      <c r="X884" s="27">
        <f t="shared" si="181"/>
        <v>0</v>
      </c>
    </row>
    <row r="885" spans="1:24" x14ac:dyDescent="0.2">
      <c r="A885" s="220">
        <v>43817</v>
      </c>
      <c r="B885" s="130" t="s">
        <v>68</v>
      </c>
      <c r="C885" s="130" t="s">
        <v>102</v>
      </c>
      <c r="D885" s="130" t="s">
        <v>2325</v>
      </c>
      <c r="E885" s="130" t="s">
        <v>2326</v>
      </c>
      <c r="F885" s="130" t="s">
        <v>1421</v>
      </c>
      <c r="G885" s="220">
        <v>43813</v>
      </c>
      <c r="H885" s="130" t="s">
        <v>557</v>
      </c>
      <c r="I885" s="130" t="s">
        <v>556</v>
      </c>
      <c r="J885" s="130" t="s">
        <v>104</v>
      </c>
      <c r="K885" s="130" t="s">
        <v>105</v>
      </c>
      <c r="L885" s="174" t="s">
        <v>71</v>
      </c>
      <c r="M885" s="131" t="s">
        <v>72</v>
      </c>
      <c r="N885" s="130" t="s">
        <v>73</v>
      </c>
      <c r="O885" s="219" t="s">
        <v>69</v>
      </c>
      <c r="P885" s="130" t="s">
        <v>1699</v>
      </c>
      <c r="Q885" s="132" t="s">
        <v>74</v>
      </c>
      <c r="R885" s="221">
        <v>3.3490000000000002</v>
      </c>
      <c r="S885" s="53">
        <v>1</v>
      </c>
      <c r="T885" s="53">
        <v>42.372897999999985</v>
      </c>
      <c r="U885" s="53">
        <v>42.372897999999985</v>
      </c>
      <c r="V885" s="53">
        <v>7.6271020000000131</v>
      </c>
      <c r="W885" s="53">
        <v>50</v>
      </c>
      <c r="X885" s="27">
        <f t="shared" si="181"/>
        <v>42.372897999999985</v>
      </c>
    </row>
    <row r="886" spans="1:24" x14ac:dyDescent="0.2">
      <c r="A886" s="220">
        <v>43818</v>
      </c>
      <c r="B886" s="130" t="s">
        <v>68</v>
      </c>
      <c r="C886" s="130" t="s">
        <v>102</v>
      </c>
      <c r="D886" s="130" t="s">
        <v>2327</v>
      </c>
      <c r="E886" s="130" t="s">
        <v>1963</v>
      </c>
      <c r="F886" s="130" t="s">
        <v>2328</v>
      </c>
      <c r="G886" s="220">
        <v>43794</v>
      </c>
      <c r="H886" s="130" t="s">
        <v>90</v>
      </c>
      <c r="I886" s="130" t="s">
        <v>91</v>
      </c>
      <c r="J886" s="130" t="s">
        <v>92</v>
      </c>
      <c r="K886" s="130" t="s">
        <v>113</v>
      </c>
      <c r="L886" s="174" t="s">
        <v>71</v>
      </c>
      <c r="M886" s="131" t="s">
        <v>72</v>
      </c>
      <c r="N886" s="130" t="s">
        <v>73</v>
      </c>
      <c r="O886" s="219" t="s">
        <v>69</v>
      </c>
      <c r="P886" s="130" t="s">
        <v>1699</v>
      </c>
      <c r="Q886" s="132" t="s">
        <v>93</v>
      </c>
      <c r="R886" s="221">
        <v>3.3399999000000005</v>
      </c>
      <c r="S886" s="53">
        <v>1</v>
      </c>
      <c r="T886" s="53">
        <v>25</v>
      </c>
      <c r="U886" s="53">
        <v>25</v>
      </c>
      <c r="V886" s="53">
        <v>4.5</v>
      </c>
      <c r="W886" s="53">
        <v>29.5</v>
      </c>
      <c r="X886" s="27">
        <f t="shared" si="181"/>
        <v>83.499997500000006</v>
      </c>
    </row>
    <row r="887" spans="1:24" x14ac:dyDescent="0.2">
      <c r="A887" s="220">
        <v>43818</v>
      </c>
      <c r="B887" s="130" t="s">
        <v>68</v>
      </c>
      <c r="C887" s="130" t="s">
        <v>102</v>
      </c>
      <c r="D887" s="130" t="s">
        <v>2327</v>
      </c>
      <c r="E887" s="130" t="s">
        <v>1963</v>
      </c>
      <c r="F887" s="130" t="s">
        <v>2328</v>
      </c>
      <c r="G887" s="220">
        <v>43794</v>
      </c>
      <c r="H887" s="130" t="s">
        <v>90</v>
      </c>
      <c r="I887" s="130" t="s">
        <v>91</v>
      </c>
      <c r="J887" s="130" t="s">
        <v>70</v>
      </c>
      <c r="K887" s="130" t="s">
        <v>112</v>
      </c>
      <c r="L887" s="174" t="s">
        <v>71</v>
      </c>
      <c r="M887" s="131" t="s">
        <v>72</v>
      </c>
      <c r="N887" s="130" t="s">
        <v>73</v>
      </c>
      <c r="O887" s="219" t="s">
        <v>69</v>
      </c>
      <c r="P887" s="130" t="s">
        <v>1699</v>
      </c>
      <c r="Q887" s="132" t="s">
        <v>93</v>
      </c>
      <c r="R887" s="221">
        <v>3.3399999000000005</v>
      </c>
      <c r="S887" s="53">
        <v>1</v>
      </c>
      <c r="T887" s="53">
        <v>30</v>
      </c>
      <c r="U887" s="53">
        <v>30</v>
      </c>
      <c r="V887" s="53">
        <v>5.4000019999999997</v>
      </c>
      <c r="W887" s="53">
        <v>35.400002000000001</v>
      </c>
      <c r="X887" s="27">
        <f t="shared" si="181"/>
        <v>100.19999700000001</v>
      </c>
    </row>
    <row r="888" spans="1:24" x14ac:dyDescent="0.2">
      <c r="A888" s="220">
        <v>43818</v>
      </c>
      <c r="B888" s="130" t="s">
        <v>68</v>
      </c>
      <c r="C888" s="130" t="s">
        <v>102</v>
      </c>
      <c r="D888" s="130" t="s">
        <v>2327</v>
      </c>
      <c r="E888" s="130" t="s">
        <v>1963</v>
      </c>
      <c r="F888" s="130" t="s">
        <v>2328</v>
      </c>
      <c r="G888" s="220">
        <v>43794</v>
      </c>
      <c r="H888" s="130" t="s">
        <v>90</v>
      </c>
      <c r="I888" s="130" t="s">
        <v>91</v>
      </c>
      <c r="J888" s="130" t="s">
        <v>104</v>
      </c>
      <c r="K888" s="130" t="s">
        <v>105</v>
      </c>
      <c r="L888" s="174" t="s">
        <v>71</v>
      </c>
      <c r="M888" s="131" t="s">
        <v>72</v>
      </c>
      <c r="N888" s="130" t="s">
        <v>73</v>
      </c>
      <c r="O888" s="219" t="s">
        <v>69</v>
      </c>
      <c r="P888" s="130" t="s">
        <v>1699</v>
      </c>
      <c r="Q888" s="132" t="s">
        <v>93</v>
      </c>
      <c r="R888" s="221">
        <v>3.3399999000000005</v>
      </c>
      <c r="S888" s="53">
        <v>1</v>
      </c>
      <c r="T888" s="53">
        <v>0</v>
      </c>
      <c r="U888" s="53">
        <v>0</v>
      </c>
      <c r="V888" s="53">
        <v>0</v>
      </c>
      <c r="W888" s="53">
        <v>0</v>
      </c>
      <c r="X888" s="27">
        <f t="shared" si="181"/>
        <v>0</v>
      </c>
    </row>
    <row r="889" spans="1:24" x14ac:dyDescent="0.2">
      <c r="A889" s="220">
        <v>43818</v>
      </c>
      <c r="B889" s="130" t="s">
        <v>68</v>
      </c>
      <c r="C889" s="130" t="s">
        <v>102</v>
      </c>
      <c r="D889" s="130" t="s">
        <v>1662</v>
      </c>
      <c r="E889" s="130" t="s">
        <v>1008</v>
      </c>
      <c r="F889" s="130" t="s">
        <v>1009</v>
      </c>
      <c r="G889" s="220">
        <v>43766</v>
      </c>
      <c r="H889" s="130" t="s">
        <v>387</v>
      </c>
      <c r="I889" s="130" t="s">
        <v>386</v>
      </c>
      <c r="J889" s="130" t="s">
        <v>97</v>
      </c>
      <c r="K889" s="130" t="s">
        <v>98</v>
      </c>
      <c r="L889" s="174" t="s">
        <v>71</v>
      </c>
      <c r="M889" s="131" t="s">
        <v>72</v>
      </c>
      <c r="N889" s="130" t="s">
        <v>73</v>
      </c>
      <c r="O889" s="219" t="s">
        <v>99</v>
      </c>
      <c r="P889" s="130" t="s">
        <v>98</v>
      </c>
      <c r="Q889" s="132" t="s">
        <v>74</v>
      </c>
      <c r="R889" s="221">
        <v>3.3399999000000005</v>
      </c>
      <c r="S889" s="53">
        <v>1</v>
      </c>
      <c r="T889" s="53">
        <v>2295</v>
      </c>
      <c r="U889" s="53">
        <v>2295</v>
      </c>
      <c r="V889" s="53">
        <v>413.10010000000011</v>
      </c>
      <c r="W889" s="53">
        <v>2708.1001000000001</v>
      </c>
      <c r="X889" s="27">
        <f t="shared" si="181"/>
        <v>2295</v>
      </c>
    </row>
    <row r="890" spans="1:24" x14ac:dyDescent="0.2">
      <c r="A890" s="220">
        <v>43818</v>
      </c>
      <c r="B890" s="130" t="s">
        <v>68</v>
      </c>
      <c r="C890" s="130" t="s">
        <v>102</v>
      </c>
      <c r="D890" s="130" t="s">
        <v>1662</v>
      </c>
      <c r="E890" s="130" t="s">
        <v>1008</v>
      </c>
      <c r="F890" s="130" t="s">
        <v>1009</v>
      </c>
      <c r="G890" s="220">
        <v>43766</v>
      </c>
      <c r="H890" s="130" t="s">
        <v>387</v>
      </c>
      <c r="I890" s="130" t="s">
        <v>386</v>
      </c>
      <c r="J890" s="130" t="s">
        <v>100</v>
      </c>
      <c r="K890" s="130" t="s">
        <v>101</v>
      </c>
      <c r="L890" s="174" t="s">
        <v>71</v>
      </c>
      <c r="M890" s="131" t="s">
        <v>72</v>
      </c>
      <c r="N890" s="130" t="s">
        <v>73</v>
      </c>
      <c r="O890" s="219" t="s">
        <v>72</v>
      </c>
      <c r="P890" s="130" t="s">
        <v>101</v>
      </c>
      <c r="Q890" s="132" t="s">
        <v>74</v>
      </c>
      <c r="R890" s="221">
        <v>3.3399999000000005</v>
      </c>
      <c r="S890" s="53">
        <v>1</v>
      </c>
      <c r="T890" s="53">
        <v>1015</v>
      </c>
      <c r="U890" s="53">
        <v>1015</v>
      </c>
      <c r="V890" s="53">
        <v>182.7</v>
      </c>
      <c r="W890" s="53">
        <v>1197.7</v>
      </c>
      <c r="X890" s="27">
        <f t="shared" si="181"/>
        <v>1015</v>
      </c>
    </row>
    <row r="891" spans="1:24" x14ac:dyDescent="0.2">
      <c r="A891" s="220">
        <v>43818</v>
      </c>
      <c r="B891" s="130" t="s">
        <v>68</v>
      </c>
      <c r="C891" s="130" t="s">
        <v>102</v>
      </c>
      <c r="D891" s="130" t="s">
        <v>1662</v>
      </c>
      <c r="E891" s="130" t="s">
        <v>1008</v>
      </c>
      <c r="F891" s="130" t="s">
        <v>1009</v>
      </c>
      <c r="G891" s="220">
        <v>43766</v>
      </c>
      <c r="H891" s="130" t="s">
        <v>387</v>
      </c>
      <c r="I891" s="130" t="s">
        <v>386</v>
      </c>
      <c r="J891" s="130" t="s">
        <v>92</v>
      </c>
      <c r="K891" s="130" t="s">
        <v>113</v>
      </c>
      <c r="L891" s="174" t="s">
        <v>71</v>
      </c>
      <c r="M891" s="131" t="s">
        <v>72</v>
      </c>
      <c r="N891" s="130" t="s">
        <v>73</v>
      </c>
      <c r="O891" s="219" t="s">
        <v>69</v>
      </c>
      <c r="P891" s="130" t="s">
        <v>1699</v>
      </c>
      <c r="Q891" s="132" t="s">
        <v>74</v>
      </c>
      <c r="R891" s="221">
        <v>3.3399999000000005</v>
      </c>
      <c r="S891" s="53">
        <v>1</v>
      </c>
      <c r="T891" s="53">
        <v>1140</v>
      </c>
      <c r="U891" s="53">
        <v>1140</v>
      </c>
      <c r="V891" s="53">
        <v>205.2</v>
      </c>
      <c r="W891" s="53">
        <v>1345.2</v>
      </c>
      <c r="X891" s="27">
        <f t="shared" si="181"/>
        <v>1140</v>
      </c>
    </row>
    <row r="892" spans="1:24" x14ac:dyDescent="0.2">
      <c r="A892" s="220">
        <v>43818</v>
      </c>
      <c r="B892" s="130" t="s">
        <v>68</v>
      </c>
      <c r="C892" s="130" t="s">
        <v>102</v>
      </c>
      <c r="D892" s="130" t="s">
        <v>1662</v>
      </c>
      <c r="E892" s="130" t="s">
        <v>1008</v>
      </c>
      <c r="F892" s="130" t="s">
        <v>1009</v>
      </c>
      <c r="G892" s="220">
        <v>43766</v>
      </c>
      <c r="H892" s="130" t="s">
        <v>387</v>
      </c>
      <c r="I892" s="130" t="s">
        <v>386</v>
      </c>
      <c r="J892" s="130" t="s">
        <v>132</v>
      </c>
      <c r="K892" s="130" t="s">
        <v>133</v>
      </c>
      <c r="L892" s="174" t="s">
        <v>71</v>
      </c>
      <c r="M892" s="131" t="s">
        <v>72</v>
      </c>
      <c r="N892" s="130" t="s">
        <v>73</v>
      </c>
      <c r="O892" s="219" t="s">
        <v>69</v>
      </c>
      <c r="P892" s="130" t="s">
        <v>1699</v>
      </c>
      <c r="Q892" s="132" t="s">
        <v>74</v>
      </c>
      <c r="R892" s="221">
        <v>3.3399999000000005</v>
      </c>
      <c r="S892" s="53">
        <v>1</v>
      </c>
      <c r="T892" s="53">
        <v>1903</v>
      </c>
      <c r="U892" s="53">
        <v>1903</v>
      </c>
      <c r="V892" s="53">
        <v>342.54</v>
      </c>
      <c r="W892" s="53">
        <v>2245.54</v>
      </c>
      <c r="X892" s="27">
        <f t="shared" si="181"/>
        <v>1903</v>
      </c>
    </row>
    <row r="893" spans="1:24" x14ac:dyDescent="0.2">
      <c r="A893" s="220">
        <v>43818</v>
      </c>
      <c r="B893" s="130" t="s">
        <v>68</v>
      </c>
      <c r="C893" s="130" t="s">
        <v>102</v>
      </c>
      <c r="D893" s="130" t="s">
        <v>1662</v>
      </c>
      <c r="E893" s="130" t="s">
        <v>1008</v>
      </c>
      <c r="F893" s="130" t="s">
        <v>1009</v>
      </c>
      <c r="G893" s="220">
        <v>43766</v>
      </c>
      <c r="H893" s="130" t="s">
        <v>387</v>
      </c>
      <c r="I893" s="130" t="s">
        <v>386</v>
      </c>
      <c r="J893" s="130" t="s">
        <v>70</v>
      </c>
      <c r="K893" s="130" t="s">
        <v>112</v>
      </c>
      <c r="L893" s="174" t="s">
        <v>71</v>
      </c>
      <c r="M893" s="131" t="s">
        <v>72</v>
      </c>
      <c r="N893" s="130" t="s">
        <v>73</v>
      </c>
      <c r="O893" s="219" t="s">
        <v>69</v>
      </c>
      <c r="P893" s="130" t="s">
        <v>1699</v>
      </c>
      <c r="Q893" s="132" t="s">
        <v>74</v>
      </c>
      <c r="R893" s="221">
        <v>3.3399999000000005</v>
      </c>
      <c r="S893" s="53">
        <v>1</v>
      </c>
      <c r="T893" s="53">
        <v>988.75420999999972</v>
      </c>
      <c r="U893" s="53">
        <v>988.75420999999972</v>
      </c>
      <c r="V893" s="53">
        <v>177.97579000000027</v>
      </c>
      <c r="W893" s="53">
        <v>1166.73</v>
      </c>
      <c r="X893" s="27">
        <f t="shared" si="181"/>
        <v>988.75420999999972</v>
      </c>
    </row>
    <row r="894" spans="1:24" x14ac:dyDescent="0.2">
      <c r="A894" s="220">
        <v>43818</v>
      </c>
      <c r="B894" s="130" t="s">
        <v>68</v>
      </c>
      <c r="C894" s="130" t="s">
        <v>102</v>
      </c>
      <c r="D894" s="130" t="s">
        <v>1662</v>
      </c>
      <c r="E894" s="130" t="s">
        <v>1008</v>
      </c>
      <c r="F894" s="130" t="s">
        <v>1009</v>
      </c>
      <c r="G894" s="220">
        <v>43766</v>
      </c>
      <c r="H894" s="130" t="s">
        <v>387</v>
      </c>
      <c r="I894" s="130" t="s">
        <v>386</v>
      </c>
      <c r="J894" s="130" t="s">
        <v>104</v>
      </c>
      <c r="K894" s="130" t="s">
        <v>105</v>
      </c>
      <c r="L894" s="174" t="s">
        <v>71</v>
      </c>
      <c r="M894" s="131" t="s">
        <v>72</v>
      </c>
      <c r="N894" s="130" t="s">
        <v>73</v>
      </c>
      <c r="O894" s="219" t="s">
        <v>69</v>
      </c>
      <c r="P894" s="130" t="s">
        <v>1699</v>
      </c>
      <c r="Q894" s="132" t="s">
        <v>74</v>
      </c>
      <c r="R894" s="221">
        <v>3.3399999000000005</v>
      </c>
      <c r="S894" s="53">
        <v>1</v>
      </c>
      <c r="T894" s="53">
        <v>2319</v>
      </c>
      <c r="U894" s="53">
        <v>2319</v>
      </c>
      <c r="V894" s="53">
        <v>417.41989999999993</v>
      </c>
      <c r="W894" s="53">
        <v>2736.4198999999999</v>
      </c>
      <c r="X894" s="27">
        <f t="shared" si="181"/>
        <v>2319</v>
      </c>
    </row>
    <row r="895" spans="1:24" x14ac:dyDescent="0.2">
      <c r="A895" s="220">
        <v>43818</v>
      </c>
      <c r="B895" s="130" t="s">
        <v>68</v>
      </c>
      <c r="C895" s="130" t="s">
        <v>102</v>
      </c>
      <c r="D895" s="130" t="s">
        <v>2329</v>
      </c>
      <c r="E895" s="130" t="s">
        <v>1958</v>
      </c>
      <c r="F895" s="130" t="s">
        <v>2330</v>
      </c>
      <c r="G895" s="220">
        <v>43815</v>
      </c>
      <c r="H895" s="130" t="s">
        <v>2331</v>
      </c>
      <c r="I895" s="130" t="s">
        <v>2332</v>
      </c>
      <c r="J895" s="130" t="s">
        <v>95</v>
      </c>
      <c r="K895" s="130" t="s">
        <v>96</v>
      </c>
      <c r="L895" s="174" t="s">
        <v>71</v>
      </c>
      <c r="M895" s="131" t="s">
        <v>72</v>
      </c>
      <c r="N895" s="130" t="s">
        <v>73</v>
      </c>
      <c r="O895" s="219" t="s">
        <v>69</v>
      </c>
      <c r="P895" s="130" t="s">
        <v>1699</v>
      </c>
      <c r="Q895" s="132" t="s">
        <v>93</v>
      </c>
      <c r="R895" s="221">
        <v>3.3399999000000005</v>
      </c>
      <c r="S895" s="53">
        <v>1</v>
      </c>
      <c r="T895" s="53">
        <v>67.050797000000017</v>
      </c>
      <c r="U895" s="53">
        <v>67.050797000000017</v>
      </c>
      <c r="V895" s="53">
        <v>12.069205999999985</v>
      </c>
      <c r="W895" s="53">
        <v>79.120002999999997</v>
      </c>
      <c r="X895" s="27">
        <f t="shared" si="181"/>
        <v>223.94965527492039</v>
      </c>
    </row>
    <row r="896" spans="1:24" x14ac:dyDescent="0.2">
      <c r="A896" s="220">
        <v>43818</v>
      </c>
      <c r="B896" s="130" t="s">
        <v>68</v>
      </c>
      <c r="C896" s="130" t="s">
        <v>102</v>
      </c>
      <c r="D896" s="130" t="s">
        <v>2333</v>
      </c>
      <c r="E896" s="130" t="s">
        <v>1945</v>
      </c>
      <c r="F896" s="130" t="s">
        <v>2014</v>
      </c>
      <c r="G896" s="220">
        <v>43762</v>
      </c>
      <c r="H896" s="130" t="s">
        <v>557</v>
      </c>
      <c r="I896" s="130" t="s">
        <v>556</v>
      </c>
      <c r="J896" s="130" t="s">
        <v>95</v>
      </c>
      <c r="K896" s="130" t="s">
        <v>96</v>
      </c>
      <c r="L896" s="174" t="s">
        <v>71</v>
      </c>
      <c r="M896" s="131" t="s">
        <v>72</v>
      </c>
      <c r="N896" s="130" t="s">
        <v>73</v>
      </c>
      <c r="O896" s="219" t="s">
        <v>69</v>
      </c>
      <c r="P896" s="130" t="s">
        <v>1699</v>
      </c>
      <c r="Q896" s="132" t="s">
        <v>93</v>
      </c>
      <c r="R896" s="221">
        <v>3.3399999000000005</v>
      </c>
      <c r="S896" s="53">
        <v>1</v>
      </c>
      <c r="T896" s="53">
        <v>313.05081000000001</v>
      </c>
      <c r="U896" s="53">
        <v>313.05081000000001</v>
      </c>
      <c r="V896" s="53">
        <v>56.349180000000018</v>
      </c>
      <c r="W896" s="53">
        <v>369.39999000000006</v>
      </c>
      <c r="X896" s="27">
        <f t="shared" si="181"/>
        <v>1045.5896740949192</v>
      </c>
    </row>
    <row r="897" spans="1:24" x14ac:dyDescent="0.2">
      <c r="A897" s="220">
        <v>43818</v>
      </c>
      <c r="B897" s="130" t="s">
        <v>68</v>
      </c>
      <c r="C897" s="130" t="s">
        <v>102</v>
      </c>
      <c r="D897" s="130" t="s">
        <v>1674</v>
      </c>
      <c r="E897" s="130" t="s">
        <v>1945</v>
      </c>
      <c r="F897" s="130" t="s">
        <v>2014</v>
      </c>
      <c r="G897" s="220">
        <v>43762</v>
      </c>
      <c r="H897" s="130" t="s">
        <v>90</v>
      </c>
      <c r="I897" s="130" t="s">
        <v>91</v>
      </c>
      <c r="J897" s="130" t="s">
        <v>97</v>
      </c>
      <c r="K897" s="130" t="s">
        <v>98</v>
      </c>
      <c r="L897" s="174" t="s">
        <v>71</v>
      </c>
      <c r="M897" s="131" t="s">
        <v>72</v>
      </c>
      <c r="N897" s="130" t="s">
        <v>73</v>
      </c>
      <c r="O897" s="219" t="s">
        <v>99</v>
      </c>
      <c r="P897" s="130" t="s">
        <v>98</v>
      </c>
      <c r="Q897" s="132" t="s">
        <v>93</v>
      </c>
      <c r="R897" s="221">
        <v>3.3399999000000005</v>
      </c>
      <c r="S897" s="53">
        <v>1</v>
      </c>
      <c r="T897" s="53">
        <v>295</v>
      </c>
      <c r="U897" s="53">
        <v>295</v>
      </c>
      <c r="V897" s="53">
        <v>53.100009999999891</v>
      </c>
      <c r="W897" s="53">
        <v>348.10000999999988</v>
      </c>
      <c r="X897" s="27">
        <f t="shared" si="181"/>
        <v>985.29997050000009</v>
      </c>
    </row>
    <row r="898" spans="1:24" x14ac:dyDescent="0.2">
      <c r="A898" s="220">
        <v>43818</v>
      </c>
      <c r="B898" s="130" t="s">
        <v>68</v>
      </c>
      <c r="C898" s="130" t="s">
        <v>102</v>
      </c>
      <c r="D898" s="130" t="s">
        <v>1674</v>
      </c>
      <c r="E898" s="130" t="s">
        <v>1945</v>
      </c>
      <c r="F898" s="130" t="s">
        <v>2014</v>
      </c>
      <c r="G898" s="220">
        <v>43762</v>
      </c>
      <c r="H898" s="130" t="s">
        <v>90</v>
      </c>
      <c r="I898" s="130" t="s">
        <v>91</v>
      </c>
      <c r="J898" s="130" t="s">
        <v>100</v>
      </c>
      <c r="K898" s="130" t="s">
        <v>101</v>
      </c>
      <c r="L898" s="174" t="s">
        <v>71</v>
      </c>
      <c r="M898" s="131" t="s">
        <v>72</v>
      </c>
      <c r="N898" s="130" t="s">
        <v>73</v>
      </c>
      <c r="O898" s="219" t="s">
        <v>72</v>
      </c>
      <c r="P898" s="130" t="s">
        <v>101</v>
      </c>
      <c r="Q898" s="132" t="s">
        <v>93</v>
      </c>
      <c r="R898" s="221">
        <v>3.3399999000000005</v>
      </c>
      <c r="S898" s="53">
        <v>1</v>
      </c>
      <c r="T898" s="53">
        <v>270</v>
      </c>
      <c r="U898" s="53">
        <v>270</v>
      </c>
      <c r="V898" s="53">
        <v>48.600010000000005</v>
      </c>
      <c r="W898" s="53">
        <v>318.60001</v>
      </c>
      <c r="X898" s="27">
        <f t="shared" si="181"/>
        <v>901.79997300000014</v>
      </c>
    </row>
    <row r="899" spans="1:24" x14ac:dyDescent="0.2">
      <c r="A899" s="220">
        <v>43818</v>
      </c>
      <c r="B899" s="130" t="s">
        <v>68</v>
      </c>
      <c r="C899" s="130" t="s">
        <v>102</v>
      </c>
      <c r="D899" s="130" t="s">
        <v>1674</v>
      </c>
      <c r="E899" s="130" t="s">
        <v>1945</v>
      </c>
      <c r="F899" s="130" t="s">
        <v>2014</v>
      </c>
      <c r="G899" s="220">
        <v>43762</v>
      </c>
      <c r="H899" s="130" t="s">
        <v>90</v>
      </c>
      <c r="I899" s="130" t="s">
        <v>91</v>
      </c>
      <c r="J899" s="130" t="s">
        <v>92</v>
      </c>
      <c r="K899" s="130" t="s">
        <v>113</v>
      </c>
      <c r="L899" s="174" t="s">
        <v>71</v>
      </c>
      <c r="M899" s="131" t="s">
        <v>72</v>
      </c>
      <c r="N899" s="130" t="s">
        <v>73</v>
      </c>
      <c r="O899" s="219" t="s">
        <v>69</v>
      </c>
      <c r="P899" s="130" t="s">
        <v>1699</v>
      </c>
      <c r="Q899" s="132" t="s">
        <v>93</v>
      </c>
      <c r="R899" s="221">
        <v>3.3399999000000005</v>
      </c>
      <c r="S899" s="53">
        <v>1</v>
      </c>
      <c r="T899" s="53">
        <v>90</v>
      </c>
      <c r="U899" s="53">
        <v>90</v>
      </c>
      <c r="V899" s="53">
        <v>16.2</v>
      </c>
      <c r="W899" s="53">
        <v>106.2</v>
      </c>
      <c r="X899" s="27">
        <f t="shared" si="181"/>
        <v>300.59999100000005</v>
      </c>
    </row>
    <row r="900" spans="1:24" x14ac:dyDescent="0.2">
      <c r="A900" s="220">
        <v>43818</v>
      </c>
      <c r="B900" s="130" t="s">
        <v>68</v>
      </c>
      <c r="C900" s="130" t="s">
        <v>102</v>
      </c>
      <c r="D900" s="130" t="s">
        <v>1674</v>
      </c>
      <c r="E900" s="130" t="s">
        <v>1945</v>
      </c>
      <c r="F900" s="130" t="s">
        <v>2014</v>
      </c>
      <c r="G900" s="220">
        <v>43762</v>
      </c>
      <c r="H900" s="130" t="s">
        <v>90</v>
      </c>
      <c r="I900" s="130" t="s">
        <v>91</v>
      </c>
      <c r="J900" s="130" t="s">
        <v>70</v>
      </c>
      <c r="K900" s="130" t="s">
        <v>112</v>
      </c>
      <c r="L900" s="174" t="s">
        <v>71</v>
      </c>
      <c r="M900" s="131" t="s">
        <v>72</v>
      </c>
      <c r="N900" s="130" t="s">
        <v>73</v>
      </c>
      <c r="O900" s="219" t="s">
        <v>69</v>
      </c>
      <c r="P900" s="130" t="s">
        <v>1699</v>
      </c>
      <c r="Q900" s="132" t="s">
        <v>93</v>
      </c>
      <c r="R900" s="221">
        <v>3.3399999000000005</v>
      </c>
      <c r="S900" s="53">
        <v>1</v>
      </c>
      <c r="T900" s="53">
        <v>30</v>
      </c>
      <c r="U900" s="53">
        <v>30</v>
      </c>
      <c r="V900" s="53">
        <v>5.4000019999999997</v>
      </c>
      <c r="W900" s="53">
        <v>35.400002000000001</v>
      </c>
      <c r="X900" s="27">
        <f t="shared" si="181"/>
        <v>100.19999700000001</v>
      </c>
    </row>
    <row r="901" spans="1:24" x14ac:dyDescent="0.2">
      <c r="A901" s="220">
        <v>43818</v>
      </c>
      <c r="B901" s="130" t="s">
        <v>68</v>
      </c>
      <c r="C901" s="130" t="s">
        <v>102</v>
      </c>
      <c r="D901" s="130" t="s">
        <v>1674</v>
      </c>
      <c r="E901" s="130" t="s">
        <v>1945</v>
      </c>
      <c r="F901" s="130" t="s">
        <v>2014</v>
      </c>
      <c r="G901" s="220">
        <v>43762</v>
      </c>
      <c r="H901" s="130" t="s">
        <v>90</v>
      </c>
      <c r="I901" s="130" t="s">
        <v>91</v>
      </c>
      <c r="J901" s="130" t="s">
        <v>95</v>
      </c>
      <c r="K901" s="130" t="s">
        <v>96</v>
      </c>
      <c r="L901" s="174" t="s">
        <v>71</v>
      </c>
      <c r="M901" s="131" t="s">
        <v>72</v>
      </c>
      <c r="N901" s="130" t="s">
        <v>73</v>
      </c>
      <c r="O901" s="219" t="s">
        <v>69</v>
      </c>
      <c r="P901" s="130" t="s">
        <v>1699</v>
      </c>
      <c r="Q901" s="132" t="s">
        <v>93</v>
      </c>
      <c r="R901" s="221">
        <v>3.3399999000000005</v>
      </c>
      <c r="S901" s="53">
        <v>-1</v>
      </c>
      <c r="T901" s="53">
        <v>313.05081000000001</v>
      </c>
      <c r="U901" s="53">
        <v>-313.05081000000001</v>
      </c>
      <c r="V901" s="53">
        <v>-56.349180000000018</v>
      </c>
      <c r="W901" s="53">
        <v>-369.39999000000006</v>
      </c>
      <c r="X901" s="27">
        <f t="shared" ref="X901:X964" si="182">IF(Q901="$",(U901*R901),U901)</f>
        <v>-1045.5896740949192</v>
      </c>
    </row>
    <row r="902" spans="1:24" x14ac:dyDescent="0.2">
      <c r="A902" s="220">
        <v>43818</v>
      </c>
      <c r="B902" s="130" t="s">
        <v>68</v>
      </c>
      <c r="C902" s="130" t="s">
        <v>102</v>
      </c>
      <c r="D902" s="130" t="s">
        <v>1674</v>
      </c>
      <c r="E902" s="130" t="s">
        <v>1945</v>
      </c>
      <c r="F902" s="130" t="s">
        <v>2014</v>
      </c>
      <c r="G902" s="220">
        <v>43762</v>
      </c>
      <c r="H902" s="130" t="s">
        <v>90</v>
      </c>
      <c r="I902" s="130" t="s">
        <v>91</v>
      </c>
      <c r="J902" s="130" t="s">
        <v>104</v>
      </c>
      <c r="K902" s="130" t="s">
        <v>105</v>
      </c>
      <c r="L902" s="174" t="s">
        <v>71</v>
      </c>
      <c r="M902" s="131" t="s">
        <v>72</v>
      </c>
      <c r="N902" s="130" t="s">
        <v>73</v>
      </c>
      <c r="O902" s="219" t="s">
        <v>69</v>
      </c>
      <c r="P902" s="130" t="s">
        <v>1699</v>
      </c>
      <c r="Q902" s="132" t="s">
        <v>93</v>
      </c>
      <c r="R902" s="221">
        <v>3.3399999000000005</v>
      </c>
      <c r="S902" s="53">
        <v>1</v>
      </c>
      <c r="T902" s="53">
        <v>0</v>
      </c>
      <c r="U902" s="53">
        <v>0</v>
      </c>
      <c r="V902" s="53">
        <v>0</v>
      </c>
      <c r="W902" s="53">
        <v>0</v>
      </c>
      <c r="X902" s="27">
        <f t="shared" si="182"/>
        <v>0</v>
      </c>
    </row>
    <row r="903" spans="1:24" x14ac:dyDescent="0.2">
      <c r="A903" s="220">
        <v>43818</v>
      </c>
      <c r="B903" s="130" t="s">
        <v>68</v>
      </c>
      <c r="C903" s="130" t="s">
        <v>102</v>
      </c>
      <c r="D903" s="130" t="s">
        <v>2334</v>
      </c>
      <c r="E903" s="130" t="s">
        <v>1958</v>
      </c>
      <c r="F903" s="130" t="s">
        <v>2330</v>
      </c>
      <c r="G903" s="220">
        <v>43815</v>
      </c>
      <c r="H903" s="130" t="s">
        <v>90</v>
      </c>
      <c r="I903" s="130" t="s">
        <v>91</v>
      </c>
      <c r="J903" s="130" t="s">
        <v>97</v>
      </c>
      <c r="K903" s="130" t="s">
        <v>98</v>
      </c>
      <c r="L903" s="174" t="s">
        <v>71</v>
      </c>
      <c r="M903" s="131" t="s">
        <v>72</v>
      </c>
      <c r="N903" s="130" t="s">
        <v>73</v>
      </c>
      <c r="O903" s="219" t="s">
        <v>99</v>
      </c>
      <c r="P903" s="130" t="s">
        <v>98</v>
      </c>
      <c r="Q903" s="132" t="s">
        <v>93</v>
      </c>
      <c r="R903" s="221">
        <v>3.3399999000000005</v>
      </c>
      <c r="S903" s="53">
        <v>1</v>
      </c>
      <c r="T903" s="53">
        <v>118</v>
      </c>
      <c r="U903" s="53">
        <v>118</v>
      </c>
      <c r="V903" s="53">
        <v>21.240010000000019</v>
      </c>
      <c r="W903" s="53">
        <v>139.24001000000001</v>
      </c>
      <c r="X903" s="27">
        <f t="shared" si="182"/>
        <v>394.11998820000008</v>
      </c>
    </row>
    <row r="904" spans="1:24" x14ac:dyDescent="0.2">
      <c r="A904" s="220">
        <v>43818</v>
      </c>
      <c r="B904" s="130" t="s">
        <v>68</v>
      </c>
      <c r="C904" s="130" t="s">
        <v>102</v>
      </c>
      <c r="D904" s="130" t="s">
        <v>2334</v>
      </c>
      <c r="E904" s="130" t="s">
        <v>1958</v>
      </c>
      <c r="F904" s="130" t="s">
        <v>2330</v>
      </c>
      <c r="G904" s="220">
        <v>43815</v>
      </c>
      <c r="H904" s="130" t="s">
        <v>90</v>
      </c>
      <c r="I904" s="130" t="s">
        <v>91</v>
      </c>
      <c r="J904" s="130" t="s">
        <v>100</v>
      </c>
      <c r="K904" s="130" t="s">
        <v>101</v>
      </c>
      <c r="L904" s="174" t="s">
        <v>71</v>
      </c>
      <c r="M904" s="131" t="s">
        <v>72</v>
      </c>
      <c r="N904" s="130" t="s">
        <v>73</v>
      </c>
      <c r="O904" s="219" t="s">
        <v>72</v>
      </c>
      <c r="P904" s="130" t="s">
        <v>101</v>
      </c>
      <c r="Q904" s="132" t="s">
        <v>93</v>
      </c>
      <c r="R904" s="221">
        <v>3.3399999000000005</v>
      </c>
      <c r="S904" s="53">
        <v>1</v>
      </c>
      <c r="T904" s="53">
        <v>150</v>
      </c>
      <c r="U904" s="53">
        <v>150</v>
      </c>
      <c r="V904" s="53">
        <v>27</v>
      </c>
      <c r="W904" s="53">
        <v>177</v>
      </c>
      <c r="X904" s="27">
        <f t="shared" si="182"/>
        <v>500.99998500000009</v>
      </c>
    </row>
    <row r="905" spans="1:24" x14ac:dyDescent="0.2">
      <c r="A905" s="220">
        <v>43818</v>
      </c>
      <c r="B905" s="130" t="s">
        <v>68</v>
      </c>
      <c r="C905" s="130" t="s">
        <v>102</v>
      </c>
      <c r="D905" s="130" t="s">
        <v>2334</v>
      </c>
      <c r="E905" s="130" t="s">
        <v>1958</v>
      </c>
      <c r="F905" s="130" t="s">
        <v>2330</v>
      </c>
      <c r="G905" s="220">
        <v>43815</v>
      </c>
      <c r="H905" s="130" t="s">
        <v>90</v>
      </c>
      <c r="I905" s="130" t="s">
        <v>91</v>
      </c>
      <c r="J905" s="130" t="s">
        <v>95</v>
      </c>
      <c r="K905" s="130" t="s">
        <v>96</v>
      </c>
      <c r="L905" s="174" t="s">
        <v>71</v>
      </c>
      <c r="M905" s="131" t="s">
        <v>72</v>
      </c>
      <c r="N905" s="130" t="s">
        <v>73</v>
      </c>
      <c r="O905" s="219" t="s">
        <v>69</v>
      </c>
      <c r="P905" s="130" t="s">
        <v>1699</v>
      </c>
      <c r="Q905" s="132" t="s">
        <v>93</v>
      </c>
      <c r="R905" s="221">
        <v>3.3399999000000005</v>
      </c>
      <c r="S905" s="53">
        <v>-1</v>
      </c>
      <c r="T905" s="53">
        <v>67.050797000000017</v>
      </c>
      <c r="U905" s="53">
        <v>-67.050797000000017</v>
      </c>
      <c r="V905" s="53">
        <v>-12.069205999999985</v>
      </c>
      <c r="W905" s="53">
        <v>-79.120002999999997</v>
      </c>
      <c r="X905" s="27">
        <f t="shared" si="182"/>
        <v>-223.94965527492039</v>
      </c>
    </row>
    <row r="906" spans="1:24" x14ac:dyDescent="0.2">
      <c r="A906" s="220">
        <v>43818</v>
      </c>
      <c r="B906" s="130" t="s">
        <v>68</v>
      </c>
      <c r="C906" s="130" t="s">
        <v>102</v>
      </c>
      <c r="D906" s="130" t="s">
        <v>2334</v>
      </c>
      <c r="E906" s="130" t="s">
        <v>1958</v>
      </c>
      <c r="F906" s="130" t="s">
        <v>2330</v>
      </c>
      <c r="G906" s="220">
        <v>43815</v>
      </c>
      <c r="H906" s="130" t="s">
        <v>90</v>
      </c>
      <c r="I906" s="130" t="s">
        <v>91</v>
      </c>
      <c r="J906" s="130" t="s">
        <v>104</v>
      </c>
      <c r="K906" s="130" t="s">
        <v>105</v>
      </c>
      <c r="L906" s="174" t="s">
        <v>71</v>
      </c>
      <c r="M906" s="131" t="s">
        <v>72</v>
      </c>
      <c r="N906" s="130" t="s">
        <v>73</v>
      </c>
      <c r="O906" s="219" t="s">
        <v>69</v>
      </c>
      <c r="P906" s="130" t="s">
        <v>1699</v>
      </c>
      <c r="Q906" s="132" t="s">
        <v>93</v>
      </c>
      <c r="R906" s="221">
        <v>3.3399999000000005</v>
      </c>
      <c r="S906" s="53">
        <v>1</v>
      </c>
      <c r="T906" s="53">
        <v>0</v>
      </c>
      <c r="U906" s="53">
        <v>0</v>
      </c>
      <c r="V906" s="53">
        <v>0</v>
      </c>
      <c r="W906" s="53">
        <v>0</v>
      </c>
      <c r="X906" s="27">
        <f t="shared" si="182"/>
        <v>0</v>
      </c>
    </row>
    <row r="907" spans="1:24" x14ac:dyDescent="0.2">
      <c r="A907" s="220">
        <v>43826</v>
      </c>
      <c r="B907" s="130" t="s">
        <v>68</v>
      </c>
      <c r="C907" s="130" t="s">
        <v>102</v>
      </c>
      <c r="D907" s="130" t="s">
        <v>2335</v>
      </c>
      <c r="E907" s="130" t="s">
        <v>1988</v>
      </c>
      <c r="F907" s="130" t="s">
        <v>2336</v>
      </c>
      <c r="G907" s="220">
        <v>43825</v>
      </c>
      <c r="H907" s="130" t="s">
        <v>2337</v>
      </c>
      <c r="I907" s="130" t="s">
        <v>2338</v>
      </c>
      <c r="J907" s="130" t="s">
        <v>70</v>
      </c>
      <c r="K907" s="130" t="s">
        <v>112</v>
      </c>
      <c r="L907" s="174" t="s">
        <v>71</v>
      </c>
      <c r="M907" s="131" t="s">
        <v>72</v>
      </c>
      <c r="N907" s="130" t="s">
        <v>73</v>
      </c>
      <c r="O907" s="219" t="s">
        <v>69</v>
      </c>
      <c r="P907" s="130" t="s">
        <v>1699</v>
      </c>
      <c r="Q907" s="132" t="s">
        <v>74</v>
      </c>
      <c r="R907" s="221">
        <v>3.3220000000000001</v>
      </c>
      <c r="S907" s="53">
        <v>1</v>
      </c>
      <c r="T907" s="53">
        <v>649</v>
      </c>
      <c r="U907" s="53">
        <v>649</v>
      </c>
      <c r="V907" s="53">
        <v>116.8200099999999</v>
      </c>
      <c r="W907" s="53">
        <v>765.82000999999991</v>
      </c>
      <c r="X907" s="27">
        <f t="shared" si="182"/>
        <v>649</v>
      </c>
    </row>
    <row r="908" spans="1:24" x14ac:dyDescent="0.2">
      <c r="A908" s="220">
        <v>43826</v>
      </c>
      <c r="B908" s="130" t="s">
        <v>68</v>
      </c>
      <c r="C908" s="130" t="s">
        <v>102</v>
      </c>
      <c r="D908" s="130" t="s">
        <v>2335</v>
      </c>
      <c r="E908" s="130" t="s">
        <v>1988</v>
      </c>
      <c r="F908" s="130" t="s">
        <v>2336</v>
      </c>
      <c r="G908" s="220">
        <v>43825</v>
      </c>
      <c r="H908" s="130" t="s">
        <v>2337</v>
      </c>
      <c r="I908" s="130" t="s">
        <v>2338</v>
      </c>
      <c r="J908" s="130" t="s">
        <v>104</v>
      </c>
      <c r="K908" s="130" t="s">
        <v>105</v>
      </c>
      <c r="L908" s="174" t="s">
        <v>71</v>
      </c>
      <c r="M908" s="131" t="s">
        <v>72</v>
      </c>
      <c r="N908" s="130" t="s">
        <v>73</v>
      </c>
      <c r="O908" s="219" t="s">
        <v>69</v>
      </c>
      <c r="P908" s="130" t="s">
        <v>1699</v>
      </c>
      <c r="Q908" s="132" t="s">
        <v>74</v>
      </c>
      <c r="R908" s="221">
        <v>3.3220000000000001</v>
      </c>
      <c r="S908" s="53">
        <v>1</v>
      </c>
      <c r="T908" s="53">
        <v>0</v>
      </c>
      <c r="U908" s="53">
        <v>0</v>
      </c>
      <c r="V908" s="53">
        <v>0</v>
      </c>
      <c r="W908" s="53">
        <v>0</v>
      </c>
      <c r="X908" s="27">
        <f t="shared" si="182"/>
        <v>0</v>
      </c>
    </row>
    <row r="909" spans="1:24" x14ac:dyDescent="0.2">
      <c r="A909" s="220">
        <v>43829</v>
      </c>
      <c r="B909" s="130" t="s">
        <v>68</v>
      </c>
      <c r="C909" s="130" t="s">
        <v>102</v>
      </c>
      <c r="D909" s="130" t="s">
        <v>2339</v>
      </c>
      <c r="E909" s="130" t="s">
        <v>1976</v>
      </c>
      <c r="F909" s="130" t="s">
        <v>2340</v>
      </c>
      <c r="G909" s="220">
        <v>43818</v>
      </c>
      <c r="H909" s="130" t="s">
        <v>2341</v>
      </c>
      <c r="I909" s="130" t="s">
        <v>2342</v>
      </c>
      <c r="J909" s="130" t="s">
        <v>95</v>
      </c>
      <c r="K909" s="130" t="s">
        <v>96</v>
      </c>
      <c r="L909" s="174" t="s">
        <v>71</v>
      </c>
      <c r="M909" s="131" t="s">
        <v>72</v>
      </c>
      <c r="N909" s="130" t="s">
        <v>73</v>
      </c>
      <c r="O909" s="219" t="s">
        <v>69</v>
      </c>
      <c r="P909" s="130" t="s">
        <v>1699</v>
      </c>
      <c r="Q909" s="132" t="s">
        <v>93</v>
      </c>
      <c r="R909" s="221">
        <v>3.3239999</v>
      </c>
      <c r="S909" s="53">
        <v>1</v>
      </c>
      <c r="T909" s="53">
        <v>130.18639999999999</v>
      </c>
      <c r="U909" s="53">
        <v>130.18639999999999</v>
      </c>
      <c r="V909" s="53">
        <v>23.433600000000006</v>
      </c>
      <c r="W909" s="53">
        <v>153.62</v>
      </c>
      <c r="X909" s="27">
        <f t="shared" si="182"/>
        <v>432.73958058135997</v>
      </c>
    </row>
    <row r="910" spans="1:24" x14ac:dyDescent="0.2">
      <c r="A910" s="220">
        <v>43829</v>
      </c>
      <c r="B910" s="130" t="s">
        <v>68</v>
      </c>
      <c r="C910" s="130" t="s">
        <v>102</v>
      </c>
      <c r="D910" s="130" t="s">
        <v>2095</v>
      </c>
      <c r="E910" s="130" t="s">
        <v>1978</v>
      </c>
      <c r="F910" s="130" t="s">
        <v>2340</v>
      </c>
      <c r="G910" s="220">
        <v>43822</v>
      </c>
      <c r="H910" s="130" t="s">
        <v>2341</v>
      </c>
      <c r="I910" s="130" t="s">
        <v>2342</v>
      </c>
      <c r="J910" s="130" t="s">
        <v>97</v>
      </c>
      <c r="K910" s="130" t="s">
        <v>98</v>
      </c>
      <c r="L910" s="174" t="s">
        <v>71</v>
      </c>
      <c r="M910" s="131" t="s">
        <v>72</v>
      </c>
      <c r="N910" s="130" t="s">
        <v>73</v>
      </c>
      <c r="O910" s="219" t="s">
        <v>99</v>
      </c>
      <c r="P910" s="130" t="s">
        <v>98</v>
      </c>
      <c r="Q910" s="132" t="s">
        <v>93</v>
      </c>
      <c r="R910" s="221">
        <v>3.3239999</v>
      </c>
      <c r="S910" s="53">
        <v>1</v>
      </c>
      <c r="T910" s="53">
        <v>189</v>
      </c>
      <c r="U910" s="53">
        <v>189</v>
      </c>
      <c r="V910" s="53">
        <v>34.020000000000003</v>
      </c>
      <c r="W910" s="53">
        <v>223.02</v>
      </c>
      <c r="X910" s="27">
        <f t="shared" si="182"/>
        <v>628.2359811</v>
      </c>
    </row>
    <row r="911" spans="1:24" x14ac:dyDescent="0.2">
      <c r="A911" s="220">
        <v>43829</v>
      </c>
      <c r="B911" s="130" t="s">
        <v>68</v>
      </c>
      <c r="C911" s="130" t="s">
        <v>102</v>
      </c>
      <c r="D911" s="130" t="s">
        <v>2095</v>
      </c>
      <c r="E911" s="130" t="s">
        <v>1978</v>
      </c>
      <c r="F911" s="130" t="s">
        <v>2340</v>
      </c>
      <c r="G911" s="220">
        <v>43822</v>
      </c>
      <c r="H911" s="130" t="s">
        <v>2341</v>
      </c>
      <c r="I911" s="130" t="s">
        <v>2342</v>
      </c>
      <c r="J911" s="130" t="s">
        <v>100</v>
      </c>
      <c r="K911" s="130" t="s">
        <v>101</v>
      </c>
      <c r="L911" s="174" t="s">
        <v>71</v>
      </c>
      <c r="M911" s="131" t="s">
        <v>72</v>
      </c>
      <c r="N911" s="130" t="s">
        <v>73</v>
      </c>
      <c r="O911" s="219" t="s">
        <v>72</v>
      </c>
      <c r="P911" s="130" t="s">
        <v>101</v>
      </c>
      <c r="Q911" s="132" t="s">
        <v>93</v>
      </c>
      <c r="R911" s="221">
        <v>3.3239999</v>
      </c>
      <c r="S911" s="53">
        <v>1</v>
      </c>
      <c r="T911" s="53">
        <v>67.5</v>
      </c>
      <c r="U911" s="53">
        <v>67.5</v>
      </c>
      <c r="V911" s="53">
        <v>12.150002000000013</v>
      </c>
      <c r="W911" s="53">
        <v>79.650002000000015</v>
      </c>
      <c r="X911" s="27">
        <f t="shared" si="182"/>
        <v>224.36999324999999</v>
      </c>
    </row>
    <row r="912" spans="1:24" x14ac:dyDescent="0.2">
      <c r="A912" s="220">
        <v>43829</v>
      </c>
      <c r="B912" s="130" t="s">
        <v>68</v>
      </c>
      <c r="C912" s="130" t="s">
        <v>102</v>
      </c>
      <c r="D912" s="130" t="s">
        <v>2095</v>
      </c>
      <c r="E912" s="130" t="s">
        <v>1978</v>
      </c>
      <c r="F912" s="130" t="s">
        <v>2340</v>
      </c>
      <c r="G912" s="220">
        <v>43822</v>
      </c>
      <c r="H912" s="130" t="s">
        <v>2341</v>
      </c>
      <c r="I912" s="130" t="s">
        <v>2342</v>
      </c>
      <c r="J912" s="130" t="s">
        <v>132</v>
      </c>
      <c r="K912" s="130" t="s">
        <v>2343</v>
      </c>
      <c r="L912" s="174" t="s">
        <v>71</v>
      </c>
      <c r="M912" s="131" t="s">
        <v>72</v>
      </c>
      <c r="N912" s="130" t="s">
        <v>73</v>
      </c>
      <c r="O912" s="219" t="s">
        <v>69</v>
      </c>
      <c r="P912" s="130" t="s">
        <v>1699</v>
      </c>
      <c r="Q912" s="132" t="s">
        <v>93</v>
      </c>
      <c r="R912" s="221">
        <v>3.3239999</v>
      </c>
      <c r="S912" s="53">
        <v>1</v>
      </c>
      <c r="T912" s="53">
        <v>10</v>
      </c>
      <c r="U912" s="53">
        <v>10</v>
      </c>
      <c r="V912" s="53">
        <v>1.8</v>
      </c>
      <c r="W912" s="53">
        <v>11.8</v>
      </c>
      <c r="X912" s="27">
        <f t="shared" si="182"/>
        <v>33.239998999999997</v>
      </c>
    </row>
    <row r="913" spans="1:24" x14ac:dyDescent="0.2">
      <c r="A913" s="220">
        <v>43802</v>
      </c>
      <c r="B913" s="130" t="s">
        <v>111</v>
      </c>
      <c r="C913" s="130" t="s">
        <v>102</v>
      </c>
      <c r="D913" s="130" t="s">
        <v>641</v>
      </c>
      <c r="E913" s="130" t="s">
        <v>1414</v>
      </c>
      <c r="F913" s="130" t="s">
        <v>2287</v>
      </c>
      <c r="G913" s="220">
        <v>43795</v>
      </c>
      <c r="H913" s="130" t="s">
        <v>2344</v>
      </c>
      <c r="I913" s="130" t="s">
        <v>2345</v>
      </c>
      <c r="J913" s="130" t="s">
        <v>95</v>
      </c>
      <c r="K913" s="130" t="s">
        <v>96</v>
      </c>
      <c r="L913" s="174" t="s">
        <v>71</v>
      </c>
      <c r="M913" s="131" t="s">
        <v>72</v>
      </c>
      <c r="N913" s="130" t="s">
        <v>73</v>
      </c>
      <c r="O913" s="219" t="s">
        <v>69</v>
      </c>
      <c r="P913" s="130" t="s">
        <v>1699</v>
      </c>
      <c r="Q913" s="132" t="s">
        <v>93</v>
      </c>
      <c r="R913" s="221">
        <v>3.4030000999999999</v>
      </c>
      <c r="S913" s="53">
        <v>1</v>
      </c>
      <c r="T913" s="53">
        <v>100</v>
      </c>
      <c r="U913" s="53">
        <v>100</v>
      </c>
      <c r="V913" s="53">
        <v>18</v>
      </c>
      <c r="W913" s="53">
        <v>118</v>
      </c>
      <c r="X913" s="27">
        <f t="shared" si="182"/>
        <v>340.30000999999999</v>
      </c>
    </row>
    <row r="914" spans="1:24" x14ac:dyDescent="0.2">
      <c r="A914" s="220">
        <v>43802</v>
      </c>
      <c r="B914" s="130" t="s">
        <v>111</v>
      </c>
      <c r="C914" s="130" t="s">
        <v>102</v>
      </c>
      <c r="D914" s="130" t="s">
        <v>640</v>
      </c>
      <c r="E914" s="130" t="s">
        <v>1416</v>
      </c>
      <c r="F914" s="130" t="s">
        <v>2287</v>
      </c>
      <c r="G914" s="220">
        <v>43797</v>
      </c>
      <c r="H914" s="130" t="s">
        <v>2344</v>
      </c>
      <c r="I914" s="130" t="s">
        <v>2345</v>
      </c>
      <c r="J914" s="130" t="s">
        <v>97</v>
      </c>
      <c r="K914" s="130" t="s">
        <v>98</v>
      </c>
      <c r="L914" s="174" t="s">
        <v>71</v>
      </c>
      <c r="M914" s="131" t="s">
        <v>72</v>
      </c>
      <c r="N914" s="130" t="s">
        <v>73</v>
      </c>
      <c r="O914" s="219" t="s">
        <v>99</v>
      </c>
      <c r="P914" s="130" t="s">
        <v>98</v>
      </c>
      <c r="Q914" s="132" t="s">
        <v>93</v>
      </c>
      <c r="R914" s="221">
        <v>3.4030000999999999</v>
      </c>
      <c r="S914" s="53">
        <v>1</v>
      </c>
      <c r="T914" s="53">
        <v>120</v>
      </c>
      <c r="U914" s="53">
        <v>120</v>
      </c>
      <c r="V914" s="53">
        <v>21.600010000000019</v>
      </c>
      <c r="W914" s="53">
        <v>141.60001000000003</v>
      </c>
      <c r="X914" s="27">
        <f t="shared" si="182"/>
        <v>408.36001199999998</v>
      </c>
    </row>
    <row r="915" spans="1:24" x14ac:dyDescent="0.2">
      <c r="A915" s="220">
        <v>43802</v>
      </c>
      <c r="B915" s="130" t="s">
        <v>111</v>
      </c>
      <c r="C915" s="130" t="s">
        <v>102</v>
      </c>
      <c r="D915" s="130" t="s">
        <v>640</v>
      </c>
      <c r="E915" s="130" t="s">
        <v>1416</v>
      </c>
      <c r="F915" s="130" t="s">
        <v>2287</v>
      </c>
      <c r="G915" s="220">
        <v>43797</v>
      </c>
      <c r="H915" s="130" t="s">
        <v>2344</v>
      </c>
      <c r="I915" s="130" t="s">
        <v>2345</v>
      </c>
      <c r="J915" s="130" t="s">
        <v>100</v>
      </c>
      <c r="K915" s="130" t="s">
        <v>101</v>
      </c>
      <c r="L915" s="174" t="s">
        <v>71</v>
      </c>
      <c r="M915" s="131" t="s">
        <v>72</v>
      </c>
      <c r="N915" s="130" t="s">
        <v>73</v>
      </c>
      <c r="O915" s="219" t="s">
        <v>72</v>
      </c>
      <c r="P915" s="130" t="s">
        <v>101</v>
      </c>
      <c r="Q915" s="132" t="s">
        <v>93</v>
      </c>
      <c r="R915" s="221">
        <v>3.4030000999999999</v>
      </c>
      <c r="S915" s="53">
        <v>1</v>
      </c>
      <c r="T915" s="53">
        <v>69.898300000000006</v>
      </c>
      <c r="U915" s="53">
        <v>69.898300000000006</v>
      </c>
      <c r="V915" s="53">
        <v>12.581702999999989</v>
      </c>
      <c r="W915" s="53">
        <v>82.480002999999996</v>
      </c>
      <c r="X915" s="27">
        <f t="shared" si="182"/>
        <v>237.86392188983001</v>
      </c>
    </row>
    <row r="916" spans="1:24" x14ac:dyDescent="0.2">
      <c r="A916" s="220">
        <v>43802</v>
      </c>
      <c r="B916" s="130" t="s">
        <v>111</v>
      </c>
      <c r="C916" s="130" t="s">
        <v>102</v>
      </c>
      <c r="D916" s="130" t="s">
        <v>640</v>
      </c>
      <c r="E916" s="130" t="s">
        <v>1416</v>
      </c>
      <c r="F916" s="130" t="s">
        <v>2287</v>
      </c>
      <c r="G916" s="220">
        <v>43797</v>
      </c>
      <c r="H916" s="130" t="s">
        <v>2344</v>
      </c>
      <c r="I916" s="130" t="s">
        <v>2345</v>
      </c>
      <c r="J916" s="130" t="s">
        <v>104</v>
      </c>
      <c r="K916" s="130" t="s">
        <v>105</v>
      </c>
      <c r="L916" s="174" t="s">
        <v>71</v>
      </c>
      <c r="M916" s="131" t="s">
        <v>72</v>
      </c>
      <c r="N916" s="130" t="s">
        <v>73</v>
      </c>
      <c r="O916" s="219" t="s">
        <v>69</v>
      </c>
      <c r="P916" s="130" t="s">
        <v>1699</v>
      </c>
      <c r="Q916" s="132" t="s">
        <v>93</v>
      </c>
      <c r="R916" s="221">
        <v>3.4030000999999999</v>
      </c>
      <c r="S916" s="53">
        <v>1</v>
      </c>
      <c r="T916" s="53">
        <v>38</v>
      </c>
      <c r="U916" s="53">
        <v>38</v>
      </c>
      <c r="V916" s="53">
        <v>6.84</v>
      </c>
      <c r="W916" s="53">
        <v>44.84</v>
      </c>
      <c r="X916" s="27">
        <f t="shared" si="182"/>
        <v>129.31400379999999</v>
      </c>
    </row>
    <row r="917" spans="1:24" x14ac:dyDescent="0.2">
      <c r="A917" s="220">
        <v>43802</v>
      </c>
      <c r="B917" s="130" t="s">
        <v>111</v>
      </c>
      <c r="C917" s="130" t="s">
        <v>102</v>
      </c>
      <c r="D917" s="130" t="s">
        <v>639</v>
      </c>
      <c r="E917" s="130" t="s">
        <v>1409</v>
      </c>
      <c r="F917" s="130" t="s">
        <v>2285</v>
      </c>
      <c r="G917" s="220">
        <v>43776</v>
      </c>
      <c r="H917" s="130" t="s">
        <v>2346</v>
      </c>
      <c r="I917" s="130" t="s">
        <v>2347</v>
      </c>
      <c r="J917" s="130" t="s">
        <v>95</v>
      </c>
      <c r="K917" s="130" t="s">
        <v>96</v>
      </c>
      <c r="L917" s="174" t="s">
        <v>71</v>
      </c>
      <c r="M917" s="131" t="s">
        <v>72</v>
      </c>
      <c r="N917" s="130" t="s">
        <v>73</v>
      </c>
      <c r="O917" s="219" t="s">
        <v>69</v>
      </c>
      <c r="P917" s="130" t="s">
        <v>1699</v>
      </c>
      <c r="Q917" s="132" t="s">
        <v>93</v>
      </c>
      <c r="R917" s="221">
        <v>3.4030000999999999</v>
      </c>
      <c r="S917" s="53">
        <v>1</v>
      </c>
      <c r="T917" s="53">
        <v>108.85590000000002</v>
      </c>
      <c r="U917" s="53">
        <v>108.85590000000002</v>
      </c>
      <c r="V917" s="53">
        <v>19.594099999999962</v>
      </c>
      <c r="W917" s="53">
        <v>128.44999999999999</v>
      </c>
      <c r="X917" s="27">
        <f t="shared" si="182"/>
        <v>370.43663858559006</v>
      </c>
    </row>
    <row r="918" spans="1:24" x14ac:dyDescent="0.2">
      <c r="A918" s="220">
        <v>43802</v>
      </c>
      <c r="B918" s="130" t="s">
        <v>111</v>
      </c>
      <c r="C918" s="130" t="s">
        <v>102</v>
      </c>
      <c r="D918" s="130" t="s">
        <v>638</v>
      </c>
      <c r="E918" s="130" t="s">
        <v>1663</v>
      </c>
      <c r="F918" s="130" t="s">
        <v>1664</v>
      </c>
      <c r="G918" s="220">
        <v>43801</v>
      </c>
      <c r="H918" s="130" t="s">
        <v>2348</v>
      </c>
      <c r="I918" s="130" t="s">
        <v>2349</v>
      </c>
      <c r="J918" s="130" t="s">
        <v>70</v>
      </c>
      <c r="K918" s="130" t="s">
        <v>112</v>
      </c>
      <c r="L918" s="174" t="s">
        <v>71</v>
      </c>
      <c r="M918" s="131" t="s">
        <v>72</v>
      </c>
      <c r="N918" s="130" t="s">
        <v>73</v>
      </c>
      <c r="O918" s="219" t="s">
        <v>69</v>
      </c>
      <c r="P918" s="130" t="s">
        <v>1699</v>
      </c>
      <c r="Q918" s="132" t="s">
        <v>74</v>
      </c>
      <c r="R918" s="221">
        <v>3.4030000999999999</v>
      </c>
      <c r="S918" s="53">
        <v>1</v>
      </c>
      <c r="T918" s="53">
        <v>650</v>
      </c>
      <c r="U918" s="53">
        <v>650</v>
      </c>
      <c r="V918" s="53">
        <v>117</v>
      </c>
      <c r="W918" s="53">
        <v>767</v>
      </c>
      <c r="X918" s="27">
        <f t="shared" si="182"/>
        <v>650</v>
      </c>
    </row>
    <row r="919" spans="1:24" x14ac:dyDescent="0.2">
      <c r="A919" s="220">
        <v>43802</v>
      </c>
      <c r="B919" s="130" t="s">
        <v>111</v>
      </c>
      <c r="C919" s="130" t="s">
        <v>102</v>
      </c>
      <c r="D919" s="130" t="s">
        <v>638</v>
      </c>
      <c r="E919" s="130" t="s">
        <v>1663</v>
      </c>
      <c r="F919" s="130" t="s">
        <v>1664</v>
      </c>
      <c r="G919" s="220">
        <v>43801</v>
      </c>
      <c r="H919" s="130" t="s">
        <v>2348</v>
      </c>
      <c r="I919" s="130" t="s">
        <v>2349</v>
      </c>
      <c r="J919" s="130" t="s">
        <v>104</v>
      </c>
      <c r="K919" s="130" t="s">
        <v>105</v>
      </c>
      <c r="L919" s="174" t="s">
        <v>71</v>
      </c>
      <c r="M919" s="131" t="s">
        <v>72</v>
      </c>
      <c r="N919" s="130" t="s">
        <v>73</v>
      </c>
      <c r="O919" s="219" t="s">
        <v>69</v>
      </c>
      <c r="P919" s="130" t="s">
        <v>1699</v>
      </c>
      <c r="Q919" s="132" t="s">
        <v>74</v>
      </c>
      <c r="R919" s="221">
        <v>3.4030000999999999</v>
      </c>
      <c r="S919" s="53">
        <v>1</v>
      </c>
      <c r="T919" s="53">
        <v>0</v>
      </c>
      <c r="U919" s="53">
        <v>0</v>
      </c>
      <c r="V919" s="53">
        <v>0</v>
      </c>
      <c r="W919" s="53">
        <v>0</v>
      </c>
      <c r="X919" s="27">
        <f t="shared" si="182"/>
        <v>0</v>
      </c>
    </row>
    <row r="920" spans="1:24" x14ac:dyDescent="0.2">
      <c r="A920" s="220">
        <v>43804</v>
      </c>
      <c r="B920" s="130" t="s">
        <v>111</v>
      </c>
      <c r="C920" s="130" t="s">
        <v>102</v>
      </c>
      <c r="D920" s="130" t="s">
        <v>637</v>
      </c>
      <c r="E920" s="130" t="s">
        <v>1900</v>
      </c>
      <c r="F920" s="130" t="s">
        <v>2292</v>
      </c>
      <c r="G920" s="220">
        <v>43794</v>
      </c>
      <c r="H920" s="130" t="s">
        <v>2350</v>
      </c>
      <c r="I920" s="130" t="s">
        <v>2351</v>
      </c>
      <c r="J920" s="130" t="s">
        <v>95</v>
      </c>
      <c r="K920" s="130" t="s">
        <v>96</v>
      </c>
      <c r="L920" s="174" t="s">
        <v>71</v>
      </c>
      <c r="M920" s="131" t="s">
        <v>72</v>
      </c>
      <c r="N920" s="130" t="s">
        <v>73</v>
      </c>
      <c r="O920" s="219" t="s">
        <v>69</v>
      </c>
      <c r="P920" s="130" t="s">
        <v>1699</v>
      </c>
      <c r="Q920" s="132" t="s">
        <v>93</v>
      </c>
      <c r="R920" s="221">
        <v>3.3859998999999998</v>
      </c>
      <c r="S920" s="53">
        <v>1</v>
      </c>
      <c r="T920" s="53">
        <v>100</v>
      </c>
      <c r="U920" s="53">
        <v>100</v>
      </c>
      <c r="V920" s="53">
        <v>18</v>
      </c>
      <c r="W920" s="53">
        <v>118</v>
      </c>
      <c r="X920" s="27">
        <f t="shared" si="182"/>
        <v>338.59998999999999</v>
      </c>
    </row>
    <row r="921" spans="1:24" x14ac:dyDescent="0.2">
      <c r="A921" s="220">
        <v>43804</v>
      </c>
      <c r="B921" s="130" t="s">
        <v>111</v>
      </c>
      <c r="C921" s="130" t="s">
        <v>102</v>
      </c>
      <c r="D921" s="130" t="s">
        <v>636</v>
      </c>
      <c r="E921" s="130" t="s">
        <v>1903</v>
      </c>
      <c r="F921" s="130" t="s">
        <v>2292</v>
      </c>
      <c r="G921" s="220">
        <v>43801</v>
      </c>
      <c r="H921" s="130" t="s">
        <v>2350</v>
      </c>
      <c r="I921" s="130" t="s">
        <v>2351</v>
      </c>
      <c r="J921" s="130" t="s">
        <v>97</v>
      </c>
      <c r="K921" s="130" t="s">
        <v>98</v>
      </c>
      <c r="L921" s="174" t="s">
        <v>71</v>
      </c>
      <c r="M921" s="131" t="s">
        <v>72</v>
      </c>
      <c r="N921" s="130" t="s">
        <v>73</v>
      </c>
      <c r="O921" s="219" t="s">
        <v>99</v>
      </c>
      <c r="P921" s="130" t="s">
        <v>98</v>
      </c>
      <c r="Q921" s="132" t="s">
        <v>93</v>
      </c>
      <c r="R921" s="221">
        <v>3.3859998999999998</v>
      </c>
      <c r="S921" s="53">
        <v>1</v>
      </c>
      <c r="T921" s="53">
        <v>30</v>
      </c>
      <c r="U921" s="53">
        <v>30</v>
      </c>
      <c r="V921" s="53">
        <v>5.4000019999999997</v>
      </c>
      <c r="W921" s="53">
        <v>35.400002000000001</v>
      </c>
      <c r="X921" s="27">
        <f t="shared" si="182"/>
        <v>101.57999699999999</v>
      </c>
    </row>
    <row r="922" spans="1:24" x14ac:dyDescent="0.2">
      <c r="A922" s="220">
        <v>43806</v>
      </c>
      <c r="B922" s="130" t="s">
        <v>111</v>
      </c>
      <c r="C922" s="130" t="s">
        <v>102</v>
      </c>
      <c r="D922" s="130" t="s">
        <v>635</v>
      </c>
      <c r="E922" s="130" t="s">
        <v>1894</v>
      </c>
      <c r="F922" s="130" t="s">
        <v>2294</v>
      </c>
      <c r="G922" s="220">
        <v>43798</v>
      </c>
      <c r="H922" s="130" t="s">
        <v>2352</v>
      </c>
      <c r="I922" s="130" t="s">
        <v>2353</v>
      </c>
      <c r="J922" s="130" t="s">
        <v>95</v>
      </c>
      <c r="K922" s="130" t="s">
        <v>96</v>
      </c>
      <c r="L922" s="174" t="s">
        <v>71</v>
      </c>
      <c r="M922" s="131" t="s">
        <v>72</v>
      </c>
      <c r="N922" s="130" t="s">
        <v>73</v>
      </c>
      <c r="O922" s="219" t="s">
        <v>69</v>
      </c>
      <c r="P922" s="130" t="s">
        <v>1699</v>
      </c>
      <c r="Q922" s="132" t="s">
        <v>93</v>
      </c>
      <c r="R922" s="221">
        <v>3.3809999999999998</v>
      </c>
      <c r="S922" s="53">
        <v>1</v>
      </c>
      <c r="T922" s="53">
        <v>100</v>
      </c>
      <c r="U922" s="53">
        <v>100</v>
      </c>
      <c r="V922" s="53">
        <v>18</v>
      </c>
      <c r="W922" s="53">
        <v>118</v>
      </c>
      <c r="X922" s="27">
        <f t="shared" si="182"/>
        <v>338.09999999999997</v>
      </c>
    </row>
    <row r="923" spans="1:24" x14ac:dyDescent="0.2">
      <c r="A923" s="220">
        <v>43806</v>
      </c>
      <c r="B923" s="130" t="s">
        <v>111</v>
      </c>
      <c r="C923" s="130" t="s">
        <v>102</v>
      </c>
      <c r="D923" s="130" t="s">
        <v>1886</v>
      </c>
      <c r="E923" s="130" t="s">
        <v>1898</v>
      </c>
      <c r="F923" s="130" t="s">
        <v>2296</v>
      </c>
      <c r="G923" s="220">
        <v>43795</v>
      </c>
      <c r="H923" s="130" t="s">
        <v>2354</v>
      </c>
      <c r="I923" s="130" t="s">
        <v>2355</v>
      </c>
      <c r="J923" s="130" t="s">
        <v>95</v>
      </c>
      <c r="K923" s="130" t="s">
        <v>96</v>
      </c>
      <c r="L923" s="174" t="s">
        <v>71</v>
      </c>
      <c r="M923" s="131" t="s">
        <v>72</v>
      </c>
      <c r="N923" s="130" t="s">
        <v>73</v>
      </c>
      <c r="O923" s="219" t="s">
        <v>69</v>
      </c>
      <c r="P923" s="130" t="s">
        <v>1699</v>
      </c>
      <c r="Q923" s="132" t="s">
        <v>93</v>
      </c>
      <c r="R923" s="221">
        <v>3.3809999999999998</v>
      </c>
      <c r="S923" s="53">
        <v>1</v>
      </c>
      <c r="T923" s="53">
        <v>152.6525</v>
      </c>
      <c r="U923" s="53">
        <v>152.6525</v>
      </c>
      <c r="V923" s="53">
        <v>27.477499999999999</v>
      </c>
      <c r="W923" s="53">
        <v>180.13</v>
      </c>
      <c r="X923" s="27">
        <f t="shared" si="182"/>
        <v>516.11810249999996</v>
      </c>
    </row>
    <row r="924" spans="1:24" x14ac:dyDescent="0.2">
      <c r="A924" s="220">
        <v>43809</v>
      </c>
      <c r="B924" s="130" t="s">
        <v>111</v>
      </c>
      <c r="C924" s="130" t="s">
        <v>102</v>
      </c>
      <c r="D924" s="130" t="s">
        <v>633</v>
      </c>
      <c r="E924" s="130" t="s">
        <v>1919</v>
      </c>
      <c r="F924" s="130" t="s">
        <v>2303</v>
      </c>
      <c r="G924" s="220">
        <v>43801</v>
      </c>
      <c r="H924" s="130" t="s">
        <v>2356</v>
      </c>
      <c r="I924" s="130" t="s">
        <v>2357</v>
      </c>
      <c r="J924" s="130" t="s">
        <v>95</v>
      </c>
      <c r="K924" s="130" t="s">
        <v>96</v>
      </c>
      <c r="L924" s="174" t="s">
        <v>71</v>
      </c>
      <c r="M924" s="131" t="s">
        <v>72</v>
      </c>
      <c r="N924" s="130" t="s">
        <v>73</v>
      </c>
      <c r="O924" s="219" t="s">
        <v>69</v>
      </c>
      <c r="P924" s="130" t="s">
        <v>1699</v>
      </c>
      <c r="Q924" s="132" t="s">
        <v>93</v>
      </c>
      <c r="R924" s="221">
        <v>3.3800001000000002</v>
      </c>
      <c r="S924" s="53">
        <v>1</v>
      </c>
      <c r="T924" s="53">
        <v>100</v>
      </c>
      <c r="U924" s="53">
        <v>100</v>
      </c>
      <c r="V924" s="53">
        <v>18</v>
      </c>
      <c r="W924" s="53">
        <v>118</v>
      </c>
      <c r="X924" s="27">
        <f t="shared" si="182"/>
        <v>338.00001000000003</v>
      </c>
    </row>
    <row r="925" spans="1:24" x14ac:dyDescent="0.2">
      <c r="A925" s="220">
        <v>43812</v>
      </c>
      <c r="B925" s="130" t="s">
        <v>111</v>
      </c>
      <c r="C925" s="130" t="s">
        <v>102</v>
      </c>
      <c r="D925" s="130" t="s">
        <v>1885</v>
      </c>
      <c r="E925" s="130" t="s">
        <v>2358</v>
      </c>
      <c r="F925" s="130" t="s">
        <v>1727</v>
      </c>
      <c r="G925" s="220">
        <v>43806</v>
      </c>
      <c r="H925" s="130" t="s">
        <v>1726</v>
      </c>
      <c r="I925" s="130" t="s">
        <v>1725</v>
      </c>
      <c r="J925" s="130" t="s">
        <v>70</v>
      </c>
      <c r="K925" s="130" t="s">
        <v>112</v>
      </c>
      <c r="L925" s="174" t="s">
        <v>71</v>
      </c>
      <c r="M925" s="131" t="s">
        <v>72</v>
      </c>
      <c r="N925" s="130" t="s">
        <v>73</v>
      </c>
      <c r="O925" s="219" t="s">
        <v>69</v>
      </c>
      <c r="P925" s="130" t="s">
        <v>1699</v>
      </c>
      <c r="Q925" s="132" t="s">
        <v>74</v>
      </c>
      <c r="R925" s="221">
        <v>3.3929999</v>
      </c>
      <c r="S925" s="53">
        <v>1</v>
      </c>
      <c r="T925" s="53">
        <v>120</v>
      </c>
      <c r="U925" s="53">
        <v>120</v>
      </c>
      <c r="V925" s="53">
        <v>21.600010000000019</v>
      </c>
      <c r="W925" s="53">
        <v>141.60001000000003</v>
      </c>
      <c r="X925" s="27">
        <f t="shared" si="182"/>
        <v>120</v>
      </c>
    </row>
    <row r="926" spans="1:24" x14ac:dyDescent="0.2">
      <c r="A926" s="220">
        <v>43812</v>
      </c>
      <c r="B926" s="130" t="s">
        <v>111</v>
      </c>
      <c r="C926" s="130" t="s">
        <v>102</v>
      </c>
      <c r="D926" s="130" t="s">
        <v>1885</v>
      </c>
      <c r="E926" s="130" t="s">
        <v>2358</v>
      </c>
      <c r="F926" s="130" t="s">
        <v>1727</v>
      </c>
      <c r="G926" s="220">
        <v>43806</v>
      </c>
      <c r="H926" s="130" t="s">
        <v>1726</v>
      </c>
      <c r="I926" s="130" t="s">
        <v>1725</v>
      </c>
      <c r="J926" s="130" t="s">
        <v>104</v>
      </c>
      <c r="K926" s="130" t="s">
        <v>105</v>
      </c>
      <c r="L926" s="174" t="s">
        <v>71</v>
      </c>
      <c r="M926" s="131" t="s">
        <v>72</v>
      </c>
      <c r="N926" s="130" t="s">
        <v>73</v>
      </c>
      <c r="O926" s="219" t="s">
        <v>69</v>
      </c>
      <c r="P926" s="130" t="s">
        <v>1699</v>
      </c>
      <c r="Q926" s="132" t="s">
        <v>74</v>
      </c>
      <c r="R926" s="221">
        <v>3.3929999</v>
      </c>
      <c r="S926" s="53">
        <v>1</v>
      </c>
      <c r="T926" s="53">
        <v>503</v>
      </c>
      <c r="U926" s="53">
        <v>503</v>
      </c>
      <c r="V926" s="53">
        <v>90.539979999999929</v>
      </c>
      <c r="W926" s="53">
        <v>593.5399799999999</v>
      </c>
      <c r="X926" s="27">
        <f t="shared" si="182"/>
        <v>503</v>
      </c>
    </row>
    <row r="927" spans="1:24" x14ac:dyDescent="0.2">
      <c r="A927" s="220">
        <v>43816</v>
      </c>
      <c r="B927" s="130" t="s">
        <v>111</v>
      </c>
      <c r="C927" s="130" t="s">
        <v>102</v>
      </c>
      <c r="D927" s="130" t="s">
        <v>1884</v>
      </c>
      <c r="E927" s="130" t="s">
        <v>1932</v>
      </c>
      <c r="F927" s="130" t="s">
        <v>2012</v>
      </c>
      <c r="G927" s="220">
        <v>43804</v>
      </c>
      <c r="H927" s="130" t="s">
        <v>2359</v>
      </c>
      <c r="I927" s="130" t="s">
        <v>2360</v>
      </c>
      <c r="J927" s="130" t="s">
        <v>95</v>
      </c>
      <c r="K927" s="130" t="s">
        <v>96</v>
      </c>
      <c r="L927" s="174" t="s">
        <v>71</v>
      </c>
      <c r="M927" s="131" t="s">
        <v>72</v>
      </c>
      <c r="N927" s="130" t="s">
        <v>73</v>
      </c>
      <c r="O927" s="219" t="s">
        <v>69</v>
      </c>
      <c r="P927" s="130" t="s">
        <v>1699</v>
      </c>
      <c r="Q927" s="132" t="s">
        <v>93</v>
      </c>
      <c r="R927" s="221">
        <v>3.3599999</v>
      </c>
      <c r="S927" s="53">
        <v>1</v>
      </c>
      <c r="T927" s="53">
        <v>200</v>
      </c>
      <c r="U927" s="53">
        <v>200</v>
      </c>
      <c r="V927" s="53">
        <v>36</v>
      </c>
      <c r="W927" s="53">
        <v>236</v>
      </c>
      <c r="X927" s="27">
        <f t="shared" si="182"/>
        <v>671.99998000000005</v>
      </c>
    </row>
    <row r="928" spans="1:24" x14ac:dyDescent="0.2">
      <c r="A928" s="220">
        <v>43819</v>
      </c>
      <c r="B928" s="130" t="s">
        <v>111</v>
      </c>
      <c r="C928" s="130" t="s">
        <v>102</v>
      </c>
      <c r="D928" s="130" t="s">
        <v>1883</v>
      </c>
      <c r="E928" s="130" t="s">
        <v>1954</v>
      </c>
      <c r="F928" s="130" t="s">
        <v>2361</v>
      </c>
      <c r="G928" s="220">
        <v>43815</v>
      </c>
      <c r="H928" s="130" t="s">
        <v>2362</v>
      </c>
      <c r="I928" s="130" t="s">
        <v>2363</v>
      </c>
      <c r="J928" s="130" t="s">
        <v>97</v>
      </c>
      <c r="K928" s="130" t="s">
        <v>98</v>
      </c>
      <c r="L928" s="174" t="s">
        <v>71</v>
      </c>
      <c r="M928" s="131" t="s">
        <v>72</v>
      </c>
      <c r="N928" s="130" t="s">
        <v>73</v>
      </c>
      <c r="O928" s="219" t="s">
        <v>99</v>
      </c>
      <c r="P928" s="130" t="s">
        <v>98</v>
      </c>
      <c r="Q928" s="132" t="s">
        <v>93</v>
      </c>
      <c r="R928" s="221">
        <v>3.3380000999999999</v>
      </c>
      <c r="S928" s="53">
        <v>1</v>
      </c>
      <c r="T928" s="53">
        <v>30</v>
      </c>
      <c r="U928" s="53">
        <v>30</v>
      </c>
      <c r="V928" s="53">
        <v>5.4000019999999997</v>
      </c>
      <c r="W928" s="53">
        <v>35.400002000000001</v>
      </c>
      <c r="X928" s="27">
        <f t="shared" si="182"/>
        <v>100.14000299999999</v>
      </c>
    </row>
    <row r="929" spans="1:24" x14ac:dyDescent="0.2">
      <c r="A929" s="220">
        <v>43819</v>
      </c>
      <c r="B929" s="130" t="s">
        <v>111</v>
      </c>
      <c r="C929" s="130" t="s">
        <v>102</v>
      </c>
      <c r="D929" s="130" t="s">
        <v>1883</v>
      </c>
      <c r="E929" s="130" t="s">
        <v>1954</v>
      </c>
      <c r="F929" s="130" t="s">
        <v>2361</v>
      </c>
      <c r="G929" s="220">
        <v>43815</v>
      </c>
      <c r="H929" s="130" t="s">
        <v>2362</v>
      </c>
      <c r="I929" s="130" t="s">
        <v>2363</v>
      </c>
      <c r="J929" s="130" t="s">
        <v>92</v>
      </c>
      <c r="K929" s="130" t="s">
        <v>113</v>
      </c>
      <c r="L929" s="174" t="s">
        <v>71</v>
      </c>
      <c r="M929" s="131" t="s">
        <v>72</v>
      </c>
      <c r="N929" s="130" t="s">
        <v>73</v>
      </c>
      <c r="O929" s="219" t="s">
        <v>69</v>
      </c>
      <c r="P929" s="130" t="s">
        <v>1699</v>
      </c>
      <c r="Q929" s="132" t="s">
        <v>93</v>
      </c>
      <c r="R929" s="221">
        <v>3.3380000999999999</v>
      </c>
      <c r="S929" s="53">
        <v>1</v>
      </c>
      <c r="T929" s="53">
        <v>30</v>
      </c>
      <c r="U929" s="53">
        <v>30</v>
      </c>
      <c r="V929" s="53">
        <v>5.4000019999999997</v>
      </c>
      <c r="W929" s="53">
        <v>35.400002000000001</v>
      </c>
      <c r="X929" s="27">
        <f t="shared" si="182"/>
        <v>100.14000299999999</v>
      </c>
    </row>
    <row r="930" spans="1:24" x14ac:dyDescent="0.2">
      <c r="A930" s="220">
        <v>43819</v>
      </c>
      <c r="B930" s="130" t="s">
        <v>111</v>
      </c>
      <c r="C930" s="130" t="s">
        <v>102</v>
      </c>
      <c r="D930" s="130" t="s">
        <v>1880</v>
      </c>
      <c r="E930" s="130" t="s">
        <v>1950</v>
      </c>
      <c r="F930" s="130" t="s">
        <v>2018</v>
      </c>
      <c r="G930" s="220">
        <v>43811</v>
      </c>
      <c r="H930" s="130" t="s">
        <v>2364</v>
      </c>
      <c r="I930" s="130" t="s">
        <v>2365</v>
      </c>
      <c r="J930" s="130" t="s">
        <v>70</v>
      </c>
      <c r="K930" s="130" t="s">
        <v>112</v>
      </c>
      <c r="L930" s="174" t="s">
        <v>71</v>
      </c>
      <c r="M930" s="131" t="s">
        <v>72</v>
      </c>
      <c r="N930" s="130" t="s">
        <v>73</v>
      </c>
      <c r="O930" s="219" t="s">
        <v>69</v>
      </c>
      <c r="P930" s="130" t="s">
        <v>1699</v>
      </c>
      <c r="Q930" s="132" t="s">
        <v>74</v>
      </c>
      <c r="R930" s="221">
        <v>3.3380000999999999</v>
      </c>
      <c r="S930" s="53">
        <v>1</v>
      </c>
      <c r="T930" s="53">
        <v>349</v>
      </c>
      <c r="U930" s="53">
        <v>349</v>
      </c>
      <c r="V930" s="53">
        <v>62.82001000000011</v>
      </c>
      <c r="W930" s="53">
        <v>411.82001000000014</v>
      </c>
      <c r="X930" s="27">
        <f t="shared" si="182"/>
        <v>349</v>
      </c>
    </row>
    <row r="931" spans="1:24" x14ac:dyDescent="0.2">
      <c r="A931" s="220">
        <v>43819</v>
      </c>
      <c r="B931" s="130" t="s">
        <v>111</v>
      </c>
      <c r="C931" s="130" t="s">
        <v>102</v>
      </c>
      <c r="D931" s="130" t="s">
        <v>1880</v>
      </c>
      <c r="E931" s="130" t="s">
        <v>1950</v>
      </c>
      <c r="F931" s="130" t="s">
        <v>2018</v>
      </c>
      <c r="G931" s="220">
        <v>43811</v>
      </c>
      <c r="H931" s="130" t="s">
        <v>2364</v>
      </c>
      <c r="I931" s="130" t="s">
        <v>2365</v>
      </c>
      <c r="J931" s="130" t="s">
        <v>104</v>
      </c>
      <c r="K931" s="130" t="s">
        <v>105</v>
      </c>
      <c r="L931" s="174" t="s">
        <v>71</v>
      </c>
      <c r="M931" s="131" t="s">
        <v>72</v>
      </c>
      <c r="N931" s="130" t="s">
        <v>73</v>
      </c>
      <c r="O931" s="219" t="s">
        <v>69</v>
      </c>
      <c r="P931" s="130" t="s">
        <v>1699</v>
      </c>
      <c r="Q931" s="132" t="s">
        <v>74</v>
      </c>
      <c r="R931" s="221">
        <v>3.3380000999999999</v>
      </c>
      <c r="S931" s="53">
        <v>1</v>
      </c>
      <c r="T931" s="53">
        <v>0</v>
      </c>
      <c r="U931" s="53">
        <v>0</v>
      </c>
      <c r="V931" s="53">
        <v>0</v>
      </c>
      <c r="W931" s="53">
        <v>0</v>
      </c>
      <c r="X931" s="27">
        <f t="shared" si="182"/>
        <v>0</v>
      </c>
    </row>
    <row r="932" spans="1:24" x14ac:dyDescent="0.2">
      <c r="A932" s="220">
        <v>43819</v>
      </c>
      <c r="B932" s="130" t="s">
        <v>111</v>
      </c>
      <c r="C932" s="130" t="s">
        <v>102</v>
      </c>
      <c r="D932" s="130" t="s">
        <v>632</v>
      </c>
      <c r="E932" s="130" t="s">
        <v>1947</v>
      </c>
      <c r="F932" s="130" t="s">
        <v>2018</v>
      </c>
      <c r="G932" s="220">
        <v>43810</v>
      </c>
      <c r="H932" s="130" t="s">
        <v>2364</v>
      </c>
      <c r="I932" s="130" t="s">
        <v>2365</v>
      </c>
      <c r="J932" s="130" t="s">
        <v>95</v>
      </c>
      <c r="K932" s="130" t="s">
        <v>96</v>
      </c>
      <c r="L932" s="174" t="s">
        <v>71</v>
      </c>
      <c r="M932" s="131" t="s">
        <v>72</v>
      </c>
      <c r="N932" s="130" t="s">
        <v>73</v>
      </c>
      <c r="O932" s="219" t="s">
        <v>69</v>
      </c>
      <c r="P932" s="130" t="s">
        <v>1699</v>
      </c>
      <c r="Q932" s="132" t="s">
        <v>93</v>
      </c>
      <c r="R932" s="221">
        <v>3.3380000999999999</v>
      </c>
      <c r="S932" s="53">
        <v>1</v>
      </c>
      <c r="T932" s="53">
        <v>150</v>
      </c>
      <c r="U932" s="53">
        <v>150</v>
      </c>
      <c r="V932" s="53">
        <v>27</v>
      </c>
      <c r="W932" s="53">
        <v>177</v>
      </c>
      <c r="X932" s="27">
        <f t="shared" si="182"/>
        <v>500.70001500000001</v>
      </c>
    </row>
    <row r="933" spans="1:24" x14ac:dyDescent="0.2">
      <c r="A933" s="220">
        <v>43820</v>
      </c>
      <c r="B933" s="130" t="s">
        <v>111</v>
      </c>
      <c r="C933" s="130" t="s">
        <v>102</v>
      </c>
      <c r="D933" s="130" t="s">
        <v>1879</v>
      </c>
      <c r="E933" s="130" t="s">
        <v>1961</v>
      </c>
      <c r="F933" s="130" t="s">
        <v>2366</v>
      </c>
      <c r="G933" s="220">
        <v>43815</v>
      </c>
      <c r="H933" s="130" t="s">
        <v>2367</v>
      </c>
      <c r="I933" s="130" t="s">
        <v>2368</v>
      </c>
      <c r="J933" s="130" t="s">
        <v>95</v>
      </c>
      <c r="K933" s="130" t="s">
        <v>96</v>
      </c>
      <c r="L933" s="174" t="s">
        <v>71</v>
      </c>
      <c r="M933" s="131" t="s">
        <v>72</v>
      </c>
      <c r="N933" s="130" t="s">
        <v>73</v>
      </c>
      <c r="O933" s="219" t="s">
        <v>69</v>
      </c>
      <c r="P933" s="130" t="s">
        <v>1699</v>
      </c>
      <c r="Q933" s="132" t="s">
        <v>93</v>
      </c>
      <c r="R933" s="221">
        <v>3.3260000000000001</v>
      </c>
      <c r="S933" s="53">
        <v>1</v>
      </c>
      <c r="T933" s="53">
        <v>50</v>
      </c>
      <c r="U933" s="53">
        <v>50</v>
      </c>
      <c r="V933" s="53">
        <v>9</v>
      </c>
      <c r="W933" s="53">
        <v>59</v>
      </c>
      <c r="X933" s="27">
        <f t="shared" si="182"/>
        <v>166.3</v>
      </c>
    </row>
    <row r="934" spans="1:24" x14ac:dyDescent="0.2">
      <c r="A934" s="220">
        <v>43820</v>
      </c>
      <c r="B934" s="130" t="s">
        <v>111</v>
      </c>
      <c r="C934" s="130" t="s">
        <v>102</v>
      </c>
      <c r="D934" s="130" t="s">
        <v>1878</v>
      </c>
      <c r="E934" s="130" t="s">
        <v>1968</v>
      </c>
      <c r="F934" s="130" t="s">
        <v>1253</v>
      </c>
      <c r="G934" s="220">
        <v>43818</v>
      </c>
      <c r="H934" s="130" t="s">
        <v>1737</v>
      </c>
      <c r="I934" s="130" t="s">
        <v>1736</v>
      </c>
      <c r="J934" s="130" t="s">
        <v>70</v>
      </c>
      <c r="K934" s="130" t="s">
        <v>112</v>
      </c>
      <c r="L934" s="174" t="s">
        <v>71</v>
      </c>
      <c r="M934" s="131" t="s">
        <v>72</v>
      </c>
      <c r="N934" s="130" t="s">
        <v>73</v>
      </c>
      <c r="O934" s="219" t="s">
        <v>69</v>
      </c>
      <c r="P934" s="130" t="s">
        <v>1699</v>
      </c>
      <c r="Q934" s="132" t="s">
        <v>74</v>
      </c>
      <c r="R934" s="221">
        <v>3.3260000000000001</v>
      </c>
      <c r="S934" s="53">
        <v>1</v>
      </c>
      <c r="T934" s="53">
        <v>300</v>
      </c>
      <c r="U934" s="53">
        <v>300</v>
      </c>
      <c r="V934" s="53">
        <v>54</v>
      </c>
      <c r="W934" s="53">
        <v>354</v>
      </c>
      <c r="X934" s="27">
        <f t="shared" si="182"/>
        <v>300</v>
      </c>
    </row>
    <row r="935" spans="1:24" x14ac:dyDescent="0.2">
      <c r="A935" s="220">
        <v>43820</v>
      </c>
      <c r="B935" s="130" t="s">
        <v>111</v>
      </c>
      <c r="C935" s="130" t="s">
        <v>102</v>
      </c>
      <c r="D935" s="130" t="s">
        <v>1878</v>
      </c>
      <c r="E935" s="130" t="s">
        <v>1968</v>
      </c>
      <c r="F935" s="130" t="s">
        <v>1253</v>
      </c>
      <c r="G935" s="220">
        <v>43818</v>
      </c>
      <c r="H935" s="130" t="s">
        <v>1737</v>
      </c>
      <c r="I935" s="130" t="s">
        <v>1736</v>
      </c>
      <c r="J935" s="130" t="s">
        <v>115</v>
      </c>
      <c r="K935" s="130" t="s">
        <v>138</v>
      </c>
      <c r="L935" s="174" t="s">
        <v>71</v>
      </c>
      <c r="M935" s="131" t="s">
        <v>72</v>
      </c>
      <c r="N935" s="130" t="s">
        <v>73</v>
      </c>
      <c r="O935" s="219" t="s">
        <v>69</v>
      </c>
      <c r="P935" s="130" t="s">
        <v>1699</v>
      </c>
      <c r="Q935" s="132" t="s">
        <v>74</v>
      </c>
      <c r="R935" s="221">
        <v>3.3260000000000001</v>
      </c>
      <c r="S935" s="53">
        <v>-1</v>
      </c>
      <c r="T935" s="53">
        <v>252.20339999999996</v>
      </c>
      <c r="U935" s="53">
        <v>-252.20339999999996</v>
      </c>
      <c r="V935" s="53">
        <v>-45.396610000000038</v>
      </c>
      <c r="W935" s="53">
        <v>-297.60001</v>
      </c>
      <c r="X935" s="27">
        <f t="shared" si="182"/>
        <v>-252.20339999999996</v>
      </c>
    </row>
    <row r="936" spans="1:24" x14ac:dyDescent="0.2">
      <c r="A936" s="220">
        <v>43820</v>
      </c>
      <c r="B936" s="130" t="s">
        <v>111</v>
      </c>
      <c r="C936" s="130" t="s">
        <v>102</v>
      </c>
      <c r="D936" s="130" t="s">
        <v>1878</v>
      </c>
      <c r="E936" s="130" t="s">
        <v>1968</v>
      </c>
      <c r="F936" s="130" t="s">
        <v>1253</v>
      </c>
      <c r="G936" s="220">
        <v>43818</v>
      </c>
      <c r="H936" s="130" t="s">
        <v>1737</v>
      </c>
      <c r="I936" s="130" t="s">
        <v>1736</v>
      </c>
      <c r="J936" s="130" t="s">
        <v>104</v>
      </c>
      <c r="K936" s="130" t="s">
        <v>105</v>
      </c>
      <c r="L936" s="174" t="s">
        <v>71</v>
      </c>
      <c r="M936" s="131" t="s">
        <v>72</v>
      </c>
      <c r="N936" s="130" t="s">
        <v>73</v>
      </c>
      <c r="O936" s="219" t="s">
        <v>69</v>
      </c>
      <c r="P936" s="130" t="s">
        <v>1699</v>
      </c>
      <c r="Q936" s="132" t="s">
        <v>74</v>
      </c>
      <c r="R936" s="221">
        <v>3.3260000000000001</v>
      </c>
      <c r="S936" s="53">
        <v>1</v>
      </c>
      <c r="T936" s="53">
        <v>2222</v>
      </c>
      <c r="U936" s="53">
        <v>2222</v>
      </c>
      <c r="V936" s="53">
        <v>399.96</v>
      </c>
      <c r="W936" s="53">
        <v>2621.96</v>
      </c>
      <c r="X936" s="27">
        <f t="shared" si="182"/>
        <v>2222</v>
      </c>
    </row>
    <row r="937" spans="1:24" x14ac:dyDescent="0.2">
      <c r="A937" s="220">
        <v>43822</v>
      </c>
      <c r="B937" s="130" t="s">
        <v>111</v>
      </c>
      <c r="C937" s="130" t="s">
        <v>102</v>
      </c>
      <c r="D937" s="130" t="s">
        <v>1877</v>
      </c>
      <c r="E937" s="130" t="s">
        <v>2369</v>
      </c>
      <c r="F937" s="130" t="s">
        <v>2370</v>
      </c>
      <c r="G937" s="220">
        <v>43822</v>
      </c>
      <c r="H937" s="130" t="s">
        <v>2371</v>
      </c>
      <c r="I937" s="130" t="s">
        <v>2372</v>
      </c>
      <c r="J937" s="130" t="s">
        <v>115</v>
      </c>
      <c r="K937" s="130" t="s">
        <v>138</v>
      </c>
      <c r="L937" s="174" t="s">
        <v>71</v>
      </c>
      <c r="M937" s="131" t="s">
        <v>72</v>
      </c>
      <c r="N937" s="130" t="s">
        <v>73</v>
      </c>
      <c r="O937" s="219" t="s">
        <v>69</v>
      </c>
      <c r="P937" s="130" t="s">
        <v>1699</v>
      </c>
      <c r="Q937" s="132" t="s">
        <v>74</v>
      </c>
      <c r="R937" s="221">
        <v>3.3260000000000001</v>
      </c>
      <c r="S937" s="53">
        <v>-1</v>
      </c>
      <c r="T937" s="53">
        <v>44.898300000000006</v>
      </c>
      <c r="U937" s="53">
        <v>-44.898300000000006</v>
      </c>
      <c r="V937" s="53">
        <v>-8.0816999999999908</v>
      </c>
      <c r="W937" s="53">
        <v>-52.98</v>
      </c>
      <c r="X937" s="27">
        <f t="shared" si="182"/>
        <v>-44.898300000000006</v>
      </c>
    </row>
    <row r="938" spans="1:24" x14ac:dyDescent="0.2">
      <c r="A938" s="220">
        <v>43822</v>
      </c>
      <c r="B938" s="130" t="s">
        <v>111</v>
      </c>
      <c r="C938" s="130" t="s">
        <v>102</v>
      </c>
      <c r="D938" s="130" t="s">
        <v>1877</v>
      </c>
      <c r="E938" s="130" t="s">
        <v>2369</v>
      </c>
      <c r="F938" s="130" t="s">
        <v>2370</v>
      </c>
      <c r="G938" s="220">
        <v>43822</v>
      </c>
      <c r="H938" s="130" t="s">
        <v>2371</v>
      </c>
      <c r="I938" s="130" t="s">
        <v>2372</v>
      </c>
      <c r="J938" s="130" t="s">
        <v>70</v>
      </c>
      <c r="K938" s="130" t="s">
        <v>112</v>
      </c>
      <c r="L938" s="174" t="s">
        <v>71</v>
      </c>
      <c r="M938" s="131" t="s">
        <v>72</v>
      </c>
      <c r="N938" s="130" t="s">
        <v>73</v>
      </c>
      <c r="O938" s="219" t="s">
        <v>69</v>
      </c>
      <c r="P938" s="130" t="s">
        <v>1699</v>
      </c>
      <c r="Q938" s="132" t="s">
        <v>74</v>
      </c>
      <c r="R938" s="221">
        <v>3.3260000000000001</v>
      </c>
      <c r="S938" s="53">
        <v>1</v>
      </c>
      <c r="T938" s="53">
        <v>449</v>
      </c>
      <c r="U938" s="53">
        <v>449</v>
      </c>
      <c r="V938" s="53">
        <v>80.82001000000011</v>
      </c>
      <c r="W938" s="53">
        <v>529.82001000000014</v>
      </c>
      <c r="X938" s="27">
        <f t="shared" si="182"/>
        <v>449</v>
      </c>
    </row>
    <row r="939" spans="1:24" x14ac:dyDescent="0.2">
      <c r="A939" s="220">
        <v>43822</v>
      </c>
      <c r="B939" s="130" t="s">
        <v>111</v>
      </c>
      <c r="C939" s="130" t="s">
        <v>102</v>
      </c>
      <c r="D939" s="130" t="s">
        <v>1877</v>
      </c>
      <c r="E939" s="130" t="s">
        <v>2369</v>
      </c>
      <c r="F939" s="130" t="s">
        <v>2370</v>
      </c>
      <c r="G939" s="220">
        <v>43822</v>
      </c>
      <c r="H939" s="130" t="s">
        <v>2371</v>
      </c>
      <c r="I939" s="130" t="s">
        <v>2372</v>
      </c>
      <c r="J939" s="130" t="s">
        <v>104</v>
      </c>
      <c r="K939" s="130" t="s">
        <v>105</v>
      </c>
      <c r="L939" s="174" t="s">
        <v>71</v>
      </c>
      <c r="M939" s="131" t="s">
        <v>72</v>
      </c>
      <c r="N939" s="130" t="s">
        <v>73</v>
      </c>
      <c r="O939" s="219" t="s">
        <v>69</v>
      </c>
      <c r="P939" s="130" t="s">
        <v>1699</v>
      </c>
      <c r="Q939" s="132" t="s">
        <v>74</v>
      </c>
      <c r="R939" s="221">
        <v>3.3260000000000001</v>
      </c>
      <c r="S939" s="53">
        <v>1</v>
      </c>
      <c r="T939" s="53">
        <v>0</v>
      </c>
      <c r="U939" s="53">
        <v>0</v>
      </c>
      <c r="V939" s="53">
        <v>0</v>
      </c>
      <c r="W939" s="53">
        <v>0</v>
      </c>
      <c r="X939" s="27">
        <f t="shared" si="182"/>
        <v>0</v>
      </c>
    </row>
    <row r="940" spans="1:24" x14ac:dyDescent="0.2">
      <c r="A940" s="220">
        <v>43826</v>
      </c>
      <c r="B940" s="130" t="s">
        <v>111</v>
      </c>
      <c r="C940" s="130" t="s">
        <v>102</v>
      </c>
      <c r="D940" s="130" t="s">
        <v>1876</v>
      </c>
      <c r="E940" s="130" t="s">
        <v>1979</v>
      </c>
      <c r="F940" s="130" t="s">
        <v>2373</v>
      </c>
      <c r="G940" s="220">
        <v>43819</v>
      </c>
      <c r="H940" s="130" t="s">
        <v>2374</v>
      </c>
      <c r="I940" s="130" t="s">
        <v>2375</v>
      </c>
      <c r="J940" s="130" t="s">
        <v>95</v>
      </c>
      <c r="K940" s="130" t="s">
        <v>96</v>
      </c>
      <c r="L940" s="174" t="s">
        <v>71</v>
      </c>
      <c r="M940" s="131" t="s">
        <v>72</v>
      </c>
      <c r="N940" s="130" t="s">
        <v>73</v>
      </c>
      <c r="O940" s="219" t="s">
        <v>69</v>
      </c>
      <c r="P940" s="130" t="s">
        <v>1699</v>
      </c>
      <c r="Q940" s="132" t="s">
        <v>93</v>
      </c>
      <c r="R940" s="221">
        <v>3.3220000000000001</v>
      </c>
      <c r="S940" s="53">
        <v>1</v>
      </c>
      <c r="T940" s="53">
        <v>100</v>
      </c>
      <c r="U940" s="53">
        <v>100</v>
      </c>
      <c r="V940" s="53">
        <v>18</v>
      </c>
      <c r="W940" s="53">
        <v>118</v>
      </c>
      <c r="X940" s="27">
        <f t="shared" si="182"/>
        <v>332.2</v>
      </c>
    </row>
    <row r="941" spans="1:24" x14ac:dyDescent="0.2">
      <c r="A941" s="220">
        <v>43827</v>
      </c>
      <c r="B941" s="130" t="s">
        <v>111</v>
      </c>
      <c r="C941" s="130" t="s">
        <v>102</v>
      </c>
      <c r="D941" s="130" t="s">
        <v>631</v>
      </c>
      <c r="E941" s="130" t="s">
        <v>2022</v>
      </c>
      <c r="F941" s="130" t="s">
        <v>2023</v>
      </c>
      <c r="G941" s="220">
        <v>43820</v>
      </c>
      <c r="H941" s="130" t="s">
        <v>2376</v>
      </c>
      <c r="I941" s="130" t="s">
        <v>2377</v>
      </c>
      <c r="J941" s="130" t="s">
        <v>97</v>
      </c>
      <c r="K941" s="130" t="s">
        <v>98</v>
      </c>
      <c r="L941" s="174" t="s">
        <v>71</v>
      </c>
      <c r="M941" s="131" t="s">
        <v>72</v>
      </c>
      <c r="N941" s="130" t="s">
        <v>73</v>
      </c>
      <c r="O941" s="219" t="s">
        <v>99</v>
      </c>
      <c r="P941" s="130" t="s">
        <v>98</v>
      </c>
      <c r="Q941" s="132" t="s">
        <v>93</v>
      </c>
      <c r="R941" s="221">
        <v>3.3239999</v>
      </c>
      <c r="S941" s="53">
        <v>1</v>
      </c>
      <c r="T941" s="53">
        <v>270</v>
      </c>
      <c r="U941" s="53">
        <v>270</v>
      </c>
      <c r="V941" s="53">
        <v>48.600010000000005</v>
      </c>
      <c r="W941" s="53">
        <v>318.60001</v>
      </c>
      <c r="X941" s="27">
        <f t="shared" si="182"/>
        <v>897.47997299999997</v>
      </c>
    </row>
    <row r="942" spans="1:24" x14ac:dyDescent="0.2">
      <c r="A942" s="220">
        <v>43827</v>
      </c>
      <c r="B942" s="130" t="s">
        <v>111</v>
      </c>
      <c r="C942" s="130" t="s">
        <v>102</v>
      </c>
      <c r="D942" s="130" t="s">
        <v>631</v>
      </c>
      <c r="E942" s="130" t="s">
        <v>2022</v>
      </c>
      <c r="F942" s="130" t="s">
        <v>2023</v>
      </c>
      <c r="G942" s="220">
        <v>43820</v>
      </c>
      <c r="H942" s="130" t="s">
        <v>2376</v>
      </c>
      <c r="I942" s="130" t="s">
        <v>2377</v>
      </c>
      <c r="J942" s="130" t="s">
        <v>100</v>
      </c>
      <c r="K942" s="130" t="s">
        <v>101</v>
      </c>
      <c r="L942" s="174" t="s">
        <v>71</v>
      </c>
      <c r="M942" s="131" t="s">
        <v>72</v>
      </c>
      <c r="N942" s="130" t="s">
        <v>73</v>
      </c>
      <c r="O942" s="219" t="s">
        <v>72</v>
      </c>
      <c r="P942" s="130" t="s">
        <v>101</v>
      </c>
      <c r="Q942" s="132" t="s">
        <v>93</v>
      </c>
      <c r="R942" s="221">
        <v>3.3239999</v>
      </c>
      <c r="S942" s="53">
        <v>1</v>
      </c>
      <c r="T942" s="53">
        <v>240</v>
      </c>
      <c r="U942" s="53">
        <v>240</v>
      </c>
      <c r="V942" s="53">
        <v>43.200010000000042</v>
      </c>
      <c r="W942" s="53">
        <v>283.20001000000002</v>
      </c>
      <c r="X942" s="27">
        <f t="shared" si="182"/>
        <v>797.75997600000005</v>
      </c>
    </row>
    <row r="943" spans="1:24" x14ac:dyDescent="0.2">
      <c r="A943" s="220">
        <v>43827</v>
      </c>
      <c r="B943" s="130" t="s">
        <v>111</v>
      </c>
      <c r="C943" s="130" t="s">
        <v>102</v>
      </c>
      <c r="D943" s="130" t="s">
        <v>631</v>
      </c>
      <c r="E943" s="130" t="s">
        <v>2022</v>
      </c>
      <c r="F943" s="130" t="s">
        <v>2023</v>
      </c>
      <c r="G943" s="220">
        <v>43820</v>
      </c>
      <c r="H943" s="130" t="s">
        <v>2376</v>
      </c>
      <c r="I943" s="130" t="s">
        <v>2377</v>
      </c>
      <c r="J943" s="130" t="s">
        <v>92</v>
      </c>
      <c r="K943" s="130" t="s">
        <v>113</v>
      </c>
      <c r="L943" s="174" t="s">
        <v>71</v>
      </c>
      <c r="M943" s="131" t="s">
        <v>72</v>
      </c>
      <c r="N943" s="130" t="s">
        <v>73</v>
      </c>
      <c r="O943" s="219" t="s">
        <v>69</v>
      </c>
      <c r="P943" s="130" t="s">
        <v>1699</v>
      </c>
      <c r="Q943" s="132" t="s">
        <v>93</v>
      </c>
      <c r="R943" s="221">
        <v>3.3239999</v>
      </c>
      <c r="S943" s="53">
        <v>1</v>
      </c>
      <c r="T943" s="53">
        <v>60</v>
      </c>
      <c r="U943" s="53">
        <v>60</v>
      </c>
      <c r="V943" s="53">
        <v>10.800002999999997</v>
      </c>
      <c r="W943" s="53">
        <v>70.800003000000004</v>
      </c>
      <c r="X943" s="27">
        <f t="shared" si="182"/>
        <v>199.43999400000001</v>
      </c>
    </row>
    <row r="944" spans="1:24" x14ac:dyDescent="0.2">
      <c r="A944" s="220">
        <v>43827</v>
      </c>
      <c r="B944" s="130" t="s">
        <v>111</v>
      </c>
      <c r="C944" s="130" t="s">
        <v>102</v>
      </c>
      <c r="D944" s="130" t="s">
        <v>631</v>
      </c>
      <c r="E944" s="130" t="s">
        <v>2022</v>
      </c>
      <c r="F944" s="130" t="s">
        <v>2023</v>
      </c>
      <c r="G944" s="220">
        <v>43820</v>
      </c>
      <c r="H944" s="130" t="s">
        <v>2376</v>
      </c>
      <c r="I944" s="130" t="s">
        <v>2377</v>
      </c>
      <c r="J944" s="130" t="s">
        <v>115</v>
      </c>
      <c r="K944" s="130" t="s">
        <v>138</v>
      </c>
      <c r="L944" s="174" t="s">
        <v>71</v>
      </c>
      <c r="M944" s="131" t="s">
        <v>72</v>
      </c>
      <c r="N944" s="130" t="s">
        <v>73</v>
      </c>
      <c r="O944" s="219" t="s">
        <v>69</v>
      </c>
      <c r="P944" s="130" t="s">
        <v>1699</v>
      </c>
      <c r="Q944" s="132" t="s">
        <v>93</v>
      </c>
      <c r="R944" s="221">
        <v>3.3239999</v>
      </c>
      <c r="S944" s="53">
        <v>-1</v>
      </c>
      <c r="T944" s="53">
        <v>61.533900999999993</v>
      </c>
      <c r="U944" s="53">
        <v>-61.533901000000007</v>
      </c>
      <c r="V944" s="53">
        <v>-11.076100000000006</v>
      </c>
      <c r="W944" s="53">
        <v>-72.610001000000011</v>
      </c>
      <c r="X944" s="27">
        <f t="shared" si="182"/>
        <v>-204.53868077060991</v>
      </c>
    </row>
    <row r="945" spans="1:24" x14ac:dyDescent="0.2">
      <c r="A945" s="220">
        <v>43827</v>
      </c>
      <c r="B945" s="130" t="s">
        <v>111</v>
      </c>
      <c r="C945" s="130" t="s">
        <v>102</v>
      </c>
      <c r="D945" s="130" t="s">
        <v>1875</v>
      </c>
      <c r="E945" s="130" t="s">
        <v>1987</v>
      </c>
      <c r="F945" s="130" t="s">
        <v>2378</v>
      </c>
      <c r="G945" s="220">
        <v>43822</v>
      </c>
      <c r="H945" s="130" t="s">
        <v>2379</v>
      </c>
      <c r="I945" s="130" t="s">
        <v>2380</v>
      </c>
      <c r="J945" s="130" t="s">
        <v>97</v>
      </c>
      <c r="K945" s="130" t="s">
        <v>98</v>
      </c>
      <c r="L945" s="174" t="s">
        <v>71</v>
      </c>
      <c r="M945" s="131" t="s">
        <v>72</v>
      </c>
      <c r="N945" s="130" t="s">
        <v>73</v>
      </c>
      <c r="O945" s="219" t="s">
        <v>99</v>
      </c>
      <c r="P945" s="130" t="s">
        <v>98</v>
      </c>
      <c r="Q945" s="132" t="s">
        <v>74</v>
      </c>
      <c r="R945" s="221">
        <v>3.3239999</v>
      </c>
      <c r="S945" s="53">
        <v>1</v>
      </c>
      <c r="T945" s="53">
        <v>42.372897999999985</v>
      </c>
      <c r="U945" s="53">
        <v>42.372897999999985</v>
      </c>
      <c r="V945" s="53">
        <v>7.6271020000000131</v>
      </c>
      <c r="W945" s="53">
        <v>50</v>
      </c>
      <c r="X945" s="27">
        <f t="shared" si="182"/>
        <v>42.372897999999985</v>
      </c>
    </row>
    <row r="946" spans="1:24" x14ac:dyDescent="0.2">
      <c r="A946" s="220">
        <v>43801</v>
      </c>
      <c r="B946" s="130" t="s">
        <v>114</v>
      </c>
      <c r="C946" s="130" t="s">
        <v>102</v>
      </c>
      <c r="D946" s="130" t="s">
        <v>693</v>
      </c>
      <c r="E946" s="130" t="s">
        <v>2381</v>
      </c>
      <c r="F946" s="130">
        <v>0</v>
      </c>
      <c r="G946" s="220">
        <v>43801</v>
      </c>
      <c r="H946" s="130" t="s">
        <v>1145</v>
      </c>
      <c r="I946" s="130" t="s">
        <v>1146</v>
      </c>
      <c r="J946" s="130" t="s">
        <v>97</v>
      </c>
      <c r="K946" s="130" t="s">
        <v>98</v>
      </c>
      <c r="L946" s="174" t="s">
        <v>72</v>
      </c>
      <c r="M946" s="131" t="s">
        <v>72</v>
      </c>
      <c r="N946" s="130" t="s">
        <v>73</v>
      </c>
      <c r="O946" s="219" t="s">
        <v>99</v>
      </c>
      <c r="P946" s="130" t="s">
        <v>98</v>
      </c>
      <c r="Q946" s="132" t="s">
        <v>74</v>
      </c>
      <c r="R946" s="221">
        <v>3.3900001</v>
      </c>
      <c r="S946" s="53">
        <v>-1</v>
      </c>
      <c r="T946" s="53">
        <v>-1822.5</v>
      </c>
      <c r="U946" s="53">
        <v>-1822.5</v>
      </c>
      <c r="V946" s="53">
        <v>-328.05</v>
      </c>
      <c r="W946" s="53">
        <v>-2150.5500000000002</v>
      </c>
      <c r="X946" s="27">
        <f t="shared" si="182"/>
        <v>-1822.5</v>
      </c>
    </row>
    <row r="947" spans="1:24" x14ac:dyDescent="0.2">
      <c r="A947" s="220">
        <v>43801</v>
      </c>
      <c r="B947" s="130" t="s">
        <v>114</v>
      </c>
      <c r="C947" s="130" t="s">
        <v>102</v>
      </c>
      <c r="D947" s="130" t="s">
        <v>693</v>
      </c>
      <c r="E947" s="130" t="s">
        <v>2381</v>
      </c>
      <c r="F947" s="130">
        <v>0</v>
      </c>
      <c r="G947" s="220">
        <v>43801</v>
      </c>
      <c r="H947" s="130" t="s">
        <v>1145</v>
      </c>
      <c r="I947" s="130" t="s">
        <v>1146</v>
      </c>
      <c r="J947" s="130" t="s">
        <v>100</v>
      </c>
      <c r="K947" s="130" t="s">
        <v>101</v>
      </c>
      <c r="L947" s="174" t="s">
        <v>72</v>
      </c>
      <c r="M947" s="131" t="s">
        <v>72</v>
      </c>
      <c r="N947" s="130" t="s">
        <v>73</v>
      </c>
      <c r="O947" s="219" t="s">
        <v>72</v>
      </c>
      <c r="P947" s="130" t="s">
        <v>101</v>
      </c>
      <c r="Q947" s="132" t="s">
        <v>74</v>
      </c>
      <c r="R947" s="221">
        <v>3.3900001</v>
      </c>
      <c r="S947" s="53">
        <v>-1</v>
      </c>
      <c r="T947" s="53">
        <v>-875</v>
      </c>
      <c r="U947" s="53">
        <v>-875</v>
      </c>
      <c r="V947" s="53">
        <v>-157.5</v>
      </c>
      <c r="W947" s="53">
        <v>-1032.5</v>
      </c>
      <c r="X947" s="27">
        <f t="shared" si="182"/>
        <v>-875</v>
      </c>
    </row>
    <row r="948" spans="1:24" x14ac:dyDescent="0.2">
      <c r="A948" s="220">
        <v>43801</v>
      </c>
      <c r="B948" s="130" t="s">
        <v>114</v>
      </c>
      <c r="C948" s="130" t="s">
        <v>102</v>
      </c>
      <c r="D948" s="130" t="s">
        <v>693</v>
      </c>
      <c r="E948" s="130" t="s">
        <v>2381</v>
      </c>
      <c r="F948" s="130">
        <v>0</v>
      </c>
      <c r="G948" s="220">
        <v>43801</v>
      </c>
      <c r="H948" s="130" t="s">
        <v>1145</v>
      </c>
      <c r="I948" s="130" t="s">
        <v>1146</v>
      </c>
      <c r="J948" s="130" t="s">
        <v>92</v>
      </c>
      <c r="K948" s="130" t="s">
        <v>113</v>
      </c>
      <c r="L948" s="174" t="s">
        <v>72</v>
      </c>
      <c r="M948" s="131" t="s">
        <v>72</v>
      </c>
      <c r="N948" s="130" t="s">
        <v>73</v>
      </c>
      <c r="O948" s="219" t="s">
        <v>69</v>
      </c>
      <c r="P948" s="130" t="s">
        <v>1699</v>
      </c>
      <c r="Q948" s="132" t="s">
        <v>74</v>
      </c>
      <c r="R948" s="221">
        <v>3.3900001</v>
      </c>
      <c r="S948" s="53">
        <v>-1</v>
      </c>
      <c r="T948" s="53">
        <v>-1185</v>
      </c>
      <c r="U948" s="53">
        <v>-1185</v>
      </c>
      <c r="V948" s="53">
        <v>-213.3</v>
      </c>
      <c r="W948" s="53">
        <v>-1398.3</v>
      </c>
      <c r="X948" s="27">
        <f t="shared" si="182"/>
        <v>-1185</v>
      </c>
    </row>
    <row r="949" spans="1:24" x14ac:dyDescent="0.2">
      <c r="A949" s="220">
        <v>43801</v>
      </c>
      <c r="B949" s="130" t="s">
        <v>114</v>
      </c>
      <c r="C949" s="130" t="s">
        <v>102</v>
      </c>
      <c r="D949" s="130" t="s">
        <v>693</v>
      </c>
      <c r="E949" s="130" t="s">
        <v>2381</v>
      </c>
      <c r="F949" s="130">
        <v>0</v>
      </c>
      <c r="G949" s="220">
        <v>43801</v>
      </c>
      <c r="H949" s="130" t="s">
        <v>1145</v>
      </c>
      <c r="I949" s="130" t="s">
        <v>1146</v>
      </c>
      <c r="J949" s="130" t="s">
        <v>132</v>
      </c>
      <c r="K949" s="130" t="s">
        <v>133</v>
      </c>
      <c r="L949" s="174" t="s">
        <v>72</v>
      </c>
      <c r="M949" s="131" t="s">
        <v>72</v>
      </c>
      <c r="N949" s="130" t="s">
        <v>73</v>
      </c>
      <c r="O949" s="219" t="s">
        <v>69</v>
      </c>
      <c r="P949" s="130" t="s">
        <v>1699</v>
      </c>
      <c r="Q949" s="132" t="s">
        <v>74</v>
      </c>
      <c r="R949" s="221">
        <v>3.3900001</v>
      </c>
      <c r="S949" s="53">
        <v>-1</v>
      </c>
      <c r="T949" s="53">
        <v>-1512</v>
      </c>
      <c r="U949" s="53">
        <v>-1512</v>
      </c>
      <c r="V949" s="53">
        <v>-272.16000000000003</v>
      </c>
      <c r="W949" s="53">
        <v>-1784.16</v>
      </c>
      <c r="X949" s="27">
        <f t="shared" si="182"/>
        <v>-1512</v>
      </c>
    </row>
    <row r="950" spans="1:24" x14ac:dyDescent="0.2">
      <c r="A950" s="220">
        <v>43801</v>
      </c>
      <c r="B950" s="130" t="s">
        <v>114</v>
      </c>
      <c r="C950" s="130" t="s">
        <v>102</v>
      </c>
      <c r="D950" s="130" t="s">
        <v>693</v>
      </c>
      <c r="E950" s="130" t="s">
        <v>2381</v>
      </c>
      <c r="F950" s="130">
        <v>0</v>
      </c>
      <c r="G950" s="220">
        <v>43801</v>
      </c>
      <c r="H950" s="130" t="s">
        <v>1145</v>
      </c>
      <c r="I950" s="130" t="s">
        <v>1146</v>
      </c>
      <c r="J950" s="130" t="s">
        <v>139</v>
      </c>
      <c r="K950" s="130" t="s">
        <v>1775</v>
      </c>
      <c r="L950" s="174" t="s">
        <v>72</v>
      </c>
      <c r="M950" s="131" t="s">
        <v>72</v>
      </c>
      <c r="N950" s="130" t="s">
        <v>73</v>
      </c>
      <c r="O950" s="219" t="s">
        <v>69</v>
      </c>
      <c r="P950" s="130" t="s">
        <v>1699</v>
      </c>
      <c r="Q950" s="132" t="s">
        <v>74</v>
      </c>
      <c r="R950" s="221">
        <v>3.3900001</v>
      </c>
      <c r="S950" s="53">
        <v>-1</v>
      </c>
      <c r="T950" s="53">
        <v>-110</v>
      </c>
      <c r="U950" s="53">
        <v>-110</v>
      </c>
      <c r="V950" s="53">
        <v>-19.8</v>
      </c>
      <c r="W950" s="53">
        <v>-129.80000000000001</v>
      </c>
      <c r="X950" s="27">
        <f t="shared" si="182"/>
        <v>-110</v>
      </c>
    </row>
    <row r="951" spans="1:24" x14ac:dyDescent="0.2">
      <c r="A951" s="220">
        <v>43801</v>
      </c>
      <c r="B951" s="130" t="s">
        <v>114</v>
      </c>
      <c r="C951" s="130" t="s">
        <v>102</v>
      </c>
      <c r="D951" s="130" t="s">
        <v>693</v>
      </c>
      <c r="E951" s="130" t="s">
        <v>2381</v>
      </c>
      <c r="F951" s="130">
        <v>0</v>
      </c>
      <c r="G951" s="220">
        <v>43801</v>
      </c>
      <c r="H951" s="130" t="s">
        <v>1145</v>
      </c>
      <c r="I951" s="130" t="s">
        <v>1146</v>
      </c>
      <c r="J951" s="130" t="s">
        <v>139</v>
      </c>
      <c r="K951" s="130" t="s">
        <v>109</v>
      </c>
      <c r="L951" s="174" t="s">
        <v>72</v>
      </c>
      <c r="M951" s="131" t="s">
        <v>72</v>
      </c>
      <c r="N951" s="130" t="s">
        <v>73</v>
      </c>
      <c r="O951" s="219" t="s">
        <v>69</v>
      </c>
      <c r="P951" s="130" t="s">
        <v>1699</v>
      </c>
      <c r="Q951" s="132" t="s">
        <v>74</v>
      </c>
      <c r="R951" s="221">
        <v>3.3900001</v>
      </c>
      <c r="S951" s="53">
        <v>-6</v>
      </c>
      <c r="T951" s="53">
        <v>-35</v>
      </c>
      <c r="U951" s="53">
        <v>-210</v>
      </c>
      <c r="V951" s="53">
        <v>-37.799993999999941</v>
      </c>
      <c r="W951" s="53">
        <v>-247.79999399999994</v>
      </c>
      <c r="X951" s="27">
        <f t="shared" si="182"/>
        <v>-210</v>
      </c>
    </row>
    <row r="952" spans="1:24" x14ac:dyDescent="0.2">
      <c r="A952" s="220">
        <v>43801</v>
      </c>
      <c r="B952" s="130" t="s">
        <v>114</v>
      </c>
      <c r="C952" s="130" t="s">
        <v>102</v>
      </c>
      <c r="D952" s="130" t="s">
        <v>693</v>
      </c>
      <c r="E952" s="130" t="s">
        <v>2381</v>
      </c>
      <c r="F952" s="130">
        <v>0</v>
      </c>
      <c r="G952" s="220">
        <v>43801</v>
      </c>
      <c r="H952" s="130" t="s">
        <v>1145</v>
      </c>
      <c r="I952" s="130" t="s">
        <v>1146</v>
      </c>
      <c r="J952" s="130" t="s">
        <v>139</v>
      </c>
      <c r="K952" s="130" t="s">
        <v>1774</v>
      </c>
      <c r="L952" s="174" t="s">
        <v>72</v>
      </c>
      <c r="M952" s="131" t="s">
        <v>72</v>
      </c>
      <c r="N952" s="130" t="s">
        <v>73</v>
      </c>
      <c r="O952" s="219" t="s">
        <v>69</v>
      </c>
      <c r="P952" s="130" t="s">
        <v>1699</v>
      </c>
      <c r="Q952" s="132" t="s">
        <v>74</v>
      </c>
      <c r="R952" s="221">
        <v>3.3900001</v>
      </c>
      <c r="S952" s="53">
        <v>-2</v>
      </c>
      <c r="T952" s="53">
        <v>-70</v>
      </c>
      <c r="U952" s="53">
        <v>-140</v>
      </c>
      <c r="V952" s="53">
        <v>-25.199995999999956</v>
      </c>
      <c r="W952" s="53">
        <v>-165.19999599999994</v>
      </c>
      <c r="X952" s="27">
        <f t="shared" si="182"/>
        <v>-140</v>
      </c>
    </row>
    <row r="953" spans="1:24" x14ac:dyDescent="0.2">
      <c r="A953" s="220">
        <v>43801</v>
      </c>
      <c r="B953" s="130" t="s">
        <v>114</v>
      </c>
      <c r="C953" s="130" t="s">
        <v>102</v>
      </c>
      <c r="D953" s="130" t="s">
        <v>693</v>
      </c>
      <c r="E953" s="130" t="s">
        <v>2381</v>
      </c>
      <c r="F953" s="130">
        <v>0</v>
      </c>
      <c r="G953" s="220">
        <v>43801</v>
      </c>
      <c r="H953" s="130" t="s">
        <v>1145</v>
      </c>
      <c r="I953" s="130" t="s">
        <v>1146</v>
      </c>
      <c r="J953" s="130" t="s">
        <v>70</v>
      </c>
      <c r="K953" s="130" t="s">
        <v>112</v>
      </c>
      <c r="L953" s="174" t="s">
        <v>72</v>
      </c>
      <c r="M953" s="131" t="s">
        <v>72</v>
      </c>
      <c r="N953" s="130" t="s">
        <v>73</v>
      </c>
      <c r="O953" s="219" t="s">
        <v>69</v>
      </c>
      <c r="P953" s="130" t="s">
        <v>1699</v>
      </c>
      <c r="Q953" s="132" t="s">
        <v>74</v>
      </c>
      <c r="R953" s="221">
        <v>3.3900001</v>
      </c>
      <c r="S953" s="53">
        <v>-1</v>
      </c>
      <c r="T953" s="53">
        <v>-743.75420999999972</v>
      </c>
      <c r="U953" s="53">
        <v>-743.75420999999972</v>
      </c>
      <c r="V953" s="53">
        <v>-133.87579000000028</v>
      </c>
      <c r="W953" s="53">
        <v>-877.63</v>
      </c>
      <c r="X953" s="27">
        <f t="shared" si="182"/>
        <v>-743.75420999999972</v>
      </c>
    </row>
    <row r="954" spans="1:24" x14ac:dyDescent="0.2">
      <c r="A954" s="220">
        <v>43801</v>
      </c>
      <c r="B954" s="130" t="s">
        <v>114</v>
      </c>
      <c r="C954" s="130" t="s">
        <v>102</v>
      </c>
      <c r="D954" s="130" t="s">
        <v>693</v>
      </c>
      <c r="E954" s="130" t="s">
        <v>2381</v>
      </c>
      <c r="F954" s="130">
        <v>0</v>
      </c>
      <c r="G954" s="220">
        <v>43801</v>
      </c>
      <c r="H954" s="130" t="s">
        <v>1145</v>
      </c>
      <c r="I954" s="130" t="s">
        <v>1146</v>
      </c>
      <c r="J954" s="130" t="s">
        <v>104</v>
      </c>
      <c r="K954" s="130" t="s">
        <v>105</v>
      </c>
      <c r="L954" s="174" t="s">
        <v>72</v>
      </c>
      <c r="M954" s="131" t="s">
        <v>72</v>
      </c>
      <c r="N954" s="130" t="s">
        <v>73</v>
      </c>
      <c r="O954" s="219" t="s">
        <v>69</v>
      </c>
      <c r="P954" s="130" t="s">
        <v>1699</v>
      </c>
      <c r="Q954" s="132" t="s">
        <v>74</v>
      </c>
      <c r="R954" s="221">
        <v>3.3900001</v>
      </c>
      <c r="S954" s="53">
        <v>-1</v>
      </c>
      <c r="T954" s="53">
        <v>-1607</v>
      </c>
      <c r="U954" s="53">
        <v>-1607</v>
      </c>
      <c r="V954" s="53">
        <v>-289.26</v>
      </c>
      <c r="W954" s="53">
        <v>-1896.26</v>
      </c>
      <c r="X954" s="27">
        <f t="shared" si="182"/>
        <v>-1607</v>
      </c>
    </row>
    <row r="955" spans="1:24" x14ac:dyDescent="0.2">
      <c r="A955" s="220">
        <v>43801</v>
      </c>
      <c r="B955" s="130" t="s">
        <v>114</v>
      </c>
      <c r="C955" s="130" t="s">
        <v>102</v>
      </c>
      <c r="D955" s="130" t="s">
        <v>692</v>
      </c>
      <c r="E955" s="130" t="s">
        <v>2382</v>
      </c>
      <c r="F955" s="130">
        <v>0</v>
      </c>
      <c r="G955" s="220">
        <v>43801</v>
      </c>
      <c r="H955" s="130" t="s">
        <v>1145</v>
      </c>
      <c r="I955" s="130" t="s">
        <v>1146</v>
      </c>
      <c r="J955" s="130" t="s">
        <v>97</v>
      </c>
      <c r="K955" s="130" t="s">
        <v>98</v>
      </c>
      <c r="L955" s="174" t="s">
        <v>72</v>
      </c>
      <c r="M955" s="131" t="s">
        <v>72</v>
      </c>
      <c r="N955" s="130" t="s">
        <v>73</v>
      </c>
      <c r="O955" s="219" t="s">
        <v>99</v>
      </c>
      <c r="P955" s="130" t="s">
        <v>98</v>
      </c>
      <c r="Q955" s="132" t="s">
        <v>74</v>
      </c>
      <c r="R955" s="221">
        <v>3.3900001</v>
      </c>
      <c r="S955" s="53">
        <v>-1</v>
      </c>
      <c r="T955" s="53">
        <v>-2700</v>
      </c>
      <c r="U955" s="53">
        <v>-2700</v>
      </c>
      <c r="V955" s="53">
        <v>-486</v>
      </c>
      <c r="W955" s="53">
        <v>-3186</v>
      </c>
      <c r="X955" s="27">
        <f t="shared" si="182"/>
        <v>-2700</v>
      </c>
    </row>
    <row r="956" spans="1:24" x14ac:dyDescent="0.2">
      <c r="A956" s="220">
        <v>43801</v>
      </c>
      <c r="B956" s="130" t="s">
        <v>114</v>
      </c>
      <c r="C956" s="130" t="s">
        <v>102</v>
      </c>
      <c r="D956" s="130" t="s">
        <v>692</v>
      </c>
      <c r="E956" s="130" t="s">
        <v>2382</v>
      </c>
      <c r="F956" s="130">
        <v>0</v>
      </c>
      <c r="G956" s="220">
        <v>43801</v>
      </c>
      <c r="H956" s="130" t="s">
        <v>1145</v>
      </c>
      <c r="I956" s="130" t="s">
        <v>1146</v>
      </c>
      <c r="J956" s="130" t="s">
        <v>100</v>
      </c>
      <c r="K956" s="130" t="s">
        <v>101</v>
      </c>
      <c r="L956" s="174" t="s">
        <v>72</v>
      </c>
      <c r="M956" s="131" t="s">
        <v>72</v>
      </c>
      <c r="N956" s="130" t="s">
        <v>73</v>
      </c>
      <c r="O956" s="219" t="s">
        <v>72</v>
      </c>
      <c r="P956" s="130" t="s">
        <v>101</v>
      </c>
      <c r="Q956" s="132" t="s">
        <v>74</v>
      </c>
      <c r="R956" s="221">
        <v>3.3900001</v>
      </c>
      <c r="S956" s="53">
        <v>-1</v>
      </c>
      <c r="T956" s="53">
        <v>-1575</v>
      </c>
      <c r="U956" s="53">
        <v>-1575</v>
      </c>
      <c r="V956" s="53">
        <v>-283.5</v>
      </c>
      <c r="W956" s="53">
        <v>-1858.5</v>
      </c>
      <c r="X956" s="27">
        <f t="shared" si="182"/>
        <v>-1575</v>
      </c>
    </row>
    <row r="957" spans="1:24" x14ac:dyDescent="0.2">
      <c r="A957" s="220">
        <v>43801</v>
      </c>
      <c r="B957" s="130" t="s">
        <v>114</v>
      </c>
      <c r="C957" s="130" t="s">
        <v>102</v>
      </c>
      <c r="D957" s="130" t="s">
        <v>692</v>
      </c>
      <c r="E957" s="130" t="s">
        <v>2382</v>
      </c>
      <c r="F957" s="130">
        <v>0</v>
      </c>
      <c r="G957" s="220">
        <v>43801</v>
      </c>
      <c r="H957" s="130" t="s">
        <v>1145</v>
      </c>
      <c r="I957" s="130" t="s">
        <v>1146</v>
      </c>
      <c r="J957" s="130" t="s">
        <v>92</v>
      </c>
      <c r="K957" s="130" t="s">
        <v>113</v>
      </c>
      <c r="L957" s="174" t="s">
        <v>72</v>
      </c>
      <c r="M957" s="131" t="s">
        <v>72</v>
      </c>
      <c r="N957" s="130" t="s">
        <v>73</v>
      </c>
      <c r="O957" s="219" t="s">
        <v>69</v>
      </c>
      <c r="P957" s="130" t="s">
        <v>1699</v>
      </c>
      <c r="Q957" s="132" t="s">
        <v>74</v>
      </c>
      <c r="R957" s="221">
        <v>3.3900001</v>
      </c>
      <c r="S957" s="53">
        <v>-1</v>
      </c>
      <c r="T957" s="53">
        <v>-890</v>
      </c>
      <c r="U957" s="53">
        <v>-890</v>
      </c>
      <c r="V957" s="53">
        <v>-160.19999999999999</v>
      </c>
      <c r="W957" s="53">
        <v>-1050.2</v>
      </c>
      <c r="X957" s="27">
        <f t="shared" si="182"/>
        <v>-890</v>
      </c>
    </row>
    <row r="958" spans="1:24" x14ac:dyDescent="0.2">
      <c r="A958" s="220">
        <v>43801</v>
      </c>
      <c r="B958" s="130" t="s">
        <v>114</v>
      </c>
      <c r="C958" s="130" t="s">
        <v>102</v>
      </c>
      <c r="D958" s="130" t="s">
        <v>692</v>
      </c>
      <c r="E958" s="130" t="s">
        <v>2382</v>
      </c>
      <c r="F958" s="130">
        <v>0</v>
      </c>
      <c r="G958" s="220">
        <v>43801</v>
      </c>
      <c r="H958" s="130" t="s">
        <v>1145</v>
      </c>
      <c r="I958" s="130" t="s">
        <v>1146</v>
      </c>
      <c r="J958" s="130" t="s">
        <v>132</v>
      </c>
      <c r="K958" s="130" t="s">
        <v>1772</v>
      </c>
      <c r="L958" s="174" t="s">
        <v>72</v>
      </c>
      <c r="M958" s="131" t="s">
        <v>72</v>
      </c>
      <c r="N958" s="130" t="s">
        <v>73</v>
      </c>
      <c r="O958" s="219" t="s">
        <v>69</v>
      </c>
      <c r="P958" s="130" t="s">
        <v>1699</v>
      </c>
      <c r="Q958" s="132" t="s">
        <v>74</v>
      </c>
      <c r="R958" s="221">
        <v>3.3900001</v>
      </c>
      <c r="S958" s="53">
        <v>-1</v>
      </c>
      <c r="T958" s="53">
        <v>-730</v>
      </c>
      <c r="U958" s="53">
        <v>-730</v>
      </c>
      <c r="V958" s="53">
        <v>-131.40002000000021</v>
      </c>
      <c r="W958" s="53">
        <v>-861.40002000000027</v>
      </c>
      <c r="X958" s="27">
        <f t="shared" si="182"/>
        <v>-730</v>
      </c>
    </row>
    <row r="959" spans="1:24" x14ac:dyDescent="0.2">
      <c r="A959" s="220">
        <v>43801</v>
      </c>
      <c r="B959" s="130" t="s">
        <v>114</v>
      </c>
      <c r="C959" s="130" t="s">
        <v>102</v>
      </c>
      <c r="D959" s="130" t="s">
        <v>692</v>
      </c>
      <c r="E959" s="130" t="s">
        <v>2382</v>
      </c>
      <c r="F959" s="130">
        <v>0</v>
      </c>
      <c r="G959" s="220">
        <v>43801</v>
      </c>
      <c r="H959" s="130" t="s">
        <v>1145</v>
      </c>
      <c r="I959" s="130" t="s">
        <v>1146</v>
      </c>
      <c r="J959" s="130" t="s">
        <v>70</v>
      </c>
      <c r="K959" s="130" t="s">
        <v>112</v>
      </c>
      <c r="L959" s="174" t="s">
        <v>72</v>
      </c>
      <c r="M959" s="131" t="s">
        <v>72</v>
      </c>
      <c r="N959" s="130" t="s">
        <v>73</v>
      </c>
      <c r="O959" s="219" t="s">
        <v>69</v>
      </c>
      <c r="P959" s="130" t="s">
        <v>1699</v>
      </c>
      <c r="Q959" s="132" t="s">
        <v>74</v>
      </c>
      <c r="R959" s="221">
        <v>3.3900001</v>
      </c>
      <c r="S959" s="53">
        <v>-1</v>
      </c>
      <c r="T959" s="53">
        <v>-848.75420999999972</v>
      </c>
      <c r="U959" s="53">
        <v>-848.75420999999972</v>
      </c>
      <c r="V959" s="53">
        <v>-152.77579000000026</v>
      </c>
      <c r="W959" s="53">
        <v>-1001.53</v>
      </c>
      <c r="X959" s="27">
        <f t="shared" si="182"/>
        <v>-848.75420999999972</v>
      </c>
    </row>
    <row r="960" spans="1:24" x14ac:dyDescent="0.2">
      <c r="A960" s="220">
        <v>43801</v>
      </c>
      <c r="B960" s="130" t="s">
        <v>114</v>
      </c>
      <c r="C960" s="130" t="s">
        <v>102</v>
      </c>
      <c r="D960" s="130" t="s">
        <v>692</v>
      </c>
      <c r="E960" s="130" t="s">
        <v>2382</v>
      </c>
      <c r="F960" s="130">
        <v>0</v>
      </c>
      <c r="G960" s="220">
        <v>43801</v>
      </c>
      <c r="H960" s="130" t="s">
        <v>1145</v>
      </c>
      <c r="I960" s="130" t="s">
        <v>1146</v>
      </c>
      <c r="J960" s="130" t="s">
        <v>104</v>
      </c>
      <c r="K960" s="130" t="s">
        <v>105</v>
      </c>
      <c r="L960" s="174" t="s">
        <v>72</v>
      </c>
      <c r="M960" s="131" t="s">
        <v>72</v>
      </c>
      <c r="N960" s="130" t="s">
        <v>73</v>
      </c>
      <c r="O960" s="219" t="s">
        <v>69</v>
      </c>
      <c r="P960" s="130" t="s">
        <v>1699</v>
      </c>
      <c r="Q960" s="132" t="s">
        <v>74</v>
      </c>
      <c r="R960" s="221">
        <v>3.3900001</v>
      </c>
      <c r="S960" s="53">
        <v>-1</v>
      </c>
      <c r="T960" s="53">
        <v>-3057</v>
      </c>
      <c r="U960" s="53">
        <v>-3057</v>
      </c>
      <c r="V960" s="53">
        <v>-550.26</v>
      </c>
      <c r="W960" s="53">
        <v>-3607.26</v>
      </c>
      <c r="X960" s="27">
        <f t="shared" si="182"/>
        <v>-3057</v>
      </c>
    </row>
    <row r="961" spans="1:24" x14ac:dyDescent="0.2">
      <c r="A961" s="220">
        <v>43801</v>
      </c>
      <c r="B961" s="130" t="s">
        <v>114</v>
      </c>
      <c r="C961" s="130" t="s">
        <v>102</v>
      </c>
      <c r="D961" s="130" t="s">
        <v>691</v>
      </c>
      <c r="E961" s="130" t="s">
        <v>2383</v>
      </c>
      <c r="F961" s="130">
        <v>0</v>
      </c>
      <c r="G961" s="220">
        <v>43801</v>
      </c>
      <c r="H961" s="130" t="s">
        <v>1145</v>
      </c>
      <c r="I961" s="130" t="s">
        <v>1146</v>
      </c>
      <c r="J961" s="130" t="s">
        <v>97</v>
      </c>
      <c r="K961" s="130" t="s">
        <v>98</v>
      </c>
      <c r="L961" s="174" t="s">
        <v>72</v>
      </c>
      <c r="M961" s="131" t="s">
        <v>72</v>
      </c>
      <c r="N961" s="130" t="s">
        <v>73</v>
      </c>
      <c r="O961" s="219" t="s">
        <v>99</v>
      </c>
      <c r="P961" s="130" t="s">
        <v>98</v>
      </c>
      <c r="Q961" s="132" t="s">
        <v>74</v>
      </c>
      <c r="R961" s="221">
        <v>3.3900001</v>
      </c>
      <c r="S961" s="53">
        <v>-1</v>
      </c>
      <c r="T961" s="53">
        <v>-2565</v>
      </c>
      <c r="U961" s="53">
        <v>-2565</v>
      </c>
      <c r="V961" s="53">
        <v>-461.7</v>
      </c>
      <c r="W961" s="53">
        <v>-3026.7</v>
      </c>
      <c r="X961" s="27">
        <f t="shared" si="182"/>
        <v>-2565</v>
      </c>
    </row>
    <row r="962" spans="1:24" x14ac:dyDescent="0.2">
      <c r="A962" s="220">
        <v>43801</v>
      </c>
      <c r="B962" s="130" t="s">
        <v>114</v>
      </c>
      <c r="C962" s="130" t="s">
        <v>102</v>
      </c>
      <c r="D962" s="130" t="s">
        <v>691</v>
      </c>
      <c r="E962" s="130" t="s">
        <v>2383</v>
      </c>
      <c r="F962" s="130">
        <v>0</v>
      </c>
      <c r="G962" s="220">
        <v>43801</v>
      </c>
      <c r="H962" s="130" t="s">
        <v>1145</v>
      </c>
      <c r="I962" s="130" t="s">
        <v>1146</v>
      </c>
      <c r="J962" s="130" t="s">
        <v>100</v>
      </c>
      <c r="K962" s="130" t="s">
        <v>101</v>
      </c>
      <c r="L962" s="174" t="s">
        <v>72</v>
      </c>
      <c r="M962" s="131" t="s">
        <v>72</v>
      </c>
      <c r="N962" s="130" t="s">
        <v>73</v>
      </c>
      <c r="O962" s="219" t="s">
        <v>72</v>
      </c>
      <c r="P962" s="130" t="s">
        <v>101</v>
      </c>
      <c r="Q962" s="132" t="s">
        <v>74</v>
      </c>
      <c r="R962" s="221">
        <v>3.3900001</v>
      </c>
      <c r="S962" s="53">
        <v>-1</v>
      </c>
      <c r="T962" s="53">
        <v>-1960</v>
      </c>
      <c r="U962" s="53">
        <v>-1960</v>
      </c>
      <c r="V962" s="53">
        <v>-352.8</v>
      </c>
      <c r="W962" s="53">
        <v>-2312.8000000000002</v>
      </c>
      <c r="X962" s="27">
        <f t="shared" si="182"/>
        <v>-1960</v>
      </c>
    </row>
    <row r="963" spans="1:24" x14ac:dyDescent="0.2">
      <c r="A963" s="220">
        <v>43801</v>
      </c>
      <c r="B963" s="130" t="s">
        <v>114</v>
      </c>
      <c r="C963" s="130" t="s">
        <v>102</v>
      </c>
      <c r="D963" s="130" t="s">
        <v>691</v>
      </c>
      <c r="E963" s="130" t="s">
        <v>2383</v>
      </c>
      <c r="F963" s="130">
        <v>0</v>
      </c>
      <c r="G963" s="220">
        <v>43801</v>
      </c>
      <c r="H963" s="130" t="s">
        <v>1145</v>
      </c>
      <c r="I963" s="130" t="s">
        <v>1146</v>
      </c>
      <c r="J963" s="130" t="s">
        <v>92</v>
      </c>
      <c r="K963" s="130" t="s">
        <v>113</v>
      </c>
      <c r="L963" s="174" t="s">
        <v>72</v>
      </c>
      <c r="M963" s="131" t="s">
        <v>72</v>
      </c>
      <c r="N963" s="130" t="s">
        <v>73</v>
      </c>
      <c r="O963" s="219" t="s">
        <v>69</v>
      </c>
      <c r="P963" s="130" t="s">
        <v>1699</v>
      </c>
      <c r="Q963" s="132" t="s">
        <v>74</v>
      </c>
      <c r="R963" s="221">
        <v>3.3900001</v>
      </c>
      <c r="S963" s="53">
        <v>-1</v>
      </c>
      <c r="T963" s="53">
        <v>-985</v>
      </c>
      <c r="U963" s="53">
        <v>-985</v>
      </c>
      <c r="V963" s="53">
        <v>-177.3</v>
      </c>
      <c r="W963" s="53">
        <v>-1162.3</v>
      </c>
      <c r="X963" s="27">
        <f t="shared" si="182"/>
        <v>-985</v>
      </c>
    </row>
    <row r="964" spans="1:24" x14ac:dyDescent="0.2">
      <c r="A964" s="220">
        <v>43801</v>
      </c>
      <c r="B964" s="130" t="s">
        <v>114</v>
      </c>
      <c r="C964" s="130" t="s">
        <v>102</v>
      </c>
      <c r="D964" s="130" t="s">
        <v>691</v>
      </c>
      <c r="E964" s="130" t="s">
        <v>2383</v>
      </c>
      <c r="F964" s="130">
        <v>0</v>
      </c>
      <c r="G964" s="220">
        <v>43801</v>
      </c>
      <c r="H964" s="130" t="s">
        <v>1145</v>
      </c>
      <c r="I964" s="130" t="s">
        <v>1146</v>
      </c>
      <c r="J964" s="130" t="s">
        <v>132</v>
      </c>
      <c r="K964" s="130" t="s">
        <v>133</v>
      </c>
      <c r="L964" s="174" t="s">
        <v>72</v>
      </c>
      <c r="M964" s="131" t="s">
        <v>72</v>
      </c>
      <c r="N964" s="130" t="s">
        <v>73</v>
      </c>
      <c r="O964" s="219" t="s">
        <v>69</v>
      </c>
      <c r="P964" s="130" t="s">
        <v>1699</v>
      </c>
      <c r="Q964" s="132" t="s">
        <v>74</v>
      </c>
      <c r="R964" s="221">
        <v>3.3900001</v>
      </c>
      <c r="S964" s="53">
        <v>-1</v>
      </c>
      <c r="T964" s="53">
        <v>-3070</v>
      </c>
      <c r="U964" s="53">
        <v>-3070</v>
      </c>
      <c r="V964" s="53">
        <v>-552.60010000000011</v>
      </c>
      <c r="W964" s="53">
        <v>-3622.6001000000001</v>
      </c>
      <c r="X964" s="27">
        <f t="shared" si="182"/>
        <v>-3070</v>
      </c>
    </row>
    <row r="965" spans="1:24" x14ac:dyDescent="0.2">
      <c r="A965" s="220">
        <v>43801</v>
      </c>
      <c r="B965" s="130" t="s">
        <v>114</v>
      </c>
      <c r="C965" s="130" t="s">
        <v>102</v>
      </c>
      <c r="D965" s="130" t="s">
        <v>691</v>
      </c>
      <c r="E965" s="130" t="s">
        <v>2383</v>
      </c>
      <c r="F965" s="130">
        <v>0</v>
      </c>
      <c r="G965" s="220">
        <v>43801</v>
      </c>
      <c r="H965" s="130" t="s">
        <v>1145</v>
      </c>
      <c r="I965" s="130" t="s">
        <v>1146</v>
      </c>
      <c r="J965" s="130" t="s">
        <v>139</v>
      </c>
      <c r="K965" s="130" t="s">
        <v>1776</v>
      </c>
      <c r="L965" s="174" t="s">
        <v>72</v>
      </c>
      <c r="M965" s="131" t="s">
        <v>72</v>
      </c>
      <c r="N965" s="130" t="s">
        <v>73</v>
      </c>
      <c r="O965" s="219" t="s">
        <v>69</v>
      </c>
      <c r="P965" s="130" t="s">
        <v>1699</v>
      </c>
      <c r="Q965" s="132" t="s">
        <v>74</v>
      </c>
      <c r="R965" s="221">
        <v>3.3900001</v>
      </c>
      <c r="S965" s="53">
        <v>-1</v>
      </c>
      <c r="T965" s="53">
        <v>-70</v>
      </c>
      <c r="U965" s="53">
        <v>-70</v>
      </c>
      <c r="V965" s="53">
        <v>-12.599997999999978</v>
      </c>
      <c r="W965" s="53">
        <v>-82.599997999999971</v>
      </c>
      <c r="X965" s="27">
        <f t="shared" ref="X965:X1028" si="183">IF(Q965="$",(U965*R965),U965)</f>
        <v>-70</v>
      </c>
    </row>
    <row r="966" spans="1:24" x14ac:dyDescent="0.2">
      <c r="A966" s="220">
        <v>43801</v>
      </c>
      <c r="B966" s="130" t="s">
        <v>114</v>
      </c>
      <c r="C966" s="130" t="s">
        <v>102</v>
      </c>
      <c r="D966" s="130" t="s">
        <v>691</v>
      </c>
      <c r="E966" s="130" t="s">
        <v>2383</v>
      </c>
      <c r="F966" s="130">
        <v>0</v>
      </c>
      <c r="G966" s="220">
        <v>43801</v>
      </c>
      <c r="H966" s="130" t="s">
        <v>1145</v>
      </c>
      <c r="I966" s="130" t="s">
        <v>1146</v>
      </c>
      <c r="J966" s="130" t="s">
        <v>70</v>
      </c>
      <c r="K966" s="130" t="s">
        <v>112</v>
      </c>
      <c r="L966" s="174" t="s">
        <v>72</v>
      </c>
      <c r="M966" s="131" t="s">
        <v>72</v>
      </c>
      <c r="N966" s="130" t="s">
        <v>73</v>
      </c>
      <c r="O966" s="219" t="s">
        <v>69</v>
      </c>
      <c r="P966" s="130" t="s">
        <v>1699</v>
      </c>
      <c r="Q966" s="132" t="s">
        <v>74</v>
      </c>
      <c r="R966" s="221">
        <v>3.3900001</v>
      </c>
      <c r="S966" s="53">
        <v>-1</v>
      </c>
      <c r="T966" s="53">
        <v>-673.75420999999972</v>
      </c>
      <c r="U966" s="53">
        <v>-673.75420999999972</v>
      </c>
      <c r="V966" s="53">
        <v>-121.27582000000038</v>
      </c>
      <c r="W966" s="53">
        <v>-795.03003000000012</v>
      </c>
      <c r="X966" s="27">
        <f t="shared" si="183"/>
        <v>-673.75420999999972</v>
      </c>
    </row>
    <row r="967" spans="1:24" x14ac:dyDescent="0.2">
      <c r="A967" s="220">
        <v>43801</v>
      </c>
      <c r="B967" s="130" t="s">
        <v>114</v>
      </c>
      <c r="C967" s="130" t="s">
        <v>102</v>
      </c>
      <c r="D967" s="130" t="s">
        <v>691</v>
      </c>
      <c r="E967" s="130" t="s">
        <v>2383</v>
      </c>
      <c r="F967" s="130">
        <v>0</v>
      </c>
      <c r="G967" s="220">
        <v>43801</v>
      </c>
      <c r="H967" s="130" t="s">
        <v>1145</v>
      </c>
      <c r="I967" s="130" t="s">
        <v>1146</v>
      </c>
      <c r="J967" s="130" t="s">
        <v>104</v>
      </c>
      <c r="K967" s="130" t="s">
        <v>105</v>
      </c>
      <c r="L967" s="174" t="s">
        <v>72</v>
      </c>
      <c r="M967" s="131" t="s">
        <v>72</v>
      </c>
      <c r="N967" s="130" t="s">
        <v>73</v>
      </c>
      <c r="O967" s="219" t="s">
        <v>69</v>
      </c>
      <c r="P967" s="130" t="s">
        <v>1699</v>
      </c>
      <c r="Q967" s="132" t="s">
        <v>74</v>
      </c>
      <c r="R967" s="221">
        <v>3.3900001</v>
      </c>
      <c r="S967" s="53">
        <v>-1</v>
      </c>
      <c r="T967" s="53">
        <v>-1967</v>
      </c>
      <c r="U967" s="53">
        <v>-1967</v>
      </c>
      <c r="V967" s="53">
        <v>-354.06010000000009</v>
      </c>
      <c r="W967" s="53">
        <v>-2321.0601000000001</v>
      </c>
      <c r="X967" s="27">
        <f t="shared" si="183"/>
        <v>-1967</v>
      </c>
    </row>
    <row r="968" spans="1:24" x14ac:dyDescent="0.2">
      <c r="A968" s="220">
        <v>43808</v>
      </c>
      <c r="B968" s="130" t="s">
        <v>114</v>
      </c>
      <c r="C968" s="130" t="s">
        <v>102</v>
      </c>
      <c r="D968" s="130" t="s">
        <v>690</v>
      </c>
      <c r="E968" s="130" t="s">
        <v>2384</v>
      </c>
      <c r="F968" s="130">
        <v>0</v>
      </c>
      <c r="G968" s="220">
        <v>43808</v>
      </c>
      <c r="H968" s="130" t="s">
        <v>557</v>
      </c>
      <c r="I968" s="130" t="s">
        <v>556</v>
      </c>
      <c r="J968" s="130" t="s">
        <v>97</v>
      </c>
      <c r="K968" s="130" t="s">
        <v>98</v>
      </c>
      <c r="L968" s="174" t="s">
        <v>72</v>
      </c>
      <c r="M968" s="131" t="s">
        <v>72</v>
      </c>
      <c r="N968" s="130" t="s">
        <v>73</v>
      </c>
      <c r="O968" s="219" t="s">
        <v>99</v>
      </c>
      <c r="P968" s="130" t="s">
        <v>98</v>
      </c>
      <c r="Q968" s="132" t="s">
        <v>93</v>
      </c>
      <c r="R968" s="221">
        <v>3.3809999999999998</v>
      </c>
      <c r="S968" s="53">
        <v>-1</v>
      </c>
      <c r="T968" s="53">
        <v>-59</v>
      </c>
      <c r="U968" s="53">
        <v>-59</v>
      </c>
      <c r="V968" s="53">
        <v>-10.620002999999997</v>
      </c>
      <c r="W968" s="53">
        <v>-69.620002999999997</v>
      </c>
      <c r="X968" s="27">
        <f t="shared" si="183"/>
        <v>-199.47899999999998</v>
      </c>
    </row>
    <row r="969" spans="1:24" x14ac:dyDescent="0.2">
      <c r="A969" s="220">
        <v>43808</v>
      </c>
      <c r="B969" s="130" t="s">
        <v>114</v>
      </c>
      <c r="C969" s="130" t="s">
        <v>102</v>
      </c>
      <c r="D969" s="130" t="s">
        <v>690</v>
      </c>
      <c r="E969" s="130" t="s">
        <v>2384</v>
      </c>
      <c r="F969" s="130">
        <v>0</v>
      </c>
      <c r="G969" s="220">
        <v>43808</v>
      </c>
      <c r="H969" s="130" t="s">
        <v>557</v>
      </c>
      <c r="I969" s="130" t="s">
        <v>556</v>
      </c>
      <c r="J969" s="130" t="s">
        <v>100</v>
      </c>
      <c r="K969" s="130" t="s">
        <v>101</v>
      </c>
      <c r="L969" s="174" t="s">
        <v>72</v>
      </c>
      <c r="M969" s="131" t="s">
        <v>72</v>
      </c>
      <c r="N969" s="130" t="s">
        <v>73</v>
      </c>
      <c r="O969" s="219" t="s">
        <v>72</v>
      </c>
      <c r="P969" s="130" t="s">
        <v>101</v>
      </c>
      <c r="Q969" s="132" t="s">
        <v>93</v>
      </c>
      <c r="R969" s="221">
        <v>3.3809999999999998</v>
      </c>
      <c r="S969" s="53">
        <v>-1</v>
      </c>
      <c r="T969" s="53">
        <v>-30</v>
      </c>
      <c r="U969" s="53">
        <v>-30</v>
      </c>
      <c r="V969" s="53">
        <v>-5.4000019999999997</v>
      </c>
      <c r="W969" s="53">
        <v>-35.400002000000001</v>
      </c>
      <c r="X969" s="27">
        <f t="shared" si="183"/>
        <v>-101.42999999999999</v>
      </c>
    </row>
    <row r="970" spans="1:24" x14ac:dyDescent="0.2">
      <c r="A970" s="220">
        <v>43808</v>
      </c>
      <c r="B970" s="130" t="s">
        <v>114</v>
      </c>
      <c r="C970" s="130" t="s">
        <v>102</v>
      </c>
      <c r="D970" s="130" t="s">
        <v>690</v>
      </c>
      <c r="E970" s="130" t="s">
        <v>2384</v>
      </c>
      <c r="F970" s="130">
        <v>0</v>
      </c>
      <c r="G970" s="220">
        <v>43808</v>
      </c>
      <c r="H970" s="130" t="s">
        <v>557</v>
      </c>
      <c r="I970" s="130" t="s">
        <v>556</v>
      </c>
      <c r="J970" s="130" t="s">
        <v>92</v>
      </c>
      <c r="K970" s="130" t="s">
        <v>113</v>
      </c>
      <c r="L970" s="174" t="s">
        <v>72</v>
      </c>
      <c r="M970" s="131" t="s">
        <v>72</v>
      </c>
      <c r="N970" s="130" t="s">
        <v>73</v>
      </c>
      <c r="O970" s="219" t="s">
        <v>69</v>
      </c>
      <c r="P970" s="130" t="s">
        <v>1699</v>
      </c>
      <c r="Q970" s="132" t="s">
        <v>93</v>
      </c>
      <c r="R970" s="221">
        <v>3.3809999999999998</v>
      </c>
      <c r="S970" s="53">
        <v>-1</v>
      </c>
      <c r="T970" s="53">
        <v>-30</v>
      </c>
      <c r="U970" s="53">
        <v>-30</v>
      </c>
      <c r="V970" s="53">
        <v>-5.4000019999999997</v>
      </c>
      <c r="W970" s="53">
        <v>-35.400002000000001</v>
      </c>
      <c r="X970" s="27">
        <f t="shared" si="183"/>
        <v>-101.42999999999999</v>
      </c>
    </row>
    <row r="971" spans="1:24" x14ac:dyDescent="0.2">
      <c r="A971" s="220">
        <v>43808</v>
      </c>
      <c r="B971" s="130" t="s">
        <v>114</v>
      </c>
      <c r="C971" s="130" t="s">
        <v>102</v>
      </c>
      <c r="D971" s="130" t="s">
        <v>690</v>
      </c>
      <c r="E971" s="130" t="s">
        <v>2384</v>
      </c>
      <c r="F971" s="130">
        <v>0</v>
      </c>
      <c r="G971" s="220">
        <v>43808</v>
      </c>
      <c r="H971" s="130" t="s">
        <v>557</v>
      </c>
      <c r="I971" s="130" t="s">
        <v>556</v>
      </c>
      <c r="J971" s="130" t="s">
        <v>104</v>
      </c>
      <c r="K971" s="130" t="s">
        <v>105</v>
      </c>
      <c r="L971" s="174" t="s">
        <v>72</v>
      </c>
      <c r="M971" s="131" t="s">
        <v>72</v>
      </c>
      <c r="N971" s="130" t="s">
        <v>73</v>
      </c>
      <c r="O971" s="219" t="s">
        <v>69</v>
      </c>
      <c r="P971" s="130" t="s">
        <v>1699</v>
      </c>
      <c r="Q971" s="132" t="s">
        <v>93</v>
      </c>
      <c r="R971" s="221">
        <v>3.3809999999999998</v>
      </c>
      <c r="S971" s="53">
        <v>-1</v>
      </c>
      <c r="T971" s="53">
        <v>0</v>
      </c>
      <c r="U971" s="53">
        <v>0</v>
      </c>
      <c r="V971" s="53">
        <v>0</v>
      </c>
      <c r="W971" s="53">
        <v>0</v>
      </c>
      <c r="X971" s="27">
        <f t="shared" si="183"/>
        <v>0</v>
      </c>
    </row>
    <row r="972" spans="1:24" x14ac:dyDescent="0.2">
      <c r="A972" s="220">
        <v>43808</v>
      </c>
      <c r="B972" s="130" t="s">
        <v>114</v>
      </c>
      <c r="C972" s="130" t="s">
        <v>102</v>
      </c>
      <c r="D972" s="130" t="s">
        <v>689</v>
      </c>
      <c r="E972" s="130" t="s">
        <v>2385</v>
      </c>
      <c r="F972" s="130">
        <v>0</v>
      </c>
      <c r="G972" s="220">
        <v>43808</v>
      </c>
      <c r="H972" s="130" t="s">
        <v>90</v>
      </c>
      <c r="I972" s="130" t="s">
        <v>91</v>
      </c>
      <c r="J972" s="130" t="s">
        <v>97</v>
      </c>
      <c r="K972" s="130" t="s">
        <v>98</v>
      </c>
      <c r="L972" s="174" t="s">
        <v>72</v>
      </c>
      <c r="M972" s="131" t="s">
        <v>72</v>
      </c>
      <c r="N972" s="130" t="s">
        <v>73</v>
      </c>
      <c r="O972" s="219" t="s">
        <v>99</v>
      </c>
      <c r="P972" s="130" t="s">
        <v>98</v>
      </c>
      <c r="Q972" s="132" t="s">
        <v>93</v>
      </c>
      <c r="R972" s="221">
        <v>3.3809999999999998</v>
      </c>
      <c r="S972" s="53">
        <v>-1</v>
      </c>
      <c r="T972" s="53">
        <v>-118</v>
      </c>
      <c r="U972" s="53">
        <v>-118</v>
      </c>
      <c r="V972" s="53">
        <v>-21.240010000000019</v>
      </c>
      <c r="W972" s="53">
        <v>-139.24001000000001</v>
      </c>
      <c r="X972" s="27">
        <f t="shared" si="183"/>
        <v>-398.95799999999997</v>
      </c>
    </row>
    <row r="973" spans="1:24" x14ac:dyDescent="0.2">
      <c r="A973" s="220">
        <v>43808</v>
      </c>
      <c r="B973" s="130" t="s">
        <v>114</v>
      </c>
      <c r="C973" s="130" t="s">
        <v>102</v>
      </c>
      <c r="D973" s="130" t="s">
        <v>689</v>
      </c>
      <c r="E973" s="130" t="s">
        <v>2385</v>
      </c>
      <c r="F973" s="130">
        <v>0</v>
      </c>
      <c r="G973" s="220">
        <v>43808</v>
      </c>
      <c r="H973" s="130" t="s">
        <v>90</v>
      </c>
      <c r="I973" s="130" t="s">
        <v>91</v>
      </c>
      <c r="J973" s="130" t="s">
        <v>100</v>
      </c>
      <c r="K973" s="130" t="s">
        <v>101</v>
      </c>
      <c r="L973" s="174" t="s">
        <v>72</v>
      </c>
      <c r="M973" s="131" t="s">
        <v>72</v>
      </c>
      <c r="N973" s="130" t="s">
        <v>73</v>
      </c>
      <c r="O973" s="219" t="s">
        <v>72</v>
      </c>
      <c r="P973" s="130" t="s">
        <v>101</v>
      </c>
      <c r="Q973" s="132" t="s">
        <v>93</v>
      </c>
      <c r="R973" s="221">
        <v>3.3809999999999998</v>
      </c>
      <c r="S973" s="53">
        <v>-1</v>
      </c>
      <c r="T973" s="53">
        <v>-75</v>
      </c>
      <c r="U973" s="53">
        <v>-75</v>
      </c>
      <c r="V973" s="53">
        <v>-13.5</v>
      </c>
      <c r="W973" s="53">
        <v>-88.5</v>
      </c>
      <c r="X973" s="27">
        <f t="shared" si="183"/>
        <v>-253.57499999999999</v>
      </c>
    </row>
    <row r="974" spans="1:24" x14ac:dyDescent="0.2">
      <c r="A974" s="220">
        <v>43808</v>
      </c>
      <c r="B974" s="130" t="s">
        <v>114</v>
      </c>
      <c r="C974" s="130" t="s">
        <v>102</v>
      </c>
      <c r="D974" s="130" t="s">
        <v>689</v>
      </c>
      <c r="E974" s="130" t="s">
        <v>2385</v>
      </c>
      <c r="F974" s="130">
        <v>0</v>
      </c>
      <c r="G974" s="220">
        <v>43808</v>
      </c>
      <c r="H974" s="130" t="s">
        <v>90</v>
      </c>
      <c r="I974" s="130" t="s">
        <v>91</v>
      </c>
      <c r="J974" s="130" t="s">
        <v>95</v>
      </c>
      <c r="K974" s="130" t="s">
        <v>96</v>
      </c>
      <c r="L974" s="174" t="s">
        <v>72</v>
      </c>
      <c r="M974" s="131" t="s">
        <v>72</v>
      </c>
      <c r="N974" s="130" t="s">
        <v>73</v>
      </c>
      <c r="O974" s="219" t="s">
        <v>69</v>
      </c>
      <c r="P974" s="130" t="s">
        <v>1699</v>
      </c>
      <c r="Q974" s="132" t="s">
        <v>93</v>
      </c>
      <c r="R974" s="221">
        <v>3.3809999999999998</v>
      </c>
      <c r="S974" s="53">
        <v>-1</v>
      </c>
      <c r="T974" s="53">
        <v>-100</v>
      </c>
      <c r="U974" s="53">
        <v>-100</v>
      </c>
      <c r="V974" s="53">
        <v>-18</v>
      </c>
      <c r="W974" s="53">
        <v>-118</v>
      </c>
      <c r="X974" s="27">
        <f t="shared" si="183"/>
        <v>-338.09999999999997</v>
      </c>
    </row>
    <row r="975" spans="1:24" x14ac:dyDescent="0.2">
      <c r="A975" s="220">
        <v>43808</v>
      </c>
      <c r="B975" s="130" t="s">
        <v>114</v>
      </c>
      <c r="C975" s="130" t="s">
        <v>102</v>
      </c>
      <c r="D975" s="130" t="s">
        <v>689</v>
      </c>
      <c r="E975" s="130" t="s">
        <v>2385</v>
      </c>
      <c r="F975" s="130">
        <v>0</v>
      </c>
      <c r="G975" s="220">
        <v>43808</v>
      </c>
      <c r="H975" s="130" t="s">
        <v>90</v>
      </c>
      <c r="I975" s="130" t="s">
        <v>91</v>
      </c>
      <c r="J975" s="130" t="s">
        <v>95</v>
      </c>
      <c r="K975" s="130" t="s">
        <v>96</v>
      </c>
      <c r="L975" s="174" t="s">
        <v>72</v>
      </c>
      <c r="M975" s="131" t="s">
        <v>72</v>
      </c>
      <c r="N975" s="130" t="s">
        <v>73</v>
      </c>
      <c r="O975" s="219" t="s">
        <v>69</v>
      </c>
      <c r="P975" s="130" t="s">
        <v>1699</v>
      </c>
      <c r="Q975" s="132" t="s">
        <v>93</v>
      </c>
      <c r="R975" s="221">
        <v>3.3809999999999998</v>
      </c>
      <c r="S975" s="53">
        <v>1</v>
      </c>
      <c r="T975" s="53">
        <v>-100</v>
      </c>
      <c r="U975" s="53">
        <v>100</v>
      </c>
      <c r="V975" s="53">
        <v>18</v>
      </c>
      <c r="W975" s="53">
        <v>118</v>
      </c>
      <c r="X975" s="27">
        <f t="shared" si="183"/>
        <v>338.09999999999997</v>
      </c>
    </row>
    <row r="976" spans="1:24" x14ac:dyDescent="0.2">
      <c r="A976" s="220">
        <v>43808</v>
      </c>
      <c r="B976" s="130" t="s">
        <v>114</v>
      </c>
      <c r="C976" s="130" t="s">
        <v>102</v>
      </c>
      <c r="D976" s="130" t="s">
        <v>689</v>
      </c>
      <c r="E976" s="130" t="s">
        <v>2385</v>
      </c>
      <c r="F976" s="130">
        <v>0</v>
      </c>
      <c r="G976" s="220">
        <v>43808</v>
      </c>
      <c r="H976" s="130" t="s">
        <v>90</v>
      </c>
      <c r="I976" s="130" t="s">
        <v>91</v>
      </c>
      <c r="J976" s="130" t="s">
        <v>104</v>
      </c>
      <c r="K976" s="130" t="s">
        <v>105</v>
      </c>
      <c r="L976" s="174" t="s">
        <v>72</v>
      </c>
      <c r="M976" s="131" t="s">
        <v>72</v>
      </c>
      <c r="N976" s="130" t="s">
        <v>73</v>
      </c>
      <c r="O976" s="219" t="s">
        <v>69</v>
      </c>
      <c r="P976" s="130" t="s">
        <v>1699</v>
      </c>
      <c r="Q976" s="132" t="s">
        <v>93</v>
      </c>
      <c r="R976" s="221">
        <v>3.3809999999999998</v>
      </c>
      <c r="S976" s="53">
        <v>-1</v>
      </c>
      <c r="T976" s="53">
        <v>0</v>
      </c>
      <c r="U976" s="53">
        <v>0</v>
      </c>
      <c r="V976" s="53">
        <v>0</v>
      </c>
      <c r="W976" s="53">
        <v>0</v>
      </c>
      <c r="X976" s="27">
        <f t="shared" si="183"/>
        <v>0</v>
      </c>
    </row>
    <row r="977" spans="1:37" x14ac:dyDescent="0.2">
      <c r="A977" s="220">
        <v>43811</v>
      </c>
      <c r="B977" s="130" t="s">
        <v>114</v>
      </c>
      <c r="C977" s="130" t="s">
        <v>102</v>
      </c>
      <c r="D977" s="130" t="s">
        <v>688</v>
      </c>
      <c r="E977" s="130" t="s">
        <v>2386</v>
      </c>
      <c r="F977" s="130">
        <v>0</v>
      </c>
      <c r="G977" s="220">
        <v>43811</v>
      </c>
      <c r="H977" s="130" t="s">
        <v>90</v>
      </c>
      <c r="I977" s="130" t="s">
        <v>91</v>
      </c>
      <c r="J977" s="130" t="s">
        <v>115</v>
      </c>
      <c r="K977" s="130" t="s">
        <v>138</v>
      </c>
      <c r="L977" s="174" t="s">
        <v>72</v>
      </c>
      <c r="M977" s="131" t="s">
        <v>72</v>
      </c>
      <c r="N977" s="130" t="s">
        <v>73</v>
      </c>
      <c r="O977" s="219" t="s">
        <v>69</v>
      </c>
      <c r="P977" s="130" t="s">
        <v>1699</v>
      </c>
      <c r="Q977" s="132" t="s">
        <v>93</v>
      </c>
      <c r="R977" s="221">
        <v>3.3800001000000002</v>
      </c>
      <c r="S977" s="53">
        <v>-1</v>
      </c>
      <c r="T977" s="53">
        <v>-30</v>
      </c>
      <c r="U977" s="53">
        <v>-30</v>
      </c>
      <c r="V977" s="53">
        <v>-5.4000019999999997</v>
      </c>
      <c r="W977" s="53">
        <v>-35.400002000000001</v>
      </c>
      <c r="X977" s="27">
        <f t="shared" si="183"/>
        <v>-101.400003</v>
      </c>
    </row>
    <row r="978" spans="1:37" x14ac:dyDescent="0.2">
      <c r="A978" s="220">
        <v>43832</v>
      </c>
      <c r="B978" s="130" t="s">
        <v>68</v>
      </c>
      <c r="C978" s="130" t="s">
        <v>102</v>
      </c>
      <c r="D978" s="130" t="s">
        <v>2844</v>
      </c>
      <c r="E978" s="130" t="s">
        <v>1976</v>
      </c>
      <c r="F978" s="130" t="s">
        <v>2340</v>
      </c>
      <c r="G978" s="220">
        <v>43818</v>
      </c>
      <c r="H978" s="130" t="s">
        <v>90</v>
      </c>
      <c r="I978" s="130" t="s">
        <v>91</v>
      </c>
      <c r="J978" s="130" t="s">
        <v>97</v>
      </c>
      <c r="K978" s="130" t="s">
        <v>98</v>
      </c>
      <c r="L978" s="174" t="s">
        <v>71</v>
      </c>
      <c r="M978" s="131" t="s">
        <v>72</v>
      </c>
      <c r="N978" s="130" t="s">
        <v>73</v>
      </c>
      <c r="O978" s="219" t="s">
        <v>99</v>
      </c>
      <c r="P978" s="130" t="s">
        <v>98</v>
      </c>
      <c r="Q978" s="132" t="s">
        <v>93</v>
      </c>
      <c r="R978" s="218">
        <v>3.3169999000000003</v>
      </c>
      <c r="S978" s="129">
        <v>1</v>
      </c>
      <c r="T978" s="129">
        <v>236</v>
      </c>
      <c r="U978" s="129">
        <v>236</v>
      </c>
      <c r="V978" s="129">
        <v>42.48001</v>
      </c>
      <c r="W978" s="129">
        <v>278.48000999999999</v>
      </c>
      <c r="X978" s="27">
        <f t="shared" si="183"/>
        <v>782.81197640000005</v>
      </c>
      <c r="AA978" s="98"/>
      <c r="AB978" s="98"/>
      <c r="AC978" s="98"/>
      <c r="AD978" s="98"/>
      <c r="AE978" s="98"/>
      <c r="AF978" s="98"/>
      <c r="AG978" s="98"/>
      <c r="AH978" s="98"/>
      <c r="AI978" s="98"/>
      <c r="AJ978" s="98"/>
      <c r="AK978" s="211"/>
    </row>
    <row r="979" spans="1:37" x14ac:dyDescent="0.2">
      <c r="A979" s="220">
        <v>43832</v>
      </c>
      <c r="B979" s="130" t="s">
        <v>68</v>
      </c>
      <c r="C979" s="130" t="s">
        <v>102</v>
      </c>
      <c r="D979" s="130" t="s">
        <v>2844</v>
      </c>
      <c r="E979" s="130" t="s">
        <v>1976</v>
      </c>
      <c r="F979" s="130" t="s">
        <v>2340</v>
      </c>
      <c r="G979" s="220">
        <v>43818</v>
      </c>
      <c r="H979" s="130" t="s">
        <v>90</v>
      </c>
      <c r="I979" s="130" t="s">
        <v>91</v>
      </c>
      <c r="J979" s="130" t="s">
        <v>100</v>
      </c>
      <c r="K979" s="130" t="s">
        <v>101</v>
      </c>
      <c r="L979" s="174" t="s">
        <v>71</v>
      </c>
      <c r="M979" s="131" t="s">
        <v>72</v>
      </c>
      <c r="N979" s="130" t="s">
        <v>73</v>
      </c>
      <c r="O979" s="219" t="s">
        <v>72</v>
      </c>
      <c r="P979" s="130" t="s">
        <v>101</v>
      </c>
      <c r="Q979" s="132" t="s">
        <v>93</v>
      </c>
      <c r="R979" s="218">
        <v>3.3169999000000003</v>
      </c>
      <c r="S979" s="129">
        <v>1</v>
      </c>
      <c r="T979" s="129">
        <v>183.75419999999997</v>
      </c>
      <c r="U979" s="129">
        <v>183.75419999999997</v>
      </c>
      <c r="V979" s="129">
        <v>33.075800000000015</v>
      </c>
      <c r="W979" s="129">
        <v>216.83</v>
      </c>
      <c r="X979" s="27">
        <f t="shared" si="183"/>
        <v>609.51266302457998</v>
      </c>
    </row>
    <row r="980" spans="1:37" x14ac:dyDescent="0.2">
      <c r="A980" s="220">
        <v>43832</v>
      </c>
      <c r="B980" s="130" t="s">
        <v>68</v>
      </c>
      <c r="C980" s="130" t="s">
        <v>102</v>
      </c>
      <c r="D980" s="130" t="s">
        <v>2844</v>
      </c>
      <c r="E980" s="130" t="s">
        <v>1976</v>
      </c>
      <c r="F980" s="130" t="s">
        <v>2340</v>
      </c>
      <c r="G980" s="220">
        <v>43818</v>
      </c>
      <c r="H980" s="130" t="s">
        <v>90</v>
      </c>
      <c r="I980" s="130" t="s">
        <v>91</v>
      </c>
      <c r="J980" s="130" t="s">
        <v>95</v>
      </c>
      <c r="K980" s="130" t="s">
        <v>96</v>
      </c>
      <c r="L980" s="174" t="s">
        <v>71</v>
      </c>
      <c r="M980" s="131" t="s">
        <v>72</v>
      </c>
      <c r="N980" s="130" t="s">
        <v>73</v>
      </c>
      <c r="O980" s="219" t="s">
        <v>69</v>
      </c>
      <c r="P980" s="130" t="s">
        <v>1699</v>
      </c>
      <c r="Q980" s="132" t="s">
        <v>93</v>
      </c>
      <c r="R980" s="218">
        <v>3.3169999000000003</v>
      </c>
      <c r="S980" s="129">
        <v>-1</v>
      </c>
      <c r="T980" s="129">
        <v>130.18639999999999</v>
      </c>
      <c r="U980" s="129">
        <v>-130.18639999999999</v>
      </c>
      <c r="V980" s="129">
        <v>-23.433600000000006</v>
      </c>
      <c r="W980" s="129">
        <v>-153.62</v>
      </c>
      <c r="X980" s="27">
        <f t="shared" si="183"/>
        <v>-431.82827578135999</v>
      </c>
    </row>
    <row r="981" spans="1:37" x14ac:dyDescent="0.2">
      <c r="A981" s="220">
        <v>43832</v>
      </c>
      <c r="B981" s="130" t="s">
        <v>68</v>
      </c>
      <c r="C981" s="130" t="s">
        <v>102</v>
      </c>
      <c r="D981" s="130" t="s">
        <v>2844</v>
      </c>
      <c r="E981" s="130" t="s">
        <v>1976</v>
      </c>
      <c r="F981" s="130" t="s">
        <v>2340</v>
      </c>
      <c r="G981" s="220">
        <v>43818</v>
      </c>
      <c r="H981" s="130" t="s">
        <v>90</v>
      </c>
      <c r="I981" s="130" t="s">
        <v>91</v>
      </c>
      <c r="J981" s="130" t="s">
        <v>104</v>
      </c>
      <c r="K981" s="130" t="s">
        <v>105</v>
      </c>
      <c r="L981" s="174" t="s">
        <v>71</v>
      </c>
      <c r="M981" s="131" t="s">
        <v>72</v>
      </c>
      <c r="N981" s="130" t="s">
        <v>73</v>
      </c>
      <c r="O981" s="219" t="s">
        <v>69</v>
      </c>
      <c r="P981" s="130" t="s">
        <v>1699</v>
      </c>
      <c r="Q981" s="132" t="s">
        <v>93</v>
      </c>
      <c r="R981" s="218">
        <v>3.3169999000000003</v>
      </c>
      <c r="S981" s="129">
        <v>1</v>
      </c>
      <c r="T981" s="129">
        <v>0</v>
      </c>
      <c r="U981" s="129">
        <v>0</v>
      </c>
      <c r="V981" s="129">
        <v>0</v>
      </c>
      <c r="W981" s="129">
        <v>0</v>
      </c>
      <c r="X981" s="27">
        <f t="shared" si="183"/>
        <v>0</v>
      </c>
    </row>
    <row r="982" spans="1:37" x14ac:dyDescent="0.2">
      <c r="A982" s="220">
        <v>43832</v>
      </c>
      <c r="B982" s="130" t="s">
        <v>68</v>
      </c>
      <c r="C982" s="130" t="s">
        <v>102</v>
      </c>
      <c r="D982" s="130" t="s">
        <v>2843</v>
      </c>
      <c r="E982" s="130" t="s">
        <v>1985</v>
      </c>
      <c r="F982" s="130" t="s">
        <v>2378</v>
      </c>
      <c r="G982" s="220">
        <v>43822</v>
      </c>
      <c r="H982" s="130" t="s">
        <v>90</v>
      </c>
      <c r="I982" s="130" t="s">
        <v>91</v>
      </c>
      <c r="J982" s="130" t="s">
        <v>97</v>
      </c>
      <c r="K982" s="130" t="s">
        <v>98</v>
      </c>
      <c r="L982" s="174" t="s">
        <v>71</v>
      </c>
      <c r="M982" s="131" t="s">
        <v>72</v>
      </c>
      <c r="N982" s="130" t="s">
        <v>73</v>
      </c>
      <c r="O982" s="219" t="s">
        <v>99</v>
      </c>
      <c r="P982" s="130" t="s">
        <v>98</v>
      </c>
      <c r="Q982" s="132" t="s">
        <v>93</v>
      </c>
      <c r="R982" s="218">
        <v>3.3169999000000003</v>
      </c>
      <c r="S982" s="129">
        <v>1</v>
      </c>
      <c r="T982" s="129">
        <v>147.5</v>
      </c>
      <c r="U982" s="129">
        <v>147.5</v>
      </c>
      <c r="V982" s="129">
        <v>26.55</v>
      </c>
      <c r="W982" s="129">
        <v>174.05</v>
      </c>
      <c r="X982" s="27">
        <f t="shared" si="183"/>
        <v>489.25748525000006</v>
      </c>
    </row>
    <row r="983" spans="1:37" x14ac:dyDescent="0.2">
      <c r="A983" s="220">
        <v>43832</v>
      </c>
      <c r="B983" s="130" t="s">
        <v>68</v>
      </c>
      <c r="C983" s="130" t="s">
        <v>102</v>
      </c>
      <c r="D983" s="130" t="s">
        <v>2843</v>
      </c>
      <c r="E983" s="130" t="s">
        <v>1985</v>
      </c>
      <c r="F983" s="130" t="s">
        <v>2378</v>
      </c>
      <c r="G983" s="220">
        <v>43822</v>
      </c>
      <c r="H983" s="130" t="s">
        <v>90</v>
      </c>
      <c r="I983" s="130" t="s">
        <v>91</v>
      </c>
      <c r="J983" s="130" t="s">
        <v>100</v>
      </c>
      <c r="K983" s="130" t="s">
        <v>101</v>
      </c>
      <c r="L983" s="174" t="s">
        <v>71</v>
      </c>
      <c r="M983" s="131" t="s">
        <v>72</v>
      </c>
      <c r="N983" s="130" t="s">
        <v>73</v>
      </c>
      <c r="O983" s="219" t="s">
        <v>72</v>
      </c>
      <c r="P983" s="130" t="s">
        <v>101</v>
      </c>
      <c r="Q983" s="132" t="s">
        <v>93</v>
      </c>
      <c r="R983" s="218">
        <v>3.3169999000000003</v>
      </c>
      <c r="S983" s="129">
        <v>1</v>
      </c>
      <c r="T983" s="129">
        <v>127.5</v>
      </c>
      <c r="U983" s="129">
        <v>127.5</v>
      </c>
      <c r="V983" s="129">
        <v>22.949999999999982</v>
      </c>
      <c r="W983" s="129">
        <v>150.44999999999999</v>
      </c>
      <c r="X983" s="27">
        <f t="shared" si="183"/>
        <v>422.91748725000002</v>
      </c>
    </row>
    <row r="984" spans="1:37" x14ac:dyDescent="0.2">
      <c r="A984" s="220">
        <v>43832</v>
      </c>
      <c r="B984" s="130" t="s">
        <v>68</v>
      </c>
      <c r="C984" s="130" t="s">
        <v>102</v>
      </c>
      <c r="D984" s="130" t="s">
        <v>2843</v>
      </c>
      <c r="E984" s="130" t="s">
        <v>1985</v>
      </c>
      <c r="F984" s="130" t="s">
        <v>2378</v>
      </c>
      <c r="G984" s="220">
        <v>43822</v>
      </c>
      <c r="H984" s="130" t="s">
        <v>90</v>
      </c>
      <c r="I984" s="130" t="s">
        <v>91</v>
      </c>
      <c r="J984" s="130" t="s">
        <v>104</v>
      </c>
      <c r="K984" s="130" t="s">
        <v>105</v>
      </c>
      <c r="L984" s="174" t="s">
        <v>71</v>
      </c>
      <c r="M984" s="131" t="s">
        <v>72</v>
      </c>
      <c r="N984" s="130" t="s">
        <v>73</v>
      </c>
      <c r="O984" s="219" t="s">
        <v>69</v>
      </c>
      <c r="P984" s="130" t="s">
        <v>1699</v>
      </c>
      <c r="Q984" s="132" t="s">
        <v>93</v>
      </c>
      <c r="R984" s="218">
        <v>3.3169999000000003</v>
      </c>
      <c r="S984" s="129">
        <v>1</v>
      </c>
      <c r="T984" s="129">
        <v>0</v>
      </c>
      <c r="U984" s="129">
        <v>0</v>
      </c>
      <c r="V984" s="129">
        <v>0</v>
      </c>
      <c r="W984" s="129">
        <v>0</v>
      </c>
      <c r="X984" s="27">
        <f t="shared" si="183"/>
        <v>0</v>
      </c>
    </row>
    <row r="985" spans="1:37" x14ac:dyDescent="0.2">
      <c r="A985" s="220">
        <v>43832</v>
      </c>
      <c r="B985" s="130" t="s">
        <v>68</v>
      </c>
      <c r="C985" s="130" t="s">
        <v>102</v>
      </c>
      <c r="D985" s="130" t="s">
        <v>2094</v>
      </c>
      <c r="E985" s="130" t="s">
        <v>1979</v>
      </c>
      <c r="F985" s="130" t="s">
        <v>2373</v>
      </c>
      <c r="G985" s="220">
        <v>43819</v>
      </c>
      <c r="H985" s="130" t="s">
        <v>90</v>
      </c>
      <c r="I985" s="130" t="s">
        <v>91</v>
      </c>
      <c r="J985" s="130" t="s">
        <v>97</v>
      </c>
      <c r="K985" s="130" t="s">
        <v>98</v>
      </c>
      <c r="L985" s="174" t="s">
        <v>71</v>
      </c>
      <c r="M985" s="131" t="s">
        <v>72</v>
      </c>
      <c r="N985" s="130" t="s">
        <v>73</v>
      </c>
      <c r="O985" s="219" t="s">
        <v>99</v>
      </c>
      <c r="P985" s="130" t="s">
        <v>98</v>
      </c>
      <c r="Q985" s="132" t="s">
        <v>93</v>
      </c>
      <c r="R985" s="218">
        <v>3.3169999000000003</v>
      </c>
      <c r="S985" s="129">
        <v>1</v>
      </c>
      <c r="T985" s="129">
        <v>118</v>
      </c>
      <c r="U985" s="129">
        <v>118</v>
      </c>
      <c r="V985" s="129">
        <v>21.240010000000019</v>
      </c>
      <c r="W985" s="129">
        <v>139.24001000000001</v>
      </c>
      <c r="X985" s="27">
        <f t="shared" si="183"/>
        <v>391.40598820000002</v>
      </c>
    </row>
    <row r="986" spans="1:37" x14ac:dyDescent="0.2">
      <c r="A986" s="220">
        <v>43832</v>
      </c>
      <c r="B986" s="130" t="s">
        <v>68</v>
      </c>
      <c r="C986" s="130" t="s">
        <v>102</v>
      </c>
      <c r="D986" s="130" t="s">
        <v>2094</v>
      </c>
      <c r="E986" s="130" t="s">
        <v>1979</v>
      </c>
      <c r="F986" s="130" t="s">
        <v>2373</v>
      </c>
      <c r="G986" s="220">
        <v>43819</v>
      </c>
      <c r="H986" s="130" t="s">
        <v>90</v>
      </c>
      <c r="I986" s="130" t="s">
        <v>91</v>
      </c>
      <c r="J986" s="130" t="s">
        <v>100</v>
      </c>
      <c r="K986" s="130" t="s">
        <v>101</v>
      </c>
      <c r="L986" s="174" t="s">
        <v>71</v>
      </c>
      <c r="M986" s="131" t="s">
        <v>72</v>
      </c>
      <c r="N986" s="130" t="s">
        <v>73</v>
      </c>
      <c r="O986" s="219" t="s">
        <v>72</v>
      </c>
      <c r="P986" s="130" t="s">
        <v>101</v>
      </c>
      <c r="Q986" s="132" t="s">
        <v>93</v>
      </c>
      <c r="R986" s="218">
        <v>3.3169999000000003</v>
      </c>
      <c r="S986" s="129">
        <v>1</v>
      </c>
      <c r="T986" s="129">
        <v>67.5</v>
      </c>
      <c r="U986" s="129">
        <v>67.5</v>
      </c>
      <c r="V986" s="129">
        <v>12.150002000000013</v>
      </c>
      <c r="W986" s="129">
        <v>79.650002000000015</v>
      </c>
      <c r="X986" s="27">
        <f t="shared" si="183"/>
        <v>223.89749325000003</v>
      </c>
    </row>
    <row r="987" spans="1:37" x14ac:dyDescent="0.2">
      <c r="A987" s="220">
        <v>43832</v>
      </c>
      <c r="B987" s="130" t="s">
        <v>68</v>
      </c>
      <c r="C987" s="130" t="s">
        <v>102</v>
      </c>
      <c r="D987" s="130" t="s">
        <v>2094</v>
      </c>
      <c r="E987" s="130" t="s">
        <v>1979</v>
      </c>
      <c r="F987" s="130" t="s">
        <v>2373</v>
      </c>
      <c r="G987" s="220">
        <v>43819</v>
      </c>
      <c r="H987" s="130" t="s">
        <v>90</v>
      </c>
      <c r="I987" s="130" t="s">
        <v>91</v>
      </c>
      <c r="J987" s="130" t="s">
        <v>92</v>
      </c>
      <c r="K987" s="130" t="s">
        <v>113</v>
      </c>
      <c r="L987" s="174" t="s">
        <v>71</v>
      </c>
      <c r="M987" s="131" t="s">
        <v>72</v>
      </c>
      <c r="N987" s="130" t="s">
        <v>73</v>
      </c>
      <c r="O987" s="219" t="s">
        <v>69</v>
      </c>
      <c r="P987" s="130" t="s">
        <v>1699</v>
      </c>
      <c r="Q987" s="132" t="s">
        <v>93</v>
      </c>
      <c r="R987" s="218">
        <v>3.3169999000000003</v>
      </c>
      <c r="S987" s="129">
        <v>1</v>
      </c>
      <c r="T987" s="129">
        <v>30</v>
      </c>
      <c r="U987" s="129">
        <v>30</v>
      </c>
      <c r="V987" s="129">
        <v>5.4000019999999997</v>
      </c>
      <c r="W987" s="129">
        <v>35.400002000000001</v>
      </c>
      <c r="X987" s="27">
        <f t="shared" si="183"/>
        <v>99.509997000000013</v>
      </c>
    </row>
    <row r="988" spans="1:37" x14ac:dyDescent="0.2">
      <c r="A988" s="220">
        <v>43832</v>
      </c>
      <c r="B988" s="130" t="s">
        <v>68</v>
      </c>
      <c r="C988" s="130" t="s">
        <v>102</v>
      </c>
      <c r="D988" s="130" t="s">
        <v>2094</v>
      </c>
      <c r="E988" s="130" t="s">
        <v>1979</v>
      </c>
      <c r="F988" s="130" t="s">
        <v>2373</v>
      </c>
      <c r="G988" s="220">
        <v>43819</v>
      </c>
      <c r="H988" s="130" t="s">
        <v>90</v>
      </c>
      <c r="I988" s="130" t="s">
        <v>91</v>
      </c>
      <c r="J988" s="130" t="s">
        <v>95</v>
      </c>
      <c r="K988" s="130" t="s">
        <v>96</v>
      </c>
      <c r="L988" s="174" t="s">
        <v>71</v>
      </c>
      <c r="M988" s="131" t="s">
        <v>72</v>
      </c>
      <c r="N988" s="130" t="s">
        <v>73</v>
      </c>
      <c r="O988" s="219" t="s">
        <v>69</v>
      </c>
      <c r="P988" s="130" t="s">
        <v>1699</v>
      </c>
      <c r="Q988" s="132" t="s">
        <v>93</v>
      </c>
      <c r="R988" s="218">
        <v>3.3169999000000003</v>
      </c>
      <c r="S988" s="129">
        <v>-1</v>
      </c>
      <c r="T988" s="129">
        <v>100</v>
      </c>
      <c r="U988" s="129">
        <v>-100</v>
      </c>
      <c r="V988" s="129">
        <v>-18</v>
      </c>
      <c r="W988" s="129">
        <v>-118</v>
      </c>
      <c r="X988" s="27">
        <f t="shared" si="183"/>
        <v>-331.69999000000001</v>
      </c>
    </row>
    <row r="989" spans="1:37" x14ac:dyDescent="0.2">
      <c r="A989" s="220">
        <v>43832</v>
      </c>
      <c r="B989" s="130" t="s">
        <v>68</v>
      </c>
      <c r="C989" s="130" t="s">
        <v>102</v>
      </c>
      <c r="D989" s="130" t="s">
        <v>2094</v>
      </c>
      <c r="E989" s="130" t="s">
        <v>1979</v>
      </c>
      <c r="F989" s="130" t="s">
        <v>2373</v>
      </c>
      <c r="G989" s="220">
        <v>43819</v>
      </c>
      <c r="H989" s="130" t="s">
        <v>90</v>
      </c>
      <c r="I989" s="130" t="s">
        <v>91</v>
      </c>
      <c r="J989" s="130" t="s">
        <v>104</v>
      </c>
      <c r="K989" s="130" t="s">
        <v>105</v>
      </c>
      <c r="L989" s="174" t="s">
        <v>71</v>
      </c>
      <c r="M989" s="131" t="s">
        <v>72</v>
      </c>
      <c r="N989" s="130" t="s">
        <v>73</v>
      </c>
      <c r="O989" s="219" t="s">
        <v>69</v>
      </c>
      <c r="P989" s="130" t="s">
        <v>1699</v>
      </c>
      <c r="Q989" s="132" t="s">
        <v>93</v>
      </c>
      <c r="R989" s="218">
        <v>3.3169999000000003</v>
      </c>
      <c r="S989" s="129">
        <v>1</v>
      </c>
      <c r="T989" s="129">
        <v>0</v>
      </c>
      <c r="U989" s="129">
        <v>0</v>
      </c>
      <c r="V989" s="129">
        <v>0</v>
      </c>
      <c r="W989" s="129">
        <v>0</v>
      </c>
      <c r="X989" s="27">
        <f t="shared" si="183"/>
        <v>0</v>
      </c>
    </row>
    <row r="990" spans="1:37" x14ac:dyDescent="0.2">
      <c r="A990" s="220">
        <v>43832</v>
      </c>
      <c r="B990" s="130" t="s">
        <v>68</v>
      </c>
      <c r="C990" s="130" t="s">
        <v>102</v>
      </c>
      <c r="D990" s="130" t="s">
        <v>2842</v>
      </c>
      <c r="E990" s="130" t="s">
        <v>1969</v>
      </c>
      <c r="F990" s="130" t="s">
        <v>2841</v>
      </c>
      <c r="G990" s="220">
        <v>43817</v>
      </c>
      <c r="H990" s="130" t="s">
        <v>90</v>
      </c>
      <c r="I990" s="130" t="s">
        <v>91</v>
      </c>
      <c r="J990" s="130" t="s">
        <v>97</v>
      </c>
      <c r="K990" s="130" t="s">
        <v>98</v>
      </c>
      <c r="L990" s="174" t="s">
        <v>71</v>
      </c>
      <c r="M990" s="131" t="s">
        <v>72</v>
      </c>
      <c r="N990" s="130" t="s">
        <v>73</v>
      </c>
      <c r="O990" s="219" t="s">
        <v>99</v>
      </c>
      <c r="P990" s="130" t="s">
        <v>98</v>
      </c>
      <c r="Q990" s="132" t="s">
        <v>93</v>
      </c>
      <c r="R990" s="218">
        <v>3.3169999000000003</v>
      </c>
      <c r="S990" s="129">
        <v>1</v>
      </c>
      <c r="T990" s="129">
        <v>147.5</v>
      </c>
      <c r="U990" s="129">
        <v>147.5</v>
      </c>
      <c r="V990" s="129">
        <v>26.55</v>
      </c>
      <c r="W990" s="129">
        <v>174.05</v>
      </c>
      <c r="X990" s="27">
        <f t="shared" si="183"/>
        <v>489.25748525000006</v>
      </c>
    </row>
    <row r="991" spans="1:37" x14ac:dyDescent="0.2">
      <c r="A991" s="220">
        <v>43832</v>
      </c>
      <c r="B991" s="130" t="s">
        <v>68</v>
      </c>
      <c r="C991" s="130" t="s">
        <v>102</v>
      </c>
      <c r="D991" s="130" t="s">
        <v>2842</v>
      </c>
      <c r="E991" s="130" t="s">
        <v>1969</v>
      </c>
      <c r="F991" s="130" t="s">
        <v>2841</v>
      </c>
      <c r="G991" s="220">
        <v>43817</v>
      </c>
      <c r="H991" s="130" t="s">
        <v>90</v>
      </c>
      <c r="I991" s="130" t="s">
        <v>91</v>
      </c>
      <c r="J991" s="130" t="s">
        <v>100</v>
      </c>
      <c r="K991" s="130" t="s">
        <v>101</v>
      </c>
      <c r="L991" s="174" t="s">
        <v>71</v>
      </c>
      <c r="M991" s="131" t="s">
        <v>72</v>
      </c>
      <c r="N991" s="130" t="s">
        <v>73</v>
      </c>
      <c r="O991" s="219" t="s">
        <v>72</v>
      </c>
      <c r="P991" s="130" t="s">
        <v>101</v>
      </c>
      <c r="Q991" s="132" t="s">
        <v>93</v>
      </c>
      <c r="R991" s="218">
        <v>3.3169999000000003</v>
      </c>
      <c r="S991" s="129">
        <v>1</v>
      </c>
      <c r="T991" s="129">
        <v>157.5</v>
      </c>
      <c r="U991" s="129">
        <v>157.5</v>
      </c>
      <c r="V991" s="129">
        <v>28.350010000000001</v>
      </c>
      <c r="W991" s="129">
        <v>185.85001</v>
      </c>
      <c r="X991" s="27">
        <f t="shared" si="183"/>
        <v>522.42748425000002</v>
      </c>
    </row>
    <row r="992" spans="1:37" x14ac:dyDescent="0.2">
      <c r="A992" s="220">
        <v>43832</v>
      </c>
      <c r="B992" s="130" t="s">
        <v>68</v>
      </c>
      <c r="C992" s="130" t="s">
        <v>102</v>
      </c>
      <c r="D992" s="130" t="s">
        <v>2842</v>
      </c>
      <c r="E992" s="130" t="s">
        <v>1969</v>
      </c>
      <c r="F992" s="130" t="s">
        <v>2841</v>
      </c>
      <c r="G992" s="220">
        <v>43817</v>
      </c>
      <c r="H992" s="130" t="s">
        <v>90</v>
      </c>
      <c r="I992" s="130" t="s">
        <v>91</v>
      </c>
      <c r="J992" s="130" t="s">
        <v>92</v>
      </c>
      <c r="K992" s="130" t="s">
        <v>113</v>
      </c>
      <c r="L992" s="174" t="s">
        <v>71</v>
      </c>
      <c r="M992" s="131" t="s">
        <v>72</v>
      </c>
      <c r="N992" s="130" t="s">
        <v>73</v>
      </c>
      <c r="O992" s="219" t="s">
        <v>69</v>
      </c>
      <c r="P992" s="130" t="s">
        <v>1699</v>
      </c>
      <c r="Q992" s="132" t="s">
        <v>93</v>
      </c>
      <c r="R992" s="218">
        <v>3.3169999000000003</v>
      </c>
      <c r="S992" s="129">
        <v>1</v>
      </c>
      <c r="T992" s="129">
        <v>15</v>
      </c>
      <c r="U992" s="129">
        <v>15</v>
      </c>
      <c r="V992" s="129">
        <v>2.7000009999999999</v>
      </c>
      <c r="W992" s="129">
        <v>17.700001</v>
      </c>
      <c r="X992" s="27">
        <f t="shared" si="183"/>
        <v>49.754998500000006</v>
      </c>
    </row>
    <row r="993" spans="1:24" x14ac:dyDescent="0.2">
      <c r="A993" s="220">
        <v>43832</v>
      </c>
      <c r="B993" s="130" t="s">
        <v>68</v>
      </c>
      <c r="C993" s="130" t="s">
        <v>102</v>
      </c>
      <c r="D993" s="130" t="s">
        <v>2842</v>
      </c>
      <c r="E993" s="130" t="s">
        <v>1969</v>
      </c>
      <c r="F993" s="130" t="s">
        <v>2841</v>
      </c>
      <c r="G993" s="220">
        <v>43817</v>
      </c>
      <c r="H993" s="130" t="s">
        <v>90</v>
      </c>
      <c r="I993" s="130" t="s">
        <v>91</v>
      </c>
      <c r="J993" s="130" t="s">
        <v>132</v>
      </c>
      <c r="K993" s="130" t="s">
        <v>94</v>
      </c>
      <c r="L993" s="174" t="s">
        <v>71</v>
      </c>
      <c r="M993" s="131" t="s">
        <v>72</v>
      </c>
      <c r="N993" s="130" t="s">
        <v>73</v>
      </c>
      <c r="O993" s="219" t="s">
        <v>69</v>
      </c>
      <c r="P993" s="130" t="s">
        <v>1699</v>
      </c>
      <c r="Q993" s="132" t="s">
        <v>93</v>
      </c>
      <c r="R993" s="218">
        <v>3.3169999000000003</v>
      </c>
      <c r="S993" s="129">
        <v>1</v>
      </c>
      <c r="T993" s="129">
        <v>85</v>
      </c>
      <c r="U993" s="129">
        <v>85</v>
      </c>
      <c r="V993" s="129">
        <v>15.3</v>
      </c>
      <c r="W993" s="129">
        <v>100.3</v>
      </c>
      <c r="X993" s="27">
        <f t="shared" si="183"/>
        <v>281.94499150000001</v>
      </c>
    </row>
    <row r="994" spans="1:24" x14ac:dyDescent="0.2">
      <c r="A994" s="220">
        <v>43832</v>
      </c>
      <c r="B994" s="130" t="s">
        <v>68</v>
      </c>
      <c r="C994" s="130" t="s">
        <v>102</v>
      </c>
      <c r="D994" s="130" t="s">
        <v>2842</v>
      </c>
      <c r="E994" s="130" t="s">
        <v>1969</v>
      </c>
      <c r="F994" s="130" t="s">
        <v>2841</v>
      </c>
      <c r="G994" s="220">
        <v>43817</v>
      </c>
      <c r="H994" s="130" t="s">
        <v>90</v>
      </c>
      <c r="I994" s="130" t="s">
        <v>91</v>
      </c>
      <c r="J994" s="130" t="s">
        <v>104</v>
      </c>
      <c r="K994" s="130" t="s">
        <v>105</v>
      </c>
      <c r="L994" s="174" t="s">
        <v>71</v>
      </c>
      <c r="M994" s="131" t="s">
        <v>72</v>
      </c>
      <c r="N994" s="130" t="s">
        <v>73</v>
      </c>
      <c r="O994" s="219" t="s">
        <v>69</v>
      </c>
      <c r="P994" s="130" t="s">
        <v>1699</v>
      </c>
      <c r="Q994" s="132" t="s">
        <v>93</v>
      </c>
      <c r="R994" s="218">
        <v>3.3169999000000003</v>
      </c>
      <c r="S994" s="129">
        <v>1</v>
      </c>
      <c r="T994" s="129">
        <v>0</v>
      </c>
      <c r="U994" s="129">
        <v>0</v>
      </c>
      <c r="V994" s="129">
        <v>0</v>
      </c>
      <c r="W994" s="129">
        <v>0</v>
      </c>
      <c r="X994" s="27">
        <f t="shared" si="183"/>
        <v>0</v>
      </c>
    </row>
    <row r="995" spans="1:24" x14ac:dyDescent="0.2">
      <c r="A995" s="220">
        <v>43832</v>
      </c>
      <c r="B995" s="130" t="s">
        <v>68</v>
      </c>
      <c r="C995" s="130" t="s">
        <v>102</v>
      </c>
      <c r="D995" s="130" t="s">
        <v>2840</v>
      </c>
      <c r="E995" s="130" t="s">
        <v>1955</v>
      </c>
      <c r="F995" s="130" t="s">
        <v>2839</v>
      </c>
      <c r="G995" s="220">
        <v>43811</v>
      </c>
      <c r="H995" s="130" t="s">
        <v>90</v>
      </c>
      <c r="I995" s="130" t="s">
        <v>91</v>
      </c>
      <c r="J995" s="130" t="s">
        <v>97</v>
      </c>
      <c r="K995" s="130" t="s">
        <v>98</v>
      </c>
      <c r="L995" s="174" t="s">
        <v>71</v>
      </c>
      <c r="M995" s="131" t="s">
        <v>72</v>
      </c>
      <c r="N995" s="130" t="s">
        <v>73</v>
      </c>
      <c r="O995" s="219" t="s">
        <v>99</v>
      </c>
      <c r="P995" s="130" t="s">
        <v>98</v>
      </c>
      <c r="Q995" s="132" t="s">
        <v>93</v>
      </c>
      <c r="R995" s="218">
        <v>3.3169999000000003</v>
      </c>
      <c r="S995" s="129">
        <v>1</v>
      </c>
      <c r="T995" s="129">
        <v>118</v>
      </c>
      <c r="U995" s="129">
        <v>118</v>
      </c>
      <c r="V995" s="129">
        <v>21.240010000000019</v>
      </c>
      <c r="W995" s="129">
        <v>139.24001000000001</v>
      </c>
      <c r="X995" s="27">
        <f t="shared" si="183"/>
        <v>391.40598820000002</v>
      </c>
    </row>
    <row r="996" spans="1:24" x14ac:dyDescent="0.2">
      <c r="A996" s="220">
        <v>43832</v>
      </c>
      <c r="B996" s="130" t="s">
        <v>68</v>
      </c>
      <c r="C996" s="130" t="s">
        <v>102</v>
      </c>
      <c r="D996" s="130" t="s">
        <v>2840</v>
      </c>
      <c r="E996" s="130" t="s">
        <v>1955</v>
      </c>
      <c r="F996" s="130" t="s">
        <v>2839</v>
      </c>
      <c r="G996" s="220">
        <v>43811</v>
      </c>
      <c r="H996" s="130" t="s">
        <v>90</v>
      </c>
      <c r="I996" s="130" t="s">
        <v>91</v>
      </c>
      <c r="J996" s="130" t="s">
        <v>100</v>
      </c>
      <c r="K996" s="130" t="s">
        <v>101</v>
      </c>
      <c r="L996" s="174" t="s">
        <v>71</v>
      </c>
      <c r="M996" s="131" t="s">
        <v>72</v>
      </c>
      <c r="N996" s="130" t="s">
        <v>73</v>
      </c>
      <c r="O996" s="219" t="s">
        <v>72</v>
      </c>
      <c r="P996" s="130" t="s">
        <v>101</v>
      </c>
      <c r="Q996" s="132" t="s">
        <v>93</v>
      </c>
      <c r="R996" s="218">
        <v>3.3169999000000003</v>
      </c>
      <c r="S996" s="129">
        <v>1</v>
      </c>
      <c r="T996" s="129">
        <v>150</v>
      </c>
      <c r="U996" s="129">
        <v>150</v>
      </c>
      <c r="V996" s="129">
        <v>27</v>
      </c>
      <c r="W996" s="129">
        <v>177</v>
      </c>
      <c r="X996" s="27">
        <f t="shared" si="183"/>
        <v>497.54998500000005</v>
      </c>
    </row>
    <row r="997" spans="1:24" x14ac:dyDescent="0.2">
      <c r="A997" s="220">
        <v>43832</v>
      </c>
      <c r="B997" s="130" t="s">
        <v>68</v>
      </c>
      <c r="C997" s="130" t="s">
        <v>102</v>
      </c>
      <c r="D997" s="130" t="s">
        <v>2840</v>
      </c>
      <c r="E997" s="130" t="s">
        <v>1955</v>
      </c>
      <c r="F997" s="130" t="s">
        <v>2839</v>
      </c>
      <c r="G997" s="220">
        <v>43811</v>
      </c>
      <c r="H997" s="130" t="s">
        <v>90</v>
      </c>
      <c r="I997" s="130" t="s">
        <v>91</v>
      </c>
      <c r="J997" s="130" t="s">
        <v>92</v>
      </c>
      <c r="K997" s="130" t="s">
        <v>113</v>
      </c>
      <c r="L997" s="174" t="s">
        <v>71</v>
      </c>
      <c r="M997" s="131" t="s">
        <v>72</v>
      </c>
      <c r="N997" s="130" t="s">
        <v>73</v>
      </c>
      <c r="O997" s="219" t="s">
        <v>69</v>
      </c>
      <c r="P997" s="130" t="s">
        <v>1699</v>
      </c>
      <c r="Q997" s="132" t="s">
        <v>93</v>
      </c>
      <c r="R997" s="218">
        <v>3.3169999000000003</v>
      </c>
      <c r="S997" s="129">
        <v>1</v>
      </c>
      <c r="T997" s="129">
        <v>65</v>
      </c>
      <c r="U997" s="129">
        <v>65</v>
      </c>
      <c r="V997" s="129">
        <v>11.699996999999994</v>
      </c>
      <c r="W997" s="129">
        <v>76.699996999999996</v>
      </c>
      <c r="X997" s="27">
        <f t="shared" si="183"/>
        <v>215.60499350000003</v>
      </c>
    </row>
    <row r="998" spans="1:24" x14ac:dyDescent="0.2">
      <c r="A998" s="220">
        <v>43832</v>
      </c>
      <c r="B998" s="130" t="s">
        <v>68</v>
      </c>
      <c r="C998" s="130" t="s">
        <v>102</v>
      </c>
      <c r="D998" s="130" t="s">
        <v>2029</v>
      </c>
      <c r="E998" s="130" t="s">
        <v>1947</v>
      </c>
      <c r="F998" s="130" t="s">
        <v>2018</v>
      </c>
      <c r="G998" s="220">
        <v>43810</v>
      </c>
      <c r="H998" s="130" t="s">
        <v>90</v>
      </c>
      <c r="I998" s="130" t="s">
        <v>91</v>
      </c>
      <c r="J998" s="130" t="s">
        <v>97</v>
      </c>
      <c r="K998" s="130" t="s">
        <v>98</v>
      </c>
      <c r="L998" s="174" t="s">
        <v>71</v>
      </c>
      <c r="M998" s="131" t="s">
        <v>72</v>
      </c>
      <c r="N998" s="130" t="s">
        <v>73</v>
      </c>
      <c r="O998" s="219" t="s">
        <v>99</v>
      </c>
      <c r="P998" s="130" t="s">
        <v>98</v>
      </c>
      <c r="Q998" s="132" t="s">
        <v>93</v>
      </c>
      <c r="R998" s="218">
        <v>3.3169999000000003</v>
      </c>
      <c r="S998" s="129">
        <v>1</v>
      </c>
      <c r="T998" s="129">
        <v>118</v>
      </c>
      <c r="U998" s="129">
        <v>118</v>
      </c>
      <c r="V998" s="129">
        <v>21.240010000000019</v>
      </c>
      <c r="W998" s="129">
        <v>139.24001000000001</v>
      </c>
      <c r="X998" s="27">
        <f t="shared" si="183"/>
        <v>391.40598820000002</v>
      </c>
    </row>
    <row r="999" spans="1:24" x14ac:dyDescent="0.2">
      <c r="A999" s="220">
        <v>43832</v>
      </c>
      <c r="B999" s="130" t="s">
        <v>68</v>
      </c>
      <c r="C999" s="130" t="s">
        <v>102</v>
      </c>
      <c r="D999" s="130" t="s">
        <v>2029</v>
      </c>
      <c r="E999" s="130" t="s">
        <v>1947</v>
      </c>
      <c r="F999" s="130" t="s">
        <v>2018</v>
      </c>
      <c r="G999" s="220">
        <v>43810</v>
      </c>
      <c r="H999" s="130" t="s">
        <v>90</v>
      </c>
      <c r="I999" s="130" t="s">
        <v>91</v>
      </c>
      <c r="J999" s="130" t="s">
        <v>100</v>
      </c>
      <c r="K999" s="130" t="s">
        <v>101</v>
      </c>
      <c r="L999" s="174" t="s">
        <v>71</v>
      </c>
      <c r="M999" s="131" t="s">
        <v>72</v>
      </c>
      <c r="N999" s="130" t="s">
        <v>73</v>
      </c>
      <c r="O999" s="219" t="s">
        <v>72</v>
      </c>
      <c r="P999" s="130" t="s">
        <v>101</v>
      </c>
      <c r="Q999" s="132" t="s">
        <v>93</v>
      </c>
      <c r="R999" s="218">
        <v>3.3169999000000003</v>
      </c>
      <c r="S999" s="129">
        <v>1</v>
      </c>
      <c r="T999" s="129">
        <v>90</v>
      </c>
      <c r="U999" s="129">
        <v>90</v>
      </c>
      <c r="V999" s="129">
        <v>16.2</v>
      </c>
      <c r="W999" s="129">
        <v>106.2</v>
      </c>
      <c r="X999" s="27">
        <f t="shared" si="183"/>
        <v>298.52999100000005</v>
      </c>
    </row>
    <row r="1000" spans="1:24" x14ac:dyDescent="0.2">
      <c r="A1000" s="220">
        <v>43832</v>
      </c>
      <c r="B1000" s="130" t="s">
        <v>68</v>
      </c>
      <c r="C1000" s="130" t="s">
        <v>102</v>
      </c>
      <c r="D1000" s="130" t="s">
        <v>2029</v>
      </c>
      <c r="E1000" s="130" t="s">
        <v>1947</v>
      </c>
      <c r="F1000" s="130" t="s">
        <v>2018</v>
      </c>
      <c r="G1000" s="220">
        <v>43810</v>
      </c>
      <c r="H1000" s="130" t="s">
        <v>90</v>
      </c>
      <c r="I1000" s="130" t="s">
        <v>91</v>
      </c>
      <c r="J1000" s="130" t="s">
        <v>95</v>
      </c>
      <c r="K1000" s="130" t="s">
        <v>96</v>
      </c>
      <c r="L1000" s="174" t="s">
        <v>71</v>
      </c>
      <c r="M1000" s="131" t="s">
        <v>72</v>
      </c>
      <c r="N1000" s="130" t="s">
        <v>73</v>
      </c>
      <c r="O1000" s="219" t="s">
        <v>69</v>
      </c>
      <c r="P1000" s="130" t="s">
        <v>1699</v>
      </c>
      <c r="Q1000" s="132" t="s">
        <v>93</v>
      </c>
      <c r="R1000" s="218">
        <v>3.3169999000000003</v>
      </c>
      <c r="S1000" s="129">
        <v>-1</v>
      </c>
      <c r="T1000" s="129">
        <v>150</v>
      </c>
      <c r="U1000" s="129">
        <v>-150</v>
      </c>
      <c r="V1000" s="129">
        <v>-27</v>
      </c>
      <c r="W1000" s="129">
        <v>-177</v>
      </c>
      <c r="X1000" s="27">
        <f t="shared" si="183"/>
        <v>-497.54998500000005</v>
      </c>
    </row>
    <row r="1001" spans="1:24" x14ac:dyDescent="0.2">
      <c r="A1001" s="220">
        <v>43832</v>
      </c>
      <c r="B1001" s="130" t="s">
        <v>68</v>
      </c>
      <c r="C1001" s="130" t="s">
        <v>102</v>
      </c>
      <c r="D1001" s="130" t="s">
        <v>2029</v>
      </c>
      <c r="E1001" s="130" t="s">
        <v>1947</v>
      </c>
      <c r="F1001" s="130" t="s">
        <v>2018</v>
      </c>
      <c r="G1001" s="220">
        <v>43810</v>
      </c>
      <c r="H1001" s="130" t="s">
        <v>90</v>
      </c>
      <c r="I1001" s="130" t="s">
        <v>91</v>
      </c>
      <c r="J1001" s="130" t="s">
        <v>104</v>
      </c>
      <c r="K1001" s="130" t="s">
        <v>105</v>
      </c>
      <c r="L1001" s="174" t="s">
        <v>71</v>
      </c>
      <c r="M1001" s="131" t="s">
        <v>72</v>
      </c>
      <c r="N1001" s="130" t="s">
        <v>73</v>
      </c>
      <c r="O1001" s="219" t="s">
        <v>69</v>
      </c>
      <c r="P1001" s="130" t="s">
        <v>1699</v>
      </c>
      <c r="Q1001" s="132" t="s">
        <v>93</v>
      </c>
      <c r="R1001" s="218">
        <v>3.3169999000000003</v>
      </c>
      <c r="S1001" s="129">
        <v>1</v>
      </c>
      <c r="T1001" s="129">
        <v>0</v>
      </c>
      <c r="U1001" s="129">
        <v>0</v>
      </c>
      <c r="V1001" s="129">
        <v>0</v>
      </c>
      <c r="W1001" s="129">
        <v>0</v>
      </c>
      <c r="X1001" s="27">
        <f t="shared" si="183"/>
        <v>0</v>
      </c>
    </row>
    <row r="1002" spans="1:24" x14ac:dyDescent="0.2">
      <c r="A1002" s="220">
        <v>43832</v>
      </c>
      <c r="B1002" s="130" t="s">
        <v>68</v>
      </c>
      <c r="C1002" s="130" t="s">
        <v>102</v>
      </c>
      <c r="D1002" s="130" t="s">
        <v>2838</v>
      </c>
      <c r="E1002" s="130" t="s">
        <v>1952</v>
      </c>
      <c r="F1002" s="130" t="s">
        <v>2361</v>
      </c>
      <c r="G1002" s="220">
        <v>43812</v>
      </c>
      <c r="H1002" s="130" t="s">
        <v>90</v>
      </c>
      <c r="I1002" s="130" t="s">
        <v>91</v>
      </c>
      <c r="J1002" s="130" t="s">
        <v>97</v>
      </c>
      <c r="K1002" s="130" t="s">
        <v>98</v>
      </c>
      <c r="L1002" s="174" t="s">
        <v>71</v>
      </c>
      <c r="M1002" s="131" t="s">
        <v>72</v>
      </c>
      <c r="N1002" s="130" t="s">
        <v>73</v>
      </c>
      <c r="O1002" s="219" t="s">
        <v>99</v>
      </c>
      <c r="P1002" s="130" t="s">
        <v>98</v>
      </c>
      <c r="Q1002" s="132" t="s">
        <v>93</v>
      </c>
      <c r="R1002" s="218">
        <v>3.3169999000000003</v>
      </c>
      <c r="S1002" s="129">
        <v>1</v>
      </c>
      <c r="T1002" s="129">
        <v>59</v>
      </c>
      <c r="U1002" s="129">
        <v>59</v>
      </c>
      <c r="V1002" s="129">
        <v>10.620002999999997</v>
      </c>
      <c r="W1002" s="129">
        <v>69.620002999999997</v>
      </c>
      <c r="X1002" s="27">
        <f t="shared" si="183"/>
        <v>195.70299410000001</v>
      </c>
    </row>
    <row r="1003" spans="1:24" x14ac:dyDescent="0.2">
      <c r="A1003" s="220">
        <v>43832</v>
      </c>
      <c r="B1003" s="130" t="s">
        <v>68</v>
      </c>
      <c r="C1003" s="130" t="s">
        <v>102</v>
      </c>
      <c r="D1003" s="130" t="s">
        <v>2838</v>
      </c>
      <c r="E1003" s="130" t="s">
        <v>1952</v>
      </c>
      <c r="F1003" s="130" t="s">
        <v>2361</v>
      </c>
      <c r="G1003" s="220">
        <v>43812</v>
      </c>
      <c r="H1003" s="130" t="s">
        <v>90</v>
      </c>
      <c r="I1003" s="130" t="s">
        <v>91</v>
      </c>
      <c r="J1003" s="130" t="s">
        <v>100</v>
      </c>
      <c r="K1003" s="130" t="s">
        <v>101</v>
      </c>
      <c r="L1003" s="174" t="s">
        <v>71</v>
      </c>
      <c r="M1003" s="131" t="s">
        <v>72</v>
      </c>
      <c r="N1003" s="130" t="s">
        <v>73</v>
      </c>
      <c r="O1003" s="219" t="s">
        <v>72</v>
      </c>
      <c r="P1003" s="130" t="s">
        <v>101</v>
      </c>
      <c r="Q1003" s="132" t="s">
        <v>93</v>
      </c>
      <c r="R1003" s="218">
        <v>3.3169999000000003</v>
      </c>
      <c r="S1003" s="129">
        <v>1</v>
      </c>
      <c r="T1003" s="129">
        <v>22.5</v>
      </c>
      <c r="U1003" s="129">
        <v>22.5</v>
      </c>
      <c r="V1003" s="129">
        <v>4.0499990000000023</v>
      </c>
      <c r="W1003" s="129">
        <v>26.549999000000003</v>
      </c>
      <c r="X1003" s="27">
        <f t="shared" si="183"/>
        <v>74.632497750000013</v>
      </c>
    </row>
    <row r="1004" spans="1:24" x14ac:dyDescent="0.2">
      <c r="A1004" s="220">
        <v>43832</v>
      </c>
      <c r="B1004" s="130" t="s">
        <v>68</v>
      </c>
      <c r="C1004" s="130" t="s">
        <v>102</v>
      </c>
      <c r="D1004" s="130" t="s">
        <v>2838</v>
      </c>
      <c r="E1004" s="130" t="s">
        <v>1952</v>
      </c>
      <c r="F1004" s="130" t="s">
        <v>2361</v>
      </c>
      <c r="G1004" s="220">
        <v>43812</v>
      </c>
      <c r="H1004" s="130" t="s">
        <v>90</v>
      </c>
      <c r="I1004" s="130" t="s">
        <v>91</v>
      </c>
      <c r="J1004" s="130" t="s">
        <v>92</v>
      </c>
      <c r="K1004" s="130" t="s">
        <v>113</v>
      </c>
      <c r="L1004" s="174" t="s">
        <v>71</v>
      </c>
      <c r="M1004" s="131" t="s">
        <v>72</v>
      </c>
      <c r="N1004" s="130" t="s">
        <v>73</v>
      </c>
      <c r="O1004" s="219" t="s">
        <v>69</v>
      </c>
      <c r="P1004" s="130" t="s">
        <v>1699</v>
      </c>
      <c r="Q1004" s="132" t="s">
        <v>93</v>
      </c>
      <c r="R1004" s="218">
        <v>3.3169999000000003</v>
      </c>
      <c r="S1004" s="129">
        <v>1</v>
      </c>
      <c r="T1004" s="129">
        <v>30</v>
      </c>
      <c r="U1004" s="129">
        <v>30</v>
      </c>
      <c r="V1004" s="129">
        <v>5.4000019999999997</v>
      </c>
      <c r="W1004" s="129">
        <v>35.400002000000001</v>
      </c>
      <c r="X1004" s="27">
        <f t="shared" si="183"/>
        <v>99.509997000000013</v>
      </c>
    </row>
    <row r="1005" spans="1:24" x14ac:dyDescent="0.2">
      <c r="A1005" s="220">
        <v>43832</v>
      </c>
      <c r="B1005" s="130" t="s">
        <v>68</v>
      </c>
      <c r="C1005" s="130" t="s">
        <v>102</v>
      </c>
      <c r="D1005" s="130" t="s">
        <v>2837</v>
      </c>
      <c r="E1005" s="130" t="s">
        <v>1961</v>
      </c>
      <c r="F1005" s="130" t="s">
        <v>2366</v>
      </c>
      <c r="G1005" s="220">
        <v>43815</v>
      </c>
      <c r="H1005" s="130" t="s">
        <v>90</v>
      </c>
      <c r="I1005" s="130" t="s">
        <v>91</v>
      </c>
      <c r="J1005" s="130" t="s">
        <v>97</v>
      </c>
      <c r="K1005" s="130" t="s">
        <v>98</v>
      </c>
      <c r="L1005" s="174" t="s">
        <v>71</v>
      </c>
      <c r="M1005" s="131" t="s">
        <v>72</v>
      </c>
      <c r="N1005" s="130" t="s">
        <v>73</v>
      </c>
      <c r="O1005" s="219" t="s">
        <v>99</v>
      </c>
      <c r="P1005" s="130" t="s">
        <v>98</v>
      </c>
      <c r="Q1005" s="132" t="s">
        <v>93</v>
      </c>
      <c r="R1005" s="218">
        <v>3.3169999000000003</v>
      </c>
      <c r="S1005" s="129">
        <v>1</v>
      </c>
      <c r="T1005" s="129">
        <v>88.5</v>
      </c>
      <c r="U1005" s="129">
        <v>88.5</v>
      </c>
      <c r="V1005" s="129">
        <v>15.93</v>
      </c>
      <c r="W1005" s="129">
        <v>104.43</v>
      </c>
      <c r="X1005" s="27">
        <f t="shared" si="183"/>
        <v>293.55449115000005</v>
      </c>
    </row>
    <row r="1006" spans="1:24" x14ac:dyDescent="0.2">
      <c r="A1006" s="220">
        <v>43832</v>
      </c>
      <c r="B1006" s="130" t="s">
        <v>68</v>
      </c>
      <c r="C1006" s="130" t="s">
        <v>102</v>
      </c>
      <c r="D1006" s="130" t="s">
        <v>2837</v>
      </c>
      <c r="E1006" s="130" t="s">
        <v>1961</v>
      </c>
      <c r="F1006" s="130" t="s">
        <v>2366</v>
      </c>
      <c r="G1006" s="220">
        <v>43815</v>
      </c>
      <c r="H1006" s="130" t="s">
        <v>90</v>
      </c>
      <c r="I1006" s="130" t="s">
        <v>91</v>
      </c>
      <c r="J1006" s="130" t="s">
        <v>100</v>
      </c>
      <c r="K1006" s="130" t="s">
        <v>101</v>
      </c>
      <c r="L1006" s="174" t="s">
        <v>71</v>
      </c>
      <c r="M1006" s="131" t="s">
        <v>72</v>
      </c>
      <c r="N1006" s="130" t="s">
        <v>73</v>
      </c>
      <c r="O1006" s="219" t="s">
        <v>72</v>
      </c>
      <c r="P1006" s="130" t="s">
        <v>101</v>
      </c>
      <c r="Q1006" s="132" t="s">
        <v>93</v>
      </c>
      <c r="R1006" s="218">
        <v>3.3169999000000003</v>
      </c>
      <c r="S1006" s="129">
        <v>1</v>
      </c>
      <c r="T1006" s="129">
        <v>30</v>
      </c>
      <c r="U1006" s="129">
        <v>30</v>
      </c>
      <c r="V1006" s="129">
        <v>5.4000019999999997</v>
      </c>
      <c r="W1006" s="129">
        <v>35.400002000000001</v>
      </c>
      <c r="X1006" s="27">
        <f t="shared" si="183"/>
        <v>99.509997000000013</v>
      </c>
    </row>
    <row r="1007" spans="1:24" x14ac:dyDescent="0.2">
      <c r="A1007" s="220">
        <v>43832</v>
      </c>
      <c r="B1007" s="130" t="s">
        <v>68</v>
      </c>
      <c r="C1007" s="130" t="s">
        <v>102</v>
      </c>
      <c r="D1007" s="130" t="s">
        <v>2837</v>
      </c>
      <c r="E1007" s="130" t="s">
        <v>1961</v>
      </c>
      <c r="F1007" s="130" t="s">
        <v>2366</v>
      </c>
      <c r="G1007" s="220">
        <v>43815</v>
      </c>
      <c r="H1007" s="130" t="s">
        <v>90</v>
      </c>
      <c r="I1007" s="130" t="s">
        <v>91</v>
      </c>
      <c r="J1007" s="130" t="s">
        <v>92</v>
      </c>
      <c r="K1007" s="130" t="s">
        <v>113</v>
      </c>
      <c r="L1007" s="174" t="s">
        <v>71</v>
      </c>
      <c r="M1007" s="131" t="s">
        <v>72</v>
      </c>
      <c r="N1007" s="130" t="s">
        <v>73</v>
      </c>
      <c r="O1007" s="219" t="s">
        <v>69</v>
      </c>
      <c r="P1007" s="130" t="s">
        <v>1699</v>
      </c>
      <c r="Q1007" s="132" t="s">
        <v>93</v>
      </c>
      <c r="R1007" s="218">
        <v>3.3169999000000003</v>
      </c>
      <c r="S1007" s="129">
        <v>1</v>
      </c>
      <c r="T1007" s="129">
        <v>45</v>
      </c>
      <c r="U1007" s="129">
        <v>45</v>
      </c>
      <c r="V1007" s="129">
        <v>8.0999980000000047</v>
      </c>
      <c r="W1007" s="129">
        <v>53.099998000000006</v>
      </c>
      <c r="X1007" s="27">
        <f t="shared" si="183"/>
        <v>149.26499550000003</v>
      </c>
    </row>
    <row r="1008" spans="1:24" x14ac:dyDescent="0.2">
      <c r="A1008" s="220">
        <v>43832</v>
      </c>
      <c r="B1008" s="130" t="s">
        <v>68</v>
      </c>
      <c r="C1008" s="130" t="s">
        <v>102</v>
      </c>
      <c r="D1008" s="130" t="s">
        <v>2837</v>
      </c>
      <c r="E1008" s="130" t="s">
        <v>1961</v>
      </c>
      <c r="F1008" s="130" t="s">
        <v>2366</v>
      </c>
      <c r="G1008" s="220">
        <v>43815</v>
      </c>
      <c r="H1008" s="130" t="s">
        <v>90</v>
      </c>
      <c r="I1008" s="130" t="s">
        <v>91</v>
      </c>
      <c r="J1008" s="130" t="s">
        <v>95</v>
      </c>
      <c r="K1008" s="130" t="s">
        <v>96</v>
      </c>
      <c r="L1008" s="174" t="s">
        <v>71</v>
      </c>
      <c r="M1008" s="131" t="s">
        <v>72</v>
      </c>
      <c r="N1008" s="130" t="s">
        <v>73</v>
      </c>
      <c r="O1008" s="219" t="s">
        <v>69</v>
      </c>
      <c r="P1008" s="130" t="s">
        <v>1699</v>
      </c>
      <c r="Q1008" s="132" t="s">
        <v>93</v>
      </c>
      <c r="R1008" s="218">
        <v>3.3169999000000003</v>
      </c>
      <c r="S1008" s="129">
        <v>-1</v>
      </c>
      <c r="T1008" s="129">
        <v>50</v>
      </c>
      <c r="U1008" s="129">
        <v>-50</v>
      </c>
      <c r="V1008" s="129">
        <v>-9</v>
      </c>
      <c r="W1008" s="129">
        <v>-59</v>
      </c>
      <c r="X1008" s="27">
        <f t="shared" si="183"/>
        <v>-165.84999500000001</v>
      </c>
    </row>
    <row r="1009" spans="1:24" x14ac:dyDescent="0.2">
      <c r="A1009" s="220">
        <v>43832</v>
      </c>
      <c r="B1009" s="130" t="s">
        <v>68</v>
      </c>
      <c r="C1009" s="130" t="s">
        <v>102</v>
      </c>
      <c r="D1009" s="130" t="s">
        <v>2837</v>
      </c>
      <c r="E1009" s="130" t="s">
        <v>1961</v>
      </c>
      <c r="F1009" s="130" t="s">
        <v>2366</v>
      </c>
      <c r="G1009" s="220">
        <v>43815</v>
      </c>
      <c r="H1009" s="130" t="s">
        <v>90</v>
      </c>
      <c r="I1009" s="130" t="s">
        <v>91</v>
      </c>
      <c r="J1009" s="130" t="s">
        <v>104</v>
      </c>
      <c r="K1009" s="130" t="s">
        <v>105</v>
      </c>
      <c r="L1009" s="174" t="s">
        <v>71</v>
      </c>
      <c r="M1009" s="131" t="s">
        <v>72</v>
      </c>
      <c r="N1009" s="130" t="s">
        <v>73</v>
      </c>
      <c r="O1009" s="219" t="s">
        <v>69</v>
      </c>
      <c r="P1009" s="130" t="s">
        <v>1699</v>
      </c>
      <c r="Q1009" s="132" t="s">
        <v>93</v>
      </c>
      <c r="R1009" s="218">
        <v>3.3169999000000003</v>
      </c>
      <c r="S1009" s="129">
        <v>1</v>
      </c>
      <c r="T1009" s="129">
        <v>0</v>
      </c>
      <c r="U1009" s="129">
        <v>0</v>
      </c>
      <c r="V1009" s="129">
        <v>0</v>
      </c>
      <c r="W1009" s="129">
        <v>0</v>
      </c>
      <c r="X1009" s="27">
        <f t="shared" si="183"/>
        <v>0</v>
      </c>
    </row>
    <row r="1010" spans="1:24" x14ac:dyDescent="0.2">
      <c r="A1010" s="220">
        <v>43832</v>
      </c>
      <c r="B1010" s="130" t="s">
        <v>68</v>
      </c>
      <c r="C1010" s="130" t="s">
        <v>102</v>
      </c>
      <c r="D1010" s="130" t="s">
        <v>2836</v>
      </c>
      <c r="E1010" s="130" t="s">
        <v>1924</v>
      </c>
      <c r="F1010" s="130" t="s">
        <v>1430</v>
      </c>
      <c r="G1010" s="220">
        <v>43805</v>
      </c>
      <c r="H1010" s="130" t="s">
        <v>387</v>
      </c>
      <c r="I1010" s="130" t="s">
        <v>386</v>
      </c>
      <c r="J1010" s="130" t="s">
        <v>92</v>
      </c>
      <c r="K1010" s="130" t="s">
        <v>113</v>
      </c>
      <c r="L1010" s="174" t="s">
        <v>71</v>
      </c>
      <c r="M1010" s="131" t="s">
        <v>72</v>
      </c>
      <c r="N1010" s="130" t="s">
        <v>73</v>
      </c>
      <c r="O1010" s="219" t="s">
        <v>69</v>
      </c>
      <c r="P1010" s="130" t="s">
        <v>1699</v>
      </c>
      <c r="Q1010" s="132" t="s">
        <v>74</v>
      </c>
      <c r="R1010" s="218">
        <v>3.3169999000000003</v>
      </c>
      <c r="S1010" s="129">
        <v>1</v>
      </c>
      <c r="T1010" s="129">
        <v>70</v>
      </c>
      <c r="U1010" s="129">
        <v>70</v>
      </c>
      <c r="V1010" s="129">
        <v>12.599997999999978</v>
      </c>
      <c r="W1010" s="129">
        <v>82.599997999999971</v>
      </c>
      <c r="X1010" s="27">
        <f t="shared" si="183"/>
        <v>70</v>
      </c>
    </row>
    <row r="1011" spans="1:24" x14ac:dyDescent="0.2">
      <c r="A1011" s="220">
        <v>43832</v>
      </c>
      <c r="B1011" s="130" t="s">
        <v>68</v>
      </c>
      <c r="C1011" s="130" t="s">
        <v>102</v>
      </c>
      <c r="D1011" s="130" t="s">
        <v>2836</v>
      </c>
      <c r="E1011" s="130" t="s">
        <v>1924</v>
      </c>
      <c r="F1011" s="130" t="s">
        <v>1430</v>
      </c>
      <c r="G1011" s="220">
        <v>43805</v>
      </c>
      <c r="H1011" s="130" t="s">
        <v>387</v>
      </c>
      <c r="I1011" s="130" t="s">
        <v>386</v>
      </c>
      <c r="J1011" s="130" t="s">
        <v>132</v>
      </c>
      <c r="K1011" s="130" t="s">
        <v>133</v>
      </c>
      <c r="L1011" s="174" t="s">
        <v>71</v>
      </c>
      <c r="M1011" s="131" t="s">
        <v>72</v>
      </c>
      <c r="N1011" s="130" t="s">
        <v>73</v>
      </c>
      <c r="O1011" s="219" t="s">
        <v>69</v>
      </c>
      <c r="P1011" s="130" t="s">
        <v>1699</v>
      </c>
      <c r="Q1011" s="132" t="s">
        <v>74</v>
      </c>
      <c r="R1011" s="218">
        <v>3.3169999000000003</v>
      </c>
      <c r="S1011" s="129">
        <v>1</v>
      </c>
      <c r="T1011" s="129">
        <v>350</v>
      </c>
      <c r="U1011" s="129">
        <v>350</v>
      </c>
      <c r="V1011" s="129">
        <v>63</v>
      </c>
      <c r="W1011" s="129">
        <v>413</v>
      </c>
      <c r="X1011" s="27">
        <f t="shared" si="183"/>
        <v>350</v>
      </c>
    </row>
    <row r="1012" spans="1:24" x14ac:dyDescent="0.2">
      <c r="A1012" s="220">
        <v>43832</v>
      </c>
      <c r="B1012" s="130" t="s">
        <v>68</v>
      </c>
      <c r="C1012" s="130" t="s">
        <v>102</v>
      </c>
      <c r="D1012" s="130" t="s">
        <v>2836</v>
      </c>
      <c r="E1012" s="130" t="s">
        <v>1924</v>
      </c>
      <c r="F1012" s="130" t="s">
        <v>1430</v>
      </c>
      <c r="G1012" s="220">
        <v>43805</v>
      </c>
      <c r="H1012" s="130" t="s">
        <v>387</v>
      </c>
      <c r="I1012" s="130" t="s">
        <v>386</v>
      </c>
      <c r="J1012" s="130" t="s">
        <v>104</v>
      </c>
      <c r="K1012" s="130" t="s">
        <v>105</v>
      </c>
      <c r="L1012" s="174" t="s">
        <v>71</v>
      </c>
      <c r="M1012" s="131" t="s">
        <v>72</v>
      </c>
      <c r="N1012" s="130" t="s">
        <v>73</v>
      </c>
      <c r="O1012" s="219" t="s">
        <v>69</v>
      </c>
      <c r="P1012" s="130" t="s">
        <v>1699</v>
      </c>
      <c r="Q1012" s="132" t="s">
        <v>74</v>
      </c>
      <c r="R1012" s="218">
        <v>3.3169999000000003</v>
      </c>
      <c r="S1012" s="129">
        <v>1</v>
      </c>
      <c r="T1012" s="129">
        <v>1250</v>
      </c>
      <c r="U1012" s="129">
        <v>1250</v>
      </c>
      <c r="V1012" s="129">
        <v>225</v>
      </c>
      <c r="W1012" s="129">
        <v>1475</v>
      </c>
      <c r="X1012" s="27">
        <f t="shared" si="183"/>
        <v>1250</v>
      </c>
    </row>
    <row r="1013" spans="1:24" x14ac:dyDescent="0.2">
      <c r="A1013" s="220">
        <v>43832</v>
      </c>
      <c r="B1013" s="130" t="s">
        <v>68</v>
      </c>
      <c r="C1013" s="130" t="s">
        <v>102</v>
      </c>
      <c r="D1013" s="130" t="s">
        <v>2835</v>
      </c>
      <c r="E1013" s="130" t="s">
        <v>1392</v>
      </c>
      <c r="F1013" s="130" t="s">
        <v>2489</v>
      </c>
      <c r="G1013" s="220">
        <v>43792</v>
      </c>
      <c r="H1013" s="130" t="s">
        <v>387</v>
      </c>
      <c r="I1013" s="130" t="s">
        <v>386</v>
      </c>
      <c r="J1013" s="130" t="s">
        <v>97</v>
      </c>
      <c r="K1013" s="130" t="s">
        <v>98</v>
      </c>
      <c r="L1013" s="174" t="s">
        <v>71</v>
      </c>
      <c r="M1013" s="131" t="s">
        <v>72</v>
      </c>
      <c r="N1013" s="130" t="s">
        <v>73</v>
      </c>
      <c r="O1013" s="219" t="s">
        <v>99</v>
      </c>
      <c r="P1013" s="130" t="s">
        <v>98</v>
      </c>
      <c r="Q1013" s="132" t="s">
        <v>74</v>
      </c>
      <c r="R1013" s="218">
        <v>3.3169999000000003</v>
      </c>
      <c r="S1013" s="129">
        <v>1</v>
      </c>
      <c r="T1013" s="129">
        <v>2700</v>
      </c>
      <c r="U1013" s="129">
        <v>2700</v>
      </c>
      <c r="V1013" s="129">
        <v>486</v>
      </c>
      <c r="W1013" s="129">
        <v>3186</v>
      </c>
      <c r="X1013" s="27">
        <f t="shared" si="183"/>
        <v>2700</v>
      </c>
    </row>
    <row r="1014" spans="1:24" x14ac:dyDescent="0.2">
      <c r="A1014" s="220">
        <v>43832</v>
      </c>
      <c r="B1014" s="130" t="s">
        <v>68</v>
      </c>
      <c r="C1014" s="130" t="s">
        <v>102</v>
      </c>
      <c r="D1014" s="130" t="s">
        <v>2835</v>
      </c>
      <c r="E1014" s="130" t="s">
        <v>1392</v>
      </c>
      <c r="F1014" s="130" t="s">
        <v>2489</v>
      </c>
      <c r="G1014" s="220">
        <v>43792</v>
      </c>
      <c r="H1014" s="130" t="s">
        <v>387</v>
      </c>
      <c r="I1014" s="130" t="s">
        <v>386</v>
      </c>
      <c r="J1014" s="130" t="s">
        <v>100</v>
      </c>
      <c r="K1014" s="130" t="s">
        <v>101</v>
      </c>
      <c r="L1014" s="174" t="s">
        <v>71</v>
      </c>
      <c r="M1014" s="131" t="s">
        <v>72</v>
      </c>
      <c r="N1014" s="130" t="s">
        <v>73</v>
      </c>
      <c r="O1014" s="219" t="s">
        <v>72</v>
      </c>
      <c r="P1014" s="130" t="s">
        <v>101</v>
      </c>
      <c r="Q1014" s="132" t="s">
        <v>74</v>
      </c>
      <c r="R1014" s="218">
        <v>3.3169999000000003</v>
      </c>
      <c r="S1014" s="129">
        <v>1</v>
      </c>
      <c r="T1014" s="129">
        <v>1435</v>
      </c>
      <c r="U1014" s="129">
        <v>1435</v>
      </c>
      <c r="V1014" s="129">
        <v>258.3</v>
      </c>
      <c r="W1014" s="129">
        <v>1693.3</v>
      </c>
      <c r="X1014" s="27">
        <f t="shared" si="183"/>
        <v>1435</v>
      </c>
    </row>
    <row r="1015" spans="1:24" x14ac:dyDescent="0.2">
      <c r="A1015" s="220">
        <v>43832</v>
      </c>
      <c r="B1015" s="130" t="s">
        <v>68</v>
      </c>
      <c r="C1015" s="130" t="s">
        <v>102</v>
      </c>
      <c r="D1015" s="130" t="s">
        <v>2835</v>
      </c>
      <c r="E1015" s="130" t="s">
        <v>1392</v>
      </c>
      <c r="F1015" s="130" t="s">
        <v>2489</v>
      </c>
      <c r="G1015" s="220">
        <v>43792</v>
      </c>
      <c r="H1015" s="130" t="s">
        <v>387</v>
      </c>
      <c r="I1015" s="130" t="s">
        <v>386</v>
      </c>
      <c r="J1015" s="130" t="s">
        <v>92</v>
      </c>
      <c r="K1015" s="130" t="s">
        <v>113</v>
      </c>
      <c r="L1015" s="174" t="s">
        <v>71</v>
      </c>
      <c r="M1015" s="131" t="s">
        <v>72</v>
      </c>
      <c r="N1015" s="130" t="s">
        <v>73</v>
      </c>
      <c r="O1015" s="219" t="s">
        <v>69</v>
      </c>
      <c r="P1015" s="130" t="s">
        <v>1699</v>
      </c>
      <c r="Q1015" s="132" t="s">
        <v>74</v>
      </c>
      <c r="R1015" s="218">
        <v>3.3169999000000003</v>
      </c>
      <c r="S1015" s="129">
        <v>1</v>
      </c>
      <c r="T1015" s="129">
        <v>760</v>
      </c>
      <c r="U1015" s="129">
        <v>760</v>
      </c>
      <c r="V1015" s="129">
        <v>136.79998999999995</v>
      </c>
      <c r="W1015" s="129">
        <v>896.79998999999998</v>
      </c>
      <c r="X1015" s="27">
        <f t="shared" si="183"/>
        <v>760</v>
      </c>
    </row>
    <row r="1016" spans="1:24" x14ac:dyDescent="0.2">
      <c r="A1016" s="220">
        <v>43832</v>
      </c>
      <c r="B1016" s="130" t="s">
        <v>68</v>
      </c>
      <c r="C1016" s="130" t="s">
        <v>102</v>
      </c>
      <c r="D1016" s="130" t="s">
        <v>2835</v>
      </c>
      <c r="E1016" s="130" t="s">
        <v>1392</v>
      </c>
      <c r="F1016" s="130" t="s">
        <v>2489</v>
      </c>
      <c r="G1016" s="220">
        <v>43792</v>
      </c>
      <c r="H1016" s="130" t="s">
        <v>387</v>
      </c>
      <c r="I1016" s="130" t="s">
        <v>386</v>
      </c>
      <c r="J1016" s="130" t="s">
        <v>132</v>
      </c>
      <c r="K1016" s="130" t="s">
        <v>109</v>
      </c>
      <c r="L1016" s="174" t="s">
        <v>71</v>
      </c>
      <c r="M1016" s="131" t="s">
        <v>72</v>
      </c>
      <c r="N1016" s="130" t="s">
        <v>73</v>
      </c>
      <c r="O1016" s="219" t="s">
        <v>69</v>
      </c>
      <c r="P1016" s="130" t="s">
        <v>1699</v>
      </c>
      <c r="Q1016" s="132" t="s">
        <v>74</v>
      </c>
      <c r="R1016" s="218">
        <v>3.3169999000000003</v>
      </c>
      <c r="S1016" s="129">
        <v>1</v>
      </c>
      <c r="T1016" s="129">
        <v>140</v>
      </c>
      <c r="U1016" s="129">
        <v>140</v>
      </c>
      <c r="V1016" s="129">
        <v>25.2</v>
      </c>
      <c r="W1016" s="129">
        <v>165.2</v>
      </c>
      <c r="X1016" s="27">
        <f t="shared" si="183"/>
        <v>140</v>
      </c>
    </row>
    <row r="1017" spans="1:24" x14ac:dyDescent="0.2">
      <c r="A1017" s="220">
        <v>43832</v>
      </c>
      <c r="B1017" s="130" t="s">
        <v>68</v>
      </c>
      <c r="C1017" s="130" t="s">
        <v>102</v>
      </c>
      <c r="D1017" s="130" t="s">
        <v>2835</v>
      </c>
      <c r="E1017" s="130" t="s">
        <v>1392</v>
      </c>
      <c r="F1017" s="130" t="s">
        <v>2489</v>
      </c>
      <c r="G1017" s="220">
        <v>43792</v>
      </c>
      <c r="H1017" s="130" t="s">
        <v>387</v>
      </c>
      <c r="I1017" s="130" t="s">
        <v>386</v>
      </c>
      <c r="J1017" s="130" t="s">
        <v>139</v>
      </c>
      <c r="K1017" s="130" t="s">
        <v>1775</v>
      </c>
      <c r="L1017" s="174" t="s">
        <v>71</v>
      </c>
      <c r="M1017" s="131" t="s">
        <v>72</v>
      </c>
      <c r="N1017" s="130" t="s">
        <v>73</v>
      </c>
      <c r="O1017" s="219" t="s">
        <v>69</v>
      </c>
      <c r="P1017" s="130" t="s">
        <v>1699</v>
      </c>
      <c r="Q1017" s="132" t="s">
        <v>74</v>
      </c>
      <c r="R1017" s="218">
        <v>3.3169999000000003</v>
      </c>
      <c r="S1017" s="129">
        <v>1</v>
      </c>
      <c r="T1017" s="129">
        <v>320</v>
      </c>
      <c r="U1017" s="129">
        <v>320</v>
      </c>
      <c r="V1017" s="129">
        <v>57.600009999999891</v>
      </c>
      <c r="W1017" s="129">
        <v>377.60000999999988</v>
      </c>
      <c r="X1017" s="27">
        <f t="shared" si="183"/>
        <v>320</v>
      </c>
    </row>
    <row r="1018" spans="1:24" x14ac:dyDescent="0.2">
      <c r="A1018" s="220">
        <v>43832</v>
      </c>
      <c r="B1018" s="130" t="s">
        <v>68</v>
      </c>
      <c r="C1018" s="130" t="s">
        <v>102</v>
      </c>
      <c r="D1018" s="130" t="s">
        <v>2835</v>
      </c>
      <c r="E1018" s="130" t="s">
        <v>1392</v>
      </c>
      <c r="F1018" s="130" t="s">
        <v>2489</v>
      </c>
      <c r="G1018" s="220">
        <v>43792</v>
      </c>
      <c r="H1018" s="130" t="s">
        <v>387</v>
      </c>
      <c r="I1018" s="130" t="s">
        <v>386</v>
      </c>
      <c r="J1018" s="130" t="s">
        <v>139</v>
      </c>
      <c r="K1018" s="130" t="s">
        <v>94</v>
      </c>
      <c r="L1018" s="174" t="s">
        <v>71</v>
      </c>
      <c r="M1018" s="131" t="s">
        <v>72</v>
      </c>
      <c r="N1018" s="130" t="s">
        <v>73</v>
      </c>
      <c r="O1018" s="219" t="s">
        <v>69</v>
      </c>
      <c r="P1018" s="130" t="s">
        <v>1699</v>
      </c>
      <c r="Q1018" s="132" t="s">
        <v>74</v>
      </c>
      <c r="R1018" s="218">
        <v>3.3169999000000003</v>
      </c>
      <c r="S1018" s="129">
        <v>1</v>
      </c>
      <c r="T1018" s="129">
        <v>35</v>
      </c>
      <c r="U1018" s="129">
        <v>35</v>
      </c>
      <c r="V1018" s="129">
        <v>6.299998999999989</v>
      </c>
      <c r="W1018" s="129">
        <v>41.299998999999985</v>
      </c>
      <c r="X1018" s="27">
        <f t="shared" si="183"/>
        <v>35</v>
      </c>
    </row>
    <row r="1019" spans="1:24" x14ac:dyDescent="0.2">
      <c r="A1019" s="220">
        <v>43832</v>
      </c>
      <c r="B1019" s="130" t="s">
        <v>68</v>
      </c>
      <c r="C1019" s="130" t="s">
        <v>102</v>
      </c>
      <c r="D1019" s="130" t="s">
        <v>2835</v>
      </c>
      <c r="E1019" s="130" t="s">
        <v>1392</v>
      </c>
      <c r="F1019" s="130" t="s">
        <v>2489</v>
      </c>
      <c r="G1019" s="220">
        <v>43792</v>
      </c>
      <c r="H1019" s="130" t="s">
        <v>387</v>
      </c>
      <c r="I1019" s="130" t="s">
        <v>386</v>
      </c>
      <c r="J1019" s="130" t="s">
        <v>70</v>
      </c>
      <c r="K1019" s="130" t="s">
        <v>112</v>
      </c>
      <c r="L1019" s="174" t="s">
        <v>71</v>
      </c>
      <c r="M1019" s="131" t="s">
        <v>72</v>
      </c>
      <c r="N1019" s="130" t="s">
        <v>73</v>
      </c>
      <c r="O1019" s="219" t="s">
        <v>69</v>
      </c>
      <c r="P1019" s="130" t="s">
        <v>1699</v>
      </c>
      <c r="Q1019" s="132" t="s">
        <v>74</v>
      </c>
      <c r="R1019" s="218">
        <v>3.3169999000000003</v>
      </c>
      <c r="S1019" s="129">
        <v>1</v>
      </c>
      <c r="T1019" s="129">
        <v>813.75420999999972</v>
      </c>
      <c r="U1019" s="129">
        <v>813.75420999999972</v>
      </c>
      <c r="V1019" s="129">
        <v>146.47577000000035</v>
      </c>
      <c r="W1019" s="129">
        <v>960.22998000000007</v>
      </c>
      <c r="X1019" s="27">
        <f t="shared" si="183"/>
        <v>813.75420999999972</v>
      </c>
    </row>
    <row r="1020" spans="1:24" x14ac:dyDescent="0.2">
      <c r="A1020" s="220">
        <v>43832</v>
      </c>
      <c r="B1020" s="130" t="s">
        <v>68</v>
      </c>
      <c r="C1020" s="130" t="s">
        <v>102</v>
      </c>
      <c r="D1020" s="130" t="s">
        <v>2835</v>
      </c>
      <c r="E1020" s="130" t="s">
        <v>1392</v>
      </c>
      <c r="F1020" s="130" t="s">
        <v>2489</v>
      </c>
      <c r="G1020" s="220">
        <v>43792</v>
      </c>
      <c r="H1020" s="130" t="s">
        <v>387</v>
      </c>
      <c r="I1020" s="130" t="s">
        <v>386</v>
      </c>
      <c r="J1020" s="130" t="s">
        <v>104</v>
      </c>
      <c r="K1020" s="130" t="s">
        <v>105</v>
      </c>
      <c r="L1020" s="174" t="s">
        <v>71</v>
      </c>
      <c r="M1020" s="131" t="s">
        <v>72</v>
      </c>
      <c r="N1020" s="130" t="s">
        <v>73</v>
      </c>
      <c r="O1020" s="219" t="s">
        <v>69</v>
      </c>
      <c r="P1020" s="130" t="s">
        <v>1699</v>
      </c>
      <c r="Q1020" s="132" t="s">
        <v>74</v>
      </c>
      <c r="R1020" s="218">
        <v>3.3169999000000003</v>
      </c>
      <c r="S1020" s="129">
        <v>1</v>
      </c>
      <c r="T1020" s="129">
        <v>3215</v>
      </c>
      <c r="U1020" s="129">
        <v>3215</v>
      </c>
      <c r="V1020" s="129">
        <v>578.70000000000005</v>
      </c>
      <c r="W1020" s="129">
        <v>3793.7</v>
      </c>
      <c r="X1020" s="27">
        <f t="shared" si="183"/>
        <v>3215</v>
      </c>
    </row>
    <row r="1021" spans="1:24" x14ac:dyDescent="0.2">
      <c r="A1021" s="220">
        <v>43832</v>
      </c>
      <c r="B1021" s="130" t="s">
        <v>68</v>
      </c>
      <c r="C1021" s="130" t="s">
        <v>102</v>
      </c>
      <c r="D1021" s="130" t="s">
        <v>2834</v>
      </c>
      <c r="E1021" s="130" t="s">
        <v>1375</v>
      </c>
      <c r="F1021" s="130" t="s">
        <v>1459</v>
      </c>
      <c r="G1021" s="220">
        <v>43790</v>
      </c>
      <c r="H1021" s="130" t="s">
        <v>387</v>
      </c>
      <c r="I1021" s="130" t="s">
        <v>386</v>
      </c>
      <c r="J1021" s="130" t="s">
        <v>97</v>
      </c>
      <c r="K1021" s="130" t="s">
        <v>98</v>
      </c>
      <c r="L1021" s="174" t="s">
        <v>71</v>
      </c>
      <c r="M1021" s="131" t="s">
        <v>72</v>
      </c>
      <c r="N1021" s="130" t="s">
        <v>73</v>
      </c>
      <c r="O1021" s="219" t="s">
        <v>99</v>
      </c>
      <c r="P1021" s="130" t="s">
        <v>98</v>
      </c>
      <c r="Q1021" s="132" t="s">
        <v>74</v>
      </c>
      <c r="R1021" s="218">
        <v>3.3169999000000003</v>
      </c>
      <c r="S1021" s="129">
        <v>1</v>
      </c>
      <c r="T1021" s="129">
        <v>2700</v>
      </c>
      <c r="U1021" s="129">
        <v>2700</v>
      </c>
      <c r="V1021" s="129">
        <v>486</v>
      </c>
      <c r="W1021" s="129">
        <v>3186</v>
      </c>
      <c r="X1021" s="27">
        <f t="shared" si="183"/>
        <v>2700</v>
      </c>
    </row>
    <row r="1022" spans="1:24" x14ac:dyDescent="0.2">
      <c r="A1022" s="220">
        <v>43832</v>
      </c>
      <c r="B1022" s="130" t="s">
        <v>68</v>
      </c>
      <c r="C1022" s="130" t="s">
        <v>102</v>
      </c>
      <c r="D1022" s="130" t="s">
        <v>2834</v>
      </c>
      <c r="E1022" s="130" t="s">
        <v>1375</v>
      </c>
      <c r="F1022" s="130" t="s">
        <v>1459</v>
      </c>
      <c r="G1022" s="220">
        <v>43790</v>
      </c>
      <c r="H1022" s="130" t="s">
        <v>387</v>
      </c>
      <c r="I1022" s="130" t="s">
        <v>386</v>
      </c>
      <c r="J1022" s="130" t="s">
        <v>100</v>
      </c>
      <c r="K1022" s="130" t="s">
        <v>101</v>
      </c>
      <c r="L1022" s="174" t="s">
        <v>71</v>
      </c>
      <c r="M1022" s="131" t="s">
        <v>72</v>
      </c>
      <c r="N1022" s="130" t="s">
        <v>73</v>
      </c>
      <c r="O1022" s="219" t="s">
        <v>72</v>
      </c>
      <c r="P1022" s="130" t="s">
        <v>101</v>
      </c>
      <c r="Q1022" s="132" t="s">
        <v>74</v>
      </c>
      <c r="R1022" s="218">
        <v>3.3169999000000003</v>
      </c>
      <c r="S1022" s="129">
        <v>1</v>
      </c>
      <c r="T1022" s="129">
        <v>1890</v>
      </c>
      <c r="U1022" s="129">
        <v>1890</v>
      </c>
      <c r="V1022" s="129">
        <v>340.1999999999997</v>
      </c>
      <c r="W1022" s="129">
        <v>2230.1999999999998</v>
      </c>
      <c r="X1022" s="27">
        <f t="shared" si="183"/>
        <v>1890</v>
      </c>
    </row>
    <row r="1023" spans="1:24" x14ac:dyDescent="0.2">
      <c r="A1023" s="220">
        <v>43832</v>
      </c>
      <c r="B1023" s="130" t="s">
        <v>68</v>
      </c>
      <c r="C1023" s="130" t="s">
        <v>102</v>
      </c>
      <c r="D1023" s="130" t="s">
        <v>2834</v>
      </c>
      <c r="E1023" s="130" t="s">
        <v>1375</v>
      </c>
      <c r="F1023" s="130" t="s">
        <v>1459</v>
      </c>
      <c r="G1023" s="220">
        <v>43790</v>
      </c>
      <c r="H1023" s="130" t="s">
        <v>387</v>
      </c>
      <c r="I1023" s="130" t="s">
        <v>386</v>
      </c>
      <c r="J1023" s="130" t="s">
        <v>92</v>
      </c>
      <c r="K1023" s="130" t="s">
        <v>113</v>
      </c>
      <c r="L1023" s="174" t="s">
        <v>71</v>
      </c>
      <c r="M1023" s="131" t="s">
        <v>72</v>
      </c>
      <c r="N1023" s="130" t="s">
        <v>73</v>
      </c>
      <c r="O1023" s="219" t="s">
        <v>69</v>
      </c>
      <c r="P1023" s="130" t="s">
        <v>1699</v>
      </c>
      <c r="Q1023" s="132" t="s">
        <v>74</v>
      </c>
      <c r="R1023" s="218">
        <v>3.3169999000000003</v>
      </c>
      <c r="S1023" s="129">
        <v>1</v>
      </c>
      <c r="T1023" s="129">
        <v>1575</v>
      </c>
      <c r="U1023" s="129">
        <v>1575</v>
      </c>
      <c r="V1023" s="129">
        <v>283.5</v>
      </c>
      <c r="W1023" s="129">
        <v>1858.5</v>
      </c>
      <c r="X1023" s="27">
        <f t="shared" si="183"/>
        <v>1575</v>
      </c>
    </row>
    <row r="1024" spans="1:24" x14ac:dyDescent="0.2">
      <c r="A1024" s="220">
        <v>43832</v>
      </c>
      <c r="B1024" s="130" t="s">
        <v>68</v>
      </c>
      <c r="C1024" s="130" t="s">
        <v>102</v>
      </c>
      <c r="D1024" s="130" t="s">
        <v>2834</v>
      </c>
      <c r="E1024" s="130" t="s">
        <v>1375</v>
      </c>
      <c r="F1024" s="130" t="s">
        <v>1459</v>
      </c>
      <c r="G1024" s="220">
        <v>43790</v>
      </c>
      <c r="H1024" s="130" t="s">
        <v>387</v>
      </c>
      <c r="I1024" s="130" t="s">
        <v>386</v>
      </c>
      <c r="J1024" s="130" t="s">
        <v>132</v>
      </c>
      <c r="K1024" s="130" t="s">
        <v>133</v>
      </c>
      <c r="L1024" s="174" t="s">
        <v>71</v>
      </c>
      <c r="M1024" s="131" t="s">
        <v>72</v>
      </c>
      <c r="N1024" s="130" t="s">
        <v>73</v>
      </c>
      <c r="O1024" s="219" t="s">
        <v>69</v>
      </c>
      <c r="P1024" s="130" t="s">
        <v>1699</v>
      </c>
      <c r="Q1024" s="132" t="s">
        <v>74</v>
      </c>
      <c r="R1024" s="218">
        <v>3.3169999000000003</v>
      </c>
      <c r="S1024" s="129">
        <v>1</v>
      </c>
      <c r="T1024" s="129">
        <v>3565</v>
      </c>
      <c r="U1024" s="129">
        <v>3565</v>
      </c>
      <c r="V1024" s="129">
        <v>641.70020000000022</v>
      </c>
      <c r="W1024" s="129">
        <v>4206.7002000000002</v>
      </c>
      <c r="X1024" s="27">
        <f t="shared" si="183"/>
        <v>3565</v>
      </c>
    </row>
    <row r="1025" spans="1:24" x14ac:dyDescent="0.2">
      <c r="A1025" s="220">
        <v>43832</v>
      </c>
      <c r="B1025" s="130" t="s">
        <v>68</v>
      </c>
      <c r="C1025" s="130" t="s">
        <v>102</v>
      </c>
      <c r="D1025" s="130" t="s">
        <v>2834</v>
      </c>
      <c r="E1025" s="130" t="s">
        <v>1375</v>
      </c>
      <c r="F1025" s="130" t="s">
        <v>1459</v>
      </c>
      <c r="G1025" s="220">
        <v>43790</v>
      </c>
      <c r="H1025" s="130" t="s">
        <v>387</v>
      </c>
      <c r="I1025" s="130" t="s">
        <v>386</v>
      </c>
      <c r="J1025" s="130" t="s">
        <v>70</v>
      </c>
      <c r="K1025" s="130" t="s">
        <v>112</v>
      </c>
      <c r="L1025" s="174" t="s">
        <v>71</v>
      </c>
      <c r="M1025" s="131" t="s">
        <v>72</v>
      </c>
      <c r="N1025" s="130" t="s">
        <v>73</v>
      </c>
      <c r="O1025" s="219" t="s">
        <v>69</v>
      </c>
      <c r="P1025" s="130" t="s">
        <v>1699</v>
      </c>
      <c r="Q1025" s="132" t="s">
        <v>74</v>
      </c>
      <c r="R1025" s="218">
        <v>3.3169999000000003</v>
      </c>
      <c r="S1025" s="129">
        <v>1</v>
      </c>
      <c r="T1025" s="129">
        <v>708.75420999999972</v>
      </c>
      <c r="U1025" s="129">
        <v>708.75420999999972</v>
      </c>
      <c r="V1025" s="129">
        <v>127.57581000000006</v>
      </c>
      <c r="W1025" s="129">
        <v>836.33001999999976</v>
      </c>
      <c r="X1025" s="27">
        <f t="shared" si="183"/>
        <v>708.75420999999972</v>
      </c>
    </row>
    <row r="1026" spans="1:24" x14ac:dyDescent="0.2">
      <c r="A1026" s="220">
        <v>43832</v>
      </c>
      <c r="B1026" s="130" t="s">
        <v>68</v>
      </c>
      <c r="C1026" s="130" t="s">
        <v>102</v>
      </c>
      <c r="D1026" s="130" t="s">
        <v>2834</v>
      </c>
      <c r="E1026" s="130" t="s">
        <v>1375</v>
      </c>
      <c r="F1026" s="130" t="s">
        <v>1459</v>
      </c>
      <c r="G1026" s="220">
        <v>43790</v>
      </c>
      <c r="H1026" s="130" t="s">
        <v>387</v>
      </c>
      <c r="I1026" s="130" t="s">
        <v>386</v>
      </c>
      <c r="J1026" s="130" t="s">
        <v>104</v>
      </c>
      <c r="K1026" s="130" t="s">
        <v>105</v>
      </c>
      <c r="L1026" s="174" t="s">
        <v>71</v>
      </c>
      <c r="M1026" s="131" t="s">
        <v>72</v>
      </c>
      <c r="N1026" s="130" t="s">
        <v>73</v>
      </c>
      <c r="O1026" s="219" t="s">
        <v>69</v>
      </c>
      <c r="P1026" s="130" t="s">
        <v>1699</v>
      </c>
      <c r="Q1026" s="132" t="s">
        <v>74</v>
      </c>
      <c r="R1026" s="218">
        <v>3.3169999000000003</v>
      </c>
      <c r="S1026" s="129">
        <v>1</v>
      </c>
      <c r="T1026" s="129">
        <v>3027</v>
      </c>
      <c r="U1026" s="129">
        <v>3027</v>
      </c>
      <c r="V1026" s="129">
        <v>544.8601000000001</v>
      </c>
      <c r="W1026" s="129">
        <v>3571.8600999999999</v>
      </c>
      <c r="X1026" s="27">
        <f t="shared" si="183"/>
        <v>3027</v>
      </c>
    </row>
    <row r="1027" spans="1:24" x14ac:dyDescent="0.2">
      <c r="A1027" s="220">
        <v>43832</v>
      </c>
      <c r="B1027" s="130" t="s">
        <v>68</v>
      </c>
      <c r="C1027" s="130" t="s">
        <v>102</v>
      </c>
      <c r="D1027" s="130" t="s">
        <v>2065</v>
      </c>
      <c r="E1027" s="130" t="s">
        <v>1379</v>
      </c>
      <c r="F1027" s="130" t="s">
        <v>1458</v>
      </c>
      <c r="G1027" s="220">
        <v>43790</v>
      </c>
      <c r="H1027" s="130" t="s">
        <v>387</v>
      </c>
      <c r="I1027" s="130" t="s">
        <v>386</v>
      </c>
      <c r="J1027" s="130" t="s">
        <v>97</v>
      </c>
      <c r="K1027" s="130" t="s">
        <v>98</v>
      </c>
      <c r="L1027" s="174" t="s">
        <v>71</v>
      </c>
      <c r="M1027" s="131" t="s">
        <v>72</v>
      </c>
      <c r="N1027" s="130" t="s">
        <v>73</v>
      </c>
      <c r="O1027" s="219" t="s">
        <v>99</v>
      </c>
      <c r="P1027" s="130" t="s">
        <v>98</v>
      </c>
      <c r="Q1027" s="132" t="s">
        <v>74</v>
      </c>
      <c r="R1027" s="218">
        <v>3.3169999000000003</v>
      </c>
      <c r="S1027" s="129">
        <v>1</v>
      </c>
      <c r="T1027" s="129">
        <v>2700</v>
      </c>
      <c r="U1027" s="129">
        <v>2700</v>
      </c>
      <c r="V1027" s="129">
        <v>486</v>
      </c>
      <c r="W1027" s="129">
        <v>3186</v>
      </c>
      <c r="X1027" s="27">
        <f t="shared" si="183"/>
        <v>2700</v>
      </c>
    </row>
    <row r="1028" spans="1:24" x14ac:dyDescent="0.2">
      <c r="A1028" s="220">
        <v>43832</v>
      </c>
      <c r="B1028" s="130" t="s">
        <v>68</v>
      </c>
      <c r="C1028" s="130" t="s">
        <v>102</v>
      </c>
      <c r="D1028" s="130" t="s">
        <v>2065</v>
      </c>
      <c r="E1028" s="130" t="s">
        <v>1379</v>
      </c>
      <c r="F1028" s="130" t="s">
        <v>1458</v>
      </c>
      <c r="G1028" s="220">
        <v>43790</v>
      </c>
      <c r="H1028" s="130" t="s">
        <v>387</v>
      </c>
      <c r="I1028" s="130" t="s">
        <v>386</v>
      </c>
      <c r="J1028" s="130" t="s">
        <v>100</v>
      </c>
      <c r="K1028" s="130" t="s">
        <v>101</v>
      </c>
      <c r="L1028" s="174" t="s">
        <v>71</v>
      </c>
      <c r="M1028" s="131" t="s">
        <v>72</v>
      </c>
      <c r="N1028" s="130" t="s">
        <v>73</v>
      </c>
      <c r="O1028" s="219" t="s">
        <v>72</v>
      </c>
      <c r="P1028" s="130" t="s">
        <v>101</v>
      </c>
      <c r="Q1028" s="132" t="s">
        <v>74</v>
      </c>
      <c r="R1028" s="218">
        <v>3.3169999000000003</v>
      </c>
      <c r="S1028" s="129">
        <v>1</v>
      </c>
      <c r="T1028" s="129">
        <v>2415</v>
      </c>
      <c r="U1028" s="129">
        <v>2415</v>
      </c>
      <c r="V1028" s="129">
        <v>434.7</v>
      </c>
      <c r="W1028" s="129">
        <v>2849.7</v>
      </c>
      <c r="X1028" s="27">
        <f t="shared" si="183"/>
        <v>2415</v>
      </c>
    </row>
    <row r="1029" spans="1:24" x14ac:dyDescent="0.2">
      <c r="A1029" s="220">
        <v>43832</v>
      </c>
      <c r="B1029" s="130" t="s">
        <v>68</v>
      </c>
      <c r="C1029" s="130" t="s">
        <v>102</v>
      </c>
      <c r="D1029" s="130" t="s">
        <v>2065</v>
      </c>
      <c r="E1029" s="130" t="s">
        <v>1379</v>
      </c>
      <c r="F1029" s="130" t="s">
        <v>1458</v>
      </c>
      <c r="G1029" s="220">
        <v>43790</v>
      </c>
      <c r="H1029" s="130" t="s">
        <v>387</v>
      </c>
      <c r="I1029" s="130" t="s">
        <v>386</v>
      </c>
      <c r="J1029" s="130" t="s">
        <v>92</v>
      </c>
      <c r="K1029" s="130" t="s">
        <v>113</v>
      </c>
      <c r="L1029" s="174" t="s">
        <v>71</v>
      </c>
      <c r="M1029" s="131" t="s">
        <v>72</v>
      </c>
      <c r="N1029" s="130" t="s">
        <v>73</v>
      </c>
      <c r="O1029" s="219" t="s">
        <v>69</v>
      </c>
      <c r="P1029" s="130" t="s">
        <v>1699</v>
      </c>
      <c r="Q1029" s="132" t="s">
        <v>74</v>
      </c>
      <c r="R1029" s="218">
        <v>3.3169999000000003</v>
      </c>
      <c r="S1029" s="129">
        <v>1</v>
      </c>
      <c r="T1029" s="129">
        <v>600</v>
      </c>
      <c r="U1029" s="129">
        <v>600</v>
      </c>
      <c r="V1029" s="129">
        <v>108</v>
      </c>
      <c r="W1029" s="129">
        <v>708</v>
      </c>
      <c r="X1029" s="27">
        <f t="shared" ref="X1029:X1092" si="184">IF(Q1029="$",(U1029*R1029),U1029)</f>
        <v>600</v>
      </c>
    </row>
    <row r="1030" spans="1:24" x14ac:dyDescent="0.2">
      <c r="A1030" s="220">
        <v>43832</v>
      </c>
      <c r="B1030" s="130" t="s">
        <v>68</v>
      </c>
      <c r="C1030" s="130" t="s">
        <v>102</v>
      </c>
      <c r="D1030" s="130" t="s">
        <v>2065</v>
      </c>
      <c r="E1030" s="130" t="s">
        <v>1379</v>
      </c>
      <c r="F1030" s="130" t="s">
        <v>1458</v>
      </c>
      <c r="G1030" s="220">
        <v>43790</v>
      </c>
      <c r="H1030" s="130" t="s">
        <v>387</v>
      </c>
      <c r="I1030" s="130" t="s">
        <v>386</v>
      </c>
      <c r="J1030" s="130" t="s">
        <v>132</v>
      </c>
      <c r="K1030" s="130" t="s">
        <v>2833</v>
      </c>
      <c r="L1030" s="174" t="s">
        <v>71</v>
      </c>
      <c r="M1030" s="131" t="s">
        <v>72</v>
      </c>
      <c r="N1030" s="130" t="s">
        <v>73</v>
      </c>
      <c r="O1030" s="219" t="s">
        <v>69</v>
      </c>
      <c r="P1030" s="130" t="s">
        <v>1699</v>
      </c>
      <c r="Q1030" s="132" t="s">
        <v>74</v>
      </c>
      <c r="R1030" s="218">
        <v>3.3169999000000003</v>
      </c>
      <c r="S1030" s="129">
        <v>1</v>
      </c>
      <c r="T1030" s="129">
        <v>2140</v>
      </c>
      <c r="U1030" s="129">
        <v>2140</v>
      </c>
      <c r="V1030" s="129">
        <v>385.1999999999997</v>
      </c>
      <c r="W1030" s="129">
        <v>2525.1999999999998</v>
      </c>
      <c r="X1030" s="27">
        <f t="shared" si="184"/>
        <v>2140</v>
      </c>
    </row>
    <row r="1031" spans="1:24" x14ac:dyDescent="0.2">
      <c r="A1031" s="220">
        <v>43832</v>
      </c>
      <c r="B1031" s="130" t="s">
        <v>68</v>
      </c>
      <c r="C1031" s="130" t="s">
        <v>102</v>
      </c>
      <c r="D1031" s="130" t="s">
        <v>2065</v>
      </c>
      <c r="E1031" s="130" t="s">
        <v>1379</v>
      </c>
      <c r="F1031" s="130" t="s">
        <v>1458</v>
      </c>
      <c r="G1031" s="220">
        <v>43790</v>
      </c>
      <c r="H1031" s="130" t="s">
        <v>387</v>
      </c>
      <c r="I1031" s="130" t="s">
        <v>386</v>
      </c>
      <c r="J1031" s="130" t="s">
        <v>70</v>
      </c>
      <c r="K1031" s="130" t="s">
        <v>112</v>
      </c>
      <c r="L1031" s="174" t="s">
        <v>71</v>
      </c>
      <c r="M1031" s="131" t="s">
        <v>72</v>
      </c>
      <c r="N1031" s="130" t="s">
        <v>73</v>
      </c>
      <c r="O1031" s="219" t="s">
        <v>69</v>
      </c>
      <c r="P1031" s="130" t="s">
        <v>1699</v>
      </c>
      <c r="Q1031" s="132" t="s">
        <v>74</v>
      </c>
      <c r="R1031" s="218">
        <v>3.3169999000000003</v>
      </c>
      <c r="S1031" s="129">
        <v>1</v>
      </c>
      <c r="T1031" s="129">
        <v>638.75420999999994</v>
      </c>
      <c r="U1031" s="129">
        <v>638.75420999999994</v>
      </c>
      <c r="V1031" s="129">
        <v>114.97577000000013</v>
      </c>
      <c r="W1031" s="129">
        <v>753.72998000000007</v>
      </c>
      <c r="X1031" s="27">
        <f t="shared" si="184"/>
        <v>638.75420999999994</v>
      </c>
    </row>
    <row r="1032" spans="1:24" x14ac:dyDescent="0.2">
      <c r="A1032" s="220">
        <v>43832</v>
      </c>
      <c r="B1032" s="130" t="s">
        <v>68</v>
      </c>
      <c r="C1032" s="130" t="s">
        <v>102</v>
      </c>
      <c r="D1032" s="130" t="s">
        <v>2065</v>
      </c>
      <c r="E1032" s="130" t="s">
        <v>1379</v>
      </c>
      <c r="F1032" s="130" t="s">
        <v>1458</v>
      </c>
      <c r="G1032" s="220">
        <v>43790</v>
      </c>
      <c r="H1032" s="130" t="s">
        <v>387</v>
      </c>
      <c r="I1032" s="130" t="s">
        <v>386</v>
      </c>
      <c r="J1032" s="130" t="s">
        <v>104</v>
      </c>
      <c r="K1032" s="130" t="s">
        <v>105</v>
      </c>
      <c r="L1032" s="174" t="s">
        <v>71</v>
      </c>
      <c r="M1032" s="131" t="s">
        <v>72</v>
      </c>
      <c r="N1032" s="130" t="s">
        <v>73</v>
      </c>
      <c r="O1032" s="219" t="s">
        <v>69</v>
      </c>
      <c r="P1032" s="130" t="s">
        <v>1699</v>
      </c>
      <c r="Q1032" s="132" t="s">
        <v>74</v>
      </c>
      <c r="R1032" s="218">
        <v>3.3169999000000003</v>
      </c>
      <c r="S1032" s="129">
        <v>1</v>
      </c>
      <c r="T1032" s="129">
        <v>3221</v>
      </c>
      <c r="U1032" s="129">
        <v>3221</v>
      </c>
      <c r="V1032" s="129">
        <v>579.78</v>
      </c>
      <c r="W1032" s="129">
        <v>3800.78</v>
      </c>
      <c r="X1032" s="27">
        <f t="shared" si="184"/>
        <v>3221</v>
      </c>
    </row>
    <row r="1033" spans="1:24" x14ac:dyDescent="0.2">
      <c r="A1033" s="220">
        <v>43832</v>
      </c>
      <c r="B1033" s="130" t="s">
        <v>68</v>
      </c>
      <c r="C1033" s="130" t="s">
        <v>102</v>
      </c>
      <c r="D1033" s="130" t="s">
        <v>2075</v>
      </c>
      <c r="E1033" s="130" t="s">
        <v>835</v>
      </c>
      <c r="F1033" s="130" t="s">
        <v>965</v>
      </c>
      <c r="G1033" s="220">
        <v>43754</v>
      </c>
      <c r="H1033" s="130" t="s">
        <v>387</v>
      </c>
      <c r="I1033" s="130" t="s">
        <v>386</v>
      </c>
      <c r="J1033" s="130" t="s">
        <v>97</v>
      </c>
      <c r="K1033" s="130" t="s">
        <v>98</v>
      </c>
      <c r="L1033" s="174" t="s">
        <v>71</v>
      </c>
      <c r="M1033" s="131" t="s">
        <v>72</v>
      </c>
      <c r="N1033" s="130" t="s">
        <v>73</v>
      </c>
      <c r="O1033" s="219" t="s">
        <v>99</v>
      </c>
      <c r="P1033" s="130" t="s">
        <v>98</v>
      </c>
      <c r="Q1033" s="132" t="s">
        <v>74</v>
      </c>
      <c r="R1033" s="218">
        <v>3.3169999000000003</v>
      </c>
      <c r="S1033" s="129">
        <v>1</v>
      </c>
      <c r="T1033" s="129">
        <v>2430</v>
      </c>
      <c r="U1033" s="129">
        <v>2430</v>
      </c>
      <c r="V1033" s="129">
        <v>437.39989999999989</v>
      </c>
      <c r="W1033" s="129">
        <v>2867.3998999999999</v>
      </c>
      <c r="X1033" s="27">
        <f t="shared" si="184"/>
        <v>2430</v>
      </c>
    </row>
    <row r="1034" spans="1:24" x14ac:dyDescent="0.2">
      <c r="A1034" s="220">
        <v>43832</v>
      </c>
      <c r="B1034" s="130" t="s">
        <v>68</v>
      </c>
      <c r="C1034" s="130" t="s">
        <v>102</v>
      </c>
      <c r="D1034" s="130" t="s">
        <v>2075</v>
      </c>
      <c r="E1034" s="130" t="s">
        <v>835</v>
      </c>
      <c r="F1034" s="130" t="s">
        <v>965</v>
      </c>
      <c r="G1034" s="220">
        <v>43754</v>
      </c>
      <c r="H1034" s="130" t="s">
        <v>387</v>
      </c>
      <c r="I1034" s="130" t="s">
        <v>386</v>
      </c>
      <c r="J1034" s="130" t="s">
        <v>100</v>
      </c>
      <c r="K1034" s="130" t="s">
        <v>101</v>
      </c>
      <c r="L1034" s="174" t="s">
        <v>71</v>
      </c>
      <c r="M1034" s="131" t="s">
        <v>72</v>
      </c>
      <c r="N1034" s="130" t="s">
        <v>73</v>
      </c>
      <c r="O1034" s="219" t="s">
        <v>72</v>
      </c>
      <c r="P1034" s="130" t="s">
        <v>101</v>
      </c>
      <c r="Q1034" s="132" t="s">
        <v>74</v>
      </c>
      <c r="R1034" s="218">
        <v>3.3169999000000003</v>
      </c>
      <c r="S1034" s="129">
        <v>1</v>
      </c>
      <c r="T1034" s="129">
        <v>2240</v>
      </c>
      <c r="U1034" s="129">
        <v>2240</v>
      </c>
      <c r="V1034" s="129">
        <v>403.2</v>
      </c>
      <c r="W1034" s="129">
        <v>2643.2</v>
      </c>
      <c r="X1034" s="27">
        <f t="shared" si="184"/>
        <v>2240</v>
      </c>
    </row>
    <row r="1035" spans="1:24" x14ac:dyDescent="0.2">
      <c r="A1035" s="220">
        <v>43832</v>
      </c>
      <c r="B1035" s="130" t="s">
        <v>68</v>
      </c>
      <c r="C1035" s="130" t="s">
        <v>102</v>
      </c>
      <c r="D1035" s="130" t="s">
        <v>2075</v>
      </c>
      <c r="E1035" s="130" t="s">
        <v>835</v>
      </c>
      <c r="F1035" s="130" t="s">
        <v>965</v>
      </c>
      <c r="G1035" s="220">
        <v>43754</v>
      </c>
      <c r="H1035" s="130" t="s">
        <v>387</v>
      </c>
      <c r="I1035" s="130" t="s">
        <v>386</v>
      </c>
      <c r="J1035" s="130" t="s">
        <v>92</v>
      </c>
      <c r="K1035" s="130" t="s">
        <v>113</v>
      </c>
      <c r="L1035" s="174" t="s">
        <v>71</v>
      </c>
      <c r="M1035" s="131" t="s">
        <v>72</v>
      </c>
      <c r="N1035" s="130" t="s">
        <v>73</v>
      </c>
      <c r="O1035" s="219" t="s">
        <v>69</v>
      </c>
      <c r="P1035" s="130" t="s">
        <v>1699</v>
      </c>
      <c r="Q1035" s="132" t="s">
        <v>74</v>
      </c>
      <c r="R1035" s="218">
        <v>3.3169999000000003</v>
      </c>
      <c r="S1035" s="129">
        <v>1</v>
      </c>
      <c r="T1035" s="129">
        <v>880</v>
      </c>
      <c r="U1035" s="129">
        <v>880</v>
      </c>
      <c r="V1035" s="129">
        <v>158.4</v>
      </c>
      <c r="W1035" s="129">
        <v>1038.4000000000001</v>
      </c>
      <c r="X1035" s="27">
        <f t="shared" si="184"/>
        <v>880</v>
      </c>
    </row>
    <row r="1036" spans="1:24" x14ac:dyDescent="0.2">
      <c r="A1036" s="220">
        <v>43832</v>
      </c>
      <c r="B1036" s="130" t="s">
        <v>68</v>
      </c>
      <c r="C1036" s="130" t="s">
        <v>102</v>
      </c>
      <c r="D1036" s="130" t="s">
        <v>2075</v>
      </c>
      <c r="E1036" s="130" t="s">
        <v>835</v>
      </c>
      <c r="F1036" s="130" t="s">
        <v>965</v>
      </c>
      <c r="G1036" s="220">
        <v>43754</v>
      </c>
      <c r="H1036" s="130" t="s">
        <v>387</v>
      </c>
      <c r="I1036" s="130" t="s">
        <v>386</v>
      </c>
      <c r="J1036" s="130" t="s">
        <v>132</v>
      </c>
      <c r="K1036" s="130" t="s">
        <v>94</v>
      </c>
      <c r="L1036" s="174" t="s">
        <v>71</v>
      </c>
      <c r="M1036" s="131" t="s">
        <v>72</v>
      </c>
      <c r="N1036" s="130" t="s">
        <v>73</v>
      </c>
      <c r="O1036" s="219" t="s">
        <v>69</v>
      </c>
      <c r="P1036" s="130" t="s">
        <v>1699</v>
      </c>
      <c r="Q1036" s="132" t="s">
        <v>74</v>
      </c>
      <c r="R1036" s="218">
        <v>3.3169999000000003</v>
      </c>
      <c r="S1036" s="129">
        <v>1</v>
      </c>
      <c r="T1036" s="129">
        <v>0</v>
      </c>
      <c r="U1036" s="129">
        <v>0</v>
      </c>
      <c r="V1036" s="129">
        <v>0</v>
      </c>
      <c r="W1036" s="129">
        <v>0</v>
      </c>
      <c r="X1036" s="27">
        <f t="shared" si="184"/>
        <v>0</v>
      </c>
    </row>
    <row r="1037" spans="1:24" x14ac:dyDescent="0.2">
      <c r="A1037" s="220">
        <v>43832</v>
      </c>
      <c r="B1037" s="130" t="s">
        <v>68</v>
      </c>
      <c r="C1037" s="130" t="s">
        <v>102</v>
      </c>
      <c r="D1037" s="130" t="s">
        <v>2075</v>
      </c>
      <c r="E1037" s="130" t="s">
        <v>835</v>
      </c>
      <c r="F1037" s="130" t="s">
        <v>965</v>
      </c>
      <c r="G1037" s="220">
        <v>43754</v>
      </c>
      <c r="H1037" s="130" t="s">
        <v>387</v>
      </c>
      <c r="I1037" s="130" t="s">
        <v>386</v>
      </c>
      <c r="J1037" s="130" t="s">
        <v>70</v>
      </c>
      <c r="K1037" s="130" t="s">
        <v>112</v>
      </c>
      <c r="L1037" s="174" t="s">
        <v>71</v>
      </c>
      <c r="M1037" s="131" t="s">
        <v>72</v>
      </c>
      <c r="N1037" s="130" t="s">
        <v>73</v>
      </c>
      <c r="O1037" s="219" t="s">
        <v>69</v>
      </c>
      <c r="P1037" s="130" t="s">
        <v>1699</v>
      </c>
      <c r="Q1037" s="132" t="s">
        <v>74</v>
      </c>
      <c r="R1037" s="218">
        <v>3.3169999000000003</v>
      </c>
      <c r="S1037" s="129">
        <v>1</v>
      </c>
      <c r="T1037" s="129">
        <v>580</v>
      </c>
      <c r="U1037" s="129">
        <v>580</v>
      </c>
      <c r="V1037" s="129">
        <v>104.40002000000023</v>
      </c>
      <c r="W1037" s="129">
        <v>684.40002000000027</v>
      </c>
      <c r="X1037" s="27">
        <f t="shared" si="184"/>
        <v>580</v>
      </c>
    </row>
    <row r="1038" spans="1:24" x14ac:dyDescent="0.2">
      <c r="A1038" s="220">
        <v>43832</v>
      </c>
      <c r="B1038" s="130" t="s">
        <v>68</v>
      </c>
      <c r="C1038" s="130" t="s">
        <v>102</v>
      </c>
      <c r="D1038" s="130" t="s">
        <v>2075</v>
      </c>
      <c r="E1038" s="130" t="s">
        <v>835</v>
      </c>
      <c r="F1038" s="130" t="s">
        <v>965</v>
      </c>
      <c r="G1038" s="220">
        <v>43754</v>
      </c>
      <c r="H1038" s="130" t="s">
        <v>387</v>
      </c>
      <c r="I1038" s="130" t="s">
        <v>386</v>
      </c>
      <c r="J1038" s="130" t="s">
        <v>106</v>
      </c>
      <c r="K1038" s="130" t="s">
        <v>2832</v>
      </c>
      <c r="L1038" s="174" t="s">
        <v>71</v>
      </c>
      <c r="M1038" s="131" t="s">
        <v>72</v>
      </c>
      <c r="N1038" s="130" t="s">
        <v>73</v>
      </c>
      <c r="O1038" s="219" t="s">
        <v>69</v>
      </c>
      <c r="P1038" s="130" t="s">
        <v>1699</v>
      </c>
      <c r="Q1038" s="132" t="s">
        <v>74</v>
      </c>
      <c r="R1038" s="218">
        <v>3.3169999000000003</v>
      </c>
      <c r="S1038" s="129">
        <v>1</v>
      </c>
      <c r="T1038" s="129">
        <v>1112</v>
      </c>
      <c r="U1038" s="129">
        <v>1112</v>
      </c>
      <c r="V1038" s="129">
        <v>200.16</v>
      </c>
      <c r="W1038" s="129">
        <v>1312.16</v>
      </c>
      <c r="X1038" s="27">
        <f t="shared" si="184"/>
        <v>1112</v>
      </c>
    </row>
    <row r="1039" spans="1:24" x14ac:dyDescent="0.2">
      <c r="A1039" s="220">
        <v>43832</v>
      </c>
      <c r="B1039" s="130" t="s">
        <v>68</v>
      </c>
      <c r="C1039" s="130" t="s">
        <v>102</v>
      </c>
      <c r="D1039" s="130" t="s">
        <v>2075</v>
      </c>
      <c r="E1039" s="130" t="s">
        <v>835</v>
      </c>
      <c r="F1039" s="130" t="s">
        <v>965</v>
      </c>
      <c r="G1039" s="220">
        <v>43754</v>
      </c>
      <c r="H1039" s="130" t="s">
        <v>387</v>
      </c>
      <c r="I1039" s="130" t="s">
        <v>386</v>
      </c>
      <c r="J1039" s="130" t="s">
        <v>104</v>
      </c>
      <c r="K1039" s="130" t="s">
        <v>105</v>
      </c>
      <c r="L1039" s="174" t="s">
        <v>71</v>
      </c>
      <c r="M1039" s="131" t="s">
        <v>72</v>
      </c>
      <c r="N1039" s="130" t="s">
        <v>73</v>
      </c>
      <c r="O1039" s="219" t="s">
        <v>69</v>
      </c>
      <c r="P1039" s="130" t="s">
        <v>1699</v>
      </c>
      <c r="Q1039" s="132" t="s">
        <v>74</v>
      </c>
      <c r="R1039" s="218">
        <v>3.3169999000000003</v>
      </c>
      <c r="S1039" s="129">
        <v>1</v>
      </c>
      <c r="T1039" s="129">
        <v>2624</v>
      </c>
      <c r="U1039" s="129">
        <v>2624</v>
      </c>
      <c r="V1039" s="129">
        <v>472.32010000000008</v>
      </c>
      <c r="W1039" s="129">
        <v>3096.3200999999999</v>
      </c>
      <c r="X1039" s="27">
        <f t="shared" si="184"/>
        <v>2624</v>
      </c>
    </row>
    <row r="1040" spans="1:24" x14ac:dyDescent="0.2">
      <c r="A1040" s="220">
        <v>43832</v>
      </c>
      <c r="B1040" s="130" t="s">
        <v>68</v>
      </c>
      <c r="C1040" s="130" t="s">
        <v>102</v>
      </c>
      <c r="D1040" s="130" t="s">
        <v>2042</v>
      </c>
      <c r="E1040" s="130" t="s">
        <v>1447</v>
      </c>
      <c r="F1040" s="130" t="s">
        <v>965</v>
      </c>
      <c r="G1040" s="220">
        <v>43790</v>
      </c>
      <c r="H1040" s="130" t="s">
        <v>387</v>
      </c>
      <c r="I1040" s="130" t="s">
        <v>386</v>
      </c>
      <c r="J1040" s="130" t="s">
        <v>92</v>
      </c>
      <c r="K1040" s="130" t="s">
        <v>113</v>
      </c>
      <c r="L1040" s="174" t="s">
        <v>71</v>
      </c>
      <c r="M1040" s="131" t="s">
        <v>72</v>
      </c>
      <c r="N1040" s="130" t="s">
        <v>73</v>
      </c>
      <c r="O1040" s="219" t="s">
        <v>69</v>
      </c>
      <c r="P1040" s="130" t="s">
        <v>1699</v>
      </c>
      <c r="Q1040" s="132" t="s">
        <v>74</v>
      </c>
      <c r="R1040" s="218">
        <v>3.3169999000000003</v>
      </c>
      <c r="S1040" s="129">
        <v>1</v>
      </c>
      <c r="T1040" s="129">
        <v>1200</v>
      </c>
      <c r="U1040" s="129">
        <v>1200</v>
      </c>
      <c r="V1040" s="129">
        <v>216</v>
      </c>
      <c r="W1040" s="129">
        <v>1416</v>
      </c>
      <c r="X1040" s="27">
        <f t="shared" si="184"/>
        <v>1200</v>
      </c>
    </row>
    <row r="1041" spans="1:24" x14ac:dyDescent="0.2">
      <c r="A1041" s="220">
        <v>43832</v>
      </c>
      <c r="B1041" s="130" t="s">
        <v>68</v>
      </c>
      <c r="C1041" s="130" t="s">
        <v>102</v>
      </c>
      <c r="D1041" s="130" t="s">
        <v>2042</v>
      </c>
      <c r="E1041" s="130" t="s">
        <v>1447</v>
      </c>
      <c r="F1041" s="130" t="s">
        <v>965</v>
      </c>
      <c r="G1041" s="220">
        <v>43790</v>
      </c>
      <c r="H1041" s="130" t="s">
        <v>387</v>
      </c>
      <c r="I1041" s="130" t="s">
        <v>386</v>
      </c>
      <c r="J1041" s="130" t="s">
        <v>70</v>
      </c>
      <c r="K1041" s="130" t="s">
        <v>112</v>
      </c>
      <c r="L1041" s="174" t="s">
        <v>71</v>
      </c>
      <c r="M1041" s="131" t="s">
        <v>72</v>
      </c>
      <c r="N1041" s="130" t="s">
        <v>73</v>
      </c>
      <c r="O1041" s="219" t="s">
        <v>69</v>
      </c>
      <c r="P1041" s="130" t="s">
        <v>1699</v>
      </c>
      <c r="Q1041" s="132" t="s">
        <v>74</v>
      </c>
      <c r="R1041" s="218">
        <v>3.3169999000000003</v>
      </c>
      <c r="S1041" s="129">
        <v>1</v>
      </c>
      <c r="T1041" s="129">
        <v>1350</v>
      </c>
      <c r="U1041" s="129">
        <v>1350</v>
      </c>
      <c r="V1041" s="129">
        <v>243</v>
      </c>
      <c r="W1041" s="129">
        <v>1593</v>
      </c>
      <c r="X1041" s="27">
        <f t="shared" si="184"/>
        <v>1350</v>
      </c>
    </row>
    <row r="1042" spans="1:24" x14ac:dyDescent="0.2">
      <c r="A1042" s="220">
        <v>43832</v>
      </c>
      <c r="B1042" s="130" t="s">
        <v>68</v>
      </c>
      <c r="C1042" s="130" t="s">
        <v>102</v>
      </c>
      <c r="D1042" s="130" t="s">
        <v>2042</v>
      </c>
      <c r="E1042" s="130" t="s">
        <v>1447</v>
      </c>
      <c r="F1042" s="130" t="s">
        <v>965</v>
      </c>
      <c r="G1042" s="220">
        <v>43790</v>
      </c>
      <c r="H1042" s="130" t="s">
        <v>387</v>
      </c>
      <c r="I1042" s="130" t="s">
        <v>386</v>
      </c>
      <c r="J1042" s="130" t="s">
        <v>104</v>
      </c>
      <c r="K1042" s="130" t="s">
        <v>105</v>
      </c>
      <c r="L1042" s="174" t="s">
        <v>71</v>
      </c>
      <c r="M1042" s="131" t="s">
        <v>72</v>
      </c>
      <c r="N1042" s="130" t="s">
        <v>73</v>
      </c>
      <c r="O1042" s="219" t="s">
        <v>69</v>
      </c>
      <c r="P1042" s="130" t="s">
        <v>1699</v>
      </c>
      <c r="Q1042" s="132" t="s">
        <v>74</v>
      </c>
      <c r="R1042" s="218">
        <v>3.3169999000000003</v>
      </c>
      <c r="S1042" s="129">
        <v>1</v>
      </c>
      <c r="T1042" s="129">
        <v>2160</v>
      </c>
      <c r="U1042" s="129">
        <v>2160</v>
      </c>
      <c r="V1042" s="129">
        <v>388.8</v>
      </c>
      <c r="W1042" s="129">
        <v>2548.8000000000002</v>
      </c>
      <c r="X1042" s="27">
        <f t="shared" si="184"/>
        <v>2160</v>
      </c>
    </row>
    <row r="1043" spans="1:24" x14ac:dyDescent="0.2">
      <c r="A1043" s="220">
        <v>43832</v>
      </c>
      <c r="B1043" s="130" t="s">
        <v>68</v>
      </c>
      <c r="C1043" s="130" t="s">
        <v>102</v>
      </c>
      <c r="D1043" s="130" t="s">
        <v>2831</v>
      </c>
      <c r="E1043" s="130" t="s">
        <v>1937</v>
      </c>
      <c r="F1043" s="130" t="s">
        <v>2491</v>
      </c>
      <c r="G1043" s="220">
        <v>43808</v>
      </c>
      <c r="H1043" s="130" t="s">
        <v>387</v>
      </c>
      <c r="I1043" s="130" t="s">
        <v>386</v>
      </c>
      <c r="J1043" s="130" t="s">
        <v>97</v>
      </c>
      <c r="K1043" s="130" t="s">
        <v>98</v>
      </c>
      <c r="L1043" s="174" t="s">
        <v>71</v>
      </c>
      <c r="M1043" s="131" t="s">
        <v>72</v>
      </c>
      <c r="N1043" s="130" t="s">
        <v>73</v>
      </c>
      <c r="O1043" s="219" t="s">
        <v>99</v>
      </c>
      <c r="P1043" s="130" t="s">
        <v>98</v>
      </c>
      <c r="Q1043" s="132" t="s">
        <v>74</v>
      </c>
      <c r="R1043" s="218">
        <v>3.3169999000000003</v>
      </c>
      <c r="S1043" s="129">
        <v>1</v>
      </c>
      <c r="T1043" s="129">
        <v>1080</v>
      </c>
      <c r="U1043" s="129">
        <v>1080</v>
      </c>
      <c r="V1043" s="129">
        <v>194.4</v>
      </c>
      <c r="W1043" s="129">
        <v>1274.4000000000001</v>
      </c>
      <c r="X1043" s="27">
        <f t="shared" si="184"/>
        <v>1080</v>
      </c>
    </row>
    <row r="1044" spans="1:24" x14ac:dyDescent="0.2">
      <c r="A1044" s="220">
        <v>43832</v>
      </c>
      <c r="B1044" s="130" t="s">
        <v>68</v>
      </c>
      <c r="C1044" s="130" t="s">
        <v>102</v>
      </c>
      <c r="D1044" s="130" t="s">
        <v>2831</v>
      </c>
      <c r="E1044" s="130" t="s">
        <v>1937</v>
      </c>
      <c r="F1044" s="130" t="s">
        <v>2491</v>
      </c>
      <c r="G1044" s="220">
        <v>43808</v>
      </c>
      <c r="H1044" s="130" t="s">
        <v>387</v>
      </c>
      <c r="I1044" s="130" t="s">
        <v>386</v>
      </c>
      <c r="J1044" s="130" t="s">
        <v>100</v>
      </c>
      <c r="K1044" s="130" t="s">
        <v>101</v>
      </c>
      <c r="L1044" s="174" t="s">
        <v>71</v>
      </c>
      <c r="M1044" s="131" t="s">
        <v>72</v>
      </c>
      <c r="N1044" s="130" t="s">
        <v>73</v>
      </c>
      <c r="O1044" s="219" t="s">
        <v>72</v>
      </c>
      <c r="P1044" s="130" t="s">
        <v>101</v>
      </c>
      <c r="Q1044" s="132" t="s">
        <v>74</v>
      </c>
      <c r="R1044" s="218">
        <v>3.3169999000000003</v>
      </c>
      <c r="S1044" s="129">
        <v>1</v>
      </c>
      <c r="T1044" s="129">
        <v>385</v>
      </c>
      <c r="U1044" s="129">
        <v>385</v>
      </c>
      <c r="V1044" s="129">
        <v>69.299990000000037</v>
      </c>
      <c r="W1044" s="129">
        <v>454.29999000000004</v>
      </c>
      <c r="X1044" s="27">
        <f t="shared" si="184"/>
        <v>385</v>
      </c>
    </row>
    <row r="1045" spans="1:24" x14ac:dyDescent="0.2">
      <c r="A1045" s="220">
        <v>43832</v>
      </c>
      <c r="B1045" s="130" t="s">
        <v>68</v>
      </c>
      <c r="C1045" s="130" t="s">
        <v>102</v>
      </c>
      <c r="D1045" s="130" t="s">
        <v>2831</v>
      </c>
      <c r="E1045" s="130" t="s">
        <v>1937</v>
      </c>
      <c r="F1045" s="130" t="s">
        <v>2491</v>
      </c>
      <c r="G1045" s="220">
        <v>43808</v>
      </c>
      <c r="H1045" s="130" t="s">
        <v>387</v>
      </c>
      <c r="I1045" s="130" t="s">
        <v>386</v>
      </c>
      <c r="J1045" s="130" t="s">
        <v>92</v>
      </c>
      <c r="K1045" s="130" t="s">
        <v>113</v>
      </c>
      <c r="L1045" s="174" t="s">
        <v>71</v>
      </c>
      <c r="M1045" s="131" t="s">
        <v>72</v>
      </c>
      <c r="N1045" s="130" t="s">
        <v>73</v>
      </c>
      <c r="O1045" s="219" t="s">
        <v>69</v>
      </c>
      <c r="P1045" s="130" t="s">
        <v>1699</v>
      </c>
      <c r="Q1045" s="132" t="s">
        <v>74</v>
      </c>
      <c r="R1045" s="218">
        <v>3.3169999000000003</v>
      </c>
      <c r="S1045" s="129">
        <v>1</v>
      </c>
      <c r="T1045" s="129">
        <v>205</v>
      </c>
      <c r="U1045" s="129">
        <v>205</v>
      </c>
      <c r="V1045" s="129">
        <v>36.89998999999996</v>
      </c>
      <c r="W1045" s="129">
        <v>241.89998999999997</v>
      </c>
      <c r="X1045" s="27">
        <f t="shared" si="184"/>
        <v>205</v>
      </c>
    </row>
    <row r="1046" spans="1:24" x14ac:dyDescent="0.2">
      <c r="A1046" s="220">
        <v>43832</v>
      </c>
      <c r="B1046" s="130" t="s">
        <v>68</v>
      </c>
      <c r="C1046" s="130" t="s">
        <v>102</v>
      </c>
      <c r="D1046" s="130" t="s">
        <v>2831</v>
      </c>
      <c r="E1046" s="130" t="s">
        <v>1937</v>
      </c>
      <c r="F1046" s="130" t="s">
        <v>2491</v>
      </c>
      <c r="G1046" s="220">
        <v>43808</v>
      </c>
      <c r="H1046" s="130" t="s">
        <v>387</v>
      </c>
      <c r="I1046" s="130" t="s">
        <v>386</v>
      </c>
      <c r="J1046" s="130" t="s">
        <v>70</v>
      </c>
      <c r="K1046" s="130" t="s">
        <v>112</v>
      </c>
      <c r="L1046" s="174" t="s">
        <v>71</v>
      </c>
      <c r="M1046" s="131" t="s">
        <v>72</v>
      </c>
      <c r="N1046" s="130" t="s">
        <v>73</v>
      </c>
      <c r="O1046" s="219" t="s">
        <v>69</v>
      </c>
      <c r="P1046" s="130" t="s">
        <v>1699</v>
      </c>
      <c r="Q1046" s="132" t="s">
        <v>74</v>
      </c>
      <c r="R1046" s="218">
        <v>3.3169999000000003</v>
      </c>
      <c r="S1046" s="129">
        <v>1</v>
      </c>
      <c r="T1046" s="129">
        <v>323.75421</v>
      </c>
      <c r="U1046" s="129">
        <v>323.75420999999994</v>
      </c>
      <c r="V1046" s="129">
        <v>58.275790000000015</v>
      </c>
      <c r="W1046" s="129">
        <v>382.03</v>
      </c>
      <c r="X1046" s="27">
        <f t="shared" si="184"/>
        <v>323.75420999999994</v>
      </c>
    </row>
    <row r="1047" spans="1:24" x14ac:dyDescent="0.2">
      <c r="A1047" s="220">
        <v>43832</v>
      </c>
      <c r="B1047" s="130" t="s">
        <v>68</v>
      </c>
      <c r="C1047" s="130" t="s">
        <v>102</v>
      </c>
      <c r="D1047" s="130" t="s">
        <v>2831</v>
      </c>
      <c r="E1047" s="130" t="s">
        <v>1937</v>
      </c>
      <c r="F1047" s="130" t="s">
        <v>2491</v>
      </c>
      <c r="G1047" s="220">
        <v>43808</v>
      </c>
      <c r="H1047" s="130" t="s">
        <v>387</v>
      </c>
      <c r="I1047" s="130" t="s">
        <v>386</v>
      </c>
      <c r="J1047" s="130" t="s">
        <v>104</v>
      </c>
      <c r="K1047" s="130" t="s">
        <v>105</v>
      </c>
      <c r="L1047" s="174" t="s">
        <v>71</v>
      </c>
      <c r="M1047" s="131" t="s">
        <v>72</v>
      </c>
      <c r="N1047" s="130" t="s">
        <v>73</v>
      </c>
      <c r="O1047" s="219" t="s">
        <v>69</v>
      </c>
      <c r="P1047" s="130" t="s">
        <v>1699</v>
      </c>
      <c r="Q1047" s="132" t="s">
        <v>74</v>
      </c>
      <c r="R1047" s="218">
        <v>3.3169999000000003</v>
      </c>
      <c r="S1047" s="129">
        <v>1</v>
      </c>
      <c r="T1047" s="129">
        <v>495</v>
      </c>
      <c r="U1047" s="129">
        <v>495</v>
      </c>
      <c r="V1047" s="129">
        <v>89.099979999999917</v>
      </c>
      <c r="W1047" s="129">
        <v>584.09997999999996</v>
      </c>
      <c r="X1047" s="27">
        <f t="shared" si="184"/>
        <v>495</v>
      </c>
    </row>
    <row r="1048" spans="1:24" x14ac:dyDescent="0.2">
      <c r="A1048" s="220">
        <v>43832</v>
      </c>
      <c r="B1048" s="130" t="s">
        <v>68</v>
      </c>
      <c r="C1048" s="130" t="s">
        <v>102</v>
      </c>
      <c r="D1048" s="130" t="s">
        <v>2829</v>
      </c>
      <c r="E1048" s="130" t="s">
        <v>1373</v>
      </c>
      <c r="F1048" s="130" t="s">
        <v>1443</v>
      </c>
      <c r="G1048" s="220">
        <v>43790</v>
      </c>
      <c r="H1048" s="130" t="s">
        <v>387</v>
      </c>
      <c r="I1048" s="130" t="s">
        <v>386</v>
      </c>
      <c r="J1048" s="130" t="s">
        <v>97</v>
      </c>
      <c r="K1048" s="130" t="s">
        <v>98</v>
      </c>
      <c r="L1048" s="174" t="s">
        <v>71</v>
      </c>
      <c r="M1048" s="131" t="s">
        <v>72</v>
      </c>
      <c r="N1048" s="130" t="s">
        <v>73</v>
      </c>
      <c r="O1048" s="219" t="s">
        <v>99</v>
      </c>
      <c r="P1048" s="130" t="s">
        <v>98</v>
      </c>
      <c r="Q1048" s="132" t="s">
        <v>74</v>
      </c>
      <c r="R1048" s="218">
        <v>3.3169999000000003</v>
      </c>
      <c r="S1048" s="129">
        <v>1</v>
      </c>
      <c r="T1048" s="129">
        <v>2700</v>
      </c>
      <c r="U1048" s="129">
        <v>2700</v>
      </c>
      <c r="V1048" s="129">
        <v>486</v>
      </c>
      <c r="W1048" s="129">
        <v>3186</v>
      </c>
      <c r="X1048" s="27">
        <f t="shared" si="184"/>
        <v>2700</v>
      </c>
    </row>
    <row r="1049" spans="1:24" x14ac:dyDescent="0.2">
      <c r="A1049" s="220">
        <v>43832</v>
      </c>
      <c r="B1049" s="130" t="s">
        <v>68</v>
      </c>
      <c r="C1049" s="130" t="s">
        <v>102</v>
      </c>
      <c r="D1049" s="130" t="s">
        <v>2829</v>
      </c>
      <c r="E1049" s="130" t="s">
        <v>1373</v>
      </c>
      <c r="F1049" s="130" t="s">
        <v>1443</v>
      </c>
      <c r="G1049" s="220">
        <v>43790</v>
      </c>
      <c r="H1049" s="130" t="s">
        <v>387</v>
      </c>
      <c r="I1049" s="130" t="s">
        <v>386</v>
      </c>
      <c r="J1049" s="130" t="s">
        <v>100</v>
      </c>
      <c r="K1049" s="130" t="s">
        <v>101</v>
      </c>
      <c r="L1049" s="174" t="s">
        <v>71</v>
      </c>
      <c r="M1049" s="131" t="s">
        <v>72</v>
      </c>
      <c r="N1049" s="130" t="s">
        <v>73</v>
      </c>
      <c r="O1049" s="219" t="s">
        <v>72</v>
      </c>
      <c r="P1049" s="130" t="s">
        <v>101</v>
      </c>
      <c r="Q1049" s="132" t="s">
        <v>74</v>
      </c>
      <c r="R1049" s="218">
        <v>3.3169999000000003</v>
      </c>
      <c r="S1049" s="129">
        <v>1</v>
      </c>
      <c r="T1049" s="129">
        <v>1400</v>
      </c>
      <c r="U1049" s="129">
        <v>1400</v>
      </c>
      <c r="V1049" s="129">
        <v>252</v>
      </c>
      <c r="W1049" s="129">
        <v>1652</v>
      </c>
      <c r="X1049" s="27">
        <f t="shared" si="184"/>
        <v>1400</v>
      </c>
    </row>
    <row r="1050" spans="1:24" x14ac:dyDescent="0.2">
      <c r="A1050" s="220">
        <v>43832</v>
      </c>
      <c r="B1050" s="130" t="s">
        <v>68</v>
      </c>
      <c r="C1050" s="130" t="s">
        <v>102</v>
      </c>
      <c r="D1050" s="130" t="s">
        <v>2829</v>
      </c>
      <c r="E1050" s="130" t="s">
        <v>1373</v>
      </c>
      <c r="F1050" s="130" t="s">
        <v>1443</v>
      </c>
      <c r="G1050" s="220">
        <v>43790</v>
      </c>
      <c r="H1050" s="130" t="s">
        <v>387</v>
      </c>
      <c r="I1050" s="130" t="s">
        <v>386</v>
      </c>
      <c r="J1050" s="130" t="s">
        <v>92</v>
      </c>
      <c r="K1050" s="130" t="s">
        <v>113</v>
      </c>
      <c r="L1050" s="174" t="s">
        <v>71</v>
      </c>
      <c r="M1050" s="131" t="s">
        <v>72</v>
      </c>
      <c r="N1050" s="130" t="s">
        <v>73</v>
      </c>
      <c r="O1050" s="219" t="s">
        <v>69</v>
      </c>
      <c r="P1050" s="130" t="s">
        <v>1699</v>
      </c>
      <c r="Q1050" s="132" t="s">
        <v>74</v>
      </c>
      <c r="R1050" s="218">
        <v>3.3169999000000003</v>
      </c>
      <c r="S1050" s="129">
        <v>1</v>
      </c>
      <c r="T1050" s="129">
        <v>950</v>
      </c>
      <c r="U1050" s="129">
        <v>950</v>
      </c>
      <c r="V1050" s="129">
        <v>171</v>
      </c>
      <c r="W1050" s="129">
        <v>1121</v>
      </c>
      <c r="X1050" s="27">
        <f t="shared" si="184"/>
        <v>950</v>
      </c>
    </row>
    <row r="1051" spans="1:24" x14ac:dyDescent="0.2">
      <c r="A1051" s="220">
        <v>43832</v>
      </c>
      <c r="B1051" s="130" t="s">
        <v>68</v>
      </c>
      <c r="C1051" s="130" t="s">
        <v>102</v>
      </c>
      <c r="D1051" s="130" t="s">
        <v>2829</v>
      </c>
      <c r="E1051" s="130" t="s">
        <v>1373</v>
      </c>
      <c r="F1051" s="130" t="s">
        <v>1443</v>
      </c>
      <c r="G1051" s="220">
        <v>43790</v>
      </c>
      <c r="H1051" s="130" t="s">
        <v>387</v>
      </c>
      <c r="I1051" s="130" t="s">
        <v>386</v>
      </c>
      <c r="J1051" s="130" t="s">
        <v>132</v>
      </c>
      <c r="K1051" s="130" t="s">
        <v>2830</v>
      </c>
      <c r="L1051" s="174" t="s">
        <v>71</v>
      </c>
      <c r="M1051" s="131" t="s">
        <v>72</v>
      </c>
      <c r="N1051" s="130" t="s">
        <v>73</v>
      </c>
      <c r="O1051" s="219" t="s">
        <v>69</v>
      </c>
      <c r="P1051" s="130" t="s">
        <v>1699</v>
      </c>
      <c r="Q1051" s="132" t="s">
        <v>74</v>
      </c>
      <c r="R1051" s="218">
        <v>3.3169999000000003</v>
      </c>
      <c r="S1051" s="129">
        <v>1</v>
      </c>
      <c r="T1051" s="129">
        <v>2358</v>
      </c>
      <c r="U1051" s="129">
        <v>2358</v>
      </c>
      <c r="V1051" s="129">
        <v>424.43989999999991</v>
      </c>
      <c r="W1051" s="129">
        <v>2782.4398999999999</v>
      </c>
      <c r="X1051" s="27">
        <f t="shared" si="184"/>
        <v>2358</v>
      </c>
    </row>
    <row r="1052" spans="1:24" x14ac:dyDescent="0.2">
      <c r="A1052" s="220">
        <v>43832</v>
      </c>
      <c r="B1052" s="130" t="s">
        <v>68</v>
      </c>
      <c r="C1052" s="130" t="s">
        <v>102</v>
      </c>
      <c r="D1052" s="130" t="s">
        <v>2829</v>
      </c>
      <c r="E1052" s="130" t="s">
        <v>1373</v>
      </c>
      <c r="F1052" s="130" t="s">
        <v>1443</v>
      </c>
      <c r="G1052" s="220">
        <v>43790</v>
      </c>
      <c r="H1052" s="130" t="s">
        <v>387</v>
      </c>
      <c r="I1052" s="130" t="s">
        <v>386</v>
      </c>
      <c r="J1052" s="130" t="s">
        <v>70</v>
      </c>
      <c r="K1052" s="130" t="s">
        <v>112</v>
      </c>
      <c r="L1052" s="174" t="s">
        <v>71</v>
      </c>
      <c r="M1052" s="131" t="s">
        <v>72</v>
      </c>
      <c r="N1052" s="130" t="s">
        <v>73</v>
      </c>
      <c r="O1052" s="219" t="s">
        <v>69</v>
      </c>
      <c r="P1052" s="130" t="s">
        <v>1699</v>
      </c>
      <c r="Q1052" s="132" t="s">
        <v>74</v>
      </c>
      <c r="R1052" s="218">
        <v>3.3169999000000003</v>
      </c>
      <c r="S1052" s="129">
        <v>1</v>
      </c>
      <c r="T1052" s="129">
        <v>735</v>
      </c>
      <c r="U1052" s="129">
        <v>735</v>
      </c>
      <c r="V1052" s="129">
        <v>132.29998999999995</v>
      </c>
      <c r="W1052" s="129">
        <v>867.29998999999998</v>
      </c>
      <c r="X1052" s="27">
        <f t="shared" si="184"/>
        <v>735</v>
      </c>
    </row>
    <row r="1053" spans="1:24" x14ac:dyDescent="0.2">
      <c r="A1053" s="220">
        <v>43832</v>
      </c>
      <c r="B1053" s="130" t="s">
        <v>68</v>
      </c>
      <c r="C1053" s="130" t="s">
        <v>102</v>
      </c>
      <c r="D1053" s="130" t="s">
        <v>2829</v>
      </c>
      <c r="E1053" s="130" t="s">
        <v>1373</v>
      </c>
      <c r="F1053" s="130" t="s">
        <v>1443</v>
      </c>
      <c r="G1053" s="220">
        <v>43790</v>
      </c>
      <c r="H1053" s="130" t="s">
        <v>387</v>
      </c>
      <c r="I1053" s="130" t="s">
        <v>386</v>
      </c>
      <c r="J1053" s="130" t="s">
        <v>104</v>
      </c>
      <c r="K1053" s="130" t="s">
        <v>105</v>
      </c>
      <c r="L1053" s="174" t="s">
        <v>71</v>
      </c>
      <c r="M1053" s="131" t="s">
        <v>72</v>
      </c>
      <c r="N1053" s="130" t="s">
        <v>73</v>
      </c>
      <c r="O1053" s="219" t="s">
        <v>69</v>
      </c>
      <c r="P1053" s="130" t="s">
        <v>1699</v>
      </c>
      <c r="Q1053" s="132" t="s">
        <v>74</v>
      </c>
      <c r="R1053" s="218">
        <v>3.3169999000000003</v>
      </c>
      <c r="S1053" s="129">
        <v>1</v>
      </c>
      <c r="T1053" s="129">
        <v>2309</v>
      </c>
      <c r="U1053" s="129">
        <v>2309</v>
      </c>
      <c r="V1053" s="129">
        <v>415.62010000000009</v>
      </c>
      <c r="W1053" s="129">
        <v>2724.6201000000001</v>
      </c>
      <c r="X1053" s="27">
        <f t="shared" si="184"/>
        <v>2309</v>
      </c>
    </row>
    <row r="1054" spans="1:24" x14ac:dyDescent="0.2">
      <c r="A1054" s="220">
        <v>43832</v>
      </c>
      <c r="B1054" s="130" t="s">
        <v>68</v>
      </c>
      <c r="C1054" s="130" t="s">
        <v>102</v>
      </c>
      <c r="D1054" s="130" t="s">
        <v>2828</v>
      </c>
      <c r="E1054" s="130" t="s">
        <v>1973</v>
      </c>
      <c r="F1054" s="130" t="s">
        <v>2021</v>
      </c>
      <c r="G1054" s="220">
        <v>43818</v>
      </c>
      <c r="H1054" s="130" t="s">
        <v>90</v>
      </c>
      <c r="I1054" s="130" t="s">
        <v>91</v>
      </c>
      <c r="J1054" s="130" t="s">
        <v>97</v>
      </c>
      <c r="K1054" s="130" t="s">
        <v>98</v>
      </c>
      <c r="L1054" s="174" t="s">
        <v>71</v>
      </c>
      <c r="M1054" s="131" t="s">
        <v>72</v>
      </c>
      <c r="N1054" s="130" t="s">
        <v>73</v>
      </c>
      <c r="O1054" s="219" t="s">
        <v>99</v>
      </c>
      <c r="P1054" s="130" t="s">
        <v>98</v>
      </c>
      <c r="Q1054" s="132" t="s">
        <v>93</v>
      </c>
      <c r="R1054" s="218">
        <v>3.3169999000000003</v>
      </c>
      <c r="S1054" s="129">
        <v>1</v>
      </c>
      <c r="T1054" s="129">
        <v>191.75419999999997</v>
      </c>
      <c r="U1054" s="129">
        <v>191.75419999999997</v>
      </c>
      <c r="V1054" s="129">
        <v>34.51580000000002</v>
      </c>
      <c r="W1054" s="129">
        <v>226.27</v>
      </c>
      <c r="X1054" s="27">
        <f t="shared" si="184"/>
        <v>636.04866222457997</v>
      </c>
    </row>
    <row r="1055" spans="1:24" x14ac:dyDescent="0.2">
      <c r="A1055" s="220">
        <v>43832</v>
      </c>
      <c r="B1055" s="130" t="s">
        <v>68</v>
      </c>
      <c r="C1055" s="130" t="s">
        <v>102</v>
      </c>
      <c r="D1055" s="130" t="s">
        <v>2828</v>
      </c>
      <c r="E1055" s="130" t="s">
        <v>1973</v>
      </c>
      <c r="F1055" s="130" t="s">
        <v>2021</v>
      </c>
      <c r="G1055" s="220">
        <v>43818</v>
      </c>
      <c r="H1055" s="130" t="s">
        <v>90</v>
      </c>
      <c r="I1055" s="130" t="s">
        <v>91</v>
      </c>
      <c r="J1055" s="130" t="s">
        <v>100</v>
      </c>
      <c r="K1055" s="130" t="s">
        <v>101</v>
      </c>
      <c r="L1055" s="174" t="s">
        <v>71</v>
      </c>
      <c r="M1055" s="131" t="s">
        <v>72</v>
      </c>
      <c r="N1055" s="130" t="s">
        <v>73</v>
      </c>
      <c r="O1055" s="219" t="s">
        <v>72</v>
      </c>
      <c r="P1055" s="130" t="s">
        <v>101</v>
      </c>
      <c r="Q1055" s="132" t="s">
        <v>93</v>
      </c>
      <c r="R1055" s="218">
        <v>3.3169999000000003</v>
      </c>
      <c r="S1055" s="129">
        <v>1</v>
      </c>
      <c r="T1055" s="129">
        <v>60</v>
      </c>
      <c r="U1055" s="129">
        <v>60</v>
      </c>
      <c r="V1055" s="129">
        <v>10.800002999999997</v>
      </c>
      <c r="W1055" s="129">
        <v>70.800003000000004</v>
      </c>
      <c r="X1055" s="27">
        <f t="shared" si="184"/>
        <v>199.01999400000003</v>
      </c>
    </row>
    <row r="1056" spans="1:24" x14ac:dyDescent="0.2">
      <c r="A1056" s="220">
        <v>43832</v>
      </c>
      <c r="B1056" s="130" t="s">
        <v>68</v>
      </c>
      <c r="C1056" s="130" t="s">
        <v>102</v>
      </c>
      <c r="D1056" s="130" t="s">
        <v>2828</v>
      </c>
      <c r="E1056" s="130" t="s">
        <v>1973</v>
      </c>
      <c r="F1056" s="130" t="s">
        <v>2021</v>
      </c>
      <c r="G1056" s="220">
        <v>43818</v>
      </c>
      <c r="H1056" s="130" t="s">
        <v>90</v>
      </c>
      <c r="I1056" s="130" t="s">
        <v>91</v>
      </c>
      <c r="J1056" s="130" t="s">
        <v>92</v>
      </c>
      <c r="K1056" s="130" t="s">
        <v>113</v>
      </c>
      <c r="L1056" s="174" t="s">
        <v>71</v>
      </c>
      <c r="M1056" s="131" t="s">
        <v>72</v>
      </c>
      <c r="N1056" s="130" t="s">
        <v>73</v>
      </c>
      <c r="O1056" s="219" t="s">
        <v>69</v>
      </c>
      <c r="P1056" s="130" t="s">
        <v>1699</v>
      </c>
      <c r="Q1056" s="132" t="s">
        <v>93</v>
      </c>
      <c r="R1056" s="218">
        <v>3.3169999000000003</v>
      </c>
      <c r="S1056" s="129">
        <v>1</v>
      </c>
      <c r="T1056" s="129">
        <v>80</v>
      </c>
      <c r="U1056" s="129">
        <v>80</v>
      </c>
      <c r="V1056" s="129">
        <v>14.400002000000004</v>
      </c>
      <c r="W1056" s="129">
        <v>94.400002000000001</v>
      </c>
      <c r="X1056" s="27">
        <f t="shared" si="184"/>
        <v>265.35999200000003</v>
      </c>
    </row>
    <row r="1057" spans="1:24" x14ac:dyDescent="0.2">
      <c r="A1057" s="220">
        <v>43832</v>
      </c>
      <c r="B1057" s="130" t="s">
        <v>68</v>
      </c>
      <c r="C1057" s="130" t="s">
        <v>102</v>
      </c>
      <c r="D1057" s="130" t="s">
        <v>2828</v>
      </c>
      <c r="E1057" s="130" t="s">
        <v>1973</v>
      </c>
      <c r="F1057" s="130" t="s">
        <v>2021</v>
      </c>
      <c r="G1057" s="220">
        <v>43818</v>
      </c>
      <c r="H1057" s="130" t="s">
        <v>90</v>
      </c>
      <c r="I1057" s="130" t="s">
        <v>91</v>
      </c>
      <c r="J1057" s="130" t="s">
        <v>95</v>
      </c>
      <c r="K1057" s="130" t="s">
        <v>96</v>
      </c>
      <c r="L1057" s="174" t="s">
        <v>71</v>
      </c>
      <c r="M1057" s="131" t="s">
        <v>72</v>
      </c>
      <c r="N1057" s="130" t="s">
        <v>73</v>
      </c>
      <c r="O1057" s="219" t="s">
        <v>69</v>
      </c>
      <c r="P1057" s="130" t="s">
        <v>1699</v>
      </c>
      <c r="Q1057" s="132" t="s">
        <v>93</v>
      </c>
      <c r="R1057" s="218">
        <v>3.3169999000000003</v>
      </c>
      <c r="S1057" s="129">
        <v>-1</v>
      </c>
      <c r="T1057" s="129">
        <v>111.28809999999997</v>
      </c>
      <c r="U1057" s="129">
        <v>-111.28809999999997</v>
      </c>
      <c r="V1057" s="129">
        <v>-20.031910000000043</v>
      </c>
      <c r="W1057" s="129">
        <v>-131.32001000000002</v>
      </c>
      <c r="X1057" s="27">
        <f t="shared" si="184"/>
        <v>-369.14261657118993</v>
      </c>
    </row>
    <row r="1058" spans="1:24" x14ac:dyDescent="0.2">
      <c r="A1058" s="220">
        <v>43832</v>
      </c>
      <c r="B1058" s="130" t="s">
        <v>68</v>
      </c>
      <c r="C1058" s="130" t="s">
        <v>102</v>
      </c>
      <c r="D1058" s="130" t="s">
        <v>2828</v>
      </c>
      <c r="E1058" s="130" t="s">
        <v>1973</v>
      </c>
      <c r="F1058" s="130" t="s">
        <v>2021</v>
      </c>
      <c r="G1058" s="220">
        <v>43818</v>
      </c>
      <c r="H1058" s="130" t="s">
        <v>90</v>
      </c>
      <c r="I1058" s="130" t="s">
        <v>91</v>
      </c>
      <c r="J1058" s="130" t="s">
        <v>104</v>
      </c>
      <c r="K1058" s="130" t="s">
        <v>105</v>
      </c>
      <c r="L1058" s="174" t="s">
        <v>71</v>
      </c>
      <c r="M1058" s="131" t="s">
        <v>72</v>
      </c>
      <c r="N1058" s="130" t="s">
        <v>73</v>
      </c>
      <c r="O1058" s="219" t="s">
        <v>69</v>
      </c>
      <c r="P1058" s="130" t="s">
        <v>1699</v>
      </c>
      <c r="Q1058" s="132" t="s">
        <v>93</v>
      </c>
      <c r="R1058" s="218">
        <v>3.3169999000000003</v>
      </c>
      <c r="S1058" s="129">
        <v>1</v>
      </c>
      <c r="T1058" s="129">
        <v>0</v>
      </c>
      <c r="U1058" s="129">
        <v>0</v>
      </c>
      <c r="V1058" s="129">
        <v>0</v>
      </c>
      <c r="W1058" s="129">
        <v>0</v>
      </c>
      <c r="X1058" s="27">
        <f t="shared" si="184"/>
        <v>0</v>
      </c>
    </row>
    <row r="1059" spans="1:24" x14ac:dyDescent="0.2">
      <c r="A1059" s="220">
        <v>43832</v>
      </c>
      <c r="B1059" s="130" t="s">
        <v>68</v>
      </c>
      <c r="C1059" s="130" t="s">
        <v>102</v>
      </c>
      <c r="D1059" s="130" t="s">
        <v>2066</v>
      </c>
      <c r="E1059" s="130" t="s">
        <v>1996</v>
      </c>
      <c r="F1059" s="130" t="s">
        <v>2564</v>
      </c>
      <c r="G1059" s="220">
        <v>43827</v>
      </c>
      <c r="H1059" s="130" t="s">
        <v>311</v>
      </c>
      <c r="I1059" s="130" t="s">
        <v>312</v>
      </c>
      <c r="J1059" s="130" t="s">
        <v>70</v>
      </c>
      <c r="K1059" s="130" t="s">
        <v>112</v>
      </c>
      <c r="L1059" s="174" t="s">
        <v>71</v>
      </c>
      <c r="M1059" s="131" t="s">
        <v>102</v>
      </c>
      <c r="N1059" s="130" t="s">
        <v>103</v>
      </c>
      <c r="O1059" s="219" t="s">
        <v>69</v>
      </c>
      <c r="P1059" s="130" t="s">
        <v>1699</v>
      </c>
      <c r="Q1059" s="132" t="s">
        <v>74</v>
      </c>
      <c r="R1059" s="218">
        <v>3.3169999000000003</v>
      </c>
      <c r="S1059" s="129">
        <v>1</v>
      </c>
      <c r="T1059" s="129">
        <v>499</v>
      </c>
      <c r="U1059" s="129">
        <v>499</v>
      </c>
      <c r="V1059" s="129">
        <v>89.82001000000011</v>
      </c>
      <c r="W1059" s="129">
        <v>588.82001000000014</v>
      </c>
      <c r="X1059" s="27">
        <f t="shared" si="184"/>
        <v>499</v>
      </c>
    </row>
    <row r="1060" spans="1:24" x14ac:dyDescent="0.2">
      <c r="A1060" s="220">
        <v>43832</v>
      </c>
      <c r="B1060" s="130" t="s">
        <v>68</v>
      </c>
      <c r="C1060" s="130" t="s">
        <v>102</v>
      </c>
      <c r="D1060" s="130" t="s">
        <v>2066</v>
      </c>
      <c r="E1060" s="130" t="s">
        <v>1996</v>
      </c>
      <c r="F1060" s="130" t="s">
        <v>2564</v>
      </c>
      <c r="G1060" s="220">
        <v>43827</v>
      </c>
      <c r="H1060" s="130" t="s">
        <v>311</v>
      </c>
      <c r="I1060" s="130" t="s">
        <v>312</v>
      </c>
      <c r="J1060" s="130" t="s">
        <v>104</v>
      </c>
      <c r="K1060" s="130" t="s">
        <v>105</v>
      </c>
      <c r="L1060" s="174" t="s">
        <v>71</v>
      </c>
      <c r="M1060" s="131" t="s">
        <v>102</v>
      </c>
      <c r="N1060" s="130" t="s">
        <v>103</v>
      </c>
      <c r="O1060" s="219" t="s">
        <v>69</v>
      </c>
      <c r="P1060" s="130" t="s">
        <v>1699</v>
      </c>
      <c r="Q1060" s="132" t="s">
        <v>74</v>
      </c>
      <c r="R1060" s="218">
        <v>3.3169999000000003</v>
      </c>
      <c r="S1060" s="129">
        <v>1</v>
      </c>
      <c r="T1060" s="129">
        <v>0</v>
      </c>
      <c r="U1060" s="129">
        <v>0</v>
      </c>
      <c r="V1060" s="129">
        <v>0</v>
      </c>
      <c r="W1060" s="129">
        <v>0</v>
      </c>
      <c r="X1060" s="27">
        <f t="shared" si="184"/>
        <v>0</v>
      </c>
    </row>
    <row r="1061" spans="1:24" x14ac:dyDescent="0.2">
      <c r="A1061" s="220">
        <v>43834</v>
      </c>
      <c r="B1061" s="130" t="s">
        <v>68</v>
      </c>
      <c r="C1061" s="130" t="s">
        <v>102</v>
      </c>
      <c r="D1061" s="130" t="s">
        <v>2241</v>
      </c>
      <c r="E1061" s="130" t="s">
        <v>1994</v>
      </c>
      <c r="F1061" s="130" t="s">
        <v>2759</v>
      </c>
      <c r="G1061" s="220">
        <v>43822</v>
      </c>
      <c r="H1061" s="130" t="s">
        <v>90</v>
      </c>
      <c r="I1061" s="130" t="s">
        <v>91</v>
      </c>
      <c r="J1061" s="130" t="s">
        <v>97</v>
      </c>
      <c r="K1061" s="130" t="s">
        <v>98</v>
      </c>
      <c r="L1061" s="174" t="s">
        <v>71</v>
      </c>
      <c r="M1061" s="131" t="s">
        <v>72</v>
      </c>
      <c r="N1061" s="130" t="s">
        <v>73</v>
      </c>
      <c r="O1061" s="219" t="s">
        <v>99</v>
      </c>
      <c r="P1061" s="130" t="s">
        <v>98</v>
      </c>
      <c r="Q1061" s="132" t="s">
        <v>93</v>
      </c>
      <c r="R1061" s="218">
        <v>3.3110000999999998</v>
      </c>
      <c r="S1061" s="129">
        <v>1</v>
      </c>
      <c r="T1061" s="129">
        <v>177</v>
      </c>
      <c r="U1061" s="129">
        <v>177</v>
      </c>
      <c r="V1061" s="129">
        <v>31.86</v>
      </c>
      <c r="W1061" s="129">
        <v>208.86</v>
      </c>
      <c r="X1061" s="27">
        <f t="shared" si="184"/>
        <v>586.04701769999997</v>
      </c>
    </row>
    <row r="1062" spans="1:24" x14ac:dyDescent="0.2">
      <c r="A1062" s="220">
        <v>43834</v>
      </c>
      <c r="B1062" s="130" t="s">
        <v>68</v>
      </c>
      <c r="C1062" s="130" t="s">
        <v>102</v>
      </c>
      <c r="D1062" s="130" t="s">
        <v>2241</v>
      </c>
      <c r="E1062" s="130" t="s">
        <v>1994</v>
      </c>
      <c r="F1062" s="130" t="s">
        <v>2759</v>
      </c>
      <c r="G1062" s="220">
        <v>43822</v>
      </c>
      <c r="H1062" s="130" t="s">
        <v>90</v>
      </c>
      <c r="I1062" s="130" t="s">
        <v>91</v>
      </c>
      <c r="J1062" s="130" t="s">
        <v>100</v>
      </c>
      <c r="K1062" s="130" t="s">
        <v>101</v>
      </c>
      <c r="L1062" s="174" t="s">
        <v>71</v>
      </c>
      <c r="M1062" s="131" t="s">
        <v>72</v>
      </c>
      <c r="N1062" s="130" t="s">
        <v>73</v>
      </c>
      <c r="O1062" s="219" t="s">
        <v>72</v>
      </c>
      <c r="P1062" s="130" t="s">
        <v>101</v>
      </c>
      <c r="Q1062" s="132" t="s">
        <v>93</v>
      </c>
      <c r="R1062" s="218">
        <v>3.3110000999999998</v>
      </c>
      <c r="S1062" s="129">
        <v>1</v>
      </c>
      <c r="T1062" s="129">
        <v>127.5</v>
      </c>
      <c r="U1062" s="129">
        <v>127.5</v>
      </c>
      <c r="V1062" s="129">
        <v>22.949999999999982</v>
      </c>
      <c r="W1062" s="129">
        <v>150.44999999999999</v>
      </c>
      <c r="X1062" s="27">
        <f t="shared" si="184"/>
        <v>422.15251274999997</v>
      </c>
    </row>
    <row r="1063" spans="1:24" x14ac:dyDescent="0.2">
      <c r="A1063" s="220">
        <v>43834</v>
      </c>
      <c r="B1063" s="130" t="s">
        <v>68</v>
      </c>
      <c r="C1063" s="130" t="s">
        <v>102</v>
      </c>
      <c r="D1063" s="130" t="s">
        <v>2241</v>
      </c>
      <c r="E1063" s="130" t="s">
        <v>1994</v>
      </c>
      <c r="F1063" s="130" t="s">
        <v>2759</v>
      </c>
      <c r="G1063" s="220">
        <v>43822</v>
      </c>
      <c r="H1063" s="130" t="s">
        <v>90</v>
      </c>
      <c r="I1063" s="130" t="s">
        <v>91</v>
      </c>
      <c r="J1063" s="130" t="s">
        <v>92</v>
      </c>
      <c r="K1063" s="130" t="s">
        <v>113</v>
      </c>
      <c r="L1063" s="174" t="s">
        <v>71</v>
      </c>
      <c r="M1063" s="131" t="s">
        <v>72</v>
      </c>
      <c r="N1063" s="130" t="s">
        <v>73</v>
      </c>
      <c r="O1063" s="219" t="s">
        <v>69</v>
      </c>
      <c r="P1063" s="130" t="s">
        <v>1699</v>
      </c>
      <c r="Q1063" s="132" t="s">
        <v>93</v>
      </c>
      <c r="R1063" s="218">
        <v>3.3110000999999998</v>
      </c>
      <c r="S1063" s="129">
        <v>1</v>
      </c>
      <c r="T1063" s="129">
        <v>60</v>
      </c>
      <c r="U1063" s="129">
        <v>60</v>
      </c>
      <c r="V1063" s="129">
        <v>10.800002999999997</v>
      </c>
      <c r="W1063" s="129">
        <v>70.800003000000004</v>
      </c>
      <c r="X1063" s="27">
        <f t="shared" si="184"/>
        <v>198.66000599999998</v>
      </c>
    </row>
    <row r="1064" spans="1:24" x14ac:dyDescent="0.2">
      <c r="A1064" s="220">
        <v>43834</v>
      </c>
      <c r="B1064" s="130" t="s">
        <v>68</v>
      </c>
      <c r="C1064" s="130" t="s">
        <v>102</v>
      </c>
      <c r="D1064" s="130" t="s">
        <v>2241</v>
      </c>
      <c r="E1064" s="130" t="s">
        <v>1994</v>
      </c>
      <c r="F1064" s="130" t="s">
        <v>2759</v>
      </c>
      <c r="G1064" s="220">
        <v>43822</v>
      </c>
      <c r="H1064" s="130" t="s">
        <v>90</v>
      </c>
      <c r="I1064" s="130" t="s">
        <v>91</v>
      </c>
      <c r="J1064" s="130" t="s">
        <v>132</v>
      </c>
      <c r="K1064" s="130" t="s">
        <v>2796</v>
      </c>
      <c r="L1064" s="174" t="s">
        <v>71</v>
      </c>
      <c r="M1064" s="131" t="s">
        <v>72</v>
      </c>
      <c r="N1064" s="130" t="s">
        <v>73</v>
      </c>
      <c r="O1064" s="219" t="s">
        <v>69</v>
      </c>
      <c r="P1064" s="130" t="s">
        <v>1699</v>
      </c>
      <c r="Q1064" s="132" t="s">
        <v>93</v>
      </c>
      <c r="R1064" s="218">
        <v>3.3110000999999998</v>
      </c>
      <c r="S1064" s="129">
        <v>1</v>
      </c>
      <c r="T1064" s="129">
        <v>22.5</v>
      </c>
      <c r="U1064" s="129">
        <v>22.5</v>
      </c>
      <c r="V1064" s="129">
        <v>4.0499990000000023</v>
      </c>
      <c r="W1064" s="129">
        <v>26.549999000000003</v>
      </c>
      <c r="X1064" s="27">
        <f t="shared" si="184"/>
        <v>74.497502249999997</v>
      </c>
    </row>
    <row r="1065" spans="1:24" x14ac:dyDescent="0.2">
      <c r="A1065" s="220">
        <v>43834</v>
      </c>
      <c r="B1065" s="130" t="s">
        <v>68</v>
      </c>
      <c r="C1065" s="130" t="s">
        <v>102</v>
      </c>
      <c r="D1065" s="130" t="s">
        <v>2241</v>
      </c>
      <c r="E1065" s="130" t="s">
        <v>1994</v>
      </c>
      <c r="F1065" s="130" t="s">
        <v>2759</v>
      </c>
      <c r="G1065" s="220">
        <v>43822</v>
      </c>
      <c r="H1065" s="130" t="s">
        <v>90</v>
      </c>
      <c r="I1065" s="130" t="s">
        <v>91</v>
      </c>
      <c r="J1065" s="130" t="s">
        <v>95</v>
      </c>
      <c r="K1065" s="130" t="s">
        <v>96</v>
      </c>
      <c r="L1065" s="174" t="s">
        <v>71</v>
      </c>
      <c r="M1065" s="131" t="s">
        <v>72</v>
      </c>
      <c r="N1065" s="130" t="s">
        <v>73</v>
      </c>
      <c r="O1065" s="219" t="s">
        <v>69</v>
      </c>
      <c r="P1065" s="130" t="s">
        <v>1699</v>
      </c>
      <c r="Q1065" s="132" t="s">
        <v>93</v>
      </c>
      <c r="R1065" s="218">
        <v>3.3110000999999998</v>
      </c>
      <c r="S1065" s="129">
        <v>-1</v>
      </c>
      <c r="T1065" s="129">
        <v>100</v>
      </c>
      <c r="U1065" s="129">
        <v>-100</v>
      </c>
      <c r="V1065" s="129">
        <v>-18</v>
      </c>
      <c r="W1065" s="129">
        <v>-118</v>
      </c>
      <c r="X1065" s="27">
        <f t="shared" si="184"/>
        <v>-331.10001</v>
      </c>
    </row>
    <row r="1066" spans="1:24" x14ac:dyDescent="0.2">
      <c r="A1066" s="220">
        <v>43834</v>
      </c>
      <c r="B1066" s="130" t="s">
        <v>68</v>
      </c>
      <c r="C1066" s="130" t="s">
        <v>102</v>
      </c>
      <c r="D1066" s="130" t="s">
        <v>2241</v>
      </c>
      <c r="E1066" s="130" t="s">
        <v>1994</v>
      </c>
      <c r="F1066" s="130" t="s">
        <v>2759</v>
      </c>
      <c r="G1066" s="220">
        <v>43822</v>
      </c>
      <c r="H1066" s="130" t="s">
        <v>90</v>
      </c>
      <c r="I1066" s="130" t="s">
        <v>91</v>
      </c>
      <c r="J1066" s="130" t="s">
        <v>104</v>
      </c>
      <c r="K1066" s="130" t="s">
        <v>105</v>
      </c>
      <c r="L1066" s="174" t="s">
        <v>71</v>
      </c>
      <c r="M1066" s="131" t="s">
        <v>72</v>
      </c>
      <c r="N1066" s="130" t="s">
        <v>73</v>
      </c>
      <c r="O1066" s="219" t="s">
        <v>69</v>
      </c>
      <c r="P1066" s="130" t="s">
        <v>1699</v>
      </c>
      <c r="Q1066" s="132" t="s">
        <v>93</v>
      </c>
      <c r="R1066" s="218">
        <v>3.3110000999999998</v>
      </c>
      <c r="S1066" s="129">
        <v>1</v>
      </c>
      <c r="T1066" s="129">
        <v>0</v>
      </c>
      <c r="U1066" s="129">
        <v>0</v>
      </c>
      <c r="V1066" s="129">
        <v>0</v>
      </c>
      <c r="W1066" s="129">
        <v>0</v>
      </c>
      <c r="X1066" s="27">
        <f t="shared" si="184"/>
        <v>0</v>
      </c>
    </row>
    <row r="1067" spans="1:24" x14ac:dyDescent="0.2">
      <c r="A1067" s="220">
        <v>43836</v>
      </c>
      <c r="B1067" s="130" t="s">
        <v>68</v>
      </c>
      <c r="C1067" s="130" t="s">
        <v>102</v>
      </c>
      <c r="D1067" s="130" t="s">
        <v>2827</v>
      </c>
      <c r="E1067" s="130" t="s">
        <v>2602</v>
      </c>
      <c r="F1067" s="130" t="s">
        <v>2522</v>
      </c>
      <c r="G1067" s="220">
        <v>43832</v>
      </c>
      <c r="H1067" s="130" t="s">
        <v>2826</v>
      </c>
      <c r="I1067" s="130" t="s">
        <v>2825</v>
      </c>
      <c r="J1067" s="130" t="s">
        <v>70</v>
      </c>
      <c r="K1067" s="130" t="s">
        <v>112</v>
      </c>
      <c r="L1067" s="174" t="s">
        <v>71</v>
      </c>
      <c r="M1067" s="131" t="s">
        <v>72</v>
      </c>
      <c r="N1067" s="130" t="s">
        <v>73</v>
      </c>
      <c r="O1067" s="219" t="s">
        <v>69</v>
      </c>
      <c r="P1067" s="130" t="s">
        <v>1699</v>
      </c>
      <c r="Q1067" s="132" t="s">
        <v>74</v>
      </c>
      <c r="R1067" s="218">
        <v>3.3110000999999998</v>
      </c>
      <c r="S1067" s="129">
        <v>1</v>
      </c>
      <c r="T1067" s="129">
        <v>270</v>
      </c>
      <c r="U1067" s="129">
        <v>270</v>
      </c>
      <c r="V1067" s="129">
        <v>48.600010000000005</v>
      </c>
      <c r="W1067" s="129">
        <v>318.60001</v>
      </c>
      <c r="X1067" s="27">
        <f t="shared" si="184"/>
        <v>270</v>
      </c>
    </row>
    <row r="1068" spans="1:24" x14ac:dyDescent="0.2">
      <c r="A1068" s="220">
        <v>43836</v>
      </c>
      <c r="B1068" s="130" t="s">
        <v>68</v>
      </c>
      <c r="C1068" s="130" t="s">
        <v>102</v>
      </c>
      <c r="D1068" s="130" t="s">
        <v>2827</v>
      </c>
      <c r="E1068" s="130" t="s">
        <v>2602</v>
      </c>
      <c r="F1068" s="130" t="s">
        <v>2522</v>
      </c>
      <c r="G1068" s="220">
        <v>43832</v>
      </c>
      <c r="H1068" s="130" t="s">
        <v>2826</v>
      </c>
      <c r="I1068" s="130" t="s">
        <v>2825</v>
      </c>
      <c r="J1068" s="130" t="s">
        <v>104</v>
      </c>
      <c r="K1068" s="130" t="s">
        <v>105</v>
      </c>
      <c r="L1068" s="174" t="s">
        <v>71</v>
      </c>
      <c r="M1068" s="131" t="s">
        <v>72</v>
      </c>
      <c r="N1068" s="130" t="s">
        <v>73</v>
      </c>
      <c r="O1068" s="219" t="s">
        <v>69</v>
      </c>
      <c r="P1068" s="130" t="s">
        <v>1699</v>
      </c>
      <c r="Q1068" s="132" t="s">
        <v>74</v>
      </c>
      <c r="R1068" s="218">
        <v>3.3110000999999998</v>
      </c>
      <c r="S1068" s="129">
        <v>1</v>
      </c>
      <c r="T1068" s="129">
        <v>609</v>
      </c>
      <c r="U1068" s="129">
        <v>609</v>
      </c>
      <c r="V1068" s="129">
        <v>109.62</v>
      </c>
      <c r="W1068" s="129">
        <v>718.62</v>
      </c>
      <c r="X1068" s="27">
        <f t="shared" si="184"/>
        <v>609</v>
      </c>
    </row>
    <row r="1069" spans="1:24" x14ac:dyDescent="0.2">
      <c r="A1069" s="220">
        <v>43836</v>
      </c>
      <c r="B1069" s="130" t="s">
        <v>68</v>
      </c>
      <c r="C1069" s="130" t="s">
        <v>102</v>
      </c>
      <c r="D1069" s="130" t="s">
        <v>2824</v>
      </c>
      <c r="E1069" s="130" t="s">
        <v>2002</v>
      </c>
      <c r="F1069" s="130" t="s">
        <v>955</v>
      </c>
      <c r="G1069" s="220">
        <v>43826</v>
      </c>
      <c r="H1069" s="130" t="s">
        <v>387</v>
      </c>
      <c r="I1069" s="130" t="s">
        <v>386</v>
      </c>
      <c r="J1069" s="130" t="s">
        <v>97</v>
      </c>
      <c r="K1069" s="130" t="s">
        <v>98</v>
      </c>
      <c r="L1069" s="174" t="s">
        <v>71</v>
      </c>
      <c r="M1069" s="131" t="s">
        <v>72</v>
      </c>
      <c r="N1069" s="130" t="s">
        <v>73</v>
      </c>
      <c r="O1069" s="219" t="s">
        <v>99</v>
      </c>
      <c r="P1069" s="130" t="s">
        <v>98</v>
      </c>
      <c r="Q1069" s="132" t="s">
        <v>74</v>
      </c>
      <c r="R1069" s="218">
        <v>3.3110000999999998</v>
      </c>
      <c r="S1069" s="129">
        <v>1</v>
      </c>
      <c r="T1069" s="129">
        <v>101.25419999999998</v>
      </c>
      <c r="U1069" s="129">
        <v>101.25419999999998</v>
      </c>
      <c r="V1069" s="129">
        <v>18.225800000000017</v>
      </c>
      <c r="W1069" s="129">
        <v>119.48</v>
      </c>
      <c r="X1069" s="27">
        <f t="shared" si="184"/>
        <v>101.25419999999998</v>
      </c>
    </row>
    <row r="1070" spans="1:24" x14ac:dyDescent="0.2">
      <c r="A1070" s="220">
        <v>43836</v>
      </c>
      <c r="B1070" s="130" t="s">
        <v>68</v>
      </c>
      <c r="C1070" s="130" t="s">
        <v>102</v>
      </c>
      <c r="D1070" s="130" t="s">
        <v>2824</v>
      </c>
      <c r="E1070" s="130" t="s">
        <v>2002</v>
      </c>
      <c r="F1070" s="130" t="s">
        <v>955</v>
      </c>
      <c r="G1070" s="220">
        <v>43826</v>
      </c>
      <c r="H1070" s="130" t="s">
        <v>387</v>
      </c>
      <c r="I1070" s="130" t="s">
        <v>386</v>
      </c>
      <c r="J1070" s="130" t="s">
        <v>100</v>
      </c>
      <c r="K1070" s="130" t="s">
        <v>101</v>
      </c>
      <c r="L1070" s="174" t="s">
        <v>71</v>
      </c>
      <c r="M1070" s="131" t="s">
        <v>72</v>
      </c>
      <c r="N1070" s="130" t="s">
        <v>73</v>
      </c>
      <c r="O1070" s="219" t="s">
        <v>72</v>
      </c>
      <c r="P1070" s="130" t="s">
        <v>101</v>
      </c>
      <c r="Q1070" s="132" t="s">
        <v>74</v>
      </c>
      <c r="R1070" s="218">
        <v>3.3110000999999998</v>
      </c>
      <c r="S1070" s="129">
        <v>1</v>
      </c>
      <c r="T1070" s="129">
        <v>105</v>
      </c>
      <c r="U1070" s="129">
        <v>105</v>
      </c>
      <c r="V1070" s="129">
        <v>18.899999999999999</v>
      </c>
      <c r="W1070" s="129">
        <v>123.9</v>
      </c>
      <c r="X1070" s="27">
        <f t="shared" si="184"/>
        <v>105</v>
      </c>
    </row>
    <row r="1071" spans="1:24" x14ac:dyDescent="0.2">
      <c r="A1071" s="220">
        <v>43836</v>
      </c>
      <c r="B1071" s="130" t="s">
        <v>68</v>
      </c>
      <c r="C1071" s="130" t="s">
        <v>102</v>
      </c>
      <c r="D1071" s="130" t="s">
        <v>2824</v>
      </c>
      <c r="E1071" s="130" t="s">
        <v>2002</v>
      </c>
      <c r="F1071" s="130" t="s">
        <v>955</v>
      </c>
      <c r="G1071" s="220">
        <v>43826</v>
      </c>
      <c r="H1071" s="130" t="s">
        <v>387</v>
      </c>
      <c r="I1071" s="130" t="s">
        <v>386</v>
      </c>
      <c r="J1071" s="130" t="s">
        <v>92</v>
      </c>
      <c r="K1071" s="130" t="s">
        <v>113</v>
      </c>
      <c r="L1071" s="174" t="s">
        <v>71</v>
      </c>
      <c r="M1071" s="131" t="s">
        <v>72</v>
      </c>
      <c r="N1071" s="130" t="s">
        <v>73</v>
      </c>
      <c r="O1071" s="219" t="s">
        <v>69</v>
      </c>
      <c r="P1071" s="130" t="s">
        <v>1699</v>
      </c>
      <c r="Q1071" s="132" t="s">
        <v>74</v>
      </c>
      <c r="R1071" s="218">
        <v>3.3110000999999998</v>
      </c>
      <c r="S1071" s="129">
        <v>1</v>
      </c>
      <c r="T1071" s="129">
        <v>120</v>
      </c>
      <c r="U1071" s="129">
        <v>120</v>
      </c>
      <c r="V1071" s="129">
        <v>21.600010000000019</v>
      </c>
      <c r="W1071" s="129">
        <v>141.60001000000003</v>
      </c>
      <c r="X1071" s="27">
        <f t="shared" si="184"/>
        <v>120</v>
      </c>
    </row>
    <row r="1072" spans="1:24" x14ac:dyDescent="0.2">
      <c r="A1072" s="220">
        <v>43836</v>
      </c>
      <c r="B1072" s="130" t="s">
        <v>68</v>
      </c>
      <c r="C1072" s="130" t="s">
        <v>102</v>
      </c>
      <c r="D1072" s="130" t="s">
        <v>2824</v>
      </c>
      <c r="E1072" s="130" t="s">
        <v>2002</v>
      </c>
      <c r="F1072" s="130" t="s">
        <v>955</v>
      </c>
      <c r="G1072" s="220">
        <v>43826</v>
      </c>
      <c r="H1072" s="130" t="s">
        <v>387</v>
      </c>
      <c r="I1072" s="130" t="s">
        <v>386</v>
      </c>
      <c r="J1072" s="130" t="s">
        <v>70</v>
      </c>
      <c r="K1072" s="130" t="s">
        <v>112</v>
      </c>
      <c r="L1072" s="174" t="s">
        <v>71</v>
      </c>
      <c r="M1072" s="131" t="s">
        <v>72</v>
      </c>
      <c r="N1072" s="130" t="s">
        <v>73</v>
      </c>
      <c r="O1072" s="219" t="s">
        <v>69</v>
      </c>
      <c r="P1072" s="130" t="s">
        <v>1699</v>
      </c>
      <c r="Q1072" s="132" t="s">
        <v>74</v>
      </c>
      <c r="R1072" s="218">
        <v>3.3110000999999998</v>
      </c>
      <c r="S1072" s="129">
        <v>1</v>
      </c>
      <c r="T1072" s="129">
        <v>35</v>
      </c>
      <c r="U1072" s="129">
        <v>35</v>
      </c>
      <c r="V1072" s="129">
        <v>6.299998999999989</v>
      </c>
      <c r="W1072" s="129">
        <v>41.299998999999985</v>
      </c>
      <c r="X1072" s="27">
        <f t="shared" si="184"/>
        <v>35</v>
      </c>
    </row>
    <row r="1073" spans="1:24" x14ac:dyDescent="0.2">
      <c r="A1073" s="220">
        <v>43836</v>
      </c>
      <c r="B1073" s="130" t="s">
        <v>68</v>
      </c>
      <c r="C1073" s="130" t="s">
        <v>102</v>
      </c>
      <c r="D1073" s="130" t="s">
        <v>2824</v>
      </c>
      <c r="E1073" s="130" t="s">
        <v>2002</v>
      </c>
      <c r="F1073" s="130" t="s">
        <v>955</v>
      </c>
      <c r="G1073" s="220">
        <v>43826</v>
      </c>
      <c r="H1073" s="130" t="s">
        <v>387</v>
      </c>
      <c r="I1073" s="130" t="s">
        <v>386</v>
      </c>
      <c r="J1073" s="130" t="s">
        <v>104</v>
      </c>
      <c r="K1073" s="130" t="s">
        <v>105</v>
      </c>
      <c r="L1073" s="174" t="s">
        <v>71</v>
      </c>
      <c r="M1073" s="131" t="s">
        <v>72</v>
      </c>
      <c r="N1073" s="130" t="s">
        <v>73</v>
      </c>
      <c r="O1073" s="219" t="s">
        <v>69</v>
      </c>
      <c r="P1073" s="130" t="s">
        <v>1699</v>
      </c>
      <c r="Q1073" s="132" t="s">
        <v>74</v>
      </c>
      <c r="R1073" s="218">
        <v>3.3110000999999998</v>
      </c>
      <c r="S1073" s="129">
        <v>1</v>
      </c>
      <c r="T1073" s="129">
        <v>200</v>
      </c>
      <c r="U1073" s="129">
        <v>200</v>
      </c>
      <c r="V1073" s="129">
        <v>36</v>
      </c>
      <c r="W1073" s="129">
        <v>236</v>
      </c>
      <c r="X1073" s="27">
        <f t="shared" si="184"/>
        <v>200</v>
      </c>
    </row>
    <row r="1074" spans="1:24" x14ac:dyDescent="0.2">
      <c r="A1074" s="220">
        <v>43837</v>
      </c>
      <c r="B1074" s="130" t="s">
        <v>68</v>
      </c>
      <c r="C1074" s="130" t="s">
        <v>102</v>
      </c>
      <c r="D1074" s="130" t="s">
        <v>2090</v>
      </c>
      <c r="E1074" s="130" t="s">
        <v>2003</v>
      </c>
      <c r="F1074" s="130" t="s">
        <v>2756</v>
      </c>
      <c r="G1074" s="220">
        <v>43829</v>
      </c>
      <c r="H1074" s="130" t="s">
        <v>90</v>
      </c>
      <c r="I1074" s="130" t="s">
        <v>91</v>
      </c>
      <c r="J1074" s="130" t="s">
        <v>97</v>
      </c>
      <c r="K1074" s="130" t="s">
        <v>98</v>
      </c>
      <c r="L1074" s="174" t="s">
        <v>71</v>
      </c>
      <c r="M1074" s="131" t="s">
        <v>72</v>
      </c>
      <c r="N1074" s="130" t="s">
        <v>73</v>
      </c>
      <c r="O1074" s="219" t="s">
        <v>99</v>
      </c>
      <c r="P1074" s="130" t="s">
        <v>98</v>
      </c>
      <c r="Q1074" s="132" t="s">
        <v>93</v>
      </c>
      <c r="R1074" s="218">
        <v>3.323</v>
      </c>
      <c r="S1074" s="129">
        <v>1</v>
      </c>
      <c r="T1074" s="129">
        <v>147.5</v>
      </c>
      <c r="U1074" s="129">
        <v>147.5</v>
      </c>
      <c r="V1074" s="129">
        <v>26.55</v>
      </c>
      <c r="W1074" s="129">
        <v>174.05</v>
      </c>
      <c r="X1074" s="27">
        <f t="shared" si="184"/>
        <v>490.14249999999998</v>
      </c>
    </row>
    <row r="1075" spans="1:24" x14ac:dyDescent="0.2">
      <c r="A1075" s="220">
        <v>43837</v>
      </c>
      <c r="B1075" s="130" t="s">
        <v>68</v>
      </c>
      <c r="C1075" s="130" t="s">
        <v>102</v>
      </c>
      <c r="D1075" s="130" t="s">
        <v>2090</v>
      </c>
      <c r="E1075" s="130" t="s">
        <v>2003</v>
      </c>
      <c r="F1075" s="130" t="s">
        <v>2756</v>
      </c>
      <c r="G1075" s="220">
        <v>43829</v>
      </c>
      <c r="H1075" s="130" t="s">
        <v>90</v>
      </c>
      <c r="I1075" s="130" t="s">
        <v>91</v>
      </c>
      <c r="J1075" s="130" t="s">
        <v>100</v>
      </c>
      <c r="K1075" s="130" t="s">
        <v>101</v>
      </c>
      <c r="L1075" s="174" t="s">
        <v>71</v>
      </c>
      <c r="M1075" s="131" t="s">
        <v>72</v>
      </c>
      <c r="N1075" s="130" t="s">
        <v>73</v>
      </c>
      <c r="O1075" s="219" t="s">
        <v>72</v>
      </c>
      <c r="P1075" s="130" t="s">
        <v>101</v>
      </c>
      <c r="Q1075" s="132" t="s">
        <v>93</v>
      </c>
      <c r="R1075" s="218">
        <v>3.323</v>
      </c>
      <c r="S1075" s="129">
        <v>1</v>
      </c>
      <c r="T1075" s="129">
        <v>120</v>
      </c>
      <c r="U1075" s="129">
        <v>120</v>
      </c>
      <c r="V1075" s="129">
        <v>21.600010000000019</v>
      </c>
      <c r="W1075" s="129">
        <v>141.60001000000003</v>
      </c>
      <c r="X1075" s="27">
        <f t="shared" si="184"/>
        <v>398.76</v>
      </c>
    </row>
    <row r="1076" spans="1:24" x14ac:dyDescent="0.2">
      <c r="A1076" s="220">
        <v>43837</v>
      </c>
      <c r="B1076" s="130" t="s">
        <v>68</v>
      </c>
      <c r="C1076" s="130" t="s">
        <v>102</v>
      </c>
      <c r="D1076" s="130" t="s">
        <v>2090</v>
      </c>
      <c r="E1076" s="130" t="s">
        <v>2003</v>
      </c>
      <c r="F1076" s="130" t="s">
        <v>2756</v>
      </c>
      <c r="G1076" s="220">
        <v>43829</v>
      </c>
      <c r="H1076" s="130" t="s">
        <v>90</v>
      </c>
      <c r="I1076" s="130" t="s">
        <v>91</v>
      </c>
      <c r="J1076" s="130" t="s">
        <v>92</v>
      </c>
      <c r="K1076" s="130" t="s">
        <v>113</v>
      </c>
      <c r="L1076" s="174" t="s">
        <v>71</v>
      </c>
      <c r="M1076" s="131" t="s">
        <v>72</v>
      </c>
      <c r="N1076" s="130" t="s">
        <v>73</v>
      </c>
      <c r="O1076" s="219" t="s">
        <v>69</v>
      </c>
      <c r="P1076" s="130" t="s">
        <v>1699</v>
      </c>
      <c r="Q1076" s="132" t="s">
        <v>93</v>
      </c>
      <c r="R1076" s="218">
        <v>3.323</v>
      </c>
      <c r="S1076" s="129">
        <v>1</v>
      </c>
      <c r="T1076" s="129">
        <v>25</v>
      </c>
      <c r="U1076" s="129">
        <v>25</v>
      </c>
      <c r="V1076" s="129">
        <v>4.5</v>
      </c>
      <c r="W1076" s="129">
        <v>29.5</v>
      </c>
      <c r="X1076" s="27">
        <f t="shared" si="184"/>
        <v>83.075000000000003</v>
      </c>
    </row>
    <row r="1077" spans="1:24" x14ac:dyDescent="0.2">
      <c r="A1077" s="220">
        <v>43837</v>
      </c>
      <c r="B1077" s="130" t="s">
        <v>68</v>
      </c>
      <c r="C1077" s="130" t="s">
        <v>102</v>
      </c>
      <c r="D1077" s="130" t="s">
        <v>2090</v>
      </c>
      <c r="E1077" s="130" t="s">
        <v>2003</v>
      </c>
      <c r="F1077" s="130" t="s">
        <v>2756</v>
      </c>
      <c r="G1077" s="220">
        <v>43829</v>
      </c>
      <c r="H1077" s="130" t="s">
        <v>90</v>
      </c>
      <c r="I1077" s="130" t="s">
        <v>91</v>
      </c>
      <c r="J1077" s="130" t="s">
        <v>95</v>
      </c>
      <c r="K1077" s="130" t="s">
        <v>96</v>
      </c>
      <c r="L1077" s="174" t="s">
        <v>71</v>
      </c>
      <c r="M1077" s="131" t="s">
        <v>72</v>
      </c>
      <c r="N1077" s="130" t="s">
        <v>73</v>
      </c>
      <c r="O1077" s="219" t="s">
        <v>69</v>
      </c>
      <c r="P1077" s="130" t="s">
        <v>1699</v>
      </c>
      <c r="Q1077" s="132" t="s">
        <v>93</v>
      </c>
      <c r="R1077" s="218">
        <v>3.323</v>
      </c>
      <c r="S1077" s="129">
        <v>-1</v>
      </c>
      <c r="T1077" s="129">
        <v>200</v>
      </c>
      <c r="U1077" s="129">
        <v>-200</v>
      </c>
      <c r="V1077" s="129">
        <v>-36</v>
      </c>
      <c r="W1077" s="129">
        <v>-236</v>
      </c>
      <c r="X1077" s="27">
        <f t="shared" si="184"/>
        <v>-664.6</v>
      </c>
    </row>
    <row r="1078" spans="1:24" x14ac:dyDescent="0.2">
      <c r="A1078" s="220">
        <v>43837</v>
      </c>
      <c r="B1078" s="130" t="s">
        <v>68</v>
      </c>
      <c r="C1078" s="130" t="s">
        <v>102</v>
      </c>
      <c r="D1078" s="130" t="s">
        <v>2823</v>
      </c>
      <c r="E1078" s="130" t="s">
        <v>2822</v>
      </c>
      <c r="F1078" s="130" t="s">
        <v>2020</v>
      </c>
      <c r="G1078" s="220">
        <v>43837</v>
      </c>
      <c r="H1078" s="130" t="s">
        <v>311</v>
      </c>
      <c r="I1078" s="130" t="s">
        <v>312</v>
      </c>
      <c r="J1078" s="130" t="s">
        <v>104</v>
      </c>
      <c r="K1078" s="130" t="s">
        <v>105</v>
      </c>
      <c r="L1078" s="174" t="s">
        <v>71</v>
      </c>
      <c r="M1078" s="131" t="s">
        <v>102</v>
      </c>
      <c r="N1078" s="130" t="s">
        <v>103</v>
      </c>
      <c r="O1078" s="219" t="s">
        <v>69</v>
      </c>
      <c r="P1078" s="130" t="s">
        <v>1699</v>
      </c>
      <c r="Q1078" s="132" t="s">
        <v>74</v>
      </c>
      <c r="R1078" s="218">
        <v>3.323</v>
      </c>
      <c r="S1078" s="129">
        <v>1</v>
      </c>
      <c r="T1078" s="129">
        <v>355</v>
      </c>
      <c r="U1078" s="129">
        <v>355</v>
      </c>
      <c r="V1078" s="129">
        <v>63.899990000000031</v>
      </c>
      <c r="W1078" s="129">
        <v>418.89999000000006</v>
      </c>
      <c r="X1078" s="27">
        <f t="shared" si="184"/>
        <v>355</v>
      </c>
    </row>
    <row r="1079" spans="1:24" x14ac:dyDescent="0.2">
      <c r="A1079" s="220">
        <v>43837</v>
      </c>
      <c r="B1079" s="130" t="s">
        <v>68</v>
      </c>
      <c r="C1079" s="130" t="s">
        <v>102</v>
      </c>
      <c r="D1079" s="130" t="s">
        <v>2821</v>
      </c>
      <c r="E1079" s="130" t="s">
        <v>1399</v>
      </c>
      <c r="F1079" s="130" t="s">
        <v>2020</v>
      </c>
      <c r="G1079" s="220">
        <v>43794</v>
      </c>
      <c r="H1079" s="130" t="s">
        <v>311</v>
      </c>
      <c r="I1079" s="130" t="s">
        <v>312</v>
      </c>
      <c r="J1079" s="130" t="s">
        <v>100</v>
      </c>
      <c r="K1079" s="130" t="s">
        <v>101</v>
      </c>
      <c r="L1079" s="174" t="s">
        <v>71</v>
      </c>
      <c r="M1079" s="131" t="s">
        <v>102</v>
      </c>
      <c r="N1079" s="130" t="s">
        <v>103</v>
      </c>
      <c r="O1079" s="219" t="s">
        <v>72</v>
      </c>
      <c r="P1079" s="130" t="s">
        <v>101</v>
      </c>
      <c r="Q1079" s="132" t="s">
        <v>74</v>
      </c>
      <c r="R1079" s="218">
        <v>3.323</v>
      </c>
      <c r="S1079" s="129">
        <v>1</v>
      </c>
      <c r="T1079" s="129">
        <v>70</v>
      </c>
      <c r="U1079" s="129">
        <v>70</v>
      </c>
      <c r="V1079" s="129">
        <v>12.599997999999978</v>
      </c>
      <c r="W1079" s="129">
        <v>82.599997999999971</v>
      </c>
      <c r="X1079" s="27">
        <f t="shared" si="184"/>
        <v>70</v>
      </c>
    </row>
    <row r="1080" spans="1:24" x14ac:dyDescent="0.2">
      <c r="A1080" s="220">
        <v>43837</v>
      </c>
      <c r="B1080" s="130" t="s">
        <v>68</v>
      </c>
      <c r="C1080" s="130" t="s">
        <v>102</v>
      </c>
      <c r="D1080" s="130" t="s">
        <v>2821</v>
      </c>
      <c r="E1080" s="130" t="s">
        <v>1399</v>
      </c>
      <c r="F1080" s="130" t="s">
        <v>2020</v>
      </c>
      <c r="G1080" s="220">
        <v>43794</v>
      </c>
      <c r="H1080" s="130" t="s">
        <v>311</v>
      </c>
      <c r="I1080" s="130" t="s">
        <v>312</v>
      </c>
      <c r="J1080" s="130" t="s">
        <v>92</v>
      </c>
      <c r="K1080" s="130" t="s">
        <v>113</v>
      </c>
      <c r="L1080" s="174" t="s">
        <v>71</v>
      </c>
      <c r="M1080" s="131" t="s">
        <v>102</v>
      </c>
      <c r="N1080" s="130" t="s">
        <v>103</v>
      </c>
      <c r="O1080" s="219" t="s">
        <v>69</v>
      </c>
      <c r="P1080" s="130" t="s">
        <v>1699</v>
      </c>
      <c r="Q1080" s="132" t="s">
        <v>74</v>
      </c>
      <c r="R1080" s="218">
        <v>3.323</v>
      </c>
      <c r="S1080" s="129">
        <v>1</v>
      </c>
      <c r="T1080" s="129">
        <v>1505</v>
      </c>
      <c r="U1080" s="129">
        <v>1505</v>
      </c>
      <c r="V1080" s="129">
        <v>270.89999999999998</v>
      </c>
      <c r="W1080" s="129">
        <v>1775.9</v>
      </c>
      <c r="X1080" s="27">
        <f t="shared" si="184"/>
        <v>1505</v>
      </c>
    </row>
    <row r="1081" spans="1:24" x14ac:dyDescent="0.2">
      <c r="A1081" s="220">
        <v>43837</v>
      </c>
      <c r="B1081" s="130" t="s">
        <v>68</v>
      </c>
      <c r="C1081" s="130" t="s">
        <v>102</v>
      </c>
      <c r="D1081" s="130" t="s">
        <v>2821</v>
      </c>
      <c r="E1081" s="130" t="s">
        <v>1399</v>
      </c>
      <c r="F1081" s="130" t="s">
        <v>2020</v>
      </c>
      <c r="G1081" s="220">
        <v>43794</v>
      </c>
      <c r="H1081" s="130" t="s">
        <v>311</v>
      </c>
      <c r="I1081" s="130" t="s">
        <v>312</v>
      </c>
      <c r="J1081" s="130" t="s">
        <v>70</v>
      </c>
      <c r="K1081" s="130" t="s">
        <v>112</v>
      </c>
      <c r="L1081" s="174" t="s">
        <v>71</v>
      </c>
      <c r="M1081" s="131" t="s">
        <v>102</v>
      </c>
      <c r="N1081" s="130" t="s">
        <v>103</v>
      </c>
      <c r="O1081" s="219" t="s">
        <v>69</v>
      </c>
      <c r="P1081" s="130" t="s">
        <v>1699</v>
      </c>
      <c r="Q1081" s="132" t="s">
        <v>74</v>
      </c>
      <c r="R1081" s="218">
        <v>3.323</v>
      </c>
      <c r="S1081" s="129">
        <v>1</v>
      </c>
      <c r="T1081" s="129">
        <v>1500</v>
      </c>
      <c r="U1081" s="129">
        <v>1500</v>
      </c>
      <c r="V1081" s="129">
        <v>270</v>
      </c>
      <c r="W1081" s="129">
        <v>1770</v>
      </c>
      <c r="X1081" s="27">
        <f t="shared" si="184"/>
        <v>1500</v>
      </c>
    </row>
    <row r="1082" spans="1:24" x14ac:dyDescent="0.2">
      <c r="A1082" s="220">
        <v>43837</v>
      </c>
      <c r="B1082" s="130" t="s">
        <v>68</v>
      </c>
      <c r="C1082" s="130" t="s">
        <v>102</v>
      </c>
      <c r="D1082" s="130" t="s">
        <v>2821</v>
      </c>
      <c r="E1082" s="130" t="s">
        <v>1399</v>
      </c>
      <c r="F1082" s="130" t="s">
        <v>2020</v>
      </c>
      <c r="G1082" s="220">
        <v>43794</v>
      </c>
      <c r="H1082" s="130" t="s">
        <v>311</v>
      </c>
      <c r="I1082" s="130" t="s">
        <v>312</v>
      </c>
      <c r="J1082" s="130" t="s">
        <v>104</v>
      </c>
      <c r="K1082" s="130" t="s">
        <v>105</v>
      </c>
      <c r="L1082" s="174" t="s">
        <v>71</v>
      </c>
      <c r="M1082" s="131" t="s">
        <v>102</v>
      </c>
      <c r="N1082" s="130" t="s">
        <v>103</v>
      </c>
      <c r="O1082" s="219" t="s">
        <v>69</v>
      </c>
      <c r="P1082" s="130" t="s">
        <v>1699</v>
      </c>
      <c r="Q1082" s="132" t="s">
        <v>74</v>
      </c>
      <c r="R1082" s="218">
        <v>3.323</v>
      </c>
      <c r="S1082" s="129">
        <v>1</v>
      </c>
      <c r="T1082" s="129">
        <v>4653</v>
      </c>
      <c r="U1082" s="129">
        <v>4653</v>
      </c>
      <c r="V1082" s="129">
        <v>837.54</v>
      </c>
      <c r="W1082" s="129">
        <v>5490.54</v>
      </c>
      <c r="X1082" s="27">
        <f t="shared" si="184"/>
        <v>4653</v>
      </c>
    </row>
    <row r="1083" spans="1:24" x14ac:dyDescent="0.2">
      <c r="A1083" s="220">
        <v>43837</v>
      </c>
      <c r="B1083" s="130" t="s">
        <v>68</v>
      </c>
      <c r="C1083" s="130" t="s">
        <v>102</v>
      </c>
      <c r="D1083" s="130" t="s">
        <v>2820</v>
      </c>
      <c r="E1083" s="130" t="s">
        <v>1976</v>
      </c>
      <c r="F1083" s="130" t="s">
        <v>2340</v>
      </c>
      <c r="G1083" s="220">
        <v>43818</v>
      </c>
      <c r="H1083" s="130" t="s">
        <v>90</v>
      </c>
      <c r="I1083" s="130" t="s">
        <v>91</v>
      </c>
      <c r="J1083" s="130" t="s">
        <v>97</v>
      </c>
      <c r="K1083" s="130" t="s">
        <v>98</v>
      </c>
      <c r="L1083" s="174" t="s">
        <v>71</v>
      </c>
      <c r="M1083" s="131" t="s">
        <v>72</v>
      </c>
      <c r="N1083" s="130" t="s">
        <v>73</v>
      </c>
      <c r="O1083" s="219" t="s">
        <v>99</v>
      </c>
      <c r="P1083" s="130" t="s">
        <v>98</v>
      </c>
      <c r="Q1083" s="132" t="s">
        <v>93</v>
      </c>
      <c r="R1083" s="218">
        <v>3.323</v>
      </c>
      <c r="S1083" s="129">
        <v>1</v>
      </c>
      <c r="T1083" s="129">
        <v>236</v>
      </c>
      <c r="U1083" s="129">
        <v>236</v>
      </c>
      <c r="V1083" s="129">
        <v>42.48001</v>
      </c>
      <c r="W1083" s="129">
        <v>278.48000999999999</v>
      </c>
      <c r="X1083" s="27">
        <f t="shared" si="184"/>
        <v>784.22799999999995</v>
      </c>
    </row>
    <row r="1084" spans="1:24" x14ac:dyDescent="0.2">
      <c r="A1084" s="220">
        <v>43837</v>
      </c>
      <c r="B1084" s="130" t="s">
        <v>68</v>
      </c>
      <c r="C1084" s="130" t="s">
        <v>102</v>
      </c>
      <c r="D1084" s="130" t="s">
        <v>2820</v>
      </c>
      <c r="E1084" s="130" t="s">
        <v>1976</v>
      </c>
      <c r="F1084" s="130" t="s">
        <v>2340</v>
      </c>
      <c r="G1084" s="220">
        <v>43818</v>
      </c>
      <c r="H1084" s="130" t="s">
        <v>90</v>
      </c>
      <c r="I1084" s="130" t="s">
        <v>91</v>
      </c>
      <c r="J1084" s="130" t="s">
        <v>100</v>
      </c>
      <c r="K1084" s="130" t="s">
        <v>101</v>
      </c>
      <c r="L1084" s="174" t="s">
        <v>71</v>
      </c>
      <c r="M1084" s="131" t="s">
        <v>72</v>
      </c>
      <c r="N1084" s="130" t="s">
        <v>73</v>
      </c>
      <c r="O1084" s="219" t="s">
        <v>72</v>
      </c>
      <c r="P1084" s="130" t="s">
        <v>101</v>
      </c>
      <c r="Q1084" s="132" t="s">
        <v>93</v>
      </c>
      <c r="R1084" s="218">
        <v>3.323</v>
      </c>
      <c r="S1084" s="129">
        <v>1</v>
      </c>
      <c r="T1084" s="129">
        <v>183.75419999999997</v>
      </c>
      <c r="U1084" s="129">
        <v>183.75419999999997</v>
      </c>
      <c r="V1084" s="129">
        <v>33.075800000000015</v>
      </c>
      <c r="W1084" s="129">
        <v>216.83</v>
      </c>
      <c r="X1084" s="27">
        <f t="shared" si="184"/>
        <v>610.61520659999985</v>
      </c>
    </row>
    <row r="1085" spans="1:24" x14ac:dyDescent="0.2">
      <c r="A1085" s="220">
        <v>43837</v>
      </c>
      <c r="B1085" s="130" t="s">
        <v>68</v>
      </c>
      <c r="C1085" s="130" t="s">
        <v>102</v>
      </c>
      <c r="D1085" s="130" t="s">
        <v>2820</v>
      </c>
      <c r="E1085" s="130" t="s">
        <v>1976</v>
      </c>
      <c r="F1085" s="130" t="s">
        <v>2340</v>
      </c>
      <c r="G1085" s="220">
        <v>43818</v>
      </c>
      <c r="H1085" s="130" t="s">
        <v>90</v>
      </c>
      <c r="I1085" s="130" t="s">
        <v>91</v>
      </c>
      <c r="J1085" s="130" t="s">
        <v>95</v>
      </c>
      <c r="K1085" s="130" t="s">
        <v>96</v>
      </c>
      <c r="L1085" s="174" t="s">
        <v>71</v>
      </c>
      <c r="M1085" s="131" t="s">
        <v>72</v>
      </c>
      <c r="N1085" s="130" t="s">
        <v>73</v>
      </c>
      <c r="O1085" s="219" t="s">
        <v>69</v>
      </c>
      <c r="P1085" s="130" t="s">
        <v>1699</v>
      </c>
      <c r="Q1085" s="132" t="s">
        <v>93</v>
      </c>
      <c r="R1085" s="218">
        <v>3.323</v>
      </c>
      <c r="S1085" s="129">
        <v>-1</v>
      </c>
      <c r="T1085" s="129">
        <v>130.18639999999999</v>
      </c>
      <c r="U1085" s="129">
        <v>-130.18639999999999</v>
      </c>
      <c r="V1085" s="129">
        <v>-23.433600000000006</v>
      </c>
      <c r="W1085" s="129">
        <v>-153.62</v>
      </c>
      <c r="X1085" s="27">
        <f t="shared" si="184"/>
        <v>-432.60940719999996</v>
      </c>
    </row>
    <row r="1086" spans="1:24" x14ac:dyDescent="0.2">
      <c r="A1086" s="220">
        <v>43837</v>
      </c>
      <c r="B1086" s="130" t="s">
        <v>68</v>
      </c>
      <c r="C1086" s="130" t="s">
        <v>102</v>
      </c>
      <c r="D1086" s="130" t="s">
        <v>2820</v>
      </c>
      <c r="E1086" s="130" t="s">
        <v>1976</v>
      </c>
      <c r="F1086" s="130" t="s">
        <v>2340</v>
      </c>
      <c r="G1086" s="220">
        <v>43818</v>
      </c>
      <c r="H1086" s="130" t="s">
        <v>90</v>
      </c>
      <c r="I1086" s="130" t="s">
        <v>91</v>
      </c>
      <c r="J1086" s="130" t="s">
        <v>95</v>
      </c>
      <c r="K1086" s="130" t="s">
        <v>96</v>
      </c>
      <c r="L1086" s="174" t="s">
        <v>71</v>
      </c>
      <c r="M1086" s="131" t="s">
        <v>72</v>
      </c>
      <c r="N1086" s="130" t="s">
        <v>73</v>
      </c>
      <c r="O1086" s="219" t="s">
        <v>69</v>
      </c>
      <c r="P1086" s="130" t="s">
        <v>1699</v>
      </c>
      <c r="Q1086" s="132" t="s">
        <v>93</v>
      </c>
      <c r="R1086" s="218">
        <v>3.323</v>
      </c>
      <c r="S1086" s="129">
        <v>-1</v>
      </c>
      <c r="T1086" s="129">
        <v>9.932200400000001</v>
      </c>
      <c r="U1086" s="129">
        <v>-9.932200400000001</v>
      </c>
      <c r="V1086" s="129">
        <v>-1.7877995999999996</v>
      </c>
      <c r="W1086" s="129">
        <v>-11.72</v>
      </c>
      <c r="X1086" s="27">
        <f t="shared" si="184"/>
        <v>-33.004701929200003</v>
      </c>
    </row>
    <row r="1087" spans="1:24" x14ac:dyDescent="0.2">
      <c r="A1087" s="220">
        <v>43837</v>
      </c>
      <c r="B1087" s="130" t="s">
        <v>68</v>
      </c>
      <c r="C1087" s="130" t="s">
        <v>102</v>
      </c>
      <c r="D1087" s="130" t="s">
        <v>2820</v>
      </c>
      <c r="E1087" s="130" t="s">
        <v>1976</v>
      </c>
      <c r="F1087" s="130" t="s">
        <v>2340</v>
      </c>
      <c r="G1087" s="220">
        <v>43818</v>
      </c>
      <c r="H1087" s="130" t="s">
        <v>90</v>
      </c>
      <c r="I1087" s="130" t="s">
        <v>91</v>
      </c>
      <c r="J1087" s="130" t="s">
        <v>104</v>
      </c>
      <c r="K1087" s="130" t="s">
        <v>105</v>
      </c>
      <c r="L1087" s="174" t="s">
        <v>71</v>
      </c>
      <c r="M1087" s="131" t="s">
        <v>72</v>
      </c>
      <c r="N1087" s="130" t="s">
        <v>73</v>
      </c>
      <c r="O1087" s="219" t="s">
        <v>69</v>
      </c>
      <c r="P1087" s="130" t="s">
        <v>1699</v>
      </c>
      <c r="Q1087" s="132" t="s">
        <v>93</v>
      </c>
      <c r="R1087" s="218">
        <v>3.323</v>
      </c>
      <c r="S1087" s="129">
        <v>1</v>
      </c>
      <c r="T1087" s="129">
        <v>0</v>
      </c>
      <c r="U1087" s="129">
        <v>0</v>
      </c>
      <c r="V1087" s="129">
        <v>0</v>
      </c>
      <c r="W1087" s="129">
        <v>0</v>
      </c>
      <c r="X1087" s="27">
        <f t="shared" si="184"/>
        <v>0</v>
      </c>
    </row>
    <row r="1088" spans="1:24" x14ac:dyDescent="0.2">
      <c r="A1088" s="220">
        <v>43838</v>
      </c>
      <c r="B1088" s="130" t="s">
        <v>68</v>
      </c>
      <c r="C1088" s="130" t="s">
        <v>102</v>
      </c>
      <c r="D1088" s="130" t="s">
        <v>2819</v>
      </c>
      <c r="E1088" s="130" t="s">
        <v>1367</v>
      </c>
      <c r="F1088" s="130" t="s">
        <v>1430</v>
      </c>
      <c r="G1088" s="220">
        <v>43790</v>
      </c>
      <c r="H1088" s="130" t="s">
        <v>387</v>
      </c>
      <c r="I1088" s="130" t="s">
        <v>386</v>
      </c>
      <c r="J1088" s="130" t="s">
        <v>97</v>
      </c>
      <c r="K1088" s="130" t="s">
        <v>98</v>
      </c>
      <c r="L1088" s="174" t="s">
        <v>71</v>
      </c>
      <c r="M1088" s="131" t="s">
        <v>72</v>
      </c>
      <c r="N1088" s="130" t="s">
        <v>73</v>
      </c>
      <c r="O1088" s="219" t="s">
        <v>99</v>
      </c>
      <c r="P1088" s="130" t="s">
        <v>98</v>
      </c>
      <c r="Q1088" s="132" t="s">
        <v>74</v>
      </c>
      <c r="R1088" s="218">
        <v>3.3269999000000001</v>
      </c>
      <c r="S1088" s="129">
        <v>1</v>
      </c>
      <c r="T1088" s="129">
        <v>2092.5</v>
      </c>
      <c r="U1088" s="129">
        <v>2092.5</v>
      </c>
      <c r="V1088" s="129">
        <v>376.64989999999989</v>
      </c>
      <c r="W1088" s="129">
        <v>2469.1498999999999</v>
      </c>
      <c r="X1088" s="27">
        <f t="shared" si="184"/>
        <v>2092.5</v>
      </c>
    </row>
    <row r="1089" spans="1:24" x14ac:dyDescent="0.2">
      <c r="A1089" s="220">
        <v>43838</v>
      </c>
      <c r="B1089" s="130" t="s">
        <v>68</v>
      </c>
      <c r="C1089" s="130" t="s">
        <v>102</v>
      </c>
      <c r="D1089" s="130" t="s">
        <v>2819</v>
      </c>
      <c r="E1089" s="130" t="s">
        <v>1367</v>
      </c>
      <c r="F1089" s="130" t="s">
        <v>1430</v>
      </c>
      <c r="G1089" s="220">
        <v>43790</v>
      </c>
      <c r="H1089" s="130" t="s">
        <v>387</v>
      </c>
      <c r="I1089" s="130" t="s">
        <v>386</v>
      </c>
      <c r="J1089" s="130" t="s">
        <v>100</v>
      </c>
      <c r="K1089" s="130" t="s">
        <v>101</v>
      </c>
      <c r="L1089" s="174" t="s">
        <v>71</v>
      </c>
      <c r="M1089" s="131" t="s">
        <v>72</v>
      </c>
      <c r="N1089" s="130" t="s">
        <v>73</v>
      </c>
      <c r="O1089" s="219" t="s">
        <v>72</v>
      </c>
      <c r="P1089" s="130" t="s">
        <v>101</v>
      </c>
      <c r="Q1089" s="132" t="s">
        <v>74</v>
      </c>
      <c r="R1089" s="218">
        <v>3.3269999000000001</v>
      </c>
      <c r="S1089" s="129">
        <v>1</v>
      </c>
      <c r="T1089" s="129">
        <v>1365</v>
      </c>
      <c r="U1089" s="129">
        <v>1365</v>
      </c>
      <c r="V1089" s="129">
        <v>245.7</v>
      </c>
      <c r="W1089" s="129">
        <v>1610.7</v>
      </c>
      <c r="X1089" s="27">
        <f t="shared" si="184"/>
        <v>1365</v>
      </c>
    </row>
    <row r="1090" spans="1:24" x14ac:dyDescent="0.2">
      <c r="A1090" s="220">
        <v>43838</v>
      </c>
      <c r="B1090" s="130" t="s">
        <v>68</v>
      </c>
      <c r="C1090" s="130" t="s">
        <v>102</v>
      </c>
      <c r="D1090" s="130" t="s">
        <v>2819</v>
      </c>
      <c r="E1090" s="130" t="s">
        <v>1367</v>
      </c>
      <c r="F1090" s="130" t="s">
        <v>1430</v>
      </c>
      <c r="G1090" s="220">
        <v>43790</v>
      </c>
      <c r="H1090" s="130" t="s">
        <v>387</v>
      </c>
      <c r="I1090" s="130" t="s">
        <v>386</v>
      </c>
      <c r="J1090" s="130" t="s">
        <v>92</v>
      </c>
      <c r="K1090" s="130" t="s">
        <v>113</v>
      </c>
      <c r="L1090" s="174" t="s">
        <v>71</v>
      </c>
      <c r="M1090" s="131" t="s">
        <v>72</v>
      </c>
      <c r="N1090" s="130" t="s">
        <v>73</v>
      </c>
      <c r="O1090" s="219" t="s">
        <v>69</v>
      </c>
      <c r="P1090" s="130" t="s">
        <v>1699</v>
      </c>
      <c r="Q1090" s="132" t="s">
        <v>74</v>
      </c>
      <c r="R1090" s="218">
        <v>3.3269999000000001</v>
      </c>
      <c r="S1090" s="129">
        <v>1</v>
      </c>
      <c r="T1090" s="129">
        <v>840</v>
      </c>
      <c r="U1090" s="129">
        <v>840</v>
      </c>
      <c r="V1090" s="129">
        <v>151.20000999999991</v>
      </c>
      <c r="W1090" s="129">
        <v>991.20000999999991</v>
      </c>
      <c r="X1090" s="27">
        <f t="shared" si="184"/>
        <v>840</v>
      </c>
    </row>
    <row r="1091" spans="1:24" x14ac:dyDescent="0.2">
      <c r="A1091" s="220">
        <v>43838</v>
      </c>
      <c r="B1091" s="130" t="s">
        <v>68</v>
      </c>
      <c r="C1091" s="130" t="s">
        <v>102</v>
      </c>
      <c r="D1091" s="130" t="s">
        <v>2819</v>
      </c>
      <c r="E1091" s="130" t="s">
        <v>1367</v>
      </c>
      <c r="F1091" s="130" t="s">
        <v>1430</v>
      </c>
      <c r="G1091" s="220">
        <v>43790</v>
      </c>
      <c r="H1091" s="130" t="s">
        <v>387</v>
      </c>
      <c r="I1091" s="130" t="s">
        <v>386</v>
      </c>
      <c r="J1091" s="130" t="s">
        <v>132</v>
      </c>
      <c r="K1091" s="130" t="s">
        <v>1136</v>
      </c>
      <c r="L1091" s="174" t="s">
        <v>71</v>
      </c>
      <c r="M1091" s="131" t="s">
        <v>72</v>
      </c>
      <c r="N1091" s="130" t="s">
        <v>73</v>
      </c>
      <c r="O1091" s="219" t="s">
        <v>69</v>
      </c>
      <c r="P1091" s="130" t="s">
        <v>1699</v>
      </c>
      <c r="Q1091" s="132" t="s">
        <v>74</v>
      </c>
      <c r="R1091" s="218">
        <v>3.3269999000000001</v>
      </c>
      <c r="S1091" s="129">
        <v>1</v>
      </c>
      <c r="T1091" s="129">
        <v>5154.5171</v>
      </c>
      <c r="U1091" s="129">
        <v>5154.5171</v>
      </c>
      <c r="V1091" s="129">
        <v>927.81300000000158</v>
      </c>
      <c r="W1091" s="129">
        <v>6082.330100000001</v>
      </c>
      <c r="X1091" s="27">
        <f t="shared" si="184"/>
        <v>5154.5171</v>
      </c>
    </row>
    <row r="1092" spans="1:24" x14ac:dyDescent="0.2">
      <c r="A1092" s="220">
        <v>43838</v>
      </c>
      <c r="B1092" s="130" t="s">
        <v>68</v>
      </c>
      <c r="C1092" s="130" t="s">
        <v>102</v>
      </c>
      <c r="D1092" s="130" t="s">
        <v>2819</v>
      </c>
      <c r="E1092" s="130" t="s">
        <v>1367</v>
      </c>
      <c r="F1092" s="130" t="s">
        <v>1430</v>
      </c>
      <c r="G1092" s="220">
        <v>43790</v>
      </c>
      <c r="H1092" s="130" t="s">
        <v>387</v>
      </c>
      <c r="I1092" s="130" t="s">
        <v>386</v>
      </c>
      <c r="J1092" s="130" t="s">
        <v>70</v>
      </c>
      <c r="K1092" s="130" t="s">
        <v>112</v>
      </c>
      <c r="L1092" s="174" t="s">
        <v>71</v>
      </c>
      <c r="M1092" s="131" t="s">
        <v>72</v>
      </c>
      <c r="N1092" s="130" t="s">
        <v>73</v>
      </c>
      <c r="O1092" s="219" t="s">
        <v>69</v>
      </c>
      <c r="P1092" s="130" t="s">
        <v>1699</v>
      </c>
      <c r="Q1092" s="132" t="s">
        <v>74</v>
      </c>
      <c r="R1092" s="218">
        <v>3.3269999000000001</v>
      </c>
      <c r="S1092" s="129">
        <v>1</v>
      </c>
      <c r="T1092" s="129">
        <v>813.75420999999972</v>
      </c>
      <c r="U1092" s="129">
        <v>813.75420999999972</v>
      </c>
      <c r="V1092" s="129">
        <v>146.47577000000035</v>
      </c>
      <c r="W1092" s="129">
        <v>960.22998000000007</v>
      </c>
      <c r="X1092" s="27">
        <f t="shared" si="184"/>
        <v>813.75420999999972</v>
      </c>
    </row>
    <row r="1093" spans="1:24" x14ac:dyDescent="0.2">
      <c r="A1093" s="220">
        <v>43838</v>
      </c>
      <c r="B1093" s="130" t="s">
        <v>68</v>
      </c>
      <c r="C1093" s="130" t="s">
        <v>102</v>
      </c>
      <c r="D1093" s="130" t="s">
        <v>2819</v>
      </c>
      <c r="E1093" s="130" t="s">
        <v>1367</v>
      </c>
      <c r="F1093" s="130" t="s">
        <v>1430</v>
      </c>
      <c r="G1093" s="220">
        <v>43790</v>
      </c>
      <c r="H1093" s="130" t="s">
        <v>387</v>
      </c>
      <c r="I1093" s="130" t="s">
        <v>386</v>
      </c>
      <c r="J1093" s="130" t="s">
        <v>104</v>
      </c>
      <c r="K1093" s="130" t="s">
        <v>105</v>
      </c>
      <c r="L1093" s="174" t="s">
        <v>71</v>
      </c>
      <c r="M1093" s="131" t="s">
        <v>72</v>
      </c>
      <c r="N1093" s="130" t="s">
        <v>73</v>
      </c>
      <c r="O1093" s="219" t="s">
        <v>69</v>
      </c>
      <c r="P1093" s="130" t="s">
        <v>1699</v>
      </c>
      <c r="Q1093" s="132" t="s">
        <v>74</v>
      </c>
      <c r="R1093" s="218">
        <v>3.3269999000000001</v>
      </c>
      <c r="S1093" s="129">
        <v>1</v>
      </c>
      <c r="T1093" s="129">
        <v>3320.8219999999997</v>
      </c>
      <c r="U1093" s="129">
        <v>3320.8219999999997</v>
      </c>
      <c r="V1093" s="129">
        <v>597.74810000000059</v>
      </c>
      <c r="W1093" s="129">
        <v>3918.5700999999999</v>
      </c>
      <c r="X1093" s="27">
        <f t="shared" ref="X1093:X1156" si="185">IF(Q1093="$",(U1093*R1093),U1093)</f>
        <v>3320.8219999999997</v>
      </c>
    </row>
    <row r="1094" spans="1:24" x14ac:dyDescent="0.2">
      <c r="A1094" s="220">
        <v>43838</v>
      </c>
      <c r="B1094" s="130" t="s">
        <v>68</v>
      </c>
      <c r="C1094" s="130" t="s">
        <v>102</v>
      </c>
      <c r="D1094" s="130" t="s">
        <v>2818</v>
      </c>
      <c r="E1094" s="130" t="s">
        <v>2598</v>
      </c>
      <c r="F1094" s="130" t="s">
        <v>2815</v>
      </c>
      <c r="G1094" s="220">
        <v>43832</v>
      </c>
      <c r="H1094" s="130" t="s">
        <v>2817</v>
      </c>
      <c r="I1094" s="130" t="s">
        <v>2816</v>
      </c>
      <c r="J1094" s="130" t="s">
        <v>95</v>
      </c>
      <c r="K1094" s="130" t="s">
        <v>96</v>
      </c>
      <c r="L1094" s="174" t="s">
        <v>71</v>
      </c>
      <c r="M1094" s="131" t="s">
        <v>72</v>
      </c>
      <c r="N1094" s="130" t="s">
        <v>73</v>
      </c>
      <c r="O1094" s="219" t="s">
        <v>69</v>
      </c>
      <c r="P1094" s="130" t="s">
        <v>1699</v>
      </c>
      <c r="Q1094" s="132" t="s">
        <v>93</v>
      </c>
      <c r="R1094" s="218">
        <v>3.3269999000000001</v>
      </c>
      <c r="S1094" s="129">
        <v>1</v>
      </c>
      <c r="T1094" s="129">
        <v>100</v>
      </c>
      <c r="U1094" s="129">
        <v>100</v>
      </c>
      <c r="V1094" s="129">
        <v>18</v>
      </c>
      <c r="W1094" s="129">
        <v>118</v>
      </c>
      <c r="X1094" s="27">
        <f t="shared" si="185"/>
        <v>332.69999000000001</v>
      </c>
    </row>
    <row r="1095" spans="1:24" x14ac:dyDescent="0.2">
      <c r="A1095" s="220">
        <v>43838</v>
      </c>
      <c r="B1095" s="130" t="s">
        <v>68</v>
      </c>
      <c r="C1095" s="130" t="s">
        <v>102</v>
      </c>
      <c r="D1095" s="130" t="s">
        <v>2216</v>
      </c>
      <c r="E1095" s="130" t="s">
        <v>2598</v>
      </c>
      <c r="F1095" s="130" t="s">
        <v>2815</v>
      </c>
      <c r="G1095" s="220">
        <v>43832</v>
      </c>
      <c r="H1095" s="130" t="s">
        <v>90</v>
      </c>
      <c r="I1095" s="130" t="s">
        <v>91</v>
      </c>
      <c r="J1095" s="130" t="s">
        <v>97</v>
      </c>
      <c r="K1095" s="130" t="s">
        <v>98</v>
      </c>
      <c r="L1095" s="174" t="s">
        <v>71</v>
      </c>
      <c r="M1095" s="131" t="s">
        <v>72</v>
      </c>
      <c r="N1095" s="130" t="s">
        <v>73</v>
      </c>
      <c r="O1095" s="219" t="s">
        <v>99</v>
      </c>
      <c r="P1095" s="130" t="s">
        <v>98</v>
      </c>
      <c r="Q1095" s="132" t="s">
        <v>93</v>
      </c>
      <c r="R1095" s="218">
        <v>3.3269999000000001</v>
      </c>
      <c r="S1095" s="129">
        <v>1</v>
      </c>
      <c r="T1095" s="129">
        <v>118</v>
      </c>
      <c r="U1095" s="129">
        <v>118</v>
      </c>
      <c r="V1095" s="129">
        <v>21.240010000000019</v>
      </c>
      <c r="W1095" s="129">
        <v>139.24001000000001</v>
      </c>
      <c r="X1095" s="27">
        <f t="shared" si="185"/>
        <v>392.58598820000003</v>
      </c>
    </row>
    <row r="1096" spans="1:24" x14ac:dyDescent="0.2">
      <c r="A1096" s="220">
        <v>43838</v>
      </c>
      <c r="B1096" s="130" t="s">
        <v>68</v>
      </c>
      <c r="C1096" s="130" t="s">
        <v>102</v>
      </c>
      <c r="D1096" s="130" t="s">
        <v>2216</v>
      </c>
      <c r="E1096" s="130" t="s">
        <v>2598</v>
      </c>
      <c r="F1096" s="130" t="s">
        <v>2815</v>
      </c>
      <c r="G1096" s="220">
        <v>43832</v>
      </c>
      <c r="H1096" s="130" t="s">
        <v>90</v>
      </c>
      <c r="I1096" s="130" t="s">
        <v>91</v>
      </c>
      <c r="J1096" s="130" t="s">
        <v>100</v>
      </c>
      <c r="K1096" s="130" t="s">
        <v>101</v>
      </c>
      <c r="L1096" s="174" t="s">
        <v>71</v>
      </c>
      <c r="M1096" s="131" t="s">
        <v>72</v>
      </c>
      <c r="N1096" s="130" t="s">
        <v>73</v>
      </c>
      <c r="O1096" s="219" t="s">
        <v>72</v>
      </c>
      <c r="P1096" s="130" t="s">
        <v>101</v>
      </c>
      <c r="Q1096" s="132" t="s">
        <v>93</v>
      </c>
      <c r="R1096" s="218">
        <v>3.3269999000000001</v>
      </c>
      <c r="S1096" s="129">
        <v>1</v>
      </c>
      <c r="T1096" s="129">
        <v>150</v>
      </c>
      <c r="U1096" s="129">
        <v>150</v>
      </c>
      <c r="V1096" s="129">
        <v>27</v>
      </c>
      <c r="W1096" s="129">
        <v>177</v>
      </c>
      <c r="X1096" s="27">
        <f t="shared" si="185"/>
        <v>499.04998499999999</v>
      </c>
    </row>
    <row r="1097" spans="1:24" x14ac:dyDescent="0.2">
      <c r="A1097" s="220">
        <v>43838</v>
      </c>
      <c r="B1097" s="130" t="s">
        <v>68</v>
      </c>
      <c r="C1097" s="130" t="s">
        <v>102</v>
      </c>
      <c r="D1097" s="130" t="s">
        <v>2216</v>
      </c>
      <c r="E1097" s="130" t="s">
        <v>2598</v>
      </c>
      <c r="F1097" s="130" t="s">
        <v>2815</v>
      </c>
      <c r="G1097" s="220">
        <v>43832</v>
      </c>
      <c r="H1097" s="130" t="s">
        <v>90</v>
      </c>
      <c r="I1097" s="130" t="s">
        <v>91</v>
      </c>
      <c r="J1097" s="130" t="s">
        <v>92</v>
      </c>
      <c r="K1097" s="130" t="s">
        <v>113</v>
      </c>
      <c r="L1097" s="174" t="s">
        <v>71</v>
      </c>
      <c r="M1097" s="131" t="s">
        <v>72</v>
      </c>
      <c r="N1097" s="130" t="s">
        <v>73</v>
      </c>
      <c r="O1097" s="219" t="s">
        <v>69</v>
      </c>
      <c r="P1097" s="130" t="s">
        <v>1699</v>
      </c>
      <c r="Q1097" s="132" t="s">
        <v>93</v>
      </c>
      <c r="R1097" s="218">
        <v>3.3269999000000001</v>
      </c>
      <c r="S1097" s="129">
        <v>1</v>
      </c>
      <c r="T1097" s="129">
        <v>15</v>
      </c>
      <c r="U1097" s="129">
        <v>15</v>
      </c>
      <c r="V1097" s="129">
        <v>2.7000009999999999</v>
      </c>
      <c r="W1097" s="129">
        <v>17.700001</v>
      </c>
      <c r="X1097" s="27">
        <f t="shared" si="185"/>
        <v>49.904998500000005</v>
      </c>
    </row>
    <row r="1098" spans="1:24" x14ac:dyDescent="0.2">
      <c r="A1098" s="220">
        <v>43838</v>
      </c>
      <c r="B1098" s="130" t="s">
        <v>68</v>
      </c>
      <c r="C1098" s="130" t="s">
        <v>102</v>
      </c>
      <c r="D1098" s="130" t="s">
        <v>2216</v>
      </c>
      <c r="E1098" s="130" t="s">
        <v>2598</v>
      </c>
      <c r="F1098" s="130" t="s">
        <v>2815</v>
      </c>
      <c r="G1098" s="220">
        <v>43832</v>
      </c>
      <c r="H1098" s="130" t="s">
        <v>90</v>
      </c>
      <c r="I1098" s="130" t="s">
        <v>91</v>
      </c>
      <c r="J1098" s="130" t="s">
        <v>95</v>
      </c>
      <c r="K1098" s="130" t="s">
        <v>96</v>
      </c>
      <c r="L1098" s="174" t="s">
        <v>71</v>
      </c>
      <c r="M1098" s="131" t="s">
        <v>72</v>
      </c>
      <c r="N1098" s="130" t="s">
        <v>73</v>
      </c>
      <c r="O1098" s="219" t="s">
        <v>69</v>
      </c>
      <c r="P1098" s="130" t="s">
        <v>1699</v>
      </c>
      <c r="Q1098" s="132" t="s">
        <v>93</v>
      </c>
      <c r="R1098" s="218">
        <v>3.3269999000000001</v>
      </c>
      <c r="S1098" s="129">
        <v>-1</v>
      </c>
      <c r="T1098" s="129">
        <v>100</v>
      </c>
      <c r="U1098" s="129">
        <v>-100</v>
      </c>
      <c r="V1098" s="129">
        <v>-18</v>
      </c>
      <c r="W1098" s="129">
        <v>-118</v>
      </c>
      <c r="X1098" s="27">
        <f t="shared" si="185"/>
        <v>-332.69999000000001</v>
      </c>
    </row>
    <row r="1099" spans="1:24" x14ac:dyDescent="0.2">
      <c r="A1099" s="220">
        <v>43840</v>
      </c>
      <c r="B1099" s="130" t="s">
        <v>68</v>
      </c>
      <c r="C1099" s="130" t="s">
        <v>102</v>
      </c>
      <c r="D1099" s="130" t="s">
        <v>2814</v>
      </c>
      <c r="E1099" s="130" t="s">
        <v>2027</v>
      </c>
      <c r="F1099" s="130" t="s">
        <v>2028</v>
      </c>
      <c r="G1099" s="220">
        <v>43767</v>
      </c>
      <c r="H1099" s="130" t="s">
        <v>2813</v>
      </c>
      <c r="I1099" s="130" t="s">
        <v>2812</v>
      </c>
      <c r="J1099" s="130" t="s">
        <v>95</v>
      </c>
      <c r="K1099" s="130" t="s">
        <v>96</v>
      </c>
      <c r="L1099" s="174" t="s">
        <v>71</v>
      </c>
      <c r="M1099" s="131" t="s">
        <v>72</v>
      </c>
      <c r="N1099" s="130" t="s">
        <v>73</v>
      </c>
      <c r="O1099" s="219" t="s">
        <v>69</v>
      </c>
      <c r="P1099" s="130" t="s">
        <v>1699</v>
      </c>
      <c r="Q1099" s="132" t="s">
        <v>93</v>
      </c>
      <c r="R1099" s="218">
        <v>3.3210001</v>
      </c>
      <c r="S1099" s="129">
        <v>1</v>
      </c>
      <c r="T1099" s="129">
        <v>301.38141000000002</v>
      </c>
      <c r="U1099" s="129">
        <v>301.38141000000007</v>
      </c>
      <c r="V1099" s="129">
        <v>54.248589999999965</v>
      </c>
      <c r="W1099" s="129">
        <v>355.63</v>
      </c>
      <c r="X1099" s="27">
        <f t="shared" si="185"/>
        <v>1000.8876927481413</v>
      </c>
    </row>
    <row r="1100" spans="1:24" x14ac:dyDescent="0.2">
      <c r="A1100" s="220">
        <v>43840</v>
      </c>
      <c r="B1100" s="130" t="s">
        <v>68</v>
      </c>
      <c r="C1100" s="130" t="s">
        <v>102</v>
      </c>
      <c r="D1100" s="130" t="s">
        <v>2811</v>
      </c>
      <c r="E1100" s="130" t="s">
        <v>2027</v>
      </c>
      <c r="F1100" s="130" t="s">
        <v>2028</v>
      </c>
      <c r="G1100" s="220">
        <v>43767</v>
      </c>
      <c r="H1100" s="130" t="s">
        <v>90</v>
      </c>
      <c r="I1100" s="130" t="s">
        <v>91</v>
      </c>
      <c r="J1100" s="130" t="s">
        <v>97</v>
      </c>
      <c r="K1100" s="130" t="s">
        <v>98</v>
      </c>
      <c r="L1100" s="174" t="s">
        <v>71</v>
      </c>
      <c r="M1100" s="131" t="s">
        <v>72</v>
      </c>
      <c r="N1100" s="130" t="s">
        <v>73</v>
      </c>
      <c r="O1100" s="219" t="s">
        <v>99</v>
      </c>
      <c r="P1100" s="130" t="s">
        <v>98</v>
      </c>
      <c r="Q1100" s="132" t="s">
        <v>93</v>
      </c>
      <c r="R1100" s="218">
        <v>3.3210001</v>
      </c>
      <c r="S1100" s="129">
        <v>1</v>
      </c>
      <c r="T1100" s="129">
        <v>324.5</v>
      </c>
      <c r="U1100" s="129">
        <v>324.5</v>
      </c>
      <c r="V1100" s="129">
        <v>58.41</v>
      </c>
      <c r="W1100" s="129">
        <v>382.91</v>
      </c>
      <c r="X1100" s="27">
        <f t="shared" si="185"/>
        <v>1077.66453245</v>
      </c>
    </row>
    <row r="1101" spans="1:24" x14ac:dyDescent="0.2">
      <c r="A1101" s="220">
        <v>43840</v>
      </c>
      <c r="B1101" s="130" t="s">
        <v>68</v>
      </c>
      <c r="C1101" s="130" t="s">
        <v>102</v>
      </c>
      <c r="D1101" s="130" t="s">
        <v>2811</v>
      </c>
      <c r="E1101" s="130" t="s">
        <v>2027</v>
      </c>
      <c r="F1101" s="130" t="s">
        <v>2028</v>
      </c>
      <c r="G1101" s="220">
        <v>43767</v>
      </c>
      <c r="H1101" s="130" t="s">
        <v>90</v>
      </c>
      <c r="I1101" s="130" t="s">
        <v>91</v>
      </c>
      <c r="J1101" s="130" t="s">
        <v>100</v>
      </c>
      <c r="K1101" s="130" t="s">
        <v>101</v>
      </c>
      <c r="L1101" s="174" t="s">
        <v>71</v>
      </c>
      <c r="M1101" s="131" t="s">
        <v>72</v>
      </c>
      <c r="N1101" s="130" t="s">
        <v>73</v>
      </c>
      <c r="O1101" s="219" t="s">
        <v>72</v>
      </c>
      <c r="P1101" s="130" t="s">
        <v>101</v>
      </c>
      <c r="Q1101" s="132" t="s">
        <v>93</v>
      </c>
      <c r="R1101" s="218">
        <v>3.3210001</v>
      </c>
      <c r="S1101" s="129">
        <v>1</v>
      </c>
      <c r="T1101" s="129">
        <v>240</v>
      </c>
      <c r="U1101" s="129">
        <v>240</v>
      </c>
      <c r="V1101" s="129">
        <v>43.200010000000042</v>
      </c>
      <c r="W1101" s="129">
        <v>283.20001000000002</v>
      </c>
      <c r="X1101" s="27">
        <f t="shared" si="185"/>
        <v>797.04002400000002</v>
      </c>
    </row>
    <row r="1102" spans="1:24" x14ac:dyDescent="0.2">
      <c r="A1102" s="220">
        <v>43840</v>
      </c>
      <c r="B1102" s="130" t="s">
        <v>68</v>
      </c>
      <c r="C1102" s="130" t="s">
        <v>102</v>
      </c>
      <c r="D1102" s="130" t="s">
        <v>2811</v>
      </c>
      <c r="E1102" s="130" t="s">
        <v>2027</v>
      </c>
      <c r="F1102" s="130" t="s">
        <v>2028</v>
      </c>
      <c r="G1102" s="220">
        <v>43767</v>
      </c>
      <c r="H1102" s="130" t="s">
        <v>90</v>
      </c>
      <c r="I1102" s="130" t="s">
        <v>91</v>
      </c>
      <c r="J1102" s="130" t="s">
        <v>92</v>
      </c>
      <c r="K1102" s="130" t="s">
        <v>113</v>
      </c>
      <c r="L1102" s="174" t="s">
        <v>71</v>
      </c>
      <c r="M1102" s="131" t="s">
        <v>72</v>
      </c>
      <c r="N1102" s="130" t="s">
        <v>73</v>
      </c>
      <c r="O1102" s="219" t="s">
        <v>69</v>
      </c>
      <c r="P1102" s="130" t="s">
        <v>1699</v>
      </c>
      <c r="Q1102" s="132" t="s">
        <v>93</v>
      </c>
      <c r="R1102" s="218">
        <v>3.3210001</v>
      </c>
      <c r="S1102" s="129">
        <v>1</v>
      </c>
      <c r="T1102" s="129">
        <v>130</v>
      </c>
      <c r="U1102" s="129">
        <v>130</v>
      </c>
      <c r="V1102" s="129">
        <v>23.399990000000017</v>
      </c>
      <c r="W1102" s="129">
        <v>153.39999</v>
      </c>
      <c r="X1102" s="27">
        <f t="shared" si="185"/>
        <v>431.73001299999999</v>
      </c>
    </row>
    <row r="1103" spans="1:24" x14ac:dyDescent="0.2">
      <c r="A1103" s="220">
        <v>43840</v>
      </c>
      <c r="B1103" s="130" t="s">
        <v>68</v>
      </c>
      <c r="C1103" s="130" t="s">
        <v>102</v>
      </c>
      <c r="D1103" s="130" t="s">
        <v>2811</v>
      </c>
      <c r="E1103" s="130" t="s">
        <v>2027</v>
      </c>
      <c r="F1103" s="130" t="s">
        <v>2028</v>
      </c>
      <c r="G1103" s="220">
        <v>43767</v>
      </c>
      <c r="H1103" s="130" t="s">
        <v>90</v>
      </c>
      <c r="I1103" s="130" t="s">
        <v>91</v>
      </c>
      <c r="J1103" s="130" t="s">
        <v>132</v>
      </c>
      <c r="K1103" s="130" t="s">
        <v>2796</v>
      </c>
      <c r="L1103" s="174" t="s">
        <v>71</v>
      </c>
      <c r="M1103" s="131" t="s">
        <v>72</v>
      </c>
      <c r="N1103" s="130" t="s">
        <v>73</v>
      </c>
      <c r="O1103" s="219" t="s">
        <v>69</v>
      </c>
      <c r="P1103" s="130" t="s">
        <v>1699</v>
      </c>
      <c r="Q1103" s="132" t="s">
        <v>93</v>
      </c>
      <c r="R1103" s="218">
        <v>3.3210001</v>
      </c>
      <c r="S1103" s="129">
        <v>1</v>
      </c>
      <c r="T1103" s="129">
        <v>15</v>
      </c>
      <c r="U1103" s="129">
        <v>15</v>
      </c>
      <c r="V1103" s="129">
        <v>2.7000009999999999</v>
      </c>
      <c r="W1103" s="129">
        <v>17.700001</v>
      </c>
      <c r="X1103" s="27">
        <f t="shared" si="185"/>
        <v>49.815001500000001</v>
      </c>
    </row>
    <row r="1104" spans="1:24" x14ac:dyDescent="0.2">
      <c r="A1104" s="220">
        <v>43840</v>
      </c>
      <c r="B1104" s="130" t="s">
        <v>68</v>
      </c>
      <c r="C1104" s="130" t="s">
        <v>102</v>
      </c>
      <c r="D1104" s="130" t="s">
        <v>2811</v>
      </c>
      <c r="E1104" s="130" t="s">
        <v>2027</v>
      </c>
      <c r="F1104" s="130" t="s">
        <v>2028</v>
      </c>
      <c r="G1104" s="220">
        <v>43767</v>
      </c>
      <c r="H1104" s="130" t="s">
        <v>90</v>
      </c>
      <c r="I1104" s="130" t="s">
        <v>91</v>
      </c>
      <c r="J1104" s="130" t="s">
        <v>70</v>
      </c>
      <c r="K1104" s="130" t="s">
        <v>112</v>
      </c>
      <c r="L1104" s="174" t="s">
        <v>71</v>
      </c>
      <c r="M1104" s="131" t="s">
        <v>72</v>
      </c>
      <c r="N1104" s="130" t="s">
        <v>73</v>
      </c>
      <c r="O1104" s="219" t="s">
        <v>69</v>
      </c>
      <c r="P1104" s="130" t="s">
        <v>1699</v>
      </c>
      <c r="Q1104" s="132" t="s">
        <v>93</v>
      </c>
      <c r="R1104" s="218">
        <v>3.3210001</v>
      </c>
      <c r="S1104" s="129">
        <v>1</v>
      </c>
      <c r="T1104" s="129">
        <v>37.5</v>
      </c>
      <c r="U1104" s="129">
        <v>37.5</v>
      </c>
      <c r="V1104" s="129">
        <v>6.75</v>
      </c>
      <c r="W1104" s="129">
        <v>44.25</v>
      </c>
      <c r="X1104" s="27">
        <f t="shared" si="185"/>
        <v>124.53750375</v>
      </c>
    </row>
    <row r="1105" spans="1:24" x14ac:dyDescent="0.2">
      <c r="A1105" s="220">
        <v>43840</v>
      </c>
      <c r="B1105" s="130" t="s">
        <v>68</v>
      </c>
      <c r="C1105" s="130" t="s">
        <v>102</v>
      </c>
      <c r="D1105" s="130" t="s">
        <v>2811</v>
      </c>
      <c r="E1105" s="130" t="s">
        <v>2027</v>
      </c>
      <c r="F1105" s="130" t="s">
        <v>2028</v>
      </c>
      <c r="G1105" s="220">
        <v>43767</v>
      </c>
      <c r="H1105" s="130" t="s">
        <v>90</v>
      </c>
      <c r="I1105" s="130" t="s">
        <v>91</v>
      </c>
      <c r="J1105" s="130" t="s">
        <v>95</v>
      </c>
      <c r="K1105" s="130" t="s">
        <v>96</v>
      </c>
      <c r="L1105" s="174" t="s">
        <v>71</v>
      </c>
      <c r="M1105" s="131" t="s">
        <v>72</v>
      </c>
      <c r="N1105" s="130" t="s">
        <v>73</v>
      </c>
      <c r="O1105" s="219" t="s">
        <v>69</v>
      </c>
      <c r="P1105" s="130" t="s">
        <v>1699</v>
      </c>
      <c r="Q1105" s="132" t="s">
        <v>93</v>
      </c>
      <c r="R1105" s="218">
        <v>3.3210001</v>
      </c>
      <c r="S1105" s="129">
        <v>-1</v>
      </c>
      <c r="T1105" s="129">
        <v>301.38141000000002</v>
      </c>
      <c r="U1105" s="129">
        <v>-301.38141000000007</v>
      </c>
      <c r="V1105" s="129">
        <v>-54.248589999999965</v>
      </c>
      <c r="W1105" s="129">
        <v>-355.63</v>
      </c>
      <c r="X1105" s="27">
        <f t="shared" si="185"/>
        <v>-1000.8876927481413</v>
      </c>
    </row>
    <row r="1106" spans="1:24" x14ac:dyDescent="0.2">
      <c r="A1106" s="220">
        <v>43840</v>
      </c>
      <c r="B1106" s="130" t="s">
        <v>68</v>
      </c>
      <c r="C1106" s="130" t="s">
        <v>102</v>
      </c>
      <c r="D1106" s="130" t="s">
        <v>2811</v>
      </c>
      <c r="E1106" s="130" t="s">
        <v>2027</v>
      </c>
      <c r="F1106" s="130" t="s">
        <v>2028</v>
      </c>
      <c r="G1106" s="220">
        <v>43767</v>
      </c>
      <c r="H1106" s="130" t="s">
        <v>90</v>
      </c>
      <c r="I1106" s="130" t="s">
        <v>91</v>
      </c>
      <c r="J1106" s="130" t="s">
        <v>104</v>
      </c>
      <c r="K1106" s="130" t="s">
        <v>105</v>
      </c>
      <c r="L1106" s="174" t="s">
        <v>71</v>
      </c>
      <c r="M1106" s="131" t="s">
        <v>72</v>
      </c>
      <c r="N1106" s="130" t="s">
        <v>73</v>
      </c>
      <c r="O1106" s="219" t="s">
        <v>69</v>
      </c>
      <c r="P1106" s="130" t="s">
        <v>1699</v>
      </c>
      <c r="Q1106" s="132" t="s">
        <v>93</v>
      </c>
      <c r="R1106" s="218">
        <v>3.3210001</v>
      </c>
      <c r="S1106" s="129">
        <v>1</v>
      </c>
      <c r="T1106" s="129">
        <v>0</v>
      </c>
      <c r="U1106" s="129">
        <v>0</v>
      </c>
      <c r="V1106" s="129">
        <v>0</v>
      </c>
      <c r="W1106" s="129">
        <v>0</v>
      </c>
      <c r="X1106" s="27">
        <f t="shared" si="185"/>
        <v>0</v>
      </c>
    </row>
    <row r="1107" spans="1:24" x14ac:dyDescent="0.2">
      <c r="A1107" s="220">
        <v>43840</v>
      </c>
      <c r="B1107" s="130" t="s">
        <v>68</v>
      </c>
      <c r="C1107" s="130" t="s">
        <v>102</v>
      </c>
      <c r="D1107" s="130" t="s">
        <v>2106</v>
      </c>
      <c r="E1107" s="130" t="s">
        <v>2595</v>
      </c>
      <c r="F1107" s="130" t="s">
        <v>2751</v>
      </c>
      <c r="G1107" s="220">
        <v>43826</v>
      </c>
      <c r="H1107" s="130" t="s">
        <v>90</v>
      </c>
      <c r="I1107" s="130" t="s">
        <v>91</v>
      </c>
      <c r="J1107" s="130" t="s">
        <v>97</v>
      </c>
      <c r="K1107" s="130" t="s">
        <v>98</v>
      </c>
      <c r="L1107" s="174" t="s">
        <v>71</v>
      </c>
      <c r="M1107" s="131" t="s">
        <v>72</v>
      </c>
      <c r="N1107" s="130" t="s">
        <v>73</v>
      </c>
      <c r="O1107" s="219" t="s">
        <v>99</v>
      </c>
      <c r="P1107" s="130" t="s">
        <v>98</v>
      </c>
      <c r="Q1107" s="132" t="s">
        <v>93</v>
      </c>
      <c r="R1107" s="218">
        <v>3.3210001</v>
      </c>
      <c r="S1107" s="129">
        <v>1</v>
      </c>
      <c r="T1107" s="129">
        <v>118</v>
      </c>
      <c r="U1107" s="129">
        <v>118</v>
      </c>
      <c r="V1107" s="129">
        <v>21.240010000000019</v>
      </c>
      <c r="W1107" s="129">
        <v>139.24001000000001</v>
      </c>
      <c r="X1107" s="27">
        <f t="shared" si="185"/>
        <v>391.87801180000002</v>
      </c>
    </row>
    <row r="1108" spans="1:24" x14ac:dyDescent="0.2">
      <c r="A1108" s="220">
        <v>43840</v>
      </c>
      <c r="B1108" s="130" t="s">
        <v>68</v>
      </c>
      <c r="C1108" s="130" t="s">
        <v>102</v>
      </c>
      <c r="D1108" s="130" t="s">
        <v>2106</v>
      </c>
      <c r="E1108" s="130" t="s">
        <v>2595</v>
      </c>
      <c r="F1108" s="130" t="s">
        <v>2751</v>
      </c>
      <c r="G1108" s="220">
        <v>43826</v>
      </c>
      <c r="H1108" s="130" t="s">
        <v>90</v>
      </c>
      <c r="I1108" s="130" t="s">
        <v>91</v>
      </c>
      <c r="J1108" s="130" t="s">
        <v>100</v>
      </c>
      <c r="K1108" s="130" t="s">
        <v>101</v>
      </c>
      <c r="L1108" s="174" t="s">
        <v>71</v>
      </c>
      <c r="M1108" s="131" t="s">
        <v>72</v>
      </c>
      <c r="N1108" s="130" t="s">
        <v>73</v>
      </c>
      <c r="O1108" s="219" t="s">
        <v>72</v>
      </c>
      <c r="P1108" s="130" t="s">
        <v>101</v>
      </c>
      <c r="Q1108" s="132" t="s">
        <v>93</v>
      </c>
      <c r="R1108" s="218">
        <v>3.3210001</v>
      </c>
      <c r="S1108" s="129">
        <v>1</v>
      </c>
      <c r="T1108" s="129">
        <v>90</v>
      </c>
      <c r="U1108" s="129">
        <v>90</v>
      </c>
      <c r="V1108" s="129">
        <v>16.2</v>
      </c>
      <c r="W1108" s="129">
        <v>106.2</v>
      </c>
      <c r="X1108" s="27">
        <f t="shared" si="185"/>
        <v>298.89000900000002</v>
      </c>
    </row>
    <row r="1109" spans="1:24" x14ac:dyDescent="0.2">
      <c r="A1109" s="220">
        <v>43840</v>
      </c>
      <c r="B1109" s="130" t="s">
        <v>68</v>
      </c>
      <c r="C1109" s="130" t="s">
        <v>102</v>
      </c>
      <c r="D1109" s="130" t="s">
        <v>2106</v>
      </c>
      <c r="E1109" s="130" t="s">
        <v>2595</v>
      </c>
      <c r="F1109" s="130" t="s">
        <v>2751</v>
      </c>
      <c r="G1109" s="220">
        <v>43826</v>
      </c>
      <c r="H1109" s="130" t="s">
        <v>90</v>
      </c>
      <c r="I1109" s="130" t="s">
        <v>91</v>
      </c>
      <c r="J1109" s="130" t="s">
        <v>92</v>
      </c>
      <c r="K1109" s="130" t="s">
        <v>113</v>
      </c>
      <c r="L1109" s="174" t="s">
        <v>71</v>
      </c>
      <c r="M1109" s="131" t="s">
        <v>72</v>
      </c>
      <c r="N1109" s="130" t="s">
        <v>73</v>
      </c>
      <c r="O1109" s="219" t="s">
        <v>69</v>
      </c>
      <c r="P1109" s="130" t="s">
        <v>1699</v>
      </c>
      <c r="Q1109" s="132" t="s">
        <v>93</v>
      </c>
      <c r="R1109" s="218">
        <v>3.3210001</v>
      </c>
      <c r="S1109" s="129">
        <v>1</v>
      </c>
      <c r="T1109" s="129">
        <v>45</v>
      </c>
      <c r="U1109" s="129">
        <v>45</v>
      </c>
      <c r="V1109" s="129">
        <v>8.0999980000000047</v>
      </c>
      <c r="W1109" s="129">
        <v>53.099998000000006</v>
      </c>
      <c r="X1109" s="27">
        <f t="shared" si="185"/>
        <v>149.44500450000001</v>
      </c>
    </row>
    <row r="1110" spans="1:24" x14ac:dyDescent="0.2">
      <c r="A1110" s="220">
        <v>43840</v>
      </c>
      <c r="B1110" s="130" t="s">
        <v>68</v>
      </c>
      <c r="C1110" s="130" t="s">
        <v>102</v>
      </c>
      <c r="D1110" s="130" t="s">
        <v>2106</v>
      </c>
      <c r="E1110" s="130" t="s">
        <v>2595</v>
      </c>
      <c r="F1110" s="130" t="s">
        <v>2751</v>
      </c>
      <c r="G1110" s="220">
        <v>43826</v>
      </c>
      <c r="H1110" s="130" t="s">
        <v>90</v>
      </c>
      <c r="I1110" s="130" t="s">
        <v>91</v>
      </c>
      <c r="J1110" s="130" t="s">
        <v>95</v>
      </c>
      <c r="K1110" s="130" t="s">
        <v>96</v>
      </c>
      <c r="L1110" s="174" t="s">
        <v>71</v>
      </c>
      <c r="M1110" s="131" t="s">
        <v>72</v>
      </c>
      <c r="N1110" s="130" t="s">
        <v>73</v>
      </c>
      <c r="O1110" s="219" t="s">
        <v>69</v>
      </c>
      <c r="P1110" s="130" t="s">
        <v>1699</v>
      </c>
      <c r="Q1110" s="132" t="s">
        <v>93</v>
      </c>
      <c r="R1110" s="218">
        <v>3.3210001</v>
      </c>
      <c r="S1110" s="129">
        <v>-1</v>
      </c>
      <c r="T1110" s="129">
        <v>100</v>
      </c>
      <c r="U1110" s="129">
        <v>-100</v>
      </c>
      <c r="V1110" s="129">
        <v>-18</v>
      </c>
      <c r="W1110" s="129">
        <v>-118</v>
      </c>
      <c r="X1110" s="27">
        <f t="shared" si="185"/>
        <v>-332.10001</v>
      </c>
    </row>
    <row r="1111" spans="1:24" x14ac:dyDescent="0.2">
      <c r="A1111" s="220">
        <v>43840</v>
      </c>
      <c r="B1111" s="130" t="s">
        <v>68</v>
      </c>
      <c r="C1111" s="130" t="s">
        <v>102</v>
      </c>
      <c r="D1111" s="130" t="s">
        <v>2106</v>
      </c>
      <c r="E1111" s="130" t="s">
        <v>2595</v>
      </c>
      <c r="F1111" s="130" t="s">
        <v>2751</v>
      </c>
      <c r="G1111" s="220">
        <v>43826</v>
      </c>
      <c r="H1111" s="130" t="s">
        <v>90</v>
      </c>
      <c r="I1111" s="130" t="s">
        <v>91</v>
      </c>
      <c r="J1111" s="130" t="s">
        <v>104</v>
      </c>
      <c r="K1111" s="130" t="s">
        <v>105</v>
      </c>
      <c r="L1111" s="174" t="s">
        <v>71</v>
      </c>
      <c r="M1111" s="131" t="s">
        <v>72</v>
      </c>
      <c r="N1111" s="130" t="s">
        <v>73</v>
      </c>
      <c r="O1111" s="219" t="s">
        <v>69</v>
      </c>
      <c r="P1111" s="130" t="s">
        <v>1699</v>
      </c>
      <c r="Q1111" s="132" t="s">
        <v>93</v>
      </c>
      <c r="R1111" s="218">
        <v>3.3210001</v>
      </c>
      <c r="S1111" s="129">
        <v>1</v>
      </c>
      <c r="T1111" s="129">
        <v>0</v>
      </c>
      <c r="U1111" s="129">
        <v>0</v>
      </c>
      <c r="V1111" s="129">
        <v>0</v>
      </c>
      <c r="W1111" s="129">
        <v>0</v>
      </c>
      <c r="X1111" s="27">
        <f t="shared" si="185"/>
        <v>0</v>
      </c>
    </row>
    <row r="1112" spans="1:24" x14ac:dyDescent="0.2">
      <c r="A1112" s="220">
        <v>43841</v>
      </c>
      <c r="B1112" s="130" t="s">
        <v>68</v>
      </c>
      <c r="C1112" s="130" t="s">
        <v>102</v>
      </c>
      <c r="D1112" s="130" t="s">
        <v>2810</v>
      </c>
      <c r="E1112" s="130" t="s">
        <v>2604</v>
      </c>
      <c r="F1112" s="130" t="s">
        <v>2748</v>
      </c>
      <c r="G1112" s="220">
        <v>43822</v>
      </c>
      <c r="H1112" s="130" t="s">
        <v>90</v>
      </c>
      <c r="I1112" s="130" t="s">
        <v>91</v>
      </c>
      <c r="J1112" s="130" t="s">
        <v>97</v>
      </c>
      <c r="K1112" s="130" t="s">
        <v>98</v>
      </c>
      <c r="L1112" s="174" t="s">
        <v>71</v>
      </c>
      <c r="M1112" s="131" t="s">
        <v>72</v>
      </c>
      <c r="N1112" s="130" t="s">
        <v>73</v>
      </c>
      <c r="O1112" s="219" t="s">
        <v>99</v>
      </c>
      <c r="P1112" s="130" t="s">
        <v>98</v>
      </c>
      <c r="Q1112" s="132" t="s">
        <v>93</v>
      </c>
      <c r="R1112" s="218">
        <v>3.3239999</v>
      </c>
      <c r="S1112" s="129">
        <v>1</v>
      </c>
      <c r="T1112" s="129">
        <v>59</v>
      </c>
      <c r="U1112" s="129">
        <v>59</v>
      </c>
      <c r="V1112" s="129">
        <v>10.620002999999997</v>
      </c>
      <c r="W1112" s="129">
        <v>69.620002999999997</v>
      </c>
      <c r="X1112" s="27">
        <f t="shared" si="185"/>
        <v>196.11599409999999</v>
      </c>
    </row>
    <row r="1113" spans="1:24" x14ac:dyDescent="0.2">
      <c r="A1113" s="220">
        <v>43841</v>
      </c>
      <c r="B1113" s="130" t="s">
        <v>68</v>
      </c>
      <c r="C1113" s="130" t="s">
        <v>102</v>
      </c>
      <c r="D1113" s="130" t="s">
        <v>2810</v>
      </c>
      <c r="E1113" s="130" t="s">
        <v>2604</v>
      </c>
      <c r="F1113" s="130" t="s">
        <v>2748</v>
      </c>
      <c r="G1113" s="220">
        <v>43822</v>
      </c>
      <c r="H1113" s="130" t="s">
        <v>90</v>
      </c>
      <c r="I1113" s="130" t="s">
        <v>91</v>
      </c>
      <c r="J1113" s="130" t="s">
        <v>100</v>
      </c>
      <c r="K1113" s="130" t="s">
        <v>101</v>
      </c>
      <c r="L1113" s="174" t="s">
        <v>71</v>
      </c>
      <c r="M1113" s="131" t="s">
        <v>72</v>
      </c>
      <c r="N1113" s="130" t="s">
        <v>73</v>
      </c>
      <c r="O1113" s="219" t="s">
        <v>72</v>
      </c>
      <c r="P1113" s="130" t="s">
        <v>101</v>
      </c>
      <c r="Q1113" s="132" t="s">
        <v>93</v>
      </c>
      <c r="R1113" s="218">
        <v>3.3239999</v>
      </c>
      <c r="S1113" s="129">
        <v>1</v>
      </c>
      <c r="T1113" s="129">
        <v>97.5</v>
      </c>
      <c r="U1113" s="129">
        <v>97.5</v>
      </c>
      <c r="V1113" s="129">
        <v>17.55</v>
      </c>
      <c r="W1113" s="129">
        <v>115.05</v>
      </c>
      <c r="X1113" s="27">
        <f t="shared" si="185"/>
        <v>324.08999025000003</v>
      </c>
    </row>
    <row r="1114" spans="1:24" x14ac:dyDescent="0.2">
      <c r="A1114" s="220">
        <v>43841</v>
      </c>
      <c r="B1114" s="130" t="s">
        <v>68</v>
      </c>
      <c r="C1114" s="130" t="s">
        <v>102</v>
      </c>
      <c r="D1114" s="130" t="s">
        <v>2810</v>
      </c>
      <c r="E1114" s="130" t="s">
        <v>2604</v>
      </c>
      <c r="F1114" s="130" t="s">
        <v>2748</v>
      </c>
      <c r="G1114" s="220">
        <v>43822</v>
      </c>
      <c r="H1114" s="130" t="s">
        <v>90</v>
      </c>
      <c r="I1114" s="130" t="s">
        <v>91</v>
      </c>
      <c r="J1114" s="130" t="s">
        <v>92</v>
      </c>
      <c r="K1114" s="130" t="s">
        <v>113</v>
      </c>
      <c r="L1114" s="174" t="s">
        <v>71</v>
      </c>
      <c r="M1114" s="131" t="s">
        <v>72</v>
      </c>
      <c r="N1114" s="130" t="s">
        <v>73</v>
      </c>
      <c r="O1114" s="219" t="s">
        <v>69</v>
      </c>
      <c r="P1114" s="130" t="s">
        <v>1699</v>
      </c>
      <c r="Q1114" s="132" t="s">
        <v>93</v>
      </c>
      <c r="R1114" s="218">
        <v>3.3239999</v>
      </c>
      <c r="S1114" s="129">
        <v>1</v>
      </c>
      <c r="T1114" s="129">
        <v>15</v>
      </c>
      <c r="U1114" s="129">
        <v>15</v>
      </c>
      <c r="V1114" s="129">
        <v>2.7000009999999999</v>
      </c>
      <c r="W1114" s="129">
        <v>17.700001</v>
      </c>
      <c r="X1114" s="27">
        <f t="shared" si="185"/>
        <v>49.859998500000003</v>
      </c>
    </row>
    <row r="1115" spans="1:24" x14ac:dyDescent="0.2">
      <c r="A1115" s="220">
        <v>43841</v>
      </c>
      <c r="B1115" s="130" t="s">
        <v>68</v>
      </c>
      <c r="C1115" s="130" t="s">
        <v>102</v>
      </c>
      <c r="D1115" s="130" t="s">
        <v>2810</v>
      </c>
      <c r="E1115" s="130" t="s">
        <v>2604</v>
      </c>
      <c r="F1115" s="130" t="s">
        <v>2748</v>
      </c>
      <c r="G1115" s="220">
        <v>43822</v>
      </c>
      <c r="H1115" s="130" t="s">
        <v>90</v>
      </c>
      <c r="I1115" s="130" t="s">
        <v>91</v>
      </c>
      <c r="J1115" s="130" t="s">
        <v>95</v>
      </c>
      <c r="K1115" s="130" t="s">
        <v>96</v>
      </c>
      <c r="L1115" s="174" t="s">
        <v>71</v>
      </c>
      <c r="M1115" s="131" t="s">
        <v>72</v>
      </c>
      <c r="N1115" s="130" t="s">
        <v>73</v>
      </c>
      <c r="O1115" s="219" t="s">
        <v>69</v>
      </c>
      <c r="P1115" s="130" t="s">
        <v>1699</v>
      </c>
      <c r="Q1115" s="132" t="s">
        <v>93</v>
      </c>
      <c r="R1115" s="218">
        <v>3.3239999</v>
      </c>
      <c r="S1115" s="129">
        <v>-1</v>
      </c>
      <c r="T1115" s="129">
        <v>100</v>
      </c>
      <c r="U1115" s="129">
        <v>-100</v>
      </c>
      <c r="V1115" s="129">
        <v>-18</v>
      </c>
      <c r="W1115" s="129">
        <v>-118</v>
      </c>
      <c r="X1115" s="27">
        <f t="shared" si="185"/>
        <v>-332.39999</v>
      </c>
    </row>
    <row r="1116" spans="1:24" x14ac:dyDescent="0.2">
      <c r="A1116" s="220">
        <v>43841</v>
      </c>
      <c r="B1116" s="130" t="s">
        <v>68</v>
      </c>
      <c r="C1116" s="130" t="s">
        <v>102</v>
      </c>
      <c r="D1116" s="130" t="s">
        <v>2809</v>
      </c>
      <c r="E1116" s="130" t="s">
        <v>2619</v>
      </c>
      <c r="F1116" s="130" t="s">
        <v>2745</v>
      </c>
      <c r="G1116" s="220">
        <v>43833</v>
      </c>
      <c r="H1116" s="130" t="s">
        <v>90</v>
      </c>
      <c r="I1116" s="130" t="s">
        <v>91</v>
      </c>
      <c r="J1116" s="130" t="s">
        <v>97</v>
      </c>
      <c r="K1116" s="130" t="s">
        <v>98</v>
      </c>
      <c r="L1116" s="174" t="s">
        <v>71</v>
      </c>
      <c r="M1116" s="131" t="s">
        <v>72</v>
      </c>
      <c r="N1116" s="130" t="s">
        <v>73</v>
      </c>
      <c r="O1116" s="219" t="s">
        <v>99</v>
      </c>
      <c r="P1116" s="130" t="s">
        <v>98</v>
      </c>
      <c r="Q1116" s="132" t="s">
        <v>93</v>
      </c>
      <c r="R1116" s="218">
        <v>3.3239999</v>
      </c>
      <c r="S1116" s="129">
        <v>1</v>
      </c>
      <c r="T1116" s="129">
        <v>177</v>
      </c>
      <c r="U1116" s="129">
        <v>177</v>
      </c>
      <c r="V1116" s="129">
        <v>31.86</v>
      </c>
      <c r="W1116" s="129">
        <v>208.86</v>
      </c>
      <c r="X1116" s="27">
        <f t="shared" si="185"/>
        <v>588.34798230000001</v>
      </c>
    </row>
    <row r="1117" spans="1:24" x14ac:dyDescent="0.2">
      <c r="A1117" s="220">
        <v>43841</v>
      </c>
      <c r="B1117" s="130" t="s">
        <v>68</v>
      </c>
      <c r="C1117" s="130" t="s">
        <v>102</v>
      </c>
      <c r="D1117" s="130" t="s">
        <v>2809</v>
      </c>
      <c r="E1117" s="130" t="s">
        <v>2619</v>
      </c>
      <c r="F1117" s="130" t="s">
        <v>2745</v>
      </c>
      <c r="G1117" s="220">
        <v>43833</v>
      </c>
      <c r="H1117" s="130" t="s">
        <v>90</v>
      </c>
      <c r="I1117" s="130" t="s">
        <v>91</v>
      </c>
      <c r="J1117" s="130" t="s">
        <v>100</v>
      </c>
      <c r="K1117" s="130" t="s">
        <v>101</v>
      </c>
      <c r="L1117" s="174" t="s">
        <v>71</v>
      </c>
      <c r="M1117" s="131" t="s">
        <v>72</v>
      </c>
      <c r="N1117" s="130" t="s">
        <v>73</v>
      </c>
      <c r="O1117" s="219" t="s">
        <v>72</v>
      </c>
      <c r="P1117" s="130" t="s">
        <v>101</v>
      </c>
      <c r="Q1117" s="132" t="s">
        <v>93</v>
      </c>
      <c r="R1117" s="218">
        <v>3.3239999</v>
      </c>
      <c r="S1117" s="129">
        <v>1</v>
      </c>
      <c r="T1117" s="129">
        <v>63.754200000000012</v>
      </c>
      <c r="U1117" s="129">
        <v>63.754200000000012</v>
      </c>
      <c r="V1117" s="129">
        <v>11.475802999999987</v>
      </c>
      <c r="W1117" s="129">
        <v>75.230002999999996</v>
      </c>
      <c r="X1117" s="27">
        <f t="shared" si="185"/>
        <v>211.91895442458005</v>
      </c>
    </row>
    <row r="1118" spans="1:24" x14ac:dyDescent="0.2">
      <c r="A1118" s="220">
        <v>43841</v>
      </c>
      <c r="B1118" s="130" t="s">
        <v>68</v>
      </c>
      <c r="C1118" s="130" t="s">
        <v>102</v>
      </c>
      <c r="D1118" s="130" t="s">
        <v>2809</v>
      </c>
      <c r="E1118" s="130" t="s">
        <v>2619</v>
      </c>
      <c r="F1118" s="130" t="s">
        <v>2745</v>
      </c>
      <c r="G1118" s="220">
        <v>43833</v>
      </c>
      <c r="H1118" s="130" t="s">
        <v>90</v>
      </c>
      <c r="I1118" s="130" t="s">
        <v>91</v>
      </c>
      <c r="J1118" s="130" t="s">
        <v>92</v>
      </c>
      <c r="K1118" s="130" t="s">
        <v>113</v>
      </c>
      <c r="L1118" s="174" t="s">
        <v>71</v>
      </c>
      <c r="M1118" s="131" t="s">
        <v>72</v>
      </c>
      <c r="N1118" s="130" t="s">
        <v>73</v>
      </c>
      <c r="O1118" s="219" t="s">
        <v>69</v>
      </c>
      <c r="P1118" s="130" t="s">
        <v>1699</v>
      </c>
      <c r="Q1118" s="132" t="s">
        <v>93</v>
      </c>
      <c r="R1118" s="218">
        <v>3.3239999</v>
      </c>
      <c r="S1118" s="129">
        <v>1</v>
      </c>
      <c r="T1118" s="129">
        <v>30</v>
      </c>
      <c r="U1118" s="129">
        <v>30</v>
      </c>
      <c r="V1118" s="129">
        <v>5.4000019999999997</v>
      </c>
      <c r="W1118" s="129">
        <v>35.400002000000001</v>
      </c>
      <c r="X1118" s="27">
        <f t="shared" si="185"/>
        <v>99.719997000000006</v>
      </c>
    </row>
    <row r="1119" spans="1:24" x14ac:dyDescent="0.2">
      <c r="A1119" s="220">
        <v>43841</v>
      </c>
      <c r="B1119" s="130" t="s">
        <v>68</v>
      </c>
      <c r="C1119" s="130" t="s">
        <v>102</v>
      </c>
      <c r="D1119" s="130" t="s">
        <v>2809</v>
      </c>
      <c r="E1119" s="130" t="s">
        <v>2619</v>
      </c>
      <c r="F1119" s="130" t="s">
        <v>2745</v>
      </c>
      <c r="G1119" s="220">
        <v>43833</v>
      </c>
      <c r="H1119" s="130" t="s">
        <v>90</v>
      </c>
      <c r="I1119" s="130" t="s">
        <v>91</v>
      </c>
      <c r="J1119" s="130" t="s">
        <v>95</v>
      </c>
      <c r="K1119" s="130" t="s">
        <v>96</v>
      </c>
      <c r="L1119" s="174" t="s">
        <v>71</v>
      </c>
      <c r="M1119" s="131" t="s">
        <v>72</v>
      </c>
      <c r="N1119" s="130" t="s">
        <v>73</v>
      </c>
      <c r="O1119" s="219" t="s">
        <v>69</v>
      </c>
      <c r="P1119" s="130" t="s">
        <v>1699</v>
      </c>
      <c r="Q1119" s="132" t="s">
        <v>93</v>
      </c>
      <c r="R1119" s="218">
        <v>3.3239999</v>
      </c>
      <c r="S1119" s="129">
        <v>-1</v>
      </c>
      <c r="T1119" s="129">
        <v>100</v>
      </c>
      <c r="U1119" s="129">
        <v>-100</v>
      </c>
      <c r="V1119" s="129">
        <v>-18</v>
      </c>
      <c r="W1119" s="129">
        <v>-118</v>
      </c>
      <c r="X1119" s="27">
        <f t="shared" si="185"/>
        <v>-332.39999</v>
      </c>
    </row>
    <row r="1120" spans="1:24" x14ac:dyDescent="0.2">
      <c r="A1120" s="220">
        <v>43841</v>
      </c>
      <c r="B1120" s="130" t="s">
        <v>68</v>
      </c>
      <c r="C1120" s="130" t="s">
        <v>102</v>
      </c>
      <c r="D1120" s="130" t="s">
        <v>2809</v>
      </c>
      <c r="E1120" s="130" t="s">
        <v>2619</v>
      </c>
      <c r="F1120" s="130" t="s">
        <v>2745</v>
      </c>
      <c r="G1120" s="220">
        <v>43833</v>
      </c>
      <c r="H1120" s="130" t="s">
        <v>90</v>
      </c>
      <c r="I1120" s="130" t="s">
        <v>91</v>
      </c>
      <c r="J1120" s="130" t="s">
        <v>104</v>
      </c>
      <c r="K1120" s="130" t="s">
        <v>105</v>
      </c>
      <c r="L1120" s="174" t="s">
        <v>71</v>
      </c>
      <c r="M1120" s="131" t="s">
        <v>72</v>
      </c>
      <c r="N1120" s="130" t="s">
        <v>73</v>
      </c>
      <c r="O1120" s="219" t="s">
        <v>69</v>
      </c>
      <c r="P1120" s="130" t="s">
        <v>1699</v>
      </c>
      <c r="Q1120" s="132" t="s">
        <v>93</v>
      </c>
      <c r="R1120" s="218">
        <v>3.3239999</v>
      </c>
      <c r="S1120" s="129">
        <v>1</v>
      </c>
      <c r="T1120" s="129">
        <v>0</v>
      </c>
      <c r="U1120" s="129">
        <v>0</v>
      </c>
      <c r="V1120" s="129">
        <v>0</v>
      </c>
      <c r="W1120" s="129">
        <v>0</v>
      </c>
      <c r="X1120" s="27">
        <f t="shared" si="185"/>
        <v>0</v>
      </c>
    </row>
    <row r="1121" spans="1:24" x14ac:dyDescent="0.2">
      <c r="A1121" s="220">
        <v>43841</v>
      </c>
      <c r="B1121" s="130" t="s">
        <v>68</v>
      </c>
      <c r="C1121" s="130" t="s">
        <v>102</v>
      </c>
      <c r="D1121" s="130" t="s">
        <v>2808</v>
      </c>
      <c r="E1121" s="130" t="s">
        <v>2621</v>
      </c>
      <c r="F1121" s="130" t="s">
        <v>2745</v>
      </c>
      <c r="G1121" s="220">
        <v>43833</v>
      </c>
      <c r="H1121" s="130" t="s">
        <v>90</v>
      </c>
      <c r="I1121" s="130" t="s">
        <v>91</v>
      </c>
      <c r="J1121" s="130" t="s">
        <v>97</v>
      </c>
      <c r="K1121" s="130" t="s">
        <v>98</v>
      </c>
      <c r="L1121" s="174" t="s">
        <v>71</v>
      </c>
      <c r="M1121" s="131" t="s">
        <v>72</v>
      </c>
      <c r="N1121" s="130" t="s">
        <v>73</v>
      </c>
      <c r="O1121" s="219" t="s">
        <v>99</v>
      </c>
      <c r="P1121" s="130" t="s">
        <v>98</v>
      </c>
      <c r="Q1121" s="132" t="s">
        <v>93</v>
      </c>
      <c r="R1121" s="218">
        <v>3.3239999</v>
      </c>
      <c r="S1121" s="129">
        <v>1</v>
      </c>
      <c r="T1121" s="129">
        <v>14.754200000000001</v>
      </c>
      <c r="U1121" s="129">
        <v>14.754200000000001</v>
      </c>
      <c r="V1121" s="129">
        <v>2.6557999999999993</v>
      </c>
      <c r="W1121" s="129">
        <v>17.41</v>
      </c>
      <c r="X1121" s="27">
        <f t="shared" si="185"/>
        <v>49.042959324580004</v>
      </c>
    </row>
    <row r="1122" spans="1:24" x14ac:dyDescent="0.2">
      <c r="A1122" s="220">
        <v>43841</v>
      </c>
      <c r="B1122" s="130" t="s">
        <v>68</v>
      </c>
      <c r="C1122" s="130" t="s">
        <v>102</v>
      </c>
      <c r="D1122" s="130" t="s">
        <v>2808</v>
      </c>
      <c r="E1122" s="130" t="s">
        <v>2621</v>
      </c>
      <c r="F1122" s="130" t="s">
        <v>2745</v>
      </c>
      <c r="G1122" s="220">
        <v>43833</v>
      </c>
      <c r="H1122" s="130" t="s">
        <v>90</v>
      </c>
      <c r="I1122" s="130" t="s">
        <v>91</v>
      </c>
      <c r="J1122" s="130" t="s">
        <v>100</v>
      </c>
      <c r="K1122" s="130" t="s">
        <v>101</v>
      </c>
      <c r="L1122" s="174" t="s">
        <v>71</v>
      </c>
      <c r="M1122" s="131" t="s">
        <v>72</v>
      </c>
      <c r="N1122" s="130" t="s">
        <v>73</v>
      </c>
      <c r="O1122" s="219" t="s">
        <v>72</v>
      </c>
      <c r="P1122" s="130" t="s">
        <v>101</v>
      </c>
      <c r="Q1122" s="132" t="s">
        <v>93</v>
      </c>
      <c r="R1122" s="218">
        <v>3.3239999</v>
      </c>
      <c r="S1122" s="129">
        <v>1</v>
      </c>
      <c r="T1122" s="129">
        <v>7.5</v>
      </c>
      <c r="U1122" s="129">
        <v>7.5</v>
      </c>
      <c r="V1122" s="129">
        <v>1.3500004000000023</v>
      </c>
      <c r="W1122" s="129">
        <v>8.8500004000000025</v>
      </c>
      <c r="X1122" s="27">
        <f t="shared" si="185"/>
        <v>24.929999250000002</v>
      </c>
    </row>
    <row r="1123" spans="1:24" x14ac:dyDescent="0.2">
      <c r="A1123" s="220">
        <v>43841</v>
      </c>
      <c r="B1123" s="130" t="s">
        <v>68</v>
      </c>
      <c r="C1123" s="130" t="s">
        <v>102</v>
      </c>
      <c r="D1123" s="130" t="s">
        <v>2808</v>
      </c>
      <c r="E1123" s="130" t="s">
        <v>2621</v>
      </c>
      <c r="F1123" s="130" t="s">
        <v>2745</v>
      </c>
      <c r="G1123" s="220">
        <v>43833</v>
      </c>
      <c r="H1123" s="130" t="s">
        <v>90</v>
      </c>
      <c r="I1123" s="130" t="s">
        <v>91</v>
      </c>
      <c r="J1123" s="130" t="s">
        <v>104</v>
      </c>
      <c r="K1123" s="130" t="s">
        <v>105</v>
      </c>
      <c r="L1123" s="174" t="s">
        <v>71</v>
      </c>
      <c r="M1123" s="131" t="s">
        <v>72</v>
      </c>
      <c r="N1123" s="130" t="s">
        <v>73</v>
      </c>
      <c r="O1123" s="219" t="s">
        <v>69</v>
      </c>
      <c r="P1123" s="130" t="s">
        <v>1699</v>
      </c>
      <c r="Q1123" s="132" t="s">
        <v>93</v>
      </c>
      <c r="R1123" s="218">
        <v>3.3239999</v>
      </c>
      <c r="S1123" s="129">
        <v>1</v>
      </c>
      <c r="T1123" s="129">
        <v>0</v>
      </c>
      <c r="U1123" s="129">
        <v>0</v>
      </c>
      <c r="V1123" s="129">
        <v>0</v>
      </c>
      <c r="W1123" s="129">
        <v>0</v>
      </c>
      <c r="X1123" s="27">
        <f t="shared" si="185"/>
        <v>0</v>
      </c>
    </row>
    <row r="1124" spans="1:24" x14ac:dyDescent="0.2">
      <c r="A1124" s="220">
        <v>43843</v>
      </c>
      <c r="B1124" s="130" t="s">
        <v>68</v>
      </c>
      <c r="C1124" s="130" t="s">
        <v>102</v>
      </c>
      <c r="D1124" s="130" t="s">
        <v>2807</v>
      </c>
      <c r="E1124" s="130" t="s">
        <v>1390</v>
      </c>
      <c r="F1124" s="130" t="s">
        <v>2495</v>
      </c>
      <c r="G1124" s="220">
        <v>43792</v>
      </c>
      <c r="H1124" s="130" t="s">
        <v>387</v>
      </c>
      <c r="I1124" s="130" t="s">
        <v>386</v>
      </c>
      <c r="J1124" s="130" t="s">
        <v>97</v>
      </c>
      <c r="K1124" s="130" t="s">
        <v>98</v>
      </c>
      <c r="L1124" s="174" t="s">
        <v>71</v>
      </c>
      <c r="M1124" s="131" t="s">
        <v>72</v>
      </c>
      <c r="N1124" s="130" t="s">
        <v>73</v>
      </c>
      <c r="O1124" s="219" t="s">
        <v>99</v>
      </c>
      <c r="P1124" s="130" t="s">
        <v>98</v>
      </c>
      <c r="Q1124" s="132" t="s">
        <v>74</v>
      </c>
      <c r="R1124" s="218">
        <v>3.3239999</v>
      </c>
      <c r="S1124" s="129">
        <v>1</v>
      </c>
      <c r="T1124" s="129">
        <v>2430</v>
      </c>
      <c r="U1124" s="129">
        <v>2430</v>
      </c>
      <c r="V1124" s="129">
        <v>437.39989999999989</v>
      </c>
      <c r="W1124" s="129">
        <v>2867.3998999999999</v>
      </c>
      <c r="X1124" s="27">
        <f t="shared" si="185"/>
        <v>2430</v>
      </c>
    </row>
    <row r="1125" spans="1:24" x14ac:dyDescent="0.2">
      <c r="A1125" s="220">
        <v>43843</v>
      </c>
      <c r="B1125" s="130" t="s">
        <v>68</v>
      </c>
      <c r="C1125" s="130" t="s">
        <v>102</v>
      </c>
      <c r="D1125" s="130" t="s">
        <v>2807</v>
      </c>
      <c r="E1125" s="130" t="s">
        <v>1390</v>
      </c>
      <c r="F1125" s="130" t="s">
        <v>2495</v>
      </c>
      <c r="G1125" s="220">
        <v>43792</v>
      </c>
      <c r="H1125" s="130" t="s">
        <v>387</v>
      </c>
      <c r="I1125" s="130" t="s">
        <v>386</v>
      </c>
      <c r="J1125" s="130" t="s">
        <v>100</v>
      </c>
      <c r="K1125" s="130" t="s">
        <v>101</v>
      </c>
      <c r="L1125" s="174" t="s">
        <v>71</v>
      </c>
      <c r="M1125" s="131" t="s">
        <v>72</v>
      </c>
      <c r="N1125" s="130" t="s">
        <v>73</v>
      </c>
      <c r="O1125" s="219" t="s">
        <v>72</v>
      </c>
      <c r="P1125" s="130" t="s">
        <v>101</v>
      </c>
      <c r="Q1125" s="132" t="s">
        <v>74</v>
      </c>
      <c r="R1125" s="218">
        <v>3.3239999</v>
      </c>
      <c r="S1125" s="129">
        <v>1</v>
      </c>
      <c r="T1125" s="129">
        <v>1330</v>
      </c>
      <c r="U1125" s="129">
        <v>1330</v>
      </c>
      <c r="V1125" s="129">
        <v>239.4</v>
      </c>
      <c r="W1125" s="129">
        <v>1569.4</v>
      </c>
      <c r="X1125" s="27">
        <f t="shared" si="185"/>
        <v>1330</v>
      </c>
    </row>
    <row r="1126" spans="1:24" x14ac:dyDescent="0.2">
      <c r="A1126" s="220">
        <v>43843</v>
      </c>
      <c r="B1126" s="130" t="s">
        <v>68</v>
      </c>
      <c r="C1126" s="130" t="s">
        <v>102</v>
      </c>
      <c r="D1126" s="130" t="s">
        <v>2807</v>
      </c>
      <c r="E1126" s="130" t="s">
        <v>1390</v>
      </c>
      <c r="F1126" s="130" t="s">
        <v>2495</v>
      </c>
      <c r="G1126" s="220">
        <v>43792</v>
      </c>
      <c r="H1126" s="130" t="s">
        <v>387</v>
      </c>
      <c r="I1126" s="130" t="s">
        <v>386</v>
      </c>
      <c r="J1126" s="130" t="s">
        <v>92</v>
      </c>
      <c r="K1126" s="130" t="s">
        <v>113</v>
      </c>
      <c r="L1126" s="174" t="s">
        <v>71</v>
      </c>
      <c r="M1126" s="131" t="s">
        <v>72</v>
      </c>
      <c r="N1126" s="130" t="s">
        <v>73</v>
      </c>
      <c r="O1126" s="219" t="s">
        <v>69</v>
      </c>
      <c r="P1126" s="130" t="s">
        <v>1699</v>
      </c>
      <c r="Q1126" s="132" t="s">
        <v>74</v>
      </c>
      <c r="R1126" s="218">
        <v>3.3239999</v>
      </c>
      <c r="S1126" s="129">
        <v>1</v>
      </c>
      <c r="T1126" s="129">
        <v>1009.5678000000001</v>
      </c>
      <c r="U1126" s="129">
        <v>1009.5678000000001</v>
      </c>
      <c r="V1126" s="129">
        <v>181.72219999999987</v>
      </c>
      <c r="W1126" s="129">
        <v>1191.29</v>
      </c>
      <c r="X1126" s="27">
        <f t="shared" si="185"/>
        <v>1009.5678000000001</v>
      </c>
    </row>
    <row r="1127" spans="1:24" x14ac:dyDescent="0.2">
      <c r="A1127" s="220">
        <v>43843</v>
      </c>
      <c r="B1127" s="130" t="s">
        <v>68</v>
      </c>
      <c r="C1127" s="130" t="s">
        <v>102</v>
      </c>
      <c r="D1127" s="130" t="s">
        <v>2807</v>
      </c>
      <c r="E1127" s="130" t="s">
        <v>1390</v>
      </c>
      <c r="F1127" s="130" t="s">
        <v>2495</v>
      </c>
      <c r="G1127" s="220">
        <v>43792</v>
      </c>
      <c r="H1127" s="130" t="s">
        <v>387</v>
      </c>
      <c r="I1127" s="130" t="s">
        <v>386</v>
      </c>
      <c r="J1127" s="130" t="s">
        <v>132</v>
      </c>
      <c r="K1127" s="130" t="s">
        <v>133</v>
      </c>
      <c r="L1127" s="174" t="s">
        <v>71</v>
      </c>
      <c r="M1127" s="131" t="s">
        <v>72</v>
      </c>
      <c r="N1127" s="130" t="s">
        <v>73</v>
      </c>
      <c r="O1127" s="219" t="s">
        <v>69</v>
      </c>
      <c r="P1127" s="130" t="s">
        <v>1699</v>
      </c>
      <c r="Q1127" s="132" t="s">
        <v>74</v>
      </c>
      <c r="R1127" s="218">
        <v>3.3239999</v>
      </c>
      <c r="S1127" s="129">
        <v>1</v>
      </c>
      <c r="T1127" s="129">
        <v>1757</v>
      </c>
      <c r="U1127" s="129">
        <v>1757</v>
      </c>
      <c r="V1127" s="129">
        <v>316.26</v>
      </c>
      <c r="W1127" s="129">
        <v>2073.2600000000002</v>
      </c>
      <c r="X1127" s="27">
        <f t="shared" si="185"/>
        <v>1757</v>
      </c>
    </row>
    <row r="1128" spans="1:24" x14ac:dyDescent="0.2">
      <c r="A1128" s="220">
        <v>43843</v>
      </c>
      <c r="B1128" s="130" t="s">
        <v>68</v>
      </c>
      <c r="C1128" s="130" t="s">
        <v>102</v>
      </c>
      <c r="D1128" s="130" t="s">
        <v>2807</v>
      </c>
      <c r="E1128" s="130" t="s">
        <v>1390</v>
      </c>
      <c r="F1128" s="130" t="s">
        <v>2495</v>
      </c>
      <c r="G1128" s="220">
        <v>43792</v>
      </c>
      <c r="H1128" s="130" t="s">
        <v>387</v>
      </c>
      <c r="I1128" s="130" t="s">
        <v>386</v>
      </c>
      <c r="J1128" s="130" t="s">
        <v>139</v>
      </c>
      <c r="K1128" s="130" t="s">
        <v>109</v>
      </c>
      <c r="L1128" s="174" t="s">
        <v>71</v>
      </c>
      <c r="M1128" s="131" t="s">
        <v>72</v>
      </c>
      <c r="N1128" s="130" t="s">
        <v>73</v>
      </c>
      <c r="O1128" s="219" t="s">
        <v>69</v>
      </c>
      <c r="P1128" s="130" t="s">
        <v>1699</v>
      </c>
      <c r="Q1128" s="132" t="s">
        <v>74</v>
      </c>
      <c r="R1128" s="218">
        <v>3.3239999</v>
      </c>
      <c r="S1128" s="129">
        <v>1</v>
      </c>
      <c r="T1128" s="129">
        <v>402.5</v>
      </c>
      <c r="U1128" s="129">
        <v>402.5</v>
      </c>
      <c r="V1128" s="129">
        <v>72.450010000000105</v>
      </c>
      <c r="W1128" s="129">
        <v>474.95001000000013</v>
      </c>
      <c r="X1128" s="27">
        <f t="shared" si="185"/>
        <v>402.5</v>
      </c>
    </row>
    <row r="1129" spans="1:24" x14ac:dyDescent="0.2">
      <c r="A1129" s="220">
        <v>43843</v>
      </c>
      <c r="B1129" s="130" t="s">
        <v>68</v>
      </c>
      <c r="C1129" s="130" t="s">
        <v>102</v>
      </c>
      <c r="D1129" s="130" t="s">
        <v>2807</v>
      </c>
      <c r="E1129" s="130" t="s">
        <v>1390</v>
      </c>
      <c r="F1129" s="130" t="s">
        <v>2495</v>
      </c>
      <c r="G1129" s="220">
        <v>43792</v>
      </c>
      <c r="H1129" s="130" t="s">
        <v>387</v>
      </c>
      <c r="I1129" s="130" t="s">
        <v>386</v>
      </c>
      <c r="J1129" s="130" t="s">
        <v>139</v>
      </c>
      <c r="K1129" s="130" t="s">
        <v>107</v>
      </c>
      <c r="L1129" s="174" t="s">
        <v>71</v>
      </c>
      <c r="M1129" s="131" t="s">
        <v>72</v>
      </c>
      <c r="N1129" s="130" t="s">
        <v>73</v>
      </c>
      <c r="O1129" s="219" t="s">
        <v>69</v>
      </c>
      <c r="P1129" s="130" t="s">
        <v>1699</v>
      </c>
      <c r="Q1129" s="132" t="s">
        <v>74</v>
      </c>
      <c r="R1129" s="218">
        <v>3.3239999</v>
      </c>
      <c r="S1129" s="129">
        <v>1</v>
      </c>
      <c r="T1129" s="129">
        <v>250.25419999999997</v>
      </c>
      <c r="U1129" s="129">
        <v>250.25419999999997</v>
      </c>
      <c r="V1129" s="129">
        <v>45.045789999999982</v>
      </c>
      <c r="W1129" s="129">
        <v>295.29998999999998</v>
      </c>
      <c r="X1129" s="27">
        <f t="shared" si="185"/>
        <v>250.25419999999997</v>
      </c>
    </row>
    <row r="1130" spans="1:24" x14ac:dyDescent="0.2">
      <c r="A1130" s="220">
        <v>43843</v>
      </c>
      <c r="B1130" s="130" t="s">
        <v>68</v>
      </c>
      <c r="C1130" s="130" t="s">
        <v>102</v>
      </c>
      <c r="D1130" s="130" t="s">
        <v>2807</v>
      </c>
      <c r="E1130" s="130" t="s">
        <v>1390</v>
      </c>
      <c r="F1130" s="130" t="s">
        <v>2495</v>
      </c>
      <c r="G1130" s="220">
        <v>43792</v>
      </c>
      <c r="H1130" s="130" t="s">
        <v>387</v>
      </c>
      <c r="I1130" s="130" t="s">
        <v>386</v>
      </c>
      <c r="J1130" s="130" t="s">
        <v>139</v>
      </c>
      <c r="K1130" s="130" t="s">
        <v>133</v>
      </c>
      <c r="L1130" s="174" t="s">
        <v>71</v>
      </c>
      <c r="M1130" s="131" t="s">
        <v>72</v>
      </c>
      <c r="N1130" s="130" t="s">
        <v>73</v>
      </c>
      <c r="O1130" s="219" t="s">
        <v>69</v>
      </c>
      <c r="P1130" s="130" t="s">
        <v>1699</v>
      </c>
      <c r="Q1130" s="132" t="s">
        <v>74</v>
      </c>
      <c r="R1130" s="218">
        <v>3.3239999</v>
      </c>
      <c r="S1130" s="129">
        <v>1</v>
      </c>
      <c r="T1130" s="129">
        <v>1400</v>
      </c>
      <c r="U1130" s="129">
        <v>1400</v>
      </c>
      <c r="V1130" s="129">
        <v>252</v>
      </c>
      <c r="W1130" s="129">
        <v>1652</v>
      </c>
      <c r="X1130" s="27">
        <f t="shared" si="185"/>
        <v>1400</v>
      </c>
    </row>
    <row r="1131" spans="1:24" x14ac:dyDescent="0.2">
      <c r="A1131" s="220">
        <v>43843</v>
      </c>
      <c r="B1131" s="130" t="s">
        <v>68</v>
      </c>
      <c r="C1131" s="130" t="s">
        <v>102</v>
      </c>
      <c r="D1131" s="130" t="s">
        <v>2807</v>
      </c>
      <c r="E1131" s="130" t="s">
        <v>1390</v>
      </c>
      <c r="F1131" s="130" t="s">
        <v>2495</v>
      </c>
      <c r="G1131" s="220">
        <v>43792</v>
      </c>
      <c r="H1131" s="130" t="s">
        <v>387</v>
      </c>
      <c r="I1131" s="130" t="s">
        <v>386</v>
      </c>
      <c r="J1131" s="130" t="s">
        <v>70</v>
      </c>
      <c r="K1131" s="130" t="s">
        <v>112</v>
      </c>
      <c r="L1131" s="174" t="s">
        <v>71</v>
      </c>
      <c r="M1131" s="131" t="s">
        <v>72</v>
      </c>
      <c r="N1131" s="130" t="s">
        <v>73</v>
      </c>
      <c r="O1131" s="219" t="s">
        <v>69</v>
      </c>
      <c r="P1131" s="130" t="s">
        <v>1699</v>
      </c>
      <c r="Q1131" s="132" t="s">
        <v>74</v>
      </c>
      <c r="R1131" s="218">
        <v>3.3239999</v>
      </c>
      <c r="S1131" s="129">
        <v>1</v>
      </c>
      <c r="T1131" s="129">
        <v>700</v>
      </c>
      <c r="U1131" s="129">
        <v>700</v>
      </c>
      <c r="V1131" s="129">
        <v>126</v>
      </c>
      <c r="W1131" s="129">
        <v>826</v>
      </c>
      <c r="X1131" s="27">
        <f t="shared" si="185"/>
        <v>700</v>
      </c>
    </row>
    <row r="1132" spans="1:24" x14ac:dyDescent="0.2">
      <c r="A1132" s="220">
        <v>43843</v>
      </c>
      <c r="B1132" s="130" t="s">
        <v>68</v>
      </c>
      <c r="C1132" s="130" t="s">
        <v>102</v>
      </c>
      <c r="D1132" s="130" t="s">
        <v>2807</v>
      </c>
      <c r="E1132" s="130" t="s">
        <v>1390</v>
      </c>
      <c r="F1132" s="130" t="s">
        <v>2495</v>
      </c>
      <c r="G1132" s="220">
        <v>43792</v>
      </c>
      <c r="H1132" s="130" t="s">
        <v>387</v>
      </c>
      <c r="I1132" s="130" t="s">
        <v>386</v>
      </c>
      <c r="J1132" s="130" t="s">
        <v>104</v>
      </c>
      <c r="K1132" s="130" t="s">
        <v>105</v>
      </c>
      <c r="L1132" s="174" t="s">
        <v>71</v>
      </c>
      <c r="M1132" s="131" t="s">
        <v>72</v>
      </c>
      <c r="N1132" s="130" t="s">
        <v>73</v>
      </c>
      <c r="O1132" s="219" t="s">
        <v>69</v>
      </c>
      <c r="P1132" s="130" t="s">
        <v>1699</v>
      </c>
      <c r="Q1132" s="132" t="s">
        <v>74</v>
      </c>
      <c r="R1132" s="218">
        <v>3.3239999</v>
      </c>
      <c r="S1132" s="129">
        <v>1</v>
      </c>
      <c r="T1132" s="129">
        <v>4280</v>
      </c>
      <c r="U1132" s="129">
        <v>4280</v>
      </c>
      <c r="V1132" s="129">
        <v>770.39989999999989</v>
      </c>
      <c r="W1132" s="129">
        <v>5050.3999000000003</v>
      </c>
      <c r="X1132" s="27">
        <f t="shared" si="185"/>
        <v>4280</v>
      </c>
    </row>
    <row r="1133" spans="1:24" x14ac:dyDescent="0.2">
      <c r="A1133" s="220">
        <v>43843</v>
      </c>
      <c r="B1133" s="130" t="s">
        <v>68</v>
      </c>
      <c r="C1133" s="130" t="s">
        <v>102</v>
      </c>
      <c r="D1133" s="130" t="s">
        <v>2804</v>
      </c>
      <c r="E1133" s="130" t="s">
        <v>1394</v>
      </c>
      <c r="F1133" s="130" t="s">
        <v>1461</v>
      </c>
      <c r="G1133" s="220">
        <v>43792</v>
      </c>
      <c r="H1133" s="130" t="s">
        <v>387</v>
      </c>
      <c r="I1133" s="130" t="s">
        <v>386</v>
      </c>
      <c r="J1133" s="130" t="s">
        <v>97</v>
      </c>
      <c r="K1133" s="130" t="s">
        <v>98</v>
      </c>
      <c r="L1133" s="174" t="s">
        <v>71</v>
      </c>
      <c r="M1133" s="131" t="s">
        <v>72</v>
      </c>
      <c r="N1133" s="130" t="s">
        <v>73</v>
      </c>
      <c r="O1133" s="219" t="s">
        <v>99</v>
      </c>
      <c r="P1133" s="130" t="s">
        <v>98</v>
      </c>
      <c r="Q1133" s="132" t="s">
        <v>74</v>
      </c>
      <c r="R1133" s="218">
        <v>3.3239999</v>
      </c>
      <c r="S1133" s="129">
        <v>1</v>
      </c>
      <c r="T1133" s="129">
        <v>2700</v>
      </c>
      <c r="U1133" s="129">
        <v>2700</v>
      </c>
      <c r="V1133" s="129">
        <v>486</v>
      </c>
      <c r="W1133" s="129">
        <v>3186</v>
      </c>
      <c r="X1133" s="27">
        <f t="shared" si="185"/>
        <v>2700</v>
      </c>
    </row>
    <row r="1134" spans="1:24" x14ac:dyDescent="0.2">
      <c r="A1134" s="220">
        <v>43843</v>
      </c>
      <c r="B1134" s="130" t="s">
        <v>68</v>
      </c>
      <c r="C1134" s="130" t="s">
        <v>102</v>
      </c>
      <c r="D1134" s="130" t="s">
        <v>2804</v>
      </c>
      <c r="E1134" s="130" t="s">
        <v>1394</v>
      </c>
      <c r="F1134" s="130" t="s">
        <v>1461</v>
      </c>
      <c r="G1134" s="220">
        <v>43792</v>
      </c>
      <c r="H1134" s="130" t="s">
        <v>387</v>
      </c>
      <c r="I1134" s="130" t="s">
        <v>386</v>
      </c>
      <c r="J1134" s="130" t="s">
        <v>139</v>
      </c>
      <c r="K1134" s="130" t="s">
        <v>107</v>
      </c>
      <c r="L1134" s="174" t="s">
        <v>71</v>
      </c>
      <c r="M1134" s="131" t="s">
        <v>72</v>
      </c>
      <c r="N1134" s="130" t="s">
        <v>73</v>
      </c>
      <c r="O1134" s="219" t="s">
        <v>69</v>
      </c>
      <c r="P1134" s="130" t="s">
        <v>1699</v>
      </c>
      <c r="Q1134" s="132" t="s">
        <v>74</v>
      </c>
      <c r="R1134" s="218">
        <v>3.3239999</v>
      </c>
      <c r="S1134" s="129">
        <v>1</v>
      </c>
      <c r="T1134" s="129">
        <v>105</v>
      </c>
      <c r="U1134" s="129">
        <v>105</v>
      </c>
      <c r="V1134" s="129">
        <v>18.899999999999999</v>
      </c>
      <c r="W1134" s="129">
        <v>123.9</v>
      </c>
      <c r="X1134" s="27">
        <f t="shared" si="185"/>
        <v>105</v>
      </c>
    </row>
    <row r="1135" spans="1:24" x14ac:dyDescent="0.2">
      <c r="A1135" s="220">
        <v>43843</v>
      </c>
      <c r="B1135" s="130" t="s">
        <v>68</v>
      </c>
      <c r="C1135" s="130" t="s">
        <v>102</v>
      </c>
      <c r="D1135" s="130" t="s">
        <v>2804</v>
      </c>
      <c r="E1135" s="130" t="s">
        <v>1394</v>
      </c>
      <c r="F1135" s="130" t="s">
        <v>1461</v>
      </c>
      <c r="G1135" s="220">
        <v>43792</v>
      </c>
      <c r="H1135" s="130" t="s">
        <v>387</v>
      </c>
      <c r="I1135" s="130" t="s">
        <v>386</v>
      </c>
      <c r="J1135" s="130" t="s">
        <v>139</v>
      </c>
      <c r="K1135" s="130" t="s">
        <v>2806</v>
      </c>
      <c r="L1135" s="174" t="s">
        <v>71</v>
      </c>
      <c r="M1135" s="131" t="s">
        <v>72</v>
      </c>
      <c r="N1135" s="130" t="s">
        <v>73</v>
      </c>
      <c r="O1135" s="219" t="s">
        <v>69</v>
      </c>
      <c r="P1135" s="130" t="s">
        <v>1699</v>
      </c>
      <c r="Q1135" s="132" t="s">
        <v>74</v>
      </c>
      <c r="R1135" s="218">
        <v>3.3239999</v>
      </c>
      <c r="S1135" s="129">
        <v>1</v>
      </c>
      <c r="T1135" s="129">
        <v>140</v>
      </c>
      <c r="U1135" s="129">
        <v>140</v>
      </c>
      <c r="V1135" s="129">
        <v>25.2</v>
      </c>
      <c r="W1135" s="129">
        <v>165.2</v>
      </c>
      <c r="X1135" s="27">
        <f t="shared" si="185"/>
        <v>140</v>
      </c>
    </row>
    <row r="1136" spans="1:24" x14ac:dyDescent="0.2">
      <c r="A1136" s="220">
        <v>43843</v>
      </c>
      <c r="B1136" s="130" t="s">
        <v>68</v>
      </c>
      <c r="C1136" s="130" t="s">
        <v>102</v>
      </c>
      <c r="D1136" s="130" t="s">
        <v>2804</v>
      </c>
      <c r="E1136" s="130" t="s">
        <v>1394</v>
      </c>
      <c r="F1136" s="130" t="s">
        <v>1461</v>
      </c>
      <c r="G1136" s="220">
        <v>43792</v>
      </c>
      <c r="H1136" s="130" t="s">
        <v>387</v>
      </c>
      <c r="I1136" s="130" t="s">
        <v>386</v>
      </c>
      <c r="J1136" s="130" t="s">
        <v>70</v>
      </c>
      <c r="K1136" s="130" t="s">
        <v>112</v>
      </c>
      <c r="L1136" s="174" t="s">
        <v>71</v>
      </c>
      <c r="M1136" s="131" t="s">
        <v>72</v>
      </c>
      <c r="N1136" s="130" t="s">
        <v>73</v>
      </c>
      <c r="O1136" s="219" t="s">
        <v>69</v>
      </c>
      <c r="P1136" s="130" t="s">
        <v>1699</v>
      </c>
      <c r="Q1136" s="132" t="s">
        <v>74</v>
      </c>
      <c r="R1136" s="218">
        <v>3.3239999</v>
      </c>
      <c r="S1136" s="129">
        <v>1</v>
      </c>
      <c r="T1136" s="129">
        <v>918.75420999999972</v>
      </c>
      <c r="U1136" s="129">
        <v>918.75420999999972</v>
      </c>
      <c r="V1136" s="129">
        <v>165.37579000000028</v>
      </c>
      <c r="W1136" s="129">
        <v>1084.1300000000001</v>
      </c>
      <c r="X1136" s="27">
        <f t="shared" si="185"/>
        <v>918.75420999999972</v>
      </c>
    </row>
    <row r="1137" spans="1:24" x14ac:dyDescent="0.2">
      <c r="A1137" s="220">
        <v>43843</v>
      </c>
      <c r="B1137" s="130" t="s">
        <v>68</v>
      </c>
      <c r="C1137" s="130" t="s">
        <v>102</v>
      </c>
      <c r="D1137" s="130" t="s">
        <v>2804</v>
      </c>
      <c r="E1137" s="130" t="s">
        <v>1394</v>
      </c>
      <c r="F1137" s="130" t="s">
        <v>1461</v>
      </c>
      <c r="G1137" s="220">
        <v>43792</v>
      </c>
      <c r="H1137" s="130" t="s">
        <v>387</v>
      </c>
      <c r="I1137" s="130" t="s">
        <v>386</v>
      </c>
      <c r="J1137" s="130" t="s">
        <v>104</v>
      </c>
      <c r="K1137" s="130" t="s">
        <v>105</v>
      </c>
      <c r="L1137" s="174" t="s">
        <v>71</v>
      </c>
      <c r="M1137" s="131" t="s">
        <v>72</v>
      </c>
      <c r="N1137" s="130" t="s">
        <v>73</v>
      </c>
      <c r="O1137" s="219" t="s">
        <v>69</v>
      </c>
      <c r="P1137" s="130" t="s">
        <v>1699</v>
      </c>
      <c r="Q1137" s="132" t="s">
        <v>74</v>
      </c>
      <c r="R1137" s="218">
        <v>3.3239999</v>
      </c>
      <c r="S1137" s="129">
        <v>1</v>
      </c>
      <c r="T1137" s="129">
        <v>2902</v>
      </c>
      <c r="U1137" s="129">
        <v>2902</v>
      </c>
      <c r="V1137" s="129">
        <v>522.3601000000001</v>
      </c>
      <c r="W1137" s="129">
        <v>3424.3600999999999</v>
      </c>
      <c r="X1137" s="27">
        <f t="shared" si="185"/>
        <v>2902</v>
      </c>
    </row>
    <row r="1138" spans="1:24" x14ac:dyDescent="0.2">
      <c r="A1138" s="220">
        <v>43843</v>
      </c>
      <c r="B1138" s="130" t="s">
        <v>68</v>
      </c>
      <c r="C1138" s="130" t="s">
        <v>102</v>
      </c>
      <c r="D1138" s="130" t="s">
        <v>2804</v>
      </c>
      <c r="E1138" s="130" t="s">
        <v>1394</v>
      </c>
      <c r="F1138" s="130" t="s">
        <v>1461</v>
      </c>
      <c r="G1138" s="220">
        <v>43792</v>
      </c>
      <c r="H1138" s="130" t="s">
        <v>387</v>
      </c>
      <c r="I1138" s="130" t="s">
        <v>386</v>
      </c>
      <c r="J1138" s="130" t="s">
        <v>139</v>
      </c>
      <c r="K1138" s="130" t="s">
        <v>133</v>
      </c>
      <c r="L1138" s="174" t="s">
        <v>71</v>
      </c>
      <c r="M1138" s="131" t="s">
        <v>72</v>
      </c>
      <c r="N1138" s="130" t="s">
        <v>73</v>
      </c>
      <c r="O1138" s="219" t="s">
        <v>69</v>
      </c>
      <c r="P1138" s="130" t="s">
        <v>1699</v>
      </c>
      <c r="Q1138" s="132" t="s">
        <v>74</v>
      </c>
      <c r="R1138" s="218">
        <v>3.3239999</v>
      </c>
      <c r="S1138" s="129">
        <v>1</v>
      </c>
      <c r="T1138" s="129">
        <v>2554</v>
      </c>
      <c r="U1138" s="129">
        <v>2554</v>
      </c>
      <c r="V1138" s="129">
        <v>459.72</v>
      </c>
      <c r="W1138" s="129">
        <v>3013.72</v>
      </c>
      <c r="X1138" s="27">
        <f t="shared" si="185"/>
        <v>2554</v>
      </c>
    </row>
    <row r="1139" spans="1:24" x14ac:dyDescent="0.2">
      <c r="A1139" s="220">
        <v>43843</v>
      </c>
      <c r="B1139" s="130" t="s">
        <v>68</v>
      </c>
      <c r="C1139" s="130" t="s">
        <v>102</v>
      </c>
      <c r="D1139" s="130" t="s">
        <v>2804</v>
      </c>
      <c r="E1139" s="130" t="s">
        <v>1394</v>
      </c>
      <c r="F1139" s="130" t="s">
        <v>1461</v>
      </c>
      <c r="G1139" s="220">
        <v>43792</v>
      </c>
      <c r="H1139" s="130" t="s">
        <v>387</v>
      </c>
      <c r="I1139" s="130" t="s">
        <v>386</v>
      </c>
      <c r="J1139" s="130" t="s">
        <v>139</v>
      </c>
      <c r="K1139" s="130" t="s">
        <v>133</v>
      </c>
      <c r="L1139" s="174" t="s">
        <v>71</v>
      </c>
      <c r="M1139" s="131" t="s">
        <v>72</v>
      </c>
      <c r="N1139" s="130" t="s">
        <v>73</v>
      </c>
      <c r="O1139" s="219" t="s">
        <v>69</v>
      </c>
      <c r="P1139" s="130" t="s">
        <v>1699</v>
      </c>
      <c r="Q1139" s="132" t="s">
        <v>74</v>
      </c>
      <c r="R1139" s="218">
        <v>3.3239999</v>
      </c>
      <c r="S1139" s="129">
        <v>1</v>
      </c>
      <c r="T1139" s="129">
        <v>360</v>
      </c>
      <c r="U1139" s="129">
        <v>360</v>
      </c>
      <c r="V1139" s="129">
        <v>64.799990000000037</v>
      </c>
      <c r="W1139" s="129">
        <v>424.79999000000004</v>
      </c>
      <c r="X1139" s="27">
        <f t="shared" si="185"/>
        <v>360</v>
      </c>
    </row>
    <row r="1140" spans="1:24" x14ac:dyDescent="0.2">
      <c r="A1140" s="220">
        <v>43843</v>
      </c>
      <c r="B1140" s="130" t="s">
        <v>68</v>
      </c>
      <c r="C1140" s="130" t="s">
        <v>102</v>
      </c>
      <c r="D1140" s="130" t="s">
        <v>2804</v>
      </c>
      <c r="E1140" s="130" t="s">
        <v>1394</v>
      </c>
      <c r="F1140" s="130" t="s">
        <v>1461</v>
      </c>
      <c r="G1140" s="220">
        <v>43792</v>
      </c>
      <c r="H1140" s="130" t="s">
        <v>387</v>
      </c>
      <c r="I1140" s="130" t="s">
        <v>386</v>
      </c>
      <c r="J1140" s="130" t="s">
        <v>139</v>
      </c>
      <c r="K1140" s="130" t="s">
        <v>107</v>
      </c>
      <c r="L1140" s="174" t="s">
        <v>71</v>
      </c>
      <c r="M1140" s="131" t="s">
        <v>72</v>
      </c>
      <c r="N1140" s="130" t="s">
        <v>73</v>
      </c>
      <c r="O1140" s="219" t="s">
        <v>69</v>
      </c>
      <c r="P1140" s="130" t="s">
        <v>1699</v>
      </c>
      <c r="Q1140" s="132" t="s">
        <v>74</v>
      </c>
      <c r="R1140" s="218">
        <v>3.3239999</v>
      </c>
      <c r="S1140" s="129">
        <v>1</v>
      </c>
      <c r="T1140" s="129">
        <v>140</v>
      </c>
      <c r="U1140" s="129">
        <v>140</v>
      </c>
      <c r="V1140" s="129">
        <v>25.2</v>
      </c>
      <c r="W1140" s="129">
        <v>165.2</v>
      </c>
      <c r="X1140" s="27">
        <f t="shared" si="185"/>
        <v>140</v>
      </c>
    </row>
    <row r="1141" spans="1:24" x14ac:dyDescent="0.2">
      <c r="A1141" s="220">
        <v>43843</v>
      </c>
      <c r="B1141" s="130" t="s">
        <v>68</v>
      </c>
      <c r="C1141" s="130" t="s">
        <v>102</v>
      </c>
      <c r="D1141" s="130" t="s">
        <v>2804</v>
      </c>
      <c r="E1141" s="130" t="s">
        <v>1394</v>
      </c>
      <c r="F1141" s="130" t="s">
        <v>1461</v>
      </c>
      <c r="G1141" s="220">
        <v>43792</v>
      </c>
      <c r="H1141" s="130" t="s">
        <v>387</v>
      </c>
      <c r="I1141" s="130" t="s">
        <v>386</v>
      </c>
      <c r="J1141" s="130" t="s">
        <v>139</v>
      </c>
      <c r="K1141" s="130" t="s">
        <v>133</v>
      </c>
      <c r="L1141" s="174" t="s">
        <v>71</v>
      </c>
      <c r="M1141" s="131" t="s">
        <v>72</v>
      </c>
      <c r="N1141" s="130" t="s">
        <v>73</v>
      </c>
      <c r="O1141" s="219" t="s">
        <v>69</v>
      </c>
      <c r="P1141" s="130" t="s">
        <v>1699</v>
      </c>
      <c r="Q1141" s="132" t="s">
        <v>74</v>
      </c>
      <c r="R1141" s="218">
        <v>3.3239999</v>
      </c>
      <c r="S1141" s="129">
        <v>1</v>
      </c>
      <c r="T1141" s="129">
        <v>360</v>
      </c>
      <c r="U1141" s="129">
        <v>360</v>
      </c>
      <c r="V1141" s="129">
        <v>64.799990000000037</v>
      </c>
      <c r="W1141" s="129">
        <v>424.79999000000004</v>
      </c>
      <c r="X1141" s="27">
        <f t="shared" si="185"/>
        <v>360</v>
      </c>
    </row>
    <row r="1142" spans="1:24" x14ac:dyDescent="0.2">
      <c r="A1142" s="220">
        <v>43843</v>
      </c>
      <c r="B1142" s="130" t="s">
        <v>68</v>
      </c>
      <c r="C1142" s="130" t="s">
        <v>102</v>
      </c>
      <c r="D1142" s="130" t="s">
        <v>2804</v>
      </c>
      <c r="E1142" s="130" t="s">
        <v>1394</v>
      </c>
      <c r="F1142" s="130" t="s">
        <v>1461</v>
      </c>
      <c r="G1142" s="220">
        <v>43792</v>
      </c>
      <c r="H1142" s="130" t="s">
        <v>387</v>
      </c>
      <c r="I1142" s="130" t="s">
        <v>386</v>
      </c>
      <c r="J1142" s="130" t="s">
        <v>139</v>
      </c>
      <c r="K1142" s="130" t="s">
        <v>2805</v>
      </c>
      <c r="L1142" s="174" t="s">
        <v>71</v>
      </c>
      <c r="M1142" s="131" t="s">
        <v>72</v>
      </c>
      <c r="N1142" s="130" t="s">
        <v>73</v>
      </c>
      <c r="O1142" s="219" t="s">
        <v>69</v>
      </c>
      <c r="P1142" s="130" t="s">
        <v>1699</v>
      </c>
      <c r="Q1142" s="132" t="s">
        <v>74</v>
      </c>
      <c r="R1142" s="218">
        <v>3.3239999</v>
      </c>
      <c r="S1142" s="129">
        <v>1</v>
      </c>
      <c r="T1142" s="129">
        <v>70</v>
      </c>
      <c r="U1142" s="129">
        <v>70</v>
      </c>
      <c r="V1142" s="129">
        <v>12.599997999999978</v>
      </c>
      <c r="W1142" s="129">
        <v>82.599997999999971</v>
      </c>
      <c r="X1142" s="27">
        <f t="shared" si="185"/>
        <v>70</v>
      </c>
    </row>
    <row r="1143" spans="1:24" x14ac:dyDescent="0.2">
      <c r="A1143" s="220">
        <v>43843</v>
      </c>
      <c r="B1143" s="130" t="s">
        <v>68</v>
      </c>
      <c r="C1143" s="130" t="s">
        <v>102</v>
      </c>
      <c r="D1143" s="130" t="s">
        <v>2804</v>
      </c>
      <c r="E1143" s="130" t="s">
        <v>1394</v>
      </c>
      <c r="F1143" s="130" t="s">
        <v>1461</v>
      </c>
      <c r="G1143" s="220">
        <v>43792</v>
      </c>
      <c r="H1143" s="130" t="s">
        <v>387</v>
      </c>
      <c r="I1143" s="130" t="s">
        <v>386</v>
      </c>
      <c r="J1143" s="130" t="s">
        <v>100</v>
      </c>
      <c r="K1143" s="130" t="s">
        <v>101</v>
      </c>
      <c r="L1143" s="174" t="s">
        <v>71</v>
      </c>
      <c r="M1143" s="131" t="s">
        <v>72</v>
      </c>
      <c r="N1143" s="130" t="s">
        <v>73</v>
      </c>
      <c r="O1143" s="219" t="s">
        <v>72</v>
      </c>
      <c r="P1143" s="130" t="s">
        <v>101</v>
      </c>
      <c r="Q1143" s="132" t="s">
        <v>74</v>
      </c>
      <c r="R1143" s="218">
        <v>3.3239999</v>
      </c>
      <c r="S1143" s="129">
        <v>1</v>
      </c>
      <c r="T1143" s="129">
        <v>2030</v>
      </c>
      <c r="U1143" s="129">
        <v>2030</v>
      </c>
      <c r="V1143" s="129">
        <v>365.39989999999989</v>
      </c>
      <c r="W1143" s="129">
        <v>2395.3998999999999</v>
      </c>
      <c r="X1143" s="27">
        <f t="shared" si="185"/>
        <v>2030</v>
      </c>
    </row>
    <row r="1144" spans="1:24" x14ac:dyDescent="0.2">
      <c r="A1144" s="220">
        <v>43843</v>
      </c>
      <c r="B1144" s="130" t="s">
        <v>68</v>
      </c>
      <c r="C1144" s="130" t="s">
        <v>102</v>
      </c>
      <c r="D1144" s="130" t="s">
        <v>2804</v>
      </c>
      <c r="E1144" s="130" t="s">
        <v>1394</v>
      </c>
      <c r="F1144" s="130" t="s">
        <v>1461</v>
      </c>
      <c r="G1144" s="220">
        <v>43792</v>
      </c>
      <c r="H1144" s="130" t="s">
        <v>387</v>
      </c>
      <c r="I1144" s="130" t="s">
        <v>386</v>
      </c>
      <c r="J1144" s="130" t="s">
        <v>92</v>
      </c>
      <c r="K1144" s="130" t="s">
        <v>113</v>
      </c>
      <c r="L1144" s="174" t="s">
        <v>71</v>
      </c>
      <c r="M1144" s="131" t="s">
        <v>72</v>
      </c>
      <c r="N1144" s="130" t="s">
        <v>73</v>
      </c>
      <c r="O1144" s="219" t="s">
        <v>69</v>
      </c>
      <c r="P1144" s="130" t="s">
        <v>1699</v>
      </c>
      <c r="Q1144" s="132" t="s">
        <v>74</v>
      </c>
      <c r="R1144" s="218">
        <v>3.3239999</v>
      </c>
      <c r="S1144" s="129">
        <v>1</v>
      </c>
      <c r="T1144" s="129">
        <v>1580</v>
      </c>
      <c r="U1144" s="129">
        <v>1580</v>
      </c>
      <c r="V1144" s="129">
        <v>284.39999999999998</v>
      </c>
      <c r="W1144" s="129">
        <v>1864.4</v>
      </c>
      <c r="X1144" s="27">
        <f t="shared" si="185"/>
        <v>1580</v>
      </c>
    </row>
    <row r="1145" spans="1:24" x14ac:dyDescent="0.2">
      <c r="A1145" s="220">
        <v>43843</v>
      </c>
      <c r="B1145" s="130" t="s">
        <v>68</v>
      </c>
      <c r="C1145" s="130" t="s">
        <v>102</v>
      </c>
      <c r="D1145" s="130" t="s">
        <v>2804</v>
      </c>
      <c r="E1145" s="130" t="s">
        <v>1394</v>
      </c>
      <c r="F1145" s="130" t="s">
        <v>1461</v>
      </c>
      <c r="G1145" s="220">
        <v>43792</v>
      </c>
      <c r="H1145" s="130" t="s">
        <v>387</v>
      </c>
      <c r="I1145" s="130" t="s">
        <v>386</v>
      </c>
      <c r="J1145" s="130" t="s">
        <v>132</v>
      </c>
      <c r="K1145" s="130" t="s">
        <v>109</v>
      </c>
      <c r="L1145" s="174" t="s">
        <v>71</v>
      </c>
      <c r="M1145" s="131" t="s">
        <v>72</v>
      </c>
      <c r="N1145" s="130" t="s">
        <v>73</v>
      </c>
      <c r="O1145" s="219" t="s">
        <v>69</v>
      </c>
      <c r="P1145" s="130" t="s">
        <v>1699</v>
      </c>
      <c r="Q1145" s="132" t="s">
        <v>74</v>
      </c>
      <c r="R1145" s="218">
        <v>3.3239999</v>
      </c>
      <c r="S1145" s="129">
        <v>1</v>
      </c>
      <c r="T1145" s="129">
        <v>140</v>
      </c>
      <c r="U1145" s="129">
        <v>140</v>
      </c>
      <c r="V1145" s="129">
        <v>25.2</v>
      </c>
      <c r="W1145" s="129">
        <v>165.2</v>
      </c>
      <c r="X1145" s="27">
        <f t="shared" si="185"/>
        <v>140</v>
      </c>
    </row>
    <row r="1146" spans="1:24" x14ac:dyDescent="0.2">
      <c r="A1146" s="220">
        <v>43843</v>
      </c>
      <c r="B1146" s="130" t="s">
        <v>68</v>
      </c>
      <c r="C1146" s="130" t="s">
        <v>102</v>
      </c>
      <c r="D1146" s="130" t="s">
        <v>2803</v>
      </c>
      <c r="E1146" s="130" t="s">
        <v>2637</v>
      </c>
      <c r="F1146" s="130" t="s">
        <v>2802</v>
      </c>
      <c r="G1146" s="220">
        <v>43762</v>
      </c>
      <c r="H1146" s="130" t="s">
        <v>557</v>
      </c>
      <c r="I1146" s="130" t="s">
        <v>556</v>
      </c>
      <c r="J1146" s="130" t="s">
        <v>100</v>
      </c>
      <c r="K1146" s="130" t="s">
        <v>101</v>
      </c>
      <c r="L1146" s="174" t="s">
        <v>71</v>
      </c>
      <c r="M1146" s="131" t="s">
        <v>72</v>
      </c>
      <c r="N1146" s="130" t="s">
        <v>73</v>
      </c>
      <c r="O1146" s="219" t="s">
        <v>72</v>
      </c>
      <c r="P1146" s="130" t="s">
        <v>101</v>
      </c>
      <c r="Q1146" s="132" t="s">
        <v>93</v>
      </c>
      <c r="R1146" s="218">
        <v>3.3239999</v>
      </c>
      <c r="S1146" s="129">
        <v>1</v>
      </c>
      <c r="T1146" s="129">
        <v>15</v>
      </c>
      <c r="U1146" s="129">
        <v>15</v>
      </c>
      <c r="V1146" s="129">
        <v>2.7000009999999999</v>
      </c>
      <c r="W1146" s="129">
        <v>17.700001</v>
      </c>
      <c r="X1146" s="27">
        <f t="shared" si="185"/>
        <v>49.859998500000003</v>
      </c>
    </row>
    <row r="1147" spans="1:24" x14ac:dyDescent="0.2">
      <c r="A1147" s="220">
        <v>43843</v>
      </c>
      <c r="B1147" s="130" t="s">
        <v>68</v>
      </c>
      <c r="C1147" s="130" t="s">
        <v>102</v>
      </c>
      <c r="D1147" s="130" t="s">
        <v>2803</v>
      </c>
      <c r="E1147" s="130" t="s">
        <v>2637</v>
      </c>
      <c r="F1147" s="130" t="s">
        <v>2802</v>
      </c>
      <c r="G1147" s="220">
        <v>43762</v>
      </c>
      <c r="H1147" s="130" t="s">
        <v>557</v>
      </c>
      <c r="I1147" s="130" t="s">
        <v>556</v>
      </c>
      <c r="J1147" s="130" t="s">
        <v>104</v>
      </c>
      <c r="K1147" s="130" t="s">
        <v>105</v>
      </c>
      <c r="L1147" s="174" t="s">
        <v>71</v>
      </c>
      <c r="M1147" s="131" t="s">
        <v>72</v>
      </c>
      <c r="N1147" s="130" t="s">
        <v>73</v>
      </c>
      <c r="O1147" s="219" t="s">
        <v>69</v>
      </c>
      <c r="P1147" s="130" t="s">
        <v>1699</v>
      </c>
      <c r="Q1147" s="132" t="s">
        <v>93</v>
      </c>
      <c r="R1147" s="218">
        <v>3.3239999</v>
      </c>
      <c r="S1147" s="129">
        <v>1</v>
      </c>
      <c r="T1147" s="129">
        <v>88.5</v>
      </c>
      <c r="U1147" s="129">
        <v>88.5</v>
      </c>
      <c r="V1147" s="129">
        <v>15.93</v>
      </c>
      <c r="W1147" s="129">
        <v>104.43</v>
      </c>
      <c r="X1147" s="27">
        <f t="shared" si="185"/>
        <v>294.17399115000001</v>
      </c>
    </row>
    <row r="1148" spans="1:24" x14ac:dyDescent="0.2">
      <c r="A1148" s="220">
        <v>43843</v>
      </c>
      <c r="B1148" s="130" t="s">
        <v>68</v>
      </c>
      <c r="C1148" s="130" t="s">
        <v>102</v>
      </c>
      <c r="D1148" s="130" t="s">
        <v>2801</v>
      </c>
      <c r="E1148" s="130" t="s">
        <v>1973</v>
      </c>
      <c r="F1148" s="130" t="s">
        <v>2021</v>
      </c>
      <c r="G1148" s="220">
        <v>43818</v>
      </c>
      <c r="H1148" s="130" t="s">
        <v>2800</v>
      </c>
      <c r="I1148" s="130" t="s">
        <v>2799</v>
      </c>
      <c r="J1148" s="130" t="s">
        <v>95</v>
      </c>
      <c r="K1148" s="130" t="s">
        <v>96</v>
      </c>
      <c r="L1148" s="174" t="s">
        <v>71</v>
      </c>
      <c r="M1148" s="131" t="s">
        <v>72</v>
      </c>
      <c r="N1148" s="130" t="s">
        <v>73</v>
      </c>
      <c r="O1148" s="219" t="s">
        <v>69</v>
      </c>
      <c r="P1148" s="130" t="s">
        <v>1699</v>
      </c>
      <c r="Q1148" s="132" t="s">
        <v>93</v>
      </c>
      <c r="R1148" s="218">
        <v>3.3239999</v>
      </c>
      <c r="S1148" s="129">
        <v>1</v>
      </c>
      <c r="T1148" s="129">
        <v>111.28809999999997</v>
      </c>
      <c r="U1148" s="129">
        <v>111.28809999999997</v>
      </c>
      <c r="V1148" s="129">
        <v>20.031910000000043</v>
      </c>
      <c r="W1148" s="129">
        <v>131.32001000000002</v>
      </c>
      <c r="X1148" s="27">
        <f t="shared" si="185"/>
        <v>369.92163327118993</v>
      </c>
    </row>
    <row r="1149" spans="1:24" x14ac:dyDescent="0.2">
      <c r="A1149" s="220">
        <v>43844</v>
      </c>
      <c r="B1149" s="130" t="s">
        <v>68</v>
      </c>
      <c r="C1149" s="130" t="s">
        <v>102</v>
      </c>
      <c r="D1149" s="130" t="s">
        <v>2224</v>
      </c>
      <c r="E1149" s="130" t="s">
        <v>2512</v>
      </c>
      <c r="F1149" s="130" t="s">
        <v>2552</v>
      </c>
      <c r="G1149" s="220">
        <v>43832</v>
      </c>
      <c r="H1149" s="130" t="s">
        <v>2798</v>
      </c>
      <c r="I1149" s="130" t="s">
        <v>2797</v>
      </c>
      <c r="J1149" s="130" t="s">
        <v>95</v>
      </c>
      <c r="K1149" s="130" t="s">
        <v>96</v>
      </c>
      <c r="L1149" s="174" t="s">
        <v>71</v>
      </c>
      <c r="M1149" s="131" t="s">
        <v>72</v>
      </c>
      <c r="N1149" s="130" t="s">
        <v>73</v>
      </c>
      <c r="O1149" s="219" t="s">
        <v>69</v>
      </c>
      <c r="P1149" s="130" t="s">
        <v>1699</v>
      </c>
      <c r="Q1149" s="132" t="s">
        <v>93</v>
      </c>
      <c r="R1149" s="218">
        <v>3.3359999999999999</v>
      </c>
      <c r="S1149" s="129">
        <v>1</v>
      </c>
      <c r="T1149" s="129">
        <v>123.57630000000003</v>
      </c>
      <c r="U1149" s="129">
        <v>123.57630000000003</v>
      </c>
      <c r="V1149" s="129">
        <v>22.243709999999993</v>
      </c>
      <c r="W1149" s="129">
        <v>145.82001000000002</v>
      </c>
      <c r="X1149" s="27">
        <f t="shared" si="185"/>
        <v>412.25053680000008</v>
      </c>
    </row>
    <row r="1150" spans="1:24" x14ac:dyDescent="0.2">
      <c r="A1150" s="220">
        <v>43844</v>
      </c>
      <c r="B1150" s="130" t="s">
        <v>68</v>
      </c>
      <c r="C1150" s="130" t="s">
        <v>102</v>
      </c>
      <c r="D1150" s="130" t="s">
        <v>2127</v>
      </c>
      <c r="E1150" s="130" t="s">
        <v>2512</v>
      </c>
      <c r="F1150" s="130" t="s">
        <v>2552</v>
      </c>
      <c r="G1150" s="220">
        <v>43832</v>
      </c>
      <c r="H1150" s="130" t="s">
        <v>90</v>
      </c>
      <c r="I1150" s="130" t="s">
        <v>91</v>
      </c>
      <c r="J1150" s="130" t="s">
        <v>97</v>
      </c>
      <c r="K1150" s="130" t="s">
        <v>98</v>
      </c>
      <c r="L1150" s="174" t="s">
        <v>71</v>
      </c>
      <c r="M1150" s="131" t="s">
        <v>72</v>
      </c>
      <c r="N1150" s="130" t="s">
        <v>73</v>
      </c>
      <c r="O1150" s="219" t="s">
        <v>99</v>
      </c>
      <c r="P1150" s="130" t="s">
        <v>98</v>
      </c>
      <c r="Q1150" s="132" t="s">
        <v>93</v>
      </c>
      <c r="R1150" s="218">
        <v>3.3359999999999999</v>
      </c>
      <c r="S1150" s="129">
        <v>1</v>
      </c>
      <c r="T1150" s="129">
        <v>191.75419999999997</v>
      </c>
      <c r="U1150" s="129">
        <v>191.75419999999997</v>
      </c>
      <c r="V1150" s="129">
        <v>34.51580000000002</v>
      </c>
      <c r="W1150" s="129">
        <v>226.27</v>
      </c>
      <c r="X1150" s="27">
        <f t="shared" si="185"/>
        <v>639.69201119999991</v>
      </c>
    </row>
    <row r="1151" spans="1:24" x14ac:dyDescent="0.2">
      <c r="A1151" s="220">
        <v>43844</v>
      </c>
      <c r="B1151" s="130" t="s">
        <v>68</v>
      </c>
      <c r="C1151" s="130" t="s">
        <v>102</v>
      </c>
      <c r="D1151" s="130" t="s">
        <v>2127</v>
      </c>
      <c r="E1151" s="130" t="s">
        <v>2512</v>
      </c>
      <c r="F1151" s="130" t="s">
        <v>2552</v>
      </c>
      <c r="G1151" s="220">
        <v>43832</v>
      </c>
      <c r="H1151" s="130" t="s">
        <v>90</v>
      </c>
      <c r="I1151" s="130" t="s">
        <v>91</v>
      </c>
      <c r="J1151" s="130" t="s">
        <v>100</v>
      </c>
      <c r="K1151" s="130" t="s">
        <v>101</v>
      </c>
      <c r="L1151" s="174" t="s">
        <v>71</v>
      </c>
      <c r="M1151" s="131" t="s">
        <v>72</v>
      </c>
      <c r="N1151" s="130" t="s">
        <v>73</v>
      </c>
      <c r="O1151" s="219" t="s">
        <v>72</v>
      </c>
      <c r="P1151" s="130" t="s">
        <v>101</v>
      </c>
      <c r="Q1151" s="132" t="s">
        <v>93</v>
      </c>
      <c r="R1151" s="218">
        <v>3.3359999999999999</v>
      </c>
      <c r="S1151" s="129">
        <v>1</v>
      </c>
      <c r="T1151" s="129">
        <v>67.5</v>
      </c>
      <c r="U1151" s="129">
        <v>67.5</v>
      </c>
      <c r="V1151" s="129">
        <v>12.150002000000013</v>
      </c>
      <c r="W1151" s="129">
        <v>79.650002000000015</v>
      </c>
      <c r="X1151" s="27">
        <f t="shared" si="185"/>
        <v>225.17999999999998</v>
      </c>
    </row>
    <row r="1152" spans="1:24" x14ac:dyDescent="0.2">
      <c r="A1152" s="220">
        <v>43844</v>
      </c>
      <c r="B1152" s="130" t="s">
        <v>68</v>
      </c>
      <c r="C1152" s="130" t="s">
        <v>102</v>
      </c>
      <c r="D1152" s="130" t="s">
        <v>2127</v>
      </c>
      <c r="E1152" s="130" t="s">
        <v>2512</v>
      </c>
      <c r="F1152" s="130" t="s">
        <v>2552</v>
      </c>
      <c r="G1152" s="220">
        <v>43832</v>
      </c>
      <c r="H1152" s="130" t="s">
        <v>90</v>
      </c>
      <c r="I1152" s="130" t="s">
        <v>91</v>
      </c>
      <c r="J1152" s="130" t="s">
        <v>92</v>
      </c>
      <c r="K1152" s="130" t="s">
        <v>113</v>
      </c>
      <c r="L1152" s="174" t="s">
        <v>71</v>
      </c>
      <c r="M1152" s="131" t="s">
        <v>72</v>
      </c>
      <c r="N1152" s="130" t="s">
        <v>73</v>
      </c>
      <c r="O1152" s="219" t="s">
        <v>69</v>
      </c>
      <c r="P1152" s="130" t="s">
        <v>1699</v>
      </c>
      <c r="Q1152" s="132" t="s">
        <v>93</v>
      </c>
      <c r="R1152" s="218">
        <v>3.3359999999999999</v>
      </c>
      <c r="S1152" s="129">
        <v>1</v>
      </c>
      <c r="T1152" s="129">
        <v>85</v>
      </c>
      <c r="U1152" s="129">
        <v>85</v>
      </c>
      <c r="V1152" s="129">
        <v>15.3</v>
      </c>
      <c r="W1152" s="129">
        <v>100.3</v>
      </c>
      <c r="X1152" s="27">
        <f t="shared" si="185"/>
        <v>283.56</v>
      </c>
    </row>
    <row r="1153" spans="1:24" x14ac:dyDescent="0.2">
      <c r="A1153" s="220">
        <v>43844</v>
      </c>
      <c r="B1153" s="130" t="s">
        <v>68</v>
      </c>
      <c r="C1153" s="130" t="s">
        <v>102</v>
      </c>
      <c r="D1153" s="130" t="s">
        <v>2127</v>
      </c>
      <c r="E1153" s="130" t="s">
        <v>2512</v>
      </c>
      <c r="F1153" s="130" t="s">
        <v>2552</v>
      </c>
      <c r="G1153" s="220">
        <v>43832</v>
      </c>
      <c r="H1153" s="130" t="s">
        <v>90</v>
      </c>
      <c r="I1153" s="130" t="s">
        <v>91</v>
      </c>
      <c r="J1153" s="130" t="s">
        <v>132</v>
      </c>
      <c r="K1153" s="130" t="s">
        <v>2796</v>
      </c>
      <c r="L1153" s="174" t="s">
        <v>71</v>
      </c>
      <c r="M1153" s="131" t="s">
        <v>72</v>
      </c>
      <c r="N1153" s="130" t="s">
        <v>73</v>
      </c>
      <c r="O1153" s="219" t="s">
        <v>69</v>
      </c>
      <c r="P1153" s="130" t="s">
        <v>1699</v>
      </c>
      <c r="Q1153" s="132" t="s">
        <v>93</v>
      </c>
      <c r="R1153" s="218">
        <v>3.3359999999999999</v>
      </c>
      <c r="S1153" s="129">
        <v>1</v>
      </c>
      <c r="T1153" s="129">
        <v>60</v>
      </c>
      <c r="U1153" s="129">
        <v>60</v>
      </c>
      <c r="V1153" s="129">
        <v>10.800002999999997</v>
      </c>
      <c r="W1153" s="129">
        <v>70.800003000000004</v>
      </c>
      <c r="X1153" s="27">
        <f t="shared" si="185"/>
        <v>200.16</v>
      </c>
    </row>
    <row r="1154" spans="1:24" x14ac:dyDescent="0.2">
      <c r="A1154" s="220">
        <v>43844</v>
      </c>
      <c r="B1154" s="130" t="s">
        <v>68</v>
      </c>
      <c r="C1154" s="130" t="s">
        <v>102</v>
      </c>
      <c r="D1154" s="130" t="s">
        <v>2127</v>
      </c>
      <c r="E1154" s="130" t="s">
        <v>2512</v>
      </c>
      <c r="F1154" s="130" t="s">
        <v>2552</v>
      </c>
      <c r="G1154" s="220">
        <v>43832</v>
      </c>
      <c r="H1154" s="130" t="s">
        <v>90</v>
      </c>
      <c r="I1154" s="130" t="s">
        <v>91</v>
      </c>
      <c r="J1154" s="130" t="s">
        <v>139</v>
      </c>
      <c r="K1154" s="130" t="s">
        <v>94</v>
      </c>
      <c r="L1154" s="174" t="s">
        <v>71</v>
      </c>
      <c r="M1154" s="131" t="s">
        <v>72</v>
      </c>
      <c r="N1154" s="130" t="s">
        <v>73</v>
      </c>
      <c r="O1154" s="219" t="s">
        <v>69</v>
      </c>
      <c r="P1154" s="130" t="s">
        <v>1699</v>
      </c>
      <c r="Q1154" s="132" t="s">
        <v>93</v>
      </c>
      <c r="R1154" s="218">
        <v>3.3359999999999999</v>
      </c>
      <c r="S1154" s="129">
        <v>1</v>
      </c>
      <c r="T1154" s="129">
        <v>70</v>
      </c>
      <c r="U1154" s="129">
        <v>70</v>
      </c>
      <c r="V1154" s="129">
        <v>12.599997999999978</v>
      </c>
      <c r="W1154" s="129">
        <v>82.599997999999971</v>
      </c>
      <c r="X1154" s="27">
        <f t="shared" si="185"/>
        <v>233.51999999999998</v>
      </c>
    </row>
    <row r="1155" spans="1:24" x14ac:dyDescent="0.2">
      <c r="A1155" s="220">
        <v>43844</v>
      </c>
      <c r="B1155" s="130" t="s">
        <v>68</v>
      </c>
      <c r="C1155" s="130" t="s">
        <v>102</v>
      </c>
      <c r="D1155" s="130" t="s">
        <v>2127</v>
      </c>
      <c r="E1155" s="130" t="s">
        <v>2512</v>
      </c>
      <c r="F1155" s="130" t="s">
        <v>2552</v>
      </c>
      <c r="G1155" s="220">
        <v>43832</v>
      </c>
      <c r="H1155" s="130" t="s">
        <v>90</v>
      </c>
      <c r="I1155" s="130" t="s">
        <v>91</v>
      </c>
      <c r="J1155" s="130" t="s">
        <v>70</v>
      </c>
      <c r="K1155" s="130" t="s">
        <v>112</v>
      </c>
      <c r="L1155" s="174" t="s">
        <v>71</v>
      </c>
      <c r="M1155" s="131" t="s">
        <v>72</v>
      </c>
      <c r="N1155" s="130" t="s">
        <v>73</v>
      </c>
      <c r="O1155" s="219" t="s">
        <v>69</v>
      </c>
      <c r="P1155" s="130" t="s">
        <v>1699</v>
      </c>
      <c r="Q1155" s="132" t="s">
        <v>93</v>
      </c>
      <c r="R1155" s="218">
        <v>3.3359999999999999</v>
      </c>
      <c r="S1155" s="129">
        <v>1</v>
      </c>
      <c r="T1155" s="129">
        <v>30</v>
      </c>
      <c r="U1155" s="129">
        <v>30</v>
      </c>
      <c r="V1155" s="129">
        <v>5.4000019999999997</v>
      </c>
      <c r="W1155" s="129">
        <v>35.400002000000001</v>
      </c>
      <c r="X1155" s="27">
        <f t="shared" si="185"/>
        <v>100.08</v>
      </c>
    </row>
    <row r="1156" spans="1:24" x14ac:dyDescent="0.2">
      <c r="A1156" s="220">
        <v>43844</v>
      </c>
      <c r="B1156" s="130" t="s">
        <v>68</v>
      </c>
      <c r="C1156" s="130" t="s">
        <v>102</v>
      </c>
      <c r="D1156" s="130" t="s">
        <v>2127</v>
      </c>
      <c r="E1156" s="130" t="s">
        <v>2512</v>
      </c>
      <c r="F1156" s="130" t="s">
        <v>2552</v>
      </c>
      <c r="G1156" s="220">
        <v>43832</v>
      </c>
      <c r="H1156" s="130" t="s">
        <v>90</v>
      </c>
      <c r="I1156" s="130" t="s">
        <v>91</v>
      </c>
      <c r="J1156" s="130" t="s">
        <v>95</v>
      </c>
      <c r="K1156" s="130" t="s">
        <v>96</v>
      </c>
      <c r="L1156" s="174" t="s">
        <v>71</v>
      </c>
      <c r="M1156" s="131" t="s">
        <v>72</v>
      </c>
      <c r="N1156" s="130" t="s">
        <v>73</v>
      </c>
      <c r="O1156" s="219" t="s">
        <v>69</v>
      </c>
      <c r="P1156" s="130" t="s">
        <v>1699</v>
      </c>
      <c r="Q1156" s="132" t="s">
        <v>93</v>
      </c>
      <c r="R1156" s="218">
        <v>3.3359999999999999</v>
      </c>
      <c r="S1156" s="129">
        <v>-1</v>
      </c>
      <c r="T1156" s="129">
        <v>123.57630000000003</v>
      </c>
      <c r="U1156" s="129">
        <v>-123.57630000000003</v>
      </c>
      <c r="V1156" s="129">
        <v>-22.243709999999993</v>
      </c>
      <c r="W1156" s="129">
        <v>-145.82001000000002</v>
      </c>
      <c r="X1156" s="27">
        <f t="shared" si="185"/>
        <v>-412.25053680000008</v>
      </c>
    </row>
    <row r="1157" spans="1:24" x14ac:dyDescent="0.2">
      <c r="A1157" s="220">
        <v>43844</v>
      </c>
      <c r="B1157" s="130" t="s">
        <v>68</v>
      </c>
      <c r="C1157" s="130" t="s">
        <v>102</v>
      </c>
      <c r="D1157" s="130" t="s">
        <v>2127</v>
      </c>
      <c r="E1157" s="130" t="s">
        <v>2512</v>
      </c>
      <c r="F1157" s="130" t="s">
        <v>2552</v>
      </c>
      <c r="G1157" s="220">
        <v>43832</v>
      </c>
      <c r="H1157" s="130" t="s">
        <v>90</v>
      </c>
      <c r="I1157" s="130" t="s">
        <v>91</v>
      </c>
      <c r="J1157" s="130" t="s">
        <v>104</v>
      </c>
      <c r="K1157" s="130" t="s">
        <v>105</v>
      </c>
      <c r="L1157" s="174" t="s">
        <v>71</v>
      </c>
      <c r="M1157" s="131" t="s">
        <v>72</v>
      </c>
      <c r="N1157" s="130" t="s">
        <v>73</v>
      </c>
      <c r="O1157" s="219" t="s">
        <v>69</v>
      </c>
      <c r="P1157" s="130" t="s">
        <v>1699</v>
      </c>
      <c r="Q1157" s="132" t="s">
        <v>93</v>
      </c>
      <c r="R1157" s="218">
        <v>3.3359999999999999</v>
      </c>
      <c r="S1157" s="129">
        <v>1</v>
      </c>
      <c r="T1157" s="129">
        <v>0</v>
      </c>
      <c r="U1157" s="129">
        <v>0</v>
      </c>
      <c r="V1157" s="129">
        <v>0</v>
      </c>
      <c r="W1157" s="129">
        <v>0</v>
      </c>
      <c r="X1157" s="27">
        <f t="shared" ref="X1157:X1220" si="186">IF(Q1157="$",(U1157*R1157),U1157)</f>
        <v>0</v>
      </c>
    </row>
    <row r="1158" spans="1:24" x14ac:dyDescent="0.2">
      <c r="A1158" s="220">
        <v>43846</v>
      </c>
      <c r="B1158" s="130" t="s">
        <v>68</v>
      </c>
      <c r="C1158" s="130" t="s">
        <v>102</v>
      </c>
      <c r="D1158" s="130" t="s">
        <v>2795</v>
      </c>
      <c r="E1158" s="130" t="s">
        <v>2617</v>
      </c>
      <c r="F1158" s="130" t="s">
        <v>2742</v>
      </c>
      <c r="G1158" s="220">
        <v>43833</v>
      </c>
      <c r="H1158" s="130" t="s">
        <v>90</v>
      </c>
      <c r="I1158" s="130" t="s">
        <v>91</v>
      </c>
      <c r="J1158" s="130" t="s">
        <v>97</v>
      </c>
      <c r="K1158" s="130" t="s">
        <v>98</v>
      </c>
      <c r="L1158" s="174" t="s">
        <v>71</v>
      </c>
      <c r="M1158" s="131" t="s">
        <v>72</v>
      </c>
      <c r="N1158" s="130" t="s">
        <v>73</v>
      </c>
      <c r="O1158" s="219" t="s">
        <v>99</v>
      </c>
      <c r="P1158" s="130" t="s">
        <v>98</v>
      </c>
      <c r="Q1158" s="132" t="s">
        <v>93</v>
      </c>
      <c r="R1158" s="218">
        <v>3.3269999000000001</v>
      </c>
      <c r="S1158" s="129">
        <v>1</v>
      </c>
      <c r="T1158" s="129">
        <v>147.5</v>
      </c>
      <c r="U1158" s="129">
        <v>147.5</v>
      </c>
      <c r="V1158" s="129">
        <v>26.55</v>
      </c>
      <c r="W1158" s="129">
        <v>174.05</v>
      </c>
      <c r="X1158" s="27">
        <f t="shared" si="186"/>
        <v>490.73248525000002</v>
      </c>
    </row>
    <row r="1159" spans="1:24" x14ac:dyDescent="0.2">
      <c r="A1159" s="220">
        <v>43846</v>
      </c>
      <c r="B1159" s="130" t="s">
        <v>68</v>
      </c>
      <c r="C1159" s="130" t="s">
        <v>102</v>
      </c>
      <c r="D1159" s="130" t="s">
        <v>2795</v>
      </c>
      <c r="E1159" s="130" t="s">
        <v>2617</v>
      </c>
      <c r="F1159" s="130" t="s">
        <v>2742</v>
      </c>
      <c r="G1159" s="220">
        <v>43833</v>
      </c>
      <c r="H1159" s="130" t="s">
        <v>90</v>
      </c>
      <c r="I1159" s="130" t="s">
        <v>91</v>
      </c>
      <c r="J1159" s="130" t="s">
        <v>100</v>
      </c>
      <c r="K1159" s="130" t="s">
        <v>101</v>
      </c>
      <c r="L1159" s="174" t="s">
        <v>71</v>
      </c>
      <c r="M1159" s="131" t="s">
        <v>72</v>
      </c>
      <c r="N1159" s="130" t="s">
        <v>73</v>
      </c>
      <c r="O1159" s="219" t="s">
        <v>72</v>
      </c>
      <c r="P1159" s="130" t="s">
        <v>101</v>
      </c>
      <c r="Q1159" s="132" t="s">
        <v>93</v>
      </c>
      <c r="R1159" s="218">
        <v>3.3269999000000001</v>
      </c>
      <c r="S1159" s="129">
        <v>1</v>
      </c>
      <c r="T1159" s="129">
        <v>165</v>
      </c>
      <c r="U1159" s="129">
        <v>165</v>
      </c>
      <c r="V1159" s="129">
        <v>29.7</v>
      </c>
      <c r="W1159" s="129">
        <v>194.7</v>
      </c>
      <c r="X1159" s="27">
        <f t="shared" si="186"/>
        <v>548.95498350000003</v>
      </c>
    </row>
    <row r="1160" spans="1:24" x14ac:dyDescent="0.2">
      <c r="A1160" s="220">
        <v>43846</v>
      </c>
      <c r="B1160" s="130" t="s">
        <v>68</v>
      </c>
      <c r="C1160" s="130" t="s">
        <v>102</v>
      </c>
      <c r="D1160" s="130" t="s">
        <v>2795</v>
      </c>
      <c r="E1160" s="130" t="s">
        <v>2617</v>
      </c>
      <c r="F1160" s="130" t="s">
        <v>2742</v>
      </c>
      <c r="G1160" s="220">
        <v>43833</v>
      </c>
      <c r="H1160" s="130" t="s">
        <v>90</v>
      </c>
      <c r="I1160" s="130" t="s">
        <v>91</v>
      </c>
      <c r="J1160" s="130" t="s">
        <v>95</v>
      </c>
      <c r="K1160" s="130" t="s">
        <v>96</v>
      </c>
      <c r="L1160" s="174" t="s">
        <v>71</v>
      </c>
      <c r="M1160" s="131" t="s">
        <v>72</v>
      </c>
      <c r="N1160" s="130" t="s">
        <v>73</v>
      </c>
      <c r="O1160" s="219" t="s">
        <v>69</v>
      </c>
      <c r="P1160" s="130" t="s">
        <v>1699</v>
      </c>
      <c r="Q1160" s="132" t="s">
        <v>93</v>
      </c>
      <c r="R1160" s="218">
        <v>3.3269999000000001</v>
      </c>
      <c r="S1160" s="129">
        <v>-1</v>
      </c>
      <c r="T1160" s="129">
        <v>269.15249999999997</v>
      </c>
      <c r="U1160" s="129">
        <v>-269.15249999999997</v>
      </c>
      <c r="V1160" s="129">
        <v>-48.447510000000037</v>
      </c>
      <c r="W1160" s="129">
        <v>-317.60001</v>
      </c>
      <c r="X1160" s="27">
        <f t="shared" si="186"/>
        <v>-895.47034058474992</v>
      </c>
    </row>
    <row r="1161" spans="1:24" x14ac:dyDescent="0.2">
      <c r="A1161" s="220">
        <v>43846</v>
      </c>
      <c r="B1161" s="130" t="s">
        <v>68</v>
      </c>
      <c r="C1161" s="130" t="s">
        <v>102</v>
      </c>
      <c r="D1161" s="130" t="s">
        <v>2795</v>
      </c>
      <c r="E1161" s="130" t="s">
        <v>2617</v>
      </c>
      <c r="F1161" s="130" t="s">
        <v>2742</v>
      </c>
      <c r="G1161" s="220">
        <v>43833</v>
      </c>
      <c r="H1161" s="130" t="s">
        <v>90</v>
      </c>
      <c r="I1161" s="130" t="s">
        <v>91</v>
      </c>
      <c r="J1161" s="130" t="s">
        <v>104</v>
      </c>
      <c r="K1161" s="130" t="s">
        <v>105</v>
      </c>
      <c r="L1161" s="174" t="s">
        <v>71</v>
      </c>
      <c r="M1161" s="131" t="s">
        <v>72</v>
      </c>
      <c r="N1161" s="130" t="s">
        <v>73</v>
      </c>
      <c r="O1161" s="219" t="s">
        <v>69</v>
      </c>
      <c r="P1161" s="130" t="s">
        <v>1699</v>
      </c>
      <c r="Q1161" s="132" t="s">
        <v>93</v>
      </c>
      <c r="R1161" s="218">
        <v>3.3269999000000001</v>
      </c>
      <c r="S1161" s="129">
        <v>1</v>
      </c>
      <c r="T1161" s="129">
        <v>0</v>
      </c>
      <c r="U1161" s="129">
        <v>0</v>
      </c>
      <c r="V1161" s="129">
        <v>0</v>
      </c>
      <c r="W1161" s="129">
        <v>0</v>
      </c>
      <c r="X1161" s="27">
        <f t="shared" si="186"/>
        <v>0</v>
      </c>
    </row>
    <row r="1162" spans="1:24" x14ac:dyDescent="0.2">
      <c r="A1162" s="220">
        <v>43846</v>
      </c>
      <c r="B1162" s="130" t="s">
        <v>68</v>
      </c>
      <c r="C1162" s="130" t="s">
        <v>102</v>
      </c>
      <c r="D1162" s="130" t="s">
        <v>2124</v>
      </c>
      <c r="E1162" s="130" t="s">
        <v>2511</v>
      </c>
      <c r="F1162" s="130" t="s">
        <v>2292</v>
      </c>
      <c r="G1162" s="220">
        <v>43833</v>
      </c>
      <c r="H1162" s="130" t="s">
        <v>90</v>
      </c>
      <c r="I1162" s="130" t="s">
        <v>91</v>
      </c>
      <c r="J1162" s="130" t="s">
        <v>97</v>
      </c>
      <c r="K1162" s="130" t="s">
        <v>98</v>
      </c>
      <c r="L1162" s="174" t="s">
        <v>71</v>
      </c>
      <c r="M1162" s="131" t="s">
        <v>72</v>
      </c>
      <c r="N1162" s="130" t="s">
        <v>73</v>
      </c>
      <c r="O1162" s="219" t="s">
        <v>99</v>
      </c>
      <c r="P1162" s="130" t="s">
        <v>98</v>
      </c>
      <c r="Q1162" s="132" t="s">
        <v>93</v>
      </c>
      <c r="R1162" s="218">
        <v>3.3269999000000001</v>
      </c>
      <c r="S1162" s="129">
        <v>1</v>
      </c>
      <c r="T1162" s="129">
        <v>354</v>
      </c>
      <c r="U1162" s="129">
        <v>354</v>
      </c>
      <c r="V1162" s="129">
        <v>63.72</v>
      </c>
      <c r="W1162" s="129">
        <v>417.72</v>
      </c>
      <c r="X1162" s="27">
        <f t="shared" si="186"/>
        <v>1177.7579646000002</v>
      </c>
    </row>
    <row r="1163" spans="1:24" x14ac:dyDescent="0.2">
      <c r="A1163" s="220">
        <v>43846</v>
      </c>
      <c r="B1163" s="130" t="s">
        <v>68</v>
      </c>
      <c r="C1163" s="130" t="s">
        <v>102</v>
      </c>
      <c r="D1163" s="130" t="s">
        <v>2124</v>
      </c>
      <c r="E1163" s="130" t="s">
        <v>2511</v>
      </c>
      <c r="F1163" s="130" t="s">
        <v>2292</v>
      </c>
      <c r="G1163" s="220">
        <v>43833</v>
      </c>
      <c r="H1163" s="130" t="s">
        <v>90</v>
      </c>
      <c r="I1163" s="130" t="s">
        <v>91</v>
      </c>
      <c r="J1163" s="130" t="s">
        <v>100</v>
      </c>
      <c r="K1163" s="130" t="s">
        <v>101</v>
      </c>
      <c r="L1163" s="174" t="s">
        <v>71</v>
      </c>
      <c r="M1163" s="131" t="s">
        <v>72</v>
      </c>
      <c r="N1163" s="130" t="s">
        <v>73</v>
      </c>
      <c r="O1163" s="219" t="s">
        <v>72</v>
      </c>
      <c r="P1163" s="130" t="s">
        <v>101</v>
      </c>
      <c r="Q1163" s="132" t="s">
        <v>93</v>
      </c>
      <c r="R1163" s="218">
        <v>3.3269999000000001</v>
      </c>
      <c r="S1163" s="129">
        <v>1</v>
      </c>
      <c r="T1163" s="129">
        <v>210</v>
      </c>
      <c r="U1163" s="129">
        <v>210</v>
      </c>
      <c r="V1163" s="129">
        <v>37.799999999999997</v>
      </c>
      <c r="W1163" s="129">
        <v>247.8</v>
      </c>
      <c r="X1163" s="27">
        <f t="shared" si="186"/>
        <v>698.66997900000001</v>
      </c>
    </row>
    <row r="1164" spans="1:24" x14ac:dyDescent="0.2">
      <c r="A1164" s="220">
        <v>43846</v>
      </c>
      <c r="B1164" s="130" t="s">
        <v>68</v>
      </c>
      <c r="C1164" s="130" t="s">
        <v>102</v>
      </c>
      <c r="D1164" s="130" t="s">
        <v>2124</v>
      </c>
      <c r="E1164" s="130" t="s">
        <v>2511</v>
      </c>
      <c r="F1164" s="130" t="s">
        <v>2292</v>
      </c>
      <c r="G1164" s="220">
        <v>43833</v>
      </c>
      <c r="H1164" s="130" t="s">
        <v>90</v>
      </c>
      <c r="I1164" s="130" t="s">
        <v>91</v>
      </c>
      <c r="J1164" s="130" t="s">
        <v>92</v>
      </c>
      <c r="K1164" s="130" t="s">
        <v>113</v>
      </c>
      <c r="L1164" s="174" t="s">
        <v>71</v>
      </c>
      <c r="M1164" s="131" t="s">
        <v>72</v>
      </c>
      <c r="N1164" s="130" t="s">
        <v>73</v>
      </c>
      <c r="O1164" s="219" t="s">
        <v>69</v>
      </c>
      <c r="P1164" s="130" t="s">
        <v>1699</v>
      </c>
      <c r="Q1164" s="132" t="s">
        <v>93</v>
      </c>
      <c r="R1164" s="218">
        <v>3.3269999000000001</v>
      </c>
      <c r="S1164" s="129">
        <v>1</v>
      </c>
      <c r="T1164" s="129">
        <v>35</v>
      </c>
      <c r="U1164" s="129">
        <v>35</v>
      </c>
      <c r="V1164" s="129">
        <v>6.299998999999989</v>
      </c>
      <c r="W1164" s="129">
        <v>41.299998999999985</v>
      </c>
      <c r="X1164" s="27">
        <f t="shared" si="186"/>
        <v>116.4449965</v>
      </c>
    </row>
    <row r="1165" spans="1:24" x14ac:dyDescent="0.2">
      <c r="A1165" s="220">
        <v>43846</v>
      </c>
      <c r="B1165" s="130" t="s">
        <v>68</v>
      </c>
      <c r="C1165" s="130" t="s">
        <v>102</v>
      </c>
      <c r="D1165" s="130" t="s">
        <v>2124</v>
      </c>
      <c r="E1165" s="130" t="s">
        <v>2511</v>
      </c>
      <c r="F1165" s="130" t="s">
        <v>2292</v>
      </c>
      <c r="G1165" s="220">
        <v>43833</v>
      </c>
      <c r="H1165" s="130" t="s">
        <v>90</v>
      </c>
      <c r="I1165" s="130" t="s">
        <v>91</v>
      </c>
      <c r="J1165" s="130" t="s">
        <v>70</v>
      </c>
      <c r="K1165" s="130" t="s">
        <v>112</v>
      </c>
      <c r="L1165" s="174" t="s">
        <v>71</v>
      </c>
      <c r="M1165" s="131" t="s">
        <v>72</v>
      </c>
      <c r="N1165" s="130" t="s">
        <v>73</v>
      </c>
      <c r="O1165" s="219" t="s">
        <v>69</v>
      </c>
      <c r="P1165" s="130" t="s">
        <v>1699</v>
      </c>
      <c r="Q1165" s="132" t="s">
        <v>93</v>
      </c>
      <c r="R1165" s="218">
        <v>3.3269999000000001</v>
      </c>
      <c r="S1165" s="129">
        <v>1</v>
      </c>
      <c r="T1165" s="129">
        <v>15</v>
      </c>
      <c r="U1165" s="129">
        <v>15</v>
      </c>
      <c r="V1165" s="129">
        <v>2.7000009999999999</v>
      </c>
      <c r="W1165" s="129">
        <v>17.700001</v>
      </c>
      <c r="X1165" s="27">
        <f t="shared" si="186"/>
        <v>49.904998500000005</v>
      </c>
    </row>
    <row r="1166" spans="1:24" x14ac:dyDescent="0.2">
      <c r="A1166" s="220">
        <v>43846</v>
      </c>
      <c r="B1166" s="130" t="s">
        <v>68</v>
      </c>
      <c r="C1166" s="130" t="s">
        <v>102</v>
      </c>
      <c r="D1166" s="130" t="s">
        <v>2124</v>
      </c>
      <c r="E1166" s="130" t="s">
        <v>2511</v>
      </c>
      <c r="F1166" s="130" t="s">
        <v>2292</v>
      </c>
      <c r="G1166" s="220">
        <v>43833</v>
      </c>
      <c r="H1166" s="130" t="s">
        <v>90</v>
      </c>
      <c r="I1166" s="130" t="s">
        <v>91</v>
      </c>
      <c r="J1166" s="130" t="s">
        <v>95</v>
      </c>
      <c r="K1166" s="130" t="s">
        <v>96</v>
      </c>
      <c r="L1166" s="174" t="s">
        <v>71</v>
      </c>
      <c r="M1166" s="131" t="s">
        <v>72</v>
      </c>
      <c r="N1166" s="130" t="s">
        <v>73</v>
      </c>
      <c r="O1166" s="219" t="s">
        <v>69</v>
      </c>
      <c r="P1166" s="130" t="s">
        <v>1699</v>
      </c>
      <c r="Q1166" s="132" t="s">
        <v>93</v>
      </c>
      <c r="R1166" s="218">
        <v>3.3269999000000001</v>
      </c>
      <c r="S1166" s="129">
        <v>-1</v>
      </c>
      <c r="T1166" s="129">
        <v>341.09320000000002</v>
      </c>
      <c r="U1166" s="129">
        <v>-341.09320000000002</v>
      </c>
      <c r="V1166" s="129">
        <v>-61.396790000000038</v>
      </c>
      <c r="W1166" s="129">
        <v>-402.48999000000003</v>
      </c>
      <c r="X1166" s="27">
        <f t="shared" si="186"/>
        <v>-1134.8170422906801</v>
      </c>
    </row>
    <row r="1167" spans="1:24" x14ac:dyDescent="0.2">
      <c r="A1167" s="220">
        <v>43846</v>
      </c>
      <c r="B1167" s="130" t="s">
        <v>68</v>
      </c>
      <c r="C1167" s="130" t="s">
        <v>102</v>
      </c>
      <c r="D1167" s="130" t="s">
        <v>2124</v>
      </c>
      <c r="E1167" s="130" t="s">
        <v>2511</v>
      </c>
      <c r="F1167" s="130" t="s">
        <v>2292</v>
      </c>
      <c r="G1167" s="220">
        <v>43833</v>
      </c>
      <c r="H1167" s="130" t="s">
        <v>90</v>
      </c>
      <c r="I1167" s="130" t="s">
        <v>91</v>
      </c>
      <c r="J1167" s="130" t="s">
        <v>104</v>
      </c>
      <c r="K1167" s="130" t="s">
        <v>105</v>
      </c>
      <c r="L1167" s="174" t="s">
        <v>71</v>
      </c>
      <c r="M1167" s="131" t="s">
        <v>72</v>
      </c>
      <c r="N1167" s="130" t="s">
        <v>73</v>
      </c>
      <c r="O1167" s="219" t="s">
        <v>69</v>
      </c>
      <c r="P1167" s="130" t="s">
        <v>1699</v>
      </c>
      <c r="Q1167" s="132" t="s">
        <v>93</v>
      </c>
      <c r="R1167" s="218">
        <v>3.3269999000000001</v>
      </c>
      <c r="S1167" s="129">
        <v>1</v>
      </c>
      <c r="T1167" s="129">
        <v>0</v>
      </c>
      <c r="U1167" s="129">
        <v>0</v>
      </c>
      <c r="V1167" s="129">
        <v>0</v>
      </c>
      <c r="W1167" s="129">
        <v>0</v>
      </c>
      <c r="X1167" s="27">
        <f t="shared" si="186"/>
        <v>0</v>
      </c>
    </row>
    <row r="1168" spans="1:24" x14ac:dyDescent="0.2">
      <c r="A1168" s="220">
        <v>43847</v>
      </c>
      <c r="B1168" s="130" t="s">
        <v>68</v>
      </c>
      <c r="C1168" s="130" t="s">
        <v>102</v>
      </c>
      <c r="D1168" s="130" t="s">
        <v>2236</v>
      </c>
      <c r="E1168" s="130" t="s">
        <v>1939</v>
      </c>
      <c r="F1168" s="130" t="s">
        <v>2527</v>
      </c>
      <c r="G1168" s="220">
        <v>43798</v>
      </c>
      <c r="H1168" s="130" t="s">
        <v>387</v>
      </c>
      <c r="I1168" s="130" t="s">
        <v>386</v>
      </c>
      <c r="J1168" s="130" t="s">
        <v>97</v>
      </c>
      <c r="K1168" s="130" t="s">
        <v>98</v>
      </c>
      <c r="L1168" s="174" t="s">
        <v>71</v>
      </c>
      <c r="M1168" s="131" t="s">
        <v>72</v>
      </c>
      <c r="N1168" s="130" t="s">
        <v>73</v>
      </c>
      <c r="O1168" s="219" t="s">
        <v>99</v>
      </c>
      <c r="P1168" s="130" t="s">
        <v>98</v>
      </c>
      <c r="Q1168" s="132" t="s">
        <v>74</v>
      </c>
      <c r="R1168" s="218">
        <v>3.3260000000000001</v>
      </c>
      <c r="S1168" s="129">
        <v>1</v>
      </c>
      <c r="T1168" s="129">
        <v>2565</v>
      </c>
      <c r="U1168" s="129">
        <v>2565</v>
      </c>
      <c r="V1168" s="129">
        <v>461.7</v>
      </c>
      <c r="W1168" s="129">
        <v>3026.7</v>
      </c>
      <c r="X1168" s="27">
        <f t="shared" si="186"/>
        <v>2565</v>
      </c>
    </row>
    <row r="1169" spans="1:24" x14ac:dyDescent="0.2">
      <c r="A1169" s="220">
        <v>43847</v>
      </c>
      <c r="B1169" s="130" t="s">
        <v>68</v>
      </c>
      <c r="C1169" s="130" t="s">
        <v>102</v>
      </c>
      <c r="D1169" s="130" t="s">
        <v>2236</v>
      </c>
      <c r="E1169" s="130" t="s">
        <v>1939</v>
      </c>
      <c r="F1169" s="130" t="s">
        <v>2527</v>
      </c>
      <c r="G1169" s="220">
        <v>43798</v>
      </c>
      <c r="H1169" s="130" t="s">
        <v>387</v>
      </c>
      <c r="I1169" s="130" t="s">
        <v>386</v>
      </c>
      <c r="J1169" s="130" t="s">
        <v>100</v>
      </c>
      <c r="K1169" s="130" t="s">
        <v>101</v>
      </c>
      <c r="L1169" s="174" t="s">
        <v>71</v>
      </c>
      <c r="M1169" s="131" t="s">
        <v>72</v>
      </c>
      <c r="N1169" s="130" t="s">
        <v>73</v>
      </c>
      <c r="O1169" s="219" t="s">
        <v>72</v>
      </c>
      <c r="P1169" s="130" t="s">
        <v>101</v>
      </c>
      <c r="Q1169" s="132" t="s">
        <v>74</v>
      </c>
      <c r="R1169" s="218">
        <v>3.3260000000000001</v>
      </c>
      <c r="S1169" s="129">
        <v>1</v>
      </c>
      <c r="T1169" s="129">
        <v>1050</v>
      </c>
      <c r="U1169" s="129">
        <v>1050</v>
      </c>
      <c r="V1169" s="129">
        <v>189</v>
      </c>
      <c r="W1169" s="129">
        <v>1239</v>
      </c>
      <c r="X1169" s="27">
        <f t="shared" si="186"/>
        <v>1050</v>
      </c>
    </row>
    <row r="1170" spans="1:24" x14ac:dyDescent="0.2">
      <c r="A1170" s="220">
        <v>43847</v>
      </c>
      <c r="B1170" s="130" t="s">
        <v>68</v>
      </c>
      <c r="C1170" s="130" t="s">
        <v>102</v>
      </c>
      <c r="D1170" s="130" t="s">
        <v>2236</v>
      </c>
      <c r="E1170" s="130" t="s">
        <v>1939</v>
      </c>
      <c r="F1170" s="130" t="s">
        <v>2527</v>
      </c>
      <c r="G1170" s="220">
        <v>43798</v>
      </c>
      <c r="H1170" s="130" t="s">
        <v>387</v>
      </c>
      <c r="I1170" s="130" t="s">
        <v>386</v>
      </c>
      <c r="J1170" s="130" t="s">
        <v>92</v>
      </c>
      <c r="K1170" s="130" t="s">
        <v>113</v>
      </c>
      <c r="L1170" s="174" t="s">
        <v>71</v>
      </c>
      <c r="M1170" s="131" t="s">
        <v>72</v>
      </c>
      <c r="N1170" s="130" t="s">
        <v>73</v>
      </c>
      <c r="O1170" s="219" t="s">
        <v>69</v>
      </c>
      <c r="P1170" s="130" t="s">
        <v>1699</v>
      </c>
      <c r="Q1170" s="132" t="s">
        <v>74</v>
      </c>
      <c r="R1170" s="218">
        <v>3.3260000000000001</v>
      </c>
      <c r="S1170" s="129">
        <v>1</v>
      </c>
      <c r="T1170" s="129">
        <v>680</v>
      </c>
      <c r="U1170" s="129">
        <v>680</v>
      </c>
      <c r="V1170" s="129">
        <v>122.40002000000023</v>
      </c>
      <c r="W1170" s="129">
        <v>802.40002000000027</v>
      </c>
      <c r="X1170" s="27">
        <f t="shared" si="186"/>
        <v>680</v>
      </c>
    </row>
    <row r="1171" spans="1:24" x14ac:dyDescent="0.2">
      <c r="A1171" s="220">
        <v>43847</v>
      </c>
      <c r="B1171" s="130" t="s">
        <v>68</v>
      </c>
      <c r="C1171" s="130" t="s">
        <v>102</v>
      </c>
      <c r="D1171" s="130" t="s">
        <v>2236</v>
      </c>
      <c r="E1171" s="130" t="s">
        <v>1939</v>
      </c>
      <c r="F1171" s="130" t="s">
        <v>2527</v>
      </c>
      <c r="G1171" s="220">
        <v>43798</v>
      </c>
      <c r="H1171" s="130" t="s">
        <v>387</v>
      </c>
      <c r="I1171" s="130" t="s">
        <v>386</v>
      </c>
      <c r="J1171" s="130" t="s">
        <v>132</v>
      </c>
      <c r="K1171" s="130" t="s">
        <v>1156</v>
      </c>
      <c r="L1171" s="174" t="s">
        <v>71</v>
      </c>
      <c r="M1171" s="131" t="s">
        <v>72</v>
      </c>
      <c r="N1171" s="130" t="s">
        <v>73</v>
      </c>
      <c r="O1171" s="219" t="s">
        <v>69</v>
      </c>
      <c r="P1171" s="130" t="s">
        <v>1699</v>
      </c>
      <c r="Q1171" s="132" t="s">
        <v>74</v>
      </c>
      <c r="R1171" s="218">
        <v>3.3260000000000001</v>
      </c>
      <c r="S1171" s="129">
        <v>1</v>
      </c>
      <c r="T1171" s="129">
        <v>543</v>
      </c>
      <c r="U1171" s="129">
        <v>543</v>
      </c>
      <c r="V1171" s="129">
        <v>97.739990000000034</v>
      </c>
      <c r="W1171" s="129">
        <v>640.73999000000003</v>
      </c>
      <c r="X1171" s="27">
        <f t="shared" si="186"/>
        <v>543</v>
      </c>
    </row>
    <row r="1172" spans="1:24" x14ac:dyDescent="0.2">
      <c r="A1172" s="220">
        <v>43847</v>
      </c>
      <c r="B1172" s="130" t="s">
        <v>68</v>
      </c>
      <c r="C1172" s="130" t="s">
        <v>102</v>
      </c>
      <c r="D1172" s="130" t="s">
        <v>2236</v>
      </c>
      <c r="E1172" s="130" t="s">
        <v>1939</v>
      </c>
      <c r="F1172" s="130" t="s">
        <v>2527</v>
      </c>
      <c r="G1172" s="220">
        <v>43798</v>
      </c>
      <c r="H1172" s="130" t="s">
        <v>387</v>
      </c>
      <c r="I1172" s="130" t="s">
        <v>386</v>
      </c>
      <c r="J1172" s="130" t="s">
        <v>70</v>
      </c>
      <c r="K1172" s="130" t="s">
        <v>112</v>
      </c>
      <c r="L1172" s="174" t="s">
        <v>71</v>
      </c>
      <c r="M1172" s="131" t="s">
        <v>72</v>
      </c>
      <c r="N1172" s="130" t="s">
        <v>73</v>
      </c>
      <c r="O1172" s="219" t="s">
        <v>69</v>
      </c>
      <c r="P1172" s="130" t="s">
        <v>1699</v>
      </c>
      <c r="Q1172" s="132" t="s">
        <v>74</v>
      </c>
      <c r="R1172" s="218">
        <v>3.3260000000000001</v>
      </c>
      <c r="S1172" s="129">
        <v>1</v>
      </c>
      <c r="T1172" s="129">
        <v>673.75420999999972</v>
      </c>
      <c r="U1172" s="129">
        <v>673.75420999999972</v>
      </c>
      <c r="V1172" s="129">
        <v>121.27582000000038</v>
      </c>
      <c r="W1172" s="129">
        <v>795.03003000000012</v>
      </c>
      <c r="X1172" s="27">
        <f t="shared" si="186"/>
        <v>673.75420999999972</v>
      </c>
    </row>
    <row r="1173" spans="1:24" x14ac:dyDescent="0.2">
      <c r="A1173" s="220">
        <v>43847</v>
      </c>
      <c r="B1173" s="130" t="s">
        <v>68</v>
      </c>
      <c r="C1173" s="130" t="s">
        <v>102</v>
      </c>
      <c r="D1173" s="130" t="s">
        <v>2236</v>
      </c>
      <c r="E1173" s="130" t="s">
        <v>1939</v>
      </c>
      <c r="F1173" s="130" t="s">
        <v>2527</v>
      </c>
      <c r="G1173" s="220">
        <v>43798</v>
      </c>
      <c r="H1173" s="130" t="s">
        <v>387</v>
      </c>
      <c r="I1173" s="130" t="s">
        <v>386</v>
      </c>
      <c r="J1173" s="130" t="s">
        <v>104</v>
      </c>
      <c r="K1173" s="130" t="s">
        <v>105</v>
      </c>
      <c r="L1173" s="174" t="s">
        <v>71</v>
      </c>
      <c r="M1173" s="131" t="s">
        <v>72</v>
      </c>
      <c r="N1173" s="130" t="s">
        <v>73</v>
      </c>
      <c r="O1173" s="219" t="s">
        <v>69</v>
      </c>
      <c r="P1173" s="130" t="s">
        <v>1699</v>
      </c>
      <c r="Q1173" s="132" t="s">
        <v>74</v>
      </c>
      <c r="R1173" s="218">
        <v>3.3260000000000001</v>
      </c>
      <c r="S1173" s="129">
        <v>1</v>
      </c>
      <c r="T1173" s="129">
        <v>3360</v>
      </c>
      <c r="U1173" s="129">
        <v>3360</v>
      </c>
      <c r="V1173" s="129">
        <v>604.79999999999995</v>
      </c>
      <c r="W1173" s="129">
        <v>3964.8</v>
      </c>
      <c r="X1173" s="27">
        <f t="shared" si="186"/>
        <v>3360</v>
      </c>
    </row>
    <row r="1174" spans="1:24" x14ac:dyDescent="0.2">
      <c r="A1174" s="220">
        <v>43847</v>
      </c>
      <c r="B1174" s="130" t="s">
        <v>68</v>
      </c>
      <c r="C1174" s="130" t="s">
        <v>102</v>
      </c>
      <c r="D1174" s="130" t="s">
        <v>2793</v>
      </c>
      <c r="E1174" s="130" t="s">
        <v>1966</v>
      </c>
      <c r="F1174" s="130" t="s">
        <v>2537</v>
      </c>
      <c r="G1174" s="220">
        <v>43809</v>
      </c>
      <c r="H1174" s="130" t="s">
        <v>387</v>
      </c>
      <c r="I1174" s="130" t="s">
        <v>386</v>
      </c>
      <c r="J1174" s="130" t="s">
        <v>97</v>
      </c>
      <c r="K1174" s="130" t="s">
        <v>98</v>
      </c>
      <c r="L1174" s="174" t="s">
        <v>71</v>
      </c>
      <c r="M1174" s="131" t="s">
        <v>72</v>
      </c>
      <c r="N1174" s="130" t="s">
        <v>73</v>
      </c>
      <c r="O1174" s="219" t="s">
        <v>99</v>
      </c>
      <c r="P1174" s="130" t="s">
        <v>98</v>
      </c>
      <c r="Q1174" s="132" t="s">
        <v>74</v>
      </c>
      <c r="R1174" s="218">
        <v>3.3260000000000001</v>
      </c>
      <c r="S1174" s="129">
        <v>1</v>
      </c>
      <c r="T1174" s="129">
        <v>1822.5</v>
      </c>
      <c r="U1174" s="129">
        <v>1822.5</v>
      </c>
      <c r="V1174" s="129">
        <v>328.05</v>
      </c>
      <c r="W1174" s="129">
        <v>2150.5500000000002</v>
      </c>
      <c r="X1174" s="27">
        <f t="shared" si="186"/>
        <v>1822.5</v>
      </c>
    </row>
    <row r="1175" spans="1:24" x14ac:dyDescent="0.2">
      <c r="A1175" s="220">
        <v>43847</v>
      </c>
      <c r="B1175" s="130" t="s">
        <v>68</v>
      </c>
      <c r="C1175" s="130" t="s">
        <v>102</v>
      </c>
      <c r="D1175" s="130" t="s">
        <v>2793</v>
      </c>
      <c r="E1175" s="130" t="s">
        <v>1966</v>
      </c>
      <c r="F1175" s="130" t="s">
        <v>2537</v>
      </c>
      <c r="G1175" s="220">
        <v>43809</v>
      </c>
      <c r="H1175" s="130" t="s">
        <v>387</v>
      </c>
      <c r="I1175" s="130" t="s">
        <v>386</v>
      </c>
      <c r="J1175" s="130" t="s">
        <v>100</v>
      </c>
      <c r="K1175" s="130" t="s">
        <v>101</v>
      </c>
      <c r="L1175" s="174" t="s">
        <v>71</v>
      </c>
      <c r="M1175" s="131" t="s">
        <v>72</v>
      </c>
      <c r="N1175" s="130" t="s">
        <v>73</v>
      </c>
      <c r="O1175" s="219" t="s">
        <v>72</v>
      </c>
      <c r="P1175" s="130" t="s">
        <v>101</v>
      </c>
      <c r="Q1175" s="132" t="s">
        <v>74</v>
      </c>
      <c r="R1175" s="218">
        <v>3.3260000000000001</v>
      </c>
      <c r="S1175" s="129">
        <v>1</v>
      </c>
      <c r="T1175" s="129">
        <v>665</v>
      </c>
      <c r="U1175" s="129">
        <v>665</v>
      </c>
      <c r="V1175" s="129">
        <v>119.70000999999989</v>
      </c>
      <c r="W1175" s="129">
        <v>784.70000999999991</v>
      </c>
      <c r="X1175" s="27">
        <f t="shared" si="186"/>
        <v>665</v>
      </c>
    </row>
    <row r="1176" spans="1:24" x14ac:dyDescent="0.2">
      <c r="A1176" s="220">
        <v>43847</v>
      </c>
      <c r="B1176" s="130" t="s">
        <v>68</v>
      </c>
      <c r="C1176" s="130" t="s">
        <v>102</v>
      </c>
      <c r="D1176" s="130" t="s">
        <v>2793</v>
      </c>
      <c r="E1176" s="130" t="s">
        <v>1966</v>
      </c>
      <c r="F1176" s="130" t="s">
        <v>2537</v>
      </c>
      <c r="G1176" s="220">
        <v>43809</v>
      </c>
      <c r="H1176" s="130" t="s">
        <v>387</v>
      </c>
      <c r="I1176" s="130" t="s">
        <v>386</v>
      </c>
      <c r="J1176" s="130" t="s">
        <v>92</v>
      </c>
      <c r="K1176" s="130" t="s">
        <v>113</v>
      </c>
      <c r="L1176" s="174" t="s">
        <v>71</v>
      </c>
      <c r="M1176" s="131" t="s">
        <v>72</v>
      </c>
      <c r="N1176" s="130" t="s">
        <v>73</v>
      </c>
      <c r="O1176" s="219" t="s">
        <v>69</v>
      </c>
      <c r="P1176" s="130" t="s">
        <v>1699</v>
      </c>
      <c r="Q1176" s="132" t="s">
        <v>74</v>
      </c>
      <c r="R1176" s="218">
        <v>3.3260000000000001</v>
      </c>
      <c r="S1176" s="129">
        <v>1</v>
      </c>
      <c r="T1176" s="129">
        <v>850</v>
      </c>
      <c r="U1176" s="129">
        <v>850</v>
      </c>
      <c r="V1176" s="129">
        <v>153</v>
      </c>
      <c r="W1176" s="129">
        <v>1003</v>
      </c>
      <c r="X1176" s="27">
        <f t="shared" si="186"/>
        <v>850</v>
      </c>
    </row>
    <row r="1177" spans="1:24" x14ac:dyDescent="0.2">
      <c r="A1177" s="220">
        <v>43847</v>
      </c>
      <c r="B1177" s="130" t="s">
        <v>68</v>
      </c>
      <c r="C1177" s="130" t="s">
        <v>102</v>
      </c>
      <c r="D1177" s="130" t="s">
        <v>2793</v>
      </c>
      <c r="E1177" s="130" t="s">
        <v>1966</v>
      </c>
      <c r="F1177" s="130" t="s">
        <v>2537</v>
      </c>
      <c r="G1177" s="220">
        <v>43809</v>
      </c>
      <c r="H1177" s="130" t="s">
        <v>387</v>
      </c>
      <c r="I1177" s="130" t="s">
        <v>386</v>
      </c>
      <c r="J1177" s="130" t="s">
        <v>132</v>
      </c>
      <c r="K1177" s="130" t="s">
        <v>2794</v>
      </c>
      <c r="L1177" s="174" t="s">
        <v>71</v>
      </c>
      <c r="M1177" s="131" t="s">
        <v>72</v>
      </c>
      <c r="N1177" s="130" t="s">
        <v>73</v>
      </c>
      <c r="O1177" s="219" t="s">
        <v>69</v>
      </c>
      <c r="P1177" s="130" t="s">
        <v>1699</v>
      </c>
      <c r="Q1177" s="132" t="s">
        <v>74</v>
      </c>
      <c r="R1177" s="218">
        <v>3.3260000000000001</v>
      </c>
      <c r="S1177" s="129">
        <v>1</v>
      </c>
      <c r="T1177" s="129">
        <v>2633</v>
      </c>
      <c r="U1177" s="129">
        <v>2633</v>
      </c>
      <c r="V1177" s="129">
        <v>473.93989999999991</v>
      </c>
      <c r="W1177" s="129">
        <v>3106.9398999999999</v>
      </c>
      <c r="X1177" s="27">
        <f t="shared" si="186"/>
        <v>2633</v>
      </c>
    </row>
    <row r="1178" spans="1:24" x14ac:dyDescent="0.2">
      <c r="A1178" s="220">
        <v>43847</v>
      </c>
      <c r="B1178" s="130" t="s">
        <v>68</v>
      </c>
      <c r="C1178" s="130" t="s">
        <v>102</v>
      </c>
      <c r="D1178" s="130" t="s">
        <v>2793</v>
      </c>
      <c r="E1178" s="130" t="s">
        <v>1966</v>
      </c>
      <c r="F1178" s="130" t="s">
        <v>2537</v>
      </c>
      <c r="G1178" s="220">
        <v>43809</v>
      </c>
      <c r="H1178" s="130" t="s">
        <v>387</v>
      </c>
      <c r="I1178" s="130" t="s">
        <v>386</v>
      </c>
      <c r="J1178" s="130" t="s">
        <v>70</v>
      </c>
      <c r="K1178" s="130" t="s">
        <v>112</v>
      </c>
      <c r="L1178" s="174" t="s">
        <v>71</v>
      </c>
      <c r="M1178" s="131" t="s">
        <v>72</v>
      </c>
      <c r="N1178" s="130" t="s">
        <v>73</v>
      </c>
      <c r="O1178" s="219" t="s">
        <v>69</v>
      </c>
      <c r="P1178" s="130" t="s">
        <v>1699</v>
      </c>
      <c r="Q1178" s="132" t="s">
        <v>74</v>
      </c>
      <c r="R1178" s="218">
        <v>3.3260000000000001</v>
      </c>
      <c r="S1178" s="129">
        <v>1</v>
      </c>
      <c r="T1178" s="129">
        <v>953.75420999999972</v>
      </c>
      <c r="U1178" s="129">
        <v>953.75420999999972</v>
      </c>
      <c r="V1178" s="129">
        <v>171.67589000000035</v>
      </c>
      <c r="W1178" s="129">
        <v>1125.4301</v>
      </c>
      <c r="X1178" s="27">
        <f t="shared" si="186"/>
        <v>953.75420999999972</v>
      </c>
    </row>
    <row r="1179" spans="1:24" x14ac:dyDescent="0.2">
      <c r="A1179" s="220">
        <v>43847</v>
      </c>
      <c r="B1179" s="130" t="s">
        <v>68</v>
      </c>
      <c r="C1179" s="130" t="s">
        <v>102</v>
      </c>
      <c r="D1179" s="130" t="s">
        <v>2793</v>
      </c>
      <c r="E1179" s="130" t="s">
        <v>1966</v>
      </c>
      <c r="F1179" s="130" t="s">
        <v>2537</v>
      </c>
      <c r="G1179" s="220">
        <v>43809</v>
      </c>
      <c r="H1179" s="130" t="s">
        <v>387</v>
      </c>
      <c r="I1179" s="130" t="s">
        <v>386</v>
      </c>
      <c r="J1179" s="130" t="s">
        <v>104</v>
      </c>
      <c r="K1179" s="130" t="s">
        <v>105</v>
      </c>
      <c r="L1179" s="174" t="s">
        <v>71</v>
      </c>
      <c r="M1179" s="131" t="s">
        <v>72</v>
      </c>
      <c r="N1179" s="130" t="s">
        <v>73</v>
      </c>
      <c r="O1179" s="219" t="s">
        <v>69</v>
      </c>
      <c r="P1179" s="130" t="s">
        <v>1699</v>
      </c>
      <c r="Q1179" s="132" t="s">
        <v>74</v>
      </c>
      <c r="R1179" s="218">
        <v>3.3260000000000001</v>
      </c>
      <c r="S1179" s="129">
        <v>1</v>
      </c>
      <c r="T1179" s="129">
        <v>2447</v>
      </c>
      <c r="U1179" s="129">
        <v>2447</v>
      </c>
      <c r="V1179" s="129">
        <v>440.46</v>
      </c>
      <c r="W1179" s="129">
        <v>2887.46</v>
      </c>
      <c r="X1179" s="27">
        <f t="shared" si="186"/>
        <v>2447</v>
      </c>
    </row>
    <row r="1180" spans="1:24" x14ac:dyDescent="0.2">
      <c r="A1180" s="220">
        <v>43847</v>
      </c>
      <c r="B1180" s="130" t="s">
        <v>68</v>
      </c>
      <c r="C1180" s="130" t="s">
        <v>102</v>
      </c>
      <c r="D1180" s="130" t="s">
        <v>2198</v>
      </c>
      <c r="E1180" s="130" t="s">
        <v>2544</v>
      </c>
      <c r="F1180" s="130" t="s">
        <v>2545</v>
      </c>
      <c r="G1180" s="220">
        <v>43833</v>
      </c>
      <c r="H1180" s="130" t="s">
        <v>387</v>
      </c>
      <c r="I1180" s="130" t="s">
        <v>386</v>
      </c>
      <c r="J1180" s="130" t="s">
        <v>97</v>
      </c>
      <c r="K1180" s="130" t="s">
        <v>98</v>
      </c>
      <c r="L1180" s="174" t="s">
        <v>71</v>
      </c>
      <c r="M1180" s="131" t="s">
        <v>72</v>
      </c>
      <c r="N1180" s="130" t="s">
        <v>73</v>
      </c>
      <c r="O1180" s="219" t="s">
        <v>99</v>
      </c>
      <c r="P1180" s="130" t="s">
        <v>98</v>
      </c>
      <c r="Q1180" s="132" t="s">
        <v>74</v>
      </c>
      <c r="R1180" s="218">
        <v>3.3260000000000001</v>
      </c>
      <c r="S1180" s="129">
        <v>1</v>
      </c>
      <c r="T1180" s="129">
        <v>1485</v>
      </c>
      <c r="U1180" s="129">
        <v>1485</v>
      </c>
      <c r="V1180" s="129">
        <v>267.3</v>
      </c>
      <c r="W1180" s="129">
        <v>1752.3</v>
      </c>
      <c r="X1180" s="27">
        <f t="shared" si="186"/>
        <v>1485</v>
      </c>
    </row>
    <row r="1181" spans="1:24" x14ac:dyDescent="0.2">
      <c r="A1181" s="220">
        <v>43847</v>
      </c>
      <c r="B1181" s="130" t="s">
        <v>68</v>
      </c>
      <c r="C1181" s="130" t="s">
        <v>102</v>
      </c>
      <c r="D1181" s="130" t="s">
        <v>2198</v>
      </c>
      <c r="E1181" s="130" t="s">
        <v>2544</v>
      </c>
      <c r="F1181" s="130" t="s">
        <v>2545</v>
      </c>
      <c r="G1181" s="220">
        <v>43833</v>
      </c>
      <c r="H1181" s="130" t="s">
        <v>387</v>
      </c>
      <c r="I1181" s="130" t="s">
        <v>386</v>
      </c>
      <c r="J1181" s="130" t="s">
        <v>100</v>
      </c>
      <c r="K1181" s="130" t="s">
        <v>101</v>
      </c>
      <c r="L1181" s="174" t="s">
        <v>71</v>
      </c>
      <c r="M1181" s="131" t="s">
        <v>72</v>
      </c>
      <c r="N1181" s="130" t="s">
        <v>73</v>
      </c>
      <c r="O1181" s="219" t="s">
        <v>72</v>
      </c>
      <c r="P1181" s="130" t="s">
        <v>101</v>
      </c>
      <c r="Q1181" s="132" t="s">
        <v>74</v>
      </c>
      <c r="R1181" s="218">
        <v>3.3260000000000001</v>
      </c>
      <c r="S1181" s="129">
        <v>1</v>
      </c>
      <c r="T1181" s="129">
        <v>490</v>
      </c>
      <c r="U1181" s="129">
        <v>490</v>
      </c>
      <c r="V1181" s="129">
        <v>88.200010000000105</v>
      </c>
      <c r="W1181" s="129">
        <v>578.20001000000013</v>
      </c>
      <c r="X1181" s="27">
        <f t="shared" si="186"/>
        <v>490</v>
      </c>
    </row>
    <row r="1182" spans="1:24" x14ac:dyDescent="0.2">
      <c r="A1182" s="220">
        <v>43847</v>
      </c>
      <c r="B1182" s="130" t="s">
        <v>68</v>
      </c>
      <c r="C1182" s="130" t="s">
        <v>102</v>
      </c>
      <c r="D1182" s="130" t="s">
        <v>2198</v>
      </c>
      <c r="E1182" s="130" t="s">
        <v>2544</v>
      </c>
      <c r="F1182" s="130" t="s">
        <v>2545</v>
      </c>
      <c r="G1182" s="220">
        <v>43833</v>
      </c>
      <c r="H1182" s="130" t="s">
        <v>387</v>
      </c>
      <c r="I1182" s="130" t="s">
        <v>386</v>
      </c>
      <c r="J1182" s="130" t="s">
        <v>92</v>
      </c>
      <c r="K1182" s="130" t="s">
        <v>113</v>
      </c>
      <c r="L1182" s="174" t="s">
        <v>71</v>
      </c>
      <c r="M1182" s="131" t="s">
        <v>72</v>
      </c>
      <c r="N1182" s="130" t="s">
        <v>73</v>
      </c>
      <c r="O1182" s="219" t="s">
        <v>69</v>
      </c>
      <c r="P1182" s="130" t="s">
        <v>1699</v>
      </c>
      <c r="Q1182" s="132" t="s">
        <v>74</v>
      </c>
      <c r="R1182" s="218">
        <v>3.3260000000000001</v>
      </c>
      <c r="S1182" s="129">
        <v>1</v>
      </c>
      <c r="T1182" s="129">
        <v>90</v>
      </c>
      <c r="U1182" s="129">
        <v>90</v>
      </c>
      <c r="V1182" s="129">
        <v>16.2</v>
      </c>
      <c r="W1182" s="129">
        <v>106.2</v>
      </c>
      <c r="X1182" s="27">
        <f t="shared" si="186"/>
        <v>90</v>
      </c>
    </row>
    <row r="1183" spans="1:24" x14ac:dyDescent="0.2">
      <c r="A1183" s="220">
        <v>43847</v>
      </c>
      <c r="B1183" s="130" t="s">
        <v>68</v>
      </c>
      <c r="C1183" s="130" t="s">
        <v>102</v>
      </c>
      <c r="D1183" s="130" t="s">
        <v>2198</v>
      </c>
      <c r="E1183" s="130" t="s">
        <v>2544</v>
      </c>
      <c r="F1183" s="130" t="s">
        <v>2545</v>
      </c>
      <c r="G1183" s="220">
        <v>43833</v>
      </c>
      <c r="H1183" s="130" t="s">
        <v>387</v>
      </c>
      <c r="I1183" s="130" t="s">
        <v>386</v>
      </c>
      <c r="J1183" s="130" t="s">
        <v>70</v>
      </c>
      <c r="K1183" s="130" t="s">
        <v>112</v>
      </c>
      <c r="L1183" s="174" t="s">
        <v>71</v>
      </c>
      <c r="M1183" s="131" t="s">
        <v>72</v>
      </c>
      <c r="N1183" s="130" t="s">
        <v>73</v>
      </c>
      <c r="O1183" s="219" t="s">
        <v>69</v>
      </c>
      <c r="P1183" s="130" t="s">
        <v>1699</v>
      </c>
      <c r="Q1183" s="132" t="s">
        <v>74</v>
      </c>
      <c r="R1183" s="218">
        <v>3.3260000000000001</v>
      </c>
      <c r="S1183" s="129">
        <v>1</v>
      </c>
      <c r="T1183" s="129">
        <v>262.5</v>
      </c>
      <c r="U1183" s="129">
        <v>262.5</v>
      </c>
      <c r="V1183" s="129">
        <v>47.25</v>
      </c>
      <c r="W1183" s="129">
        <v>309.75</v>
      </c>
      <c r="X1183" s="27">
        <f t="shared" si="186"/>
        <v>262.5</v>
      </c>
    </row>
    <row r="1184" spans="1:24" x14ac:dyDescent="0.2">
      <c r="A1184" s="220">
        <v>43847</v>
      </c>
      <c r="B1184" s="130" t="s">
        <v>68</v>
      </c>
      <c r="C1184" s="130" t="s">
        <v>102</v>
      </c>
      <c r="D1184" s="130" t="s">
        <v>2198</v>
      </c>
      <c r="E1184" s="130" t="s">
        <v>2544</v>
      </c>
      <c r="F1184" s="130" t="s">
        <v>2545</v>
      </c>
      <c r="G1184" s="220">
        <v>43833</v>
      </c>
      <c r="H1184" s="130" t="s">
        <v>387</v>
      </c>
      <c r="I1184" s="130" t="s">
        <v>386</v>
      </c>
      <c r="J1184" s="130" t="s">
        <v>104</v>
      </c>
      <c r="K1184" s="130" t="s">
        <v>105</v>
      </c>
      <c r="L1184" s="174" t="s">
        <v>71</v>
      </c>
      <c r="M1184" s="131" t="s">
        <v>72</v>
      </c>
      <c r="N1184" s="130" t="s">
        <v>73</v>
      </c>
      <c r="O1184" s="219" t="s">
        <v>69</v>
      </c>
      <c r="P1184" s="130" t="s">
        <v>1699</v>
      </c>
      <c r="Q1184" s="132" t="s">
        <v>74</v>
      </c>
      <c r="R1184" s="218">
        <v>3.3260000000000001</v>
      </c>
      <c r="S1184" s="129">
        <v>1</v>
      </c>
      <c r="T1184" s="129">
        <v>222</v>
      </c>
      <c r="U1184" s="129">
        <v>222</v>
      </c>
      <c r="V1184" s="129">
        <v>39.959989999999962</v>
      </c>
      <c r="W1184" s="129">
        <v>261.95998999999995</v>
      </c>
      <c r="X1184" s="27">
        <f t="shared" si="186"/>
        <v>222</v>
      </c>
    </row>
    <row r="1185" spans="1:24" x14ac:dyDescent="0.2">
      <c r="A1185" s="220">
        <v>43847</v>
      </c>
      <c r="B1185" s="130" t="s">
        <v>68</v>
      </c>
      <c r="C1185" s="130" t="s">
        <v>102</v>
      </c>
      <c r="D1185" s="130" t="s">
        <v>2792</v>
      </c>
      <c r="E1185" s="130" t="s">
        <v>2592</v>
      </c>
      <c r="F1185" s="130" t="s">
        <v>2593</v>
      </c>
      <c r="G1185" s="220">
        <v>43833</v>
      </c>
      <c r="H1185" s="130" t="s">
        <v>387</v>
      </c>
      <c r="I1185" s="130" t="s">
        <v>386</v>
      </c>
      <c r="J1185" s="130" t="s">
        <v>97</v>
      </c>
      <c r="K1185" s="130" t="s">
        <v>98</v>
      </c>
      <c r="L1185" s="174" t="s">
        <v>71</v>
      </c>
      <c r="M1185" s="131" t="s">
        <v>72</v>
      </c>
      <c r="N1185" s="130" t="s">
        <v>73</v>
      </c>
      <c r="O1185" s="219" t="s">
        <v>99</v>
      </c>
      <c r="P1185" s="130" t="s">
        <v>98</v>
      </c>
      <c r="Q1185" s="132" t="s">
        <v>74</v>
      </c>
      <c r="R1185" s="218">
        <v>3.3260000000000001</v>
      </c>
      <c r="S1185" s="129">
        <v>1</v>
      </c>
      <c r="T1185" s="129">
        <v>1282.5</v>
      </c>
      <c r="U1185" s="129">
        <v>1282.5</v>
      </c>
      <c r="V1185" s="129">
        <v>230.85</v>
      </c>
      <c r="W1185" s="129">
        <v>1513.35</v>
      </c>
      <c r="X1185" s="27">
        <f t="shared" si="186"/>
        <v>1282.5</v>
      </c>
    </row>
    <row r="1186" spans="1:24" x14ac:dyDescent="0.2">
      <c r="A1186" s="220">
        <v>43847</v>
      </c>
      <c r="B1186" s="130" t="s">
        <v>68</v>
      </c>
      <c r="C1186" s="130" t="s">
        <v>102</v>
      </c>
      <c r="D1186" s="130" t="s">
        <v>2792</v>
      </c>
      <c r="E1186" s="130" t="s">
        <v>2592</v>
      </c>
      <c r="F1186" s="130" t="s">
        <v>2593</v>
      </c>
      <c r="G1186" s="220">
        <v>43833</v>
      </c>
      <c r="H1186" s="130" t="s">
        <v>387</v>
      </c>
      <c r="I1186" s="130" t="s">
        <v>386</v>
      </c>
      <c r="J1186" s="130" t="s">
        <v>100</v>
      </c>
      <c r="K1186" s="130" t="s">
        <v>101</v>
      </c>
      <c r="L1186" s="174" t="s">
        <v>71</v>
      </c>
      <c r="M1186" s="131" t="s">
        <v>72</v>
      </c>
      <c r="N1186" s="130" t="s">
        <v>73</v>
      </c>
      <c r="O1186" s="219" t="s">
        <v>72</v>
      </c>
      <c r="P1186" s="130" t="s">
        <v>101</v>
      </c>
      <c r="Q1186" s="132" t="s">
        <v>74</v>
      </c>
      <c r="R1186" s="218">
        <v>3.3260000000000001</v>
      </c>
      <c r="S1186" s="129">
        <v>1</v>
      </c>
      <c r="T1186" s="129">
        <v>840</v>
      </c>
      <c r="U1186" s="129">
        <v>840</v>
      </c>
      <c r="V1186" s="129">
        <v>151.20000999999991</v>
      </c>
      <c r="W1186" s="129">
        <v>991.20000999999991</v>
      </c>
      <c r="X1186" s="27">
        <f t="shared" si="186"/>
        <v>840</v>
      </c>
    </row>
    <row r="1187" spans="1:24" x14ac:dyDescent="0.2">
      <c r="A1187" s="220">
        <v>43847</v>
      </c>
      <c r="B1187" s="130" t="s">
        <v>68</v>
      </c>
      <c r="C1187" s="130" t="s">
        <v>102</v>
      </c>
      <c r="D1187" s="130" t="s">
        <v>2792</v>
      </c>
      <c r="E1187" s="130" t="s">
        <v>2592</v>
      </c>
      <c r="F1187" s="130" t="s">
        <v>2593</v>
      </c>
      <c r="G1187" s="220">
        <v>43833</v>
      </c>
      <c r="H1187" s="130" t="s">
        <v>387</v>
      </c>
      <c r="I1187" s="130" t="s">
        <v>386</v>
      </c>
      <c r="J1187" s="130" t="s">
        <v>92</v>
      </c>
      <c r="K1187" s="130" t="s">
        <v>113</v>
      </c>
      <c r="L1187" s="174" t="s">
        <v>71</v>
      </c>
      <c r="M1187" s="131" t="s">
        <v>72</v>
      </c>
      <c r="N1187" s="130" t="s">
        <v>73</v>
      </c>
      <c r="O1187" s="219" t="s">
        <v>69</v>
      </c>
      <c r="P1187" s="130" t="s">
        <v>1699</v>
      </c>
      <c r="Q1187" s="132" t="s">
        <v>74</v>
      </c>
      <c r="R1187" s="218">
        <v>3.3260000000000001</v>
      </c>
      <c r="S1187" s="129">
        <v>1</v>
      </c>
      <c r="T1187" s="129">
        <v>300</v>
      </c>
      <c r="U1187" s="129">
        <v>300</v>
      </c>
      <c r="V1187" s="129">
        <v>54</v>
      </c>
      <c r="W1187" s="129">
        <v>354</v>
      </c>
      <c r="X1187" s="27">
        <f t="shared" si="186"/>
        <v>300</v>
      </c>
    </row>
    <row r="1188" spans="1:24" x14ac:dyDescent="0.2">
      <c r="A1188" s="220">
        <v>43847</v>
      </c>
      <c r="B1188" s="130" t="s">
        <v>68</v>
      </c>
      <c r="C1188" s="130" t="s">
        <v>102</v>
      </c>
      <c r="D1188" s="130" t="s">
        <v>2792</v>
      </c>
      <c r="E1188" s="130" t="s">
        <v>2592</v>
      </c>
      <c r="F1188" s="130" t="s">
        <v>2593</v>
      </c>
      <c r="G1188" s="220">
        <v>43833</v>
      </c>
      <c r="H1188" s="130" t="s">
        <v>387</v>
      </c>
      <c r="I1188" s="130" t="s">
        <v>386</v>
      </c>
      <c r="J1188" s="130" t="s">
        <v>70</v>
      </c>
      <c r="K1188" s="130" t="s">
        <v>112</v>
      </c>
      <c r="L1188" s="174" t="s">
        <v>71</v>
      </c>
      <c r="M1188" s="131" t="s">
        <v>72</v>
      </c>
      <c r="N1188" s="130" t="s">
        <v>73</v>
      </c>
      <c r="O1188" s="219" t="s">
        <v>69</v>
      </c>
      <c r="P1188" s="130" t="s">
        <v>1699</v>
      </c>
      <c r="Q1188" s="132" t="s">
        <v>74</v>
      </c>
      <c r="R1188" s="218">
        <v>3.3260000000000001</v>
      </c>
      <c r="S1188" s="129">
        <v>1</v>
      </c>
      <c r="T1188" s="129">
        <v>218.75419999999997</v>
      </c>
      <c r="U1188" s="129">
        <v>218.75419999999997</v>
      </c>
      <c r="V1188" s="129">
        <v>39.375800000000019</v>
      </c>
      <c r="W1188" s="129">
        <v>258.13</v>
      </c>
      <c r="X1188" s="27">
        <f t="shared" si="186"/>
        <v>218.75419999999997</v>
      </c>
    </row>
    <row r="1189" spans="1:24" x14ac:dyDescent="0.2">
      <c r="A1189" s="220">
        <v>43847</v>
      </c>
      <c r="B1189" s="130" t="s">
        <v>68</v>
      </c>
      <c r="C1189" s="130" t="s">
        <v>102</v>
      </c>
      <c r="D1189" s="130" t="s">
        <v>2792</v>
      </c>
      <c r="E1189" s="130" t="s">
        <v>2592</v>
      </c>
      <c r="F1189" s="130" t="s">
        <v>2593</v>
      </c>
      <c r="G1189" s="220">
        <v>43833</v>
      </c>
      <c r="H1189" s="130" t="s">
        <v>387</v>
      </c>
      <c r="I1189" s="130" t="s">
        <v>386</v>
      </c>
      <c r="J1189" s="130" t="s">
        <v>104</v>
      </c>
      <c r="K1189" s="130" t="s">
        <v>105</v>
      </c>
      <c r="L1189" s="174" t="s">
        <v>71</v>
      </c>
      <c r="M1189" s="131" t="s">
        <v>72</v>
      </c>
      <c r="N1189" s="130" t="s">
        <v>73</v>
      </c>
      <c r="O1189" s="219" t="s">
        <v>69</v>
      </c>
      <c r="P1189" s="130" t="s">
        <v>1699</v>
      </c>
      <c r="Q1189" s="132" t="s">
        <v>74</v>
      </c>
      <c r="R1189" s="218">
        <v>3.3260000000000001</v>
      </c>
      <c r="S1189" s="129">
        <v>1</v>
      </c>
      <c r="T1189" s="129">
        <v>914</v>
      </c>
      <c r="U1189" s="129">
        <v>914</v>
      </c>
      <c r="V1189" s="129">
        <v>164.52</v>
      </c>
      <c r="W1189" s="129">
        <v>1078.52</v>
      </c>
      <c r="X1189" s="27">
        <f t="shared" si="186"/>
        <v>914</v>
      </c>
    </row>
    <row r="1190" spans="1:24" x14ac:dyDescent="0.2">
      <c r="A1190" s="220">
        <v>43847</v>
      </c>
      <c r="B1190" s="130" t="s">
        <v>68</v>
      </c>
      <c r="C1190" s="130" t="s">
        <v>102</v>
      </c>
      <c r="D1190" s="130" t="s">
        <v>2791</v>
      </c>
      <c r="E1190" s="130" t="s">
        <v>2555</v>
      </c>
      <c r="F1190" s="130" t="s">
        <v>2556</v>
      </c>
      <c r="G1190" s="220">
        <v>43833</v>
      </c>
      <c r="H1190" s="130" t="s">
        <v>387</v>
      </c>
      <c r="I1190" s="130" t="s">
        <v>386</v>
      </c>
      <c r="J1190" s="130" t="s">
        <v>97</v>
      </c>
      <c r="K1190" s="130" t="s">
        <v>98</v>
      </c>
      <c r="L1190" s="174" t="s">
        <v>71</v>
      </c>
      <c r="M1190" s="131" t="s">
        <v>72</v>
      </c>
      <c r="N1190" s="130" t="s">
        <v>73</v>
      </c>
      <c r="O1190" s="219" t="s">
        <v>99</v>
      </c>
      <c r="P1190" s="130" t="s">
        <v>98</v>
      </c>
      <c r="Q1190" s="132" t="s">
        <v>74</v>
      </c>
      <c r="R1190" s="218">
        <v>3.3260000000000001</v>
      </c>
      <c r="S1190" s="129">
        <v>1</v>
      </c>
      <c r="T1190" s="129">
        <v>2295</v>
      </c>
      <c r="U1190" s="129">
        <v>2295</v>
      </c>
      <c r="V1190" s="129">
        <v>413.10010000000011</v>
      </c>
      <c r="W1190" s="129">
        <v>2708.1001000000001</v>
      </c>
      <c r="X1190" s="27">
        <f t="shared" si="186"/>
        <v>2295</v>
      </c>
    </row>
    <row r="1191" spans="1:24" x14ac:dyDescent="0.2">
      <c r="A1191" s="220">
        <v>43847</v>
      </c>
      <c r="B1191" s="130" t="s">
        <v>68</v>
      </c>
      <c r="C1191" s="130" t="s">
        <v>102</v>
      </c>
      <c r="D1191" s="130" t="s">
        <v>2791</v>
      </c>
      <c r="E1191" s="130" t="s">
        <v>2555</v>
      </c>
      <c r="F1191" s="130" t="s">
        <v>2556</v>
      </c>
      <c r="G1191" s="220">
        <v>43833</v>
      </c>
      <c r="H1191" s="130" t="s">
        <v>387</v>
      </c>
      <c r="I1191" s="130" t="s">
        <v>386</v>
      </c>
      <c r="J1191" s="130" t="s">
        <v>100</v>
      </c>
      <c r="K1191" s="130" t="s">
        <v>101</v>
      </c>
      <c r="L1191" s="174" t="s">
        <v>71</v>
      </c>
      <c r="M1191" s="131" t="s">
        <v>72</v>
      </c>
      <c r="N1191" s="130" t="s">
        <v>73</v>
      </c>
      <c r="O1191" s="219" t="s">
        <v>72</v>
      </c>
      <c r="P1191" s="130" t="s">
        <v>101</v>
      </c>
      <c r="Q1191" s="132" t="s">
        <v>74</v>
      </c>
      <c r="R1191" s="218">
        <v>3.3260000000000001</v>
      </c>
      <c r="S1191" s="129">
        <v>1</v>
      </c>
      <c r="T1191" s="129">
        <v>1400</v>
      </c>
      <c r="U1191" s="129">
        <v>1400</v>
      </c>
      <c r="V1191" s="129">
        <v>252</v>
      </c>
      <c r="W1191" s="129">
        <v>1652</v>
      </c>
      <c r="X1191" s="27">
        <f t="shared" si="186"/>
        <v>1400</v>
      </c>
    </row>
    <row r="1192" spans="1:24" x14ac:dyDescent="0.2">
      <c r="A1192" s="220">
        <v>43847</v>
      </c>
      <c r="B1192" s="130" t="s">
        <v>68</v>
      </c>
      <c r="C1192" s="130" t="s">
        <v>102</v>
      </c>
      <c r="D1192" s="130" t="s">
        <v>2791</v>
      </c>
      <c r="E1192" s="130" t="s">
        <v>2555</v>
      </c>
      <c r="F1192" s="130" t="s">
        <v>2556</v>
      </c>
      <c r="G1192" s="220">
        <v>43833</v>
      </c>
      <c r="H1192" s="130" t="s">
        <v>387</v>
      </c>
      <c r="I1192" s="130" t="s">
        <v>386</v>
      </c>
      <c r="J1192" s="130" t="s">
        <v>92</v>
      </c>
      <c r="K1192" s="130" t="s">
        <v>113</v>
      </c>
      <c r="L1192" s="174" t="s">
        <v>71</v>
      </c>
      <c r="M1192" s="131" t="s">
        <v>72</v>
      </c>
      <c r="N1192" s="130" t="s">
        <v>73</v>
      </c>
      <c r="O1192" s="219" t="s">
        <v>69</v>
      </c>
      <c r="P1192" s="130" t="s">
        <v>1699</v>
      </c>
      <c r="Q1192" s="132" t="s">
        <v>74</v>
      </c>
      <c r="R1192" s="218">
        <v>3.3260000000000001</v>
      </c>
      <c r="S1192" s="129">
        <v>1</v>
      </c>
      <c r="T1192" s="129">
        <v>420</v>
      </c>
      <c r="U1192" s="129">
        <v>420</v>
      </c>
      <c r="V1192" s="129">
        <v>75.600009999999898</v>
      </c>
      <c r="W1192" s="129">
        <v>495.60000999999988</v>
      </c>
      <c r="X1192" s="27">
        <f t="shared" si="186"/>
        <v>420</v>
      </c>
    </row>
    <row r="1193" spans="1:24" x14ac:dyDescent="0.2">
      <c r="A1193" s="220">
        <v>43847</v>
      </c>
      <c r="B1193" s="130" t="s">
        <v>68</v>
      </c>
      <c r="C1193" s="130" t="s">
        <v>102</v>
      </c>
      <c r="D1193" s="130" t="s">
        <v>2791</v>
      </c>
      <c r="E1193" s="130" t="s">
        <v>2555</v>
      </c>
      <c r="F1193" s="130" t="s">
        <v>2556</v>
      </c>
      <c r="G1193" s="220">
        <v>43833</v>
      </c>
      <c r="H1193" s="130" t="s">
        <v>387</v>
      </c>
      <c r="I1193" s="130" t="s">
        <v>386</v>
      </c>
      <c r="J1193" s="130" t="s">
        <v>70</v>
      </c>
      <c r="K1193" s="130" t="s">
        <v>112</v>
      </c>
      <c r="L1193" s="174" t="s">
        <v>71</v>
      </c>
      <c r="M1193" s="131" t="s">
        <v>72</v>
      </c>
      <c r="N1193" s="130" t="s">
        <v>73</v>
      </c>
      <c r="O1193" s="219" t="s">
        <v>69</v>
      </c>
      <c r="P1193" s="130" t="s">
        <v>1699</v>
      </c>
      <c r="Q1193" s="132" t="s">
        <v>74</v>
      </c>
      <c r="R1193" s="218">
        <v>3.3260000000000001</v>
      </c>
      <c r="S1193" s="129">
        <v>1</v>
      </c>
      <c r="T1193" s="129">
        <v>297.5</v>
      </c>
      <c r="U1193" s="129">
        <v>297.5</v>
      </c>
      <c r="V1193" s="129">
        <v>53.549990000000037</v>
      </c>
      <c r="W1193" s="129">
        <v>351.04999000000004</v>
      </c>
      <c r="X1193" s="27">
        <f t="shared" si="186"/>
        <v>297.5</v>
      </c>
    </row>
    <row r="1194" spans="1:24" x14ac:dyDescent="0.2">
      <c r="A1194" s="220">
        <v>43847</v>
      </c>
      <c r="B1194" s="130" t="s">
        <v>68</v>
      </c>
      <c r="C1194" s="130" t="s">
        <v>102</v>
      </c>
      <c r="D1194" s="130" t="s">
        <v>2791</v>
      </c>
      <c r="E1194" s="130" t="s">
        <v>2555</v>
      </c>
      <c r="F1194" s="130" t="s">
        <v>2556</v>
      </c>
      <c r="G1194" s="220">
        <v>43833</v>
      </c>
      <c r="H1194" s="130" t="s">
        <v>387</v>
      </c>
      <c r="I1194" s="130" t="s">
        <v>386</v>
      </c>
      <c r="J1194" s="130" t="s">
        <v>104</v>
      </c>
      <c r="K1194" s="130" t="s">
        <v>105</v>
      </c>
      <c r="L1194" s="174" t="s">
        <v>71</v>
      </c>
      <c r="M1194" s="131" t="s">
        <v>72</v>
      </c>
      <c r="N1194" s="130" t="s">
        <v>73</v>
      </c>
      <c r="O1194" s="219" t="s">
        <v>69</v>
      </c>
      <c r="P1194" s="130" t="s">
        <v>1699</v>
      </c>
      <c r="Q1194" s="132" t="s">
        <v>74</v>
      </c>
      <c r="R1194" s="218">
        <v>3.3260000000000001</v>
      </c>
      <c r="S1194" s="129">
        <v>1</v>
      </c>
      <c r="T1194" s="129">
        <v>1562</v>
      </c>
      <c r="U1194" s="129">
        <v>1562</v>
      </c>
      <c r="V1194" s="129">
        <v>281.16000000000003</v>
      </c>
      <c r="W1194" s="129">
        <v>1843.16</v>
      </c>
      <c r="X1194" s="27">
        <f t="shared" si="186"/>
        <v>1562</v>
      </c>
    </row>
    <row r="1195" spans="1:24" x14ac:dyDescent="0.2">
      <c r="A1195" s="220">
        <v>43847</v>
      </c>
      <c r="B1195" s="130" t="s">
        <v>68</v>
      </c>
      <c r="C1195" s="130" t="s">
        <v>102</v>
      </c>
      <c r="D1195" s="130" t="s">
        <v>2790</v>
      </c>
      <c r="E1195" s="130" t="s">
        <v>2612</v>
      </c>
      <c r="F1195" s="130" t="s">
        <v>2789</v>
      </c>
      <c r="G1195" s="220">
        <v>43833</v>
      </c>
      <c r="H1195" s="130" t="s">
        <v>387</v>
      </c>
      <c r="I1195" s="130" t="s">
        <v>386</v>
      </c>
      <c r="J1195" s="130" t="s">
        <v>97</v>
      </c>
      <c r="K1195" s="130" t="s">
        <v>98</v>
      </c>
      <c r="L1195" s="174" t="s">
        <v>71</v>
      </c>
      <c r="M1195" s="131" t="s">
        <v>72</v>
      </c>
      <c r="N1195" s="130" t="s">
        <v>73</v>
      </c>
      <c r="O1195" s="219" t="s">
        <v>99</v>
      </c>
      <c r="P1195" s="130" t="s">
        <v>98</v>
      </c>
      <c r="Q1195" s="132" t="s">
        <v>74</v>
      </c>
      <c r="R1195" s="218">
        <v>3.3260000000000001</v>
      </c>
      <c r="S1195" s="129">
        <v>1</v>
      </c>
      <c r="T1195" s="129">
        <v>1822.5</v>
      </c>
      <c r="U1195" s="129">
        <v>1822.5</v>
      </c>
      <c r="V1195" s="129">
        <v>328.05</v>
      </c>
      <c r="W1195" s="129">
        <v>2150.5500000000002</v>
      </c>
      <c r="X1195" s="27">
        <f t="shared" si="186"/>
        <v>1822.5</v>
      </c>
    </row>
    <row r="1196" spans="1:24" x14ac:dyDescent="0.2">
      <c r="A1196" s="220">
        <v>43847</v>
      </c>
      <c r="B1196" s="130" t="s">
        <v>68</v>
      </c>
      <c r="C1196" s="130" t="s">
        <v>102</v>
      </c>
      <c r="D1196" s="130" t="s">
        <v>2790</v>
      </c>
      <c r="E1196" s="130" t="s">
        <v>2612</v>
      </c>
      <c r="F1196" s="130" t="s">
        <v>2789</v>
      </c>
      <c r="G1196" s="220">
        <v>43833</v>
      </c>
      <c r="H1196" s="130" t="s">
        <v>387</v>
      </c>
      <c r="I1196" s="130" t="s">
        <v>386</v>
      </c>
      <c r="J1196" s="130" t="s">
        <v>100</v>
      </c>
      <c r="K1196" s="130" t="s">
        <v>101</v>
      </c>
      <c r="L1196" s="174" t="s">
        <v>71</v>
      </c>
      <c r="M1196" s="131" t="s">
        <v>72</v>
      </c>
      <c r="N1196" s="130" t="s">
        <v>73</v>
      </c>
      <c r="O1196" s="219" t="s">
        <v>72</v>
      </c>
      <c r="P1196" s="130" t="s">
        <v>101</v>
      </c>
      <c r="Q1196" s="132" t="s">
        <v>74</v>
      </c>
      <c r="R1196" s="218">
        <v>3.3260000000000001</v>
      </c>
      <c r="S1196" s="129">
        <v>1</v>
      </c>
      <c r="T1196" s="129">
        <v>770</v>
      </c>
      <c r="U1196" s="129">
        <v>770</v>
      </c>
      <c r="V1196" s="129">
        <v>138.59998000000007</v>
      </c>
      <c r="W1196" s="129">
        <v>908.59998000000007</v>
      </c>
      <c r="X1196" s="27">
        <f t="shared" si="186"/>
        <v>770</v>
      </c>
    </row>
    <row r="1197" spans="1:24" x14ac:dyDescent="0.2">
      <c r="A1197" s="220">
        <v>43847</v>
      </c>
      <c r="B1197" s="130" t="s">
        <v>68</v>
      </c>
      <c r="C1197" s="130" t="s">
        <v>102</v>
      </c>
      <c r="D1197" s="130" t="s">
        <v>2790</v>
      </c>
      <c r="E1197" s="130" t="s">
        <v>2612</v>
      </c>
      <c r="F1197" s="130" t="s">
        <v>2789</v>
      </c>
      <c r="G1197" s="220">
        <v>43833</v>
      </c>
      <c r="H1197" s="130" t="s">
        <v>387</v>
      </c>
      <c r="I1197" s="130" t="s">
        <v>386</v>
      </c>
      <c r="J1197" s="130" t="s">
        <v>92</v>
      </c>
      <c r="K1197" s="130" t="s">
        <v>113</v>
      </c>
      <c r="L1197" s="174" t="s">
        <v>71</v>
      </c>
      <c r="M1197" s="131" t="s">
        <v>72</v>
      </c>
      <c r="N1197" s="130" t="s">
        <v>73</v>
      </c>
      <c r="O1197" s="219" t="s">
        <v>69</v>
      </c>
      <c r="P1197" s="130" t="s">
        <v>1699</v>
      </c>
      <c r="Q1197" s="132" t="s">
        <v>74</v>
      </c>
      <c r="R1197" s="218">
        <v>3.3260000000000001</v>
      </c>
      <c r="S1197" s="129">
        <v>1</v>
      </c>
      <c r="T1197" s="129">
        <v>90</v>
      </c>
      <c r="U1197" s="129">
        <v>90</v>
      </c>
      <c r="V1197" s="129">
        <v>16.2</v>
      </c>
      <c r="W1197" s="129">
        <v>106.2</v>
      </c>
      <c r="X1197" s="27">
        <f t="shared" si="186"/>
        <v>90</v>
      </c>
    </row>
    <row r="1198" spans="1:24" x14ac:dyDescent="0.2">
      <c r="A1198" s="220">
        <v>43847</v>
      </c>
      <c r="B1198" s="130" t="s">
        <v>68</v>
      </c>
      <c r="C1198" s="130" t="s">
        <v>102</v>
      </c>
      <c r="D1198" s="130" t="s">
        <v>2790</v>
      </c>
      <c r="E1198" s="130" t="s">
        <v>2612</v>
      </c>
      <c r="F1198" s="130" t="s">
        <v>2789</v>
      </c>
      <c r="G1198" s="220">
        <v>43833</v>
      </c>
      <c r="H1198" s="130" t="s">
        <v>387</v>
      </c>
      <c r="I1198" s="130" t="s">
        <v>386</v>
      </c>
      <c r="J1198" s="130" t="s">
        <v>70</v>
      </c>
      <c r="K1198" s="130" t="s">
        <v>112</v>
      </c>
      <c r="L1198" s="174" t="s">
        <v>71</v>
      </c>
      <c r="M1198" s="131" t="s">
        <v>72</v>
      </c>
      <c r="N1198" s="130" t="s">
        <v>73</v>
      </c>
      <c r="O1198" s="219" t="s">
        <v>69</v>
      </c>
      <c r="P1198" s="130" t="s">
        <v>1699</v>
      </c>
      <c r="Q1198" s="132" t="s">
        <v>74</v>
      </c>
      <c r="R1198" s="218">
        <v>3.3260000000000001</v>
      </c>
      <c r="S1198" s="129">
        <v>1</v>
      </c>
      <c r="T1198" s="129">
        <v>105</v>
      </c>
      <c r="U1198" s="129">
        <v>105</v>
      </c>
      <c r="V1198" s="129">
        <v>18.899999999999999</v>
      </c>
      <c r="W1198" s="129">
        <v>123.9</v>
      </c>
      <c r="X1198" s="27">
        <f t="shared" si="186"/>
        <v>105</v>
      </c>
    </row>
    <row r="1199" spans="1:24" x14ac:dyDescent="0.2">
      <c r="A1199" s="220">
        <v>43847</v>
      </c>
      <c r="B1199" s="130" t="s">
        <v>68</v>
      </c>
      <c r="C1199" s="130" t="s">
        <v>102</v>
      </c>
      <c r="D1199" s="130" t="s">
        <v>2790</v>
      </c>
      <c r="E1199" s="130" t="s">
        <v>2612</v>
      </c>
      <c r="F1199" s="130" t="s">
        <v>2789</v>
      </c>
      <c r="G1199" s="220">
        <v>43833</v>
      </c>
      <c r="H1199" s="130" t="s">
        <v>387</v>
      </c>
      <c r="I1199" s="130" t="s">
        <v>386</v>
      </c>
      <c r="J1199" s="130" t="s">
        <v>104</v>
      </c>
      <c r="K1199" s="130" t="s">
        <v>105</v>
      </c>
      <c r="L1199" s="174" t="s">
        <v>71</v>
      </c>
      <c r="M1199" s="131" t="s">
        <v>72</v>
      </c>
      <c r="N1199" s="130" t="s">
        <v>73</v>
      </c>
      <c r="O1199" s="219" t="s">
        <v>69</v>
      </c>
      <c r="P1199" s="130" t="s">
        <v>1699</v>
      </c>
      <c r="Q1199" s="132" t="s">
        <v>74</v>
      </c>
      <c r="R1199" s="218">
        <v>3.3260000000000001</v>
      </c>
      <c r="S1199" s="129">
        <v>1</v>
      </c>
      <c r="T1199" s="129">
        <v>287</v>
      </c>
      <c r="U1199" s="129">
        <v>287</v>
      </c>
      <c r="V1199" s="129">
        <v>51.66</v>
      </c>
      <c r="W1199" s="129">
        <v>338.66</v>
      </c>
      <c r="X1199" s="27">
        <f t="shared" si="186"/>
        <v>287</v>
      </c>
    </row>
    <row r="1200" spans="1:24" x14ac:dyDescent="0.2">
      <c r="A1200" s="220">
        <v>43847</v>
      </c>
      <c r="B1200" s="130" t="s">
        <v>68</v>
      </c>
      <c r="C1200" s="130" t="s">
        <v>102</v>
      </c>
      <c r="D1200" s="130" t="s">
        <v>2788</v>
      </c>
      <c r="E1200" s="130" t="s">
        <v>2560</v>
      </c>
      <c r="F1200" s="130" t="s">
        <v>2561</v>
      </c>
      <c r="G1200" s="220">
        <v>43834</v>
      </c>
      <c r="H1200" s="130" t="s">
        <v>387</v>
      </c>
      <c r="I1200" s="130" t="s">
        <v>386</v>
      </c>
      <c r="J1200" s="130" t="s">
        <v>97</v>
      </c>
      <c r="K1200" s="130" t="s">
        <v>98</v>
      </c>
      <c r="L1200" s="174" t="s">
        <v>71</v>
      </c>
      <c r="M1200" s="131" t="s">
        <v>72</v>
      </c>
      <c r="N1200" s="130" t="s">
        <v>73</v>
      </c>
      <c r="O1200" s="219" t="s">
        <v>99</v>
      </c>
      <c r="P1200" s="130" t="s">
        <v>98</v>
      </c>
      <c r="Q1200" s="132" t="s">
        <v>74</v>
      </c>
      <c r="R1200" s="218">
        <v>3.3260000000000001</v>
      </c>
      <c r="S1200" s="129">
        <v>1</v>
      </c>
      <c r="T1200" s="129">
        <v>2025</v>
      </c>
      <c r="U1200" s="129">
        <v>2025</v>
      </c>
      <c r="V1200" s="129">
        <v>364.5</v>
      </c>
      <c r="W1200" s="129">
        <v>2389.5</v>
      </c>
      <c r="X1200" s="27">
        <f t="shared" si="186"/>
        <v>2025</v>
      </c>
    </row>
    <row r="1201" spans="1:24" x14ac:dyDescent="0.2">
      <c r="A1201" s="220">
        <v>43847</v>
      </c>
      <c r="B1201" s="130" t="s">
        <v>68</v>
      </c>
      <c r="C1201" s="130" t="s">
        <v>102</v>
      </c>
      <c r="D1201" s="130" t="s">
        <v>2788</v>
      </c>
      <c r="E1201" s="130" t="s">
        <v>2560</v>
      </c>
      <c r="F1201" s="130" t="s">
        <v>2561</v>
      </c>
      <c r="G1201" s="220">
        <v>43834</v>
      </c>
      <c r="H1201" s="130" t="s">
        <v>387</v>
      </c>
      <c r="I1201" s="130" t="s">
        <v>386</v>
      </c>
      <c r="J1201" s="130" t="s">
        <v>100</v>
      </c>
      <c r="K1201" s="130" t="s">
        <v>101</v>
      </c>
      <c r="L1201" s="174" t="s">
        <v>71</v>
      </c>
      <c r="M1201" s="131" t="s">
        <v>72</v>
      </c>
      <c r="N1201" s="130" t="s">
        <v>73</v>
      </c>
      <c r="O1201" s="219" t="s">
        <v>72</v>
      </c>
      <c r="P1201" s="130" t="s">
        <v>101</v>
      </c>
      <c r="Q1201" s="132" t="s">
        <v>74</v>
      </c>
      <c r="R1201" s="218">
        <v>3.3260000000000001</v>
      </c>
      <c r="S1201" s="129">
        <v>1</v>
      </c>
      <c r="T1201" s="129">
        <v>1015</v>
      </c>
      <c r="U1201" s="129">
        <v>1015</v>
      </c>
      <c r="V1201" s="129">
        <v>182.7</v>
      </c>
      <c r="W1201" s="129">
        <v>1197.7</v>
      </c>
      <c r="X1201" s="27">
        <f t="shared" si="186"/>
        <v>1015</v>
      </c>
    </row>
    <row r="1202" spans="1:24" x14ac:dyDescent="0.2">
      <c r="A1202" s="220">
        <v>43847</v>
      </c>
      <c r="B1202" s="130" t="s">
        <v>68</v>
      </c>
      <c r="C1202" s="130" t="s">
        <v>102</v>
      </c>
      <c r="D1202" s="130" t="s">
        <v>2788</v>
      </c>
      <c r="E1202" s="130" t="s">
        <v>2560</v>
      </c>
      <c r="F1202" s="130" t="s">
        <v>2561</v>
      </c>
      <c r="G1202" s="220">
        <v>43834</v>
      </c>
      <c r="H1202" s="130" t="s">
        <v>387</v>
      </c>
      <c r="I1202" s="130" t="s">
        <v>386</v>
      </c>
      <c r="J1202" s="130" t="s">
        <v>92</v>
      </c>
      <c r="K1202" s="130" t="s">
        <v>113</v>
      </c>
      <c r="L1202" s="174" t="s">
        <v>71</v>
      </c>
      <c r="M1202" s="131" t="s">
        <v>72</v>
      </c>
      <c r="N1202" s="130" t="s">
        <v>73</v>
      </c>
      <c r="O1202" s="219" t="s">
        <v>69</v>
      </c>
      <c r="P1202" s="130" t="s">
        <v>1699</v>
      </c>
      <c r="Q1202" s="132" t="s">
        <v>74</v>
      </c>
      <c r="R1202" s="218">
        <v>3.3260000000000001</v>
      </c>
      <c r="S1202" s="129">
        <v>1</v>
      </c>
      <c r="T1202" s="129">
        <v>340</v>
      </c>
      <c r="U1202" s="129">
        <v>340</v>
      </c>
      <c r="V1202" s="129">
        <v>61.200010000000113</v>
      </c>
      <c r="W1202" s="129">
        <v>401.20001000000013</v>
      </c>
      <c r="X1202" s="27">
        <f t="shared" si="186"/>
        <v>340</v>
      </c>
    </row>
    <row r="1203" spans="1:24" x14ac:dyDescent="0.2">
      <c r="A1203" s="220">
        <v>43847</v>
      </c>
      <c r="B1203" s="130" t="s">
        <v>68</v>
      </c>
      <c r="C1203" s="130" t="s">
        <v>102</v>
      </c>
      <c r="D1203" s="130" t="s">
        <v>2788</v>
      </c>
      <c r="E1203" s="130" t="s">
        <v>2560</v>
      </c>
      <c r="F1203" s="130" t="s">
        <v>2561</v>
      </c>
      <c r="G1203" s="220">
        <v>43834</v>
      </c>
      <c r="H1203" s="130" t="s">
        <v>387</v>
      </c>
      <c r="I1203" s="130" t="s">
        <v>386</v>
      </c>
      <c r="J1203" s="130" t="s">
        <v>70</v>
      </c>
      <c r="K1203" s="130" t="s">
        <v>112</v>
      </c>
      <c r="L1203" s="174" t="s">
        <v>71</v>
      </c>
      <c r="M1203" s="131" t="s">
        <v>72</v>
      </c>
      <c r="N1203" s="130" t="s">
        <v>73</v>
      </c>
      <c r="O1203" s="219" t="s">
        <v>69</v>
      </c>
      <c r="P1203" s="130" t="s">
        <v>1699</v>
      </c>
      <c r="Q1203" s="132" t="s">
        <v>74</v>
      </c>
      <c r="R1203" s="218">
        <v>3.3260000000000001</v>
      </c>
      <c r="S1203" s="129">
        <v>1</v>
      </c>
      <c r="T1203" s="129">
        <v>297.5</v>
      </c>
      <c r="U1203" s="129">
        <v>297.5</v>
      </c>
      <c r="V1203" s="129">
        <v>53.549990000000037</v>
      </c>
      <c r="W1203" s="129">
        <v>351.04999000000004</v>
      </c>
      <c r="X1203" s="27">
        <f t="shared" si="186"/>
        <v>297.5</v>
      </c>
    </row>
    <row r="1204" spans="1:24" x14ac:dyDescent="0.2">
      <c r="A1204" s="220">
        <v>43847</v>
      </c>
      <c r="B1204" s="130" t="s">
        <v>68</v>
      </c>
      <c r="C1204" s="130" t="s">
        <v>102</v>
      </c>
      <c r="D1204" s="130" t="s">
        <v>2788</v>
      </c>
      <c r="E1204" s="130" t="s">
        <v>2560</v>
      </c>
      <c r="F1204" s="130" t="s">
        <v>2561</v>
      </c>
      <c r="G1204" s="220">
        <v>43834</v>
      </c>
      <c r="H1204" s="130" t="s">
        <v>387</v>
      </c>
      <c r="I1204" s="130" t="s">
        <v>386</v>
      </c>
      <c r="J1204" s="130" t="s">
        <v>104</v>
      </c>
      <c r="K1204" s="130" t="s">
        <v>105</v>
      </c>
      <c r="L1204" s="174" t="s">
        <v>71</v>
      </c>
      <c r="M1204" s="131" t="s">
        <v>72</v>
      </c>
      <c r="N1204" s="130" t="s">
        <v>73</v>
      </c>
      <c r="O1204" s="219" t="s">
        <v>69</v>
      </c>
      <c r="P1204" s="130" t="s">
        <v>1699</v>
      </c>
      <c r="Q1204" s="132" t="s">
        <v>74</v>
      </c>
      <c r="R1204" s="218">
        <v>3.3260000000000001</v>
      </c>
      <c r="S1204" s="129">
        <v>1</v>
      </c>
      <c r="T1204" s="129">
        <v>1502</v>
      </c>
      <c r="U1204" s="129">
        <v>1502</v>
      </c>
      <c r="V1204" s="129">
        <v>270.36</v>
      </c>
      <c r="W1204" s="129">
        <v>1772.36</v>
      </c>
      <c r="X1204" s="27">
        <f t="shared" si="186"/>
        <v>1502</v>
      </c>
    </row>
    <row r="1205" spans="1:24" x14ac:dyDescent="0.2">
      <c r="A1205" s="220">
        <v>43848</v>
      </c>
      <c r="B1205" s="130" t="s">
        <v>68</v>
      </c>
      <c r="C1205" s="130" t="s">
        <v>102</v>
      </c>
      <c r="D1205" s="130" t="s">
        <v>2787</v>
      </c>
      <c r="E1205" s="130" t="s">
        <v>1923</v>
      </c>
      <c r="F1205" s="130" t="s">
        <v>1018</v>
      </c>
      <c r="G1205" s="220">
        <v>43805</v>
      </c>
      <c r="H1205" s="130" t="s">
        <v>387</v>
      </c>
      <c r="I1205" s="130" t="s">
        <v>386</v>
      </c>
      <c r="J1205" s="130" t="s">
        <v>70</v>
      </c>
      <c r="K1205" s="130" t="s">
        <v>112</v>
      </c>
      <c r="L1205" s="174" t="s">
        <v>71</v>
      </c>
      <c r="M1205" s="131" t="s">
        <v>72</v>
      </c>
      <c r="N1205" s="130" t="s">
        <v>73</v>
      </c>
      <c r="O1205" s="219" t="s">
        <v>69</v>
      </c>
      <c r="P1205" s="130" t="s">
        <v>1699</v>
      </c>
      <c r="Q1205" s="132" t="s">
        <v>74</v>
      </c>
      <c r="R1205" s="218">
        <v>3.3239999</v>
      </c>
      <c r="S1205" s="129">
        <v>1</v>
      </c>
      <c r="T1205" s="129">
        <v>35</v>
      </c>
      <c r="U1205" s="129">
        <v>35</v>
      </c>
      <c r="V1205" s="129">
        <v>6.299998999999989</v>
      </c>
      <c r="W1205" s="129">
        <v>41.299998999999985</v>
      </c>
      <c r="X1205" s="27">
        <f t="shared" si="186"/>
        <v>35</v>
      </c>
    </row>
    <row r="1206" spans="1:24" x14ac:dyDescent="0.2">
      <c r="A1206" s="220">
        <v>43848</v>
      </c>
      <c r="B1206" s="130" t="s">
        <v>68</v>
      </c>
      <c r="C1206" s="130" t="s">
        <v>102</v>
      </c>
      <c r="D1206" s="130" t="s">
        <v>2787</v>
      </c>
      <c r="E1206" s="130" t="s">
        <v>1923</v>
      </c>
      <c r="F1206" s="130" t="s">
        <v>1018</v>
      </c>
      <c r="G1206" s="220">
        <v>43805</v>
      </c>
      <c r="H1206" s="130" t="s">
        <v>387</v>
      </c>
      <c r="I1206" s="130" t="s">
        <v>386</v>
      </c>
      <c r="J1206" s="130" t="s">
        <v>104</v>
      </c>
      <c r="K1206" s="130" t="s">
        <v>105</v>
      </c>
      <c r="L1206" s="174" t="s">
        <v>71</v>
      </c>
      <c r="M1206" s="131" t="s">
        <v>72</v>
      </c>
      <c r="N1206" s="130" t="s">
        <v>73</v>
      </c>
      <c r="O1206" s="219" t="s">
        <v>69</v>
      </c>
      <c r="P1206" s="130" t="s">
        <v>1699</v>
      </c>
      <c r="Q1206" s="132" t="s">
        <v>74</v>
      </c>
      <c r="R1206" s="218">
        <v>3.3239999</v>
      </c>
      <c r="S1206" s="129">
        <v>1</v>
      </c>
      <c r="T1206" s="129">
        <v>810</v>
      </c>
      <c r="U1206" s="129">
        <v>810</v>
      </c>
      <c r="V1206" s="129">
        <v>145.79998999999995</v>
      </c>
      <c r="W1206" s="129">
        <v>955.79998999999998</v>
      </c>
      <c r="X1206" s="27">
        <f t="shared" si="186"/>
        <v>810</v>
      </c>
    </row>
    <row r="1207" spans="1:24" x14ac:dyDescent="0.2">
      <c r="A1207" s="220">
        <v>43848</v>
      </c>
      <c r="B1207" s="130" t="s">
        <v>68</v>
      </c>
      <c r="C1207" s="130" t="s">
        <v>102</v>
      </c>
      <c r="D1207" s="130" t="s">
        <v>2786</v>
      </c>
      <c r="E1207" s="130" t="s">
        <v>1017</v>
      </c>
      <c r="F1207" s="130" t="s">
        <v>1018</v>
      </c>
      <c r="G1207" s="220">
        <v>43766</v>
      </c>
      <c r="H1207" s="130" t="s">
        <v>387</v>
      </c>
      <c r="I1207" s="130" t="s">
        <v>386</v>
      </c>
      <c r="J1207" s="130" t="s">
        <v>97</v>
      </c>
      <c r="K1207" s="130" t="s">
        <v>98</v>
      </c>
      <c r="L1207" s="174" t="s">
        <v>71</v>
      </c>
      <c r="M1207" s="131" t="s">
        <v>72</v>
      </c>
      <c r="N1207" s="130" t="s">
        <v>73</v>
      </c>
      <c r="O1207" s="219" t="s">
        <v>99</v>
      </c>
      <c r="P1207" s="130" t="s">
        <v>98</v>
      </c>
      <c r="Q1207" s="132" t="s">
        <v>74</v>
      </c>
      <c r="R1207" s="218">
        <v>3.3239999</v>
      </c>
      <c r="S1207" s="129">
        <v>1</v>
      </c>
      <c r="T1207" s="129">
        <v>2362.5</v>
      </c>
      <c r="U1207" s="129">
        <v>2362.5</v>
      </c>
      <c r="V1207" s="129">
        <v>425.25</v>
      </c>
      <c r="W1207" s="129">
        <v>2787.75</v>
      </c>
      <c r="X1207" s="27">
        <f t="shared" si="186"/>
        <v>2362.5</v>
      </c>
    </row>
    <row r="1208" spans="1:24" x14ac:dyDescent="0.2">
      <c r="A1208" s="220">
        <v>43848</v>
      </c>
      <c r="B1208" s="130" t="s">
        <v>68</v>
      </c>
      <c r="C1208" s="130" t="s">
        <v>102</v>
      </c>
      <c r="D1208" s="130" t="s">
        <v>2786</v>
      </c>
      <c r="E1208" s="130" t="s">
        <v>1017</v>
      </c>
      <c r="F1208" s="130" t="s">
        <v>1018</v>
      </c>
      <c r="G1208" s="220">
        <v>43766</v>
      </c>
      <c r="H1208" s="130" t="s">
        <v>387</v>
      </c>
      <c r="I1208" s="130" t="s">
        <v>386</v>
      </c>
      <c r="J1208" s="130" t="s">
        <v>100</v>
      </c>
      <c r="K1208" s="130" t="s">
        <v>101</v>
      </c>
      <c r="L1208" s="174" t="s">
        <v>71</v>
      </c>
      <c r="M1208" s="131" t="s">
        <v>72</v>
      </c>
      <c r="N1208" s="130" t="s">
        <v>73</v>
      </c>
      <c r="O1208" s="219" t="s">
        <v>72</v>
      </c>
      <c r="P1208" s="130" t="s">
        <v>101</v>
      </c>
      <c r="Q1208" s="132" t="s">
        <v>74</v>
      </c>
      <c r="R1208" s="218">
        <v>3.3239999</v>
      </c>
      <c r="S1208" s="129">
        <v>1</v>
      </c>
      <c r="T1208" s="129">
        <v>1820</v>
      </c>
      <c r="U1208" s="129">
        <v>1820</v>
      </c>
      <c r="V1208" s="129">
        <v>327.60010000000011</v>
      </c>
      <c r="W1208" s="129">
        <v>2147.6001000000001</v>
      </c>
      <c r="X1208" s="27">
        <f t="shared" si="186"/>
        <v>1820</v>
      </c>
    </row>
    <row r="1209" spans="1:24" x14ac:dyDescent="0.2">
      <c r="A1209" s="220">
        <v>43848</v>
      </c>
      <c r="B1209" s="130" t="s">
        <v>68</v>
      </c>
      <c r="C1209" s="130" t="s">
        <v>102</v>
      </c>
      <c r="D1209" s="130" t="s">
        <v>2786</v>
      </c>
      <c r="E1209" s="130" t="s">
        <v>1017</v>
      </c>
      <c r="F1209" s="130" t="s">
        <v>1018</v>
      </c>
      <c r="G1209" s="220">
        <v>43766</v>
      </c>
      <c r="H1209" s="130" t="s">
        <v>387</v>
      </c>
      <c r="I1209" s="130" t="s">
        <v>386</v>
      </c>
      <c r="J1209" s="130" t="s">
        <v>92</v>
      </c>
      <c r="K1209" s="130" t="s">
        <v>113</v>
      </c>
      <c r="L1209" s="174" t="s">
        <v>71</v>
      </c>
      <c r="M1209" s="131" t="s">
        <v>72</v>
      </c>
      <c r="N1209" s="130" t="s">
        <v>73</v>
      </c>
      <c r="O1209" s="219" t="s">
        <v>69</v>
      </c>
      <c r="P1209" s="130" t="s">
        <v>1699</v>
      </c>
      <c r="Q1209" s="132" t="s">
        <v>74</v>
      </c>
      <c r="R1209" s="218">
        <v>3.3239999</v>
      </c>
      <c r="S1209" s="129">
        <v>1</v>
      </c>
      <c r="T1209" s="129">
        <v>530</v>
      </c>
      <c r="U1209" s="129">
        <v>530</v>
      </c>
      <c r="V1209" s="129">
        <v>95.400020000000083</v>
      </c>
      <c r="W1209" s="129">
        <v>625.40002000000004</v>
      </c>
      <c r="X1209" s="27">
        <f t="shared" si="186"/>
        <v>530</v>
      </c>
    </row>
    <row r="1210" spans="1:24" x14ac:dyDescent="0.2">
      <c r="A1210" s="220">
        <v>43848</v>
      </c>
      <c r="B1210" s="130" t="s">
        <v>68</v>
      </c>
      <c r="C1210" s="130" t="s">
        <v>102</v>
      </c>
      <c r="D1210" s="130" t="s">
        <v>2786</v>
      </c>
      <c r="E1210" s="130" t="s">
        <v>1017</v>
      </c>
      <c r="F1210" s="130" t="s">
        <v>1018</v>
      </c>
      <c r="G1210" s="220">
        <v>43766</v>
      </c>
      <c r="H1210" s="130" t="s">
        <v>387</v>
      </c>
      <c r="I1210" s="130" t="s">
        <v>386</v>
      </c>
      <c r="J1210" s="130" t="s">
        <v>132</v>
      </c>
      <c r="K1210" s="130" t="s">
        <v>1136</v>
      </c>
      <c r="L1210" s="174" t="s">
        <v>71</v>
      </c>
      <c r="M1210" s="131" t="s">
        <v>72</v>
      </c>
      <c r="N1210" s="130" t="s">
        <v>73</v>
      </c>
      <c r="O1210" s="219" t="s">
        <v>69</v>
      </c>
      <c r="P1210" s="130" t="s">
        <v>1699</v>
      </c>
      <c r="Q1210" s="132" t="s">
        <v>74</v>
      </c>
      <c r="R1210" s="218">
        <v>3.3239999</v>
      </c>
      <c r="S1210" s="129">
        <v>1</v>
      </c>
      <c r="T1210" s="129">
        <v>2550</v>
      </c>
      <c r="U1210" s="129">
        <v>2550</v>
      </c>
      <c r="V1210" s="129">
        <v>459</v>
      </c>
      <c r="W1210" s="129">
        <v>3009</v>
      </c>
      <c r="X1210" s="27">
        <f t="shared" si="186"/>
        <v>2550</v>
      </c>
    </row>
    <row r="1211" spans="1:24" x14ac:dyDescent="0.2">
      <c r="A1211" s="220">
        <v>43848</v>
      </c>
      <c r="B1211" s="130" t="s">
        <v>68</v>
      </c>
      <c r="C1211" s="130" t="s">
        <v>102</v>
      </c>
      <c r="D1211" s="130" t="s">
        <v>2786</v>
      </c>
      <c r="E1211" s="130" t="s">
        <v>1017</v>
      </c>
      <c r="F1211" s="130" t="s">
        <v>1018</v>
      </c>
      <c r="G1211" s="220">
        <v>43766</v>
      </c>
      <c r="H1211" s="130" t="s">
        <v>387</v>
      </c>
      <c r="I1211" s="130" t="s">
        <v>386</v>
      </c>
      <c r="J1211" s="130" t="s">
        <v>70</v>
      </c>
      <c r="K1211" s="130" t="s">
        <v>112</v>
      </c>
      <c r="L1211" s="174" t="s">
        <v>71</v>
      </c>
      <c r="M1211" s="131" t="s">
        <v>72</v>
      </c>
      <c r="N1211" s="130" t="s">
        <v>73</v>
      </c>
      <c r="O1211" s="219" t="s">
        <v>69</v>
      </c>
      <c r="P1211" s="130" t="s">
        <v>1699</v>
      </c>
      <c r="Q1211" s="132" t="s">
        <v>74</v>
      </c>
      <c r="R1211" s="218">
        <v>3.3239999</v>
      </c>
      <c r="S1211" s="129">
        <v>1</v>
      </c>
      <c r="T1211" s="129">
        <v>673.75420999999972</v>
      </c>
      <c r="U1211" s="129">
        <v>673.75420999999972</v>
      </c>
      <c r="V1211" s="129">
        <v>121.27582000000038</v>
      </c>
      <c r="W1211" s="129">
        <v>795.03003000000012</v>
      </c>
      <c r="X1211" s="27">
        <f t="shared" si="186"/>
        <v>673.75420999999972</v>
      </c>
    </row>
    <row r="1212" spans="1:24" x14ac:dyDescent="0.2">
      <c r="A1212" s="220">
        <v>43848</v>
      </c>
      <c r="B1212" s="130" t="s">
        <v>68</v>
      </c>
      <c r="C1212" s="130" t="s">
        <v>102</v>
      </c>
      <c r="D1212" s="130" t="s">
        <v>2786</v>
      </c>
      <c r="E1212" s="130" t="s">
        <v>1017</v>
      </c>
      <c r="F1212" s="130" t="s">
        <v>1018</v>
      </c>
      <c r="G1212" s="220">
        <v>43766</v>
      </c>
      <c r="H1212" s="130" t="s">
        <v>387</v>
      </c>
      <c r="I1212" s="130" t="s">
        <v>386</v>
      </c>
      <c r="J1212" s="130" t="s">
        <v>104</v>
      </c>
      <c r="K1212" s="130" t="s">
        <v>105</v>
      </c>
      <c r="L1212" s="174" t="s">
        <v>71</v>
      </c>
      <c r="M1212" s="131" t="s">
        <v>72</v>
      </c>
      <c r="N1212" s="130" t="s">
        <v>73</v>
      </c>
      <c r="O1212" s="219" t="s">
        <v>69</v>
      </c>
      <c r="P1212" s="130" t="s">
        <v>1699</v>
      </c>
      <c r="Q1212" s="132" t="s">
        <v>74</v>
      </c>
      <c r="R1212" s="218">
        <v>3.3239999</v>
      </c>
      <c r="S1212" s="129">
        <v>1</v>
      </c>
      <c r="T1212" s="129">
        <v>3267</v>
      </c>
      <c r="U1212" s="129">
        <v>3267</v>
      </c>
      <c r="V1212" s="129">
        <v>588.06010000000015</v>
      </c>
      <c r="W1212" s="129">
        <v>3855.0601000000001</v>
      </c>
      <c r="X1212" s="27">
        <f t="shared" si="186"/>
        <v>3267</v>
      </c>
    </row>
    <row r="1213" spans="1:24" x14ac:dyDescent="0.2">
      <c r="A1213" s="220">
        <v>43848</v>
      </c>
      <c r="B1213" s="130" t="s">
        <v>68</v>
      </c>
      <c r="C1213" s="130" t="s">
        <v>102</v>
      </c>
      <c r="D1213" s="130" t="s">
        <v>2231</v>
      </c>
      <c r="E1213" s="130" t="s">
        <v>1965</v>
      </c>
      <c r="F1213" s="130" t="s">
        <v>1018</v>
      </c>
      <c r="G1213" s="220">
        <v>43817</v>
      </c>
      <c r="H1213" s="130" t="s">
        <v>387</v>
      </c>
      <c r="I1213" s="130" t="s">
        <v>386</v>
      </c>
      <c r="J1213" s="130" t="s">
        <v>92</v>
      </c>
      <c r="K1213" s="130" t="s">
        <v>113</v>
      </c>
      <c r="L1213" s="174" t="s">
        <v>71</v>
      </c>
      <c r="M1213" s="131" t="s">
        <v>72</v>
      </c>
      <c r="N1213" s="130" t="s">
        <v>73</v>
      </c>
      <c r="O1213" s="219" t="s">
        <v>69</v>
      </c>
      <c r="P1213" s="130" t="s">
        <v>1699</v>
      </c>
      <c r="Q1213" s="132" t="s">
        <v>74</v>
      </c>
      <c r="R1213" s="218">
        <v>3.3239999</v>
      </c>
      <c r="S1213" s="129">
        <v>1</v>
      </c>
      <c r="T1213" s="129">
        <v>1350</v>
      </c>
      <c r="U1213" s="129">
        <v>1350</v>
      </c>
      <c r="V1213" s="129">
        <v>243</v>
      </c>
      <c r="W1213" s="129">
        <v>1593</v>
      </c>
      <c r="X1213" s="27">
        <f t="shared" si="186"/>
        <v>1350</v>
      </c>
    </row>
    <row r="1214" spans="1:24" x14ac:dyDescent="0.2">
      <c r="A1214" s="220">
        <v>43848</v>
      </c>
      <c r="B1214" s="130" t="s">
        <v>68</v>
      </c>
      <c r="C1214" s="130" t="s">
        <v>102</v>
      </c>
      <c r="D1214" s="130" t="s">
        <v>2231</v>
      </c>
      <c r="E1214" s="130" t="s">
        <v>1965</v>
      </c>
      <c r="F1214" s="130" t="s">
        <v>1018</v>
      </c>
      <c r="G1214" s="220">
        <v>43817</v>
      </c>
      <c r="H1214" s="130" t="s">
        <v>387</v>
      </c>
      <c r="I1214" s="130" t="s">
        <v>386</v>
      </c>
      <c r="J1214" s="130" t="s">
        <v>70</v>
      </c>
      <c r="K1214" s="130" t="s">
        <v>112</v>
      </c>
      <c r="L1214" s="174" t="s">
        <v>71</v>
      </c>
      <c r="M1214" s="131" t="s">
        <v>72</v>
      </c>
      <c r="N1214" s="130" t="s">
        <v>73</v>
      </c>
      <c r="O1214" s="219" t="s">
        <v>69</v>
      </c>
      <c r="P1214" s="130" t="s">
        <v>1699</v>
      </c>
      <c r="Q1214" s="132" t="s">
        <v>74</v>
      </c>
      <c r="R1214" s="218">
        <v>3.3239999</v>
      </c>
      <c r="S1214" s="129">
        <v>1</v>
      </c>
      <c r="T1214" s="129">
        <v>1200</v>
      </c>
      <c r="U1214" s="129">
        <v>1200</v>
      </c>
      <c r="V1214" s="129">
        <v>216</v>
      </c>
      <c r="W1214" s="129">
        <v>1416</v>
      </c>
      <c r="X1214" s="27">
        <f t="shared" si="186"/>
        <v>1200</v>
      </c>
    </row>
    <row r="1215" spans="1:24" x14ac:dyDescent="0.2">
      <c r="A1215" s="220">
        <v>43848</v>
      </c>
      <c r="B1215" s="130" t="s">
        <v>68</v>
      </c>
      <c r="C1215" s="130" t="s">
        <v>102</v>
      </c>
      <c r="D1215" s="130" t="s">
        <v>2231</v>
      </c>
      <c r="E1215" s="130" t="s">
        <v>1965</v>
      </c>
      <c r="F1215" s="130" t="s">
        <v>1018</v>
      </c>
      <c r="G1215" s="220">
        <v>43817</v>
      </c>
      <c r="H1215" s="130" t="s">
        <v>387</v>
      </c>
      <c r="I1215" s="130" t="s">
        <v>386</v>
      </c>
      <c r="J1215" s="130" t="s">
        <v>104</v>
      </c>
      <c r="K1215" s="130" t="s">
        <v>105</v>
      </c>
      <c r="L1215" s="174" t="s">
        <v>71</v>
      </c>
      <c r="M1215" s="131" t="s">
        <v>72</v>
      </c>
      <c r="N1215" s="130" t="s">
        <v>73</v>
      </c>
      <c r="O1215" s="219" t="s">
        <v>69</v>
      </c>
      <c r="P1215" s="130" t="s">
        <v>1699</v>
      </c>
      <c r="Q1215" s="132" t="s">
        <v>74</v>
      </c>
      <c r="R1215" s="218">
        <v>3.3239999</v>
      </c>
      <c r="S1215" s="129">
        <v>1</v>
      </c>
      <c r="T1215" s="129">
        <v>2350</v>
      </c>
      <c r="U1215" s="129">
        <v>2350</v>
      </c>
      <c r="V1215" s="129">
        <v>423</v>
      </c>
      <c r="W1215" s="129">
        <v>2773</v>
      </c>
      <c r="X1215" s="27">
        <f t="shared" si="186"/>
        <v>2350</v>
      </c>
    </row>
    <row r="1216" spans="1:24" x14ac:dyDescent="0.2">
      <c r="A1216" s="220">
        <v>43848</v>
      </c>
      <c r="B1216" s="130" t="s">
        <v>68</v>
      </c>
      <c r="C1216" s="130" t="s">
        <v>102</v>
      </c>
      <c r="D1216" s="130" t="s">
        <v>2785</v>
      </c>
      <c r="E1216" s="130" t="s">
        <v>1930</v>
      </c>
      <c r="F1216" s="130" t="s">
        <v>2534</v>
      </c>
      <c r="G1216" s="220">
        <v>43802</v>
      </c>
      <c r="H1216" s="130" t="s">
        <v>387</v>
      </c>
      <c r="I1216" s="130" t="s">
        <v>386</v>
      </c>
      <c r="J1216" s="130" t="s">
        <v>97</v>
      </c>
      <c r="K1216" s="130" t="s">
        <v>98</v>
      </c>
      <c r="L1216" s="174" t="s">
        <v>71</v>
      </c>
      <c r="M1216" s="131" t="s">
        <v>72</v>
      </c>
      <c r="N1216" s="130" t="s">
        <v>73</v>
      </c>
      <c r="O1216" s="219" t="s">
        <v>99</v>
      </c>
      <c r="P1216" s="130" t="s">
        <v>98</v>
      </c>
      <c r="Q1216" s="132" t="s">
        <v>74</v>
      </c>
      <c r="R1216" s="218">
        <v>3.3239999</v>
      </c>
      <c r="S1216" s="129">
        <v>1</v>
      </c>
      <c r="T1216" s="129">
        <v>2700</v>
      </c>
      <c r="U1216" s="129">
        <v>2700</v>
      </c>
      <c r="V1216" s="129">
        <v>486</v>
      </c>
      <c r="W1216" s="129">
        <v>3186</v>
      </c>
      <c r="X1216" s="27">
        <f t="shared" si="186"/>
        <v>2700</v>
      </c>
    </row>
    <row r="1217" spans="1:24" x14ac:dyDescent="0.2">
      <c r="A1217" s="220">
        <v>43848</v>
      </c>
      <c r="B1217" s="130" t="s">
        <v>68</v>
      </c>
      <c r="C1217" s="130" t="s">
        <v>102</v>
      </c>
      <c r="D1217" s="130" t="s">
        <v>2785</v>
      </c>
      <c r="E1217" s="130" t="s">
        <v>1930</v>
      </c>
      <c r="F1217" s="130" t="s">
        <v>2534</v>
      </c>
      <c r="G1217" s="220">
        <v>43802</v>
      </c>
      <c r="H1217" s="130" t="s">
        <v>387</v>
      </c>
      <c r="I1217" s="130" t="s">
        <v>386</v>
      </c>
      <c r="J1217" s="130" t="s">
        <v>100</v>
      </c>
      <c r="K1217" s="130" t="s">
        <v>101</v>
      </c>
      <c r="L1217" s="174" t="s">
        <v>71</v>
      </c>
      <c r="M1217" s="131" t="s">
        <v>72</v>
      </c>
      <c r="N1217" s="130" t="s">
        <v>73</v>
      </c>
      <c r="O1217" s="219" t="s">
        <v>72</v>
      </c>
      <c r="P1217" s="130" t="s">
        <v>101</v>
      </c>
      <c r="Q1217" s="132" t="s">
        <v>74</v>
      </c>
      <c r="R1217" s="218">
        <v>3.3239999</v>
      </c>
      <c r="S1217" s="129">
        <v>1</v>
      </c>
      <c r="T1217" s="129">
        <v>1575</v>
      </c>
      <c r="U1217" s="129">
        <v>1575</v>
      </c>
      <c r="V1217" s="129">
        <v>283.5</v>
      </c>
      <c r="W1217" s="129">
        <v>1858.5</v>
      </c>
      <c r="X1217" s="27">
        <f t="shared" si="186"/>
        <v>1575</v>
      </c>
    </row>
    <row r="1218" spans="1:24" x14ac:dyDescent="0.2">
      <c r="A1218" s="220">
        <v>43848</v>
      </c>
      <c r="B1218" s="130" t="s">
        <v>68</v>
      </c>
      <c r="C1218" s="130" t="s">
        <v>102</v>
      </c>
      <c r="D1218" s="130" t="s">
        <v>2785</v>
      </c>
      <c r="E1218" s="130" t="s">
        <v>1930</v>
      </c>
      <c r="F1218" s="130" t="s">
        <v>2534</v>
      </c>
      <c r="G1218" s="220">
        <v>43802</v>
      </c>
      <c r="H1218" s="130" t="s">
        <v>387</v>
      </c>
      <c r="I1218" s="130" t="s">
        <v>386</v>
      </c>
      <c r="J1218" s="130" t="s">
        <v>92</v>
      </c>
      <c r="K1218" s="130" t="s">
        <v>113</v>
      </c>
      <c r="L1218" s="174" t="s">
        <v>71</v>
      </c>
      <c r="M1218" s="131" t="s">
        <v>72</v>
      </c>
      <c r="N1218" s="130" t="s">
        <v>73</v>
      </c>
      <c r="O1218" s="219" t="s">
        <v>69</v>
      </c>
      <c r="P1218" s="130" t="s">
        <v>1699</v>
      </c>
      <c r="Q1218" s="132" t="s">
        <v>74</v>
      </c>
      <c r="R1218" s="218">
        <v>3.3239999</v>
      </c>
      <c r="S1218" s="129">
        <v>1</v>
      </c>
      <c r="T1218" s="129">
        <v>1325</v>
      </c>
      <c r="U1218" s="129">
        <v>1325</v>
      </c>
      <c r="V1218" s="129">
        <v>238.5</v>
      </c>
      <c r="W1218" s="129">
        <v>1563.5</v>
      </c>
      <c r="X1218" s="27">
        <f t="shared" si="186"/>
        <v>1325</v>
      </c>
    </row>
    <row r="1219" spans="1:24" x14ac:dyDescent="0.2">
      <c r="A1219" s="220">
        <v>43848</v>
      </c>
      <c r="B1219" s="130" t="s">
        <v>68</v>
      </c>
      <c r="C1219" s="130" t="s">
        <v>102</v>
      </c>
      <c r="D1219" s="130" t="s">
        <v>2785</v>
      </c>
      <c r="E1219" s="130" t="s">
        <v>1930</v>
      </c>
      <c r="F1219" s="130" t="s">
        <v>2534</v>
      </c>
      <c r="G1219" s="220">
        <v>43802</v>
      </c>
      <c r="H1219" s="130" t="s">
        <v>387</v>
      </c>
      <c r="I1219" s="130" t="s">
        <v>386</v>
      </c>
      <c r="J1219" s="130" t="s">
        <v>132</v>
      </c>
      <c r="K1219" s="130" t="s">
        <v>109</v>
      </c>
      <c r="L1219" s="174" t="s">
        <v>71</v>
      </c>
      <c r="M1219" s="131" t="s">
        <v>72</v>
      </c>
      <c r="N1219" s="130" t="s">
        <v>73</v>
      </c>
      <c r="O1219" s="219" t="s">
        <v>69</v>
      </c>
      <c r="P1219" s="130" t="s">
        <v>1699</v>
      </c>
      <c r="Q1219" s="132" t="s">
        <v>74</v>
      </c>
      <c r="R1219" s="218">
        <v>3.3239999</v>
      </c>
      <c r="S1219" s="129">
        <v>1</v>
      </c>
      <c r="T1219" s="129">
        <v>945</v>
      </c>
      <c r="U1219" s="129">
        <v>945</v>
      </c>
      <c r="V1219" s="129">
        <v>170.09999999999985</v>
      </c>
      <c r="W1219" s="129">
        <v>1115.0999999999999</v>
      </c>
      <c r="X1219" s="27">
        <f t="shared" si="186"/>
        <v>945</v>
      </c>
    </row>
    <row r="1220" spans="1:24" x14ac:dyDescent="0.2">
      <c r="A1220" s="220">
        <v>43848</v>
      </c>
      <c r="B1220" s="130" t="s">
        <v>68</v>
      </c>
      <c r="C1220" s="130" t="s">
        <v>102</v>
      </c>
      <c r="D1220" s="130" t="s">
        <v>2785</v>
      </c>
      <c r="E1220" s="130" t="s">
        <v>1930</v>
      </c>
      <c r="F1220" s="130" t="s">
        <v>2534</v>
      </c>
      <c r="G1220" s="220">
        <v>43802</v>
      </c>
      <c r="H1220" s="130" t="s">
        <v>387</v>
      </c>
      <c r="I1220" s="130" t="s">
        <v>386</v>
      </c>
      <c r="J1220" s="130" t="s">
        <v>139</v>
      </c>
      <c r="K1220" s="130" t="s">
        <v>133</v>
      </c>
      <c r="L1220" s="174" t="s">
        <v>71</v>
      </c>
      <c r="M1220" s="131" t="s">
        <v>72</v>
      </c>
      <c r="N1220" s="130" t="s">
        <v>73</v>
      </c>
      <c r="O1220" s="219" t="s">
        <v>69</v>
      </c>
      <c r="P1220" s="130" t="s">
        <v>1699</v>
      </c>
      <c r="Q1220" s="132" t="s">
        <v>74</v>
      </c>
      <c r="R1220" s="218">
        <v>3.3239999</v>
      </c>
      <c r="S1220" s="129">
        <v>1</v>
      </c>
      <c r="T1220" s="129">
        <v>3350</v>
      </c>
      <c r="U1220" s="129">
        <v>3350</v>
      </c>
      <c r="V1220" s="129">
        <v>603</v>
      </c>
      <c r="W1220" s="129">
        <v>3953</v>
      </c>
      <c r="X1220" s="27">
        <f t="shared" si="186"/>
        <v>3350</v>
      </c>
    </row>
    <row r="1221" spans="1:24" x14ac:dyDescent="0.2">
      <c r="A1221" s="220">
        <v>43848</v>
      </c>
      <c r="B1221" s="130" t="s">
        <v>68</v>
      </c>
      <c r="C1221" s="130" t="s">
        <v>102</v>
      </c>
      <c r="D1221" s="130" t="s">
        <v>2785</v>
      </c>
      <c r="E1221" s="130" t="s">
        <v>1930</v>
      </c>
      <c r="F1221" s="130" t="s">
        <v>2534</v>
      </c>
      <c r="G1221" s="220">
        <v>43802</v>
      </c>
      <c r="H1221" s="130" t="s">
        <v>387</v>
      </c>
      <c r="I1221" s="130" t="s">
        <v>386</v>
      </c>
      <c r="J1221" s="130" t="s">
        <v>139</v>
      </c>
      <c r="K1221" s="130" t="s">
        <v>133</v>
      </c>
      <c r="L1221" s="174" t="s">
        <v>71</v>
      </c>
      <c r="M1221" s="131" t="s">
        <v>72</v>
      </c>
      <c r="N1221" s="130" t="s">
        <v>73</v>
      </c>
      <c r="O1221" s="219" t="s">
        <v>69</v>
      </c>
      <c r="P1221" s="130" t="s">
        <v>1699</v>
      </c>
      <c r="Q1221" s="132" t="s">
        <v>74</v>
      </c>
      <c r="R1221" s="218">
        <v>3.3239999</v>
      </c>
      <c r="S1221" s="129">
        <v>1</v>
      </c>
      <c r="T1221" s="129">
        <v>312</v>
      </c>
      <c r="U1221" s="129">
        <v>312</v>
      </c>
      <c r="V1221" s="129">
        <v>56.16</v>
      </c>
      <c r="W1221" s="129">
        <v>368.16</v>
      </c>
      <c r="X1221" s="27">
        <f t="shared" ref="X1221:X1284" si="187">IF(Q1221="$",(U1221*R1221),U1221)</f>
        <v>312</v>
      </c>
    </row>
    <row r="1222" spans="1:24" x14ac:dyDescent="0.2">
      <c r="A1222" s="220">
        <v>43848</v>
      </c>
      <c r="B1222" s="130" t="s">
        <v>68</v>
      </c>
      <c r="C1222" s="130" t="s">
        <v>102</v>
      </c>
      <c r="D1222" s="130" t="s">
        <v>2785</v>
      </c>
      <c r="E1222" s="130" t="s">
        <v>1930</v>
      </c>
      <c r="F1222" s="130" t="s">
        <v>2534</v>
      </c>
      <c r="G1222" s="220">
        <v>43802</v>
      </c>
      <c r="H1222" s="130" t="s">
        <v>387</v>
      </c>
      <c r="I1222" s="130" t="s">
        <v>386</v>
      </c>
      <c r="J1222" s="130" t="s">
        <v>70</v>
      </c>
      <c r="K1222" s="130" t="s">
        <v>112</v>
      </c>
      <c r="L1222" s="174" t="s">
        <v>71</v>
      </c>
      <c r="M1222" s="131" t="s">
        <v>72</v>
      </c>
      <c r="N1222" s="130" t="s">
        <v>73</v>
      </c>
      <c r="O1222" s="219" t="s">
        <v>69</v>
      </c>
      <c r="P1222" s="130" t="s">
        <v>1699</v>
      </c>
      <c r="Q1222" s="132" t="s">
        <v>74</v>
      </c>
      <c r="R1222" s="218">
        <v>3.3239999</v>
      </c>
      <c r="S1222" s="129">
        <v>1</v>
      </c>
      <c r="T1222" s="129">
        <v>1023.7541999999999</v>
      </c>
      <c r="U1222" s="129">
        <v>1023.7541999999999</v>
      </c>
      <c r="V1222" s="129">
        <v>184.27580000000017</v>
      </c>
      <c r="W1222" s="129">
        <v>1208.03</v>
      </c>
      <c r="X1222" s="27">
        <f t="shared" si="187"/>
        <v>1023.7541999999999</v>
      </c>
    </row>
    <row r="1223" spans="1:24" x14ac:dyDescent="0.2">
      <c r="A1223" s="220">
        <v>43848</v>
      </c>
      <c r="B1223" s="130" t="s">
        <v>68</v>
      </c>
      <c r="C1223" s="130" t="s">
        <v>102</v>
      </c>
      <c r="D1223" s="130" t="s">
        <v>2785</v>
      </c>
      <c r="E1223" s="130" t="s">
        <v>1930</v>
      </c>
      <c r="F1223" s="130" t="s">
        <v>2534</v>
      </c>
      <c r="G1223" s="220">
        <v>43802</v>
      </c>
      <c r="H1223" s="130" t="s">
        <v>387</v>
      </c>
      <c r="I1223" s="130" t="s">
        <v>386</v>
      </c>
      <c r="J1223" s="130" t="s">
        <v>104</v>
      </c>
      <c r="K1223" s="130" t="s">
        <v>105</v>
      </c>
      <c r="L1223" s="174" t="s">
        <v>71</v>
      </c>
      <c r="M1223" s="131" t="s">
        <v>72</v>
      </c>
      <c r="N1223" s="130" t="s">
        <v>73</v>
      </c>
      <c r="O1223" s="219" t="s">
        <v>69</v>
      </c>
      <c r="P1223" s="130" t="s">
        <v>1699</v>
      </c>
      <c r="Q1223" s="132" t="s">
        <v>74</v>
      </c>
      <c r="R1223" s="218">
        <v>3.3239999</v>
      </c>
      <c r="S1223" s="129">
        <v>1</v>
      </c>
      <c r="T1223" s="129">
        <v>3675</v>
      </c>
      <c r="U1223" s="129">
        <v>3675</v>
      </c>
      <c r="V1223" s="129">
        <v>661.5</v>
      </c>
      <c r="W1223" s="129">
        <v>4336.5</v>
      </c>
      <c r="X1223" s="27">
        <f t="shared" si="187"/>
        <v>3675</v>
      </c>
    </row>
    <row r="1224" spans="1:24" x14ac:dyDescent="0.2">
      <c r="A1224" s="220">
        <v>43848</v>
      </c>
      <c r="B1224" s="130" t="s">
        <v>68</v>
      </c>
      <c r="C1224" s="130" t="s">
        <v>102</v>
      </c>
      <c r="D1224" s="130" t="s">
        <v>2784</v>
      </c>
      <c r="E1224" s="130" t="s">
        <v>1377</v>
      </c>
      <c r="F1224" s="130" t="s">
        <v>1446</v>
      </c>
      <c r="G1224" s="220">
        <v>43754</v>
      </c>
      <c r="H1224" s="130" t="s">
        <v>387</v>
      </c>
      <c r="I1224" s="130" t="s">
        <v>386</v>
      </c>
      <c r="J1224" s="130" t="s">
        <v>97</v>
      </c>
      <c r="K1224" s="130" t="s">
        <v>98</v>
      </c>
      <c r="L1224" s="174" t="s">
        <v>71</v>
      </c>
      <c r="M1224" s="131" t="s">
        <v>72</v>
      </c>
      <c r="N1224" s="130" t="s">
        <v>73</v>
      </c>
      <c r="O1224" s="219" t="s">
        <v>99</v>
      </c>
      <c r="P1224" s="130" t="s">
        <v>98</v>
      </c>
      <c r="Q1224" s="132" t="s">
        <v>74</v>
      </c>
      <c r="R1224" s="218">
        <v>3.3239999</v>
      </c>
      <c r="S1224" s="129">
        <v>1</v>
      </c>
      <c r="T1224" s="129">
        <v>2430</v>
      </c>
      <c r="U1224" s="129">
        <v>2430</v>
      </c>
      <c r="V1224" s="129">
        <v>437.39989999999989</v>
      </c>
      <c r="W1224" s="129">
        <v>2867.3998999999999</v>
      </c>
      <c r="X1224" s="27">
        <f t="shared" si="187"/>
        <v>2430</v>
      </c>
    </row>
    <row r="1225" spans="1:24" x14ac:dyDescent="0.2">
      <c r="A1225" s="220">
        <v>43848</v>
      </c>
      <c r="B1225" s="130" t="s">
        <v>68</v>
      </c>
      <c r="C1225" s="130" t="s">
        <v>102</v>
      </c>
      <c r="D1225" s="130" t="s">
        <v>2784</v>
      </c>
      <c r="E1225" s="130" t="s">
        <v>1377</v>
      </c>
      <c r="F1225" s="130" t="s">
        <v>1446</v>
      </c>
      <c r="G1225" s="220">
        <v>43754</v>
      </c>
      <c r="H1225" s="130" t="s">
        <v>387</v>
      </c>
      <c r="I1225" s="130" t="s">
        <v>386</v>
      </c>
      <c r="J1225" s="130" t="s">
        <v>100</v>
      </c>
      <c r="K1225" s="130" t="s">
        <v>101</v>
      </c>
      <c r="L1225" s="174" t="s">
        <v>71</v>
      </c>
      <c r="M1225" s="131" t="s">
        <v>72</v>
      </c>
      <c r="N1225" s="130" t="s">
        <v>73</v>
      </c>
      <c r="O1225" s="219" t="s">
        <v>72</v>
      </c>
      <c r="P1225" s="130" t="s">
        <v>101</v>
      </c>
      <c r="Q1225" s="132" t="s">
        <v>74</v>
      </c>
      <c r="R1225" s="218">
        <v>3.3239999</v>
      </c>
      <c r="S1225" s="129">
        <v>1</v>
      </c>
      <c r="T1225" s="129">
        <v>1400</v>
      </c>
      <c r="U1225" s="129">
        <v>1400</v>
      </c>
      <c r="V1225" s="129">
        <v>252</v>
      </c>
      <c r="W1225" s="129">
        <v>1652</v>
      </c>
      <c r="X1225" s="27">
        <f t="shared" si="187"/>
        <v>1400</v>
      </c>
    </row>
    <row r="1226" spans="1:24" x14ac:dyDescent="0.2">
      <c r="A1226" s="220">
        <v>43848</v>
      </c>
      <c r="B1226" s="130" t="s">
        <v>68</v>
      </c>
      <c r="C1226" s="130" t="s">
        <v>102</v>
      </c>
      <c r="D1226" s="130" t="s">
        <v>2784</v>
      </c>
      <c r="E1226" s="130" t="s">
        <v>1377</v>
      </c>
      <c r="F1226" s="130" t="s">
        <v>1446</v>
      </c>
      <c r="G1226" s="220">
        <v>43754</v>
      </c>
      <c r="H1226" s="130" t="s">
        <v>387</v>
      </c>
      <c r="I1226" s="130" t="s">
        <v>386</v>
      </c>
      <c r="J1226" s="130" t="s">
        <v>92</v>
      </c>
      <c r="K1226" s="130" t="s">
        <v>113</v>
      </c>
      <c r="L1226" s="174" t="s">
        <v>71</v>
      </c>
      <c r="M1226" s="131" t="s">
        <v>72</v>
      </c>
      <c r="N1226" s="130" t="s">
        <v>73</v>
      </c>
      <c r="O1226" s="219" t="s">
        <v>69</v>
      </c>
      <c r="P1226" s="130" t="s">
        <v>1699</v>
      </c>
      <c r="Q1226" s="132" t="s">
        <v>74</v>
      </c>
      <c r="R1226" s="218">
        <v>3.3239999</v>
      </c>
      <c r="S1226" s="129">
        <v>1</v>
      </c>
      <c r="T1226" s="129">
        <v>1310</v>
      </c>
      <c r="U1226" s="129">
        <v>1310</v>
      </c>
      <c r="V1226" s="129">
        <v>235.8</v>
      </c>
      <c r="W1226" s="129">
        <v>1545.8</v>
      </c>
      <c r="X1226" s="27">
        <f t="shared" si="187"/>
        <v>1310</v>
      </c>
    </row>
    <row r="1227" spans="1:24" x14ac:dyDescent="0.2">
      <c r="A1227" s="220">
        <v>43848</v>
      </c>
      <c r="B1227" s="130" t="s">
        <v>68</v>
      </c>
      <c r="C1227" s="130" t="s">
        <v>102</v>
      </c>
      <c r="D1227" s="130" t="s">
        <v>2784</v>
      </c>
      <c r="E1227" s="130" t="s">
        <v>1377</v>
      </c>
      <c r="F1227" s="130" t="s">
        <v>1446</v>
      </c>
      <c r="G1227" s="220">
        <v>43754</v>
      </c>
      <c r="H1227" s="130" t="s">
        <v>387</v>
      </c>
      <c r="I1227" s="130" t="s">
        <v>386</v>
      </c>
      <c r="J1227" s="130" t="s">
        <v>132</v>
      </c>
      <c r="K1227" s="130" t="s">
        <v>133</v>
      </c>
      <c r="L1227" s="174" t="s">
        <v>71</v>
      </c>
      <c r="M1227" s="131" t="s">
        <v>72</v>
      </c>
      <c r="N1227" s="130" t="s">
        <v>73</v>
      </c>
      <c r="O1227" s="219" t="s">
        <v>69</v>
      </c>
      <c r="P1227" s="130" t="s">
        <v>1699</v>
      </c>
      <c r="Q1227" s="132" t="s">
        <v>74</v>
      </c>
      <c r="R1227" s="218">
        <v>3.3239999</v>
      </c>
      <c r="S1227" s="129">
        <v>1</v>
      </c>
      <c r="T1227" s="129">
        <v>1759.7796999999998</v>
      </c>
      <c r="U1227" s="129">
        <v>1759.7796999999998</v>
      </c>
      <c r="V1227" s="129">
        <v>316.76030000000026</v>
      </c>
      <c r="W1227" s="129">
        <v>2076.54</v>
      </c>
      <c r="X1227" s="27">
        <f t="shared" si="187"/>
        <v>1759.7796999999998</v>
      </c>
    </row>
    <row r="1228" spans="1:24" x14ac:dyDescent="0.2">
      <c r="A1228" s="220">
        <v>43848</v>
      </c>
      <c r="B1228" s="130" t="s">
        <v>68</v>
      </c>
      <c r="C1228" s="130" t="s">
        <v>102</v>
      </c>
      <c r="D1228" s="130" t="s">
        <v>2784</v>
      </c>
      <c r="E1228" s="130" t="s">
        <v>1377</v>
      </c>
      <c r="F1228" s="130" t="s">
        <v>1446</v>
      </c>
      <c r="G1228" s="220">
        <v>43754</v>
      </c>
      <c r="H1228" s="130" t="s">
        <v>387</v>
      </c>
      <c r="I1228" s="130" t="s">
        <v>386</v>
      </c>
      <c r="J1228" s="130" t="s">
        <v>70</v>
      </c>
      <c r="K1228" s="130" t="s">
        <v>112</v>
      </c>
      <c r="L1228" s="174" t="s">
        <v>71</v>
      </c>
      <c r="M1228" s="131" t="s">
        <v>72</v>
      </c>
      <c r="N1228" s="130" t="s">
        <v>73</v>
      </c>
      <c r="O1228" s="219" t="s">
        <v>69</v>
      </c>
      <c r="P1228" s="130" t="s">
        <v>1699</v>
      </c>
      <c r="Q1228" s="132" t="s">
        <v>74</v>
      </c>
      <c r="R1228" s="218">
        <v>3.3239999</v>
      </c>
      <c r="S1228" s="129">
        <v>1</v>
      </c>
      <c r="T1228" s="129">
        <v>1280</v>
      </c>
      <c r="U1228" s="129">
        <v>1280</v>
      </c>
      <c r="V1228" s="129">
        <v>230.4</v>
      </c>
      <c r="W1228" s="129">
        <v>1510.4</v>
      </c>
      <c r="X1228" s="27">
        <f t="shared" si="187"/>
        <v>1280</v>
      </c>
    </row>
    <row r="1229" spans="1:24" x14ac:dyDescent="0.2">
      <c r="A1229" s="220">
        <v>43848</v>
      </c>
      <c r="B1229" s="130" t="s">
        <v>68</v>
      </c>
      <c r="C1229" s="130" t="s">
        <v>102</v>
      </c>
      <c r="D1229" s="130" t="s">
        <v>2784</v>
      </c>
      <c r="E1229" s="130" t="s">
        <v>1377</v>
      </c>
      <c r="F1229" s="130" t="s">
        <v>1446</v>
      </c>
      <c r="G1229" s="220">
        <v>43754</v>
      </c>
      <c r="H1229" s="130" t="s">
        <v>387</v>
      </c>
      <c r="I1229" s="130" t="s">
        <v>386</v>
      </c>
      <c r="J1229" s="130" t="s">
        <v>104</v>
      </c>
      <c r="K1229" s="130" t="s">
        <v>105</v>
      </c>
      <c r="L1229" s="174" t="s">
        <v>71</v>
      </c>
      <c r="M1229" s="131" t="s">
        <v>72</v>
      </c>
      <c r="N1229" s="130" t="s">
        <v>73</v>
      </c>
      <c r="O1229" s="219" t="s">
        <v>69</v>
      </c>
      <c r="P1229" s="130" t="s">
        <v>1699</v>
      </c>
      <c r="Q1229" s="132" t="s">
        <v>74</v>
      </c>
      <c r="R1229" s="218">
        <v>3.3239999</v>
      </c>
      <c r="S1229" s="129">
        <v>1</v>
      </c>
      <c r="T1229" s="129">
        <v>6227</v>
      </c>
      <c r="U1229" s="129">
        <v>6227</v>
      </c>
      <c r="V1229" s="129">
        <v>1120.8599000000011</v>
      </c>
      <c r="W1229" s="129">
        <v>7347.8599000000013</v>
      </c>
      <c r="X1229" s="27">
        <f t="shared" si="187"/>
        <v>6227</v>
      </c>
    </row>
    <row r="1230" spans="1:24" x14ac:dyDescent="0.2">
      <c r="A1230" s="220">
        <v>43848</v>
      </c>
      <c r="B1230" s="130" t="s">
        <v>68</v>
      </c>
      <c r="C1230" s="130" t="s">
        <v>102</v>
      </c>
      <c r="D1230" s="130" t="s">
        <v>2185</v>
      </c>
      <c r="E1230" s="130" t="s">
        <v>1369</v>
      </c>
      <c r="F1230" s="130" t="s">
        <v>2507</v>
      </c>
      <c r="G1230" s="220">
        <v>43790</v>
      </c>
      <c r="H1230" s="130" t="s">
        <v>387</v>
      </c>
      <c r="I1230" s="130" t="s">
        <v>386</v>
      </c>
      <c r="J1230" s="130" t="s">
        <v>97</v>
      </c>
      <c r="K1230" s="130" t="s">
        <v>98</v>
      </c>
      <c r="L1230" s="174" t="s">
        <v>71</v>
      </c>
      <c r="M1230" s="131" t="s">
        <v>72</v>
      </c>
      <c r="N1230" s="130" t="s">
        <v>73</v>
      </c>
      <c r="O1230" s="219" t="s">
        <v>99</v>
      </c>
      <c r="P1230" s="130" t="s">
        <v>98</v>
      </c>
      <c r="Q1230" s="132" t="s">
        <v>74</v>
      </c>
      <c r="R1230" s="218">
        <v>3.3239999</v>
      </c>
      <c r="S1230" s="129">
        <v>1</v>
      </c>
      <c r="T1230" s="129">
        <v>2700</v>
      </c>
      <c r="U1230" s="129">
        <v>2700</v>
      </c>
      <c r="V1230" s="129">
        <v>486</v>
      </c>
      <c r="W1230" s="129">
        <v>3186</v>
      </c>
      <c r="X1230" s="27">
        <f t="shared" si="187"/>
        <v>2700</v>
      </c>
    </row>
    <row r="1231" spans="1:24" x14ac:dyDescent="0.2">
      <c r="A1231" s="220">
        <v>43848</v>
      </c>
      <c r="B1231" s="130" t="s">
        <v>68</v>
      </c>
      <c r="C1231" s="130" t="s">
        <v>102</v>
      </c>
      <c r="D1231" s="130" t="s">
        <v>2185</v>
      </c>
      <c r="E1231" s="130" t="s">
        <v>1369</v>
      </c>
      <c r="F1231" s="130" t="s">
        <v>2507</v>
      </c>
      <c r="G1231" s="220">
        <v>43790</v>
      </c>
      <c r="H1231" s="130" t="s">
        <v>387</v>
      </c>
      <c r="I1231" s="130" t="s">
        <v>386</v>
      </c>
      <c r="J1231" s="130" t="s">
        <v>100</v>
      </c>
      <c r="K1231" s="130" t="s">
        <v>101</v>
      </c>
      <c r="L1231" s="174" t="s">
        <v>71</v>
      </c>
      <c r="M1231" s="131" t="s">
        <v>72</v>
      </c>
      <c r="N1231" s="130" t="s">
        <v>73</v>
      </c>
      <c r="O1231" s="219" t="s">
        <v>72</v>
      </c>
      <c r="P1231" s="130" t="s">
        <v>101</v>
      </c>
      <c r="Q1231" s="132" t="s">
        <v>74</v>
      </c>
      <c r="R1231" s="218">
        <v>3.3239999</v>
      </c>
      <c r="S1231" s="129">
        <v>1</v>
      </c>
      <c r="T1231" s="129">
        <v>1820</v>
      </c>
      <c r="U1231" s="129">
        <v>1820</v>
      </c>
      <c r="V1231" s="129">
        <v>327.60010000000011</v>
      </c>
      <c r="W1231" s="129">
        <v>2147.6001000000001</v>
      </c>
      <c r="X1231" s="27">
        <f t="shared" si="187"/>
        <v>1820</v>
      </c>
    </row>
    <row r="1232" spans="1:24" x14ac:dyDescent="0.2">
      <c r="A1232" s="220">
        <v>43848</v>
      </c>
      <c r="B1232" s="130" t="s">
        <v>68</v>
      </c>
      <c r="C1232" s="130" t="s">
        <v>102</v>
      </c>
      <c r="D1232" s="130" t="s">
        <v>2185</v>
      </c>
      <c r="E1232" s="130" t="s">
        <v>1369</v>
      </c>
      <c r="F1232" s="130" t="s">
        <v>2507</v>
      </c>
      <c r="G1232" s="220">
        <v>43790</v>
      </c>
      <c r="H1232" s="130" t="s">
        <v>387</v>
      </c>
      <c r="I1232" s="130" t="s">
        <v>386</v>
      </c>
      <c r="J1232" s="130" t="s">
        <v>92</v>
      </c>
      <c r="K1232" s="130" t="s">
        <v>113</v>
      </c>
      <c r="L1232" s="174" t="s">
        <v>71</v>
      </c>
      <c r="M1232" s="131" t="s">
        <v>72</v>
      </c>
      <c r="N1232" s="130" t="s">
        <v>73</v>
      </c>
      <c r="O1232" s="219" t="s">
        <v>69</v>
      </c>
      <c r="P1232" s="130" t="s">
        <v>1699</v>
      </c>
      <c r="Q1232" s="132" t="s">
        <v>74</v>
      </c>
      <c r="R1232" s="218">
        <v>3.3239999</v>
      </c>
      <c r="S1232" s="129">
        <v>1</v>
      </c>
      <c r="T1232" s="129">
        <v>1185</v>
      </c>
      <c r="U1232" s="129">
        <v>1185</v>
      </c>
      <c r="V1232" s="129">
        <v>213.3</v>
      </c>
      <c r="W1232" s="129">
        <v>1398.3</v>
      </c>
      <c r="X1232" s="27">
        <f t="shared" si="187"/>
        <v>1185</v>
      </c>
    </row>
    <row r="1233" spans="1:24" x14ac:dyDescent="0.2">
      <c r="A1233" s="220">
        <v>43848</v>
      </c>
      <c r="B1233" s="130" t="s">
        <v>68</v>
      </c>
      <c r="C1233" s="130" t="s">
        <v>102</v>
      </c>
      <c r="D1233" s="130" t="s">
        <v>2185</v>
      </c>
      <c r="E1233" s="130" t="s">
        <v>1369</v>
      </c>
      <c r="F1233" s="130" t="s">
        <v>2507</v>
      </c>
      <c r="G1233" s="220">
        <v>43790</v>
      </c>
      <c r="H1233" s="130" t="s">
        <v>387</v>
      </c>
      <c r="I1233" s="130" t="s">
        <v>386</v>
      </c>
      <c r="J1233" s="130" t="s">
        <v>132</v>
      </c>
      <c r="K1233" s="130" t="s">
        <v>133</v>
      </c>
      <c r="L1233" s="174" t="s">
        <v>71</v>
      </c>
      <c r="M1233" s="131" t="s">
        <v>72</v>
      </c>
      <c r="N1233" s="130" t="s">
        <v>73</v>
      </c>
      <c r="O1233" s="219" t="s">
        <v>69</v>
      </c>
      <c r="P1233" s="130" t="s">
        <v>1699</v>
      </c>
      <c r="Q1233" s="132" t="s">
        <v>74</v>
      </c>
      <c r="R1233" s="218">
        <v>3.3239999</v>
      </c>
      <c r="S1233" s="129">
        <v>1</v>
      </c>
      <c r="T1233" s="129">
        <v>2155</v>
      </c>
      <c r="U1233" s="129">
        <v>2155</v>
      </c>
      <c r="V1233" s="129">
        <v>387.89989999999989</v>
      </c>
      <c r="W1233" s="129">
        <v>2542.8998999999999</v>
      </c>
      <c r="X1233" s="27">
        <f t="shared" si="187"/>
        <v>2155</v>
      </c>
    </row>
    <row r="1234" spans="1:24" x14ac:dyDescent="0.2">
      <c r="A1234" s="220">
        <v>43848</v>
      </c>
      <c r="B1234" s="130" t="s">
        <v>68</v>
      </c>
      <c r="C1234" s="130" t="s">
        <v>102</v>
      </c>
      <c r="D1234" s="130" t="s">
        <v>2185</v>
      </c>
      <c r="E1234" s="130" t="s">
        <v>1369</v>
      </c>
      <c r="F1234" s="130" t="s">
        <v>2507</v>
      </c>
      <c r="G1234" s="220">
        <v>43790</v>
      </c>
      <c r="H1234" s="130" t="s">
        <v>387</v>
      </c>
      <c r="I1234" s="130" t="s">
        <v>386</v>
      </c>
      <c r="J1234" s="130" t="s">
        <v>70</v>
      </c>
      <c r="K1234" s="130" t="s">
        <v>112</v>
      </c>
      <c r="L1234" s="174" t="s">
        <v>71</v>
      </c>
      <c r="M1234" s="131" t="s">
        <v>72</v>
      </c>
      <c r="N1234" s="130" t="s">
        <v>73</v>
      </c>
      <c r="O1234" s="219" t="s">
        <v>69</v>
      </c>
      <c r="P1234" s="130" t="s">
        <v>1699</v>
      </c>
      <c r="Q1234" s="132" t="s">
        <v>74</v>
      </c>
      <c r="R1234" s="218">
        <v>3.3239999</v>
      </c>
      <c r="S1234" s="129">
        <v>1</v>
      </c>
      <c r="T1234" s="129">
        <v>743.75420999999972</v>
      </c>
      <c r="U1234" s="129">
        <v>743.75420999999972</v>
      </c>
      <c r="V1234" s="129">
        <v>133.87579000000028</v>
      </c>
      <c r="W1234" s="129">
        <v>877.63</v>
      </c>
      <c r="X1234" s="27">
        <f t="shared" si="187"/>
        <v>743.75420999999972</v>
      </c>
    </row>
    <row r="1235" spans="1:24" x14ac:dyDescent="0.2">
      <c r="A1235" s="220">
        <v>43848</v>
      </c>
      <c r="B1235" s="130" t="s">
        <v>68</v>
      </c>
      <c r="C1235" s="130" t="s">
        <v>102</v>
      </c>
      <c r="D1235" s="130" t="s">
        <v>2185</v>
      </c>
      <c r="E1235" s="130" t="s">
        <v>1369</v>
      </c>
      <c r="F1235" s="130" t="s">
        <v>2507</v>
      </c>
      <c r="G1235" s="220">
        <v>43790</v>
      </c>
      <c r="H1235" s="130" t="s">
        <v>387</v>
      </c>
      <c r="I1235" s="130" t="s">
        <v>386</v>
      </c>
      <c r="J1235" s="130" t="s">
        <v>104</v>
      </c>
      <c r="K1235" s="130" t="s">
        <v>105</v>
      </c>
      <c r="L1235" s="174" t="s">
        <v>71</v>
      </c>
      <c r="M1235" s="131" t="s">
        <v>72</v>
      </c>
      <c r="N1235" s="130" t="s">
        <v>73</v>
      </c>
      <c r="O1235" s="219" t="s">
        <v>69</v>
      </c>
      <c r="P1235" s="130" t="s">
        <v>1699</v>
      </c>
      <c r="Q1235" s="132" t="s">
        <v>74</v>
      </c>
      <c r="R1235" s="218">
        <v>3.3239999</v>
      </c>
      <c r="S1235" s="129">
        <v>1</v>
      </c>
      <c r="T1235" s="129">
        <v>3423</v>
      </c>
      <c r="U1235" s="129">
        <v>3423</v>
      </c>
      <c r="V1235" s="129">
        <v>616.1398999999999</v>
      </c>
      <c r="W1235" s="129">
        <v>4039.1399000000001</v>
      </c>
      <c r="X1235" s="27">
        <f t="shared" si="187"/>
        <v>3423</v>
      </c>
    </row>
    <row r="1236" spans="1:24" x14ac:dyDescent="0.2">
      <c r="A1236" s="220">
        <v>43848</v>
      </c>
      <c r="B1236" s="130" t="s">
        <v>68</v>
      </c>
      <c r="C1236" s="130" t="s">
        <v>102</v>
      </c>
      <c r="D1236" s="130" t="s">
        <v>2783</v>
      </c>
      <c r="E1236" s="130" t="s">
        <v>2563</v>
      </c>
      <c r="F1236" s="130" t="s">
        <v>2564</v>
      </c>
      <c r="G1236" s="220">
        <v>43846</v>
      </c>
      <c r="H1236" s="130" t="s">
        <v>311</v>
      </c>
      <c r="I1236" s="130" t="s">
        <v>312</v>
      </c>
      <c r="J1236" s="130" t="s">
        <v>92</v>
      </c>
      <c r="K1236" s="130" t="s">
        <v>113</v>
      </c>
      <c r="L1236" s="174" t="s">
        <v>71</v>
      </c>
      <c r="M1236" s="131" t="s">
        <v>102</v>
      </c>
      <c r="N1236" s="130" t="s">
        <v>103</v>
      </c>
      <c r="O1236" s="219" t="s">
        <v>69</v>
      </c>
      <c r="P1236" s="130" t="s">
        <v>1699</v>
      </c>
      <c r="Q1236" s="132" t="s">
        <v>74</v>
      </c>
      <c r="R1236" s="218">
        <v>3.3239999</v>
      </c>
      <c r="S1236" s="129">
        <v>1</v>
      </c>
      <c r="T1236" s="129">
        <v>250</v>
      </c>
      <c r="U1236" s="129">
        <v>250</v>
      </c>
      <c r="V1236" s="129">
        <v>45</v>
      </c>
      <c r="W1236" s="129">
        <v>295</v>
      </c>
      <c r="X1236" s="27">
        <f t="shared" si="187"/>
        <v>250</v>
      </c>
    </row>
    <row r="1237" spans="1:24" x14ac:dyDescent="0.2">
      <c r="A1237" s="220">
        <v>43848</v>
      </c>
      <c r="B1237" s="130" t="s">
        <v>68</v>
      </c>
      <c r="C1237" s="130" t="s">
        <v>102</v>
      </c>
      <c r="D1237" s="130" t="s">
        <v>2783</v>
      </c>
      <c r="E1237" s="130" t="s">
        <v>2563</v>
      </c>
      <c r="F1237" s="130" t="s">
        <v>2564</v>
      </c>
      <c r="G1237" s="220">
        <v>43846</v>
      </c>
      <c r="H1237" s="130" t="s">
        <v>311</v>
      </c>
      <c r="I1237" s="130" t="s">
        <v>312</v>
      </c>
      <c r="J1237" s="130" t="s">
        <v>70</v>
      </c>
      <c r="K1237" s="130" t="s">
        <v>112</v>
      </c>
      <c r="L1237" s="174" t="s">
        <v>71</v>
      </c>
      <c r="M1237" s="131" t="s">
        <v>102</v>
      </c>
      <c r="N1237" s="130" t="s">
        <v>103</v>
      </c>
      <c r="O1237" s="219" t="s">
        <v>69</v>
      </c>
      <c r="P1237" s="130" t="s">
        <v>1699</v>
      </c>
      <c r="Q1237" s="132" t="s">
        <v>74</v>
      </c>
      <c r="R1237" s="218">
        <v>3.3239999</v>
      </c>
      <c r="S1237" s="129">
        <v>1</v>
      </c>
      <c r="T1237" s="129">
        <v>450</v>
      </c>
      <c r="U1237" s="129">
        <v>450</v>
      </c>
      <c r="V1237" s="129">
        <v>81</v>
      </c>
      <c r="W1237" s="129">
        <v>531</v>
      </c>
      <c r="X1237" s="27">
        <f t="shared" si="187"/>
        <v>450</v>
      </c>
    </row>
    <row r="1238" spans="1:24" x14ac:dyDescent="0.2">
      <c r="A1238" s="220">
        <v>43848</v>
      </c>
      <c r="B1238" s="130" t="s">
        <v>68</v>
      </c>
      <c r="C1238" s="130" t="s">
        <v>102</v>
      </c>
      <c r="D1238" s="130" t="s">
        <v>2783</v>
      </c>
      <c r="E1238" s="130" t="s">
        <v>2563</v>
      </c>
      <c r="F1238" s="130" t="s">
        <v>2564</v>
      </c>
      <c r="G1238" s="220">
        <v>43846</v>
      </c>
      <c r="H1238" s="130" t="s">
        <v>311</v>
      </c>
      <c r="I1238" s="130" t="s">
        <v>312</v>
      </c>
      <c r="J1238" s="130" t="s">
        <v>104</v>
      </c>
      <c r="K1238" s="130" t="s">
        <v>105</v>
      </c>
      <c r="L1238" s="174" t="s">
        <v>71</v>
      </c>
      <c r="M1238" s="131" t="s">
        <v>102</v>
      </c>
      <c r="N1238" s="130" t="s">
        <v>103</v>
      </c>
      <c r="O1238" s="219" t="s">
        <v>69</v>
      </c>
      <c r="P1238" s="130" t="s">
        <v>1699</v>
      </c>
      <c r="Q1238" s="132" t="s">
        <v>74</v>
      </c>
      <c r="R1238" s="218">
        <v>3.3239999</v>
      </c>
      <c r="S1238" s="129">
        <v>1</v>
      </c>
      <c r="T1238" s="129">
        <v>2401</v>
      </c>
      <c r="U1238" s="129">
        <v>2401</v>
      </c>
      <c r="V1238" s="129">
        <v>432.17989999999992</v>
      </c>
      <c r="W1238" s="129">
        <v>2833.1799000000001</v>
      </c>
      <c r="X1238" s="27">
        <f t="shared" si="187"/>
        <v>2401</v>
      </c>
    </row>
    <row r="1239" spans="1:24" x14ac:dyDescent="0.2">
      <c r="A1239" s="220">
        <v>43850</v>
      </c>
      <c r="B1239" s="130" t="s">
        <v>68</v>
      </c>
      <c r="C1239" s="130" t="s">
        <v>102</v>
      </c>
      <c r="D1239" s="130" t="s">
        <v>2782</v>
      </c>
      <c r="E1239" s="130" t="s">
        <v>1417</v>
      </c>
      <c r="F1239" s="130" t="s">
        <v>2780</v>
      </c>
      <c r="G1239" s="220">
        <v>43797</v>
      </c>
      <c r="H1239" s="130" t="s">
        <v>557</v>
      </c>
      <c r="I1239" s="130" t="s">
        <v>556</v>
      </c>
      <c r="J1239" s="130" t="s">
        <v>95</v>
      </c>
      <c r="K1239" s="130" t="s">
        <v>96</v>
      </c>
      <c r="L1239" s="174" t="s">
        <v>71</v>
      </c>
      <c r="M1239" s="131" t="s">
        <v>72</v>
      </c>
      <c r="N1239" s="130" t="s">
        <v>73</v>
      </c>
      <c r="O1239" s="219" t="s">
        <v>69</v>
      </c>
      <c r="P1239" s="130" t="s">
        <v>1699</v>
      </c>
      <c r="Q1239" s="132" t="s">
        <v>93</v>
      </c>
      <c r="R1239" s="218">
        <v>3.3239999</v>
      </c>
      <c r="S1239" s="129">
        <v>1</v>
      </c>
      <c r="T1239" s="129">
        <v>100</v>
      </c>
      <c r="U1239" s="129">
        <v>100</v>
      </c>
      <c r="V1239" s="129">
        <v>18</v>
      </c>
      <c r="W1239" s="129">
        <v>118</v>
      </c>
      <c r="X1239" s="27">
        <f t="shared" si="187"/>
        <v>332.39999</v>
      </c>
    </row>
    <row r="1240" spans="1:24" x14ac:dyDescent="0.2">
      <c r="A1240" s="220">
        <v>43850</v>
      </c>
      <c r="B1240" s="130" t="s">
        <v>68</v>
      </c>
      <c r="C1240" s="130" t="s">
        <v>102</v>
      </c>
      <c r="D1240" s="130" t="s">
        <v>2781</v>
      </c>
      <c r="E1240" s="130" t="s">
        <v>1417</v>
      </c>
      <c r="F1240" s="130" t="s">
        <v>2780</v>
      </c>
      <c r="G1240" s="220">
        <v>43797</v>
      </c>
      <c r="H1240" s="130" t="s">
        <v>90</v>
      </c>
      <c r="I1240" s="130" t="s">
        <v>91</v>
      </c>
      <c r="J1240" s="130" t="s">
        <v>97</v>
      </c>
      <c r="K1240" s="130" t="s">
        <v>98</v>
      </c>
      <c r="L1240" s="174" t="s">
        <v>71</v>
      </c>
      <c r="M1240" s="131" t="s">
        <v>72</v>
      </c>
      <c r="N1240" s="130" t="s">
        <v>73</v>
      </c>
      <c r="O1240" s="219" t="s">
        <v>99</v>
      </c>
      <c r="P1240" s="130" t="s">
        <v>98</v>
      </c>
      <c r="Q1240" s="132" t="s">
        <v>93</v>
      </c>
      <c r="R1240" s="218">
        <v>3.3239999</v>
      </c>
      <c r="S1240" s="129">
        <v>1</v>
      </c>
      <c r="T1240" s="129">
        <v>59</v>
      </c>
      <c r="U1240" s="129">
        <v>59</v>
      </c>
      <c r="V1240" s="129">
        <v>10.620002999999997</v>
      </c>
      <c r="W1240" s="129">
        <v>69.620002999999997</v>
      </c>
      <c r="X1240" s="27">
        <f t="shared" si="187"/>
        <v>196.11599409999999</v>
      </c>
    </row>
    <row r="1241" spans="1:24" x14ac:dyDescent="0.2">
      <c r="A1241" s="220">
        <v>43850</v>
      </c>
      <c r="B1241" s="130" t="s">
        <v>68</v>
      </c>
      <c r="C1241" s="130" t="s">
        <v>102</v>
      </c>
      <c r="D1241" s="130" t="s">
        <v>2781</v>
      </c>
      <c r="E1241" s="130" t="s">
        <v>1417</v>
      </c>
      <c r="F1241" s="130" t="s">
        <v>2780</v>
      </c>
      <c r="G1241" s="220">
        <v>43797</v>
      </c>
      <c r="H1241" s="130" t="s">
        <v>90</v>
      </c>
      <c r="I1241" s="130" t="s">
        <v>91</v>
      </c>
      <c r="J1241" s="130" t="s">
        <v>100</v>
      </c>
      <c r="K1241" s="130" t="s">
        <v>101</v>
      </c>
      <c r="L1241" s="174" t="s">
        <v>71</v>
      </c>
      <c r="M1241" s="131" t="s">
        <v>72</v>
      </c>
      <c r="N1241" s="130" t="s">
        <v>73</v>
      </c>
      <c r="O1241" s="219" t="s">
        <v>72</v>
      </c>
      <c r="P1241" s="130" t="s">
        <v>101</v>
      </c>
      <c r="Q1241" s="132" t="s">
        <v>93</v>
      </c>
      <c r="R1241" s="218">
        <v>3.3239999</v>
      </c>
      <c r="S1241" s="129">
        <v>1</v>
      </c>
      <c r="T1241" s="129">
        <v>30</v>
      </c>
      <c r="U1241" s="129">
        <v>30</v>
      </c>
      <c r="V1241" s="129">
        <v>5.4000019999999997</v>
      </c>
      <c r="W1241" s="129">
        <v>35.400002000000001</v>
      </c>
      <c r="X1241" s="27">
        <f t="shared" si="187"/>
        <v>99.719997000000006</v>
      </c>
    </row>
    <row r="1242" spans="1:24" x14ac:dyDescent="0.2">
      <c r="A1242" s="220">
        <v>43850</v>
      </c>
      <c r="B1242" s="130" t="s">
        <v>68</v>
      </c>
      <c r="C1242" s="130" t="s">
        <v>102</v>
      </c>
      <c r="D1242" s="130" t="s">
        <v>2781</v>
      </c>
      <c r="E1242" s="130" t="s">
        <v>1417</v>
      </c>
      <c r="F1242" s="130" t="s">
        <v>2780</v>
      </c>
      <c r="G1242" s="220">
        <v>43797</v>
      </c>
      <c r="H1242" s="130" t="s">
        <v>90</v>
      </c>
      <c r="I1242" s="130" t="s">
        <v>91</v>
      </c>
      <c r="J1242" s="130" t="s">
        <v>92</v>
      </c>
      <c r="K1242" s="130" t="s">
        <v>113</v>
      </c>
      <c r="L1242" s="174" t="s">
        <v>71</v>
      </c>
      <c r="M1242" s="131" t="s">
        <v>72</v>
      </c>
      <c r="N1242" s="130" t="s">
        <v>73</v>
      </c>
      <c r="O1242" s="219" t="s">
        <v>69</v>
      </c>
      <c r="P1242" s="130" t="s">
        <v>1699</v>
      </c>
      <c r="Q1242" s="132" t="s">
        <v>93</v>
      </c>
      <c r="R1242" s="218">
        <v>3.3239999</v>
      </c>
      <c r="S1242" s="129">
        <v>1</v>
      </c>
      <c r="T1242" s="129">
        <v>30</v>
      </c>
      <c r="U1242" s="129">
        <v>30</v>
      </c>
      <c r="V1242" s="129">
        <v>5.4000019999999997</v>
      </c>
      <c r="W1242" s="129">
        <v>35.400002000000001</v>
      </c>
      <c r="X1242" s="27">
        <f t="shared" si="187"/>
        <v>99.719997000000006</v>
      </c>
    </row>
    <row r="1243" spans="1:24" x14ac:dyDescent="0.2">
      <c r="A1243" s="220">
        <v>43850</v>
      </c>
      <c r="B1243" s="130" t="s">
        <v>68</v>
      </c>
      <c r="C1243" s="130" t="s">
        <v>102</v>
      </c>
      <c r="D1243" s="130" t="s">
        <v>2781</v>
      </c>
      <c r="E1243" s="130" t="s">
        <v>1417</v>
      </c>
      <c r="F1243" s="130" t="s">
        <v>2780</v>
      </c>
      <c r="G1243" s="220">
        <v>43797</v>
      </c>
      <c r="H1243" s="130" t="s">
        <v>90</v>
      </c>
      <c r="I1243" s="130" t="s">
        <v>91</v>
      </c>
      <c r="J1243" s="130" t="s">
        <v>95</v>
      </c>
      <c r="K1243" s="130" t="s">
        <v>96</v>
      </c>
      <c r="L1243" s="174" t="s">
        <v>71</v>
      </c>
      <c r="M1243" s="131" t="s">
        <v>72</v>
      </c>
      <c r="N1243" s="130" t="s">
        <v>73</v>
      </c>
      <c r="O1243" s="219" t="s">
        <v>69</v>
      </c>
      <c r="P1243" s="130" t="s">
        <v>1699</v>
      </c>
      <c r="Q1243" s="132" t="s">
        <v>93</v>
      </c>
      <c r="R1243" s="218">
        <v>3.3239999</v>
      </c>
      <c r="S1243" s="129">
        <v>-1</v>
      </c>
      <c r="T1243" s="129">
        <v>100</v>
      </c>
      <c r="U1243" s="129">
        <v>-100</v>
      </c>
      <c r="V1243" s="129">
        <v>-18</v>
      </c>
      <c r="W1243" s="129">
        <v>-118</v>
      </c>
      <c r="X1243" s="27">
        <f t="shared" si="187"/>
        <v>-332.39999</v>
      </c>
    </row>
    <row r="1244" spans="1:24" x14ac:dyDescent="0.2">
      <c r="A1244" s="220">
        <v>43850</v>
      </c>
      <c r="B1244" s="130" t="s">
        <v>68</v>
      </c>
      <c r="C1244" s="130" t="s">
        <v>102</v>
      </c>
      <c r="D1244" s="130" t="s">
        <v>2781</v>
      </c>
      <c r="E1244" s="130" t="s">
        <v>1417</v>
      </c>
      <c r="F1244" s="130" t="s">
        <v>2780</v>
      </c>
      <c r="G1244" s="220">
        <v>43797</v>
      </c>
      <c r="H1244" s="130" t="s">
        <v>90</v>
      </c>
      <c r="I1244" s="130" t="s">
        <v>91</v>
      </c>
      <c r="J1244" s="130" t="s">
        <v>104</v>
      </c>
      <c r="K1244" s="130" t="s">
        <v>105</v>
      </c>
      <c r="L1244" s="174" t="s">
        <v>71</v>
      </c>
      <c r="M1244" s="131" t="s">
        <v>72</v>
      </c>
      <c r="N1244" s="130" t="s">
        <v>73</v>
      </c>
      <c r="O1244" s="219" t="s">
        <v>69</v>
      </c>
      <c r="P1244" s="130" t="s">
        <v>1699</v>
      </c>
      <c r="Q1244" s="132" t="s">
        <v>93</v>
      </c>
      <c r="R1244" s="218">
        <v>3.3239999</v>
      </c>
      <c r="S1244" s="129">
        <v>1</v>
      </c>
      <c r="T1244" s="129">
        <v>0</v>
      </c>
      <c r="U1244" s="129">
        <v>0</v>
      </c>
      <c r="V1244" s="129">
        <v>0</v>
      </c>
      <c r="W1244" s="129">
        <v>0</v>
      </c>
      <c r="X1244" s="27">
        <f t="shared" si="187"/>
        <v>0</v>
      </c>
    </row>
    <row r="1245" spans="1:24" x14ac:dyDescent="0.2">
      <c r="A1245" s="220">
        <v>43851</v>
      </c>
      <c r="B1245" s="130" t="s">
        <v>68</v>
      </c>
      <c r="C1245" s="130" t="s">
        <v>102</v>
      </c>
      <c r="D1245" s="130" t="s">
        <v>2779</v>
      </c>
      <c r="E1245" s="130" t="s">
        <v>2634</v>
      </c>
      <c r="F1245" s="130" t="s">
        <v>2739</v>
      </c>
      <c r="G1245" s="220">
        <v>43837</v>
      </c>
      <c r="H1245" s="130" t="s">
        <v>90</v>
      </c>
      <c r="I1245" s="130" t="s">
        <v>91</v>
      </c>
      <c r="J1245" s="130" t="s">
        <v>97</v>
      </c>
      <c r="K1245" s="130" t="s">
        <v>98</v>
      </c>
      <c r="L1245" s="174" t="s">
        <v>71</v>
      </c>
      <c r="M1245" s="131" t="s">
        <v>72</v>
      </c>
      <c r="N1245" s="130" t="s">
        <v>73</v>
      </c>
      <c r="O1245" s="219" t="s">
        <v>99</v>
      </c>
      <c r="P1245" s="130" t="s">
        <v>98</v>
      </c>
      <c r="Q1245" s="132" t="s">
        <v>93</v>
      </c>
      <c r="R1245" s="218">
        <v>3.323</v>
      </c>
      <c r="S1245" s="129">
        <v>1</v>
      </c>
      <c r="T1245" s="129">
        <v>88.5</v>
      </c>
      <c r="U1245" s="129">
        <v>88.5</v>
      </c>
      <c r="V1245" s="129">
        <v>15.93</v>
      </c>
      <c r="W1245" s="129">
        <v>104.43</v>
      </c>
      <c r="X1245" s="27">
        <f t="shared" si="187"/>
        <v>294.08549999999997</v>
      </c>
    </row>
    <row r="1246" spans="1:24" x14ac:dyDescent="0.2">
      <c r="A1246" s="220">
        <v>43851</v>
      </c>
      <c r="B1246" s="130" t="s">
        <v>68</v>
      </c>
      <c r="C1246" s="130" t="s">
        <v>102</v>
      </c>
      <c r="D1246" s="130" t="s">
        <v>2779</v>
      </c>
      <c r="E1246" s="130" t="s">
        <v>2634</v>
      </c>
      <c r="F1246" s="130" t="s">
        <v>2739</v>
      </c>
      <c r="G1246" s="220">
        <v>43837</v>
      </c>
      <c r="H1246" s="130" t="s">
        <v>90</v>
      </c>
      <c r="I1246" s="130" t="s">
        <v>91</v>
      </c>
      <c r="J1246" s="130" t="s">
        <v>100</v>
      </c>
      <c r="K1246" s="130" t="s">
        <v>101</v>
      </c>
      <c r="L1246" s="174" t="s">
        <v>71</v>
      </c>
      <c r="M1246" s="131" t="s">
        <v>72</v>
      </c>
      <c r="N1246" s="130" t="s">
        <v>73</v>
      </c>
      <c r="O1246" s="219" t="s">
        <v>72</v>
      </c>
      <c r="P1246" s="130" t="s">
        <v>101</v>
      </c>
      <c r="Q1246" s="132" t="s">
        <v>93</v>
      </c>
      <c r="R1246" s="218">
        <v>3.323</v>
      </c>
      <c r="S1246" s="129">
        <v>1</v>
      </c>
      <c r="T1246" s="129">
        <v>270</v>
      </c>
      <c r="U1246" s="129">
        <v>270</v>
      </c>
      <c r="V1246" s="129">
        <v>48.600010000000005</v>
      </c>
      <c r="W1246" s="129">
        <v>318.60001</v>
      </c>
      <c r="X1246" s="27">
        <f t="shared" si="187"/>
        <v>897.21</v>
      </c>
    </row>
    <row r="1247" spans="1:24" x14ac:dyDescent="0.2">
      <c r="A1247" s="220">
        <v>43851</v>
      </c>
      <c r="B1247" s="130" t="s">
        <v>68</v>
      </c>
      <c r="C1247" s="130" t="s">
        <v>102</v>
      </c>
      <c r="D1247" s="130" t="s">
        <v>2779</v>
      </c>
      <c r="E1247" s="130" t="s">
        <v>2634</v>
      </c>
      <c r="F1247" s="130" t="s">
        <v>2739</v>
      </c>
      <c r="G1247" s="220">
        <v>43837</v>
      </c>
      <c r="H1247" s="130" t="s">
        <v>90</v>
      </c>
      <c r="I1247" s="130" t="s">
        <v>91</v>
      </c>
      <c r="J1247" s="130" t="s">
        <v>95</v>
      </c>
      <c r="K1247" s="130" t="s">
        <v>96</v>
      </c>
      <c r="L1247" s="174" t="s">
        <v>71</v>
      </c>
      <c r="M1247" s="131" t="s">
        <v>72</v>
      </c>
      <c r="N1247" s="130" t="s">
        <v>73</v>
      </c>
      <c r="O1247" s="219" t="s">
        <v>69</v>
      </c>
      <c r="P1247" s="130" t="s">
        <v>1699</v>
      </c>
      <c r="Q1247" s="132" t="s">
        <v>93</v>
      </c>
      <c r="R1247" s="218">
        <v>3.323</v>
      </c>
      <c r="S1247" s="129">
        <v>-1</v>
      </c>
      <c r="T1247" s="129">
        <v>100</v>
      </c>
      <c r="U1247" s="129">
        <v>-100</v>
      </c>
      <c r="V1247" s="129">
        <v>-18</v>
      </c>
      <c r="W1247" s="129">
        <v>-118</v>
      </c>
      <c r="X1247" s="27">
        <f t="shared" si="187"/>
        <v>-332.3</v>
      </c>
    </row>
    <row r="1248" spans="1:24" x14ac:dyDescent="0.2">
      <c r="A1248" s="220">
        <v>43851</v>
      </c>
      <c r="B1248" s="130" t="s">
        <v>68</v>
      </c>
      <c r="C1248" s="130" t="s">
        <v>102</v>
      </c>
      <c r="D1248" s="130" t="s">
        <v>2779</v>
      </c>
      <c r="E1248" s="130" t="s">
        <v>2634</v>
      </c>
      <c r="F1248" s="130" t="s">
        <v>2739</v>
      </c>
      <c r="G1248" s="220">
        <v>43837</v>
      </c>
      <c r="H1248" s="130" t="s">
        <v>90</v>
      </c>
      <c r="I1248" s="130" t="s">
        <v>91</v>
      </c>
      <c r="J1248" s="130" t="s">
        <v>104</v>
      </c>
      <c r="K1248" s="130" t="s">
        <v>105</v>
      </c>
      <c r="L1248" s="174" t="s">
        <v>71</v>
      </c>
      <c r="M1248" s="131" t="s">
        <v>72</v>
      </c>
      <c r="N1248" s="130" t="s">
        <v>73</v>
      </c>
      <c r="O1248" s="219" t="s">
        <v>69</v>
      </c>
      <c r="P1248" s="130" t="s">
        <v>1699</v>
      </c>
      <c r="Q1248" s="132" t="s">
        <v>93</v>
      </c>
      <c r="R1248" s="218">
        <v>3.323</v>
      </c>
      <c r="S1248" s="129">
        <v>1</v>
      </c>
      <c r="T1248" s="129">
        <v>0</v>
      </c>
      <c r="U1248" s="129">
        <v>0</v>
      </c>
      <c r="V1248" s="129">
        <v>0</v>
      </c>
      <c r="W1248" s="129">
        <v>0</v>
      </c>
      <c r="X1248" s="27">
        <f t="shared" si="187"/>
        <v>0</v>
      </c>
    </row>
    <row r="1249" spans="1:24" x14ac:dyDescent="0.2">
      <c r="A1249" s="220">
        <v>43852</v>
      </c>
      <c r="B1249" s="130" t="s">
        <v>68</v>
      </c>
      <c r="C1249" s="130" t="s">
        <v>102</v>
      </c>
      <c r="D1249" s="130" t="s">
        <v>2281</v>
      </c>
      <c r="E1249" s="130" t="s">
        <v>2647</v>
      </c>
      <c r="F1249" s="130" t="s">
        <v>2736</v>
      </c>
      <c r="G1249" s="220">
        <v>43844</v>
      </c>
      <c r="H1249" s="130" t="s">
        <v>90</v>
      </c>
      <c r="I1249" s="130" t="s">
        <v>91</v>
      </c>
      <c r="J1249" s="130" t="s">
        <v>97</v>
      </c>
      <c r="K1249" s="130" t="s">
        <v>98</v>
      </c>
      <c r="L1249" s="174" t="s">
        <v>71</v>
      </c>
      <c r="M1249" s="131" t="s">
        <v>72</v>
      </c>
      <c r="N1249" s="130" t="s">
        <v>73</v>
      </c>
      <c r="O1249" s="219" t="s">
        <v>99</v>
      </c>
      <c r="P1249" s="130" t="s">
        <v>98</v>
      </c>
      <c r="Q1249" s="132" t="s">
        <v>93</v>
      </c>
      <c r="R1249" s="218">
        <v>3.3199999000000004</v>
      </c>
      <c r="S1249" s="129">
        <v>1</v>
      </c>
      <c r="T1249" s="129">
        <v>147.5</v>
      </c>
      <c r="U1249" s="129">
        <v>147.5</v>
      </c>
      <c r="V1249" s="129">
        <v>26.55</v>
      </c>
      <c r="W1249" s="129">
        <v>174.05</v>
      </c>
      <c r="X1249" s="27">
        <f t="shared" si="187"/>
        <v>489.69998525000005</v>
      </c>
    </row>
    <row r="1250" spans="1:24" x14ac:dyDescent="0.2">
      <c r="A1250" s="220">
        <v>43852</v>
      </c>
      <c r="B1250" s="130" t="s">
        <v>68</v>
      </c>
      <c r="C1250" s="130" t="s">
        <v>102</v>
      </c>
      <c r="D1250" s="130" t="s">
        <v>2281</v>
      </c>
      <c r="E1250" s="130" t="s">
        <v>2647</v>
      </c>
      <c r="F1250" s="130" t="s">
        <v>2736</v>
      </c>
      <c r="G1250" s="220">
        <v>43844</v>
      </c>
      <c r="H1250" s="130" t="s">
        <v>90</v>
      </c>
      <c r="I1250" s="130" t="s">
        <v>91</v>
      </c>
      <c r="J1250" s="130" t="s">
        <v>100</v>
      </c>
      <c r="K1250" s="130" t="s">
        <v>101</v>
      </c>
      <c r="L1250" s="174" t="s">
        <v>71</v>
      </c>
      <c r="M1250" s="131" t="s">
        <v>72</v>
      </c>
      <c r="N1250" s="130" t="s">
        <v>73</v>
      </c>
      <c r="O1250" s="219" t="s">
        <v>72</v>
      </c>
      <c r="P1250" s="130" t="s">
        <v>101</v>
      </c>
      <c r="Q1250" s="132" t="s">
        <v>93</v>
      </c>
      <c r="R1250" s="218">
        <v>3.3199999000000004</v>
      </c>
      <c r="S1250" s="129">
        <v>1</v>
      </c>
      <c r="T1250" s="129">
        <v>90</v>
      </c>
      <c r="U1250" s="129">
        <v>90</v>
      </c>
      <c r="V1250" s="129">
        <v>16.2</v>
      </c>
      <c r="W1250" s="129">
        <v>106.2</v>
      </c>
      <c r="X1250" s="27">
        <f t="shared" si="187"/>
        <v>298.79999100000003</v>
      </c>
    </row>
    <row r="1251" spans="1:24" x14ac:dyDescent="0.2">
      <c r="A1251" s="220">
        <v>43852</v>
      </c>
      <c r="B1251" s="130" t="s">
        <v>68</v>
      </c>
      <c r="C1251" s="130" t="s">
        <v>102</v>
      </c>
      <c r="D1251" s="130" t="s">
        <v>2281</v>
      </c>
      <c r="E1251" s="130" t="s">
        <v>2647</v>
      </c>
      <c r="F1251" s="130" t="s">
        <v>2736</v>
      </c>
      <c r="G1251" s="220">
        <v>43844</v>
      </c>
      <c r="H1251" s="130" t="s">
        <v>90</v>
      </c>
      <c r="I1251" s="130" t="s">
        <v>91</v>
      </c>
      <c r="J1251" s="130" t="s">
        <v>92</v>
      </c>
      <c r="K1251" s="130" t="s">
        <v>113</v>
      </c>
      <c r="L1251" s="174" t="s">
        <v>71</v>
      </c>
      <c r="M1251" s="131" t="s">
        <v>72</v>
      </c>
      <c r="N1251" s="130" t="s">
        <v>73</v>
      </c>
      <c r="O1251" s="219" t="s">
        <v>69</v>
      </c>
      <c r="P1251" s="130" t="s">
        <v>1699</v>
      </c>
      <c r="Q1251" s="132" t="s">
        <v>93</v>
      </c>
      <c r="R1251" s="218">
        <v>3.3199999000000004</v>
      </c>
      <c r="S1251" s="129">
        <v>1</v>
      </c>
      <c r="T1251" s="129">
        <v>30</v>
      </c>
      <c r="U1251" s="129">
        <v>30</v>
      </c>
      <c r="V1251" s="129">
        <v>5.4000019999999997</v>
      </c>
      <c r="W1251" s="129">
        <v>35.400002000000001</v>
      </c>
      <c r="X1251" s="27">
        <f t="shared" si="187"/>
        <v>99.599997000000016</v>
      </c>
    </row>
    <row r="1252" spans="1:24" x14ac:dyDescent="0.2">
      <c r="A1252" s="220">
        <v>43852</v>
      </c>
      <c r="B1252" s="130" t="s">
        <v>68</v>
      </c>
      <c r="C1252" s="130" t="s">
        <v>102</v>
      </c>
      <c r="D1252" s="130" t="s">
        <v>2281</v>
      </c>
      <c r="E1252" s="130" t="s">
        <v>2647</v>
      </c>
      <c r="F1252" s="130" t="s">
        <v>2736</v>
      </c>
      <c r="G1252" s="220">
        <v>43844</v>
      </c>
      <c r="H1252" s="130" t="s">
        <v>90</v>
      </c>
      <c r="I1252" s="130" t="s">
        <v>91</v>
      </c>
      <c r="J1252" s="130" t="s">
        <v>95</v>
      </c>
      <c r="K1252" s="130" t="s">
        <v>96</v>
      </c>
      <c r="L1252" s="174" t="s">
        <v>71</v>
      </c>
      <c r="M1252" s="131" t="s">
        <v>72</v>
      </c>
      <c r="N1252" s="130" t="s">
        <v>73</v>
      </c>
      <c r="O1252" s="219" t="s">
        <v>69</v>
      </c>
      <c r="P1252" s="130" t="s">
        <v>1699</v>
      </c>
      <c r="Q1252" s="132" t="s">
        <v>93</v>
      </c>
      <c r="R1252" s="218">
        <v>3.3199999000000004</v>
      </c>
      <c r="S1252" s="129">
        <v>-1</v>
      </c>
      <c r="T1252" s="129">
        <v>100</v>
      </c>
      <c r="U1252" s="129">
        <v>-100</v>
      </c>
      <c r="V1252" s="129">
        <v>-18</v>
      </c>
      <c r="W1252" s="129">
        <v>-118</v>
      </c>
      <c r="X1252" s="27">
        <f t="shared" si="187"/>
        <v>-331.99999000000003</v>
      </c>
    </row>
    <row r="1253" spans="1:24" x14ac:dyDescent="0.2">
      <c r="A1253" s="220">
        <v>43852</v>
      </c>
      <c r="B1253" s="130" t="s">
        <v>68</v>
      </c>
      <c r="C1253" s="130" t="s">
        <v>102</v>
      </c>
      <c r="D1253" s="130" t="s">
        <v>2281</v>
      </c>
      <c r="E1253" s="130" t="s">
        <v>2647</v>
      </c>
      <c r="F1253" s="130" t="s">
        <v>2736</v>
      </c>
      <c r="G1253" s="220">
        <v>43844</v>
      </c>
      <c r="H1253" s="130" t="s">
        <v>90</v>
      </c>
      <c r="I1253" s="130" t="s">
        <v>91</v>
      </c>
      <c r="J1253" s="130" t="s">
        <v>104</v>
      </c>
      <c r="K1253" s="130" t="s">
        <v>105</v>
      </c>
      <c r="L1253" s="174" t="s">
        <v>71</v>
      </c>
      <c r="M1253" s="131" t="s">
        <v>72</v>
      </c>
      <c r="N1253" s="130" t="s">
        <v>73</v>
      </c>
      <c r="O1253" s="219" t="s">
        <v>69</v>
      </c>
      <c r="P1253" s="130" t="s">
        <v>1699</v>
      </c>
      <c r="Q1253" s="132" t="s">
        <v>93</v>
      </c>
      <c r="R1253" s="218">
        <v>3.3199999000000004</v>
      </c>
      <c r="S1253" s="129">
        <v>1</v>
      </c>
      <c r="T1253" s="129">
        <v>0</v>
      </c>
      <c r="U1253" s="129">
        <v>0</v>
      </c>
      <c r="V1253" s="129">
        <v>0</v>
      </c>
      <c r="W1253" s="129">
        <v>0</v>
      </c>
      <c r="X1253" s="27">
        <f t="shared" si="187"/>
        <v>0</v>
      </c>
    </row>
    <row r="1254" spans="1:24" x14ac:dyDescent="0.2">
      <c r="A1254" s="220">
        <v>43853</v>
      </c>
      <c r="B1254" s="130" t="s">
        <v>68</v>
      </c>
      <c r="C1254" s="130" t="s">
        <v>102</v>
      </c>
      <c r="D1254" s="130" t="s">
        <v>2259</v>
      </c>
      <c r="E1254" s="130" t="s">
        <v>2521</v>
      </c>
      <c r="F1254" s="130" t="s">
        <v>2328</v>
      </c>
      <c r="G1254" s="220">
        <v>43838</v>
      </c>
      <c r="H1254" s="130" t="s">
        <v>90</v>
      </c>
      <c r="I1254" s="130" t="s">
        <v>91</v>
      </c>
      <c r="J1254" s="130" t="s">
        <v>97</v>
      </c>
      <c r="K1254" s="130" t="s">
        <v>98</v>
      </c>
      <c r="L1254" s="174" t="s">
        <v>71</v>
      </c>
      <c r="M1254" s="131" t="s">
        <v>72</v>
      </c>
      <c r="N1254" s="130" t="s">
        <v>73</v>
      </c>
      <c r="O1254" s="219" t="s">
        <v>99</v>
      </c>
      <c r="P1254" s="130" t="s">
        <v>98</v>
      </c>
      <c r="Q1254" s="132" t="s">
        <v>93</v>
      </c>
      <c r="R1254" s="218">
        <v>3.3169999000000003</v>
      </c>
      <c r="S1254" s="129">
        <v>1</v>
      </c>
      <c r="T1254" s="129">
        <v>147.5</v>
      </c>
      <c r="U1254" s="129">
        <v>147.5</v>
      </c>
      <c r="V1254" s="129">
        <v>26.55</v>
      </c>
      <c r="W1254" s="129">
        <v>174.05</v>
      </c>
      <c r="X1254" s="27">
        <f t="shared" si="187"/>
        <v>489.25748525000006</v>
      </c>
    </row>
    <row r="1255" spans="1:24" x14ac:dyDescent="0.2">
      <c r="A1255" s="220">
        <v>43853</v>
      </c>
      <c r="B1255" s="130" t="s">
        <v>68</v>
      </c>
      <c r="C1255" s="130" t="s">
        <v>102</v>
      </c>
      <c r="D1255" s="130" t="s">
        <v>2259</v>
      </c>
      <c r="E1255" s="130" t="s">
        <v>2521</v>
      </c>
      <c r="F1255" s="130" t="s">
        <v>2328</v>
      </c>
      <c r="G1255" s="220">
        <v>43838</v>
      </c>
      <c r="H1255" s="130" t="s">
        <v>90</v>
      </c>
      <c r="I1255" s="130" t="s">
        <v>91</v>
      </c>
      <c r="J1255" s="130" t="s">
        <v>100</v>
      </c>
      <c r="K1255" s="130" t="s">
        <v>101</v>
      </c>
      <c r="L1255" s="174" t="s">
        <v>71</v>
      </c>
      <c r="M1255" s="131" t="s">
        <v>72</v>
      </c>
      <c r="N1255" s="130" t="s">
        <v>73</v>
      </c>
      <c r="O1255" s="219" t="s">
        <v>72</v>
      </c>
      <c r="P1255" s="130" t="s">
        <v>101</v>
      </c>
      <c r="Q1255" s="132" t="s">
        <v>93</v>
      </c>
      <c r="R1255" s="218">
        <v>3.3169999000000003</v>
      </c>
      <c r="S1255" s="129">
        <v>1</v>
      </c>
      <c r="T1255" s="129">
        <v>105</v>
      </c>
      <c r="U1255" s="129">
        <v>105</v>
      </c>
      <c r="V1255" s="129">
        <v>18.899999999999999</v>
      </c>
      <c r="W1255" s="129">
        <v>123.9</v>
      </c>
      <c r="X1255" s="27">
        <f t="shared" si="187"/>
        <v>348.28498950000005</v>
      </c>
    </row>
    <row r="1256" spans="1:24" x14ac:dyDescent="0.2">
      <c r="A1256" s="220">
        <v>43853</v>
      </c>
      <c r="B1256" s="130" t="s">
        <v>68</v>
      </c>
      <c r="C1256" s="130" t="s">
        <v>102</v>
      </c>
      <c r="D1256" s="130" t="s">
        <v>2259</v>
      </c>
      <c r="E1256" s="130" t="s">
        <v>2521</v>
      </c>
      <c r="F1256" s="130" t="s">
        <v>2328</v>
      </c>
      <c r="G1256" s="220">
        <v>43838</v>
      </c>
      <c r="H1256" s="130" t="s">
        <v>90</v>
      </c>
      <c r="I1256" s="130" t="s">
        <v>91</v>
      </c>
      <c r="J1256" s="130" t="s">
        <v>92</v>
      </c>
      <c r="K1256" s="130" t="s">
        <v>113</v>
      </c>
      <c r="L1256" s="174" t="s">
        <v>71</v>
      </c>
      <c r="M1256" s="131" t="s">
        <v>72</v>
      </c>
      <c r="N1256" s="130" t="s">
        <v>73</v>
      </c>
      <c r="O1256" s="219" t="s">
        <v>69</v>
      </c>
      <c r="P1256" s="130" t="s">
        <v>1699</v>
      </c>
      <c r="Q1256" s="132" t="s">
        <v>93</v>
      </c>
      <c r="R1256" s="218">
        <v>3.3169999000000003</v>
      </c>
      <c r="S1256" s="129">
        <v>1</v>
      </c>
      <c r="T1256" s="129">
        <v>95</v>
      </c>
      <c r="U1256" s="129">
        <v>95</v>
      </c>
      <c r="V1256" s="129">
        <v>17.100000000000001</v>
      </c>
      <c r="W1256" s="129">
        <v>112.1</v>
      </c>
      <c r="X1256" s="27">
        <f t="shared" si="187"/>
        <v>315.11499050000003</v>
      </c>
    </row>
    <row r="1257" spans="1:24" x14ac:dyDescent="0.2">
      <c r="A1257" s="220">
        <v>43853</v>
      </c>
      <c r="B1257" s="130" t="s">
        <v>68</v>
      </c>
      <c r="C1257" s="130" t="s">
        <v>102</v>
      </c>
      <c r="D1257" s="130" t="s">
        <v>2259</v>
      </c>
      <c r="E1257" s="130" t="s">
        <v>2521</v>
      </c>
      <c r="F1257" s="130" t="s">
        <v>2328</v>
      </c>
      <c r="G1257" s="220">
        <v>43838</v>
      </c>
      <c r="H1257" s="130" t="s">
        <v>90</v>
      </c>
      <c r="I1257" s="130" t="s">
        <v>91</v>
      </c>
      <c r="J1257" s="130" t="s">
        <v>70</v>
      </c>
      <c r="K1257" s="130" t="s">
        <v>112</v>
      </c>
      <c r="L1257" s="174" t="s">
        <v>71</v>
      </c>
      <c r="M1257" s="131" t="s">
        <v>72</v>
      </c>
      <c r="N1257" s="130" t="s">
        <v>73</v>
      </c>
      <c r="O1257" s="219" t="s">
        <v>69</v>
      </c>
      <c r="P1257" s="130" t="s">
        <v>1699</v>
      </c>
      <c r="Q1257" s="132" t="s">
        <v>93</v>
      </c>
      <c r="R1257" s="218">
        <v>3.3169999000000003</v>
      </c>
      <c r="S1257" s="129">
        <v>1</v>
      </c>
      <c r="T1257" s="129">
        <v>30</v>
      </c>
      <c r="U1257" s="129">
        <v>30</v>
      </c>
      <c r="V1257" s="129">
        <v>5.4000019999999997</v>
      </c>
      <c r="W1257" s="129">
        <v>35.400002000000001</v>
      </c>
      <c r="X1257" s="27">
        <f t="shared" si="187"/>
        <v>99.509997000000013</v>
      </c>
    </row>
    <row r="1258" spans="1:24" x14ac:dyDescent="0.2">
      <c r="A1258" s="220">
        <v>43853</v>
      </c>
      <c r="B1258" s="130" t="s">
        <v>68</v>
      </c>
      <c r="C1258" s="130" t="s">
        <v>102</v>
      </c>
      <c r="D1258" s="130" t="s">
        <v>2259</v>
      </c>
      <c r="E1258" s="130" t="s">
        <v>2521</v>
      </c>
      <c r="F1258" s="130" t="s">
        <v>2328</v>
      </c>
      <c r="G1258" s="220">
        <v>43838</v>
      </c>
      <c r="H1258" s="130" t="s">
        <v>90</v>
      </c>
      <c r="I1258" s="130" t="s">
        <v>91</v>
      </c>
      <c r="J1258" s="130" t="s">
        <v>95</v>
      </c>
      <c r="K1258" s="130" t="s">
        <v>96</v>
      </c>
      <c r="L1258" s="174" t="s">
        <v>71</v>
      </c>
      <c r="M1258" s="131" t="s">
        <v>72</v>
      </c>
      <c r="N1258" s="130" t="s">
        <v>73</v>
      </c>
      <c r="O1258" s="219" t="s">
        <v>69</v>
      </c>
      <c r="P1258" s="130" t="s">
        <v>1699</v>
      </c>
      <c r="Q1258" s="132" t="s">
        <v>93</v>
      </c>
      <c r="R1258" s="218">
        <v>3.3169999000000003</v>
      </c>
      <c r="S1258" s="129">
        <v>-1</v>
      </c>
      <c r="T1258" s="129">
        <v>315.43218999999999</v>
      </c>
      <c r="U1258" s="129">
        <v>-315.43218999999999</v>
      </c>
      <c r="V1258" s="129">
        <v>-56.777800000000063</v>
      </c>
      <c r="W1258" s="129">
        <v>-372.20999000000006</v>
      </c>
      <c r="X1258" s="27">
        <f t="shared" si="187"/>
        <v>-1046.2885426867811</v>
      </c>
    </row>
    <row r="1259" spans="1:24" x14ac:dyDescent="0.2">
      <c r="A1259" s="220">
        <v>43853</v>
      </c>
      <c r="B1259" s="130" t="s">
        <v>68</v>
      </c>
      <c r="C1259" s="130" t="s">
        <v>102</v>
      </c>
      <c r="D1259" s="130" t="s">
        <v>2259</v>
      </c>
      <c r="E1259" s="130" t="s">
        <v>2521</v>
      </c>
      <c r="F1259" s="130" t="s">
        <v>2328</v>
      </c>
      <c r="G1259" s="220">
        <v>43838</v>
      </c>
      <c r="H1259" s="130" t="s">
        <v>90</v>
      </c>
      <c r="I1259" s="130" t="s">
        <v>91</v>
      </c>
      <c r="J1259" s="130" t="s">
        <v>104</v>
      </c>
      <c r="K1259" s="130" t="s">
        <v>105</v>
      </c>
      <c r="L1259" s="174" t="s">
        <v>71</v>
      </c>
      <c r="M1259" s="131" t="s">
        <v>72</v>
      </c>
      <c r="N1259" s="130" t="s">
        <v>73</v>
      </c>
      <c r="O1259" s="219" t="s">
        <v>69</v>
      </c>
      <c r="P1259" s="130" t="s">
        <v>1699</v>
      </c>
      <c r="Q1259" s="132" t="s">
        <v>93</v>
      </c>
      <c r="R1259" s="218">
        <v>3.3169999000000003</v>
      </c>
      <c r="S1259" s="129">
        <v>1</v>
      </c>
      <c r="T1259" s="129">
        <v>0</v>
      </c>
      <c r="U1259" s="129">
        <v>0</v>
      </c>
      <c r="V1259" s="129">
        <v>0</v>
      </c>
      <c r="W1259" s="129">
        <v>0</v>
      </c>
      <c r="X1259" s="27">
        <f t="shared" si="187"/>
        <v>0</v>
      </c>
    </row>
    <row r="1260" spans="1:24" x14ac:dyDescent="0.2">
      <c r="A1260" s="220">
        <v>43853</v>
      </c>
      <c r="B1260" s="130" t="s">
        <v>68</v>
      </c>
      <c r="C1260" s="130" t="s">
        <v>102</v>
      </c>
      <c r="D1260" s="130" t="s">
        <v>2143</v>
      </c>
      <c r="E1260" s="130" t="s">
        <v>2519</v>
      </c>
      <c r="F1260" s="130" t="s">
        <v>2520</v>
      </c>
      <c r="G1260" s="220">
        <v>43843</v>
      </c>
      <c r="H1260" s="130" t="s">
        <v>90</v>
      </c>
      <c r="I1260" s="130" t="s">
        <v>91</v>
      </c>
      <c r="J1260" s="130" t="s">
        <v>97</v>
      </c>
      <c r="K1260" s="130" t="s">
        <v>98</v>
      </c>
      <c r="L1260" s="174" t="s">
        <v>71</v>
      </c>
      <c r="M1260" s="131" t="s">
        <v>72</v>
      </c>
      <c r="N1260" s="130" t="s">
        <v>73</v>
      </c>
      <c r="O1260" s="219" t="s">
        <v>99</v>
      </c>
      <c r="P1260" s="130" t="s">
        <v>98</v>
      </c>
      <c r="Q1260" s="132" t="s">
        <v>93</v>
      </c>
      <c r="R1260" s="218">
        <v>3.3169999000000003</v>
      </c>
      <c r="S1260" s="129">
        <v>1</v>
      </c>
      <c r="T1260" s="129">
        <v>280.25421</v>
      </c>
      <c r="U1260" s="129">
        <v>280.25420999999994</v>
      </c>
      <c r="V1260" s="129">
        <v>50.445800000000126</v>
      </c>
      <c r="W1260" s="129">
        <v>330.70001000000013</v>
      </c>
      <c r="X1260" s="27">
        <f t="shared" si="187"/>
        <v>929.60318654457888</v>
      </c>
    </row>
    <row r="1261" spans="1:24" x14ac:dyDescent="0.2">
      <c r="A1261" s="220">
        <v>43853</v>
      </c>
      <c r="B1261" s="130" t="s">
        <v>68</v>
      </c>
      <c r="C1261" s="130" t="s">
        <v>102</v>
      </c>
      <c r="D1261" s="130" t="s">
        <v>2143</v>
      </c>
      <c r="E1261" s="130" t="s">
        <v>2519</v>
      </c>
      <c r="F1261" s="130" t="s">
        <v>2520</v>
      </c>
      <c r="G1261" s="220">
        <v>43843</v>
      </c>
      <c r="H1261" s="130" t="s">
        <v>90</v>
      </c>
      <c r="I1261" s="130" t="s">
        <v>91</v>
      </c>
      <c r="J1261" s="130" t="s">
        <v>100</v>
      </c>
      <c r="K1261" s="130" t="s">
        <v>101</v>
      </c>
      <c r="L1261" s="174" t="s">
        <v>71</v>
      </c>
      <c r="M1261" s="131" t="s">
        <v>72</v>
      </c>
      <c r="N1261" s="130" t="s">
        <v>73</v>
      </c>
      <c r="O1261" s="219" t="s">
        <v>72</v>
      </c>
      <c r="P1261" s="130" t="s">
        <v>101</v>
      </c>
      <c r="Q1261" s="132" t="s">
        <v>93</v>
      </c>
      <c r="R1261" s="218">
        <v>3.3169999000000003</v>
      </c>
      <c r="S1261" s="129">
        <v>1</v>
      </c>
      <c r="T1261" s="129">
        <v>285</v>
      </c>
      <c r="U1261" s="129">
        <v>285</v>
      </c>
      <c r="V1261" s="129">
        <v>51.299990000000037</v>
      </c>
      <c r="W1261" s="129">
        <v>336.29999000000004</v>
      </c>
      <c r="X1261" s="27">
        <f t="shared" si="187"/>
        <v>945.34497150000004</v>
      </c>
    </row>
    <row r="1262" spans="1:24" x14ac:dyDescent="0.2">
      <c r="A1262" s="220">
        <v>43853</v>
      </c>
      <c r="B1262" s="130" t="s">
        <v>68</v>
      </c>
      <c r="C1262" s="130" t="s">
        <v>102</v>
      </c>
      <c r="D1262" s="130" t="s">
        <v>2143</v>
      </c>
      <c r="E1262" s="130" t="s">
        <v>2519</v>
      </c>
      <c r="F1262" s="130" t="s">
        <v>2520</v>
      </c>
      <c r="G1262" s="220">
        <v>43843</v>
      </c>
      <c r="H1262" s="130" t="s">
        <v>90</v>
      </c>
      <c r="I1262" s="130" t="s">
        <v>91</v>
      </c>
      <c r="J1262" s="130" t="s">
        <v>92</v>
      </c>
      <c r="K1262" s="130" t="s">
        <v>113</v>
      </c>
      <c r="L1262" s="174" t="s">
        <v>71</v>
      </c>
      <c r="M1262" s="131" t="s">
        <v>72</v>
      </c>
      <c r="N1262" s="130" t="s">
        <v>73</v>
      </c>
      <c r="O1262" s="219" t="s">
        <v>69</v>
      </c>
      <c r="P1262" s="130" t="s">
        <v>1699</v>
      </c>
      <c r="Q1262" s="132" t="s">
        <v>93</v>
      </c>
      <c r="R1262" s="218">
        <v>3.3169999000000003</v>
      </c>
      <c r="S1262" s="129">
        <v>1</v>
      </c>
      <c r="T1262" s="129">
        <v>70</v>
      </c>
      <c r="U1262" s="129">
        <v>70</v>
      </c>
      <c r="V1262" s="129">
        <v>12.599997999999978</v>
      </c>
      <c r="W1262" s="129">
        <v>82.599997999999971</v>
      </c>
      <c r="X1262" s="27">
        <f t="shared" si="187"/>
        <v>232.18999300000002</v>
      </c>
    </row>
    <row r="1263" spans="1:24" x14ac:dyDescent="0.2">
      <c r="A1263" s="220">
        <v>43853</v>
      </c>
      <c r="B1263" s="130" t="s">
        <v>68</v>
      </c>
      <c r="C1263" s="130" t="s">
        <v>102</v>
      </c>
      <c r="D1263" s="130" t="s">
        <v>2143</v>
      </c>
      <c r="E1263" s="130" t="s">
        <v>2519</v>
      </c>
      <c r="F1263" s="130" t="s">
        <v>2520</v>
      </c>
      <c r="G1263" s="220">
        <v>43843</v>
      </c>
      <c r="H1263" s="130" t="s">
        <v>90</v>
      </c>
      <c r="I1263" s="130" t="s">
        <v>91</v>
      </c>
      <c r="J1263" s="130" t="s">
        <v>70</v>
      </c>
      <c r="K1263" s="130" t="s">
        <v>112</v>
      </c>
      <c r="L1263" s="174" t="s">
        <v>71</v>
      </c>
      <c r="M1263" s="131" t="s">
        <v>72</v>
      </c>
      <c r="N1263" s="130" t="s">
        <v>73</v>
      </c>
      <c r="O1263" s="219" t="s">
        <v>69</v>
      </c>
      <c r="P1263" s="130" t="s">
        <v>1699</v>
      </c>
      <c r="Q1263" s="132" t="s">
        <v>93</v>
      </c>
      <c r="R1263" s="218">
        <v>3.3169999000000003</v>
      </c>
      <c r="S1263" s="129">
        <v>1</v>
      </c>
      <c r="T1263" s="129">
        <v>30</v>
      </c>
      <c r="U1263" s="129">
        <v>30</v>
      </c>
      <c r="V1263" s="129">
        <v>5.4000019999999997</v>
      </c>
      <c r="W1263" s="129">
        <v>35.400002000000001</v>
      </c>
      <c r="X1263" s="27">
        <f t="shared" si="187"/>
        <v>99.509997000000013</v>
      </c>
    </row>
    <row r="1264" spans="1:24" x14ac:dyDescent="0.2">
      <c r="A1264" s="220">
        <v>43853</v>
      </c>
      <c r="B1264" s="130" t="s">
        <v>68</v>
      </c>
      <c r="C1264" s="130" t="s">
        <v>102</v>
      </c>
      <c r="D1264" s="130" t="s">
        <v>2143</v>
      </c>
      <c r="E1264" s="130" t="s">
        <v>2519</v>
      </c>
      <c r="F1264" s="130" t="s">
        <v>2520</v>
      </c>
      <c r="G1264" s="220">
        <v>43843</v>
      </c>
      <c r="H1264" s="130" t="s">
        <v>90</v>
      </c>
      <c r="I1264" s="130" t="s">
        <v>91</v>
      </c>
      <c r="J1264" s="130" t="s">
        <v>95</v>
      </c>
      <c r="K1264" s="130" t="s">
        <v>96</v>
      </c>
      <c r="L1264" s="174" t="s">
        <v>71</v>
      </c>
      <c r="M1264" s="131" t="s">
        <v>72</v>
      </c>
      <c r="N1264" s="130" t="s">
        <v>73</v>
      </c>
      <c r="O1264" s="219" t="s">
        <v>69</v>
      </c>
      <c r="P1264" s="130" t="s">
        <v>1699</v>
      </c>
      <c r="Q1264" s="132" t="s">
        <v>93</v>
      </c>
      <c r="R1264" s="218">
        <v>3.3169999000000003</v>
      </c>
      <c r="S1264" s="129">
        <v>-1</v>
      </c>
      <c r="T1264" s="129">
        <v>156.3475</v>
      </c>
      <c r="U1264" s="129">
        <v>-156.3475</v>
      </c>
      <c r="V1264" s="129">
        <v>-28.142510000000001</v>
      </c>
      <c r="W1264" s="129">
        <v>-184.49001000000001</v>
      </c>
      <c r="X1264" s="27">
        <f t="shared" si="187"/>
        <v>-518.60464186525007</v>
      </c>
    </row>
    <row r="1265" spans="1:24" x14ac:dyDescent="0.2">
      <c r="A1265" s="220">
        <v>43853</v>
      </c>
      <c r="B1265" s="130" t="s">
        <v>68</v>
      </c>
      <c r="C1265" s="130" t="s">
        <v>102</v>
      </c>
      <c r="D1265" s="130" t="s">
        <v>2143</v>
      </c>
      <c r="E1265" s="130" t="s">
        <v>2519</v>
      </c>
      <c r="F1265" s="130" t="s">
        <v>2520</v>
      </c>
      <c r="G1265" s="220">
        <v>43843</v>
      </c>
      <c r="H1265" s="130" t="s">
        <v>90</v>
      </c>
      <c r="I1265" s="130" t="s">
        <v>91</v>
      </c>
      <c r="J1265" s="130" t="s">
        <v>104</v>
      </c>
      <c r="K1265" s="130" t="s">
        <v>105</v>
      </c>
      <c r="L1265" s="174" t="s">
        <v>71</v>
      </c>
      <c r="M1265" s="131" t="s">
        <v>72</v>
      </c>
      <c r="N1265" s="130" t="s">
        <v>73</v>
      </c>
      <c r="O1265" s="219" t="s">
        <v>69</v>
      </c>
      <c r="P1265" s="130" t="s">
        <v>1699</v>
      </c>
      <c r="Q1265" s="132" t="s">
        <v>93</v>
      </c>
      <c r="R1265" s="218">
        <v>3.3169999000000003</v>
      </c>
      <c r="S1265" s="129">
        <v>1</v>
      </c>
      <c r="T1265" s="129">
        <v>0</v>
      </c>
      <c r="U1265" s="129">
        <v>0</v>
      </c>
      <c r="V1265" s="129">
        <v>0</v>
      </c>
      <c r="W1265" s="129">
        <v>0</v>
      </c>
      <c r="X1265" s="27">
        <f t="shared" si="187"/>
        <v>0</v>
      </c>
    </row>
    <row r="1266" spans="1:24" x14ac:dyDescent="0.2">
      <c r="A1266" s="220">
        <v>43853</v>
      </c>
      <c r="B1266" s="130" t="s">
        <v>68</v>
      </c>
      <c r="C1266" s="130" t="s">
        <v>102</v>
      </c>
      <c r="D1266" s="130" t="s">
        <v>2778</v>
      </c>
      <c r="E1266" s="130" t="s">
        <v>2652</v>
      </c>
      <c r="F1266" s="130" t="s">
        <v>2777</v>
      </c>
      <c r="G1266" s="220">
        <v>43846</v>
      </c>
      <c r="H1266" s="130" t="s">
        <v>2776</v>
      </c>
      <c r="I1266" s="130" t="s">
        <v>2775</v>
      </c>
      <c r="J1266" s="130" t="s">
        <v>97</v>
      </c>
      <c r="K1266" s="130" t="s">
        <v>98</v>
      </c>
      <c r="L1266" s="174" t="s">
        <v>71</v>
      </c>
      <c r="M1266" s="131" t="s">
        <v>72</v>
      </c>
      <c r="N1266" s="130" t="s">
        <v>73</v>
      </c>
      <c r="O1266" s="219" t="s">
        <v>99</v>
      </c>
      <c r="P1266" s="130" t="s">
        <v>98</v>
      </c>
      <c r="Q1266" s="132" t="s">
        <v>93</v>
      </c>
      <c r="R1266" s="218">
        <v>3.3169999000000003</v>
      </c>
      <c r="S1266" s="129">
        <v>1</v>
      </c>
      <c r="T1266" s="129">
        <v>270</v>
      </c>
      <c r="U1266" s="129">
        <v>270</v>
      </c>
      <c r="V1266" s="129">
        <v>48.600010000000005</v>
      </c>
      <c r="W1266" s="129">
        <v>318.60001</v>
      </c>
      <c r="X1266" s="27">
        <f t="shared" si="187"/>
        <v>895.5899730000001</v>
      </c>
    </row>
    <row r="1267" spans="1:24" x14ac:dyDescent="0.2">
      <c r="A1267" s="220">
        <v>43853</v>
      </c>
      <c r="B1267" s="130" t="s">
        <v>68</v>
      </c>
      <c r="C1267" s="130" t="s">
        <v>102</v>
      </c>
      <c r="D1267" s="130" t="s">
        <v>2778</v>
      </c>
      <c r="E1267" s="130" t="s">
        <v>2652</v>
      </c>
      <c r="F1267" s="130" t="s">
        <v>2777</v>
      </c>
      <c r="G1267" s="220">
        <v>43846</v>
      </c>
      <c r="H1267" s="130" t="s">
        <v>2776</v>
      </c>
      <c r="I1267" s="130" t="s">
        <v>2775</v>
      </c>
      <c r="J1267" s="130" t="s">
        <v>100</v>
      </c>
      <c r="K1267" s="130" t="s">
        <v>101</v>
      </c>
      <c r="L1267" s="174" t="s">
        <v>71</v>
      </c>
      <c r="M1267" s="131" t="s">
        <v>72</v>
      </c>
      <c r="N1267" s="130" t="s">
        <v>73</v>
      </c>
      <c r="O1267" s="219" t="s">
        <v>72</v>
      </c>
      <c r="P1267" s="130" t="s">
        <v>101</v>
      </c>
      <c r="Q1267" s="132" t="s">
        <v>93</v>
      </c>
      <c r="R1267" s="218">
        <v>3.3169999000000003</v>
      </c>
      <c r="S1267" s="129">
        <v>1</v>
      </c>
      <c r="T1267" s="129">
        <v>105</v>
      </c>
      <c r="U1267" s="129">
        <v>105</v>
      </c>
      <c r="V1267" s="129">
        <v>18.899999999999999</v>
      </c>
      <c r="W1267" s="129">
        <v>123.9</v>
      </c>
      <c r="X1267" s="27">
        <f t="shared" si="187"/>
        <v>348.28498950000005</v>
      </c>
    </row>
    <row r="1268" spans="1:24" x14ac:dyDescent="0.2">
      <c r="A1268" s="220">
        <v>43853</v>
      </c>
      <c r="B1268" s="130" t="s">
        <v>68</v>
      </c>
      <c r="C1268" s="130" t="s">
        <v>102</v>
      </c>
      <c r="D1268" s="130" t="s">
        <v>2778</v>
      </c>
      <c r="E1268" s="130" t="s">
        <v>2652</v>
      </c>
      <c r="F1268" s="130" t="s">
        <v>2777</v>
      </c>
      <c r="G1268" s="220">
        <v>43846</v>
      </c>
      <c r="H1268" s="130" t="s">
        <v>2776</v>
      </c>
      <c r="I1268" s="130" t="s">
        <v>2775</v>
      </c>
      <c r="J1268" s="130" t="s">
        <v>92</v>
      </c>
      <c r="K1268" s="130" t="s">
        <v>113</v>
      </c>
      <c r="L1268" s="174" t="s">
        <v>71</v>
      </c>
      <c r="M1268" s="131" t="s">
        <v>72</v>
      </c>
      <c r="N1268" s="130" t="s">
        <v>73</v>
      </c>
      <c r="O1268" s="219" t="s">
        <v>69</v>
      </c>
      <c r="P1268" s="130" t="s">
        <v>1699</v>
      </c>
      <c r="Q1268" s="132" t="s">
        <v>93</v>
      </c>
      <c r="R1268" s="218">
        <v>3.3169999000000003</v>
      </c>
      <c r="S1268" s="129">
        <v>1</v>
      </c>
      <c r="T1268" s="129">
        <v>48.728801999999995</v>
      </c>
      <c r="U1268" s="129">
        <v>48.728801999999995</v>
      </c>
      <c r="V1268" s="129">
        <v>8.7711980000000036</v>
      </c>
      <c r="W1268" s="129">
        <v>57.5</v>
      </c>
      <c r="X1268" s="27">
        <f t="shared" si="187"/>
        <v>161.63343136111979</v>
      </c>
    </row>
    <row r="1269" spans="1:24" x14ac:dyDescent="0.2">
      <c r="A1269" s="220">
        <v>43854</v>
      </c>
      <c r="B1269" s="130" t="s">
        <v>68</v>
      </c>
      <c r="C1269" s="130" t="s">
        <v>102</v>
      </c>
      <c r="D1269" s="130" t="s">
        <v>2774</v>
      </c>
      <c r="E1269" s="130" t="s">
        <v>2726</v>
      </c>
      <c r="F1269" s="130" t="s">
        <v>2725</v>
      </c>
      <c r="G1269" s="220">
        <v>43845</v>
      </c>
      <c r="H1269" s="130" t="s">
        <v>90</v>
      </c>
      <c r="I1269" s="130" t="s">
        <v>91</v>
      </c>
      <c r="J1269" s="130" t="s">
        <v>97</v>
      </c>
      <c r="K1269" s="130" t="s">
        <v>98</v>
      </c>
      <c r="L1269" s="174" t="s">
        <v>71</v>
      </c>
      <c r="M1269" s="131" t="s">
        <v>72</v>
      </c>
      <c r="N1269" s="130" t="s">
        <v>73</v>
      </c>
      <c r="O1269" s="219" t="s">
        <v>99</v>
      </c>
      <c r="P1269" s="130" t="s">
        <v>98</v>
      </c>
      <c r="Q1269" s="132" t="s">
        <v>93</v>
      </c>
      <c r="R1269" s="218">
        <v>3.3220000000000001</v>
      </c>
      <c r="S1269" s="129">
        <v>1</v>
      </c>
      <c r="T1269" s="129">
        <v>191.75419999999997</v>
      </c>
      <c r="U1269" s="129">
        <v>191.75419999999997</v>
      </c>
      <c r="V1269" s="129">
        <v>34.51580000000002</v>
      </c>
      <c r="W1269" s="129">
        <v>226.27</v>
      </c>
      <c r="X1269" s="27">
        <f t="shared" si="187"/>
        <v>637.00745239999992</v>
      </c>
    </row>
    <row r="1270" spans="1:24" x14ac:dyDescent="0.2">
      <c r="A1270" s="220">
        <v>43854</v>
      </c>
      <c r="B1270" s="130" t="s">
        <v>68</v>
      </c>
      <c r="C1270" s="130" t="s">
        <v>102</v>
      </c>
      <c r="D1270" s="130" t="s">
        <v>2774</v>
      </c>
      <c r="E1270" s="130" t="s">
        <v>2726</v>
      </c>
      <c r="F1270" s="130" t="s">
        <v>2725</v>
      </c>
      <c r="G1270" s="220">
        <v>43845</v>
      </c>
      <c r="H1270" s="130" t="s">
        <v>90</v>
      </c>
      <c r="I1270" s="130" t="s">
        <v>91</v>
      </c>
      <c r="J1270" s="130" t="s">
        <v>100</v>
      </c>
      <c r="K1270" s="130" t="s">
        <v>101</v>
      </c>
      <c r="L1270" s="174" t="s">
        <v>71</v>
      </c>
      <c r="M1270" s="131" t="s">
        <v>72</v>
      </c>
      <c r="N1270" s="130" t="s">
        <v>73</v>
      </c>
      <c r="O1270" s="219" t="s">
        <v>72</v>
      </c>
      <c r="P1270" s="130" t="s">
        <v>101</v>
      </c>
      <c r="Q1270" s="132" t="s">
        <v>93</v>
      </c>
      <c r="R1270" s="218">
        <v>3.3220000000000001</v>
      </c>
      <c r="S1270" s="129">
        <v>1</v>
      </c>
      <c r="T1270" s="129">
        <v>131.25419999999997</v>
      </c>
      <c r="U1270" s="129">
        <v>131.25419999999997</v>
      </c>
      <c r="V1270" s="129">
        <v>23.625800000000016</v>
      </c>
      <c r="W1270" s="129">
        <v>154.88</v>
      </c>
      <c r="X1270" s="27">
        <f t="shared" si="187"/>
        <v>436.02645239999993</v>
      </c>
    </row>
    <row r="1271" spans="1:24" x14ac:dyDescent="0.2">
      <c r="A1271" s="220">
        <v>43854</v>
      </c>
      <c r="B1271" s="130" t="s">
        <v>68</v>
      </c>
      <c r="C1271" s="130" t="s">
        <v>102</v>
      </c>
      <c r="D1271" s="130" t="s">
        <v>2774</v>
      </c>
      <c r="E1271" s="130" t="s">
        <v>2726</v>
      </c>
      <c r="F1271" s="130" t="s">
        <v>2725</v>
      </c>
      <c r="G1271" s="220">
        <v>43845</v>
      </c>
      <c r="H1271" s="130" t="s">
        <v>90</v>
      </c>
      <c r="I1271" s="130" t="s">
        <v>91</v>
      </c>
      <c r="J1271" s="130" t="s">
        <v>92</v>
      </c>
      <c r="K1271" s="130" t="s">
        <v>113</v>
      </c>
      <c r="L1271" s="174" t="s">
        <v>71</v>
      </c>
      <c r="M1271" s="131" t="s">
        <v>72</v>
      </c>
      <c r="N1271" s="130" t="s">
        <v>73</v>
      </c>
      <c r="O1271" s="219" t="s">
        <v>69</v>
      </c>
      <c r="P1271" s="130" t="s">
        <v>1699</v>
      </c>
      <c r="Q1271" s="132" t="s">
        <v>93</v>
      </c>
      <c r="R1271" s="218">
        <v>3.3220000000000001</v>
      </c>
      <c r="S1271" s="129">
        <v>1</v>
      </c>
      <c r="T1271" s="129">
        <v>15</v>
      </c>
      <c r="U1271" s="129">
        <v>15</v>
      </c>
      <c r="V1271" s="129">
        <v>2.7000009999999999</v>
      </c>
      <c r="W1271" s="129">
        <v>17.700001</v>
      </c>
      <c r="X1271" s="27">
        <f t="shared" si="187"/>
        <v>49.83</v>
      </c>
    </row>
    <row r="1272" spans="1:24" x14ac:dyDescent="0.2">
      <c r="A1272" s="220">
        <v>43854</v>
      </c>
      <c r="B1272" s="130" t="s">
        <v>68</v>
      </c>
      <c r="C1272" s="130" t="s">
        <v>102</v>
      </c>
      <c r="D1272" s="130" t="s">
        <v>2774</v>
      </c>
      <c r="E1272" s="130" t="s">
        <v>2726</v>
      </c>
      <c r="F1272" s="130" t="s">
        <v>2725</v>
      </c>
      <c r="G1272" s="220">
        <v>43845</v>
      </c>
      <c r="H1272" s="130" t="s">
        <v>90</v>
      </c>
      <c r="I1272" s="130" t="s">
        <v>91</v>
      </c>
      <c r="J1272" s="130" t="s">
        <v>95</v>
      </c>
      <c r="K1272" s="130" t="s">
        <v>96</v>
      </c>
      <c r="L1272" s="174" t="s">
        <v>71</v>
      </c>
      <c r="M1272" s="131" t="s">
        <v>72</v>
      </c>
      <c r="N1272" s="130" t="s">
        <v>73</v>
      </c>
      <c r="O1272" s="219" t="s">
        <v>69</v>
      </c>
      <c r="P1272" s="130" t="s">
        <v>1699</v>
      </c>
      <c r="Q1272" s="132" t="s">
        <v>93</v>
      </c>
      <c r="R1272" s="218">
        <v>3.3220000000000001</v>
      </c>
      <c r="S1272" s="129">
        <v>-1</v>
      </c>
      <c r="T1272" s="129">
        <v>100</v>
      </c>
      <c r="U1272" s="129">
        <v>-100</v>
      </c>
      <c r="V1272" s="129">
        <v>-18</v>
      </c>
      <c r="W1272" s="129">
        <v>-118</v>
      </c>
      <c r="X1272" s="27">
        <f t="shared" si="187"/>
        <v>-332.2</v>
      </c>
    </row>
    <row r="1273" spans="1:24" x14ac:dyDescent="0.2">
      <c r="A1273" s="220">
        <v>43854</v>
      </c>
      <c r="B1273" s="130" t="s">
        <v>68</v>
      </c>
      <c r="C1273" s="130" t="s">
        <v>102</v>
      </c>
      <c r="D1273" s="130" t="s">
        <v>2774</v>
      </c>
      <c r="E1273" s="130" t="s">
        <v>2726</v>
      </c>
      <c r="F1273" s="130" t="s">
        <v>2725</v>
      </c>
      <c r="G1273" s="220">
        <v>43845</v>
      </c>
      <c r="H1273" s="130" t="s">
        <v>90</v>
      </c>
      <c r="I1273" s="130" t="s">
        <v>91</v>
      </c>
      <c r="J1273" s="130" t="s">
        <v>104</v>
      </c>
      <c r="K1273" s="130" t="s">
        <v>105</v>
      </c>
      <c r="L1273" s="174" t="s">
        <v>71</v>
      </c>
      <c r="M1273" s="131" t="s">
        <v>72</v>
      </c>
      <c r="N1273" s="130" t="s">
        <v>73</v>
      </c>
      <c r="O1273" s="219" t="s">
        <v>69</v>
      </c>
      <c r="P1273" s="130" t="s">
        <v>1699</v>
      </c>
      <c r="Q1273" s="132" t="s">
        <v>93</v>
      </c>
      <c r="R1273" s="218">
        <v>3.3220000000000001</v>
      </c>
      <c r="S1273" s="129">
        <v>1</v>
      </c>
      <c r="T1273" s="129">
        <v>0</v>
      </c>
      <c r="U1273" s="129">
        <v>0</v>
      </c>
      <c r="V1273" s="129">
        <v>0</v>
      </c>
      <c r="W1273" s="129">
        <v>0</v>
      </c>
      <c r="X1273" s="27">
        <f t="shared" si="187"/>
        <v>0</v>
      </c>
    </row>
    <row r="1274" spans="1:24" x14ac:dyDescent="0.2">
      <c r="A1274" s="220">
        <v>43854</v>
      </c>
      <c r="B1274" s="130" t="s">
        <v>68</v>
      </c>
      <c r="C1274" s="130" t="s">
        <v>102</v>
      </c>
      <c r="D1274" s="130" t="s">
        <v>2773</v>
      </c>
      <c r="E1274" s="130" t="s">
        <v>2673</v>
      </c>
      <c r="F1274" s="130" t="s">
        <v>2772</v>
      </c>
      <c r="G1274" s="220">
        <v>43854</v>
      </c>
      <c r="H1274" s="130" t="s">
        <v>311</v>
      </c>
      <c r="I1274" s="130" t="s">
        <v>312</v>
      </c>
      <c r="J1274" s="130" t="s">
        <v>104</v>
      </c>
      <c r="K1274" s="130" t="s">
        <v>105</v>
      </c>
      <c r="L1274" s="174" t="s">
        <v>71</v>
      </c>
      <c r="M1274" s="131" t="s">
        <v>102</v>
      </c>
      <c r="N1274" s="130" t="s">
        <v>103</v>
      </c>
      <c r="O1274" s="219" t="s">
        <v>69</v>
      </c>
      <c r="P1274" s="130" t="s">
        <v>1699</v>
      </c>
      <c r="Q1274" s="132" t="s">
        <v>74</v>
      </c>
      <c r="R1274" s="218">
        <v>3.3220000000000001</v>
      </c>
      <c r="S1274" s="129">
        <v>1</v>
      </c>
      <c r="T1274" s="129">
        <v>343.22030999999987</v>
      </c>
      <c r="U1274" s="129">
        <v>343.22030999999987</v>
      </c>
      <c r="V1274" s="129">
        <v>61.779690000000116</v>
      </c>
      <c r="W1274" s="129">
        <v>405</v>
      </c>
      <c r="X1274" s="27">
        <f t="shared" si="187"/>
        <v>343.22030999999987</v>
      </c>
    </row>
    <row r="1275" spans="1:24" x14ac:dyDescent="0.2">
      <c r="A1275" s="220">
        <v>43855</v>
      </c>
      <c r="B1275" s="130" t="s">
        <v>68</v>
      </c>
      <c r="C1275" s="130" t="s">
        <v>102</v>
      </c>
      <c r="D1275" s="130" t="s">
        <v>2278</v>
      </c>
      <c r="E1275" s="130" t="s">
        <v>2641</v>
      </c>
      <c r="F1275" s="130" t="s">
        <v>2718</v>
      </c>
      <c r="G1275" s="220">
        <v>43839</v>
      </c>
      <c r="H1275" s="130" t="s">
        <v>90</v>
      </c>
      <c r="I1275" s="130" t="s">
        <v>91</v>
      </c>
      <c r="J1275" s="130" t="s">
        <v>97</v>
      </c>
      <c r="K1275" s="130" t="s">
        <v>98</v>
      </c>
      <c r="L1275" s="174" t="s">
        <v>71</v>
      </c>
      <c r="M1275" s="131" t="s">
        <v>72</v>
      </c>
      <c r="N1275" s="130" t="s">
        <v>73</v>
      </c>
      <c r="O1275" s="219" t="s">
        <v>99</v>
      </c>
      <c r="P1275" s="130" t="s">
        <v>98</v>
      </c>
      <c r="Q1275" s="132" t="s">
        <v>93</v>
      </c>
      <c r="R1275" s="218">
        <v>3.3250000000000002</v>
      </c>
      <c r="S1275" s="129">
        <v>1</v>
      </c>
      <c r="T1275" s="129">
        <v>147.5</v>
      </c>
      <c r="U1275" s="129">
        <v>147.5</v>
      </c>
      <c r="V1275" s="129">
        <v>26.55</v>
      </c>
      <c r="W1275" s="129">
        <v>174.05</v>
      </c>
      <c r="X1275" s="27">
        <f t="shared" si="187"/>
        <v>490.4375</v>
      </c>
    </row>
    <row r="1276" spans="1:24" x14ac:dyDescent="0.2">
      <c r="A1276" s="220">
        <v>43855</v>
      </c>
      <c r="B1276" s="130" t="s">
        <v>68</v>
      </c>
      <c r="C1276" s="130" t="s">
        <v>102</v>
      </c>
      <c r="D1276" s="130" t="s">
        <v>2278</v>
      </c>
      <c r="E1276" s="130" t="s">
        <v>2641</v>
      </c>
      <c r="F1276" s="130" t="s">
        <v>2718</v>
      </c>
      <c r="G1276" s="220">
        <v>43839</v>
      </c>
      <c r="H1276" s="130" t="s">
        <v>90</v>
      </c>
      <c r="I1276" s="130" t="s">
        <v>91</v>
      </c>
      <c r="J1276" s="130" t="s">
        <v>100</v>
      </c>
      <c r="K1276" s="130" t="s">
        <v>101</v>
      </c>
      <c r="L1276" s="174" t="s">
        <v>71</v>
      </c>
      <c r="M1276" s="131" t="s">
        <v>72</v>
      </c>
      <c r="N1276" s="130" t="s">
        <v>73</v>
      </c>
      <c r="O1276" s="219" t="s">
        <v>72</v>
      </c>
      <c r="P1276" s="130" t="s">
        <v>101</v>
      </c>
      <c r="Q1276" s="132" t="s">
        <v>93</v>
      </c>
      <c r="R1276" s="218">
        <v>3.3250000000000002</v>
      </c>
      <c r="S1276" s="129">
        <v>1</v>
      </c>
      <c r="T1276" s="129">
        <v>240</v>
      </c>
      <c r="U1276" s="129">
        <v>240</v>
      </c>
      <c r="V1276" s="129">
        <v>43.200010000000042</v>
      </c>
      <c r="W1276" s="129">
        <v>283.20001000000002</v>
      </c>
      <c r="X1276" s="27">
        <f t="shared" si="187"/>
        <v>798</v>
      </c>
    </row>
    <row r="1277" spans="1:24" x14ac:dyDescent="0.2">
      <c r="A1277" s="220">
        <v>43855</v>
      </c>
      <c r="B1277" s="130" t="s">
        <v>68</v>
      </c>
      <c r="C1277" s="130" t="s">
        <v>102</v>
      </c>
      <c r="D1277" s="130" t="s">
        <v>2278</v>
      </c>
      <c r="E1277" s="130" t="s">
        <v>2641</v>
      </c>
      <c r="F1277" s="130" t="s">
        <v>2718</v>
      </c>
      <c r="G1277" s="220">
        <v>43839</v>
      </c>
      <c r="H1277" s="130" t="s">
        <v>90</v>
      </c>
      <c r="I1277" s="130" t="s">
        <v>91</v>
      </c>
      <c r="J1277" s="130" t="s">
        <v>92</v>
      </c>
      <c r="K1277" s="130" t="s">
        <v>113</v>
      </c>
      <c r="L1277" s="174" t="s">
        <v>71</v>
      </c>
      <c r="M1277" s="131" t="s">
        <v>72</v>
      </c>
      <c r="N1277" s="130" t="s">
        <v>73</v>
      </c>
      <c r="O1277" s="219" t="s">
        <v>69</v>
      </c>
      <c r="P1277" s="130" t="s">
        <v>1699</v>
      </c>
      <c r="Q1277" s="132" t="s">
        <v>93</v>
      </c>
      <c r="R1277" s="218">
        <v>3.3250000000000002</v>
      </c>
      <c r="S1277" s="129">
        <v>1</v>
      </c>
      <c r="T1277" s="129">
        <v>15</v>
      </c>
      <c r="U1277" s="129">
        <v>15</v>
      </c>
      <c r="V1277" s="129">
        <v>2.7000009999999999</v>
      </c>
      <c r="W1277" s="129">
        <v>17.700001</v>
      </c>
      <c r="X1277" s="27">
        <f t="shared" si="187"/>
        <v>49.875</v>
      </c>
    </row>
    <row r="1278" spans="1:24" x14ac:dyDescent="0.2">
      <c r="A1278" s="220">
        <v>43855</v>
      </c>
      <c r="B1278" s="130" t="s">
        <v>68</v>
      </c>
      <c r="C1278" s="130" t="s">
        <v>102</v>
      </c>
      <c r="D1278" s="130" t="s">
        <v>2278</v>
      </c>
      <c r="E1278" s="130" t="s">
        <v>2641</v>
      </c>
      <c r="F1278" s="130" t="s">
        <v>2718</v>
      </c>
      <c r="G1278" s="220">
        <v>43839</v>
      </c>
      <c r="H1278" s="130" t="s">
        <v>90</v>
      </c>
      <c r="I1278" s="130" t="s">
        <v>91</v>
      </c>
      <c r="J1278" s="130" t="s">
        <v>95</v>
      </c>
      <c r="K1278" s="130" t="s">
        <v>96</v>
      </c>
      <c r="L1278" s="174" t="s">
        <v>71</v>
      </c>
      <c r="M1278" s="131" t="s">
        <v>72</v>
      </c>
      <c r="N1278" s="130" t="s">
        <v>73</v>
      </c>
      <c r="O1278" s="219" t="s">
        <v>69</v>
      </c>
      <c r="P1278" s="130" t="s">
        <v>1699</v>
      </c>
      <c r="Q1278" s="132" t="s">
        <v>93</v>
      </c>
      <c r="R1278" s="218">
        <v>3.3250000000000002</v>
      </c>
      <c r="S1278" s="129">
        <v>-1</v>
      </c>
      <c r="T1278" s="129">
        <v>200</v>
      </c>
      <c r="U1278" s="129">
        <v>-200</v>
      </c>
      <c r="V1278" s="129">
        <v>-36</v>
      </c>
      <c r="W1278" s="129">
        <v>-236</v>
      </c>
      <c r="X1278" s="27">
        <f t="shared" si="187"/>
        <v>-665</v>
      </c>
    </row>
    <row r="1279" spans="1:24" x14ac:dyDescent="0.2">
      <c r="A1279" s="220">
        <v>43855</v>
      </c>
      <c r="B1279" s="130" t="s">
        <v>68</v>
      </c>
      <c r="C1279" s="130" t="s">
        <v>102</v>
      </c>
      <c r="D1279" s="130" t="s">
        <v>2278</v>
      </c>
      <c r="E1279" s="130" t="s">
        <v>2641</v>
      </c>
      <c r="F1279" s="130" t="s">
        <v>2718</v>
      </c>
      <c r="G1279" s="220">
        <v>43839</v>
      </c>
      <c r="H1279" s="130" t="s">
        <v>90</v>
      </c>
      <c r="I1279" s="130" t="s">
        <v>91</v>
      </c>
      <c r="J1279" s="130" t="s">
        <v>104</v>
      </c>
      <c r="K1279" s="130" t="s">
        <v>105</v>
      </c>
      <c r="L1279" s="174" t="s">
        <v>71</v>
      </c>
      <c r="M1279" s="131" t="s">
        <v>72</v>
      </c>
      <c r="N1279" s="130" t="s">
        <v>73</v>
      </c>
      <c r="O1279" s="219" t="s">
        <v>69</v>
      </c>
      <c r="P1279" s="130" t="s">
        <v>1699</v>
      </c>
      <c r="Q1279" s="132" t="s">
        <v>93</v>
      </c>
      <c r="R1279" s="218">
        <v>3.3250000000000002</v>
      </c>
      <c r="S1279" s="129">
        <v>1</v>
      </c>
      <c r="T1279" s="129">
        <v>0</v>
      </c>
      <c r="U1279" s="129">
        <v>0</v>
      </c>
      <c r="V1279" s="129">
        <v>0</v>
      </c>
      <c r="W1279" s="129">
        <v>0</v>
      </c>
      <c r="X1279" s="27">
        <f t="shared" si="187"/>
        <v>0</v>
      </c>
    </row>
    <row r="1280" spans="1:24" x14ac:dyDescent="0.2">
      <c r="A1280" s="220">
        <v>43855</v>
      </c>
      <c r="B1280" s="130" t="s">
        <v>68</v>
      </c>
      <c r="C1280" s="130" t="s">
        <v>102</v>
      </c>
      <c r="D1280" s="130" t="s">
        <v>2771</v>
      </c>
      <c r="E1280" s="130" t="s">
        <v>2515</v>
      </c>
      <c r="F1280" s="130" t="s">
        <v>2516</v>
      </c>
      <c r="G1280" s="220">
        <v>43825</v>
      </c>
      <c r="H1280" s="130" t="s">
        <v>2769</v>
      </c>
      <c r="I1280" s="130" t="s">
        <v>2768</v>
      </c>
      <c r="J1280" s="130" t="s">
        <v>95</v>
      </c>
      <c r="K1280" s="130" t="s">
        <v>96</v>
      </c>
      <c r="L1280" s="174" t="s">
        <v>71</v>
      </c>
      <c r="M1280" s="131" t="s">
        <v>72</v>
      </c>
      <c r="N1280" s="130" t="s">
        <v>73</v>
      </c>
      <c r="O1280" s="219" t="s">
        <v>69</v>
      </c>
      <c r="P1280" s="130" t="s">
        <v>1699</v>
      </c>
      <c r="Q1280" s="132" t="s">
        <v>93</v>
      </c>
      <c r="R1280" s="218">
        <v>3.3250000000000002</v>
      </c>
      <c r="S1280" s="129">
        <v>1</v>
      </c>
      <c r="T1280" s="129">
        <v>473.15249999999997</v>
      </c>
      <c r="U1280" s="129">
        <v>473.15249999999997</v>
      </c>
      <c r="V1280" s="129">
        <v>85.167510000000107</v>
      </c>
      <c r="W1280" s="129">
        <v>558.32001000000014</v>
      </c>
      <c r="X1280" s="27">
        <f t="shared" si="187"/>
        <v>1573.2320625</v>
      </c>
    </row>
    <row r="1281" spans="1:24" x14ac:dyDescent="0.2">
      <c r="A1281" s="220">
        <v>43855</v>
      </c>
      <c r="B1281" s="130" t="s">
        <v>68</v>
      </c>
      <c r="C1281" s="130" t="s">
        <v>102</v>
      </c>
      <c r="D1281" s="130" t="s">
        <v>2254</v>
      </c>
      <c r="E1281" s="130" t="s">
        <v>2770</v>
      </c>
      <c r="F1281" s="130" t="s">
        <v>2516</v>
      </c>
      <c r="G1281" s="220">
        <v>43850</v>
      </c>
      <c r="H1281" s="130" t="s">
        <v>2769</v>
      </c>
      <c r="I1281" s="130" t="s">
        <v>2768</v>
      </c>
      <c r="J1281" s="130" t="s">
        <v>104</v>
      </c>
      <c r="K1281" s="130" t="s">
        <v>105</v>
      </c>
      <c r="L1281" s="174" t="s">
        <v>71</v>
      </c>
      <c r="M1281" s="131" t="s">
        <v>72</v>
      </c>
      <c r="N1281" s="130" t="s">
        <v>73</v>
      </c>
      <c r="O1281" s="219" t="s">
        <v>69</v>
      </c>
      <c r="P1281" s="130" t="s">
        <v>1699</v>
      </c>
      <c r="Q1281" s="132" t="s">
        <v>74</v>
      </c>
      <c r="R1281" s="218">
        <v>3.3250000000000002</v>
      </c>
      <c r="S1281" s="129">
        <v>1</v>
      </c>
      <c r="T1281" s="129">
        <v>46.610198999999994</v>
      </c>
      <c r="U1281" s="129">
        <v>46.610198999999994</v>
      </c>
      <c r="V1281" s="129">
        <v>8.3898010000000074</v>
      </c>
      <c r="W1281" s="129">
        <v>55</v>
      </c>
      <c r="X1281" s="27">
        <f t="shared" si="187"/>
        <v>46.610198999999994</v>
      </c>
    </row>
    <row r="1282" spans="1:24" x14ac:dyDescent="0.2">
      <c r="A1282" s="220">
        <v>43855</v>
      </c>
      <c r="B1282" s="130" t="s">
        <v>68</v>
      </c>
      <c r="C1282" s="130" t="s">
        <v>102</v>
      </c>
      <c r="D1282" s="130" t="s">
        <v>2766</v>
      </c>
      <c r="E1282" s="130" t="s">
        <v>2515</v>
      </c>
      <c r="F1282" s="130" t="s">
        <v>2516</v>
      </c>
      <c r="G1282" s="220">
        <v>43825</v>
      </c>
      <c r="H1282" s="130" t="s">
        <v>90</v>
      </c>
      <c r="I1282" s="130" t="s">
        <v>91</v>
      </c>
      <c r="J1282" s="130" t="s">
        <v>97</v>
      </c>
      <c r="K1282" s="130" t="s">
        <v>98</v>
      </c>
      <c r="L1282" s="174" t="s">
        <v>71</v>
      </c>
      <c r="M1282" s="131" t="s">
        <v>72</v>
      </c>
      <c r="N1282" s="130" t="s">
        <v>73</v>
      </c>
      <c r="O1282" s="219" t="s">
        <v>99</v>
      </c>
      <c r="P1282" s="130" t="s">
        <v>98</v>
      </c>
      <c r="Q1282" s="132" t="s">
        <v>93</v>
      </c>
      <c r="R1282" s="218">
        <v>3.3250000000000002</v>
      </c>
      <c r="S1282" s="129">
        <v>1</v>
      </c>
      <c r="T1282" s="129">
        <v>383.5</v>
      </c>
      <c r="U1282" s="129">
        <v>383.5</v>
      </c>
      <c r="V1282" s="129">
        <v>69.03</v>
      </c>
      <c r="W1282" s="129">
        <v>452.53</v>
      </c>
      <c r="X1282" s="27">
        <f t="shared" si="187"/>
        <v>1275.1375</v>
      </c>
    </row>
    <row r="1283" spans="1:24" x14ac:dyDescent="0.2">
      <c r="A1283" s="220">
        <v>43855</v>
      </c>
      <c r="B1283" s="130" t="s">
        <v>68</v>
      </c>
      <c r="C1283" s="130" t="s">
        <v>102</v>
      </c>
      <c r="D1283" s="130" t="s">
        <v>2766</v>
      </c>
      <c r="E1283" s="130" t="s">
        <v>2515</v>
      </c>
      <c r="F1283" s="130" t="s">
        <v>2516</v>
      </c>
      <c r="G1283" s="220">
        <v>43825</v>
      </c>
      <c r="H1283" s="130" t="s">
        <v>90</v>
      </c>
      <c r="I1283" s="130" t="s">
        <v>91</v>
      </c>
      <c r="J1283" s="130" t="s">
        <v>100</v>
      </c>
      <c r="K1283" s="130" t="s">
        <v>101</v>
      </c>
      <c r="L1283" s="174" t="s">
        <v>71</v>
      </c>
      <c r="M1283" s="131" t="s">
        <v>72</v>
      </c>
      <c r="N1283" s="130" t="s">
        <v>73</v>
      </c>
      <c r="O1283" s="219" t="s">
        <v>72</v>
      </c>
      <c r="P1283" s="130" t="s">
        <v>101</v>
      </c>
      <c r="Q1283" s="132" t="s">
        <v>93</v>
      </c>
      <c r="R1283" s="218">
        <v>3.3250000000000002</v>
      </c>
      <c r="S1283" s="129">
        <v>1</v>
      </c>
      <c r="T1283" s="129">
        <v>630</v>
      </c>
      <c r="U1283" s="129">
        <v>630</v>
      </c>
      <c r="V1283" s="129">
        <v>113.40002000000023</v>
      </c>
      <c r="W1283" s="129">
        <v>743.40002000000027</v>
      </c>
      <c r="X1283" s="27">
        <f t="shared" si="187"/>
        <v>2094.75</v>
      </c>
    </row>
    <row r="1284" spans="1:24" x14ac:dyDescent="0.2">
      <c r="A1284" s="220">
        <v>43855</v>
      </c>
      <c r="B1284" s="130" t="s">
        <v>68</v>
      </c>
      <c r="C1284" s="130" t="s">
        <v>102</v>
      </c>
      <c r="D1284" s="130" t="s">
        <v>2766</v>
      </c>
      <c r="E1284" s="130" t="s">
        <v>2515</v>
      </c>
      <c r="F1284" s="130" t="s">
        <v>2516</v>
      </c>
      <c r="G1284" s="220">
        <v>43825</v>
      </c>
      <c r="H1284" s="130" t="s">
        <v>90</v>
      </c>
      <c r="I1284" s="130" t="s">
        <v>91</v>
      </c>
      <c r="J1284" s="130" t="s">
        <v>92</v>
      </c>
      <c r="K1284" s="130" t="s">
        <v>113</v>
      </c>
      <c r="L1284" s="174" t="s">
        <v>71</v>
      </c>
      <c r="M1284" s="131" t="s">
        <v>72</v>
      </c>
      <c r="N1284" s="130" t="s">
        <v>73</v>
      </c>
      <c r="O1284" s="219" t="s">
        <v>69</v>
      </c>
      <c r="P1284" s="130" t="s">
        <v>1699</v>
      </c>
      <c r="Q1284" s="132" t="s">
        <v>93</v>
      </c>
      <c r="R1284" s="218">
        <v>3.3250000000000002</v>
      </c>
      <c r="S1284" s="129">
        <v>1</v>
      </c>
      <c r="T1284" s="129">
        <v>205</v>
      </c>
      <c r="U1284" s="129">
        <v>205</v>
      </c>
      <c r="V1284" s="129">
        <v>36.89998999999996</v>
      </c>
      <c r="W1284" s="129">
        <v>241.89998999999997</v>
      </c>
      <c r="X1284" s="27">
        <f t="shared" si="187"/>
        <v>681.625</v>
      </c>
    </row>
    <row r="1285" spans="1:24" x14ac:dyDescent="0.2">
      <c r="A1285" s="220">
        <v>43855</v>
      </c>
      <c r="B1285" s="130" t="s">
        <v>68</v>
      </c>
      <c r="C1285" s="130" t="s">
        <v>102</v>
      </c>
      <c r="D1285" s="130" t="s">
        <v>2766</v>
      </c>
      <c r="E1285" s="130" t="s">
        <v>2515</v>
      </c>
      <c r="F1285" s="130" t="s">
        <v>2516</v>
      </c>
      <c r="G1285" s="220">
        <v>43825</v>
      </c>
      <c r="H1285" s="130" t="s">
        <v>90</v>
      </c>
      <c r="I1285" s="130" t="s">
        <v>91</v>
      </c>
      <c r="J1285" s="130" t="s">
        <v>132</v>
      </c>
      <c r="K1285" s="130" t="s">
        <v>2767</v>
      </c>
      <c r="L1285" s="174" t="s">
        <v>71</v>
      </c>
      <c r="M1285" s="131" t="s">
        <v>72</v>
      </c>
      <c r="N1285" s="130" t="s">
        <v>73</v>
      </c>
      <c r="O1285" s="219" t="s">
        <v>69</v>
      </c>
      <c r="P1285" s="130" t="s">
        <v>1699</v>
      </c>
      <c r="Q1285" s="132" t="s">
        <v>93</v>
      </c>
      <c r="R1285" s="218">
        <v>3.3250000000000002</v>
      </c>
      <c r="S1285" s="129">
        <v>1</v>
      </c>
      <c r="T1285" s="129">
        <v>0</v>
      </c>
      <c r="U1285" s="129">
        <v>0</v>
      </c>
      <c r="V1285" s="129">
        <v>0</v>
      </c>
      <c r="W1285" s="129">
        <v>0</v>
      </c>
      <c r="X1285" s="27">
        <f t="shared" ref="X1285:X1348" si="188">IF(Q1285="$",(U1285*R1285),U1285)</f>
        <v>0</v>
      </c>
    </row>
    <row r="1286" spans="1:24" x14ac:dyDescent="0.2">
      <c r="A1286" s="220">
        <v>43855</v>
      </c>
      <c r="B1286" s="130" t="s">
        <v>68</v>
      </c>
      <c r="C1286" s="130" t="s">
        <v>102</v>
      </c>
      <c r="D1286" s="130" t="s">
        <v>2766</v>
      </c>
      <c r="E1286" s="130" t="s">
        <v>2515</v>
      </c>
      <c r="F1286" s="130" t="s">
        <v>2516</v>
      </c>
      <c r="G1286" s="220">
        <v>43825</v>
      </c>
      <c r="H1286" s="130" t="s">
        <v>90</v>
      </c>
      <c r="I1286" s="130" t="s">
        <v>91</v>
      </c>
      <c r="J1286" s="130" t="s">
        <v>70</v>
      </c>
      <c r="K1286" s="130" t="s">
        <v>112</v>
      </c>
      <c r="L1286" s="174" t="s">
        <v>71</v>
      </c>
      <c r="M1286" s="131" t="s">
        <v>72</v>
      </c>
      <c r="N1286" s="130" t="s">
        <v>73</v>
      </c>
      <c r="O1286" s="219" t="s">
        <v>69</v>
      </c>
      <c r="P1286" s="130" t="s">
        <v>1699</v>
      </c>
      <c r="Q1286" s="132" t="s">
        <v>93</v>
      </c>
      <c r="R1286" s="218">
        <v>3.3250000000000002</v>
      </c>
      <c r="S1286" s="129">
        <v>1</v>
      </c>
      <c r="T1286" s="129">
        <v>45</v>
      </c>
      <c r="U1286" s="129">
        <v>45</v>
      </c>
      <c r="V1286" s="129">
        <v>8.0999980000000047</v>
      </c>
      <c r="W1286" s="129">
        <v>53.099998000000006</v>
      </c>
      <c r="X1286" s="27">
        <f t="shared" si="188"/>
        <v>149.625</v>
      </c>
    </row>
    <row r="1287" spans="1:24" x14ac:dyDescent="0.2">
      <c r="A1287" s="220">
        <v>43855</v>
      </c>
      <c r="B1287" s="130" t="s">
        <v>68</v>
      </c>
      <c r="C1287" s="130" t="s">
        <v>102</v>
      </c>
      <c r="D1287" s="130" t="s">
        <v>2766</v>
      </c>
      <c r="E1287" s="130" t="s">
        <v>2515</v>
      </c>
      <c r="F1287" s="130" t="s">
        <v>2516</v>
      </c>
      <c r="G1287" s="220">
        <v>43825</v>
      </c>
      <c r="H1287" s="130" t="s">
        <v>90</v>
      </c>
      <c r="I1287" s="130" t="s">
        <v>91</v>
      </c>
      <c r="J1287" s="130" t="s">
        <v>95</v>
      </c>
      <c r="K1287" s="130" t="s">
        <v>96</v>
      </c>
      <c r="L1287" s="174" t="s">
        <v>71</v>
      </c>
      <c r="M1287" s="131" t="s">
        <v>72</v>
      </c>
      <c r="N1287" s="130" t="s">
        <v>73</v>
      </c>
      <c r="O1287" s="219" t="s">
        <v>69</v>
      </c>
      <c r="P1287" s="130" t="s">
        <v>1699</v>
      </c>
      <c r="Q1287" s="132" t="s">
        <v>93</v>
      </c>
      <c r="R1287" s="218">
        <v>3.3250000000000002</v>
      </c>
      <c r="S1287" s="129">
        <v>-1</v>
      </c>
      <c r="T1287" s="129">
        <v>473.15249999999997</v>
      </c>
      <c r="U1287" s="129">
        <v>-473.15249999999997</v>
      </c>
      <c r="V1287" s="129">
        <v>-85.167510000000107</v>
      </c>
      <c r="W1287" s="129">
        <v>-558.32001000000014</v>
      </c>
      <c r="X1287" s="27">
        <f t="shared" si="188"/>
        <v>-1573.2320625</v>
      </c>
    </row>
    <row r="1288" spans="1:24" x14ac:dyDescent="0.2">
      <c r="A1288" s="220">
        <v>43855</v>
      </c>
      <c r="B1288" s="130" t="s">
        <v>68</v>
      </c>
      <c r="C1288" s="130" t="s">
        <v>102</v>
      </c>
      <c r="D1288" s="130" t="s">
        <v>2766</v>
      </c>
      <c r="E1288" s="130" t="s">
        <v>2515</v>
      </c>
      <c r="F1288" s="130" t="s">
        <v>2516</v>
      </c>
      <c r="G1288" s="220">
        <v>43825</v>
      </c>
      <c r="H1288" s="130" t="s">
        <v>90</v>
      </c>
      <c r="I1288" s="130" t="s">
        <v>91</v>
      </c>
      <c r="J1288" s="130" t="s">
        <v>104</v>
      </c>
      <c r="K1288" s="130" t="s">
        <v>105</v>
      </c>
      <c r="L1288" s="174" t="s">
        <v>71</v>
      </c>
      <c r="M1288" s="131" t="s">
        <v>72</v>
      </c>
      <c r="N1288" s="130" t="s">
        <v>73</v>
      </c>
      <c r="O1288" s="219" t="s">
        <v>69</v>
      </c>
      <c r="P1288" s="130" t="s">
        <v>1699</v>
      </c>
      <c r="Q1288" s="132" t="s">
        <v>93</v>
      </c>
      <c r="R1288" s="218">
        <v>3.3250000000000002</v>
      </c>
      <c r="S1288" s="129">
        <v>1</v>
      </c>
      <c r="T1288" s="129">
        <v>0</v>
      </c>
      <c r="U1288" s="129">
        <v>0</v>
      </c>
      <c r="V1288" s="129">
        <v>0</v>
      </c>
      <c r="W1288" s="129">
        <v>0</v>
      </c>
      <c r="X1288" s="27">
        <f t="shared" si="188"/>
        <v>0</v>
      </c>
    </row>
    <row r="1289" spans="1:24" x14ac:dyDescent="0.2">
      <c r="A1289" s="220">
        <v>43855</v>
      </c>
      <c r="B1289" s="130" t="s">
        <v>68</v>
      </c>
      <c r="C1289" s="130" t="s">
        <v>102</v>
      </c>
      <c r="D1289" s="130" t="s">
        <v>2765</v>
      </c>
      <c r="E1289" s="130" t="s">
        <v>2639</v>
      </c>
      <c r="F1289" s="130" t="s">
        <v>2760</v>
      </c>
      <c r="G1289" s="220">
        <v>43839</v>
      </c>
      <c r="H1289" s="130" t="s">
        <v>2763</v>
      </c>
      <c r="I1289" s="130" t="s">
        <v>2762</v>
      </c>
      <c r="J1289" s="130" t="s">
        <v>95</v>
      </c>
      <c r="K1289" s="130" t="s">
        <v>96</v>
      </c>
      <c r="L1289" s="174" t="s">
        <v>71</v>
      </c>
      <c r="M1289" s="131" t="s">
        <v>72</v>
      </c>
      <c r="N1289" s="130" t="s">
        <v>73</v>
      </c>
      <c r="O1289" s="219" t="s">
        <v>69</v>
      </c>
      <c r="P1289" s="130" t="s">
        <v>1699</v>
      </c>
      <c r="Q1289" s="132" t="s">
        <v>93</v>
      </c>
      <c r="R1289" s="218">
        <v>3.3250000000000002</v>
      </c>
      <c r="S1289" s="129">
        <v>1</v>
      </c>
      <c r="T1289" s="129">
        <v>100</v>
      </c>
      <c r="U1289" s="129">
        <v>100</v>
      </c>
      <c r="V1289" s="129">
        <v>18</v>
      </c>
      <c r="W1289" s="129">
        <v>118</v>
      </c>
      <c r="X1289" s="27">
        <f t="shared" si="188"/>
        <v>332.5</v>
      </c>
    </row>
    <row r="1290" spans="1:24" x14ac:dyDescent="0.2">
      <c r="A1290" s="220">
        <v>43855</v>
      </c>
      <c r="B1290" s="130" t="s">
        <v>68</v>
      </c>
      <c r="C1290" s="130" t="s">
        <v>102</v>
      </c>
      <c r="D1290" s="130" t="s">
        <v>2764</v>
      </c>
      <c r="E1290" s="130" t="s">
        <v>2656</v>
      </c>
      <c r="F1290" s="130" t="s">
        <v>2760</v>
      </c>
      <c r="G1290" s="220">
        <v>43850</v>
      </c>
      <c r="H1290" s="130" t="s">
        <v>2763</v>
      </c>
      <c r="I1290" s="130" t="s">
        <v>2762</v>
      </c>
      <c r="J1290" s="130" t="s">
        <v>97</v>
      </c>
      <c r="K1290" s="130" t="s">
        <v>98</v>
      </c>
      <c r="L1290" s="174" t="s">
        <v>71</v>
      </c>
      <c r="M1290" s="131" t="s">
        <v>72</v>
      </c>
      <c r="N1290" s="130" t="s">
        <v>73</v>
      </c>
      <c r="O1290" s="219" t="s">
        <v>99</v>
      </c>
      <c r="P1290" s="130" t="s">
        <v>98</v>
      </c>
      <c r="Q1290" s="132" t="s">
        <v>93</v>
      </c>
      <c r="R1290" s="218">
        <v>3.3250000000000002</v>
      </c>
      <c r="S1290" s="129">
        <v>1</v>
      </c>
      <c r="T1290" s="129">
        <v>412.5</v>
      </c>
      <c r="U1290" s="129">
        <v>412.5</v>
      </c>
      <c r="V1290" s="129">
        <v>74.25</v>
      </c>
      <c r="W1290" s="129">
        <v>486.75</v>
      </c>
      <c r="X1290" s="27">
        <f t="shared" si="188"/>
        <v>1371.5625</v>
      </c>
    </row>
    <row r="1291" spans="1:24" x14ac:dyDescent="0.2">
      <c r="A1291" s="220">
        <v>43855</v>
      </c>
      <c r="B1291" s="130" t="s">
        <v>68</v>
      </c>
      <c r="C1291" s="130" t="s">
        <v>102</v>
      </c>
      <c r="D1291" s="130" t="s">
        <v>2764</v>
      </c>
      <c r="E1291" s="130" t="s">
        <v>2656</v>
      </c>
      <c r="F1291" s="130" t="s">
        <v>2760</v>
      </c>
      <c r="G1291" s="220">
        <v>43850</v>
      </c>
      <c r="H1291" s="130" t="s">
        <v>2763</v>
      </c>
      <c r="I1291" s="130" t="s">
        <v>2762</v>
      </c>
      <c r="J1291" s="130" t="s">
        <v>100</v>
      </c>
      <c r="K1291" s="130" t="s">
        <v>101</v>
      </c>
      <c r="L1291" s="174" t="s">
        <v>71</v>
      </c>
      <c r="M1291" s="131" t="s">
        <v>72</v>
      </c>
      <c r="N1291" s="130" t="s">
        <v>73</v>
      </c>
      <c r="O1291" s="219" t="s">
        <v>72</v>
      </c>
      <c r="P1291" s="130" t="s">
        <v>101</v>
      </c>
      <c r="Q1291" s="132" t="s">
        <v>93</v>
      </c>
      <c r="R1291" s="218">
        <v>3.3250000000000002</v>
      </c>
      <c r="S1291" s="129">
        <v>1</v>
      </c>
      <c r="T1291" s="129">
        <v>202.5</v>
      </c>
      <c r="U1291" s="129">
        <v>202.5</v>
      </c>
      <c r="V1291" s="129">
        <v>36.450000000000003</v>
      </c>
      <c r="W1291" s="129">
        <v>238.95</v>
      </c>
      <c r="X1291" s="27">
        <f t="shared" si="188"/>
        <v>673.3125</v>
      </c>
    </row>
    <row r="1292" spans="1:24" x14ac:dyDescent="0.2">
      <c r="A1292" s="220">
        <v>43855</v>
      </c>
      <c r="B1292" s="130" t="s">
        <v>68</v>
      </c>
      <c r="C1292" s="130" t="s">
        <v>102</v>
      </c>
      <c r="D1292" s="130" t="s">
        <v>2764</v>
      </c>
      <c r="E1292" s="130" t="s">
        <v>2656</v>
      </c>
      <c r="F1292" s="130" t="s">
        <v>2760</v>
      </c>
      <c r="G1292" s="220">
        <v>43850</v>
      </c>
      <c r="H1292" s="130" t="s">
        <v>2763</v>
      </c>
      <c r="I1292" s="130" t="s">
        <v>2762</v>
      </c>
      <c r="J1292" s="130" t="s">
        <v>92</v>
      </c>
      <c r="K1292" s="130" t="s">
        <v>113</v>
      </c>
      <c r="L1292" s="174" t="s">
        <v>71</v>
      </c>
      <c r="M1292" s="131" t="s">
        <v>72</v>
      </c>
      <c r="N1292" s="130" t="s">
        <v>73</v>
      </c>
      <c r="O1292" s="219" t="s">
        <v>69</v>
      </c>
      <c r="P1292" s="130" t="s">
        <v>1699</v>
      </c>
      <c r="Q1292" s="132" t="s">
        <v>93</v>
      </c>
      <c r="R1292" s="218">
        <v>3.3250000000000002</v>
      </c>
      <c r="S1292" s="129">
        <v>1</v>
      </c>
      <c r="T1292" s="129">
        <v>60</v>
      </c>
      <c r="U1292" s="129">
        <v>60</v>
      </c>
      <c r="V1292" s="129">
        <v>10.800002999999997</v>
      </c>
      <c r="W1292" s="129">
        <v>70.800003000000004</v>
      </c>
      <c r="X1292" s="27">
        <f t="shared" si="188"/>
        <v>199.5</v>
      </c>
    </row>
    <row r="1293" spans="1:24" x14ac:dyDescent="0.2">
      <c r="A1293" s="220">
        <v>43855</v>
      </c>
      <c r="B1293" s="130" t="s">
        <v>68</v>
      </c>
      <c r="C1293" s="130" t="s">
        <v>102</v>
      </c>
      <c r="D1293" s="130" t="s">
        <v>2764</v>
      </c>
      <c r="E1293" s="130" t="s">
        <v>2656</v>
      </c>
      <c r="F1293" s="130" t="s">
        <v>2760</v>
      </c>
      <c r="G1293" s="220">
        <v>43850</v>
      </c>
      <c r="H1293" s="130" t="s">
        <v>2763</v>
      </c>
      <c r="I1293" s="130" t="s">
        <v>2762</v>
      </c>
      <c r="J1293" s="130" t="s">
        <v>115</v>
      </c>
      <c r="K1293" s="130" t="s">
        <v>138</v>
      </c>
      <c r="L1293" s="174" t="s">
        <v>71</v>
      </c>
      <c r="M1293" s="131" t="s">
        <v>72</v>
      </c>
      <c r="N1293" s="130" t="s">
        <v>73</v>
      </c>
      <c r="O1293" s="219" t="s">
        <v>69</v>
      </c>
      <c r="P1293" s="130" t="s">
        <v>1699</v>
      </c>
      <c r="Q1293" s="132" t="s">
        <v>93</v>
      </c>
      <c r="R1293" s="218">
        <v>3.3250000000000002</v>
      </c>
      <c r="S1293" s="129">
        <v>-1</v>
      </c>
      <c r="T1293" s="129">
        <v>81.771202000000002</v>
      </c>
      <c r="U1293" s="129">
        <v>-81.771202000000002</v>
      </c>
      <c r="V1293" s="129">
        <v>-14.718795999999974</v>
      </c>
      <c r="W1293" s="129">
        <v>-96.489997999999972</v>
      </c>
      <c r="X1293" s="27">
        <f t="shared" si="188"/>
        <v>-271.88924665000002</v>
      </c>
    </row>
    <row r="1294" spans="1:24" x14ac:dyDescent="0.2">
      <c r="A1294" s="220">
        <v>43855</v>
      </c>
      <c r="B1294" s="130" t="s">
        <v>68</v>
      </c>
      <c r="C1294" s="130" t="s">
        <v>102</v>
      </c>
      <c r="D1294" s="130" t="s">
        <v>2761</v>
      </c>
      <c r="E1294" s="130" t="s">
        <v>2639</v>
      </c>
      <c r="F1294" s="130" t="s">
        <v>2760</v>
      </c>
      <c r="G1294" s="220">
        <v>43839</v>
      </c>
      <c r="H1294" s="130" t="s">
        <v>90</v>
      </c>
      <c r="I1294" s="130" t="s">
        <v>91</v>
      </c>
      <c r="J1294" s="130" t="s">
        <v>97</v>
      </c>
      <c r="K1294" s="130" t="s">
        <v>98</v>
      </c>
      <c r="L1294" s="174" t="s">
        <v>71</v>
      </c>
      <c r="M1294" s="131" t="s">
        <v>72</v>
      </c>
      <c r="N1294" s="130" t="s">
        <v>73</v>
      </c>
      <c r="O1294" s="219" t="s">
        <v>99</v>
      </c>
      <c r="P1294" s="130" t="s">
        <v>98</v>
      </c>
      <c r="Q1294" s="132" t="s">
        <v>93</v>
      </c>
      <c r="R1294" s="218">
        <v>3.3250000000000002</v>
      </c>
      <c r="S1294" s="129">
        <v>1</v>
      </c>
      <c r="T1294" s="129">
        <v>147.5</v>
      </c>
      <c r="U1294" s="129">
        <v>147.5</v>
      </c>
      <c r="V1294" s="129">
        <v>26.55</v>
      </c>
      <c r="W1294" s="129">
        <v>174.05</v>
      </c>
      <c r="X1294" s="27">
        <f t="shared" si="188"/>
        <v>490.4375</v>
      </c>
    </row>
    <row r="1295" spans="1:24" x14ac:dyDescent="0.2">
      <c r="A1295" s="220">
        <v>43855</v>
      </c>
      <c r="B1295" s="130" t="s">
        <v>68</v>
      </c>
      <c r="C1295" s="130" t="s">
        <v>102</v>
      </c>
      <c r="D1295" s="130" t="s">
        <v>2761</v>
      </c>
      <c r="E1295" s="130" t="s">
        <v>2639</v>
      </c>
      <c r="F1295" s="130" t="s">
        <v>2760</v>
      </c>
      <c r="G1295" s="220">
        <v>43839</v>
      </c>
      <c r="H1295" s="130" t="s">
        <v>90</v>
      </c>
      <c r="I1295" s="130" t="s">
        <v>91</v>
      </c>
      <c r="J1295" s="130" t="s">
        <v>100</v>
      </c>
      <c r="K1295" s="130" t="s">
        <v>101</v>
      </c>
      <c r="L1295" s="174" t="s">
        <v>71</v>
      </c>
      <c r="M1295" s="131" t="s">
        <v>72</v>
      </c>
      <c r="N1295" s="130" t="s">
        <v>73</v>
      </c>
      <c r="O1295" s="219" t="s">
        <v>72</v>
      </c>
      <c r="P1295" s="130" t="s">
        <v>101</v>
      </c>
      <c r="Q1295" s="132" t="s">
        <v>93</v>
      </c>
      <c r="R1295" s="218">
        <v>3.3250000000000002</v>
      </c>
      <c r="S1295" s="129">
        <v>1</v>
      </c>
      <c r="T1295" s="129">
        <v>165</v>
      </c>
      <c r="U1295" s="129">
        <v>165</v>
      </c>
      <c r="V1295" s="129">
        <v>29.7</v>
      </c>
      <c r="W1295" s="129">
        <v>194.7</v>
      </c>
      <c r="X1295" s="27">
        <f t="shared" si="188"/>
        <v>548.625</v>
      </c>
    </row>
    <row r="1296" spans="1:24" x14ac:dyDescent="0.2">
      <c r="A1296" s="220">
        <v>43855</v>
      </c>
      <c r="B1296" s="130" t="s">
        <v>68</v>
      </c>
      <c r="C1296" s="130" t="s">
        <v>102</v>
      </c>
      <c r="D1296" s="130" t="s">
        <v>2761</v>
      </c>
      <c r="E1296" s="130" t="s">
        <v>2639</v>
      </c>
      <c r="F1296" s="130" t="s">
        <v>2760</v>
      </c>
      <c r="G1296" s="220">
        <v>43839</v>
      </c>
      <c r="H1296" s="130" t="s">
        <v>90</v>
      </c>
      <c r="I1296" s="130" t="s">
        <v>91</v>
      </c>
      <c r="J1296" s="130" t="s">
        <v>92</v>
      </c>
      <c r="K1296" s="130" t="s">
        <v>113</v>
      </c>
      <c r="L1296" s="174" t="s">
        <v>71</v>
      </c>
      <c r="M1296" s="131" t="s">
        <v>72</v>
      </c>
      <c r="N1296" s="130" t="s">
        <v>73</v>
      </c>
      <c r="O1296" s="219" t="s">
        <v>69</v>
      </c>
      <c r="P1296" s="130" t="s">
        <v>1699</v>
      </c>
      <c r="Q1296" s="132" t="s">
        <v>93</v>
      </c>
      <c r="R1296" s="218">
        <v>3.3250000000000002</v>
      </c>
      <c r="S1296" s="129">
        <v>1</v>
      </c>
      <c r="T1296" s="129">
        <v>15</v>
      </c>
      <c r="U1296" s="129">
        <v>15</v>
      </c>
      <c r="V1296" s="129">
        <v>2.7000009999999999</v>
      </c>
      <c r="W1296" s="129">
        <v>17.700001</v>
      </c>
      <c r="X1296" s="27">
        <f t="shared" si="188"/>
        <v>49.875</v>
      </c>
    </row>
    <row r="1297" spans="1:24" x14ac:dyDescent="0.2">
      <c r="A1297" s="220">
        <v>43855</v>
      </c>
      <c r="B1297" s="130" t="s">
        <v>68</v>
      </c>
      <c r="C1297" s="130" t="s">
        <v>102</v>
      </c>
      <c r="D1297" s="130" t="s">
        <v>2761</v>
      </c>
      <c r="E1297" s="130" t="s">
        <v>2639</v>
      </c>
      <c r="F1297" s="130" t="s">
        <v>2760</v>
      </c>
      <c r="G1297" s="220">
        <v>43839</v>
      </c>
      <c r="H1297" s="130" t="s">
        <v>90</v>
      </c>
      <c r="I1297" s="130" t="s">
        <v>91</v>
      </c>
      <c r="J1297" s="130" t="s">
        <v>95</v>
      </c>
      <c r="K1297" s="130" t="s">
        <v>96</v>
      </c>
      <c r="L1297" s="174" t="s">
        <v>71</v>
      </c>
      <c r="M1297" s="131" t="s">
        <v>72</v>
      </c>
      <c r="N1297" s="130" t="s">
        <v>73</v>
      </c>
      <c r="O1297" s="219" t="s">
        <v>69</v>
      </c>
      <c r="P1297" s="130" t="s">
        <v>1699</v>
      </c>
      <c r="Q1297" s="132" t="s">
        <v>93</v>
      </c>
      <c r="R1297" s="218">
        <v>3.3250000000000002</v>
      </c>
      <c r="S1297" s="129">
        <v>-1</v>
      </c>
      <c r="T1297" s="129">
        <v>100</v>
      </c>
      <c r="U1297" s="129">
        <v>-100</v>
      </c>
      <c r="V1297" s="129">
        <v>-18</v>
      </c>
      <c r="W1297" s="129">
        <v>-118</v>
      </c>
      <c r="X1297" s="27">
        <f t="shared" si="188"/>
        <v>-332.5</v>
      </c>
    </row>
    <row r="1298" spans="1:24" x14ac:dyDescent="0.2">
      <c r="A1298" s="220">
        <v>43855</v>
      </c>
      <c r="B1298" s="130" t="s">
        <v>68</v>
      </c>
      <c r="C1298" s="130" t="s">
        <v>102</v>
      </c>
      <c r="D1298" s="130" t="s">
        <v>2761</v>
      </c>
      <c r="E1298" s="130" t="s">
        <v>2639</v>
      </c>
      <c r="F1298" s="130" t="s">
        <v>2760</v>
      </c>
      <c r="G1298" s="220">
        <v>43839</v>
      </c>
      <c r="H1298" s="130" t="s">
        <v>90</v>
      </c>
      <c r="I1298" s="130" t="s">
        <v>91</v>
      </c>
      <c r="J1298" s="130" t="s">
        <v>104</v>
      </c>
      <c r="K1298" s="130" t="s">
        <v>105</v>
      </c>
      <c r="L1298" s="174" t="s">
        <v>71</v>
      </c>
      <c r="M1298" s="131" t="s">
        <v>72</v>
      </c>
      <c r="N1298" s="130" t="s">
        <v>73</v>
      </c>
      <c r="O1298" s="219" t="s">
        <v>69</v>
      </c>
      <c r="P1298" s="130" t="s">
        <v>1699</v>
      </c>
      <c r="Q1298" s="132" t="s">
        <v>93</v>
      </c>
      <c r="R1298" s="218">
        <v>3.3250000000000002</v>
      </c>
      <c r="S1298" s="129">
        <v>1</v>
      </c>
      <c r="T1298" s="129">
        <v>0</v>
      </c>
      <c r="U1298" s="129">
        <v>0</v>
      </c>
      <c r="V1298" s="129">
        <v>0</v>
      </c>
      <c r="W1298" s="129">
        <v>0</v>
      </c>
      <c r="X1298" s="27">
        <f t="shared" si="188"/>
        <v>0</v>
      </c>
    </row>
    <row r="1299" spans="1:24" x14ac:dyDescent="0.2">
      <c r="A1299" s="220">
        <v>43858</v>
      </c>
      <c r="B1299" s="130" t="s">
        <v>68</v>
      </c>
      <c r="C1299" s="130" t="s">
        <v>102</v>
      </c>
      <c r="D1299" s="130" t="s">
        <v>2240</v>
      </c>
      <c r="E1299" s="130" t="s">
        <v>2715</v>
      </c>
      <c r="F1299" s="130" t="s">
        <v>2714</v>
      </c>
      <c r="G1299" s="220">
        <v>43850</v>
      </c>
      <c r="H1299" s="130" t="s">
        <v>90</v>
      </c>
      <c r="I1299" s="130" t="s">
        <v>91</v>
      </c>
      <c r="J1299" s="130" t="s">
        <v>97</v>
      </c>
      <c r="K1299" s="130" t="s">
        <v>98</v>
      </c>
      <c r="L1299" s="174" t="s">
        <v>71</v>
      </c>
      <c r="M1299" s="131" t="s">
        <v>72</v>
      </c>
      <c r="N1299" s="130" t="s">
        <v>73</v>
      </c>
      <c r="O1299" s="219" t="s">
        <v>99</v>
      </c>
      <c r="P1299" s="130" t="s">
        <v>98</v>
      </c>
      <c r="Q1299" s="132" t="s">
        <v>93</v>
      </c>
      <c r="R1299" s="218">
        <v>3.339</v>
      </c>
      <c r="S1299" s="129">
        <v>1</v>
      </c>
      <c r="T1299" s="129">
        <v>147.5</v>
      </c>
      <c r="U1299" s="129">
        <v>147.5</v>
      </c>
      <c r="V1299" s="129">
        <v>26.55</v>
      </c>
      <c r="W1299" s="129">
        <v>174.05</v>
      </c>
      <c r="X1299" s="27">
        <f t="shared" si="188"/>
        <v>492.5025</v>
      </c>
    </row>
    <row r="1300" spans="1:24" x14ac:dyDescent="0.2">
      <c r="A1300" s="220">
        <v>43858</v>
      </c>
      <c r="B1300" s="130" t="s">
        <v>68</v>
      </c>
      <c r="C1300" s="130" t="s">
        <v>102</v>
      </c>
      <c r="D1300" s="130" t="s">
        <v>2240</v>
      </c>
      <c r="E1300" s="130" t="s">
        <v>2715</v>
      </c>
      <c r="F1300" s="130" t="s">
        <v>2714</v>
      </c>
      <c r="G1300" s="220">
        <v>43850</v>
      </c>
      <c r="H1300" s="130" t="s">
        <v>90</v>
      </c>
      <c r="I1300" s="130" t="s">
        <v>91</v>
      </c>
      <c r="J1300" s="130" t="s">
        <v>100</v>
      </c>
      <c r="K1300" s="130" t="s">
        <v>101</v>
      </c>
      <c r="L1300" s="174" t="s">
        <v>71</v>
      </c>
      <c r="M1300" s="131" t="s">
        <v>72</v>
      </c>
      <c r="N1300" s="130" t="s">
        <v>73</v>
      </c>
      <c r="O1300" s="219" t="s">
        <v>72</v>
      </c>
      <c r="P1300" s="130" t="s">
        <v>101</v>
      </c>
      <c r="Q1300" s="132" t="s">
        <v>93</v>
      </c>
      <c r="R1300" s="218">
        <v>3.339</v>
      </c>
      <c r="S1300" s="129">
        <v>1</v>
      </c>
      <c r="T1300" s="129">
        <v>90</v>
      </c>
      <c r="U1300" s="129">
        <v>90</v>
      </c>
      <c r="V1300" s="129">
        <v>16.2</v>
      </c>
      <c r="W1300" s="129">
        <v>106.2</v>
      </c>
      <c r="X1300" s="27">
        <f t="shared" si="188"/>
        <v>300.51</v>
      </c>
    </row>
    <row r="1301" spans="1:24" x14ac:dyDescent="0.2">
      <c r="A1301" s="220">
        <v>43858</v>
      </c>
      <c r="B1301" s="130" t="s">
        <v>68</v>
      </c>
      <c r="C1301" s="130" t="s">
        <v>102</v>
      </c>
      <c r="D1301" s="130" t="s">
        <v>2240</v>
      </c>
      <c r="E1301" s="130" t="s">
        <v>2715</v>
      </c>
      <c r="F1301" s="130" t="s">
        <v>2714</v>
      </c>
      <c r="G1301" s="220">
        <v>43850</v>
      </c>
      <c r="H1301" s="130" t="s">
        <v>90</v>
      </c>
      <c r="I1301" s="130" t="s">
        <v>91</v>
      </c>
      <c r="J1301" s="130" t="s">
        <v>92</v>
      </c>
      <c r="K1301" s="130" t="s">
        <v>113</v>
      </c>
      <c r="L1301" s="174" t="s">
        <v>71</v>
      </c>
      <c r="M1301" s="131" t="s">
        <v>72</v>
      </c>
      <c r="N1301" s="130" t="s">
        <v>73</v>
      </c>
      <c r="O1301" s="219" t="s">
        <v>69</v>
      </c>
      <c r="P1301" s="130" t="s">
        <v>1699</v>
      </c>
      <c r="Q1301" s="132" t="s">
        <v>93</v>
      </c>
      <c r="R1301" s="218">
        <v>3.339</v>
      </c>
      <c r="S1301" s="129">
        <v>1</v>
      </c>
      <c r="T1301" s="129">
        <v>45</v>
      </c>
      <c r="U1301" s="129">
        <v>45</v>
      </c>
      <c r="V1301" s="129">
        <v>8.0999980000000047</v>
      </c>
      <c r="W1301" s="129">
        <v>53.099998000000006</v>
      </c>
      <c r="X1301" s="27">
        <f t="shared" si="188"/>
        <v>150.255</v>
      </c>
    </row>
    <row r="1302" spans="1:24" x14ac:dyDescent="0.2">
      <c r="A1302" s="220">
        <v>43858</v>
      </c>
      <c r="B1302" s="130" t="s">
        <v>68</v>
      </c>
      <c r="C1302" s="130" t="s">
        <v>102</v>
      </c>
      <c r="D1302" s="130" t="s">
        <v>2240</v>
      </c>
      <c r="E1302" s="130" t="s">
        <v>2715</v>
      </c>
      <c r="F1302" s="130" t="s">
        <v>2714</v>
      </c>
      <c r="G1302" s="220">
        <v>43850</v>
      </c>
      <c r="H1302" s="130" t="s">
        <v>90</v>
      </c>
      <c r="I1302" s="130" t="s">
        <v>91</v>
      </c>
      <c r="J1302" s="130" t="s">
        <v>95</v>
      </c>
      <c r="K1302" s="130" t="s">
        <v>96</v>
      </c>
      <c r="L1302" s="174" t="s">
        <v>71</v>
      </c>
      <c r="M1302" s="131" t="s">
        <v>72</v>
      </c>
      <c r="N1302" s="130" t="s">
        <v>73</v>
      </c>
      <c r="O1302" s="219" t="s">
        <v>69</v>
      </c>
      <c r="P1302" s="130" t="s">
        <v>1699</v>
      </c>
      <c r="Q1302" s="132" t="s">
        <v>93</v>
      </c>
      <c r="R1302" s="218">
        <v>3.339</v>
      </c>
      <c r="S1302" s="129">
        <v>-1</v>
      </c>
      <c r="T1302" s="129">
        <v>100</v>
      </c>
      <c r="U1302" s="129">
        <v>-100</v>
      </c>
      <c r="V1302" s="129">
        <v>-18</v>
      </c>
      <c r="W1302" s="129">
        <v>-118</v>
      </c>
      <c r="X1302" s="27">
        <f t="shared" si="188"/>
        <v>-333.9</v>
      </c>
    </row>
    <row r="1303" spans="1:24" x14ac:dyDescent="0.2">
      <c r="A1303" s="220">
        <v>43858</v>
      </c>
      <c r="B1303" s="130" t="s">
        <v>68</v>
      </c>
      <c r="C1303" s="130" t="s">
        <v>102</v>
      </c>
      <c r="D1303" s="130" t="s">
        <v>2240</v>
      </c>
      <c r="E1303" s="130" t="s">
        <v>2715</v>
      </c>
      <c r="F1303" s="130" t="s">
        <v>2714</v>
      </c>
      <c r="G1303" s="220">
        <v>43850</v>
      </c>
      <c r="H1303" s="130" t="s">
        <v>90</v>
      </c>
      <c r="I1303" s="130" t="s">
        <v>91</v>
      </c>
      <c r="J1303" s="130" t="s">
        <v>104</v>
      </c>
      <c r="K1303" s="130" t="s">
        <v>105</v>
      </c>
      <c r="L1303" s="174" t="s">
        <v>71</v>
      </c>
      <c r="M1303" s="131" t="s">
        <v>72</v>
      </c>
      <c r="N1303" s="130" t="s">
        <v>73</v>
      </c>
      <c r="O1303" s="219" t="s">
        <v>69</v>
      </c>
      <c r="P1303" s="130" t="s">
        <v>1699</v>
      </c>
      <c r="Q1303" s="132" t="s">
        <v>93</v>
      </c>
      <c r="R1303" s="218">
        <v>3.339</v>
      </c>
      <c r="S1303" s="129">
        <v>1</v>
      </c>
      <c r="T1303" s="129">
        <v>0</v>
      </c>
      <c r="U1303" s="129">
        <v>0</v>
      </c>
      <c r="V1303" s="129">
        <v>0</v>
      </c>
      <c r="W1303" s="129">
        <v>0</v>
      </c>
      <c r="X1303" s="27">
        <f t="shared" si="188"/>
        <v>0</v>
      </c>
    </row>
    <row r="1304" spans="1:24" x14ac:dyDescent="0.2">
      <c r="A1304" s="220">
        <v>43859</v>
      </c>
      <c r="B1304" s="130" t="s">
        <v>68</v>
      </c>
      <c r="C1304" s="130" t="s">
        <v>102</v>
      </c>
      <c r="D1304" s="130" t="s">
        <v>2257</v>
      </c>
      <c r="E1304" s="130" t="s">
        <v>2550</v>
      </c>
      <c r="F1304" s="130" t="s">
        <v>2551</v>
      </c>
      <c r="G1304" s="220">
        <v>43834</v>
      </c>
      <c r="H1304" s="130" t="s">
        <v>387</v>
      </c>
      <c r="I1304" s="130" t="s">
        <v>386</v>
      </c>
      <c r="J1304" s="130" t="s">
        <v>97</v>
      </c>
      <c r="K1304" s="130" t="s">
        <v>98</v>
      </c>
      <c r="L1304" s="174" t="s">
        <v>71</v>
      </c>
      <c r="M1304" s="131" t="s">
        <v>72</v>
      </c>
      <c r="N1304" s="130" t="s">
        <v>73</v>
      </c>
      <c r="O1304" s="219" t="s">
        <v>99</v>
      </c>
      <c r="P1304" s="130" t="s">
        <v>98</v>
      </c>
      <c r="Q1304" s="132" t="s">
        <v>74</v>
      </c>
      <c r="R1304" s="218">
        <v>3.335</v>
      </c>
      <c r="S1304" s="129">
        <v>1</v>
      </c>
      <c r="T1304" s="129">
        <v>2362.5</v>
      </c>
      <c r="U1304" s="129">
        <v>2362.5</v>
      </c>
      <c r="V1304" s="129">
        <v>425.25</v>
      </c>
      <c r="W1304" s="129">
        <v>2787.75</v>
      </c>
      <c r="X1304" s="27">
        <f t="shared" si="188"/>
        <v>2362.5</v>
      </c>
    </row>
    <row r="1305" spans="1:24" x14ac:dyDescent="0.2">
      <c r="A1305" s="220">
        <v>43859</v>
      </c>
      <c r="B1305" s="130" t="s">
        <v>68</v>
      </c>
      <c r="C1305" s="130" t="s">
        <v>102</v>
      </c>
      <c r="D1305" s="130" t="s">
        <v>2257</v>
      </c>
      <c r="E1305" s="130" t="s">
        <v>2550</v>
      </c>
      <c r="F1305" s="130" t="s">
        <v>2551</v>
      </c>
      <c r="G1305" s="220">
        <v>43834</v>
      </c>
      <c r="H1305" s="130" t="s">
        <v>387</v>
      </c>
      <c r="I1305" s="130" t="s">
        <v>386</v>
      </c>
      <c r="J1305" s="130" t="s">
        <v>100</v>
      </c>
      <c r="K1305" s="130" t="s">
        <v>101</v>
      </c>
      <c r="L1305" s="174" t="s">
        <v>71</v>
      </c>
      <c r="M1305" s="131" t="s">
        <v>72</v>
      </c>
      <c r="N1305" s="130" t="s">
        <v>73</v>
      </c>
      <c r="O1305" s="219" t="s">
        <v>72</v>
      </c>
      <c r="P1305" s="130" t="s">
        <v>101</v>
      </c>
      <c r="Q1305" s="132" t="s">
        <v>74</v>
      </c>
      <c r="R1305" s="218">
        <v>3.335</v>
      </c>
      <c r="S1305" s="129">
        <v>1</v>
      </c>
      <c r="T1305" s="129">
        <v>1470</v>
      </c>
      <c r="U1305" s="129">
        <v>1470</v>
      </c>
      <c r="V1305" s="129">
        <v>264.60000000000002</v>
      </c>
      <c r="W1305" s="129">
        <v>1734.6</v>
      </c>
      <c r="X1305" s="27">
        <f t="shared" si="188"/>
        <v>1470</v>
      </c>
    </row>
    <row r="1306" spans="1:24" x14ac:dyDescent="0.2">
      <c r="A1306" s="220">
        <v>43859</v>
      </c>
      <c r="B1306" s="130" t="s">
        <v>68</v>
      </c>
      <c r="C1306" s="130" t="s">
        <v>102</v>
      </c>
      <c r="D1306" s="130" t="s">
        <v>2257</v>
      </c>
      <c r="E1306" s="130" t="s">
        <v>2550</v>
      </c>
      <c r="F1306" s="130" t="s">
        <v>2551</v>
      </c>
      <c r="G1306" s="220">
        <v>43834</v>
      </c>
      <c r="H1306" s="130" t="s">
        <v>387</v>
      </c>
      <c r="I1306" s="130" t="s">
        <v>386</v>
      </c>
      <c r="J1306" s="130" t="s">
        <v>92</v>
      </c>
      <c r="K1306" s="130" t="s">
        <v>113</v>
      </c>
      <c r="L1306" s="174" t="s">
        <v>71</v>
      </c>
      <c r="M1306" s="131" t="s">
        <v>72</v>
      </c>
      <c r="N1306" s="130" t="s">
        <v>73</v>
      </c>
      <c r="O1306" s="219" t="s">
        <v>69</v>
      </c>
      <c r="P1306" s="130" t="s">
        <v>1699</v>
      </c>
      <c r="Q1306" s="132" t="s">
        <v>74</v>
      </c>
      <c r="R1306" s="218">
        <v>3.335</v>
      </c>
      <c r="S1306" s="129">
        <v>1</v>
      </c>
      <c r="T1306" s="129">
        <v>715</v>
      </c>
      <c r="U1306" s="129">
        <v>715</v>
      </c>
      <c r="V1306" s="129">
        <v>128.70000999999991</v>
      </c>
      <c r="W1306" s="129">
        <v>843.70000999999991</v>
      </c>
      <c r="X1306" s="27">
        <f t="shared" si="188"/>
        <v>715</v>
      </c>
    </row>
    <row r="1307" spans="1:24" x14ac:dyDescent="0.2">
      <c r="A1307" s="220">
        <v>43859</v>
      </c>
      <c r="B1307" s="130" t="s">
        <v>68</v>
      </c>
      <c r="C1307" s="130" t="s">
        <v>102</v>
      </c>
      <c r="D1307" s="130" t="s">
        <v>2257</v>
      </c>
      <c r="E1307" s="130" t="s">
        <v>2550</v>
      </c>
      <c r="F1307" s="130" t="s">
        <v>2551</v>
      </c>
      <c r="G1307" s="220">
        <v>43834</v>
      </c>
      <c r="H1307" s="130" t="s">
        <v>387</v>
      </c>
      <c r="I1307" s="130" t="s">
        <v>386</v>
      </c>
      <c r="J1307" s="130" t="s">
        <v>132</v>
      </c>
      <c r="K1307" s="130" t="s">
        <v>133</v>
      </c>
      <c r="L1307" s="174" t="s">
        <v>71</v>
      </c>
      <c r="M1307" s="131" t="s">
        <v>72</v>
      </c>
      <c r="N1307" s="130" t="s">
        <v>73</v>
      </c>
      <c r="O1307" s="219" t="s">
        <v>69</v>
      </c>
      <c r="P1307" s="130" t="s">
        <v>1699</v>
      </c>
      <c r="Q1307" s="132" t="s">
        <v>74</v>
      </c>
      <c r="R1307" s="218">
        <v>3.335</v>
      </c>
      <c r="S1307" s="129">
        <v>1</v>
      </c>
      <c r="T1307" s="129">
        <v>2098</v>
      </c>
      <c r="U1307" s="129">
        <v>2098</v>
      </c>
      <c r="V1307" s="129">
        <v>377.6398999999999</v>
      </c>
      <c r="W1307" s="129">
        <v>2475.6399000000001</v>
      </c>
      <c r="X1307" s="27">
        <f t="shared" si="188"/>
        <v>2098</v>
      </c>
    </row>
    <row r="1308" spans="1:24" x14ac:dyDescent="0.2">
      <c r="A1308" s="220">
        <v>43859</v>
      </c>
      <c r="B1308" s="130" t="s">
        <v>68</v>
      </c>
      <c r="C1308" s="130" t="s">
        <v>102</v>
      </c>
      <c r="D1308" s="130" t="s">
        <v>2257</v>
      </c>
      <c r="E1308" s="130" t="s">
        <v>2550</v>
      </c>
      <c r="F1308" s="130" t="s">
        <v>2551</v>
      </c>
      <c r="G1308" s="220">
        <v>43834</v>
      </c>
      <c r="H1308" s="130" t="s">
        <v>387</v>
      </c>
      <c r="I1308" s="130" t="s">
        <v>386</v>
      </c>
      <c r="J1308" s="130" t="s">
        <v>139</v>
      </c>
      <c r="K1308" s="130" t="s">
        <v>1775</v>
      </c>
      <c r="L1308" s="174" t="s">
        <v>71</v>
      </c>
      <c r="M1308" s="131" t="s">
        <v>72</v>
      </c>
      <c r="N1308" s="130" t="s">
        <v>73</v>
      </c>
      <c r="O1308" s="219" t="s">
        <v>69</v>
      </c>
      <c r="P1308" s="130" t="s">
        <v>1699</v>
      </c>
      <c r="Q1308" s="132" t="s">
        <v>74</v>
      </c>
      <c r="R1308" s="218">
        <v>3.335</v>
      </c>
      <c r="S1308" s="129">
        <v>1</v>
      </c>
      <c r="T1308" s="129">
        <v>350</v>
      </c>
      <c r="U1308" s="129">
        <v>350</v>
      </c>
      <c r="V1308" s="129">
        <v>63</v>
      </c>
      <c r="W1308" s="129">
        <v>413</v>
      </c>
      <c r="X1308" s="27">
        <f t="shared" si="188"/>
        <v>350</v>
      </c>
    </row>
    <row r="1309" spans="1:24" x14ac:dyDescent="0.2">
      <c r="A1309" s="220">
        <v>43859</v>
      </c>
      <c r="B1309" s="130" t="s">
        <v>68</v>
      </c>
      <c r="C1309" s="130" t="s">
        <v>102</v>
      </c>
      <c r="D1309" s="130" t="s">
        <v>2257</v>
      </c>
      <c r="E1309" s="130" t="s">
        <v>2550</v>
      </c>
      <c r="F1309" s="130" t="s">
        <v>2551</v>
      </c>
      <c r="G1309" s="220">
        <v>43834</v>
      </c>
      <c r="H1309" s="130" t="s">
        <v>387</v>
      </c>
      <c r="I1309" s="130" t="s">
        <v>386</v>
      </c>
      <c r="J1309" s="130" t="s">
        <v>70</v>
      </c>
      <c r="K1309" s="130" t="s">
        <v>112</v>
      </c>
      <c r="L1309" s="174" t="s">
        <v>71</v>
      </c>
      <c r="M1309" s="131" t="s">
        <v>72</v>
      </c>
      <c r="N1309" s="130" t="s">
        <v>73</v>
      </c>
      <c r="O1309" s="219" t="s">
        <v>69</v>
      </c>
      <c r="P1309" s="130" t="s">
        <v>1699</v>
      </c>
      <c r="Q1309" s="132" t="s">
        <v>74</v>
      </c>
      <c r="R1309" s="218">
        <v>3.335</v>
      </c>
      <c r="S1309" s="129">
        <v>1</v>
      </c>
      <c r="T1309" s="129">
        <v>910</v>
      </c>
      <c r="U1309" s="129">
        <v>910</v>
      </c>
      <c r="V1309" s="129">
        <v>163.80000000000001</v>
      </c>
      <c r="W1309" s="129">
        <v>1073.8</v>
      </c>
      <c r="X1309" s="27">
        <f t="shared" si="188"/>
        <v>910</v>
      </c>
    </row>
    <row r="1310" spans="1:24" x14ac:dyDescent="0.2">
      <c r="A1310" s="220">
        <v>43859</v>
      </c>
      <c r="B1310" s="130" t="s">
        <v>68</v>
      </c>
      <c r="C1310" s="130" t="s">
        <v>102</v>
      </c>
      <c r="D1310" s="130" t="s">
        <v>2257</v>
      </c>
      <c r="E1310" s="130" t="s">
        <v>2550</v>
      </c>
      <c r="F1310" s="130" t="s">
        <v>2551</v>
      </c>
      <c r="G1310" s="220">
        <v>43834</v>
      </c>
      <c r="H1310" s="130" t="s">
        <v>387</v>
      </c>
      <c r="I1310" s="130" t="s">
        <v>386</v>
      </c>
      <c r="J1310" s="130" t="s">
        <v>104</v>
      </c>
      <c r="K1310" s="130" t="s">
        <v>105</v>
      </c>
      <c r="L1310" s="174" t="s">
        <v>71</v>
      </c>
      <c r="M1310" s="131" t="s">
        <v>72</v>
      </c>
      <c r="N1310" s="130" t="s">
        <v>73</v>
      </c>
      <c r="O1310" s="219" t="s">
        <v>69</v>
      </c>
      <c r="P1310" s="130" t="s">
        <v>1699</v>
      </c>
      <c r="Q1310" s="132" t="s">
        <v>74</v>
      </c>
      <c r="R1310" s="218">
        <v>3.335</v>
      </c>
      <c r="S1310" s="129">
        <v>1</v>
      </c>
      <c r="T1310" s="129">
        <v>2776</v>
      </c>
      <c r="U1310" s="129">
        <v>2776</v>
      </c>
      <c r="V1310" s="129">
        <v>499.67989999999992</v>
      </c>
      <c r="W1310" s="129">
        <v>3275.6799000000001</v>
      </c>
      <c r="X1310" s="27">
        <f t="shared" si="188"/>
        <v>2776</v>
      </c>
    </row>
    <row r="1311" spans="1:24" x14ac:dyDescent="0.2">
      <c r="A1311" s="220">
        <v>43859</v>
      </c>
      <c r="B1311" s="130" t="s">
        <v>68</v>
      </c>
      <c r="C1311" s="130" t="s">
        <v>102</v>
      </c>
      <c r="D1311" s="130" t="s">
        <v>2239</v>
      </c>
      <c r="E1311" s="130" t="s">
        <v>2016</v>
      </c>
      <c r="F1311" s="130" t="s">
        <v>2017</v>
      </c>
      <c r="G1311" s="220">
        <v>43802</v>
      </c>
      <c r="H1311" s="130" t="s">
        <v>387</v>
      </c>
      <c r="I1311" s="130" t="s">
        <v>386</v>
      </c>
      <c r="J1311" s="130" t="s">
        <v>97</v>
      </c>
      <c r="K1311" s="130" t="s">
        <v>98</v>
      </c>
      <c r="L1311" s="174" t="s">
        <v>71</v>
      </c>
      <c r="M1311" s="131" t="s">
        <v>72</v>
      </c>
      <c r="N1311" s="130" t="s">
        <v>73</v>
      </c>
      <c r="O1311" s="219" t="s">
        <v>99</v>
      </c>
      <c r="P1311" s="130" t="s">
        <v>98</v>
      </c>
      <c r="Q1311" s="132" t="s">
        <v>74</v>
      </c>
      <c r="R1311" s="218">
        <v>3.335</v>
      </c>
      <c r="S1311" s="129">
        <v>1</v>
      </c>
      <c r="T1311" s="129">
        <v>2700</v>
      </c>
      <c r="U1311" s="129">
        <v>2700</v>
      </c>
      <c r="V1311" s="129">
        <v>486</v>
      </c>
      <c r="W1311" s="129">
        <v>3186</v>
      </c>
      <c r="X1311" s="27">
        <f t="shared" si="188"/>
        <v>2700</v>
      </c>
    </row>
    <row r="1312" spans="1:24" x14ac:dyDescent="0.2">
      <c r="A1312" s="220">
        <v>43859</v>
      </c>
      <c r="B1312" s="130" t="s">
        <v>68</v>
      </c>
      <c r="C1312" s="130" t="s">
        <v>102</v>
      </c>
      <c r="D1312" s="130" t="s">
        <v>2239</v>
      </c>
      <c r="E1312" s="130" t="s">
        <v>2016</v>
      </c>
      <c r="F1312" s="130" t="s">
        <v>2017</v>
      </c>
      <c r="G1312" s="220">
        <v>43802</v>
      </c>
      <c r="H1312" s="130" t="s">
        <v>387</v>
      </c>
      <c r="I1312" s="130" t="s">
        <v>386</v>
      </c>
      <c r="J1312" s="130" t="s">
        <v>100</v>
      </c>
      <c r="K1312" s="130" t="s">
        <v>101</v>
      </c>
      <c r="L1312" s="174" t="s">
        <v>71</v>
      </c>
      <c r="M1312" s="131" t="s">
        <v>72</v>
      </c>
      <c r="N1312" s="130" t="s">
        <v>73</v>
      </c>
      <c r="O1312" s="219" t="s">
        <v>72</v>
      </c>
      <c r="P1312" s="130" t="s">
        <v>101</v>
      </c>
      <c r="Q1312" s="132" t="s">
        <v>74</v>
      </c>
      <c r="R1312" s="218">
        <v>3.335</v>
      </c>
      <c r="S1312" s="129">
        <v>1</v>
      </c>
      <c r="T1312" s="129">
        <v>1715</v>
      </c>
      <c r="U1312" s="129">
        <v>1715</v>
      </c>
      <c r="V1312" s="129">
        <v>308.7</v>
      </c>
      <c r="W1312" s="129">
        <v>2023.7</v>
      </c>
      <c r="X1312" s="27">
        <f t="shared" si="188"/>
        <v>1715</v>
      </c>
    </row>
    <row r="1313" spans="1:24" x14ac:dyDescent="0.2">
      <c r="A1313" s="220">
        <v>43859</v>
      </c>
      <c r="B1313" s="130" t="s">
        <v>68</v>
      </c>
      <c r="C1313" s="130" t="s">
        <v>102</v>
      </c>
      <c r="D1313" s="130" t="s">
        <v>2239</v>
      </c>
      <c r="E1313" s="130" t="s">
        <v>2016</v>
      </c>
      <c r="F1313" s="130" t="s">
        <v>2017</v>
      </c>
      <c r="G1313" s="220">
        <v>43802</v>
      </c>
      <c r="H1313" s="130" t="s">
        <v>387</v>
      </c>
      <c r="I1313" s="130" t="s">
        <v>386</v>
      </c>
      <c r="J1313" s="130" t="s">
        <v>92</v>
      </c>
      <c r="K1313" s="130" t="s">
        <v>113</v>
      </c>
      <c r="L1313" s="174" t="s">
        <v>71</v>
      </c>
      <c r="M1313" s="131" t="s">
        <v>72</v>
      </c>
      <c r="N1313" s="130" t="s">
        <v>73</v>
      </c>
      <c r="O1313" s="219" t="s">
        <v>69</v>
      </c>
      <c r="P1313" s="130" t="s">
        <v>1699</v>
      </c>
      <c r="Q1313" s="132" t="s">
        <v>74</v>
      </c>
      <c r="R1313" s="218">
        <v>3.335</v>
      </c>
      <c r="S1313" s="129">
        <v>1</v>
      </c>
      <c r="T1313" s="129">
        <v>980</v>
      </c>
      <c r="U1313" s="129">
        <v>980</v>
      </c>
      <c r="V1313" s="129">
        <v>176.4</v>
      </c>
      <c r="W1313" s="129">
        <v>1156.4000000000001</v>
      </c>
      <c r="X1313" s="27">
        <f t="shared" si="188"/>
        <v>980</v>
      </c>
    </row>
    <row r="1314" spans="1:24" x14ac:dyDescent="0.2">
      <c r="A1314" s="220">
        <v>43859</v>
      </c>
      <c r="B1314" s="130" t="s">
        <v>68</v>
      </c>
      <c r="C1314" s="130" t="s">
        <v>102</v>
      </c>
      <c r="D1314" s="130" t="s">
        <v>2239</v>
      </c>
      <c r="E1314" s="130" t="s">
        <v>2016</v>
      </c>
      <c r="F1314" s="130" t="s">
        <v>2017</v>
      </c>
      <c r="G1314" s="220">
        <v>43802</v>
      </c>
      <c r="H1314" s="130" t="s">
        <v>387</v>
      </c>
      <c r="I1314" s="130" t="s">
        <v>386</v>
      </c>
      <c r="J1314" s="130" t="s">
        <v>132</v>
      </c>
      <c r="K1314" s="130" t="s">
        <v>133</v>
      </c>
      <c r="L1314" s="174" t="s">
        <v>71</v>
      </c>
      <c r="M1314" s="131" t="s">
        <v>72</v>
      </c>
      <c r="N1314" s="130" t="s">
        <v>73</v>
      </c>
      <c r="O1314" s="219" t="s">
        <v>69</v>
      </c>
      <c r="P1314" s="130" t="s">
        <v>1699</v>
      </c>
      <c r="Q1314" s="132" t="s">
        <v>74</v>
      </c>
      <c r="R1314" s="218">
        <v>3.335</v>
      </c>
      <c r="S1314" s="129">
        <v>1</v>
      </c>
      <c r="T1314" s="129">
        <v>2784</v>
      </c>
      <c r="U1314" s="129">
        <v>2784</v>
      </c>
      <c r="V1314" s="129">
        <v>501.12010000000009</v>
      </c>
      <c r="W1314" s="129">
        <v>3285.1201000000001</v>
      </c>
      <c r="X1314" s="27">
        <f t="shared" si="188"/>
        <v>2784</v>
      </c>
    </row>
    <row r="1315" spans="1:24" x14ac:dyDescent="0.2">
      <c r="A1315" s="220">
        <v>43859</v>
      </c>
      <c r="B1315" s="130" t="s">
        <v>68</v>
      </c>
      <c r="C1315" s="130" t="s">
        <v>102</v>
      </c>
      <c r="D1315" s="130" t="s">
        <v>2239</v>
      </c>
      <c r="E1315" s="130" t="s">
        <v>2016</v>
      </c>
      <c r="F1315" s="130" t="s">
        <v>2017</v>
      </c>
      <c r="G1315" s="220">
        <v>43802</v>
      </c>
      <c r="H1315" s="130" t="s">
        <v>387</v>
      </c>
      <c r="I1315" s="130" t="s">
        <v>386</v>
      </c>
      <c r="J1315" s="130" t="s">
        <v>132</v>
      </c>
      <c r="K1315" s="130" t="s">
        <v>107</v>
      </c>
      <c r="L1315" s="174" t="s">
        <v>71</v>
      </c>
      <c r="M1315" s="131" t="s">
        <v>72</v>
      </c>
      <c r="N1315" s="130" t="s">
        <v>73</v>
      </c>
      <c r="O1315" s="219" t="s">
        <v>69</v>
      </c>
      <c r="P1315" s="130" t="s">
        <v>1699</v>
      </c>
      <c r="Q1315" s="132" t="s">
        <v>74</v>
      </c>
      <c r="R1315" s="218">
        <v>3.335</v>
      </c>
      <c r="S1315" s="129">
        <v>1</v>
      </c>
      <c r="T1315" s="129">
        <v>0</v>
      </c>
      <c r="U1315" s="129">
        <v>0</v>
      </c>
      <c r="V1315" s="129">
        <v>0</v>
      </c>
      <c r="W1315" s="129">
        <v>0</v>
      </c>
      <c r="X1315" s="27">
        <f t="shared" si="188"/>
        <v>0</v>
      </c>
    </row>
    <row r="1316" spans="1:24" x14ac:dyDescent="0.2">
      <c r="A1316" s="220">
        <v>43859</v>
      </c>
      <c r="B1316" s="130" t="s">
        <v>68</v>
      </c>
      <c r="C1316" s="130" t="s">
        <v>102</v>
      </c>
      <c r="D1316" s="130" t="s">
        <v>2239</v>
      </c>
      <c r="E1316" s="130" t="s">
        <v>2016</v>
      </c>
      <c r="F1316" s="130" t="s">
        <v>2017</v>
      </c>
      <c r="G1316" s="220">
        <v>43802</v>
      </c>
      <c r="H1316" s="130" t="s">
        <v>387</v>
      </c>
      <c r="I1316" s="130" t="s">
        <v>386</v>
      </c>
      <c r="J1316" s="130" t="s">
        <v>70</v>
      </c>
      <c r="K1316" s="130" t="s">
        <v>112</v>
      </c>
      <c r="L1316" s="174" t="s">
        <v>71</v>
      </c>
      <c r="M1316" s="131" t="s">
        <v>72</v>
      </c>
      <c r="N1316" s="130" t="s">
        <v>73</v>
      </c>
      <c r="O1316" s="219" t="s">
        <v>69</v>
      </c>
      <c r="P1316" s="130" t="s">
        <v>1699</v>
      </c>
      <c r="Q1316" s="132" t="s">
        <v>74</v>
      </c>
      <c r="R1316" s="218">
        <v>3.335</v>
      </c>
      <c r="S1316" s="129">
        <v>1</v>
      </c>
      <c r="T1316" s="129">
        <v>918.75420999999972</v>
      </c>
      <c r="U1316" s="129">
        <v>918.75420999999972</v>
      </c>
      <c r="V1316" s="129">
        <v>165.37579000000028</v>
      </c>
      <c r="W1316" s="129">
        <v>1084.1300000000001</v>
      </c>
      <c r="X1316" s="27">
        <f t="shared" si="188"/>
        <v>918.75420999999972</v>
      </c>
    </row>
    <row r="1317" spans="1:24" x14ac:dyDescent="0.2">
      <c r="A1317" s="220">
        <v>43859</v>
      </c>
      <c r="B1317" s="130" t="s">
        <v>68</v>
      </c>
      <c r="C1317" s="130" t="s">
        <v>102</v>
      </c>
      <c r="D1317" s="130" t="s">
        <v>2239</v>
      </c>
      <c r="E1317" s="130" t="s">
        <v>2016</v>
      </c>
      <c r="F1317" s="130" t="s">
        <v>2017</v>
      </c>
      <c r="G1317" s="220">
        <v>43802</v>
      </c>
      <c r="H1317" s="130" t="s">
        <v>387</v>
      </c>
      <c r="I1317" s="130" t="s">
        <v>386</v>
      </c>
      <c r="J1317" s="130" t="s">
        <v>104</v>
      </c>
      <c r="K1317" s="130" t="s">
        <v>105</v>
      </c>
      <c r="L1317" s="174" t="s">
        <v>71</v>
      </c>
      <c r="M1317" s="131" t="s">
        <v>72</v>
      </c>
      <c r="N1317" s="130" t="s">
        <v>73</v>
      </c>
      <c r="O1317" s="219" t="s">
        <v>69</v>
      </c>
      <c r="P1317" s="130" t="s">
        <v>1699</v>
      </c>
      <c r="Q1317" s="132" t="s">
        <v>74</v>
      </c>
      <c r="R1317" s="218">
        <v>3.335</v>
      </c>
      <c r="S1317" s="129">
        <v>1</v>
      </c>
      <c r="T1317" s="129">
        <v>3348</v>
      </c>
      <c r="U1317" s="129">
        <v>3348</v>
      </c>
      <c r="V1317" s="129">
        <v>602.6398999999999</v>
      </c>
      <c r="W1317" s="129">
        <v>3950.6399000000001</v>
      </c>
      <c r="X1317" s="27">
        <f t="shared" si="188"/>
        <v>3348</v>
      </c>
    </row>
    <row r="1318" spans="1:24" x14ac:dyDescent="0.2">
      <c r="A1318" s="220">
        <v>43859</v>
      </c>
      <c r="B1318" s="130" t="s">
        <v>68</v>
      </c>
      <c r="C1318" s="130" t="s">
        <v>102</v>
      </c>
      <c r="D1318" s="130" t="s">
        <v>2253</v>
      </c>
      <c r="E1318" s="130" t="s">
        <v>2005</v>
      </c>
      <c r="F1318" s="130" t="s">
        <v>1669</v>
      </c>
      <c r="G1318" s="220">
        <v>43818</v>
      </c>
      <c r="H1318" s="130" t="s">
        <v>387</v>
      </c>
      <c r="I1318" s="130" t="s">
        <v>386</v>
      </c>
      <c r="J1318" s="130" t="s">
        <v>104</v>
      </c>
      <c r="K1318" s="130" t="s">
        <v>105</v>
      </c>
      <c r="L1318" s="174" t="s">
        <v>71</v>
      </c>
      <c r="M1318" s="131" t="s">
        <v>72</v>
      </c>
      <c r="N1318" s="130" t="s">
        <v>73</v>
      </c>
      <c r="O1318" s="219" t="s">
        <v>69</v>
      </c>
      <c r="P1318" s="130" t="s">
        <v>1699</v>
      </c>
      <c r="Q1318" s="132" t="s">
        <v>74</v>
      </c>
      <c r="R1318" s="218">
        <v>3.335</v>
      </c>
      <c r="S1318" s="129">
        <v>1</v>
      </c>
      <c r="T1318" s="129">
        <v>933</v>
      </c>
      <c r="U1318" s="129">
        <v>933</v>
      </c>
      <c r="V1318" s="129">
        <v>167.93989999999991</v>
      </c>
      <c r="W1318" s="129">
        <v>1100.9398999999999</v>
      </c>
      <c r="X1318" s="27">
        <f t="shared" si="188"/>
        <v>933</v>
      </c>
    </row>
    <row r="1319" spans="1:24" x14ac:dyDescent="0.2">
      <c r="A1319" s="220">
        <v>43859</v>
      </c>
      <c r="B1319" s="130" t="s">
        <v>68</v>
      </c>
      <c r="C1319" s="130" t="s">
        <v>102</v>
      </c>
      <c r="D1319" s="130" t="s">
        <v>2258</v>
      </c>
      <c r="E1319" s="130" t="s">
        <v>1385</v>
      </c>
      <c r="F1319" s="130" t="s">
        <v>1669</v>
      </c>
      <c r="G1319" s="220">
        <v>43791</v>
      </c>
      <c r="H1319" s="130" t="s">
        <v>387</v>
      </c>
      <c r="I1319" s="130" t="s">
        <v>386</v>
      </c>
      <c r="J1319" s="130" t="s">
        <v>97</v>
      </c>
      <c r="K1319" s="130" t="s">
        <v>98</v>
      </c>
      <c r="L1319" s="174" t="s">
        <v>71</v>
      </c>
      <c r="M1319" s="131" t="s">
        <v>72</v>
      </c>
      <c r="N1319" s="130" t="s">
        <v>73</v>
      </c>
      <c r="O1319" s="219" t="s">
        <v>99</v>
      </c>
      <c r="P1319" s="130" t="s">
        <v>98</v>
      </c>
      <c r="Q1319" s="132" t="s">
        <v>74</v>
      </c>
      <c r="R1319" s="218">
        <v>3.335</v>
      </c>
      <c r="S1319" s="129">
        <v>1</v>
      </c>
      <c r="T1319" s="129">
        <v>2700</v>
      </c>
      <c r="U1319" s="129">
        <v>2700</v>
      </c>
      <c r="V1319" s="129">
        <v>486</v>
      </c>
      <c r="W1319" s="129">
        <v>3186</v>
      </c>
      <c r="X1319" s="27">
        <f t="shared" si="188"/>
        <v>2700</v>
      </c>
    </row>
    <row r="1320" spans="1:24" x14ac:dyDescent="0.2">
      <c r="A1320" s="220">
        <v>43859</v>
      </c>
      <c r="B1320" s="130" t="s">
        <v>68</v>
      </c>
      <c r="C1320" s="130" t="s">
        <v>102</v>
      </c>
      <c r="D1320" s="130" t="s">
        <v>2258</v>
      </c>
      <c r="E1320" s="130" t="s">
        <v>1385</v>
      </c>
      <c r="F1320" s="130" t="s">
        <v>1669</v>
      </c>
      <c r="G1320" s="220">
        <v>43791</v>
      </c>
      <c r="H1320" s="130" t="s">
        <v>387</v>
      </c>
      <c r="I1320" s="130" t="s">
        <v>386</v>
      </c>
      <c r="J1320" s="130" t="s">
        <v>100</v>
      </c>
      <c r="K1320" s="130" t="s">
        <v>101</v>
      </c>
      <c r="L1320" s="174" t="s">
        <v>71</v>
      </c>
      <c r="M1320" s="131" t="s">
        <v>72</v>
      </c>
      <c r="N1320" s="130" t="s">
        <v>73</v>
      </c>
      <c r="O1320" s="219" t="s">
        <v>72</v>
      </c>
      <c r="P1320" s="130" t="s">
        <v>101</v>
      </c>
      <c r="Q1320" s="132" t="s">
        <v>74</v>
      </c>
      <c r="R1320" s="218">
        <v>3.335</v>
      </c>
      <c r="S1320" s="129">
        <v>1</v>
      </c>
      <c r="T1320" s="129">
        <v>1785</v>
      </c>
      <c r="U1320" s="129">
        <v>1785</v>
      </c>
      <c r="V1320" s="129">
        <v>321.3</v>
      </c>
      <c r="W1320" s="129">
        <v>2106.3000000000002</v>
      </c>
      <c r="X1320" s="27">
        <f t="shared" si="188"/>
        <v>1785</v>
      </c>
    </row>
    <row r="1321" spans="1:24" x14ac:dyDescent="0.2">
      <c r="A1321" s="220">
        <v>43859</v>
      </c>
      <c r="B1321" s="130" t="s">
        <v>68</v>
      </c>
      <c r="C1321" s="130" t="s">
        <v>102</v>
      </c>
      <c r="D1321" s="130" t="s">
        <v>2258</v>
      </c>
      <c r="E1321" s="130" t="s">
        <v>1385</v>
      </c>
      <c r="F1321" s="130" t="s">
        <v>1669</v>
      </c>
      <c r="G1321" s="220">
        <v>43791</v>
      </c>
      <c r="H1321" s="130" t="s">
        <v>387</v>
      </c>
      <c r="I1321" s="130" t="s">
        <v>386</v>
      </c>
      <c r="J1321" s="130" t="s">
        <v>92</v>
      </c>
      <c r="K1321" s="130" t="s">
        <v>113</v>
      </c>
      <c r="L1321" s="174" t="s">
        <v>71</v>
      </c>
      <c r="M1321" s="131" t="s">
        <v>72</v>
      </c>
      <c r="N1321" s="130" t="s">
        <v>73</v>
      </c>
      <c r="O1321" s="219" t="s">
        <v>69</v>
      </c>
      <c r="P1321" s="130" t="s">
        <v>1699</v>
      </c>
      <c r="Q1321" s="132" t="s">
        <v>74</v>
      </c>
      <c r="R1321" s="218">
        <v>3.335</v>
      </c>
      <c r="S1321" s="129">
        <v>1</v>
      </c>
      <c r="T1321" s="129">
        <v>1380</v>
      </c>
      <c r="U1321" s="129">
        <v>1380</v>
      </c>
      <c r="V1321" s="129">
        <v>248.4</v>
      </c>
      <c r="W1321" s="129">
        <v>1628.4</v>
      </c>
      <c r="X1321" s="27">
        <f t="shared" si="188"/>
        <v>1380</v>
      </c>
    </row>
    <row r="1322" spans="1:24" x14ac:dyDescent="0.2">
      <c r="A1322" s="220">
        <v>43859</v>
      </c>
      <c r="B1322" s="130" t="s">
        <v>68</v>
      </c>
      <c r="C1322" s="130" t="s">
        <v>102</v>
      </c>
      <c r="D1322" s="130" t="s">
        <v>2258</v>
      </c>
      <c r="E1322" s="130" t="s">
        <v>1385</v>
      </c>
      <c r="F1322" s="130" t="s">
        <v>1669</v>
      </c>
      <c r="G1322" s="220">
        <v>43791</v>
      </c>
      <c r="H1322" s="130" t="s">
        <v>387</v>
      </c>
      <c r="I1322" s="130" t="s">
        <v>386</v>
      </c>
      <c r="J1322" s="130" t="s">
        <v>132</v>
      </c>
      <c r="K1322" s="130" t="s">
        <v>107</v>
      </c>
      <c r="L1322" s="174" t="s">
        <v>71</v>
      </c>
      <c r="M1322" s="131" t="s">
        <v>72</v>
      </c>
      <c r="N1322" s="130" t="s">
        <v>73</v>
      </c>
      <c r="O1322" s="219" t="s">
        <v>69</v>
      </c>
      <c r="P1322" s="130" t="s">
        <v>1699</v>
      </c>
      <c r="Q1322" s="132" t="s">
        <v>74</v>
      </c>
      <c r="R1322" s="218">
        <v>3.335</v>
      </c>
      <c r="S1322" s="129">
        <v>1</v>
      </c>
      <c r="T1322" s="129">
        <v>175</v>
      </c>
      <c r="U1322" s="129">
        <v>175</v>
      </c>
      <c r="V1322" s="129">
        <v>31.5</v>
      </c>
      <c r="W1322" s="129">
        <v>206.5</v>
      </c>
      <c r="X1322" s="27">
        <f t="shared" si="188"/>
        <v>175</v>
      </c>
    </row>
    <row r="1323" spans="1:24" x14ac:dyDescent="0.2">
      <c r="A1323" s="220">
        <v>43859</v>
      </c>
      <c r="B1323" s="130" t="s">
        <v>68</v>
      </c>
      <c r="C1323" s="130" t="s">
        <v>102</v>
      </c>
      <c r="D1323" s="130" t="s">
        <v>2258</v>
      </c>
      <c r="E1323" s="130" t="s">
        <v>1385</v>
      </c>
      <c r="F1323" s="130" t="s">
        <v>1669</v>
      </c>
      <c r="G1323" s="220">
        <v>43791</v>
      </c>
      <c r="H1323" s="130" t="s">
        <v>387</v>
      </c>
      <c r="I1323" s="130" t="s">
        <v>386</v>
      </c>
      <c r="J1323" s="130" t="s">
        <v>139</v>
      </c>
      <c r="K1323" s="130" t="s">
        <v>133</v>
      </c>
      <c r="L1323" s="174" t="s">
        <v>71</v>
      </c>
      <c r="M1323" s="131" t="s">
        <v>72</v>
      </c>
      <c r="N1323" s="130" t="s">
        <v>73</v>
      </c>
      <c r="O1323" s="219" t="s">
        <v>69</v>
      </c>
      <c r="P1323" s="130" t="s">
        <v>1699</v>
      </c>
      <c r="Q1323" s="132" t="s">
        <v>74</v>
      </c>
      <c r="R1323" s="218">
        <v>3.335</v>
      </c>
      <c r="S1323" s="129">
        <v>1</v>
      </c>
      <c r="T1323" s="129">
        <v>4655</v>
      </c>
      <c r="U1323" s="129">
        <v>4655</v>
      </c>
      <c r="V1323" s="129">
        <v>837.89990000000103</v>
      </c>
      <c r="W1323" s="129">
        <v>5492.8999000000013</v>
      </c>
      <c r="X1323" s="27">
        <f t="shared" si="188"/>
        <v>4655</v>
      </c>
    </row>
    <row r="1324" spans="1:24" x14ac:dyDescent="0.2">
      <c r="A1324" s="220">
        <v>43859</v>
      </c>
      <c r="B1324" s="130" t="s">
        <v>68</v>
      </c>
      <c r="C1324" s="130" t="s">
        <v>102</v>
      </c>
      <c r="D1324" s="130" t="s">
        <v>2258</v>
      </c>
      <c r="E1324" s="130" t="s">
        <v>1385</v>
      </c>
      <c r="F1324" s="130" t="s">
        <v>1669</v>
      </c>
      <c r="G1324" s="220">
        <v>43791</v>
      </c>
      <c r="H1324" s="130" t="s">
        <v>387</v>
      </c>
      <c r="I1324" s="130" t="s">
        <v>386</v>
      </c>
      <c r="J1324" s="130" t="s">
        <v>70</v>
      </c>
      <c r="K1324" s="130" t="s">
        <v>112</v>
      </c>
      <c r="L1324" s="174" t="s">
        <v>71</v>
      </c>
      <c r="M1324" s="131" t="s">
        <v>72</v>
      </c>
      <c r="N1324" s="130" t="s">
        <v>73</v>
      </c>
      <c r="O1324" s="219" t="s">
        <v>69</v>
      </c>
      <c r="P1324" s="130" t="s">
        <v>1699</v>
      </c>
      <c r="Q1324" s="132" t="s">
        <v>74</v>
      </c>
      <c r="R1324" s="218">
        <v>3.335</v>
      </c>
      <c r="S1324" s="129">
        <v>1</v>
      </c>
      <c r="T1324" s="129">
        <v>743.75420999999972</v>
      </c>
      <c r="U1324" s="129">
        <v>743.75420999999972</v>
      </c>
      <c r="V1324" s="129">
        <v>133.87579000000028</v>
      </c>
      <c r="W1324" s="129">
        <v>877.63</v>
      </c>
      <c r="X1324" s="27">
        <f t="shared" si="188"/>
        <v>743.75420999999972</v>
      </c>
    </row>
    <row r="1325" spans="1:24" x14ac:dyDescent="0.2">
      <c r="A1325" s="220">
        <v>43859</v>
      </c>
      <c r="B1325" s="130" t="s">
        <v>68</v>
      </c>
      <c r="C1325" s="130" t="s">
        <v>102</v>
      </c>
      <c r="D1325" s="130" t="s">
        <v>2258</v>
      </c>
      <c r="E1325" s="130" t="s">
        <v>1385</v>
      </c>
      <c r="F1325" s="130" t="s">
        <v>1669</v>
      </c>
      <c r="G1325" s="220">
        <v>43791</v>
      </c>
      <c r="H1325" s="130" t="s">
        <v>387</v>
      </c>
      <c r="I1325" s="130" t="s">
        <v>386</v>
      </c>
      <c r="J1325" s="130" t="s">
        <v>104</v>
      </c>
      <c r="K1325" s="130" t="s">
        <v>105</v>
      </c>
      <c r="L1325" s="174" t="s">
        <v>71</v>
      </c>
      <c r="M1325" s="131" t="s">
        <v>72</v>
      </c>
      <c r="N1325" s="130" t="s">
        <v>73</v>
      </c>
      <c r="O1325" s="219" t="s">
        <v>69</v>
      </c>
      <c r="P1325" s="130" t="s">
        <v>1699</v>
      </c>
      <c r="Q1325" s="132" t="s">
        <v>74</v>
      </c>
      <c r="R1325" s="218">
        <v>3.335</v>
      </c>
      <c r="S1325" s="129">
        <v>1</v>
      </c>
      <c r="T1325" s="129">
        <v>4065</v>
      </c>
      <c r="U1325" s="129">
        <v>4065</v>
      </c>
      <c r="V1325" s="129">
        <v>731.70020000000022</v>
      </c>
      <c r="W1325" s="129">
        <v>4796.7002000000002</v>
      </c>
      <c r="X1325" s="27">
        <f t="shared" si="188"/>
        <v>4065</v>
      </c>
    </row>
    <row r="1326" spans="1:24" x14ac:dyDescent="0.2">
      <c r="A1326" s="220">
        <v>43859</v>
      </c>
      <c r="B1326" s="130" t="s">
        <v>68</v>
      </c>
      <c r="C1326" s="130" t="s">
        <v>102</v>
      </c>
      <c r="D1326" s="130" t="s">
        <v>2389</v>
      </c>
      <c r="E1326" s="130" t="s">
        <v>2517</v>
      </c>
      <c r="F1326" s="130" t="s">
        <v>2518</v>
      </c>
      <c r="G1326" s="220">
        <v>43844</v>
      </c>
      <c r="H1326" s="130" t="s">
        <v>90</v>
      </c>
      <c r="I1326" s="130" t="s">
        <v>91</v>
      </c>
      <c r="J1326" s="130" t="s">
        <v>97</v>
      </c>
      <c r="K1326" s="130" t="s">
        <v>98</v>
      </c>
      <c r="L1326" s="174" t="s">
        <v>71</v>
      </c>
      <c r="M1326" s="131" t="s">
        <v>72</v>
      </c>
      <c r="N1326" s="130" t="s">
        <v>73</v>
      </c>
      <c r="O1326" s="219" t="s">
        <v>99</v>
      </c>
      <c r="P1326" s="130" t="s">
        <v>98</v>
      </c>
      <c r="Q1326" s="132" t="s">
        <v>93</v>
      </c>
      <c r="R1326" s="218">
        <v>3.335</v>
      </c>
      <c r="S1326" s="129">
        <v>1</v>
      </c>
      <c r="T1326" s="129">
        <v>118</v>
      </c>
      <c r="U1326" s="129">
        <v>118</v>
      </c>
      <c r="V1326" s="129">
        <v>21.240010000000019</v>
      </c>
      <c r="W1326" s="129">
        <v>139.24001000000001</v>
      </c>
      <c r="X1326" s="27">
        <f t="shared" si="188"/>
        <v>393.53</v>
      </c>
    </row>
    <row r="1327" spans="1:24" x14ac:dyDescent="0.2">
      <c r="A1327" s="220">
        <v>43859</v>
      </c>
      <c r="B1327" s="130" t="s">
        <v>68</v>
      </c>
      <c r="C1327" s="130" t="s">
        <v>102</v>
      </c>
      <c r="D1327" s="130" t="s">
        <v>2389</v>
      </c>
      <c r="E1327" s="130" t="s">
        <v>2517</v>
      </c>
      <c r="F1327" s="130" t="s">
        <v>2518</v>
      </c>
      <c r="G1327" s="220">
        <v>43844</v>
      </c>
      <c r="H1327" s="130" t="s">
        <v>90</v>
      </c>
      <c r="I1327" s="130" t="s">
        <v>91</v>
      </c>
      <c r="J1327" s="130" t="s">
        <v>100</v>
      </c>
      <c r="K1327" s="130" t="s">
        <v>101</v>
      </c>
      <c r="L1327" s="174" t="s">
        <v>71</v>
      </c>
      <c r="M1327" s="131" t="s">
        <v>72</v>
      </c>
      <c r="N1327" s="130" t="s">
        <v>73</v>
      </c>
      <c r="O1327" s="219" t="s">
        <v>72</v>
      </c>
      <c r="P1327" s="130" t="s">
        <v>101</v>
      </c>
      <c r="Q1327" s="132" t="s">
        <v>93</v>
      </c>
      <c r="R1327" s="218">
        <v>3.335</v>
      </c>
      <c r="S1327" s="129">
        <v>1</v>
      </c>
      <c r="T1327" s="129">
        <v>105</v>
      </c>
      <c r="U1327" s="129">
        <v>105</v>
      </c>
      <c r="V1327" s="129">
        <v>18.899999999999999</v>
      </c>
      <c r="W1327" s="129">
        <v>123.9</v>
      </c>
      <c r="X1327" s="27">
        <f t="shared" si="188"/>
        <v>350.17500000000001</v>
      </c>
    </row>
    <row r="1328" spans="1:24" x14ac:dyDescent="0.2">
      <c r="A1328" s="220">
        <v>43859</v>
      </c>
      <c r="B1328" s="130" t="s">
        <v>68</v>
      </c>
      <c r="C1328" s="130" t="s">
        <v>102</v>
      </c>
      <c r="D1328" s="130" t="s">
        <v>2389</v>
      </c>
      <c r="E1328" s="130" t="s">
        <v>2517</v>
      </c>
      <c r="F1328" s="130" t="s">
        <v>2518</v>
      </c>
      <c r="G1328" s="220">
        <v>43844</v>
      </c>
      <c r="H1328" s="130" t="s">
        <v>90</v>
      </c>
      <c r="I1328" s="130" t="s">
        <v>91</v>
      </c>
      <c r="J1328" s="130" t="s">
        <v>92</v>
      </c>
      <c r="K1328" s="130" t="s">
        <v>113</v>
      </c>
      <c r="L1328" s="174" t="s">
        <v>71</v>
      </c>
      <c r="M1328" s="131" t="s">
        <v>72</v>
      </c>
      <c r="N1328" s="130" t="s">
        <v>73</v>
      </c>
      <c r="O1328" s="219" t="s">
        <v>69</v>
      </c>
      <c r="P1328" s="130" t="s">
        <v>1699</v>
      </c>
      <c r="Q1328" s="132" t="s">
        <v>93</v>
      </c>
      <c r="R1328" s="218">
        <v>3.335</v>
      </c>
      <c r="S1328" s="129">
        <v>1</v>
      </c>
      <c r="T1328" s="129">
        <v>95</v>
      </c>
      <c r="U1328" s="129">
        <v>95</v>
      </c>
      <c r="V1328" s="129">
        <v>17.100000000000001</v>
      </c>
      <c r="W1328" s="129">
        <v>112.1</v>
      </c>
      <c r="X1328" s="27">
        <f t="shared" si="188"/>
        <v>316.82499999999999</v>
      </c>
    </row>
    <row r="1329" spans="1:24" x14ac:dyDescent="0.2">
      <c r="A1329" s="220">
        <v>43859</v>
      </c>
      <c r="B1329" s="130" t="s">
        <v>68</v>
      </c>
      <c r="C1329" s="130" t="s">
        <v>102</v>
      </c>
      <c r="D1329" s="130" t="s">
        <v>2389</v>
      </c>
      <c r="E1329" s="130" t="s">
        <v>2517</v>
      </c>
      <c r="F1329" s="130" t="s">
        <v>2518</v>
      </c>
      <c r="G1329" s="220">
        <v>43844</v>
      </c>
      <c r="H1329" s="130" t="s">
        <v>90</v>
      </c>
      <c r="I1329" s="130" t="s">
        <v>91</v>
      </c>
      <c r="J1329" s="130" t="s">
        <v>95</v>
      </c>
      <c r="K1329" s="130" t="s">
        <v>96</v>
      </c>
      <c r="L1329" s="174" t="s">
        <v>71</v>
      </c>
      <c r="M1329" s="131" t="s">
        <v>72</v>
      </c>
      <c r="N1329" s="130" t="s">
        <v>73</v>
      </c>
      <c r="O1329" s="219" t="s">
        <v>69</v>
      </c>
      <c r="P1329" s="130" t="s">
        <v>1699</v>
      </c>
      <c r="Q1329" s="132" t="s">
        <v>93</v>
      </c>
      <c r="R1329" s="218">
        <v>3.335</v>
      </c>
      <c r="S1329" s="129">
        <v>-1</v>
      </c>
      <c r="T1329" s="129">
        <v>50</v>
      </c>
      <c r="U1329" s="129">
        <v>-50</v>
      </c>
      <c r="V1329" s="129">
        <v>-9</v>
      </c>
      <c r="W1329" s="129">
        <v>-59</v>
      </c>
      <c r="X1329" s="27">
        <f t="shared" si="188"/>
        <v>-166.75</v>
      </c>
    </row>
    <row r="1330" spans="1:24" x14ac:dyDescent="0.2">
      <c r="A1330" s="220">
        <v>43859</v>
      </c>
      <c r="B1330" s="130" t="s">
        <v>68</v>
      </c>
      <c r="C1330" s="130" t="s">
        <v>102</v>
      </c>
      <c r="D1330" s="130" t="s">
        <v>2389</v>
      </c>
      <c r="E1330" s="130" t="s">
        <v>2517</v>
      </c>
      <c r="F1330" s="130" t="s">
        <v>2518</v>
      </c>
      <c r="G1330" s="220">
        <v>43844</v>
      </c>
      <c r="H1330" s="130" t="s">
        <v>90</v>
      </c>
      <c r="I1330" s="130" t="s">
        <v>91</v>
      </c>
      <c r="J1330" s="130" t="s">
        <v>104</v>
      </c>
      <c r="K1330" s="130" t="s">
        <v>105</v>
      </c>
      <c r="L1330" s="174" t="s">
        <v>71</v>
      </c>
      <c r="M1330" s="131" t="s">
        <v>72</v>
      </c>
      <c r="N1330" s="130" t="s">
        <v>73</v>
      </c>
      <c r="O1330" s="219" t="s">
        <v>69</v>
      </c>
      <c r="P1330" s="130" t="s">
        <v>1699</v>
      </c>
      <c r="Q1330" s="132" t="s">
        <v>93</v>
      </c>
      <c r="R1330" s="218">
        <v>3.335</v>
      </c>
      <c r="S1330" s="129">
        <v>1</v>
      </c>
      <c r="T1330" s="129">
        <v>0</v>
      </c>
      <c r="U1330" s="129">
        <v>0</v>
      </c>
      <c r="V1330" s="129">
        <v>0</v>
      </c>
      <c r="W1330" s="129">
        <v>0</v>
      </c>
      <c r="X1330" s="27">
        <f t="shared" si="188"/>
        <v>0</v>
      </c>
    </row>
    <row r="1331" spans="1:24" x14ac:dyDescent="0.2">
      <c r="A1331" s="220">
        <v>43861</v>
      </c>
      <c r="B1331" s="130" t="s">
        <v>68</v>
      </c>
      <c r="C1331" s="130" t="s">
        <v>102</v>
      </c>
      <c r="D1331" s="130" t="s">
        <v>2400</v>
      </c>
      <c r="E1331" s="130" t="s">
        <v>2665</v>
      </c>
      <c r="F1331" s="130" t="s">
        <v>2702</v>
      </c>
      <c r="G1331" s="220">
        <v>43850</v>
      </c>
      <c r="H1331" s="130" t="s">
        <v>90</v>
      </c>
      <c r="I1331" s="130" t="s">
        <v>91</v>
      </c>
      <c r="J1331" s="130" t="s">
        <v>97</v>
      </c>
      <c r="K1331" s="130" t="s">
        <v>98</v>
      </c>
      <c r="L1331" s="174" t="s">
        <v>71</v>
      </c>
      <c r="M1331" s="131" t="s">
        <v>72</v>
      </c>
      <c r="N1331" s="130" t="s">
        <v>73</v>
      </c>
      <c r="O1331" s="219" t="s">
        <v>99</v>
      </c>
      <c r="P1331" s="130" t="s">
        <v>98</v>
      </c>
      <c r="Q1331" s="132" t="s">
        <v>93</v>
      </c>
      <c r="R1331" s="218">
        <v>3.3599999</v>
      </c>
      <c r="S1331" s="129">
        <v>1</v>
      </c>
      <c r="T1331" s="129">
        <v>206.5</v>
      </c>
      <c r="U1331" s="129">
        <v>206.5</v>
      </c>
      <c r="V1331" s="129">
        <v>37.17</v>
      </c>
      <c r="W1331" s="129">
        <v>243.67</v>
      </c>
      <c r="X1331" s="27">
        <f t="shared" si="188"/>
        <v>693.83997935000002</v>
      </c>
    </row>
    <row r="1332" spans="1:24" x14ac:dyDescent="0.2">
      <c r="A1332" s="220">
        <v>43861</v>
      </c>
      <c r="B1332" s="130" t="s">
        <v>68</v>
      </c>
      <c r="C1332" s="130" t="s">
        <v>102</v>
      </c>
      <c r="D1332" s="130" t="s">
        <v>2400</v>
      </c>
      <c r="E1332" s="130" t="s">
        <v>2665</v>
      </c>
      <c r="F1332" s="130" t="s">
        <v>2702</v>
      </c>
      <c r="G1332" s="220">
        <v>43850</v>
      </c>
      <c r="H1332" s="130" t="s">
        <v>90</v>
      </c>
      <c r="I1332" s="130" t="s">
        <v>91</v>
      </c>
      <c r="J1332" s="130" t="s">
        <v>100</v>
      </c>
      <c r="K1332" s="130" t="s">
        <v>101</v>
      </c>
      <c r="L1332" s="174" t="s">
        <v>71</v>
      </c>
      <c r="M1332" s="131" t="s">
        <v>72</v>
      </c>
      <c r="N1332" s="130" t="s">
        <v>73</v>
      </c>
      <c r="O1332" s="219" t="s">
        <v>72</v>
      </c>
      <c r="P1332" s="130" t="s">
        <v>101</v>
      </c>
      <c r="Q1332" s="132" t="s">
        <v>93</v>
      </c>
      <c r="R1332" s="218">
        <v>3.3599999</v>
      </c>
      <c r="S1332" s="129">
        <v>1</v>
      </c>
      <c r="T1332" s="129">
        <v>300</v>
      </c>
      <c r="U1332" s="129">
        <v>300</v>
      </c>
      <c r="V1332" s="129">
        <v>54</v>
      </c>
      <c r="W1332" s="129">
        <v>354</v>
      </c>
      <c r="X1332" s="27">
        <f t="shared" si="188"/>
        <v>1007.99997</v>
      </c>
    </row>
    <row r="1333" spans="1:24" x14ac:dyDescent="0.2">
      <c r="A1333" s="220">
        <v>43861</v>
      </c>
      <c r="B1333" s="130" t="s">
        <v>68</v>
      </c>
      <c r="C1333" s="130" t="s">
        <v>102</v>
      </c>
      <c r="D1333" s="130" t="s">
        <v>2400</v>
      </c>
      <c r="E1333" s="130" t="s">
        <v>2665</v>
      </c>
      <c r="F1333" s="130" t="s">
        <v>2702</v>
      </c>
      <c r="G1333" s="220">
        <v>43850</v>
      </c>
      <c r="H1333" s="130" t="s">
        <v>90</v>
      </c>
      <c r="I1333" s="130" t="s">
        <v>91</v>
      </c>
      <c r="J1333" s="130" t="s">
        <v>92</v>
      </c>
      <c r="K1333" s="130" t="s">
        <v>113</v>
      </c>
      <c r="L1333" s="174" t="s">
        <v>71</v>
      </c>
      <c r="M1333" s="131" t="s">
        <v>72</v>
      </c>
      <c r="N1333" s="130" t="s">
        <v>73</v>
      </c>
      <c r="O1333" s="219" t="s">
        <v>69</v>
      </c>
      <c r="P1333" s="130" t="s">
        <v>1699</v>
      </c>
      <c r="Q1333" s="132" t="s">
        <v>93</v>
      </c>
      <c r="R1333" s="218">
        <v>3.3599999</v>
      </c>
      <c r="S1333" s="129">
        <v>1</v>
      </c>
      <c r="T1333" s="129">
        <v>30</v>
      </c>
      <c r="U1333" s="129">
        <v>30</v>
      </c>
      <c r="V1333" s="129">
        <v>5.4000019999999997</v>
      </c>
      <c r="W1333" s="129">
        <v>35.400002000000001</v>
      </c>
      <c r="X1333" s="27">
        <f t="shared" si="188"/>
        <v>100.799997</v>
      </c>
    </row>
    <row r="1334" spans="1:24" x14ac:dyDescent="0.2">
      <c r="A1334" s="220">
        <v>43861</v>
      </c>
      <c r="B1334" s="130" t="s">
        <v>68</v>
      </c>
      <c r="C1334" s="130" t="s">
        <v>102</v>
      </c>
      <c r="D1334" s="130" t="s">
        <v>2400</v>
      </c>
      <c r="E1334" s="130" t="s">
        <v>2665</v>
      </c>
      <c r="F1334" s="130" t="s">
        <v>2702</v>
      </c>
      <c r="G1334" s="220">
        <v>43850</v>
      </c>
      <c r="H1334" s="130" t="s">
        <v>90</v>
      </c>
      <c r="I1334" s="130" t="s">
        <v>91</v>
      </c>
      <c r="J1334" s="130" t="s">
        <v>70</v>
      </c>
      <c r="K1334" s="130" t="s">
        <v>112</v>
      </c>
      <c r="L1334" s="174" t="s">
        <v>71</v>
      </c>
      <c r="M1334" s="131" t="s">
        <v>72</v>
      </c>
      <c r="N1334" s="130" t="s">
        <v>73</v>
      </c>
      <c r="O1334" s="219" t="s">
        <v>69</v>
      </c>
      <c r="P1334" s="130" t="s">
        <v>1699</v>
      </c>
      <c r="Q1334" s="132" t="s">
        <v>93</v>
      </c>
      <c r="R1334" s="218">
        <v>3.3599999</v>
      </c>
      <c r="S1334" s="129">
        <v>1</v>
      </c>
      <c r="T1334" s="129">
        <v>15</v>
      </c>
      <c r="U1334" s="129">
        <v>15</v>
      </c>
      <c r="V1334" s="129">
        <v>2.7000009999999999</v>
      </c>
      <c r="W1334" s="129">
        <v>17.700001</v>
      </c>
      <c r="X1334" s="27">
        <f t="shared" si="188"/>
        <v>50.399998500000002</v>
      </c>
    </row>
    <row r="1335" spans="1:24" x14ac:dyDescent="0.2">
      <c r="A1335" s="220">
        <v>43861</v>
      </c>
      <c r="B1335" s="130" t="s">
        <v>68</v>
      </c>
      <c r="C1335" s="130" t="s">
        <v>102</v>
      </c>
      <c r="D1335" s="130" t="s">
        <v>2400</v>
      </c>
      <c r="E1335" s="130" t="s">
        <v>2665</v>
      </c>
      <c r="F1335" s="130" t="s">
        <v>2702</v>
      </c>
      <c r="G1335" s="220">
        <v>43850</v>
      </c>
      <c r="H1335" s="130" t="s">
        <v>90</v>
      </c>
      <c r="I1335" s="130" t="s">
        <v>91</v>
      </c>
      <c r="J1335" s="130" t="s">
        <v>95</v>
      </c>
      <c r="K1335" s="130" t="s">
        <v>96</v>
      </c>
      <c r="L1335" s="174" t="s">
        <v>71</v>
      </c>
      <c r="M1335" s="131" t="s">
        <v>72</v>
      </c>
      <c r="N1335" s="130" t="s">
        <v>73</v>
      </c>
      <c r="O1335" s="219" t="s">
        <v>69</v>
      </c>
      <c r="P1335" s="130" t="s">
        <v>1699</v>
      </c>
      <c r="Q1335" s="132" t="s">
        <v>93</v>
      </c>
      <c r="R1335" s="218">
        <v>3.3599999</v>
      </c>
      <c r="S1335" s="129">
        <v>-1</v>
      </c>
      <c r="T1335" s="129">
        <v>270.38979999999998</v>
      </c>
      <c r="U1335" s="129">
        <v>-270.38979999999998</v>
      </c>
      <c r="V1335" s="129">
        <v>-48.670200000000044</v>
      </c>
      <c r="W1335" s="129">
        <v>-319.06</v>
      </c>
      <c r="X1335" s="27">
        <f t="shared" si="188"/>
        <v>-908.50970096101992</v>
      </c>
    </row>
    <row r="1336" spans="1:24" x14ac:dyDescent="0.2">
      <c r="A1336" s="220">
        <v>43861</v>
      </c>
      <c r="B1336" s="130" t="s">
        <v>68</v>
      </c>
      <c r="C1336" s="130" t="s">
        <v>102</v>
      </c>
      <c r="D1336" s="130" t="s">
        <v>2400</v>
      </c>
      <c r="E1336" s="130" t="s">
        <v>2665</v>
      </c>
      <c r="F1336" s="130" t="s">
        <v>2702</v>
      </c>
      <c r="G1336" s="220">
        <v>43850</v>
      </c>
      <c r="H1336" s="130" t="s">
        <v>90</v>
      </c>
      <c r="I1336" s="130" t="s">
        <v>91</v>
      </c>
      <c r="J1336" s="130" t="s">
        <v>104</v>
      </c>
      <c r="K1336" s="130" t="s">
        <v>105</v>
      </c>
      <c r="L1336" s="174" t="s">
        <v>71</v>
      </c>
      <c r="M1336" s="131" t="s">
        <v>72</v>
      </c>
      <c r="N1336" s="130" t="s">
        <v>73</v>
      </c>
      <c r="O1336" s="219" t="s">
        <v>69</v>
      </c>
      <c r="P1336" s="130" t="s">
        <v>1699</v>
      </c>
      <c r="Q1336" s="132" t="s">
        <v>93</v>
      </c>
      <c r="R1336" s="218">
        <v>3.3599999</v>
      </c>
      <c r="S1336" s="129">
        <v>1</v>
      </c>
      <c r="T1336" s="129">
        <v>0</v>
      </c>
      <c r="U1336" s="129">
        <v>0</v>
      </c>
      <c r="V1336" s="129">
        <v>0</v>
      </c>
      <c r="W1336" s="129">
        <v>0</v>
      </c>
      <c r="X1336" s="27">
        <f t="shared" si="188"/>
        <v>0</v>
      </c>
    </row>
    <row r="1337" spans="1:24" x14ac:dyDescent="0.2">
      <c r="A1337" s="220">
        <v>43861</v>
      </c>
      <c r="B1337" s="130" t="s">
        <v>68</v>
      </c>
      <c r="C1337" s="130" t="s">
        <v>102</v>
      </c>
      <c r="D1337" s="130" t="s">
        <v>2390</v>
      </c>
      <c r="E1337" s="130" t="s">
        <v>2662</v>
      </c>
      <c r="F1337" s="130" t="s">
        <v>2699</v>
      </c>
      <c r="G1337" s="220">
        <v>43846</v>
      </c>
      <c r="H1337" s="130" t="s">
        <v>90</v>
      </c>
      <c r="I1337" s="130" t="s">
        <v>91</v>
      </c>
      <c r="J1337" s="130" t="s">
        <v>97</v>
      </c>
      <c r="K1337" s="130" t="s">
        <v>98</v>
      </c>
      <c r="L1337" s="174" t="s">
        <v>71</v>
      </c>
      <c r="M1337" s="131" t="s">
        <v>72</v>
      </c>
      <c r="N1337" s="130" t="s">
        <v>73</v>
      </c>
      <c r="O1337" s="219" t="s">
        <v>99</v>
      </c>
      <c r="P1337" s="130" t="s">
        <v>98</v>
      </c>
      <c r="Q1337" s="132" t="s">
        <v>93</v>
      </c>
      <c r="R1337" s="218">
        <v>3.3599999</v>
      </c>
      <c r="S1337" s="129">
        <v>1</v>
      </c>
      <c r="T1337" s="129">
        <v>206.5</v>
      </c>
      <c r="U1337" s="129">
        <v>206.5</v>
      </c>
      <c r="V1337" s="129">
        <v>37.17</v>
      </c>
      <c r="W1337" s="129">
        <v>243.67</v>
      </c>
      <c r="X1337" s="27">
        <f t="shared" si="188"/>
        <v>693.83997935000002</v>
      </c>
    </row>
    <row r="1338" spans="1:24" x14ac:dyDescent="0.2">
      <c r="A1338" s="220">
        <v>43861</v>
      </c>
      <c r="B1338" s="130" t="s">
        <v>68</v>
      </c>
      <c r="C1338" s="130" t="s">
        <v>102</v>
      </c>
      <c r="D1338" s="130" t="s">
        <v>2390</v>
      </c>
      <c r="E1338" s="130" t="s">
        <v>2662</v>
      </c>
      <c r="F1338" s="130" t="s">
        <v>2699</v>
      </c>
      <c r="G1338" s="220">
        <v>43846</v>
      </c>
      <c r="H1338" s="130" t="s">
        <v>90</v>
      </c>
      <c r="I1338" s="130" t="s">
        <v>91</v>
      </c>
      <c r="J1338" s="130" t="s">
        <v>100</v>
      </c>
      <c r="K1338" s="130" t="s">
        <v>101</v>
      </c>
      <c r="L1338" s="174" t="s">
        <v>71</v>
      </c>
      <c r="M1338" s="131" t="s">
        <v>72</v>
      </c>
      <c r="N1338" s="130" t="s">
        <v>73</v>
      </c>
      <c r="O1338" s="219" t="s">
        <v>72</v>
      </c>
      <c r="P1338" s="130" t="s">
        <v>101</v>
      </c>
      <c r="Q1338" s="132" t="s">
        <v>93</v>
      </c>
      <c r="R1338" s="218">
        <v>3.3599999</v>
      </c>
      <c r="S1338" s="129">
        <v>1</v>
      </c>
      <c r="T1338" s="129">
        <v>217.5</v>
      </c>
      <c r="U1338" s="129">
        <v>217.5</v>
      </c>
      <c r="V1338" s="129">
        <v>39.14998999999996</v>
      </c>
      <c r="W1338" s="129">
        <v>256.64998999999995</v>
      </c>
      <c r="X1338" s="27">
        <f t="shared" si="188"/>
        <v>730.79997824999998</v>
      </c>
    </row>
    <row r="1339" spans="1:24" x14ac:dyDescent="0.2">
      <c r="A1339" s="220">
        <v>43861</v>
      </c>
      <c r="B1339" s="130" t="s">
        <v>68</v>
      </c>
      <c r="C1339" s="130" t="s">
        <v>102</v>
      </c>
      <c r="D1339" s="130" t="s">
        <v>2390</v>
      </c>
      <c r="E1339" s="130" t="s">
        <v>2662</v>
      </c>
      <c r="F1339" s="130" t="s">
        <v>2699</v>
      </c>
      <c r="G1339" s="220">
        <v>43846</v>
      </c>
      <c r="H1339" s="130" t="s">
        <v>90</v>
      </c>
      <c r="I1339" s="130" t="s">
        <v>91</v>
      </c>
      <c r="J1339" s="130" t="s">
        <v>92</v>
      </c>
      <c r="K1339" s="130" t="s">
        <v>113</v>
      </c>
      <c r="L1339" s="174" t="s">
        <v>71</v>
      </c>
      <c r="M1339" s="131" t="s">
        <v>72</v>
      </c>
      <c r="N1339" s="130" t="s">
        <v>73</v>
      </c>
      <c r="O1339" s="219" t="s">
        <v>69</v>
      </c>
      <c r="P1339" s="130" t="s">
        <v>1699</v>
      </c>
      <c r="Q1339" s="132" t="s">
        <v>93</v>
      </c>
      <c r="R1339" s="218">
        <v>3.3599999</v>
      </c>
      <c r="S1339" s="129">
        <v>1</v>
      </c>
      <c r="T1339" s="129">
        <v>50</v>
      </c>
      <c r="U1339" s="129">
        <v>50</v>
      </c>
      <c r="V1339" s="129">
        <v>9</v>
      </c>
      <c r="W1339" s="129">
        <v>59</v>
      </c>
      <c r="X1339" s="27">
        <f t="shared" si="188"/>
        <v>167.99999500000001</v>
      </c>
    </row>
    <row r="1340" spans="1:24" x14ac:dyDescent="0.2">
      <c r="A1340" s="220">
        <v>43861</v>
      </c>
      <c r="B1340" s="130" t="s">
        <v>68</v>
      </c>
      <c r="C1340" s="130" t="s">
        <v>102</v>
      </c>
      <c r="D1340" s="130" t="s">
        <v>2390</v>
      </c>
      <c r="E1340" s="130" t="s">
        <v>2662</v>
      </c>
      <c r="F1340" s="130" t="s">
        <v>2699</v>
      </c>
      <c r="G1340" s="220">
        <v>43846</v>
      </c>
      <c r="H1340" s="130" t="s">
        <v>90</v>
      </c>
      <c r="I1340" s="130" t="s">
        <v>91</v>
      </c>
      <c r="J1340" s="130" t="s">
        <v>95</v>
      </c>
      <c r="K1340" s="130" t="s">
        <v>96</v>
      </c>
      <c r="L1340" s="174" t="s">
        <v>71</v>
      </c>
      <c r="M1340" s="131" t="s">
        <v>72</v>
      </c>
      <c r="N1340" s="130" t="s">
        <v>73</v>
      </c>
      <c r="O1340" s="219" t="s">
        <v>69</v>
      </c>
      <c r="P1340" s="130" t="s">
        <v>1699</v>
      </c>
      <c r="Q1340" s="132" t="s">
        <v>93</v>
      </c>
      <c r="R1340" s="218">
        <v>3.3599999</v>
      </c>
      <c r="S1340" s="129">
        <v>-1</v>
      </c>
      <c r="T1340" s="129">
        <v>412.87288999999987</v>
      </c>
      <c r="U1340" s="129">
        <v>-412.87288999999987</v>
      </c>
      <c r="V1340" s="129">
        <v>-74.317110000000099</v>
      </c>
      <c r="W1340" s="129">
        <v>-487.19</v>
      </c>
      <c r="X1340" s="27">
        <f t="shared" si="188"/>
        <v>-1387.2528691127106</v>
      </c>
    </row>
    <row r="1341" spans="1:24" x14ac:dyDescent="0.2">
      <c r="A1341" s="220">
        <v>43861</v>
      </c>
      <c r="B1341" s="130" t="s">
        <v>68</v>
      </c>
      <c r="C1341" s="130" t="s">
        <v>102</v>
      </c>
      <c r="D1341" s="130" t="s">
        <v>2390</v>
      </c>
      <c r="E1341" s="130" t="s">
        <v>2662</v>
      </c>
      <c r="F1341" s="130" t="s">
        <v>2699</v>
      </c>
      <c r="G1341" s="220">
        <v>43846</v>
      </c>
      <c r="H1341" s="130" t="s">
        <v>90</v>
      </c>
      <c r="I1341" s="130" t="s">
        <v>91</v>
      </c>
      <c r="J1341" s="130" t="s">
        <v>104</v>
      </c>
      <c r="K1341" s="130" t="s">
        <v>105</v>
      </c>
      <c r="L1341" s="174" t="s">
        <v>71</v>
      </c>
      <c r="M1341" s="131" t="s">
        <v>72</v>
      </c>
      <c r="N1341" s="130" t="s">
        <v>73</v>
      </c>
      <c r="O1341" s="219" t="s">
        <v>69</v>
      </c>
      <c r="P1341" s="130" t="s">
        <v>1699</v>
      </c>
      <c r="Q1341" s="132" t="s">
        <v>93</v>
      </c>
      <c r="R1341" s="218">
        <v>3.3599999</v>
      </c>
      <c r="S1341" s="129">
        <v>1</v>
      </c>
      <c r="T1341" s="129">
        <v>0</v>
      </c>
      <c r="U1341" s="129">
        <v>0</v>
      </c>
      <c r="V1341" s="129">
        <v>0</v>
      </c>
      <c r="W1341" s="129">
        <v>0</v>
      </c>
      <c r="X1341" s="27">
        <f t="shared" si="188"/>
        <v>0</v>
      </c>
    </row>
    <row r="1342" spans="1:24" x14ac:dyDescent="0.2">
      <c r="A1342" s="220">
        <v>43834</v>
      </c>
      <c r="B1342" s="130" t="s">
        <v>111</v>
      </c>
      <c r="C1342" s="130" t="s">
        <v>102</v>
      </c>
      <c r="D1342" s="130" t="s">
        <v>1874</v>
      </c>
      <c r="E1342" s="130" t="s">
        <v>1994</v>
      </c>
      <c r="F1342" s="130" t="s">
        <v>2759</v>
      </c>
      <c r="G1342" s="220">
        <v>43822</v>
      </c>
      <c r="H1342" s="130" t="s">
        <v>2758</v>
      </c>
      <c r="I1342" s="130" t="s">
        <v>2757</v>
      </c>
      <c r="J1342" s="130" t="s">
        <v>95</v>
      </c>
      <c r="K1342" s="130" t="s">
        <v>96</v>
      </c>
      <c r="L1342" s="174" t="s">
        <v>71</v>
      </c>
      <c r="M1342" s="131" t="s">
        <v>72</v>
      </c>
      <c r="N1342" s="130" t="s">
        <v>73</v>
      </c>
      <c r="O1342" s="219" t="s">
        <v>69</v>
      </c>
      <c r="P1342" s="130" t="s">
        <v>1699</v>
      </c>
      <c r="Q1342" s="132" t="s">
        <v>93</v>
      </c>
      <c r="R1342" s="218">
        <v>3.3110000999999998</v>
      </c>
      <c r="S1342" s="129">
        <v>1</v>
      </c>
      <c r="T1342" s="129">
        <v>100</v>
      </c>
      <c r="U1342" s="129">
        <v>100</v>
      </c>
      <c r="V1342" s="129">
        <v>18</v>
      </c>
      <c r="W1342" s="129">
        <v>118</v>
      </c>
      <c r="X1342" s="27">
        <f t="shared" si="188"/>
        <v>331.10001</v>
      </c>
    </row>
    <row r="1343" spans="1:24" x14ac:dyDescent="0.2">
      <c r="A1343" s="220">
        <v>43837</v>
      </c>
      <c r="B1343" s="130" t="s">
        <v>111</v>
      </c>
      <c r="C1343" s="130" t="s">
        <v>102</v>
      </c>
      <c r="D1343" s="130" t="s">
        <v>1870</v>
      </c>
      <c r="E1343" s="130" t="s">
        <v>2003</v>
      </c>
      <c r="F1343" s="130" t="s">
        <v>2756</v>
      </c>
      <c r="G1343" s="220">
        <v>43829</v>
      </c>
      <c r="H1343" s="130" t="s">
        <v>2755</v>
      </c>
      <c r="I1343" s="130" t="s">
        <v>2754</v>
      </c>
      <c r="J1343" s="130" t="s">
        <v>95</v>
      </c>
      <c r="K1343" s="130" t="s">
        <v>96</v>
      </c>
      <c r="L1343" s="174" t="s">
        <v>71</v>
      </c>
      <c r="M1343" s="131" t="s">
        <v>72</v>
      </c>
      <c r="N1343" s="130" t="s">
        <v>73</v>
      </c>
      <c r="O1343" s="219" t="s">
        <v>69</v>
      </c>
      <c r="P1343" s="130" t="s">
        <v>1699</v>
      </c>
      <c r="Q1343" s="132" t="s">
        <v>93</v>
      </c>
      <c r="R1343" s="218">
        <v>3.323</v>
      </c>
      <c r="S1343" s="129">
        <v>1</v>
      </c>
      <c r="T1343" s="129">
        <v>200</v>
      </c>
      <c r="U1343" s="129">
        <v>200</v>
      </c>
      <c r="V1343" s="129">
        <v>36</v>
      </c>
      <c r="W1343" s="129">
        <v>236</v>
      </c>
      <c r="X1343" s="27">
        <f t="shared" si="188"/>
        <v>664.6</v>
      </c>
    </row>
    <row r="1344" spans="1:24" x14ac:dyDescent="0.2">
      <c r="A1344" s="220">
        <v>43837</v>
      </c>
      <c r="B1344" s="130" t="s">
        <v>111</v>
      </c>
      <c r="C1344" s="130" t="s">
        <v>102</v>
      </c>
      <c r="D1344" s="130" t="s">
        <v>1869</v>
      </c>
      <c r="E1344" s="130" t="s">
        <v>1976</v>
      </c>
      <c r="F1344" s="130" t="s">
        <v>2340</v>
      </c>
      <c r="G1344" s="220">
        <v>43818</v>
      </c>
      <c r="H1344" s="130" t="s">
        <v>2753</v>
      </c>
      <c r="I1344" s="130" t="s">
        <v>2752</v>
      </c>
      <c r="J1344" s="130" t="s">
        <v>95</v>
      </c>
      <c r="K1344" s="130" t="s">
        <v>96</v>
      </c>
      <c r="L1344" s="174" t="s">
        <v>71</v>
      </c>
      <c r="M1344" s="131" t="s">
        <v>72</v>
      </c>
      <c r="N1344" s="130" t="s">
        <v>73</v>
      </c>
      <c r="O1344" s="219" t="s">
        <v>69</v>
      </c>
      <c r="P1344" s="130" t="s">
        <v>1699</v>
      </c>
      <c r="Q1344" s="132" t="s">
        <v>93</v>
      </c>
      <c r="R1344" s="218">
        <v>3.323</v>
      </c>
      <c r="S1344" s="129">
        <v>1</v>
      </c>
      <c r="T1344" s="129">
        <v>9.932200400000001</v>
      </c>
      <c r="U1344" s="129">
        <v>9.932200400000001</v>
      </c>
      <c r="V1344" s="129">
        <v>1.7877995999999996</v>
      </c>
      <c r="W1344" s="129">
        <v>11.72</v>
      </c>
      <c r="X1344" s="27">
        <f t="shared" si="188"/>
        <v>33.004701929200003</v>
      </c>
    </row>
    <row r="1345" spans="1:24" x14ac:dyDescent="0.2">
      <c r="A1345" s="220">
        <v>43840</v>
      </c>
      <c r="B1345" s="130" t="s">
        <v>111</v>
      </c>
      <c r="C1345" s="130" t="s">
        <v>102</v>
      </c>
      <c r="D1345" s="130" t="s">
        <v>1867</v>
      </c>
      <c r="E1345" s="130" t="s">
        <v>2595</v>
      </c>
      <c r="F1345" s="130" t="s">
        <v>2751</v>
      </c>
      <c r="G1345" s="220">
        <v>43826</v>
      </c>
      <c r="H1345" s="130" t="s">
        <v>2750</v>
      </c>
      <c r="I1345" s="130" t="s">
        <v>2749</v>
      </c>
      <c r="J1345" s="130" t="s">
        <v>95</v>
      </c>
      <c r="K1345" s="130" t="s">
        <v>96</v>
      </c>
      <c r="L1345" s="174" t="s">
        <v>71</v>
      </c>
      <c r="M1345" s="131" t="s">
        <v>72</v>
      </c>
      <c r="N1345" s="130" t="s">
        <v>73</v>
      </c>
      <c r="O1345" s="219" t="s">
        <v>69</v>
      </c>
      <c r="P1345" s="130" t="s">
        <v>1699</v>
      </c>
      <c r="Q1345" s="132" t="s">
        <v>93</v>
      </c>
      <c r="R1345" s="218">
        <v>3.3210001</v>
      </c>
      <c r="S1345" s="129">
        <v>1</v>
      </c>
      <c r="T1345" s="129">
        <v>100</v>
      </c>
      <c r="U1345" s="129">
        <v>100</v>
      </c>
      <c r="V1345" s="129">
        <v>18</v>
      </c>
      <c r="W1345" s="129">
        <v>118</v>
      </c>
      <c r="X1345" s="27">
        <f t="shared" si="188"/>
        <v>332.10001</v>
      </c>
    </row>
    <row r="1346" spans="1:24" x14ac:dyDescent="0.2">
      <c r="A1346" s="220">
        <v>43841</v>
      </c>
      <c r="B1346" s="130" t="s">
        <v>111</v>
      </c>
      <c r="C1346" s="130" t="s">
        <v>102</v>
      </c>
      <c r="D1346" s="130" t="s">
        <v>630</v>
      </c>
      <c r="E1346" s="130" t="s">
        <v>2604</v>
      </c>
      <c r="F1346" s="130" t="s">
        <v>2748</v>
      </c>
      <c r="G1346" s="220">
        <v>43822</v>
      </c>
      <c r="H1346" s="130" t="s">
        <v>2747</v>
      </c>
      <c r="I1346" s="130" t="s">
        <v>2746</v>
      </c>
      <c r="J1346" s="130" t="s">
        <v>95</v>
      </c>
      <c r="K1346" s="130" t="s">
        <v>96</v>
      </c>
      <c r="L1346" s="174" t="s">
        <v>71</v>
      </c>
      <c r="M1346" s="131" t="s">
        <v>72</v>
      </c>
      <c r="N1346" s="130" t="s">
        <v>73</v>
      </c>
      <c r="O1346" s="219" t="s">
        <v>69</v>
      </c>
      <c r="P1346" s="130" t="s">
        <v>1699</v>
      </c>
      <c r="Q1346" s="132" t="s">
        <v>93</v>
      </c>
      <c r="R1346" s="218">
        <v>3.3239999</v>
      </c>
      <c r="S1346" s="129">
        <v>1</v>
      </c>
      <c r="T1346" s="129">
        <v>100</v>
      </c>
      <c r="U1346" s="129">
        <v>100</v>
      </c>
      <c r="V1346" s="129">
        <v>18</v>
      </c>
      <c r="W1346" s="129">
        <v>118</v>
      </c>
      <c r="X1346" s="27">
        <f t="shared" si="188"/>
        <v>332.39999</v>
      </c>
    </row>
    <row r="1347" spans="1:24" x14ac:dyDescent="0.2">
      <c r="A1347" s="220">
        <v>43841</v>
      </c>
      <c r="B1347" s="130" t="s">
        <v>111</v>
      </c>
      <c r="C1347" s="130" t="s">
        <v>102</v>
      </c>
      <c r="D1347" s="130" t="s">
        <v>1866</v>
      </c>
      <c r="E1347" s="130" t="s">
        <v>2619</v>
      </c>
      <c r="F1347" s="130" t="s">
        <v>2745</v>
      </c>
      <c r="G1347" s="220">
        <v>43833</v>
      </c>
      <c r="H1347" s="130" t="s">
        <v>2744</v>
      </c>
      <c r="I1347" s="130" t="s">
        <v>2743</v>
      </c>
      <c r="J1347" s="130" t="s">
        <v>95</v>
      </c>
      <c r="K1347" s="130" t="s">
        <v>96</v>
      </c>
      <c r="L1347" s="174" t="s">
        <v>71</v>
      </c>
      <c r="M1347" s="131" t="s">
        <v>72</v>
      </c>
      <c r="N1347" s="130" t="s">
        <v>73</v>
      </c>
      <c r="O1347" s="219" t="s">
        <v>69</v>
      </c>
      <c r="P1347" s="130" t="s">
        <v>1699</v>
      </c>
      <c r="Q1347" s="132" t="s">
        <v>93</v>
      </c>
      <c r="R1347" s="218">
        <v>3.3239999</v>
      </c>
      <c r="S1347" s="129">
        <v>1</v>
      </c>
      <c r="T1347" s="129">
        <v>100</v>
      </c>
      <c r="U1347" s="129">
        <v>100</v>
      </c>
      <c r="V1347" s="129">
        <v>18</v>
      </c>
      <c r="W1347" s="129">
        <v>118</v>
      </c>
      <c r="X1347" s="27">
        <f t="shared" si="188"/>
        <v>332.39999</v>
      </c>
    </row>
    <row r="1348" spans="1:24" x14ac:dyDescent="0.2">
      <c r="A1348" s="220">
        <v>43846</v>
      </c>
      <c r="B1348" s="130" t="s">
        <v>111</v>
      </c>
      <c r="C1348" s="130" t="s">
        <v>102</v>
      </c>
      <c r="D1348" s="130" t="s">
        <v>1863</v>
      </c>
      <c r="E1348" s="130" t="s">
        <v>2617</v>
      </c>
      <c r="F1348" s="130" t="s">
        <v>2742</v>
      </c>
      <c r="G1348" s="220">
        <v>43833</v>
      </c>
      <c r="H1348" s="130" t="s">
        <v>2741</v>
      </c>
      <c r="I1348" s="130" t="s">
        <v>2740</v>
      </c>
      <c r="J1348" s="130" t="s">
        <v>95</v>
      </c>
      <c r="K1348" s="130" t="s">
        <v>96</v>
      </c>
      <c r="L1348" s="174" t="s">
        <v>71</v>
      </c>
      <c r="M1348" s="131" t="s">
        <v>72</v>
      </c>
      <c r="N1348" s="130" t="s">
        <v>73</v>
      </c>
      <c r="O1348" s="219" t="s">
        <v>69</v>
      </c>
      <c r="P1348" s="130" t="s">
        <v>1699</v>
      </c>
      <c r="Q1348" s="132" t="s">
        <v>93</v>
      </c>
      <c r="R1348" s="218">
        <v>3.3269999000000001</v>
      </c>
      <c r="S1348" s="129">
        <v>1</v>
      </c>
      <c r="T1348" s="129">
        <v>269.15249999999997</v>
      </c>
      <c r="U1348" s="129">
        <v>269.15249999999997</v>
      </c>
      <c r="V1348" s="129">
        <v>48.447510000000037</v>
      </c>
      <c r="W1348" s="129">
        <v>317.60001</v>
      </c>
      <c r="X1348" s="27">
        <f t="shared" si="188"/>
        <v>895.47034058474992</v>
      </c>
    </row>
    <row r="1349" spans="1:24" x14ac:dyDescent="0.2">
      <c r="A1349" s="220">
        <v>43846</v>
      </c>
      <c r="B1349" s="130" t="s">
        <v>111</v>
      </c>
      <c r="C1349" s="130" t="s">
        <v>102</v>
      </c>
      <c r="D1349" s="130" t="s">
        <v>1862</v>
      </c>
      <c r="E1349" s="130" t="s">
        <v>2511</v>
      </c>
      <c r="F1349" s="130" t="s">
        <v>2292</v>
      </c>
      <c r="G1349" s="220">
        <v>43833</v>
      </c>
      <c r="H1349" s="130" t="s">
        <v>2350</v>
      </c>
      <c r="I1349" s="130" t="s">
        <v>2351</v>
      </c>
      <c r="J1349" s="130" t="s">
        <v>95</v>
      </c>
      <c r="K1349" s="130" t="s">
        <v>96</v>
      </c>
      <c r="L1349" s="174" t="s">
        <v>71</v>
      </c>
      <c r="M1349" s="131" t="s">
        <v>72</v>
      </c>
      <c r="N1349" s="130" t="s">
        <v>73</v>
      </c>
      <c r="O1349" s="219" t="s">
        <v>69</v>
      </c>
      <c r="P1349" s="130" t="s">
        <v>1699</v>
      </c>
      <c r="Q1349" s="132" t="s">
        <v>93</v>
      </c>
      <c r="R1349" s="218">
        <v>3.3269999000000001</v>
      </c>
      <c r="S1349" s="129">
        <v>1</v>
      </c>
      <c r="T1349" s="129">
        <v>341.09320000000002</v>
      </c>
      <c r="U1349" s="129">
        <v>341.09320000000002</v>
      </c>
      <c r="V1349" s="129">
        <v>61.396790000000038</v>
      </c>
      <c r="W1349" s="129">
        <v>402.48999000000003</v>
      </c>
      <c r="X1349" s="27">
        <f t="shared" ref="X1349:X1412" si="189">IF(Q1349="$",(U1349*R1349),U1349)</f>
        <v>1134.8170422906801</v>
      </c>
    </row>
    <row r="1350" spans="1:24" x14ac:dyDescent="0.2">
      <c r="A1350" s="220">
        <v>43846</v>
      </c>
      <c r="B1350" s="130" t="s">
        <v>111</v>
      </c>
      <c r="C1350" s="130" t="s">
        <v>102</v>
      </c>
      <c r="D1350" s="130" t="s">
        <v>708</v>
      </c>
      <c r="E1350" s="130" t="s">
        <v>2616</v>
      </c>
      <c r="F1350" s="130" t="s">
        <v>2292</v>
      </c>
      <c r="G1350" s="220">
        <v>43836</v>
      </c>
      <c r="H1350" s="130" t="s">
        <v>2350</v>
      </c>
      <c r="I1350" s="130" t="s">
        <v>2351</v>
      </c>
      <c r="J1350" s="130" t="s">
        <v>97</v>
      </c>
      <c r="K1350" s="130" t="s">
        <v>98</v>
      </c>
      <c r="L1350" s="174" t="s">
        <v>71</v>
      </c>
      <c r="M1350" s="131" t="s">
        <v>72</v>
      </c>
      <c r="N1350" s="130" t="s">
        <v>73</v>
      </c>
      <c r="O1350" s="219" t="s">
        <v>99</v>
      </c>
      <c r="P1350" s="130" t="s">
        <v>98</v>
      </c>
      <c r="Q1350" s="132" t="s">
        <v>93</v>
      </c>
      <c r="R1350" s="218">
        <v>3.3269999000000001</v>
      </c>
      <c r="S1350" s="129">
        <v>1</v>
      </c>
      <c r="T1350" s="129">
        <v>60</v>
      </c>
      <c r="U1350" s="129">
        <v>60</v>
      </c>
      <c r="V1350" s="129">
        <v>10.800002999999997</v>
      </c>
      <c r="W1350" s="129">
        <v>70.800003000000004</v>
      </c>
      <c r="X1350" s="27">
        <f t="shared" si="189"/>
        <v>199.61999400000002</v>
      </c>
    </row>
    <row r="1351" spans="1:24" x14ac:dyDescent="0.2">
      <c r="A1351" s="220">
        <v>43846</v>
      </c>
      <c r="B1351" s="130" t="s">
        <v>111</v>
      </c>
      <c r="C1351" s="130" t="s">
        <v>102</v>
      </c>
      <c r="D1351" s="130" t="s">
        <v>708</v>
      </c>
      <c r="E1351" s="130" t="s">
        <v>2616</v>
      </c>
      <c r="F1351" s="130" t="s">
        <v>2292</v>
      </c>
      <c r="G1351" s="220">
        <v>43836</v>
      </c>
      <c r="H1351" s="130" t="s">
        <v>2350</v>
      </c>
      <c r="I1351" s="130" t="s">
        <v>2351</v>
      </c>
      <c r="J1351" s="130" t="s">
        <v>100</v>
      </c>
      <c r="K1351" s="130" t="s">
        <v>101</v>
      </c>
      <c r="L1351" s="174" t="s">
        <v>71</v>
      </c>
      <c r="M1351" s="131" t="s">
        <v>72</v>
      </c>
      <c r="N1351" s="130" t="s">
        <v>73</v>
      </c>
      <c r="O1351" s="219" t="s">
        <v>72</v>
      </c>
      <c r="P1351" s="130" t="s">
        <v>101</v>
      </c>
      <c r="Q1351" s="132" t="s">
        <v>93</v>
      </c>
      <c r="R1351" s="218">
        <v>3.3269999000000001</v>
      </c>
      <c r="S1351" s="129">
        <v>1</v>
      </c>
      <c r="T1351" s="129">
        <v>15</v>
      </c>
      <c r="U1351" s="129">
        <v>15</v>
      </c>
      <c r="V1351" s="129">
        <v>2.7000009999999999</v>
      </c>
      <c r="W1351" s="129">
        <v>17.700001</v>
      </c>
      <c r="X1351" s="27">
        <f t="shared" si="189"/>
        <v>49.904998500000005</v>
      </c>
    </row>
    <row r="1352" spans="1:24" x14ac:dyDescent="0.2">
      <c r="A1352" s="220">
        <v>43846</v>
      </c>
      <c r="B1352" s="130" t="s">
        <v>111</v>
      </c>
      <c r="C1352" s="130" t="s">
        <v>102</v>
      </c>
      <c r="D1352" s="130" t="s">
        <v>708</v>
      </c>
      <c r="E1352" s="130" t="s">
        <v>2616</v>
      </c>
      <c r="F1352" s="130" t="s">
        <v>2292</v>
      </c>
      <c r="G1352" s="220">
        <v>43836</v>
      </c>
      <c r="H1352" s="130" t="s">
        <v>2350</v>
      </c>
      <c r="I1352" s="130" t="s">
        <v>2351</v>
      </c>
      <c r="J1352" s="130" t="s">
        <v>115</v>
      </c>
      <c r="K1352" s="130" t="s">
        <v>138</v>
      </c>
      <c r="L1352" s="174" t="s">
        <v>71</v>
      </c>
      <c r="M1352" s="131" t="s">
        <v>72</v>
      </c>
      <c r="N1352" s="130" t="s">
        <v>73</v>
      </c>
      <c r="O1352" s="219" t="s">
        <v>69</v>
      </c>
      <c r="P1352" s="130" t="s">
        <v>1699</v>
      </c>
      <c r="Q1352" s="132" t="s">
        <v>93</v>
      </c>
      <c r="R1352" s="218">
        <v>3.3269999000000001</v>
      </c>
      <c r="S1352" s="129">
        <v>-1</v>
      </c>
      <c r="T1352" s="129">
        <v>15</v>
      </c>
      <c r="U1352" s="129">
        <v>-15</v>
      </c>
      <c r="V1352" s="129">
        <v>-2.7000009999999999</v>
      </c>
      <c r="W1352" s="129">
        <v>-17.700001</v>
      </c>
      <c r="X1352" s="27">
        <f t="shared" si="189"/>
        <v>-49.904998500000005</v>
      </c>
    </row>
    <row r="1353" spans="1:24" x14ac:dyDescent="0.2">
      <c r="A1353" s="220">
        <v>43851</v>
      </c>
      <c r="B1353" s="130" t="s">
        <v>111</v>
      </c>
      <c r="C1353" s="130" t="s">
        <v>102</v>
      </c>
      <c r="D1353" s="130" t="s">
        <v>629</v>
      </c>
      <c r="E1353" s="130" t="s">
        <v>2634</v>
      </c>
      <c r="F1353" s="130" t="s">
        <v>2739</v>
      </c>
      <c r="G1353" s="220">
        <v>43837</v>
      </c>
      <c r="H1353" s="130" t="s">
        <v>2738</v>
      </c>
      <c r="I1353" s="130" t="s">
        <v>2737</v>
      </c>
      <c r="J1353" s="130" t="s">
        <v>95</v>
      </c>
      <c r="K1353" s="130" t="s">
        <v>96</v>
      </c>
      <c r="L1353" s="174" t="s">
        <v>71</v>
      </c>
      <c r="M1353" s="131" t="s">
        <v>72</v>
      </c>
      <c r="N1353" s="130" t="s">
        <v>73</v>
      </c>
      <c r="O1353" s="219" t="s">
        <v>69</v>
      </c>
      <c r="P1353" s="130" t="s">
        <v>1699</v>
      </c>
      <c r="Q1353" s="132" t="s">
        <v>93</v>
      </c>
      <c r="R1353" s="218">
        <v>3.323</v>
      </c>
      <c r="S1353" s="129">
        <v>1</v>
      </c>
      <c r="T1353" s="129">
        <v>100</v>
      </c>
      <c r="U1353" s="129">
        <v>100</v>
      </c>
      <c r="V1353" s="129">
        <v>18</v>
      </c>
      <c r="W1353" s="129">
        <v>118</v>
      </c>
      <c r="X1353" s="27">
        <f t="shared" si="189"/>
        <v>332.3</v>
      </c>
    </row>
    <row r="1354" spans="1:24" x14ac:dyDescent="0.2">
      <c r="A1354" s="220">
        <v>43852</v>
      </c>
      <c r="B1354" s="130" t="s">
        <v>111</v>
      </c>
      <c r="C1354" s="130" t="s">
        <v>102</v>
      </c>
      <c r="D1354" s="130" t="s">
        <v>1860</v>
      </c>
      <c r="E1354" s="130" t="s">
        <v>2647</v>
      </c>
      <c r="F1354" s="130" t="s">
        <v>2736</v>
      </c>
      <c r="G1354" s="220">
        <v>43844</v>
      </c>
      <c r="H1354" s="130" t="s">
        <v>2735</v>
      </c>
      <c r="I1354" s="130" t="s">
        <v>2734</v>
      </c>
      <c r="J1354" s="130" t="s">
        <v>95</v>
      </c>
      <c r="K1354" s="130" t="s">
        <v>96</v>
      </c>
      <c r="L1354" s="174" t="s">
        <v>71</v>
      </c>
      <c r="M1354" s="131" t="s">
        <v>72</v>
      </c>
      <c r="N1354" s="130" t="s">
        <v>73</v>
      </c>
      <c r="O1354" s="219" t="s">
        <v>69</v>
      </c>
      <c r="P1354" s="130" t="s">
        <v>1699</v>
      </c>
      <c r="Q1354" s="132" t="s">
        <v>93</v>
      </c>
      <c r="R1354" s="218">
        <v>3.3199999000000004</v>
      </c>
      <c r="S1354" s="129">
        <v>1</v>
      </c>
      <c r="T1354" s="129">
        <v>100</v>
      </c>
      <c r="U1354" s="129">
        <v>100</v>
      </c>
      <c r="V1354" s="129">
        <v>18</v>
      </c>
      <c r="W1354" s="129">
        <v>118</v>
      </c>
      <c r="X1354" s="27">
        <f t="shared" si="189"/>
        <v>331.99999000000003</v>
      </c>
    </row>
    <row r="1355" spans="1:24" x14ac:dyDescent="0.2">
      <c r="A1355" s="220">
        <v>43852</v>
      </c>
      <c r="B1355" s="130" t="s">
        <v>111</v>
      </c>
      <c r="C1355" s="130" t="s">
        <v>102</v>
      </c>
      <c r="D1355" s="130" t="s">
        <v>1859</v>
      </c>
      <c r="E1355" s="130" t="s">
        <v>2657</v>
      </c>
      <c r="F1355" s="130" t="s">
        <v>2729</v>
      </c>
      <c r="G1355" s="220">
        <v>43850</v>
      </c>
      <c r="H1355" s="130" t="s">
        <v>2728</v>
      </c>
      <c r="I1355" s="130" t="s">
        <v>2727</v>
      </c>
      <c r="J1355" s="130" t="s">
        <v>97</v>
      </c>
      <c r="K1355" s="130" t="s">
        <v>98</v>
      </c>
      <c r="L1355" s="174" t="s">
        <v>71</v>
      </c>
      <c r="M1355" s="131" t="s">
        <v>72</v>
      </c>
      <c r="N1355" s="130" t="s">
        <v>73</v>
      </c>
      <c r="O1355" s="219" t="s">
        <v>99</v>
      </c>
      <c r="P1355" s="130" t="s">
        <v>98</v>
      </c>
      <c r="Q1355" s="132" t="s">
        <v>93</v>
      </c>
      <c r="R1355" s="218">
        <v>3.3199999000000004</v>
      </c>
      <c r="S1355" s="129">
        <v>1</v>
      </c>
      <c r="T1355" s="129">
        <v>60</v>
      </c>
      <c r="U1355" s="129">
        <v>60</v>
      </c>
      <c r="V1355" s="129">
        <v>10.800002999999997</v>
      </c>
      <c r="W1355" s="129">
        <v>70.800003000000004</v>
      </c>
      <c r="X1355" s="27">
        <f t="shared" si="189"/>
        <v>199.19999400000003</v>
      </c>
    </row>
    <row r="1356" spans="1:24" x14ac:dyDescent="0.2">
      <c r="A1356" s="220">
        <v>43852</v>
      </c>
      <c r="B1356" s="130" t="s">
        <v>111</v>
      </c>
      <c r="C1356" s="130" t="s">
        <v>102</v>
      </c>
      <c r="D1356" s="130" t="s">
        <v>1859</v>
      </c>
      <c r="E1356" s="130" t="s">
        <v>2657</v>
      </c>
      <c r="F1356" s="130" t="s">
        <v>2729</v>
      </c>
      <c r="G1356" s="220">
        <v>43850</v>
      </c>
      <c r="H1356" s="130" t="s">
        <v>2728</v>
      </c>
      <c r="I1356" s="130" t="s">
        <v>2727</v>
      </c>
      <c r="J1356" s="130" t="s">
        <v>100</v>
      </c>
      <c r="K1356" s="130" t="s">
        <v>101</v>
      </c>
      <c r="L1356" s="174" t="s">
        <v>71</v>
      </c>
      <c r="M1356" s="131" t="s">
        <v>72</v>
      </c>
      <c r="N1356" s="130" t="s">
        <v>73</v>
      </c>
      <c r="O1356" s="219" t="s">
        <v>72</v>
      </c>
      <c r="P1356" s="130" t="s">
        <v>101</v>
      </c>
      <c r="Q1356" s="132" t="s">
        <v>93</v>
      </c>
      <c r="R1356" s="218">
        <v>3.3199999000000004</v>
      </c>
      <c r="S1356" s="129">
        <v>1</v>
      </c>
      <c r="T1356" s="129">
        <v>45</v>
      </c>
      <c r="U1356" s="129">
        <v>45</v>
      </c>
      <c r="V1356" s="129">
        <v>8.0999980000000047</v>
      </c>
      <c r="W1356" s="129">
        <v>53.099998000000006</v>
      </c>
      <c r="X1356" s="27">
        <f t="shared" si="189"/>
        <v>149.39999550000002</v>
      </c>
    </row>
    <row r="1357" spans="1:24" x14ac:dyDescent="0.2">
      <c r="A1357" s="220">
        <v>43852</v>
      </c>
      <c r="B1357" s="130" t="s">
        <v>111</v>
      </c>
      <c r="C1357" s="130" t="s">
        <v>102</v>
      </c>
      <c r="D1357" s="130" t="s">
        <v>1859</v>
      </c>
      <c r="E1357" s="130" t="s">
        <v>2657</v>
      </c>
      <c r="F1357" s="130" t="s">
        <v>2729</v>
      </c>
      <c r="G1357" s="220">
        <v>43850</v>
      </c>
      <c r="H1357" s="130" t="s">
        <v>2728</v>
      </c>
      <c r="I1357" s="130" t="s">
        <v>2727</v>
      </c>
      <c r="J1357" s="130" t="s">
        <v>104</v>
      </c>
      <c r="K1357" s="130" t="s">
        <v>105</v>
      </c>
      <c r="L1357" s="174" t="s">
        <v>71</v>
      </c>
      <c r="M1357" s="131" t="s">
        <v>72</v>
      </c>
      <c r="N1357" s="130" t="s">
        <v>73</v>
      </c>
      <c r="O1357" s="219" t="s">
        <v>69</v>
      </c>
      <c r="P1357" s="130" t="s">
        <v>1699</v>
      </c>
      <c r="Q1357" s="132" t="s">
        <v>93</v>
      </c>
      <c r="R1357" s="218">
        <v>3.3199999000000004</v>
      </c>
      <c r="S1357" s="129">
        <v>1</v>
      </c>
      <c r="T1357" s="129">
        <v>0</v>
      </c>
      <c r="U1357" s="129">
        <v>0</v>
      </c>
      <c r="V1357" s="129">
        <v>0</v>
      </c>
      <c r="W1357" s="129">
        <v>0</v>
      </c>
      <c r="X1357" s="27">
        <f t="shared" si="189"/>
        <v>0</v>
      </c>
    </row>
    <row r="1358" spans="1:24" x14ac:dyDescent="0.2">
      <c r="A1358" s="220">
        <v>43853</v>
      </c>
      <c r="B1358" s="130" t="s">
        <v>111</v>
      </c>
      <c r="C1358" s="130" t="s">
        <v>102</v>
      </c>
      <c r="D1358" s="130" t="s">
        <v>1857</v>
      </c>
      <c r="E1358" s="130" t="s">
        <v>2521</v>
      </c>
      <c r="F1358" s="130" t="s">
        <v>2328</v>
      </c>
      <c r="G1358" s="220">
        <v>43838</v>
      </c>
      <c r="H1358" s="130" t="s">
        <v>2733</v>
      </c>
      <c r="I1358" s="130" t="s">
        <v>2732</v>
      </c>
      <c r="J1358" s="130" t="s">
        <v>95</v>
      </c>
      <c r="K1358" s="130" t="s">
        <v>96</v>
      </c>
      <c r="L1358" s="174" t="s">
        <v>71</v>
      </c>
      <c r="M1358" s="131" t="s">
        <v>72</v>
      </c>
      <c r="N1358" s="130" t="s">
        <v>73</v>
      </c>
      <c r="O1358" s="219" t="s">
        <v>69</v>
      </c>
      <c r="P1358" s="130" t="s">
        <v>1699</v>
      </c>
      <c r="Q1358" s="132" t="s">
        <v>93</v>
      </c>
      <c r="R1358" s="218">
        <v>3.3169999000000003</v>
      </c>
      <c r="S1358" s="129">
        <v>1</v>
      </c>
      <c r="T1358" s="129">
        <v>315.43218999999999</v>
      </c>
      <c r="U1358" s="129">
        <v>315.43218999999999</v>
      </c>
      <c r="V1358" s="129">
        <v>56.777800000000063</v>
      </c>
      <c r="W1358" s="129">
        <v>372.20999000000006</v>
      </c>
      <c r="X1358" s="27">
        <f t="shared" si="189"/>
        <v>1046.2885426867811</v>
      </c>
    </row>
    <row r="1359" spans="1:24" x14ac:dyDescent="0.2">
      <c r="A1359" s="220">
        <v>43853</v>
      </c>
      <c r="B1359" s="130" t="s">
        <v>111</v>
      </c>
      <c r="C1359" s="130" t="s">
        <v>102</v>
      </c>
      <c r="D1359" s="130" t="s">
        <v>1853</v>
      </c>
      <c r="E1359" s="130" t="s">
        <v>2519</v>
      </c>
      <c r="F1359" s="130" t="s">
        <v>2520</v>
      </c>
      <c r="G1359" s="220">
        <v>43843</v>
      </c>
      <c r="H1359" s="130" t="s">
        <v>2731</v>
      </c>
      <c r="I1359" s="130" t="s">
        <v>2730</v>
      </c>
      <c r="J1359" s="130" t="s">
        <v>95</v>
      </c>
      <c r="K1359" s="130" t="s">
        <v>96</v>
      </c>
      <c r="L1359" s="174" t="s">
        <v>71</v>
      </c>
      <c r="M1359" s="131" t="s">
        <v>72</v>
      </c>
      <c r="N1359" s="130" t="s">
        <v>73</v>
      </c>
      <c r="O1359" s="219" t="s">
        <v>69</v>
      </c>
      <c r="P1359" s="130" t="s">
        <v>1699</v>
      </c>
      <c r="Q1359" s="132" t="s">
        <v>93</v>
      </c>
      <c r="R1359" s="218">
        <v>3.3169999000000003</v>
      </c>
      <c r="S1359" s="129">
        <v>1</v>
      </c>
      <c r="T1359" s="129">
        <v>156.3475</v>
      </c>
      <c r="U1359" s="129">
        <v>156.3475</v>
      </c>
      <c r="V1359" s="129">
        <v>28.142510000000001</v>
      </c>
      <c r="W1359" s="129">
        <v>184.49001000000001</v>
      </c>
      <c r="X1359" s="27">
        <f t="shared" si="189"/>
        <v>518.60464186525007</v>
      </c>
    </row>
    <row r="1360" spans="1:24" x14ac:dyDescent="0.2">
      <c r="A1360" s="220">
        <v>43854</v>
      </c>
      <c r="B1360" s="130" t="s">
        <v>111</v>
      </c>
      <c r="C1360" s="130" t="s">
        <v>102</v>
      </c>
      <c r="D1360" s="130" t="s">
        <v>1852</v>
      </c>
      <c r="E1360" s="130" t="s">
        <v>2675</v>
      </c>
      <c r="F1360" s="130" t="s">
        <v>2729</v>
      </c>
      <c r="G1360" s="220">
        <v>43854</v>
      </c>
      <c r="H1360" s="130" t="s">
        <v>2728</v>
      </c>
      <c r="I1360" s="130" t="s">
        <v>2727</v>
      </c>
      <c r="J1360" s="130" t="s">
        <v>92</v>
      </c>
      <c r="K1360" s="130" t="s">
        <v>113</v>
      </c>
      <c r="L1360" s="174" t="s">
        <v>71</v>
      </c>
      <c r="M1360" s="131" t="s">
        <v>72</v>
      </c>
      <c r="N1360" s="130" t="s">
        <v>73</v>
      </c>
      <c r="O1360" s="219" t="s">
        <v>69</v>
      </c>
      <c r="P1360" s="130" t="s">
        <v>1699</v>
      </c>
      <c r="Q1360" s="132" t="s">
        <v>93</v>
      </c>
      <c r="R1360" s="218">
        <v>3.3220000000000001</v>
      </c>
      <c r="S1360" s="129">
        <v>1</v>
      </c>
      <c r="T1360" s="129">
        <v>53.389800999999999</v>
      </c>
      <c r="U1360" s="129">
        <v>53.389800999999999</v>
      </c>
      <c r="V1360" s="129">
        <v>9.6101990000000015</v>
      </c>
      <c r="W1360" s="129">
        <v>63</v>
      </c>
      <c r="X1360" s="27">
        <f t="shared" si="189"/>
        <v>177.360918922</v>
      </c>
    </row>
    <row r="1361" spans="1:24" x14ac:dyDescent="0.2">
      <c r="A1361" s="220">
        <v>43854</v>
      </c>
      <c r="B1361" s="130" t="s">
        <v>111</v>
      </c>
      <c r="C1361" s="130" t="s">
        <v>102</v>
      </c>
      <c r="D1361" s="130" t="s">
        <v>1851</v>
      </c>
      <c r="E1361" s="130" t="s">
        <v>2726</v>
      </c>
      <c r="F1361" s="130" t="s">
        <v>2725</v>
      </c>
      <c r="G1361" s="220">
        <v>43845</v>
      </c>
      <c r="H1361" s="130" t="s">
        <v>2724</v>
      </c>
      <c r="I1361" s="130" t="s">
        <v>2723</v>
      </c>
      <c r="J1361" s="130" t="s">
        <v>95</v>
      </c>
      <c r="K1361" s="130" t="s">
        <v>96</v>
      </c>
      <c r="L1361" s="174" t="s">
        <v>71</v>
      </c>
      <c r="M1361" s="131" t="s">
        <v>72</v>
      </c>
      <c r="N1361" s="130" t="s">
        <v>73</v>
      </c>
      <c r="O1361" s="219" t="s">
        <v>69</v>
      </c>
      <c r="P1361" s="130" t="s">
        <v>1699</v>
      </c>
      <c r="Q1361" s="132" t="s">
        <v>93</v>
      </c>
      <c r="R1361" s="218">
        <v>3.3220000000000001</v>
      </c>
      <c r="S1361" s="129">
        <v>1</v>
      </c>
      <c r="T1361" s="129">
        <v>100</v>
      </c>
      <c r="U1361" s="129">
        <v>100</v>
      </c>
      <c r="V1361" s="129">
        <v>18</v>
      </c>
      <c r="W1361" s="129">
        <v>118</v>
      </c>
      <c r="X1361" s="27">
        <f t="shared" si="189"/>
        <v>332.2</v>
      </c>
    </row>
    <row r="1362" spans="1:24" x14ac:dyDescent="0.2">
      <c r="A1362" s="220">
        <v>43855</v>
      </c>
      <c r="B1362" s="130" t="s">
        <v>111</v>
      </c>
      <c r="C1362" s="130" t="s">
        <v>102</v>
      </c>
      <c r="D1362" s="130" t="s">
        <v>628</v>
      </c>
      <c r="E1362" s="130" t="s">
        <v>2722</v>
      </c>
      <c r="F1362" s="130" t="s">
        <v>2721</v>
      </c>
      <c r="G1362" s="220">
        <v>43855</v>
      </c>
      <c r="H1362" s="130" t="s">
        <v>2720</v>
      </c>
      <c r="I1362" s="130" t="s">
        <v>2719</v>
      </c>
      <c r="J1362" s="130" t="s">
        <v>70</v>
      </c>
      <c r="K1362" s="130" t="s">
        <v>112</v>
      </c>
      <c r="L1362" s="174" t="s">
        <v>71</v>
      </c>
      <c r="M1362" s="131" t="s">
        <v>72</v>
      </c>
      <c r="N1362" s="130" t="s">
        <v>73</v>
      </c>
      <c r="O1362" s="219" t="s">
        <v>69</v>
      </c>
      <c r="P1362" s="130" t="s">
        <v>1699</v>
      </c>
      <c r="Q1362" s="132" t="s">
        <v>74</v>
      </c>
      <c r="R1362" s="218">
        <v>3.3250000000000002</v>
      </c>
      <c r="S1362" s="129">
        <v>1</v>
      </c>
      <c r="T1362" s="129">
        <v>59.321998999999998</v>
      </c>
      <c r="U1362" s="129">
        <v>59.321998999999998</v>
      </c>
      <c r="V1362" s="129">
        <v>10.678001000000004</v>
      </c>
      <c r="W1362" s="129">
        <v>70</v>
      </c>
      <c r="X1362" s="27">
        <f t="shared" si="189"/>
        <v>59.321998999999998</v>
      </c>
    </row>
    <row r="1363" spans="1:24" x14ac:dyDescent="0.2">
      <c r="A1363" s="220">
        <v>43855</v>
      </c>
      <c r="B1363" s="130" t="s">
        <v>111</v>
      </c>
      <c r="C1363" s="130" t="s">
        <v>102</v>
      </c>
      <c r="D1363" s="130" t="s">
        <v>1849</v>
      </c>
      <c r="E1363" s="130" t="s">
        <v>2659</v>
      </c>
      <c r="F1363" s="130" t="s">
        <v>2718</v>
      </c>
      <c r="G1363" s="220">
        <v>43851</v>
      </c>
      <c r="H1363" s="130" t="s">
        <v>2717</v>
      </c>
      <c r="I1363" s="130" t="s">
        <v>2716</v>
      </c>
      <c r="J1363" s="130" t="s">
        <v>97</v>
      </c>
      <c r="K1363" s="130" t="s">
        <v>98</v>
      </c>
      <c r="L1363" s="174" t="s">
        <v>71</v>
      </c>
      <c r="M1363" s="131" t="s">
        <v>72</v>
      </c>
      <c r="N1363" s="130" t="s">
        <v>73</v>
      </c>
      <c r="O1363" s="219" t="s">
        <v>99</v>
      </c>
      <c r="P1363" s="130" t="s">
        <v>98</v>
      </c>
      <c r="Q1363" s="132" t="s">
        <v>93</v>
      </c>
      <c r="R1363" s="218">
        <v>3.3250000000000002</v>
      </c>
      <c r="S1363" s="129">
        <v>1</v>
      </c>
      <c r="T1363" s="129">
        <v>60</v>
      </c>
      <c r="U1363" s="129">
        <v>60</v>
      </c>
      <c r="V1363" s="129">
        <v>10.800002999999997</v>
      </c>
      <c r="W1363" s="129">
        <v>70.800003000000004</v>
      </c>
      <c r="X1363" s="27">
        <f t="shared" si="189"/>
        <v>199.5</v>
      </c>
    </row>
    <row r="1364" spans="1:24" x14ac:dyDescent="0.2">
      <c r="A1364" s="220">
        <v>43855</v>
      </c>
      <c r="B1364" s="130" t="s">
        <v>111</v>
      </c>
      <c r="C1364" s="130" t="s">
        <v>102</v>
      </c>
      <c r="D1364" s="130" t="s">
        <v>1849</v>
      </c>
      <c r="E1364" s="130" t="s">
        <v>2659</v>
      </c>
      <c r="F1364" s="130" t="s">
        <v>2718</v>
      </c>
      <c r="G1364" s="220">
        <v>43851</v>
      </c>
      <c r="H1364" s="130" t="s">
        <v>2717</v>
      </c>
      <c r="I1364" s="130" t="s">
        <v>2716</v>
      </c>
      <c r="J1364" s="130" t="s">
        <v>100</v>
      </c>
      <c r="K1364" s="130" t="s">
        <v>101</v>
      </c>
      <c r="L1364" s="174" t="s">
        <v>71</v>
      </c>
      <c r="M1364" s="131" t="s">
        <v>72</v>
      </c>
      <c r="N1364" s="130" t="s">
        <v>73</v>
      </c>
      <c r="O1364" s="219" t="s">
        <v>72</v>
      </c>
      <c r="P1364" s="130" t="s">
        <v>101</v>
      </c>
      <c r="Q1364" s="132" t="s">
        <v>93</v>
      </c>
      <c r="R1364" s="218">
        <v>3.3250000000000002</v>
      </c>
      <c r="S1364" s="129">
        <v>1</v>
      </c>
      <c r="T1364" s="129">
        <v>45</v>
      </c>
      <c r="U1364" s="129">
        <v>45</v>
      </c>
      <c r="V1364" s="129">
        <v>8.0999980000000047</v>
      </c>
      <c r="W1364" s="129">
        <v>53.099998000000006</v>
      </c>
      <c r="X1364" s="27">
        <f t="shared" si="189"/>
        <v>149.625</v>
      </c>
    </row>
    <row r="1365" spans="1:24" x14ac:dyDescent="0.2">
      <c r="A1365" s="220">
        <v>43855</v>
      </c>
      <c r="B1365" s="130" t="s">
        <v>111</v>
      </c>
      <c r="C1365" s="130" t="s">
        <v>102</v>
      </c>
      <c r="D1365" s="130" t="s">
        <v>1848</v>
      </c>
      <c r="E1365" s="130" t="s">
        <v>2660</v>
      </c>
      <c r="F1365" s="130" t="s">
        <v>2718</v>
      </c>
      <c r="G1365" s="220">
        <v>43847</v>
      </c>
      <c r="H1365" s="130" t="s">
        <v>2717</v>
      </c>
      <c r="I1365" s="130" t="s">
        <v>2716</v>
      </c>
      <c r="J1365" s="130" t="s">
        <v>104</v>
      </c>
      <c r="K1365" s="130" t="s">
        <v>105</v>
      </c>
      <c r="L1365" s="174" t="s">
        <v>71</v>
      </c>
      <c r="M1365" s="131" t="s">
        <v>72</v>
      </c>
      <c r="N1365" s="130" t="s">
        <v>73</v>
      </c>
      <c r="O1365" s="219" t="s">
        <v>69</v>
      </c>
      <c r="P1365" s="130" t="s">
        <v>1699</v>
      </c>
      <c r="Q1365" s="132" t="s">
        <v>74</v>
      </c>
      <c r="R1365" s="218">
        <v>3.3250000000000002</v>
      </c>
      <c r="S1365" s="129">
        <v>1</v>
      </c>
      <c r="T1365" s="129">
        <v>430.39828</v>
      </c>
      <c r="U1365" s="129">
        <v>430.39828</v>
      </c>
      <c r="V1365" s="129">
        <v>77.471719999999991</v>
      </c>
      <c r="W1365" s="129">
        <v>507.87</v>
      </c>
      <c r="X1365" s="27">
        <f t="shared" si="189"/>
        <v>430.39828</v>
      </c>
    </row>
    <row r="1366" spans="1:24" x14ac:dyDescent="0.2">
      <c r="A1366" s="220">
        <v>43855</v>
      </c>
      <c r="B1366" s="130" t="s">
        <v>111</v>
      </c>
      <c r="C1366" s="130" t="s">
        <v>102</v>
      </c>
      <c r="D1366" s="130" t="s">
        <v>1847</v>
      </c>
      <c r="E1366" s="130" t="s">
        <v>2641</v>
      </c>
      <c r="F1366" s="130" t="s">
        <v>2718</v>
      </c>
      <c r="G1366" s="220">
        <v>43839</v>
      </c>
      <c r="H1366" s="130" t="s">
        <v>2717</v>
      </c>
      <c r="I1366" s="130" t="s">
        <v>2716</v>
      </c>
      <c r="J1366" s="130" t="s">
        <v>95</v>
      </c>
      <c r="K1366" s="130" t="s">
        <v>96</v>
      </c>
      <c r="L1366" s="174" t="s">
        <v>71</v>
      </c>
      <c r="M1366" s="131" t="s">
        <v>72</v>
      </c>
      <c r="N1366" s="130" t="s">
        <v>73</v>
      </c>
      <c r="O1366" s="219" t="s">
        <v>69</v>
      </c>
      <c r="P1366" s="130" t="s">
        <v>1699</v>
      </c>
      <c r="Q1366" s="132" t="s">
        <v>93</v>
      </c>
      <c r="R1366" s="218">
        <v>3.3250000000000002</v>
      </c>
      <c r="S1366" s="129">
        <v>1</v>
      </c>
      <c r="T1366" s="129">
        <v>200</v>
      </c>
      <c r="U1366" s="129">
        <v>200</v>
      </c>
      <c r="V1366" s="129">
        <v>36</v>
      </c>
      <c r="W1366" s="129">
        <v>236</v>
      </c>
      <c r="X1366" s="27">
        <f t="shared" si="189"/>
        <v>665</v>
      </c>
    </row>
    <row r="1367" spans="1:24" x14ac:dyDescent="0.2">
      <c r="A1367" s="220">
        <v>43858</v>
      </c>
      <c r="B1367" s="130" t="s">
        <v>111</v>
      </c>
      <c r="C1367" s="130" t="s">
        <v>102</v>
      </c>
      <c r="D1367" s="130" t="s">
        <v>1845</v>
      </c>
      <c r="E1367" s="130" t="s">
        <v>2715</v>
      </c>
      <c r="F1367" s="130" t="s">
        <v>2714</v>
      </c>
      <c r="G1367" s="220">
        <v>43850</v>
      </c>
      <c r="H1367" s="130" t="s">
        <v>2713</v>
      </c>
      <c r="I1367" s="130" t="s">
        <v>2712</v>
      </c>
      <c r="J1367" s="130" t="s">
        <v>95</v>
      </c>
      <c r="K1367" s="130" t="s">
        <v>96</v>
      </c>
      <c r="L1367" s="174" t="s">
        <v>71</v>
      </c>
      <c r="M1367" s="131" t="s">
        <v>72</v>
      </c>
      <c r="N1367" s="130" t="s">
        <v>73</v>
      </c>
      <c r="O1367" s="219" t="s">
        <v>69</v>
      </c>
      <c r="P1367" s="130" t="s">
        <v>1699</v>
      </c>
      <c r="Q1367" s="132" t="s">
        <v>93</v>
      </c>
      <c r="R1367" s="218">
        <v>3.339</v>
      </c>
      <c r="S1367" s="129">
        <v>1</v>
      </c>
      <c r="T1367" s="129">
        <v>100</v>
      </c>
      <c r="U1367" s="129">
        <v>100</v>
      </c>
      <c r="V1367" s="129">
        <v>18</v>
      </c>
      <c r="W1367" s="129">
        <v>118</v>
      </c>
      <c r="X1367" s="27">
        <f t="shared" si="189"/>
        <v>333.9</v>
      </c>
    </row>
    <row r="1368" spans="1:24" x14ac:dyDescent="0.2">
      <c r="A1368" s="220">
        <v>43859</v>
      </c>
      <c r="B1368" s="130" t="s">
        <v>111</v>
      </c>
      <c r="C1368" s="130" t="s">
        <v>102</v>
      </c>
      <c r="D1368" s="130" t="s">
        <v>627</v>
      </c>
      <c r="E1368" s="130" t="s">
        <v>2711</v>
      </c>
      <c r="F1368" s="130" t="s">
        <v>2518</v>
      </c>
      <c r="G1368" s="220">
        <v>43858</v>
      </c>
      <c r="H1368" s="130" t="s">
        <v>2710</v>
      </c>
      <c r="I1368" s="130" t="s">
        <v>2709</v>
      </c>
      <c r="J1368" s="130" t="s">
        <v>92</v>
      </c>
      <c r="K1368" s="130" t="s">
        <v>113</v>
      </c>
      <c r="L1368" s="174" t="s">
        <v>71</v>
      </c>
      <c r="M1368" s="131" t="s">
        <v>72</v>
      </c>
      <c r="N1368" s="130" t="s">
        <v>73</v>
      </c>
      <c r="O1368" s="219" t="s">
        <v>69</v>
      </c>
      <c r="P1368" s="130" t="s">
        <v>1699</v>
      </c>
      <c r="Q1368" s="132" t="s">
        <v>74</v>
      </c>
      <c r="R1368" s="218">
        <v>3.335</v>
      </c>
      <c r="S1368" s="129">
        <v>1</v>
      </c>
      <c r="T1368" s="129">
        <v>8.4830999000000009</v>
      </c>
      <c r="U1368" s="129">
        <v>8.4830999000000009</v>
      </c>
      <c r="V1368" s="129">
        <v>1.5269000999999991</v>
      </c>
      <c r="W1368" s="129">
        <v>10.01</v>
      </c>
      <c r="X1368" s="27">
        <f t="shared" si="189"/>
        <v>8.4830999000000009</v>
      </c>
    </row>
    <row r="1369" spans="1:24" x14ac:dyDescent="0.2">
      <c r="A1369" s="220">
        <v>43859</v>
      </c>
      <c r="B1369" s="130" t="s">
        <v>111</v>
      </c>
      <c r="C1369" s="130" t="s">
        <v>102</v>
      </c>
      <c r="D1369" s="130" t="s">
        <v>1844</v>
      </c>
      <c r="E1369" s="130" t="s">
        <v>2517</v>
      </c>
      <c r="F1369" s="130" t="s">
        <v>2518</v>
      </c>
      <c r="G1369" s="220">
        <v>43844</v>
      </c>
      <c r="H1369" s="130" t="s">
        <v>2710</v>
      </c>
      <c r="I1369" s="130" t="s">
        <v>2709</v>
      </c>
      <c r="J1369" s="130" t="s">
        <v>95</v>
      </c>
      <c r="K1369" s="130" t="s">
        <v>96</v>
      </c>
      <c r="L1369" s="174" t="s">
        <v>71</v>
      </c>
      <c r="M1369" s="131" t="s">
        <v>72</v>
      </c>
      <c r="N1369" s="130" t="s">
        <v>73</v>
      </c>
      <c r="O1369" s="219" t="s">
        <v>69</v>
      </c>
      <c r="P1369" s="130" t="s">
        <v>1699</v>
      </c>
      <c r="Q1369" s="132" t="s">
        <v>93</v>
      </c>
      <c r="R1369" s="218">
        <v>3.335</v>
      </c>
      <c r="S1369" s="129">
        <v>1</v>
      </c>
      <c r="T1369" s="129">
        <v>50</v>
      </c>
      <c r="U1369" s="129">
        <v>50</v>
      </c>
      <c r="V1369" s="129">
        <v>9</v>
      </c>
      <c r="W1369" s="129">
        <v>59</v>
      </c>
      <c r="X1369" s="27">
        <f t="shared" si="189"/>
        <v>166.75</v>
      </c>
    </row>
    <row r="1370" spans="1:24" x14ac:dyDescent="0.2">
      <c r="A1370" s="220">
        <v>43859</v>
      </c>
      <c r="B1370" s="130" t="s">
        <v>111</v>
      </c>
      <c r="C1370" s="130" t="s">
        <v>102</v>
      </c>
      <c r="D1370" s="130" t="s">
        <v>1843</v>
      </c>
      <c r="E1370" s="130" t="s">
        <v>2577</v>
      </c>
      <c r="F1370" s="130" t="s">
        <v>2578</v>
      </c>
      <c r="G1370" s="220">
        <v>43839</v>
      </c>
      <c r="H1370" s="130" t="s">
        <v>2704</v>
      </c>
      <c r="I1370" s="130" t="s">
        <v>2703</v>
      </c>
      <c r="J1370" s="130" t="s">
        <v>70</v>
      </c>
      <c r="K1370" s="130" t="s">
        <v>112</v>
      </c>
      <c r="L1370" s="174" t="s">
        <v>71</v>
      </c>
      <c r="M1370" s="131" t="s">
        <v>72</v>
      </c>
      <c r="N1370" s="130" t="s">
        <v>73</v>
      </c>
      <c r="O1370" s="219" t="s">
        <v>69</v>
      </c>
      <c r="P1370" s="130" t="s">
        <v>1699</v>
      </c>
      <c r="Q1370" s="132" t="s">
        <v>74</v>
      </c>
      <c r="R1370" s="218">
        <v>3.335</v>
      </c>
      <c r="S1370" s="129">
        <v>1</v>
      </c>
      <c r="T1370" s="129">
        <v>549</v>
      </c>
      <c r="U1370" s="129">
        <v>549</v>
      </c>
      <c r="V1370" s="129">
        <v>98.82001000000011</v>
      </c>
      <c r="W1370" s="129">
        <v>647.82001000000014</v>
      </c>
      <c r="X1370" s="27">
        <f t="shared" si="189"/>
        <v>549</v>
      </c>
    </row>
    <row r="1371" spans="1:24" x14ac:dyDescent="0.2">
      <c r="A1371" s="220">
        <v>43859</v>
      </c>
      <c r="B1371" s="130" t="s">
        <v>111</v>
      </c>
      <c r="C1371" s="130" t="s">
        <v>102</v>
      </c>
      <c r="D1371" s="130" t="s">
        <v>1843</v>
      </c>
      <c r="E1371" s="130" t="s">
        <v>2577</v>
      </c>
      <c r="F1371" s="130" t="s">
        <v>2578</v>
      </c>
      <c r="G1371" s="220">
        <v>43839</v>
      </c>
      <c r="H1371" s="130" t="s">
        <v>2704</v>
      </c>
      <c r="I1371" s="130" t="s">
        <v>2703</v>
      </c>
      <c r="J1371" s="130" t="s">
        <v>115</v>
      </c>
      <c r="K1371" s="130" t="s">
        <v>138</v>
      </c>
      <c r="L1371" s="174" t="s">
        <v>71</v>
      </c>
      <c r="M1371" s="131" t="s">
        <v>72</v>
      </c>
      <c r="N1371" s="130" t="s">
        <v>73</v>
      </c>
      <c r="O1371" s="219" t="s">
        <v>69</v>
      </c>
      <c r="P1371" s="130" t="s">
        <v>1699</v>
      </c>
      <c r="Q1371" s="132" t="s">
        <v>74</v>
      </c>
      <c r="R1371" s="218">
        <v>3.335</v>
      </c>
      <c r="S1371" s="129">
        <v>-1</v>
      </c>
      <c r="T1371" s="129">
        <v>437.49149</v>
      </c>
      <c r="U1371" s="129">
        <v>-437.49149</v>
      </c>
      <c r="V1371" s="129">
        <v>-78.748500000000064</v>
      </c>
      <c r="W1371" s="129">
        <v>-516.23999000000003</v>
      </c>
      <c r="X1371" s="27">
        <f t="shared" si="189"/>
        <v>-437.49149</v>
      </c>
    </row>
    <row r="1372" spans="1:24" x14ac:dyDescent="0.2">
      <c r="A1372" s="220">
        <v>43859</v>
      </c>
      <c r="B1372" s="130" t="s">
        <v>111</v>
      </c>
      <c r="C1372" s="130" t="s">
        <v>102</v>
      </c>
      <c r="D1372" s="130" t="s">
        <v>1843</v>
      </c>
      <c r="E1372" s="130" t="s">
        <v>2577</v>
      </c>
      <c r="F1372" s="130" t="s">
        <v>2578</v>
      </c>
      <c r="G1372" s="220">
        <v>43839</v>
      </c>
      <c r="H1372" s="130" t="s">
        <v>2704</v>
      </c>
      <c r="I1372" s="130" t="s">
        <v>2703</v>
      </c>
      <c r="J1372" s="130" t="s">
        <v>132</v>
      </c>
      <c r="K1372" s="130" t="s">
        <v>133</v>
      </c>
      <c r="L1372" s="174" t="s">
        <v>71</v>
      </c>
      <c r="M1372" s="131" t="s">
        <v>72</v>
      </c>
      <c r="N1372" s="130" t="s">
        <v>73</v>
      </c>
      <c r="O1372" s="219" t="s">
        <v>69</v>
      </c>
      <c r="P1372" s="130" t="s">
        <v>1699</v>
      </c>
      <c r="Q1372" s="132" t="s">
        <v>74</v>
      </c>
      <c r="R1372" s="218">
        <v>3.335</v>
      </c>
      <c r="S1372" s="129">
        <v>1</v>
      </c>
      <c r="T1372" s="129">
        <v>2122.0338999999999</v>
      </c>
      <c r="U1372" s="129">
        <v>2122.0339000000004</v>
      </c>
      <c r="V1372" s="129">
        <v>381.96610000000015</v>
      </c>
      <c r="W1372" s="129">
        <v>2504.0000000000005</v>
      </c>
      <c r="X1372" s="27">
        <f t="shared" si="189"/>
        <v>2122.0339000000004</v>
      </c>
    </row>
    <row r="1373" spans="1:24" x14ac:dyDescent="0.2">
      <c r="A1373" s="220">
        <v>43859</v>
      </c>
      <c r="B1373" s="130" t="s">
        <v>111</v>
      </c>
      <c r="C1373" s="130" t="s">
        <v>102</v>
      </c>
      <c r="D1373" s="130" t="s">
        <v>1843</v>
      </c>
      <c r="E1373" s="130" t="s">
        <v>2577</v>
      </c>
      <c r="F1373" s="130" t="s">
        <v>2578</v>
      </c>
      <c r="G1373" s="220">
        <v>43839</v>
      </c>
      <c r="H1373" s="130" t="s">
        <v>2704</v>
      </c>
      <c r="I1373" s="130" t="s">
        <v>2703</v>
      </c>
      <c r="J1373" s="130" t="s">
        <v>139</v>
      </c>
      <c r="K1373" s="130" t="s">
        <v>2708</v>
      </c>
      <c r="L1373" s="174" t="s">
        <v>71</v>
      </c>
      <c r="M1373" s="131" t="s">
        <v>72</v>
      </c>
      <c r="N1373" s="130" t="s">
        <v>73</v>
      </c>
      <c r="O1373" s="219" t="s">
        <v>69</v>
      </c>
      <c r="P1373" s="130" t="s">
        <v>1699</v>
      </c>
      <c r="Q1373" s="132" t="s">
        <v>74</v>
      </c>
      <c r="R1373" s="218">
        <v>3.335</v>
      </c>
      <c r="S1373" s="129">
        <v>1</v>
      </c>
      <c r="T1373" s="129">
        <v>120</v>
      </c>
      <c r="U1373" s="129">
        <v>120</v>
      </c>
      <c r="V1373" s="129">
        <v>21.600010000000019</v>
      </c>
      <c r="W1373" s="129">
        <v>141.60001000000003</v>
      </c>
      <c r="X1373" s="27">
        <f t="shared" si="189"/>
        <v>120</v>
      </c>
    </row>
    <row r="1374" spans="1:24" x14ac:dyDescent="0.2">
      <c r="A1374" s="220">
        <v>43859</v>
      </c>
      <c r="B1374" s="130" t="s">
        <v>111</v>
      </c>
      <c r="C1374" s="130" t="s">
        <v>102</v>
      </c>
      <c r="D1374" s="130" t="s">
        <v>1843</v>
      </c>
      <c r="E1374" s="130" t="s">
        <v>2577</v>
      </c>
      <c r="F1374" s="130" t="s">
        <v>2578</v>
      </c>
      <c r="G1374" s="220">
        <v>43839</v>
      </c>
      <c r="H1374" s="130" t="s">
        <v>2704</v>
      </c>
      <c r="I1374" s="130" t="s">
        <v>2703</v>
      </c>
      <c r="J1374" s="130" t="s">
        <v>139</v>
      </c>
      <c r="K1374" s="130" t="s">
        <v>2707</v>
      </c>
      <c r="L1374" s="174" t="s">
        <v>71</v>
      </c>
      <c r="M1374" s="131" t="s">
        <v>72</v>
      </c>
      <c r="N1374" s="130" t="s">
        <v>73</v>
      </c>
      <c r="O1374" s="219" t="s">
        <v>69</v>
      </c>
      <c r="P1374" s="130" t="s">
        <v>1699</v>
      </c>
      <c r="Q1374" s="132" t="s">
        <v>74</v>
      </c>
      <c r="R1374" s="218">
        <v>3.335</v>
      </c>
      <c r="S1374" s="129">
        <v>1</v>
      </c>
      <c r="T1374" s="129">
        <v>150</v>
      </c>
      <c r="U1374" s="129">
        <v>150</v>
      </c>
      <c r="V1374" s="129">
        <v>27</v>
      </c>
      <c r="W1374" s="129">
        <v>177</v>
      </c>
      <c r="X1374" s="27">
        <f t="shared" si="189"/>
        <v>150</v>
      </c>
    </row>
    <row r="1375" spans="1:24" x14ac:dyDescent="0.2">
      <c r="A1375" s="220">
        <v>43859</v>
      </c>
      <c r="B1375" s="130" t="s">
        <v>111</v>
      </c>
      <c r="C1375" s="130" t="s">
        <v>102</v>
      </c>
      <c r="D1375" s="130" t="s">
        <v>1843</v>
      </c>
      <c r="E1375" s="130" t="s">
        <v>2577</v>
      </c>
      <c r="F1375" s="130" t="s">
        <v>2578</v>
      </c>
      <c r="G1375" s="220">
        <v>43839</v>
      </c>
      <c r="H1375" s="130" t="s">
        <v>2704</v>
      </c>
      <c r="I1375" s="130" t="s">
        <v>2703</v>
      </c>
      <c r="J1375" s="130" t="s">
        <v>139</v>
      </c>
      <c r="K1375" s="130" t="s">
        <v>133</v>
      </c>
      <c r="L1375" s="174" t="s">
        <v>71</v>
      </c>
      <c r="M1375" s="131" t="s">
        <v>72</v>
      </c>
      <c r="N1375" s="130" t="s">
        <v>73</v>
      </c>
      <c r="O1375" s="219" t="s">
        <v>69</v>
      </c>
      <c r="P1375" s="130" t="s">
        <v>1699</v>
      </c>
      <c r="Q1375" s="132" t="s">
        <v>74</v>
      </c>
      <c r="R1375" s="218">
        <v>3.335</v>
      </c>
      <c r="S1375" s="129">
        <v>1</v>
      </c>
      <c r="T1375" s="129">
        <v>1373.9576000000002</v>
      </c>
      <c r="U1375" s="129">
        <v>1373.9576000000002</v>
      </c>
      <c r="V1375" s="129">
        <v>247.31239999999991</v>
      </c>
      <c r="W1375" s="129">
        <v>1621.27</v>
      </c>
      <c r="X1375" s="27">
        <f t="shared" si="189"/>
        <v>1373.9576000000002</v>
      </c>
    </row>
    <row r="1376" spans="1:24" x14ac:dyDescent="0.2">
      <c r="A1376" s="220">
        <v>43859</v>
      </c>
      <c r="B1376" s="130" t="s">
        <v>111</v>
      </c>
      <c r="C1376" s="130" t="s">
        <v>102</v>
      </c>
      <c r="D1376" s="130" t="s">
        <v>1843</v>
      </c>
      <c r="E1376" s="130" t="s">
        <v>2577</v>
      </c>
      <c r="F1376" s="130" t="s">
        <v>2578</v>
      </c>
      <c r="G1376" s="220">
        <v>43839</v>
      </c>
      <c r="H1376" s="130" t="s">
        <v>2704</v>
      </c>
      <c r="I1376" s="130" t="s">
        <v>2703</v>
      </c>
      <c r="J1376" s="130" t="s">
        <v>139</v>
      </c>
      <c r="K1376" s="130" t="s">
        <v>2706</v>
      </c>
      <c r="L1376" s="174" t="s">
        <v>71</v>
      </c>
      <c r="M1376" s="131" t="s">
        <v>72</v>
      </c>
      <c r="N1376" s="130" t="s">
        <v>73</v>
      </c>
      <c r="O1376" s="219" t="s">
        <v>69</v>
      </c>
      <c r="P1376" s="130" t="s">
        <v>1699</v>
      </c>
      <c r="Q1376" s="132" t="s">
        <v>74</v>
      </c>
      <c r="R1376" s="218">
        <v>3.335</v>
      </c>
      <c r="S1376" s="129">
        <v>1</v>
      </c>
      <c r="T1376" s="129">
        <v>60</v>
      </c>
      <c r="U1376" s="129">
        <v>60</v>
      </c>
      <c r="V1376" s="129">
        <v>10.800002999999997</v>
      </c>
      <c r="W1376" s="129">
        <v>70.800003000000004</v>
      </c>
      <c r="X1376" s="27">
        <f t="shared" si="189"/>
        <v>60</v>
      </c>
    </row>
    <row r="1377" spans="1:24" x14ac:dyDescent="0.2">
      <c r="A1377" s="220">
        <v>43859</v>
      </c>
      <c r="B1377" s="130" t="s">
        <v>111</v>
      </c>
      <c r="C1377" s="130" t="s">
        <v>102</v>
      </c>
      <c r="D1377" s="130" t="s">
        <v>1843</v>
      </c>
      <c r="E1377" s="130" t="s">
        <v>2577</v>
      </c>
      <c r="F1377" s="130" t="s">
        <v>2578</v>
      </c>
      <c r="G1377" s="220">
        <v>43839</v>
      </c>
      <c r="H1377" s="130" t="s">
        <v>2704</v>
      </c>
      <c r="I1377" s="130" t="s">
        <v>2703</v>
      </c>
      <c r="J1377" s="130" t="s">
        <v>139</v>
      </c>
      <c r="K1377" s="130" t="s">
        <v>2705</v>
      </c>
      <c r="L1377" s="174" t="s">
        <v>71</v>
      </c>
      <c r="M1377" s="131" t="s">
        <v>72</v>
      </c>
      <c r="N1377" s="130" t="s">
        <v>73</v>
      </c>
      <c r="O1377" s="219" t="s">
        <v>69</v>
      </c>
      <c r="P1377" s="130" t="s">
        <v>1699</v>
      </c>
      <c r="Q1377" s="132" t="s">
        <v>74</v>
      </c>
      <c r="R1377" s="218">
        <v>3.335</v>
      </c>
      <c r="S1377" s="129">
        <v>1</v>
      </c>
      <c r="T1377" s="129">
        <v>300</v>
      </c>
      <c r="U1377" s="129">
        <v>300</v>
      </c>
      <c r="V1377" s="129">
        <v>54</v>
      </c>
      <c r="W1377" s="129">
        <v>354</v>
      </c>
      <c r="X1377" s="27">
        <f t="shared" si="189"/>
        <v>300</v>
      </c>
    </row>
    <row r="1378" spans="1:24" x14ac:dyDescent="0.2">
      <c r="A1378" s="220">
        <v>43859</v>
      </c>
      <c r="B1378" s="130" t="s">
        <v>111</v>
      </c>
      <c r="C1378" s="130" t="s">
        <v>102</v>
      </c>
      <c r="D1378" s="130" t="s">
        <v>1843</v>
      </c>
      <c r="E1378" s="130" t="s">
        <v>2577</v>
      </c>
      <c r="F1378" s="130" t="s">
        <v>2578</v>
      </c>
      <c r="G1378" s="220">
        <v>43839</v>
      </c>
      <c r="H1378" s="130" t="s">
        <v>2704</v>
      </c>
      <c r="I1378" s="130" t="s">
        <v>2703</v>
      </c>
      <c r="J1378" s="130" t="s">
        <v>104</v>
      </c>
      <c r="K1378" s="130" t="s">
        <v>105</v>
      </c>
      <c r="L1378" s="174" t="s">
        <v>71</v>
      </c>
      <c r="M1378" s="131" t="s">
        <v>72</v>
      </c>
      <c r="N1378" s="130" t="s">
        <v>73</v>
      </c>
      <c r="O1378" s="219" t="s">
        <v>69</v>
      </c>
      <c r="P1378" s="130" t="s">
        <v>1699</v>
      </c>
      <c r="Q1378" s="132" t="s">
        <v>74</v>
      </c>
      <c r="R1378" s="218">
        <v>3.335</v>
      </c>
      <c r="S1378" s="129">
        <v>1</v>
      </c>
      <c r="T1378" s="129">
        <v>0</v>
      </c>
      <c r="U1378" s="129">
        <v>0</v>
      </c>
      <c r="V1378" s="129">
        <v>0</v>
      </c>
      <c r="W1378" s="129">
        <v>0</v>
      </c>
      <c r="X1378" s="27">
        <f t="shared" si="189"/>
        <v>0</v>
      </c>
    </row>
    <row r="1379" spans="1:24" x14ac:dyDescent="0.2">
      <c r="A1379" s="220">
        <v>43861</v>
      </c>
      <c r="B1379" s="130" t="s">
        <v>111</v>
      </c>
      <c r="C1379" s="130" t="s">
        <v>102</v>
      </c>
      <c r="D1379" s="130" t="s">
        <v>626</v>
      </c>
      <c r="E1379" s="130" t="s">
        <v>2665</v>
      </c>
      <c r="F1379" s="130" t="s">
        <v>2702</v>
      </c>
      <c r="G1379" s="220">
        <v>43850</v>
      </c>
      <c r="H1379" s="130" t="s">
        <v>2701</v>
      </c>
      <c r="I1379" s="130" t="s">
        <v>2700</v>
      </c>
      <c r="J1379" s="130" t="s">
        <v>95</v>
      </c>
      <c r="K1379" s="130" t="s">
        <v>96</v>
      </c>
      <c r="L1379" s="174" t="s">
        <v>71</v>
      </c>
      <c r="M1379" s="131" t="s">
        <v>72</v>
      </c>
      <c r="N1379" s="130" t="s">
        <v>73</v>
      </c>
      <c r="O1379" s="219" t="s">
        <v>69</v>
      </c>
      <c r="P1379" s="130" t="s">
        <v>1699</v>
      </c>
      <c r="Q1379" s="132" t="s">
        <v>93</v>
      </c>
      <c r="R1379" s="218">
        <v>3.3599999</v>
      </c>
      <c r="S1379" s="129">
        <v>1</v>
      </c>
      <c r="T1379" s="129">
        <v>270.38979999999998</v>
      </c>
      <c r="U1379" s="129">
        <v>270.38979999999998</v>
      </c>
      <c r="V1379" s="129">
        <v>48.670200000000044</v>
      </c>
      <c r="W1379" s="129">
        <v>319.06</v>
      </c>
      <c r="X1379" s="27">
        <f t="shared" si="189"/>
        <v>908.50970096101992</v>
      </c>
    </row>
    <row r="1380" spans="1:24" x14ac:dyDescent="0.2">
      <c r="A1380" s="220">
        <v>43861</v>
      </c>
      <c r="B1380" s="130" t="s">
        <v>111</v>
      </c>
      <c r="C1380" s="130" t="s">
        <v>102</v>
      </c>
      <c r="D1380" s="130" t="s">
        <v>625</v>
      </c>
      <c r="E1380" s="130" t="s">
        <v>2662</v>
      </c>
      <c r="F1380" s="130" t="s">
        <v>2699</v>
      </c>
      <c r="G1380" s="220">
        <v>43846</v>
      </c>
      <c r="H1380" s="130" t="s">
        <v>2698</v>
      </c>
      <c r="I1380" s="130" t="s">
        <v>2697</v>
      </c>
      <c r="J1380" s="130" t="s">
        <v>95</v>
      </c>
      <c r="K1380" s="130" t="s">
        <v>96</v>
      </c>
      <c r="L1380" s="174" t="s">
        <v>71</v>
      </c>
      <c r="M1380" s="131" t="s">
        <v>72</v>
      </c>
      <c r="N1380" s="130" t="s">
        <v>73</v>
      </c>
      <c r="O1380" s="219" t="s">
        <v>69</v>
      </c>
      <c r="P1380" s="130" t="s">
        <v>1699</v>
      </c>
      <c r="Q1380" s="132" t="s">
        <v>93</v>
      </c>
      <c r="R1380" s="218">
        <v>3.3599999</v>
      </c>
      <c r="S1380" s="129">
        <v>1</v>
      </c>
      <c r="T1380" s="129">
        <v>412.87288999999987</v>
      </c>
      <c r="U1380" s="129">
        <v>412.87288999999987</v>
      </c>
      <c r="V1380" s="129">
        <v>74.317110000000099</v>
      </c>
      <c r="W1380" s="129">
        <v>487.19</v>
      </c>
      <c r="X1380" s="27">
        <f t="shared" si="189"/>
        <v>1387.2528691127106</v>
      </c>
    </row>
    <row r="1381" spans="1:24" x14ac:dyDescent="0.2">
      <c r="A1381" s="220">
        <v>43861</v>
      </c>
      <c r="B1381" s="130" t="s">
        <v>111</v>
      </c>
      <c r="C1381" s="130" t="s">
        <v>102</v>
      </c>
      <c r="D1381" s="130" t="s">
        <v>624</v>
      </c>
      <c r="E1381" s="130" t="s">
        <v>2664</v>
      </c>
      <c r="F1381" s="130" t="s">
        <v>2699</v>
      </c>
      <c r="G1381" s="220">
        <v>43852</v>
      </c>
      <c r="H1381" s="130" t="s">
        <v>2698</v>
      </c>
      <c r="I1381" s="130" t="s">
        <v>2697</v>
      </c>
      <c r="J1381" s="130" t="s">
        <v>97</v>
      </c>
      <c r="K1381" s="130" t="s">
        <v>98</v>
      </c>
      <c r="L1381" s="174" t="s">
        <v>71</v>
      </c>
      <c r="M1381" s="131" t="s">
        <v>72</v>
      </c>
      <c r="N1381" s="130" t="s">
        <v>73</v>
      </c>
      <c r="O1381" s="219" t="s">
        <v>99</v>
      </c>
      <c r="P1381" s="130" t="s">
        <v>98</v>
      </c>
      <c r="Q1381" s="132" t="s">
        <v>93</v>
      </c>
      <c r="R1381" s="218">
        <v>3.3599999</v>
      </c>
      <c r="S1381" s="129">
        <v>1</v>
      </c>
      <c r="T1381" s="129">
        <v>120</v>
      </c>
      <c r="U1381" s="129">
        <v>120</v>
      </c>
      <c r="V1381" s="129">
        <v>21.600010000000019</v>
      </c>
      <c r="W1381" s="129">
        <v>141.60001000000003</v>
      </c>
      <c r="X1381" s="27">
        <f t="shared" si="189"/>
        <v>403.19998800000002</v>
      </c>
    </row>
    <row r="1382" spans="1:24" x14ac:dyDescent="0.2">
      <c r="A1382" s="220">
        <v>43861</v>
      </c>
      <c r="B1382" s="130" t="s">
        <v>111</v>
      </c>
      <c r="C1382" s="130" t="s">
        <v>102</v>
      </c>
      <c r="D1382" s="130" t="s">
        <v>624</v>
      </c>
      <c r="E1382" s="130" t="s">
        <v>2664</v>
      </c>
      <c r="F1382" s="130" t="s">
        <v>2699</v>
      </c>
      <c r="G1382" s="220">
        <v>43852</v>
      </c>
      <c r="H1382" s="130" t="s">
        <v>2698</v>
      </c>
      <c r="I1382" s="130" t="s">
        <v>2697</v>
      </c>
      <c r="J1382" s="130" t="s">
        <v>100</v>
      </c>
      <c r="K1382" s="130" t="s">
        <v>101</v>
      </c>
      <c r="L1382" s="174" t="s">
        <v>71</v>
      </c>
      <c r="M1382" s="131" t="s">
        <v>72</v>
      </c>
      <c r="N1382" s="130" t="s">
        <v>73</v>
      </c>
      <c r="O1382" s="219" t="s">
        <v>72</v>
      </c>
      <c r="P1382" s="130" t="s">
        <v>101</v>
      </c>
      <c r="Q1382" s="132" t="s">
        <v>93</v>
      </c>
      <c r="R1382" s="218">
        <v>3.3599999</v>
      </c>
      <c r="S1382" s="129">
        <v>1</v>
      </c>
      <c r="T1382" s="129">
        <v>75</v>
      </c>
      <c r="U1382" s="129">
        <v>75</v>
      </c>
      <c r="V1382" s="129">
        <v>13.5</v>
      </c>
      <c r="W1382" s="129">
        <v>88.5</v>
      </c>
      <c r="X1382" s="27">
        <f t="shared" si="189"/>
        <v>251.99999249999999</v>
      </c>
    </row>
    <row r="1383" spans="1:24" x14ac:dyDescent="0.2">
      <c r="A1383" s="220">
        <v>43861</v>
      </c>
      <c r="B1383" s="130" t="s">
        <v>111</v>
      </c>
      <c r="C1383" s="130" t="s">
        <v>102</v>
      </c>
      <c r="D1383" s="130" t="s">
        <v>624</v>
      </c>
      <c r="E1383" s="130" t="s">
        <v>2664</v>
      </c>
      <c r="F1383" s="130" t="s">
        <v>2699</v>
      </c>
      <c r="G1383" s="220">
        <v>43852</v>
      </c>
      <c r="H1383" s="130" t="s">
        <v>2698</v>
      </c>
      <c r="I1383" s="130" t="s">
        <v>2697</v>
      </c>
      <c r="J1383" s="130" t="s">
        <v>92</v>
      </c>
      <c r="K1383" s="130" t="s">
        <v>113</v>
      </c>
      <c r="L1383" s="174" t="s">
        <v>71</v>
      </c>
      <c r="M1383" s="131" t="s">
        <v>72</v>
      </c>
      <c r="N1383" s="130" t="s">
        <v>73</v>
      </c>
      <c r="O1383" s="219" t="s">
        <v>69</v>
      </c>
      <c r="P1383" s="130" t="s">
        <v>1699</v>
      </c>
      <c r="Q1383" s="132" t="s">
        <v>93</v>
      </c>
      <c r="R1383" s="218">
        <v>3.3599999</v>
      </c>
      <c r="S1383" s="129">
        <v>1</v>
      </c>
      <c r="T1383" s="129">
        <v>30</v>
      </c>
      <c r="U1383" s="129">
        <v>30</v>
      </c>
      <c r="V1383" s="129">
        <v>5.4000019999999997</v>
      </c>
      <c r="W1383" s="129">
        <v>35.400002000000001</v>
      </c>
      <c r="X1383" s="27">
        <f t="shared" si="189"/>
        <v>100.799997</v>
      </c>
    </row>
    <row r="1384" spans="1:24" x14ac:dyDescent="0.2">
      <c r="A1384" s="220">
        <v>43861</v>
      </c>
      <c r="B1384" s="130" t="s">
        <v>111</v>
      </c>
      <c r="C1384" s="130" t="s">
        <v>102</v>
      </c>
      <c r="D1384" s="130" t="s">
        <v>624</v>
      </c>
      <c r="E1384" s="130" t="s">
        <v>2664</v>
      </c>
      <c r="F1384" s="130" t="s">
        <v>2699</v>
      </c>
      <c r="G1384" s="220">
        <v>43852</v>
      </c>
      <c r="H1384" s="130" t="s">
        <v>2698</v>
      </c>
      <c r="I1384" s="130" t="s">
        <v>2697</v>
      </c>
      <c r="J1384" s="130" t="s">
        <v>132</v>
      </c>
      <c r="K1384" s="130" t="s">
        <v>94</v>
      </c>
      <c r="L1384" s="174" t="s">
        <v>71</v>
      </c>
      <c r="M1384" s="131" t="s">
        <v>72</v>
      </c>
      <c r="N1384" s="130" t="s">
        <v>73</v>
      </c>
      <c r="O1384" s="219" t="s">
        <v>69</v>
      </c>
      <c r="P1384" s="130" t="s">
        <v>1699</v>
      </c>
      <c r="Q1384" s="132" t="s">
        <v>93</v>
      </c>
      <c r="R1384" s="218">
        <v>3.3599999</v>
      </c>
      <c r="S1384" s="129">
        <v>1</v>
      </c>
      <c r="T1384" s="129">
        <v>40</v>
      </c>
      <c r="U1384" s="129">
        <v>40</v>
      </c>
      <c r="V1384" s="129">
        <v>7.2000010000000021</v>
      </c>
      <c r="W1384" s="129">
        <v>47.200001</v>
      </c>
      <c r="X1384" s="27">
        <f t="shared" si="189"/>
        <v>134.39999599999999</v>
      </c>
    </row>
    <row r="1385" spans="1:24" x14ac:dyDescent="0.2">
      <c r="A1385" s="220">
        <v>43834</v>
      </c>
      <c r="B1385" s="130" t="s">
        <v>114</v>
      </c>
      <c r="C1385" s="130" t="s">
        <v>102</v>
      </c>
      <c r="D1385" s="130" t="s">
        <v>686</v>
      </c>
      <c r="E1385" s="130" t="s">
        <v>2845</v>
      </c>
      <c r="F1385" s="130">
        <v>0</v>
      </c>
      <c r="G1385" s="220">
        <v>43834</v>
      </c>
      <c r="H1385" s="130" t="s">
        <v>90</v>
      </c>
      <c r="I1385" s="130" t="s">
        <v>91</v>
      </c>
      <c r="J1385" s="130" t="s">
        <v>97</v>
      </c>
      <c r="K1385" s="130" t="s">
        <v>98</v>
      </c>
      <c r="L1385" s="174" t="s">
        <v>72</v>
      </c>
      <c r="M1385" s="131" t="s">
        <v>72</v>
      </c>
      <c r="N1385" s="130" t="s">
        <v>73</v>
      </c>
      <c r="O1385" s="219" t="s">
        <v>99</v>
      </c>
      <c r="P1385" s="130" t="s">
        <v>98</v>
      </c>
      <c r="Q1385" s="132" t="s">
        <v>93</v>
      </c>
      <c r="R1385" s="218">
        <v>3.3169999000000003</v>
      </c>
      <c r="S1385" s="129">
        <v>-1</v>
      </c>
      <c r="T1385" s="129">
        <v>-236</v>
      </c>
      <c r="U1385" s="129">
        <v>-236</v>
      </c>
      <c r="V1385" s="129">
        <v>-42.48001</v>
      </c>
      <c r="W1385" s="129">
        <v>-278.48000999999999</v>
      </c>
      <c r="X1385" s="27">
        <f t="shared" si="189"/>
        <v>-782.81197640000005</v>
      </c>
    </row>
    <row r="1386" spans="1:24" x14ac:dyDescent="0.2">
      <c r="A1386" s="220">
        <v>43834</v>
      </c>
      <c r="B1386" s="130" t="s">
        <v>114</v>
      </c>
      <c r="C1386" s="130" t="s">
        <v>102</v>
      </c>
      <c r="D1386" s="130" t="s">
        <v>686</v>
      </c>
      <c r="E1386" s="130" t="s">
        <v>2845</v>
      </c>
      <c r="F1386" s="130">
        <v>0</v>
      </c>
      <c r="G1386" s="220">
        <v>43834</v>
      </c>
      <c r="H1386" s="130" t="s">
        <v>90</v>
      </c>
      <c r="I1386" s="130" t="s">
        <v>91</v>
      </c>
      <c r="J1386" s="130" t="s">
        <v>100</v>
      </c>
      <c r="K1386" s="130" t="s">
        <v>101</v>
      </c>
      <c r="L1386" s="174" t="s">
        <v>72</v>
      </c>
      <c r="M1386" s="131" t="s">
        <v>72</v>
      </c>
      <c r="N1386" s="130" t="s">
        <v>73</v>
      </c>
      <c r="O1386" s="219" t="s">
        <v>72</v>
      </c>
      <c r="P1386" s="130" t="s">
        <v>101</v>
      </c>
      <c r="Q1386" s="132" t="s">
        <v>93</v>
      </c>
      <c r="R1386" s="218">
        <v>3.3169999000000003</v>
      </c>
      <c r="S1386" s="129">
        <v>-1</v>
      </c>
      <c r="T1386" s="129">
        <v>-183.75419999999997</v>
      </c>
      <c r="U1386" s="129">
        <v>-183.75419999999997</v>
      </c>
      <c r="V1386" s="129">
        <v>-33.075800000000015</v>
      </c>
      <c r="W1386" s="129">
        <v>-216.83</v>
      </c>
      <c r="X1386" s="27">
        <f t="shared" si="189"/>
        <v>-609.51266302457998</v>
      </c>
    </row>
    <row r="1387" spans="1:24" x14ac:dyDescent="0.2">
      <c r="A1387" s="220">
        <v>43834</v>
      </c>
      <c r="B1387" s="130" t="s">
        <v>114</v>
      </c>
      <c r="C1387" s="130" t="s">
        <v>102</v>
      </c>
      <c r="D1387" s="130" t="s">
        <v>686</v>
      </c>
      <c r="E1387" s="130" t="s">
        <v>2845</v>
      </c>
      <c r="F1387" s="130">
        <v>0</v>
      </c>
      <c r="G1387" s="220">
        <v>43834</v>
      </c>
      <c r="H1387" s="130" t="s">
        <v>90</v>
      </c>
      <c r="I1387" s="130" t="s">
        <v>91</v>
      </c>
      <c r="J1387" s="130" t="s">
        <v>95</v>
      </c>
      <c r="K1387" s="130" t="s">
        <v>96</v>
      </c>
      <c r="L1387" s="174" t="s">
        <v>72</v>
      </c>
      <c r="M1387" s="131" t="s">
        <v>72</v>
      </c>
      <c r="N1387" s="130" t="s">
        <v>73</v>
      </c>
      <c r="O1387" s="219" t="s">
        <v>69</v>
      </c>
      <c r="P1387" s="130" t="s">
        <v>1699</v>
      </c>
      <c r="Q1387" s="132" t="s">
        <v>93</v>
      </c>
      <c r="R1387" s="218">
        <v>3.3169999000000003</v>
      </c>
      <c r="S1387" s="129">
        <v>1</v>
      </c>
      <c r="T1387" s="129">
        <v>-130.18639999999999</v>
      </c>
      <c r="U1387" s="129">
        <v>130.18639999999999</v>
      </c>
      <c r="V1387" s="129">
        <v>23.433600000000006</v>
      </c>
      <c r="W1387" s="129">
        <v>153.62</v>
      </c>
      <c r="X1387" s="27">
        <f t="shared" si="189"/>
        <v>431.82827578135999</v>
      </c>
    </row>
    <row r="1388" spans="1:24" x14ac:dyDescent="0.2">
      <c r="A1388" s="220">
        <v>43834</v>
      </c>
      <c r="B1388" s="130" t="s">
        <v>114</v>
      </c>
      <c r="C1388" s="130" t="s">
        <v>102</v>
      </c>
      <c r="D1388" s="130" t="s">
        <v>686</v>
      </c>
      <c r="E1388" s="130" t="s">
        <v>2845</v>
      </c>
      <c r="F1388" s="130">
        <v>0</v>
      </c>
      <c r="G1388" s="220">
        <v>43834</v>
      </c>
      <c r="H1388" s="130" t="s">
        <v>90</v>
      </c>
      <c r="I1388" s="130" t="s">
        <v>91</v>
      </c>
      <c r="J1388" s="130" t="s">
        <v>104</v>
      </c>
      <c r="K1388" s="130" t="s">
        <v>105</v>
      </c>
      <c r="L1388" s="174" t="s">
        <v>72</v>
      </c>
      <c r="M1388" s="131" t="s">
        <v>72</v>
      </c>
      <c r="N1388" s="130" t="s">
        <v>73</v>
      </c>
      <c r="O1388" s="219" t="s">
        <v>69</v>
      </c>
      <c r="P1388" s="130" t="s">
        <v>1699</v>
      </c>
      <c r="Q1388" s="132" t="s">
        <v>93</v>
      </c>
      <c r="R1388" s="218">
        <v>3.3169999000000003</v>
      </c>
      <c r="S1388" s="129">
        <v>-1</v>
      </c>
      <c r="T1388" s="129">
        <v>0</v>
      </c>
      <c r="U1388" s="129">
        <v>0</v>
      </c>
      <c r="V1388" s="129">
        <v>0</v>
      </c>
      <c r="W1388" s="129">
        <v>0</v>
      </c>
      <c r="X1388" s="27">
        <f t="shared" si="189"/>
        <v>0</v>
      </c>
    </row>
    <row r="1389" spans="1:24" x14ac:dyDescent="0.2">
      <c r="A1389" s="220">
        <v>43862</v>
      </c>
      <c r="B1389" s="130" t="s">
        <v>68</v>
      </c>
      <c r="C1389" s="130" t="s">
        <v>102</v>
      </c>
      <c r="D1389" s="130" t="s">
        <v>2395</v>
      </c>
      <c r="E1389" s="130" t="s">
        <v>2670</v>
      </c>
      <c r="F1389" s="130" t="s">
        <v>3052</v>
      </c>
      <c r="G1389" s="220">
        <v>43852</v>
      </c>
      <c r="H1389" s="130" t="s">
        <v>90</v>
      </c>
      <c r="I1389" s="130" t="s">
        <v>91</v>
      </c>
      <c r="J1389" s="130" t="s">
        <v>97</v>
      </c>
      <c r="K1389" s="130" t="s">
        <v>98</v>
      </c>
      <c r="L1389" s="174" t="s">
        <v>71</v>
      </c>
      <c r="M1389" s="131" t="s">
        <v>72</v>
      </c>
      <c r="N1389" s="130" t="s">
        <v>73</v>
      </c>
      <c r="O1389" s="219" t="s">
        <v>99</v>
      </c>
      <c r="P1389" s="130" t="s">
        <v>98</v>
      </c>
      <c r="Q1389" s="132" t="s">
        <v>93</v>
      </c>
      <c r="R1389" s="218">
        <v>3.3759999000000001</v>
      </c>
      <c r="S1389" s="129">
        <v>1</v>
      </c>
      <c r="T1389" s="129">
        <v>59</v>
      </c>
      <c r="U1389" s="129">
        <v>59</v>
      </c>
      <c r="V1389" s="129">
        <v>10.620002999999997</v>
      </c>
      <c r="W1389" s="129">
        <v>69.620002999999997</v>
      </c>
      <c r="X1389" s="27">
        <f t="shared" si="189"/>
        <v>199.18399410000001</v>
      </c>
    </row>
    <row r="1390" spans="1:24" x14ac:dyDescent="0.2">
      <c r="A1390" s="220">
        <v>43862</v>
      </c>
      <c r="B1390" s="130" t="s">
        <v>68</v>
      </c>
      <c r="C1390" s="130" t="s">
        <v>102</v>
      </c>
      <c r="D1390" s="130" t="s">
        <v>2395</v>
      </c>
      <c r="E1390" s="130" t="s">
        <v>2670</v>
      </c>
      <c r="F1390" s="130" t="s">
        <v>3052</v>
      </c>
      <c r="G1390" s="220">
        <v>43852</v>
      </c>
      <c r="H1390" s="130" t="s">
        <v>90</v>
      </c>
      <c r="I1390" s="130" t="s">
        <v>91</v>
      </c>
      <c r="J1390" s="130" t="s">
        <v>100</v>
      </c>
      <c r="K1390" s="130" t="s">
        <v>101</v>
      </c>
      <c r="L1390" s="174" t="s">
        <v>71</v>
      </c>
      <c r="M1390" s="131" t="s">
        <v>72</v>
      </c>
      <c r="N1390" s="130" t="s">
        <v>73</v>
      </c>
      <c r="O1390" s="219" t="s">
        <v>72</v>
      </c>
      <c r="P1390" s="130" t="s">
        <v>101</v>
      </c>
      <c r="Q1390" s="132" t="s">
        <v>93</v>
      </c>
      <c r="R1390" s="218">
        <v>3.3759999000000001</v>
      </c>
      <c r="S1390" s="129">
        <v>1</v>
      </c>
      <c r="T1390" s="129">
        <v>45</v>
      </c>
      <c r="U1390" s="129">
        <v>45</v>
      </c>
      <c r="V1390" s="129">
        <v>8.0999980000000047</v>
      </c>
      <c r="W1390" s="129">
        <v>53.099998000000006</v>
      </c>
      <c r="X1390" s="27">
        <f t="shared" si="189"/>
        <v>151.9199955</v>
      </c>
    </row>
    <row r="1391" spans="1:24" x14ac:dyDescent="0.2">
      <c r="A1391" s="220">
        <v>43862</v>
      </c>
      <c r="B1391" s="130" t="s">
        <v>68</v>
      </c>
      <c r="C1391" s="130" t="s">
        <v>102</v>
      </c>
      <c r="D1391" s="130" t="s">
        <v>2395</v>
      </c>
      <c r="E1391" s="130" t="s">
        <v>2670</v>
      </c>
      <c r="F1391" s="130" t="s">
        <v>3052</v>
      </c>
      <c r="G1391" s="220">
        <v>43852</v>
      </c>
      <c r="H1391" s="130" t="s">
        <v>90</v>
      </c>
      <c r="I1391" s="130" t="s">
        <v>91</v>
      </c>
      <c r="J1391" s="130" t="s">
        <v>92</v>
      </c>
      <c r="K1391" s="130" t="s">
        <v>113</v>
      </c>
      <c r="L1391" s="174" t="s">
        <v>71</v>
      </c>
      <c r="M1391" s="131" t="s">
        <v>72</v>
      </c>
      <c r="N1391" s="130" t="s">
        <v>73</v>
      </c>
      <c r="O1391" s="219" t="s">
        <v>69</v>
      </c>
      <c r="P1391" s="130" t="s">
        <v>1699</v>
      </c>
      <c r="Q1391" s="132" t="s">
        <v>93</v>
      </c>
      <c r="R1391" s="218">
        <v>3.3759999000000001</v>
      </c>
      <c r="S1391" s="129">
        <v>1</v>
      </c>
      <c r="T1391" s="129">
        <v>30</v>
      </c>
      <c r="U1391" s="129">
        <v>30</v>
      </c>
      <c r="V1391" s="129">
        <v>5.4000019999999997</v>
      </c>
      <c r="W1391" s="129">
        <v>35.400002000000001</v>
      </c>
      <c r="X1391" s="27">
        <f t="shared" si="189"/>
        <v>101.27999700000001</v>
      </c>
    </row>
    <row r="1392" spans="1:24" x14ac:dyDescent="0.2">
      <c r="A1392" s="220">
        <v>43862</v>
      </c>
      <c r="B1392" s="130" t="s">
        <v>68</v>
      </c>
      <c r="C1392" s="130" t="s">
        <v>102</v>
      </c>
      <c r="D1392" s="130" t="s">
        <v>2395</v>
      </c>
      <c r="E1392" s="130" t="s">
        <v>2670</v>
      </c>
      <c r="F1392" s="130" t="s">
        <v>3052</v>
      </c>
      <c r="G1392" s="220">
        <v>43852</v>
      </c>
      <c r="H1392" s="130" t="s">
        <v>90</v>
      </c>
      <c r="I1392" s="130" t="s">
        <v>91</v>
      </c>
      <c r="J1392" s="130" t="s">
        <v>95</v>
      </c>
      <c r="K1392" s="130" t="s">
        <v>96</v>
      </c>
      <c r="L1392" s="174" t="s">
        <v>71</v>
      </c>
      <c r="M1392" s="131" t="s">
        <v>72</v>
      </c>
      <c r="N1392" s="130" t="s">
        <v>73</v>
      </c>
      <c r="O1392" s="219" t="s">
        <v>69</v>
      </c>
      <c r="P1392" s="130" t="s">
        <v>1699</v>
      </c>
      <c r="Q1392" s="132" t="s">
        <v>93</v>
      </c>
      <c r="R1392" s="218">
        <v>3.3759999000000001</v>
      </c>
      <c r="S1392" s="129">
        <v>-1</v>
      </c>
      <c r="T1392" s="129">
        <v>100</v>
      </c>
      <c r="U1392" s="129">
        <v>-100</v>
      </c>
      <c r="V1392" s="129">
        <v>-18</v>
      </c>
      <c r="W1392" s="129">
        <v>-118</v>
      </c>
      <c r="X1392" s="27">
        <f t="shared" si="189"/>
        <v>-337.59998999999999</v>
      </c>
    </row>
    <row r="1393" spans="1:24" x14ac:dyDescent="0.2">
      <c r="A1393" s="220">
        <v>43862</v>
      </c>
      <c r="B1393" s="130" t="s">
        <v>68</v>
      </c>
      <c r="C1393" s="130" t="s">
        <v>102</v>
      </c>
      <c r="D1393" s="130" t="s">
        <v>2395</v>
      </c>
      <c r="E1393" s="130" t="s">
        <v>2670</v>
      </c>
      <c r="F1393" s="130" t="s">
        <v>3052</v>
      </c>
      <c r="G1393" s="220">
        <v>43852</v>
      </c>
      <c r="H1393" s="130" t="s">
        <v>90</v>
      </c>
      <c r="I1393" s="130" t="s">
        <v>91</v>
      </c>
      <c r="J1393" s="130" t="s">
        <v>104</v>
      </c>
      <c r="K1393" s="130" t="s">
        <v>105</v>
      </c>
      <c r="L1393" s="174" t="s">
        <v>71</v>
      </c>
      <c r="M1393" s="131" t="s">
        <v>72</v>
      </c>
      <c r="N1393" s="130" t="s">
        <v>73</v>
      </c>
      <c r="O1393" s="219" t="s">
        <v>69</v>
      </c>
      <c r="P1393" s="130" t="s">
        <v>1699</v>
      </c>
      <c r="Q1393" s="132" t="s">
        <v>93</v>
      </c>
      <c r="R1393" s="218">
        <v>3.3759999000000001</v>
      </c>
      <c r="S1393" s="129">
        <v>1</v>
      </c>
      <c r="T1393" s="129">
        <v>0</v>
      </c>
      <c r="U1393" s="129">
        <v>0</v>
      </c>
      <c r="V1393" s="129">
        <v>0</v>
      </c>
      <c r="W1393" s="129">
        <v>0</v>
      </c>
      <c r="X1393" s="27">
        <f t="shared" si="189"/>
        <v>0</v>
      </c>
    </row>
    <row r="1394" spans="1:24" x14ac:dyDescent="0.2">
      <c r="A1394" s="220">
        <v>43862</v>
      </c>
      <c r="B1394" s="130" t="s">
        <v>68</v>
      </c>
      <c r="C1394" s="130" t="s">
        <v>102</v>
      </c>
      <c r="D1394" s="130" t="s">
        <v>3127</v>
      </c>
      <c r="E1394" s="130" t="s">
        <v>2672</v>
      </c>
      <c r="F1394" s="130" t="s">
        <v>3052</v>
      </c>
      <c r="G1394" s="220">
        <v>43852</v>
      </c>
      <c r="H1394" s="130" t="s">
        <v>90</v>
      </c>
      <c r="I1394" s="130" t="s">
        <v>91</v>
      </c>
      <c r="J1394" s="130" t="s">
        <v>97</v>
      </c>
      <c r="K1394" s="130" t="s">
        <v>98</v>
      </c>
      <c r="L1394" s="174" t="s">
        <v>71</v>
      </c>
      <c r="M1394" s="131" t="s">
        <v>72</v>
      </c>
      <c r="N1394" s="130" t="s">
        <v>73</v>
      </c>
      <c r="O1394" s="219" t="s">
        <v>99</v>
      </c>
      <c r="P1394" s="130" t="s">
        <v>98</v>
      </c>
      <c r="Q1394" s="132" t="s">
        <v>93</v>
      </c>
      <c r="R1394" s="218">
        <v>3.3759999000000001</v>
      </c>
      <c r="S1394" s="129">
        <v>1</v>
      </c>
      <c r="T1394" s="129">
        <v>147.5</v>
      </c>
      <c r="U1394" s="129">
        <v>147.5</v>
      </c>
      <c r="V1394" s="129">
        <v>26.55</v>
      </c>
      <c r="W1394" s="129">
        <v>174.05</v>
      </c>
      <c r="X1394" s="27">
        <f t="shared" si="189"/>
        <v>497.95998524999999</v>
      </c>
    </row>
    <row r="1395" spans="1:24" x14ac:dyDescent="0.2">
      <c r="A1395" s="220">
        <v>43862</v>
      </c>
      <c r="B1395" s="130" t="s">
        <v>68</v>
      </c>
      <c r="C1395" s="130" t="s">
        <v>102</v>
      </c>
      <c r="D1395" s="130" t="s">
        <v>3127</v>
      </c>
      <c r="E1395" s="130" t="s">
        <v>2672</v>
      </c>
      <c r="F1395" s="130" t="s">
        <v>3052</v>
      </c>
      <c r="G1395" s="220">
        <v>43852</v>
      </c>
      <c r="H1395" s="130" t="s">
        <v>90</v>
      </c>
      <c r="I1395" s="130" t="s">
        <v>91</v>
      </c>
      <c r="J1395" s="130" t="s">
        <v>100</v>
      </c>
      <c r="K1395" s="130" t="s">
        <v>101</v>
      </c>
      <c r="L1395" s="174" t="s">
        <v>71</v>
      </c>
      <c r="M1395" s="131" t="s">
        <v>72</v>
      </c>
      <c r="N1395" s="130" t="s">
        <v>73</v>
      </c>
      <c r="O1395" s="219" t="s">
        <v>72</v>
      </c>
      <c r="P1395" s="130" t="s">
        <v>101</v>
      </c>
      <c r="Q1395" s="132" t="s">
        <v>93</v>
      </c>
      <c r="R1395" s="218">
        <v>3.3759999000000001</v>
      </c>
      <c r="S1395" s="129">
        <v>1</v>
      </c>
      <c r="T1395" s="129">
        <v>210</v>
      </c>
      <c r="U1395" s="129">
        <v>210</v>
      </c>
      <c r="V1395" s="129">
        <v>37.799999999999997</v>
      </c>
      <c r="W1395" s="129">
        <v>247.8</v>
      </c>
      <c r="X1395" s="27">
        <f t="shared" si="189"/>
        <v>708.95997899999998</v>
      </c>
    </row>
    <row r="1396" spans="1:24" x14ac:dyDescent="0.2">
      <c r="A1396" s="220">
        <v>43862</v>
      </c>
      <c r="B1396" s="130" t="s">
        <v>68</v>
      </c>
      <c r="C1396" s="130" t="s">
        <v>102</v>
      </c>
      <c r="D1396" s="130" t="s">
        <v>3127</v>
      </c>
      <c r="E1396" s="130" t="s">
        <v>2672</v>
      </c>
      <c r="F1396" s="130" t="s">
        <v>3052</v>
      </c>
      <c r="G1396" s="220">
        <v>43852</v>
      </c>
      <c r="H1396" s="130" t="s">
        <v>90</v>
      </c>
      <c r="I1396" s="130" t="s">
        <v>91</v>
      </c>
      <c r="J1396" s="130" t="s">
        <v>92</v>
      </c>
      <c r="K1396" s="130" t="s">
        <v>113</v>
      </c>
      <c r="L1396" s="174" t="s">
        <v>71</v>
      </c>
      <c r="M1396" s="131" t="s">
        <v>72</v>
      </c>
      <c r="N1396" s="130" t="s">
        <v>73</v>
      </c>
      <c r="O1396" s="219" t="s">
        <v>69</v>
      </c>
      <c r="P1396" s="130" t="s">
        <v>1699</v>
      </c>
      <c r="Q1396" s="132" t="s">
        <v>93</v>
      </c>
      <c r="R1396" s="218">
        <v>3.3759999000000001</v>
      </c>
      <c r="S1396" s="129">
        <v>1</v>
      </c>
      <c r="T1396" s="129">
        <v>50</v>
      </c>
      <c r="U1396" s="129">
        <v>50</v>
      </c>
      <c r="V1396" s="129">
        <v>9</v>
      </c>
      <c r="W1396" s="129">
        <v>59</v>
      </c>
      <c r="X1396" s="27">
        <f t="shared" si="189"/>
        <v>168.799995</v>
      </c>
    </row>
    <row r="1397" spans="1:24" x14ac:dyDescent="0.2">
      <c r="A1397" s="220">
        <v>43862</v>
      </c>
      <c r="B1397" s="130" t="s">
        <v>68</v>
      </c>
      <c r="C1397" s="130" t="s">
        <v>102</v>
      </c>
      <c r="D1397" s="130" t="s">
        <v>3127</v>
      </c>
      <c r="E1397" s="130" t="s">
        <v>2672</v>
      </c>
      <c r="F1397" s="130" t="s">
        <v>3052</v>
      </c>
      <c r="G1397" s="220">
        <v>43852</v>
      </c>
      <c r="H1397" s="130" t="s">
        <v>90</v>
      </c>
      <c r="I1397" s="130" t="s">
        <v>91</v>
      </c>
      <c r="J1397" s="130" t="s">
        <v>95</v>
      </c>
      <c r="K1397" s="130" t="s">
        <v>96</v>
      </c>
      <c r="L1397" s="174" t="s">
        <v>71</v>
      </c>
      <c r="M1397" s="131" t="s">
        <v>72</v>
      </c>
      <c r="N1397" s="130" t="s">
        <v>73</v>
      </c>
      <c r="O1397" s="219" t="s">
        <v>69</v>
      </c>
      <c r="P1397" s="130" t="s">
        <v>1699</v>
      </c>
      <c r="Q1397" s="132" t="s">
        <v>93</v>
      </c>
      <c r="R1397" s="218">
        <v>3.3759999000000001</v>
      </c>
      <c r="S1397" s="129">
        <v>-1</v>
      </c>
      <c r="T1397" s="129">
        <v>0</v>
      </c>
      <c r="U1397" s="129">
        <v>0</v>
      </c>
      <c r="V1397" s="129">
        <v>0</v>
      </c>
      <c r="W1397" s="129">
        <v>0</v>
      </c>
      <c r="X1397" s="27">
        <f t="shared" si="189"/>
        <v>0</v>
      </c>
    </row>
    <row r="1398" spans="1:24" x14ac:dyDescent="0.2">
      <c r="A1398" s="220">
        <v>43862</v>
      </c>
      <c r="B1398" s="130" t="s">
        <v>68</v>
      </c>
      <c r="C1398" s="130" t="s">
        <v>102</v>
      </c>
      <c r="D1398" s="130" t="s">
        <v>3127</v>
      </c>
      <c r="E1398" s="130" t="s">
        <v>2672</v>
      </c>
      <c r="F1398" s="130" t="s">
        <v>3052</v>
      </c>
      <c r="G1398" s="220">
        <v>43852</v>
      </c>
      <c r="H1398" s="130" t="s">
        <v>90</v>
      </c>
      <c r="I1398" s="130" t="s">
        <v>91</v>
      </c>
      <c r="J1398" s="130" t="s">
        <v>104</v>
      </c>
      <c r="K1398" s="130" t="s">
        <v>105</v>
      </c>
      <c r="L1398" s="174" t="s">
        <v>71</v>
      </c>
      <c r="M1398" s="131" t="s">
        <v>72</v>
      </c>
      <c r="N1398" s="130" t="s">
        <v>73</v>
      </c>
      <c r="O1398" s="219" t="s">
        <v>69</v>
      </c>
      <c r="P1398" s="130" t="s">
        <v>1699</v>
      </c>
      <c r="Q1398" s="132" t="s">
        <v>93</v>
      </c>
      <c r="R1398" s="218">
        <v>3.3759999000000001</v>
      </c>
      <c r="S1398" s="129">
        <v>1</v>
      </c>
      <c r="T1398" s="129">
        <v>0</v>
      </c>
      <c r="U1398" s="129">
        <v>0</v>
      </c>
      <c r="V1398" s="129">
        <v>0</v>
      </c>
      <c r="W1398" s="129">
        <v>0</v>
      </c>
      <c r="X1398" s="27">
        <f t="shared" si="189"/>
        <v>0</v>
      </c>
    </row>
    <row r="1399" spans="1:24" x14ac:dyDescent="0.2">
      <c r="A1399" s="220">
        <v>43864</v>
      </c>
      <c r="B1399" s="130" t="s">
        <v>68</v>
      </c>
      <c r="C1399" s="130" t="s">
        <v>102</v>
      </c>
      <c r="D1399" s="130" t="s">
        <v>3126</v>
      </c>
      <c r="E1399" s="130" t="s">
        <v>2693</v>
      </c>
      <c r="F1399" s="130" t="s">
        <v>2336</v>
      </c>
      <c r="G1399" s="220">
        <v>43854</v>
      </c>
      <c r="H1399" s="130" t="s">
        <v>2337</v>
      </c>
      <c r="I1399" s="130" t="s">
        <v>2338</v>
      </c>
      <c r="J1399" s="130" t="s">
        <v>92</v>
      </c>
      <c r="K1399" s="130" t="s">
        <v>113</v>
      </c>
      <c r="L1399" s="174" t="s">
        <v>71</v>
      </c>
      <c r="M1399" s="131" t="s">
        <v>72</v>
      </c>
      <c r="N1399" s="130" t="s">
        <v>73</v>
      </c>
      <c r="O1399" s="219" t="s">
        <v>69</v>
      </c>
      <c r="P1399" s="130" t="s">
        <v>1699</v>
      </c>
      <c r="Q1399" s="132" t="s">
        <v>93</v>
      </c>
      <c r="R1399" s="218">
        <v>3.3759999000000001</v>
      </c>
      <c r="S1399" s="129">
        <v>1</v>
      </c>
      <c r="T1399" s="129">
        <v>95.60169999999998</v>
      </c>
      <c r="U1399" s="129">
        <v>95.60169999999998</v>
      </c>
      <c r="V1399" s="129">
        <v>17.208300000000019</v>
      </c>
      <c r="W1399" s="129">
        <v>112.81</v>
      </c>
      <c r="X1399" s="27">
        <f t="shared" si="189"/>
        <v>322.75132963982992</v>
      </c>
    </row>
    <row r="1400" spans="1:24" x14ac:dyDescent="0.2">
      <c r="A1400" s="220">
        <v>43864</v>
      </c>
      <c r="B1400" s="130" t="s">
        <v>68</v>
      </c>
      <c r="C1400" s="130" t="s">
        <v>102</v>
      </c>
      <c r="D1400" s="130" t="s">
        <v>3126</v>
      </c>
      <c r="E1400" s="130" t="s">
        <v>2693</v>
      </c>
      <c r="F1400" s="130" t="s">
        <v>2336</v>
      </c>
      <c r="G1400" s="220">
        <v>43854</v>
      </c>
      <c r="H1400" s="130" t="s">
        <v>2337</v>
      </c>
      <c r="I1400" s="130" t="s">
        <v>2338</v>
      </c>
      <c r="J1400" s="130" t="s">
        <v>115</v>
      </c>
      <c r="K1400" s="130" t="s">
        <v>138</v>
      </c>
      <c r="L1400" s="174" t="s">
        <v>71</v>
      </c>
      <c r="M1400" s="131" t="s">
        <v>72</v>
      </c>
      <c r="N1400" s="130" t="s">
        <v>73</v>
      </c>
      <c r="O1400" s="219" t="s">
        <v>69</v>
      </c>
      <c r="P1400" s="130" t="s">
        <v>1699</v>
      </c>
      <c r="Q1400" s="132" t="s">
        <v>93</v>
      </c>
      <c r="R1400" s="218">
        <v>3.3759999000000001</v>
      </c>
      <c r="S1400" s="129">
        <v>-1</v>
      </c>
      <c r="T1400" s="129">
        <v>194.32201000000001</v>
      </c>
      <c r="U1400" s="129">
        <v>-194.32201000000001</v>
      </c>
      <c r="V1400" s="129">
        <v>-34.977989999999991</v>
      </c>
      <c r="W1400" s="129">
        <v>-229.3</v>
      </c>
      <c r="X1400" s="27">
        <f t="shared" si="189"/>
        <v>-656.03108632779902</v>
      </c>
    </row>
    <row r="1401" spans="1:24" x14ac:dyDescent="0.2">
      <c r="A1401" s="220">
        <v>43864</v>
      </c>
      <c r="B1401" s="130" t="s">
        <v>68</v>
      </c>
      <c r="C1401" s="130" t="s">
        <v>102</v>
      </c>
      <c r="D1401" s="130" t="s">
        <v>3126</v>
      </c>
      <c r="E1401" s="130" t="s">
        <v>2693</v>
      </c>
      <c r="F1401" s="130" t="s">
        <v>2336</v>
      </c>
      <c r="G1401" s="220">
        <v>43854</v>
      </c>
      <c r="H1401" s="130" t="s">
        <v>2337</v>
      </c>
      <c r="I1401" s="130" t="s">
        <v>2338</v>
      </c>
      <c r="J1401" s="130" t="s">
        <v>132</v>
      </c>
      <c r="K1401" s="130" t="s">
        <v>94</v>
      </c>
      <c r="L1401" s="174" t="s">
        <v>71</v>
      </c>
      <c r="M1401" s="131" t="s">
        <v>72</v>
      </c>
      <c r="N1401" s="130" t="s">
        <v>73</v>
      </c>
      <c r="O1401" s="219" t="s">
        <v>69</v>
      </c>
      <c r="P1401" s="130" t="s">
        <v>1699</v>
      </c>
      <c r="Q1401" s="132" t="s">
        <v>93</v>
      </c>
      <c r="R1401" s="218">
        <v>3.3759999000000001</v>
      </c>
      <c r="S1401" s="129">
        <v>1</v>
      </c>
      <c r="T1401" s="129">
        <v>54</v>
      </c>
      <c r="U1401" s="129">
        <v>54</v>
      </c>
      <c r="V1401" s="129">
        <v>9.7200010000000017</v>
      </c>
      <c r="W1401" s="129">
        <v>63.720001000000003</v>
      </c>
      <c r="X1401" s="27">
        <f t="shared" si="189"/>
        <v>182.30399460000001</v>
      </c>
    </row>
    <row r="1402" spans="1:24" x14ac:dyDescent="0.2">
      <c r="A1402" s="220">
        <v>43864</v>
      </c>
      <c r="B1402" s="130" t="s">
        <v>68</v>
      </c>
      <c r="C1402" s="130" t="s">
        <v>102</v>
      </c>
      <c r="D1402" s="130" t="s">
        <v>3126</v>
      </c>
      <c r="E1402" s="130" t="s">
        <v>2693</v>
      </c>
      <c r="F1402" s="130" t="s">
        <v>2336</v>
      </c>
      <c r="G1402" s="220">
        <v>43854</v>
      </c>
      <c r="H1402" s="130" t="s">
        <v>2337</v>
      </c>
      <c r="I1402" s="130" t="s">
        <v>2338</v>
      </c>
      <c r="J1402" s="130" t="s">
        <v>70</v>
      </c>
      <c r="K1402" s="130" t="s">
        <v>112</v>
      </c>
      <c r="L1402" s="174" t="s">
        <v>71</v>
      </c>
      <c r="M1402" s="131" t="s">
        <v>72</v>
      </c>
      <c r="N1402" s="130" t="s">
        <v>73</v>
      </c>
      <c r="O1402" s="219" t="s">
        <v>69</v>
      </c>
      <c r="P1402" s="130" t="s">
        <v>1699</v>
      </c>
      <c r="Q1402" s="132" t="s">
        <v>93</v>
      </c>
      <c r="R1402" s="218">
        <v>3.3759999000000001</v>
      </c>
      <c r="S1402" s="129">
        <v>1</v>
      </c>
      <c r="T1402" s="129">
        <v>90</v>
      </c>
      <c r="U1402" s="129">
        <v>90</v>
      </c>
      <c r="V1402" s="129">
        <v>16.2</v>
      </c>
      <c r="W1402" s="129">
        <v>106.2</v>
      </c>
      <c r="X1402" s="27">
        <f t="shared" si="189"/>
        <v>303.839991</v>
      </c>
    </row>
    <row r="1403" spans="1:24" x14ac:dyDescent="0.2">
      <c r="A1403" s="220">
        <v>43864</v>
      </c>
      <c r="B1403" s="130" t="s">
        <v>68</v>
      </c>
      <c r="C1403" s="130" t="s">
        <v>102</v>
      </c>
      <c r="D1403" s="130" t="s">
        <v>3126</v>
      </c>
      <c r="E1403" s="130" t="s">
        <v>2693</v>
      </c>
      <c r="F1403" s="130" t="s">
        <v>2336</v>
      </c>
      <c r="G1403" s="220">
        <v>43854</v>
      </c>
      <c r="H1403" s="130" t="s">
        <v>2337</v>
      </c>
      <c r="I1403" s="130" t="s">
        <v>2338</v>
      </c>
      <c r="J1403" s="130" t="s">
        <v>104</v>
      </c>
      <c r="K1403" s="130" t="s">
        <v>105</v>
      </c>
      <c r="L1403" s="174" t="s">
        <v>71</v>
      </c>
      <c r="M1403" s="131" t="s">
        <v>72</v>
      </c>
      <c r="N1403" s="130" t="s">
        <v>73</v>
      </c>
      <c r="O1403" s="219" t="s">
        <v>69</v>
      </c>
      <c r="P1403" s="130" t="s">
        <v>1699</v>
      </c>
      <c r="Q1403" s="132" t="s">
        <v>93</v>
      </c>
      <c r="R1403" s="218">
        <v>3.3759999000000001</v>
      </c>
      <c r="S1403" s="129">
        <v>1</v>
      </c>
      <c r="T1403" s="129">
        <v>1757.6187</v>
      </c>
      <c r="U1403" s="129">
        <v>1757.6187</v>
      </c>
      <c r="V1403" s="129">
        <v>316.37129999999974</v>
      </c>
      <c r="W1403" s="129">
        <v>2073.9899999999998</v>
      </c>
      <c r="X1403" s="27">
        <f t="shared" si="189"/>
        <v>5933.7205554381298</v>
      </c>
    </row>
    <row r="1404" spans="1:24" x14ac:dyDescent="0.2">
      <c r="A1404" s="220">
        <v>43865</v>
      </c>
      <c r="B1404" s="130" t="s">
        <v>68</v>
      </c>
      <c r="C1404" s="130" t="s">
        <v>102</v>
      </c>
      <c r="D1404" s="130" t="s">
        <v>3125</v>
      </c>
      <c r="E1404" s="130" t="s">
        <v>2661</v>
      </c>
      <c r="F1404" s="130" t="s">
        <v>2552</v>
      </c>
      <c r="G1404" s="220">
        <v>43851</v>
      </c>
      <c r="H1404" s="130" t="s">
        <v>2798</v>
      </c>
      <c r="I1404" s="130" t="s">
        <v>2797</v>
      </c>
      <c r="J1404" s="130" t="s">
        <v>97</v>
      </c>
      <c r="K1404" s="130" t="s">
        <v>98</v>
      </c>
      <c r="L1404" s="174" t="s">
        <v>71</v>
      </c>
      <c r="M1404" s="131" t="s">
        <v>72</v>
      </c>
      <c r="N1404" s="130" t="s">
        <v>73</v>
      </c>
      <c r="O1404" s="219" t="s">
        <v>99</v>
      </c>
      <c r="P1404" s="130" t="s">
        <v>98</v>
      </c>
      <c r="Q1404" s="132" t="s">
        <v>74</v>
      </c>
      <c r="R1404" s="218">
        <v>3.3740000999999999</v>
      </c>
      <c r="S1404" s="129">
        <v>1</v>
      </c>
      <c r="T1404" s="129">
        <v>199</v>
      </c>
      <c r="U1404" s="129">
        <v>199</v>
      </c>
      <c r="V1404" s="129">
        <v>35.820010000000003</v>
      </c>
      <c r="W1404" s="129">
        <v>234.82001</v>
      </c>
      <c r="X1404" s="27">
        <f t="shared" si="189"/>
        <v>199</v>
      </c>
    </row>
    <row r="1405" spans="1:24" x14ac:dyDescent="0.2">
      <c r="A1405" s="220">
        <v>43865</v>
      </c>
      <c r="B1405" s="130" t="s">
        <v>68</v>
      </c>
      <c r="C1405" s="130" t="s">
        <v>102</v>
      </c>
      <c r="D1405" s="130" t="s">
        <v>3125</v>
      </c>
      <c r="E1405" s="130" t="s">
        <v>2661</v>
      </c>
      <c r="F1405" s="130" t="s">
        <v>2552</v>
      </c>
      <c r="G1405" s="220">
        <v>43851</v>
      </c>
      <c r="H1405" s="130" t="s">
        <v>2798</v>
      </c>
      <c r="I1405" s="130" t="s">
        <v>2797</v>
      </c>
      <c r="J1405" s="130" t="s">
        <v>100</v>
      </c>
      <c r="K1405" s="130" t="s">
        <v>101</v>
      </c>
      <c r="L1405" s="174" t="s">
        <v>71</v>
      </c>
      <c r="M1405" s="131" t="s">
        <v>72</v>
      </c>
      <c r="N1405" s="130" t="s">
        <v>73</v>
      </c>
      <c r="O1405" s="219" t="s">
        <v>72</v>
      </c>
      <c r="P1405" s="130" t="s">
        <v>101</v>
      </c>
      <c r="Q1405" s="132" t="s">
        <v>74</v>
      </c>
      <c r="R1405" s="218">
        <v>3.3740000999999999</v>
      </c>
      <c r="S1405" s="129">
        <v>1</v>
      </c>
      <c r="T1405" s="129">
        <v>97.610198999999994</v>
      </c>
      <c r="U1405" s="129">
        <v>97.610198999999994</v>
      </c>
      <c r="V1405" s="129">
        <v>17.569801000000005</v>
      </c>
      <c r="W1405" s="129">
        <v>115.18</v>
      </c>
      <c r="X1405" s="27">
        <f t="shared" si="189"/>
        <v>97.610198999999994</v>
      </c>
    </row>
    <row r="1406" spans="1:24" x14ac:dyDescent="0.2">
      <c r="A1406" s="220">
        <v>43865</v>
      </c>
      <c r="B1406" s="130" t="s">
        <v>68</v>
      </c>
      <c r="C1406" s="130" t="s">
        <v>102</v>
      </c>
      <c r="D1406" s="130" t="s">
        <v>3125</v>
      </c>
      <c r="E1406" s="130" t="s">
        <v>2661</v>
      </c>
      <c r="F1406" s="130" t="s">
        <v>2552</v>
      </c>
      <c r="G1406" s="220">
        <v>43851</v>
      </c>
      <c r="H1406" s="130" t="s">
        <v>2798</v>
      </c>
      <c r="I1406" s="130" t="s">
        <v>2797</v>
      </c>
      <c r="J1406" s="130" t="s">
        <v>132</v>
      </c>
      <c r="K1406" s="130" t="s">
        <v>94</v>
      </c>
      <c r="L1406" s="174" t="s">
        <v>71</v>
      </c>
      <c r="M1406" s="131" t="s">
        <v>72</v>
      </c>
      <c r="N1406" s="130" t="s">
        <v>73</v>
      </c>
      <c r="O1406" s="219" t="s">
        <v>69</v>
      </c>
      <c r="P1406" s="130" t="s">
        <v>1699</v>
      </c>
      <c r="Q1406" s="132" t="s">
        <v>74</v>
      </c>
      <c r="R1406" s="218">
        <v>3.3740000999999999</v>
      </c>
      <c r="S1406" s="129">
        <v>1</v>
      </c>
      <c r="T1406" s="129">
        <v>244.06778999999995</v>
      </c>
      <c r="U1406" s="129">
        <v>244.06778999999995</v>
      </c>
      <c r="V1406" s="129">
        <v>43.932210000000048</v>
      </c>
      <c r="W1406" s="129">
        <v>288</v>
      </c>
      <c r="X1406" s="27">
        <f t="shared" si="189"/>
        <v>244.06778999999995</v>
      </c>
    </row>
    <row r="1407" spans="1:24" x14ac:dyDescent="0.2">
      <c r="A1407" s="220">
        <v>43865</v>
      </c>
      <c r="B1407" s="130" t="s">
        <v>68</v>
      </c>
      <c r="C1407" s="130" t="s">
        <v>102</v>
      </c>
      <c r="D1407" s="130" t="s">
        <v>3124</v>
      </c>
      <c r="E1407" s="130" t="s">
        <v>2676</v>
      </c>
      <c r="F1407" s="130" t="s">
        <v>3121</v>
      </c>
      <c r="G1407" s="220">
        <v>43858</v>
      </c>
      <c r="H1407" s="130" t="s">
        <v>3120</v>
      </c>
      <c r="I1407" s="130" t="s">
        <v>3119</v>
      </c>
      <c r="J1407" s="130" t="s">
        <v>95</v>
      </c>
      <c r="K1407" s="130" t="s">
        <v>96</v>
      </c>
      <c r="L1407" s="174" t="s">
        <v>71</v>
      </c>
      <c r="M1407" s="131" t="s">
        <v>72</v>
      </c>
      <c r="N1407" s="130" t="s">
        <v>73</v>
      </c>
      <c r="O1407" s="219" t="s">
        <v>69</v>
      </c>
      <c r="P1407" s="130" t="s">
        <v>1699</v>
      </c>
      <c r="Q1407" s="132" t="s">
        <v>93</v>
      </c>
      <c r="R1407" s="218">
        <v>3.3740000999999999</v>
      </c>
      <c r="S1407" s="129">
        <v>1</v>
      </c>
      <c r="T1407" s="129">
        <v>100</v>
      </c>
      <c r="U1407" s="129">
        <v>100</v>
      </c>
      <c r="V1407" s="129">
        <v>18</v>
      </c>
      <c r="W1407" s="129">
        <v>118</v>
      </c>
      <c r="X1407" s="27">
        <f t="shared" si="189"/>
        <v>337.40001000000001</v>
      </c>
    </row>
    <row r="1408" spans="1:24" x14ac:dyDescent="0.2">
      <c r="A1408" s="220">
        <v>43865</v>
      </c>
      <c r="B1408" s="130" t="s">
        <v>68</v>
      </c>
      <c r="C1408" s="130" t="s">
        <v>102</v>
      </c>
      <c r="D1408" s="130" t="s">
        <v>3123</v>
      </c>
      <c r="E1408" s="130" t="s">
        <v>2676</v>
      </c>
      <c r="F1408" s="130" t="s">
        <v>3121</v>
      </c>
      <c r="G1408" s="220">
        <v>43858</v>
      </c>
      <c r="H1408" s="130" t="s">
        <v>90</v>
      </c>
      <c r="I1408" s="130" t="s">
        <v>91</v>
      </c>
      <c r="J1408" s="130" t="s">
        <v>97</v>
      </c>
      <c r="K1408" s="130" t="s">
        <v>98</v>
      </c>
      <c r="L1408" s="174" t="s">
        <v>71</v>
      </c>
      <c r="M1408" s="131" t="s">
        <v>72</v>
      </c>
      <c r="N1408" s="130" t="s">
        <v>73</v>
      </c>
      <c r="O1408" s="219" t="s">
        <v>99</v>
      </c>
      <c r="P1408" s="130" t="s">
        <v>98</v>
      </c>
      <c r="Q1408" s="132" t="s">
        <v>93</v>
      </c>
      <c r="R1408" s="218">
        <v>3.3740000999999999</v>
      </c>
      <c r="S1408" s="129">
        <v>1</v>
      </c>
      <c r="T1408" s="129">
        <v>73.754203999999987</v>
      </c>
      <c r="U1408" s="129">
        <v>73.754203999999987</v>
      </c>
      <c r="V1408" s="129">
        <v>13.275795000000016</v>
      </c>
      <c r="W1408" s="129">
        <v>87.029999000000004</v>
      </c>
      <c r="X1408" s="27">
        <f t="shared" si="189"/>
        <v>248.84669167142036</v>
      </c>
    </row>
    <row r="1409" spans="1:24" x14ac:dyDescent="0.2">
      <c r="A1409" s="220">
        <v>43865</v>
      </c>
      <c r="B1409" s="130" t="s">
        <v>68</v>
      </c>
      <c r="C1409" s="130" t="s">
        <v>102</v>
      </c>
      <c r="D1409" s="130" t="s">
        <v>3123</v>
      </c>
      <c r="E1409" s="130" t="s">
        <v>2676</v>
      </c>
      <c r="F1409" s="130" t="s">
        <v>3121</v>
      </c>
      <c r="G1409" s="220">
        <v>43858</v>
      </c>
      <c r="H1409" s="130" t="s">
        <v>90</v>
      </c>
      <c r="I1409" s="130" t="s">
        <v>91</v>
      </c>
      <c r="J1409" s="130" t="s">
        <v>100</v>
      </c>
      <c r="K1409" s="130" t="s">
        <v>101</v>
      </c>
      <c r="L1409" s="174" t="s">
        <v>71</v>
      </c>
      <c r="M1409" s="131" t="s">
        <v>72</v>
      </c>
      <c r="N1409" s="130" t="s">
        <v>73</v>
      </c>
      <c r="O1409" s="219" t="s">
        <v>72</v>
      </c>
      <c r="P1409" s="130" t="s">
        <v>101</v>
      </c>
      <c r="Q1409" s="132" t="s">
        <v>93</v>
      </c>
      <c r="R1409" s="218">
        <v>3.3740000999999999</v>
      </c>
      <c r="S1409" s="129">
        <v>1</v>
      </c>
      <c r="T1409" s="129">
        <v>15</v>
      </c>
      <c r="U1409" s="129">
        <v>15</v>
      </c>
      <c r="V1409" s="129">
        <v>2.7000009999999999</v>
      </c>
      <c r="W1409" s="129">
        <v>17.700001</v>
      </c>
      <c r="X1409" s="27">
        <f t="shared" si="189"/>
        <v>50.610001499999996</v>
      </c>
    </row>
    <row r="1410" spans="1:24" x14ac:dyDescent="0.2">
      <c r="A1410" s="220">
        <v>43865</v>
      </c>
      <c r="B1410" s="130" t="s">
        <v>68</v>
      </c>
      <c r="C1410" s="130" t="s">
        <v>102</v>
      </c>
      <c r="D1410" s="130" t="s">
        <v>3123</v>
      </c>
      <c r="E1410" s="130" t="s">
        <v>2676</v>
      </c>
      <c r="F1410" s="130" t="s">
        <v>3121</v>
      </c>
      <c r="G1410" s="220">
        <v>43858</v>
      </c>
      <c r="H1410" s="130" t="s">
        <v>90</v>
      </c>
      <c r="I1410" s="130" t="s">
        <v>91</v>
      </c>
      <c r="J1410" s="130" t="s">
        <v>92</v>
      </c>
      <c r="K1410" s="130" t="s">
        <v>113</v>
      </c>
      <c r="L1410" s="174" t="s">
        <v>71</v>
      </c>
      <c r="M1410" s="131" t="s">
        <v>72</v>
      </c>
      <c r="N1410" s="130" t="s">
        <v>73</v>
      </c>
      <c r="O1410" s="219" t="s">
        <v>69</v>
      </c>
      <c r="P1410" s="130" t="s">
        <v>1699</v>
      </c>
      <c r="Q1410" s="132" t="s">
        <v>93</v>
      </c>
      <c r="R1410" s="218">
        <v>3.3740000999999999</v>
      </c>
      <c r="S1410" s="129">
        <v>1</v>
      </c>
      <c r="T1410" s="129">
        <v>45</v>
      </c>
      <c r="U1410" s="129">
        <v>45</v>
      </c>
      <c r="V1410" s="129">
        <v>8.0999980000000047</v>
      </c>
      <c r="W1410" s="129">
        <v>53.099998000000006</v>
      </c>
      <c r="X1410" s="27">
        <f t="shared" si="189"/>
        <v>151.8300045</v>
      </c>
    </row>
    <row r="1411" spans="1:24" x14ac:dyDescent="0.2">
      <c r="A1411" s="220">
        <v>43865</v>
      </c>
      <c r="B1411" s="130" t="s">
        <v>68</v>
      </c>
      <c r="C1411" s="130" t="s">
        <v>102</v>
      </c>
      <c r="D1411" s="130" t="s">
        <v>3123</v>
      </c>
      <c r="E1411" s="130" t="s">
        <v>2676</v>
      </c>
      <c r="F1411" s="130" t="s">
        <v>3121</v>
      </c>
      <c r="G1411" s="220">
        <v>43858</v>
      </c>
      <c r="H1411" s="130" t="s">
        <v>90</v>
      </c>
      <c r="I1411" s="130" t="s">
        <v>91</v>
      </c>
      <c r="J1411" s="130" t="s">
        <v>95</v>
      </c>
      <c r="K1411" s="130" t="s">
        <v>96</v>
      </c>
      <c r="L1411" s="174" t="s">
        <v>71</v>
      </c>
      <c r="M1411" s="131" t="s">
        <v>72</v>
      </c>
      <c r="N1411" s="130" t="s">
        <v>73</v>
      </c>
      <c r="O1411" s="219" t="s">
        <v>69</v>
      </c>
      <c r="P1411" s="130" t="s">
        <v>1699</v>
      </c>
      <c r="Q1411" s="132" t="s">
        <v>93</v>
      </c>
      <c r="R1411" s="218">
        <v>3.3740000999999999</v>
      </c>
      <c r="S1411" s="129">
        <v>-1</v>
      </c>
      <c r="T1411" s="129">
        <v>100</v>
      </c>
      <c r="U1411" s="129">
        <v>-100</v>
      </c>
      <c r="V1411" s="129">
        <v>-18</v>
      </c>
      <c r="W1411" s="129">
        <v>-118</v>
      </c>
      <c r="X1411" s="27">
        <f t="shared" si="189"/>
        <v>-337.40001000000001</v>
      </c>
    </row>
    <row r="1412" spans="1:24" x14ac:dyDescent="0.2">
      <c r="A1412" s="220">
        <v>43865</v>
      </c>
      <c r="B1412" s="130" t="s">
        <v>68</v>
      </c>
      <c r="C1412" s="130" t="s">
        <v>102</v>
      </c>
      <c r="D1412" s="130" t="s">
        <v>3123</v>
      </c>
      <c r="E1412" s="130" t="s">
        <v>2676</v>
      </c>
      <c r="F1412" s="130" t="s">
        <v>3121</v>
      </c>
      <c r="G1412" s="220">
        <v>43858</v>
      </c>
      <c r="H1412" s="130" t="s">
        <v>90</v>
      </c>
      <c r="I1412" s="130" t="s">
        <v>91</v>
      </c>
      <c r="J1412" s="130" t="s">
        <v>104</v>
      </c>
      <c r="K1412" s="130" t="s">
        <v>105</v>
      </c>
      <c r="L1412" s="174" t="s">
        <v>71</v>
      </c>
      <c r="M1412" s="131" t="s">
        <v>72</v>
      </c>
      <c r="N1412" s="130" t="s">
        <v>73</v>
      </c>
      <c r="O1412" s="219" t="s">
        <v>69</v>
      </c>
      <c r="P1412" s="130" t="s">
        <v>1699</v>
      </c>
      <c r="Q1412" s="132" t="s">
        <v>93</v>
      </c>
      <c r="R1412" s="218">
        <v>3.3740000999999999</v>
      </c>
      <c r="S1412" s="129">
        <v>1</v>
      </c>
      <c r="T1412" s="129">
        <v>0</v>
      </c>
      <c r="U1412" s="129">
        <v>0</v>
      </c>
      <c r="V1412" s="129">
        <v>0</v>
      </c>
      <c r="W1412" s="129">
        <v>0</v>
      </c>
      <c r="X1412" s="27">
        <f t="shared" si="189"/>
        <v>0</v>
      </c>
    </row>
    <row r="1413" spans="1:24" x14ac:dyDescent="0.2">
      <c r="A1413" s="220">
        <v>43865</v>
      </c>
      <c r="B1413" s="130" t="s">
        <v>68</v>
      </c>
      <c r="C1413" s="130" t="s">
        <v>102</v>
      </c>
      <c r="D1413" s="130" t="s">
        <v>3122</v>
      </c>
      <c r="E1413" s="130" t="s">
        <v>2667</v>
      </c>
      <c r="F1413" s="130" t="s">
        <v>3121</v>
      </c>
      <c r="G1413" s="220">
        <v>43853</v>
      </c>
      <c r="H1413" s="130" t="s">
        <v>3120</v>
      </c>
      <c r="I1413" s="130" t="s">
        <v>3119</v>
      </c>
      <c r="J1413" s="130" t="s">
        <v>97</v>
      </c>
      <c r="K1413" s="130" t="s">
        <v>98</v>
      </c>
      <c r="L1413" s="174" t="s">
        <v>71</v>
      </c>
      <c r="M1413" s="131" t="s">
        <v>72</v>
      </c>
      <c r="N1413" s="130" t="s">
        <v>73</v>
      </c>
      <c r="O1413" s="219" t="s">
        <v>99</v>
      </c>
      <c r="P1413" s="130" t="s">
        <v>98</v>
      </c>
      <c r="Q1413" s="132" t="s">
        <v>93</v>
      </c>
      <c r="R1413" s="218">
        <v>3.3740000999999999</v>
      </c>
      <c r="S1413" s="129">
        <v>1</v>
      </c>
      <c r="T1413" s="129">
        <v>60</v>
      </c>
      <c r="U1413" s="129">
        <v>60</v>
      </c>
      <c r="V1413" s="129">
        <v>10.800002999999997</v>
      </c>
      <c r="W1413" s="129">
        <v>70.800003000000004</v>
      </c>
      <c r="X1413" s="27">
        <f t="shared" ref="X1413:X1476" si="190">IF(Q1413="$",(U1413*R1413),U1413)</f>
        <v>202.44000599999998</v>
      </c>
    </row>
    <row r="1414" spans="1:24" x14ac:dyDescent="0.2">
      <c r="A1414" s="220">
        <v>43865</v>
      </c>
      <c r="B1414" s="130" t="s">
        <v>68</v>
      </c>
      <c r="C1414" s="130" t="s">
        <v>102</v>
      </c>
      <c r="D1414" s="130" t="s">
        <v>3122</v>
      </c>
      <c r="E1414" s="130" t="s">
        <v>2667</v>
      </c>
      <c r="F1414" s="130" t="s">
        <v>3121</v>
      </c>
      <c r="G1414" s="220">
        <v>43853</v>
      </c>
      <c r="H1414" s="130" t="s">
        <v>3120</v>
      </c>
      <c r="I1414" s="130" t="s">
        <v>3119</v>
      </c>
      <c r="J1414" s="130" t="s">
        <v>100</v>
      </c>
      <c r="K1414" s="130" t="s">
        <v>101</v>
      </c>
      <c r="L1414" s="174" t="s">
        <v>71</v>
      </c>
      <c r="M1414" s="131" t="s">
        <v>72</v>
      </c>
      <c r="N1414" s="130" t="s">
        <v>73</v>
      </c>
      <c r="O1414" s="219" t="s">
        <v>72</v>
      </c>
      <c r="P1414" s="130" t="s">
        <v>101</v>
      </c>
      <c r="Q1414" s="132" t="s">
        <v>93</v>
      </c>
      <c r="R1414" s="218">
        <v>3.3740000999999999</v>
      </c>
      <c r="S1414" s="129">
        <v>1</v>
      </c>
      <c r="T1414" s="129">
        <v>30</v>
      </c>
      <c r="U1414" s="129">
        <v>30</v>
      </c>
      <c r="V1414" s="129">
        <v>5.4000019999999997</v>
      </c>
      <c r="W1414" s="129">
        <v>35.400002000000001</v>
      </c>
      <c r="X1414" s="27">
        <f t="shared" si="190"/>
        <v>101.22000299999999</v>
      </c>
    </row>
    <row r="1415" spans="1:24" x14ac:dyDescent="0.2">
      <c r="A1415" s="220">
        <v>43865</v>
      </c>
      <c r="B1415" s="130" t="s">
        <v>68</v>
      </c>
      <c r="C1415" s="130" t="s">
        <v>102</v>
      </c>
      <c r="D1415" s="130" t="s">
        <v>3122</v>
      </c>
      <c r="E1415" s="130" t="s">
        <v>2667</v>
      </c>
      <c r="F1415" s="130" t="s">
        <v>3121</v>
      </c>
      <c r="G1415" s="220">
        <v>43853</v>
      </c>
      <c r="H1415" s="130" t="s">
        <v>3120</v>
      </c>
      <c r="I1415" s="130" t="s">
        <v>3119</v>
      </c>
      <c r="J1415" s="130" t="s">
        <v>92</v>
      </c>
      <c r="K1415" s="130" t="s">
        <v>113</v>
      </c>
      <c r="L1415" s="174" t="s">
        <v>71</v>
      </c>
      <c r="M1415" s="131" t="s">
        <v>72</v>
      </c>
      <c r="N1415" s="130" t="s">
        <v>73</v>
      </c>
      <c r="O1415" s="219" t="s">
        <v>69</v>
      </c>
      <c r="P1415" s="130" t="s">
        <v>1699</v>
      </c>
      <c r="Q1415" s="132" t="s">
        <v>93</v>
      </c>
      <c r="R1415" s="218">
        <v>3.3740000999999999</v>
      </c>
      <c r="S1415" s="129">
        <v>1</v>
      </c>
      <c r="T1415" s="129">
        <v>60</v>
      </c>
      <c r="U1415" s="129">
        <v>60</v>
      </c>
      <c r="V1415" s="129">
        <v>10.800002999999997</v>
      </c>
      <c r="W1415" s="129">
        <v>70.800003000000004</v>
      </c>
      <c r="X1415" s="27">
        <f t="shared" si="190"/>
        <v>202.44000599999998</v>
      </c>
    </row>
    <row r="1416" spans="1:24" x14ac:dyDescent="0.2">
      <c r="A1416" s="220">
        <v>43865</v>
      </c>
      <c r="B1416" s="130" t="s">
        <v>68</v>
      </c>
      <c r="C1416" s="130" t="s">
        <v>102</v>
      </c>
      <c r="D1416" s="130" t="s">
        <v>3118</v>
      </c>
      <c r="E1416" s="130" t="s">
        <v>2677</v>
      </c>
      <c r="F1416" s="130" t="s">
        <v>3115</v>
      </c>
      <c r="G1416" s="220">
        <v>43857</v>
      </c>
      <c r="H1416" s="130" t="s">
        <v>3117</v>
      </c>
      <c r="I1416" s="130" t="s">
        <v>3116</v>
      </c>
      <c r="J1416" s="130" t="s">
        <v>95</v>
      </c>
      <c r="K1416" s="130" t="s">
        <v>96</v>
      </c>
      <c r="L1416" s="174" t="s">
        <v>71</v>
      </c>
      <c r="M1416" s="131" t="s">
        <v>72</v>
      </c>
      <c r="N1416" s="130" t="s">
        <v>73</v>
      </c>
      <c r="O1416" s="219" t="s">
        <v>69</v>
      </c>
      <c r="P1416" s="130" t="s">
        <v>1699</v>
      </c>
      <c r="Q1416" s="132" t="s">
        <v>93</v>
      </c>
      <c r="R1416" s="218">
        <v>3.3740000999999999</v>
      </c>
      <c r="S1416" s="129">
        <v>1</v>
      </c>
      <c r="T1416" s="129">
        <v>100</v>
      </c>
      <c r="U1416" s="129">
        <v>100</v>
      </c>
      <c r="V1416" s="129">
        <v>18</v>
      </c>
      <c r="W1416" s="129">
        <v>118</v>
      </c>
      <c r="X1416" s="27">
        <f t="shared" si="190"/>
        <v>337.40001000000001</v>
      </c>
    </row>
    <row r="1417" spans="1:24" x14ac:dyDescent="0.2">
      <c r="A1417" s="220">
        <v>43865</v>
      </c>
      <c r="B1417" s="130" t="s">
        <v>68</v>
      </c>
      <c r="C1417" s="130" t="s">
        <v>102</v>
      </c>
      <c r="D1417" s="130" t="s">
        <v>2244</v>
      </c>
      <c r="E1417" s="130" t="s">
        <v>2677</v>
      </c>
      <c r="F1417" s="130" t="s">
        <v>3115</v>
      </c>
      <c r="G1417" s="220">
        <v>43857</v>
      </c>
      <c r="H1417" s="130" t="s">
        <v>90</v>
      </c>
      <c r="I1417" s="130" t="s">
        <v>91</v>
      </c>
      <c r="J1417" s="130" t="s">
        <v>97</v>
      </c>
      <c r="K1417" s="130" t="s">
        <v>98</v>
      </c>
      <c r="L1417" s="174" t="s">
        <v>71</v>
      </c>
      <c r="M1417" s="131" t="s">
        <v>72</v>
      </c>
      <c r="N1417" s="130" t="s">
        <v>73</v>
      </c>
      <c r="O1417" s="219" t="s">
        <v>99</v>
      </c>
      <c r="P1417" s="130" t="s">
        <v>98</v>
      </c>
      <c r="Q1417" s="132" t="s">
        <v>93</v>
      </c>
      <c r="R1417" s="218">
        <v>3.3740000999999999</v>
      </c>
      <c r="S1417" s="129">
        <v>1</v>
      </c>
      <c r="T1417" s="129">
        <v>177</v>
      </c>
      <c r="U1417" s="129">
        <v>177</v>
      </c>
      <c r="V1417" s="129">
        <v>31.86</v>
      </c>
      <c r="W1417" s="129">
        <v>208.86</v>
      </c>
      <c r="X1417" s="27">
        <f t="shared" si="190"/>
        <v>597.19801770000004</v>
      </c>
    </row>
    <row r="1418" spans="1:24" x14ac:dyDescent="0.2">
      <c r="A1418" s="220">
        <v>43865</v>
      </c>
      <c r="B1418" s="130" t="s">
        <v>68</v>
      </c>
      <c r="C1418" s="130" t="s">
        <v>102</v>
      </c>
      <c r="D1418" s="130" t="s">
        <v>2244</v>
      </c>
      <c r="E1418" s="130" t="s">
        <v>2677</v>
      </c>
      <c r="F1418" s="130" t="s">
        <v>3115</v>
      </c>
      <c r="G1418" s="220">
        <v>43857</v>
      </c>
      <c r="H1418" s="130" t="s">
        <v>90</v>
      </c>
      <c r="I1418" s="130" t="s">
        <v>91</v>
      </c>
      <c r="J1418" s="130" t="s">
        <v>100</v>
      </c>
      <c r="K1418" s="130" t="s">
        <v>101</v>
      </c>
      <c r="L1418" s="174" t="s">
        <v>71</v>
      </c>
      <c r="M1418" s="131" t="s">
        <v>72</v>
      </c>
      <c r="N1418" s="130" t="s">
        <v>73</v>
      </c>
      <c r="O1418" s="219" t="s">
        <v>72</v>
      </c>
      <c r="P1418" s="130" t="s">
        <v>101</v>
      </c>
      <c r="Q1418" s="132" t="s">
        <v>93</v>
      </c>
      <c r="R1418" s="218">
        <v>3.3740000999999999</v>
      </c>
      <c r="S1418" s="129">
        <v>1</v>
      </c>
      <c r="T1418" s="129">
        <v>135</v>
      </c>
      <c r="U1418" s="129">
        <v>135</v>
      </c>
      <c r="V1418" s="129">
        <v>24.3</v>
      </c>
      <c r="W1418" s="129">
        <v>159.30000000000001</v>
      </c>
      <c r="X1418" s="27">
        <f t="shared" si="190"/>
        <v>455.49001349999998</v>
      </c>
    </row>
    <row r="1419" spans="1:24" x14ac:dyDescent="0.2">
      <c r="A1419" s="220">
        <v>43865</v>
      </c>
      <c r="B1419" s="130" t="s">
        <v>68</v>
      </c>
      <c r="C1419" s="130" t="s">
        <v>102</v>
      </c>
      <c r="D1419" s="130" t="s">
        <v>2244</v>
      </c>
      <c r="E1419" s="130" t="s">
        <v>2677</v>
      </c>
      <c r="F1419" s="130" t="s">
        <v>3115</v>
      </c>
      <c r="G1419" s="220">
        <v>43857</v>
      </c>
      <c r="H1419" s="130" t="s">
        <v>90</v>
      </c>
      <c r="I1419" s="130" t="s">
        <v>91</v>
      </c>
      <c r="J1419" s="130" t="s">
        <v>92</v>
      </c>
      <c r="K1419" s="130" t="s">
        <v>113</v>
      </c>
      <c r="L1419" s="174" t="s">
        <v>71</v>
      </c>
      <c r="M1419" s="131" t="s">
        <v>72</v>
      </c>
      <c r="N1419" s="130" t="s">
        <v>73</v>
      </c>
      <c r="O1419" s="219" t="s">
        <v>69</v>
      </c>
      <c r="P1419" s="130" t="s">
        <v>1699</v>
      </c>
      <c r="Q1419" s="132" t="s">
        <v>93</v>
      </c>
      <c r="R1419" s="218">
        <v>3.3740000999999999</v>
      </c>
      <c r="S1419" s="129">
        <v>1</v>
      </c>
      <c r="T1419" s="129">
        <v>25</v>
      </c>
      <c r="U1419" s="129">
        <v>25</v>
      </c>
      <c r="V1419" s="129">
        <v>4.5</v>
      </c>
      <c r="W1419" s="129">
        <v>29.5</v>
      </c>
      <c r="X1419" s="27">
        <f t="shared" si="190"/>
        <v>84.350002500000002</v>
      </c>
    </row>
    <row r="1420" spans="1:24" x14ac:dyDescent="0.2">
      <c r="A1420" s="220">
        <v>43865</v>
      </c>
      <c r="B1420" s="130" t="s">
        <v>68</v>
      </c>
      <c r="C1420" s="130" t="s">
        <v>102</v>
      </c>
      <c r="D1420" s="130" t="s">
        <v>2244</v>
      </c>
      <c r="E1420" s="130" t="s">
        <v>2677</v>
      </c>
      <c r="F1420" s="130" t="s">
        <v>3115</v>
      </c>
      <c r="G1420" s="220">
        <v>43857</v>
      </c>
      <c r="H1420" s="130" t="s">
        <v>90</v>
      </c>
      <c r="I1420" s="130" t="s">
        <v>91</v>
      </c>
      <c r="J1420" s="130" t="s">
        <v>95</v>
      </c>
      <c r="K1420" s="130" t="s">
        <v>96</v>
      </c>
      <c r="L1420" s="174" t="s">
        <v>71</v>
      </c>
      <c r="M1420" s="131" t="s">
        <v>72</v>
      </c>
      <c r="N1420" s="130" t="s">
        <v>73</v>
      </c>
      <c r="O1420" s="219" t="s">
        <v>69</v>
      </c>
      <c r="P1420" s="130" t="s">
        <v>1699</v>
      </c>
      <c r="Q1420" s="132" t="s">
        <v>93</v>
      </c>
      <c r="R1420" s="218">
        <v>3.3740000999999999</v>
      </c>
      <c r="S1420" s="129">
        <v>-1</v>
      </c>
      <c r="T1420" s="129">
        <v>100</v>
      </c>
      <c r="U1420" s="129">
        <v>-100</v>
      </c>
      <c r="V1420" s="129">
        <v>-18</v>
      </c>
      <c r="W1420" s="129">
        <v>-118</v>
      </c>
      <c r="X1420" s="27">
        <f t="shared" si="190"/>
        <v>-337.40001000000001</v>
      </c>
    </row>
    <row r="1421" spans="1:24" x14ac:dyDescent="0.2">
      <c r="A1421" s="220">
        <v>43865</v>
      </c>
      <c r="B1421" s="130" t="s">
        <v>68</v>
      </c>
      <c r="C1421" s="130" t="s">
        <v>102</v>
      </c>
      <c r="D1421" s="130" t="s">
        <v>2244</v>
      </c>
      <c r="E1421" s="130" t="s">
        <v>2677</v>
      </c>
      <c r="F1421" s="130" t="s">
        <v>3115</v>
      </c>
      <c r="G1421" s="220">
        <v>43857</v>
      </c>
      <c r="H1421" s="130" t="s">
        <v>90</v>
      </c>
      <c r="I1421" s="130" t="s">
        <v>91</v>
      </c>
      <c r="J1421" s="130" t="s">
        <v>104</v>
      </c>
      <c r="K1421" s="130" t="s">
        <v>105</v>
      </c>
      <c r="L1421" s="174" t="s">
        <v>71</v>
      </c>
      <c r="M1421" s="131" t="s">
        <v>72</v>
      </c>
      <c r="N1421" s="130" t="s">
        <v>73</v>
      </c>
      <c r="O1421" s="219" t="s">
        <v>69</v>
      </c>
      <c r="P1421" s="130" t="s">
        <v>1699</v>
      </c>
      <c r="Q1421" s="132" t="s">
        <v>93</v>
      </c>
      <c r="R1421" s="218">
        <v>3.3740000999999999</v>
      </c>
      <c r="S1421" s="129">
        <v>1</v>
      </c>
      <c r="T1421" s="129">
        <v>0</v>
      </c>
      <c r="U1421" s="129">
        <v>0</v>
      </c>
      <c r="V1421" s="129">
        <v>0</v>
      </c>
      <c r="W1421" s="129">
        <v>0</v>
      </c>
      <c r="X1421" s="27">
        <f t="shared" si="190"/>
        <v>0</v>
      </c>
    </row>
    <row r="1422" spans="1:24" x14ac:dyDescent="0.2">
      <c r="A1422" s="220">
        <v>43866</v>
      </c>
      <c r="B1422" s="130" t="s">
        <v>68</v>
      </c>
      <c r="C1422" s="130" t="s">
        <v>102</v>
      </c>
      <c r="D1422" s="130" t="s">
        <v>3114</v>
      </c>
      <c r="E1422" s="130" t="s">
        <v>2679</v>
      </c>
      <c r="F1422" s="130" t="s">
        <v>2287</v>
      </c>
      <c r="G1422" s="220">
        <v>43858</v>
      </c>
      <c r="H1422" s="130" t="s">
        <v>90</v>
      </c>
      <c r="I1422" s="130" t="s">
        <v>91</v>
      </c>
      <c r="J1422" s="130" t="s">
        <v>97</v>
      </c>
      <c r="K1422" s="130" t="s">
        <v>98</v>
      </c>
      <c r="L1422" s="174" t="s">
        <v>71</v>
      </c>
      <c r="M1422" s="131" t="s">
        <v>72</v>
      </c>
      <c r="N1422" s="130" t="s">
        <v>73</v>
      </c>
      <c r="O1422" s="219" t="s">
        <v>99</v>
      </c>
      <c r="P1422" s="130" t="s">
        <v>98</v>
      </c>
      <c r="Q1422" s="132" t="s">
        <v>93</v>
      </c>
      <c r="R1422" s="218">
        <v>3.3640001000000002</v>
      </c>
      <c r="S1422" s="129">
        <v>1</v>
      </c>
      <c r="T1422" s="129">
        <v>59</v>
      </c>
      <c r="U1422" s="129">
        <v>59</v>
      </c>
      <c r="V1422" s="129">
        <v>10.620002999999997</v>
      </c>
      <c r="W1422" s="129">
        <v>69.620002999999997</v>
      </c>
      <c r="X1422" s="27">
        <f t="shared" si="190"/>
        <v>198.47600590000002</v>
      </c>
    </row>
    <row r="1423" spans="1:24" x14ac:dyDescent="0.2">
      <c r="A1423" s="220">
        <v>43866</v>
      </c>
      <c r="B1423" s="130" t="s">
        <v>68</v>
      </c>
      <c r="C1423" s="130" t="s">
        <v>102</v>
      </c>
      <c r="D1423" s="130" t="s">
        <v>3114</v>
      </c>
      <c r="E1423" s="130" t="s">
        <v>2679</v>
      </c>
      <c r="F1423" s="130" t="s">
        <v>2287</v>
      </c>
      <c r="G1423" s="220">
        <v>43858</v>
      </c>
      <c r="H1423" s="130" t="s">
        <v>90</v>
      </c>
      <c r="I1423" s="130" t="s">
        <v>91</v>
      </c>
      <c r="J1423" s="130" t="s">
        <v>100</v>
      </c>
      <c r="K1423" s="130" t="s">
        <v>101</v>
      </c>
      <c r="L1423" s="174" t="s">
        <v>71</v>
      </c>
      <c r="M1423" s="131" t="s">
        <v>72</v>
      </c>
      <c r="N1423" s="130" t="s">
        <v>73</v>
      </c>
      <c r="O1423" s="219" t="s">
        <v>72</v>
      </c>
      <c r="P1423" s="130" t="s">
        <v>101</v>
      </c>
      <c r="Q1423" s="132" t="s">
        <v>93</v>
      </c>
      <c r="R1423" s="218">
        <v>3.3640001000000002</v>
      </c>
      <c r="S1423" s="129">
        <v>1</v>
      </c>
      <c r="T1423" s="129">
        <v>30</v>
      </c>
      <c r="U1423" s="129">
        <v>30</v>
      </c>
      <c r="V1423" s="129">
        <v>5.4000019999999997</v>
      </c>
      <c r="W1423" s="129">
        <v>35.400002000000001</v>
      </c>
      <c r="X1423" s="27">
        <f t="shared" si="190"/>
        <v>100.92000300000001</v>
      </c>
    </row>
    <row r="1424" spans="1:24" x14ac:dyDescent="0.2">
      <c r="A1424" s="220">
        <v>43866</v>
      </c>
      <c r="B1424" s="130" t="s">
        <v>68</v>
      </c>
      <c r="C1424" s="130" t="s">
        <v>102</v>
      </c>
      <c r="D1424" s="130" t="s">
        <v>3114</v>
      </c>
      <c r="E1424" s="130" t="s">
        <v>2679</v>
      </c>
      <c r="F1424" s="130" t="s">
        <v>2287</v>
      </c>
      <c r="G1424" s="220">
        <v>43858</v>
      </c>
      <c r="H1424" s="130" t="s">
        <v>90</v>
      </c>
      <c r="I1424" s="130" t="s">
        <v>91</v>
      </c>
      <c r="J1424" s="130" t="s">
        <v>92</v>
      </c>
      <c r="K1424" s="130" t="s">
        <v>113</v>
      </c>
      <c r="L1424" s="174" t="s">
        <v>71</v>
      </c>
      <c r="M1424" s="131" t="s">
        <v>72</v>
      </c>
      <c r="N1424" s="130" t="s">
        <v>73</v>
      </c>
      <c r="O1424" s="219" t="s">
        <v>69</v>
      </c>
      <c r="P1424" s="130" t="s">
        <v>1699</v>
      </c>
      <c r="Q1424" s="132" t="s">
        <v>93</v>
      </c>
      <c r="R1424" s="218">
        <v>3.3640001000000002</v>
      </c>
      <c r="S1424" s="129">
        <v>1</v>
      </c>
      <c r="T1424" s="129">
        <v>55</v>
      </c>
      <c r="U1424" s="129">
        <v>55</v>
      </c>
      <c r="V1424" s="129">
        <v>9.9000020000000131</v>
      </c>
      <c r="W1424" s="129">
        <v>64.900002000000015</v>
      </c>
      <c r="X1424" s="27">
        <f t="shared" si="190"/>
        <v>185.0200055</v>
      </c>
    </row>
    <row r="1425" spans="1:24" x14ac:dyDescent="0.2">
      <c r="A1425" s="220">
        <v>43866</v>
      </c>
      <c r="B1425" s="130" t="s">
        <v>68</v>
      </c>
      <c r="C1425" s="130" t="s">
        <v>102</v>
      </c>
      <c r="D1425" s="130" t="s">
        <v>3114</v>
      </c>
      <c r="E1425" s="130" t="s">
        <v>2679</v>
      </c>
      <c r="F1425" s="130" t="s">
        <v>2287</v>
      </c>
      <c r="G1425" s="220">
        <v>43858</v>
      </c>
      <c r="H1425" s="130" t="s">
        <v>90</v>
      </c>
      <c r="I1425" s="130" t="s">
        <v>91</v>
      </c>
      <c r="J1425" s="130" t="s">
        <v>95</v>
      </c>
      <c r="K1425" s="130" t="s">
        <v>96</v>
      </c>
      <c r="L1425" s="174" t="s">
        <v>71</v>
      </c>
      <c r="M1425" s="131" t="s">
        <v>72</v>
      </c>
      <c r="N1425" s="130" t="s">
        <v>73</v>
      </c>
      <c r="O1425" s="219" t="s">
        <v>69</v>
      </c>
      <c r="P1425" s="130" t="s">
        <v>1699</v>
      </c>
      <c r="Q1425" s="132" t="s">
        <v>93</v>
      </c>
      <c r="R1425" s="218">
        <v>3.3640001000000002</v>
      </c>
      <c r="S1425" s="129">
        <v>-1</v>
      </c>
      <c r="T1425" s="129">
        <v>100</v>
      </c>
      <c r="U1425" s="129">
        <v>-100</v>
      </c>
      <c r="V1425" s="129">
        <v>-18</v>
      </c>
      <c r="W1425" s="129">
        <v>-118</v>
      </c>
      <c r="X1425" s="27">
        <f t="shared" si="190"/>
        <v>-336.40001000000001</v>
      </c>
    </row>
    <row r="1426" spans="1:24" x14ac:dyDescent="0.2">
      <c r="A1426" s="220">
        <v>43866</v>
      </c>
      <c r="B1426" s="130" t="s">
        <v>68</v>
      </c>
      <c r="C1426" s="130" t="s">
        <v>102</v>
      </c>
      <c r="D1426" s="130" t="s">
        <v>3114</v>
      </c>
      <c r="E1426" s="130" t="s">
        <v>2679</v>
      </c>
      <c r="F1426" s="130" t="s">
        <v>2287</v>
      </c>
      <c r="G1426" s="220">
        <v>43858</v>
      </c>
      <c r="H1426" s="130" t="s">
        <v>90</v>
      </c>
      <c r="I1426" s="130" t="s">
        <v>91</v>
      </c>
      <c r="J1426" s="130" t="s">
        <v>104</v>
      </c>
      <c r="K1426" s="130" t="s">
        <v>105</v>
      </c>
      <c r="L1426" s="174" t="s">
        <v>71</v>
      </c>
      <c r="M1426" s="131" t="s">
        <v>72</v>
      </c>
      <c r="N1426" s="130" t="s">
        <v>73</v>
      </c>
      <c r="O1426" s="219" t="s">
        <v>69</v>
      </c>
      <c r="P1426" s="130" t="s">
        <v>1699</v>
      </c>
      <c r="Q1426" s="132" t="s">
        <v>93</v>
      </c>
      <c r="R1426" s="218">
        <v>3.3640001000000002</v>
      </c>
      <c r="S1426" s="129">
        <v>1</v>
      </c>
      <c r="T1426" s="129">
        <v>0</v>
      </c>
      <c r="U1426" s="129">
        <v>0</v>
      </c>
      <c r="V1426" s="129">
        <v>0</v>
      </c>
      <c r="W1426" s="129">
        <v>0</v>
      </c>
      <c r="X1426" s="27">
        <f t="shared" si="190"/>
        <v>0</v>
      </c>
    </row>
    <row r="1427" spans="1:24" x14ac:dyDescent="0.2">
      <c r="A1427" s="220">
        <v>43866</v>
      </c>
      <c r="B1427" s="130" t="s">
        <v>68</v>
      </c>
      <c r="C1427" s="130" t="s">
        <v>102</v>
      </c>
      <c r="D1427" s="130" t="s">
        <v>3113</v>
      </c>
      <c r="E1427" s="130" t="s">
        <v>2684</v>
      </c>
      <c r="F1427" s="130" t="s">
        <v>3038</v>
      </c>
      <c r="G1427" s="220">
        <v>43855</v>
      </c>
      <c r="H1427" s="130" t="s">
        <v>90</v>
      </c>
      <c r="I1427" s="130" t="s">
        <v>91</v>
      </c>
      <c r="J1427" s="130" t="s">
        <v>97</v>
      </c>
      <c r="K1427" s="130" t="s">
        <v>98</v>
      </c>
      <c r="L1427" s="174" t="s">
        <v>71</v>
      </c>
      <c r="M1427" s="131" t="s">
        <v>72</v>
      </c>
      <c r="N1427" s="130" t="s">
        <v>73</v>
      </c>
      <c r="O1427" s="219" t="s">
        <v>99</v>
      </c>
      <c r="P1427" s="130" t="s">
        <v>98</v>
      </c>
      <c r="Q1427" s="132" t="s">
        <v>93</v>
      </c>
      <c r="R1427" s="218">
        <v>3.3640001000000002</v>
      </c>
      <c r="S1427" s="129">
        <v>1</v>
      </c>
      <c r="T1427" s="129">
        <v>354</v>
      </c>
      <c r="U1427" s="129">
        <v>354</v>
      </c>
      <c r="V1427" s="129">
        <v>63.72</v>
      </c>
      <c r="W1427" s="129">
        <v>417.72</v>
      </c>
      <c r="X1427" s="27">
        <f t="shared" si="190"/>
        <v>1190.8560354000001</v>
      </c>
    </row>
    <row r="1428" spans="1:24" x14ac:dyDescent="0.2">
      <c r="A1428" s="220">
        <v>43866</v>
      </c>
      <c r="B1428" s="130" t="s">
        <v>68</v>
      </c>
      <c r="C1428" s="130" t="s">
        <v>102</v>
      </c>
      <c r="D1428" s="130" t="s">
        <v>3113</v>
      </c>
      <c r="E1428" s="130" t="s">
        <v>2684</v>
      </c>
      <c r="F1428" s="130" t="s">
        <v>3038</v>
      </c>
      <c r="G1428" s="220">
        <v>43855</v>
      </c>
      <c r="H1428" s="130" t="s">
        <v>90</v>
      </c>
      <c r="I1428" s="130" t="s">
        <v>91</v>
      </c>
      <c r="J1428" s="130" t="s">
        <v>100</v>
      </c>
      <c r="K1428" s="130" t="s">
        <v>101</v>
      </c>
      <c r="L1428" s="174" t="s">
        <v>71</v>
      </c>
      <c r="M1428" s="131" t="s">
        <v>72</v>
      </c>
      <c r="N1428" s="130" t="s">
        <v>73</v>
      </c>
      <c r="O1428" s="219" t="s">
        <v>72</v>
      </c>
      <c r="P1428" s="130" t="s">
        <v>101</v>
      </c>
      <c r="Q1428" s="132" t="s">
        <v>93</v>
      </c>
      <c r="R1428" s="218">
        <v>3.3640001000000002</v>
      </c>
      <c r="S1428" s="129">
        <v>1</v>
      </c>
      <c r="T1428" s="129">
        <v>225</v>
      </c>
      <c r="U1428" s="129">
        <v>225</v>
      </c>
      <c r="V1428" s="129">
        <v>40.5</v>
      </c>
      <c r="W1428" s="129">
        <v>265.5</v>
      </c>
      <c r="X1428" s="27">
        <f t="shared" si="190"/>
        <v>756.90002250000009</v>
      </c>
    </row>
    <row r="1429" spans="1:24" x14ac:dyDescent="0.2">
      <c r="A1429" s="220">
        <v>43866</v>
      </c>
      <c r="B1429" s="130" t="s">
        <v>68</v>
      </c>
      <c r="C1429" s="130" t="s">
        <v>102</v>
      </c>
      <c r="D1429" s="130" t="s">
        <v>3113</v>
      </c>
      <c r="E1429" s="130" t="s">
        <v>2684</v>
      </c>
      <c r="F1429" s="130" t="s">
        <v>3038</v>
      </c>
      <c r="G1429" s="220">
        <v>43855</v>
      </c>
      <c r="H1429" s="130" t="s">
        <v>90</v>
      </c>
      <c r="I1429" s="130" t="s">
        <v>91</v>
      </c>
      <c r="J1429" s="130" t="s">
        <v>92</v>
      </c>
      <c r="K1429" s="130" t="s">
        <v>113</v>
      </c>
      <c r="L1429" s="174" t="s">
        <v>71</v>
      </c>
      <c r="M1429" s="131" t="s">
        <v>72</v>
      </c>
      <c r="N1429" s="130" t="s">
        <v>73</v>
      </c>
      <c r="O1429" s="219" t="s">
        <v>69</v>
      </c>
      <c r="P1429" s="130" t="s">
        <v>1699</v>
      </c>
      <c r="Q1429" s="132" t="s">
        <v>93</v>
      </c>
      <c r="R1429" s="218">
        <v>3.3640001000000002</v>
      </c>
      <c r="S1429" s="129">
        <v>1</v>
      </c>
      <c r="T1429" s="129">
        <v>50</v>
      </c>
      <c r="U1429" s="129">
        <v>50</v>
      </c>
      <c r="V1429" s="129">
        <v>9</v>
      </c>
      <c r="W1429" s="129">
        <v>59</v>
      </c>
      <c r="X1429" s="27">
        <f t="shared" si="190"/>
        <v>168.200005</v>
      </c>
    </row>
    <row r="1430" spans="1:24" x14ac:dyDescent="0.2">
      <c r="A1430" s="220">
        <v>43866</v>
      </c>
      <c r="B1430" s="130" t="s">
        <v>68</v>
      </c>
      <c r="C1430" s="130" t="s">
        <v>102</v>
      </c>
      <c r="D1430" s="130" t="s">
        <v>3113</v>
      </c>
      <c r="E1430" s="130" t="s">
        <v>2684</v>
      </c>
      <c r="F1430" s="130" t="s">
        <v>3038</v>
      </c>
      <c r="G1430" s="220">
        <v>43855</v>
      </c>
      <c r="H1430" s="130" t="s">
        <v>90</v>
      </c>
      <c r="I1430" s="130" t="s">
        <v>91</v>
      </c>
      <c r="J1430" s="130" t="s">
        <v>70</v>
      </c>
      <c r="K1430" s="130" t="s">
        <v>112</v>
      </c>
      <c r="L1430" s="174" t="s">
        <v>71</v>
      </c>
      <c r="M1430" s="131" t="s">
        <v>72</v>
      </c>
      <c r="N1430" s="130" t="s">
        <v>73</v>
      </c>
      <c r="O1430" s="219" t="s">
        <v>69</v>
      </c>
      <c r="P1430" s="130" t="s">
        <v>1699</v>
      </c>
      <c r="Q1430" s="132" t="s">
        <v>93</v>
      </c>
      <c r="R1430" s="218">
        <v>3.3640001000000002</v>
      </c>
      <c r="S1430" s="129">
        <v>1</v>
      </c>
      <c r="T1430" s="129">
        <v>30</v>
      </c>
      <c r="U1430" s="129">
        <v>30</v>
      </c>
      <c r="V1430" s="129">
        <v>5.4000019999999997</v>
      </c>
      <c r="W1430" s="129">
        <v>35.400002000000001</v>
      </c>
      <c r="X1430" s="27">
        <f t="shared" si="190"/>
        <v>100.92000300000001</v>
      </c>
    </row>
    <row r="1431" spans="1:24" x14ac:dyDescent="0.2">
      <c r="A1431" s="220">
        <v>43866</v>
      </c>
      <c r="B1431" s="130" t="s">
        <v>68</v>
      </c>
      <c r="C1431" s="130" t="s">
        <v>102</v>
      </c>
      <c r="D1431" s="130" t="s">
        <v>3113</v>
      </c>
      <c r="E1431" s="130" t="s">
        <v>2684</v>
      </c>
      <c r="F1431" s="130" t="s">
        <v>3038</v>
      </c>
      <c r="G1431" s="220">
        <v>43855</v>
      </c>
      <c r="H1431" s="130" t="s">
        <v>90</v>
      </c>
      <c r="I1431" s="130" t="s">
        <v>91</v>
      </c>
      <c r="J1431" s="130" t="s">
        <v>95</v>
      </c>
      <c r="K1431" s="130" t="s">
        <v>96</v>
      </c>
      <c r="L1431" s="174" t="s">
        <v>71</v>
      </c>
      <c r="M1431" s="131" t="s">
        <v>72</v>
      </c>
      <c r="N1431" s="130" t="s">
        <v>73</v>
      </c>
      <c r="O1431" s="219" t="s">
        <v>69</v>
      </c>
      <c r="P1431" s="130" t="s">
        <v>1699</v>
      </c>
      <c r="Q1431" s="132" t="s">
        <v>93</v>
      </c>
      <c r="R1431" s="218">
        <v>3.3640001000000002</v>
      </c>
      <c r="S1431" s="129">
        <v>-1</v>
      </c>
      <c r="T1431" s="129">
        <v>184.1525</v>
      </c>
      <c r="U1431" s="129">
        <v>-184.1525</v>
      </c>
      <c r="V1431" s="129">
        <v>-33.147500000000001</v>
      </c>
      <c r="W1431" s="129">
        <v>-217.3</v>
      </c>
      <c r="X1431" s="27">
        <f t="shared" si="190"/>
        <v>-619.48902841525</v>
      </c>
    </row>
    <row r="1432" spans="1:24" x14ac:dyDescent="0.2">
      <c r="A1432" s="220">
        <v>43866</v>
      </c>
      <c r="B1432" s="130" t="s">
        <v>68</v>
      </c>
      <c r="C1432" s="130" t="s">
        <v>102</v>
      </c>
      <c r="D1432" s="130" t="s">
        <v>3113</v>
      </c>
      <c r="E1432" s="130" t="s">
        <v>2684</v>
      </c>
      <c r="F1432" s="130" t="s">
        <v>3038</v>
      </c>
      <c r="G1432" s="220">
        <v>43855</v>
      </c>
      <c r="H1432" s="130" t="s">
        <v>90</v>
      </c>
      <c r="I1432" s="130" t="s">
        <v>91</v>
      </c>
      <c r="J1432" s="130" t="s">
        <v>104</v>
      </c>
      <c r="K1432" s="130" t="s">
        <v>105</v>
      </c>
      <c r="L1432" s="174" t="s">
        <v>71</v>
      </c>
      <c r="M1432" s="131" t="s">
        <v>72</v>
      </c>
      <c r="N1432" s="130" t="s">
        <v>73</v>
      </c>
      <c r="O1432" s="219" t="s">
        <v>69</v>
      </c>
      <c r="P1432" s="130" t="s">
        <v>1699</v>
      </c>
      <c r="Q1432" s="132" t="s">
        <v>93</v>
      </c>
      <c r="R1432" s="218">
        <v>3.3640001000000002</v>
      </c>
      <c r="S1432" s="129">
        <v>1</v>
      </c>
      <c r="T1432" s="129">
        <v>0</v>
      </c>
      <c r="U1432" s="129">
        <v>0</v>
      </c>
      <c r="V1432" s="129">
        <v>0</v>
      </c>
      <c r="W1432" s="129">
        <v>0</v>
      </c>
      <c r="X1432" s="27">
        <f t="shared" si="190"/>
        <v>0</v>
      </c>
    </row>
    <row r="1433" spans="1:24" x14ac:dyDescent="0.2">
      <c r="A1433" s="220">
        <v>43867</v>
      </c>
      <c r="B1433" s="130" t="s">
        <v>68</v>
      </c>
      <c r="C1433" s="130" t="s">
        <v>102</v>
      </c>
      <c r="D1433" s="130" t="s">
        <v>3112</v>
      </c>
      <c r="E1433" s="130" t="s">
        <v>2000</v>
      </c>
      <c r="F1433" s="130" t="s">
        <v>2576</v>
      </c>
      <c r="G1433" s="220">
        <v>43808</v>
      </c>
      <c r="H1433" s="130" t="s">
        <v>387</v>
      </c>
      <c r="I1433" s="130" t="s">
        <v>386</v>
      </c>
      <c r="J1433" s="130" t="s">
        <v>97</v>
      </c>
      <c r="K1433" s="130" t="s">
        <v>98</v>
      </c>
      <c r="L1433" s="174" t="s">
        <v>71</v>
      </c>
      <c r="M1433" s="131" t="s">
        <v>72</v>
      </c>
      <c r="N1433" s="130" t="s">
        <v>73</v>
      </c>
      <c r="O1433" s="219" t="s">
        <v>99</v>
      </c>
      <c r="P1433" s="130" t="s">
        <v>98</v>
      </c>
      <c r="Q1433" s="132" t="s">
        <v>74</v>
      </c>
      <c r="R1433" s="218">
        <v>3.3599999</v>
      </c>
      <c r="S1433" s="129">
        <v>1</v>
      </c>
      <c r="T1433" s="129">
        <v>2430</v>
      </c>
      <c r="U1433" s="129">
        <v>2430</v>
      </c>
      <c r="V1433" s="129">
        <v>437.39989999999989</v>
      </c>
      <c r="W1433" s="129">
        <v>2867.3998999999999</v>
      </c>
      <c r="X1433" s="27">
        <f t="shared" si="190"/>
        <v>2430</v>
      </c>
    </row>
    <row r="1434" spans="1:24" x14ac:dyDescent="0.2">
      <c r="A1434" s="220">
        <v>43867</v>
      </c>
      <c r="B1434" s="130" t="s">
        <v>68</v>
      </c>
      <c r="C1434" s="130" t="s">
        <v>102</v>
      </c>
      <c r="D1434" s="130" t="s">
        <v>3112</v>
      </c>
      <c r="E1434" s="130" t="s">
        <v>2000</v>
      </c>
      <c r="F1434" s="130" t="s">
        <v>2576</v>
      </c>
      <c r="G1434" s="220">
        <v>43808</v>
      </c>
      <c r="H1434" s="130" t="s">
        <v>387</v>
      </c>
      <c r="I1434" s="130" t="s">
        <v>386</v>
      </c>
      <c r="J1434" s="130" t="s">
        <v>100</v>
      </c>
      <c r="K1434" s="130" t="s">
        <v>101</v>
      </c>
      <c r="L1434" s="174" t="s">
        <v>71</v>
      </c>
      <c r="M1434" s="131" t="s">
        <v>72</v>
      </c>
      <c r="N1434" s="130" t="s">
        <v>73</v>
      </c>
      <c r="O1434" s="219" t="s">
        <v>72</v>
      </c>
      <c r="P1434" s="130" t="s">
        <v>101</v>
      </c>
      <c r="Q1434" s="132" t="s">
        <v>74</v>
      </c>
      <c r="R1434" s="218">
        <v>3.3599999</v>
      </c>
      <c r="S1434" s="129">
        <v>1</v>
      </c>
      <c r="T1434" s="129">
        <v>1190</v>
      </c>
      <c r="U1434" s="129">
        <v>1190</v>
      </c>
      <c r="V1434" s="129">
        <v>214.2</v>
      </c>
      <c r="W1434" s="129">
        <v>1404.2</v>
      </c>
      <c r="X1434" s="27">
        <f t="shared" si="190"/>
        <v>1190</v>
      </c>
    </row>
    <row r="1435" spans="1:24" x14ac:dyDescent="0.2">
      <c r="A1435" s="220">
        <v>43867</v>
      </c>
      <c r="B1435" s="130" t="s">
        <v>68</v>
      </c>
      <c r="C1435" s="130" t="s">
        <v>102</v>
      </c>
      <c r="D1435" s="130" t="s">
        <v>3112</v>
      </c>
      <c r="E1435" s="130" t="s">
        <v>2000</v>
      </c>
      <c r="F1435" s="130" t="s">
        <v>2576</v>
      </c>
      <c r="G1435" s="220">
        <v>43808</v>
      </c>
      <c r="H1435" s="130" t="s">
        <v>387</v>
      </c>
      <c r="I1435" s="130" t="s">
        <v>386</v>
      </c>
      <c r="J1435" s="130" t="s">
        <v>92</v>
      </c>
      <c r="K1435" s="130" t="s">
        <v>113</v>
      </c>
      <c r="L1435" s="174" t="s">
        <v>71</v>
      </c>
      <c r="M1435" s="131" t="s">
        <v>72</v>
      </c>
      <c r="N1435" s="130" t="s">
        <v>73</v>
      </c>
      <c r="O1435" s="219" t="s">
        <v>69</v>
      </c>
      <c r="P1435" s="130" t="s">
        <v>1699</v>
      </c>
      <c r="Q1435" s="132" t="s">
        <v>74</v>
      </c>
      <c r="R1435" s="218">
        <v>3.3599999</v>
      </c>
      <c r="S1435" s="129">
        <v>1</v>
      </c>
      <c r="T1435" s="129">
        <v>1465</v>
      </c>
      <c r="U1435" s="129">
        <v>1465</v>
      </c>
      <c r="V1435" s="129">
        <v>263.7</v>
      </c>
      <c r="W1435" s="129">
        <v>1728.7</v>
      </c>
      <c r="X1435" s="27">
        <f t="shared" si="190"/>
        <v>1465</v>
      </c>
    </row>
    <row r="1436" spans="1:24" x14ac:dyDescent="0.2">
      <c r="A1436" s="220">
        <v>43867</v>
      </c>
      <c r="B1436" s="130" t="s">
        <v>68</v>
      </c>
      <c r="C1436" s="130" t="s">
        <v>102</v>
      </c>
      <c r="D1436" s="130" t="s">
        <v>3112</v>
      </c>
      <c r="E1436" s="130" t="s">
        <v>2000</v>
      </c>
      <c r="F1436" s="130" t="s">
        <v>2576</v>
      </c>
      <c r="G1436" s="220">
        <v>43808</v>
      </c>
      <c r="H1436" s="130" t="s">
        <v>387</v>
      </c>
      <c r="I1436" s="130" t="s">
        <v>386</v>
      </c>
      <c r="J1436" s="130" t="s">
        <v>132</v>
      </c>
      <c r="K1436" s="130" t="s">
        <v>133</v>
      </c>
      <c r="L1436" s="174" t="s">
        <v>71</v>
      </c>
      <c r="M1436" s="131" t="s">
        <v>72</v>
      </c>
      <c r="N1436" s="130" t="s">
        <v>73</v>
      </c>
      <c r="O1436" s="219" t="s">
        <v>69</v>
      </c>
      <c r="P1436" s="130" t="s">
        <v>1699</v>
      </c>
      <c r="Q1436" s="132" t="s">
        <v>74</v>
      </c>
      <c r="R1436" s="218">
        <v>3.3599999</v>
      </c>
      <c r="S1436" s="129">
        <v>1</v>
      </c>
      <c r="T1436" s="129">
        <v>1250</v>
      </c>
      <c r="U1436" s="129">
        <v>1250</v>
      </c>
      <c r="V1436" s="129">
        <v>225</v>
      </c>
      <c r="W1436" s="129">
        <v>1475</v>
      </c>
      <c r="X1436" s="27">
        <f t="shared" si="190"/>
        <v>1250</v>
      </c>
    </row>
    <row r="1437" spans="1:24" x14ac:dyDescent="0.2">
      <c r="A1437" s="220">
        <v>43867</v>
      </c>
      <c r="B1437" s="130" t="s">
        <v>68</v>
      </c>
      <c r="C1437" s="130" t="s">
        <v>102</v>
      </c>
      <c r="D1437" s="130" t="s">
        <v>3112</v>
      </c>
      <c r="E1437" s="130" t="s">
        <v>2000</v>
      </c>
      <c r="F1437" s="130" t="s">
        <v>2576</v>
      </c>
      <c r="G1437" s="220">
        <v>43808</v>
      </c>
      <c r="H1437" s="130" t="s">
        <v>387</v>
      </c>
      <c r="I1437" s="130" t="s">
        <v>386</v>
      </c>
      <c r="J1437" s="130" t="s">
        <v>139</v>
      </c>
      <c r="K1437" s="130" t="s">
        <v>109</v>
      </c>
      <c r="L1437" s="174" t="s">
        <v>71</v>
      </c>
      <c r="M1437" s="131" t="s">
        <v>72</v>
      </c>
      <c r="N1437" s="130" t="s">
        <v>73</v>
      </c>
      <c r="O1437" s="219" t="s">
        <v>69</v>
      </c>
      <c r="P1437" s="130" t="s">
        <v>1699</v>
      </c>
      <c r="Q1437" s="132" t="s">
        <v>74</v>
      </c>
      <c r="R1437" s="218">
        <v>3.3599999</v>
      </c>
      <c r="S1437" s="129">
        <v>1</v>
      </c>
      <c r="T1437" s="129">
        <v>140</v>
      </c>
      <c r="U1437" s="129">
        <v>140</v>
      </c>
      <c r="V1437" s="129">
        <v>25.2</v>
      </c>
      <c r="W1437" s="129">
        <v>165.2</v>
      </c>
      <c r="X1437" s="27">
        <f t="shared" si="190"/>
        <v>140</v>
      </c>
    </row>
    <row r="1438" spans="1:24" x14ac:dyDescent="0.2">
      <c r="A1438" s="220">
        <v>43867</v>
      </c>
      <c r="B1438" s="130" t="s">
        <v>68</v>
      </c>
      <c r="C1438" s="130" t="s">
        <v>102</v>
      </c>
      <c r="D1438" s="130" t="s">
        <v>3112</v>
      </c>
      <c r="E1438" s="130" t="s">
        <v>2000</v>
      </c>
      <c r="F1438" s="130" t="s">
        <v>2576</v>
      </c>
      <c r="G1438" s="220">
        <v>43808</v>
      </c>
      <c r="H1438" s="130" t="s">
        <v>387</v>
      </c>
      <c r="I1438" s="130" t="s">
        <v>386</v>
      </c>
      <c r="J1438" s="130" t="s">
        <v>70</v>
      </c>
      <c r="K1438" s="130" t="s">
        <v>112</v>
      </c>
      <c r="L1438" s="174" t="s">
        <v>71</v>
      </c>
      <c r="M1438" s="131" t="s">
        <v>72</v>
      </c>
      <c r="N1438" s="130" t="s">
        <v>73</v>
      </c>
      <c r="O1438" s="219" t="s">
        <v>69</v>
      </c>
      <c r="P1438" s="130" t="s">
        <v>1699</v>
      </c>
      <c r="Q1438" s="132" t="s">
        <v>74</v>
      </c>
      <c r="R1438" s="218">
        <v>3.3599999</v>
      </c>
      <c r="S1438" s="129">
        <v>1</v>
      </c>
      <c r="T1438" s="129">
        <v>918.75420999999972</v>
      </c>
      <c r="U1438" s="129">
        <v>918.75420999999972</v>
      </c>
      <c r="V1438" s="129">
        <v>165.37579000000028</v>
      </c>
      <c r="W1438" s="129">
        <v>1084.1300000000001</v>
      </c>
      <c r="X1438" s="27">
        <f t="shared" si="190"/>
        <v>918.75420999999972</v>
      </c>
    </row>
    <row r="1439" spans="1:24" x14ac:dyDescent="0.2">
      <c r="A1439" s="220">
        <v>43867</v>
      </c>
      <c r="B1439" s="130" t="s">
        <v>68</v>
      </c>
      <c r="C1439" s="130" t="s">
        <v>102</v>
      </c>
      <c r="D1439" s="130" t="s">
        <v>3112</v>
      </c>
      <c r="E1439" s="130" t="s">
        <v>2000</v>
      </c>
      <c r="F1439" s="130" t="s">
        <v>2576</v>
      </c>
      <c r="G1439" s="220">
        <v>43808</v>
      </c>
      <c r="H1439" s="130" t="s">
        <v>387</v>
      </c>
      <c r="I1439" s="130" t="s">
        <v>386</v>
      </c>
      <c r="J1439" s="130" t="s">
        <v>104</v>
      </c>
      <c r="K1439" s="130" t="s">
        <v>105</v>
      </c>
      <c r="L1439" s="174" t="s">
        <v>71</v>
      </c>
      <c r="M1439" s="131" t="s">
        <v>72</v>
      </c>
      <c r="N1439" s="130" t="s">
        <v>73</v>
      </c>
      <c r="O1439" s="219" t="s">
        <v>69</v>
      </c>
      <c r="P1439" s="130" t="s">
        <v>1699</v>
      </c>
      <c r="Q1439" s="132" t="s">
        <v>74</v>
      </c>
      <c r="R1439" s="218">
        <v>3.3599999</v>
      </c>
      <c r="S1439" s="129">
        <v>1</v>
      </c>
      <c r="T1439" s="129">
        <v>2437</v>
      </c>
      <c r="U1439" s="129">
        <v>2437</v>
      </c>
      <c r="V1439" s="129">
        <v>438.65989999999988</v>
      </c>
      <c r="W1439" s="129">
        <v>2875.6599000000001</v>
      </c>
      <c r="X1439" s="27">
        <f t="shared" si="190"/>
        <v>2437</v>
      </c>
    </row>
    <row r="1440" spans="1:24" x14ac:dyDescent="0.2">
      <c r="A1440" s="220">
        <v>43867</v>
      </c>
      <c r="B1440" s="130" t="s">
        <v>68</v>
      </c>
      <c r="C1440" s="130" t="s">
        <v>102</v>
      </c>
      <c r="D1440" s="130" t="s">
        <v>3111</v>
      </c>
      <c r="E1440" s="130" t="s">
        <v>1356</v>
      </c>
      <c r="F1440" s="130" t="s">
        <v>1426</v>
      </c>
      <c r="G1440" s="220">
        <v>43785</v>
      </c>
      <c r="H1440" s="130" t="s">
        <v>387</v>
      </c>
      <c r="I1440" s="130" t="s">
        <v>386</v>
      </c>
      <c r="J1440" s="130" t="s">
        <v>97</v>
      </c>
      <c r="K1440" s="130" t="s">
        <v>98</v>
      </c>
      <c r="L1440" s="174" t="s">
        <v>71</v>
      </c>
      <c r="M1440" s="131" t="s">
        <v>72</v>
      </c>
      <c r="N1440" s="130" t="s">
        <v>73</v>
      </c>
      <c r="O1440" s="219" t="s">
        <v>99</v>
      </c>
      <c r="P1440" s="130" t="s">
        <v>98</v>
      </c>
      <c r="Q1440" s="132" t="s">
        <v>74</v>
      </c>
      <c r="R1440" s="218">
        <v>3.3599999</v>
      </c>
      <c r="S1440" s="129">
        <v>1</v>
      </c>
      <c r="T1440" s="129">
        <v>2430</v>
      </c>
      <c r="U1440" s="129">
        <v>2430</v>
      </c>
      <c r="V1440" s="129">
        <v>437.39989999999989</v>
      </c>
      <c r="W1440" s="129">
        <v>2867.3998999999999</v>
      </c>
      <c r="X1440" s="27">
        <f t="shared" si="190"/>
        <v>2430</v>
      </c>
    </row>
    <row r="1441" spans="1:24" x14ac:dyDescent="0.2">
      <c r="A1441" s="220">
        <v>43867</v>
      </c>
      <c r="B1441" s="130" t="s">
        <v>68</v>
      </c>
      <c r="C1441" s="130" t="s">
        <v>102</v>
      </c>
      <c r="D1441" s="130" t="s">
        <v>3111</v>
      </c>
      <c r="E1441" s="130" t="s">
        <v>1356</v>
      </c>
      <c r="F1441" s="130" t="s">
        <v>1426</v>
      </c>
      <c r="G1441" s="220">
        <v>43785</v>
      </c>
      <c r="H1441" s="130" t="s">
        <v>387</v>
      </c>
      <c r="I1441" s="130" t="s">
        <v>386</v>
      </c>
      <c r="J1441" s="130" t="s">
        <v>100</v>
      </c>
      <c r="K1441" s="130" t="s">
        <v>101</v>
      </c>
      <c r="L1441" s="174" t="s">
        <v>71</v>
      </c>
      <c r="M1441" s="131" t="s">
        <v>72</v>
      </c>
      <c r="N1441" s="130" t="s">
        <v>73</v>
      </c>
      <c r="O1441" s="219" t="s">
        <v>72</v>
      </c>
      <c r="P1441" s="130" t="s">
        <v>101</v>
      </c>
      <c r="Q1441" s="132" t="s">
        <v>74</v>
      </c>
      <c r="R1441" s="218">
        <v>3.3599999</v>
      </c>
      <c r="S1441" s="129">
        <v>1</v>
      </c>
      <c r="T1441" s="129">
        <v>1540</v>
      </c>
      <c r="U1441" s="129">
        <v>1540</v>
      </c>
      <c r="V1441" s="129">
        <v>277.2</v>
      </c>
      <c r="W1441" s="129">
        <v>1817.2</v>
      </c>
      <c r="X1441" s="27">
        <f t="shared" si="190"/>
        <v>1540</v>
      </c>
    </row>
    <row r="1442" spans="1:24" x14ac:dyDescent="0.2">
      <c r="A1442" s="220">
        <v>43867</v>
      </c>
      <c r="B1442" s="130" t="s">
        <v>68</v>
      </c>
      <c r="C1442" s="130" t="s">
        <v>102</v>
      </c>
      <c r="D1442" s="130" t="s">
        <v>3111</v>
      </c>
      <c r="E1442" s="130" t="s">
        <v>1356</v>
      </c>
      <c r="F1442" s="130" t="s">
        <v>1426</v>
      </c>
      <c r="G1442" s="220">
        <v>43785</v>
      </c>
      <c r="H1442" s="130" t="s">
        <v>387</v>
      </c>
      <c r="I1442" s="130" t="s">
        <v>386</v>
      </c>
      <c r="J1442" s="130" t="s">
        <v>92</v>
      </c>
      <c r="K1442" s="130" t="s">
        <v>113</v>
      </c>
      <c r="L1442" s="174" t="s">
        <v>71</v>
      </c>
      <c r="M1442" s="131" t="s">
        <v>72</v>
      </c>
      <c r="N1442" s="130" t="s">
        <v>73</v>
      </c>
      <c r="O1442" s="219" t="s">
        <v>69</v>
      </c>
      <c r="P1442" s="130" t="s">
        <v>1699</v>
      </c>
      <c r="Q1442" s="132" t="s">
        <v>74</v>
      </c>
      <c r="R1442" s="218">
        <v>3.3599999</v>
      </c>
      <c r="S1442" s="129">
        <v>1</v>
      </c>
      <c r="T1442" s="129">
        <v>830</v>
      </c>
      <c r="U1442" s="129">
        <v>830</v>
      </c>
      <c r="V1442" s="129">
        <v>149.40002000000021</v>
      </c>
      <c r="W1442" s="129">
        <v>979.40002000000027</v>
      </c>
      <c r="X1442" s="27">
        <f t="shared" si="190"/>
        <v>830</v>
      </c>
    </row>
    <row r="1443" spans="1:24" x14ac:dyDescent="0.2">
      <c r="A1443" s="220">
        <v>43867</v>
      </c>
      <c r="B1443" s="130" t="s">
        <v>68</v>
      </c>
      <c r="C1443" s="130" t="s">
        <v>102</v>
      </c>
      <c r="D1443" s="130" t="s">
        <v>3111</v>
      </c>
      <c r="E1443" s="130" t="s">
        <v>1356</v>
      </c>
      <c r="F1443" s="130" t="s">
        <v>1426</v>
      </c>
      <c r="G1443" s="220">
        <v>43785</v>
      </c>
      <c r="H1443" s="130" t="s">
        <v>387</v>
      </c>
      <c r="I1443" s="130" t="s">
        <v>386</v>
      </c>
      <c r="J1443" s="130" t="s">
        <v>132</v>
      </c>
      <c r="K1443" s="130" t="s">
        <v>133</v>
      </c>
      <c r="L1443" s="174" t="s">
        <v>71</v>
      </c>
      <c r="M1443" s="131" t="s">
        <v>72</v>
      </c>
      <c r="N1443" s="130" t="s">
        <v>73</v>
      </c>
      <c r="O1443" s="219" t="s">
        <v>69</v>
      </c>
      <c r="P1443" s="130" t="s">
        <v>1699</v>
      </c>
      <c r="Q1443" s="132" t="s">
        <v>74</v>
      </c>
      <c r="R1443" s="218">
        <v>3.3599999</v>
      </c>
      <c r="S1443" s="129">
        <v>1</v>
      </c>
      <c r="T1443" s="129">
        <v>2150</v>
      </c>
      <c r="U1443" s="129">
        <v>2150</v>
      </c>
      <c r="V1443" s="129">
        <v>387</v>
      </c>
      <c r="W1443" s="129">
        <v>2537</v>
      </c>
      <c r="X1443" s="27">
        <f t="shared" si="190"/>
        <v>2150</v>
      </c>
    </row>
    <row r="1444" spans="1:24" x14ac:dyDescent="0.2">
      <c r="A1444" s="220">
        <v>43867</v>
      </c>
      <c r="B1444" s="130" t="s">
        <v>68</v>
      </c>
      <c r="C1444" s="130" t="s">
        <v>102</v>
      </c>
      <c r="D1444" s="130" t="s">
        <v>3111</v>
      </c>
      <c r="E1444" s="130" t="s">
        <v>1356</v>
      </c>
      <c r="F1444" s="130" t="s">
        <v>1426</v>
      </c>
      <c r="G1444" s="220">
        <v>43785</v>
      </c>
      <c r="H1444" s="130" t="s">
        <v>387</v>
      </c>
      <c r="I1444" s="130" t="s">
        <v>386</v>
      </c>
      <c r="J1444" s="130" t="s">
        <v>139</v>
      </c>
      <c r="K1444" s="130" t="s">
        <v>133</v>
      </c>
      <c r="L1444" s="174" t="s">
        <v>71</v>
      </c>
      <c r="M1444" s="131" t="s">
        <v>72</v>
      </c>
      <c r="N1444" s="130" t="s">
        <v>73</v>
      </c>
      <c r="O1444" s="219" t="s">
        <v>69</v>
      </c>
      <c r="P1444" s="130" t="s">
        <v>1699</v>
      </c>
      <c r="Q1444" s="132" t="s">
        <v>74</v>
      </c>
      <c r="R1444" s="218">
        <v>3.3599999</v>
      </c>
      <c r="S1444" s="129">
        <v>1</v>
      </c>
      <c r="T1444" s="129">
        <v>2136.4407000000006</v>
      </c>
      <c r="U1444" s="129">
        <v>2136.4407000000006</v>
      </c>
      <c r="V1444" s="129">
        <v>384.55929999999967</v>
      </c>
      <c r="W1444" s="129">
        <v>2521</v>
      </c>
      <c r="X1444" s="27">
        <f t="shared" si="190"/>
        <v>2136.4407000000006</v>
      </c>
    </row>
    <row r="1445" spans="1:24" x14ac:dyDescent="0.2">
      <c r="A1445" s="220">
        <v>43867</v>
      </c>
      <c r="B1445" s="130" t="s">
        <v>68</v>
      </c>
      <c r="C1445" s="130" t="s">
        <v>102</v>
      </c>
      <c r="D1445" s="130" t="s">
        <v>3111</v>
      </c>
      <c r="E1445" s="130" t="s">
        <v>1356</v>
      </c>
      <c r="F1445" s="130" t="s">
        <v>1426</v>
      </c>
      <c r="G1445" s="220">
        <v>43785</v>
      </c>
      <c r="H1445" s="130" t="s">
        <v>387</v>
      </c>
      <c r="I1445" s="130" t="s">
        <v>386</v>
      </c>
      <c r="J1445" s="130" t="s">
        <v>139</v>
      </c>
      <c r="K1445" s="130" t="s">
        <v>109</v>
      </c>
      <c r="L1445" s="174" t="s">
        <v>71</v>
      </c>
      <c r="M1445" s="131" t="s">
        <v>72</v>
      </c>
      <c r="N1445" s="130" t="s">
        <v>73</v>
      </c>
      <c r="O1445" s="219" t="s">
        <v>69</v>
      </c>
      <c r="P1445" s="130" t="s">
        <v>1699</v>
      </c>
      <c r="Q1445" s="132" t="s">
        <v>74</v>
      </c>
      <c r="R1445" s="218">
        <v>3.3599999</v>
      </c>
      <c r="S1445" s="129">
        <v>1</v>
      </c>
      <c r="T1445" s="129">
        <v>0</v>
      </c>
      <c r="U1445" s="129">
        <v>0</v>
      </c>
      <c r="V1445" s="129">
        <v>0</v>
      </c>
      <c r="W1445" s="129">
        <v>0</v>
      </c>
      <c r="X1445" s="27">
        <f t="shared" si="190"/>
        <v>0</v>
      </c>
    </row>
    <row r="1446" spans="1:24" x14ac:dyDescent="0.2">
      <c r="A1446" s="220">
        <v>43867</v>
      </c>
      <c r="B1446" s="130" t="s">
        <v>68</v>
      </c>
      <c r="C1446" s="130" t="s">
        <v>102</v>
      </c>
      <c r="D1446" s="130" t="s">
        <v>3111</v>
      </c>
      <c r="E1446" s="130" t="s">
        <v>1356</v>
      </c>
      <c r="F1446" s="130" t="s">
        <v>1426</v>
      </c>
      <c r="G1446" s="220">
        <v>43785</v>
      </c>
      <c r="H1446" s="130" t="s">
        <v>387</v>
      </c>
      <c r="I1446" s="130" t="s">
        <v>386</v>
      </c>
      <c r="J1446" s="130" t="s">
        <v>139</v>
      </c>
      <c r="K1446" s="130" t="s">
        <v>2343</v>
      </c>
      <c r="L1446" s="174" t="s">
        <v>71</v>
      </c>
      <c r="M1446" s="131" t="s">
        <v>72</v>
      </c>
      <c r="N1446" s="130" t="s">
        <v>73</v>
      </c>
      <c r="O1446" s="219" t="s">
        <v>69</v>
      </c>
      <c r="P1446" s="130" t="s">
        <v>1699</v>
      </c>
      <c r="Q1446" s="132" t="s">
        <v>74</v>
      </c>
      <c r="R1446" s="218">
        <v>3.3599999</v>
      </c>
      <c r="S1446" s="129">
        <v>1</v>
      </c>
      <c r="T1446" s="129">
        <v>0</v>
      </c>
      <c r="U1446" s="129">
        <v>0</v>
      </c>
      <c r="V1446" s="129">
        <v>0</v>
      </c>
      <c r="W1446" s="129">
        <v>0</v>
      </c>
      <c r="X1446" s="27">
        <f t="shared" si="190"/>
        <v>0</v>
      </c>
    </row>
    <row r="1447" spans="1:24" x14ac:dyDescent="0.2">
      <c r="A1447" s="220">
        <v>43867</v>
      </c>
      <c r="B1447" s="130" t="s">
        <v>68</v>
      </c>
      <c r="C1447" s="130" t="s">
        <v>102</v>
      </c>
      <c r="D1447" s="130" t="s">
        <v>3111</v>
      </c>
      <c r="E1447" s="130" t="s">
        <v>1356</v>
      </c>
      <c r="F1447" s="130" t="s">
        <v>1426</v>
      </c>
      <c r="G1447" s="220">
        <v>43785</v>
      </c>
      <c r="H1447" s="130" t="s">
        <v>387</v>
      </c>
      <c r="I1447" s="130" t="s">
        <v>386</v>
      </c>
      <c r="J1447" s="130" t="s">
        <v>70</v>
      </c>
      <c r="K1447" s="130" t="s">
        <v>112</v>
      </c>
      <c r="L1447" s="174" t="s">
        <v>71</v>
      </c>
      <c r="M1447" s="131" t="s">
        <v>72</v>
      </c>
      <c r="N1447" s="130" t="s">
        <v>73</v>
      </c>
      <c r="O1447" s="219" t="s">
        <v>69</v>
      </c>
      <c r="P1447" s="130" t="s">
        <v>1699</v>
      </c>
      <c r="Q1447" s="132" t="s">
        <v>74</v>
      </c>
      <c r="R1447" s="218">
        <v>3.3599999</v>
      </c>
      <c r="S1447" s="129">
        <v>1</v>
      </c>
      <c r="T1447" s="129">
        <v>227.5</v>
      </c>
      <c r="U1447" s="129">
        <v>227.5</v>
      </c>
      <c r="V1447" s="129">
        <v>40.950010000000042</v>
      </c>
      <c r="W1447" s="129">
        <v>268.45001000000002</v>
      </c>
      <c r="X1447" s="27">
        <f t="shared" si="190"/>
        <v>227.5</v>
      </c>
    </row>
    <row r="1448" spans="1:24" x14ac:dyDescent="0.2">
      <c r="A1448" s="220">
        <v>43867</v>
      </c>
      <c r="B1448" s="130" t="s">
        <v>68</v>
      </c>
      <c r="C1448" s="130" t="s">
        <v>102</v>
      </c>
      <c r="D1448" s="130" t="s">
        <v>3111</v>
      </c>
      <c r="E1448" s="130" t="s">
        <v>1356</v>
      </c>
      <c r="F1448" s="130" t="s">
        <v>1426</v>
      </c>
      <c r="G1448" s="220">
        <v>43785</v>
      </c>
      <c r="H1448" s="130" t="s">
        <v>387</v>
      </c>
      <c r="I1448" s="130" t="s">
        <v>386</v>
      </c>
      <c r="J1448" s="130" t="s">
        <v>104</v>
      </c>
      <c r="K1448" s="130" t="s">
        <v>105</v>
      </c>
      <c r="L1448" s="174" t="s">
        <v>71</v>
      </c>
      <c r="M1448" s="131" t="s">
        <v>72</v>
      </c>
      <c r="N1448" s="130" t="s">
        <v>73</v>
      </c>
      <c r="O1448" s="219" t="s">
        <v>69</v>
      </c>
      <c r="P1448" s="130" t="s">
        <v>1699</v>
      </c>
      <c r="Q1448" s="132" t="s">
        <v>74</v>
      </c>
      <c r="R1448" s="218">
        <v>3.3599999</v>
      </c>
      <c r="S1448" s="129">
        <v>1</v>
      </c>
      <c r="T1448" s="129">
        <v>1703</v>
      </c>
      <c r="U1448" s="129">
        <v>1703</v>
      </c>
      <c r="V1448" s="129">
        <v>306.54000000000002</v>
      </c>
      <c r="W1448" s="129">
        <v>2009.54</v>
      </c>
      <c r="X1448" s="27">
        <f t="shared" si="190"/>
        <v>1703</v>
      </c>
    </row>
    <row r="1449" spans="1:24" x14ac:dyDescent="0.2">
      <c r="A1449" s="220">
        <v>43867</v>
      </c>
      <c r="B1449" s="130" t="s">
        <v>68</v>
      </c>
      <c r="C1449" s="130" t="s">
        <v>102</v>
      </c>
      <c r="D1449" s="130" t="s">
        <v>3110</v>
      </c>
      <c r="E1449" s="130" t="s">
        <v>2547</v>
      </c>
      <c r="F1449" s="130" t="s">
        <v>2548</v>
      </c>
      <c r="G1449" s="220">
        <v>43834</v>
      </c>
      <c r="H1449" s="130" t="s">
        <v>387</v>
      </c>
      <c r="I1449" s="130" t="s">
        <v>386</v>
      </c>
      <c r="J1449" s="130" t="s">
        <v>97</v>
      </c>
      <c r="K1449" s="130" t="s">
        <v>98</v>
      </c>
      <c r="L1449" s="174" t="s">
        <v>71</v>
      </c>
      <c r="M1449" s="131" t="s">
        <v>72</v>
      </c>
      <c r="N1449" s="130" t="s">
        <v>73</v>
      </c>
      <c r="O1449" s="219" t="s">
        <v>99</v>
      </c>
      <c r="P1449" s="130" t="s">
        <v>98</v>
      </c>
      <c r="Q1449" s="132" t="s">
        <v>74</v>
      </c>
      <c r="R1449" s="218">
        <v>3.3599999</v>
      </c>
      <c r="S1449" s="129">
        <v>1</v>
      </c>
      <c r="T1449" s="129">
        <v>2497.5</v>
      </c>
      <c r="U1449" s="129">
        <v>2497.5</v>
      </c>
      <c r="V1449" s="129">
        <v>449.55</v>
      </c>
      <c r="W1449" s="129">
        <v>2947.05</v>
      </c>
      <c r="X1449" s="27">
        <f t="shared" si="190"/>
        <v>2497.5</v>
      </c>
    </row>
    <row r="1450" spans="1:24" x14ac:dyDescent="0.2">
      <c r="A1450" s="220">
        <v>43867</v>
      </c>
      <c r="B1450" s="130" t="s">
        <v>68</v>
      </c>
      <c r="C1450" s="130" t="s">
        <v>102</v>
      </c>
      <c r="D1450" s="130" t="s">
        <v>3110</v>
      </c>
      <c r="E1450" s="130" t="s">
        <v>2547</v>
      </c>
      <c r="F1450" s="130" t="s">
        <v>2548</v>
      </c>
      <c r="G1450" s="220">
        <v>43834</v>
      </c>
      <c r="H1450" s="130" t="s">
        <v>387</v>
      </c>
      <c r="I1450" s="130" t="s">
        <v>386</v>
      </c>
      <c r="J1450" s="130" t="s">
        <v>100</v>
      </c>
      <c r="K1450" s="130" t="s">
        <v>101</v>
      </c>
      <c r="L1450" s="174" t="s">
        <v>71</v>
      </c>
      <c r="M1450" s="131" t="s">
        <v>72</v>
      </c>
      <c r="N1450" s="130" t="s">
        <v>73</v>
      </c>
      <c r="O1450" s="219" t="s">
        <v>72</v>
      </c>
      <c r="P1450" s="130" t="s">
        <v>101</v>
      </c>
      <c r="Q1450" s="132" t="s">
        <v>74</v>
      </c>
      <c r="R1450" s="218">
        <v>3.3599999</v>
      </c>
      <c r="S1450" s="129">
        <v>1</v>
      </c>
      <c r="T1450" s="129">
        <v>1435</v>
      </c>
      <c r="U1450" s="129">
        <v>1435</v>
      </c>
      <c r="V1450" s="129">
        <v>258.3</v>
      </c>
      <c r="W1450" s="129">
        <v>1693.3</v>
      </c>
      <c r="X1450" s="27">
        <f t="shared" si="190"/>
        <v>1435</v>
      </c>
    </row>
    <row r="1451" spans="1:24" x14ac:dyDescent="0.2">
      <c r="A1451" s="220">
        <v>43867</v>
      </c>
      <c r="B1451" s="130" t="s">
        <v>68</v>
      </c>
      <c r="C1451" s="130" t="s">
        <v>102</v>
      </c>
      <c r="D1451" s="130" t="s">
        <v>3110</v>
      </c>
      <c r="E1451" s="130" t="s">
        <v>2547</v>
      </c>
      <c r="F1451" s="130" t="s">
        <v>2548</v>
      </c>
      <c r="G1451" s="220">
        <v>43834</v>
      </c>
      <c r="H1451" s="130" t="s">
        <v>387</v>
      </c>
      <c r="I1451" s="130" t="s">
        <v>386</v>
      </c>
      <c r="J1451" s="130" t="s">
        <v>92</v>
      </c>
      <c r="K1451" s="130" t="s">
        <v>113</v>
      </c>
      <c r="L1451" s="174" t="s">
        <v>71</v>
      </c>
      <c r="M1451" s="131" t="s">
        <v>72</v>
      </c>
      <c r="N1451" s="130" t="s">
        <v>73</v>
      </c>
      <c r="O1451" s="219" t="s">
        <v>69</v>
      </c>
      <c r="P1451" s="130" t="s">
        <v>1699</v>
      </c>
      <c r="Q1451" s="132" t="s">
        <v>74</v>
      </c>
      <c r="R1451" s="218">
        <v>3.3599999</v>
      </c>
      <c r="S1451" s="129">
        <v>1</v>
      </c>
      <c r="T1451" s="129">
        <v>1000</v>
      </c>
      <c r="U1451" s="129">
        <v>1000</v>
      </c>
      <c r="V1451" s="129">
        <v>180</v>
      </c>
      <c r="W1451" s="129">
        <v>1180</v>
      </c>
      <c r="X1451" s="27">
        <f t="shared" si="190"/>
        <v>1000</v>
      </c>
    </row>
    <row r="1452" spans="1:24" x14ac:dyDescent="0.2">
      <c r="A1452" s="220">
        <v>43867</v>
      </c>
      <c r="B1452" s="130" t="s">
        <v>68</v>
      </c>
      <c r="C1452" s="130" t="s">
        <v>102</v>
      </c>
      <c r="D1452" s="130" t="s">
        <v>3110</v>
      </c>
      <c r="E1452" s="130" t="s">
        <v>2547</v>
      </c>
      <c r="F1452" s="130" t="s">
        <v>2548</v>
      </c>
      <c r="G1452" s="220">
        <v>43834</v>
      </c>
      <c r="H1452" s="130" t="s">
        <v>387</v>
      </c>
      <c r="I1452" s="130" t="s">
        <v>386</v>
      </c>
      <c r="J1452" s="130" t="s">
        <v>132</v>
      </c>
      <c r="K1452" s="130" t="s">
        <v>133</v>
      </c>
      <c r="L1452" s="174" t="s">
        <v>71</v>
      </c>
      <c r="M1452" s="131" t="s">
        <v>72</v>
      </c>
      <c r="N1452" s="130" t="s">
        <v>73</v>
      </c>
      <c r="O1452" s="219" t="s">
        <v>69</v>
      </c>
      <c r="P1452" s="130" t="s">
        <v>1699</v>
      </c>
      <c r="Q1452" s="132" t="s">
        <v>74</v>
      </c>
      <c r="R1452" s="218">
        <v>3.3599999</v>
      </c>
      <c r="S1452" s="129">
        <v>1</v>
      </c>
      <c r="T1452" s="129">
        <v>3723</v>
      </c>
      <c r="U1452" s="129">
        <v>3723</v>
      </c>
      <c r="V1452" s="129">
        <v>670.14009999999951</v>
      </c>
      <c r="W1452" s="129">
        <v>4393.1400999999996</v>
      </c>
      <c r="X1452" s="27">
        <f t="shared" si="190"/>
        <v>3723</v>
      </c>
    </row>
    <row r="1453" spans="1:24" x14ac:dyDescent="0.2">
      <c r="A1453" s="220">
        <v>43867</v>
      </c>
      <c r="B1453" s="130" t="s">
        <v>68</v>
      </c>
      <c r="C1453" s="130" t="s">
        <v>102</v>
      </c>
      <c r="D1453" s="130" t="s">
        <v>3110</v>
      </c>
      <c r="E1453" s="130" t="s">
        <v>2547</v>
      </c>
      <c r="F1453" s="130" t="s">
        <v>2548</v>
      </c>
      <c r="G1453" s="220">
        <v>43834</v>
      </c>
      <c r="H1453" s="130" t="s">
        <v>387</v>
      </c>
      <c r="I1453" s="130" t="s">
        <v>386</v>
      </c>
      <c r="J1453" s="130" t="s">
        <v>139</v>
      </c>
      <c r="K1453" s="130" t="s">
        <v>2796</v>
      </c>
      <c r="L1453" s="174" t="s">
        <v>71</v>
      </c>
      <c r="M1453" s="131" t="s">
        <v>72</v>
      </c>
      <c r="N1453" s="130" t="s">
        <v>73</v>
      </c>
      <c r="O1453" s="219" t="s">
        <v>69</v>
      </c>
      <c r="P1453" s="130" t="s">
        <v>1699</v>
      </c>
      <c r="Q1453" s="132" t="s">
        <v>74</v>
      </c>
      <c r="R1453" s="218">
        <v>3.3599999</v>
      </c>
      <c r="S1453" s="129">
        <v>1</v>
      </c>
      <c r="T1453" s="129">
        <v>280</v>
      </c>
      <c r="U1453" s="129">
        <v>280</v>
      </c>
      <c r="V1453" s="129">
        <v>50.399990000000031</v>
      </c>
      <c r="W1453" s="129">
        <v>330.39999000000006</v>
      </c>
      <c r="X1453" s="27">
        <f t="shared" si="190"/>
        <v>280</v>
      </c>
    </row>
    <row r="1454" spans="1:24" x14ac:dyDescent="0.2">
      <c r="A1454" s="220">
        <v>43867</v>
      </c>
      <c r="B1454" s="130" t="s">
        <v>68</v>
      </c>
      <c r="C1454" s="130" t="s">
        <v>102</v>
      </c>
      <c r="D1454" s="130" t="s">
        <v>3110</v>
      </c>
      <c r="E1454" s="130" t="s">
        <v>2547</v>
      </c>
      <c r="F1454" s="130" t="s">
        <v>2548</v>
      </c>
      <c r="G1454" s="220">
        <v>43834</v>
      </c>
      <c r="H1454" s="130" t="s">
        <v>387</v>
      </c>
      <c r="I1454" s="130" t="s">
        <v>386</v>
      </c>
      <c r="J1454" s="130" t="s">
        <v>70</v>
      </c>
      <c r="K1454" s="130" t="s">
        <v>112</v>
      </c>
      <c r="L1454" s="174" t="s">
        <v>71</v>
      </c>
      <c r="M1454" s="131" t="s">
        <v>72</v>
      </c>
      <c r="N1454" s="130" t="s">
        <v>73</v>
      </c>
      <c r="O1454" s="219" t="s">
        <v>69</v>
      </c>
      <c r="P1454" s="130" t="s">
        <v>1699</v>
      </c>
      <c r="Q1454" s="132" t="s">
        <v>74</v>
      </c>
      <c r="R1454" s="218">
        <v>3.3599999</v>
      </c>
      <c r="S1454" s="129">
        <v>1</v>
      </c>
      <c r="T1454" s="129">
        <v>778.75420999999972</v>
      </c>
      <c r="U1454" s="129">
        <v>778.75420999999972</v>
      </c>
      <c r="V1454" s="129">
        <v>140.17578000000023</v>
      </c>
      <c r="W1454" s="129">
        <v>918.92998999999998</v>
      </c>
      <c r="X1454" s="27">
        <f t="shared" si="190"/>
        <v>778.75420999999972</v>
      </c>
    </row>
    <row r="1455" spans="1:24" x14ac:dyDescent="0.2">
      <c r="A1455" s="220">
        <v>43867</v>
      </c>
      <c r="B1455" s="130" t="s">
        <v>68</v>
      </c>
      <c r="C1455" s="130" t="s">
        <v>102</v>
      </c>
      <c r="D1455" s="130" t="s">
        <v>3110</v>
      </c>
      <c r="E1455" s="130" t="s">
        <v>2547</v>
      </c>
      <c r="F1455" s="130" t="s">
        <v>2548</v>
      </c>
      <c r="G1455" s="220">
        <v>43834</v>
      </c>
      <c r="H1455" s="130" t="s">
        <v>387</v>
      </c>
      <c r="I1455" s="130" t="s">
        <v>386</v>
      </c>
      <c r="J1455" s="130" t="s">
        <v>104</v>
      </c>
      <c r="K1455" s="130" t="s">
        <v>105</v>
      </c>
      <c r="L1455" s="174" t="s">
        <v>71</v>
      </c>
      <c r="M1455" s="131" t="s">
        <v>72</v>
      </c>
      <c r="N1455" s="130" t="s">
        <v>73</v>
      </c>
      <c r="O1455" s="219" t="s">
        <v>69</v>
      </c>
      <c r="P1455" s="130" t="s">
        <v>1699</v>
      </c>
      <c r="Q1455" s="132" t="s">
        <v>74</v>
      </c>
      <c r="R1455" s="218">
        <v>3.3599999</v>
      </c>
      <c r="S1455" s="129">
        <v>1</v>
      </c>
      <c r="T1455" s="129">
        <v>2981</v>
      </c>
      <c r="U1455" s="129">
        <v>2981</v>
      </c>
      <c r="V1455" s="129">
        <v>536.58010000000013</v>
      </c>
      <c r="W1455" s="129">
        <v>3517.5801000000001</v>
      </c>
      <c r="X1455" s="27">
        <f t="shared" si="190"/>
        <v>2981</v>
      </c>
    </row>
    <row r="1456" spans="1:24" x14ac:dyDescent="0.2">
      <c r="A1456" s="220">
        <v>43867</v>
      </c>
      <c r="B1456" s="130" t="s">
        <v>68</v>
      </c>
      <c r="C1456" s="130" t="s">
        <v>102</v>
      </c>
      <c r="D1456" s="130" t="s">
        <v>3109</v>
      </c>
      <c r="E1456" s="130" t="s">
        <v>2590</v>
      </c>
      <c r="F1456" s="130" t="s">
        <v>2591</v>
      </c>
      <c r="G1456" s="220">
        <v>43834</v>
      </c>
      <c r="H1456" s="130" t="s">
        <v>387</v>
      </c>
      <c r="I1456" s="130" t="s">
        <v>386</v>
      </c>
      <c r="J1456" s="130" t="s">
        <v>97</v>
      </c>
      <c r="K1456" s="130" t="s">
        <v>98</v>
      </c>
      <c r="L1456" s="174" t="s">
        <v>71</v>
      </c>
      <c r="M1456" s="131" t="s">
        <v>72</v>
      </c>
      <c r="N1456" s="130" t="s">
        <v>73</v>
      </c>
      <c r="O1456" s="219" t="s">
        <v>99</v>
      </c>
      <c r="P1456" s="130" t="s">
        <v>98</v>
      </c>
      <c r="Q1456" s="132" t="s">
        <v>74</v>
      </c>
      <c r="R1456" s="218">
        <v>3.3599999</v>
      </c>
      <c r="S1456" s="129">
        <v>1</v>
      </c>
      <c r="T1456" s="129">
        <v>2295</v>
      </c>
      <c r="U1456" s="129">
        <v>2295</v>
      </c>
      <c r="V1456" s="129">
        <v>413.10010000000011</v>
      </c>
      <c r="W1456" s="129">
        <v>2708.1001000000001</v>
      </c>
      <c r="X1456" s="27">
        <f t="shared" si="190"/>
        <v>2295</v>
      </c>
    </row>
    <row r="1457" spans="1:24" x14ac:dyDescent="0.2">
      <c r="A1457" s="220">
        <v>43867</v>
      </c>
      <c r="B1457" s="130" t="s">
        <v>68</v>
      </c>
      <c r="C1457" s="130" t="s">
        <v>102</v>
      </c>
      <c r="D1457" s="130" t="s">
        <v>3109</v>
      </c>
      <c r="E1457" s="130" t="s">
        <v>2590</v>
      </c>
      <c r="F1457" s="130" t="s">
        <v>2591</v>
      </c>
      <c r="G1457" s="220">
        <v>43834</v>
      </c>
      <c r="H1457" s="130" t="s">
        <v>387</v>
      </c>
      <c r="I1457" s="130" t="s">
        <v>386</v>
      </c>
      <c r="J1457" s="130" t="s">
        <v>100</v>
      </c>
      <c r="K1457" s="130" t="s">
        <v>101</v>
      </c>
      <c r="L1457" s="174" t="s">
        <v>71</v>
      </c>
      <c r="M1457" s="131" t="s">
        <v>72</v>
      </c>
      <c r="N1457" s="130" t="s">
        <v>73</v>
      </c>
      <c r="O1457" s="219" t="s">
        <v>72</v>
      </c>
      <c r="P1457" s="130" t="s">
        <v>101</v>
      </c>
      <c r="Q1457" s="132" t="s">
        <v>74</v>
      </c>
      <c r="R1457" s="218">
        <v>3.3599999</v>
      </c>
      <c r="S1457" s="129">
        <v>1</v>
      </c>
      <c r="T1457" s="129">
        <v>1155</v>
      </c>
      <c r="U1457" s="129">
        <v>1155</v>
      </c>
      <c r="V1457" s="129">
        <v>207.9</v>
      </c>
      <c r="W1457" s="129">
        <v>1362.9</v>
      </c>
      <c r="X1457" s="27">
        <f t="shared" si="190"/>
        <v>1155</v>
      </c>
    </row>
    <row r="1458" spans="1:24" x14ac:dyDescent="0.2">
      <c r="A1458" s="220">
        <v>43867</v>
      </c>
      <c r="B1458" s="130" t="s">
        <v>68</v>
      </c>
      <c r="C1458" s="130" t="s">
        <v>102</v>
      </c>
      <c r="D1458" s="130" t="s">
        <v>3109</v>
      </c>
      <c r="E1458" s="130" t="s">
        <v>2590</v>
      </c>
      <c r="F1458" s="130" t="s">
        <v>2591</v>
      </c>
      <c r="G1458" s="220">
        <v>43834</v>
      </c>
      <c r="H1458" s="130" t="s">
        <v>387</v>
      </c>
      <c r="I1458" s="130" t="s">
        <v>386</v>
      </c>
      <c r="J1458" s="130" t="s">
        <v>92</v>
      </c>
      <c r="K1458" s="130" t="s">
        <v>113</v>
      </c>
      <c r="L1458" s="174" t="s">
        <v>71</v>
      </c>
      <c r="M1458" s="131" t="s">
        <v>72</v>
      </c>
      <c r="N1458" s="130" t="s">
        <v>73</v>
      </c>
      <c r="O1458" s="219" t="s">
        <v>69</v>
      </c>
      <c r="P1458" s="130" t="s">
        <v>1699</v>
      </c>
      <c r="Q1458" s="132" t="s">
        <v>74</v>
      </c>
      <c r="R1458" s="218">
        <v>3.3599999</v>
      </c>
      <c r="S1458" s="129">
        <v>1</v>
      </c>
      <c r="T1458" s="129">
        <v>195</v>
      </c>
      <c r="U1458" s="129">
        <v>195</v>
      </c>
      <c r="V1458" s="129">
        <v>35.100010000000005</v>
      </c>
      <c r="W1458" s="129">
        <v>230.10001</v>
      </c>
      <c r="X1458" s="27">
        <f t="shared" si="190"/>
        <v>195</v>
      </c>
    </row>
    <row r="1459" spans="1:24" x14ac:dyDescent="0.2">
      <c r="A1459" s="220">
        <v>43867</v>
      </c>
      <c r="B1459" s="130" t="s">
        <v>68</v>
      </c>
      <c r="C1459" s="130" t="s">
        <v>102</v>
      </c>
      <c r="D1459" s="130" t="s">
        <v>3109</v>
      </c>
      <c r="E1459" s="130" t="s">
        <v>2590</v>
      </c>
      <c r="F1459" s="130" t="s">
        <v>2591</v>
      </c>
      <c r="G1459" s="220">
        <v>43834</v>
      </c>
      <c r="H1459" s="130" t="s">
        <v>387</v>
      </c>
      <c r="I1459" s="130" t="s">
        <v>386</v>
      </c>
      <c r="J1459" s="130" t="s">
        <v>70</v>
      </c>
      <c r="K1459" s="130" t="s">
        <v>112</v>
      </c>
      <c r="L1459" s="174" t="s">
        <v>71</v>
      </c>
      <c r="M1459" s="131" t="s">
        <v>72</v>
      </c>
      <c r="N1459" s="130" t="s">
        <v>73</v>
      </c>
      <c r="O1459" s="219" t="s">
        <v>69</v>
      </c>
      <c r="P1459" s="130" t="s">
        <v>1699</v>
      </c>
      <c r="Q1459" s="132" t="s">
        <v>74</v>
      </c>
      <c r="R1459" s="218">
        <v>3.3599999</v>
      </c>
      <c r="S1459" s="129">
        <v>1</v>
      </c>
      <c r="T1459" s="129">
        <v>315</v>
      </c>
      <c r="U1459" s="129">
        <v>315</v>
      </c>
      <c r="V1459" s="129">
        <v>56.700010000000113</v>
      </c>
      <c r="W1459" s="129">
        <v>371.70001000000013</v>
      </c>
      <c r="X1459" s="27">
        <f t="shared" si="190"/>
        <v>315</v>
      </c>
    </row>
    <row r="1460" spans="1:24" x14ac:dyDescent="0.2">
      <c r="A1460" s="220">
        <v>43867</v>
      </c>
      <c r="B1460" s="130" t="s">
        <v>68</v>
      </c>
      <c r="C1460" s="130" t="s">
        <v>102</v>
      </c>
      <c r="D1460" s="130" t="s">
        <v>3109</v>
      </c>
      <c r="E1460" s="130" t="s">
        <v>2590</v>
      </c>
      <c r="F1460" s="130" t="s">
        <v>2591</v>
      </c>
      <c r="G1460" s="220">
        <v>43834</v>
      </c>
      <c r="H1460" s="130" t="s">
        <v>387</v>
      </c>
      <c r="I1460" s="130" t="s">
        <v>386</v>
      </c>
      <c r="J1460" s="130" t="s">
        <v>104</v>
      </c>
      <c r="K1460" s="130" t="s">
        <v>105</v>
      </c>
      <c r="L1460" s="174" t="s">
        <v>71</v>
      </c>
      <c r="M1460" s="131" t="s">
        <v>72</v>
      </c>
      <c r="N1460" s="130" t="s">
        <v>73</v>
      </c>
      <c r="O1460" s="219" t="s">
        <v>69</v>
      </c>
      <c r="P1460" s="130" t="s">
        <v>1699</v>
      </c>
      <c r="Q1460" s="132" t="s">
        <v>74</v>
      </c>
      <c r="R1460" s="218">
        <v>3.3599999</v>
      </c>
      <c r="S1460" s="129">
        <v>1</v>
      </c>
      <c r="T1460" s="129">
        <v>1400</v>
      </c>
      <c r="U1460" s="129">
        <v>1400</v>
      </c>
      <c r="V1460" s="129">
        <v>252</v>
      </c>
      <c r="W1460" s="129">
        <v>1652</v>
      </c>
      <c r="X1460" s="27">
        <f t="shared" si="190"/>
        <v>1400</v>
      </c>
    </row>
    <row r="1461" spans="1:24" x14ac:dyDescent="0.2">
      <c r="A1461" s="220">
        <v>43867</v>
      </c>
      <c r="B1461" s="130" t="s">
        <v>68</v>
      </c>
      <c r="C1461" s="130" t="s">
        <v>102</v>
      </c>
      <c r="D1461" s="130" t="s">
        <v>3107</v>
      </c>
      <c r="E1461" s="130" t="s">
        <v>1998</v>
      </c>
      <c r="F1461" s="130" t="s">
        <v>2514</v>
      </c>
      <c r="G1461" s="220">
        <v>43826</v>
      </c>
      <c r="H1461" s="130" t="s">
        <v>387</v>
      </c>
      <c r="I1461" s="130" t="s">
        <v>386</v>
      </c>
      <c r="J1461" s="130" t="s">
        <v>97</v>
      </c>
      <c r="K1461" s="130" t="s">
        <v>98</v>
      </c>
      <c r="L1461" s="174" t="s">
        <v>71</v>
      </c>
      <c r="M1461" s="131" t="s">
        <v>72</v>
      </c>
      <c r="N1461" s="130" t="s">
        <v>73</v>
      </c>
      <c r="O1461" s="219" t="s">
        <v>99</v>
      </c>
      <c r="P1461" s="130" t="s">
        <v>98</v>
      </c>
      <c r="Q1461" s="132" t="s">
        <v>74</v>
      </c>
      <c r="R1461" s="218">
        <v>3.3599999</v>
      </c>
      <c r="S1461" s="129">
        <v>1</v>
      </c>
      <c r="T1461" s="129">
        <v>2497.5</v>
      </c>
      <c r="U1461" s="129">
        <v>2497.5</v>
      </c>
      <c r="V1461" s="129">
        <v>449.55</v>
      </c>
      <c r="W1461" s="129">
        <v>2947.05</v>
      </c>
      <c r="X1461" s="27">
        <f t="shared" si="190"/>
        <v>2497.5</v>
      </c>
    </row>
    <row r="1462" spans="1:24" x14ac:dyDescent="0.2">
      <c r="A1462" s="220">
        <v>43867</v>
      </c>
      <c r="B1462" s="130" t="s">
        <v>68</v>
      </c>
      <c r="C1462" s="130" t="s">
        <v>102</v>
      </c>
      <c r="D1462" s="130" t="s">
        <v>3107</v>
      </c>
      <c r="E1462" s="130" t="s">
        <v>1998</v>
      </c>
      <c r="F1462" s="130" t="s">
        <v>2514</v>
      </c>
      <c r="G1462" s="220">
        <v>43826</v>
      </c>
      <c r="H1462" s="130" t="s">
        <v>387</v>
      </c>
      <c r="I1462" s="130" t="s">
        <v>386</v>
      </c>
      <c r="J1462" s="130" t="s">
        <v>100</v>
      </c>
      <c r="K1462" s="130" t="s">
        <v>101</v>
      </c>
      <c r="L1462" s="174" t="s">
        <v>71</v>
      </c>
      <c r="M1462" s="131" t="s">
        <v>72</v>
      </c>
      <c r="N1462" s="130" t="s">
        <v>73</v>
      </c>
      <c r="O1462" s="219" t="s">
        <v>72</v>
      </c>
      <c r="P1462" s="130" t="s">
        <v>101</v>
      </c>
      <c r="Q1462" s="132" t="s">
        <v>74</v>
      </c>
      <c r="R1462" s="218">
        <v>3.3599999</v>
      </c>
      <c r="S1462" s="129">
        <v>1</v>
      </c>
      <c r="T1462" s="129">
        <v>1540</v>
      </c>
      <c r="U1462" s="129">
        <v>1540</v>
      </c>
      <c r="V1462" s="129">
        <v>277.2</v>
      </c>
      <c r="W1462" s="129">
        <v>1817.2</v>
      </c>
      <c r="X1462" s="27">
        <f t="shared" si="190"/>
        <v>1540</v>
      </c>
    </row>
    <row r="1463" spans="1:24" x14ac:dyDescent="0.2">
      <c r="A1463" s="220">
        <v>43867</v>
      </c>
      <c r="B1463" s="130" t="s">
        <v>68</v>
      </c>
      <c r="C1463" s="130" t="s">
        <v>102</v>
      </c>
      <c r="D1463" s="130" t="s">
        <v>3107</v>
      </c>
      <c r="E1463" s="130" t="s">
        <v>1998</v>
      </c>
      <c r="F1463" s="130" t="s">
        <v>2514</v>
      </c>
      <c r="G1463" s="220">
        <v>43826</v>
      </c>
      <c r="H1463" s="130" t="s">
        <v>387</v>
      </c>
      <c r="I1463" s="130" t="s">
        <v>386</v>
      </c>
      <c r="J1463" s="130" t="s">
        <v>92</v>
      </c>
      <c r="K1463" s="130" t="s">
        <v>113</v>
      </c>
      <c r="L1463" s="174" t="s">
        <v>71</v>
      </c>
      <c r="M1463" s="131" t="s">
        <v>72</v>
      </c>
      <c r="N1463" s="130" t="s">
        <v>73</v>
      </c>
      <c r="O1463" s="219" t="s">
        <v>69</v>
      </c>
      <c r="P1463" s="130" t="s">
        <v>1699</v>
      </c>
      <c r="Q1463" s="132" t="s">
        <v>74</v>
      </c>
      <c r="R1463" s="218">
        <v>3.3599999</v>
      </c>
      <c r="S1463" s="129">
        <v>1</v>
      </c>
      <c r="T1463" s="129">
        <v>645</v>
      </c>
      <c r="U1463" s="129">
        <v>645</v>
      </c>
      <c r="V1463" s="129">
        <v>116.09998000000007</v>
      </c>
      <c r="W1463" s="129">
        <v>761.09998000000007</v>
      </c>
      <c r="X1463" s="27">
        <f t="shared" si="190"/>
        <v>645</v>
      </c>
    </row>
    <row r="1464" spans="1:24" x14ac:dyDescent="0.2">
      <c r="A1464" s="220">
        <v>43867</v>
      </c>
      <c r="B1464" s="130" t="s">
        <v>68</v>
      </c>
      <c r="C1464" s="130" t="s">
        <v>102</v>
      </c>
      <c r="D1464" s="130" t="s">
        <v>3107</v>
      </c>
      <c r="E1464" s="130" t="s">
        <v>1998</v>
      </c>
      <c r="F1464" s="130" t="s">
        <v>2514</v>
      </c>
      <c r="G1464" s="220">
        <v>43826</v>
      </c>
      <c r="H1464" s="130" t="s">
        <v>387</v>
      </c>
      <c r="I1464" s="130" t="s">
        <v>386</v>
      </c>
      <c r="J1464" s="130" t="s">
        <v>132</v>
      </c>
      <c r="K1464" s="130" t="s">
        <v>1156</v>
      </c>
      <c r="L1464" s="174" t="s">
        <v>71</v>
      </c>
      <c r="M1464" s="131" t="s">
        <v>72</v>
      </c>
      <c r="N1464" s="130" t="s">
        <v>73</v>
      </c>
      <c r="O1464" s="219" t="s">
        <v>69</v>
      </c>
      <c r="P1464" s="130" t="s">
        <v>1699</v>
      </c>
      <c r="Q1464" s="132" t="s">
        <v>74</v>
      </c>
      <c r="R1464" s="218">
        <v>3.3599999</v>
      </c>
      <c r="S1464" s="129">
        <v>1</v>
      </c>
      <c r="T1464" s="129">
        <v>1189</v>
      </c>
      <c r="U1464" s="129">
        <v>1189</v>
      </c>
      <c r="V1464" s="129">
        <v>214.02</v>
      </c>
      <c r="W1464" s="129">
        <v>1403.02</v>
      </c>
      <c r="X1464" s="27">
        <f t="shared" si="190"/>
        <v>1189</v>
      </c>
    </row>
    <row r="1465" spans="1:24" x14ac:dyDescent="0.2">
      <c r="A1465" s="220">
        <v>43867</v>
      </c>
      <c r="B1465" s="130" t="s">
        <v>68</v>
      </c>
      <c r="C1465" s="130" t="s">
        <v>102</v>
      </c>
      <c r="D1465" s="130" t="s">
        <v>3107</v>
      </c>
      <c r="E1465" s="130" t="s">
        <v>1998</v>
      </c>
      <c r="F1465" s="130" t="s">
        <v>2514</v>
      </c>
      <c r="G1465" s="220">
        <v>43826</v>
      </c>
      <c r="H1465" s="130" t="s">
        <v>387</v>
      </c>
      <c r="I1465" s="130" t="s">
        <v>386</v>
      </c>
      <c r="J1465" s="130" t="s">
        <v>139</v>
      </c>
      <c r="K1465" s="130" t="s">
        <v>105</v>
      </c>
      <c r="L1465" s="174" t="s">
        <v>71</v>
      </c>
      <c r="M1465" s="131" t="s">
        <v>72</v>
      </c>
      <c r="N1465" s="130" t="s">
        <v>73</v>
      </c>
      <c r="O1465" s="219" t="s">
        <v>69</v>
      </c>
      <c r="P1465" s="130" t="s">
        <v>1699</v>
      </c>
      <c r="Q1465" s="132" t="s">
        <v>74</v>
      </c>
      <c r="R1465" s="218">
        <v>3.3599999</v>
      </c>
      <c r="S1465" s="129">
        <v>1</v>
      </c>
      <c r="T1465" s="129">
        <v>1119</v>
      </c>
      <c r="U1465" s="129">
        <v>1119</v>
      </c>
      <c r="V1465" s="129">
        <v>201.42</v>
      </c>
      <c r="W1465" s="129">
        <v>1320.42</v>
      </c>
      <c r="X1465" s="27">
        <f t="shared" si="190"/>
        <v>1119</v>
      </c>
    </row>
    <row r="1466" spans="1:24" x14ac:dyDescent="0.2">
      <c r="A1466" s="220">
        <v>43867</v>
      </c>
      <c r="B1466" s="130" t="s">
        <v>68</v>
      </c>
      <c r="C1466" s="130" t="s">
        <v>102</v>
      </c>
      <c r="D1466" s="130" t="s">
        <v>3107</v>
      </c>
      <c r="E1466" s="130" t="s">
        <v>1998</v>
      </c>
      <c r="F1466" s="130" t="s">
        <v>2514</v>
      </c>
      <c r="G1466" s="220">
        <v>43826</v>
      </c>
      <c r="H1466" s="130" t="s">
        <v>387</v>
      </c>
      <c r="I1466" s="130" t="s">
        <v>386</v>
      </c>
      <c r="J1466" s="130" t="s">
        <v>139</v>
      </c>
      <c r="K1466" s="130" t="s">
        <v>94</v>
      </c>
      <c r="L1466" s="174" t="s">
        <v>71</v>
      </c>
      <c r="M1466" s="131" t="s">
        <v>72</v>
      </c>
      <c r="N1466" s="130" t="s">
        <v>73</v>
      </c>
      <c r="O1466" s="219" t="s">
        <v>69</v>
      </c>
      <c r="P1466" s="130" t="s">
        <v>1699</v>
      </c>
      <c r="Q1466" s="132" t="s">
        <v>74</v>
      </c>
      <c r="R1466" s="218">
        <v>3.3599999</v>
      </c>
      <c r="S1466" s="129">
        <v>1</v>
      </c>
      <c r="T1466" s="129">
        <v>200</v>
      </c>
      <c r="U1466" s="129">
        <v>200</v>
      </c>
      <c r="V1466" s="129">
        <v>36</v>
      </c>
      <c r="W1466" s="129">
        <v>236</v>
      </c>
      <c r="X1466" s="27">
        <f t="shared" si="190"/>
        <v>200</v>
      </c>
    </row>
    <row r="1467" spans="1:24" x14ac:dyDescent="0.2">
      <c r="A1467" s="220">
        <v>43867</v>
      </c>
      <c r="B1467" s="130" t="s">
        <v>68</v>
      </c>
      <c r="C1467" s="130" t="s">
        <v>102</v>
      </c>
      <c r="D1467" s="130" t="s">
        <v>3107</v>
      </c>
      <c r="E1467" s="130" t="s">
        <v>1998</v>
      </c>
      <c r="F1467" s="130" t="s">
        <v>2514</v>
      </c>
      <c r="G1467" s="220">
        <v>43826</v>
      </c>
      <c r="H1467" s="130" t="s">
        <v>387</v>
      </c>
      <c r="I1467" s="130" t="s">
        <v>386</v>
      </c>
      <c r="J1467" s="130" t="s">
        <v>139</v>
      </c>
      <c r="K1467" s="130" t="s">
        <v>3108</v>
      </c>
      <c r="L1467" s="174" t="s">
        <v>71</v>
      </c>
      <c r="M1467" s="131" t="s">
        <v>72</v>
      </c>
      <c r="N1467" s="130" t="s">
        <v>73</v>
      </c>
      <c r="O1467" s="219" t="s">
        <v>69</v>
      </c>
      <c r="P1467" s="130" t="s">
        <v>1699</v>
      </c>
      <c r="Q1467" s="132" t="s">
        <v>74</v>
      </c>
      <c r="R1467" s="218">
        <v>3.3599999</v>
      </c>
      <c r="S1467" s="129">
        <v>4</v>
      </c>
      <c r="T1467" s="129">
        <v>35</v>
      </c>
      <c r="U1467" s="129">
        <v>140</v>
      </c>
      <c r="V1467" s="129">
        <v>25.199995999999956</v>
      </c>
      <c r="W1467" s="129">
        <v>165.19999599999994</v>
      </c>
      <c r="X1467" s="27">
        <f t="shared" si="190"/>
        <v>140</v>
      </c>
    </row>
    <row r="1468" spans="1:24" x14ac:dyDescent="0.2">
      <c r="A1468" s="220">
        <v>43867</v>
      </c>
      <c r="B1468" s="130" t="s">
        <v>68</v>
      </c>
      <c r="C1468" s="130" t="s">
        <v>102</v>
      </c>
      <c r="D1468" s="130" t="s">
        <v>3107</v>
      </c>
      <c r="E1468" s="130" t="s">
        <v>1998</v>
      </c>
      <c r="F1468" s="130" t="s">
        <v>2514</v>
      </c>
      <c r="G1468" s="220">
        <v>43826</v>
      </c>
      <c r="H1468" s="130" t="s">
        <v>387</v>
      </c>
      <c r="I1468" s="130" t="s">
        <v>386</v>
      </c>
      <c r="J1468" s="130" t="s">
        <v>70</v>
      </c>
      <c r="K1468" s="130" t="s">
        <v>112</v>
      </c>
      <c r="L1468" s="174" t="s">
        <v>71</v>
      </c>
      <c r="M1468" s="131" t="s">
        <v>72</v>
      </c>
      <c r="N1468" s="130" t="s">
        <v>73</v>
      </c>
      <c r="O1468" s="219" t="s">
        <v>69</v>
      </c>
      <c r="P1468" s="130" t="s">
        <v>1699</v>
      </c>
      <c r="Q1468" s="132" t="s">
        <v>74</v>
      </c>
      <c r="R1468" s="218">
        <v>3.3599999</v>
      </c>
      <c r="S1468" s="129">
        <v>1</v>
      </c>
      <c r="T1468" s="129">
        <v>533.75420999999994</v>
      </c>
      <c r="U1468" s="129">
        <v>533.75420999999994</v>
      </c>
      <c r="V1468" s="129">
        <v>96.075810000000061</v>
      </c>
      <c r="W1468" s="129">
        <v>629.83001999999999</v>
      </c>
      <c r="X1468" s="27">
        <f t="shared" si="190"/>
        <v>533.75420999999994</v>
      </c>
    </row>
    <row r="1469" spans="1:24" x14ac:dyDescent="0.2">
      <c r="A1469" s="220">
        <v>43867</v>
      </c>
      <c r="B1469" s="130" t="s">
        <v>68</v>
      </c>
      <c r="C1469" s="130" t="s">
        <v>102</v>
      </c>
      <c r="D1469" s="130" t="s">
        <v>3107</v>
      </c>
      <c r="E1469" s="130" t="s">
        <v>1998</v>
      </c>
      <c r="F1469" s="130" t="s">
        <v>2514</v>
      </c>
      <c r="G1469" s="220">
        <v>43826</v>
      </c>
      <c r="H1469" s="130" t="s">
        <v>387</v>
      </c>
      <c r="I1469" s="130" t="s">
        <v>386</v>
      </c>
      <c r="J1469" s="130" t="s">
        <v>104</v>
      </c>
      <c r="K1469" s="130" t="s">
        <v>105</v>
      </c>
      <c r="L1469" s="174" t="s">
        <v>71</v>
      </c>
      <c r="M1469" s="131" t="s">
        <v>72</v>
      </c>
      <c r="N1469" s="130" t="s">
        <v>73</v>
      </c>
      <c r="O1469" s="219" t="s">
        <v>69</v>
      </c>
      <c r="P1469" s="130" t="s">
        <v>1699</v>
      </c>
      <c r="Q1469" s="132" t="s">
        <v>74</v>
      </c>
      <c r="R1469" s="218">
        <v>3.3599999</v>
      </c>
      <c r="S1469" s="129">
        <v>1</v>
      </c>
      <c r="T1469" s="129">
        <v>3975.3982000000001</v>
      </c>
      <c r="U1469" s="129">
        <v>3975.3982000000001</v>
      </c>
      <c r="V1469" s="129">
        <v>715.57199999999955</v>
      </c>
      <c r="W1469" s="129">
        <v>4690.9701999999997</v>
      </c>
      <c r="X1469" s="27">
        <f t="shared" si="190"/>
        <v>3975.3982000000001</v>
      </c>
    </row>
    <row r="1470" spans="1:24" x14ac:dyDescent="0.2">
      <c r="A1470" s="220">
        <v>43868</v>
      </c>
      <c r="B1470" s="130" t="s">
        <v>68</v>
      </c>
      <c r="C1470" s="130" t="s">
        <v>102</v>
      </c>
      <c r="D1470" s="130" t="s">
        <v>3106</v>
      </c>
      <c r="E1470" s="130" t="s">
        <v>2682</v>
      </c>
      <c r="F1470" s="130" t="s">
        <v>3102</v>
      </c>
      <c r="G1470" s="220">
        <v>43857</v>
      </c>
      <c r="H1470" s="130" t="s">
        <v>3105</v>
      </c>
      <c r="I1470" s="130" t="s">
        <v>3104</v>
      </c>
      <c r="J1470" s="130" t="s">
        <v>95</v>
      </c>
      <c r="K1470" s="130" t="s">
        <v>96</v>
      </c>
      <c r="L1470" s="174" t="s">
        <v>71</v>
      </c>
      <c r="M1470" s="131" t="s">
        <v>72</v>
      </c>
      <c r="N1470" s="130" t="s">
        <v>73</v>
      </c>
      <c r="O1470" s="219" t="s">
        <v>69</v>
      </c>
      <c r="P1470" s="130" t="s">
        <v>1699</v>
      </c>
      <c r="Q1470" s="132" t="s">
        <v>93</v>
      </c>
      <c r="R1470" s="218">
        <v>3.3710000999999998</v>
      </c>
      <c r="S1470" s="129">
        <v>1</v>
      </c>
      <c r="T1470" s="129">
        <v>191.72031000000004</v>
      </c>
      <c r="U1470" s="129">
        <v>191.72031000000004</v>
      </c>
      <c r="V1470" s="129">
        <v>34.509689999999971</v>
      </c>
      <c r="W1470" s="129">
        <v>226.23</v>
      </c>
      <c r="X1470" s="27">
        <f t="shared" si="190"/>
        <v>646.28918418203114</v>
      </c>
    </row>
    <row r="1471" spans="1:24" x14ac:dyDescent="0.2">
      <c r="A1471" s="220">
        <v>43868</v>
      </c>
      <c r="B1471" s="130" t="s">
        <v>68</v>
      </c>
      <c r="C1471" s="130" t="s">
        <v>102</v>
      </c>
      <c r="D1471" s="130" t="s">
        <v>3103</v>
      </c>
      <c r="E1471" s="130" t="s">
        <v>2682</v>
      </c>
      <c r="F1471" s="130" t="s">
        <v>3102</v>
      </c>
      <c r="G1471" s="220">
        <v>43857</v>
      </c>
      <c r="H1471" s="130" t="s">
        <v>90</v>
      </c>
      <c r="I1471" s="130" t="s">
        <v>91</v>
      </c>
      <c r="J1471" s="130" t="s">
        <v>97</v>
      </c>
      <c r="K1471" s="130" t="s">
        <v>98</v>
      </c>
      <c r="L1471" s="174" t="s">
        <v>71</v>
      </c>
      <c r="M1471" s="131" t="s">
        <v>72</v>
      </c>
      <c r="N1471" s="130" t="s">
        <v>73</v>
      </c>
      <c r="O1471" s="219" t="s">
        <v>99</v>
      </c>
      <c r="P1471" s="130" t="s">
        <v>98</v>
      </c>
      <c r="Q1471" s="132" t="s">
        <v>93</v>
      </c>
      <c r="R1471" s="218">
        <v>3.3710000999999998</v>
      </c>
      <c r="S1471" s="129">
        <v>1</v>
      </c>
      <c r="T1471" s="129">
        <v>236</v>
      </c>
      <c r="U1471" s="129">
        <v>236</v>
      </c>
      <c r="V1471" s="129">
        <v>42.48001</v>
      </c>
      <c r="W1471" s="129">
        <v>278.48000999999999</v>
      </c>
      <c r="X1471" s="27">
        <f t="shared" si="190"/>
        <v>795.5560236</v>
      </c>
    </row>
    <row r="1472" spans="1:24" x14ac:dyDescent="0.2">
      <c r="A1472" s="220">
        <v>43868</v>
      </c>
      <c r="B1472" s="130" t="s">
        <v>68</v>
      </c>
      <c r="C1472" s="130" t="s">
        <v>102</v>
      </c>
      <c r="D1472" s="130" t="s">
        <v>3103</v>
      </c>
      <c r="E1472" s="130" t="s">
        <v>2682</v>
      </c>
      <c r="F1472" s="130" t="s">
        <v>3102</v>
      </c>
      <c r="G1472" s="220">
        <v>43857</v>
      </c>
      <c r="H1472" s="130" t="s">
        <v>90</v>
      </c>
      <c r="I1472" s="130" t="s">
        <v>91</v>
      </c>
      <c r="J1472" s="130" t="s">
        <v>100</v>
      </c>
      <c r="K1472" s="130" t="s">
        <v>101</v>
      </c>
      <c r="L1472" s="174" t="s">
        <v>71</v>
      </c>
      <c r="M1472" s="131" t="s">
        <v>72</v>
      </c>
      <c r="N1472" s="130" t="s">
        <v>73</v>
      </c>
      <c r="O1472" s="219" t="s">
        <v>72</v>
      </c>
      <c r="P1472" s="130" t="s">
        <v>101</v>
      </c>
      <c r="Q1472" s="132" t="s">
        <v>93</v>
      </c>
      <c r="R1472" s="218">
        <v>3.3710000999999998</v>
      </c>
      <c r="S1472" s="129">
        <v>1</v>
      </c>
      <c r="T1472" s="129">
        <v>210</v>
      </c>
      <c r="U1472" s="129">
        <v>210</v>
      </c>
      <c r="V1472" s="129">
        <v>37.799999999999997</v>
      </c>
      <c r="W1472" s="129">
        <v>247.8</v>
      </c>
      <c r="X1472" s="27">
        <f t="shared" si="190"/>
        <v>707.91002099999992</v>
      </c>
    </row>
    <row r="1473" spans="1:24" x14ac:dyDescent="0.2">
      <c r="A1473" s="220">
        <v>43868</v>
      </c>
      <c r="B1473" s="130" t="s">
        <v>68</v>
      </c>
      <c r="C1473" s="130" t="s">
        <v>102</v>
      </c>
      <c r="D1473" s="130" t="s">
        <v>3103</v>
      </c>
      <c r="E1473" s="130" t="s">
        <v>2682</v>
      </c>
      <c r="F1473" s="130" t="s">
        <v>3102</v>
      </c>
      <c r="G1473" s="220">
        <v>43857</v>
      </c>
      <c r="H1473" s="130" t="s">
        <v>90</v>
      </c>
      <c r="I1473" s="130" t="s">
        <v>91</v>
      </c>
      <c r="J1473" s="130" t="s">
        <v>92</v>
      </c>
      <c r="K1473" s="130" t="s">
        <v>113</v>
      </c>
      <c r="L1473" s="174" t="s">
        <v>71</v>
      </c>
      <c r="M1473" s="131" t="s">
        <v>72</v>
      </c>
      <c r="N1473" s="130" t="s">
        <v>73</v>
      </c>
      <c r="O1473" s="219" t="s">
        <v>69</v>
      </c>
      <c r="P1473" s="130" t="s">
        <v>1699</v>
      </c>
      <c r="Q1473" s="132" t="s">
        <v>93</v>
      </c>
      <c r="R1473" s="218">
        <v>3.3710000999999998</v>
      </c>
      <c r="S1473" s="129">
        <v>1</v>
      </c>
      <c r="T1473" s="129">
        <v>80</v>
      </c>
      <c r="U1473" s="129">
        <v>80</v>
      </c>
      <c r="V1473" s="129">
        <v>14.400002000000004</v>
      </c>
      <c r="W1473" s="129">
        <v>94.400002000000001</v>
      </c>
      <c r="X1473" s="27">
        <f t="shared" si="190"/>
        <v>269.68000799999999</v>
      </c>
    </row>
    <row r="1474" spans="1:24" x14ac:dyDescent="0.2">
      <c r="A1474" s="220">
        <v>43868</v>
      </c>
      <c r="B1474" s="130" t="s">
        <v>68</v>
      </c>
      <c r="C1474" s="130" t="s">
        <v>102</v>
      </c>
      <c r="D1474" s="130" t="s">
        <v>3103</v>
      </c>
      <c r="E1474" s="130" t="s">
        <v>2682</v>
      </c>
      <c r="F1474" s="130" t="s">
        <v>3102</v>
      </c>
      <c r="G1474" s="220">
        <v>43857</v>
      </c>
      <c r="H1474" s="130" t="s">
        <v>90</v>
      </c>
      <c r="I1474" s="130" t="s">
        <v>91</v>
      </c>
      <c r="J1474" s="130" t="s">
        <v>70</v>
      </c>
      <c r="K1474" s="130" t="s">
        <v>112</v>
      </c>
      <c r="L1474" s="174" t="s">
        <v>71</v>
      </c>
      <c r="M1474" s="131" t="s">
        <v>72</v>
      </c>
      <c r="N1474" s="130" t="s">
        <v>73</v>
      </c>
      <c r="O1474" s="219" t="s">
        <v>69</v>
      </c>
      <c r="P1474" s="130" t="s">
        <v>1699</v>
      </c>
      <c r="Q1474" s="132" t="s">
        <v>93</v>
      </c>
      <c r="R1474" s="218">
        <v>3.3710000999999998</v>
      </c>
      <c r="S1474" s="129">
        <v>1</v>
      </c>
      <c r="T1474" s="129">
        <v>15</v>
      </c>
      <c r="U1474" s="129">
        <v>15</v>
      </c>
      <c r="V1474" s="129">
        <v>2.7000009999999999</v>
      </c>
      <c r="W1474" s="129">
        <v>17.700001</v>
      </c>
      <c r="X1474" s="27">
        <f t="shared" si="190"/>
        <v>50.565001499999994</v>
      </c>
    </row>
    <row r="1475" spans="1:24" x14ac:dyDescent="0.2">
      <c r="A1475" s="220">
        <v>43868</v>
      </c>
      <c r="B1475" s="130" t="s">
        <v>68</v>
      </c>
      <c r="C1475" s="130" t="s">
        <v>102</v>
      </c>
      <c r="D1475" s="130" t="s">
        <v>3103</v>
      </c>
      <c r="E1475" s="130" t="s">
        <v>2682</v>
      </c>
      <c r="F1475" s="130" t="s">
        <v>3102</v>
      </c>
      <c r="G1475" s="220">
        <v>43857</v>
      </c>
      <c r="H1475" s="130" t="s">
        <v>90</v>
      </c>
      <c r="I1475" s="130" t="s">
        <v>91</v>
      </c>
      <c r="J1475" s="130" t="s">
        <v>95</v>
      </c>
      <c r="K1475" s="130" t="s">
        <v>96</v>
      </c>
      <c r="L1475" s="174" t="s">
        <v>71</v>
      </c>
      <c r="M1475" s="131" t="s">
        <v>72</v>
      </c>
      <c r="N1475" s="130" t="s">
        <v>73</v>
      </c>
      <c r="O1475" s="219" t="s">
        <v>69</v>
      </c>
      <c r="P1475" s="130" t="s">
        <v>1699</v>
      </c>
      <c r="Q1475" s="132" t="s">
        <v>93</v>
      </c>
      <c r="R1475" s="218">
        <v>3.3710000999999998</v>
      </c>
      <c r="S1475" s="129">
        <v>-1</v>
      </c>
      <c r="T1475" s="129">
        <v>191.72031000000004</v>
      </c>
      <c r="U1475" s="129">
        <v>-191.72031000000004</v>
      </c>
      <c r="V1475" s="129">
        <v>-34.509689999999971</v>
      </c>
      <c r="W1475" s="129">
        <v>-226.23</v>
      </c>
      <c r="X1475" s="27">
        <f t="shared" si="190"/>
        <v>-646.28918418203114</v>
      </c>
    </row>
    <row r="1476" spans="1:24" x14ac:dyDescent="0.2">
      <c r="A1476" s="220">
        <v>43868</v>
      </c>
      <c r="B1476" s="130" t="s">
        <v>68</v>
      </c>
      <c r="C1476" s="130" t="s">
        <v>102</v>
      </c>
      <c r="D1476" s="130" t="s">
        <v>3103</v>
      </c>
      <c r="E1476" s="130" t="s">
        <v>2682</v>
      </c>
      <c r="F1476" s="130" t="s">
        <v>3102</v>
      </c>
      <c r="G1476" s="220">
        <v>43857</v>
      </c>
      <c r="H1476" s="130" t="s">
        <v>90</v>
      </c>
      <c r="I1476" s="130" t="s">
        <v>91</v>
      </c>
      <c r="J1476" s="130" t="s">
        <v>104</v>
      </c>
      <c r="K1476" s="130" t="s">
        <v>105</v>
      </c>
      <c r="L1476" s="174" t="s">
        <v>71</v>
      </c>
      <c r="M1476" s="131" t="s">
        <v>72</v>
      </c>
      <c r="N1476" s="130" t="s">
        <v>73</v>
      </c>
      <c r="O1476" s="219" t="s">
        <v>69</v>
      </c>
      <c r="P1476" s="130" t="s">
        <v>1699</v>
      </c>
      <c r="Q1476" s="132" t="s">
        <v>93</v>
      </c>
      <c r="R1476" s="218">
        <v>3.3710000999999998</v>
      </c>
      <c r="S1476" s="129">
        <v>1</v>
      </c>
      <c r="T1476" s="129">
        <v>0</v>
      </c>
      <c r="U1476" s="129">
        <v>0</v>
      </c>
      <c r="V1476" s="129">
        <v>0</v>
      </c>
      <c r="W1476" s="129">
        <v>0</v>
      </c>
      <c r="X1476" s="27">
        <f t="shared" si="190"/>
        <v>0</v>
      </c>
    </row>
    <row r="1477" spans="1:24" x14ac:dyDescent="0.2">
      <c r="A1477" s="220">
        <v>43868</v>
      </c>
      <c r="B1477" s="130" t="s">
        <v>68</v>
      </c>
      <c r="C1477" s="130" t="s">
        <v>102</v>
      </c>
      <c r="D1477" s="130" t="s">
        <v>3101</v>
      </c>
      <c r="E1477" s="130" t="s">
        <v>2863</v>
      </c>
      <c r="F1477" s="130" t="s">
        <v>3049</v>
      </c>
      <c r="G1477" s="220">
        <v>43857</v>
      </c>
      <c r="H1477" s="130" t="s">
        <v>90</v>
      </c>
      <c r="I1477" s="130" t="s">
        <v>91</v>
      </c>
      <c r="J1477" s="130" t="s">
        <v>97</v>
      </c>
      <c r="K1477" s="130" t="s">
        <v>98</v>
      </c>
      <c r="L1477" s="174" t="s">
        <v>71</v>
      </c>
      <c r="M1477" s="131" t="s">
        <v>72</v>
      </c>
      <c r="N1477" s="130" t="s">
        <v>73</v>
      </c>
      <c r="O1477" s="219" t="s">
        <v>99</v>
      </c>
      <c r="P1477" s="130" t="s">
        <v>98</v>
      </c>
      <c r="Q1477" s="132" t="s">
        <v>93</v>
      </c>
      <c r="R1477" s="218">
        <v>3.3710000999999998</v>
      </c>
      <c r="S1477" s="129">
        <v>1</v>
      </c>
      <c r="T1477" s="129">
        <v>118</v>
      </c>
      <c r="U1477" s="129">
        <v>118</v>
      </c>
      <c r="V1477" s="129">
        <v>21.240010000000019</v>
      </c>
      <c r="W1477" s="129">
        <v>139.24001000000001</v>
      </c>
      <c r="X1477" s="27">
        <f t="shared" ref="X1477:X1540" si="191">IF(Q1477="$",(U1477*R1477),U1477)</f>
        <v>397.7780118</v>
      </c>
    </row>
    <row r="1478" spans="1:24" x14ac:dyDescent="0.2">
      <c r="A1478" s="220">
        <v>43868</v>
      </c>
      <c r="B1478" s="130" t="s">
        <v>68</v>
      </c>
      <c r="C1478" s="130" t="s">
        <v>102</v>
      </c>
      <c r="D1478" s="130" t="s">
        <v>3101</v>
      </c>
      <c r="E1478" s="130" t="s">
        <v>2863</v>
      </c>
      <c r="F1478" s="130" t="s">
        <v>3049</v>
      </c>
      <c r="G1478" s="220">
        <v>43857</v>
      </c>
      <c r="H1478" s="130" t="s">
        <v>90</v>
      </c>
      <c r="I1478" s="130" t="s">
        <v>91</v>
      </c>
      <c r="J1478" s="130" t="s">
        <v>100</v>
      </c>
      <c r="K1478" s="130" t="s">
        <v>101</v>
      </c>
      <c r="L1478" s="174" t="s">
        <v>71</v>
      </c>
      <c r="M1478" s="131" t="s">
        <v>72</v>
      </c>
      <c r="N1478" s="130" t="s">
        <v>73</v>
      </c>
      <c r="O1478" s="219" t="s">
        <v>72</v>
      </c>
      <c r="P1478" s="130" t="s">
        <v>101</v>
      </c>
      <c r="Q1478" s="132" t="s">
        <v>93</v>
      </c>
      <c r="R1478" s="218">
        <v>3.3710000999999998</v>
      </c>
      <c r="S1478" s="129">
        <v>1</v>
      </c>
      <c r="T1478" s="129">
        <v>78.754203999999987</v>
      </c>
      <c r="U1478" s="129">
        <v>78.754203999999987</v>
      </c>
      <c r="V1478" s="129">
        <v>14.175796000000009</v>
      </c>
      <c r="W1478" s="129">
        <v>92.93</v>
      </c>
      <c r="X1478" s="27">
        <f t="shared" si="191"/>
        <v>265.48042955942032</v>
      </c>
    </row>
    <row r="1479" spans="1:24" x14ac:dyDescent="0.2">
      <c r="A1479" s="220">
        <v>43868</v>
      </c>
      <c r="B1479" s="130" t="s">
        <v>68</v>
      </c>
      <c r="C1479" s="130" t="s">
        <v>102</v>
      </c>
      <c r="D1479" s="130" t="s">
        <v>3101</v>
      </c>
      <c r="E1479" s="130" t="s">
        <v>2863</v>
      </c>
      <c r="F1479" s="130" t="s">
        <v>3049</v>
      </c>
      <c r="G1479" s="220">
        <v>43857</v>
      </c>
      <c r="H1479" s="130" t="s">
        <v>90</v>
      </c>
      <c r="I1479" s="130" t="s">
        <v>91</v>
      </c>
      <c r="J1479" s="130" t="s">
        <v>92</v>
      </c>
      <c r="K1479" s="130" t="s">
        <v>113</v>
      </c>
      <c r="L1479" s="174" t="s">
        <v>71</v>
      </c>
      <c r="M1479" s="131" t="s">
        <v>72</v>
      </c>
      <c r="N1479" s="130" t="s">
        <v>73</v>
      </c>
      <c r="O1479" s="219" t="s">
        <v>69</v>
      </c>
      <c r="P1479" s="130" t="s">
        <v>1699</v>
      </c>
      <c r="Q1479" s="132" t="s">
        <v>93</v>
      </c>
      <c r="R1479" s="218">
        <v>3.3710000999999998</v>
      </c>
      <c r="S1479" s="129">
        <v>1</v>
      </c>
      <c r="T1479" s="129">
        <v>50</v>
      </c>
      <c r="U1479" s="129">
        <v>50</v>
      </c>
      <c r="V1479" s="129">
        <v>9</v>
      </c>
      <c r="W1479" s="129">
        <v>59</v>
      </c>
      <c r="X1479" s="27">
        <f t="shared" si="191"/>
        <v>168.550005</v>
      </c>
    </row>
    <row r="1480" spans="1:24" x14ac:dyDescent="0.2">
      <c r="A1480" s="220">
        <v>43868</v>
      </c>
      <c r="B1480" s="130" t="s">
        <v>68</v>
      </c>
      <c r="C1480" s="130" t="s">
        <v>102</v>
      </c>
      <c r="D1480" s="130" t="s">
        <v>3101</v>
      </c>
      <c r="E1480" s="130" t="s">
        <v>2863</v>
      </c>
      <c r="F1480" s="130" t="s">
        <v>3049</v>
      </c>
      <c r="G1480" s="220">
        <v>43857</v>
      </c>
      <c r="H1480" s="130" t="s">
        <v>90</v>
      </c>
      <c r="I1480" s="130" t="s">
        <v>91</v>
      </c>
      <c r="J1480" s="130" t="s">
        <v>95</v>
      </c>
      <c r="K1480" s="130" t="s">
        <v>96</v>
      </c>
      <c r="L1480" s="174" t="s">
        <v>71</v>
      </c>
      <c r="M1480" s="131" t="s">
        <v>72</v>
      </c>
      <c r="N1480" s="130" t="s">
        <v>73</v>
      </c>
      <c r="O1480" s="219" t="s">
        <v>69</v>
      </c>
      <c r="P1480" s="130" t="s">
        <v>1699</v>
      </c>
      <c r="Q1480" s="132" t="s">
        <v>93</v>
      </c>
      <c r="R1480" s="218">
        <v>3.3710000999999998</v>
      </c>
      <c r="S1480" s="129">
        <v>-1</v>
      </c>
      <c r="T1480" s="129">
        <v>100</v>
      </c>
      <c r="U1480" s="129">
        <v>-100</v>
      </c>
      <c r="V1480" s="129">
        <v>-18</v>
      </c>
      <c r="W1480" s="129">
        <v>-118</v>
      </c>
      <c r="X1480" s="27">
        <f t="shared" si="191"/>
        <v>-337.10001</v>
      </c>
    </row>
    <row r="1481" spans="1:24" x14ac:dyDescent="0.2">
      <c r="A1481" s="220">
        <v>43868</v>
      </c>
      <c r="B1481" s="130" t="s">
        <v>68</v>
      </c>
      <c r="C1481" s="130" t="s">
        <v>102</v>
      </c>
      <c r="D1481" s="130" t="s">
        <v>3101</v>
      </c>
      <c r="E1481" s="130" t="s">
        <v>2863</v>
      </c>
      <c r="F1481" s="130" t="s">
        <v>3049</v>
      </c>
      <c r="G1481" s="220">
        <v>43857</v>
      </c>
      <c r="H1481" s="130" t="s">
        <v>90</v>
      </c>
      <c r="I1481" s="130" t="s">
        <v>91</v>
      </c>
      <c r="J1481" s="130" t="s">
        <v>104</v>
      </c>
      <c r="K1481" s="130" t="s">
        <v>105</v>
      </c>
      <c r="L1481" s="174" t="s">
        <v>71</v>
      </c>
      <c r="M1481" s="131" t="s">
        <v>72</v>
      </c>
      <c r="N1481" s="130" t="s">
        <v>73</v>
      </c>
      <c r="O1481" s="219" t="s">
        <v>69</v>
      </c>
      <c r="P1481" s="130" t="s">
        <v>1699</v>
      </c>
      <c r="Q1481" s="132" t="s">
        <v>93</v>
      </c>
      <c r="R1481" s="218">
        <v>3.3710000999999998</v>
      </c>
      <c r="S1481" s="129">
        <v>1</v>
      </c>
      <c r="T1481" s="129">
        <v>0</v>
      </c>
      <c r="U1481" s="129">
        <v>0</v>
      </c>
      <c r="V1481" s="129">
        <v>0</v>
      </c>
      <c r="W1481" s="129">
        <v>0</v>
      </c>
      <c r="X1481" s="27">
        <f t="shared" si="191"/>
        <v>0</v>
      </c>
    </row>
    <row r="1482" spans="1:24" x14ac:dyDescent="0.2">
      <c r="A1482" s="220">
        <v>43868</v>
      </c>
      <c r="B1482" s="130" t="s">
        <v>68</v>
      </c>
      <c r="C1482" s="130" t="s">
        <v>102</v>
      </c>
      <c r="D1482" s="130" t="s">
        <v>2409</v>
      </c>
      <c r="E1482" s="130" t="s">
        <v>3046</v>
      </c>
      <c r="F1482" s="130" t="s">
        <v>3045</v>
      </c>
      <c r="G1482" s="220">
        <v>43861</v>
      </c>
      <c r="H1482" s="130" t="s">
        <v>90</v>
      </c>
      <c r="I1482" s="130" t="s">
        <v>91</v>
      </c>
      <c r="J1482" s="130" t="s">
        <v>97</v>
      </c>
      <c r="K1482" s="130" t="s">
        <v>98</v>
      </c>
      <c r="L1482" s="174" t="s">
        <v>71</v>
      </c>
      <c r="M1482" s="131" t="s">
        <v>72</v>
      </c>
      <c r="N1482" s="130" t="s">
        <v>73</v>
      </c>
      <c r="O1482" s="219" t="s">
        <v>99</v>
      </c>
      <c r="P1482" s="130" t="s">
        <v>98</v>
      </c>
      <c r="Q1482" s="132" t="s">
        <v>93</v>
      </c>
      <c r="R1482" s="218">
        <v>3.3710000999999998</v>
      </c>
      <c r="S1482" s="129">
        <v>1</v>
      </c>
      <c r="T1482" s="129">
        <v>147.5</v>
      </c>
      <c r="U1482" s="129">
        <v>147.5</v>
      </c>
      <c r="V1482" s="129">
        <v>26.55</v>
      </c>
      <c r="W1482" s="129">
        <v>174.05</v>
      </c>
      <c r="X1482" s="27">
        <f t="shared" si="191"/>
        <v>497.22251474999996</v>
      </c>
    </row>
    <row r="1483" spans="1:24" x14ac:dyDescent="0.2">
      <c r="A1483" s="220">
        <v>43868</v>
      </c>
      <c r="B1483" s="130" t="s">
        <v>68</v>
      </c>
      <c r="C1483" s="130" t="s">
        <v>102</v>
      </c>
      <c r="D1483" s="130" t="s">
        <v>2409</v>
      </c>
      <c r="E1483" s="130" t="s">
        <v>3046</v>
      </c>
      <c r="F1483" s="130" t="s">
        <v>3045</v>
      </c>
      <c r="G1483" s="220">
        <v>43861</v>
      </c>
      <c r="H1483" s="130" t="s">
        <v>90</v>
      </c>
      <c r="I1483" s="130" t="s">
        <v>91</v>
      </c>
      <c r="J1483" s="130" t="s">
        <v>100</v>
      </c>
      <c r="K1483" s="130" t="s">
        <v>101</v>
      </c>
      <c r="L1483" s="174" t="s">
        <v>71</v>
      </c>
      <c r="M1483" s="131" t="s">
        <v>72</v>
      </c>
      <c r="N1483" s="130" t="s">
        <v>73</v>
      </c>
      <c r="O1483" s="219" t="s">
        <v>72</v>
      </c>
      <c r="P1483" s="130" t="s">
        <v>101</v>
      </c>
      <c r="Q1483" s="132" t="s">
        <v>93</v>
      </c>
      <c r="R1483" s="218">
        <v>3.3710000999999998</v>
      </c>
      <c r="S1483" s="129">
        <v>1</v>
      </c>
      <c r="T1483" s="129">
        <v>150</v>
      </c>
      <c r="U1483" s="129">
        <v>150</v>
      </c>
      <c r="V1483" s="129">
        <v>27</v>
      </c>
      <c r="W1483" s="129">
        <v>177</v>
      </c>
      <c r="X1483" s="27">
        <f t="shared" si="191"/>
        <v>505.650015</v>
      </c>
    </row>
    <row r="1484" spans="1:24" x14ac:dyDescent="0.2">
      <c r="A1484" s="220">
        <v>43868</v>
      </c>
      <c r="B1484" s="130" t="s">
        <v>68</v>
      </c>
      <c r="C1484" s="130" t="s">
        <v>102</v>
      </c>
      <c r="D1484" s="130" t="s">
        <v>2409</v>
      </c>
      <c r="E1484" s="130" t="s">
        <v>3046</v>
      </c>
      <c r="F1484" s="130" t="s">
        <v>3045</v>
      </c>
      <c r="G1484" s="220">
        <v>43861</v>
      </c>
      <c r="H1484" s="130" t="s">
        <v>90</v>
      </c>
      <c r="I1484" s="130" t="s">
        <v>91</v>
      </c>
      <c r="J1484" s="130" t="s">
        <v>92</v>
      </c>
      <c r="K1484" s="130" t="s">
        <v>113</v>
      </c>
      <c r="L1484" s="174" t="s">
        <v>71</v>
      </c>
      <c r="M1484" s="131" t="s">
        <v>72</v>
      </c>
      <c r="N1484" s="130" t="s">
        <v>73</v>
      </c>
      <c r="O1484" s="219" t="s">
        <v>69</v>
      </c>
      <c r="P1484" s="130" t="s">
        <v>1699</v>
      </c>
      <c r="Q1484" s="132" t="s">
        <v>93</v>
      </c>
      <c r="R1484" s="218">
        <v>3.3710000999999998</v>
      </c>
      <c r="S1484" s="129">
        <v>1</v>
      </c>
      <c r="T1484" s="129">
        <v>90</v>
      </c>
      <c r="U1484" s="129">
        <v>90</v>
      </c>
      <c r="V1484" s="129">
        <v>16.2</v>
      </c>
      <c r="W1484" s="129">
        <v>106.2</v>
      </c>
      <c r="X1484" s="27">
        <f t="shared" si="191"/>
        <v>303.39000899999996</v>
      </c>
    </row>
    <row r="1485" spans="1:24" x14ac:dyDescent="0.2">
      <c r="A1485" s="220">
        <v>43868</v>
      </c>
      <c r="B1485" s="130" t="s">
        <v>68</v>
      </c>
      <c r="C1485" s="130" t="s">
        <v>102</v>
      </c>
      <c r="D1485" s="130" t="s">
        <v>2409</v>
      </c>
      <c r="E1485" s="130" t="s">
        <v>3046</v>
      </c>
      <c r="F1485" s="130" t="s">
        <v>3045</v>
      </c>
      <c r="G1485" s="220">
        <v>43861</v>
      </c>
      <c r="H1485" s="130" t="s">
        <v>90</v>
      </c>
      <c r="I1485" s="130" t="s">
        <v>91</v>
      </c>
      <c r="J1485" s="130" t="s">
        <v>95</v>
      </c>
      <c r="K1485" s="130" t="s">
        <v>96</v>
      </c>
      <c r="L1485" s="174" t="s">
        <v>71</v>
      </c>
      <c r="M1485" s="131" t="s">
        <v>72</v>
      </c>
      <c r="N1485" s="130" t="s">
        <v>73</v>
      </c>
      <c r="O1485" s="219" t="s">
        <v>69</v>
      </c>
      <c r="P1485" s="130" t="s">
        <v>1699</v>
      </c>
      <c r="Q1485" s="132" t="s">
        <v>93</v>
      </c>
      <c r="R1485" s="218">
        <v>3.3710000999999998</v>
      </c>
      <c r="S1485" s="129">
        <v>-1</v>
      </c>
      <c r="T1485" s="129">
        <v>141.05930000000001</v>
      </c>
      <c r="U1485" s="129">
        <v>-141.05930000000001</v>
      </c>
      <c r="V1485" s="129">
        <v>-25.390699999999995</v>
      </c>
      <c r="W1485" s="129">
        <v>-166.45</v>
      </c>
      <c r="X1485" s="27">
        <f t="shared" si="191"/>
        <v>-475.51091440593001</v>
      </c>
    </row>
    <row r="1486" spans="1:24" x14ac:dyDescent="0.2">
      <c r="A1486" s="220">
        <v>43868</v>
      </c>
      <c r="B1486" s="130" t="s">
        <v>68</v>
      </c>
      <c r="C1486" s="130" t="s">
        <v>102</v>
      </c>
      <c r="D1486" s="130" t="s">
        <v>2409</v>
      </c>
      <c r="E1486" s="130" t="s">
        <v>3046</v>
      </c>
      <c r="F1486" s="130" t="s">
        <v>3045</v>
      </c>
      <c r="G1486" s="220">
        <v>43861</v>
      </c>
      <c r="H1486" s="130" t="s">
        <v>90</v>
      </c>
      <c r="I1486" s="130" t="s">
        <v>91</v>
      </c>
      <c r="J1486" s="130" t="s">
        <v>104</v>
      </c>
      <c r="K1486" s="130" t="s">
        <v>105</v>
      </c>
      <c r="L1486" s="174" t="s">
        <v>71</v>
      </c>
      <c r="M1486" s="131" t="s">
        <v>72</v>
      </c>
      <c r="N1486" s="130" t="s">
        <v>73</v>
      </c>
      <c r="O1486" s="219" t="s">
        <v>69</v>
      </c>
      <c r="P1486" s="130" t="s">
        <v>1699</v>
      </c>
      <c r="Q1486" s="132" t="s">
        <v>93</v>
      </c>
      <c r="R1486" s="218">
        <v>3.3710000999999998</v>
      </c>
      <c r="S1486" s="129">
        <v>1</v>
      </c>
      <c r="T1486" s="129">
        <v>0</v>
      </c>
      <c r="U1486" s="129">
        <v>0</v>
      </c>
      <c r="V1486" s="129">
        <v>0</v>
      </c>
      <c r="W1486" s="129">
        <v>0</v>
      </c>
      <c r="X1486" s="27">
        <f t="shared" si="191"/>
        <v>0</v>
      </c>
    </row>
    <row r="1487" spans="1:24" x14ac:dyDescent="0.2">
      <c r="A1487" s="220">
        <v>43869</v>
      </c>
      <c r="B1487" s="130" t="s">
        <v>68</v>
      </c>
      <c r="C1487" s="130" t="s">
        <v>102</v>
      </c>
      <c r="D1487" s="130" t="s">
        <v>3100</v>
      </c>
      <c r="E1487" s="130" t="s">
        <v>2687</v>
      </c>
      <c r="F1487" s="130" t="s">
        <v>3042</v>
      </c>
      <c r="G1487" s="220">
        <v>43858</v>
      </c>
      <c r="H1487" s="130" t="s">
        <v>90</v>
      </c>
      <c r="I1487" s="130" t="s">
        <v>91</v>
      </c>
      <c r="J1487" s="130" t="s">
        <v>97</v>
      </c>
      <c r="K1487" s="130" t="s">
        <v>98</v>
      </c>
      <c r="L1487" s="174" t="s">
        <v>71</v>
      </c>
      <c r="M1487" s="131" t="s">
        <v>72</v>
      </c>
      <c r="N1487" s="130" t="s">
        <v>73</v>
      </c>
      <c r="O1487" s="219" t="s">
        <v>99</v>
      </c>
      <c r="P1487" s="130" t="s">
        <v>98</v>
      </c>
      <c r="Q1487" s="132" t="s">
        <v>93</v>
      </c>
      <c r="R1487" s="218">
        <v>3.3879999999999999</v>
      </c>
      <c r="S1487" s="129">
        <v>1</v>
      </c>
      <c r="T1487" s="129">
        <v>265.5</v>
      </c>
      <c r="U1487" s="129">
        <v>265.5</v>
      </c>
      <c r="V1487" s="129">
        <v>47.790010000000002</v>
      </c>
      <c r="W1487" s="129">
        <v>313.29001</v>
      </c>
      <c r="X1487" s="27">
        <f t="shared" si="191"/>
        <v>899.51400000000001</v>
      </c>
    </row>
    <row r="1488" spans="1:24" x14ac:dyDescent="0.2">
      <c r="A1488" s="220">
        <v>43869</v>
      </c>
      <c r="B1488" s="130" t="s">
        <v>68</v>
      </c>
      <c r="C1488" s="130" t="s">
        <v>102</v>
      </c>
      <c r="D1488" s="130" t="s">
        <v>3100</v>
      </c>
      <c r="E1488" s="130" t="s">
        <v>2687</v>
      </c>
      <c r="F1488" s="130" t="s">
        <v>3042</v>
      </c>
      <c r="G1488" s="220">
        <v>43858</v>
      </c>
      <c r="H1488" s="130" t="s">
        <v>90</v>
      </c>
      <c r="I1488" s="130" t="s">
        <v>91</v>
      </c>
      <c r="J1488" s="130" t="s">
        <v>100</v>
      </c>
      <c r="K1488" s="130" t="s">
        <v>101</v>
      </c>
      <c r="L1488" s="174" t="s">
        <v>71</v>
      </c>
      <c r="M1488" s="131" t="s">
        <v>72</v>
      </c>
      <c r="N1488" s="130" t="s">
        <v>73</v>
      </c>
      <c r="O1488" s="219" t="s">
        <v>72</v>
      </c>
      <c r="P1488" s="130" t="s">
        <v>101</v>
      </c>
      <c r="Q1488" s="132" t="s">
        <v>93</v>
      </c>
      <c r="R1488" s="218">
        <v>3.3879999999999999</v>
      </c>
      <c r="S1488" s="129">
        <v>1</v>
      </c>
      <c r="T1488" s="129">
        <v>240</v>
      </c>
      <c r="U1488" s="129">
        <v>240</v>
      </c>
      <c r="V1488" s="129">
        <v>43.200010000000042</v>
      </c>
      <c r="W1488" s="129">
        <v>283.20001000000002</v>
      </c>
      <c r="X1488" s="27">
        <f t="shared" si="191"/>
        <v>813.12</v>
      </c>
    </row>
    <row r="1489" spans="1:24" x14ac:dyDescent="0.2">
      <c r="A1489" s="220">
        <v>43869</v>
      </c>
      <c r="B1489" s="130" t="s">
        <v>68</v>
      </c>
      <c r="C1489" s="130" t="s">
        <v>102</v>
      </c>
      <c r="D1489" s="130" t="s">
        <v>3100</v>
      </c>
      <c r="E1489" s="130" t="s">
        <v>2687</v>
      </c>
      <c r="F1489" s="130" t="s">
        <v>3042</v>
      </c>
      <c r="G1489" s="220">
        <v>43858</v>
      </c>
      <c r="H1489" s="130" t="s">
        <v>90</v>
      </c>
      <c r="I1489" s="130" t="s">
        <v>91</v>
      </c>
      <c r="J1489" s="130" t="s">
        <v>92</v>
      </c>
      <c r="K1489" s="130" t="s">
        <v>113</v>
      </c>
      <c r="L1489" s="174" t="s">
        <v>71</v>
      </c>
      <c r="M1489" s="131" t="s">
        <v>72</v>
      </c>
      <c r="N1489" s="130" t="s">
        <v>73</v>
      </c>
      <c r="O1489" s="219" t="s">
        <v>69</v>
      </c>
      <c r="P1489" s="130" t="s">
        <v>1699</v>
      </c>
      <c r="Q1489" s="132" t="s">
        <v>93</v>
      </c>
      <c r="R1489" s="218">
        <v>3.3879999999999999</v>
      </c>
      <c r="S1489" s="129">
        <v>1</v>
      </c>
      <c r="T1489" s="129">
        <v>30</v>
      </c>
      <c r="U1489" s="129">
        <v>30</v>
      </c>
      <c r="V1489" s="129">
        <v>5.4000019999999997</v>
      </c>
      <c r="W1489" s="129">
        <v>35.400002000000001</v>
      </c>
      <c r="X1489" s="27">
        <f t="shared" si="191"/>
        <v>101.64</v>
      </c>
    </row>
    <row r="1490" spans="1:24" x14ac:dyDescent="0.2">
      <c r="A1490" s="220">
        <v>43869</v>
      </c>
      <c r="B1490" s="130" t="s">
        <v>68</v>
      </c>
      <c r="C1490" s="130" t="s">
        <v>102</v>
      </c>
      <c r="D1490" s="130" t="s">
        <v>3100</v>
      </c>
      <c r="E1490" s="130" t="s">
        <v>2687</v>
      </c>
      <c r="F1490" s="130" t="s">
        <v>3042</v>
      </c>
      <c r="G1490" s="220">
        <v>43858</v>
      </c>
      <c r="H1490" s="130" t="s">
        <v>90</v>
      </c>
      <c r="I1490" s="130" t="s">
        <v>91</v>
      </c>
      <c r="J1490" s="130" t="s">
        <v>95</v>
      </c>
      <c r="K1490" s="130" t="s">
        <v>96</v>
      </c>
      <c r="L1490" s="174" t="s">
        <v>71</v>
      </c>
      <c r="M1490" s="131" t="s">
        <v>72</v>
      </c>
      <c r="N1490" s="130" t="s">
        <v>73</v>
      </c>
      <c r="O1490" s="219" t="s">
        <v>69</v>
      </c>
      <c r="P1490" s="130" t="s">
        <v>1699</v>
      </c>
      <c r="Q1490" s="132" t="s">
        <v>93</v>
      </c>
      <c r="R1490" s="218">
        <v>3.3879999999999999</v>
      </c>
      <c r="S1490" s="129">
        <v>-1</v>
      </c>
      <c r="T1490" s="129">
        <v>100</v>
      </c>
      <c r="U1490" s="129">
        <v>-100</v>
      </c>
      <c r="V1490" s="129">
        <v>-18</v>
      </c>
      <c r="W1490" s="129">
        <v>-118</v>
      </c>
      <c r="X1490" s="27">
        <f t="shared" si="191"/>
        <v>-338.8</v>
      </c>
    </row>
    <row r="1491" spans="1:24" x14ac:dyDescent="0.2">
      <c r="A1491" s="220">
        <v>43869</v>
      </c>
      <c r="B1491" s="130" t="s">
        <v>68</v>
      </c>
      <c r="C1491" s="130" t="s">
        <v>102</v>
      </c>
      <c r="D1491" s="130" t="s">
        <v>3100</v>
      </c>
      <c r="E1491" s="130" t="s">
        <v>2687</v>
      </c>
      <c r="F1491" s="130" t="s">
        <v>3042</v>
      </c>
      <c r="G1491" s="220">
        <v>43858</v>
      </c>
      <c r="H1491" s="130" t="s">
        <v>90</v>
      </c>
      <c r="I1491" s="130" t="s">
        <v>91</v>
      </c>
      <c r="J1491" s="130" t="s">
        <v>104</v>
      </c>
      <c r="K1491" s="130" t="s">
        <v>105</v>
      </c>
      <c r="L1491" s="174" t="s">
        <v>71</v>
      </c>
      <c r="M1491" s="131" t="s">
        <v>72</v>
      </c>
      <c r="N1491" s="130" t="s">
        <v>73</v>
      </c>
      <c r="O1491" s="219" t="s">
        <v>69</v>
      </c>
      <c r="P1491" s="130" t="s">
        <v>1699</v>
      </c>
      <c r="Q1491" s="132" t="s">
        <v>93</v>
      </c>
      <c r="R1491" s="218">
        <v>3.3879999999999999</v>
      </c>
      <c r="S1491" s="129">
        <v>1</v>
      </c>
      <c r="T1491" s="129">
        <v>0</v>
      </c>
      <c r="U1491" s="129">
        <v>0</v>
      </c>
      <c r="V1491" s="129">
        <v>0</v>
      </c>
      <c r="W1491" s="129">
        <v>0</v>
      </c>
      <c r="X1491" s="27">
        <f t="shared" si="191"/>
        <v>0</v>
      </c>
    </row>
    <row r="1492" spans="1:24" x14ac:dyDescent="0.2">
      <c r="A1492" s="220">
        <v>43872</v>
      </c>
      <c r="B1492" s="130" t="s">
        <v>68</v>
      </c>
      <c r="C1492" s="130" t="s">
        <v>102</v>
      </c>
      <c r="D1492" s="130" t="s">
        <v>3099</v>
      </c>
      <c r="E1492" s="130" t="s">
        <v>2859</v>
      </c>
      <c r="F1492" s="130" t="s">
        <v>3035</v>
      </c>
      <c r="G1492" s="220">
        <v>43859</v>
      </c>
      <c r="H1492" s="130" t="s">
        <v>90</v>
      </c>
      <c r="I1492" s="130" t="s">
        <v>91</v>
      </c>
      <c r="J1492" s="130" t="s">
        <v>97</v>
      </c>
      <c r="K1492" s="130" t="s">
        <v>98</v>
      </c>
      <c r="L1492" s="174" t="s">
        <v>71</v>
      </c>
      <c r="M1492" s="131" t="s">
        <v>72</v>
      </c>
      <c r="N1492" s="130" t="s">
        <v>73</v>
      </c>
      <c r="O1492" s="219" t="s">
        <v>99</v>
      </c>
      <c r="P1492" s="130" t="s">
        <v>98</v>
      </c>
      <c r="Q1492" s="132" t="s">
        <v>93</v>
      </c>
      <c r="R1492" s="218">
        <v>3.3940001</v>
      </c>
      <c r="S1492" s="129">
        <v>1</v>
      </c>
      <c r="T1492" s="129">
        <v>118</v>
      </c>
      <c r="U1492" s="129">
        <v>118</v>
      </c>
      <c r="V1492" s="129">
        <v>21.240010000000019</v>
      </c>
      <c r="W1492" s="129">
        <v>139.24001000000001</v>
      </c>
      <c r="X1492" s="27">
        <f t="shared" si="191"/>
        <v>400.4920118</v>
      </c>
    </row>
    <row r="1493" spans="1:24" x14ac:dyDescent="0.2">
      <c r="A1493" s="220">
        <v>43872</v>
      </c>
      <c r="B1493" s="130" t="s">
        <v>68</v>
      </c>
      <c r="C1493" s="130" t="s">
        <v>102</v>
      </c>
      <c r="D1493" s="130" t="s">
        <v>3099</v>
      </c>
      <c r="E1493" s="130" t="s">
        <v>2859</v>
      </c>
      <c r="F1493" s="130" t="s">
        <v>3035</v>
      </c>
      <c r="G1493" s="220">
        <v>43859</v>
      </c>
      <c r="H1493" s="130" t="s">
        <v>90</v>
      </c>
      <c r="I1493" s="130" t="s">
        <v>91</v>
      </c>
      <c r="J1493" s="130" t="s">
        <v>100</v>
      </c>
      <c r="K1493" s="130" t="s">
        <v>101</v>
      </c>
      <c r="L1493" s="174" t="s">
        <v>71</v>
      </c>
      <c r="M1493" s="131" t="s">
        <v>72</v>
      </c>
      <c r="N1493" s="130" t="s">
        <v>73</v>
      </c>
      <c r="O1493" s="219" t="s">
        <v>72</v>
      </c>
      <c r="P1493" s="130" t="s">
        <v>101</v>
      </c>
      <c r="Q1493" s="132" t="s">
        <v>93</v>
      </c>
      <c r="R1493" s="218">
        <v>3.3940001</v>
      </c>
      <c r="S1493" s="129">
        <v>1</v>
      </c>
      <c r="T1493" s="129">
        <v>120</v>
      </c>
      <c r="U1493" s="129">
        <v>120</v>
      </c>
      <c r="V1493" s="129">
        <v>21.600010000000019</v>
      </c>
      <c r="W1493" s="129">
        <v>141.60001000000003</v>
      </c>
      <c r="X1493" s="27">
        <f t="shared" si="191"/>
        <v>407.280012</v>
      </c>
    </row>
    <row r="1494" spans="1:24" x14ac:dyDescent="0.2">
      <c r="A1494" s="220">
        <v>43872</v>
      </c>
      <c r="B1494" s="130" t="s">
        <v>68</v>
      </c>
      <c r="C1494" s="130" t="s">
        <v>102</v>
      </c>
      <c r="D1494" s="130" t="s">
        <v>3099</v>
      </c>
      <c r="E1494" s="130" t="s">
        <v>2859</v>
      </c>
      <c r="F1494" s="130" t="s">
        <v>3035</v>
      </c>
      <c r="G1494" s="220">
        <v>43859</v>
      </c>
      <c r="H1494" s="130" t="s">
        <v>90</v>
      </c>
      <c r="I1494" s="130" t="s">
        <v>91</v>
      </c>
      <c r="J1494" s="130" t="s">
        <v>95</v>
      </c>
      <c r="K1494" s="130" t="s">
        <v>96</v>
      </c>
      <c r="L1494" s="174" t="s">
        <v>71</v>
      </c>
      <c r="M1494" s="131" t="s">
        <v>72</v>
      </c>
      <c r="N1494" s="130" t="s">
        <v>73</v>
      </c>
      <c r="O1494" s="219" t="s">
        <v>69</v>
      </c>
      <c r="P1494" s="130" t="s">
        <v>1699</v>
      </c>
      <c r="Q1494" s="132" t="s">
        <v>93</v>
      </c>
      <c r="R1494" s="218">
        <v>3.3940001</v>
      </c>
      <c r="S1494" s="129">
        <v>-1</v>
      </c>
      <c r="T1494" s="129">
        <v>50</v>
      </c>
      <c r="U1494" s="129">
        <v>-50</v>
      </c>
      <c r="V1494" s="129">
        <v>-9</v>
      </c>
      <c r="W1494" s="129">
        <v>-59</v>
      </c>
      <c r="X1494" s="27">
        <f t="shared" si="191"/>
        <v>-169.700005</v>
      </c>
    </row>
    <row r="1495" spans="1:24" x14ac:dyDescent="0.2">
      <c r="A1495" s="220">
        <v>43872</v>
      </c>
      <c r="B1495" s="130" t="s">
        <v>68</v>
      </c>
      <c r="C1495" s="130" t="s">
        <v>102</v>
      </c>
      <c r="D1495" s="130" t="s">
        <v>3099</v>
      </c>
      <c r="E1495" s="130" t="s">
        <v>2859</v>
      </c>
      <c r="F1495" s="130" t="s">
        <v>3035</v>
      </c>
      <c r="G1495" s="220">
        <v>43859</v>
      </c>
      <c r="H1495" s="130" t="s">
        <v>90</v>
      </c>
      <c r="I1495" s="130" t="s">
        <v>91</v>
      </c>
      <c r="J1495" s="130" t="s">
        <v>104</v>
      </c>
      <c r="K1495" s="130" t="s">
        <v>105</v>
      </c>
      <c r="L1495" s="174" t="s">
        <v>71</v>
      </c>
      <c r="M1495" s="131" t="s">
        <v>72</v>
      </c>
      <c r="N1495" s="130" t="s">
        <v>73</v>
      </c>
      <c r="O1495" s="219" t="s">
        <v>69</v>
      </c>
      <c r="P1495" s="130" t="s">
        <v>1699</v>
      </c>
      <c r="Q1495" s="132" t="s">
        <v>93</v>
      </c>
      <c r="R1495" s="218">
        <v>3.3940001</v>
      </c>
      <c r="S1495" s="129">
        <v>1</v>
      </c>
      <c r="T1495" s="129">
        <v>0</v>
      </c>
      <c r="U1495" s="129">
        <v>0</v>
      </c>
      <c r="V1495" s="129">
        <v>0</v>
      </c>
      <c r="W1495" s="129">
        <v>0</v>
      </c>
      <c r="X1495" s="27">
        <f t="shared" si="191"/>
        <v>0</v>
      </c>
    </row>
    <row r="1496" spans="1:24" x14ac:dyDescent="0.2">
      <c r="A1496" s="220">
        <v>43872</v>
      </c>
      <c r="B1496" s="130" t="s">
        <v>68</v>
      </c>
      <c r="C1496" s="130" t="s">
        <v>102</v>
      </c>
      <c r="D1496" s="130" t="s">
        <v>3098</v>
      </c>
      <c r="E1496" s="130" t="s">
        <v>1951</v>
      </c>
      <c r="F1496" s="130" t="s">
        <v>2780</v>
      </c>
      <c r="G1496" s="220">
        <v>43812</v>
      </c>
      <c r="H1496" s="130" t="s">
        <v>557</v>
      </c>
      <c r="I1496" s="130" t="s">
        <v>556</v>
      </c>
      <c r="J1496" s="130" t="s">
        <v>97</v>
      </c>
      <c r="K1496" s="130" t="s">
        <v>98</v>
      </c>
      <c r="L1496" s="174" t="s">
        <v>71</v>
      </c>
      <c r="M1496" s="131" t="s">
        <v>72</v>
      </c>
      <c r="N1496" s="130" t="s">
        <v>73</v>
      </c>
      <c r="O1496" s="219" t="s">
        <v>99</v>
      </c>
      <c r="P1496" s="130" t="s">
        <v>98</v>
      </c>
      <c r="Q1496" s="132" t="s">
        <v>93</v>
      </c>
      <c r="R1496" s="218">
        <v>3.3940001</v>
      </c>
      <c r="S1496" s="129">
        <v>1</v>
      </c>
      <c r="T1496" s="129">
        <v>60</v>
      </c>
      <c r="U1496" s="129">
        <v>60</v>
      </c>
      <c r="V1496" s="129">
        <v>10.800002999999997</v>
      </c>
      <c r="W1496" s="129">
        <v>70.800003000000004</v>
      </c>
      <c r="X1496" s="27">
        <f t="shared" si="191"/>
        <v>203.640006</v>
      </c>
    </row>
    <row r="1497" spans="1:24" x14ac:dyDescent="0.2">
      <c r="A1497" s="220">
        <v>43872</v>
      </c>
      <c r="B1497" s="130" t="s">
        <v>68</v>
      </c>
      <c r="C1497" s="130" t="s">
        <v>102</v>
      </c>
      <c r="D1497" s="130" t="s">
        <v>3098</v>
      </c>
      <c r="E1497" s="130" t="s">
        <v>1951</v>
      </c>
      <c r="F1497" s="130" t="s">
        <v>2780</v>
      </c>
      <c r="G1497" s="220">
        <v>43812</v>
      </c>
      <c r="H1497" s="130" t="s">
        <v>557</v>
      </c>
      <c r="I1497" s="130" t="s">
        <v>556</v>
      </c>
      <c r="J1497" s="130" t="s">
        <v>100</v>
      </c>
      <c r="K1497" s="130" t="s">
        <v>101</v>
      </c>
      <c r="L1497" s="174" t="s">
        <v>71</v>
      </c>
      <c r="M1497" s="131" t="s">
        <v>72</v>
      </c>
      <c r="N1497" s="130" t="s">
        <v>73</v>
      </c>
      <c r="O1497" s="219" t="s">
        <v>72</v>
      </c>
      <c r="P1497" s="130" t="s">
        <v>101</v>
      </c>
      <c r="Q1497" s="132" t="s">
        <v>93</v>
      </c>
      <c r="R1497" s="218">
        <v>3.3940001</v>
      </c>
      <c r="S1497" s="129">
        <v>1</v>
      </c>
      <c r="T1497" s="129">
        <v>70</v>
      </c>
      <c r="U1497" s="129">
        <v>70</v>
      </c>
      <c r="V1497" s="129">
        <v>12.599997999999978</v>
      </c>
      <c r="W1497" s="129">
        <v>82.599997999999971</v>
      </c>
      <c r="X1497" s="27">
        <f t="shared" si="191"/>
        <v>237.58000699999999</v>
      </c>
    </row>
    <row r="1498" spans="1:24" x14ac:dyDescent="0.2">
      <c r="A1498" s="220">
        <v>43872</v>
      </c>
      <c r="B1498" s="130" t="s">
        <v>68</v>
      </c>
      <c r="C1498" s="130" t="s">
        <v>102</v>
      </c>
      <c r="D1498" s="130" t="s">
        <v>3097</v>
      </c>
      <c r="E1498" s="130" t="s">
        <v>2689</v>
      </c>
      <c r="F1498" s="130" t="s">
        <v>3096</v>
      </c>
      <c r="G1498" s="220">
        <v>43865</v>
      </c>
      <c r="H1498" s="130" t="s">
        <v>90</v>
      </c>
      <c r="I1498" s="130" t="s">
        <v>91</v>
      </c>
      <c r="J1498" s="130" t="s">
        <v>100</v>
      </c>
      <c r="K1498" s="130" t="s">
        <v>101</v>
      </c>
      <c r="L1498" s="174" t="s">
        <v>71</v>
      </c>
      <c r="M1498" s="131" t="s">
        <v>72</v>
      </c>
      <c r="N1498" s="130" t="s">
        <v>73</v>
      </c>
      <c r="O1498" s="219" t="s">
        <v>72</v>
      </c>
      <c r="P1498" s="130" t="s">
        <v>101</v>
      </c>
      <c r="Q1498" s="132" t="s">
        <v>93</v>
      </c>
      <c r="R1498" s="218">
        <v>3.3940001</v>
      </c>
      <c r="S1498" s="129">
        <v>1</v>
      </c>
      <c r="T1498" s="129">
        <v>15</v>
      </c>
      <c r="U1498" s="129">
        <v>15</v>
      </c>
      <c r="V1498" s="129">
        <v>2.7000009999999999</v>
      </c>
      <c r="W1498" s="129">
        <v>17.700001</v>
      </c>
      <c r="X1498" s="27">
        <f t="shared" si="191"/>
        <v>50.9100015</v>
      </c>
    </row>
    <row r="1499" spans="1:24" x14ac:dyDescent="0.2">
      <c r="A1499" s="220">
        <v>43872</v>
      </c>
      <c r="B1499" s="130" t="s">
        <v>68</v>
      </c>
      <c r="C1499" s="130" t="s">
        <v>102</v>
      </c>
      <c r="D1499" s="130" t="s">
        <v>3097</v>
      </c>
      <c r="E1499" s="130" t="s">
        <v>2689</v>
      </c>
      <c r="F1499" s="130" t="s">
        <v>3096</v>
      </c>
      <c r="G1499" s="220">
        <v>43865</v>
      </c>
      <c r="H1499" s="130" t="s">
        <v>90</v>
      </c>
      <c r="I1499" s="130" t="s">
        <v>91</v>
      </c>
      <c r="J1499" s="130" t="s">
        <v>104</v>
      </c>
      <c r="K1499" s="130" t="s">
        <v>105</v>
      </c>
      <c r="L1499" s="174" t="s">
        <v>71</v>
      </c>
      <c r="M1499" s="131" t="s">
        <v>72</v>
      </c>
      <c r="N1499" s="130" t="s">
        <v>73</v>
      </c>
      <c r="O1499" s="219" t="s">
        <v>69</v>
      </c>
      <c r="P1499" s="130" t="s">
        <v>1699</v>
      </c>
      <c r="Q1499" s="132" t="s">
        <v>93</v>
      </c>
      <c r="R1499" s="218">
        <v>3.3940001</v>
      </c>
      <c r="S1499" s="129">
        <v>1</v>
      </c>
      <c r="T1499" s="129">
        <v>0</v>
      </c>
      <c r="U1499" s="129">
        <v>0</v>
      </c>
      <c r="V1499" s="129">
        <v>0</v>
      </c>
      <c r="W1499" s="129">
        <v>0</v>
      </c>
      <c r="X1499" s="27">
        <f t="shared" si="191"/>
        <v>0</v>
      </c>
    </row>
    <row r="1500" spans="1:24" x14ac:dyDescent="0.2">
      <c r="A1500" s="220">
        <v>43874</v>
      </c>
      <c r="B1500" s="130" t="s">
        <v>68</v>
      </c>
      <c r="C1500" s="130" t="s">
        <v>102</v>
      </c>
      <c r="D1500" s="130" t="s">
        <v>2432</v>
      </c>
      <c r="E1500" s="130" t="s">
        <v>2862</v>
      </c>
      <c r="F1500" s="130" t="s">
        <v>3035</v>
      </c>
      <c r="G1500" s="220">
        <v>43859</v>
      </c>
      <c r="H1500" s="130" t="s">
        <v>90</v>
      </c>
      <c r="I1500" s="130" t="s">
        <v>91</v>
      </c>
      <c r="J1500" s="130" t="s">
        <v>97</v>
      </c>
      <c r="K1500" s="130" t="s">
        <v>98</v>
      </c>
      <c r="L1500" s="174" t="s">
        <v>71</v>
      </c>
      <c r="M1500" s="131" t="s">
        <v>72</v>
      </c>
      <c r="N1500" s="130" t="s">
        <v>73</v>
      </c>
      <c r="O1500" s="219" t="s">
        <v>99</v>
      </c>
      <c r="P1500" s="130" t="s">
        <v>98</v>
      </c>
      <c r="Q1500" s="132" t="s">
        <v>93</v>
      </c>
      <c r="R1500" s="218">
        <v>3.3829999000000002</v>
      </c>
      <c r="S1500" s="129">
        <v>1</v>
      </c>
      <c r="T1500" s="129">
        <v>59</v>
      </c>
      <c r="U1500" s="129">
        <v>59</v>
      </c>
      <c r="V1500" s="129">
        <v>10.620002999999997</v>
      </c>
      <c r="W1500" s="129">
        <v>69.620002999999997</v>
      </c>
      <c r="X1500" s="27">
        <f t="shared" si="191"/>
        <v>199.59699410000002</v>
      </c>
    </row>
    <row r="1501" spans="1:24" x14ac:dyDescent="0.2">
      <c r="A1501" s="220">
        <v>43874</v>
      </c>
      <c r="B1501" s="130" t="s">
        <v>68</v>
      </c>
      <c r="C1501" s="130" t="s">
        <v>102</v>
      </c>
      <c r="D1501" s="130" t="s">
        <v>2432</v>
      </c>
      <c r="E1501" s="130" t="s">
        <v>2862</v>
      </c>
      <c r="F1501" s="130" t="s">
        <v>3035</v>
      </c>
      <c r="G1501" s="220">
        <v>43859</v>
      </c>
      <c r="H1501" s="130" t="s">
        <v>90</v>
      </c>
      <c r="I1501" s="130" t="s">
        <v>91</v>
      </c>
      <c r="J1501" s="130" t="s">
        <v>100</v>
      </c>
      <c r="K1501" s="130" t="s">
        <v>101</v>
      </c>
      <c r="L1501" s="174" t="s">
        <v>71</v>
      </c>
      <c r="M1501" s="131" t="s">
        <v>72</v>
      </c>
      <c r="N1501" s="130" t="s">
        <v>73</v>
      </c>
      <c r="O1501" s="219" t="s">
        <v>72</v>
      </c>
      <c r="P1501" s="130" t="s">
        <v>101</v>
      </c>
      <c r="Q1501" s="132" t="s">
        <v>93</v>
      </c>
      <c r="R1501" s="218">
        <v>3.3829999000000002</v>
      </c>
      <c r="S1501" s="129">
        <v>1</v>
      </c>
      <c r="T1501" s="129">
        <v>30</v>
      </c>
      <c r="U1501" s="129">
        <v>30</v>
      </c>
      <c r="V1501" s="129">
        <v>5.4000019999999997</v>
      </c>
      <c r="W1501" s="129">
        <v>35.400002000000001</v>
      </c>
      <c r="X1501" s="27">
        <f t="shared" si="191"/>
        <v>101.489997</v>
      </c>
    </row>
    <row r="1502" spans="1:24" x14ac:dyDescent="0.2">
      <c r="A1502" s="220">
        <v>43874</v>
      </c>
      <c r="B1502" s="130" t="s">
        <v>68</v>
      </c>
      <c r="C1502" s="130" t="s">
        <v>102</v>
      </c>
      <c r="D1502" s="130" t="s">
        <v>2432</v>
      </c>
      <c r="E1502" s="130" t="s">
        <v>2862</v>
      </c>
      <c r="F1502" s="130" t="s">
        <v>3035</v>
      </c>
      <c r="G1502" s="220">
        <v>43859</v>
      </c>
      <c r="H1502" s="130" t="s">
        <v>90</v>
      </c>
      <c r="I1502" s="130" t="s">
        <v>91</v>
      </c>
      <c r="J1502" s="130" t="s">
        <v>104</v>
      </c>
      <c r="K1502" s="130" t="s">
        <v>105</v>
      </c>
      <c r="L1502" s="174" t="s">
        <v>71</v>
      </c>
      <c r="M1502" s="131" t="s">
        <v>72</v>
      </c>
      <c r="N1502" s="130" t="s">
        <v>73</v>
      </c>
      <c r="O1502" s="219" t="s">
        <v>69</v>
      </c>
      <c r="P1502" s="130" t="s">
        <v>1699</v>
      </c>
      <c r="Q1502" s="132" t="s">
        <v>93</v>
      </c>
      <c r="R1502" s="218">
        <v>3.3829999000000002</v>
      </c>
      <c r="S1502" s="129">
        <v>1</v>
      </c>
      <c r="T1502" s="129">
        <v>0</v>
      </c>
      <c r="U1502" s="129">
        <v>0</v>
      </c>
      <c r="V1502" s="129">
        <v>0</v>
      </c>
      <c r="W1502" s="129">
        <v>0</v>
      </c>
      <c r="X1502" s="27">
        <f t="shared" si="191"/>
        <v>0</v>
      </c>
    </row>
    <row r="1503" spans="1:24" x14ac:dyDescent="0.2">
      <c r="A1503" s="220">
        <v>43874</v>
      </c>
      <c r="B1503" s="130" t="s">
        <v>68</v>
      </c>
      <c r="C1503" s="130" t="s">
        <v>102</v>
      </c>
      <c r="D1503" s="130" t="s">
        <v>3095</v>
      </c>
      <c r="E1503" s="130" t="s">
        <v>2870</v>
      </c>
      <c r="F1503" s="130" t="s">
        <v>3093</v>
      </c>
      <c r="G1503" s="220">
        <v>43865</v>
      </c>
      <c r="H1503" s="130" t="s">
        <v>1882</v>
      </c>
      <c r="I1503" s="130" t="s">
        <v>1881</v>
      </c>
      <c r="J1503" s="130" t="s">
        <v>95</v>
      </c>
      <c r="K1503" s="130" t="s">
        <v>96</v>
      </c>
      <c r="L1503" s="174" t="s">
        <v>71</v>
      </c>
      <c r="M1503" s="131" t="s">
        <v>72</v>
      </c>
      <c r="N1503" s="130" t="s">
        <v>73</v>
      </c>
      <c r="O1503" s="219" t="s">
        <v>69</v>
      </c>
      <c r="P1503" s="130" t="s">
        <v>1699</v>
      </c>
      <c r="Q1503" s="132" t="s">
        <v>93</v>
      </c>
      <c r="R1503" s="218">
        <v>3.3829999000000002</v>
      </c>
      <c r="S1503" s="129">
        <v>1</v>
      </c>
      <c r="T1503" s="129">
        <v>100</v>
      </c>
      <c r="U1503" s="129">
        <v>100</v>
      </c>
      <c r="V1503" s="129">
        <v>18</v>
      </c>
      <c r="W1503" s="129">
        <v>118</v>
      </c>
      <c r="X1503" s="27">
        <f t="shared" si="191"/>
        <v>338.29999000000004</v>
      </c>
    </row>
    <row r="1504" spans="1:24" x14ac:dyDescent="0.2">
      <c r="A1504" s="220">
        <v>43874</v>
      </c>
      <c r="B1504" s="130" t="s">
        <v>68</v>
      </c>
      <c r="C1504" s="130" t="s">
        <v>102</v>
      </c>
      <c r="D1504" s="130" t="s">
        <v>3094</v>
      </c>
      <c r="E1504" s="130" t="s">
        <v>2870</v>
      </c>
      <c r="F1504" s="130" t="s">
        <v>3093</v>
      </c>
      <c r="G1504" s="220">
        <v>43865</v>
      </c>
      <c r="H1504" s="130" t="s">
        <v>90</v>
      </c>
      <c r="I1504" s="130" t="s">
        <v>91</v>
      </c>
      <c r="J1504" s="130" t="s">
        <v>97</v>
      </c>
      <c r="K1504" s="130" t="s">
        <v>98</v>
      </c>
      <c r="L1504" s="174" t="s">
        <v>71</v>
      </c>
      <c r="M1504" s="131" t="s">
        <v>72</v>
      </c>
      <c r="N1504" s="130" t="s">
        <v>73</v>
      </c>
      <c r="O1504" s="219" t="s">
        <v>99</v>
      </c>
      <c r="P1504" s="130" t="s">
        <v>98</v>
      </c>
      <c r="Q1504" s="132" t="s">
        <v>93</v>
      </c>
      <c r="R1504" s="218">
        <v>3.3829999000000002</v>
      </c>
      <c r="S1504" s="129">
        <v>1</v>
      </c>
      <c r="T1504" s="129">
        <v>59</v>
      </c>
      <c r="U1504" s="129">
        <v>59</v>
      </c>
      <c r="V1504" s="129">
        <v>10.620002999999997</v>
      </c>
      <c r="W1504" s="129">
        <v>69.620002999999997</v>
      </c>
      <c r="X1504" s="27">
        <f t="shared" si="191"/>
        <v>199.59699410000002</v>
      </c>
    </row>
    <row r="1505" spans="1:24" x14ac:dyDescent="0.2">
      <c r="A1505" s="220">
        <v>43874</v>
      </c>
      <c r="B1505" s="130" t="s">
        <v>68</v>
      </c>
      <c r="C1505" s="130" t="s">
        <v>102</v>
      </c>
      <c r="D1505" s="130" t="s">
        <v>3094</v>
      </c>
      <c r="E1505" s="130" t="s">
        <v>2870</v>
      </c>
      <c r="F1505" s="130" t="s">
        <v>3093</v>
      </c>
      <c r="G1505" s="220">
        <v>43865</v>
      </c>
      <c r="H1505" s="130" t="s">
        <v>90</v>
      </c>
      <c r="I1505" s="130" t="s">
        <v>91</v>
      </c>
      <c r="J1505" s="130" t="s">
        <v>100</v>
      </c>
      <c r="K1505" s="130" t="s">
        <v>101</v>
      </c>
      <c r="L1505" s="174" t="s">
        <v>71</v>
      </c>
      <c r="M1505" s="131" t="s">
        <v>72</v>
      </c>
      <c r="N1505" s="130" t="s">
        <v>73</v>
      </c>
      <c r="O1505" s="219" t="s">
        <v>72</v>
      </c>
      <c r="P1505" s="130" t="s">
        <v>101</v>
      </c>
      <c r="Q1505" s="132" t="s">
        <v>93</v>
      </c>
      <c r="R1505" s="218">
        <v>3.3829999000000002</v>
      </c>
      <c r="S1505" s="129">
        <v>1</v>
      </c>
      <c r="T1505" s="129">
        <v>30</v>
      </c>
      <c r="U1505" s="129">
        <v>30</v>
      </c>
      <c r="V1505" s="129">
        <v>5.4000019999999997</v>
      </c>
      <c r="W1505" s="129">
        <v>35.400002000000001</v>
      </c>
      <c r="X1505" s="27">
        <f t="shared" si="191"/>
        <v>101.489997</v>
      </c>
    </row>
    <row r="1506" spans="1:24" x14ac:dyDescent="0.2">
      <c r="A1506" s="220">
        <v>43874</v>
      </c>
      <c r="B1506" s="130" t="s">
        <v>68</v>
      </c>
      <c r="C1506" s="130" t="s">
        <v>102</v>
      </c>
      <c r="D1506" s="130" t="s">
        <v>3094</v>
      </c>
      <c r="E1506" s="130" t="s">
        <v>2870</v>
      </c>
      <c r="F1506" s="130" t="s">
        <v>3093</v>
      </c>
      <c r="G1506" s="220">
        <v>43865</v>
      </c>
      <c r="H1506" s="130" t="s">
        <v>90</v>
      </c>
      <c r="I1506" s="130" t="s">
        <v>91</v>
      </c>
      <c r="J1506" s="130" t="s">
        <v>92</v>
      </c>
      <c r="K1506" s="130" t="s">
        <v>113</v>
      </c>
      <c r="L1506" s="174" t="s">
        <v>71</v>
      </c>
      <c r="M1506" s="131" t="s">
        <v>72</v>
      </c>
      <c r="N1506" s="130" t="s">
        <v>73</v>
      </c>
      <c r="O1506" s="219" t="s">
        <v>69</v>
      </c>
      <c r="P1506" s="130" t="s">
        <v>1699</v>
      </c>
      <c r="Q1506" s="132" t="s">
        <v>93</v>
      </c>
      <c r="R1506" s="218">
        <v>3.3829999000000002</v>
      </c>
      <c r="S1506" s="129">
        <v>1</v>
      </c>
      <c r="T1506" s="129">
        <v>40</v>
      </c>
      <c r="U1506" s="129">
        <v>40</v>
      </c>
      <c r="V1506" s="129">
        <v>7.2000010000000021</v>
      </c>
      <c r="W1506" s="129">
        <v>47.200001</v>
      </c>
      <c r="X1506" s="27">
        <f t="shared" si="191"/>
        <v>135.319996</v>
      </c>
    </row>
    <row r="1507" spans="1:24" x14ac:dyDescent="0.2">
      <c r="A1507" s="220">
        <v>43874</v>
      </c>
      <c r="B1507" s="130" t="s">
        <v>68</v>
      </c>
      <c r="C1507" s="130" t="s">
        <v>102</v>
      </c>
      <c r="D1507" s="130" t="s">
        <v>3094</v>
      </c>
      <c r="E1507" s="130" t="s">
        <v>2870</v>
      </c>
      <c r="F1507" s="130" t="s">
        <v>3093</v>
      </c>
      <c r="G1507" s="220">
        <v>43865</v>
      </c>
      <c r="H1507" s="130" t="s">
        <v>90</v>
      </c>
      <c r="I1507" s="130" t="s">
        <v>91</v>
      </c>
      <c r="J1507" s="130" t="s">
        <v>95</v>
      </c>
      <c r="K1507" s="130" t="s">
        <v>96</v>
      </c>
      <c r="L1507" s="174" t="s">
        <v>71</v>
      </c>
      <c r="M1507" s="131" t="s">
        <v>72</v>
      </c>
      <c r="N1507" s="130" t="s">
        <v>73</v>
      </c>
      <c r="O1507" s="219" t="s">
        <v>69</v>
      </c>
      <c r="P1507" s="130" t="s">
        <v>1699</v>
      </c>
      <c r="Q1507" s="132" t="s">
        <v>93</v>
      </c>
      <c r="R1507" s="218">
        <v>3.3829999000000002</v>
      </c>
      <c r="S1507" s="129">
        <v>-1</v>
      </c>
      <c r="T1507" s="129">
        <v>100</v>
      </c>
      <c r="U1507" s="129">
        <v>-100</v>
      </c>
      <c r="V1507" s="129">
        <v>-18</v>
      </c>
      <c r="W1507" s="129">
        <v>-118</v>
      </c>
      <c r="X1507" s="27">
        <f t="shared" si="191"/>
        <v>-338.29999000000004</v>
      </c>
    </row>
    <row r="1508" spans="1:24" x14ac:dyDescent="0.2">
      <c r="A1508" s="220">
        <v>43874</v>
      </c>
      <c r="B1508" s="130" t="s">
        <v>68</v>
      </c>
      <c r="C1508" s="130" t="s">
        <v>102</v>
      </c>
      <c r="D1508" s="130" t="s">
        <v>3094</v>
      </c>
      <c r="E1508" s="130" t="s">
        <v>2870</v>
      </c>
      <c r="F1508" s="130" t="s">
        <v>3093</v>
      </c>
      <c r="G1508" s="220">
        <v>43865</v>
      </c>
      <c r="H1508" s="130" t="s">
        <v>90</v>
      </c>
      <c r="I1508" s="130" t="s">
        <v>91</v>
      </c>
      <c r="J1508" s="130" t="s">
        <v>104</v>
      </c>
      <c r="K1508" s="130" t="s">
        <v>105</v>
      </c>
      <c r="L1508" s="174" t="s">
        <v>71</v>
      </c>
      <c r="M1508" s="131" t="s">
        <v>72</v>
      </c>
      <c r="N1508" s="130" t="s">
        <v>73</v>
      </c>
      <c r="O1508" s="219" t="s">
        <v>69</v>
      </c>
      <c r="P1508" s="130" t="s">
        <v>1699</v>
      </c>
      <c r="Q1508" s="132" t="s">
        <v>93</v>
      </c>
      <c r="R1508" s="218">
        <v>3.3829999000000002</v>
      </c>
      <c r="S1508" s="129">
        <v>1</v>
      </c>
      <c r="T1508" s="129">
        <v>0</v>
      </c>
      <c r="U1508" s="129">
        <v>0</v>
      </c>
      <c r="V1508" s="129">
        <v>0</v>
      </c>
      <c r="W1508" s="129">
        <v>0</v>
      </c>
      <c r="X1508" s="27">
        <f t="shared" si="191"/>
        <v>0</v>
      </c>
    </row>
    <row r="1509" spans="1:24" x14ac:dyDescent="0.2">
      <c r="A1509" s="220">
        <v>43875</v>
      </c>
      <c r="B1509" s="130" t="s">
        <v>68</v>
      </c>
      <c r="C1509" s="130" t="s">
        <v>102</v>
      </c>
      <c r="D1509" s="130" t="s">
        <v>3092</v>
      </c>
      <c r="E1509" s="130" t="s">
        <v>2880</v>
      </c>
      <c r="F1509" s="130" t="s">
        <v>3032</v>
      </c>
      <c r="G1509" s="220">
        <v>43866</v>
      </c>
      <c r="H1509" s="130" t="s">
        <v>90</v>
      </c>
      <c r="I1509" s="130" t="s">
        <v>91</v>
      </c>
      <c r="J1509" s="130" t="s">
        <v>97</v>
      </c>
      <c r="K1509" s="130" t="s">
        <v>98</v>
      </c>
      <c r="L1509" s="174" t="s">
        <v>71</v>
      </c>
      <c r="M1509" s="131" t="s">
        <v>72</v>
      </c>
      <c r="N1509" s="130" t="s">
        <v>73</v>
      </c>
      <c r="O1509" s="219" t="s">
        <v>99</v>
      </c>
      <c r="P1509" s="130" t="s">
        <v>98</v>
      </c>
      <c r="Q1509" s="132" t="s">
        <v>93</v>
      </c>
      <c r="R1509" s="218">
        <v>3.3849999999999998</v>
      </c>
      <c r="S1509" s="129">
        <v>1</v>
      </c>
      <c r="T1509" s="129">
        <v>206.5</v>
      </c>
      <c r="U1509" s="129">
        <v>206.5</v>
      </c>
      <c r="V1509" s="129">
        <v>37.17</v>
      </c>
      <c r="W1509" s="129">
        <v>243.67</v>
      </c>
      <c r="X1509" s="27">
        <f t="shared" si="191"/>
        <v>699.00249999999994</v>
      </c>
    </row>
    <row r="1510" spans="1:24" x14ac:dyDescent="0.2">
      <c r="A1510" s="220">
        <v>43875</v>
      </c>
      <c r="B1510" s="130" t="s">
        <v>68</v>
      </c>
      <c r="C1510" s="130" t="s">
        <v>102</v>
      </c>
      <c r="D1510" s="130" t="s">
        <v>3092</v>
      </c>
      <c r="E1510" s="130" t="s">
        <v>2880</v>
      </c>
      <c r="F1510" s="130" t="s">
        <v>3032</v>
      </c>
      <c r="G1510" s="220">
        <v>43866</v>
      </c>
      <c r="H1510" s="130" t="s">
        <v>90</v>
      </c>
      <c r="I1510" s="130" t="s">
        <v>91</v>
      </c>
      <c r="J1510" s="130" t="s">
        <v>100</v>
      </c>
      <c r="K1510" s="130" t="s">
        <v>101</v>
      </c>
      <c r="L1510" s="174" t="s">
        <v>71</v>
      </c>
      <c r="M1510" s="131" t="s">
        <v>72</v>
      </c>
      <c r="N1510" s="130" t="s">
        <v>73</v>
      </c>
      <c r="O1510" s="219" t="s">
        <v>72</v>
      </c>
      <c r="P1510" s="130" t="s">
        <v>101</v>
      </c>
      <c r="Q1510" s="132" t="s">
        <v>93</v>
      </c>
      <c r="R1510" s="218">
        <v>3.3849999999999998</v>
      </c>
      <c r="S1510" s="129">
        <v>1</v>
      </c>
      <c r="T1510" s="129">
        <v>210</v>
      </c>
      <c r="U1510" s="129">
        <v>210</v>
      </c>
      <c r="V1510" s="129">
        <v>37.799999999999997</v>
      </c>
      <c r="W1510" s="129">
        <v>247.8</v>
      </c>
      <c r="X1510" s="27">
        <f t="shared" si="191"/>
        <v>710.84999999999991</v>
      </c>
    </row>
    <row r="1511" spans="1:24" x14ac:dyDescent="0.2">
      <c r="A1511" s="220">
        <v>43875</v>
      </c>
      <c r="B1511" s="130" t="s">
        <v>68</v>
      </c>
      <c r="C1511" s="130" t="s">
        <v>102</v>
      </c>
      <c r="D1511" s="130" t="s">
        <v>3092</v>
      </c>
      <c r="E1511" s="130" t="s">
        <v>2880</v>
      </c>
      <c r="F1511" s="130" t="s">
        <v>3032</v>
      </c>
      <c r="G1511" s="220">
        <v>43866</v>
      </c>
      <c r="H1511" s="130" t="s">
        <v>90</v>
      </c>
      <c r="I1511" s="130" t="s">
        <v>91</v>
      </c>
      <c r="J1511" s="130" t="s">
        <v>92</v>
      </c>
      <c r="K1511" s="130" t="s">
        <v>113</v>
      </c>
      <c r="L1511" s="174" t="s">
        <v>71</v>
      </c>
      <c r="M1511" s="131" t="s">
        <v>72</v>
      </c>
      <c r="N1511" s="130" t="s">
        <v>73</v>
      </c>
      <c r="O1511" s="219" t="s">
        <v>69</v>
      </c>
      <c r="P1511" s="130" t="s">
        <v>1699</v>
      </c>
      <c r="Q1511" s="132" t="s">
        <v>93</v>
      </c>
      <c r="R1511" s="218">
        <v>3.3849999999999998</v>
      </c>
      <c r="S1511" s="129">
        <v>1</v>
      </c>
      <c r="T1511" s="129">
        <v>40</v>
      </c>
      <c r="U1511" s="129">
        <v>40</v>
      </c>
      <c r="V1511" s="129">
        <v>7.2000010000000021</v>
      </c>
      <c r="W1511" s="129">
        <v>47.200001</v>
      </c>
      <c r="X1511" s="27">
        <f t="shared" si="191"/>
        <v>135.39999999999998</v>
      </c>
    </row>
    <row r="1512" spans="1:24" x14ac:dyDescent="0.2">
      <c r="A1512" s="220">
        <v>43875</v>
      </c>
      <c r="B1512" s="130" t="s">
        <v>68</v>
      </c>
      <c r="C1512" s="130" t="s">
        <v>102</v>
      </c>
      <c r="D1512" s="130" t="s">
        <v>3092</v>
      </c>
      <c r="E1512" s="130" t="s">
        <v>2880</v>
      </c>
      <c r="F1512" s="130" t="s">
        <v>3032</v>
      </c>
      <c r="G1512" s="220">
        <v>43866</v>
      </c>
      <c r="H1512" s="130" t="s">
        <v>90</v>
      </c>
      <c r="I1512" s="130" t="s">
        <v>91</v>
      </c>
      <c r="J1512" s="130" t="s">
        <v>70</v>
      </c>
      <c r="K1512" s="130" t="s">
        <v>112</v>
      </c>
      <c r="L1512" s="174" t="s">
        <v>71</v>
      </c>
      <c r="M1512" s="131" t="s">
        <v>72</v>
      </c>
      <c r="N1512" s="130" t="s">
        <v>73</v>
      </c>
      <c r="O1512" s="219" t="s">
        <v>69</v>
      </c>
      <c r="P1512" s="130" t="s">
        <v>1699</v>
      </c>
      <c r="Q1512" s="132" t="s">
        <v>93</v>
      </c>
      <c r="R1512" s="218">
        <v>3.3849999999999998</v>
      </c>
      <c r="S1512" s="129">
        <v>1</v>
      </c>
      <c r="T1512" s="129">
        <v>30</v>
      </c>
      <c r="U1512" s="129">
        <v>30</v>
      </c>
      <c r="V1512" s="129">
        <v>5.4000019999999997</v>
      </c>
      <c r="W1512" s="129">
        <v>35.400002000000001</v>
      </c>
      <c r="X1512" s="27">
        <f t="shared" si="191"/>
        <v>101.55</v>
      </c>
    </row>
    <row r="1513" spans="1:24" x14ac:dyDescent="0.2">
      <c r="A1513" s="220">
        <v>43875</v>
      </c>
      <c r="B1513" s="130" t="s">
        <v>68</v>
      </c>
      <c r="C1513" s="130" t="s">
        <v>102</v>
      </c>
      <c r="D1513" s="130" t="s">
        <v>3092</v>
      </c>
      <c r="E1513" s="130" t="s">
        <v>2880</v>
      </c>
      <c r="F1513" s="130" t="s">
        <v>3032</v>
      </c>
      <c r="G1513" s="220">
        <v>43866</v>
      </c>
      <c r="H1513" s="130" t="s">
        <v>90</v>
      </c>
      <c r="I1513" s="130" t="s">
        <v>91</v>
      </c>
      <c r="J1513" s="130" t="s">
        <v>95</v>
      </c>
      <c r="K1513" s="130" t="s">
        <v>96</v>
      </c>
      <c r="L1513" s="174" t="s">
        <v>71</v>
      </c>
      <c r="M1513" s="131" t="s">
        <v>72</v>
      </c>
      <c r="N1513" s="130" t="s">
        <v>73</v>
      </c>
      <c r="O1513" s="219" t="s">
        <v>69</v>
      </c>
      <c r="P1513" s="130" t="s">
        <v>1699</v>
      </c>
      <c r="Q1513" s="132" t="s">
        <v>93</v>
      </c>
      <c r="R1513" s="218">
        <v>3.3849999999999998</v>
      </c>
      <c r="S1513" s="129">
        <v>-1</v>
      </c>
      <c r="T1513" s="129">
        <v>333.78809000000001</v>
      </c>
      <c r="U1513" s="129">
        <v>-333.78809000000001</v>
      </c>
      <c r="V1513" s="129">
        <v>-60.081909999999986</v>
      </c>
      <c r="W1513" s="129">
        <v>-393.87</v>
      </c>
      <c r="X1513" s="27">
        <f t="shared" si="191"/>
        <v>-1129.8726846499999</v>
      </c>
    </row>
    <row r="1514" spans="1:24" x14ac:dyDescent="0.2">
      <c r="A1514" s="220">
        <v>43875</v>
      </c>
      <c r="B1514" s="130" t="s">
        <v>68</v>
      </c>
      <c r="C1514" s="130" t="s">
        <v>102</v>
      </c>
      <c r="D1514" s="130" t="s">
        <v>3092</v>
      </c>
      <c r="E1514" s="130" t="s">
        <v>2880</v>
      </c>
      <c r="F1514" s="130" t="s">
        <v>3032</v>
      </c>
      <c r="G1514" s="220">
        <v>43866</v>
      </c>
      <c r="H1514" s="130" t="s">
        <v>90</v>
      </c>
      <c r="I1514" s="130" t="s">
        <v>91</v>
      </c>
      <c r="J1514" s="130" t="s">
        <v>104</v>
      </c>
      <c r="K1514" s="130" t="s">
        <v>105</v>
      </c>
      <c r="L1514" s="174" t="s">
        <v>71</v>
      </c>
      <c r="M1514" s="131" t="s">
        <v>72</v>
      </c>
      <c r="N1514" s="130" t="s">
        <v>73</v>
      </c>
      <c r="O1514" s="219" t="s">
        <v>69</v>
      </c>
      <c r="P1514" s="130" t="s">
        <v>1699</v>
      </c>
      <c r="Q1514" s="132" t="s">
        <v>93</v>
      </c>
      <c r="R1514" s="218">
        <v>3.3849999999999998</v>
      </c>
      <c r="S1514" s="129">
        <v>1</v>
      </c>
      <c r="T1514" s="129">
        <v>0</v>
      </c>
      <c r="U1514" s="129">
        <v>0</v>
      </c>
      <c r="V1514" s="129">
        <v>0</v>
      </c>
      <c r="W1514" s="129">
        <v>0</v>
      </c>
      <c r="X1514" s="27">
        <f t="shared" si="191"/>
        <v>0</v>
      </c>
    </row>
    <row r="1515" spans="1:24" x14ac:dyDescent="0.2">
      <c r="A1515" s="220">
        <v>43876</v>
      </c>
      <c r="B1515" s="130" t="s">
        <v>68</v>
      </c>
      <c r="C1515" s="130" t="s">
        <v>102</v>
      </c>
      <c r="D1515" s="130" t="s">
        <v>3091</v>
      </c>
      <c r="E1515" s="130" t="s">
        <v>2901</v>
      </c>
      <c r="F1515" s="130" t="s">
        <v>3025</v>
      </c>
      <c r="G1515" s="220">
        <v>43871</v>
      </c>
      <c r="H1515" s="130" t="s">
        <v>90</v>
      </c>
      <c r="I1515" s="130" t="s">
        <v>91</v>
      </c>
      <c r="J1515" s="130" t="s">
        <v>97</v>
      </c>
      <c r="K1515" s="130" t="s">
        <v>98</v>
      </c>
      <c r="L1515" s="174" t="s">
        <v>71</v>
      </c>
      <c r="M1515" s="131" t="s">
        <v>72</v>
      </c>
      <c r="N1515" s="130" t="s">
        <v>73</v>
      </c>
      <c r="O1515" s="219" t="s">
        <v>99</v>
      </c>
      <c r="P1515" s="130" t="s">
        <v>98</v>
      </c>
      <c r="Q1515" s="132" t="s">
        <v>93</v>
      </c>
      <c r="R1515" s="218">
        <v>3.3840001000000002</v>
      </c>
      <c r="S1515" s="129">
        <v>1</v>
      </c>
      <c r="T1515" s="129">
        <v>295</v>
      </c>
      <c r="U1515" s="129">
        <v>295</v>
      </c>
      <c r="V1515" s="129">
        <v>53.100009999999891</v>
      </c>
      <c r="W1515" s="129">
        <v>348.10000999999988</v>
      </c>
      <c r="X1515" s="27">
        <f t="shared" si="191"/>
        <v>998.28002950000007</v>
      </c>
    </row>
    <row r="1516" spans="1:24" x14ac:dyDescent="0.2">
      <c r="A1516" s="220">
        <v>43876</v>
      </c>
      <c r="B1516" s="130" t="s">
        <v>68</v>
      </c>
      <c r="C1516" s="130" t="s">
        <v>102</v>
      </c>
      <c r="D1516" s="130" t="s">
        <v>3091</v>
      </c>
      <c r="E1516" s="130" t="s">
        <v>2901</v>
      </c>
      <c r="F1516" s="130" t="s">
        <v>3025</v>
      </c>
      <c r="G1516" s="220">
        <v>43871</v>
      </c>
      <c r="H1516" s="130" t="s">
        <v>90</v>
      </c>
      <c r="I1516" s="130" t="s">
        <v>91</v>
      </c>
      <c r="J1516" s="130" t="s">
        <v>100</v>
      </c>
      <c r="K1516" s="130" t="s">
        <v>101</v>
      </c>
      <c r="L1516" s="174" t="s">
        <v>71</v>
      </c>
      <c r="M1516" s="131" t="s">
        <v>72</v>
      </c>
      <c r="N1516" s="130" t="s">
        <v>73</v>
      </c>
      <c r="O1516" s="219" t="s">
        <v>72</v>
      </c>
      <c r="P1516" s="130" t="s">
        <v>101</v>
      </c>
      <c r="Q1516" s="132" t="s">
        <v>93</v>
      </c>
      <c r="R1516" s="218">
        <v>3.3840001000000002</v>
      </c>
      <c r="S1516" s="129">
        <v>1</v>
      </c>
      <c r="T1516" s="129">
        <v>195</v>
      </c>
      <c r="U1516" s="129">
        <v>195</v>
      </c>
      <c r="V1516" s="129">
        <v>35.100010000000005</v>
      </c>
      <c r="W1516" s="129">
        <v>230.10001</v>
      </c>
      <c r="X1516" s="27">
        <f t="shared" si="191"/>
        <v>659.8800195</v>
      </c>
    </row>
    <row r="1517" spans="1:24" x14ac:dyDescent="0.2">
      <c r="A1517" s="220">
        <v>43876</v>
      </c>
      <c r="B1517" s="130" t="s">
        <v>68</v>
      </c>
      <c r="C1517" s="130" t="s">
        <v>102</v>
      </c>
      <c r="D1517" s="130" t="s">
        <v>3091</v>
      </c>
      <c r="E1517" s="130" t="s">
        <v>2901</v>
      </c>
      <c r="F1517" s="130" t="s">
        <v>3025</v>
      </c>
      <c r="G1517" s="220">
        <v>43871</v>
      </c>
      <c r="H1517" s="130" t="s">
        <v>90</v>
      </c>
      <c r="I1517" s="130" t="s">
        <v>91</v>
      </c>
      <c r="J1517" s="130" t="s">
        <v>92</v>
      </c>
      <c r="K1517" s="130" t="s">
        <v>113</v>
      </c>
      <c r="L1517" s="174" t="s">
        <v>71</v>
      </c>
      <c r="M1517" s="131" t="s">
        <v>72</v>
      </c>
      <c r="N1517" s="130" t="s">
        <v>73</v>
      </c>
      <c r="O1517" s="219" t="s">
        <v>69</v>
      </c>
      <c r="P1517" s="130" t="s">
        <v>1699</v>
      </c>
      <c r="Q1517" s="132" t="s">
        <v>93</v>
      </c>
      <c r="R1517" s="218">
        <v>3.3840001000000002</v>
      </c>
      <c r="S1517" s="129">
        <v>1</v>
      </c>
      <c r="T1517" s="129">
        <v>135</v>
      </c>
      <c r="U1517" s="129">
        <v>135</v>
      </c>
      <c r="V1517" s="129">
        <v>24.3</v>
      </c>
      <c r="W1517" s="129">
        <v>159.30000000000001</v>
      </c>
      <c r="X1517" s="27">
        <f t="shared" si="191"/>
        <v>456.8400135</v>
      </c>
    </row>
    <row r="1518" spans="1:24" x14ac:dyDescent="0.2">
      <c r="A1518" s="220">
        <v>43876</v>
      </c>
      <c r="B1518" s="130" t="s">
        <v>68</v>
      </c>
      <c r="C1518" s="130" t="s">
        <v>102</v>
      </c>
      <c r="D1518" s="130" t="s">
        <v>3091</v>
      </c>
      <c r="E1518" s="130" t="s">
        <v>2901</v>
      </c>
      <c r="F1518" s="130" t="s">
        <v>3025</v>
      </c>
      <c r="G1518" s="220">
        <v>43871</v>
      </c>
      <c r="H1518" s="130" t="s">
        <v>90</v>
      </c>
      <c r="I1518" s="130" t="s">
        <v>91</v>
      </c>
      <c r="J1518" s="130" t="s">
        <v>95</v>
      </c>
      <c r="K1518" s="130" t="s">
        <v>96</v>
      </c>
      <c r="L1518" s="174" t="s">
        <v>71</v>
      </c>
      <c r="M1518" s="131" t="s">
        <v>72</v>
      </c>
      <c r="N1518" s="130" t="s">
        <v>73</v>
      </c>
      <c r="O1518" s="219" t="s">
        <v>69</v>
      </c>
      <c r="P1518" s="130" t="s">
        <v>1699</v>
      </c>
      <c r="Q1518" s="132" t="s">
        <v>93</v>
      </c>
      <c r="R1518" s="218">
        <v>3.3840001000000002</v>
      </c>
      <c r="S1518" s="129">
        <v>-1</v>
      </c>
      <c r="T1518" s="129">
        <v>70</v>
      </c>
      <c r="U1518" s="129">
        <v>-70</v>
      </c>
      <c r="V1518" s="129">
        <v>-12.599997999999978</v>
      </c>
      <c r="W1518" s="129">
        <v>-82.599997999999971</v>
      </c>
      <c r="X1518" s="27">
        <f t="shared" si="191"/>
        <v>-236.88000700000001</v>
      </c>
    </row>
    <row r="1519" spans="1:24" x14ac:dyDescent="0.2">
      <c r="A1519" s="220">
        <v>43876</v>
      </c>
      <c r="B1519" s="130" t="s">
        <v>68</v>
      </c>
      <c r="C1519" s="130" t="s">
        <v>102</v>
      </c>
      <c r="D1519" s="130" t="s">
        <v>3091</v>
      </c>
      <c r="E1519" s="130" t="s">
        <v>2901</v>
      </c>
      <c r="F1519" s="130" t="s">
        <v>3025</v>
      </c>
      <c r="G1519" s="220">
        <v>43871</v>
      </c>
      <c r="H1519" s="130" t="s">
        <v>90</v>
      </c>
      <c r="I1519" s="130" t="s">
        <v>91</v>
      </c>
      <c r="J1519" s="130" t="s">
        <v>104</v>
      </c>
      <c r="K1519" s="130" t="s">
        <v>105</v>
      </c>
      <c r="L1519" s="174" t="s">
        <v>71</v>
      </c>
      <c r="M1519" s="131" t="s">
        <v>72</v>
      </c>
      <c r="N1519" s="130" t="s">
        <v>73</v>
      </c>
      <c r="O1519" s="219" t="s">
        <v>69</v>
      </c>
      <c r="P1519" s="130" t="s">
        <v>1699</v>
      </c>
      <c r="Q1519" s="132" t="s">
        <v>93</v>
      </c>
      <c r="R1519" s="218">
        <v>3.3840001000000002</v>
      </c>
      <c r="S1519" s="129">
        <v>1</v>
      </c>
      <c r="T1519" s="129">
        <v>0</v>
      </c>
      <c r="U1519" s="129">
        <v>0</v>
      </c>
      <c r="V1519" s="129">
        <v>0</v>
      </c>
      <c r="W1519" s="129">
        <v>0</v>
      </c>
      <c r="X1519" s="27">
        <f t="shared" si="191"/>
        <v>0</v>
      </c>
    </row>
    <row r="1520" spans="1:24" x14ac:dyDescent="0.2">
      <c r="A1520" s="220">
        <v>43876</v>
      </c>
      <c r="B1520" s="130" t="s">
        <v>68</v>
      </c>
      <c r="C1520" s="130" t="s">
        <v>102</v>
      </c>
      <c r="D1520" s="130" t="s">
        <v>3090</v>
      </c>
      <c r="E1520" s="130" t="s">
        <v>2898</v>
      </c>
      <c r="F1520" s="130" t="s">
        <v>3017</v>
      </c>
      <c r="G1520" s="220">
        <v>43869</v>
      </c>
      <c r="H1520" s="130" t="s">
        <v>90</v>
      </c>
      <c r="I1520" s="130" t="s">
        <v>91</v>
      </c>
      <c r="J1520" s="130" t="s">
        <v>97</v>
      </c>
      <c r="K1520" s="130" t="s">
        <v>98</v>
      </c>
      <c r="L1520" s="174" t="s">
        <v>71</v>
      </c>
      <c r="M1520" s="131" t="s">
        <v>72</v>
      </c>
      <c r="N1520" s="130" t="s">
        <v>73</v>
      </c>
      <c r="O1520" s="219" t="s">
        <v>99</v>
      </c>
      <c r="P1520" s="130" t="s">
        <v>98</v>
      </c>
      <c r="Q1520" s="132" t="s">
        <v>93</v>
      </c>
      <c r="R1520" s="218">
        <v>3.3840001000000002</v>
      </c>
      <c r="S1520" s="129">
        <v>1</v>
      </c>
      <c r="T1520" s="129">
        <v>59</v>
      </c>
      <c r="U1520" s="129">
        <v>59</v>
      </c>
      <c r="V1520" s="129">
        <v>10.620002999999997</v>
      </c>
      <c r="W1520" s="129">
        <v>69.620002999999997</v>
      </c>
      <c r="X1520" s="27">
        <f t="shared" si="191"/>
        <v>199.6560059</v>
      </c>
    </row>
    <row r="1521" spans="1:24" x14ac:dyDescent="0.2">
      <c r="A1521" s="220">
        <v>43876</v>
      </c>
      <c r="B1521" s="130" t="s">
        <v>68</v>
      </c>
      <c r="C1521" s="130" t="s">
        <v>102</v>
      </c>
      <c r="D1521" s="130" t="s">
        <v>3090</v>
      </c>
      <c r="E1521" s="130" t="s">
        <v>2898</v>
      </c>
      <c r="F1521" s="130" t="s">
        <v>3017</v>
      </c>
      <c r="G1521" s="220">
        <v>43869</v>
      </c>
      <c r="H1521" s="130" t="s">
        <v>90</v>
      </c>
      <c r="I1521" s="130" t="s">
        <v>91</v>
      </c>
      <c r="J1521" s="130" t="s">
        <v>100</v>
      </c>
      <c r="K1521" s="130" t="s">
        <v>101</v>
      </c>
      <c r="L1521" s="174" t="s">
        <v>71</v>
      </c>
      <c r="M1521" s="131" t="s">
        <v>72</v>
      </c>
      <c r="N1521" s="130" t="s">
        <v>73</v>
      </c>
      <c r="O1521" s="219" t="s">
        <v>72</v>
      </c>
      <c r="P1521" s="130" t="s">
        <v>101</v>
      </c>
      <c r="Q1521" s="132" t="s">
        <v>93</v>
      </c>
      <c r="R1521" s="218">
        <v>3.3840001000000002</v>
      </c>
      <c r="S1521" s="129">
        <v>1</v>
      </c>
      <c r="T1521" s="129">
        <v>60</v>
      </c>
      <c r="U1521" s="129">
        <v>60</v>
      </c>
      <c r="V1521" s="129">
        <v>10.800002999999997</v>
      </c>
      <c r="W1521" s="129">
        <v>70.800003000000004</v>
      </c>
      <c r="X1521" s="27">
        <f t="shared" si="191"/>
        <v>203.04000600000001</v>
      </c>
    </row>
    <row r="1522" spans="1:24" x14ac:dyDescent="0.2">
      <c r="A1522" s="220">
        <v>43876</v>
      </c>
      <c r="B1522" s="130" t="s">
        <v>68</v>
      </c>
      <c r="C1522" s="130" t="s">
        <v>102</v>
      </c>
      <c r="D1522" s="130" t="s">
        <v>3090</v>
      </c>
      <c r="E1522" s="130" t="s">
        <v>2898</v>
      </c>
      <c r="F1522" s="130" t="s">
        <v>3017</v>
      </c>
      <c r="G1522" s="220">
        <v>43869</v>
      </c>
      <c r="H1522" s="130" t="s">
        <v>90</v>
      </c>
      <c r="I1522" s="130" t="s">
        <v>91</v>
      </c>
      <c r="J1522" s="130" t="s">
        <v>92</v>
      </c>
      <c r="K1522" s="130" t="s">
        <v>113</v>
      </c>
      <c r="L1522" s="174" t="s">
        <v>71</v>
      </c>
      <c r="M1522" s="131" t="s">
        <v>72</v>
      </c>
      <c r="N1522" s="130" t="s">
        <v>73</v>
      </c>
      <c r="O1522" s="219" t="s">
        <v>69</v>
      </c>
      <c r="P1522" s="130" t="s">
        <v>1699</v>
      </c>
      <c r="Q1522" s="132" t="s">
        <v>93</v>
      </c>
      <c r="R1522" s="218">
        <v>3.3840001000000002</v>
      </c>
      <c r="S1522" s="129">
        <v>1</v>
      </c>
      <c r="T1522" s="129">
        <v>60</v>
      </c>
      <c r="U1522" s="129">
        <v>60</v>
      </c>
      <c r="V1522" s="129">
        <v>10.800002999999997</v>
      </c>
      <c r="W1522" s="129">
        <v>70.800003000000004</v>
      </c>
      <c r="X1522" s="27">
        <f t="shared" si="191"/>
        <v>203.04000600000001</v>
      </c>
    </row>
    <row r="1523" spans="1:24" x14ac:dyDescent="0.2">
      <c r="A1523" s="220">
        <v>43876</v>
      </c>
      <c r="B1523" s="130" t="s">
        <v>68</v>
      </c>
      <c r="C1523" s="130" t="s">
        <v>102</v>
      </c>
      <c r="D1523" s="130" t="s">
        <v>3090</v>
      </c>
      <c r="E1523" s="130" t="s">
        <v>2898</v>
      </c>
      <c r="F1523" s="130" t="s">
        <v>3017</v>
      </c>
      <c r="G1523" s="220">
        <v>43869</v>
      </c>
      <c r="H1523" s="130" t="s">
        <v>90</v>
      </c>
      <c r="I1523" s="130" t="s">
        <v>91</v>
      </c>
      <c r="J1523" s="130" t="s">
        <v>132</v>
      </c>
      <c r="K1523" s="130" t="s">
        <v>94</v>
      </c>
      <c r="L1523" s="174" t="s">
        <v>71</v>
      </c>
      <c r="M1523" s="131" t="s">
        <v>72</v>
      </c>
      <c r="N1523" s="130" t="s">
        <v>73</v>
      </c>
      <c r="O1523" s="219" t="s">
        <v>69</v>
      </c>
      <c r="P1523" s="130" t="s">
        <v>1699</v>
      </c>
      <c r="Q1523" s="132" t="s">
        <v>93</v>
      </c>
      <c r="R1523" s="218">
        <v>3.3840001000000002</v>
      </c>
      <c r="S1523" s="129">
        <v>1</v>
      </c>
      <c r="T1523" s="129">
        <v>25</v>
      </c>
      <c r="U1523" s="129">
        <v>25</v>
      </c>
      <c r="V1523" s="129">
        <v>4.5</v>
      </c>
      <c r="W1523" s="129">
        <v>29.5</v>
      </c>
      <c r="X1523" s="27">
        <f t="shared" si="191"/>
        <v>84.600002500000002</v>
      </c>
    </row>
    <row r="1524" spans="1:24" x14ac:dyDescent="0.2">
      <c r="A1524" s="220">
        <v>43876</v>
      </c>
      <c r="B1524" s="130" t="s">
        <v>68</v>
      </c>
      <c r="C1524" s="130" t="s">
        <v>102</v>
      </c>
      <c r="D1524" s="130" t="s">
        <v>3090</v>
      </c>
      <c r="E1524" s="130" t="s">
        <v>2898</v>
      </c>
      <c r="F1524" s="130" t="s">
        <v>3017</v>
      </c>
      <c r="G1524" s="220">
        <v>43869</v>
      </c>
      <c r="H1524" s="130" t="s">
        <v>90</v>
      </c>
      <c r="I1524" s="130" t="s">
        <v>91</v>
      </c>
      <c r="J1524" s="130" t="s">
        <v>95</v>
      </c>
      <c r="K1524" s="130" t="s">
        <v>96</v>
      </c>
      <c r="L1524" s="174" t="s">
        <v>71</v>
      </c>
      <c r="M1524" s="131" t="s">
        <v>72</v>
      </c>
      <c r="N1524" s="130" t="s">
        <v>73</v>
      </c>
      <c r="O1524" s="219" t="s">
        <v>69</v>
      </c>
      <c r="P1524" s="130" t="s">
        <v>1699</v>
      </c>
      <c r="Q1524" s="132" t="s">
        <v>93</v>
      </c>
      <c r="R1524" s="218">
        <v>3.3840001000000002</v>
      </c>
      <c r="S1524" s="129">
        <v>-1</v>
      </c>
      <c r="T1524" s="129">
        <v>100</v>
      </c>
      <c r="U1524" s="129">
        <v>-100</v>
      </c>
      <c r="V1524" s="129">
        <v>-18</v>
      </c>
      <c r="W1524" s="129">
        <v>-118</v>
      </c>
      <c r="X1524" s="27">
        <f t="shared" si="191"/>
        <v>-338.40001000000001</v>
      </c>
    </row>
    <row r="1525" spans="1:24" x14ac:dyDescent="0.2">
      <c r="A1525" s="220">
        <v>43876</v>
      </c>
      <c r="B1525" s="130" t="s">
        <v>68</v>
      </c>
      <c r="C1525" s="130" t="s">
        <v>102</v>
      </c>
      <c r="D1525" s="130" t="s">
        <v>3088</v>
      </c>
      <c r="E1525" s="130" t="s">
        <v>2865</v>
      </c>
      <c r="F1525" s="130" t="s">
        <v>3021</v>
      </c>
      <c r="G1525" s="220">
        <v>43860</v>
      </c>
      <c r="H1525" s="130" t="s">
        <v>90</v>
      </c>
      <c r="I1525" s="130" t="s">
        <v>91</v>
      </c>
      <c r="J1525" s="130" t="s">
        <v>97</v>
      </c>
      <c r="K1525" s="130" t="s">
        <v>98</v>
      </c>
      <c r="L1525" s="174" t="s">
        <v>71</v>
      </c>
      <c r="M1525" s="131" t="s">
        <v>72</v>
      </c>
      <c r="N1525" s="130" t="s">
        <v>73</v>
      </c>
      <c r="O1525" s="219" t="s">
        <v>99</v>
      </c>
      <c r="P1525" s="130" t="s">
        <v>98</v>
      </c>
      <c r="Q1525" s="132" t="s">
        <v>93</v>
      </c>
      <c r="R1525" s="218">
        <v>3.3840001000000002</v>
      </c>
      <c r="S1525" s="129">
        <v>1</v>
      </c>
      <c r="T1525" s="129">
        <v>265.5</v>
      </c>
      <c r="U1525" s="129">
        <v>265.5</v>
      </c>
      <c r="V1525" s="129">
        <v>47.790010000000002</v>
      </c>
      <c r="W1525" s="129">
        <v>313.29001</v>
      </c>
      <c r="X1525" s="27">
        <f t="shared" si="191"/>
        <v>898.45202655000003</v>
      </c>
    </row>
    <row r="1526" spans="1:24" x14ac:dyDescent="0.2">
      <c r="A1526" s="220">
        <v>43876</v>
      </c>
      <c r="B1526" s="130" t="s">
        <v>68</v>
      </c>
      <c r="C1526" s="130" t="s">
        <v>102</v>
      </c>
      <c r="D1526" s="130" t="s">
        <v>3088</v>
      </c>
      <c r="E1526" s="130" t="s">
        <v>2865</v>
      </c>
      <c r="F1526" s="130" t="s">
        <v>3021</v>
      </c>
      <c r="G1526" s="220">
        <v>43860</v>
      </c>
      <c r="H1526" s="130" t="s">
        <v>90</v>
      </c>
      <c r="I1526" s="130" t="s">
        <v>91</v>
      </c>
      <c r="J1526" s="130" t="s">
        <v>100</v>
      </c>
      <c r="K1526" s="130" t="s">
        <v>101</v>
      </c>
      <c r="L1526" s="174" t="s">
        <v>71</v>
      </c>
      <c r="M1526" s="131" t="s">
        <v>72</v>
      </c>
      <c r="N1526" s="130" t="s">
        <v>73</v>
      </c>
      <c r="O1526" s="219" t="s">
        <v>72</v>
      </c>
      <c r="P1526" s="130" t="s">
        <v>101</v>
      </c>
      <c r="Q1526" s="132" t="s">
        <v>93</v>
      </c>
      <c r="R1526" s="218">
        <v>3.3840001000000002</v>
      </c>
      <c r="S1526" s="129">
        <v>1</v>
      </c>
      <c r="T1526" s="129">
        <v>150</v>
      </c>
      <c r="U1526" s="129">
        <v>150</v>
      </c>
      <c r="V1526" s="129">
        <v>27</v>
      </c>
      <c r="W1526" s="129">
        <v>177</v>
      </c>
      <c r="X1526" s="27">
        <f t="shared" si="191"/>
        <v>507.60001500000004</v>
      </c>
    </row>
    <row r="1527" spans="1:24" x14ac:dyDescent="0.2">
      <c r="A1527" s="220">
        <v>43876</v>
      </c>
      <c r="B1527" s="130" t="s">
        <v>68</v>
      </c>
      <c r="C1527" s="130" t="s">
        <v>102</v>
      </c>
      <c r="D1527" s="130" t="s">
        <v>3088</v>
      </c>
      <c r="E1527" s="130" t="s">
        <v>2865</v>
      </c>
      <c r="F1527" s="130" t="s">
        <v>3021</v>
      </c>
      <c r="G1527" s="220">
        <v>43860</v>
      </c>
      <c r="H1527" s="130" t="s">
        <v>90</v>
      </c>
      <c r="I1527" s="130" t="s">
        <v>91</v>
      </c>
      <c r="J1527" s="130" t="s">
        <v>92</v>
      </c>
      <c r="K1527" s="130" t="s">
        <v>113</v>
      </c>
      <c r="L1527" s="174" t="s">
        <v>71</v>
      </c>
      <c r="M1527" s="131" t="s">
        <v>72</v>
      </c>
      <c r="N1527" s="130" t="s">
        <v>73</v>
      </c>
      <c r="O1527" s="219" t="s">
        <v>69</v>
      </c>
      <c r="P1527" s="130" t="s">
        <v>1699</v>
      </c>
      <c r="Q1527" s="132" t="s">
        <v>93</v>
      </c>
      <c r="R1527" s="218">
        <v>3.3840001000000002</v>
      </c>
      <c r="S1527" s="129">
        <v>1</v>
      </c>
      <c r="T1527" s="129">
        <v>105</v>
      </c>
      <c r="U1527" s="129">
        <v>105</v>
      </c>
      <c r="V1527" s="129">
        <v>18.899999999999999</v>
      </c>
      <c r="W1527" s="129">
        <v>123.9</v>
      </c>
      <c r="X1527" s="27">
        <f t="shared" si="191"/>
        <v>355.32001050000002</v>
      </c>
    </row>
    <row r="1528" spans="1:24" x14ac:dyDescent="0.2">
      <c r="A1528" s="220">
        <v>43876</v>
      </c>
      <c r="B1528" s="130" t="s">
        <v>68</v>
      </c>
      <c r="C1528" s="130" t="s">
        <v>102</v>
      </c>
      <c r="D1528" s="130" t="s">
        <v>3088</v>
      </c>
      <c r="E1528" s="130" t="s">
        <v>2865</v>
      </c>
      <c r="F1528" s="130" t="s">
        <v>3021</v>
      </c>
      <c r="G1528" s="220">
        <v>43860</v>
      </c>
      <c r="H1528" s="130" t="s">
        <v>90</v>
      </c>
      <c r="I1528" s="130" t="s">
        <v>91</v>
      </c>
      <c r="J1528" s="130" t="s">
        <v>132</v>
      </c>
      <c r="K1528" s="130" t="s">
        <v>3089</v>
      </c>
      <c r="L1528" s="174" t="s">
        <v>71</v>
      </c>
      <c r="M1528" s="131" t="s">
        <v>72</v>
      </c>
      <c r="N1528" s="130" t="s">
        <v>73</v>
      </c>
      <c r="O1528" s="219" t="s">
        <v>69</v>
      </c>
      <c r="P1528" s="130" t="s">
        <v>1699</v>
      </c>
      <c r="Q1528" s="132" t="s">
        <v>93</v>
      </c>
      <c r="R1528" s="218">
        <v>3.3840001000000002</v>
      </c>
      <c r="S1528" s="129">
        <v>1</v>
      </c>
      <c r="T1528" s="129">
        <v>30</v>
      </c>
      <c r="U1528" s="129">
        <v>30</v>
      </c>
      <c r="V1528" s="129">
        <v>5.4000019999999997</v>
      </c>
      <c r="W1528" s="129">
        <v>35.400002000000001</v>
      </c>
      <c r="X1528" s="27">
        <f t="shared" si="191"/>
        <v>101.520003</v>
      </c>
    </row>
    <row r="1529" spans="1:24" x14ac:dyDescent="0.2">
      <c r="A1529" s="220">
        <v>43876</v>
      </c>
      <c r="B1529" s="130" t="s">
        <v>68</v>
      </c>
      <c r="C1529" s="130" t="s">
        <v>102</v>
      </c>
      <c r="D1529" s="130" t="s">
        <v>3088</v>
      </c>
      <c r="E1529" s="130" t="s">
        <v>2865</v>
      </c>
      <c r="F1529" s="130" t="s">
        <v>3021</v>
      </c>
      <c r="G1529" s="220">
        <v>43860</v>
      </c>
      <c r="H1529" s="130" t="s">
        <v>90</v>
      </c>
      <c r="I1529" s="130" t="s">
        <v>91</v>
      </c>
      <c r="J1529" s="130" t="s">
        <v>70</v>
      </c>
      <c r="K1529" s="130" t="s">
        <v>112</v>
      </c>
      <c r="L1529" s="174" t="s">
        <v>71</v>
      </c>
      <c r="M1529" s="131" t="s">
        <v>72</v>
      </c>
      <c r="N1529" s="130" t="s">
        <v>73</v>
      </c>
      <c r="O1529" s="219" t="s">
        <v>69</v>
      </c>
      <c r="P1529" s="130" t="s">
        <v>1699</v>
      </c>
      <c r="Q1529" s="132" t="s">
        <v>93</v>
      </c>
      <c r="R1529" s="218">
        <v>3.3840001000000002</v>
      </c>
      <c r="S1529" s="129">
        <v>1</v>
      </c>
      <c r="T1529" s="129">
        <v>15</v>
      </c>
      <c r="U1529" s="129">
        <v>15</v>
      </c>
      <c r="V1529" s="129">
        <v>2.7000009999999999</v>
      </c>
      <c r="W1529" s="129">
        <v>17.700001</v>
      </c>
      <c r="X1529" s="27">
        <f t="shared" si="191"/>
        <v>50.760001500000001</v>
      </c>
    </row>
    <row r="1530" spans="1:24" x14ac:dyDescent="0.2">
      <c r="A1530" s="220">
        <v>43876</v>
      </c>
      <c r="B1530" s="130" t="s">
        <v>68</v>
      </c>
      <c r="C1530" s="130" t="s">
        <v>102</v>
      </c>
      <c r="D1530" s="130" t="s">
        <v>3088</v>
      </c>
      <c r="E1530" s="130" t="s">
        <v>2865</v>
      </c>
      <c r="F1530" s="130" t="s">
        <v>3021</v>
      </c>
      <c r="G1530" s="220">
        <v>43860</v>
      </c>
      <c r="H1530" s="130" t="s">
        <v>90</v>
      </c>
      <c r="I1530" s="130" t="s">
        <v>91</v>
      </c>
      <c r="J1530" s="130" t="s">
        <v>95</v>
      </c>
      <c r="K1530" s="130" t="s">
        <v>96</v>
      </c>
      <c r="L1530" s="174" t="s">
        <v>71</v>
      </c>
      <c r="M1530" s="131" t="s">
        <v>72</v>
      </c>
      <c r="N1530" s="130" t="s">
        <v>73</v>
      </c>
      <c r="O1530" s="219" t="s">
        <v>69</v>
      </c>
      <c r="P1530" s="130" t="s">
        <v>1699</v>
      </c>
      <c r="Q1530" s="132" t="s">
        <v>93</v>
      </c>
      <c r="R1530" s="218">
        <v>3.3840001000000002</v>
      </c>
      <c r="S1530" s="129">
        <v>-1</v>
      </c>
      <c r="T1530" s="129">
        <v>153.60169999999999</v>
      </c>
      <c r="U1530" s="129">
        <v>-153.60169999999999</v>
      </c>
      <c r="V1530" s="129">
        <v>-27.648300000000017</v>
      </c>
      <c r="W1530" s="129">
        <v>-181.25</v>
      </c>
      <c r="X1530" s="27">
        <f t="shared" si="191"/>
        <v>-519.78816816017002</v>
      </c>
    </row>
    <row r="1531" spans="1:24" x14ac:dyDescent="0.2">
      <c r="A1531" s="220">
        <v>43876</v>
      </c>
      <c r="B1531" s="130" t="s">
        <v>68</v>
      </c>
      <c r="C1531" s="130" t="s">
        <v>102</v>
      </c>
      <c r="D1531" s="130" t="s">
        <v>3088</v>
      </c>
      <c r="E1531" s="130" t="s">
        <v>2865</v>
      </c>
      <c r="F1531" s="130" t="s">
        <v>3021</v>
      </c>
      <c r="G1531" s="220">
        <v>43860</v>
      </c>
      <c r="H1531" s="130" t="s">
        <v>90</v>
      </c>
      <c r="I1531" s="130" t="s">
        <v>91</v>
      </c>
      <c r="J1531" s="130" t="s">
        <v>104</v>
      </c>
      <c r="K1531" s="130" t="s">
        <v>105</v>
      </c>
      <c r="L1531" s="174" t="s">
        <v>71</v>
      </c>
      <c r="M1531" s="131" t="s">
        <v>72</v>
      </c>
      <c r="N1531" s="130" t="s">
        <v>73</v>
      </c>
      <c r="O1531" s="219" t="s">
        <v>69</v>
      </c>
      <c r="P1531" s="130" t="s">
        <v>1699</v>
      </c>
      <c r="Q1531" s="132" t="s">
        <v>93</v>
      </c>
      <c r="R1531" s="218">
        <v>3.3840001000000002</v>
      </c>
      <c r="S1531" s="129">
        <v>1</v>
      </c>
      <c r="T1531" s="129">
        <v>0</v>
      </c>
      <c r="U1531" s="129">
        <v>0</v>
      </c>
      <c r="V1531" s="129">
        <v>0</v>
      </c>
      <c r="W1531" s="129">
        <v>0</v>
      </c>
      <c r="X1531" s="27">
        <f t="shared" si="191"/>
        <v>0</v>
      </c>
    </row>
    <row r="1532" spans="1:24" x14ac:dyDescent="0.2">
      <c r="A1532" s="220">
        <v>43876</v>
      </c>
      <c r="B1532" s="130" t="s">
        <v>68</v>
      </c>
      <c r="C1532" s="130" t="s">
        <v>102</v>
      </c>
      <c r="D1532" s="130" t="s">
        <v>3087</v>
      </c>
      <c r="E1532" s="130" t="s">
        <v>2879</v>
      </c>
      <c r="F1532" s="130" t="s">
        <v>3021</v>
      </c>
      <c r="G1532" s="220">
        <v>43867</v>
      </c>
      <c r="H1532" s="130" t="s">
        <v>90</v>
      </c>
      <c r="I1532" s="130" t="s">
        <v>91</v>
      </c>
      <c r="J1532" s="130" t="s">
        <v>97</v>
      </c>
      <c r="K1532" s="130" t="s">
        <v>98</v>
      </c>
      <c r="L1532" s="174" t="s">
        <v>71</v>
      </c>
      <c r="M1532" s="131" t="s">
        <v>72</v>
      </c>
      <c r="N1532" s="130" t="s">
        <v>73</v>
      </c>
      <c r="O1532" s="219" t="s">
        <v>99</v>
      </c>
      <c r="P1532" s="130" t="s">
        <v>98</v>
      </c>
      <c r="Q1532" s="132" t="s">
        <v>93</v>
      </c>
      <c r="R1532" s="218">
        <v>3.3840001000000002</v>
      </c>
      <c r="S1532" s="129">
        <v>1</v>
      </c>
      <c r="T1532" s="129">
        <v>120</v>
      </c>
      <c r="U1532" s="129">
        <v>120</v>
      </c>
      <c r="V1532" s="129">
        <v>21.600010000000019</v>
      </c>
      <c r="W1532" s="129">
        <v>141.60001000000003</v>
      </c>
      <c r="X1532" s="27">
        <f t="shared" si="191"/>
        <v>406.08001200000001</v>
      </c>
    </row>
    <row r="1533" spans="1:24" x14ac:dyDescent="0.2">
      <c r="A1533" s="220">
        <v>43876</v>
      </c>
      <c r="B1533" s="130" t="s">
        <v>68</v>
      </c>
      <c r="C1533" s="130" t="s">
        <v>102</v>
      </c>
      <c r="D1533" s="130" t="s">
        <v>3087</v>
      </c>
      <c r="E1533" s="130" t="s">
        <v>2879</v>
      </c>
      <c r="F1533" s="130" t="s">
        <v>3021</v>
      </c>
      <c r="G1533" s="220">
        <v>43867</v>
      </c>
      <c r="H1533" s="130" t="s">
        <v>90</v>
      </c>
      <c r="I1533" s="130" t="s">
        <v>91</v>
      </c>
      <c r="J1533" s="130" t="s">
        <v>100</v>
      </c>
      <c r="K1533" s="130" t="s">
        <v>101</v>
      </c>
      <c r="L1533" s="174" t="s">
        <v>71</v>
      </c>
      <c r="M1533" s="131" t="s">
        <v>72</v>
      </c>
      <c r="N1533" s="130" t="s">
        <v>73</v>
      </c>
      <c r="O1533" s="219" t="s">
        <v>72</v>
      </c>
      <c r="P1533" s="130" t="s">
        <v>101</v>
      </c>
      <c r="Q1533" s="132" t="s">
        <v>93</v>
      </c>
      <c r="R1533" s="218">
        <v>3.3840001000000002</v>
      </c>
      <c r="S1533" s="129">
        <v>1</v>
      </c>
      <c r="T1533" s="129">
        <v>60</v>
      </c>
      <c r="U1533" s="129">
        <v>60</v>
      </c>
      <c r="V1533" s="129">
        <v>10.800002999999997</v>
      </c>
      <c r="W1533" s="129">
        <v>70.800003000000004</v>
      </c>
      <c r="X1533" s="27">
        <f t="shared" si="191"/>
        <v>203.04000600000001</v>
      </c>
    </row>
    <row r="1534" spans="1:24" x14ac:dyDescent="0.2">
      <c r="A1534" s="220">
        <v>43876</v>
      </c>
      <c r="B1534" s="130" t="s">
        <v>68</v>
      </c>
      <c r="C1534" s="130" t="s">
        <v>102</v>
      </c>
      <c r="D1534" s="130" t="s">
        <v>3087</v>
      </c>
      <c r="E1534" s="130" t="s">
        <v>2879</v>
      </c>
      <c r="F1534" s="130" t="s">
        <v>3021</v>
      </c>
      <c r="G1534" s="220">
        <v>43867</v>
      </c>
      <c r="H1534" s="130" t="s">
        <v>90</v>
      </c>
      <c r="I1534" s="130" t="s">
        <v>91</v>
      </c>
      <c r="J1534" s="130" t="s">
        <v>92</v>
      </c>
      <c r="K1534" s="130" t="s">
        <v>113</v>
      </c>
      <c r="L1534" s="174" t="s">
        <v>71</v>
      </c>
      <c r="M1534" s="131" t="s">
        <v>72</v>
      </c>
      <c r="N1534" s="130" t="s">
        <v>73</v>
      </c>
      <c r="O1534" s="219" t="s">
        <v>69</v>
      </c>
      <c r="P1534" s="130" t="s">
        <v>1699</v>
      </c>
      <c r="Q1534" s="132" t="s">
        <v>93</v>
      </c>
      <c r="R1534" s="218">
        <v>3.3840001000000002</v>
      </c>
      <c r="S1534" s="129">
        <v>1</v>
      </c>
      <c r="T1534" s="129">
        <v>30</v>
      </c>
      <c r="U1534" s="129">
        <v>30</v>
      </c>
      <c r="V1534" s="129">
        <v>5.4000019999999997</v>
      </c>
      <c r="W1534" s="129">
        <v>35.400002000000001</v>
      </c>
      <c r="X1534" s="27">
        <f t="shared" si="191"/>
        <v>101.520003</v>
      </c>
    </row>
    <row r="1535" spans="1:24" x14ac:dyDescent="0.2">
      <c r="A1535" s="220">
        <v>43876</v>
      </c>
      <c r="B1535" s="130" t="s">
        <v>68</v>
      </c>
      <c r="C1535" s="130" t="s">
        <v>102</v>
      </c>
      <c r="D1535" s="130" t="s">
        <v>3087</v>
      </c>
      <c r="E1535" s="130" t="s">
        <v>2879</v>
      </c>
      <c r="F1535" s="130" t="s">
        <v>3021</v>
      </c>
      <c r="G1535" s="220">
        <v>43867</v>
      </c>
      <c r="H1535" s="130" t="s">
        <v>90</v>
      </c>
      <c r="I1535" s="130" t="s">
        <v>91</v>
      </c>
      <c r="J1535" s="130" t="s">
        <v>95</v>
      </c>
      <c r="K1535" s="130" t="s">
        <v>96</v>
      </c>
      <c r="L1535" s="174" t="s">
        <v>71</v>
      </c>
      <c r="M1535" s="131" t="s">
        <v>72</v>
      </c>
      <c r="N1535" s="130" t="s">
        <v>73</v>
      </c>
      <c r="O1535" s="219" t="s">
        <v>69</v>
      </c>
      <c r="P1535" s="130" t="s">
        <v>1699</v>
      </c>
      <c r="Q1535" s="132" t="s">
        <v>93</v>
      </c>
      <c r="R1535" s="218">
        <v>3.3840001000000002</v>
      </c>
      <c r="S1535" s="129">
        <v>-1</v>
      </c>
      <c r="T1535" s="129">
        <v>100</v>
      </c>
      <c r="U1535" s="129">
        <v>-100</v>
      </c>
      <c r="V1535" s="129">
        <v>-18</v>
      </c>
      <c r="W1535" s="129">
        <v>-118</v>
      </c>
      <c r="X1535" s="27">
        <f t="shared" si="191"/>
        <v>-338.40001000000001</v>
      </c>
    </row>
    <row r="1536" spans="1:24" x14ac:dyDescent="0.2">
      <c r="A1536" s="220">
        <v>43876</v>
      </c>
      <c r="B1536" s="130" t="s">
        <v>68</v>
      </c>
      <c r="C1536" s="130" t="s">
        <v>102</v>
      </c>
      <c r="D1536" s="130" t="s">
        <v>3087</v>
      </c>
      <c r="E1536" s="130" t="s">
        <v>2879</v>
      </c>
      <c r="F1536" s="130" t="s">
        <v>3021</v>
      </c>
      <c r="G1536" s="220">
        <v>43867</v>
      </c>
      <c r="H1536" s="130" t="s">
        <v>90</v>
      </c>
      <c r="I1536" s="130" t="s">
        <v>91</v>
      </c>
      <c r="J1536" s="130" t="s">
        <v>104</v>
      </c>
      <c r="K1536" s="130" t="s">
        <v>105</v>
      </c>
      <c r="L1536" s="174" t="s">
        <v>71</v>
      </c>
      <c r="M1536" s="131" t="s">
        <v>72</v>
      </c>
      <c r="N1536" s="130" t="s">
        <v>73</v>
      </c>
      <c r="O1536" s="219" t="s">
        <v>69</v>
      </c>
      <c r="P1536" s="130" t="s">
        <v>1699</v>
      </c>
      <c r="Q1536" s="132" t="s">
        <v>93</v>
      </c>
      <c r="R1536" s="218">
        <v>3.3840001000000002</v>
      </c>
      <c r="S1536" s="129">
        <v>1</v>
      </c>
      <c r="T1536" s="129">
        <v>0</v>
      </c>
      <c r="U1536" s="129">
        <v>0</v>
      </c>
      <c r="V1536" s="129">
        <v>0</v>
      </c>
      <c r="W1536" s="129">
        <v>0</v>
      </c>
      <c r="X1536" s="27">
        <f t="shared" si="191"/>
        <v>0</v>
      </c>
    </row>
    <row r="1537" spans="1:24" x14ac:dyDescent="0.2">
      <c r="A1537" s="220">
        <v>43876</v>
      </c>
      <c r="B1537" s="130" t="s">
        <v>68</v>
      </c>
      <c r="C1537" s="130" t="s">
        <v>102</v>
      </c>
      <c r="D1537" s="130" t="s">
        <v>3086</v>
      </c>
      <c r="E1537" s="130" t="s">
        <v>901</v>
      </c>
      <c r="F1537" s="130" t="s">
        <v>1228</v>
      </c>
      <c r="G1537" s="220">
        <v>43767</v>
      </c>
      <c r="H1537" s="130" t="s">
        <v>90</v>
      </c>
      <c r="I1537" s="130" t="s">
        <v>91</v>
      </c>
      <c r="J1537" s="130" t="s">
        <v>97</v>
      </c>
      <c r="K1537" s="130" t="s">
        <v>98</v>
      </c>
      <c r="L1537" s="174" t="s">
        <v>71</v>
      </c>
      <c r="M1537" s="131" t="s">
        <v>72</v>
      </c>
      <c r="N1537" s="130" t="s">
        <v>73</v>
      </c>
      <c r="O1537" s="219" t="s">
        <v>99</v>
      </c>
      <c r="P1537" s="130" t="s">
        <v>98</v>
      </c>
      <c r="Q1537" s="132" t="s">
        <v>93</v>
      </c>
      <c r="R1537" s="218">
        <v>3.3840001000000002</v>
      </c>
      <c r="S1537" s="129">
        <v>1</v>
      </c>
      <c r="T1537" s="129">
        <v>309.75421</v>
      </c>
      <c r="U1537" s="129">
        <v>309.75421</v>
      </c>
      <c r="V1537" s="129">
        <v>55.755800000000129</v>
      </c>
      <c r="W1537" s="129">
        <v>365.51001000000014</v>
      </c>
      <c r="X1537" s="27">
        <f t="shared" si="191"/>
        <v>1048.2082776154211</v>
      </c>
    </row>
    <row r="1538" spans="1:24" x14ac:dyDescent="0.2">
      <c r="A1538" s="220">
        <v>43876</v>
      </c>
      <c r="B1538" s="130" t="s">
        <v>68</v>
      </c>
      <c r="C1538" s="130" t="s">
        <v>102</v>
      </c>
      <c r="D1538" s="130" t="s">
        <v>3086</v>
      </c>
      <c r="E1538" s="130" t="s">
        <v>901</v>
      </c>
      <c r="F1538" s="130" t="s">
        <v>1228</v>
      </c>
      <c r="G1538" s="220">
        <v>43767</v>
      </c>
      <c r="H1538" s="130" t="s">
        <v>90</v>
      </c>
      <c r="I1538" s="130" t="s">
        <v>91</v>
      </c>
      <c r="J1538" s="130" t="s">
        <v>100</v>
      </c>
      <c r="K1538" s="130" t="s">
        <v>101</v>
      </c>
      <c r="L1538" s="174" t="s">
        <v>71</v>
      </c>
      <c r="M1538" s="131" t="s">
        <v>72</v>
      </c>
      <c r="N1538" s="130" t="s">
        <v>73</v>
      </c>
      <c r="O1538" s="219" t="s">
        <v>72</v>
      </c>
      <c r="P1538" s="130" t="s">
        <v>101</v>
      </c>
      <c r="Q1538" s="132" t="s">
        <v>93</v>
      </c>
      <c r="R1538" s="218">
        <v>3.3840001000000002</v>
      </c>
      <c r="S1538" s="129">
        <v>1</v>
      </c>
      <c r="T1538" s="129">
        <v>330</v>
      </c>
      <c r="U1538" s="129">
        <v>330</v>
      </c>
      <c r="V1538" s="129">
        <v>59.399990000000031</v>
      </c>
      <c r="W1538" s="129">
        <v>389.39999000000006</v>
      </c>
      <c r="X1538" s="27">
        <f t="shared" si="191"/>
        <v>1116.7200330000001</v>
      </c>
    </row>
    <row r="1539" spans="1:24" x14ac:dyDescent="0.2">
      <c r="A1539" s="220">
        <v>43876</v>
      </c>
      <c r="B1539" s="130" t="s">
        <v>68</v>
      </c>
      <c r="C1539" s="130" t="s">
        <v>102</v>
      </c>
      <c r="D1539" s="130" t="s">
        <v>3086</v>
      </c>
      <c r="E1539" s="130" t="s">
        <v>901</v>
      </c>
      <c r="F1539" s="130" t="s">
        <v>1228</v>
      </c>
      <c r="G1539" s="220">
        <v>43767</v>
      </c>
      <c r="H1539" s="130" t="s">
        <v>90</v>
      </c>
      <c r="I1539" s="130" t="s">
        <v>91</v>
      </c>
      <c r="J1539" s="130" t="s">
        <v>92</v>
      </c>
      <c r="K1539" s="130" t="s">
        <v>113</v>
      </c>
      <c r="L1539" s="174" t="s">
        <v>71</v>
      </c>
      <c r="M1539" s="131" t="s">
        <v>72</v>
      </c>
      <c r="N1539" s="130" t="s">
        <v>73</v>
      </c>
      <c r="O1539" s="219" t="s">
        <v>69</v>
      </c>
      <c r="P1539" s="130" t="s">
        <v>1699</v>
      </c>
      <c r="Q1539" s="132" t="s">
        <v>93</v>
      </c>
      <c r="R1539" s="218">
        <v>3.3840001000000002</v>
      </c>
      <c r="S1539" s="129">
        <v>1</v>
      </c>
      <c r="T1539" s="129">
        <v>70</v>
      </c>
      <c r="U1539" s="129">
        <v>70</v>
      </c>
      <c r="V1539" s="129">
        <v>12.599997999999978</v>
      </c>
      <c r="W1539" s="129">
        <v>82.599997999999971</v>
      </c>
      <c r="X1539" s="27">
        <f t="shared" si="191"/>
        <v>236.88000700000001</v>
      </c>
    </row>
    <row r="1540" spans="1:24" x14ac:dyDescent="0.2">
      <c r="A1540" s="220">
        <v>43876</v>
      </c>
      <c r="B1540" s="130" t="s">
        <v>68</v>
      </c>
      <c r="C1540" s="130" t="s">
        <v>102</v>
      </c>
      <c r="D1540" s="130" t="s">
        <v>3086</v>
      </c>
      <c r="E1540" s="130" t="s">
        <v>901</v>
      </c>
      <c r="F1540" s="130" t="s">
        <v>1228</v>
      </c>
      <c r="G1540" s="220">
        <v>43767</v>
      </c>
      <c r="H1540" s="130" t="s">
        <v>90</v>
      </c>
      <c r="I1540" s="130" t="s">
        <v>91</v>
      </c>
      <c r="J1540" s="130" t="s">
        <v>132</v>
      </c>
      <c r="K1540" s="130" t="s">
        <v>133</v>
      </c>
      <c r="L1540" s="174" t="s">
        <v>71</v>
      </c>
      <c r="M1540" s="131" t="s">
        <v>72</v>
      </c>
      <c r="N1540" s="130" t="s">
        <v>73</v>
      </c>
      <c r="O1540" s="219" t="s">
        <v>69</v>
      </c>
      <c r="P1540" s="130" t="s">
        <v>1699</v>
      </c>
      <c r="Q1540" s="132" t="s">
        <v>93</v>
      </c>
      <c r="R1540" s="218">
        <v>3.3840001000000002</v>
      </c>
      <c r="S1540" s="129">
        <v>1</v>
      </c>
      <c r="T1540" s="129">
        <v>0</v>
      </c>
      <c r="U1540" s="129">
        <v>0</v>
      </c>
      <c r="V1540" s="129">
        <v>0</v>
      </c>
      <c r="W1540" s="129">
        <v>0</v>
      </c>
      <c r="X1540" s="27">
        <f t="shared" si="191"/>
        <v>0</v>
      </c>
    </row>
    <row r="1541" spans="1:24" x14ac:dyDescent="0.2">
      <c r="A1541" s="220">
        <v>43876</v>
      </c>
      <c r="B1541" s="130" t="s">
        <v>68</v>
      </c>
      <c r="C1541" s="130" t="s">
        <v>102</v>
      </c>
      <c r="D1541" s="130" t="s">
        <v>3086</v>
      </c>
      <c r="E1541" s="130" t="s">
        <v>901</v>
      </c>
      <c r="F1541" s="130" t="s">
        <v>1228</v>
      </c>
      <c r="G1541" s="220">
        <v>43767</v>
      </c>
      <c r="H1541" s="130" t="s">
        <v>90</v>
      </c>
      <c r="I1541" s="130" t="s">
        <v>91</v>
      </c>
      <c r="J1541" s="130" t="s">
        <v>70</v>
      </c>
      <c r="K1541" s="130" t="s">
        <v>112</v>
      </c>
      <c r="L1541" s="174" t="s">
        <v>71</v>
      </c>
      <c r="M1541" s="131" t="s">
        <v>72</v>
      </c>
      <c r="N1541" s="130" t="s">
        <v>73</v>
      </c>
      <c r="O1541" s="219" t="s">
        <v>69</v>
      </c>
      <c r="P1541" s="130" t="s">
        <v>1699</v>
      </c>
      <c r="Q1541" s="132" t="s">
        <v>93</v>
      </c>
      <c r="R1541" s="218">
        <v>3.3840001000000002</v>
      </c>
      <c r="S1541" s="129">
        <v>1</v>
      </c>
      <c r="T1541" s="129">
        <v>30</v>
      </c>
      <c r="U1541" s="129">
        <v>30</v>
      </c>
      <c r="V1541" s="129">
        <v>5.4000019999999997</v>
      </c>
      <c r="W1541" s="129">
        <v>35.400002000000001</v>
      </c>
      <c r="X1541" s="27">
        <f t="shared" ref="X1541:X1604" si="192">IF(Q1541="$",(U1541*R1541),U1541)</f>
        <v>101.520003</v>
      </c>
    </row>
    <row r="1542" spans="1:24" x14ac:dyDescent="0.2">
      <c r="A1542" s="220">
        <v>43876</v>
      </c>
      <c r="B1542" s="130" t="s">
        <v>68</v>
      </c>
      <c r="C1542" s="130" t="s">
        <v>102</v>
      </c>
      <c r="D1542" s="130" t="s">
        <v>3086</v>
      </c>
      <c r="E1542" s="130" t="s">
        <v>901</v>
      </c>
      <c r="F1542" s="130" t="s">
        <v>1228</v>
      </c>
      <c r="G1542" s="220">
        <v>43767</v>
      </c>
      <c r="H1542" s="130" t="s">
        <v>90</v>
      </c>
      <c r="I1542" s="130" t="s">
        <v>91</v>
      </c>
      <c r="J1542" s="130" t="s">
        <v>95</v>
      </c>
      <c r="K1542" s="130" t="s">
        <v>96</v>
      </c>
      <c r="L1542" s="174" t="s">
        <v>71</v>
      </c>
      <c r="M1542" s="131" t="s">
        <v>72</v>
      </c>
      <c r="N1542" s="130" t="s">
        <v>73</v>
      </c>
      <c r="O1542" s="219" t="s">
        <v>69</v>
      </c>
      <c r="P1542" s="130" t="s">
        <v>1699</v>
      </c>
      <c r="Q1542" s="132" t="s">
        <v>93</v>
      </c>
      <c r="R1542" s="218">
        <v>3.3840001000000002</v>
      </c>
      <c r="S1542" s="129">
        <v>-1</v>
      </c>
      <c r="T1542" s="129">
        <v>215.27968999999996</v>
      </c>
      <c r="U1542" s="129">
        <v>-215.27968999999996</v>
      </c>
      <c r="V1542" s="129">
        <v>-38.750310000000027</v>
      </c>
      <c r="W1542" s="129">
        <v>-254.03</v>
      </c>
      <c r="X1542" s="27">
        <f t="shared" si="192"/>
        <v>-728.5064924879689</v>
      </c>
    </row>
    <row r="1543" spans="1:24" x14ac:dyDescent="0.2">
      <c r="A1543" s="220">
        <v>43876</v>
      </c>
      <c r="B1543" s="130" t="s">
        <v>68</v>
      </c>
      <c r="C1543" s="130" t="s">
        <v>102</v>
      </c>
      <c r="D1543" s="130" t="s">
        <v>3086</v>
      </c>
      <c r="E1543" s="130" t="s">
        <v>901</v>
      </c>
      <c r="F1543" s="130" t="s">
        <v>1228</v>
      </c>
      <c r="G1543" s="220">
        <v>43767</v>
      </c>
      <c r="H1543" s="130" t="s">
        <v>90</v>
      </c>
      <c r="I1543" s="130" t="s">
        <v>91</v>
      </c>
      <c r="J1543" s="130" t="s">
        <v>95</v>
      </c>
      <c r="K1543" s="130" t="s">
        <v>96</v>
      </c>
      <c r="L1543" s="174" t="s">
        <v>71</v>
      </c>
      <c r="M1543" s="131" t="s">
        <v>72</v>
      </c>
      <c r="N1543" s="130" t="s">
        <v>73</v>
      </c>
      <c r="O1543" s="219" t="s">
        <v>69</v>
      </c>
      <c r="P1543" s="130" t="s">
        <v>1699</v>
      </c>
      <c r="Q1543" s="132" t="s">
        <v>93</v>
      </c>
      <c r="R1543" s="218">
        <v>3.3840001000000002</v>
      </c>
      <c r="S1543" s="129">
        <v>-1</v>
      </c>
      <c r="T1543" s="129">
        <v>14.957599999999999</v>
      </c>
      <c r="U1543" s="129">
        <v>-14.957599999999999</v>
      </c>
      <c r="V1543" s="129">
        <v>-2.6923999999999979</v>
      </c>
      <c r="W1543" s="129">
        <v>-17.649999999999999</v>
      </c>
      <c r="X1543" s="27">
        <f t="shared" si="192"/>
        <v>-50.61651989576</v>
      </c>
    </row>
    <row r="1544" spans="1:24" x14ac:dyDescent="0.2">
      <c r="A1544" s="220">
        <v>43876</v>
      </c>
      <c r="B1544" s="130" t="s">
        <v>68</v>
      </c>
      <c r="C1544" s="130" t="s">
        <v>102</v>
      </c>
      <c r="D1544" s="130" t="s">
        <v>3086</v>
      </c>
      <c r="E1544" s="130" t="s">
        <v>901</v>
      </c>
      <c r="F1544" s="130" t="s">
        <v>1228</v>
      </c>
      <c r="G1544" s="220">
        <v>43767</v>
      </c>
      <c r="H1544" s="130" t="s">
        <v>90</v>
      </c>
      <c r="I1544" s="130" t="s">
        <v>91</v>
      </c>
      <c r="J1544" s="130" t="s">
        <v>104</v>
      </c>
      <c r="K1544" s="130" t="s">
        <v>105</v>
      </c>
      <c r="L1544" s="174" t="s">
        <v>71</v>
      </c>
      <c r="M1544" s="131" t="s">
        <v>72</v>
      </c>
      <c r="N1544" s="130" t="s">
        <v>73</v>
      </c>
      <c r="O1544" s="219" t="s">
        <v>69</v>
      </c>
      <c r="P1544" s="130" t="s">
        <v>1699</v>
      </c>
      <c r="Q1544" s="132" t="s">
        <v>93</v>
      </c>
      <c r="R1544" s="218">
        <v>3.3840001000000002</v>
      </c>
      <c r="S1544" s="129">
        <v>1</v>
      </c>
      <c r="T1544" s="129">
        <v>0</v>
      </c>
      <c r="U1544" s="129">
        <v>0</v>
      </c>
      <c r="V1544" s="129">
        <v>0</v>
      </c>
      <c r="W1544" s="129">
        <v>0</v>
      </c>
      <c r="X1544" s="27">
        <f t="shared" si="192"/>
        <v>0</v>
      </c>
    </row>
    <row r="1545" spans="1:24" x14ac:dyDescent="0.2">
      <c r="A1545" s="220">
        <v>43876</v>
      </c>
      <c r="B1545" s="130" t="s">
        <v>68</v>
      </c>
      <c r="C1545" s="130" t="s">
        <v>102</v>
      </c>
      <c r="D1545" s="130" t="s">
        <v>3085</v>
      </c>
      <c r="E1545" s="130" t="s">
        <v>1363</v>
      </c>
      <c r="F1545" s="130" t="s">
        <v>1440</v>
      </c>
      <c r="G1545" s="220">
        <v>43749</v>
      </c>
      <c r="H1545" s="130" t="s">
        <v>90</v>
      </c>
      <c r="I1545" s="130" t="s">
        <v>91</v>
      </c>
      <c r="J1545" s="130" t="s">
        <v>97</v>
      </c>
      <c r="K1545" s="130" t="s">
        <v>98</v>
      </c>
      <c r="L1545" s="174" t="s">
        <v>71</v>
      </c>
      <c r="M1545" s="131" t="s">
        <v>72</v>
      </c>
      <c r="N1545" s="130" t="s">
        <v>73</v>
      </c>
      <c r="O1545" s="219" t="s">
        <v>99</v>
      </c>
      <c r="P1545" s="130" t="s">
        <v>98</v>
      </c>
      <c r="Q1545" s="132" t="s">
        <v>93</v>
      </c>
      <c r="R1545" s="218">
        <v>3.3840001000000002</v>
      </c>
      <c r="S1545" s="129">
        <v>1</v>
      </c>
      <c r="T1545" s="129">
        <v>324.5</v>
      </c>
      <c r="U1545" s="129">
        <v>324.5</v>
      </c>
      <c r="V1545" s="129">
        <v>58.41</v>
      </c>
      <c r="W1545" s="129">
        <v>382.91</v>
      </c>
      <c r="X1545" s="27">
        <f t="shared" si="192"/>
        <v>1098.1080324500001</v>
      </c>
    </row>
    <row r="1546" spans="1:24" x14ac:dyDescent="0.2">
      <c r="A1546" s="220">
        <v>43876</v>
      </c>
      <c r="B1546" s="130" t="s">
        <v>68</v>
      </c>
      <c r="C1546" s="130" t="s">
        <v>102</v>
      </c>
      <c r="D1546" s="130" t="s">
        <v>3085</v>
      </c>
      <c r="E1546" s="130" t="s">
        <v>1363</v>
      </c>
      <c r="F1546" s="130" t="s">
        <v>1440</v>
      </c>
      <c r="G1546" s="220">
        <v>43749</v>
      </c>
      <c r="H1546" s="130" t="s">
        <v>90</v>
      </c>
      <c r="I1546" s="130" t="s">
        <v>91</v>
      </c>
      <c r="J1546" s="130" t="s">
        <v>100</v>
      </c>
      <c r="K1546" s="130" t="s">
        <v>101</v>
      </c>
      <c r="L1546" s="174" t="s">
        <v>71</v>
      </c>
      <c r="M1546" s="131" t="s">
        <v>72</v>
      </c>
      <c r="N1546" s="130" t="s">
        <v>73</v>
      </c>
      <c r="O1546" s="219" t="s">
        <v>72</v>
      </c>
      <c r="P1546" s="130" t="s">
        <v>101</v>
      </c>
      <c r="Q1546" s="132" t="s">
        <v>93</v>
      </c>
      <c r="R1546" s="218">
        <v>3.3840001000000002</v>
      </c>
      <c r="S1546" s="129">
        <v>1</v>
      </c>
      <c r="T1546" s="129">
        <v>360</v>
      </c>
      <c r="U1546" s="129">
        <v>360</v>
      </c>
      <c r="V1546" s="129">
        <v>64.799990000000037</v>
      </c>
      <c r="W1546" s="129">
        <v>424.79999000000004</v>
      </c>
      <c r="X1546" s="27">
        <f t="shared" si="192"/>
        <v>1218.2400360000001</v>
      </c>
    </row>
    <row r="1547" spans="1:24" x14ac:dyDescent="0.2">
      <c r="A1547" s="220">
        <v>43876</v>
      </c>
      <c r="B1547" s="130" t="s">
        <v>68</v>
      </c>
      <c r="C1547" s="130" t="s">
        <v>102</v>
      </c>
      <c r="D1547" s="130" t="s">
        <v>3085</v>
      </c>
      <c r="E1547" s="130" t="s">
        <v>1363</v>
      </c>
      <c r="F1547" s="130" t="s">
        <v>1440</v>
      </c>
      <c r="G1547" s="220">
        <v>43749</v>
      </c>
      <c r="H1547" s="130" t="s">
        <v>90</v>
      </c>
      <c r="I1547" s="130" t="s">
        <v>91</v>
      </c>
      <c r="J1547" s="130" t="s">
        <v>92</v>
      </c>
      <c r="K1547" s="130" t="s">
        <v>113</v>
      </c>
      <c r="L1547" s="174" t="s">
        <v>71</v>
      </c>
      <c r="M1547" s="131" t="s">
        <v>72</v>
      </c>
      <c r="N1547" s="130" t="s">
        <v>73</v>
      </c>
      <c r="O1547" s="219" t="s">
        <v>69</v>
      </c>
      <c r="P1547" s="130" t="s">
        <v>1699</v>
      </c>
      <c r="Q1547" s="132" t="s">
        <v>93</v>
      </c>
      <c r="R1547" s="218">
        <v>3.3840001000000002</v>
      </c>
      <c r="S1547" s="129">
        <v>1</v>
      </c>
      <c r="T1547" s="129">
        <v>110</v>
      </c>
      <c r="U1547" s="129">
        <v>110</v>
      </c>
      <c r="V1547" s="129">
        <v>19.8</v>
      </c>
      <c r="W1547" s="129">
        <v>129.80000000000001</v>
      </c>
      <c r="X1547" s="27">
        <f t="shared" si="192"/>
        <v>372.24001100000004</v>
      </c>
    </row>
    <row r="1548" spans="1:24" x14ac:dyDescent="0.2">
      <c r="A1548" s="220">
        <v>43876</v>
      </c>
      <c r="B1548" s="130" t="s">
        <v>68</v>
      </c>
      <c r="C1548" s="130" t="s">
        <v>102</v>
      </c>
      <c r="D1548" s="130" t="s">
        <v>3085</v>
      </c>
      <c r="E1548" s="130" t="s">
        <v>1363</v>
      </c>
      <c r="F1548" s="130" t="s">
        <v>1440</v>
      </c>
      <c r="G1548" s="220">
        <v>43749</v>
      </c>
      <c r="H1548" s="130" t="s">
        <v>90</v>
      </c>
      <c r="I1548" s="130" t="s">
        <v>91</v>
      </c>
      <c r="J1548" s="130" t="s">
        <v>132</v>
      </c>
      <c r="K1548" s="130" t="s">
        <v>94</v>
      </c>
      <c r="L1548" s="174" t="s">
        <v>71</v>
      </c>
      <c r="M1548" s="131" t="s">
        <v>72</v>
      </c>
      <c r="N1548" s="130" t="s">
        <v>73</v>
      </c>
      <c r="O1548" s="219" t="s">
        <v>69</v>
      </c>
      <c r="P1548" s="130" t="s">
        <v>1699</v>
      </c>
      <c r="Q1548" s="132" t="s">
        <v>93</v>
      </c>
      <c r="R1548" s="218">
        <v>3.3840001000000002</v>
      </c>
      <c r="S1548" s="129">
        <v>1</v>
      </c>
      <c r="T1548" s="129">
        <v>40</v>
      </c>
      <c r="U1548" s="129">
        <v>40</v>
      </c>
      <c r="V1548" s="129">
        <v>7.2000010000000021</v>
      </c>
      <c r="W1548" s="129">
        <v>47.200001</v>
      </c>
      <c r="X1548" s="27">
        <f t="shared" si="192"/>
        <v>135.360004</v>
      </c>
    </row>
    <row r="1549" spans="1:24" x14ac:dyDescent="0.2">
      <c r="A1549" s="220">
        <v>43876</v>
      </c>
      <c r="B1549" s="130" t="s">
        <v>68</v>
      </c>
      <c r="C1549" s="130" t="s">
        <v>102</v>
      </c>
      <c r="D1549" s="130" t="s">
        <v>3085</v>
      </c>
      <c r="E1549" s="130" t="s">
        <v>1363</v>
      </c>
      <c r="F1549" s="130" t="s">
        <v>1440</v>
      </c>
      <c r="G1549" s="220">
        <v>43749</v>
      </c>
      <c r="H1549" s="130" t="s">
        <v>90</v>
      </c>
      <c r="I1549" s="130" t="s">
        <v>91</v>
      </c>
      <c r="J1549" s="130" t="s">
        <v>70</v>
      </c>
      <c r="K1549" s="130" t="s">
        <v>112</v>
      </c>
      <c r="L1549" s="174" t="s">
        <v>71</v>
      </c>
      <c r="M1549" s="131" t="s">
        <v>72</v>
      </c>
      <c r="N1549" s="130" t="s">
        <v>73</v>
      </c>
      <c r="O1549" s="219" t="s">
        <v>69</v>
      </c>
      <c r="P1549" s="130" t="s">
        <v>1699</v>
      </c>
      <c r="Q1549" s="132" t="s">
        <v>93</v>
      </c>
      <c r="R1549" s="218">
        <v>3.3840001000000002</v>
      </c>
      <c r="S1549" s="129">
        <v>1</v>
      </c>
      <c r="T1549" s="129">
        <v>30</v>
      </c>
      <c r="U1549" s="129">
        <v>30</v>
      </c>
      <c r="V1549" s="129">
        <v>5.4000019999999997</v>
      </c>
      <c r="W1549" s="129">
        <v>35.400002000000001</v>
      </c>
      <c r="X1549" s="27">
        <f t="shared" si="192"/>
        <v>101.520003</v>
      </c>
    </row>
    <row r="1550" spans="1:24" x14ac:dyDescent="0.2">
      <c r="A1550" s="220">
        <v>43876</v>
      </c>
      <c r="B1550" s="130" t="s">
        <v>68</v>
      </c>
      <c r="C1550" s="130" t="s">
        <v>102</v>
      </c>
      <c r="D1550" s="130" t="s">
        <v>3085</v>
      </c>
      <c r="E1550" s="130" t="s">
        <v>1363</v>
      </c>
      <c r="F1550" s="130" t="s">
        <v>1440</v>
      </c>
      <c r="G1550" s="220">
        <v>43749</v>
      </c>
      <c r="H1550" s="130" t="s">
        <v>90</v>
      </c>
      <c r="I1550" s="130" t="s">
        <v>91</v>
      </c>
      <c r="J1550" s="130" t="s">
        <v>95</v>
      </c>
      <c r="K1550" s="130" t="s">
        <v>96</v>
      </c>
      <c r="L1550" s="174" t="s">
        <v>71</v>
      </c>
      <c r="M1550" s="131" t="s">
        <v>72</v>
      </c>
      <c r="N1550" s="130" t="s">
        <v>73</v>
      </c>
      <c r="O1550" s="219" t="s">
        <v>69</v>
      </c>
      <c r="P1550" s="130" t="s">
        <v>1699</v>
      </c>
      <c r="Q1550" s="132" t="s">
        <v>93</v>
      </c>
      <c r="R1550" s="218">
        <v>3.3840001000000002</v>
      </c>
      <c r="S1550" s="129">
        <v>-1</v>
      </c>
      <c r="T1550" s="129">
        <v>235.90680000000003</v>
      </c>
      <c r="U1550" s="129">
        <v>-235.90680000000003</v>
      </c>
      <c r="V1550" s="129">
        <v>-42.463199999999958</v>
      </c>
      <c r="W1550" s="129">
        <v>-278.37</v>
      </c>
      <c r="X1550" s="27">
        <f t="shared" si="192"/>
        <v>-798.30863479068012</v>
      </c>
    </row>
    <row r="1551" spans="1:24" x14ac:dyDescent="0.2">
      <c r="A1551" s="220">
        <v>43876</v>
      </c>
      <c r="B1551" s="130" t="s">
        <v>68</v>
      </c>
      <c r="C1551" s="130" t="s">
        <v>102</v>
      </c>
      <c r="D1551" s="130" t="s">
        <v>3085</v>
      </c>
      <c r="E1551" s="130" t="s">
        <v>1363</v>
      </c>
      <c r="F1551" s="130" t="s">
        <v>1440</v>
      </c>
      <c r="G1551" s="220">
        <v>43749</v>
      </c>
      <c r="H1551" s="130" t="s">
        <v>90</v>
      </c>
      <c r="I1551" s="130" t="s">
        <v>91</v>
      </c>
      <c r="J1551" s="130" t="s">
        <v>104</v>
      </c>
      <c r="K1551" s="130" t="s">
        <v>105</v>
      </c>
      <c r="L1551" s="174" t="s">
        <v>71</v>
      </c>
      <c r="M1551" s="131" t="s">
        <v>72</v>
      </c>
      <c r="N1551" s="130" t="s">
        <v>73</v>
      </c>
      <c r="O1551" s="219" t="s">
        <v>69</v>
      </c>
      <c r="P1551" s="130" t="s">
        <v>1699</v>
      </c>
      <c r="Q1551" s="132" t="s">
        <v>93</v>
      </c>
      <c r="R1551" s="218">
        <v>3.3840001000000002</v>
      </c>
      <c r="S1551" s="129">
        <v>1</v>
      </c>
      <c r="T1551" s="129">
        <v>0</v>
      </c>
      <c r="U1551" s="129">
        <v>0</v>
      </c>
      <c r="V1551" s="129">
        <v>0</v>
      </c>
      <c r="W1551" s="129">
        <v>0</v>
      </c>
      <c r="X1551" s="27">
        <f t="shared" si="192"/>
        <v>0</v>
      </c>
    </row>
    <row r="1552" spans="1:24" x14ac:dyDescent="0.2">
      <c r="A1552" s="220">
        <v>43876</v>
      </c>
      <c r="B1552" s="130" t="s">
        <v>68</v>
      </c>
      <c r="C1552" s="130" t="s">
        <v>102</v>
      </c>
      <c r="D1552" s="130" t="s">
        <v>3084</v>
      </c>
      <c r="E1552" s="130" t="s">
        <v>1406</v>
      </c>
      <c r="F1552" s="130" t="s">
        <v>1766</v>
      </c>
      <c r="G1552" s="220">
        <v>43791</v>
      </c>
      <c r="H1552" s="130" t="s">
        <v>90</v>
      </c>
      <c r="I1552" s="130" t="s">
        <v>91</v>
      </c>
      <c r="J1552" s="130" t="s">
        <v>97</v>
      </c>
      <c r="K1552" s="130" t="s">
        <v>98</v>
      </c>
      <c r="L1552" s="174" t="s">
        <v>71</v>
      </c>
      <c r="M1552" s="131" t="s">
        <v>72</v>
      </c>
      <c r="N1552" s="130" t="s">
        <v>73</v>
      </c>
      <c r="O1552" s="219" t="s">
        <v>99</v>
      </c>
      <c r="P1552" s="130" t="s">
        <v>98</v>
      </c>
      <c r="Q1552" s="132" t="s">
        <v>93</v>
      </c>
      <c r="R1552" s="218">
        <v>3.3840001000000002</v>
      </c>
      <c r="S1552" s="129">
        <v>1</v>
      </c>
      <c r="T1552" s="129">
        <v>324.5</v>
      </c>
      <c r="U1552" s="129">
        <v>324.5</v>
      </c>
      <c r="V1552" s="129">
        <v>58.41</v>
      </c>
      <c r="W1552" s="129">
        <v>382.91</v>
      </c>
      <c r="X1552" s="27">
        <f t="shared" si="192"/>
        <v>1098.1080324500001</v>
      </c>
    </row>
    <row r="1553" spans="1:24" x14ac:dyDescent="0.2">
      <c r="A1553" s="220">
        <v>43876</v>
      </c>
      <c r="B1553" s="130" t="s">
        <v>68</v>
      </c>
      <c r="C1553" s="130" t="s">
        <v>102</v>
      </c>
      <c r="D1553" s="130" t="s">
        <v>3084</v>
      </c>
      <c r="E1553" s="130" t="s">
        <v>1406</v>
      </c>
      <c r="F1553" s="130" t="s">
        <v>1766</v>
      </c>
      <c r="G1553" s="220">
        <v>43791</v>
      </c>
      <c r="H1553" s="130" t="s">
        <v>90</v>
      </c>
      <c r="I1553" s="130" t="s">
        <v>91</v>
      </c>
      <c r="J1553" s="130" t="s">
        <v>100</v>
      </c>
      <c r="K1553" s="130" t="s">
        <v>101</v>
      </c>
      <c r="L1553" s="174" t="s">
        <v>71</v>
      </c>
      <c r="M1553" s="131" t="s">
        <v>72</v>
      </c>
      <c r="N1553" s="130" t="s">
        <v>73</v>
      </c>
      <c r="O1553" s="219" t="s">
        <v>72</v>
      </c>
      <c r="P1553" s="130" t="s">
        <v>101</v>
      </c>
      <c r="Q1553" s="132" t="s">
        <v>93</v>
      </c>
      <c r="R1553" s="218">
        <v>3.3840001000000002</v>
      </c>
      <c r="S1553" s="129">
        <v>1</v>
      </c>
      <c r="T1553" s="129">
        <v>292.5</v>
      </c>
      <c r="U1553" s="129">
        <v>292.5</v>
      </c>
      <c r="V1553" s="129">
        <v>52.649990000000031</v>
      </c>
      <c r="W1553" s="129">
        <v>345.14999000000006</v>
      </c>
      <c r="X1553" s="27">
        <f t="shared" si="192"/>
        <v>989.82002925000006</v>
      </c>
    </row>
    <row r="1554" spans="1:24" x14ac:dyDescent="0.2">
      <c r="A1554" s="220">
        <v>43876</v>
      </c>
      <c r="B1554" s="130" t="s">
        <v>68</v>
      </c>
      <c r="C1554" s="130" t="s">
        <v>102</v>
      </c>
      <c r="D1554" s="130" t="s">
        <v>3084</v>
      </c>
      <c r="E1554" s="130" t="s">
        <v>1406</v>
      </c>
      <c r="F1554" s="130" t="s">
        <v>1766</v>
      </c>
      <c r="G1554" s="220">
        <v>43791</v>
      </c>
      <c r="H1554" s="130" t="s">
        <v>90</v>
      </c>
      <c r="I1554" s="130" t="s">
        <v>91</v>
      </c>
      <c r="J1554" s="130" t="s">
        <v>92</v>
      </c>
      <c r="K1554" s="130" t="s">
        <v>113</v>
      </c>
      <c r="L1554" s="174" t="s">
        <v>71</v>
      </c>
      <c r="M1554" s="131" t="s">
        <v>72</v>
      </c>
      <c r="N1554" s="130" t="s">
        <v>73</v>
      </c>
      <c r="O1554" s="219" t="s">
        <v>69</v>
      </c>
      <c r="P1554" s="130" t="s">
        <v>1699</v>
      </c>
      <c r="Q1554" s="132" t="s">
        <v>93</v>
      </c>
      <c r="R1554" s="218">
        <v>3.3840001000000002</v>
      </c>
      <c r="S1554" s="129">
        <v>1</v>
      </c>
      <c r="T1554" s="129">
        <v>30</v>
      </c>
      <c r="U1554" s="129">
        <v>30</v>
      </c>
      <c r="V1554" s="129">
        <v>5.4000019999999997</v>
      </c>
      <c r="W1554" s="129">
        <v>35.400002000000001</v>
      </c>
      <c r="X1554" s="27">
        <f t="shared" si="192"/>
        <v>101.520003</v>
      </c>
    </row>
    <row r="1555" spans="1:24" x14ac:dyDescent="0.2">
      <c r="A1555" s="220">
        <v>43876</v>
      </c>
      <c r="B1555" s="130" t="s">
        <v>68</v>
      </c>
      <c r="C1555" s="130" t="s">
        <v>102</v>
      </c>
      <c r="D1555" s="130" t="s">
        <v>3084</v>
      </c>
      <c r="E1555" s="130" t="s">
        <v>1406</v>
      </c>
      <c r="F1555" s="130" t="s">
        <v>1766</v>
      </c>
      <c r="G1555" s="220">
        <v>43791</v>
      </c>
      <c r="H1555" s="130" t="s">
        <v>90</v>
      </c>
      <c r="I1555" s="130" t="s">
        <v>91</v>
      </c>
      <c r="J1555" s="130" t="s">
        <v>70</v>
      </c>
      <c r="K1555" s="130" t="s">
        <v>112</v>
      </c>
      <c r="L1555" s="174" t="s">
        <v>71</v>
      </c>
      <c r="M1555" s="131" t="s">
        <v>72</v>
      </c>
      <c r="N1555" s="130" t="s">
        <v>73</v>
      </c>
      <c r="O1555" s="219" t="s">
        <v>69</v>
      </c>
      <c r="P1555" s="130" t="s">
        <v>1699</v>
      </c>
      <c r="Q1555" s="132" t="s">
        <v>93</v>
      </c>
      <c r="R1555" s="218">
        <v>3.3840001000000002</v>
      </c>
      <c r="S1555" s="129">
        <v>1</v>
      </c>
      <c r="T1555" s="129">
        <v>30</v>
      </c>
      <c r="U1555" s="129">
        <v>30</v>
      </c>
      <c r="V1555" s="129">
        <v>5.4000019999999997</v>
      </c>
      <c r="W1555" s="129">
        <v>35.400002000000001</v>
      </c>
      <c r="X1555" s="27">
        <f t="shared" si="192"/>
        <v>101.520003</v>
      </c>
    </row>
    <row r="1556" spans="1:24" x14ac:dyDescent="0.2">
      <c r="A1556" s="220">
        <v>43876</v>
      </c>
      <c r="B1556" s="130" t="s">
        <v>68</v>
      </c>
      <c r="C1556" s="130" t="s">
        <v>102</v>
      </c>
      <c r="D1556" s="130" t="s">
        <v>3084</v>
      </c>
      <c r="E1556" s="130" t="s">
        <v>1406</v>
      </c>
      <c r="F1556" s="130" t="s">
        <v>1766</v>
      </c>
      <c r="G1556" s="220">
        <v>43791</v>
      </c>
      <c r="H1556" s="130" t="s">
        <v>90</v>
      </c>
      <c r="I1556" s="130" t="s">
        <v>91</v>
      </c>
      <c r="J1556" s="130" t="s">
        <v>95</v>
      </c>
      <c r="K1556" s="130" t="s">
        <v>96</v>
      </c>
      <c r="L1556" s="174" t="s">
        <v>71</v>
      </c>
      <c r="M1556" s="131" t="s">
        <v>72</v>
      </c>
      <c r="N1556" s="130" t="s">
        <v>73</v>
      </c>
      <c r="O1556" s="219" t="s">
        <v>69</v>
      </c>
      <c r="P1556" s="130" t="s">
        <v>1699</v>
      </c>
      <c r="Q1556" s="132" t="s">
        <v>93</v>
      </c>
      <c r="R1556" s="218">
        <v>3.3840001000000002</v>
      </c>
      <c r="S1556" s="129">
        <v>-1</v>
      </c>
      <c r="T1556" s="129">
        <v>100</v>
      </c>
      <c r="U1556" s="129">
        <v>-100</v>
      </c>
      <c r="V1556" s="129">
        <v>-18</v>
      </c>
      <c r="W1556" s="129">
        <v>-118</v>
      </c>
      <c r="X1556" s="27">
        <f t="shared" si="192"/>
        <v>-338.40001000000001</v>
      </c>
    </row>
    <row r="1557" spans="1:24" x14ac:dyDescent="0.2">
      <c r="A1557" s="220">
        <v>43876</v>
      </c>
      <c r="B1557" s="130" t="s">
        <v>68</v>
      </c>
      <c r="C1557" s="130" t="s">
        <v>102</v>
      </c>
      <c r="D1557" s="130" t="s">
        <v>3084</v>
      </c>
      <c r="E1557" s="130" t="s">
        <v>1406</v>
      </c>
      <c r="F1557" s="130" t="s">
        <v>1766</v>
      </c>
      <c r="G1557" s="220">
        <v>43791</v>
      </c>
      <c r="H1557" s="130" t="s">
        <v>90</v>
      </c>
      <c r="I1557" s="130" t="s">
        <v>91</v>
      </c>
      <c r="J1557" s="130" t="s">
        <v>104</v>
      </c>
      <c r="K1557" s="130" t="s">
        <v>105</v>
      </c>
      <c r="L1557" s="174" t="s">
        <v>71</v>
      </c>
      <c r="M1557" s="131" t="s">
        <v>72</v>
      </c>
      <c r="N1557" s="130" t="s">
        <v>73</v>
      </c>
      <c r="O1557" s="219" t="s">
        <v>69</v>
      </c>
      <c r="P1557" s="130" t="s">
        <v>1699</v>
      </c>
      <c r="Q1557" s="132" t="s">
        <v>93</v>
      </c>
      <c r="R1557" s="218">
        <v>3.3840001000000002</v>
      </c>
      <c r="S1557" s="129">
        <v>1</v>
      </c>
      <c r="T1557" s="129">
        <v>0</v>
      </c>
      <c r="U1557" s="129">
        <v>0</v>
      </c>
      <c r="V1557" s="129">
        <v>0</v>
      </c>
      <c r="W1557" s="129">
        <v>0</v>
      </c>
      <c r="X1557" s="27">
        <f t="shared" si="192"/>
        <v>0</v>
      </c>
    </row>
    <row r="1558" spans="1:24" x14ac:dyDescent="0.2">
      <c r="A1558" s="220">
        <v>43876</v>
      </c>
      <c r="B1558" s="130" t="s">
        <v>68</v>
      </c>
      <c r="C1558" s="130" t="s">
        <v>102</v>
      </c>
      <c r="D1558" s="130" t="s">
        <v>3083</v>
      </c>
      <c r="E1558" s="130" t="s">
        <v>1932</v>
      </c>
      <c r="F1558" s="130" t="s">
        <v>2012</v>
      </c>
      <c r="G1558" s="220">
        <v>43804</v>
      </c>
      <c r="H1558" s="130" t="s">
        <v>90</v>
      </c>
      <c r="I1558" s="130" t="s">
        <v>91</v>
      </c>
      <c r="J1558" s="130" t="s">
        <v>97</v>
      </c>
      <c r="K1558" s="130" t="s">
        <v>98</v>
      </c>
      <c r="L1558" s="174" t="s">
        <v>71</v>
      </c>
      <c r="M1558" s="131" t="s">
        <v>72</v>
      </c>
      <c r="N1558" s="130" t="s">
        <v>73</v>
      </c>
      <c r="O1558" s="219" t="s">
        <v>99</v>
      </c>
      <c r="P1558" s="130" t="s">
        <v>98</v>
      </c>
      <c r="Q1558" s="132" t="s">
        <v>93</v>
      </c>
      <c r="R1558" s="218">
        <v>3.3840001000000002</v>
      </c>
      <c r="S1558" s="129">
        <v>1</v>
      </c>
      <c r="T1558" s="129">
        <v>324.5</v>
      </c>
      <c r="U1558" s="129">
        <v>324.5</v>
      </c>
      <c r="V1558" s="129">
        <v>58.41</v>
      </c>
      <c r="W1558" s="129">
        <v>382.91</v>
      </c>
      <c r="X1558" s="27">
        <f t="shared" si="192"/>
        <v>1098.1080324500001</v>
      </c>
    </row>
    <row r="1559" spans="1:24" x14ac:dyDescent="0.2">
      <c r="A1559" s="220">
        <v>43876</v>
      </c>
      <c r="B1559" s="130" t="s">
        <v>68</v>
      </c>
      <c r="C1559" s="130" t="s">
        <v>102</v>
      </c>
      <c r="D1559" s="130" t="s">
        <v>3083</v>
      </c>
      <c r="E1559" s="130" t="s">
        <v>1932</v>
      </c>
      <c r="F1559" s="130" t="s">
        <v>2012</v>
      </c>
      <c r="G1559" s="220">
        <v>43804</v>
      </c>
      <c r="H1559" s="130" t="s">
        <v>90</v>
      </c>
      <c r="I1559" s="130" t="s">
        <v>91</v>
      </c>
      <c r="J1559" s="130" t="s">
        <v>100</v>
      </c>
      <c r="K1559" s="130" t="s">
        <v>101</v>
      </c>
      <c r="L1559" s="174" t="s">
        <v>71</v>
      </c>
      <c r="M1559" s="131" t="s">
        <v>72</v>
      </c>
      <c r="N1559" s="130" t="s">
        <v>73</v>
      </c>
      <c r="O1559" s="219" t="s">
        <v>72</v>
      </c>
      <c r="P1559" s="130" t="s">
        <v>101</v>
      </c>
      <c r="Q1559" s="132" t="s">
        <v>93</v>
      </c>
      <c r="R1559" s="218">
        <v>3.3840001000000002</v>
      </c>
      <c r="S1559" s="129">
        <v>1</v>
      </c>
      <c r="T1559" s="129">
        <v>180</v>
      </c>
      <c r="U1559" s="129">
        <v>180</v>
      </c>
      <c r="V1559" s="129">
        <v>32.39998999999996</v>
      </c>
      <c r="W1559" s="129">
        <v>212.39998999999997</v>
      </c>
      <c r="X1559" s="27">
        <f t="shared" si="192"/>
        <v>609.12001800000007</v>
      </c>
    </row>
    <row r="1560" spans="1:24" x14ac:dyDescent="0.2">
      <c r="A1560" s="220">
        <v>43876</v>
      </c>
      <c r="B1560" s="130" t="s">
        <v>68</v>
      </c>
      <c r="C1560" s="130" t="s">
        <v>102</v>
      </c>
      <c r="D1560" s="130" t="s">
        <v>3083</v>
      </c>
      <c r="E1560" s="130" t="s">
        <v>1932</v>
      </c>
      <c r="F1560" s="130" t="s">
        <v>2012</v>
      </c>
      <c r="G1560" s="220">
        <v>43804</v>
      </c>
      <c r="H1560" s="130" t="s">
        <v>90</v>
      </c>
      <c r="I1560" s="130" t="s">
        <v>91</v>
      </c>
      <c r="J1560" s="130" t="s">
        <v>92</v>
      </c>
      <c r="K1560" s="130" t="s">
        <v>113</v>
      </c>
      <c r="L1560" s="174" t="s">
        <v>71</v>
      </c>
      <c r="M1560" s="131" t="s">
        <v>72</v>
      </c>
      <c r="N1560" s="130" t="s">
        <v>73</v>
      </c>
      <c r="O1560" s="219" t="s">
        <v>69</v>
      </c>
      <c r="P1560" s="130" t="s">
        <v>1699</v>
      </c>
      <c r="Q1560" s="132" t="s">
        <v>93</v>
      </c>
      <c r="R1560" s="218">
        <v>3.3840001000000002</v>
      </c>
      <c r="S1560" s="129">
        <v>1</v>
      </c>
      <c r="T1560" s="129">
        <v>70</v>
      </c>
      <c r="U1560" s="129">
        <v>70</v>
      </c>
      <c r="V1560" s="129">
        <v>12.599997999999978</v>
      </c>
      <c r="W1560" s="129">
        <v>82.599997999999971</v>
      </c>
      <c r="X1560" s="27">
        <f t="shared" si="192"/>
        <v>236.88000700000001</v>
      </c>
    </row>
    <row r="1561" spans="1:24" x14ac:dyDescent="0.2">
      <c r="A1561" s="220">
        <v>43876</v>
      </c>
      <c r="B1561" s="130" t="s">
        <v>68</v>
      </c>
      <c r="C1561" s="130" t="s">
        <v>102</v>
      </c>
      <c r="D1561" s="130" t="s">
        <v>3083</v>
      </c>
      <c r="E1561" s="130" t="s">
        <v>1932</v>
      </c>
      <c r="F1561" s="130" t="s">
        <v>2012</v>
      </c>
      <c r="G1561" s="220">
        <v>43804</v>
      </c>
      <c r="H1561" s="130" t="s">
        <v>90</v>
      </c>
      <c r="I1561" s="130" t="s">
        <v>91</v>
      </c>
      <c r="J1561" s="130" t="s">
        <v>95</v>
      </c>
      <c r="K1561" s="130" t="s">
        <v>96</v>
      </c>
      <c r="L1561" s="174" t="s">
        <v>71</v>
      </c>
      <c r="M1561" s="131" t="s">
        <v>72</v>
      </c>
      <c r="N1561" s="130" t="s">
        <v>73</v>
      </c>
      <c r="O1561" s="219" t="s">
        <v>69</v>
      </c>
      <c r="P1561" s="130" t="s">
        <v>1699</v>
      </c>
      <c r="Q1561" s="132" t="s">
        <v>93</v>
      </c>
      <c r="R1561" s="218">
        <v>3.3840001000000002</v>
      </c>
      <c r="S1561" s="129">
        <v>-1</v>
      </c>
      <c r="T1561" s="129">
        <v>200</v>
      </c>
      <c r="U1561" s="129">
        <v>-200</v>
      </c>
      <c r="V1561" s="129">
        <v>-36</v>
      </c>
      <c r="W1561" s="129">
        <v>-236</v>
      </c>
      <c r="X1561" s="27">
        <f t="shared" si="192"/>
        <v>-676.80002000000002</v>
      </c>
    </row>
    <row r="1562" spans="1:24" x14ac:dyDescent="0.2">
      <c r="A1562" s="220">
        <v>43876</v>
      </c>
      <c r="B1562" s="130" t="s">
        <v>68</v>
      </c>
      <c r="C1562" s="130" t="s">
        <v>102</v>
      </c>
      <c r="D1562" s="130" t="s">
        <v>3083</v>
      </c>
      <c r="E1562" s="130" t="s">
        <v>1932</v>
      </c>
      <c r="F1562" s="130" t="s">
        <v>2012</v>
      </c>
      <c r="G1562" s="220">
        <v>43804</v>
      </c>
      <c r="H1562" s="130" t="s">
        <v>90</v>
      </c>
      <c r="I1562" s="130" t="s">
        <v>91</v>
      </c>
      <c r="J1562" s="130" t="s">
        <v>104</v>
      </c>
      <c r="K1562" s="130" t="s">
        <v>105</v>
      </c>
      <c r="L1562" s="174" t="s">
        <v>71</v>
      </c>
      <c r="M1562" s="131" t="s">
        <v>72</v>
      </c>
      <c r="N1562" s="130" t="s">
        <v>73</v>
      </c>
      <c r="O1562" s="219" t="s">
        <v>69</v>
      </c>
      <c r="P1562" s="130" t="s">
        <v>1699</v>
      </c>
      <c r="Q1562" s="132" t="s">
        <v>93</v>
      </c>
      <c r="R1562" s="218">
        <v>3.3840001000000002</v>
      </c>
      <c r="S1562" s="129">
        <v>1</v>
      </c>
      <c r="T1562" s="129">
        <v>0</v>
      </c>
      <c r="U1562" s="129">
        <v>0</v>
      </c>
      <c r="V1562" s="129">
        <v>0</v>
      </c>
      <c r="W1562" s="129">
        <v>0</v>
      </c>
      <c r="X1562" s="27">
        <f t="shared" si="192"/>
        <v>0</v>
      </c>
    </row>
    <row r="1563" spans="1:24" x14ac:dyDescent="0.2">
      <c r="A1563" s="220">
        <v>43876</v>
      </c>
      <c r="B1563" s="130" t="s">
        <v>68</v>
      </c>
      <c r="C1563" s="130" t="s">
        <v>102</v>
      </c>
      <c r="D1563" s="130" t="s">
        <v>3082</v>
      </c>
      <c r="E1563" s="130" t="s">
        <v>1900</v>
      </c>
      <c r="F1563" s="130" t="s">
        <v>2292</v>
      </c>
      <c r="G1563" s="220">
        <v>43794</v>
      </c>
      <c r="H1563" s="130" t="s">
        <v>90</v>
      </c>
      <c r="I1563" s="130" t="s">
        <v>91</v>
      </c>
      <c r="J1563" s="130" t="s">
        <v>97</v>
      </c>
      <c r="K1563" s="130" t="s">
        <v>98</v>
      </c>
      <c r="L1563" s="174" t="s">
        <v>71</v>
      </c>
      <c r="M1563" s="131" t="s">
        <v>72</v>
      </c>
      <c r="N1563" s="130" t="s">
        <v>73</v>
      </c>
      <c r="O1563" s="219" t="s">
        <v>99</v>
      </c>
      <c r="P1563" s="130" t="s">
        <v>98</v>
      </c>
      <c r="Q1563" s="132" t="s">
        <v>93</v>
      </c>
      <c r="R1563" s="218">
        <v>3.3840001000000002</v>
      </c>
      <c r="S1563" s="129">
        <v>1</v>
      </c>
      <c r="T1563" s="129">
        <v>354</v>
      </c>
      <c r="U1563" s="129">
        <v>354</v>
      </c>
      <c r="V1563" s="129">
        <v>63.72</v>
      </c>
      <c r="W1563" s="129">
        <v>417.72</v>
      </c>
      <c r="X1563" s="27">
        <f t="shared" si="192"/>
        <v>1197.9360354</v>
      </c>
    </row>
    <row r="1564" spans="1:24" x14ac:dyDescent="0.2">
      <c r="A1564" s="220">
        <v>43876</v>
      </c>
      <c r="B1564" s="130" t="s">
        <v>68</v>
      </c>
      <c r="C1564" s="130" t="s">
        <v>102</v>
      </c>
      <c r="D1564" s="130" t="s">
        <v>3082</v>
      </c>
      <c r="E1564" s="130" t="s">
        <v>1900</v>
      </c>
      <c r="F1564" s="130" t="s">
        <v>2292</v>
      </c>
      <c r="G1564" s="220">
        <v>43794</v>
      </c>
      <c r="H1564" s="130" t="s">
        <v>90</v>
      </c>
      <c r="I1564" s="130" t="s">
        <v>91</v>
      </c>
      <c r="J1564" s="130" t="s">
        <v>100</v>
      </c>
      <c r="K1564" s="130" t="s">
        <v>101</v>
      </c>
      <c r="L1564" s="174" t="s">
        <v>71</v>
      </c>
      <c r="M1564" s="131" t="s">
        <v>72</v>
      </c>
      <c r="N1564" s="130" t="s">
        <v>73</v>
      </c>
      <c r="O1564" s="219" t="s">
        <v>72</v>
      </c>
      <c r="P1564" s="130" t="s">
        <v>101</v>
      </c>
      <c r="Q1564" s="132" t="s">
        <v>93</v>
      </c>
      <c r="R1564" s="218">
        <v>3.3840001000000002</v>
      </c>
      <c r="S1564" s="129">
        <v>1</v>
      </c>
      <c r="T1564" s="129">
        <v>135</v>
      </c>
      <c r="U1564" s="129">
        <v>135</v>
      </c>
      <c r="V1564" s="129">
        <v>24.3</v>
      </c>
      <c r="W1564" s="129">
        <v>159.30000000000001</v>
      </c>
      <c r="X1564" s="27">
        <f t="shared" si="192"/>
        <v>456.8400135</v>
      </c>
    </row>
    <row r="1565" spans="1:24" x14ac:dyDescent="0.2">
      <c r="A1565" s="220">
        <v>43876</v>
      </c>
      <c r="B1565" s="130" t="s">
        <v>68</v>
      </c>
      <c r="C1565" s="130" t="s">
        <v>102</v>
      </c>
      <c r="D1565" s="130" t="s">
        <v>3082</v>
      </c>
      <c r="E1565" s="130" t="s">
        <v>1900</v>
      </c>
      <c r="F1565" s="130" t="s">
        <v>2292</v>
      </c>
      <c r="G1565" s="220">
        <v>43794</v>
      </c>
      <c r="H1565" s="130" t="s">
        <v>90</v>
      </c>
      <c r="I1565" s="130" t="s">
        <v>91</v>
      </c>
      <c r="J1565" s="130" t="s">
        <v>95</v>
      </c>
      <c r="K1565" s="130" t="s">
        <v>96</v>
      </c>
      <c r="L1565" s="174" t="s">
        <v>71</v>
      </c>
      <c r="M1565" s="131" t="s">
        <v>72</v>
      </c>
      <c r="N1565" s="130" t="s">
        <v>73</v>
      </c>
      <c r="O1565" s="219" t="s">
        <v>69</v>
      </c>
      <c r="P1565" s="130" t="s">
        <v>1699</v>
      </c>
      <c r="Q1565" s="132" t="s">
        <v>93</v>
      </c>
      <c r="R1565" s="218">
        <v>3.3840001000000002</v>
      </c>
      <c r="S1565" s="129">
        <v>-1</v>
      </c>
      <c r="T1565" s="129">
        <v>100</v>
      </c>
      <c r="U1565" s="129">
        <v>-100</v>
      </c>
      <c r="V1565" s="129">
        <v>-18</v>
      </c>
      <c r="W1565" s="129">
        <v>-118</v>
      </c>
      <c r="X1565" s="27">
        <f t="shared" si="192"/>
        <v>-338.40001000000001</v>
      </c>
    </row>
    <row r="1566" spans="1:24" x14ac:dyDescent="0.2">
      <c r="A1566" s="220">
        <v>43878</v>
      </c>
      <c r="B1566" s="130" t="s">
        <v>68</v>
      </c>
      <c r="C1566" s="130" t="s">
        <v>102</v>
      </c>
      <c r="D1566" s="130" t="s">
        <v>2443</v>
      </c>
      <c r="E1566" s="130" t="s">
        <v>2876</v>
      </c>
      <c r="F1566" s="130" t="s">
        <v>3014</v>
      </c>
      <c r="G1566" s="220">
        <v>43865</v>
      </c>
      <c r="H1566" s="130" t="s">
        <v>90</v>
      </c>
      <c r="I1566" s="130" t="s">
        <v>91</v>
      </c>
      <c r="J1566" s="130" t="s">
        <v>97</v>
      </c>
      <c r="K1566" s="130" t="s">
        <v>98</v>
      </c>
      <c r="L1566" s="174" t="s">
        <v>71</v>
      </c>
      <c r="M1566" s="131" t="s">
        <v>190</v>
      </c>
      <c r="N1566" s="130" t="s">
        <v>191</v>
      </c>
      <c r="O1566" s="219" t="s">
        <v>99</v>
      </c>
      <c r="P1566" s="130" t="s">
        <v>98</v>
      </c>
      <c r="Q1566" s="132" t="s">
        <v>93</v>
      </c>
      <c r="R1566" s="218">
        <v>3.3840001000000002</v>
      </c>
      <c r="S1566" s="129">
        <v>1</v>
      </c>
      <c r="T1566" s="129">
        <v>236</v>
      </c>
      <c r="U1566" s="129">
        <v>236</v>
      </c>
      <c r="V1566" s="129">
        <v>42.48001</v>
      </c>
      <c r="W1566" s="129">
        <v>278.48000999999999</v>
      </c>
      <c r="X1566" s="27">
        <f t="shared" si="192"/>
        <v>798.62402359999999</v>
      </c>
    </row>
    <row r="1567" spans="1:24" x14ac:dyDescent="0.2">
      <c r="A1567" s="220">
        <v>43878</v>
      </c>
      <c r="B1567" s="130" t="s">
        <v>68</v>
      </c>
      <c r="C1567" s="130" t="s">
        <v>102</v>
      </c>
      <c r="D1567" s="130" t="s">
        <v>2443</v>
      </c>
      <c r="E1567" s="130" t="s">
        <v>2876</v>
      </c>
      <c r="F1567" s="130" t="s">
        <v>3014</v>
      </c>
      <c r="G1567" s="220">
        <v>43865</v>
      </c>
      <c r="H1567" s="130" t="s">
        <v>90</v>
      </c>
      <c r="I1567" s="130" t="s">
        <v>91</v>
      </c>
      <c r="J1567" s="130" t="s">
        <v>100</v>
      </c>
      <c r="K1567" s="130" t="s">
        <v>101</v>
      </c>
      <c r="L1567" s="174" t="s">
        <v>71</v>
      </c>
      <c r="M1567" s="131" t="s">
        <v>190</v>
      </c>
      <c r="N1567" s="130" t="s">
        <v>191</v>
      </c>
      <c r="O1567" s="219" t="s">
        <v>72</v>
      </c>
      <c r="P1567" s="130" t="s">
        <v>101</v>
      </c>
      <c r="Q1567" s="132" t="s">
        <v>93</v>
      </c>
      <c r="R1567" s="218">
        <v>3.3840001000000002</v>
      </c>
      <c r="S1567" s="129">
        <v>1</v>
      </c>
      <c r="T1567" s="129">
        <v>420</v>
      </c>
      <c r="U1567" s="129">
        <v>420</v>
      </c>
      <c r="V1567" s="129">
        <v>75.600009999999898</v>
      </c>
      <c r="W1567" s="129">
        <v>495.60000999999988</v>
      </c>
      <c r="X1567" s="27">
        <f t="shared" si="192"/>
        <v>1421.2800420000001</v>
      </c>
    </row>
    <row r="1568" spans="1:24" x14ac:dyDescent="0.2">
      <c r="A1568" s="220">
        <v>43878</v>
      </c>
      <c r="B1568" s="130" t="s">
        <v>68</v>
      </c>
      <c r="C1568" s="130" t="s">
        <v>102</v>
      </c>
      <c r="D1568" s="130" t="s">
        <v>2443</v>
      </c>
      <c r="E1568" s="130" t="s">
        <v>2876</v>
      </c>
      <c r="F1568" s="130" t="s">
        <v>3014</v>
      </c>
      <c r="G1568" s="220">
        <v>43865</v>
      </c>
      <c r="H1568" s="130" t="s">
        <v>90</v>
      </c>
      <c r="I1568" s="130" t="s">
        <v>91</v>
      </c>
      <c r="J1568" s="130" t="s">
        <v>92</v>
      </c>
      <c r="K1568" s="130" t="s">
        <v>113</v>
      </c>
      <c r="L1568" s="174" t="s">
        <v>71</v>
      </c>
      <c r="M1568" s="131" t="s">
        <v>190</v>
      </c>
      <c r="N1568" s="130" t="s">
        <v>191</v>
      </c>
      <c r="O1568" s="219" t="s">
        <v>69</v>
      </c>
      <c r="P1568" s="130" t="s">
        <v>1699</v>
      </c>
      <c r="Q1568" s="132" t="s">
        <v>93</v>
      </c>
      <c r="R1568" s="218">
        <v>3.3840001000000002</v>
      </c>
      <c r="S1568" s="129">
        <v>1</v>
      </c>
      <c r="T1568" s="129">
        <v>90</v>
      </c>
      <c r="U1568" s="129">
        <v>90</v>
      </c>
      <c r="V1568" s="129">
        <v>16.2</v>
      </c>
      <c r="W1568" s="129">
        <v>106.2</v>
      </c>
      <c r="X1568" s="27">
        <f t="shared" si="192"/>
        <v>304.56000900000004</v>
      </c>
    </row>
    <row r="1569" spans="1:24" x14ac:dyDescent="0.2">
      <c r="A1569" s="220">
        <v>43878</v>
      </c>
      <c r="B1569" s="130" t="s">
        <v>68</v>
      </c>
      <c r="C1569" s="130" t="s">
        <v>102</v>
      </c>
      <c r="D1569" s="130" t="s">
        <v>2443</v>
      </c>
      <c r="E1569" s="130" t="s">
        <v>2876</v>
      </c>
      <c r="F1569" s="130" t="s">
        <v>3014</v>
      </c>
      <c r="G1569" s="220">
        <v>43865</v>
      </c>
      <c r="H1569" s="130" t="s">
        <v>90</v>
      </c>
      <c r="I1569" s="130" t="s">
        <v>91</v>
      </c>
      <c r="J1569" s="130" t="s">
        <v>132</v>
      </c>
      <c r="K1569" s="130" t="s">
        <v>109</v>
      </c>
      <c r="L1569" s="174" t="s">
        <v>71</v>
      </c>
      <c r="M1569" s="131" t="s">
        <v>190</v>
      </c>
      <c r="N1569" s="130" t="s">
        <v>191</v>
      </c>
      <c r="O1569" s="219" t="s">
        <v>69</v>
      </c>
      <c r="P1569" s="130" t="s">
        <v>1699</v>
      </c>
      <c r="Q1569" s="132" t="s">
        <v>93</v>
      </c>
      <c r="R1569" s="218">
        <v>3.3840001000000002</v>
      </c>
      <c r="S1569" s="129">
        <v>1</v>
      </c>
      <c r="T1569" s="129">
        <v>60</v>
      </c>
      <c r="U1569" s="129">
        <v>60</v>
      </c>
      <c r="V1569" s="129">
        <v>10.800002999999997</v>
      </c>
      <c r="W1569" s="129">
        <v>70.800003000000004</v>
      </c>
      <c r="X1569" s="27">
        <f t="shared" si="192"/>
        <v>203.04000600000001</v>
      </c>
    </row>
    <row r="1570" spans="1:24" x14ac:dyDescent="0.2">
      <c r="A1570" s="220">
        <v>43878</v>
      </c>
      <c r="B1570" s="130" t="s">
        <v>68</v>
      </c>
      <c r="C1570" s="130" t="s">
        <v>102</v>
      </c>
      <c r="D1570" s="130" t="s">
        <v>2443</v>
      </c>
      <c r="E1570" s="130" t="s">
        <v>2876</v>
      </c>
      <c r="F1570" s="130" t="s">
        <v>3014</v>
      </c>
      <c r="G1570" s="220">
        <v>43865</v>
      </c>
      <c r="H1570" s="130" t="s">
        <v>90</v>
      </c>
      <c r="I1570" s="130" t="s">
        <v>91</v>
      </c>
      <c r="J1570" s="130" t="s">
        <v>139</v>
      </c>
      <c r="K1570" s="130" t="s">
        <v>116</v>
      </c>
      <c r="L1570" s="174" t="s">
        <v>71</v>
      </c>
      <c r="M1570" s="131" t="s">
        <v>190</v>
      </c>
      <c r="N1570" s="130" t="s">
        <v>191</v>
      </c>
      <c r="O1570" s="219" t="s">
        <v>69</v>
      </c>
      <c r="P1570" s="130" t="s">
        <v>1699</v>
      </c>
      <c r="Q1570" s="132" t="s">
        <v>93</v>
      </c>
      <c r="R1570" s="218">
        <v>3.3840001000000002</v>
      </c>
      <c r="S1570" s="129">
        <v>1</v>
      </c>
      <c r="T1570" s="129">
        <v>14.754200000000001</v>
      </c>
      <c r="U1570" s="129">
        <v>14.754200000000001</v>
      </c>
      <c r="V1570" s="129">
        <v>2.6557999999999993</v>
      </c>
      <c r="W1570" s="129">
        <v>17.41</v>
      </c>
      <c r="X1570" s="27">
        <f t="shared" si="192"/>
        <v>49.928214275420004</v>
      </c>
    </row>
    <row r="1571" spans="1:24" x14ac:dyDescent="0.2">
      <c r="A1571" s="220">
        <v>43878</v>
      </c>
      <c r="B1571" s="130" t="s">
        <v>68</v>
      </c>
      <c r="C1571" s="130" t="s">
        <v>102</v>
      </c>
      <c r="D1571" s="130" t="s">
        <v>2443</v>
      </c>
      <c r="E1571" s="130" t="s">
        <v>2876</v>
      </c>
      <c r="F1571" s="130" t="s">
        <v>3014</v>
      </c>
      <c r="G1571" s="220">
        <v>43865</v>
      </c>
      <c r="H1571" s="130" t="s">
        <v>90</v>
      </c>
      <c r="I1571" s="130" t="s">
        <v>91</v>
      </c>
      <c r="J1571" s="130" t="s">
        <v>95</v>
      </c>
      <c r="K1571" s="130" t="s">
        <v>96</v>
      </c>
      <c r="L1571" s="174" t="s">
        <v>71</v>
      </c>
      <c r="M1571" s="131" t="s">
        <v>190</v>
      </c>
      <c r="N1571" s="130" t="s">
        <v>191</v>
      </c>
      <c r="O1571" s="219" t="s">
        <v>69</v>
      </c>
      <c r="P1571" s="130" t="s">
        <v>1699</v>
      </c>
      <c r="Q1571" s="132" t="s">
        <v>93</v>
      </c>
      <c r="R1571" s="218">
        <v>3.3840001000000002</v>
      </c>
      <c r="S1571" s="129">
        <v>-1</v>
      </c>
      <c r="T1571" s="129">
        <v>100</v>
      </c>
      <c r="U1571" s="129">
        <v>-100</v>
      </c>
      <c r="V1571" s="129">
        <v>-18</v>
      </c>
      <c r="W1571" s="129">
        <v>-118</v>
      </c>
      <c r="X1571" s="27">
        <f t="shared" si="192"/>
        <v>-338.40001000000001</v>
      </c>
    </row>
    <row r="1572" spans="1:24" x14ac:dyDescent="0.2">
      <c r="A1572" s="220">
        <v>43878</v>
      </c>
      <c r="B1572" s="130" t="s">
        <v>68</v>
      </c>
      <c r="C1572" s="130" t="s">
        <v>102</v>
      </c>
      <c r="D1572" s="130" t="s">
        <v>2443</v>
      </c>
      <c r="E1572" s="130" t="s">
        <v>2876</v>
      </c>
      <c r="F1572" s="130" t="s">
        <v>3014</v>
      </c>
      <c r="G1572" s="220">
        <v>43865</v>
      </c>
      <c r="H1572" s="130" t="s">
        <v>90</v>
      </c>
      <c r="I1572" s="130" t="s">
        <v>91</v>
      </c>
      <c r="J1572" s="130" t="s">
        <v>104</v>
      </c>
      <c r="K1572" s="130" t="s">
        <v>105</v>
      </c>
      <c r="L1572" s="174" t="s">
        <v>71</v>
      </c>
      <c r="M1572" s="131" t="s">
        <v>190</v>
      </c>
      <c r="N1572" s="130" t="s">
        <v>191</v>
      </c>
      <c r="O1572" s="219" t="s">
        <v>69</v>
      </c>
      <c r="P1572" s="130" t="s">
        <v>1699</v>
      </c>
      <c r="Q1572" s="132" t="s">
        <v>93</v>
      </c>
      <c r="R1572" s="218">
        <v>3.3840001000000002</v>
      </c>
      <c r="S1572" s="129">
        <v>1</v>
      </c>
      <c r="T1572" s="129">
        <v>0</v>
      </c>
      <c r="U1572" s="129">
        <v>0</v>
      </c>
      <c r="V1572" s="129">
        <v>0</v>
      </c>
      <c r="W1572" s="129">
        <v>0</v>
      </c>
      <c r="X1572" s="27">
        <f t="shared" si="192"/>
        <v>0</v>
      </c>
    </row>
    <row r="1573" spans="1:24" x14ac:dyDescent="0.2">
      <c r="A1573" s="220">
        <v>43878</v>
      </c>
      <c r="B1573" s="130" t="s">
        <v>68</v>
      </c>
      <c r="C1573" s="130" t="s">
        <v>102</v>
      </c>
      <c r="D1573" s="130" t="s">
        <v>3081</v>
      </c>
      <c r="E1573" s="130" t="s">
        <v>2894</v>
      </c>
      <c r="F1573" s="130" t="s">
        <v>3009</v>
      </c>
      <c r="G1573" s="220">
        <v>43851</v>
      </c>
      <c r="H1573" s="130" t="s">
        <v>90</v>
      </c>
      <c r="I1573" s="130" t="s">
        <v>91</v>
      </c>
      <c r="J1573" s="130" t="s">
        <v>92</v>
      </c>
      <c r="K1573" s="130" t="s">
        <v>113</v>
      </c>
      <c r="L1573" s="174" t="s">
        <v>71</v>
      </c>
      <c r="M1573" s="131" t="s">
        <v>72</v>
      </c>
      <c r="N1573" s="130" t="s">
        <v>73</v>
      </c>
      <c r="O1573" s="219" t="s">
        <v>69</v>
      </c>
      <c r="P1573" s="130" t="s">
        <v>1699</v>
      </c>
      <c r="Q1573" s="132" t="s">
        <v>93</v>
      </c>
      <c r="R1573" s="218">
        <v>3.3840001000000002</v>
      </c>
      <c r="S1573" s="129">
        <v>1</v>
      </c>
      <c r="T1573" s="129">
        <v>65</v>
      </c>
      <c r="U1573" s="129">
        <v>65</v>
      </c>
      <c r="V1573" s="129">
        <v>11.699996999999994</v>
      </c>
      <c r="W1573" s="129">
        <v>76.699996999999996</v>
      </c>
      <c r="X1573" s="27">
        <f t="shared" si="192"/>
        <v>219.96000650000002</v>
      </c>
    </row>
    <row r="1574" spans="1:24" x14ac:dyDescent="0.2">
      <c r="A1574" s="220">
        <v>43878</v>
      </c>
      <c r="B1574" s="130" t="s">
        <v>68</v>
      </c>
      <c r="C1574" s="130" t="s">
        <v>102</v>
      </c>
      <c r="D1574" s="130" t="s">
        <v>3081</v>
      </c>
      <c r="E1574" s="130" t="s">
        <v>2894</v>
      </c>
      <c r="F1574" s="130" t="s">
        <v>3009</v>
      </c>
      <c r="G1574" s="220">
        <v>43851</v>
      </c>
      <c r="H1574" s="130" t="s">
        <v>90</v>
      </c>
      <c r="I1574" s="130" t="s">
        <v>91</v>
      </c>
      <c r="J1574" s="130" t="s">
        <v>70</v>
      </c>
      <c r="K1574" s="130" t="s">
        <v>112</v>
      </c>
      <c r="L1574" s="174" t="s">
        <v>71</v>
      </c>
      <c r="M1574" s="131" t="s">
        <v>72</v>
      </c>
      <c r="N1574" s="130" t="s">
        <v>73</v>
      </c>
      <c r="O1574" s="219" t="s">
        <v>69</v>
      </c>
      <c r="P1574" s="130" t="s">
        <v>1699</v>
      </c>
      <c r="Q1574" s="132" t="s">
        <v>93</v>
      </c>
      <c r="R1574" s="218">
        <v>3.3840001000000002</v>
      </c>
      <c r="S1574" s="129">
        <v>1</v>
      </c>
      <c r="T1574" s="129">
        <v>45</v>
      </c>
      <c r="U1574" s="129">
        <v>45</v>
      </c>
      <c r="V1574" s="129">
        <v>8.0999980000000047</v>
      </c>
      <c r="W1574" s="129">
        <v>53.099998000000006</v>
      </c>
      <c r="X1574" s="27">
        <f t="shared" si="192"/>
        <v>152.28000450000002</v>
      </c>
    </row>
    <row r="1575" spans="1:24" x14ac:dyDescent="0.2">
      <c r="A1575" s="220">
        <v>43878</v>
      </c>
      <c r="B1575" s="130" t="s">
        <v>68</v>
      </c>
      <c r="C1575" s="130" t="s">
        <v>102</v>
      </c>
      <c r="D1575" s="130" t="s">
        <v>3081</v>
      </c>
      <c r="E1575" s="130" t="s">
        <v>2894</v>
      </c>
      <c r="F1575" s="130" t="s">
        <v>3009</v>
      </c>
      <c r="G1575" s="220">
        <v>43851</v>
      </c>
      <c r="H1575" s="130" t="s">
        <v>90</v>
      </c>
      <c r="I1575" s="130" t="s">
        <v>91</v>
      </c>
      <c r="J1575" s="130" t="s">
        <v>95</v>
      </c>
      <c r="K1575" s="130" t="s">
        <v>96</v>
      </c>
      <c r="L1575" s="174" t="s">
        <v>71</v>
      </c>
      <c r="M1575" s="131" t="s">
        <v>72</v>
      </c>
      <c r="N1575" s="130" t="s">
        <v>73</v>
      </c>
      <c r="O1575" s="219" t="s">
        <v>69</v>
      </c>
      <c r="P1575" s="130" t="s">
        <v>1699</v>
      </c>
      <c r="Q1575" s="132" t="s">
        <v>93</v>
      </c>
      <c r="R1575" s="218">
        <v>3.3840001000000002</v>
      </c>
      <c r="S1575" s="129">
        <v>-1</v>
      </c>
      <c r="T1575" s="129">
        <v>100</v>
      </c>
      <c r="U1575" s="129">
        <v>-100</v>
      </c>
      <c r="V1575" s="129">
        <v>-18</v>
      </c>
      <c r="W1575" s="129">
        <v>-118</v>
      </c>
      <c r="X1575" s="27">
        <f t="shared" si="192"/>
        <v>-338.40001000000001</v>
      </c>
    </row>
    <row r="1576" spans="1:24" x14ac:dyDescent="0.2">
      <c r="A1576" s="220">
        <v>43878</v>
      </c>
      <c r="B1576" s="130" t="s">
        <v>68</v>
      </c>
      <c r="C1576" s="130" t="s">
        <v>102</v>
      </c>
      <c r="D1576" s="130" t="s">
        <v>3081</v>
      </c>
      <c r="E1576" s="130" t="s">
        <v>2894</v>
      </c>
      <c r="F1576" s="130" t="s">
        <v>3009</v>
      </c>
      <c r="G1576" s="220">
        <v>43851</v>
      </c>
      <c r="H1576" s="130" t="s">
        <v>90</v>
      </c>
      <c r="I1576" s="130" t="s">
        <v>91</v>
      </c>
      <c r="J1576" s="130" t="s">
        <v>104</v>
      </c>
      <c r="K1576" s="130" t="s">
        <v>105</v>
      </c>
      <c r="L1576" s="174" t="s">
        <v>71</v>
      </c>
      <c r="M1576" s="131" t="s">
        <v>72</v>
      </c>
      <c r="N1576" s="130" t="s">
        <v>73</v>
      </c>
      <c r="O1576" s="219" t="s">
        <v>69</v>
      </c>
      <c r="P1576" s="130" t="s">
        <v>1699</v>
      </c>
      <c r="Q1576" s="132" t="s">
        <v>93</v>
      </c>
      <c r="R1576" s="218">
        <v>3.3840001000000002</v>
      </c>
      <c r="S1576" s="129">
        <v>1</v>
      </c>
      <c r="T1576" s="129">
        <v>0</v>
      </c>
      <c r="U1576" s="129">
        <v>0</v>
      </c>
      <c r="V1576" s="129">
        <v>0</v>
      </c>
      <c r="W1576" s="129">
        <v>0</v>
      </c>
      <c r="X1576" s="27">
        <f t="shared" si="192"/>
        <v>0</v>
      </c>
    </row>
    <row r="1577" spans="1:24" x14ac:dyDescent="0.2">
      <c r="A1577" s="220">
        <v>43878</v>
      </c>
      <c r="B1577" s="130" t="s">
        <v>68</v>
      </c>
      <c r="C1577" s="130" t="s">
        <v>102</v>
      </c>
      <c r="D1577" s="130" t="s">
        <v>3080</v>
      </c>
      <c r="E1577" s="130" t="s">
        <v>2908</v>
      </c>
      <c r="F1577" s="130" t="s">
        <v>3076</v>
      </c>
      <c r="G1577" s="220">
        <v>43872</v>
      </c>
      <c r="H1577" s="130" t="s">
        <v>3079</v>
      </c>
      <c r="I1577" s="130" t="s">
        <v>3078</v>
      </c>
      <c r="J1577" s="130" t="s">
        <v>95</v>
      </c>
      <c r="K1577" s="130" t="s">
        <v>96</v>
      </c>
      <c r="L1577" s="174" t="s">
        <v>71</v>
      </c>
      <c r="M1577" s="131" t="s">
        <v>72</v>
      </c>
      <c r="N1577" s="130" t="s">
        <v>73</v>
      </c>
      <c r="O1577" s="219" t="s">
        <v>69</v>
      </c>
      <c r="P1577" s="130" t="s">
        <v>1699</v>
      </c>
      <c r="Q1577" s="132" t="s">
        <v>93</v>
      </c>
      <c r="R1577" s="218">
        <v>3.3840001000000002</v>
      </c>
      <c r="S1577" s="129">
        <v>1</v>
      </c>
      <c r="T1577" s="129">
        <v>100</v>
      </c>
      <c r="U1577" s="129">
        <v>100</v>
      </c>
      <c r="V1577" s="129">
        <v>18</v>
      </c>
      <c r="W1577" s="129">
        <v>118</v>
      </c>
      <c r="X1577" s="27">
        <f t="shared" si="192"/>
        <v>338.40001000000001</v>
      </c>
    </row>
    <row r="1578" spans="1:24" x14ac:dyDescent="0.2">
      <c r="A1578" s="220">
        <v>43878</v>
      </c>
      <c r="B1578" s="130" t="s">
        <v>68</v>
      </c>
      <c r="C1578" s="130" t="s">
        <v>102</v>
      </c>
      <c r="D1578" s="130" t="s">
        <v>3077</v>
      </c>
      <c r="E1578" s="130" t="s">
        <v>2908</v>
      </c>
      <c r="F1578" s="130" t="s">
        <v>3076</v>
      </c>
      <c r="G1578" s="220">
        <v>43872</v>
      </c>
      <c r="H1578" s="130" t="s">
        <v>90</v>
      </c>
      <c r="I1578" s="130" t="s">
        <v>91</v>
      </c>
      <c r="J1578" s="130" t="s">
        <v>97</v>
      </c>
      <c r="K1578" s="130" t="s">
        <v>98</v>
      </c>
      <c r="L1578" s="174" t="s">
        <v>71</v>
      </c>
      <c r="M1578" s="131" t="s">
        <v>72</v>
      </c>
      <c r="N1578" s="130" t="s">
        <v>73</v>
      </c>
      <c r="O1578" s="219" t="s">
        <v>99</v>
      </c>
      <c r="P1578" s="130" t="s">
        <v>98</v>
      </c>
      <c r="Q1578" s="132" t="s">
        <v>93</v>
      </c>
      <c r="R1578" s="218">
        <v>3.3840001000000002</v>
      </c>
      <c r="S1578" s="129">
        <v>1</v>
      </c>
      <c r="T1578" s="129">
        <v>59</v>
      </c>
      <c r="U1578" s="129">
        <v>59</v>
      </c>
      <c r="V1578" s="129">
        <v>10.620002999999997</v>
      </c>
      <c r="W1578" s="129">
        <v>69.620002999999997</v>
      </c>
      <c r="X1578" s="27">
        <f t="shared" si="192"/>
        <v>199.6560059</v>
      </c>
    </row>
    <row r="1579" spans="1:24" x14ac:dyDescent="0.2">
      <c r="A1579" s="220">
        <v>43878</v>
      </c>
      <c r="B1579" s="130" t="s">
        <v>68</v>
      </c>
      <c r="C1579" s="130" t="s">
        <v>102</v>
      </c>
      <c r="D1579" s="130" t="s">
        <v>3077</v>
      </c>
      <c r="E1579" s="130" t="s">
        <v>2908</v>
      </c>
      <c r="F1579" s="130" t="s">
        <v>3076</v>
      </c>
      <c r="G1579" s="220">
        <v>43872</v>
      </c>
      <c r="H1579" s="130" t="s">
        <v>90</v>
      </c>
      <c r="I1579" s="130" t="s">
        <v>91</v>
      </c>
      <c r="J1579" s="130" t="s">
        <v>100</v>
      </c>
      <c r="K1579" s="130" t="s">
        <v>101</v>
      </c>
      <c r="L1579" s="174" t="s">
        <v>71</v>
      </c>
      <c r="M1579" s="131" t="s">
        <v>72</v>
      </c>
      <c r="N1579" s="130" t="s">
        <v>73</v>
      </c>
      <c r="O1579" s="219" t="s">
        <v>72</v>
      </c>
      <c r="P1579" s="130" t="s">
        <v>101</v>
      </c>
      <c r="Q1579" s="132" t="s">
        <v>93</v>
      </c>
      <c r="R1579" s="218">
        <v>3.3840001000000002</v>
      </c>
      <c r="S1579" s="129">
        <v>1</v>
      </c>
      <c r="T1579" s="129">
        <v>30</v>
      </c>
      <c r="U1579" s="129">
        <v>30</v>
      </c>
      <c r="V1579" s="129">
        <v>5.4000019999999997</v>
      </c>
      <c r="W1579" s="129">
        <v>35.400002000000001</v>
      </c>
      <c r="X1579" s="27">
        <f t="shared" si="192"/>
        <v>101.520003</v>
      </c>
    </row>
    <row r="1580" spans="1:24" x14ac:dyDescent="0.2">
      <c r="A1580" s="220">
        <v>43878</v>
      </c>
      <c r="B1580" s="130" t="s">
        <v>68</v>
      </c>
      <c r="C1580" s="130" t="s">
        <v>102</v>
      </c>
      <c r="D1580" s="130" t="s">
        <v>3077</v>
      </c>
      <c r="E1580" s="130" t="s">
        <v>2908</v>
      </c>
      <c r="F1580" s="130" t="s">
        <v>3076</v>
      </c>
      <c r="G1580" s="220">
        <v>43872</v>
      </c>
      <c r="H1580" s="130" t="s">
        <v>90</v>
      </c>
      <c r="I1580" s="130" t="s">
        <v>91</v>
      </c>
      <c r="J1580" s="130" t="s">
        <v>92</v>
      </c>
      <c r="K1580" s="130" t="s">
        <v>113</v>
      </c>
      <c r="L1580" s="174" t="s">
        <v>71</v>
      </c>
      <c r="M1580" s="131" t="s">
        <v>72</v>
      </c>
      <c r="N1580" s="130" t="s">
        <v>73</v>
      </c>
      <c r="O1580" s="219" t="s">
        <v>69</v>
      </c>
      <c r="P1580" s="130" t="s">
        <v>1699</v>
      </c>
      <c r="Q1580" s="132" t="s">
        <v>93</v>
      </c>
      <c r="R1580" s="218">
        <v>3.3840001000000002</v>
      </c>
      <c r="S1580" s="129">
        <v>1</v>
      </c>
      <c r="T1580" s="129">
        <v>65</v>
      </c>
      <c r="U1580" s="129">
        <v>65</v>
      </c>
      <c r="V1580" s="129">
        <v>11.699996999999994</v>
      </c>
      <c r="W1580" s="129">
        <v>76.699996999999996</v>
      </c>
      <c r="X1580" s="27">
        <f t="shared" si="192"/>
        <v>219.96000650000002</v>
      </c>
    </row>
    <row r="1581" spans="1:24" x14ac:dyDescent="0.2">
      <c r="A1581" s="220">
        <v>43878</v>
      </c>
      <c r="B1581" s="130" t="s">
        <v>68</v>
      </c>
      <c r="C1581" s="130" t="s">
        <v>102</v>
      </c>
      <c r="D1581" s="130" t="s">
        <v>3077</v>
      </c>
      <c r="E1581" s="130" t="s">
        <v>2908</v>
      </c>
      <c r="F1581" s="130" t="s">
        <v>3076</v>
      </c>
      <c r="G1581" s="220">
        <v>43872</v>
      </c>
      <c r="H1581" s="130" t="s">
        <v>90</v>
      </c>
      <c r="I1581" s="130" t="s">
        <v>91</v>
      </c>
      <c r="J1581" s="130" t="s">
        <v>95</v>
      </c>
      <c r="K1581" s="130" t="s">
        <v>96</v>
      </c>
      <c r="L1581" s="174" t="s">
        <v>71</v>
      </c>
      <c r="M1581" s="131" t="s">
        <v>72</v>
      </c>
      <c r="N1581" s="130" t="s">
        <v>73</v>
      </c>
      <c r="O1581" s="219" t="s">
        <v>69</v>
      </c>
      <c r="P1581" s="130" t="s">
        <v>1699</v>
      </c>
      <c r="Q1581" s="132" t="s">
        <v>93</v>
      </c>
      <c r="R1581" s="218">
        <v>3.3840001000000002</v>
      </c>
      <c r="S1581" s="129">
        <v>-1</v>
      </c>
      <c r="T1581" s="129">
        <v>100</v>
      </c>
      <c r="U1581" s="129">
        <v>-100</v>
      </c>
      <c r="V1581" s="129">
        <v>-18</v>
      </c>
      <c r="W1581" s="129">
        <v>-118</v>
      </c>
      <c r="X1581" s="27">
        <f t="shared" si="192"/>
        <v>-338.40001000000001</v>
      </c>
    </row>
    <row r="1582" spans="1:24" x14ac:dyDescent="0.2">
      <c r="A1582" s="220">
        <v>43879</v>
      </c>
      <c r="B1582" s="130" t="s">
        <v>68</v>
      </c>
      <c r="C1582" s="130" t="s">
        <v>102</v>
      </c>
      <c r="D1582" s="130" t="s">
        <v>3075</v>
      </c>
      <c r="E1582" s="130" t="s">
        <v>2851</v>
      </c>
      <c r="F1582" s="130" t="s">
        <v>3074</v>
      </c>
      <c r="G1582" s="220">
        <v>43859</v>
      </c>
      <c r="H1582" s="130" t="s">
        <v>90</v>
      </c>
      <c r="I1582" s="130" t="s">
        <v>91</v>
      </c>
      <c r="J1582" s="130" t="s">
        <v>97</v>
      </c>
      <c r="K1582" s="130" t="s">
        <v>98</v>
      </c>
      <c r="L1582" s="174" t="s">
        <v>71</v>
      </c>
      <c r="M1582" s="131" t="s">
        <v>72</v>
      </c>
      <c r="N1582" s="130" t="s">
        <v>73</v>
      </c>
      <c r="O1582" s="219" t="s">
        <v>99</v>
      </c>
      <c r="P1582" s="130" t="s">
        <v>98</v>
      </c>
      <c r="Q1582" s="132" t="s">
        <v>93</v>
      </c>
      <c r="R1582" s="218">
        <v>3.3840001000000002</v>
      </c>
      <c r="S1582" s="129">
        <v>1</v>
      </c>
      <c r="T1582" s="129">
        <v>14.754200000000001</v>
      </c>
      <c r="U1582" s="129">
        <v>14.754200000000001</v>
      </c>
      <c r="V1582" s="129">
        <v>2.6557999999999993</v>
      </c>
      <c r="W1582" s="129">
        <v>17.41</v>
      </c>
      <c r="X1582" s="27">
        <f t="shared" si="192"/>
        <v>49.928214275420004</v>
      </c>
    </row>
    <row r="1583" spans="1:24" x14ac:dyDescent="0.2">
      <c r="A1583" s="220">
        <v>43879</v>
      </c>
      <c r="B1583" s="130" t="s">
        <v>68</v>
      </c>
      <c r="C1583" s="130" t="s">
        <v>102</v>
      </c>
      <c r="D1583" s="130" t="s">
        <v>3075</v>
      </c>
      <c r="E1583" s="130" t="s">
        <v>2851</v>
      </c>
      <c r="F1583" s="130" t="s">
        <v>3074</v>
      </c>
      <c r="G1583" s="220">
        <v>43859</v>
      </c>
      <c r="H1583" s="130" t="s">
        <v>90</v>
      </c>
      <c r="I1583" s="130" t="s">
        <v>91</v>
      </c>
      <c r="J1583" s="130" t="s">
        <v>100</v>
      </c>
      <c r="K1583" s="130" t="s">
        <v>101</v>
      </c>
      <c r="L1583" s="174" t="s">
        <v>71</v>
      </c>
      <c r="M1583" s="131" t="s">
        <v>72</v>
      </c>
      <c r="N1583" s="130" t="s">
        <v>73</v>
      </c>
      <c r="O1583" s="219" t="s">
        <v>72</v>
      </c>
      <c r="P1583" s="130" t="s">
        <v>101</v>
      </c>
      <c r="Q1583" s="132" t="s">
        <v>93</v>
      </c>
      <c r="R1583" s="218">
        <v>3.3840001000000002</v>
      </c>
      <c r="S1583" s="129">
        <v>1</v>
      </c>
      <c r="T1583" s="129">
        <v>15</v>
      </c>
      <c r="U1583" s="129">
        <v>15</v>
      </c>
      <c r="V1583" s="129">
        <v>2.7000009999999999</v>
      </c>
      <c r="W1583" s="129">
        <v>17.700001</v>
      </c>
      <c r="X1583" s="27">
        <f t="shared" si="192"/>
        <v>50.760001500000001</v>
      </c>
    </row>
    <row r="1584" spans="1:24" x14ac:dyDescent="0.2">
      <c r="A1584" s="220">
        <v>43879</v>
      </c>
      <c r="B1584" s="130" t="s">
        <v>68</v>
      </c>
      <c r="C1584" s="130" t="s">
        <v>102</v>
      </c>
      <c r="D1584" s="130" t="s">
        <v>3075</v>
      </c>
      <c r="E1584" s="130" t="s">
        <v>2851</v>
      </c>
      <c r="F1584" s="130" t="s">
        <v>3074</v>
      </c>
      <c r="G1584" s="220">
        <v>43859</v>
      </c>
      <c r="H1584" s="130" t="s">
        <v>90</v>
      </c>
      <c r="I1584" s="130" t="s">
        <v>91</v>
      </c>
      <c r="J1584" s="130" t="s">
        <v>92</v>
      </c>
      <c r="K1584" s="130" t="s">
        <v>113</v>
      </c>
      <c r="L1584" s="174" t="s">
        <v>71</v>
      </c>
      <c r="M1584" s="131" t="s">
        <v>72</v>
      </c>
      <c r="N1584" s="130" t="s">
        <v>73</v>
      </c>
      <c r="O1584" s="219" t="s">
        <v>69</v>
      </c>
      <c r="P1584" s="130" t="s">
        <v>1699</v>
      </c>
      <c r="Q1584" s="132" t="s">
        <v>93</v>
      </c>
      <c r="R1584" s="218">
        <v>3.3840001000000002</v>
      </c>
      <c r="S1584" s="129">
        <v>1</v>
      </c>
      <c r="T1584" s="129">
        <v>20</v>
      </c>
      <c r="U1584" s="129">
        <v>20</v>
      </c>
      <c r="V1584" s="129">
        <v>3.6</v>
      </c>
      <c r="W1584" s="129">
        <v>23.6</v>
      </c>
      <c r="X1584" s="27">
        <f t="shared" si="192"/>
        <v>67.680002000000002</v>
      </c>
    </row>
    <row r="1585" spans="1:24" x14ac:dyDescent="0.2">
      <c r="A1585" s="220">
        <v>43879</v>
      </c>
      <c r="B1585" s="130" t="s">
        <v>68</v>
      </c>
      <c r="C1585" s="130" t="s">
        <v>102</v>
      </c>
      <c r="D1585" s="130" t="s">
        <v>3075</v>
      </c>
      <c r="E1585" s="130" t="s">
        <v>2851</v>
      </c>
      <c r="F1585" s="130" t="s">
        <v>3074</v>
      </c>
      <c r="G1585" s="220">
        <v>43859</v>
      </c>
      <c r="H1585" s="130" t="s">
        <v>90</v>
      </c>
      <c r="I1585" s="130" t="s">
        <v>91</v>
      </c>
      <c r="J1585" s="130" t="s">
        <v>104</v>
      </c>
      <c r="K1585" s="130" t="s">
        <v>105</v>
      </c>
      <c r="L1585" s="174" t="s">
        <v>71</v>
      </c>
      <c r="M1585" s="131" t="s">
        <v>72</v>
      </c>
      <c r="N1585" s="130" t="s">
        <v>73</v>
      </c>
      <c r="O1585" s="219" t="s">
        <v>69</v>
      </c>
      <c r="P1585" s="130" t="s">
        <v>1699</v>
      </c>
      <c r="Q1585" s="132" t="s">
        <v>93</v>
      </c>
      <c r="R1585" s="218">
        <v>3.3840001000000002</v>
      </c>
      <c r="S1585" s="129">
        <v>1</v>
      </c>
      <c r="T1585" s="129">
        <v>0</v>
      </c>
      <c r="U1585" s="129">
        <v>0</v>
      </c>
      <c r="V1585" s="129">
        <v>0</v>
      </c>
      <c r="W1585" s="129">
        <v>0</v>
      </c>
      <c r="X1585" s="27">
        <f t="shared" si="192"/>
        <v>0</v>
      </c>
    </row>
    <row r="1586" spans="1:24" x14ac:dyDescent="0.2">
      <c r="A1586" s="220">
        <v>43879</v>
      </c>
      <c r="B1586" s="130" t="s">
        <v>68</v>
      </c>
      <c r="C1586" s="130" t="s">
        <v>102</v>
      </c>
      <c r="D1586" s="130" t="s">
        <v>3073</v>
      </c>
      <c r="E1586" s="130" t="s">
        <v>1941</v>
      </c>
      <c r="F1586" s="130" t="s">
        <v>2319</v>
      </c>
      <c r="G1586" s="220">
        <v>43809</v>
      </c>
      <c r="H1586" s="130" t="s">
        <v>90</v>
      </c>
      <c r="I1586" s="130" t="s">
        <v>91</v>
      </c>
      <c r="J1586" s="130" t="s">
        <v>97</v>
      </c>
      <c r="K1586" s="130" t="s">
        <v>98</v>
      </c>
      <c r="L1586" s="174" t="s">
        <v>71</v>
      </c>
      <c r="M1586" s="131" t="s">
        <v>72</v>
      </c>
      <c r="N1586" s="130" t="s">
        <v>73</v>
      </c>
      <c r="O1586" s="219" t="s">
        <v>99</v>
      </c>
      <c r="P1586" s="130" t="s">
        <v>98</v>
      </c>
      <c r="Q1586" s="132" t="s">
        <v>93</v>
      </c>
      <c r="R1586" s="218">
        <v>3.3840001000000002</v>
      </c>
      <c r="S1586" s="129">
        <v>1</v>
      </c>
      <c r="T1586" s="129">
        <v>88.5</v>
      </c>
      <c r="U1586" s="129">
        <v>88.5</v>
      </c>
      <c r="V1586" s="129">
        <v>15.93</v>
      </c>
      <c r="W1586" s="129">
        <v>104.43</v>
      </c>
      <c r="X1586" s="27">
        <f t="shared" si="192"/>
        <v>299.48400885000001</v>
      </c>
    </row>
    <row r="1587" spans="1:24" x14ac:dyDescent="0.2">
      <c r="A1587" s="220">
        <v>43879</v>
      </c>
      <c r="B1587" s="130" t="s">
        <v>68</v>
      </c>
      <c r="C1587" s="130" t="s">
        <v>102</v>
      </c>
      <c r="D1587" s="130" t="s">
        <v>3073</v>
      </c>
      <c r="E1587" s="130" t="s">
        <v>1941</v>
      </c>
      <c r="F1587" s="130" t="s">
        <v>2319</v>
      </c>
      <c r="G1587" s="220">
        <v>43809</v>
      </c>
      <c r="H1587" s="130" t="s">
        <v>90</v>
      </c>
      <c r="I1587" s="130" t="s">
        <v>91</v>
      </c>
      <c r="J1587" s="130" t="s">
        <v>100</v>
      </c>
      <c r="K1587" s="130" t="s">
        <v>101</v>
      </c>
      <c r="L1587" s="174" t="s">
        <v>71</v>
      </c>
      <c r="M1587" s="131" t="s">
        <v>72</v>
      </c>
      <c r="N1587" s="130" t="s">
        <v>73</v>
      </c>
      <c r="O1587" s="219" t="s">
        <v>72</v>
      </c>
      <c r="P1587" s="130" t="s">
        <v>101</v>
      </c>
      <c r="Q1587" s="132" t="s">
        <v>93</v>
      </c>
      <c r="R1587" s="218">
        <v>3.3840001000000002</v>
      </c>
      <c r="S1587" s="129">
        <v>1</v>
      </c>
      <c r="T1587" s="129">
        <v>30</v>
      </c>
      <c r="U1587" s="129">
        <v>30</v>
      </c>
      <c r="V1587" s="129">
        <v>5.4000019999999997</v>
      </c>
      <c r="W1587" s="129">
        <v>35.400002000000001</v>
      </c>
      <c r="X1587" s="27">
        <f t="shared" si="192"/>
        <v>101.520003</v>
      </c>
    </row>
    <row r="1588" spans="1:24" x14ac:dyDescent="0.2">
      <c r="A1588" s="220">
        <v>43879</v>
      </c>
      <c r="B1588" s="130" t="s">
        <v>68</v>
      </c>
      <c r="C1588" s="130" t="s">
        <v>102</v>
      </c>
      <c r="D1588" s="130" t="s">
        <v>3073</v>
      </c>
      <c r="E1588" s="130" t="s">
        <v>1941</v>
      </c>
      <c r="F1588" s="130" t="s">
        <v>2319</v>
      </c>
      <c r="G1588" s="220">
        <v>43809</v>
      </c>
      <c r="H1588" s="130" t="s">
        <v>90</v>
      </c>
      <c r="I1588" s="130" t="s">
        <v>91</v>
      </c>
      <c r="J1588" s="130" t="s">
        <v>92</v>
      </c>
      <c r="K1588" s="130" t="s">
        <v>113</v>
      </c>
      <c r="L1588" s="174" t="s">
        <v>71</v>
      </c>
      <c r="M1588" s="131" t="s">
        <v>72</v>
      </c>
      <c r="N1588" s="130" t="s">
        <v>73</v>
      </c>
      <c r="O1588" s="219" t="s">
        <v>69</v>
      </c>
      <c r="P1588" s="130" t="s">
        <v>1699</v>
      </c>
      <c r="Q1588" s="132" t="s">
        <v>93</v>
      </c>
      <c r="R1588" s="218">
        <v>3.3840001000000002</v>
      </c>
      <c r="S1588" s="129">
        <v>1</v>
      </c>
      <c r="T1588" s="129">
        <v>45</v>
      </c>
      <c r="U1588" s="129">
        <v>45</v>
      </c>
      <c r="V1588" s="129">
        <v>8.0999980000000047</v>
      </c>
      <c r="W1588" s="129">
        <v>53.099998000000006</v>
      </c>
      <c r="X1588" s="27">
        <f t="shared" si="192"/>
        <v>152.28000450000002</v>
      </c>
    </row>
    <row r="1589" spans="1:24" x14ac:dyDescent="0.2">
      <c r="A1589" s="220">
        <v>43880</v>
      </c>
      <c r="B1589" s="130" t="s">
        <v>68</v>
      </c>
      <c r="C1589" s="130" t="s">
        <v>102</v>
      </c>
      <c r="D1589" s="130" t="s">
        <v>3072</v>
      </c>
      <c r="E1589" s="130" t="s">
        <v>2919</v>
      </c>
      <c r="F1589" s="130" t="s">
        <v>3070</v>
      </c>
      <c r="G1589" s="220">
        <v>43878</v>
      </c>
      <c r="H1589" s="130" t="s">
        <v>90</v>
      </c>
      <c r="I1589" s="130" t="s">
        <v>91</v>
      </c>
      <c r="J1589" s="130" t="s">
        <v>97</v>
      </c>
      <c r="K1589" s="130" t="s">
        <v>98</v>
      </c>
      <c r="L1589" s="174" t="s">
        <v>71</v>
      </c>
      <c r="M1589" s="131" t="s">
        <v>72</v>
      </c>
      <c r="N1589" s="130" t="s">
        <v>73</v>
      </c>
      <c r="O1589" s="219" t="s">
        <v>99</v>
      </c>
      <c r="P1589" s="130" t="s">
        <v>98</v>
      </c>
      <c r="Q1589" s="132" t="s">
        <v>93</v>
      </c>
      <c r="R1589" s="218">
        <v>3.3859998999999998</v>
      </c>
      <c r="S1589" s="129">
        <v>1</v>
      </c>
      <c r="T1589" s="129">
        <v>153.39830000000001</v>
      </c>
      <c r="U1589" s="129">
        <v>153.39830000000001</v>
      </c>
      <c r="V1589" s="129">
        <v>27.611689999999964</v>
      </c>
      <c r="W1589" s="129">
        <v>181.00998999999996</v>
      </c>
      <c r="X1589" s="27">
        <f t="shared" si="192"/>
        <v>519.40662846016994</v>
      </c>
    </row>
    <row r="1590" spans="1:24" x14ac:dyDescent="0.2">
      <c r="A1590" s="220">
        <v>43880</v>
      </c>
      <c r="B1590" s="130" t="s">
        <v>68</v>
      </c>
      <c r="C1590" s="130" t="s">
        <v>102</v>
      </c>
      <c r="D1590" s="130" t="s">
        <v>3072</v>
      </c>
      <c r="E1590" s="130" t="s">
        <v>2919</v>
      </c>
      <c r="F1590" s="130" t="s">
        <v>3070</v>
      </c>
      <c r="G1590" s="220">
        <v>43878</v>
      </c>
      <c r="H1590" s="130" t="s">
        <v>90</v>
      </c>
      <c r="I1590" s="130" t="s">
        <v>91</v>
      </c>
      <c r="J1590" s="130" t="s">
        <v>100</v>
      </c>
      <c r="K1590" s="130" t="s">
        <v>101</v>
      </c>
      <c r="L1590" s="174" t="s">
        <v>71</v>
      </c>
      <c r="M1590" s="131" t="s">
        <v>72</v>
      </c>
      <c r="N1590" s="130" t="s">
        <v>73</v>
      </c>
      <c r="O1590" s="219" t="s">
        <v>72</v>
      </c>
      <c r="P1590" s="130" t="s">
        <v>101</v>
      </c>
      <c r="Q1590" s="132" t="s">
        <v>93</v>
      </c>
      <c r="R1590" s="218">
        <v>3.3859998999999998</v>
      </c>
      <c r="S1590" s="129">
        <v>1</v>
      </c>
      <c r="T1590" s="129">
        <v>30</v>
      </c>
      <c r="U1590" s="129">
        <v>30</v>
      </c>
      <c r="V1590" s="129">
        <v>5.4000019999999997</v>
      </c>
      <c r="W1590" s="129">
        <v>35.400002000000001</v>
      </c>
      <c r="X1590" s="27">
        <f t="shared" si="192"/>
        <v>101.57999699999999</v>
      </c>
    </row>
    <row r="1591" spans="1:24" x14ac:dyDescent="0.2">
      <c r="A1591" s="220">
        <v>43880</v>
      </c>
      <c r="B1591" s="130" t="s">
        <v>68</v>
      </c>
      <c r="C1591" s="130" t="s">
        <v>102</v>
      </c>
      <c r="D1591" s="130" t="s">
        <v>3072</v>
      </c>
      <c r="E1591" s="130" t="s">
        <v>2919</v>
      </c>
      <c r="F1591" s="130" t="s">
        <v>3070</v>
      </c>
      <c r="G1591" s="220">
        <v>43878</v>
      </c>
      <c r="H1591" s="130" t="s">
        <v>90</v>
      </c>
      <c r="I1591" s="130" t="s">
        <v>91</v>
      </c>
      <c r="J1591" s="130" t="s">
        <v>92</v>
      </c>
      <c r="K1591" s="130" t="s">
        <v>113</v>
      </c>
      <c r="L1591" s="174" t="s">
        <v>71</v>
      </c>
      <c r="M1591" s="131" t="s">
        <v>72</v>
      </c>
      <c r="N1591" s="130" t="s">
        <v>73</v>
      </c>
      <c r="O1591" s="219" t="s">
        <v>69</v>
      </c>
      <c r="P1591" s="130" t="s">
        <v>1699</v>
      </c>
      <c r="Q1591" s="132" t="s">
        <v>93</v>
      </c>
      <c r="R1591" s="218">
        <v>3.3859998999999998</v>
      </c>
      <c r="S1591" s="129">
        <v>1</v>
      </c>
      <c r="T1591" s="129">
        <v>55</v>
      </c>
      <c r="U1591" s="129">
        <v>55</v>
      </c>
      <c r="V1591" s="129">
        <v>9.9000020000000131</v>
      </c>
      <c r="W1591" s="129">
        <v>64.900002000000015</v>
      </c>
      <c r="X1591" s="27">
        <f t="shared" si="192"/>
        <v>186.2299945</v>
      </c>
    </row>
    <row r="1592" spans="1:24" x14ac:dyDescent="0.2">
      <c r="A1592" s="220">
        <v>43880</v>
      </c>
      <c r="B1592" s="130" t="s">
        <v>68</v>
      </c>
      <c r="C1592" s="130" t="s">
        <v>102</v>
      </c>
      <c r="D1592" s="130" t="s">
        <v>3071</v>
      </c>
      <c r="E1592" s="130" t="s">
        <v>2690</v>
      </c>
      <c r="F1592" s="130" t="s">
        <v>3070</v>
      </c>
      <c r="G1592" s="220">
        <v>43858</v>
      </c>
      <c r="H1592" s="130" t="s">
        <v>90</v>
      </c>
      <c r="I1592" s="130" t="s">
        <v>91</v>
      </c>
      <c r="J1592" s="130" t="s">
        <v>97</v>
      </c>
      <c r="K1592" s="130" t="s">
        <v>98</v>
      </c>
      <c r="L1592" s="174" t="s">
        <v>71</v>
      </c>
      <c r="M1592" s="131" t="s">
        <v>72</v>
      </c>
      <c r="N1592" s="130" t="s">
        <v>73</v>
      </c>
      <c r="O1592" s="219" t="s">
        <v>99</v>
      </c>
      <c r="P1592" s="130" t="s">
        <v>98</v>
      </c>
      <c r="Q1592" s="132" t="s">
        <v>93</v>
      </c>
      <c r="R1592" s="218">
        <v>3.3859998999999998</v>
      </c>
      <c r="S1592" s="129">
        <v>1</v>
      </c>
      <c r="T1592" s="129">
        <v>76.703400000000002</v>
      </c>
      <c r="U1592" s="129">
        <v>76.703400000000002</v>
      </c>
      <c r="V1592" s="129">
        <v>13.806602000000003</v>
      </c>
      <c r="W1592" s="129">
        <v>90.510002</v>
      </c>
      <c r="X1592" s="27">
        <f t="shared" si="192"/>
        <v>259.71770472966</v>
      </c>
    </row>
    <row r="1593" spans="1:24" x14ac:dyDescent="0.2">
      <c r="A1593" s="220">
        <v>43880</v>
      </c>
      <c r="B1593" s="130" t="s">
        <v>68</v>
      </c>
      <c r="C1593" s="130" t="s">
        <v>102</v>
      </c>
      <c r="D1593" s="130" t="s">
        <v>3071</v>
      </c>
      <c r="E1593" s="130" t="s">
        <v>2690</v>
      </c>
      <c r="F1593" s="130" t="s">
        <v>3070</v>
      </c>
      <c r="G1593" s="220">
        <v>43858</v>
      </c>
      <c r="H1593" s="130" t="s">
        <v>90</v>
      </c>
      <c r="I1593" s="130" t="s">
        <v>91</v>
      </c>
      <c r="J1593" s="130" t="s">
        <v>100</v>
      </c>
      <c r="K1593" s="130" t="s">
        <v>101</v>
      </c>
      <c r="L1593" s="174" t="s">
        <v>71</v>
      </c>
      <c r="M1593" s="131" t="s">
        <v>72</v>
      </c>
      <c r="N1593" s="130" t="s">
        <v>73</v>
      </c>
      <c r="O1593" s="219" t="s">
        <v>72</v>
      </c>
      <c r="P1593" s="130" t="s">
        <v>101</v>
      </c>
      <c r="Q1593" s="132" t="s">
        <v>93</v>
      </c>
      <c r="R1593" s="218">
        <v>3.3859998999999998</v>
      </c>
      <c r="S1593" s="129">
        <v>1</v>
      </c>
      <c r="T1593" s="129">
        <v>15</v>
      </c>
      <c r="U1593" s="129">
        <v>15</v>
      </c>
      <c r="V1593" s="129">
        <v>2.7000009999999999</v>
      </c>
      <c r="W1593" s="129">
        <v>17.700001</v>
      </c>
      <c r="X1593" s="27">
        <f t="shared" si="192"/>
        <v>50.789998499999996</v>
      </c>
    </row>
    <row r="1594" spans="1:24" x14ac:dyDescent="0.2">
      <c r="A1594" s="220">
        <v>43880</v>
      </c>
      <c r="B1594" s="130" t="s">
        <v>68</v>
      </c>
      <c r="C1594" s="130" t="s">
        <v>102</v>
      </c>
      <c r="D1594" s="130" t="s">
        <v>3071</v>
      </c>
      <c r="E1594" s="130" t="s">
        <v>2690</v>
      </c>
      <c r="F1594" s="130" t="s">
        <v>3070</v>
      </c>
      <c r="G1594" s="220">
        <v>43858</v>
      </c>
      <c r="H1594" s="130" t="s">
        <v>90</v>
      </c>
      <c r="I1594" s="130" t="s">
        <v>91</v>
      </c>
      <c r="J1594" s="130" t="s">
        <v>104</v>
      </c>
      <c r="K1594" s="130" t="s">
        <v>105</v>
      </c>
      <c r="L1594" s="174" t="s">
        <v>71</v>
      </c>
      <c r="M1594" s="131" t="s">
        <v>72</v>
      </c>
      <c r="N1594" s="130" t="s">
        <v>73</v>
      </c>
      <c r="O1594" s="219" t="s">
        <v>69</v>
      </c>
      <c r="P1594" s="130" t="s">
        <v>1699</v>
      </c>
      <c r="Q1594" s="132" t="s">
        <v>93</v>
      </c>
      <c r="R1594" s="218">
        <v>3.3859998999999998</v>
      </c>
      <c r="S1594" s="129">
        <v>1</v>
      </c>
      <c r="T1594" s="129">
        <v>0</v>
      </c>
      <c r="U1594" s="129">
        <v>0</v>
      </c>
      <c r="V1594" s="129">
        <v>0</v>
      </c>
      <c r="W1594" s="129">
        <v>0</v>
      </c>
      <c r="X1594" s="27">
        <f t="shared" si="192"/>
        <v>0</v>
      </c>
    </row>
    <row r="1595" spans="1:24" x14ac:dyDescent="0.2">
      <c r="A1595" s="220">
        <v>43881</v>
      </c>
      <c r="B1595" s="130" t="s">
        <v>68</v>
      </c>
      <c r="C1595" s="130" t="s">
        <v>102</v>
      </c>
      <c r="D1595" s="130" t="s">
        <v>3069</v>
      </c>
      <c r="E1595" s="130" t="s">
        <v>2889</v>
      </c>
      <c r="F1595" s="130" t="s">
        <v>3002</v>
      </c>
      <c r="G1595" s="220">
        <v>43867</v>
      </c>
      <c r="H1595" s="130" t="s">
        <v>90</v>
      </c>
      <c r="I1595" s="130" t="s">
        <v>91</v>
      </c>
      <c r="J1595" s="130" t="s">
        <v>97</v>
      </c>
      <c r="K1595" s="130" t="s">
        <v>98</v>
      </c>
      <c r="L1595" s="174" t="s">
        <v>71</v>
      </c>
      <c r="M1595" s="131" t="s">
        <v>72</v>
      </c>
      <c r="N1595" s="130" t="s">
        <v>73</v>
      </c>
      <c r="O1595" s="219" t="s">
        <v>99</v>
      </c>
      <c r="P1595" s="130" t="s">
        <v>98</v>
      </c>
      <c r="Q1595" s="132" t="s">
        <v>93</v>
      </c>
      <c r="R1595" s="218">
        <v>3.3840001000000002</v>
      </c>
      <c r="S1595" s="129">
        <v>1</v>
      </c>
      <c r="T1595" s="129">
        <v>59</v>
      </c>
      <c r="U1595" s="129">
        <v>59</v>
      </c>
      <c r="V1595" s="129">
        <v>10.620002999999997</v>
      </c>
      <c r="W1595" s="129">
        <v>69.620002999999997</v>
      </c>
      <c r="X1595" s="27">
        <f t="shared" si="192"/>
        <v>199.6560059</v>
      </c>
    </row>
    <row r="1596" spans="1:24" x14ac:dyDescent="0.2">
      <c r="A1596" s="220">
        <v>43881</v>
      </c>
      <c r="B1596" s="130" t="s">
        <v>68</v>
      </c>
      <c r="C1596" s="130" t="s">
        <v>102</v>
      </c>
      <c r="D1596" s="130" t="s">
        <v>3069</v>
      </c>
      <c r="E1596" s="130" t="s">
        <v>2889</v>
      </c>
      <c r="F1596" s="130" t="s">
        <v>3002</v>
      </c>
      <c r="G1596" s="220">
        <v>43867</v>
      </c>
      <c r="H1596" s="130" t="s">
        <v>90</v>
      </c>
      <c r="I1596" s="130" t="s">
        <v>91</v>
      </c>
      <c r="J1596" s="130" t="s">
        <v>100</v>
      </c>
      <c r="K1596" s="130" t="s">
        <v>101</v>
      </c>
      <c r="L1596" s="174" t="s">
        <v>71</v>
      </c>
      <c r="M1596" s="131" t="s">
        <v>72</v>
      </c>
      <c r="N1596" s="130" t="s">
        <v>73</v>
      </c>
      <c r="O1596" s="219" t="s">
        <v>72</v>
      </c>
      <c r="P1596" s="130" t="s">
        <v>101</v>
      </c>
      <c r="Q1596" s="132" t="s">
        <v>93</v>
      </c>
      <c r="R1596" s="218">
        <v>3.3840001000000002</v>
      </c>
      <c r="S1596" s="129">
        <v>1</v>
      </c>
      <c r="T1596" s="129">
        <v>30</v>
      </c>
      <c r="U1596" s="129">
        <v>30</v>
      </c>
      <c r="V1596" s="129">
        <v>5.4000019999999997</v>
      </c>
      <c r="W1596" s="129">
        <v>35.400002000000001</v>
      </c>
      <c r="X1596" s="27">
        <f t="shared" si="192"/>
        <v>101.520003</v>
      </c>
    </row>
    <row r="1597" spans="1:24" x14ac:dyDescent="0.2">
      <c r="A1597" s="220">
        <v>43881</v>
      </c>
      <c r="B1597" s="130" t="s">
        <v>68</v>
      </c>
      <c r="C1597" s="130" t="s">
        <v>102</v>
      </c>
      <c r="D1597" s="130" t="s">
        <v>3069</v>
      </c>
      <c r="E1597" s="130" t="s">
        <v>2889</v>
      </c>
      <c r="F1597" s="130" t="s">
        <v>3002</v>
      </c>
      <c r="G1597" s="220">
        <v>43867</v>
      </c>
      <c r="H1597" s="130" t="s">
        <v>90</v>
      </c>
      <c r="I1597" s="130" t="s">
        <v>91</v>
      </c>
      <c r="J1597" s="130" t="s">
        <v>104</v>
      </c>
      <c r="K1597" s="130" t="s">
        <v>105</v>
      </c>
      <c r="L1597" s="174" t="s">
        <v>71</v>
      </c>
      <c r="M1597" s="131" t="s">
        <v>72</v>
      </c>
      <c r="N1597" s="130" t="s">
        <v>73</v>
      </c>
      <c r="O1597" s="219" t="s">
        <v>69</v>
      </c>
      <c r="P1597" s="130" t="s">
        <v>1699</v>
      </c>
      <c r="Q1597" s="132" t="s">
        <v>93</v>
      </c>
      <c r="R1597" s="218">
        <v>3.3840001000000002</v>
      </c>
      <c r="S1597" s="129">
        <v>1</v>
      </c>
      <c r="T1597" s="129">
        <v>0</v>
      </c>
      <c r="U1597" s="129">
        <v>0</v>
      </c>
      <c r="V1597" s="129">
        <v>0</v>
      </c>
      <c r="W1597" s="129">
        <v>0</v>
      </c>
      <c r="X1597" s="27">
        <f t="shared" si="192"/>
        <v>0</v>
      </c>
    </row>
    <row r="1598" spans="1:24" x14ac:dyDescent="0.2">
      <c r="A1598" s="220">
        <v>43881</v>
      </c>
      <c r="B1598" s="130" t="s">
        <v>68</v>
      </c>
      <c r="C1598" s="130" t="s">
        <v>102</v>
      </c>
      <c r="D1598" s="130" t="s">
        <v>3068</v>
      </c>
      <c r="E1598" s="130" t="s">
        <v>2914</v>
      </c>
      <c r="F1598" s="130" t="s">
        <v>2999</v>
      </c>
      <c r="G1598" s="220">
        <v>43873</v>
      </c>
      <c r="H1598" s="130" t="s">
        <v>90</v>
      </c>
      <c r="I1598" s="130" t="s">
        <v>91</v>
      </c>
      <c r="J1598" s="130" t="s">
        <v>97</v>
      </c>
      <c r="K1598" s="130" t="s">
        <v>98</v>
      </c>
      <c r="L1598" s="174" t="s">
        <v>71</v>
      </c>
      <c r="M1598" s="131" t="s">
        <v>72</v>
      </c>
      <c r="N1598" s="130" t="s">
        <v>73</v>
      </c>
      <c r="O1598" s="219" t="s">
        <v>99</v>
      </c>
      <c r="P1598" s="130" t="s">
        <v>98</v>
      </c>
      <c r="Q1598" s="132" t="s">
        <v>93</v>
      </c>
      <c r="R1598" s="218">
        <v>3.3840001000000002</v>
      </c>
      <c r="S1598" s="129">
        <v>1</v>
      </c>
      <c r="T1598" s="129">
        <v>118</v>
      </c>
      <c r="U1598" s="129">
        <v>118</v>
      </c>
      <c r="V1598" s="129">
        <v>21.240010000000019</v>
      </c>
      <c r="W1598" s="129">
        <v>139.24001000000001</v>
      </c>
      <c r="X1598" s="27">
        <f t="shared" si="192"/>
        <v>399.31201179999999</v>
      </c>
    </row>
    <row r="1599" spans="1:24" x14ac:dyDescent="0.2">
      <c r="A1599" s="220">
        <v>43881</v>
      </c>
      <c r="B1599" s="130" t="s">
        <v>68</v>
      </c>
      <c r="C1599" s="130" t="s">
        <v>102</v>
      </c>
      <c r="D1599" s="130" t="s">
        <v>3068</v>
      </c>
      <c r="E1599" s="130" t="s">
        <v>2914</v>
      </c>
      <c r="F1599" s="130" t="s">
        <v>2999</v>
      </c>
      <c r="G1599" s="220">
        <v>43873</v>
      </c>
      <c r="H1599" s="130" t="s">
        <v>90</v>
      </c>
      <c r="I1599" s="130" t="s">
        <v>91</v>
      </c>
      <c r="J1599" s="130" t="s">
        <v>100</v>
      </c>
      <c r="K1599" s="130" t="s">
        <v>101</v>
      </c>
      <c r="L1599" s="174" t="s">
        <v>71</v>
      </c>
      <c r="M1599" s="131" t="s">
        <v>72</v>
      </c>
      <c r="N1599" s="130" t="s">
        <v>73</v>
      </c>
      <c r="O1599" s="219" t="s">
        <v>72</v>
      </c>
      <c r="P1599" s="130" t="s">
        <v>101</v>
      </c>
      <c r="Q1599" s="132" t="s">
        <v>93</v>
      </c>
      <c r="R1599" s="218">
        <v>3.3840001000000002</v>
      </c>
      <c r="S1599" s="129">
        <v>1</v>
      </c>
      <c r="T1599" s="129">
        <v>90</v>
      </c>
      <c r="U1599" s="129">
        <v>90</v>
      </c>
      <c r="V1599" s="129">
        <v>16.2</v>
      </c>
      <c r="W1599" s="129">
        <v>106.2</v>
      </c>
      <c r="X1599" s="27">
        <f t="shared" si="192"/>
        <v>304.56000900000004</v>
      </c>
    </row>
    <row r="1600" spans="1:24" x14ac:dyDescent="0.2">
      <c r="A1600" s="220">
        <v>43881</v>
      </c>
      <c r="B1600" s="130" t="s">
        <v>68</v>
      </c>
      <c r="C1600" s="130" t="s">
        <v>102</v>
      </c>
      <c r="D1600" s="130" t="s">
        <v>3068</v>
      </c>
      <c r="E1600" s="130" t="s">
        <v>2914</v>
      </c>
      <c r="F1600" s="130" t="s">
        <v>2999</v>
      </c>
      <c r="G1600" s="220">
        <v>43873</v>
      </c>
      <c r="H1600" s="130" t="s">
        <v>90</v>
      </c>
      <c r="I1600" s="130" t="s">
        <v>91</v>
      </c>
      <c r="J1600" s="130" t="s">
        <v>92</v>
      </c>
      <c r="K1600" s="130" t="s">
        <v>113</v>
      </c>
      <c r="L1600" s="174" t="s">
        <v>71</v>
      </c>
      <c r="M1600" s="131" t="s">
        <v>72</v>
      </c>
      <c r="N1600" s="130" t="s">
        <v>73</v>
      </c>
      <c r="O1600" s="219" t="s">
        <v>69</v>
      </c>
      <c r="P1600" s="130" t="s">
        <v>1699</v>
      </c>
      <c r="Q1600" s="132" t="s">
        <v>93</v>
      </c>
      <c r="R1600" s="218">
        <v>3.3840001000000002</v>
      </c>
      <c r="S1600" s="129">
        <v>1</v>
      </c>
      <c r="T1600" s="129">
        <v>45</v>
      </c>
      <c r="U1600" s="129">
        <v>45</v>
      </c>
      <c r="V1600" s="129">
        <v>8.0999980000000047</v>
      </c>
      <c r="W1600" s="129">
        <v>53.099998000000006</v>
      </c>
      <c r="X1600" s="27">
        <f t="shared" si="192"/>
        <v>152.28000450000002</v>
      </c>
    </row>
    <row r="1601" spans="1:24" x14ac:dyDescent="0.2">
      <c r="A1601" s="220">
        <v>43881</v>
      </c>
      <c r="B1601" s="130" t="s">
        <v>68</v>
      </c>
      <c r="C1601" s="130" t="s">
        <v>102</v>
      </c>
      <c r="D1601" s="130" t="s">
        <v>3068</v>
      </c>
      <c r="E1601" s="130" t="s">
        <v>2914</v>
      </c>
      <c r="F1601" s="130" t="s">
        <v>2999</v>
      </c>
      <c r="G1601" s="220">
        <v>43873</v>
      </c>
      <c r="H1601" s="130" t="s">
        <v>90</v>
      </c>
      <c r="I1601" s="130" t="s">
        <v>91</v>
      </c>
      <c r="J1601" s="130" t="s">
        <v>95</v>
      </c>
      <c r="K1601" s="130" t="s">
        <v>96</v>
      </c>
      <c r="L1601" s="174" t="s">
        <v>71</v>
      </c>
      <c r="M1601" s="131" t="s">
        <v>72</v>
      </c>
      <c r="N1601" s="130" t="s">
        <v>73</v>
      </c>
      <c r="O1601" s="219" t="s">
        <v>69</v>
      </c>
      <c r="P1601" s="130" t="s">
        <v>1699</v>
      </c>
      <c r="Q1601" s="132" t="s">
        <v>93</v>
      </c>
      <c r="R1601" s="218">
        <v>3.3840001000000002</v>
      </c>
      <c r="S1601" s="129">
        <v>-1</v>
      </c>
      <c r="T1601" s="129">
        <v>100</v>
      </c>
      <c r="U1601" s="129">
        <v>-100</v>
      </c>
      <c r="V1601" s="129">
        <v>-18</v>
      </c>
      <c r="W1601" s="129">
        <v>-118</v>
      </c>
      <c r="X1601" s="27">
        <f t="shared" si="192"/>
        <v>-338.40001000000001</v>
      </c>
    </row>
    <row r="1602" spans="1:24" x14ac:dyDescent="0.2">
      <c r="A1602" s="220">
        <v>43881</v>
      </c>
      <c r="B1602" s="130" t="s">
        <v>68</v>
      </c>
      <c r="C1602" s="130" t="s">
        <v>102</v>
      </c>
      <c r="D1602" s="130" t="s">
        <v>3068</v>
      </c>
      <c r="E1602" s="130" t="s">
        <v>2914</v>
      </c>
      <c r="F1602" s="130" t="s">
        <v>2999</v>
      </c>
      <c r="G1602" s="220">
        <v>43873</v>
      </c>
      <c r="H1602" s="130" t="s">
        <v>90</v>
      </c>
      <c r="I1602" s="130" t="s">
        <v>91</v>
      </c>
      <c r="J1602" s="130" t="s">
        <v>104</v>
      </c>
      <c r="K1602" s="130" t="s">
        <v>105</v>
      </c>
      <c r="L1602" s="174" t="s">
        <v>71</v>
      </c>
      <c r="M1602" s="131" t="s">
        <v>72</v>
      </c>
      <c r="N1602" s="130" t="s">
        <v>73</v>
      </c>
      <c r="O1602" s="219" t="s">
        <v>69</v>
      </c>
      <c r="P1602" s="130" t="s">
        <v>1699</v>
      </c>
      <c r="Q1602" s="132" t="s">
        <v>93</v>
      </c>
      <c r="R1602" s="218">
        <v>3.3840001000000002</v>
      </c>
      <c r="S1602" s="129">
        <v>1</v>
      </c>
      <c r="T1602" s="129">
        <v>0</v>
      </c>
      <c r="U1602" s="129">
        <v>0</v>
      </c>
      <c r="V1602" s="129">
        <v>0</v>
      </c>
      <c r="W1602" s="129">
        <v>0</v>
      </c>
      <c r="X1602" s="27">
        <f t="shared" si="192"/>
        <v>0</v>
      </c>
    </row>
    <row r="1603" spans="1:24" x14ac:dyDescent="0.2">
      <c r="A1603" s="220">
        <v>43882</v>
      </c>
      <c r="B1603" s="130" t="s">
        <v>68</v>
      </c>
      <c r="C1603" s="130" t="s">
        <v>102</v>
      </c>
      <c r="D1603" s="130" t="s">
        <v>3067</v>
      </c>
      <c r="E1603" s="130" t="s">
        <v>2588</v>
      </c>
      <c r="F1603" s="130" t="s">
        <v>2589</v>
      </c>
      <c r="G1603" s="220">
        <v>43845</v>
      </c>
      <c r="H1603" s="130" t="s">
        <v>90</v>
      </c>
      <c r="I1603" s="130" t="s">
        <v>91</v>
      </c>
      <c r="J1603" s="130" t="s">
        <v>97</v>
      </c>
      <c r="K1603" s="130" t="s">
        <v>98</v>
      </c>
      <c r="L1603" s="174" t="s">
        <v>71</v>
      </c>
      <c r="M1603" s="131" t="s">
        <v>72</v>
      </c>
      <c r="N1603" s="130" t="s">
        <v>73</v>
      </c>
      <c r="O1603" s="219" t="s">
        <v>99</v>
      </c>
      <c r="P1603" s="130" t="s">
        <v>98</v>
      </c>
      <c r="Q1603" s="132" t="s">
        <v>93</v>
      </c>
      <c r="R1603" s="218">
        <v>3.3919999999999999</v>
      </c>
      <c r="S1603" s="129">
        <v>1</v>
      </c>
      <c r="T1603" s="129">
        <v>177</v>
      </c>
      <c r="U1603" s="129">
        <v>177</v>
      </c>
      <c r="V1603" s="129">
        <v>31.86</v>
      </c>
      <c r="W1603" s="129">
        <v>208.86</v>
      </c>
      <c r="X1603" s="27">
        <f t="shared" si="192"/>
        <v>600.38400000000001</v>
      </c>
    </row>
    <row r="1604" spans="1:24" x14ac:dyDescent="0.2">
      <c r="A1604" s="220">
        <v>43882</v>
      </c>
      <c r="B1604" s="130" t="s">
        <v>68</v>
      </c>
      <c r="C1604" s="130" t="s">
        <v>102</v>
      </c>
      <c r="D1604" s="130" t="s">
        <v>3067</v>
      </c>
      <c r="E1604" s="130" t="s">
        <v>2588</v>
      </c>
      <c r="F1604" s="130" t="s">
        <v>2589</v>
      </c>
      <c r="G1604" s="220">
        <v>43845</v>
      </c>
      <c r="H1604" s="130" t="s">
        <v>90</v>
      </c>
      <c r="I1604" s="130" t="s">
        <v>91</v>
      </c>
      <c r="J1604" s="130" t="s">
        <v>100</v>
      </c>
      <c r="K1604" s="130" t="s">
        <v>101</v>
      </c>
      <c r="L1604" s="174" t="s">
        <v>71</v>
      </c>
      <c r="M1604" s="131" t="s">
        <v>72</v>
      </c>
      <c r="N1604" s="130" t="s">
        <v>73</v>
      </c>
      <c r="O1604" s="219" t="s">
        <v>72</v>
      </c>
      <c r="P1604" s="130" t="s">
        <v>101</v>
      </c>
      <c r="Q1604" s="132" t="s">
        <v>93</v>
      </c>
      <c r="R1604" s="218">
        <v>3.3919999999999999</v>
      </c>
      <c r="S1604" s="129">
        <v>1</v>
      </c>
      <c r="T1604" s="129">
        <v>240</v>
      </c>
      <c r="U1604" s="129">
        <v>240</v>
      </c>
      <c r="V1604" s="129">
        <v>43.200010000000042</v>
      </c>
      <c r="W1604" s="129">
        <v>283.20001000000002</v>
      </c>
      <c r="X1604" s="27">
        <f t="shared" si="192"/>
        <v>814.07999999999993</v>
      </c>
    </row>
    <row r="1605" spans="1:24" x14ac:dyDescent="0.2">
      <c r="A1605" s="220">
        <v>43882</v>
      </c>
      <c r="B1605" s="130" t="s">
        <v>68</v>
      </c>
      <c r="C1605" s="130" t="s">
        <v>102</v>
      </c>
      <c r="D1605" s="130" t="s">
        <v>3067</v>
      </c>
      <c r="E1605" s="130" t="s">
        <v>2588</v>
      </c>
      <c r="F1605" s="130" t="s">
        <v>2589</v>
      </c>
      <c r="G1605" s="220">
        <v>43845</v>
      </c>
      <c r="H1605" s="130" t="s">
        <v>90</v>
      </c>
      <c r="I1605" s="130" t="s">
        <v>91</v>
      </c>
      <c r="J1605" s="130" t="s">
        <v>92</v>
      </c>
      <c r="K1605" s="130" t="s">
        <v>113</v>
      </c>
      <c r="L1605" s="174" t="s">
        <v>71</v>
      </c>
      <c r="M1605" s="131" t="s">
        <v>72</v>
      </c>
      <c r="N1605" s="130" t="s">
        <v>73</v>
      </c>
      <c r="O1605" s="219" t="s">
        <v>69</v>
      </c>
      <c r="P1605" s="130" t="s">
        <v>1699</v>
      </c>
      <c r="Q1605" s="132" t="s">
        <v>93</v>
      </c>
      <c r="R1605" s="218">
        <v>3.3919999999999999</v>
      </c>
      <c r="S1605" s="129">
        <v>1</v>
      </c>
      <c r="T1605" s="129">
        <v>195</v>
      </c>
      <c r="U1605" s="129">
        <v>195</v>
      </c>
      <c r="V1605" s="129">
        <v>35.100010000000005</v>
      </c>
      <c r="W1605" s="129">
        <v>230.10001</v>
      </c>
      <c r="X1605" s="27">
        <f t="shared" ref="X1605:X1668" si="193">IF(Q1605="$",(U1605*R1605),U1605)</f>
        <v>661.43999999999994</v>
      </c>
    </row>
    <row r="1606" spans="1:24" x14ac:dyDescent="0.2">
      <c r="A1606" s="220">
        <v>43882</v>
      </c>
      <c r="B1606" s="130" t="s">
        <v>68</v>
      </c>
      <c r="C1606" s="130" t="s">
        <v>102</v>
      </c>
      <c r="D1606" s="130" t="s">
        <v>3067</v>
      </c>
      <c r="E1606" s="130" t="s">
        <v>2588</v>
      </c>
      <c r="F1606" s="130" t="s">
        <v>2589</v>
      </c>
      <c r="G1606" s="220">
        <v>43845</v>
      </c>
      <c r="H1606" s="130" t="s">
        <v>90</v>
      </c>
      <c r="I1606" s="130" t="s">
        <v>91</v>
      </c>
      <c r="J1606" s="130" t="s">
        <v>132</v>
      </c>
      <c r="K1606" s="130" t="s">
        <v>109</v>
      </c>
      <c r="L1606" s="174" t="s">
        <v>71</v>
      </c>
      <c r="M1606" s="131" t="s">
        <v>72</v>
      </c>
      <c r="N1606" s="130" t="s">
        <v>73</v>
      </c>
      <c r="O1606" s="219" t="s">
        <v>69</v>
      </c>
      <c r="P1606" s="130" t="s">
        <v>1699</v>
      </c>
      <c r="Q1606" s="132" t="s">
        <v>93</v>
      </c>
      <c r="R1606" s="218">
        <v>3.3919999999999999</v>
      </c>
      <c r="S1606" s="129">
        <v>1</v>
      </c>
      <c r="T1606" s="129">
        <v>45</v>
      </c>
      <c r="U1606" s="129">
        <v>45</v>
      </c>
      <c r="V1606" s="129">
        <v>8.0999980000000047</v>
      </c>
      <c r="W1606" s="129">
        <v>53.099998000000006</v>
      </c>
      <c r="X1606" s="27">
        <f t="shared" si="193"/>
        <v>152.63999999999999</v>
      </c>
    </row>
    <row r="1607" spans="1:24" x14ac:dyDescent="0.2">
      <c r="A1607" s="220">
        <v>43882</v>
      </c>
      <c r="B1607" s="130" t="s">
        <v>68</v>
      </c>
      <c r="C1607" s="130" t="s">
        <v>102</v>
      </c>
      <c r="D1607" s="130" t="s">
        <v>3067</v>
      </c>
      <c r="E1607" s="130" t="s">
        <v>2588</v>
      </c>
      <c r="F1607" s="130" t="s">
        <v>2589</v>
      </c>
      <c r="G1607" s="220">
        <v>43845</v>
      </c>
      <c r="H1607" s="130" t="s">
        <v>90</v>
      </c>
      <c r="I1607" s="130" t="s">
        <v>91</v>
      </c>
      <c r="J1607" s="130" t="s">
        <v>139</v>
      </c>
      <c r="K1607" s="130" t="s">
        <v>108</v>
      </c>
      <c r="L1607" s="174" t="s">
        <v>71</v>
      </c>
      <c r="M1607" s="131" t="s">
        <v>72</v>
      </c>
      <c r="N1607" s="130" t="s">
        <v>73</v>
      </c>
      <c r="O1607" s="219" t="s">
        <v>69</v>
      </c>
      <c r="P1607" s="130" t="s">
        <v>1699</v>
      </c>
      <c r="Q1607" s="132" t="s">
        <v>93</v>
      </c>
      <c r="R1607" s="218">
        <v>3.3919999999999999</v>
      </c>
      <c r="S1607" s="129">
        <v>1</v>
      </c>
      <c r="T1607" s="129">
        <v>29.5</v>
      </c>
      <c r="U1607" s="129">
        <v>29.5</v>
      </c>
      <c r="V1607" s="129">
        <v>5.3100010000000069</v>
      </c>
      <c r="W1607" s="129">
        <v>34.810001000000007</v>
      </c>
      <c r="X1607" s="27">
        <f t="shared" si="193"/>
        <v>100.06399999999999</v>
      </c>
    </row>
    <row r="1608" spans="1:24" x14ac:dyDescent="0.2">
      <c r="A1608" s="220">
        <v>43882</v>
      </c>
      <c r="B1608" s="130" t="s">
        <v>68</v>
      </c>
      <c r="C1608" s="130" t="s">
        <v>102</v>
      </c>
      <c r="D1608" s="130" t="s">
        <v>3067</v>
      </c>
      <c r="E1608" s="130" t="s">
        <v>2588</v>
      </c>
      <c r="F1608" s="130" t="s">
        <v>2589</v>
      </c>
      <c r="G1608" s="220">
        <v>43845</v>
      </c>
      <c r="H1608" s="130" t="s">
        <v>90</v>
      </c>
      <c r="I1608" s="130" t="s">
        <v>91</v>
      </c>
      <c r="J1608" s="130" t="s">
        <v>70</v>
      </c>
      <c r="K1608" s="130" t="s">
        <v>112</v>
      </c>
      <c r="L1608" s="174" t="s">
        <v>71</v>
      </c>
      <c r="M1608" s="131" t="s">
        <v>72</v>
      </c>
      <c r="N1608" s="130" t="s">
        <v>73</v>
      </c>
      <c r="O1608" s="219" t="s">
        <v>69</v>
      </c>
      <c r="P1608" s="130" t="s">
        <v>1699</v>
      </c>
      <c r="Q1608" s="132" t="s">
        <v>93</v>
      </c>
      <c r="R1608" s="218">
        <v>3.3919999999999999</v>
      </c>
      <c r="S1608" s="129">
        <v>1</v>
      </c>
      <c r="T1608" s="129">
        <v>30</v>
      </c>
      <c r="U1608" s="129">
        <v>30</v>
      </c>
      <c r="V1608" s="129">
        <v>5.4000019999999997</v>
      </c>
      <c r="W1608" s="129">
        <v>35.400002000000001</v>
      </c>
      <c r="X1608" s="27">
        <f t="shared" si="193"/>
        <v>101.75999999999999</v>
      </c>
    </row>
    <row r="1609" spans="1:24" x14ac:dyDescent="0.2">
      <c r="A1609" s="220">
        <v>43882</v>
      </c>
      <c r="B1609" s="130" t="s">
        <v>68</v>
      </c>
      <c r="C1609" s="130" t="s">
        <v>102</v>
      </c>
      <c r="D1609" s="130" t="s">
        <v>3067</v>
      </c>
      <c r="E1609" s="130" t="s">
        <v>2588</v>
      </c>
      <c r="F1609" s="130" t="s">
        <v>2589</v>
      </c>
      <c r="G1609" s="220">
        <v>43845</v>
      </c>
      <c r="H1609" s="130" t="s">
        <v>90</v>
      </c>
      <c r="I1609" s="130" t="s">
        <v>91</v>
      </c>
      <c r="J1609" s="130" t="s">
        <v>95</v>
      </c>
      <c r="K1609" s="130" t="s">
        <v>96</v>
      </c>
      <c r="L1609" s="174" t="s">
        <v>71</v>
      </c>
      <c r="M1609" s="131" t="s">
        <v>72</v>
      </c>
      <c r="N1609" s="130" t="s">
        <v>73</v>
      </c>
      <c r="O1609" s="219" t="s">
        <v>69</v>
      </c>
      <c r="P1609" s="130" t="s">
        <v>1699</v>
      </c>
      <c r="Q1609" s="132" t="s">
        <v>93</v>
      </c>
      <c r="R1609" s="218">
        <v>3.3919999999999999</v>
      </c>
      <c r="S1609" s="129">
        <v>-1</v>
      </c>
      <c r="T1609" s="129">
        <v>614.81359999999984</v>
      </c>
      <c r="U1609" s="129">
        <v>-614.81359999999984</v>
      </c>
      <c r="V1609" s="129">
        <v>-110.6663800000002</v>
      </c>
      <c r="W1609" s="129">
        <v>-725.47998000000007</v>
      </c>
      <c r="X1609" s="27">
        <f t="shared" si="193"/>
        <v>-2085.4477311999995</v>
      </c>
    </row>
    <row r="1610" spans="1:24" x14ac:dyDescent="0.2">
      <c r="A1610" s="220">
        <v>43882</v>
      </c>
      <c r="B1610" s="130" t="s">
        <v>68</v>
      </c>
      <c r="C1610" s="130" t="s">
        <v>102</v>
      </c>
      <c r="D1610" s="130" t="s">
        <v>3067</v>
      </c>
      <c r="E1610" s="130" t="s">
        <v>2588</v>
      </c>
      <c r="F1610" s="130" t="s">
        <v>2589</v>
      </c>
      <c r="G1610" s="220">
        <v>43845</v>
      </c>
      <c r="H1610" s="130" t="s">
        <v>90</v>
      </c>
      <c r="I1610" s="130" t="s">
        <v>91</v>
      </c>
      <c r="J1610" s="130" t="s">
        <v>104</v>
      </c>
      <c r="K1610" s="130" t="s">
        <v>105</v>
      </c>
      <c r="L1610" s="174" t="s">
        <v>71</v>
      </c>
      <c r="M1610" s="131" t="s">
        <v>72</v>
      </c>
      <c r="N1610" s="130" t="s">
        <v>73</v>
      </c>
      <c r="O1610" s="219" t="s">
        <v>69</v>
      </c>
      <c r="P1610" s="130" t="s">
        <v>1699</v>
      </c>
      <c r="Q1610" s="132" t="s">
        <v>93</v>
      </c>
      <c r="R1610" s="218">
        <v>3.3919999999999999</v>
      </c>
      <c r="S1610" s="129">
        <v>1</v>
      </c>
      <c r="T1610" s="129">
        <v>0</v>
      </c>
      <c r="U1610" s="129">
        <v>0</v>
      </c>
      <c r="V1610" s="129">
        <v>0</v>
      </c>
      <c r="W1610" s="129">
        <v>0</v>
      </c>
      <c r="X1610" s="27">
        <f t="shared" si="193"/>
        <v>0</v>
      </c>
    </row>
    <row r="1611" spans="1:24" x14ac:dyDescent="0.2">
      <c r="A1611" s="220">
        <v>43882</v>
      </c>
      <c r="B1611" s="130" t="s">
        <v>68</v>
      </c>
      <c r="C1611" s="130" t="s">
        <v>102</v>
      </c>
      <c r="D1611" s="130" t="s">
        <v>3066</v>
      </c>
      <c r="E1611" s="130" t="s">
        <v>2920</v>
      </c>
      <c r="F1611" s="130" t="s">
        <v>1766</v>
      </c>
      <c r="G1611" s="220">
        <v>43878</v>
      </c>
      <c r="H1611" s="130" t="s">
        <v>90</v>
      </c>
      <c r="I1611" s="130" t="s">
        <v>91</v>
      </c>
      <c r="J1611" s="130" t="s">
        <v>97</v>
      </c>
      <c r="K1611" s="130" t="s">
        <v>98</v>
      </c>
      <c r="L1611" s="174" t="s">
        <v>71</v>
      </c>
      <c r="M1611" s="131" t="s">
        <v>72</v>
      </c>
      <c r="N1611" s="130" t="s">
        <v>73</v>
      </c>
      <c r="O1611" s="219" t="s">
        <v>99</v>
      </c>
      <c r="P1611" s="130" t="s">
        <v>98</v>
      </c>
      <c r="Q1611" s="132" t="s">
        <v>93</v>
      </c>
      <c r="R1611" s="218">
        <v>3.3919999999999999</v>
      </c>
      <c r="S1611" s="129">
        <v>1</v>
      </c>
      <c r="T1611" s="129">
        <v>118</v>
      </c>
      <c r="U1611" s="129">
        <v>118</v>
      </c>
      <c r="V1611" s="129">
        <v>21.240010000000019</v>
      </c>
      <c r="W1611" s="129">
        <v>139.24001000000001</v>
      </c>
      <c r="X1611" s="27">
        <f t="shared" si="193"/>
        <v>400.25599999999997</v>
      </c>
    </row>
    <row r="1612" spans="1:24" x14ac:dyDescent="0.2">
      <c r="A1612" s="220">
        <v>43882</v>
      </c>
      <c r="B1612" s="130" t="s">
        <v>68</v>
      </c>
      <c r="C1612" s="130" t="s">
        <v>102</v>
      </c>
      <c r="D1612" s="130" t="s">
        <v>3066</v>
      </c>
      <c r="E1612" s="130" t="s">
        <v>2920</v>
      </c>
      <c r="F1612" s="130" t="s">
        <v>1766</v>
      </c>
      <c r="G1612" s="220">
        <v>43878</v>
      </c>
      <c r="H1612" s="130" t="s">
        <v>90</v>
      </c>
      <c r="I1612" s="130" t="s">
        <v>91</v>
      </c>
      <c r="J1612" s="130" t="s">
        <v>100</v>
      </c>
      <c r="K1612" s="130" t="s">
        <v>101</v>
      </c>
      <c r="L1612" s="174" t="s">
        <v>71</v>
      </c>
      <c r="M1612" s="131" t="s">
        <v>72</v>
      </c>
      <c r="N1612" s="130" t="s">
        <v>73</v>
      </c>
      <c r="O1612" s="219" t="s">
        <v>72</v>
      </c>
      <c r="P1612" s="130" t="s">
        <v>101</v>
      </c>
      <c r="Q1612" s="132" t="s">
        <v>93</v>
      </c>
      <c r="R1612" s="218">
        <v>3.3919999999999999</v>
      </c>
      <c r="S1612" s="129">
        <v>1</v>
      </c>
      <c r="T1612" s="129">
        <v>150</v>
      </c>
      <c r="U1612" s="129">
        <v>150</v>
      </c>
      <c r="V1612" s="129">
        <v>27</v>
      </c>
      <c r="W1612" s="129">
        <v>177</v>
      </c>
      <c r="X1612" s="27">
        <f t="shared" si="193"/>
        <v>508.8</v>
      </c>
    </row>
    <row r="1613" spans="1:24" x14ac:dyDescent="0.2">
      <c r="A1613" s="220">
        <v>43882</v>
      </c>
      <c r="B1613" s="130" t="s">
        <v>68</v>
      </c>
      <c r="C1613" s="130" t="s">
        <v>102</v>
      </c>
      <c r="D1613" s="130" t="s">
        <v>3066</v>
      </c>
      <c r="E1613" s="130" t="s">
        <v>2920</v>
      </c>
      <c r="F1613" s="130" t="s">
        <v>1766</v>
      </c>
      <c r="G1613" s="220">
        <v>43878</v>
      </c>
      <c r="H1613" s="130" t="s">
        <v>90</v>
      </c>
      <c r="I1613" s="130" t="s">
        <v>91</v>
      </c>
      <c r="J1613" s="130" t="s">
        <v>104</v>
      </c>
      <c r="K1613" s="130" t="s">
        <v>105</v>
      </c>
      <c r="L1613" s="174" t="s">
        <v>71</v>
      </c>
      <c r="M1613" s="131" t="s">
        <v>72</v>
      </c>
      <c r="N1613" s="130" t="s">
        <v>73</v>
      </c>
      <c r="O1613" s="219" t="s">
        <v>69</v>
      </c>
      <c r="P1613" s="130" t="s">
        <v>1699</v>
      </c>
      <c r="Q1613" s="132" t="s">
        <v>93</v>
      </c>
      <c r="R1613" s="218">
        <v>3.3919999999999999</v>
      </c>
      <c r="S1613" s="129">
        <v>1</v>
      </c>
      <c r="T1613" s="129">
        <v>0</v>
      </c>
      <c r="U1613" s="129">
        <v>0</v>
      </c>
      <c r="V1613" s="129">
        <v>0</v>
      </c>
      <c r="W1613" s="129">
        <v>0</v>
      </c>
      <c r="X1613" s="27">
        <f t="shared" si="193"/>
        <v>0</v>
      </c>
    </row>
    <row r="1614" spans="1:24" x14ac:dyDescent="0.2">
      <c r="A1614" s="220">
        <v>43882</v>
      </c>
      <c r="B1614" s="130" t="s">
        <v>68</v>
      </c>
      <c r="C1614" s="130" t="s">
        <v>102</v>
      </c>
      <c r="D1614" s="130" t="s">
        <v>3065</v>
      </c>
      <c r="E1614" s="130" t="s">
        <v>2905</v>
      </c>
      <c r="F1614" s="130" t="s">
        <v>2994</v>
      </c>
      <c r="G1614" s="220">
        <v>43871</v>
      </c>
      <c r="H1614" s="130" t="s">
        <v>90</v>
      </c>
      <c r="I1614" s="130" t="s">
        <v>91</v>
      </c>
      <c r="J1614" s="130" t="s">
        <v>97</v>
      </c>
      <c r="K1614" s="130" t="s">
        <v>98</v>
      </c>
      <c r="L1614" s="174" t="s">
        <v>71</v>
      </c>
      <c r="M1614" s="131" t="s">
        <v>72</v>
      </c>
      <c r="N1614" s="130" t="s">
        <v>73</v>
      </c>
      <c r="O1614" s="219" t="s">
        <v>99</v>
      </c>
      <c r="P1614" s="130" t="s">
        <v>98</v>
      </c>
      <c r="Q1614" s="132" t="s">
        <v>93</v>
      </c>
      <c r="R1614" s="218">
        <v>3.3919999999999999</v>
      </c>
      <c r="S1614" s="129">
        <v>1</v>
      </c>
      <c r="T1614" s="129">
        <v>177</v>
      </c>
      <c r="U1614" s="129">
        <v>177</v>
      </c>
      <c r="V1614" s="129">
        <v>31.86</v>
      </c>
      <c r="W1614" s="129">
        <v>208.86</v>
      </c>
      <c r="X1614" s="27">
        <f t="shared" si="193"/>
        <v>600.38400000000001</v>
      </c>
    </row>
    <row r="1615" spans="1:24" x14ac:dyDescent="0.2">
      <c r="A1615" s="220">
        <v>43882</v>
      </c>
      <c r="B1615" s="130" t="s">
        <v>68</v>
      </c>
      <c r="C1615" s="130" t="s">
        <v>102</v>
      </c>
      <c r="D1615" s="130" t="s">
        <v>3065</v>
      </c>
      <c r="E1615" s="130" t="s">
        <v>2905</v>
      </c>
      <c r="F1615" s="130" t="s">
        <v>2994</v>
      </c>
      <c r="G1615" s="220">
        <v>43871</v>
      </c>
      <c r="H1615" s="130" t="s">
        <v>90</v>
      </c>
      <c r="I1615" s="130" t="s">
        <v>91</v>
      </c>
      <c r="J1615" s="130" t="s">
        <v>100</v>
      </c>
      <c r="K1615" s="130" t="s">
        <v>101</v>
      </c>
      <c r="L1615" s="174" t="s">
        <v>71</v>
      </c>
      <c r="M1615" s="131" t="s">
        <v>72</v>
      </c>
      <c r="N1615" s="130" t="s">
        <v>73</v>
      </c>
      <c r="O1615" s="219" t="s">
        <v>72</v>
      </c>
      <c r="P1615" s="130" t="s">
        <v>101</v>
      </c>
      <c r="Q1615" s="132" t="s">
        <v>93</v>
      </c>
      <c r="R1615" s="218">
        <v>3.3919999999999999</v>
      </c>
      <c r="S1615" s="129">
        <v>1</v>
      </c>
      <c r="T1615" s="129">
        <v>180</v>
      </c>
      <c r="U1615" s="129">
        <v>180</v>
      </c>
      <c r="V1615" s="129">
        <v>32.39998999999996</v>
      </c>
      <c r="W1615" s="129">
        <v>212.39998999999997</v>
      </c>
      <c r="X1615" s="27">
        <f t="shared" si="193"/>
        <v>610.55999999999995</v>
      </c>
    </row>
    <row r="1616" spans="1:24" x14ac:dyDescent="0.2">
      <c r="A1616" s="220">
        <v>43882</v>
      </c>
      <c r="B1616" s="130" t="s">
        <v>68</v>
      </c>
      <c r="C1616" s="130" t="s">
        <v>102</v>
      </c>
      <c r="D1616" s="130" t="s">
        <v>3065</v>
      </c>
      <c r="E1616" s="130" t="s">
        <v>2905</v>
      </c>
      <c r="F1616" s="130" t="s">
        <v>2994</v>
      </c>
      <c r="G1616" s="220">
        <v>43871</v>
      </c>
      <c r="H1616" s="130" t="s">
        <v>90</v>
      </c>
      <c r="I1616" s="130" t="s">
        <v>91</v>
      </c>
      <c r="J1616" s="130" t="s">
        <v>92</v>
      </c>
      <c r="K1616" s="130" t="s">
        <v>113</v>
      </c>
      <c r="L1616" s="174" t="s">
        <v>71</v>
      </c>
      <c r="M1616" s="131" t="s">
        <v>72</v>
      </c>
      <c r="N1616" s="130" t="s">
        <v>73</v>
      </c>
      <c r="O1616" s="219" t="s">
        <v>69</v>
      </c>
      <c r="P1616" s="130" t="s">
        <v>1699</v>
      </c>
      <c r="Q1616" s="132" t="s">
        <v>93</v>
      </c>
      <c r="R1616" s="218">
        <v>3.3919999999999999</v>
      </c>
      <c r="S1616" s="129">
        <v>1</v>
      </c>
      <c r="T1616" s="129">
        <v>50</v>
      </c>
      <c r="U1616" s="129">
        <v>50</v>
      </c>
      <c r="V1616" s="129">
        <v>9</v>
      </c>
      <c r="W1616" s="129">
        <v>59</v>
      </c>
      <c r="X1616" s="27">
        <f t="shared" si="193"/>
        <v>169.6</v>
      </c>
    </row>
    <row r="1617" spans="1:24" x14ac:dyDescent="0.2">
      <c r="A1617" s="220">
        <v>43882</v>
      </c>
      <c r="B1617" s="130" t="s">
        <v>68</v>
      </c>
      <c r="C1617" s="130" t="s">
        <v>102</v>
      </c>
      <c r="D1617" s="130" t="s">
        <v>3065</v>
      </c>
      <c r="E1617" s="130" t="s">
        <v>2905</v>
      </c>
      <c r="F1617" s="130" t="s">
        <v>2994</v>
      </c>
      <c r="G1617" s="220">
        <v>43871</v>
      </c>
      <c r="H1617" s="130" t="s">
        <v>90</v>
      </c>
      <c r="I1617" s="130" t="s">
        <v>91</v>
      </c>
      <c r="J1617" s="130" t="s">
        <v>70</v>
      </c>
      <c r="K1617" s="130" t="s">
        <v>112</v>
      </c>
      <c r="L1617" s="174" t="s">
        <v>71</v>
      </c>
      <c r="M1617" s="131" t="s">
        <v>72</v>
      </c>
      <c r="N1617" s="130" t="s">
        <v>73</v>
      </c>
      <c r="O1617" s="219" t="s">
        <v>69</v>
      </c>
      <c r="P1617" s="130" t="s">
        <v>1699</v>
      </c>
      <c r="Q1617" s="132" t="s">
        <v>93</v>
      </c>
      <c r="R1617" s="218">
        <v>3.3919999999999999</v>
      </c>
      <c r="S1617" s="129">
        <v>1</v>
      </c>
      <c r="T1617" s="129">
        <v>30</v>
      </c>
      <c r="U1617" s="129">
        <v>30</v>
      </c>
      <c r="V1617" s="129">
        <v>5.4000019999999997</v>
      </c>
      <c r="W1617" s="129">
        <v>35.400002000000001</v>
      </c>
      <c r="X1617" s="27">
        <f t="shared" si="193"/>
        <v>101.75999999999999</v>
      </c>
    </row>
    <row r="1618" spans="1:24" x14ac:dyDescent="0.2">
      <c r="A1618" s="220">
        <v>43882</v>
      </c>
      <c r="B1618" s="130" t="s">
        <v>68</v>
      </c>
      <c r="C1618" s="130" t="s">
        <v>102</v>
      </c>
      <c r="D1618" s="130" t="s">
        <v>3065</v>
      </c>
      <c r="E1618" s="130" t="s">
        <v>2905</v>
      </c>
      <c r="F1618" s="130" t="s">
        <v>2994</v>
      </c>
      <c r="G1618" s="220">
        <v>43871</v>
      </c>
      <c r="H1618" s="130" t="s">
        <v>90</v>
      </c>
      <c r="I1618" s="130" t="s">
        <v>91</v>
      </c>
      <c r="J1618" s="130" t="s">
        <v>95</v>
      </c>
      <c r="K1618" s="130" t="s">
        <v>96</v>
      </c>
      <c r="L1618" s="174" t="s">
        <v>71</v>
      </c>
      <c r="M1618" s="131" t="s">
        <v>72</v>
      </c>
      <c r="N1618" s="130" t="s">
        <v>73</v>
      </c>
      <c r="O1618" s="219" t="s">
        <v>69</v>
      </c>
      <c r="P1618" s="130" t="s">
        <v>1699</v>
      </c>
      <c r="Q1618" s="132" t="s">
        <v>93</v>
      </c>
      <c r="R1618" s="218">
        <v>3.3919999999999999</v>
      </c>
      <c r="S1618" s="129">
        <v>-1</v>
      </c>
      <c r="T1618" s="129">
        <v>100</v>
      </c>
      <c r="U1618" s="129">
        <v>-100</v>
      </c>
      <c r="V1618" s="129">
        <v>-18</v>
      </c>
      <c r="W1618" s="129">
        <v>-118</v>
      </c>
      <c r="X1618" s="27">
        <f t="shared" si="193"/>
        <v>-339.2</v>
      </c>
    </row>
    <row r="1619" spans="1:24" x14ac:dyDescent="0.2">
      <c r="A1619" s="220">
        <v>43882</v>
      </c>
      <c r="B1619" s="130" t="s">
        <v>68</v>
      </c>
      <c r="C1619" s="130" t="s">
        <v>102</v>
      </c>
      <c r="D1619" s="130" t="s">
        <v>3065</v>
      </c>
      <c r="E1619" s="130" t="s">
        <v>2905</v>
      </c>
      <c r="F1619" s="130" t="s">
        <v>2994</v>
      </c>
      <c r="G1619" s="220">
        <v>43871</v>
      </c>
      <c r="H1619" s="130" t="s">
        <v>90</v>
      </c>
      <c r="I1619" s="130" t="s">
        <v>91</v>
      </c>
      <c r="J1619" s="130" t="s">
        <v>104</v>
      </c>
      <c r="K1619" s="130" t="s">
        <v>105</v>
      </c>
      <c r="L1619" s="174" t="s">
        <v>71</v>
      </c>
      <c r="M1619" s="131" t="s">
        <v>72</v>
      </c>
      <c r="N1619" s="130" t="s">
        <v>73</v>
      </c>
      <c r="O1619" s="219" t="s">
        <v>69</v>
      </c>
      <c r="P1619" s="130" t="s">
        <v>1699</v>
      </c>
      <c r="Q1619" s="132" t="s">
        <v>93</v>
      </c>
      <c r="R1619" s="218">
        <v>3.3919999999999999</v>
      </c>
      <c r="S1619" s="129">
        <v>1</v>
      </c>
      <c r="T1619" s="129">
        <v>0</v>
      </c>
      <c r="U1619" s="129">
        <v>0</v>
      </c>
      <c r="V1619" s="129">
        <v>0</v>
      </c>
      <c r="W1619" s="129">
        <v>0</v>
      </c>
      <c r="X1619" s="27">
        <f t="shared" si="193"/>
        <v>0</v>
      </c>
    </row>
    <row r="1620" spans="1:24" x14ac:dyDescent="0.2">
      <c r="A1620" s="220">
        <v>43883</v>
      </c>
      <c r="B1620" s="130" t="s">
        <v>68</v>
      </c>
      <c r="C1620" s="130" t="s">
        <v>102</v>
      </c>
      <c r="D1620" s="130" t="s">
        <v>3064</v>
      </c>
      <c r="E1620" s="130" t="s">
        <v>2937</v>
      </c>
      <c r="F1620" s="130" t="s">
        <v>3063</v>
      </c>
      <c r="G1620" s="220">
        <v>43876</v>
      </c>
      <c r="H1620" s="130" t="s">
        <v>90</v>
      </c>
      <c r="I1620" s="130" t="s">
        <v>91</v>
      </c>
      <c r="J1620" s="130" t="s">
        <v>70</v>
      </c>
      <c r="K1620" s="130" t="s">
        <v>112</v>
      </c>
      <c r="L1620" s="174" t="s">
        <v>71</v>
      </c>
      <c r="M1620" s="131" t="s">
        <v>72</v>
      </c>
      <c r="N1620" s="130" t="s">
        <v>73</v>
      </c>
      <c r="O1620" s="219" t="s">
        <v>69</v>
      </c>
      <c r="P1620" s="130" t="s">
        <v>1699</v>
      </c>
      <c r="Q1620" s="132" t="s">
        <v>93</v>
      </c>
      <c r="R1620" s="218">
        <v>3.3940001</v>
      </c>
      <c r="S1620" s="129">
        <v>1</v>
      </c>
      <c r="T1620" s="129">
        <v>15</v>
      </c>
      <c r="U1620" s="129">
        <v>15</v>
      </c>
      <c r="V1620" s="129">
        <v>2.7000009999999999</v>
      </c>
      <c r="W1620" s="129">
        <v>17.700001</v>
      </c>
      <c r="X1620" s="27">
        <f t="shared" si="193"/>
        <v>50.9100015</v>
      </c>
    </row>
    <row r="1621" spans="1:24" x14ac:dyDescent="0.2">
      <c r="A1621" s="220">
        <v>43883</v>
      </c>
      <c r="B1621" s="130" t="s">
        <v>68</v>
      </c>
      <c r="C1621" s="130" t="s">
        <v>102</v>
      </c>
      <c r="D1621" s="130" t="s">
        <v>3064</v>
      </c>
      <c r="E1621" s="130" t="s">
        <v>2937</v>
      </c>
      <c r="F1621" s="130" t="s">
        <v>3063</v>
      </c>
      <c r="G1621" s="220">
        <v>43876</v>
      </c>
      <c r="H1621" s="130" t="s">
        <v>90</v>
      </c>
      <c r="I1621" s="130" t="s">
        <v>91</v>
      </c>
      <c r="J1621" s="130" t="s">
        <v>104</v>
      </c>
      <c r="K1621" s="130" t="s">
        <v>105</v>
      </c>
      <c r="L1621" s="174" t="s">
        <v>71</v>
      </c>
      <c r="M1621" s="131" t="s">
        <v>72</v>
      </c>
      <c r="N1621" s="130" t="s">
        <v>73</v>
      </c>
      <c r="O1621" s="219" t="s">
        <v>69</v>
      </c>
      <c r="P1621" s="130" t="s">
        <v>1699</v>
      </c>
      <c r="Q1621" s="132" t="s">
        <v>93</v>
      </c>
      <c r="R1621" s="218">
        <v>3.3940001</v>
      </c>
      <c r="S1621" s="129">
        <v>1</v>
      </c>
      <c r="T1621" s="129">
        <v>0</v>
      </c>
      <c r="U1621" s="129">
        <v>0</v>
      </c>
      <c r="V1621" s="129">
        <v>0</v>
      </c>
      <c r="W1621" s="129">
        <v>0</v>
      </c>
      <c r="X1621" s="27">
        <f t="shared" si="193"/>
        <v>0</v>
      </c>
    </row>
    <row r="1622" spans="1:24" x14ac:dyDescent="0.2">
      <c r="A1622" s="220">
        <v>43883</v>
      </c>
      <c r="B1622" s="130" t="s">
        <v>68</v>
      </c>
      <c r="C1622" s="130" t="s">
        <v>102</v>
      </c>
      <c r="D1622" s="130" t="s">
        <v>3062</v>
      </c>
      <c r="E1622" s="130" t="s">
        <v>3061</v>
      </c>
      <c r="F1622" s="130" t="s">
        <v>1458</v>
      </c>
      <c r="G1622" s="220">
        <v>43881</v>
      </c>
      <c r="H1622" s="130" t="s">
        <v>387</v>
      </c>
      <c r="I1622" s="130" t="s">
        <v>386</v>
      </c>
      <c r="J1622" s="130" t="s">
        <v>92</v>
      </c>
      <c r="K1622" s="130" t="s">
        <v>113</v>
      </c>
      <c r="L1622" s="174" t="s">
        <v>71</v>
      </c>
      <c r="M1622" s="131" t="s">
        <v>72</v>
      </c>
      <c r="N1622" s="130" t="s">
        <v>73</v>
      </c>
      <c r="O1622" s="219" t="s">
        <v>69</v>
      </c>
      <c r="P1622" s="130" t="s">
        <v>1699</v>
      </c>
      <c r="Q1622" s="132" t="s">
        <v>74</v>
      </c>
      <c r="R1622" s="218">
        <v>3.3940001</v>
      </c>
      <c r="S1622" s="129">
        <v>1</v>
      </c>
      <c r="T1622" s="129">
        <v>290</v>
      </c>
      <c r="U1622" s="129">
        <v>290</v>
      </c>
      <c r="V1622" s="129">
        <v>52.200010000000113</v>
      </c>
      <c r="W1622" s="129">
        <v>342.20001000000013</v>
      </c>
      <c r="X1622" s="27">
        <f t="shared" si="193"/>
        <v>290</v>
      </c>
    </row>
    <row r="1623" spans="1:24" x14ac:dyDescent="0.2">
      <c r="A1623" s="220">
        <v>43883</v>
      </c>
      <c r="B1623" s="130" t="s">
        <v>68</v>
      </c>
      <c r="C1623" s="130" t="s">
        <v>102</v>
      </c>
      <c r="D1623" s="130" t="s">
        <v>3060</v>
      </c>
      <c r="E1623" s="130" t="s">
        <v>2885</v>
      </c>
      <c r="F1623" s="130" t="s">
        <v>2991</v>
      </c>
      <c r="G1623" s="220">
        <v>43868</v>
      </c>
      <c r="H1623" s="130" t="s">
        <v>90</v>
      </c>
      <c r="I1623" s="130" t="s">
        <v>91</v>
      </c>
      <c r="J1623" s="130" t="s">
        <v>97</v>
      </c>
      <c r="K1623" s="130" t="s">
        <v>98</v>
      </c>
      <c r="L1623" s="174" t="s">
        <v>71</v>
      </c>
      <c r="M1623" s="131" t="s">
        <v>72</v>
      </c>
      <c r="N1623" s="130" t="s">
        <v>73</v>
      </c>
      <c r="O1623" s="219" t="s">
        <v>99</v>
      </c>
      <c r="P1623" s="130" t="s">
        <v>98</v>
      </c>
      <c r="Q1623" s="132" t="s">
        <v>93</v>
      </c>
      <c r="R1623" s="218">
        <v>3.3940001</v>
      </c>
      <c r="S1623" s="129">
        <v>1</v>
      </c>
      <c r="T1623" s="129">
        <v>177</v>
      </c>
      <c r="U1623" s="129">
        <v>177</v>
      </c>
      <c r="V1623" s="129">
        <v>31.86</v>
      </c>
      <c r="W1623" s="129">
        <v>208.86</v>
      </c>
      <c r="X1623" s="27">
        <f t="shared" si="193"/>
        <v>600.7380177</v>
      </c>
    </row>
    <row r="1624" spans="1:24" x14ac:dyDescent="0.2">
      <c r="A1624" s="220">
        <v>43883</v>
      </c>
      <c r="B1624" s="130" t="s">
        <v>68</v>
      </c>
      <c r="C1624" s="130" t="s">
        <v>102</v>
      </c>
      <c r="D1624" s="130" t="s">
        <v>3060</v>
      </c>
      <c r="E1624" s="130" t="s">
        <v>2885</v>
      </c>
      <c r="F1624" s="130" t="s">
        <v>2991</v>
      </c>
      <c r="G1624" s="220">
        <v>43868</v>
      </c>
      <c r="H1624" s="130" t="s">
        <v>90</v>
      </c>
      <c r="I1624" s="130" t="s">
        <v>91</v>
      </c>
      <c r="J1624" s="130" t="s">
        <v>100</v>
      </c>
      <c r="K1624" s="130" t="s">
        <v>101</v>
      </c>
      <c r="L1624" s="174" t="s">
        <v>71</v>
      </c>
      <c r="M1624" s="131" t="s">
        <v>72</v>
      </c>
      <c r="N1624" s="130" t="s">
        <v>73</v>
      </c>
      <c r="O1624" s="219" t="s">
        <v>72</v>
      </c>
      <c r="P1624" s="130" t="s">
        <v>101</v>
      </c>
      <c r="Q1624" s="132" t="s">
        <v>93</v>
      </c>
      <c r="R1624" s="218">
        <v>3.3940001</v>
      </c>
      <c r="S1624" s="129">
        <v>1</v>
      </c>
      <c r="T1624" s="129">
        <v>180</v>
      </c>
      <c r="U1624" s="129">
        <v>180</v>
      </c>
      <c r="V1624" s="129">
        <v>32.39998999999996</v>
      </c>
      <c r="W1624" s="129">
        <v>212.39998999999997</v>
      </c>
      <c r="X1624" s="27">
        <f t="shared" si="193"/>
        <v>610.92001800000003</v>
      </c>
    </row>
    <row r="1625" spans="1:24" x14ac:dyDescent="0.2">
      <c r="A1625" s="220">
        <v>43883</v>
      </c>
      <c r="B1625" s="130" t="s">
        <v>68</v>
      </c>
      <c r="C1625" s="130" t="s">
        <v>102</v>
      </c>
      <c r="D1625" s="130" t="s">
        <v>3060</v>
      </c>
      <c r="E1625" s="130" t="s">
        <v>2885</v>
      </c>
      <c r="F1625" s="130" t="s">
        <v>2991</v>
      </c>
      <c r="G1625" s="220">
        <v>43868</v>
      </c>
      <c r="H1625" s="130" t="s">
        <v>90</v>
      </c>
      <c r="I1625" s="130" t="s">
        <v>91</v>
      </c>
      <c r="J1625" s="130" t="s">
        <v>92</v>
      </c>
      <c r="K1625" s="130" t="s">
        <v>113</v>
      </c>
      <c r="L1625" s="174" t="s">
        <v>71</v>
      </c>
      <c r="M1625" s="131" t="s">
        <v>72</v>
      </c>
      <c r="N1625" s="130" t="s">
        <v>73</v>
      </c>
      <c r="O1625" s="219" t="s">
        <v>69</v>
      </c>
      <c r="P1625" s="130" t="s">
        <v>1699</v>
      </c>
      <c r="Q1625" s="132" t="s">
        <v>93</v>
      </c>
      <c r="R1625" s="218">
        <v>3.3940001</v>
      </c>
      <c r="S1625" s="129">
        <v>1</v>
      </c>
      <c r="T1625" s="129">
        <v>55</v>
      </c>
      <c r="U1625" s="129">
        <v>55</v>
      </c>
      <c r="V1625" s="129">
        <v>9.9000020000000131</v>
      </c>
      <c r="W1625" s="129">
        <v>64.900002000000015</v>
      </c>
      <c r="X1625" s="27">
        <f t="shared" si="193"/>
        <v>186.6700055</v>
      </c>
    </row>
    <row r="1626" spans="1:24" x14ac:dyDescent="0.2">
      <c r="A1626" s="220">
        <v>43883</v>
      </c>
      <c r="B1626" s="130" t="s">
        <v>68</v>
      </c>
      <c r="C1626" s="130" t="s">
        <v>102</v>
      </c>
      <c r="D1626" s="130" t="s">
        <v>3060</v>
      </c>
      <c r="E1626" s="130" t="s">
        <v>2885</v>
      </c>
      <c r="F1626" s="130" t="s">
        <v>2991</v>
      </c>
      <c r="G1626" s="220">
        <v>43868</v>
      </c>
      <c r="H1626" s="130" t="s">
        <v>90</v>
      </c>
      <c r="I1626" s="130" t="s">
        <v>91</v>
      </c>
      <c r="J1626" s="130" t="s">
        <v>132</v>
      </c>
      <c r="K1626" s="130" t="s">
        <v>3018</v>
      </c>
      <c r="L1626" s="174" t="s">
        <v>71</v>
      </c>
      <c r="M1626" s="131" t="s">
        <v>72</v>
      </c>
      <c r="N1626" s="130" t="s">
        <v>73</v>
      </c>
      <c r="O1626" s="219" t="s">
        <v>69</v>
      </c>
      <c r="P1626" s="130" t="s">
        <v>1699</v>
      </c>
      <c r="Q1626" s="132" t="s">
        <v>93</v>
      </c>
      <c r="R1626" s="218">
        <v>3.3940001</v>
      </c>
      <c r="S1626" s="129">
        <v>1</v>
      </c>
      <c r="T1626" s="129">
        <v>60</v>
      </c>
      <c r="U1626" s="129">
        <v>60</v>
      </c>
      <c r="V1626" s="129">
        <v>10.800002999999997</v>
      </c>
      <c r="W1626" s="129">
        <v>70.800003000000004</v>
      </c>
      <c r="X1626" s="27">
        <f t="shared" si="193"/>
        <v>203.640006</v>
      </c>
    </row>
    <row r="1627" spans="1:24" x14ac:dyDescent="0.2">
      <c r="A1627" s="220">
        <v>43883</v>
      </c>
      <c r="B1627" s="130" t="s">
        <v>68</v>
      </c>
      <c r="C1627" s="130" t="s">
        <v>102</v>
      </c>
      <c r="D1627" s="130" t="s">
        <v>3060</v>
      </c>
      <c r="E1627" s="130" t="s">
        <v>2885</v>
      </c>
      <c r="F1627" s="130" t="s">
        <v>2991</v>
      </c>
      <c r="G1627" s="220">
        <v>43868</v>
      </c>
      <c r="H1627" s="130" t="s">
        <v>90</v>
      </c>
      <c r="I1627" s="130" t="s">
        <v>91</v>
      </c>
      <c r="J1627" s="130" t="s">
        <v>139</v>
      </c>
      <c r="K1627" s="130" t="s">
        <v>133</v>
      </c>
      <c r="L1627" s="174" t="s">
        <v>71</v>
      </c>
      <c r="M1627" s="131" t="s">
        <v>72</v>
      </c>
      <c r="N1627" s="130" t="s">
        <v>73</v>
      </c>
      <c r="O1627" s="219" t="s">
        <v>69</v>
      </c>
      <c r="P1627" s="130" t="s">
        <v>1699</v>
      </c>
      <c r="Q1627" s="132" t="s">
        <v>93</v>
      </c>
      <c r="R1627" s="218">
        <v>3.3940001</v>
      </c>
      <c r="S1627" s="129">
        <v>1</v>
      </c>
      <c r="T1627" s="129">
        <v>0</v>
      </c>
      <c r="U1627" s="129">
        <v>0</v>
      </c>
      <c r="V1627" s="129">
        <v>0</v>
      </c>
      <c r="W1627" s="129">
        <v>0</v>
      </c>
      <c r="X1627" s="27">
        <f t="shared" si="193"/>
        <v>0</v>
      </c>
    </row>
    <row r="1628" spans="1:24" x14ac:dyDescent="0.2">
      <c r="A1628" s="220">
        <v>43883</v>
      </c>
      <c r="B1628" s="130" t="s">
        <v>68</v>
      </c>
      <c r="C1628" s="130" t="s">
        <v>102</v>
      </c>
      <c r="D1628" s="130" t="s">
        <v>3060</v>
      </c>
      <c r="E1628" s="130" t="s">
        <v>2885</v>
      </c>
      <c r="F1628" s="130" t="s">
        <v>2991</v>
      </c>
      <c r="G1628" s="220">
        <v>43868</v>
      </c>
      <c r="H1628" s="130" t="s">
        <v>90</v>
      </c>
      <c r="I1628" s="130" t="s">
        <v>91</v>
      </c>
      <c r="J1628" s="130" t="s">
        <v>95</v>
      </c>
      <c r="K1628" s="130" t="s">
        <v>96</v>
      </c>
      <c r="L1628" s="174" t="s">
        <v>71</v>
      </c>
      <c r="M1628" s="131" t="s">
        <v>72</v>
      </c>
      <c r="N1628" s="130" t="s">
        <v>73</v>
      </c>
      <c r="O1628" s="219" t="s">
        <v>69</v>
      </c>
      <c r="P1628" s="130" t="s">
        <v>1699</v>
      </c>
      <c r="Q1628" s="132" t="s">
        <v>93</v>
      </c>
      <c r="R1628" s="218">
        <v>3.3940001</v>
      </c>
      <c r="S1628" s="129">
        <v>-1</v>
      </c>
      <c r="T1628" s="129">
        <v>105.98309999999998</v>
      </c>
      <c r="U1628" s="129">
        <v>-105.98309999999998</v>
      </c>
      <c r="V1628" s="129">
        <v>-19.076900000000023</v>
      </c>
      <c r="W1628" s="129">
        <v>-125.06</v>
      </c>
      <c r="X1628" s="27">
        <f t="shared" si="193"/>
        <v>-359.70665199830995</v>
      </c>
    </row>
    <row r="1629" spans="1:24" x14ac:dyDescent="0.2">
      <c r="A1629" s="220">
        <v>43883</v>
      </c>
      <c r="B1629" s="130" t="s">
        <v>68</v>
      </c>
      <c r="C1629" s="130" t="s">
        <v>102</v>
      </c>
      <c r="D1629" s="130" t="s">
        <v>3060</v>
      </c>
      <c r="E1629" s="130" t="s">
        <v>2885</v>
      </c>
      <c r="F1629" s="130" t="s">
        <v>2991</v>
      </c>
      <c r="G1629" s="220">
        <v>43868</v>
      </c>
      <c r="H1629" s="130" t="s">
        <v>90</v>
      </c>
      <c r="I1629" s="130" t="s">
        <v>91</v>
      </c>
      <c r="J1629" s="130" t="s">
        <v>104</v>
      </c>
      <c r="K1629" s="130" t="s">
        <v>105</v>
      </c>
      <c r="L1629" s="174" t="s">
        <v>71</v>
      </c>
      <c r="M1629" s="131" t="s">
        <v>72</v>
      </c>
      <c r="N1629" s="130" t="s">
        <v>73</v>
      </c>
      <c r="O1629" s="219" t="s">
        <v>69</v>
      </c>
      <c r="P1629" s="130" t="s">
        <v>1699</v>
      </c>
      <c r="Q1629" s="132" t="s">
        <v>93</v>
      </c>
      <c r="R1629" s="218">
        <v>3.3940001</v>
      </c>
      <c r="S1629" s="129">
        <v>1</v>
      </c>
      <c r="T1629" s="129">
        <v>0</v>
      </c>
      <c r="U1629" s="129">
        <v>0</v>
      </c>
      <c r="V1629" s="129">
        <v>0</v>
      </c>
      <c r="W1629" s="129">
        <v>0</v>
      </c>
      <c r="X1629" s="27">
        <f t="shared" si="193"/>
        <v>0</v>
      </c>
    </row>
    <row r="1630" spans="1:24" x14ac:dyDescent="0.2">
      <c r="A1630" s="220">
        <v>43885</v>
      </c>
      <c r="B1630" s="130" t="s">
        <v>68</v>
      </c>
      <c r="C1630" s="130" t="s">
        <v>102</v>
      </c>
      <c r="D1630" s="130" t="s">
        <v>3059</v>
      </c>
      <c r="E1630" s="130" t="s">
        <v>2903</v>
      </c>
      <c r="F1630" s="130" t="s">
        <v>2987</v>
      </c>
      <c r="G1630" s="220">
        <v>43871</v>
      </c>
      <c r="H1630" s="130" t="s">
        <v>90</v>
      </c>
      <c r="I1630" s="130" t="s">
        <v>91</v>
      </c>
      <c r="J1630" s="130" t="s">
        <v>97</v>
      </c>
      <c r="K1630" s="130" t="s">
        <v>98</v>
      </c>
      <c r="L1630" s="174" t="s">
        <v>71</v>
      </c>
      <c r="M1630" s="131" t="s">
        <v>72</v>
      </c>
      <c r="N1630" s="130" t="s">
        <v>73</v>
      </c>
      <c r="O1630" s="219" t="s">
        <v>99</v>
      </c>
      <c r="P1630" s="130" t="s">
        <v>98</v>
      </c>
      <c r="Q1630" s="132" t="s">
        <v>93</v>
      </c>
      <c r="R1630" s="218">
        <v>3.3940001</v>
      </c>
      <c r="S1630" s="129">
        <v>1</v>
      </c>
      <c r="T1630" s="129">
        <v>398.25421</v>
      </c>
      <c r="U1630" s="129">
        <v>398.25421</v>
      </c>
      <c r="V1630" s="129">
        <v>71.685789999999983</v>
      </c>
      <c r="W1630" s="129">
        <v>469.94</v>
      </c>
      <c r="X1630" s="27">
        <f t="shared" si="193"/>
        <v>1351.674828565421</v>
      </c>
    </row>
    <row r="1631" spans="1:24" x14ac:dyDescent="0.2">
      <c r="A1631" s="220">
        <v>43885</v>
      </c>
      <c r="B1631" s="130" t="s">
        <v>68</v>
      </c>
      <c r="C1631" s="130" t="s">
        <v>102</v>
      </c>
      <c r="D1631" s="130" t="s">
        <v>3059</v>
      </c>
      <c r="E1631" s="130" t="s">
        <v>2903</v>
      </c>
      <c r="F1631" s="130" t="s">
        <v>2987</v>
      </c>
      <c r="G1631" s="220">
        <v>43871</v>
      </c>
      <c r="H1631" s="130" t="s">
        <v>90</v>
      </c>
      <c r="I1631" s="130" t="s">
        <v>91</v>
      </c>
      <c r="J1631" s="130" t="s">
        <v>100</v>
      </c>
      <c r="K1631" s="130" t="s">
        <v>101</v>
      </c>
      <c r="L1631" s="174" t="s">
        <v>71</v>
      </c>
      <c r="M1631" s="131" t="s">
        <v>72</v>
      </c>
      <c r="N1631" s="130" t="s">
        <v>73</v>
      </c>
      <c r="O1631" s="219" t="s">
        <v>72</v>
      </c>
      <c r="P1631" s="130" t="s">
        <v>101</v>
      </c>
      <c r="Q1631" s="132" t="s">
        <v>93</v>
      </c>
      <c r="R1631" s="218">
        <v>3.3940001</v>
      </c>
      <c r="S1631" s="129">
        <v>1</v>
      </c>
      <c r="T1631" s="129">
        <v>390</v>
      </c>
      <c r="U1631" s="129">
        <v>390</v>
      </c>
      <c r="V1631" s="129">
        <v>70.200010000000105</v>
      </c>
      <c r="W1631" s="129">
        <v>460.20001000000013</v>
      </c>
      <c r="X1631" s="27">
        <f t="shared" si="193"/>
        <v>1323.6600390000001</v>
      </c>
    </row>
    <row r="1632" spans="1:24" x14ac:dyDescent="0.2">
      <c r="A1632" s="220">
        <v>43885</v>
      </c>
      <c r="B1632" s="130" t="s">
        <v>68</v>
      </c>
      <c r="C1632" s="130" t="s">
        <v>102</v>
      </c>
      <c r="D1632" s="130" t="s">
        <v>3059</v>
      </c>
      <c r="E1632" s="130" t="s">
        <v>2903</v>
      </c>
      <c r="F1632" s="130" t="s">
        <v>2987</v>
      </c>
      <c r="G1632" s="220">
        <v>43871</v>
      </c>
      <c r="H1632" s="130" t="s">
        <v>90</v>
      </c>
      <c r="I1632" s="130" t="s">
        <v>91</v>
      </c>
      <c r="J1632" s="130" t="s">
        <v>92</v>
      </c>
      <c r="K1632" s="130" t="s">
        <v>113</v>
      </c>
      <c r="L1632" s="174" t="s">
        <v>71</v>
      </c>
      <c r="M1632" s="131" t="s">
        <v>72</v>
      </c>
      <c r="N1632" s="130" t="s">
        <v>73</v>
      </c>
      <c r="O1632" s="219" t="s">
        <v>69</v>
      </c>
      <c r="P1632" s="130" t="s">
        <v>1699</v>
      </c>
      <c r="Q1632" s="132" t="s">
        <v>93</v>
      </c>
      <c r="R1632" s="218">
        <v>3.3940001</v>
      </c>
      <c r="S1632" s="129">
        <v>1</v>
      </c>
      <c r="T1632" s="129">
        <v>195</v>
      </c>
      <c r="U1632" s="129">
        <v>195</v>
      </c>
      <c r="V1632" s="129">
        <v>35.100010000000005</v>
      </c>
      <c r="W1632" s="129">
        <v>230.10001</v>
      </c>
      <c r="X1632" s="27">
        <f t="shared" si="193"/>
        <v>661.83001950000005</v>
      </c>
    </row>
    <row r="1633" spans="1:24" x14ac:dyDescent="0.2">
      <c r="A1633" s="220">
        <v>43885</v>
      </c>
      <c r="B1633" s="130" t="s">
        <v>68</v>
      </c>
      <c r="C1633" s="130" t="s">
        <v>102</v>
      </c>
      <c r="D1633" s="130" t="s">
        <v>3059</v>
      </c>
      <c r="E1633" s="130" t="s">
        <v>2903</v>
      </c>
      <c r="F1633" s="130" t="s">
        <v>2987</v>
      </c>
      <c r="G1633" s="220">
        <v>43871</v>
      </c>
      <c r="H1633" s="130" t="s">
        <v>90</v>
      </c>
      <c r="I1633" s="130" t="s">
        <v>91</v>
      </c>
      <c r="J1633" s="130" t="s">
        <v>70</v>
      </c>
      <c r="K1633" s="130" t="s">
        <v>112</v>
      </c>
      <c r="L1633" s="174" t="s">
        <v>71</v>
      </c>
      <c r="M1633" s="131" t="s">
        <v>72</v>
      </c>
      <c r="N1633" s="130" t="s">
        <v>73</v>
      </c>
      <c r="O1633" s="219" t="s">
        <v>69</v>
      </c>
      <c r="P1633" s="130" t="s">
        <v>1699</v>
      </c>
      <c r="Q1633" s="132" t="s">
        <v>93</v>
      </c>
      <c r="R1633" s="218">
        <v>3.3940001</v>
      </c>
      <c r="S1633" s="129">
        <v>1</v>
      </c>
      <c r="T1633" s="129">
        <v>30</v>
      </c>
      <c r="U1633" s="129">
        <v>30</v>
      </c>
      <c r="V1633" s="129">
        <v>5.4000019999999997</v>
      </c>
      <c r="W1633" s="129">
        <v>35.400002000000001</v>
      </c>
      <c r="X1633" s="27">
        <f t="shared" si="193"/>
        <v>101.820003</v>
      </c>
    </row>
    <row r="1634" spans="1:24" x14ac:dyDescent="0.2">
      <c r="A1634" s="220">
        <v>43885</v>
      </c>
      <c r="B1634" s="130" t="s">
        <v>68</v>
      </c>
      <c r="C1634" s="130" t="s">
        <v>102</v>
      </c>
      <c r="D1634" s="130" t="s">
        <v>3059</v>
      </c>
      <c r="E1634" s="130" t="s">
        <v>2903</v>
      </c>
      <c r="F1634" s="130" t="s">
        <v>2987</v>
      </c>
      <c r="G1634" s="220">
        <v>43871</v>
      </c>
      <c r="H1634" s="130" t="s">
        <v>90</v>
      </c>
      <c r="I1634" s="130" t="s">
        <v>91</v>
      </c>
      <c r="J1634" s="130" t="s">
        <v>95</v>
      </c>
      <c r="K1634" s="130" t="s">
        <v>96</v>
      </c>
      <c r="L1634" s="174" t="s">
        <v>71</v>
      </c>
      <c r="M1634" s="131" t="s">
        <v>72</v>
      </c>
      <c r="N1634" s="130" t="s">
        <v>73</v>
      </c>
      <c r="O1634" s="219" t="s">
        <v>69</v>
      </c>
      <c r="P1634" s="130" t="s">
        <v>1699</v>
      </c>
      <c r="Q1634" s="132" t="s">
        <v>93</v>
      </c>
      <c r="R1634" s="218">
        <v>3.3940001</v>
      </c>
      <c r="S1634" s="129">
        <v>-1</v>
      </c>
      <c r="T1634" s="129">
        <v>218.68639999999999</v>
      </c>
      <c r="U1634" s="129">
        <v>-218.68639999999999</v>
      </c>
      <c r="V1634" s="129">
        <v>-39.363589999999967</v>
      </c>
      <c r="W1634" s="129">
        <v>-258.04998999999998</v>
      </c>
      <c r="X1634" s="27">
        <f t="shared" si="193"/>
        <v>-742.22166346863992</v>
      </c>
    </row>
    <row r="1635" spans="1:24" x14ac:dyDescent="0.2">
      <c r="A1635" s="220">
        <v>43885</v>
      </c>
      <c r="B1635" s="130" t="s">
        <v>68</v>
      </c>
      <c r="C1635" s="130" t="s">
        <v>102</v>
      </c>
      <c r="D1635" s="130" t="s">
        <v>3059</v>
      </c>
      <c r="E1635" s="130" t="s">
        <v>2903</v>
      </c>
      <c r="F1635" s="130" t="s">
        <v>2987</v>
      </c>
      <c r="G1635" s="220">
        <v>43871</v>
      </c>
      <c r="H1635" s="130" t="s">
        <v>90</v>
      </c>
      <c r="I1635" s="130" t="s">
        <v>91</v>
      </c>
      <c r="J1635" s="130" t="s">
        <v>104</v>
      </c>
      <c r="K1635" s="130" t="s">
        <v>105</v>
      </c>
      <c r="L1635" s="174" t="s">
        <v>71</v>
      </c>
      <c r="M1635" s="131" t="s">
        <v>72</v>
      </c>
      <c r="N1635" s="130" t="s">
        <v>73</v>
      </c>
      <c r="O1635" s="219" t="s">
        <v>69</v>
      </c>
      <c r="P1635" s="130" t="s">
        <v>1699</v>
      </c>
      <c r="Q1635" s="132" t="s">
        <v>93</v>
      </c>
      <c r="R1635" s="218">
        <v>3.3940001</v>
      </c>
      <c r="S1635" s="129">
        <v>1</v>
      </c>
      <c r="T1635" s="129">
        <v>0</v>
      </c>
      <c r="U1635" s="129">
        <v>0</v>
      </c>
      <c r="V1635" s="129">
        <v>0</v>
      </c>
      <c r="W1635" s="129">
        <v>0</v>
      </c>
      <c r="X1635" s="27">
        <f t="shared" si="193"/>
        <v>0</v>
      </c>
    </row>
    <row r="1636" spans="1:24" x14ac:dyDescent="0.2">
      <c r="A1636" s="220">
        <v>43885</v>
      </c>
      <c r="B1636" s="130" t="s">
        <v>68</v>
      </c>
      <c r="C1636" s="130" t="s">
        <v>102</v>
      </c>
      <c r="D1636" s="130" t="s">
        <v>2470</v>
      </c>
      <c r="E1636" s="130" t="s">
        <v>2929</v>
      </c>
      <c r="F1636" s="130" t="s">
        <v>2984</v>
      </c>
      <c r="G1636" s="220">
        <v>43878</v>
      </c>
      <c r="H1636" s="130" t="s">
        <v>90</v>
      </c>
      <c r="I1636" s="130" t="s">
        <v>91</v>
      </c>
      <c r="J1636" s="130" t="s">
        <v>97</v>
      </c>
      <c r="K1636" s="130" t="s">
        <v>98</v>
      </c>
      <c r="L1636" s="174" t="s">
        <v>71</v>
      </c>
      <c r="M1636" s="131" t="s">
        <v>72</v>
      </c>
      <c r="N1636" s="130" t="s">
        <v>73</v>
      </c>
      <c r="O1636" s="219" t="s">
        <v>99</v>
      </c>
      <c r="P1636" s="130" t="s">
        <v>98</v>
      </c>
      <c r="Q1636" s="132" t="s">
        <v>93</v>
      </c>
      <c r="R1636" s="218">
        <v>3.3940001</v>
      </c>
      <c r="S1636" s="129">
        <v>1</v>
      </c>
      <c r="T1636" s="129">
        <v>118</v>
      </c>
      <c r="U1636" s="129">
        <v>118</v>
      </c>
      <c r="V1636" s="129">
        <v>21.240010000000019</v>
      </c>
      <c r="W1636" s="129">
        <v>139.24001000000001</v>
      </c>
      <c r="X1636" s="27">
        <f t="shared" si="193"/>
        <v>400.4920118</v>
      </c>
    </row>
    <row r="1637" spans="1:24" x14ac:dyDescent="0.2">
      <c r="A1637" s="220">
        <v>43885</v>
      </c>
      <c r="B1637" s="130" t="s">
        <v>68</v>
      </c>
      <c r="C1637" s="130" t="s">
        <v>102</v>
      </c>
      <c r="D1637" s="130" t="s">
        <v>2470</v>
      </c>
      <c r="E1637" s="130" t="s">
        <v>2929</v>
      </c>
      <c r="F1637" s="130" t="s">
        <v>2984</v>
      </c>
      <c r="G1637" s="220">
        <v>43878</v>
      </c>
      <c r="H1637" s="130" t="s">
        <v>90</v>
      </c>
      <c r="I1637" s="130" t="s">
        <v>91</v>
      </c>
      <c r="J1637" s="130" t="s">
        <v>100</v>
      </c>
      <c r="K1637" s="130" t="s">
        <v>101</v>
      </c>
      <c r="L1637" s="174" t="s">
        <v>71</v>
      </c>
      <c r="M1637" s="131" t="s">
        <v>72</v>
      </c>
      <c r="N1637" s="130" t="s">
        <v>73</v>
      </c>
      <c r="O1637" s="219" t="s">
        <v>72</v>
      </c>
      <c r="P1637" s="130" t="s">
        <v>101</v>
      </c>
      <c r="Q1637" s="132" t="s">
        <v>93</v>
      </c>
      <c r="R1637" s="218">
        <v>3.3940001</v>
      </c>
      <c r="S1637" s="129">
        <v>1</v>
      </c>
      <c r="T1637" s="129">
        <v>195</v>
      </c>
      <c r="U1637" s="129">
        <v>195</v>
      </c>
      <c r="V1637" s="129">
        <v>35.100010000000005</v>
      </c>
      <c r="W1637" s="129">
        <v>230.10001</v>
      </c>
      <c r="X1637" s="27">
        <f t="shared" si="193"/>
        <v>661.83001950000005</v>
      </c>
    </row>
    <row r="1638" spans="1:24" x14ac:dyDescent="0.2">
      <c r="A1638" s="220">
        <v>43885</v>
      </c>
      <c r="B1638" s="130" t="s">
        <v>68</v>
      </c>
      <c r="C1638" s="130" t="s">
        <v>102</v>
      </c>
      <c r="D1638" s="130" t="s">
        <v>2470</v>
      </c>
      <c r="E1638" s="130" t="s">
        <v>2929</v>
      </c>
      <c r="F1638" s="130" t="s">
        <v>2984</v>
      </c>
      <c r="G1638" s="220">
        <v>43878</v>
      </c>
      <c r="H1638" s="130" t="s">
        <v>90</v>
      </c>
      <c r="I1638" s="130" t="s">
        <v>91</v>
      </c>
      <c r="J1638" s="130" t="s">
        <v>95</v>
      </c>
      <c r="K1638" s="130" t="s">
        <v>96</v>
      </c>
      <c r="L1638" s="174" t="s">
        <v>71</v>
      </c>
      <c r="M1638" s="131" t="s">
        <v>72</v>
      </c>
      <c r="N1638" s="130" t="s">
        <v>73</v>
      </c>
      <c r="O1638" s="219" t="s">
        <v>69</v>
      </c>
      <c r="P1638" s="130" t="s">
        <v>1699</v>
      </c>
      <c r="Q1638" s="132" t="s">
        <v>93</v>
      </c>
      <c r="R1638" s="218">
        <v>3.3940001</v>
      </c>
      <c r="S1638" s="129">
        <v>-1</v>
      </c>
      <c r="T1638" s="129">
        <v>100</v>
      </c>
      <c r="U1638" s="129">
        <v>-100</v>
      </c>
      <c r="V1638" s="129">
        <v>-18</v>
      </c>
      <c r="W1638" s="129">
        <v>-118</v>
      </c>
      <c r="X1638" s="27">
        <f t="shared" si="193"/>
        <v>-339.40001000000001</v>
      </c>
    </row>
    <row r="1639" spans="1:24" x14ac:dyDescent="0.2">
      <c r="A1639" s="220">
        <v>43886</v>
      </c>
      <c r="B1639" s="130" t="s">
        <v>68</v>
      </c>
      <c r="C1639" s="130" t="s">
        <v>102</v>
      </c>
      <c r="D1639" s="130" t="s">
        <v>3058</v>
      </c>
      <c r="E1639" s="130" t="s">
        <v>2981</v>
      </c>
      <c r="F1639" s="130" t="s">
        <v>2980</v>
      </c>
      <c r="G1639" s="220">
        <v>43874</v>
      </c>
      <c r="H1639" s="130" t="s">
        <v>90</v>
      </c>
      <c r="I1639" s="130" t="s">
        <v>91</v>
      </c>
      <c r="J1639" s="130" t="s">
        <v>97</v>
      </c>
      <c r="K1639" s="130" t="s">
        <v>98</v>
      </c>
      <c r="L1639" s="174" t="s">
        <v>71</v>
      </c>
      <c r="M1639" s="131" t="s">
        <v>72</v>
      </c>
      <c r="N1639" s="130" t="s">
        <v>73</v>
      </c>
      <c r="O1639" s="219" t="s">
        <v>99</v>
      </c>
      <c r="P1639" s="130" t="s">
        <v>98</v>
      </c>
      <c r="Q1639" s="132" t="s">
        <v>93</v>
      </c>
      <c r="R1639" s="218">
        <v>3.4039999999999999</v>
      </c>
      <c r="S1639" s="129">
        <v>1</v>
      </c>
      <c r="T1639" s="129">
        <v>236</v>
      </c>
      <c r="U1639" s="129">
        <v>236</v>
      </c>
      <c r="V1639" s="129">
        <v>42.48001</v>
      </c>
      <c r="W1639" s="129">
        <v>278.48000999999999</v>
      </c>
      <c r="X1639" s="27">
        <f t="shared" si="193"/>
        <v>803.34399999999994</v>
      </c>
    </row>
    <row r="1640" spans="1:24" x14ac:dyDescent="0.2">
      <c r="A1640" s="220">
        <v>43886</v>
      </c>
      <c r="B1640" s="130" t="s">
        <v>68</v>
      </c>
      <c r="C1640" s="130" t="s">
        <v>102</v>
      </c>
      <c r="D1640" s="130" t="s">
        <v>3058</v>
      </c>
      <c r="E1640" s="130" t="s">
        <v>2981</v>
      </c>
      <c r="F1640" s="130" t="s">
        <v>2980</v>
      </c>
      <c r="G1640" s="220">
        <v>43874</v>
      </c>
      <c r="H1640" s="130" t="s">
        <v>90</v>
      </c>
      <c r="I1640" s="130" t="s">
        <v>91</v>
      </c>
      <c r="J1640" s="130" t="s">
        <v>100</v>
      </c>
      <c r="K1640" s="130" t="s">
        <v>101</v>
      </c>
      <c r="L1640" s="174" t="s">
        <v>71</v>
      </c>
      <c r="M1640" s="131" t="s">
        <v>72</v>
      </c>
      <c r="N1640" s="130" t="s">
        <v>73</v>
      </c>
      <c r="O1640" s="219" t="s">
        <v>72</v>
      </c>
      <c r="P1640" s="130" t="s">
        <v>101</v>
      </c>
      <c r="Q1640" s="132" t="s">
        <v>93</v>
      </c>
      <c r="R1640" s="218">
        <v>3.4039999999999999</v>
      </c>
      <c r="S1640" s="129">
        <v>1</v>
      </c>
      <c r="T1640" s="129">
        <v>150</v>
      </c>
      <c r="U1640" s="129">
        <v>150</v>
      </c>
      <c r="V1640" s="129">
        <v>27</v>
      </c>
      <c r="W1640" s="129">
        <v>177</v>
      </c>
      <c r="X1640" s="27">
        <f t="shared" si="193"/>
        <v>510.59999999999997</v>
      </c>
    </row>
    <row r="1641" spans="1:24" x14ac:dyDescent="0.2">
      <c r="A1641" s="220">
        <v>43886</v>
      </c>
      <c r="B1641" s="130" t="s">
        <v>68</v>
      </c>
      <c r="C1641" s="130" t="s">
        <v>102</v>
      </c>
      <c r="D1641" s="130" t="s">
        <v>3058</v>
      </c>
      <c r="E1641" s="130" t="s">
        <v>2981</v>
      </c>
      <c r="F1641" s="130" t="s">
        <v>2980</v>
      </c>
      <c r="G1641" s="220">
        <v>43874</v>
      </c>
      <c r="H1641" s="130" t="s">
        <v>90</v>
      </c>
      <c r="I1641" s="130" t="s">
        <v>91</v>
      </c>
      <c r="J1641" s="130" t="s">
        <v>92</v>
      </c>
      <c r="K1641" s="130" t="s">
        <v>113</v>
      </c>
      <c r="L1641" s="174" t="s">
        <v>71</v>
      </c>
      <c r="M1641" s="131" t="s">
        <v>72</v>
      </c>
      <c r="N1641" s="130" t="s">
        <v>73</v>
      </c>
      <c r="O1641" s="219" t="s">
        <v>69</v>
      </c>
      <c r="P1641" s="130" t="s">
        <v>1699</v>
      </c>
      <c r="Q1641" s="132" t="s">
        <v>93</v>
      </c>
      <c r="R1641" s="218">
        <v>3.4039999999999999</v>
      </c>
      <c r="S1641" s="129">
        <v>1</v>
      </c>
      <c r="T1641" s="129">
        <v>55</v>
      </c>
      <c r="U1641" s="129">
        <v>55</v>
      </c>
      <c r="V1641" s="129">
        <v>9.9000020000000131</v>
      </c>
      <c r="W1641" s="129">
        <v>64.900002000000015</v>
      </c>
      <c r="X1641" s="27">
        <f t="shared" si="193"/>
        <v>187.22</v>
      </c>
    </row>
    <row r="1642" spans="1:24" x14ac:dyDescent="0.2">
      <c r="A1642" s="220">
        <v>43886</v>
      </c>
      <c r="B1642" s="130" t="s">
        <v>68</v>
      </c>
      <c r="C1642" s="130" t="s">
        <v>102</v>
      </c>
      <c r="D1642" s="130" t="s">
        <v>3058</v>
      </c>
      <c r="E1642" s="130" t="s">
        <v>2981</v>
      </c>
      <c r="F1642" s="130" t="s">
        <v>2980</v>
      </c>
      <c r="G1642" s="220">
        <v>43874</v>
      </c>
      <c r="H1642" s="130" t="s">
        <v>90</v>
      </c>
      <c r="I1642" s="130" t="s">
        <v>91</v>
      </c>
      <c r="J1642" s="130" t="s">
        <v>95</v>
      </c>
      <c r="K1642" s="130" t="s">
        <v>96</v>
      </c>
      <c r="L1642" s="174" t="s">
        <v>71</v>
      </c>
      <c r="M1642" s="131" t="s">
        <v>72</v>
      </c>
      <c r="N1642" s="130" t="s">
        <v>73</v>
      </c>
      <c r="O1642" s="219" t="s">
        <v>69</v>
      </c>
      <c r="P1642" s="130" t="s">
        <v>1699</v>
      </c>
      <c r="Q1642" s="132" t="s">
        <v>93</v>
      </c>
      <c r="R1642" s="218">
        <v>3.4039999999999999</v>
      </c>
      <c r="S1642" s="129">
        <v>-1</v>
      </c>
      <c r="T1642" s="129">
        <v>100</v>
      </c>
      <c r="U1642" s="129">
        <v>-100</v>
      </c>
      <c r="V1642" s="129">
        <v>-18</v>
      </c>
      <c r="W1642" s="129">
        <v>-118</v>
      </c>
      <c r="X1642" s="27">
        <f t="shared" si="193"/>
        <v>-340.4</v>
      </c>
    </row>
    <row r="1643" spans="1:24" x14ac:dyDescent="0.2">
      <c r="A1643" s="220">
        <v>43886</v>
      </c>
      <c r="B1643" s="130" t="s">
        <v>68</v>
      </c>
      <c r="C1643" s="130" t="s">
        <v>102</v>
      </c>
      <c r="D1643" s="130" t="s">
        <v>3057</v>
      </c>
      <c r="E1643" s="130" t="s">
        <v>2916</v>
      </c>
      <c r="F1643" s="130" t="s">
        <v>2977</v>
      </c>
      <c r="G1643" s="220">
        <v>43875</v>
      </c>
      <c r="H1643" s="130" t="s">
        <v>90</v>
      </c>
      <c r="I1643" s="130" t="s">
        <v>91</v>
      </c>
      <c r="J1643" s="130" t="s">
        <v>97</v>
      </c>
      <c r="K1643" s="130" t="s">
        <v>98</v>
      </c>
      <c r="L1643" s="174" t="s">
        <v>71</v>
      </c>
      <c r="M1643" s="131" t="s">
        <v>72</v>
      </c>
      <c r="N1643" s="130" t="s">
        <v>73</v>
      </c>
      <c r="O1643" s="219" t="s">
        <v>99</v>
      </c>
      <c r="P1643" s="130" t="s">
        <v>98</v>
      </c>
      <c r="Q1643" s="132" t="s">
        <v>93</v>
      </c>
      <c r="R1643" s="218">
        <v>3.4039999999999999</v>
      </c>
      <c r="S1643" s="129">
        <v>1</v>
      </c>
      <c r="T1643" s="129">
        <v>206.5</v>
      </c>
      <c r="U1643" s="129">
        <v>206.5</v>
      </c>
      <c r="V1643" s="129">
        <v>37.17</v>
      </c>
      <c r="W1643" s="129">
        <v>243.67</v>
      </c>
      <c r="X1643" s="27">
        <f t="shared" si="193"/>
        <v>702.92599999999993</v>
      </c>
    </row>
    <row r="1644" spans="1:24" x14ac:dyDescent="0.2">
      <c r="A1644" s="220">
        <v>43886</v>
      </c>
      <c r="B1644" s="130" t="s">
        <v>68</v>
      </c>
      <c r="C1644" s="130" t="s">
        <v>102</v>
      </c>
      <c r="D1644" s="130" t="s">
        <v>3057</v>
      </c>
      <c r="E1644" s="130" t="s">
        <v>2916</v>
      </c>
      <c r="F1644" s="130" t="s">
        <v>2977</v>
      </c>
      <c r="G1644" s="220">
        <v>43875</v>
      </c>
      <c r="H1644" s="130" t="s">
        <v>90</v>
      </c>
      <c r="I1644" s="130" t="s">
        <v>91</v>
      </c>
      <c r="J1644" s="130" t="s">
        <v>100</v>
      </c>
      <c r="K1644" s="130" t="s">
        <v>101</v>
      </c>
      <c r="L1644" s="174" t="s">
        <v>71</v>
      </c>
      <c r="M1644" s="131" t="s">
        <v>72</v>
      </c>
      <c r="N1644" s="130" t="s">
        <v>73</v>
      </c>
      <c r="O1644" s="219" t="s">
        <v>72</v>
      </c>
      <c r="P1644" s="130" t="s">
        <v>101</v>
      </c>
      <c r="Q1644" s="132" t="s">
        <v>93</v>
      </c>
      <c r="R1644" s="218">
        <v>3.4039999999999999</v>
      </c>
      <c r="S1644" s="129">
        <v>1</v>
      </c>
      <c r="T1644" s="129">
        <v>300</v>
      </c>
      <c r="U1644" s="129">
        <v>300</v>
      </c>
      <c r="V1644" s="129">
        <v>54</v>
      </c>
      <c r="W1644" s="129">
        <v>354</v>
      </c>
      <c r="X1644" s="27">
        <f t="shared" si="193"/>
        <v>1021.1999999999999</v>
      </c>
    </row>
    <row r="1645" spans="1:24" x14ac:dyDescent="0.2">
      <c r="A1645" s="220">
        <v>43886</v>
      </c>
      <c r="B1645" s="130" t="s">
        <v>68</v>
      </c>
      <c r="C1645" s="130" t="s">
        <v>102</v>
      </c>
      <c r="D1645" s="130" t="s">
        <v>3057</v>
      </c>
      <c r="E1645" s="130" t="s">
        <v>2916</v>
      </c>
      <c r="F1645" s="130" t="s">
        <v>2977</v>
      </c>
      <c r="G1645" s="220">
        <v>43875</v>
      </c>
      <c r="H1645" s="130" t="s">
        <v>90</v>
      </c>
      <c r="I1645" s="130" t="s">
        <v>91</v>
      </c>
      <c r="J1645" s="130" t="s">
        <v>92</v>
      </c>
      <c r="K1645" s="130" t="s">
        <v>113</v>
      </c>
      <c r="L1645" s="174" t="s">
        <v>71</v>
      </c>
      <c r="M1645" s="131" t="s">
        <v>72</v>
      </c>
      <c r="N1645" s="130" t="s">
        <v>73</v>
      </c>
      <c r="O1645" s="219" t="s">
        <v>69</v>
      </c>
      <c r="P1645" s="130" t="s">
        <v>1699</v>
      </c>
      <c r="Q1645" s="132" t="s">
        <v>93</v>
      </c>
      <c r="R1645" s="218">
        <v>3.4039999999999999</v>
      </c>
      <c r="S1645" s="129">
        <v>1</v>
      </c>
      <c r="T1645" s="129">
        <v>55</v>
      </c>
      <c r="U1645" s="129">
        <v>55</v>
      </c>
      <c r="V1645" s="129">
        <v>9.9000020000000131</v>
      </c>
      <c r="W1645" s="129">
        <v>64.900002000000015</v>
      </c>
      <c r="X1645" s="27">
        <f t="shared" si="193"/>
        <v>187.22</v>
      </c>
    </row>
    <row r="1646" spans="1:24" x14ac:dyDescent="0.2">
      <c r="A1646" s="220">
        <v>43886</v>
      </c>
      <c r="B1646" s="130" t="s">
        <v>68</v>
      </c>
      <c r="C1646" s="130" t="s">
        <v>102</v>
      </c>
      <c r="D1646" s="130" t="s">
        <v>3057</v>
      </c>
      <c r="E1646" s="130" t="s">
        <v>2916</v>
      </c>
      <c r="F1646" s="130" t="s">
        <v>2977</v>
      </c>
      <c r="G1646" s="220">
        <v>43875</v>
      </c>
      <c r="H1646" s="130" t="s">
        <v>90</v>
      </c>
      <c r="I1646" s="130" t="s">
        <v>91</v>
      </c>
      <c r="J1646" s="130" t="s">
        <v>95</v>
      </c>
      <c r="K1646" s="130" t="s">
        <v>96</v>
      </c>
      <c r="L1646" s="174" t="s">
        <v>71</v>
      </c>
      <c r="M1646" s="131" t="s">
        <v>72</v>
      </c>
      <c r="N1646" s="130" t="s">
        <v>73</v>
      </c>
      <c r="O1646" s="219" t="s">
        <v>69</v>
      </c>
      <c r="P1646" s="130" t="s">
        <v>1699</v>
      </c>
      <c r="Q1646" s="132" t="s">
        <v>93</v>
      </c>
      <c r="R1646" s="218">
        <v>3.4039999999999999</v>
      </c>
      <c r="S1646" s="129">
        <v>-1</v>
      </c>
      <c r="T1646" s="129">
        <v>100</v>
      </c>
      <c r="U1646" s="129">
        <v>-100</v>
      </c>
      <c r="V1646" s="129">
        <v>-18</v>
      </c>
      <c r="W1646" s="129">
        <v>-118</v>
      </c>
      <c r="X1646" s="27">
        <f t="shared" si="193"/>
        <v>-340.4</v>
      </c>
    </row>
    <row r="1647" spans="1:24" x14ac:dyDescent="0.2">
      <c r="A1647" s="220">
        <v>43886</v>
      </c>
      <c r="B1647" s="130" t="s">
        <v>68</v>
      </c>
      <c r="C1647" s="130" t="s">
        <v>102</v>
      </c>
      <c r="D1647" s="130" t="s">
        <v>3057</v>
      </c>
      <c r="E1647" s="130" t="s">
        <v>2916</v>
      </c>
      <c r="F1647" s="130" t="s">
        <v>2977</v>
      </c>
      <c r="G1647" s="220">
        <v>43875</v>
      </c>
      <c r="H1647" s="130" t="s">
        <v>90</v>
      </c>
      <c r="I1647" s="130" t="s">
        <v>91</v>
      </c>
      <c r="J1647" s="130" t="s">
        <v>104</v>
      </c>
      <c r="K1647" s="130" t="s">
        <v>105</v>
      </c>
      <c r="L1647" s="174" t="s">
        <v>71</v>
      </c>
      <c r="M1647" s="131" t="s">
        <v>72</v>
      </c>
      <c r="N1647" s="130" t="s">
        <v>73</v>
      </c>
      <c r="O1647" s="219" t="s">
        <v>69</v>
      </c>
      <c r="P1647" s="130" t="s">
        <v>1699</v>
      </c>
      <c r="Q1647" s="132" t="s">
        <v>93</v>
      </c>
      <c r="R1647" s="218">
        <v>3.4039999999999999</v>
      </c>
      <c r="S1647" s="129">
        <v>1</v>
      </c>
      <c r="T1647" s="129">
        <v>0</v>
      </c>
      <c r="U1647" s="129">
        <v>0</v>
      </c>
      <c r="V1647" s="129">
        <v>0</v>
      </c>
      <c r="W1647" s="129">
        <v>0</v>
      </c>
      <c r="X1647" s="27">
        <f t="shared" si="193"/>
        <v>0</v>
      </c>
    </row>
    <row r="1648" spans="1:24" x14ac:dyDescent="0.2">
      <c r="A1648" s="220">
        <v>43887</v>
      </c>
      <c r="B1648" s="130" t="s">
        <v>68</v>
      </c>
      <c r="C1648" s="130" t="s">
        <v>102</v>
      </c>
      <c r="D1648" s="130" t="s">
        <v>3056</v>
      </c>
      <c r="E1648" s="130" t="s">
        <v>2912</v>
      </c>
      <c r="F1648" s="130" t="s">
        <v>3055</v>
      </c>
      <c r="G1648" s="220">
        <v>43846</v>
      </c>
      <c r="H1648" s="130" t="s">
        <v>90</v>
      </c>
      <c r="I1648" s="130" t="s">
        <v>91</v>
      </c>
      <c r="J1648" s="130" t="s">
        <v>97</v>
      </c>
      <c r="K1648" s="130" t="s">
        <v>98</v>
      </c>
      <c r="L1648" s="174" t="s">
        <v>71</v>
      </c>
      <c r="M1648" s="131" t="s">
        <v>72</v>
      </c>
      <c r="N1648" s="130" t="s">
        <v>73</v>
      </c>
      <c r="O1648" s="219" t="s">
        <v>99</v>
      </c>
      <c r="P1648" s="130" t="s">
        <v>98</v>
      </c>
      <c r="Q1648" s="132" t="s">
        <v>93</v>
      </c>
      <c r="R1648" s="218">
        <v>3.4049999999999998</v>
      </c>
      <c r="S1648" s="129">
        <v>1</v>
      </c>
      <c r="T1648" s="129">
        <v>206.5</v>
      </c>
      <c r="U1648" s="129">
        <v>206.5</v>
      </c>
      <c r="V1648" s="129">
        <v>37.17</v>
      </c>
      <c r="W1648" s="129">
        <v>243.67</v>
      </c>
      <c r="X1648" s="27">
        <f t="shared" si="193"/>
        <v>703.13249999999994</v>
      </c>
    </row>
    <row r="1649" spans="1:24" x14ac:dyDescent="0.2">
      <c r="A1649" s="220">
        <v>43887</v>
      </c>
      <c r="B1649" s="130" t="s">
        <v>68</v>
      </c>
      <c r="C1649" s="130" t="s">
        <v>102</v>
      </c>
      <c r="D1649" s="130" t="s">
        <v>3056</v>
      </c>
      <c r="E1649" s="130" t="s">
        <v>2912</v>
      </c>
      <c r="F1649" s="130" t="s">
        <v>3055</v>
      </c>
      <c r="G1649" s="220">
        <v>43846</v>
      </c>
      <c r="H1649" s="130" t="s">
        <v>90</v>
      </c>
      <c r="I1649" s="130" t="s">
        <v>91</v>
      </c>
      <c r="J1649" s="130" t="s">
        <v>100</v>
      </c>
      <c r="K1649" s="130" t="s">
        <v>101</v>
      </c>
      <c r="L1649" s="174" t="s">
        <v>71</v>
      </c>
      <c r="M1649" s="131" t="s">
        <v>72</v>
      </c>
      <c r="N1649" s="130" t="s">
        <v>73</v>
      </c>
      <c r="O1649" s="219" t="s">
        <v>72</v>
      </c>
      <c r="P1649" s="130" t="s">
        <v>101</v>
      </c>
      <c r="Q1649" s="132" t="s">
        <v>93</v>
      </c>
      <c r="R1649" s="218">
        <v>3.4049999999999998</v>
      </c>
      <c r="S1649" s="129">
        <v>1</v>
      </c>
      <c r="T1649" s="129">
        <v>247.5</v>
      </c>
      <c r="U1649" s="129">
        <v>247.5</v>
      </c>
      <c r="V1649" s="129">
        <v>44.549989999999958</v>
      </c>
      <c r="W1649" s="129">
        <v>292.04998999999998</v>
      </c>
      <c r="X1649" s="27">
        <f t="shared" si="193"/>
        <v>842.73749999999995</v>
      </c>
    </row>
    <row r="1650" spans="1:24" x14ac:dyDescent="0.2">
      <c r="A1650" s="220">
        <v>43887</v>
      </c>
      <c r="B1650" s="130" t="s">
        <v>68</v>
      </c>
      <c r="C1650" s="130" t="s">
        <v>102</v>
      </c>
      <c r="D1650" s="130" t="s">
        <v>3056</v>
      </c>
      <c r="E1650" s="130" t="s">
        <v>2912</v>
      </c>
      <c r="F1650" s="130" t="s">
        <v>3055</v>
      </c>
      <c r="G1650" s="220">
        <v>43846</v>
      </c>
      <c r="H1650" s="130" t="s">
        <v>90</v>
      </c>
      <c r="I1650" s="130" t="s">
        <v>91</v>
      </c>
      <c r="J1650" s="130" t="s">
        <v>92</v>
      </c>
      <c r="K1650" s="130" t="s">
        <v>113</v>
      </c>
      <c r="L1650" s="174" t="s">
        <v>71</v>
      </c>
      <c r="M1650" s="131" t="s">
        <v>72</v>
      </c>
      <c r="N1650" s="130" t="s">
        <v>73</v>
      </c>
      <c r="O1650" s="219" t="s">
        <v>69</v>
      </c>
      <c r="P1650" s="130" t="s">
        <v>1699</v>
      </c>
      <c r="Q1650" s="132" t="s">
        <v>93</v>
      </c>
      <c r="R1650" s="218">
        <v>3.4049999999999998</v>
      </c>
      <c r="S1650" s="129">
        <v>1</v>
      </c>
      <c r="T1650" s="129">
        <v>30</v>
      </c>
      <c r="U1650" s="129">
        <v>30</v>
      </c>
      <c r="V1650" s="129">
        <v>5.4000019999999997</v>
      </c>
      <c r="W1650" s="129">
        <v>35.400002000000001</v>
      </c>
      <c r="X1650" s="27">
        <f t="shared" si="193"/>
        <v>102.14999999999999</v>
      </c>
    </row>
    <row r="1651" spans="1:24" x14ac:dyDescent="0.2">
      <c r="A1651" s="220">
        <v>43887</v>
      </c>
      <c r="B1651" s="130" t="s">
        <v>68</v>
      </c>
      <c r="C1651" s="130" t="s">
        <v>102</v>
      </c>
      <c r="D1651" s="130" t="s">
        <v>3056</v>
      </c>
      <c r="E1651" s="130" t="s">
        <v>2912</v>
      </c>
      <c r="F1651" s="130" t="s">
        <v>3055</v>
      </c>
      <c r="G1651" s="220">
        <v>43846</v>
      </c>
      <c r="H1651" s="130" t="s">
        <v>90</v>
      </c>
      <c r="I1651" s="130" t="s">
        <v>91</v>
      </c>
      <c r="J1651" s="130" t="s">
        <v>104</v>
      </c>
      <c r="K1651" s="130" t="s">
        <v>105</v>
      </c>
      <c r="L1651" s="174" t="s">
        <v>71</v>
      </c>
      <c r="M1651" s="131" t="s">
        <v>72</v>
      </c>
      <c r="N1651" s="130" t="s">
        <v>73</v>
      </c>
      <c r="O1651" s="219" t="s">
        <v>69</v>
      </c>
      <c r="P1651" s="130" t="s">
        <v>1699</v>
      </c>
      <c r="Q1651" s="132" t="s">
        <v>93</v>
      </c>
      <c r="R1651" s="218">
        <v>3.4049999999999998</v>
      </c>
      <c r="S1651" s="129">
        <v>1</v>
      </c>
      <c r="T1651" s="129">
        <v>0</v>
      </c>
      <c r="U1651" s="129">
        <v>0</v>
      </c>
      <c r="V1651" s="129">
        <v>0</v>
      </c>
      <c r="W1651" s="129">
        <v>0</v>
      </c>
      <c r="X1651" s="27">
        <f t="shared" si="193"/>
        <v>0</v>
      </c>
    </row>
    <row r="1652" spans="1:24" x14ac:dyDescent="0.2">
      <c r="A1652" s="220">
        <v>43887</v>
      </c>
      <c r="B1652" s="130" t="s">
        <v>68</v>
      </c>
      <c r="C1652" s="130" t="s">
        <v>102</v>
      </c>
      <c r="D1652" s="130" t="s">
        <v>3054</v>
      </c>
      <c r="E1652" s="130" t="s">
        <v>2649</v>
      </c>
      <c r="F1652" s="130" t="s">
        <v>2971</v>
      </c>
      <c r="G1652" s="220">
        <v>43791</v>
      </c>
      <c r="H1652" s="130" t="s">
        <v>90</v>
      </c>
      <c r="I1652" s="130" t="s">
        <v>91</v>
      </c>
      <c r="J1652" s="130" t="s">
        <v>97</v>
      </c>
      <c r="K1652" s="130" t="s">
        <v>98</v>
      </c>
      <c r="L1652" s="174" t="s">
        <v>71</v>
      </c>
      <c r="M1652" s="131" t="s">
        <v>72</v>
      </c>
      <c r="N1652" s="130" t="s">
        <v>73</v>
      </c>
      <c r="O1652" s="219" t="s">
        <v>99</v>
      </c>
      <c r="P1652" s="130" t="s">
        <v>98</v>
      </c>
      <c r="Q1652" s="132" t="s">
        <v>93</v>
      </c>
      <c r="R1652" s="218">
        <v>3.4049999999999998</v>
      </c>
      <c r="S1652" s="129">
        <v>1</v>
      </c>
      <c r="T1652" s="129">
        <v>413</v>
      </c>
      <c r="U1652" s="129">
        <v>413</v>
      </c>
      <c r="V1652" s="129">
        <v>74.34</v>
      </c>
      <c r="W1652" s="129">
        <v>487.34</v>
      </c>
      <c r="X1652" s="27">
        <f t="shared" si="193"/>
        <v>1406.2649999999999</v>
      </c>
    </row>
    <row r="1653" spans="1:24" x14ac:dyDescent="0.2">
      <c r="A1653" s="220">
        <v>43887</v>
      </c>
      <c r="B1653" s="130" t="s">
        <v>68</v>
      </c>
      <c r="C1653" s="130" t="s">
        <v>102</v>
      </c>
      <c r="D1653" s="130" t="s">
        <v>3054</v>
      </c>
      <c r="E1653" s="130" t="s">
        <v>2649</v>
      </c>
      <c r="F1653" s="130" t="s">
        <v>2971</v>
      </c>
      <c r="G1653" s="220">
        <v>43791</v>
      </c>
      <c r="H1653" s="130" t="s">
        <v>90</v>
      </c>
      <c r="I1653" s="130" t="s">
        <v>91</v>
      </c>
      <c r="J1653" s="130" t="s">
        <v>100</v>
      </c>
      <c r="K1653" s="130" t="s">
        <v>101</v>
      </c>
      <c r="L1653" s="174" t="s">
        <v>71</v>
      </c>
      <c r="M1653" s="131" t="s">
        <v>72</v>
      </c>
      <c r="N1653" s="130" t="s">
        <v>73</v>
      </c>
      <c r="O1653" s="219" t="s">
        <v>72</v>
      </c>
      <c r="P1653" s="130" t="s">
        <v>101</v>
      </c>
      <c r="Q1653" s="132" t="s">
        <v>93</v>
      </c>
      <c r="R1653" s="218">
        <v>3.4049999999999998</v>
      </c>
      <c r="S1653" s="129">
        <v>1</v>
      </c>
      <c r="T1653" s="129">
        <v>450</v>
      </c>
      <c r="U1653" s="129">
        <v>450</v>
      </c>
      <c r="V1653" s="129">
        <v>81</v>
      </c>
      <c r="W1653" s="129">
        <v>531</v>
      </c>
      <c r="X1653" s="27">
        <f t="shared" si="193"/>
        <v>1532.25</v>
      </c>
    </row>
    <row r="1654" spans="1:24" x14ac:dyDescent="0.2">
      <c r="A1654" s="220">
        <v>43887</v>
      </c>
      <c r="B1654" s="130" t="s">
        <v>68</v>
      </c>
      <c r="C1654" s="130" t="s">
        <v>102</v>
      </c>
      <c r="D1654" s="130" t="s">
        <v>3054</v>
      </c>
      <c r="E1654" s="130" t="s">
        <v>2649</v>
      </c>
      <c r="F1654" s="130" t="s">
        <v>2971</v>
      </c>
      <c r="G1654" s="220">
        <v>43791</v>
      </c>
      <c r="H1654" s="130" t="s">
        <v>90</v>
      </c>
      <c r="I1654" s="130" t="s">
        <v>91</v>
      </c>
      <c r="J1654" s="130" t="s">
        <v>92</v>
      </c>
      <c r="K1654" s="130" t="s">
        <v>113</v>
      </c>
      <c r="L1654" s="174" t="s">
        <v>71</v>
      </c>
      <c r="M1654" s="131" t="s">
        <v>72</v>
      </c>
      <c r="N1654" s="130" t="s">
        <v>73</v>
      </c>
      <c r="O1654" s="219" t="s">
        <v>69</v>
      </c>
      <c r="P1654" s="130" t="s">
        <v>1699</v>
      </c>
      <c r="Q1654" s="132" t="s">
        <v>93</v>
      </c>
      <c r="R1654" s="218">
        <v>3.4049999999999998</v>
      </c>
      <c r="S1654" s="129">
        <v>1</v>
      </c>
      <c r="T1654" s="129">
        <v>155</v>
      </c>
      <c r="U1654" s="129">
        <v>155</v>
      </c>
      <c r="V1654" s="129">
        <v>27.89998999999996</v>
      </c>
      <c r="W1654" s="129">
        <v>182.89998999999997</v>
      </c>
      <c r="X1654" s="27">
        <f t="shared" si="193"/>
        <v>527.77499999999998</v>
      </c>
    </row>
    <row r="1655" spans="1:24" x14ac:dyDescent="0.2">
      <c r="A1655" s="220">
        <v>43887</v>
      </c>
      <c r="B1655" s="130" t="s">
        <v>68</v>
      </c>
      <c r="C1655" s="130" t="s">
        <v>102</v>
      </c>
      <c r="D1655" s="130" t="s">
        <v>3054</v>
      </c>
      <c r="E1655" s="130" t="s">
        <v>2649</v>
      </c>
      <c r="F1655" s="130" t="s">
        <v>2971</v>
      </c>
      <c r="G1655" s="220">
        <v>43791</v>
      </c>
      <c r="H1655" s="130" t="s">
        <v>90</v>
      </c>
      <c r="I1655" s="130" t="s">
        <v>91</v>
      </c>
      <c r="J1655" s="130" t="s">
        <v>92</v>
      </c>
      <c r="K1655" s="130" t="s">
        <v>94</v>
      </c>
      <c r="L1655" s="174" t="s">
        <v>71</v>
      </c>
      <c r="M1655" s="131" t="s">
        <v>72</v>
      </c>
      <c r="N1655" s="130" t="s">
        <v>73</v>
      </c>
      <c r="O1655" s="219" t="s">
        <v>69</v>
      </c>
      <c r="P1655" s="130" t="s">
        <v>1699</v>
      </c>
      <c r="Q1655" s="132" t="s">
        <v>93</v>
      </c>
      <c r="R1655" s="218">
        <v>3.4049999999999998</v>
      </c>
      <c r="S1655" s="129">
        <v>1</v>
      </c>
      <c r="T1655" s="129">
        <v>15</v>
      </c>
      <c r="U1655" s="129">
        <v>15</v>
      </c>
      <c r="V1655" s="129">
        <v>2.7000009999999999</v>
      </c>
      <c r="W1655" s="129">
        <v>17.700001</v>
      </c>
      <c r="X1655" s="27">
        <f t="shared" si="193"/>
        <v>51.074999999999996</v>
      </c>
    </row>
    <row r="1656" spans="1:24" x14ac:dyDescent="0.2">
      <c r="A1656" s="220">
        <v>43887</v>
      </c>
      <c r="B1656" s="130" t="s">
        <v>68</v>
      </c>
      <c r="C1656" s="130" t="s">
        <v>102</v>
      </c>
      <c r="D1656" s="130" t="s">
        <v>3054</v>
      </c>
      <c r="E1656" s="130" t="s">
        <v>2649</v>
      </c>
      <c r="F1656" s="130" t="s">
        <v>2971</v>
      </c>
      <c r="G1656" s="220">
        <v>43791</v>
      </c>
      <c r="H1656" s="130" t="s">
        <v>90</v>
      </c>
      <c r="I1656" s="130" t="s">
        <v>91</v>
      </c>
      <c r="J1656" s="130" t="s">
        <v>70</v>
      </c>
      <c r="K1656" s="130" t="s">
        <v>112</v>
      </c>
      <c r="L1656" s="174" t="s">
        <v>71</v>
      </c>
      <c r="M1656" s="131" t="s">
        <v>72</v>
      </c>
      <c r="N1656" s="130" t="s">
        <v>73</v>
      </c>
      <c r="O1656" s="219" t="s">
        <v>69</v>
      </c>
      <c r="P1656" s="130" t="s">
        <v>1699</v>
      </c>
      <c r="Q1656" s="132" t="s">
        <v>93</v>
      </c>
      <c r="R1656" s="218">
        <v>3.4049999999999998</v>
      </c>
      <c r="S1656" s="129">
        <v>1</v>
      </c>
      <c r="T1656" s="129">
        <v>75</v>
      </c>
      <c r="U1656" s="129">
        <v>75</v>
      </c>
      <c r="V1656" s="129">
        <v>13.5</v>
      </c>
      <c r="W1656" s="129">
        <v>88.5</v>
      </c>
      <c r="X1656" s="27">
        <f t="shared" si="193"/>
        <v>255.37499999999997</v>
      </c>
    </row>
    <row r="1657" spans="1:24" x14ac:dyDescent="0.2">
      <c r="A1657" s="220">
        <v>43887</v>
      </c>
      <c r="B1657" s="130" t="s">
        <v>68</v>
      </c>
      <c r="C1657" s="130" t="s">
        <v>102</v>
      </c>
      <c r="D1657" s="130" t="s">
        <v>3054</v>
      </c>
      <c r="E1657" s="130" t="s">
        <v>2649</v>
      </c>
      <c r="F1657" s="130" t="s">
        <v>2971</v>
      </c>
      <c r="G1657" s="220">
        <v>43791</v>
      </c>
      <c r="H1657" s="130" t="s">
        <v>90</v>
      </c>
      <c r="I1657" s="130" t="s">
        <v>91</v>
      </c>
      <c r="J1657" s="130" t="s">
        <v>95</v>
      </c>
      <c r="K1657" s="130" t="s">
        <v>96</v>
      </c>
      <c r="L1657" s="174" t="s">
        <v>71</v>
      </c>
      <c r="M1657" s="131" t="s">
        <v>72</v>
      </c>
      <c r="N1657" s="130" t="s">
        <v>73</v>
      </c>
      <c r="O1657" s="219" t="s">
        <v>69</v>
      </c>
      <c r="P1657" s="130" t="s">
        <v>1699</v>
      </c>
      <c r="Q1657" s="132" t="s">
        <v>93</v>
      </c>
      <c r="R1657" s="218">
        <v>3.4049999999999998</v>
      </c>
      <c r="S1657" s="129">
        <v>-1</v>
      </c>
      <c r="T1657" s="129">
        <v>841.81359999999984</v>
      </c>
      <c r="U1657" s="129">
        <v>-841.81359999999984</v>
      </c>
      <c r="V1657" s="129">
        <v>-151.52643000000026</v>
      </c>
      <c r="W1657" s="129">
        <v>-993.34003000000007</v>
      </c>
      <c r="X1657" s="27">
        <f t="shared" si="193"/>
        <v>-2866.3753079999992</v>
      </c>
    </row>
    <row r="1658" spans="1:24" x14ac:dyDescent="0.2">
      <c r="A1658" s="220">
        <v>43887</v>
      </c>
      <c r="B1658" s="130" t="s">
        <v>68</v>
      </c>
      <c r="C1658" s="130" t="s">
        <v>102</v>
      </c>
      <c r="D1658" s="130" t="s">
        <v>3054</v>
      </c>
      <c r="E1658" s="130" t="s">
        <v>2649</v>
      </c>
      <c r="F1658" s="130" t="s">
        <v>2971</v>
      </c>
      <c r="G1658" s="220">
        <v>43791</v>
      </c>
      <c r="H1658" s="130" t="s">
        <v>90</v>
      </c>
      <c r="I1658" s="130" t="s">
        <v>91</v>
      </c>
      <c r="J1658" s="130" t="s">
        <v>104</v>
      </c>
      <c r="K1658" s="130" t="s">
        <v>105</v>
      </c>
      <c r="L1658" s="174" t="s">
        <v>71</v>
      </c>
      <c r="M1658" s="131" t="s">
        <v>72</v>
      </c>
      <c r="N1658" s="130" t="s">
        <v>73</v>
      </c>
      <c r="O1658" s="219" t="s">
        <v>69</v>
      </c>
      <c r="P1658" s="130" t="s">
        <v>1699</v>
      </c>
      <c r="Q1658" s="132" t="s">
        <v>93</v>
      </c>
      <c r="R1658" s="218">
        <v>3.4049999999999998</v>
      </c>
      <c r="S1658" s="129">
        <v>1</v>
      </c>
      <c r="T1658" s="129">
        <v>0</v>
      </c>
      <c r="U1658" s="129">
        <v>0</v>
      </c>
      <c r="V1658" s="129">
        <v>0</v>
      </c>
      <c r="W1658" s="129">
        <v>0</v>
      </c>
      <c r="X1658" s="27">
        <f t="shared" si="193"/>
        <v>0</v>
      </c>
    </row>
    <row r="1659" spans="1:24" x14ac:dyDescent="0.2">
      <c r="A1659" s="220">
        <v>43887</v>
      </c>
      <c r="B1659" s="130" t="s">
        <v>68</v>
      </c>
      <c r="C1659" s="130" t="s">
        <v>102</v>
      </c>
      <c r="D1659" s="130" t="s">
        <v>3053</v>
      </c>
      <c r="E1659" s="130" t="s">
        <v>2935</v>
      </c>
      <c r="F1659" s="130" t="s">
        <v>2968</v>
      </c>
      <c r="G1659" s="220">
        <v>43876</v>
      </c>
      <c r="H1659" s="130" t="s">
        <v>90</v>
      </c>
      <c r="I1659" s="130" t="s">
        <v>91</v>
      </c>
      <c r="J1659" s="130" t="s">
        <v>97</v>
      </c>
      <c r="K1659" s="130" t="s">
        <v>98</v>
      </c>
      <c r="L1659" s="174" t="s">
        <v>71</v>
      </c>
      <c r="M1659" s="131" t="s">
        <v>72</v>
      </c>
      <c r="N1659" s="130" t="s">
        <v>73</v>
      </c>
      <c r="O1659" s="219" t="s">
        <v>99</v>
      </c>
      <c r="P1659" s="130" t="s">
        <v>98</v>
      </c>
      <c r="Q1659" s="132" t="s">
        <v>93</v>
      </c>
      <c r="R1659" s="218">
        <v>3.4049999999999998</v>
      </c>
      <c r="S1659" s="129">
        <v>1</v>
      </c>
      <c r="T1659" s="129">
        <v>206.5</v>
      </c>
      <c r="U1659" s="129">
        <v>206.5</v>
      </c>
      <c r="V1659" s="129">
        <v>37.17</v>
      </c>
      <c r="W1659" s="129">
        <v>243.67</v>
      </c>
      <c r="X1659" s="27">
        <f t="shared" si="193"/>
        <v>703.13249999999994</v>
      </c>
    </row>
    <row r="1660" spans="1:24" x14ac:dyDescent="0.2">
      <c r="A1660" s="220">
        <v>43887</v>
      </c>
      <c r="B1660" s="130" t="s">
        <v>68</v>
      </c>
      <c r="C1660" s="130" t="s">
        <v>102</v>
      </c>
      <c r="D1660" s="130" t="s">
        <v>3053</v>
      </c>
      <c r="E1660" s="130" t="s">
        <v>2935</v>
      </c>
      <c r="F1660" s="130" t="s">
        <v>2968</v>
      </c>
      <c r="G1660" s="220">
        <v>43876</v>
      </c>
      <c r="H1660" s="130" t="s">
        <v>90</v>
      </c>
      <c r="I1660" s="130" t="s">
        <v>91</v>
      </c>
      <c r="J1660" s="130" t="s">
        <v>100</v>
      </c>
      <c r="K1660" s="130" t="s">
        <v>101</v>
      </c>
      <c r="L1660" s="174" t="s">
        <v>71</v>
      </c>
      <c r="M1660" s="131" t="s">
        <v>72</v>
      </c>
      <c r="N1660" s="130" t="s">
        <v>73</v>
      </c>
      <c r="O1660" s="219" t="s">
        <v>72</v>
      </c>
      <c r="P1660" s="130" t="s">
        <v>101</v>
      </c>
      <c r="Q1660" s="132" t="s">
        <v>93</v>
      </c>
      <c r="R1660" s="218">
        <v>3.4049999999999998</v>
      </c>
      <c r="S1660" s="129">
        <v>1</v>
      </c>
      <c r="T1660" s="129">
        <v>150</v>
      </c>
      <c r="U1660" s="129">
        <v>150</v>
      </c>
      <c r="V1660" s="129">
        <v>27</v>
      </c>
      <c r="W1660" s="129">
        <v>177</v>
      </c>
      <c r="X1660" s="27">
        <f t="shared" si="193"/>
        <v>510.74999999999994</v>
      </c>
    </row>
    <row r="1661" spans="1:24" x14ac:dyDescent="0.2">
      <c r="A1661" s="220">
        <v>43887</v>
      </c>
      <c r="B1661" s="130" t="s">
        <v>68</v>
      </c>
      <c r="C1661" s="130" t="s">
        <v>102</v>
      </c>
      <c r="D1661" s="130" t="s">
        <v>3053</v>
      </c>
      <c r="E1661" s="130" t="s">
        <v>2935</v>
      </c>
      <c r="F1661" s="130" t="s">
        <v>2968</v>
      </c>
      <c r="G1661" s="220">
        <v>43876</v>
      </c>
      <c r="H1661" s="130" t="s">
        <v>90</v>
      </c>
      <c r="I1661" s="130" t="s">
        <v>91</v>
      </c>
      <c r="J1661" s="130" t="s">
        <v>92</v>
      </c>
      <c r="K1661" s="130" t="s">
        <v>113</v>
      </c>
      <c r="L1661" s="174" t="s">
        <v>71</v>
      </c>
      <c r="M1661" s="131" t="s">
        <v>72</v>
      </c>
      <c r="N1661" s="130" t="s">
        <v>73</v>
      </c>
      <c r="O1661" s="219" t="s">
        <v>69</v>
      </c>
      <c r="P1661" s="130" t="s">
        <v>1699</v>
      </c>
      <c r="Q1661" s="132" t="s">
        <v>93</v>
      </c>
      <c r="R1661" s="218">
        <v>3.4049999999999998</v>
      </c>
      <c r="S1661" s="129">
        <v>1</v>
      </c>
      <c r="T1661" s="129">
        <v>50</v>
      </c>
      <c r="U1661" s="129">
        <v>50</v>
      </c>
      <c r="V1661" s="129">
        <v>9</v>
      </c>
      <c r="W1661" s="129">
        <v>59</v>
      </c>
      <c r="X1661" s="27">
        <f t="shared" si="193"/>
        <v>170.25</v>
      </c>
    </row>
    <row r="1662" spans="1:24" x14ac:dyDescent="0.2">
      <c r="A1662" s="220">
        <v>43887</v>
      </c>
      <c r="B1662" s="130" t="s">
        <v>68</v>
      </c>
      <c r="C1662" s="130" t="s">
        <v>102</v>
      </c>
      <c r="D1662" s="130" t="s">
        <v>3053</v>
      </c>
      <c r="E1662" s="130" t="s">
        <v>2935</v>
      </c>
      <c r="F1662" s="130" t="s">
        <v>2968</v>
      </c>
      <c r="G1662" s="220">
        <v>43876</v>
      </c>
      <c r="H1662" s="130" t="s">
        <v>90</v>
      </c>
      <c r="I1662" s="130" t="s">
        <v>91</v>
      </c>
      <c r="J1662" s="130" t="s">
        <v>95</v>
      </c>
      <c r="K1662" s="130" t="s">
        <v>96</v>
      </c>
      <c r="L1662" s="174" t="s">
        <v>71</v>
      </c>
      <c r="M1662" s="131" t="s">
        <v>72</v>
      </c>
      <c r="N1662" s="130" t="s">
        <v>73</v>
      </c>
      <c r="O1662" s="219" t="s">
        <v>69</v>
      </c>
      <c r="P1662" s="130" t="s">
        <v>1699</v>
      </c>
      <c r="Q1662" s="132" t="s">
        <v>93</v>
      </c>
      <c r="R1662" s="218">
        <v>3.4049999999999998</v>
      </c>
      <c r="S1662" s="129">
        <v>-1</v>
      </c>
      <c r="T1662" s="129">
        <v>100</v>
      </c>
      <c r="U1662" s="129">
        <v>-100</v>
      </c>
      <c r="V1662" s="129">
        <v>-18</v>
      </c>
      <c r="W1662" s="129">
        <v>-118</v>
      </c>
      <c r="X1662" s="27">
        <f t="shared" si="193"/>
        <v>-340.5</v>
      </c>
    </row>
    <row r="1663" spans="1:24" x14ac:dyDescent="0.2">
      <c r="A1663" s="220">
        <v>43887</v>
      </c>
      <c r="B1663" s="130" t="s">
        <v>68</v>
      </c>
      <c r="C1663" s="130" t="s">
        <v>102</v>
      </c>
      <c r="D1663" s="130" t="s">
        <v>3053</v>
      </c>
      <c r="E1663" s="130" t="s">
        <v>2935</v>
      </c>
      <c r="F1663" s="130" t="s">
        <v>2968</v>
      </c>
      <c r="G1663" s="220">
        <v>43876</v>
      </c>
      <c r="H1663" s="130" t="s">
        <v>90</v>
      </c>
      <c r="I1663" s="130" t="s">
        <v>91</v>
      </c>
      <c r="J1663" s="130" t="s">
        <v>104</v>
      </c>
      <c r="K1663" s="130" t="s">
        <v>105</v>
      </c>
      <c r="L1663" s="174" t="s">
        <v>71</v>
      </c>
      <c r="M1663" s="131" t="s">
        <v>72</v>
      </c>
      <c r="N1663" s="130" t="s">
        <v>73</v>
      </c>
      <c r="O1663" s="219" t="s">
        <v>69</v>
      </c>
      <c r="P1663" s="130" t="s">
        <v>1699</v>
      </c>
      <c r="Q1663" s="132" t="s">
        <v>93</v>
      </c>
      <c r="R1663" s="218">
        <v>3.4049999999999998</v>
      </c>
      <c r="S1663" s="129">
        <v>1</v>
      </c>
      <c r="T1663" s="129">
        <v>0</v>
      </c>
      <c r="U1663" s="129">
        <v>0</v>
      </c>
      <c r="V1663" s="129">
        <v>0</v>
      </c>
      <c r="W1663" s="129">
        <v>0</v>
      </c>
      <c r="X1663" s="27">
        <f t="shared" si="193"/>
        <v>0</v>
      </c>
    </row>
    <row r="1664" spans="1:24" x14ac:dyDescent="0.2">
      <c r="A1664" s="220">
        <v>43888</v>
      </c>
      <c r="B1664" s="130" t="s">
        <v>68</v>
      </c>
      <c r="C1664" s="130" t="s">
        <v>102</v>
      </c>
      <c r="D1664" s="130" t="s">
        <v>3235</v>
      </c>
      <c r="E1664" s="130" t="s">
        <v>3179</v>
      </c>
      <c r="F1664" s="130" t="s">
        <v>3204</v>
      </c>
      <c r="G1664" s="220">
        <v>43878</v>
      </c>
      <c r="H1664" s="130" t="s">
        <v>90</v>
      </c>
      <c r="I1664" s="130" t="s">
        <v>91</v>
      </c>
      <c r="J1664" s="130" t="s">
        <v>97</v>
      </c>
      <c r="K1664" s="130" t="s">
        <v>98</v>
      </c>
      <c r="L1664" s="174" t="s">
        <v>71</v>
      </c>
      <c r="M1664" s="131" t="s">
        <v>72</v>
      </c>
      <c r="N1664" s="130" t="s">
        <v>73</v>
      </c>
      <c r="O1664" s="219" t="s">
        <v>99</v>
      </c>
      <c r="P1664" s="130" t="s">
        <v>98</v>
      </c>
      <c r="Q1664" s="132" t="s">
        <v>93</v>
      </c>
      <c r="R1664" s="218">
        <v>3.4119999000000001</v>
      </c>
      <c r="S1664" s="129">
        <v>1</v>
      </c>
      <c r="T1664" s="129">
        <v>59</v>
      </c>
      <c r="U1664" s="129">
        <v>59</v>
      </c>
      <c r="V1664" s="129">
        <v>10.620002999999997</v>
      </c>
      <c r="W1664" s="129">
        <v>69.620002999999997</v>
      </c>
      <c r="X1664" s="27">
        <f t="shared" si="193"/>
        <v>201.3079941</v>
      </c>
    </row>
    <row r="1665" spans="1:24" x14ac:dyDescent="0.2">
      <c r="A1665" s="220">
        <v>43888</v>
      </c>
      <c r="B1665" s="130" t="s">
        <v>68</v>
      </c>
      <c r="C1665" s="130" t="s">
        <v>102</v>
      </c>
      <c r="D1665" s="130" t="s">
        <v>3235</v>
      </c>
      <c r="E1665" s="130" t="s">
        <v>3179</v>
      </c>
      <c r="F1665" s="130" t="s">
        <v>3204</v>
      </c>
      <c r="G1665" s="220">
        <v>43878</v>
      </c>
      <c r="H1665" s="130" t="s">
        <v>90</v>
      </c>
      <c r="I1665" s="130" t="s">
        <v>91</v>
      </c>
      <c r="J1665" s="130" t="s">
        <v>100</v>
      </c>
      <c r="K1665" s="130" t="s">
        <v>101</v>
      </c>
      <c r="L1665" s="174" t="s">
        <v>71</v>
      </c>
      <c r="M1665" s="131" t="s">
        <v>72</v>
      </c>
      <c r="N1665" s="130" t="s">
        <v>73</v>
      </c>
      <c r="O1665" s="219" t="s">
        <v>72</v>
      </c>
      <c r="P1665" s="130" t="s">
        <v>101</v>
      </c>
      <c r="Q1665" s="132" t="s">
        <v>93</v>
      </c>
      <c r="R1665" s="218">
        <v>3.4119999000000001</v>
      </c>
      <c r="S1665" s="129">
        <v>1</v>
      </c>
      <c r="T1665" s="129">
        <v>30</v>
      </c>
      <c r="U1665" s="129">
        <v>30</v>
      </c>
      <c r="V1665" s="129">
        <v>5.4000019999999997</v>
      </c>
      <c r="W1665" s="129">
        <v>35.400002000000001</v>
      </c>
      <c r="X1665" s="27">
        <f t="shared" si="193"/>
        <v>102.35999700000001</v>
      </c>
    </row>
    <row r="1666" spans="1:24" x14ac:dyDescent="0.2">
      <c r="A1666" s="220">
        <v>43888</v>
      </c>
      <c r="B1666" s="130" t="s">
        <v>68</v>
      </c>
      <c r="C1666" s="130" t="s">
        <v>102</v>
      </c>
      <c r="D1666" s="130" t="s">
        <v>3235</v>
      </c>
      <c r="E1666" s="130" t="s">
        <v>3179</v>
      </c>
      <c r="F1666" s="130" t="s">
        <v>3204</v>
      </c>
      <c r="G1666" s="220">
        <v>43878</v>
      </c>
      <c r="H1666" s="130" t="s">
        <v>90</v>
      </c>
      <c r="I1666" s="130" t="s">
        <v>91</v>
      </c>
      <c r="J1666" s="130" t="s">
        <v>92</v>
      </c>
      <c r="K1666" s="130" t="s">
        <v>113</v>
      </c>
      <c r="L1666" s="174" t="s">
        <v>71</v>
      </c>
      <c r="M1666" s="131" t="s">
        <v>72</v>
      </c>
      <c r="N1666" s="130" t="s">
        <v>73</v>
      </c>
      <c r="O1666" s="219" t="s">
        <v>69</v>
      </c>
      <c r="P1666" s="130" t="s">
        <v>1699</v>
      </c>
      <c r="Q1666" s="132" t="s">
        <v>93</v>
      </c>
      <c r="R1666" s="218">
        <v>3.4119999000000001</v>
      </c>
      <c r="S1666" s="129">
        <v>1</v>
      </c>
      <c r="T1666" s="129">
        <v>30</v>
      </c>
      <c r="U1666" s="129">
        <v>30</v>
      </c>
      <c r="V1666" s="129">
        <v>5.4000019999999997</v>
      </c>
      <c r="W1666" s="129">
        <v>35.400002000000001</v>
      </c>
      <c r="X1666" s="27">
        <f t="shared" si="193"/>
        <v>102.35999700000001</v>
      </c>
    </row>
    <row r="1667" spans="1:24" x14ac:dyDescent="0.2">
      <c r="A1667" s="220">
        <v>43888</v>
      </c>
      <c r="B1667" s="130" t="s">
        <v>68</v>
      </c>
      <c r="C1667" s="130" t="s">
        <v>102</v>
      </c>
      <c r="D1667" s="130" t="s">
        <v>3235</v>
      </c>
      <c r="E1667" s="130" t="s">
        <v>3179</v>
      </c>
      <c r="F1667" s="130" t="s">
        <v>3204</v>
      </c>
      <c r="G1667" s="220">
        <v>43878</v>
      </c>
      <c r="H1667" s="130" t="s">
        <v>90</v>
      </c>
      <c r="I1667" s="130" t="s">
        <v>91</v>
      </c>
      <c r="J1667" s="130" t="s">
        <v>95</v>
      </c>
      <c r="K1667" s="130" t="s">
        <v>96</v>
      </c>
      <c r="L1667" s="174" t="s">
        <v>71</v>
      </c>
      <c r="M1667" s="131" t="s">
        <v>72</v>
      </c>
      <c r="N1667" s="130" t="s">
        <v>73</v>
      </c>
      <c r="O1667" s="219" t="s">
        <v>69</v>
      </c>
      <c r="P1667" s="130" t="s">
        <v>1699</v>
      </c>
      <c r="Q1667" s="132" t="s">
        <v>93</v>
      </c>
      <c r="R1667" s="218">
        <v>3.4119999000000001</v>
      </c>
      <c r="S1667" s="129">
        <v>1</v>
      </c>
      <c r="T1667" s="129">
        <v>-100</v>
      </c>
      <c r="U1667" s="129">
        <v>-100</v>
      </c>
      <c r="V1667" s="129">
        <v>-18</v>
      </c>
      <c r="W1667" s="129">
        <v>-118</v>
      </c>
      <c r="X1667" s="27">
        <f t="shared" si="193"/>
        <v>-341.19999000000001</v>
      </c>
    </row>
    <row r="1668" spans="1:24" x14ac:dyDescent="0.2">
      <c r="A1668" s="220">
        <v>43888</v>
      </c>
      <c r="B1668" s="130" t="s">
        <v>68</v>
      </c>
      <c r="C1668" s="130" t="s">
        <v>102</v>
      </c>
      <c r="D1668" s="130" t="s">
        <v>3235</v>
      </c>
      <c r="E1668" s="130" t="s">
        <v>3179</v>
      </c>
      <c r="F1668" s="130" t="s">
        <v>3204</v>
      </c>
      <c r="G1668" s="220">
        <v>43878</v>
      </c>
      <c r="H1668" s="130" t="s">
        <v>90</v>
      </c>
      <c r="I1668" s="130" t="s">
        <v>91</v>
      </c>
      <c r="J1668" s="130" t="s">
        <v>104</v>
      </c>
      <c r="K1668" s="130" t="s">
        <v>105</v>
      </c>
      <c r="L1668" s="174" t="s">
        <v>71</v>
      </c>
      <c r="M1668" s="131" t="s">
        <v>72</v>
      </c>
      <c r="N1668" s="130" t="s">
        <v>73</v>
      </c>
      <c r="O1668" s="219" t="s">
        <v>69</v>
      </c>
      <c r="P1668" s="130" t="s">
        <v>1699</v>
      </c>
      <c r="Q1668" s="132" t="s">
        <v>93</v>
      </c>
      <c r="R1668" s="218">
        <v>3.4119999000000001</v>
      </c>
      <c r="S1668" s="129">
        <v>1</v>
      </c>
      <c r="T1668" s="129">
        <v>0</v>
      </c>
      <c r="U1668" s="129">
        <v>0</v>
      </c>
      <c r="V1668" s="129">
        <v>0</v>
      </c>
      <c r="W1668" s="129">
        <v>0</v>
      </c>
      <c r="X1668" s="27">
        <f t="shared" si="193"/>
        <v>0</v>
      </c>
    </row>
    <row r="1669" spans="1:24" x14ac:dyDescent="0.2">
      <c r="A1669" s="220">
        <v>43888</v>
      </c>
      <c r="B1669" s="130" t="s">
        <v>68</v>
      </c>
      <c r="C1669" s="130" t="s">
        <v>102</v>
      </c>
      <c r="D1669" s="130" t="s">
        <v>3234</v>
      </c>
      <c r="E1669" s="130" t="s">
        <v>3189</v>
      </c>
      <c r="F1669" s="130" t="s">
        <v>3190</v>
      </c>
      <c r="G1669" s="220">
        <v>43887</v>
      </c>
      <c r="H1669" s="130" t="s">
        <v>3233</v>
      </c>
      <c r="I1669" s="130" t="s">
        <v>3232</v>
      </c>
      <c r="J1669" s="130" t="s">
        <v>115</v>
      </c>
      <c r="K1669" s="130" t="s">
        <v>138</v>
      </c>
      <c r="L1669" s="174" t="s">
        <v>71</v>
      </c>
      <c r="M1669" s="131" t="s">
        <v>72</v>
      </c>
      <c r="N1669" s="130" t="s">
        <v>73</v>
      </c>
      <c r="O1669" s="219" t="s">
        <v>69</v>
      </c>
      <c r="P1669" s="130" t="s">
        <v>1699</v>
      </c>
      <c r="Q1669" s="132" t="s">
        <v>74</v>
      </c>
      <c r="R1669" s="218">
        <v>3.4119999000000001</v>
      </c>
      <c r="S1669" s="129">
        <v>-1</v>
      </c>
      <c r="T1669" s="129">
        <v>109.79660000000001</v>
      </c>
      <c r="U1669" s="129">
        <v>-109.79660000000001</v>
      </c>
      <c r="V1669" s="129">
        <v>-19.763399999999983</v>
      </c>
      <c r="W1669" s="129">
        <v>-129.56</v>
      </c>
      <c r="X1669" s="27">
        <f t="shared" ref="X1669:X1732" si="194">IF(Q1669="$",(U1669*R1669),U1669)</f>
        <v>-109.79660000000001</v>
      </c>
    </row>
    <row r="1670" spans="1:24" x14ac:dyDescent="0.2">
      <c r="A1670" s="220">
        <v>43888</v>
      </c>
      <c r="B1670" s="130" t="s">
        <v>68</v>
      </c>
      <c r="C1670" s="130" t="s">
        <v>102</v>
      </c>
      <c r="D1670" s="130" t="s">
        <v>3234</v>
      </c>
      <c r="E1670" s="130" t="s">
        <v>3189</v>
      </c>
      <c r="F1670" s="130" t="s">
        <v>3190</v>
      </c>
      <c r="G1670" s="220">
        <v>43887</v>
      </c>
      <c r="H1670" s="130" t="s">
        <v>3233</v>
      </c>
      <c r="I1670" s="130" t="s">
        <v>3232</v>
      </c>
      <c r="J1670" s="130" t="s">
        <v>70</v>
      </c>
      <c r="K1670" s="130" t="s">
        <v>112</v>
      </c>
      <c r="L1670" s="174" t="s">
        <v>71</v>
      </c>
      <c r="M1670" s="131" t="s">
        <v>72</v>
      </c>
      <c r="N1670" s="130" t="s">
        <v>73</v>
      </c>
      <c r="O1670" s="219" t="s">
        <v>69</v>
      </c>
      <c r="P1670" s="130" t="s">
        <v>1699</v>
      </c>
      <c r="Q1670" s="132" t="s">
        <v>74</v>
      </c>
      <c r="R1670" s="218">
        <v>3.4119999000000001</v>
      </c>
      <c r="S1670" s="129">
        <v>1</v>
      </c>
      <c r="T1670" s="129">
        <v>549</v>
      </c>
      <c r="U1670" s="129">
        <v>549</v>
      </c>
      <c r="V1670" s="129">
        <v>98.82001000000011</v>
      </c>
      <c r="W1670" s="129">
        <v>647.82001000000014</v>
      </c>
      <c r="X1670" s="27">
        <f t="shared" si="194"/>
        <v>549</v>
      </c>
    </row>
    <row r="1671" spans="1:24" x14ac:dyDescent="0.2">
      <c r="A1671" s="220">
        <v>43888</v>
      </c>
      <c r="B1671" s="130" t="s">
        <v>68</v>
      </c>
      <c r="C1671" s="130" t="s">
        <v>102</v>
      </c>
      <c r="D1671" s="130" t="s">
        <v>3234</v>
      </c>
      <c r="E1671" s="130" t="s">
        <v>3189</v>
      </c>
      <c r="F1671" s="130" t="s">
        <v>3190</v>
      </c>
      <c r="G1671" s="220">
        <v>43887</v>
      </c>
      <c r="H1671" s="130" t="s">
        <v>3233</v>
      </c>
      <c r="I1671" s="130" t="s">
        <v>3232</v>
      </c>
      <c r="J1671" s="130" t="s">
        <v>104</v>
      </c>
      <c r="K1671" s="130" t="s">
        <v>105</v>
      </c>
      <c r="L1671" s="174" t="s">
        <v>71</v>
      </c>
      <c r="M1671" s="131" t="s">
        <v>72</v>
      </c>
      <c r="N1671" s="130" t="s">
        <v>73</v>
      </c>
      <c r="O1671" s="219" t="s">
        <v>69</v>
      </c>
      <c r="P1671" s="130" t="s">
        <v>1699</v>
      </c>
      <c r="Q1671" s="132" t="s">
        <v>74</v>
      </c>
      <c r="R1671" s="218">
        <v>3.4119999000000001</v>
      </c>
      <c r="S1671" s="129">
        <v>1</v>
      </c>
      <c r="T1671" s="129">
        <v>0</v>
      </c>
      <c r="U1671" s="129">
        <v>0</v>
      </c>
      <c r="V1671" s="129">
        <v>0</v>
      </c>
      <c r="W1671" s="129">
        <v>0</v>
      </c>
      <c r="X1671" s="27">
        <f t="shared" si="194"/>
        <v>0</v>
      </c>
    </row>
    <row r="1672" spans="1:24" x14ac:dyDescent="0.2">
      <c r="A1672" s="220">
        <v>43888</v>
      </c>
      <c r="B1672" s="130" t="s">
        <v>68</v>
      </c>
      <c r="C1672" s="130" t="s">
        <v>102</v>
      </c>
      <c r="D1672" s="130" t="s">
        <v>3231</v>
      </c>
      <c r="E1672" s="130" t="s">
        <v>2933</v>
      </c>
      <c r="F1672" s="130" t="s">
        <v>3227</v>
      </c>
      <c r="G1672" s="220">
        <v>43878</v>
      </c>
      <c r="H1672" s="130" t="s">
        <v>3230</v>
      </c>
      <c r="I1672" s="130" t="s">
        <v>3229</v>
      </c>
      <c r="J1672" s="130" t="s">
        <v>95</v>
      </c>
      <c r="K1672" s="130" t="s">
        <v>96</v>
      </c>
      <c r="L1672" s="174" t="s">
        <v>71</v>
      </c>
      <c r="M1672" s="131" t="s">
        <v>72</v>
      </c>
      <c r="N1672" s="130" t="s">
        <v>73</v>
      </c>
      <c r="O1672" s="219" t="s">
        <v>69</v>
      </c>
      <c r="P1672" s="130" t="s">
        <v>1699</v>
      </c>
      <c r="Q1672" s="132" t="s">
        <v>93</v>
      </c>
      <c r="R1672" s="218">
        <v>3.4119999000000001</v>
      </c>
      <c r="S1672" s="129">
        <v>1</v>
      </c>
      <c r="T1672" s="129">
        <v>156.5932</v>
      </c>
      <c r="U1672" s="129">
        <v>156.5932</v>
      </c>
      <c r="V1672" s="129">
        <v>28.186800000000002</v>
      </c>
      <c r="W1672" s="129">
        <v>184.78</v>
      </c>
      <c r="X1672" s="27">
        <f t="shared" si="194"/>
        <v>534.29598274067996</v>
      </c>
    </row>
    <row r="1673" spans="1:24" x14ac:dyDescent="0.2">
      <c r="A1673" s="220">
        <v>43888</v>
      </c>
      <c r="B1673" s="130" t="s">
        <v>68</v>
      </c>
      <c r="C1673" s="130" t="s">
        <v>102</v>
      </c>
      <c r="D1673" s="130" t="s">
        <v>3228</v>
      </c>
      <c r="E1673" s="130" t="s">
        <v>2933</v>
      </c>
      <c r="F1673" s="130" t="s">
        <v>3227</v>
      </c>
      <c r="G1673" s="220">
        <v>43878</v>
      </c>
      <c r="H1673" s="130" t="s">
        <v>90</v>
      </c>
      <c r="I1673" s="130" t="s">
        <v>91</v>
      </c>
      <c r="J1673" s="130" t="s">
        <v>97</v>
      </c>
      <c r="K1673" s="130" t="s">
        <v>98</v>
      </c>
      <c r="L1673" s="174" t="s">
        <v>71</v>
      </c>
      <c r="M1673" s="131" t="s">
        <v>72</v>
      </c>
      <c r="N1673" s="130" t="s">
        <v>73</v>
      </c>
      <c r="O1673" s="219" t="s">
        <v>99</v>
      </c>
      <c r="P1673" s="130" t="s">
        <v>98</v>
      </c>
      <c r="Q1673" s="132" t="s">
        <v>93</v>
      </c>
      <c r="R1673" s="218">
        <v>3.4119999000000001</v>
      </c>
      <c r="S1673" s="129">
        <v>1</v>
      </c>
      <c r="T1673" s="129">
        <v>236</v>
      </c>
      <c r="U1673" s="129">
        <v>236</v>
      </c>
      <c r="V1673" s="129">
        <v>42.48001</v>
      </c>
      <c r="W1673" s="129">
        <v>278.48000999999999</v>
      </c>
      <c r="X1673" s="27">
        <f t="shared" si="194"/>
        <v>805.23197640000001</v>
      </c>
    </row>
    <row r="1674" spans="1:24" x14ac:dyDescent="0.2">
      <c r="A1674" s="220">
        <v>43888</v>
      </c>
      <c r="B1674" s="130" t="s">
        <v>68</v>
      </c>
      <c r="C1674" s="130" t="s">
        <v>102</v>
      </c>
      <c r="D1674" s="130" t="s">
        <v>3228</v>
      </c>
      <c r="E1674" s="130" t="s">
        <v>2933</v>
      </c>
      <c r="F1674" s="130" t="s">
        <v>3227</v>
      </c>
      <c r="G1674" s="220">
        <v>43878</v>
      </c>
      <c r="H1674" s="130" t="s">
        <v>90</v>
      </c>
      <c r="I1674" s="130" t="s">
        <v>91</v>
      </c>
      <c r="J1674" s="130" t="s">
        <v>100</v>
      </c>
      <c r="K1674" s="130" t="s">
        <v>101</v>
      </c>
      <c r="L1674" s="174" t="s">
        <v>71</v>
      </c>
      <c r="M1674" s="131" t="s">
        <v>72</v>
      </c>
      <c r="N1674" s="130" t="s">
        <v>73</v>
      </c>
      <c r="O1674" s="219" t="s">
        <v>72</v>
      </c>
      <c r="P1674" s="130" t="s">
        <v>101</v>
      </c>
      <c r="Q1674" s="132" t="s">
        <v>93</v>
      </c>
      <c r="R1674" s="218">
        <v>3.4119999000000001</v>
      </c>
      <c r="S1674" s="129">
        <v>1</v>
      </c>
      <c r="T1674" s="129">
        <v>150</v>
      </c>
      <c r="U1674" s="129">
        <v>150</v>
      </c>
      <c r="V1674" s="129">
        <v>27</v>
      </c>
      <c r="W1674" s="129">
        <v>177</v>
      </c>
      <c r="X1674" s="27">
        <f t="shared" si="194"/>
        <v>511.79998499999999</v>
      </c>
    </row>
    <row r="1675" spans="1:24" x14ac:dyDescent="0.2">
      <c r="A1675" s="220">
        <v>43888</v>
      </c>
      <c r="B1675" s="130" t="s">
        <v>68</v>
      </c>
      <c r="C1675" s="130" t="s">
        <v>102</v>
      </c>
      <c r="D1675" s="130" t="s">
        <v>3228</v>
      </c>
      <c r="E1675" s="130" t="s">
        <v>2933</v>
      </c>
      <c r="F1675" s="130" t="s">
        <v>3227</v>
      </c>
      <c r="G1675" s="220">
        <v>43878</v>
      </c>
      <c r="H1675" s="130" t="s">
        <v>90</v>
      </c>
      <c r="I1675" s="130" t="s">
        <v>91</v>
      </c>
      <c r="J1675" s="130" t="s">
        <v>95</v>
      </c>
      <c r="K1675" s="130" t="s">
        <v>96</v>
      </c>
      <c r="L1675" s="174" t="s">
        <v>71</v>
      </c>
      <c r="M1675" s="131" t="s">
        <v>72</v>
      </c>
      <c r="N1675" s="130" t="s">
        <v>73</v>
      </c>
      <c r="O1675" s="219" t="s">
        <v>69</v>
      </c>
      <c r="P1675" s="130" t="s">
        <v>1699</v>
      </c>
      <c r="Q1675" s="132" t="s">
        <v>93</v>
      </c>
      <c r="R1675" s="218">
        <v>3.4119999000000001</v>
      </c>
      <c r="S1675" s="129">
        <v>-1</v>
      </c>
      <c r="T1675" s="129">
        <v>156.5932</v>
      </c>
      <c r="U1675" s="129">
        <v>-156.5932</v>
      </c>
      <c r="V1675" s="129">
        <v>-28.186800000000002</v>
      </c>
      <c r="W1675" s="129">
        <v>-184.78</v>
      </c>
      <c r="X1675" s="27">
        <f t="shared" si="194"/>
        <v>-534.29598274067996</v>
      </c>
    </row>
    <row r="1676" spans="1:24" x14ac:dyDescent="0.2">
      <c r="A1676" s="220">
        <v>43888</v>
      </c>
      <c r="B1676" s="130" t="s">
        <v>68</v>
      </c>
      <c r="C1676" s="130" t="s">
        <v>102</v>
      </c>
      <c r="D1676" s="130" t="s">
        <v>3228</v>
      </c>
      <c r="E1676" s="130" t="s">
        <v>2933</v>
      </c>
      <c r="F1676" s="130" t="s">
        <v>3227</v>
      </c>
      <c r="G1676" s="220">
        <v>43878</v>
      </c>
      <c r="H1676" s="130" t="s">
        <v>90</v>
      </c>
      <c r="I1676" s="130" t="s">
        <v>91</v>
      </c>
      <c r="J1676" s="130" t="s">
        <v>104</v>
      </c>
      <c r="K1676" s="130" t="s">
        <v>105</v>
      </c>
      <c r="L1676" s="174" t="s">
        <v>71</v>
      </c>
      <c r="M1676" s="131" t="s">
        <v>72</v>
      </c>
      <c r="N1676" s="130" t="s">
        <v>73</v>
      </c>
      <c r="O1676" s="219" t="s">
        <v>69</v>
      </c>
      <c r="P1676" s="130" t="s">
        <v>1699</v>
      </c>
      <c r="Q1676" s="132" t="s">
        <v>93</v>
      </c>
      <c r="R1676" s="218">
        <v>3.4119999000000001</v>
      </c>
      <c r="S1676" s="129">
        <v>1</v>
      </c>
      <c r="T1676" s="129">
        <v>0</v>
      </c>
      <c r="U1676" s="129">
        <v>0</v>
      </c>
      <c r="V1676" s="129">
        <v>0</v>
      </c>
      <c r="W1676" s="129">
        <v>0</v>
      </c>
      <c r="X1676" s="27">
        <f t="shared" si="194"/>
        <v>0</v>
      </c>
    </row>
    <row r="1677" spans="1:24" x14ac:dyDescent="0.2">
      <c r="A1677" s="220">
        <v>43889</v>
      </c>
      <c r="B1677" s="130" t="s">
        <v>68</v>
      </c>
      <c r="C1677" s="130" t="s">
        <v>102</v>
      </c>
      <c r="D1677" s="130" t="s">
        <v>3226</v>
      </c>
      <c r="E1677" s="130" t="s">
        <v>3184</v>
      </c>
      <c r="F1677" s="130" t="s">
        <v>3225</v>
      </c>
      <c r="G1677" s="220">
        <v>43886</v>
      </c>
      <c r="H1677" s="130" t="s">
        <v>90</v>
      </c>
      <c r="I1677" s="130" t="s">
        <v>91</v>
      </c>
      <c r="J1677" s="130" t="s">
        <v>70</v>
      </c>
      <c r="K1677" s="130" t="s">
        <v>112</v>
      </c>
      <c r="L1677" s="174" t="s">
        <v>71</v>
      </c>
      <c r="M1677" s="131" t="s">
        <v>72</v>
      </c>
      <c r="N1677" s="130" t="s">
        <v>73</v>
      </c>
      <c r="O1677" s="219" t="s">
        <v>69</v>
      </c>
      <c r="P1677" s="130" t="s">
        <v>1699</v>
      </c>
      <c r="Q1677" s="132" t="s">
        <v>93</v>
      </c>
      <c r="R1677" s="218">
        <v>3.4300000999999996</v>
      </c>
      <c r="S1677" s="129">
        <v>1</v>
      </c>
      <c r="T1677" s="129">
        <v>100</v>
      </c>
      <c r="U1677" s="129">
        <v>100</v>
      </c>
      <c r="V1677" s="129">
        <v>18</v>
      </c>
      <c r="W1677" s="129">
        <v>118</v>
      </c>
      <c r="X1677" s="27">
        <f t="shared" si="194"/>
        <v>343.00000999999997</v>
      </c>
    </row>
    <row r="1678" spans="1:24" x14ac:dyDescent="0.2">
      <c r="A1678" s="220">
        <v>43889</v>
      </c>
      <c r="B1678" s="130" t="s">
        <v>68</v>
      </c>
      <c r="C1678" s="130" t="s">
        <v>102</v>
      </c>
      <c r="D1678" s="130" t="s">
        <v>3224</v>
      </c>
      <c r="E1678" s="130" t="s">
        <v>1022</v>
      </c>
      <c r="F1678" s="130" t="s">
        <v>3208</v>
      </c>
      <c r="G1678" s="220">
        <v>43885</v>
      </c>
      <c r="H1678" s="130" t="s">
        <v>3221</v>
      </c>
      <c r="I1678" s="130" t="s">
        <v>3220</v>
      </c>
      <c r="J1678" s="130" t="s">
        <v>95</v>
      </c>
      <c r="K1678" s="130" t="s">
        <v>96</v>
      </c>
      <c r="L1678" s="174" t="s">
        <v>71</v>
      </c>
      <c r="M1678" s="131" t="s">
        <v>72</v>
      </c>
      <c r="N1678" s="130" t="s">
        <v>73</v>
      </c>
      <c r="O1678" s="219" t="s">
        <v>69</v>
      </c>
      <c r="P1678" s="130" t="s">
        <v>1699</v>
      </c>
      <c r="Q1678" s="132" t="s">
        <v>93</v>
      </c>
      <c r="R1678" s="218">
        <v>3.4300000999999996</v>
      </c>
      <c r="S1678" s="129">
        <v>1</v>
      </c>
      <c r="T1678" s="129">
        <v>150</v>
      </c>
      <c r="U1678" s="129">
        <v>150</v>
      </c>
      <c r="V1678" s="129">
        <v>27</v>
      </c>
      <c r="W1678" s="129">
        <v>177</v>
      </c>
      <c r="X1678" s="27">
        <f t="shared" si="194"/>
        <v>514.50001499999996</v>
      </c>
    </row>
    <row r="1679" spans="1:24" x14ac:dyDescent="0.2">
      <c r="A1679" s="220">
        <v>43889</v>
      </c>
      <c r="B1679" s="130" t="s">
        <v>68</v>
      </c>
      <c r="C1679" s="130" t="s">
        <v>102</v>
      </c>
      <c r="D1679" s="130" t="s">
        <v>3223</v>
      </c>
      <c r="E1679" s="130" t="s">
        <v>3181</v>
      </c>
      <c r="F1679" s="130" t="s">
        <v>3208</v>
      </c>
      <c r="G1679" s="220">
        <v>43885</v>
      </c>
      <c r="H1679" s="130" t="s">
        <v>3221</v>
      </c>
      <c r="I1679" s="130" t="s">
        <v>3220</v>
      </c>
      <c r="J1679" s="130" t="s">
        <v>95</v>
      </c>
      <c r="K1679" s="130" t="s">
        <v>96</v>
      </c>
      <c r="L1679" s="174" t="s">
        <v>71</v>
      </c>
      <c r="M1679" s="131" t="s">
        <v>72</v>
      </c>
      <c r="N1679" s="130" t="s">
        <v>73</v>
      </c>
      <c r="O1679" s="219" t="s">
        <v>69</v>
      </c>
      <c r="P1679" s="130" t="s">
        <v>1699</v>
      </c>
      <c r="Q1679" s="132" t="s">
        <v>93</v>
      </c>
      <c r="R1679" s="218">
        <v>3.4300000999999996</v>
      </c>
      <c r="S1679" s="129">
        <v>1</v>
      </c>
      <c r="T1679" s="129">
        <v>150</v>
      </c>
      <c r="U1679" s="129">
        <v>150</v>
      </c>
      <c r="V1679" s="129">
        <v>27</v>
      </c>
      <c r="W1679" s="129">
        <v>177</v>
      </c>
      <c r="X1679" s="27">
        <f t="shared" si="194"/>
        <v>514.50001499999996</v>
      </c>
    </row>
    <row r="1680" spans="1:24" x14ac:dyDescent="0.2">
      <c r="A1680" s="220">
        <v>43889</v>
      </c>
      <c r="B1680" s="130" t="s">
        <v>68</v>
      </c>
      <c r="C1680" s="130" t="s">
        <v>102</v>
      </c>
      <c r="D1680" s="130" t="s">
        <v>3222</v>
      </c>
      <c r="E1680" s="130" t="s">
        <v>3180</v>
      </c>
      <c r="F1680" s="130" t="s">
        <v>3208</v>
      </c>
      <c r="G1680" s="220">
        <v>43885</v>
      </c>
      <c r="H1680" s="130" t="s">
        <v>3221</v>
      </c>
      <c r="I1680" s="130" t="s">
        <v>3220</v>
      </c>
      <c r="J1680" s="130" t="s">
        <v>97</v>
      </c>
      <c r="K1680" s="130" t="s">
        <v>98</v>
      </c>
      <c r="L1680" s="174" t="s">
        <v>71</v>
      </c>
      <c r="M1680" s="131" t="s">
        <v>72</v>
      </c>
      <c r="N1680" s="130" t="s">
        <v>73</v>
      </c>
      <c r="O1680" s="219" t="s">
        <v>99</v>
      </c>
      <c r="P1680" s="130" t="s">
        <v>98</v>
      </c>
      <c r="Q1680" s="132" t="s">
        <v>93</v>
      </c>
      <c r="R1680" s="218">
        <v>3.4300000999999996</v>
      </c>
      <c r="S1680" s="129">
        <v>1</v>
      </c>
      <c r="T1680" s="129">
        <v>60</v>
      </c>
      <c r="U1680" s="129">
        <v>60</v>
      </c>
      <c r="V1680" s="129">
        <v>10.800002999999997</v>
      </c>
      <c r="W1680" s="129">
        <v>70.800003000000004</v>
      </c>
      <c r="X1680" s="27">
        <f t="shared" si="194"/>
        <v>205.80000599999997</v>
      </c>
    </row>
    <row r="1681" spans="1:24" x14ac:dyDescent="0.2">
      <c r="A1681" s="220">
        <v>43889</v>
      </c>
      <c r="B1681" s="130" t="s">
        <v>68</v>
      </c>
      <c r="C1681" s="130" t="s">
        <v>102</v>
      </c>
      <c r="D1681" s="130" t="s">
        <v>3222</v>
      </c>
      <c r="E1681" s="130" t="s">
        <v>3180</v>
      </c>
      <c r="F1681" s="130" t="s">
        <v>3208</v>
      </c>
      <c r="G1681" s="220">
        <v>43885</v>
      </c>
      <c r="H1681" s="130" t="s">
        <v>3221</v>
      </c>
      <c r="I1681" s="130" t="s">
        <v>3220</v>
      </c>
      <c r="J1681" s="130" t="s">
        <v>100</v>
      </c>
      <c r="K1681" s="130" t="s">
        <v>101</v>
      </c>
      <c r="L1681" s="174" t="s">
        <v>71</v>
      </c>
      <c r="M1681" s="131" t="s">
        <v>72</v>
      </c>
      <c r="N1681" s="130" t="s">
        <v>73</v>
      </c>
      <c r="O1681" s="219" t="s">
        <v>72</v>
      </c>
      <c r="P1681" s="130" t="s">
        <v>101</v>
      </c>
      <c r="Q1681" s="132" t="s">
        <v>93</v>
      </c>
      <c r="R1681" s="218">
        <v>3.4300000999999996</v>
      </c>
      <c r="S1681" s="129">
        <v>1</v>
      </c>
      <c r="T1681" s="129">
        <v>30</v>
      </c>
      <c r="U1681" s="129">
        <v>30</v>
      </c>
      <c r="V1681" s="129">
        <v>5.4000019999999997</v>
      </c>
      <c r="W1681" s="129">
        <v>35.400002000000001</v>
      </c>
      <c r="X1681" s="27">
        <f t="shared" si="194"/>
        <v>102.90000299999998</v>
      </c>
    </row>
    <row r="1682" spans="1:24" x14ac:dyDescent="0.2">
      <c r="A1682" s="220">
        <v>43889</v>
      </c>
      <c r="B1682" s="130" t="s">
        <v>68</v>
      </c>
      <c r="C1682" s="130" t="s">
        <v>102</v>
      </c>
      <c r="D1682" s="130" t="s">
        <v>3219</v>
      </c>
      <c r="E1682" s="130" t="s">
        <v>3213</v>
      </c>
      <c r="F1682" s="130" t="s">
        <v>3212</v>
      </c>
      <c r="G1682" s="220">
        <v>43880</v>
      </c>
      <c r="H1682" s="130" t="s">
        <v>3216</v>
      </c>
      <c r="I1682" s="130" t="s">
        <v>3215</v>
      </c>
      <c r="J1682" s="130" t="s">
        <v>95</v>
      </c>
      <c r="K1682" s="130" t="s">
        <v>96</v>
      </c>
      <c r="L1682" s="174" t="s">
        <v>71</v>
      </c>
      <c r="M1682" s="131" t="s">
        <v>72</v>
      </c>
      <c r="N1682" s="130" t="s">
        <v>73</v>
      </c>
      <c r="O1682" s="219" t="s">
        <v>69</v>
      </c>
      <c r="P1682" s="130" t="s">
        <v>1699</v>
      </c>
      <c r="Q1682" s="132" t="s">
        <v>93</v>
      </c>
      <c r="R1682" s="218">
        <v>3.4300000999999996</v>
      </c>
      <c r="S1682" s="129">
        <v>1</v>
      </c>
      <c r="T1682" s="129">
        <v>122.9576</v>
      </c>
      <c r="U1682" s="129">
        <v>122.9576</v>
      </c>
      <c r="V1682" s="129">
        <v>22.132399999999997</v>
      </c>
      <c r="W1682" s="129">
        <v>145.09</v>
      </c>
      <c r="X1682" s="27">
        <f t="shared" si="194"/>
        <v>421.74458029575993</v>
      </c>
    </row>
    <row r="1683" spans="1:24" x14ac:dyDescent="0.2">
      <c r="A1683" s="220">
        <v>43889</v>
      </c>
      <c r="B1683" s="130" t="s">
        <v>68</v>
      </c>
      <c r="C1683" s="130" t="s">
        <v>102</v>
      </c>
      <c r="D1683" s="130" t="s">
        <v>3218</v>
      </c>
      <c r="E1683" s="130" t="s">
        <v>3217</v>
      </c>
      <c r="F1683" s="130" t="s">
        <v>3212</v>
      </c>
      <c r="G1683" s="220">
        <v>43881</v>
      </c>
      <c r="H1683" s="130" t="s">
        <v>3216</v>
      </c>
      <c r="I1683" s="130" t="s">
        <v>3215</v>
      </c>
      <c r="J1683" s="130" t="s">
        <v>97</v>
      </c>
      <c r="K1683" s="130" t="s">
        <v>98</v>
      </c>
      <c r="L1683" s="174" t="s">
        <v>71</v>
      </c>
      <c r="M1683" s="131" t="s">
        <v>72</v>
      </c>
      <c r="N1683" s="130" t="s">
        <v>73</v>
      </c>
      <c r="O1683" s="219" t="s">
        <v>99</v>
      </c>
      <c r="P1683" s="130" t="s">
        <v>98</v>
      </c>
      <c r="Q1683" s="132" t="s">
        <v>93</v>
      </c>
      <c r="R1683" s="218">
        <v>3.4300000999999996</v>
      </c>
      <c r="S1683" s="129">
        <v>1</v>
      </c>
      <c r="T1683" s="129">
        <v>120</v>
      </c>
      <c r="U1683" s="129">
        <v>120</v>
      </c>
      <c r="V1683" s="129">
        <v>21.600010000000019</v>
      </c>
      <c r="W1683" s="129">
        <v>141.60001000000003</v>
      </c>
      <c r="X1683" s="27">
        <f t="shared" si="194"/>
        <v>411.60001199999994</v>
      </c>
    </row>
    <row r="1684" spans="1:24" x14ac:dyDescent="0.2">
      <c r="A1684" s="220">
        <v>43889</v>
      </c>
      <c r="B1684" s="130" t="s">
        <v>68</v>
      </c>
      <c r="C1684" s="130" t="s">
        <v>102</v>
      </c>
      <c r="D1684" s="130" t="s">
        <v>3218</v>
      </c>
      <c r="E1684" s="130" t="s">
        <v>3217</v>
      </c>
      <c r="F1684" s="130" t="s">
        <v>3212</v>
      </c>
      <c r="G1684" s="220">
        <v>43881</v>
      </c>
      <c r="H1684" s="130" t="s">
        <v>3216</v>
      </c>
      <c r="I1684" s="130" t="s">
        <v>3215</v>
      </c>
      <c r="J1684" s="130" t="s">
        <v>100</v>
      </c>
      <c r="K1684" s="130" t="s">
        <v>101</v>
      </c>
      <c r="L1684" s="174" t="s">
        <v>71</v>
      </c>
      <c r="M1684" s="131" t="s">
        <v>72</v>
      </c>
      <c r="N1684" s="130" t="s">
        <v>73</v>
      </c>
      <c r="O1684" s="219" t="s">
        <v>72</v>
      </c>
      <c r="P1684" s="130" t="s">
        <v>101</v>
      </c>
      <c r="Q1684" s="132" t="s">
        <v>93</v>
      </c>
      <c r="R1684" s="218">
        <v>3.4300000999999996</v>
      </c>
      <c r="S1684" s="129">
        <v>1</v>
      </c>
      <c r="T1684" s="129">
        <v>79.949203000000011</v>
      </c>
      <c r="U1684" s="129">
        <v>79.949203000000011</v>
      </c>
      <c r="V1684" s="129">
        <v>14.390793000000004</v>
      </c>
      <c r="W1684" s="129">
        <v>94.339996000000014</v>
      </c>
      <c r="X1684" s="27">
        <f t="shared" si="194"/>
        <v>274.22577428492031</v>
      </c>
    </row>
    <row r="1685" spans="1:24" x14ac:dyDescent="0.2">
      <c r="A1685" s="220">
        <v>43889</v>
      </c>
      <c r="B1685" s="130" t="s">
        <v>68</v>
      </c>
      <c r="C1685" s="130" t="s">
        <v>102</v>
      </c>
      <c r="D1685" s="130" t="s">
        <v>3218</v>
      </c>
      <c r="E1685" s="130" t="s">
        <v>3217</v>
      </c>
      <c r="F1685" s="130" t="s">
        <v>3212</v>
      </c>
      <c r="G1685" s="220">
        <v>43881</v>
      </c>
      <c r="H1685" s="130" t="s">
        <v>3216</v>
      </c>
      <c r="I1685" s="130" t="s">
        <v>3215</v>
      </c>
      <c r="J1685" s="130" t="s">
        <v>92</v>
      </c>
      <c r="K1685" s="130" t="s">
        <v>113</v>
      </c>
      <c r="L1685" s="174" t="s">
        <v>71</v>
      </c>
      <c r="M1685" s="131" t="s">
        <v>72</v>
      </c>
      <c r="N1685" s="130" t="s">
        <v>73</v>
      </c>
      <c r="O1685" s="219" t="s">
        <v>69</v>
      </c>
      <c r="P1685" s="130" t="s">
        <v>1699</v>
      </c>
      <c r="Q1685" s="132" t="s">
        <v>93</v>
      </c>
      <c r="R1685" s="218">
        <v>3.4300000999999996</v>
      </c>
      <c r="S1685" s="129">
        <v>1</v>
      </c>
      <c r="T1685" s="129">
        <v>50</v>
      </c>
      <c r="U1685" s="129">
        <v>50</v>
      </c>
      <c r="V1685" s="129">
        <v>9</v>
      </c>
      <c r="W1685" s="129">
        <v>59</v>
      </c>
      <c r="X1685" s="27">
        <f t="shared" si="194"/>
        <v>171.50000499999999</v>
      </c>
    </row>
    <row r="1686" spans="1:24" x14ac:dyDescent="0.2">
      <c r="A1686" s="220">
        <v>43889</v>
      </c>
      <c r="B1686" s="130" t="s">
        <v>68</v>
      </c>
      <c r="C1686" s="130" t="s">
        <v>102</v>
      </c>
      <c r="D1686" s="130" t="s">
        <v>3214</v>
      </c>
      <c r="E1686" s="130" t="s">
        <v>3182</v>
      </c>
      <c r="F1686" s="130" t="s">
        <v>3201</v>
      </c>
      <c r="G1686" s="220">
        <v>43862</v>
      </c>
      <c r="H1686" s="130" t="s">
        <v>90</v>
      </c>
      <c r="I1686" s="130" t="s">
        <v>91</v>
      </c>
      <c r="J1686" s="130" t="s">
        <v>97</v>
      </c>
      <c r="K1686" s="130" t="s">
        <v>98</v>
      </c>
      <c r="L1686" s="174" t="s">
        <v>71</v>
      </c>
      <c r="M1686" s="131" t="s">
        <v>72</v>
      </c>
      <c r="N1686" s="130" t="s">
        <v>73</v>
      </c>
      <c r="O1686" s="219" t="s">
        <v>99</v>
      </c>
      <c r="P1686" s="130" t="s">
        <v>98</v>
      </c>
      <c r="Q1686" s="132" t="s">
        <v>93</v>
      </c>
      <c r="R1686" s="218">
        <v>3.4300000999999996</v>
      </c>
      <c r="S1686" s="129">
        <v>1</v>
      </c>
      <c r="T1686" s="129">
        <v>59</v>
      </c>
      <c r="U1686" s="129">
        <v>59</v>
      </c>
      <c r="V1686" s="129">
        <v>10.620002999999997</v>
      </c>
      <c r="W1686" s="129">
        <v>69.620002999999997</v>
      </c>
      <c r="X1686" s="27">
        <f t="shared" si="194"/>
        <v>202.37000589999997</v>
      </c>
    </row>
    <row r="1687" spans="1:24" x14ac:dyDescent="0.2">
      <c r="A1687" s="220">
        <v>43889</v>
      </c>
      <c r="B1687" s="130" t="s">
        <v>68</v>
      </c>
      <c r="C1687" s="130" t="s">
        <v>102</v>
      </c>
      <c r="D1687" s="130" t="s">
        <v>3214</v>
      </c>
      <c r="E1687" s="130" t="s">
        <v>3182</v>
      </c>
      <c r="F1687" s="130" t="s">
        <v>3201</v>
      </c>
      <c r="G1687" s="220">
        <v>43862</v>
      </c>
      <c r="H1687" s="130" t="s">
        <v>90</v>
      </c>
      <c r="I1687" s="130" t="s">
        <v>91</v>
      </c>
      <c r="J1687" s="130" t="s">
        <v>100</v>
      </c>
      <c r="K1687" s="130" t="s">
        <v>101</v>
      </c>
      <c r="L1687" s="174" t="s">
        <v>71</v>
      </c>
      <c r="M1687" s="131" t="s">
        <v>72</v>
      </c>
      <c r="N1687" s="130" t="s">
        <v>73</v>
      </c>
      <c r="O1687" s="219" t="s">
        <v>72</v>
      </c>
      <c r="P1687" s="130" t="s">
        <v>101</v>
      </c>
      <c r="Q1687" s="132" t="s">
        <v>93</v>
      </c>
      <c r="R1687" s="218">
        <v>3.4300000999999996</v>
      </c>
      <c r="S1687" s="129">
        <v>1</v>
      </c>
      <c r="T1687" s="129">
        <v>60</v>
      </c>
      <c r="U1687" s="129">
        <v>60</v>
      </c>
      <c r="V1687" s="129">
        <v>10.800002999999997</v>
      </c>
      <c r="W1687" s="129">
        <v>70.800003000000004</v>
      </c>
      <c r="X1687" s="27">
        <f t="shared" si="194"/>
        <v>205.80000599999997</v>
      </c>
    </row>
    <row r="1688" spans="1:24" x14ac:dyDescent="0.2">
      <c r="A1688" s="220">
        <v>43889</v>
      </c>
      <c r="B1688" s="130" t="s">
        <v>68</v>
      </c>
      <c r="C1688" s="130" t="s">
        <v>102</v>
      </c>
      <c r="D1688" s="130" t="s">
        <v>3214</v>
      </c>
      <c r="E1688" s="130" t="s">
        <v>3182</v>
      </c>
      <c r="F1688" s="130" t="s">
        <v>3201</v>
      </c>
      <c r="G1688" s="220">
        <v>43862</v>
      </c>
      <c r="H1688" s="130" t="s">
        <v>90</v>
      </c>
      <c r="I1688" s="130" t="s">
        <v>91</v>
      </c>
      <c r="J1688" s="130" t="s">
        <v>95</v>
      </c>
      <c r="K1688" s="130" t="s">
        <v>96</v>
      </c>
      <c r="L1688" s="174" t="s">
        <v>71</v>
      </c>
      <c r="M1688" s="131" t="s">
        <v>72</v>
      </c>
      <c r="N1688" s="130" t="s">
        <v>73</v>
      </c>
      <c r="O1688" s="219" t="s">
        <v>69</v>
      </c>
      <c r="P1688" s="130" t="s">
        <v>1699</v>
      </c>
      <c r="Q1688" s="132" t="s">
        <v>93</v>
      </c>
      <c r="R1688" s="218">
        <v>3.4300000999999996</v>
      </c>
      <c r="S1688" s="129">
        <v>-1</v>
      </c>
      <c r="T1688" s="129">
        <v>100</v>
      </c>
      <c r="U1688" s="129">
        <v>-100</v>
      </c>
      <c r="V1688" s="129">
        <v>-18</v>
      </c>
      <c r="W1688" s="129">
        <v>-118</v>
      </c>
      <c r="X1688" s="27">
        <f t="shared" si="194"/>
        <v>-343.00000999999997</v>
      </c>
    </row>
    <row r="1689" spans="1:24" x14ac:dyDescent="0.2">
      <c r="A1689" s="220">
        <v>43889</v>
      </c>
      <c r="B1689" s="130" t="s">
        <v>68</v>
      </c>
      <c r="C1689" s="130" t="s">
        <v>102</v>
      </c>
      <c r="D1689" s="130" t="s">
        <v>3214</v>
      </c>
      <c r="E1689" s="130" t="s">
        <v>3182</v>
      </c>
      <c r="F1689" s="130" t="s">
        <v>3201</v>
      </c>
      <c r="G1689" s="220">
        <v>43862</v>
      </c>
      <c r="H1689" s="130" t="s">
        <v>90</v>
      </c>
      <c r="I1689" s="130" t="s">
        <v>91</v>
      </c>
      <c r="J1689" s="130" t="s">
        <v>104</v>
      </c>
      <c r="K1689" s="130" t="s">
        <v>105</v>
      </c>
      <c r="L1689" s="174" t="s">
        <v>71</v>
      </c>
      <c r="M1689" s="131" t="s">
        <v>72</v>
      </c>
      <c r="N1689" s="130" t="s">
        <v>73</v>
      </c>
      <c r="O1689" s="219" t="s">
        <v>69</v>
      </c>
      <c r="P1689" s="130" t="s">
        <v>1699</v>
      </c>
      <c r="Q1689" s="132" t="s">
        <v>93</v>
      </c>
      <c r="R1689" s="218">
        <v>3.4300000999999996</v>
      </c>
      <c r="S1689" s="129">
        <v>1</v>
      </c>
      <c r="T1689" s="129">
        <v>0</v>
      </c>
      <c r="U1689" s="129">
        <v>0</v>
      </c>
      <c r="V1689" s="129">
        <v>0</v>
      </c>
      <c r="W1689" s="129">
        <v>0</v>
      </c>
      <c r="X1689" s="27">
        <f t="shared" si="194"/>
        <v>0</v>
      </c>
    </row>
    <row r="1690" spans="1:24" x14ac:dyDescent="0.2">
      <c r="A1690" s="220">
        <v>43889</v>
      </c>
      <c r="B1690" s="130" t="s">
        <v>68</v>
      </c>
      <c r="C1690" s="130" t="s">
        <v>102</v>
      </c>
      <c r="D1690" s="130" t="s">
        <v>3155</v>
      </c>
      <c r="E1690" s="130" t="s">
        <v>3213</v>
      </c>
      <c r="F1690" s="130" t="s">
        <v>3212</v>
      </c>
      <c r="G1690" s="220">
        <v>43880</v>
      </c>
      <c r="H1690" s="130" t="s">
        <v>90</v>
      </c>
      <c r="I1690" s="130" t="s">
        <v>91</v>
      </c>
      <c r="J1690" s="130" t="s">
        <v>97</v>
      </c>
      <c r="K1690" s="130" t="s">
        <v>98</v>
      </c>
      <c r="L1690" s="174" t="s">
        <v>71</v>
      </c>
      <c r="M1690" s="131" t="s">
        <v>72</v>
      </c>
      <c r="N1690" s="130" t="s">
        <v>73</v>
      </c>
      <c r="O1690" s="219" t="s">
        <v>99</v>
      </c>
      <c r="P1690" s="130" t="s">
        <v>98</v>
      </c>
      <c r="Q1690" s="132" t="s">
        <v>93</v>
      </c>
      <c r="R1690" s="218">
        <v>3.4300000999999996</v>
      </c>
      <c r="S1690" s="129">
        <v>1</v>
      </c>
      <c r="T1690" s="129">
        <v>206.5</v>
      </c>
      <c r="U1690" s="129">
        <v>206.5</v>
      </c>
      <c r="V1690" s="129">
        <v>37.17</v>
      </c>
      <c r="W1690" s="129">
        <v>243.67</v>
      </c>
      <c r="X1690" s="27">
        <f t="shared" si="194"/>
        <v>708.29502064999986</v>
      </c>
    </row>
    <row r="1691" spans="1:24" x14ac:dyDescent="0.2">
      <c r="A1691" s="220">
        <v>43889</v>
      </c>
      <c r="B1691" s="130" t="s">
        <v>68</v>
      </c>
      <c r="C1691" s="130" t="s">
        <v>102</v>
      </c>
      <c r="D1691" s="130" t="s">
        <v>3155</v>
      </c>
      <c r="E1691" s="130" t="s">
        <v>3213</v>
      </c>
      <c r="F1691" s="130" t="s">
        <v>3212</v>
      </c>
      <c r="G1691" s="220">
        <v>43880</v>
      </c>
      <c r="H1691" s="130" t="s">
        <v>90</v>
      </c>
      <c r="I1691" s="130" t="s">
        <v>91</v>
      </c>
      <c r="J1691" s="130" t="s">
        <v>100</v>
      </c>
      <c r="K1691" s="130" t="s">
        <v>101</v>
      </c>
      <c r="L1691" s="174" t="s">
        <v>71</v>
      </c>
      <c r="M1691" s="131" t="s">
        <v>72</v>
      </c>
      <c r="N1691" s="130" t="s">
        <v>73</v>
      </c>
      <c r="O1691" s="219" t="s">
        <v>72</v>
      </c>
      <c r="P1691" s="130" t="s">
        <v>101</v>
      </c>
      <c r="Q1691" s="132" t="s">
        <v>93</v>
      </c>
      <c r="R1691" s="218">
        <v>3.4300000999999996</v>
      </c>
      <c r="S1691" s="129">
        <v>1</v>
      </c>
      <c r="T1691" s="129">
        <v>292.5</v>
      </c>
      <c r="U1691" s="129">
        <v>292.5</v>
      </c>
      <c r="V1691" s="129">
        <v>52.649990000000031</v>
      </c>
      <c r="W1691" s="129">
        <v>345.14999000000006</v>
      </c>
      <c r="X1691" s="27">
        <f t="shared" si="194"/>
        <v>1003.2750292499999</v>
      </c>
    </row>
    <row r="1692" spans="1:24" x14ac:dyDescent="0.2">
      <c r="A1692" s="220">
        <v>43889</v>
      </c>
      <c r="B1692" s="130" t="s">
        <v>68</v>
      </c>
      <c r="C1692" s="130" t="s">
        <v>102</v>
      </c>
      <c r="D1692" s="130" t="s">
        <v>3155</v>
      </c>
      <c r="E1692" s="130" t="s">
        <v>3213</v>
      </c>
      <c r="F1692" s="130" t="s">
        <v>3212</v>
      </c>
      <c r="G1692" s="220">
        <v>43880</v>
      </c>
      <c r="H1692" s="130" t="s">
        <v>90</v>
      </c>
      <c r="I1692" s="130" t="s">
        <v>91</v>
      </c>
      <c r="J1692" s="130" t="s">
        <v>95</v>
      </c>
      <c r="K1692" s="130" t="s">
        <v>96</v>
      </c>
      <c r="L1692" s="174" t="s">
        <v>71</v>
      </c>
      <c r="M1692" s="131" t="s">
        <v>72</v>
      </c>
      <c r="N1692" s="130" t="s">
        <v>73</v>
      </c>
      <c r="O1692" s="219" t="s">
        <v>69</v>
      </c>
      <c r="P1692" s="130" t="s">
        <v>1699</v>
      </c>
      <c r="Q1692" s="132" t="s">
        <v>93</v>
      </c>
      <c r="R1692" s="218">
        <v>3.4300000999999996</v>
      </c>
      <c r="S1692" s="129">
        <v>-1</v>
      </c>
      <c r="T1692" s="129">
        <v>122.9576</v>
      </c>
      <c r="U1692" s="129">
        <v>-122.9576</v>
      </c>
      <c r="V1692" s="129">
        <v>-22.132399999999997</v>
      </c>
      <c r="W1692" s="129">
        <v>-145.09</v>
      </c>
      <c r="X1692" s="27">
        <f t="shared" si="194"/>
        <v>-421.74458029575993</v>
      </c>
    </row>
    <row r="1693" spans="1:24" x14ac:dyDescent="0.2">
      <c r="A1693" s="220">
        <v>43889</v>
      </c>
      <c r="B1693" s="130" t="s">
        <v>68</v>
      </c>
      <c r="C1693" s="130" t="s">
        <v>102</v>
      </c>
      <c r="D1693" s="130" t="s">
        <v>3155</v>
      </c>
      <c r="E1693" s="130" t="s">
        <v>3213</v>
      </c>
      <c r="F1693" s="130" t="s">
        <v>3212</v>
      </c>
      <c r="G1693" s="220">
        <v>43880</v>
      </c>
      <c r="H1693" s="130" t="s">
        <v>90</v>
      </c>
      <c r="I1693" s="130" t="s">
        <v>91</v>
      </c>
      <c r="J1693" s="130" t="s">
        <v>104</v>
      </c>
      <c r="K1693" s="130" t="s">
        <v>105</v>
      </c>
      <c r="L1693" s="174" t="s">
        <v>71</v>
      </c>
      <c r="M1693" s="131" t="s">
        <v>72</v>
      </c>
      <c r="N1693" s="130" t="s">
        <v>73</v>
      </c>
      <c r="O1693" s="219" t="s">
        <v>69</v>
      </c>
      <c r="P1693" s="130" t="s">
        <v>1699</v>
      </c>
      <c r="Q1693" s="132" t="s">
        <v>93</v>
      </c>
      <c r="R1693" s="218">
        <v>3.4300000999999996</v>
      </c>
      <c r="S1693" s="129">
        <v>1</v>
      </c>
      <c r="T1693" s="129">
        <v>0</v>
      </c>
      <c r="U1693" s="129">
        <v>0</v>
      </c>
      <c r="V1693" s="129">
        <v>0</v>
      </c>
      <c r="W1693" s="129">
        <v>0</v>
      </c>
      <c r="X1693" s="27">
        <f t="shared" si="194"/>
        <v>0</v>
      </c>
    </row>
    <row r="1694" spans="1:24" x14ac:dyDescent="0.2">
      <c r="A1694" s="220">
        <v>43889</v>
      </c>
      <c r="B1694" s="130" t="s">
        <v>68</v>
      </c>
      <c r="C1694" s="130" t="s">
        <v>102</v>
      </c>
      <c r="D1694" s="130" t="s">
        <v>3211</v>
      </c>
      <c r="E1694" s="130" t="s">
        <v>3163</v>
      </c>
      <c r="F1694" s="130" t="s">
        <v>3198</v>
      </c>
      <c r="G1694" s="220">
        <v>43879</v>
      </c>
      <c r="H1694" s="130" t="s">
        <v>90</v>
      </c>
      <c r="I1694" s="130" t="s">
        <v>91</v>
      </c>
      <c r="J1694" s="130" t="s">
        <v>97</v>
      </c>
      <c r="K1694" s="130" t="s">
        <v>98</v>
      </c>
      <c r="L1694" s="174" t="s">
        <v>71</v>
      </c>
      <c r="M1694" s="131" t="s">
        <v>72</v>
      </c>
      <c r="N1694" s="130" t="s">
        <v>73</v>
      </c>
      <c r="O1694" s="219" t="s">
        <v>99</v>
      </c>
      <c r="P1694" s="130" t="s">
        <v>98</v>
      </c>
      <c r="Q1694" s="132" t="s">
        <v>93</v>
      </c>
      <c r="R1694" s="218">
        <v>3.4300000999999996</v>
      </c>
      <c r="S1694" s="129">
        <v>1</v>
      </c>
      <c r="T1694" s="129">
        <v>708</v>
      </c>
      <c r="U1694" s="129">
        <v>708</v>
      </c>
      <c r="V1694" s="129">
        <v>127.44</v>
      </c>
      <c r="W1694" s="129">
        <v>835.44</v>
      </c>
      <c r="X1694" s="27">
        <f t="shared" si="194"/>
        <v>2428.4400707999998</v>
      </c>
    </row>
    <row r="1695" spans="1:24" x14ac:dyDescent="0.2">
      <c r="A1695" s="220">
        <v>43889</v>
      </c>
      <c r="B1695" s="130" t="s">
        <v>68</v>
      </c>
      <c r="C1695" s="130" t="s">
        <v>102</v>
      </c>
      <c r="D1695" s="130" t="s">
        <v>3211</v>
      </c>
      <c r="E1695" s="130" t="s">
        <v>3163</v>
      </c>
      <c r="F1695" s="130" t="s">
        <v>3198</v>
      </c>
      <c r="G1695" s="220">
        <v>43879</v>
      </c>
      <c r="H1695" s="130" t="s">
        <v>90</v>
      </c>
      <c r="I1695" s="130" t="s">
        <v>91</v>
      </c>
      <c r="J1695" s="130" t="s">
        <v>100</v>
      </c>
      <c r="K1695" s="130" t="s">
        <v>101</v>
      </c>
      <c r="L1695" s="174" t="s">
        <v>71</v>
      </c>
      <c r="M1695" s="131" t="s">
        <v>72</v>
      </c>
      <c r="N1695" s="130" t="s">
        <v>73</v>
      </c>
      <c r="O1695" s="219" t="s">
        <v>72</v>
      </c>
      <c r="P1695" s="130" t="s">
        <v>101</v>
      </c>
      <c r="Q1695" s="132" t="s">
        <v>93</v>
      </c>
      <c r="R1695" s="218">
        <v>3.4300000999999996</v>
      </c>
      <c r="S1695" s="129">
        <v>1</v>
      </c>
      <c r="T1695" s="129">
        <v>180</v>
      </c>
      <c r="U1695" s="129">
        <v>180</v>
      </c>
      <c r="V1695" s="129">
        <v>32.39998999999996</v>
      </c>
      <c r="W1695" s="129">
        <v>212.39998999999997</v>
      </c>
      <c r="X1695" s="27">
        <f t="shared" si="194"/>
        <v>617.40001799999993</v>
      </c>
    </row>
    <row r="1696" spans="1:24" x14ac:dyDescent="0.2">
      <c r="A1696" s="220">
        <v>43889</v>
      </c>
      <c r="B1696" s="130" t="s">
        <v>68</v>
      </c>
      <c r="C1696" s="130" t="s">
        <v>102</v>
      </c>
      <c r="D1696" s="130" t="s">
        <v>3211</v>
      </c>
      <c r="E1696" s="130" t="s">
        <v>3163</v>
      </c>
      <c r="F1696" s="130" t="s">
        <v>3198</v>
      </c>
      <c r="G1696" s="220">
        <v>43879</v>
      </c>
      <c r="H1696" s="130" t="s">
        <v>90</v>
      </c>
      <c r="I1696" s="130" t="s">
        <v>91</v>
      </c>
      <c r="J1696" s="130" t="s">
        <v>95</v>
      </c>
      <c r="K1696" s="130" t="s">
        <v>96</v>
      </c>
      <c r="L1696" s="174" t="s">
        <v>71</v>
      </c>
      <c r="M1696" s="131" t="s">
        <v>72</v>
      </c>
      <c r="N1696" s="130" t="s">
        <v>73</v>
      </c>
      <c r="O1696" s="219" t="s">
        <v>69</v>
      </c>
      <c r="P1696" s="130" t="s">
        <v>1699</v>
      </c>
      <c r="Q1696" s="132" t="s">
        <v>93</v>
      </c>
      <c r="R1696" s="218">
        <v>3.4300000999999996</v>
      </c>
      <c r="S1696" s="129">
        <v>-1</v>
      </c>
      <c r="T1696" s="129">
        <v>100</v>
      </c>
      <c r="U1696" s="129">
        <v>-100</v>
      </c>
      <c r="V1696" s="129">
        <v>-18</v>
      </c>
      <c r="W1696" s="129">
        <v>-118</v>
      </c>
      <c r="X1696" s="27">
        <f t="shared" si="194"/>
        <v>-343.00000999999997</v>
      </c>
    </row>
    <row r="1697" spans="1:24" x14ac:dyDescent="0.2">
      <c r="A1697" s="220">
        <v>43889</v>
      </c>
      <c r="B1697" s="130" t="s">
        <v>68</v>
      </c>
      <c r="C1697" s="130" t="s">
        <v>102</v>
      </c>
      <c r="D1697" s="130" t="s">
        <v>3211</v>
      </c>
      <c r="E1697" s="130" t="s">
        <v>3163</v>
      </c>
      <c r="F1697" s="130" t="s">
        <v>3198</v>
      </c>
      <c r="G1697" s="220">
        <v>43879</v>
      </c>
      <c r="H1697" s="130" t="s">
        <v>90</v>
      </c>
      <c r="I1697" s="130" t="s">
        <v>91</v>
      </c>
      <c r="J1697" s="130" t="s">
        <v>104</v>
      </c>
      <c r="K1697" s="130" t="s">
        <v>105</v>
      </c>
      <c r="L1697" s="174" t="s">
        <v>71</v>
      </c>
      <c r="M1697" s="131" t="s">
        <v>72</v>
      </c>
      <c r="N1697" s="130" t="s">
        <v>73</v>
      </c>
      <c r="O1697" s="219" t="s">
        <v>69</v>
      </c>
      <c r="P1697" s="130" t="s">
        <v>1699</v>
      </c>
      <c r="Q1697" s="132" t="s">
        <v>93</v>
      </c>
      <c r="R1697" s="218">
        <v>3.4300000999999996</v>
      </c>
      <c r="S1697" s="129">
        <v>1</v>
      </c>
      <c r="T1697" s="129">
        <v>0</v>
      </c>
      <c r="U1697" s="129">
        <v>0</v>
      </c>
      <c r="V1697" s="129">
        <v>0</v>
      </c>
      <c r="W1697" s="129">
        <v>0</v>
      </c>
      <c r="X1697" s="27">
        <f t="shared" si="194"/>
        <v>0</v>
      </c>
    </row>
    <row r="1698" spans="1:24" x14ac:dyDescent="0.2">
      <c r="A1698" s="220">
        <v>43889</v>
      </c>
      <c r="B1698" s="130" t="s">
        <v>68</v>
      </c>
      <c r="C1698" s="130" t="s">
        <v>102</v>
      </c>
      <c r="D1698" s="130" t="s">
        <v>3210</v>
      </c>
      <c r="E1698" s="130" t="s">
        <v>3181</v>
      </c>
      <c r="F1698" s="130" t="s">
        <v>3208</v>
      </c>
      <c r="G1698" s="220">
        <v>43885</v>
      </c>
      <c r="H1698" s="130" t="s">
        <v>3207</v>
      </c>
      <c r="I1698" s="130" t="s">
        <v>3206</v>
      </c>
      <c r="J1698" s="130" t="s">
        <v>97</v>
      </c>
      <c r="K1698" s="130" t="s">
        <v>98</v>
      </c>
      <c r="L1698" s="174" t="s">
        <v>71</v>
      </c>
      <c r="M1698" s="131" t="s">
        <v>72</v>
      </c>
      <c r="N1698" s="130" t="s">
        <v>73</v>
      </c>
      <c r="O1698" s="219" t="s">
        <v>99</v>
      </c>
      <c r="P1698" s="130" t="s">
        <v>98</v>
      </c>
      <c r="Q1698" s="132" t="s">
        <v>93</v>
      </c>
      <c r="R1698" s="218">
        <v>3.4300000999999996</v>
      </c>
      <c r="S1698" s="129">
        <v>1</v>
      </c>
      <c r="T1698" s="129">
        <v>100</v>
      </c>
      <c r="U1698" s="129">
        <v>100</v>
      </c>
      <c r="V1698" s="129">
        <v>18</v>
      </c>
      <c r="W1698" s="129">
        <v>118</v>
      </c>
      <c r="X1698" s="27">
        <f t="shared" si="194"/>
        <v>343.00000999999997</v>
      </c>
    </row>
    <row r="1699" spans="1:24" x14ac:dyDescent="0.2">
      <c r="A1699" s="220">
        <v>43889</v>
      </c>
      <c r="B1699" s="130" t="s">
        <v>68</v>
      </c>
      <c r="C1699" s="130" t="s">
        <v>102</v>
      </c>
      <c r="D1699" s="130" t="s">
        <v>3210</v>
      </c>
      <c r="E1699" s="130" t="s">
        <v>3181</v>
      </c>
      <c r="F1699" s="130" t="s">
        <v>3208</v>
      </c>
      <c r="G1699" s="220">
        <v>43885</v>
      </c>
      <c r="H1699" s="130" t="s">
        <v>3207</v>
      </c>
      <c r="I1699" s="130" t="s">
        <v>3206</v>
      </c>
      <c r="J1699" s="130" t="s">
        <v>100</v>
      </c>
      <c r="K1699" s="130" t="s">
        <v>101</v>
      </c>
      <c r="L1699" s="174" t="s">
        <v>71</v>
      </c>
      <c r="M1699" s="131" t="s">
        <v>72</v>
      </c>
      <c r="N1699" s="130" t="s">
        <v>73</v>
      </c>
      <c r="O1699" s="219" t="s">
        <v>72</v>
      </c>
      <c r="P1699" s="130" t="s">
        <v>101</v>
      </c>
      <c r="Q1699" s="132" t="s">
        <v>93</v>
      </c>
      <c r="R1699" s="218">
        <v>3.4300000999999996</v>
      </c>
      <c r="S1699" s="129">
        <v>1</v>
      </c>
      <c r="T1699" s="129">
        <v>60</v>
      </c>
      <c r="U1699" s="129">
        <v>60</v>
      </c>
      <c r="V1699" s="129">
        <v>10.800002999999997</v>
      </c>
      <c r="W1699" s="129">
        <v>70.800003000000004</v>
      </c>
      <c r="X1699" s="27">
        <f t="shared" si="194"/>
        <v>205.80000599999997</v>
      </c>
    </row>
    <row r="1700" spans="1:24" x14ac:dyDescent="0.2">
      <c r="A1700" s="220">
        <v>43889</v>
      </c>
      <c r="B1700" s="130" t="s">
        <v>68</v>
      </c>
      <c r="C1700" s="130" t="s">
        <v>102</v>
      </c>
      <c r="D1700" s="130" t="s">
        <v>3210</v>
      </c>
      <c r="E1700" s="130" t="s">
        <v>3181</v>
      </c>
      <c r="F1700" s="130" t="s">
        <v>3208</v>
      </c>
      <c r="G1700" s="220">
        <v>43885</v>
      </c>
      <c r="H1700" s="130" t="s">
        <v>3207</v>
      </c>
      <c r="I1700" s="130" t="s">
        <v>3206</v>
      </c>
      <c r="J1700" s="130" t="s">
        <v>92</v>
      </c>
      <c r="K1700" s="130" t="s">
        <v>113</v>
      </c>
      <c r="L1700" s="174" t="s">
        <v>71</v>
      </c>
      <c r="M1700" s="131" t="s">
        <v>72</v>
      </c>
      <c r="N1700" s="130" t="s">
        <v>73</v>
      </c>
      <c r="O1700" s="219" t="s">
        <v>69</v>
      </c>
      <c r="P1700" s="130" t="s">
        <v>1699</v>
      </c>
      <c r="Q1700" s="132" t="s">
        <v>93</v>
      </c>
      <c r="R1700" s="218">
        <v>3.4300000999999996</v>
      </c>
      <c r="S1700" s="129">
        <v>1</v>
      </c>
      <c r="T1700" s="129">
        <v>40</v>
      </c>
      <c r="U1700" s="129">
        <v>40</v>
      </c>
      <c r="V1700" s="129">
        <v>7.2000010000000021</v>
      </c>
      <c r="W1700" s="129">
        <v>47.200001</v>
      </c>
      <c r="X1700" s="27">
        <f t="shared" si="194"/>
        <v>137.20000399999998</v>
      </c>
    </row>
    <row r="1701" spans="1:24" x14ac:dyDescent="0.2">
      <c r="A1701" s="220">
        <v>43889</v>
      </c>
      <c r="B1701" s="130" t="s">
        <v>68</v>
      </c>
      <c r="C1701" s="130" t="s">
        <v>102</v>
      </c>
      <c r="D1701" s="130" t="s">
        <v>3210</v>
      </c>
      <c r="E1701" s="130" t="s">
        <v>3181</v>
      </c>
      <c r="F1701" s="130" t="s">
        <v>3208</v>
      </c>
      <c r="G1701" s="220">
        <v>43885</v>
      </c>
      <c r="H1701" s="130" t="s">
        <v>3207</v>
      </c>
      <c r="I1701" s="130" t="s">
        <v>3206</v>
      </c>
      <c r="J1701" s="130" t="s">
        <v>95</v>
      </c>
      <c r="K1701" s="130" t="s">
        <v>96</v>
      </c>
      <c r="L1701" s="174" t="s">
        <v>71</v>
      </c>
      <c r="M1701" s="131" t="s">
        <v>72</v>
      </c>
      <c r="N1701" s="130" t="s">
        <v>73</v>
      </c>
      <c r="O1701" s="219" t="s">
        <v>69</v>
      </c>
      <c r="P1701" s="130" t="s">
        <v>1699</v>
      </c>
      <c r="Q1701" s="132" t="s">
        <v>93</v>
      </c>
      <c r="R1701" s="218">
        <v>3.4300000999999996</v>
      </c>
      <c r="S1701" s="129">
        <v>-1</v>
      </c>
      <c r="T1701" s="129">
        <v>150</v>
      </c>
      <c r="U1701" s="129">
        <v>-150</v>
      </c>
      <c r="V1701" s="129">
        <v>-27</v>
      </c>
      <c r="W1701" s="129">
        <v>-177</v>
      </c>
      <c r="X1701" s="27">
        <f t="shared" si="194"/>
        <v>-514.50001499999996</v>
      </c>
    </row>
    <row r="1702" spans="1:24" x14ac:dyDescent="0.2">
      <c r="A1702" s="220">
        <v>43889</v>
      </c>
      <c r="B1702" s="130" t="s">
        <v>68</v>
      </c>
      <c r="C1702" s="130" t="s">
        <v>102</v>
      </c>
      <c r="D1702" s="130" t="s">
        <v>3209</v>
      </c>
      <c r="E1702" s="130" t="s">
        <v>1022</v>
      </c>
      <c r="F1702" s="130" t="s">
        <v>3208</v>
      </c>
      <c r="G1702" s="220">
        <v>43885</v>
      </c>
      <c r="H1702" s="130" t="s">
        <v>3207</v>
      </c>
      <c r="I1702" s="130" t="s">
        <v>3206</v>
      </c>
      <c r="J1702" s="130" t="s">
        <v>97</v>
      </c>
      <c r="K1702" s="130" t="s">
        <v>98</v>
      </c>
      <c r="L1702" s="174" t="s">
        <v>71</v>
      </c>
      <c r="M1702" s="131" t="s">
        <v>72</v>
      </c>
      <c r="N1702" s="130" t="s">
        <v>73</v>
      </c>
      <c r="O1702" s="219" t="s">
        <v>99</v>
      </c>
      <c r="P1702" s="130" t="s">
        <v>98</v>
      </c>
      <c r="Q1702" s="132" t="s">
        <v>93</v>
      </c>
      <c r="R1702" s="218">
        <v>3.4300000999999996</v>
      </c>
      <c r="S1702" s="129">
        <v>1</v>
      </c>
      <c r="T1702" s="129">
        <v>75</v>
      </c>
      <c r="U1702" s="129">
        <v>75</v>
      </c>
      <c r="V1702" s="129">
        <v>13.5</v>
      </c>
      <c r="W1702" s="129">
        <v>88.5</v>
      </c>
      <c r="X1702" s="27">
        <f t="shared" si="194"/>
        <v>257.25000749999998</v>
      </c>
    </row>
    <row r="1703" spans="1:24" x14ac:dyDescent="0.2">
      <c r="A1703" s="220">
        <v>43889</v>
      </c>
      <c r="B1703" s="130" t="s">
        <v>68</v>
      </c>
      <c r="C1703" s="130" t="s">
        <v>102</v>
      </c>
      <c r="D1703" s="130" t="s">
        <v>3209</v>
      </c>
      <c r="E1703" s="130" t="s">
        <v>1022</v>
      </c>
      <c r="F1703" s="130" t="s">
        <v>3208</v>
      </c>
      <c r="G1703" s="220">
        <v>43885</v>
      </c>
      <c r="H1703" s="130" t="s">
        <v>3207</v>
      </c>
      <c r="I1703" s="130" t="s">
        <v>3206</v>
      </c>
      <c r="J1703" s="130" t="s">
        <v>100</v>
      </c>
      <c r="K1703" s="130" t="s">
        <v>101</v>
      </c>
      <c r="L1703" s="174" t="s">
        <v>71</v>
      </c>
      <c r="M1703" s="131" t="s">
        <v>72</v>
      </c>
      <c r="N1703" s="130" t="s">
        <v>73</v>
      </c>
      <c r="O1703" s="219" t="s">
        <v>72</v>
      </c>
      <c r="P1703" s="130" t="s">
        <v>101</v>
      </c>
      <c r="Q1703" s="132" t="s">
        <v>93</v>
      </c>
      <c r="R1703" s="218">
        <v>3.4300000999999996</v>
      </c>
      <c r="S1703" s="129">
        <v>1</v>
      </c>
      <c r="T1703" s="129">
        <v>80</v>
      </c>
      <c r="U1703" s="129">
        <v>80</v>
      </c>
      <c r="V1703" s="129">
        <v>14.400002000000004</v>
      </c>
      <c r="W1703" s="129">
        <v>94.400002000000001</v>
      </c>
      <c r="X1703" s="27">
        <f t="shared" si="194"/>
        <v>274.40000799999996</v>
      </c>
    </row>
    <row r="1704" spans="1:24" x14ac:dyDescent="0.2">
      <c r="A1704" s="220">
        <v>43889</v>
      </c>
      <c r="B1704" s="130" t="s">
        <v>68</v>
      </c>
      <c r="C1704" s="130" t="s">
        <v>102</v>
      </c>
      <c r="D1704" s="130" t="s">
        <v>3209</v>
      </c>
      <c r="E1704" s="130" t="s">
        <v>1022</v>
      </c>
      <c r="F1704" s="130" t="s">
        <v>3208</v>
      </c>
      <c r="G1704" s="220">
        <v>43885</v>
      </c>
      <c r="H1704" s="130" t="s">
        <v>3207</v>
      </c>
      <c r="I1704" s="130" t="s">
        <v>3206</v>
      </c>
      <c r="J1704" s="130" t="s">
        <v>95</v>
      </c>
      <c r="K1704" s="130" t="s">
        <v>96</v>
      </c>
      <c r="L1704" s="174" t="s">
        <v>71</v>
      </c>
      <c r="M1704" s="131" t="s">
        <v>72</v>
      </c>
      <c r="N1704" s="130" t="s">
        <v>73</v>
      </c>
      <c r="O1704" s="219" t="s">
        <v>69</v>
      </c>
      <c r="P1704" s="130" t="s">
        <v>1699</v>
      </c>
      <c r="Q1704" s="132" t="s">
        <v>93</v>
      </c>
      <c r="R1704" s="218">
        <v>3.4300000999999996</v>
      </c>
      <c r="S1704" s="129">
        <v>-1</v>
      </c>
      <c r="T1704" s="129">
        <v>150</v>
      </c>
      <c r="U1704" s="129">
        <v>-150</v>
      </c>
      <c r="V1704" s="129">
        <v>-27</v>
      </c>
      <c r="W1704" s="129">
        <v>-177</v>
      </c>
      <c r="X1704" s="27">
        <f t="shared" si="194"/>
        <v>-514.50001499999996</v>
      </c>
    </row>
    <row r="1705" spans="1:24" x14ac:dyDescent="0.2">
      <c r="A1705" s="220">
        <v>43889</v>
      </c>
      <c r="B1705" s="130" t="s">
        <v>68</v>
      </c>
      <c r="C1705" s="130" t="s">
        <v>102</v>
      </c>
      <c r="D1705" s="130" t="s">
        <v>3205</v>
      </c>
      <c r="E1705" s="130" t="s">
        <v>3165</v>
      </c>
      <c r="F1705" s="130" t="s">
        <v>3195</v>
      </c>
      <c r="G1705" s="220">
        <v>43879</v>
      </c>
      <c r="H1705" s="130" t="s">
        <v>90</v>
      </c>
      <c r="I1705" s="130" t="s">
        <v>91</v>
      </c>
      <c r="J1705" s="130" t="s">
        <v>97</v>
      </c>
      <c r="K1705" s="130" t="s">
        <v>98</v>
      </c>
      <c r="L1705" s="174" t="s">
        <v>71</v>
      </c>
      <c r="M1705" s="131" t="s">
        <v>72</v>
      </c>
      <c r="N1705" s="130" t="s">
        <v>73</v>
      </c>
      <c r="O1705" s="219" t="s">
        <v>99</v>
      </c>
      <c r="P1705" s="130" t="s">
        <v>98</v>
      </c>
      <c r="Q1705" s="132" t="s">
        <v>93</v>
      </c>
      <c r="R1705" s="218">
        <v>3.4300000999999996</v>
      </c>
      <c r="S1705" s="129">
        <v>1</v>
      </c>
      <c r="T1705" s="129">
        <v>354</v>
      </c>
      <c r="U1705" s="129">
        <v>354</v>
      </c>
      <c r="V1705" s="129">
        <v>63.72</v>
      </c>
      <c r="W1705" s="129">
        <v>417.72</v>
      </c>
      <c r="X1705" s="27">
        <f t="shared" si="194"/>
        <v>1214.2200353999999</v>
      </c>
    </row>
    <row r="1706" spans="1:24" x14ac:dyDescent="0.2">
      <c r="A1706" s="220">
        <v>43889</v>
      </c>
      <c r="B1706" s="130" t="s">
        <v>68</v>
      </c>
      <c r="C1706" s="130" t="s">
        <v>102</v>
      </c>
      <c r="D1706" s="130" t="s">
        <v>3205</v>
      </c>
      <c r="E1706" s="130" t="s">
        <v>3165</v>
      </c>
      <c r="F1706" s="130" t="s">
        <v>3195</v>
      </c>
      <c r="G1706" s="220">
        <v>43879</v>
      </c>
      <c r="H1706" s="130" t="s">
        <v>90</v>
      </c>
      <c r="I1706" s="130" t="s">
        <v>91</v>
      </c>
      <c r="J1706" s="130" t="s">
        <v>100</v>
      </c>
      <c r="K1706" s="130" t="s">
        <v>101</v>
      </c>
      <c r="L1706" s="174" t="s">
        <v>71</v>
      </c>
      <c r="M1706" s="131" t="s">
        <v>72</v>
      </c>
      <c r="N1706" s="130" t="s">
        <v>73</v>
      </c>
      <c r="O1706" s="219" t="s">
        <v>72</v>
      </c>
      <c r="P1706" s="130" t="s">
        <v>101</v>
      </c>
      <c r="Q1706" s="132" t="s">
        <v>93</v>
      </c>
      <c r="R1706" s="218">
        <v>3.4300000999999996</v>
      </c>
      <c r="S1706" s="129">
        <v>1</v>
      </c>
      <c r="T1706" s="129">
        <v>300</v>
      </c>
      <c r="U1706" s="129">
        <v>300</v>
      </c>
      <c r="V1706" s="129">
        <v>54</v>
      </c>
      <c r="W1706" s="129">
        <v>354</v>
      </c>
      <c r="X1706" s="27">
        <f t="shared" si="194"/>
        <v>1029.0000299999999</v>
      </c>
    </row>
    <row r="1707" spans="1:24" x14ac:dyDescent="0.2">
      <c r="A1707" s="220">
        <v>43889</v>
      </c>
      <c r="B1707" s="130" t="s">
        <v>68</v>
      </c>
      <c r="C1707" s="130" t="s">
        <v>102</v>
      </c>
      <c r="D1707" s="130" t="s">
        <v>3205</v>
      </c>
      <c r="E1707" s="130" t="s">
        <v>3165</v>
      </c>
      <c r="F1707" s="130" t="s">
        <v>3195</v>
      </c>
      <c r="G1707" s="220">
        <v>43879</v>
      </c>
      <c r="H1707" s="130" t="s">
        <v>90</v>
      </c>
      <c r="I1707" s="130" t="s">
        <v>91</v>
      </c>
      <c r="J1707" s="130" t="s">
        <v>92</v>
      </c>
      <c r="K1707" s="130" t="s">
        <v>113</v>
      </c>
      <c r="L1707" s="174" t="s">
        <v>71</v>
      </c>
      <c r="M1707" s="131" t="s">
        <v>72</v>
      </c>
      <c r="N1707" s="130" t="s">
        <v>73</v>
      </c>
      <c r="O1707" s="219" t="s">
        <v>69</v>
      </c>
      <c r="P1707" s="130" t="s">
        <v>1699</v>
      </c>
      <c r="Q1707" s="132" t="s">
        <v>93</v>
      </c>
      <c r="R1707" s="218">
        <v>3.4300000999999996</v>
      </c>
      <c r="S1707" s="129">
        <v>1</v>
      </c>
      <c r="T1707" s="129">
        <v>130</v>
      </c>
      <c r="U1707" s="129">
        <v>130</v>
      </c>
      <c r="V1707" s="129">
        <v>23.399990000000017</v>
      </c>
      <c r="W1707" s="129">
        <v>153.39999</v>
      </c>
      <c r="X1707" s="27">
        <f t="shared" si="194"/>
        <v>445.90001299999994</v>
      </c>
    </row>
    <row r="1708" spans="1:24" x14ac:dyDescent="0.2">
      <c r="A1708" s="220">
        <v>43889</v>
      </c>
      <c r="B1708" s="130" t="s">
        <v>68</v>
      </c>
      <c r="C1708" s="130" t="s">
        <v>102</v>
      </c>
      <c r="D1708" s="130" t="s">
        <v>3205</v>
      </c>
      <c r="E1708" s="130" t="s">
        <v>3165</v>
      </c>
      <c r="F1708" s="130" t="s">
        <v>3195</v>
      </c>
      <c r="G1708" s="220">
        <v>43879</v>
      </c>
      <c r="H1708" s="130" t="s">
        <v>90</v>
      </c>
      <c r="I1708" s="130" t="s">
        <v>91</v>
      </c>
      <c r="J1708" s="130" t="s">
        <v>95</v>
      </c>
      <c r="K1708" s="130" t="s">
        <v>96</v>
      </c>
      <c r="L1708" s="174" t="s">
        <v>71</v>
      </c>
      <c r="M1708" s="131" t="s">
        <v>72</v>
      </c>
      <c r="N1708" s="130" t="s">
        <v>73</v>
      </c>
      <c r="O1708" s="219" t="s">
        <v>69</v>
      </c>
      <c r="P1708" s="130" t="s">
        <v>1699</v>
      </c>
      <c r="Q1708" s="132" t="s">
        <v>93</v>
      </c>
      <c r="R1708" s="218">
        <v>3.4300000999999996</v>
      </c>
      <c r="S1708" s="129">
        <v>-1</v>
      </c>
      <c r="T1708" s="129">
        <v>100</v>
      </c>
      <c r="U1708" s="129">
        <v>-100</v>
      </c>
      <c r="V1708" s="129">
        <v>-18</v>
      </c>
      <c r="W1708" s="129">
        <v>-118</v>
      </c>
      <c r="X1708" s="27">
        <f t="shared" si="194"/>
        <v>-343.00000999999997</v>
      </c>
    </row>
    <row r="1709" spans="1:24" x14ac:dyDescent="0.2">
      <c r="A1709" s="220">
        <v>43889</v>
      </c>
      <c r="B1709" s="130" t="s">
        <v>68</v>
      </c>
      <c r="C1709" s="130" t="s">
        <v>102</v>
      </c>
      <c r="D1709" s="130" t="s">
        <v>3205</v>
      </c>
      <c r="E1709" s="130" t="s">
        <v>3165</v>
      </c>
      <c r="F1709" s="130" t="s">
        <v>3195</v>
      </c>
      <c r="G1709" s="220">
        <v>43879</v>
      </c>
      <c r="H1709" s="130" t="s">
        <v>90</v>
      </c>
      <c r="I1709" s="130" t="s">
        <v>91</v>
      </c>
      <c r="J1709" s="130" t="s">
        <v>104</v>
      </c>
      <c r="K1709" s="130" t="s">
        <v>105</v>
      </c>
      <c r="L1709" s="174" t="s">
        <v>71</v>
      </c>
      <c r="M1709" s="131" t="s">
        <v>72</v>
      </c>
      <c r="N1709" s="130" t="s">
        <v>73</v>
      </c>
      <c r="O1709" s="219" t="s">
        <v>69</v>
      </c>
      <c r="P1709" s="130" t="s">
        <v>1699</v>
      </c>
      <c r="Q1709" s="132" t="s">
        <v>93</v>
      </c>
      <c r="R1709" s="218">
        <v>3.4300000999999996</v>
      </c>
      <c r="S1709" s="129">
        <v>1</v>
      </c>
      <c r="T1709" s="129">
        <v>0</v>
      </c>
      <c r="U1709" s="129">
        <v>0</v>
      </c>
      <c r="V1709" s="129">
        <v>0</v>
      </c>
      <c r="W1709" s="129">
        <v>0</v>
      </c>
      <c r="X1709" s="27">
        <f t="shared" si="194"/>
        <v>0</v>
      </c>
    </row>
    <row r="1710" spans="1:24" x14ac:dyDescent="0.2">
      <c r="A1710" s="220">
        <v>43862</v>
      </c>
      <c r="B1710" s="130" t="s">
        <v>111</v>
      </c>
      <c r="C1710" s="130" t="s">
        <v>102</v>
      </c>
      <c r="D1710" s="130" t="s">
        <v>623</v>
      </c>
      <c r="E1710" s="130" t="s">
        <v>2670</v>
      </c>
      <c r="F1710" s="130" t="s">
        <v>3052</v>
      </c>
      <c r="G1710" s="220">
        <v>43852</v>
      </c>
      <c r="H1710" s="130" t="s">
        <v>3051</v>
      </c>
      <c r="I1710" s="130" t="s">
        <v>3050</v>
      </c>
      <c r="J1710" s="130" t="s">
        <v>95</v>
      </c>
      <c r="K1710" s="130" t="s">
        <v>96</v>
      </c>
      <c r="L1710" s="174" t="s">
        <v>71</v>
      </c>
      <c r="M1710" s="131" t="s">
        <v>72</v>
      </c>
      <c r="N1710" s="130" t="s">
        <v>73</v>
      </c>
      <c r="O1710" s="219" t="s">
        <v>69</v>
      </c>
      <c r="P1710" s="130" t="s">
        <v>1699</v>
      </c>
      <c r="Q1710" s="132" t="s">
        <v>93</v>
      </c>
      <c r="R1710" s="218">
        <v>3.3759999000000001</v>
      </c>
      <c r="S1710" s="129">
        <v>1</v>
      </c>
      <c r="T1710" s="129">
        <v>100</v>
      </c>
      <c r="U1710" s="129">
        <v>100</v>
      </c>
      <c r="V1710" s="129">
        <v>18</v>
      </c>
      <c r="W1710" s="129">
        <v>118</v>
      </c>
      <c r="X1710" s="27">
        <f t="shared" si="194"/>
        <v>337.59998999999999</v>
      </c>
    </row>
    <row r="1711" spans="1:24" x14ac:dyDescent="0.2">
      <c r="A1711" s="220">
        <v>43862</v>
      </c>
      <c r="B1711" s="130" t="s">
        <v>111</v>
      </c>
      <c r="C1711" s="130" t="s">
        <v>102</v>
      </c>
      <c r="D1711" s="130" t="s">
        <v>622</v>
      </c>
      <c r="E1711" s="130" t="s">
        <v>2672</v>
      </c>
      <c r="F1711" s="130" t="s">
        <v>3052</v>
      </c>
      <c r="G1711" s="220">
        <v>43852</v>
      </c>
      <c r="H1711" s="130" t="s">
        <v>3051</v>
      </c>
      <c r="I1711" s="130" t="s">
        <v>3050</v>
      </c>
      <c r="J1711" s="130" t="s">
        <v>95</v>
      </c>
      <c r="K1711" s="130" t="s">
        <v>96</v>
      </c>
      <c r="L1711" s="174" t="s">
        <v>71</v>
      </c>
      <c r="M1711" s="131" t="s">
        <v>72</v>
      </c>
      <c r="N1711" s="130" t="s">
        <v>73</v>
      </c>
      <c r="O1711" s="219" t="s">
        <v>69</v>
      </c>
      <c r="P1711" s="130" t="s">
        <v>1699</v>
      </c>
      <c r="Q1711" s="132" t="s">
        <v>93</v>
      </c>
      <c r="R1711" s="218">
        <v>3.3759999000000001</v>
      </c>
      <c r="S1711" s="129">
        <v>1</v>
      </c>
      <c r="T1711" s="129">
        <v>100</v>
      </c>
      <c r="U1711" s="129">
        <v>100</v>
      </c>
      <c r="V1711" s="129">
        <v>18</v>
      </c>
      <c r="W1711" s="129">
        <v>118</v>
      </c>
      <c r="X1711" s="27">
        <f t="shared" si="194"/>
        <v>337.59998999999999</v>
      </c>
    </row>
    <row r="1712" spans="1:24" x14ac:dyDescent="0.2">
      <c r="A1712" s="220">
        <v>43866</v>
      </c>
      <c r="B1712" s="130" t="s">
        <v>111</v>
      </c>
      <c r="C1712" s="130" t="s">
        <v>102</v>
      </c>
      <c r="D1712" s="130" t="s">
        <v>1838</v>
      </c>
      <c r="E1712" s="130" t="s">
        <v>2679</v>
      </c>
      <c r="F1712" s="130" t="s">
        <v>2287</v>
      </c>
      <c r="G1712" s="220">
        <v>43858</v>
      </c>
      <c r="H1712" s="130" t="s">
        <v>2344</v>
      </c>
      <c r="I1712" s="130" t="s">
        <v>2345</v>
      </c>
      <c r="J1712" s="130" t="s">
        <v>95</v>
      </c>
      <c r="K1712" s="130" t="s">
        <v>96</v>
      </c>
      <c r="L1712" s="174" t="s">
        <v>71</v>
      </c>
      <c r="M1712" s="131" t="s">
        <v>72</v>
      </c>
      <c r="N1712" s="130" t="s">
        <v>73</v>
      </c>
      <c r="O1712" s="219" t="s">
        <v>69</v>
      </c>
      <c r="P1712" s="130" t="s">
        <v>1699</v>
      </c>
      <c r="Q1712" s="132" t="s">
        <v>93</v>
      </c>
      <c r="R1712" s="218">
        <v>3.3640001000000002</v>
      </c>
      <c r="S1712" s="129">
        <v>1</v>
      </c>
      <c r="T1712" s="129">
        <v>100</v>
      </c>
      <c r="U1712" s="129">
        <v>100</v>
      </c>
      <c r="V1712" s="129">
        <v>18</v>
      </c>
      <c r="W1712" s="129">
        <v>118</v>
      </c>
      <c r="X1712" s="27">
        <f t="shared" si="194"/>
        <v>336.40001000000001</v>
      </c>
    </row>
    <row r="1713" spans="1:24" x14ac:dyDescent="0.2">
      <c r="A1713" s="220">
        <v>43866</v>
      </c>
      <c r="B1713" s="130" t="s">
        <v>111</v>
      </c>
      <c r="C1713" s="130" t="s">
        <v>102</v>
      </c>
      <c r="D1713" s="130" t="s">
        <v>1837</v>
      </c>
      <c r="E1713" s="130" t="s">
        <v>2684</v>
      </c>
      <c r="F1713" s="130" t="s">
        <v>3038</v>
      </c>
      <c r="G1713" s="220">
        <v>43855</v>
      </c>
      <c r="H1713" s="130" t="s">
        <v>3037</v>
      </c>
      <c r="I1713" s="130" t="s">
        <v>3036</v>
      </c>
      <c r="J1713" s="130" t="s">
        <v>95</v>
      </c>
      <c r="K1713" s="130" t="s">
        <v>96</v>
      </c>
      <c r="L1713" s="174" t="s">
        <v>71</v>
      </c>
      <c r="M1713" s="131" t="s">
        <v>72</v>
      </c>
      <c r="N1713" s="130" t="s">
        <v>73</v>
      </c>
      <c r="O1713" s="219" t="s">
        <v>69</v>
      </c>
      <c r="P1713" s="130" t="s">
        <v>1699</v>
      </c>
      <c r="Q1713" s="132" t="s">
        <v>93</v>
      </c>
      <c r="R1713" s="218">
        <v>3.3640001000000002</v>
      </c>
      <c r="S1713" s="129">
        <v>1</v>
      </c>
      <c r="T1713" s="129">
        <v>184.1525</v>
      </c>
      <c r="U1713" s="129">
        <v>184.1525</v>
      </c>
      <c r="V1713" s="129">
        <v>33.147500000000001</v>
      </c>
      <c r="W1713" s="129">
        <v>217.3</v>
      </c>
      <c r="X1713" s="27">
        <f t="shared" si="194"/>
        <v>619.48902841525</v>
      </c>
    </row>
    <row r="1714" spans="1:24" x14ac:dyDescent="0.2">
      <c r="A1714" s="220">
        <v>43868</v>
      </c>
      <c r="B1714" s="130" t="s">
        <v>111</v>
      </c>
      <c r="C1714" s="130" t="s">
        <v>102</v>
      </c>
      <c r="D1714" s="130" t="s">
        <v>1834</v>
      </c>
      <c r="E1714" s="130" t="s">
        <v>2863</v>
      </c>
      <c r="F1714" s="130" t="s">
        <v>3049</v>
      </c>
      <c r="G1714" s="220">
        <v>43857</v>
      </c>
      <c r="H1714" s="130" t="s">
        <v>3048</v>
      </c>
      <c r="I1714" s="130" t="s">
        <v>3047</v>
      </c>
      <c r="J1714" s="130" t="s">
        <v>95</v>
      </c>
      <c r="K1714" s="130" t="s">
        <v>96</v>
      </c>
      <c r="L1714" s="174" t="s">
        <v>71</v>
      </c>
      <c r="M1714" s="131" t="s">
        <v>72</v>
      </c>
      <c r="N1714" s="130" t="s">
        <v>73</v>
      </c>
      <c r="O1714" s="219" t="s">
        <v>69</v>
      </c>
      <c r="P1714" s="130" t="s">
        <v>1699</v>
      </c>
      <c r="Q1714" s="132" t="s">
        <v>93</v>
      </c>
      <c r="R1714" s="218">
        <v>3.3710000999999998</v>
      </c>
      <c r="S1714" s="129">
        <v>1</v>
      </c>
      <c r="T1714" s="129">
        <v>100</v>
      </c>
      <c r="U1714" s="129">
        <v>100</v>
      </c>
      <c r="V1714" s="129">
        <v>18</v>
      </c>
      <c r="W1714" s="129">
        <v>118</v>
      </c>
      <c r="X1714" s="27">
        <f t="shared" si="194"/>
        <v>337.10001</v>
      </c>
    </row>
    <row r="1715" spans="1:24" x14ac:dyDescent="0.2">
      <c r="A1715" s="220">
        <v>43868</v>
      </c>
      <c r="B1715" s="130" t="s">
        <v>111</v>
      </c>
      <c r="C1715" s="130" t="s">
        <v>102</v>
      </c>
      <c r="D1715" s="130" t="s">
        <v>1833</v>
      </c>
      <c r="E1715" s="130" t="s">
        <v>3046</v>
      </c>
      <c r="F1715" s="130" t="s">
        <v>3045</v>
      </c>
      <c r="G1715" s="220">
        <v>43861</v>
      </c>
      <c r="H1715" s="130" t="s">
        <v>3044</v>
      </c>
      <c r="I1715" s="130" t="s">
        <v>3043</v>
      </c>
      <c r="J1715" s="130" t="s">
        <v>95</v>
      </c>
      <c r="K1715" s="130" t="s">
        <v>96</v>
      </c>
      <c r="L1715" s="174" t="s">
        <v>71</v>
      </c>
      <c r="M1715" s="131" t="s">
        <v>72</v>
      </c>
      <c r="N1715" s="130" t="s">
        <v>73</v>
      </c>
      <c r="O1715" s="219" t="s">
        <v>69</v>
      </c>
      <c r="P1715" s="130" t="s">
        <v>1699</v>
      </c>
      <c r="Q1715" s="132" t="s">
        <v>93</v>
      </c>
      <c r="R1715" s="218">
        <v>3.3710000999999998</v>
      </c>
      <c r="S1715" s="129">
        <v>1</v>
      </c>
      <c r="T1715" s="129">
        <v>141.05930000000001</v>
      </c>
      <c r="U1715" s="129">
        <v>141.05930000000001</v>
      </c>
      <c r="V1715" s="129">
        <v>25.390699999999995</v>
      </c>
      <c r="W1715" s="129">
        <v>166.45</v>
      </c>
      <c r="X1715" s="27">
        <f t="shared" si="194"/>
        <v>475.51091440593001</v>
      </c>
    </row>
    <row r="1716" spans="1:24" x14ac:dyDescent="0.2">
      <c r="A1716" s="220">
        <v>43869</v>
      </c>
      <c r="B1716" s="130" t="s">
        <v>111</v>
      </c>
      <c r="C1716" s="130" t="s">
        <v>102</v>
      </c>
      <c r="D1716" s="130" t="s">
        <v>1830</v>
      </c>
      <c r="E1716" s="130" t="s">
        <v>2687</v>
      </c>
      <c r="F1716" s="130" t="s">
        <v>3042</v>
      </c>
      <c r="G1716" s="220">
        <v>43858</v>
      </c>
      <c r="H1716" s="130" t="s">
        <v>3041</v>
      </c>
      <c r="I1716" s="130" t="s">
        <v>3040</v>
      </c>
      <c r="J1716" s="130" t="s">
        <v>95</v>
      </c>
      <c r="K1716" s="130" t="s">
        <v>96</v>
      </c>
      <c r="L1716" s="174" t="s">
        <v>71</v>
      </c>
      <c r="M1716" s="131" t="s">
        <v>72</v>
      </c>
      <c r="N1716" s="130" t="s">
        <v>73</v>
      </c>
      <c r="O1716" s="219" t="s">
        <v>69</v>
      </c>
      <c r="P1716" s="130" t="s">
        <v>1699</v>
      </c>
      <c r="Q1716" s="132" t="s">
        <v>93</v>
      </c>
      <c r="R1716" s="218">
        <v>3.3879999999999999</v>
      </c>
      <c r="S1716" s="129">
        <v>1</v>
      </c>
      <c r="T1716" s="129">
        <v>100</v>
      </c>
      <c r="U1716" s="129">
        <v>100</v>
      </c>
      <c r="V1716" s="129">
        <v>18</v>
      </c>
      <c r="W1716" s="129">
        <v>118</v>
      </c>
      <c r="X1716" s="27">
        <f t="shared" si="194"/>
        <v>338.8</v>
      </c>
    </row>
    <row r="1717" spans="1:24" x14ac:dyDescent="0.2">
      <c r="A1717" s="220">
        <v>43869</v>
      </c>
      <c r="B1717" s="130" t="s">
        <v>111</v>
      </c>
      <c r="C1717" s="130" t="s">
        <v>102</v>
      </c>
      <c r="D1717" s="130" t="s">
        <v>3039</v>
      </c>
      <c r="E1717" s="130" t="s">
        <v>2684</v>
      </c>
      <c r="F1717" s="130" t="s">
        <v>3038</v>
      </c>
      <c r="G1717" s="220">
        <v>43855</v>
      </c>
      <c r="H1717" s="130" t="s">
        <v>3037</v>
      </c>
      <c r="I1717" s="130" t="s">
        <v>3036</v>
      </c>
      <c r="J1717" s="130" t="s">
        <v>95</v>
      </c>
      <c r="K1717" s="130" t="s">
        <v>96</v>
      </c>
      <c r="L1717" s="174" t="s">
        <v>71</v>
      </c>
      <c r="M1717" s="131" t="s">
        <v>72</v>
      </c>
      <c r="N1717" s="130" t="s">
        <v>73</v>
      </c>
      <c r="O1717" s="219" t="s">
        <v>69</v>
      </c>
      <c r="P1717" s="130" t="s">
        <v>1699</v>
      </c>
      <c r="Q1717" s="132" t="s">
        <v>93</v>
      </c>
      <c r="R1717" s="218">
        <v>3.3879999999999999</v>
      </c>
      <c r="S1717" s="129">
        <v>1</v>
      </c>
      <c r="T1717" s="129">
        <v>0.49149999</v>
      </c>
      <c r="U1717" s="129">
        <v>0.49149999</v>
      </c>
      <c r="V1717" s="129">
        <v>8.8499989999999973E-2</v>
      </c>
      <c r="W1717" s="129">
        <v>0.57999997999999997</v>
      </c>
      <c r="X1717" s="27">
        <f t="shared" si="194"/>
        <v>1.6652019661199999</v>
      </c>
    </row>
    <row r="1718" spans="1:24" x14ac:dyDescent="0.2">
      <c r="A1718" s="220">
        <v>43872</v>
      </c>
      <c r="B1718" s="130" t="s">
        <v>111</v>
      </c>
      <c r="C1718" s="130" t="s">
        <v>102</v>
      </c>
      <c r="D1718" s="130" t="s">
        <v>1827</v>
      </c>
      <c r="E1718" s="130" t="s">
        <v>2859</v>
      </c>
      <c r="F1718" s="130" t="s">
        <v>3035</v>
      </c>
      <c r="G1718" s="220">
        <v>43859</v>
      </c>
      <c r="H1718" s="130" t="s">
        <v>3034</v>
      </c>
      <c r="I1718" s="130" t="s">
        <v>3033</v>
      </c>
      <c r="J1718" s="130" t="s">
        <v>95</v>
      </c>
      <c r="K1718" s="130" t="s">
        <v>96</v>
      </c>
      <c r="L1718" s="174" t="s">
        <v>71</v>
      </c>
      <c r="M1718" s="131" t="s">
        <v>72</v>
      </c>
      <c r="N1718" s="130" t="s">
        <v>73</v>
      </c>
      <c r="O1718" s="219" t="s">
        <v>69</v>
      </c>
      <c r="P1718" s="130" t="s">
        <v>1699</v>
      </c>
      <c r="Q1718" s="132" t="s">
        <v>93</v>
      </c>
      <c r="R1718" s="218">
        <v>3.3940001</v>
      </c>
      <c r="S1718" s="129">
        <v>1</v>
      </c>
      <c r="T1718" s="129">
        <v>50</v>
      </c>
      <c r="U1718" s="129">
        <v>50</v>
      </c>
      <c r="V1718" s="129">
        <v>9</v>
      </c>
      <c r="W1718" s="129">
        <v>59</v>
      </c>
      <c r="X1718" s="27">
        <f t="shared" si="194"/>
        <v>169.700005</v>
      </c>
    </row>
    <row r="1719" spans="1:24" x14ac:dyDescent="0.2">
      <c r="A1719" s="220">
        <v>43875</v>
      </c>
      <c r="B1719" s="130" t="s">
        <v>111</v>
      </c>
      <c r="C1719" s="130" t="s">
        <v>102</v>
      </c>
      <c r="D1719" s="130" t="s">
        <v>1826</v>
      </c>
      <c r="E1719" s="130" t="s">
        <v>2880</v>
      </c>
      <c r="F1719" s="130" t="s">
        <v>3032</v>
      </c>
      <c r="G1719" s="220">
        <v>43866</v>
      </c>
      <c r="H1719" s="130" t="s">
        <v>3031</v>
      </c>
      <c r="I1719" s="130" t="s">
        <v>3030</v>
      </c>
      <c r="J1719" s="130" t="s">
        <v>95</v>
      </c>
      <c r="K1719" s="130" t="s">
        <v>96</v>
      </c>
      <c r="L1719" s="174" t="s">
        <v>71</v>
      </c>
      <c r="M1719" s="131" t="s">
        <v>72</v>
      </c>
      <c r="N1719" s="130" t="s">
        <v>73</v>
      </c>
      <c r="O1719" s="219" t="s">
        <v>69</v>
      </c>
      <c r="P1719" s="130" t="s">
        <v>1699</v>
      </c>
      <c r="Q1719" s="132" t="s">
        <v>93</v>
      </c>
      <c r="R1719" s="218">
        <v>3.3849999999999998</v>
      </c>
      <c r="S1719" s="129">
        <v>1</v>
      </c>
      <c r="T1719" s="129">
        <v>333.78809000000001</v>
      </c>
      <c r="U1719" s="129">
        <v>333.78809000000001</v>
      </c>
      <c r="V1719" s="129">
        <v>60.081909999999986</v>
      </c>
      <c r="W1719" s="129">
        <v>393.87</v>
      </c>
      <c r="X1719" s="27">
        <f t="shared" si="194"/>
        <v>1129.8726846499999</v>
      </c>
    </row>
    <row r="1720" spans="1:24" x14ac:dyDescent="0.2">
      <c r="A1720" s="220">
        <v>43875</v>
      </c>
      <c r="B1720" s="130" t="s">
        <v>111</v>
      </c>
      <c r="C1720" s="130" t="s">
        <v>102</v>
      </c>
      <c r="D1720" s="130" t="s">
        <v>1824</v>
      </c>
      <c r="E1720" s="130" t="s">
        <v>3029</v>
      </c>
      <c r="F1720" s="130" t="s">
        <v>3028</v>
      </c>
      <c r="G1720" s="220">
        <v>43871</v>
      </c>
      <c r="H1720" s="130" t="s">
        <v>3027</v>
      </c>
      <c r="I1720" s="130" t="s">
        <v>3026</v>
      </c>
      <c r="J1720" s="130" t="s">
        <v>115</v>
      </c>
      <c r="K1720" s="130" t="s">
        <v>138</v>
      </c>
      <c r="L1720" s="174" t="s">
        <v>71</v>
      </c>
      <c r="M1720" s="131" t="s">
        <v>72</v>
      </c>
      <c r="N1720" s="130" t="s">
        <v>73</v>
      </c>
      <c r="O1720" s="219" t="s">
        <v>69</v>
      </c>
      <c r="P1720" s="130" t="s">
        <v>1699</v>
      </c>
      <c r="Q1720" s="132" t="s">
        <v>93</v>
      </c>
      <c r="R1720" s="218">
        <v>3.3849999999999998</v>
      </c>
      <c r="S1720" s="129">
        <v>-1</v>
      </c>
      <c r="T1720" s="129">
        <v>22</v>
      </c>
      <c r="U1720" s="129">
        <v>-22</v>
      </c>
      <c r="V1720" s="129">
        <v>-3.9599990000000025</v>
      </c>
      <c r="W1720" s="129">
        <v>-25.959999000000003</v>
      </c>
      <c r="X1720" s="27">
        <f t="shared" si="194"/>
        <v>-74.47</v>
      </c>
    </row>
    <row r="1721" spans="1:24" x14ac:dyDescent="0.2">
      <c r="A1721" s="220">
        <v>43875</v>
      </c>
      <c r="B1721" s="130" t="s">
        <v>111</v>
      </c>
      <c r="C1721" s="130" t="s">
        <v>102</v>
      </c>
      <c r="D1721" s="130" t="s">
        <v>1824</v>
      </c>
      <c r="E1721" s="130" t="s">
        <v>3029</v>
      </c>
      <c r="F1721" s="130" t="s">
        <v>3028</v>
      </c>
      <c r="G1721" s="220">
        <v>43871</v>
      </c>
      <c r="H1721" s="130" t="s">
        <v>3027</v>
      </c>
      <c r="I1721" s="130" t="s">
        <v>3026</v>
      </c>
      <c r="J1721" s="130" t="s">
        <v>70</v>
      </c>
      <c r="K1721" s="130" t="s">
        <v>112</v>
      </c>
      <c r="L1721" s="174" t="s">
        <v>71</v>
      </c>
      <c r="M1721" s="131" t="s">
        <v>72</v>
      </c>
      <c r="N1721" s="130" t="s">
        <v>73</v>
      </c>
      <c r="O1721" s="219" t="s">
        <v>69</v>
      </c>
      <c r="P1721" s="130" t="s">
        <v>1699</v>
      </c>
      <c r="Q1721" s="132" t="s">
        <v>93</v>
      </c>
      <c r="R1721" s="218">
        <v>3.3849999999999998</v>
      </c>
      <c r="S1721" s="129">
        <v>1</v>
      </c>
      <c r="T1721" s="129">
        <v>45</v>
      </c>
      <c r="U1721" s="129">
        <v>45</v>
      </c>
      <c r="V1721" s="129">
        <v>8.0999980000000047</v>
      </c>
      <c r="W1721" s="129">
        <v>53.099998000000006</v>
      </c>
      <c r="X1721" s="27">
        <f t="shared" si="194"/>
        <v>152.32499999999999</v>
      </c>
    </row>
    <row r="1722" spans="1:24" x14ac:dyDescent="0.2">
      <c r="A1722" s="220">
        <v>43875</v>
      </c>
      <c r="B1722" s="130" t="s">
        <v>111</v>
      </c>
      <c r="C1722" s="130" t="s">
        <v>102</v>
      </c>
      <c r="D1722" s="130" t="s">
        <v>1824</v>
      </c>
      <c r="E1722" s="130" t="s">
        <v>3029</v>
      </c>
      <c r="F1722" s="130" t="s">
        <v>3028</v>
      </c>
      <c r="G1722" s="220">
        <v>43871</v>
      </c>
      <c r="H1722" s="130" t="s">
        <v>3027</v>
      </c>
      <c r="I1722" s="130" t="s">
        <v>3026</v>
      </c>
      <c r="J1722" s="130" t="s">
        <v>104</v>
      </c>
      <c r="K1722" s="130" t="s">
        <v>105</v>
      </c>
      <c r="L1722" s="174" t="s">
        <v>71</v>
      </c>
      <c r="M1722" s="131" t="s">
        <v>72</v>
      </c>
      <c r="N1722" s="130" t="s">
        <v>73</v>
      </c>
      <c r="O1722" s="219" t="s">
        <v>69</v>
      </c>
      <c r="P1722" s="130" t="s">
        <v>1699</v>
      </c>
      <c r="Q1722" s="132" t="s">
        <v>93</v>
      </c>
      <c r="R1722" s="218">
        <v>3.3849999999999998</v>
      </c>
      <c r="S1722" s="129">
        <v>1</v>
      </c>
      <c r="T1722" s="129">
        <v>65</v>
      </c>
      <c r="U1722" s="129">
        <v>65</v>
      </c>
      <c r="V1722" s="129">
        <v>11.699996999999994</v>
      </c>
      <c r="W1722" s="129">
        <v>76.699996999999996</v>
      </c>
      <c r="X1722" s="27">
        <f t="shared" si="194"/>
        <v>220.02499999999998</v>
      </c>
    </row>
    <row r="1723" spans="1:24" x14ac:dyDescent="0.2">
      <c r="A1723" s="220">
        <v>43875</v>
      </c>
      <c r="B1723" s="130" t="s">
        <v>111</v>
      </c>
      <c r="C1723" s="130" t="s">
        <v>102</v>
      </c>
      <c r="D1723" s="130" t="s">
        <v>620</v>
      </c>
      <c r="E1723" s="130" t="s">
        <v>2884</v>
      </c>
      <c r="F1723" s="130" t="s">
        <v>3028</v>
      </c>
      <c r="G1723" s="220">
        <v>43871</v>
      </c>
      <c r="H1723" s="130" t="s">
        <v>3027</v>
      </c>
      <c r="I1723" s="130" t="s">
        <v>3026</v>
      </c>
      <c r="J1723" s="130" t="s">
        <v>115</v>
      </c>
      <c r="K1723" s="130" t="s">
        <v>138</v>
      </c>
      <c r="L1723" s="174" t="s">
        <v>71</v>
      </c>
      <c r="M1723" s="131" t="s">
        <v>72</v>
      </c>
      <c r="N1723" s="130" t="s">
        <v>73</v>
      </c>
      <c r="O1723" s="219" t="s">
        <v>69</v>
      </c>
      <c r="P1723" s="130" t="s">
        <v>1699</v>
      </c>
      <c r="Q1723" s="132" t="s">
        <v>74</v>
      </c>
      <c r="R1723" s="218">
        <v>3.3849999999999998</v>
      </c>
      <c r="S1723" s="129">
        <v>1</v>
      </c>
      <c r="T1723" s="129">
        <v>0</v>
      </c>
      <c r="U1723" s="129">
        <v>0</v>
      </c>
      <c r="V1723" s="129">
        <v>0</v>
      </c>
      <c r="W1723" s="129">
        <v>0</v>
      </c>
      <c r="X1723" s="27">
        <f t="shared" si="194"/>
        <v>0</v>
      </c>
    </row>
    <row r="1724" spans="1:24" x14ac:dyDescent="0.2">
      <c r="A1724" s="220">
        <v>43875</v>
      </c>
      <c r="B1724" s="130" t="s">
        <v>111</v>
      </c>
      <c r="C1724" s="130" t="s">
        <v>102</v>
      </c>
      <c r="D1724" s="130" t="s">
        <v>620</v>
      </c>
      <c r="E1724" s="130" t="s">
        <v>2884</v>
      </c>
      <c r="F1724" s="130" t="s">
        <v>3028</v>
      </c>
      <c r="G1724" s="220">
        <v>43871</v>
      </c>
      <c r="H1724" s="130" t="s">
        <v>3027</v>
      </c>
      <c r="I1724" s="130" t="s">
        <v>3026</v>
      </c>
      <c r="J1724" s="130" t="s">
        <v>70</v>
      </c>
      <c r="K1724" s="130" t="s">
        <v>112</v>
      </c>
      <c r="L1724" s="174" t="s">
        <v>71</v>
      </c>
      <c r="M1724" s="131" t="s">
        <v>72</v>
      </c>
      <c r="N1724" s="130" t="s">
        <v>73</v>
      </c>
      <c r="O1724" s="219" t="s">
        <v>69</v>
      </c>
      <c r="P1724" s="130" t="s">
        <v>1699</v>
      </c>
      <c r="Q1724" s="132" t="s">
        <v>74</v>
      </c>
      <c r="R1724" s="218">
        <v>3.3849999999999998</v>
      </c>
      <c r="S1724" s="129">
        <v>1</v>
      </c>
      <c r="T1724" s="129">
        <v>279</v>
      </c>
      <c r="U1724" s="129">
        <v>279</v>
      </c>
      <c r="V1724" s="129">
        <v>50.22</v>
      </c>
      <c r="W1724" s="129">
        <v>329.22</v>
      </c>
      <c r="X1724" s="27">
        <f t="shared" si="194"/>
        <v>279</v>
      </c>
    </row>
    <row r="1725" spans="1:24" x14ac:dyDescent="0.2">
      <c r="A1725" s="220">
        <v>43875</v>
      </c>
      <c r="B1725" s="130" t="s">
        <v>111</v>
      </c>
      <c r="C1725" s="130" t="s">
        <v>102</v>
      </c>
      <c r="D1725" s="130" t="s">
        <v>620</v>
      </c>
      <c r="E1725" s="130" t="s">
        <v>2884</v>
      </c>
      <c r="F1725" s="130" t="s">
        <v>3028</v>
      </c>
      <c r="G1725" s="220">
        <v>43871</v>
      </c>
      <c r="H1725" s="130" t="s">
        <v>3027</v>
      </c>
      <c r="I1725" s="130" t="s">
        <v>3026</v>
      </c>
      <c r="J1725" s="130" t="s">
        <v>104</v>
      </c>
      <c r="K1725" s="130" t="s">
        <v>105</v>
      </c>
      <c r="L1725" s="174" t="s">
        <v>71</v>
      </c>
      <c r="M1725" s="131" t="s">
        <v>72</v>
      </c>
      <c r="N1725" s="130" t="s">
        <v>73</v>
      </c>
      <c r="O1725" s="219" t="s">
        <v>69</v>
      </c>
      <c r="P1725" s="130" t="s">
        <v>1699</v>
      </c>
      <c r="Q1725" s="132" t="s">
        <v>74</v>
      </c>
      <c r="R1725" s="218">
        <v>3.3849999999999998</v>
      </c>
      <c r="S1725" s="129">
        <v>1</v>
      </c>
      <c r="T1725" s="129">
        <v>0</v>
      </c>
      <c r="U1725" s="129">
        <v>0</v>
      </c>
      <c r="V1725" s="129">
        <v>0</v>
      </c>
      <c r="W1725" s="129">
        <v>0</v>
      </c>
      <c r="X1725" s="27">
        <f t="shared" si="194"/>
        <v>0</v>
      </c>
    </row>
    <row r="1726" spans="1:24" x14ac:dyDescent="0.2">
      <c r="A1726" s="220">
        <v>43875</v>
      </c>
      <c r="B1726" s="130" t="s">
        <v>111</v>
      </c>
      <c r="C1726" s="130" t="s">
        <v>102</v>
      </c>
      <c r="D1726" s="130" t="s">
        <v>619</v>
      </c>
      <c r="E1726" s="130" t="s">
        <v>2891</v>
      </c>
      <c r="F1726" s="130" t="s">
        <v>2751</v>
      </c>
      <c r="G1726" s="220">
        <v>43871</v>
      </c>
      <c r="H1726" s="130" t="s">
        <v>2750</v>
      </c>
      <c r="I1726" s="130" t="s">
        <v>2749</v>
      </c>
      <c r="J1726" s="130" t="s">
        <v>97</v>
      </c>
      <c r="K1726" s="130" t="s">
        <v>98</v>
      </c>
      <c r="L1726" s="174" t="s">
        <v>71</v>
      </c>
      <c r="M1726" s="131" t="s">
        <v>72</v>
      </c>
      <c r="N1726" s="130" t="s">
        <v>73</v>
      </c>
      <c r="O1726" s="219" t="s">
        <v>99</v>
      </c>
      <c r="P1726" s="130" t="s">
        <v>98</v>
      </c>
      <c r="Q1726" s="132" t="s">
        <v>93</v>
      </c>
      <c r="R1726" s="218">
        <v>3.3849999999999998</v>
      </c>
      <c r="S1726" s="129">
        <v>1</v>
      </c>
      <c r="T1726" s="129">
        <v>53.432200999999985</v>
      </c>
      <c r="U1726" s="129">
        <v>53.432200999999985</v>
      </c>
      <c r="V1726" s="129">
        <v>9.6177980000000023</v>
      </c>
      <c r="W1726" s="129">
        <v>63.049998999999985</v>
      </c>
      <c r="X1726" s="27">
        <f t="shared" si="194"/>
        <v>180.86800038499993</v>
      </c>
    </row>
    <row r="1727" spans="1:24" x14ac:dyDescent="0.2">
      <c r="A1727" s="220">
        <v>43875</v>
      </c>
      <c r="B1727" s="130" t="s">
        <v>111</v>
      </c>
      <c r="C1727" s="130" t="s">
        <v>102</v>
      </c>
      <c r="D1727" s="130" t="s">
        <v>619</v>
      </c>
      <c r="E1727" s="130" t="s">
        <v>2891</v>
      </c>
      <c r="F1727" s="130" t="s">
        <v>2751</v>
      </c>
      <c r="G1727" s="220">
        <v>43871</v>
      </c>
      <c r="H1727" s="130" t="s">
        <v>2750</v>
      </c>
      <c r="I1727" s="130" t="s">
        <v>2749</v>
      </c>
      <c r="J1727" s="130" t="s">
        <v>100</v>
      </c>
      <c r="K1727" s="130" t="s">
        <v>101</v>
      </c>
      <c r="L1727" s="174" t="s">
        <v>71</v>
      </c>
      <c r="M1727" s="131" t="s">
        <v>72</v>
      </c>
      <c r="N1727" s="130" t="s">
        <v>73</v>
      </c>
      <c r="O1727" s="219" t="s">
        <v>72</v>
      </c>
      <c r="P1727" s="130" t="s">
        <v>101</v>
      </c>
      <c r="Q1727" s="132" t="s">
        <v>93</v>
      </c>
      <c r="R1727" s="218">
        <v>3.3849999999999998</v>
      </c>
      <c r="S1727" s="129">
        <v>1</v>
      </c>
      <c r="T1727" s="129">
        <v>22.5</v>
      </c>
      <c r="U1727" s="129">
        <v>22.5</v>
      </c>
      <c r="V1727" s="129">
        <v>4.0499990000000023</v>
      </c>
      <c r="W1727" s="129">
        <v>26.549999000000003</v>
      </c>
      <c r="X1727" s="27">
        <f t="shared" si="194"/>
        <v>76.162499999999994</v>
      </c>
    </row>
    <row r="1728" spans="1:24" x14ac:dyDescent="0.2">
      <c r="A1728" s="220">
        <v>43875</v>
      </c>
      <c r="B1728" s="130" t="s">
        <v>111</v>
      </c>
      <c r="C1728" s="130" t="s">
        <v>102</v>
      </c>
      <c r="D1728" s="130" t="s">
        <v>619</v>
      </c>
      <c r="E1728" s="130" t="s">
        <v>2891</v>
      </c>
      <c r="F1728" s="130" t="s">
        <v>2751</v>
      </c>
      <c r="G1728" s="220">
        <v>43871</v>
      </c>
      <c r="H1728" s="130" t="s">
        <v>2750</v>
      </c>
      <c r="I1728" s="130" t="s">
        <v>2749</v>
      </c>
      <c r="J1728" s="130" t="s">
        <v>92</v>
      </c>
      <c r="K1728" s="130" t="s">
        <v>113</v>
      </c>
      <c r="L1728" s="174" t="s">
        <v>71</v>
      </c>
      <c r="M1728" s="131" t="s">
        <v>72</v>
      </c>
      <c r="N1728" s="130" t="s">
        <v>73</v>
      </c>
      <c r="O1728" s="219" t="s">
        <v>69</v>
      </c>
      <c r="P1728" s="130" t="s">
        <v>1699</v>
      </c>
      <c r="Q1728" s="132" t="s">
        <v>93</v>
      </c>
      <c r="R1728" s="218">
        <v>3.3849999999999998</v>
      </c>
      <c r="S1728" s="129">
        <v>1</v>
      </c>
      <c r="T1728" s="129">
        <v>30</v>
      </c>
      <c r="U1728" s="129">
        <v>30</v>
      </c>
      <c r="V1728" s="129">
        <v>5.4000019999999997</v>
      </c>
      <c r="W1728" s="129">
        <v>35.400002000000001</v>
      </c>
      <c r="X1728" s="27">
        <f t="shared" si="194"/>
        <v>101.55</v>
      </c>
    </row>
    <row r="1729" spans="1:24" x14ac:dyDescent="0.2">
      <c r="A1729" s="220">
        <v>43876</v>
      </c>
      <c r="B1729" s="130" t="s">
        <v>111</v>
      </c>
      <c r="C1729" s="130" t="s">
        <v>102</v>
      </c>
      <c r="D1729" s="130" t="s">
        <v>1820</v>
      </c>
      <c r="E1729" s="130" t="s">
        <v>2901</v>
      </c>
      <c r="F1729" s="130" t="s">
        <v>3025</v>
      </c>
      <c r="G1729" s="220">
        <v>43871</v>
      </c>
      <c r="H1729" s="130" t="s">
        <v>3024</v>
      </c>
      <c r="I1729" s="130" t="s">
        <v>3023</v>
      </c>
      <c r="J1729" s="130" t="s">
        <v>95</v>
      </c>
      <c r="K1729" s="130" t="s">
        <v>96</v>
      </c>
      <c r="L1729" s="174" t="s">
        <v>71</v>
      </c>
      <c r="M1729" s="131" t="s">
        <v>72</v>
      </c>
      <c r="N1729" s="130" t="s">
        <v>73</v>
      </c>
      <c r="O1729" s="219" t="s">
        <v>69</v>
      </c>
      <c r="P1729" s="130" t="s">
        <v>1699</v>
      </c>
      <c r="Q1729" s="132" t="s">
        <v>93</v>
      </c>
      <c r="R1729" s="218">
        <v>3.3840001000000002</v>
      </c>
      <c r="S1729" s="129">
        <v>1</v>
      </c>
      <c r="T1729" s="129">
        <v>70</v>
      </c>
      <c r="U1729" s="129">
        <v>70</v>
      </c>
      <c r="V1729" s="129">
        <v>12.599997999999978</v>
      </c>
      <c r="W1729" s="129">
        <v>82.599997999999971</v>
      </c>
      <c r="X1729" s="27">
        <f t="shared" si="194"/>
        <v>236.88000700000001</v>
      </c>
    </row>
    <row r="1730" spans="1:24" x14ac:dyDescent="0.2">
      <c r="A1730" s="220">
        <v>43876</v>
      </c>
      <c r="B1730" s="130" t="s">
        <v>111</v>
      </c>
      <c r="C1730" s="130" t="s">
        <v>102</v>
      </c>
      <c r="D1730" s="130" t="s">
        <v>618</v>
      </c>
      <c r="E1730" s="130" t="s">
        <v>2879</v>
      </c>
      <c r="F1730" s="130" t="s">
        <v>3021</v>
      </c>
      <c r="G1730" s="220">
        <v>43867</v>
      </c>
      <c r="H1730" s="130" t="s">
        <v>3020</v>
      </c>
      <c r="I1730" s="130" t="s">
        <v>3019</v>
      </c>
      <c r="J1730" s="130" t="s">
        <v>95</v>
      </c>
      <c r="K1730" s="130" t="s">
        <v>96</v>
      </c>
      <c r="L1730" s="174" t="s">
        <v>71</v>
      </c>
      <c r="M1730" s="131" t="s">
        <v>72</v>
      </c>
      <c r="N1730" s="130" t="s">
        <v>73</v>
      </c>
      <c r="O1730" s="219" t="s">
        <v>69</v>
      </c>
      <c r="P1730" s="130" t="s">
        <v>1699</v>
      </c>
      <c r="Q1730" s="132" t="s">
        <v>93</v>
      </c>
      <c r="R1730" s="218">
        <v>3.3840001000000002</v>
      </c>
      <c r="S1730" s="129">
        <v>1</v>
      </c>
      <c r="T1730" s="129">
        <v>100</v>
      </c>
      <c r="U1730" s="129">
        <v>100</v>
      </c>
      <c r="V1730" s="129">
        <v>18</v>
      </c>
      <c r="W1730" s="129">
        <v>118</v>
      </c>
      <c r="X1730" s="27">
        <f t="shared" si="194"/>
        <v>338.40001000000001</v>
      </c>
    </row>
    <row r="1731" spans="1:24" x14ac:dyDescent="0.2">
      <c r="A1731" s="220">
        <v>43876</v>
      </c>
      <c r="B1731" s="130" t="s">
        <v>111</v>
      </c>
      <c r="C1731" s="130" t="s">
        <v>102</v>
      </c>
      <c r="D1731" s="130" t="s">
        <v>1494</v>
      </c>
      <c r="E1731" s="130" t="s">
        <v>2865</v>
      </c>
      <c r="F1731" s="130" t="s">
        <v>3021</v>
      </c>
      <c r="G1731" s="220">
        <v>43860</v>
      </c>
      <c r="H1731" s="130" t="s">
        <v>3020</v>
      </c>
      <c r="I1731" s="130" t="s">
        <v>3019</v>
      </c>
      <c r="J1731" s="130" t="s">
        <v>95</v>
      </c>
      <c r="K1731" s="130" t="s">
        <v>96</v>
      </c>
      <c r="L1731" s="174" t="s">
        <v>71</v>
      </c>
      <c r="M1731" s="131" t="s">
        <v>72</v>
      </c>
      <c r="N1731" s="130" t="s">
        <v>73</v>
      </c>
      <c r="O1731" s="219" t="s">
        <v>69</v>
      </c>
      <c r="P1731" s="130" t="s">
        <v>1699</v>
      </c>
      <c r="Q1731" s="132" t="s">
        <v>93</v>
      </c>
      <c r="R1731" s="218">
        <v>3.3840001000000002</v>
      </c>
      <c r="S1731" s="129">
        <v>1</v>
      </c>
      <c r="T1731" s="129">
        <v>153.60169999999999</v>
      </c>
      <c r="U1731" s="129">
        <v>153.60169999999999</v>
      </c>
      <c r="V1731" s="129">
        <v>27.648300000000017</v>
      </c>
      <c r="W1731" s="129">
        <v>181.25</v>
      </c>
      <c r="X1731" s="27">
        <f t="shared" si="194"/>
        <v>519.78816816017002</v>
      </c>
    </row>
    <row r="1732" spans="1:24" x14ac:dyDescent="0.2">
      <c r="A1732" s="220">
        <v>43876</v>
      </c>
      <c r="B1732" s="130" t="s">
        <v>111</v>
      </c>
      <c r="C1732" s="130" t="s">
        <v>102</v>
      </c>
      <c r="D1732" s="130" t="s">
        <v>617</v>
      </c>
      <c r="E1732" s="130" t="s">
        <v>3022</v>
      </c>
      <c r="F1732" s="130" t="s">
        <v>3021</v>
      </c>
      <c r="G1732" s="220">
        <v>43872</v>
      </c>
      <c r="H1732" s="130" t="s">
        <v>3020</v>
      </c>
      <c r="I1732" s="130" t="s">
        <v>3019</v>
      </c>
      <c r="J1732" s="130" t="s">
        <v>92</v>
      </c>
      <c r="K1732" s="130" t="s">
        <v>113</v>
      </c>
      <c r="L1732" s="174" t="s">
        <v>71</v>
      </c>
      <c r="M1732" s="131" t="s">
        <v>72</v>
      </c>
      <c r="N1732" s="130" t="s">
        <v>73</v>
      </c>
      <c r="O1732" s="219" t="s">
        <v>69</v>
      </c>
      <c r="P1732" s="130" t="s">
        <v>1699</v>
      </c>
      <c r="Q1732" s="132" t="s">
        <v>74</v>
      </c>
      <c r="R1732" s="218">
        <v>3.3840001000000002</v>
      </c>
      <c r="S1732" s="129">
        <v>1</v>
      </c>
      <c r="T1732" s="129">
        <v>16.949200000000001</v>
      </c>
      <c r="U1732" s="129">
        <v>16.949200000000001</v>
      </c>
      <c r="V1732" s="129">
        <v>3.0507999999999993</v>
      </c>
      <c r="W1732" s="129">
        <v>20</v>
      </c>
      <c r="X1732" s="27">
        <f t="shared" si="194"/>
        <v>16.949200000000001</v>
      </c>
    </row>
    <row r="1733" spans="1:24" x14ac:dyDescent="0.2">
      <c r="A1733" s="220">
        <v>43876</v>
      </c>
      <c r="B1733" s="130" t="s">
        <v>111</v>
      </c>
      <c r="C1733" s="130" t="s">
        <v>102</v>
      </c>
      <c r="D1733" s="130" t="s">
        <v>617</v>
      </c>
      <c r="E1733" s="130" t="s">
        <v>3022</v>
      </c>
      <c r="F1733" s="130" t="s">
        <v>3021</v>
      </c>
      <c r="G1733" s="220">
        <v>43872</v>
      </c>
      <c r="H1733" s="130" t="s">
        <v>3020</v>
      </c>
      <c r="I1733" s="130" t="s">
        <v>3019</v>
      </c>
      <c r="J1733" s="130" t="s">
        <v>132</v>
      </c>
      <c r="K1733" s="130" t="s">
        <v>3018</v>
      </c>
      <c r="L1733" s="174" t="s">
        <v>71</v>
      </c>
      <c r="M1733" s="131" t="s">
        <v>72</v>
      </c>
      <c r="N1733" s="130" t="s">
        <v>73</v>
      </c>
      <c r="O1733" s="219" t="s">
        <v>69</v>
      </c>
      <c r="P1733" s="130" t="s">
        <v>1699</v>
      </c>
      <c r="Q1733" s="132" t="s">
        <v>74</v>
      </c>
      <c r="R1733" s="218">
        <v>3.3840001000000002</v>
      </c>
      <c r="S1733" s="129">
        <v>1</v>
      </c>
      <c r="T1733" s="129">
        <v>16.949200000000001</v>
      </c>
      <c r="U1733" s="129">
        <v>16.949200000000001</v>
      </c>
      <c r="V1733" s="129">
        <v>3.0507999999999993</v>
      </c>
      <c r="W1733" s="129">
        <v>20</v>
      </c>
      <c r="X1733" s="27">
        <f t="shared" ref="X1733:X1790" si="195">IF(Q1733="$",(U1733*R1733),U1733)</f>
        <v>16.949200000000001</v>
      </c>
    </row>
    <row r="1734" spans="1:24" x14ac:dyDescent="0.2">
      <c r="A1734" s="220">
        <v>43876</v>
      </c>
      <c r="B1734" s="130" t="s">
        <v>111</v>
      </c>
      <c r="C1734" s="130" t="s">
        <v>102</v>
      </c>
      <c r="D1734" s="130" t="s">
        <v>1817</v>
      </c>
      <c r="E1734" s="130" t="s">
        <v>2898</v>
      </c>
      <c r="F1734" s="130" t="s">
        <v>3017</v>
      </c>
      <c r="G1734" s="220">
        <v>43869</v>
      </c>
      <c r="H1734" s="130" t="s">
        <v>3016</v>
      </c>
      <c r="I1734" s="130" t="s">
        <v>3015</v>
      </c>
      <c r="J1734" s="130" t="s">
        <v>95</v>
      </c>
      <c r="K1734" s="130" t="s">
        <v>96</v>
      </c>
      <c r="L1734" s="174" t="s">
        <v>71</v>
      </c>
      <c r="M1734" s="131" t="s">
        <v>72</v>
      </c>
      <c r="N1734" s="130" t="s">
        <v>73</v>
      </c>
      <c r="O1734" s="219" t="s">
        <v>69</v>
      </c>
      <c r="P1734" s="130" t="s">
        <v>1699</v>
      </c>
      <c r="Q1734" s="132" t="s">
        <v>93</v>
      </c>
      <c r="R1734" s="218">
        <v>3.3840001000000002</v>
      </c>
      <c r="S1734" s="129">
        <v>1</v>
      </c>
      <c r="T1734" s="129">
        <v>100</v>
      </c>
      <c r="U1734" s="129">
        <v>100</v>
      </c>
      <c r="V1734" s="129">
        <v>18</v>
      </c>
      <c r="W1734" s="129">
        <v>118</v>
      </c>
      <c r="X1734" s="27">
        <f t="shared" si="195"/>
        <v>338.40001000000001</v>
      </c>
    </row>
    <row r="1735" spans="1:24" x14ac:dyDescent="0.2">
      <c r="A1735" s="220">
        <v>43876</v>
      </c>
      <c r="B1735" s="130" t="s">
        <v>111</v>
      </c>
      <c r="C1735" s="130" t="s">
        <v>102</v>
      </c>
      <c r="D1735" s="130" t="s">
        <v>1815</v>
      </c>
      <c r="E1735" s="130" t="s">
        <v>901</v>
      </c>
      <c r="F1735" s="130" t="s">
        <v>1228</v>
      </c>
      <c r="G1735" s="220">
        <v>43767</v>
      </c>
      <c r="H1735" s="130" t="s">
        <v>1745</v>
      </c>
      <c r="I1735" s="130" t="s">
        <v>1744</v>
      </c>
      <c r="J1735" s="130" t="s">
        <v>95</v>
      </c>
      <c r="K1735" s="130" t="s">
        <v>96</v>
      </c>
      <c r="L1735" s="174" t="s">
        <v>71</v>
      </c>
      <c r="M1735" s="131" t="s">
        <v>72</v>
      </c>
      <c r="N1735" s="130" t="s">
        <v>73</v>
      </c>
      <c r="O1735" s="219" t="s">
        <v>69</v>
      </c>
      <c r="P1735" s="130" t="s">
        <v>1699</v>
      </c>
      <c r="Q1735" s="132" t="s">
        <v>93</v>
      </c>
      <c r="R1735" s="218">
        <v>3.3840001000000002</v>
      </c>
      <c r="S1735" s="129">
        <v>1</v>
      </c>
      <c r="T1735" s="129">
        <v>14.957599999999999</v>
      </c>
      <c r="U1735" s="129">
        <v>14.957599999999999</v>
      </c>
      <c r="V1735" s="129">
        <v>2.6923999999999979</v>
      </c>
      <c r="W1735" s="129">
        <v>17.649999999999999</v>
      </c>
      <c r="X1735" s="27">
        <f t="shared" si="195"/>
        <v>50.61651989576</v>
      </c>
    </row>
    <row r="1736" spans="1:24" x14ac:dyDescent="0.2">
      <c r="A1736" s="220">
        <v>43878</v>
      </c>
      <c r="B1736" s="130" t="s">
        <v>111</v>
      </c>
      <c r="C1736" s="130" t="s">
        <v>102</v>
      </c>
      <c r="D1736" s="130" t="s">
        <v>1814</v>
      </c>
      <c r="E1736" s="130" t="s">
        <v>2876</v>
      </c>
      <c r="F1736" s="130" t="s">
        <v>3014</v>
      </c>
      <c r="G1736" s="220">
        <v>43865</v>
      </c>
      <c r="H1736" s="130" t="s">
        <v>3013</v>
      </c>
      <c r="I1736" s="130" t="s">
        <v>3012</v>
      </c>
      <c r="J1736" s="130" t="s">
        <v>95</v>
      </c>
      <c r="K1736" s="130" t="s">
        <v>96</v>
      </c>
      <c r="L1736" s="174" t="s">
        <v>71</v>
      </c>
      <c r="M1736" s="131" t="s">
        <v>72</v>
      </c>
      <c r="N1736" s="130" t="s">
        <v>73</v>
      </c>
      <c r="O1736" s="219" t="s">
        <v>69</v>
      </c>
      <c r="P1736" s="130" t="s">
        <v>1699</v>
      </c>
      <c r="Q1736" s="132" t="s">
        <v>93</v>
      </c>
      <c r="R1736" s="218">
        <v>3.3840001000000002</v>
      </c>
      <c r="S1736" s="129">
        <v>1</v>
      </c>
      <c r="T1736" s="129">
        <v>100</v>
      </c>
      <c r="U1736" s="129">
        <v>100</v>
      </c>
      <c r="V1736" s="129">
        <v>18</v>
      </c>
      <c r="W1736" s="129">
        <v>118</v>
      </c>
      <c r="X1736" s="27">
        <f t="shared" si="195"/>
        <v>338.40001000000001</v>
      </c>
    </row>
    <row r="1737" spans="1:24" x14ac:dyDescent="0.2">
      <c r="A1737" s="220">
        <v>43878</v>
      </c>
      <c r="B1737" s="130" t="s">
        <v>111</v>
      </c>
      <c r="C1737" s="130" t="s">
        <v>102</v>
      </c>
      <c r="D1737" s="130" t="s">
        <v>1813</v>
      </c>
      <c r="E1737" s="130" t="s">
        <v>2894</v>
      </c>
      <c r="F1737" s="130" t="s">
        <v>3009</v>
      </c>
      <c r="G1737" s="220">
        <v>43851</v>
      </c>
      <c r="H1737" s="130" t="s">
        <v>3008</v>
      </c>
      <c r="I1737" s="130" t="s">
        <v>3007</v>
      </c>
      <c r="J1737" s="130" t="s">
        <v>95</v>
      </c>
      <c r="K1737" s="130" t="s">
        <v>96</v>
      </c>
      <c r="L1737" s="174" t="s">
        <v>71</v>
      </c>
      <c r="M1737" s="131" t="s">
        <v>72</v>
      </c>
      <c r="N1737" s="130" t="s">
        <v>73</v>
      </c>
      <c r="O1737" s="219" t="s">
        <v>69</v>
      </c>
      <c r="P1737" s="130" t="s">
        <v>1699</v>
      </c>
      <c r="Q1737" s="132" t="s">
        <v>93</v>
      </c>
      <c r="R1737" s="218">
        <v>3.3840001000000002</v>
      </c>
      <c r="S1737" s="129">
        <v>1</v>
      </c>
      <c r="T1737" s="129">
        <v>100</v>
      </c>
      <c r="U1737" s="129">
        <v>100</v>
      </c>
      <c r="V1737" s="129">
        <v>18</v>
      </c>
      <c r="W1737" s="129">
        <v>118</v>
      </c>
      <c r="X1737" s="27">
        <f t="shared" si="195"/>
        <v>338.40001000000001</v>
      </c>
    </row>
    <row r="1738" spans="1:24" x14ac:dyDescent="0.2">
      <c r="A1738" s="220">
        <v>43878</v>
      </c>
      <c r="B1738" s="130" t="s">
        <v>111</v>
      </c>
      <c r="C1738" s="130" t="s">
        <v>102</v>
      </c>
      <c r="D1738" s="130" t="s">
        <v>1812</v>
      </c>
      <c r="E1738" s="130" t="s">
        <v>3011</v>
      </c>
      <c r="F1738" s="130" t="s">
        <v>3009</v>
      </c>
      <c r="G1738" s="220">
        <v>43874</v>
      </c>
      <c r="H1738" s="130" t="s">
        <v>3008</v>
      </c>
      <c r="I1738" s="130" t="s">
        <v>3007</v>
      </c>
      <c r="J1738" s="130" t="s">
        <v>92</v>
      </c>
      <c r="K1738" s="130" t="s">
        <v>113</v>
      </c>
      <c r="L1738" s="174" t="s">
        <v>71</v>
      </c>
      <c r="M1738" s="131" t="s">
        <v>72</v>
      </c>
      <c r="N1738" s="130" t="s">
        <v>73</v>
      </c>
      <c r="O1738" s="219" t="s">
        <v>69</v>
      </c>
      <c r="P1738" s="130" t="s">
        <v>1699</v>
      </c>
      <c r="Q1738" s="132" t="s">
        <v>74</v>
      </c>
      <c r="R1738" s="218">
        <v>3.3840001000000002</v>
      </c>
      <c r="S1738" s="129">
        <v>1</v>
      </c>
      <c r="T1738" s="129">
        <v>25.423700000000004</v>
      </c>
      <c r="U1738" s="129">
        <v>25.423700000000004</v>
      </c>
      <c r="V1738" s="129">
        <v>4.5762999999999963</v>
      </c>
      <c r="W1738" s="129">
        <v>30</v>
      </c>
      <c r="X1738" s="27">
        <f t="shared" si="195"/>
        <v>25.423700000000004</v>
      </c>
    </row>
    <row r="1739" spans="1:24" x14ac:dyDescent="0.2">
      <c r="A1739" s="220">
        <v>43878</v>
      </c>
      <c r="B1739" s="130" t="s">
        <v>111</v>
      </c>
      <c r="C1739" s="130" t="s">
        <v>102</v>
      </c>
      <c r="D1739" s="130" t="s">
        <v>1811</v>
      </c>
      <c r="E1739" s="130" t="s">
        <v>3010</v>
      </c>
      <c r="F1739" s="130" t="s">
        <v>3009</v>
      </c>
      <c r="G1739" s="220">
        <v>43876</v>
      </c>
      <c r="H1739" s="130" t="s">
        <v>3008</v>
      </c>
      <c r="I1739" s="130" t="s">
        <v>3007</v>
      </c>
      <c r="J1739" s="130" t="s">
        <v>92</v>
      </c>
      <c r="K1739" s="130" t="s">
        <v>113</v>
      </c>
      <c r="L1739" s="174" t="s">
        <v>71</v>
      </c>
      <c r="M1739" s="131" t="s">
        <v>72</v>
      </c>
      <c r="N1739" s="130" t="s">
        <v>73</v>
      </c>
      <c r="O1739" s="219" t="s">
        <v>69</v>
      </c>
      <c r="P1739" s="130" t="s">
        <v>1699</v>
      </c>
      <c r="Q1739" s="132" t="s">
        <v>93</v>
      </c>
      <c r="R1739" s="218">
        <v>3.3840001000000002</v>
      </c>
      <c r="S1739" s="129">
        <v>1</v>
      </c>
      <c r="T1739" s="129">
        <v>100</v>
      </c>
      <c r="U1739" s="129">
        <v>100</v>
      </c>
      <c r="V1739" s="129">
        <v>18</v>
      </c>
      <c r="W1739" s="129">
        <v>118</v>
      </c>
      <c r="X1739" s="27">
        <f t="shared" si="195"/>
        <v>338.40001000000001</v>
      </c>
    </row>
    <row r="1740" spans="1:24" x14ac:dyDescent="0.2">
      <c r="A1740" s="220">
        <v>43880</v>
      </c>
      <c r="B1740" s="130" t="s">
        <v>111</v>
      </c>
      <c r="C1740" s="130" t="s">
        <v>102</v>
      </c>
      <c r="D1740" s="130" t="s">
        <v>1807</v>
      </c>
      <c r="E1740" s="130" t="s">
        <v>3006</v>
      </c>
      <c r="F1740" s="130" t="s">
        <v>3005</v>
      </c>
      <c r="G1740" s="220">
        <v>43879</v>
      </c>
      <c r="H1740" s="130" t="s">
        <v>3004</v>
      </c>
      <c r="I1740" s="130" t="s">
        <v>3003</v>
      </c>
      <c r="J1740" s="130" t="s">
        <v>92</v>
      </c>
      <c r="K1740" s="130" t="s">
        <v>113</v>
      </c>
      <c r="L1740" s="174" t="s">
        <v>71</v>
      </c>
      <c r="M1740" s="131" t="s">
        <v>72</v>
      </c>
      <c r="N1740" s="130" t="s">
        <v>73</v>
      </c>
      <c r="O1740" s="219" t="s">
        <v>69</v>
      </c>
      <c r="P1740" s="130" t="s">
        <v>1699</v>
      </c>
      <c r="Q1740" s="132" t="s">
        <v>74</v>
      </c>
      <c r="R1740" s="218">
        <v>3.3859998999999998</v>
      </c>
      <c r="S1740" s="129">
        <v>1</v>
      </c>
      <c r="T1740" s="129">
        <v>1084.7542000000003</v>
      </c>
      <c r="U1740" s="129">
        <v>1084.7542000000003</v>
      </c>
      <c r="V1740" s="129">
        <v>195.25579999999974</v>
      </c>
      <c r="W1740" s="129">
        <v>1280.01</v>
      </c>
      <c r="X1740" s="27">
        <f t="shared" si="195"/>
        <v>1084.7542000000003</v>
      </c>
    </row>
    <row r="1741" spans="1:24" x14ac:dyDescent="0.2">
      <c r="A1741" s="220">
        <v>43880</v>
      </c>
      <c r="B1741" s="130" t="s">
        <v>111</v>
      </c>
      <c r="C1741" s="130" t="s">
        <v>102</v>
      </c>
      <c r="D1741" s="130" t="s">
        <v>1806</v>
      </c>
      <c r="E1741" s="130" t="s">
        <v>2932</v>
      </c>
      <c r="F1741" s="130" t="s">
        <v>3005</v>
      </c>
      <c r="G1741" s="220">
        <v>43880</v>
      </c>
      <c r="H1741" s="130" t="s">
        <v>3004</v>
      </c>
      <c r="I1741" s="130" t="s">
        <v>3003</v>
      </c>
      <c r="J1741" s="130" t="s">
        <v>92</v>
      </c>
      <c r="K1741" s="130" t="s">
        <v>113</v>
      </c>
      <c r="L1741" s="174" t="s">
        <v>71</v>
      </c>
      <c r="M1741" s="131" t="s">
        <v>72</v>
      </c>
      <c r="N1741" s="130" t="s">
        <v>73</v>
      </c>
      <c r="O1741" s="219" t="s">
        <v>69</v>
      </c>
      <c r="P1741" s="130" t="s">
        <v>1699</v>
      </c>
      <c r="Q1741" s="132" t="s">
        <v>93</v>
      </c>
      <c r="R1741" s="218">
        <v>3.3859998999999998</v>
      </c>
      <c r="S1741" s="129">
        <v>1</v>
      </c>
      <c r="T1741" s="129">
        <v>84.754204000000016</v>
      </c>
      <c r="U1741" s="129">
        <v>84.754204000000016</v>
      </c>
      <c r="V1741" s="129">
        <v>15.255795999999991</v>
      </c>
      <c r="W1741" s="129">
        <v>100.01</v>
      </c>
      <c r="X1741" s="27">
        <f t="shared" si="195"/>
        <v>286.97772626857966</v>
      </c>
    </row>
    <row r="1742" spans="1:24" x14ac:dyDescent="0.2">
      <c r="A1742" s="220">
        <v>43881</v>
      </c>
      <c r="B1742" s="130" t="s">
        <v>111</v>
      </c>
      <c r="C1742" s="130" t="s">
        <v>102</v>
      </c>
      <c r="D1742" s="130" t="s">
        <v>1805</v>
      </c>
      <c r="E1742" s="130" t="s">
        <v>2931</v>
      </c>
      <c r="F1742" s="130" t="s">
        <v>3002</v>
      </c>
      <c r="G1742" s="220">
        <v>43880</v>
      </c>
      <c r="H1742" s="130" t="s">
        <v>3001</v>
      </c>
      <c r="I1742" s="130" t="s">
        <v>3000</v>
      </c>
      <c r="J1742" s="130" t="s">
        <v>97</v>
      </c>
      <c r="K1742" s="130" t="s">
        <v>98</v>
      </c>
      <c r="L1742" s="174" t="s">
        <v>71</v>
      </c>
      <c r="M1742" s="131" t="s">
        <v>72</v>
      </c>
      <c r="N1742" s="130" t="s">
        <v>73</v>
      </c>
      <c r="O1742" s="219" t="s">
        <v>99</v>
      </c>
      <c r="P1742" s="130" t="s">
        <v>98</v>
      </c>
      <c r="Q1742" s="132" t="s">
        <v>93</v>
      </c>
      <c r="R1742" s="218">
        <v>3.3840001000000002</v>
      </c>
      <c r="S1742" s="129">
        <v>1</v>
      </c>
      <c r="T1742" s="129">
        <v>30</v>
      </c>
      <c r="U1742" s="129">
        <v>30</v>
      </c>
      <c r="V1742" s="129">
        <v>5.4000019999999997</v>
      </c>
      <c r="W1742" s="129">
        <v>35.400002000000001</v>
      </c>
      <c r="X1742" s="27">
        <f t="shared" si="195"/>
        <v>101.520003</v>
      </c>
    </row>
    <row r="1743" spans="1:24" x14ac:dyDescent="0.2">
      <c r="A1743" s="220">
        <v>43881</v>
      </c>
      <c r="B1743" s="130" t="s">
        <v>111</v>
      </c>
      <c r="C1743" s="130" t="s">
        <v>102</v>
      </c>
      <c r="D1743" s="130" t="s">
        <v>1803</v>
      </c>
      <c r="E1743" s="130" t="s">
        <v>2914</v>
      </c>
      <c r="F1743" s="130" t="s">
        <v>2999</v>
      </c>
      <c r="G1743" s="220">
        <v>43873</v>
      </c>
      <c r="H1743" s="130" t="s">
        <v>2998</v>
      </c>
      <c r="I1743" s="130" t="s">
        <v>2997</v>
      </c>
      <c r="J1743" s="130" t="s">
        <v>95</v>
      </c>
      <c r="K1743" s="130" t="s">
        <v>96</v>
      </c>
      <c r="L1743" s="174" t="s">
        <v>71</v>
      </c>
      <c r="M1743" s="131" t="s">
        <v>72</v>
      </c>
      <c r="N1743" s="130" t="s">
        <v>73</v>
      </c>
      <c r="O1743" s="219" t="s">
        <v>69</v>
      </c>
      <c r="P1743" s="130" t="s">
        <v>1699</v>
      </c>
      <c r="Q1743" s="132" t="s">
        <v>93</v>
      </c>
      <c r="R1743" s="218">
        <v>3.3840001000000002</v>
      </c>
      <c r="S1743" s="129">
        <v>1</v>
      </c>
      <c r="T1743" s="129">
        <v>100</v>
      </c>
      <c r="U1743" s="129">
        <v>100</v>
      </c>
      <c r="V1743" s="129">
        <v>18</v>
      </c>
      <c r="W1743" s="129">
        <v>118</v>
      </c>
      <c r="X1743" s="27">
        <f t="shared" si="195"/>
        <v>338.40001000000001</v>
      </c>
    </row>
    <row r="1744" spans="1:24" x14ac:dyDescent="0.2">
      <c r="A1744" s="220">
        <v>43882</v>
      </c>
      <c r="B1744" s="130" t="s">
        <v>111</v>
      </c>
      <c r="C1744" s="130" t="s">
        <v>102</v>
      </c>
      <c r="D1744" s="130" t="s">
        <v>1802</v>
      </c>
      <c r="E1744" s="130" t="s">
        <v>2588</v>
      </c>
      <c r="F1744" s="130" t="s">
        <v>2589</v>
      </c>
      <c r="G1744" s="220">
        <v>43845</v>
      </c>
      <c r="H1744" s="130" t="s">
        <v>2996</v>
      </c>
      <c r="I1744" s="130" t="s">
        <v>2995</v>
      </c>
      <c r="J1744" s="130" t="s">
        <v>95</v>
      </c>
      <c r="K1744" s="130" t="s">
        <v>96</v>
      </c>
      <c r="L1744" s="174" t="s">
        <v>71</v>
      </c>
      <c r="M1744" s="131" t="s">
        <v>72</v>
      </c>
      <c r="N1744" s="130" t="s">
        <v>73</v>
      </c>
      <c r="O1744" s="219" t="s">
        <v>69</v>
      </c>
      <c r="P1744" s="130" t="s">
        <v>1699</v>
      </c>
      <c r="Q1744" s="132" t="s">
        <v>93</v>
      </c>
      <c r="R1744" s="218">
        <v>3.3919999999999999</v>
      </c>
      <c r="S1744" s="129">
        <v>1</v>
      </c>
      <c r="T1744" s="129">
        <v>614.81359999999984</v>
      </c>
      <c r="U1744" s="129">
        <v>614.81359999999984</v>
      </c>
      <c r="V1744" s="129">
        <v>110.6663800000002</v>
      </c>
      <c r="W1744" s="129">
        <v>725.47998000000007</v>
      </c>
      <c r="X1744" s="27">
        <f t="shared" si="195"/>
        <v>2085.4477311999995</v>
      </c>
    </row>
    <row r="1745" spans="1:24" x14ac:dyDescent="0.2">
      <c r="A1745" s="220">
        <v>43882</v>
      </c>
      <c r="B1745" s="130" t="s">
        <v>111</v>
      </c>
      <c r="C1745" s="130" t="s">
        <v>102</v>
      </c>
      <c r="D1745" s="130" t="s">
        <v>1801</v>
      </c>
      <c r="E1745" s="130" t="s">
        <v>2905</v>
      </c>
      <c r="F1745" s="130" t="s">
        <v>2994</v>
      </c>
      <c r="G1745" s="220">
        <v>43871</v>
      </c>
      <c r="H1745" s="130" t="s">
        <v>2993</v>
      </c>
      <c r="I1745" s="130" t="s">
        <v>2992</v>
      </c>
      <c r="J1745" s="130" t="s">
        <v>95</v>
      </c>
      <c r="K1745" s="130" t="s">
        <v>96</v>
      </c>
      <c r="L1745" s="174" t="s">
        <v>71</v>
      </c>
      <c r="M1745" s="131" t="s">
        <v>72</v>
      </c>
      <c r="N1745" s="130" t="s">
        <v>73</v>
      </c>
      <c r="O1745" s="219" t="s">
        <v>69</v>
      </c>
      <c r="P1745" s="130" t="s">
        <v>1699</v>
      </c>
      <c r="Q1745" s="132" t="s">
        <v>93</v>
      </c>
      <c r="R1745" s="218">
        <v>3.3919999999999999</v>
      </c>
      <c r="S1745" s="129">
        <v>1</v>
      </c>
      <c r="T1745" s="129">
        <v>100</v>
      </c>
      <c r="U1745" s="129">
        <v>100</v>
      </c>
      <c r="V1745" s="129">
        <v>18</v>
      </c>
      <c r="W1745" s="129">
        <v>118</v>
      </c>
      <c r="X1745" s="27">
        <f t="shared" si="195"/>
        <v>339.2</v>
      </c>
    </row>
    <row r="1746" spans="1:24" x14ac:dyDescent="0.2">
      <c r="A1746" s="220">
        <v>43883</v>
      </c>
      <c r="B1746" s="130" t="s">
        <v>111</v>
      </c>
      <c r="C1746" s="130" t="s">
        <v>102</v>
      </c>
      <c r="D1746" s="130" t="s">
        <v>1799</v>
      </c>
      <c r="E1746" s="130" t="s">
        <v>2885</v>
      </c>
      <c r="F1746" s="130" t="s">
        <v>2991</v>
      </c>
      <c r="G1746" s="220">
        <v>43868</v>
      </c>
      <c r="H1746" s="130" t="s">
        <v>2990</v>
      </c>
      <c r="I1746" s="130" t="s">
        <v>2989</v>
      </c>
      <c r="J1746" s="130" t="s">
        <v>95</v>
      </c>
      <c r="K1746" s="130" t="s">
        <v>96</v>
      </c>
      <c r="L1746" s="174" t="s">
        <v>71</v>
      </c>
      <c r="M1746" s="131" t="s">
        <v>72</v>
      </c>
      <c r="N1746" s="130" t="s">
        <v>73</v>
      </c>
      <c r="O1746" s="219" t="s">
        <v>69</v>
      </c>
      <c r="P1746" s="130" t="s">
        <v>1699</v>
      </c>
      <c r="Q1746" s="132" t="s">
        <v>93</v>
      </c>
      <c r="R1746" s="218">
        <v>3.3940001</v>
      </c>
      <c r="S1746" s="129">
        <v>1</v>
      </c>
      <c r="T1746" s="129">
        <v>105.98309999999998</v>
      </c>
      <c r="U1746" s="129">
        <v>105.98309999999998</v>
      </c>
      <c r="V1746" s="129">
        <v>19.076900000000023</v>
      </c>
      <c r="W1746" s="129">
        <v>125.06</v>
      </c>
      <c r="X1746" s="27">
        <f t="shared" si="195"/>
        <v>359.70665199830995</v>
      </c>
    </row>
    <row r="1747" spans="1:24" x14ac:dyDescent="0.2">
      <c r="A1747" s="220">
        <v>43885</v>
      </c>
      <c r="B1747" s="130" t="s">
        <v>111</v>
      </c>
      <c r="C1747" s="130" t="s">
        <v>102</v>
      </c>
      <c r="D1747" s="130" t="s">
        <v>1798</v>
      </c>
      <c r="E1747" s="130" t="s">
        <v>2903</v>
      </c>
      <c r="F1747" s="130" t="s">
        <v>2987</v>
      </c>
      <c r="G1747" s="220">
        <v>43871</v>
      </c>
      <c r="H1747" s="130" t="s">
        <v>2986</v>
      </c>
      <c r="I1747" s="130" t="s">
        <v>2985</v>
      </c>
      <c r="J1747" s="130" t="s">
        <v>95</v>
      </c>
      <c r="K1747" s="130" t="s">
        <v>96</v>
      </c>
      <c r="L1747" s="174" t="s">
        <v>71</v>
      </c>
      <c r="M1747" s="131" t="s">
        <v>72</v>
      </c>
      <c r="N1747" s="130" t="s">
        <v>73</v>
      </c>
      <c r="O1747" s="219" t="s">
        <v>69</v>
      </c>
      <c r="P1747" s="130" t="s">
        <v>1699</v>
      </c>
      <c r="Q1747" s="132" t="s">
        <v>93</v>
      </c>
      <c r="R1747" s="218">
        <v>3.3940001</v>
      </c>
      <c r="S1747" s="129">
        <v>1</v>
      </c>
      <c r="T1747" s="129">
        <v>218.68639999999999</v>
      </c>
      <c r="U1747" s="129">
        <v>218.68639999999999</v>
      </c>
      <c r="V1747" s="129">
        <v>39.363589999999967</v>
      </c>
      <c r="W1747" s="129">
        <v>258.04998999999998</v>
      </c>
      <c r="X1747" s="27">
        <f t="shared" si="195"/>
        <v>742.22166346863992</v>
      </c>
    </row>
    <row r="1748" spans="1:24" x14ac:dyDescent="0.2">
      <c r="A1748" s="220">
        <v>43885</v>
      </c>
      <c r="B1748" s="130" t="s">
        <v>111</v>
      </c>
      <c r="C1748" s="130" t="s">
        <v>102</v>
      </c>
      <c r="D1748" s="130" t="s">
        <v>2988</v>
      </c>
      <c r="E1748" s="130" t="s">
        <v>2907</v>
      </c>
      <c r="F1748" s="130" t="s">
        <v>2987</v>
      </c>
      <c r="G1748" s="220">
        <v>43874</v>
      </c>
      <c r="H1748" s="130" t="s">
        <v>2986</v>
      </c>
      <c r="I1748" s="130" t="s">
        <v>2985</v>
      </c>
      <c r="J1748" s="130" t="s">
        <v>97</v>
      </c>
      <c r="K1748" s="130" t="s">
        <v>98</v>
      </c>
      <c r="L1748" s="174" t="s">
        <v>71</v>
      </c>
      <c r="M1748" s="131" t="s">
        <v>72</v>
      </c>
      <c r="N1748" s="130" t="s">
        <v>73</v>
      </c>
      <c r="O1748" s="219" t="s">
        <v>99</v>
      </c>
      <c r="P1748" s="130" t="s">
        <v>98</v>
      </c>
      <c r="Q1748" s="132" t="s">
        <v>93</v>
      </c>
      <c r="R1748" s="218">
        <v>3.3940001</v>
      </c>
      <c r="S1748" s="129">
        <v>1</v>
      </c>
      <c r="T1748" s="129">
        <v>180</v>
      </c>
      <c r="U1748" s="129">
        <v>180</v>
      </c>
      <c r="V1748" s="129">
        <v>32.39998999999996</v>
      </c>
      <c r="W1748" s="129">
        <v>212.39998999999997</v>
      </c>
      <c r="X1748" s="27">
        <f t="shared" si="195"/>
        <v>610.92001800000003</v>
      </c>
    </row>
    <row r="1749" spans="1:24" x14ac:dyDescent="0.2">
      <c r="A1749" s="220">
        <v>43885</v>
      </c>
      <c r="B1749" s="130" t="s">
        <v>111</v>
      </c>
      <c r="C1749" s="130" t="s">
        <v>102</v>
      </c>
      <c r="D1749" s="130" t="s">
        <v>2988</v>
      </c>
      <c r="E1749" s="130" t="s">
        <v>2907</v>
      </c>
      <c r="F1749" s="130" t="s">
        <v>2987</v>
      </c>
      <c r="G1749" s="220">
        <v>43874</v>
      </c>
      <c r="H1749" s="130" t="s">
        <v>2986</v>
      </c>
      <c r="I1749" s="130" t="s">
        <v>2985</v>
      </c>
      <c r="J1749" s="130" t="s">
        <v>100</v>
      </c>
      <c r="K1749" s="130" t="s">
        <v>101</v>
      </c>
      <c r="L1749" s="174" t="s">
        <v>71</v>
      </c>
      <c r="M1749" s="131" t="s">
        <v>72</v>
      </c>
      <c r="N1749" s="130" t="s">
        <v>73</v>
      </c>
      <c r="O1749" s="219" t="s">
        <v>72</v>
      </c>
      <c r="P1749" s="130" t="s">
        <v>101</v>
      </c>
      <c r="Q1749" s="132" t="s">
        <v>93</v>
      </c>
      <c r="R1749" s="218">
        <v>3.3940001</v>
      </c>
      <c r="S1749" s="129">
        <v>1</v>
      </c>
      <c r="T1749" s="129">
        <v>45</v>
      </c>
      <c r="U1749" s="129">
        <v>45</v>
      </c>
      <c r="V1749" s="129">
        <v>8.0999980000000047</v>
      </c>
      <c r="W1749" s="129">
        <v>53.099998000000006</v>
      </c>
      <c r="X1749" s="27">
        <f t="shared" si="195"/>
        <v>152.73000450000001</v>
      </c>
    </row>
    <row r="1750" spans="1:24" x14ac:dyDescent="0.2">
      <c r="A1750" s="220">
        <v>43885</v>
      </c>
      <c r="B1750" s="130" t="s">
        <v>111</v>
      </c>
      <c r="C1750" s="130" t="s">
        <v>102</v>
      </c>
      <c r="D1750" s="130" t="s">
        <v>1797</v>
      </c>
      <c r="E1750" s="130" t="s">
        <v>2929</v>
      </c>
      <c r="F1750" s="130" t="s">
        <v>2984</v>
      </c>
      <c r="G1750" s="220">
        <v>43878</v>
      </c>
      <c r="H1750" s="130" t="s">
        <v>2983</v>
      </c>
      <c r="I1750" s="130" t="s">
        <v>2982</v>
      </c>
      <c r="J1750" s="130" t="s">
        <v>95</v>
      </c>
      <c r="K1750" s="130" t="s">
        <v>96</v>
      </c>
      <c r="L1750" s="174" t="s">
        <v>71</v>
      </c>
      <c r="M1750" s="131" t="s">
        <v>72</v>
      </c>
      <c r="N1750" s="130" t="s">
        <v>73</v>
      </c>
      <c r="O1750" s="219" t="s">
        <v>69</v>
      </c>
      <c r="P1750" s="130" t="s">
        <v>1699</v>
      </c>
      <c r="Q1750" s="132" t="s">
        <v>93</v>
      </c>
      <c r="R1750" s="218">
        <v>3.3940001</v>
      </c>
      <c r="S1750" s="129">
        <v>1</v>
      </c>
      <c r="T1750" s="129">
        <v>100</v>
      </c>
      <c r="U1750" s="129">
        <v>100</v>
      </c>
      <c r="V1750" s="129">
        <v>18</v>
      </c>
      <c r="W1750" s="129">
        <v>118</v>
      </c>
      <c r="X1750" s="27">
        <f t="shared" si="195"/>
        <v>339.40001000000001</v>
      </c>
    </row>
    <row r="1751" spans="1:24" x14ac:dyDescent="0.2">
      <c r="A1751" s="220">
        <v>43886</v>
      </c>
      <c r="B1751" s="130" t="s">
        <v>111</v>
      </c>
      <c r="C1751" s="130" t="s">
        <v>102</v>
      </c>
      <c r="D1751" s="130" t="s">
        <v>1793</v>
      </c>
      <c r="E1751" s="130" t="s">
        <v>2981</v>
      </c>
      <c r="F1751" s="130" t="s">
        <v>2980</v>
      </c>
      <c r="G1751" s="220">
        <v>43874</v>
      </c>
      <c r="H1751" s="130" t="s">
        <v>2979</v>
      </c>
      <c r="I1751" s="130" t="s">
        <v>2978</v>
      </c>
      <c r="J1751" s="130" t="s">
        <v>95</v>
      </c>
      <c r="K1751" s="130" t="s">
        <v>96</v>
      </c>
      <c r="L1751" s="174" t="s">
        <v>71</v>
      </c>
      <c r="M1751" s="131" t="s">
        <v>72</v>
      </c>
      <c r="N1751" s="130" t="s">
        <v>73</v>
      </c>
      <c r="O1751" s="219" t="s">
        <v>69</v>
      </c>
      <c r="P1751" s="130" t="s">
        <v>1699</v>
      </c>
      <c r="Q1751" s="132" t="s">
        <v>93</v>
      </c>
      <c r="R1751" s="218">
        <v>3.4039999999999999</v>
      </c>
      <c r="S1751" s="129">
        <v>1</v>
      </c>
      <c r="T1751" s="129">
        <v>100</v>
      </c>
      <c r="U1751" s="129">
        <v>100</v>
      </c>
      <c r="V1751" s="129">
        <v>18</v>
      </c>
      <c r="W1751" s="129">
        <v>118</v>
      </c>
      <c r="X1751" s="27">
        <f t="shared" si="195"/>
        <v>340.4</v>
      </c>
    </row>
    <row r="1752" spans="1:24" x14ac:dyDescent="0.2">
      <c r="A1752" s="220">
        <v>43886</v>
      </c>
      <c r="B1752" s="130" t="s">
        <v>111</v>
      </c>
      <c r="C1752" s="130" t="s">
        <v>102</v>
      </c>
      <c r="D1752" s="130" t="s">
        <v>1792</v>
      </c>
      <c r="E1752" s="130" t="s">
        <v>2916</v>
      </c>
      <c r="F1752" s="130" t="s">
        <v>2977</v>
      </c>
      <c r="G1752" s="220">
        <v>43875</v>
      </c>
      <c r="H1752" s="130" t="s">
        <v>2976</v>
      </c>
      <c r="I1752" s="130" t="s">
        <v>2975</v>
      </c>
      <c r="J1752" s="130" t="s">
        <v>95</v>
      </c>
      <c r="K1752" s="130" t="s">
        <v>96</v>
      </c>
      <c r="L1752" s="174" t="s">
        <v>71</v>
      </c>
      <c r="M1752" s="131" t="s">
        <v>72</v>
      </c>
      <c r="N1752" s="130" t="s">
        <v>73</v>
      </c>
      <c r="O1752" s="219" t="s">
        <v>69</v>
      </c>
      <c r="P1752" s="130" t="s">
        <v>1699</v>
      </c>
      <c r="Q1752" s="132" t="s">
        <v>93</v>
      </c>
      <c r="R1752" s="218">
        <v>3.4039999999999999</v>
      </c>
      <c r="S1752" s="129">
        <v>1</v>
      </c>
      <c r="T1752" s="129">
        <v>100</v>
      </c>
      <c r="U1752" s="129">
        <v>100</v>
      </c>
      <c r="V1752" s="129">
        <v>18</v>
      </c>
      <c r="W1752" s="129">
        <v>118</v>
      </c>
      <c r="X1752" s="27">
        <f t="shared" si="195"/>
        <v>340.4</v>
      </c>
    </row>
    <row r="1753" spans="1:24" x14ac:dyDescent="0.2">
      <c r="A1753" s="220">
        <v>43886</v>
      </c>
      <c r="B1753" s="130" t="s">
        <v>111</v>
      </c>
      <c r="C1753" s="130" t="s">
        <v>102</v>
      </c>
      <c r="D1753" s="130" t="s">
        <v>1791</v>
      </c>
      <c r="E1753" s="130" t="s">
        <v>2962</v>
      </c>
      <c r="F1753" s="130" t="s">
        <v>2974</v>
      </c>
      <c r="G1753" s="220">
        <v>43886</v>
      </c>
      <c r="H1753" s="130" t="s">
        <v>2973</v>
      </c>
      <c r="I1753" s="130" t="s">
        <v>2972</v>
      </c>
      <c r="J1753" s="130" t="s">
        <v>115</v>
      </c>
      <c r="K1753" s="130" t="s">
        <v>138</v>
      </c>
      <c r="L1753" s="174" t="s">
        <v>71</v>
      </c>
      <c r="M1753" s="131" t="s">
        <v>72</v>
      </c>
      <c r="N1753" s="130" t="s">
        <v>73</v>
      </c>
      <c r="O1753" s="219" t="s">
        <v>69</v>
      </c>
      <c r="P1753" s="130" t="s">
        <v>1699</v>
      </c>
      <c r="Q1753" s="132" t="s">
        <v>74</v>
      </c>
      <c r="R1753" s="218">
        <v>3.4039999999999999</v>
      </c>
      <c r="S1753" s="129">
        <v>-1</v>
      </c>
      <c r="T1753" s="129">
        <v>26.796599999999998</v>
      </c>
      <c r="U1753" s="129">
        <v>-26.796599999999998</v>
      </c>
      <c r="V1753" s="129">
        <v>-4.8234009999999943</v>
      </c>
      <c r="W1753" s="129">
        <v>-31.620000999999991</v>
      </c>
      <c r="X1753" s="27">
        <f t="shared" si="195"/>
        <v>-26.796599999999998</v>
      </c>
    </row>
    <row r="1754" spans="1:24" x14ac:dyDescent="0.2">
      <c r="A1754" s="220">
        <v>43886</v>
      </c>
      <c r="B1754" s="130" t="s">
        <v>111</v>
      </c>
      <c r="C1754" s="130" t="s">
        <v>102</v>
      </c>
      <c r="D1754" s="130" t="s">
        <v>1791</v>
      </c>
      <c r="E1754" s="130" t="s">
        <v>2962</v>
      </c>
      <c r="F1754" s="130" t="s">
        <v>2974</v>
      </c>
      <c r="G1754" s="220">
        <v>43886</v>
      </c>
      <c r="H1754" s="130" t="s">
        <v>2973</v>
      </c>
      <c r="I1754" s="130" t="s">
        <v>2972</v>
      </c>
      <c r="J1754" s="130" t="s">
        <v>70</v>
      </c>
      <c r="K1754" s="130" t="s">
        <v>112</v>
      </c>
      <c r="L1754" s="174" t="s">
        <v>71</v>
      </c>
      <c r="M1754" s="131" t="s">
        <v>72</v>
      </c>
      <c r="N1754" s="130" t="s">
        <v>73</v>
      </c>
      <c r="O1754" s="219" t="s">
        <v>69</v>
      </c>
      <c r="P1754" s="130" t="s">
        <v>1699</v>
      </c>
      <c r="Q1754" s="132" t="s">
        <v>74</v>
      </c>
      <c r="R1754" s="218">
        <v>3.4039999999999999</v>
      </c>
      <c r="S1754" s="129">
        <v>1</v>
      </c>
      <c r="T1754" s="129">
        <v>268</v>
      </c>
      <c r="U1754" s="129">
        <v>268</v>
      </c>
      <c r="V1754" s="129">
        <v>48.239989999999963</v>
      </c>
      <c r="W1754" s="129">
        <v>316.23998999999998</v>
      </c>
      <c r="X1754" s="27">
        <f t="shared" si="195"/>
        <v>268</v>
      </c>
    </row>
    <row r="1755" spans="1:24" x14ac:dyDescent="0.2">
      <c r="A1755" s="220">
        <v>43887</v>
      </c>
      <c r="B1755" s="130" t="s">
        <v>111</v>
      </c>
      <c r="C1755" s="130" t="s">
        <v>102</v>
      </c>
      <c r="D1755" s="130" t="s">
        <v>1790</v>
      </c>
      <c r="E1755" s="130" t="s">
        <v>2649</v>
      </c>
      <c r="F1755" s="130" t="s">
        <v>2971</v>
      </c>
      <c r="G1755" s="220">
        <v>43791</v>
      </c>
      <c r="H1755" s="130" t="s">
        <v>2970</v>
      </c>
      <c r="I1755" s="130" t="s">
        <v>2969</v>
      </c>
      <c r="J1755" s="130" t="s">
        <v>95</v>
      </c>
      <c r="K1755" s="130" t="s">
        <v>96</v>
      </c>
      <c r="L1755" s="174" t="s">
        <v>71</v>
      </c>
      <c r="M1755" s="131" t="s">
        <v>72</v>
      </c>
      <c r="N1755" s="130" t="s">
        <v>73</v>
      </c>
      <c r="O1755" s="219" t="s">
        <v>69</v>
      </c>
      <c r="P1755" s="130" t="s">
        <v>1699</v>
      </c>
      <c r="Q1755" s="132" t="s">
        <v>93</v>
      </c>
      <c r="R1755" s="218">
        <v>3.4049999999999998</v>
      </c>
      <c r="S1755" s="129">
        <v>1</v>
      </c>
      <c r="T1755" s="129">
        <v>841.81359999999984</v>
      </c>
      <c r="U1755" s="129">
        <v>841.81359999999984</v>
      </c>
      <c r="V1755" s="129">
        <v>151.52643000000026</v>
      </c>
      <c r="W1755" s="129">
        <v>993.34003000000007</v>
      </c>
      <c r="X1755" s="27">
        <f t="shared" si="195"/>
        <v>2866.3753079999992</v>
      </c>
    </row>
    <row r="1756" spans="1:24" x14ac:dyDescent="0.2">
      <c r="A1756" s="220">
        <v>43887</v>
      </c>
      <c r="B1756" s="130" t="s">
        <v>111</v>
      </c>
      <c r="C1756" s="130" t="s">
        <v>102</v>
      </c>
      <c r="D1756" s="130" t="s">
        <v>1789</v>
      </c>
      <c r="E1756" s="130" t="s">
        <v>2935</v>
      </c>
      <c r="F1756" s="130" t="s">
        <v>2968</v>
      </c>
      <c r="G1756" s="220">
        <v>43876</v>
      </c>
      <c r="H1756" s="130" t="s">
        <v>2967</v>
      </c>
      <c r="I1756" s="130" t="s">
        <v>2966</v>
      </c>
      <c r="J1756" s="130" t="s">
        <v>95</v>
      </c>
      <c r="K1756" s="130" t="s">
        <v>96</v>
      </c>
      <c r="L1756" s="174" t="s">
        <v>71</v>
      </c>
      <c r="M1756" s="131" t="s">
        <v>72</v>
      </c>
      <c r="N1756" s="130" t="s">
        <v>73</v>
      </c>
      <c r="O1756" s="219" t="s">
        <v>69</v>
      </c>
      <c r="P1756" s="130" t="s">
        <v>1699</v>
      </c>
      <c r="Q1756" s="132" t="s">
        <v>93</v>
      </c>
      <c r="R1756" s="218">
        <v>3.4049999999999998</v>
      </c>
      <c r="S1756" s="129">
        <v>1</v>
      </c>
      <c r="T1756" s="129">
        <v>100</v>
      </c>
      <c r="U1756" s="129">
        <v>100</v>
      </c>
      <c r="V1756" s="129">
        <v>18</v>
      </c>
      <c r="W1756" s="129">
        <v>118</v>
      </c>
      <c r="X1756" s="27">
        <f t="shared" si="195"/>
        <v>340.5</v>
      </c>
    </row>
    <row r="1757" spans="1:24" x14ac:dyDescent="0.2">
      <c r="A1757" s="220">
        <v>43888</v>
      </c>
      <c r="B1757" s="130" t="s">
        <v>111</v>
      </c>
      <c r="C1757" s="130" t="s">
        <v>102</v>
      </c>
      <c r="D1757" s="130" t="s">
        <v>1788</v>
      </c>
      <c r="E1757" s="130" t="s">
        <v>3179</v>
      </c>
      <c r="F1757" s="130" t="s">
        <v>3204</v>
      </c>
      <c r="G1757" s="220">
        <v>43878</v>
      </c>
      <c r="H1757" s="130" t="s">
        <v>3203</v>
      </c>
      <c r="I1757" s="130" t="s">
        <v>3202</v>
      </c>
      <c r="J1757" s="130" t="s">
        <v>95</v>
      </c>
      <c r="K1757" s="130" t="s">
        <v>96</v>
      </c>
      <c r="L1757" s="174" t="s">
        <v>71</v>
      </c>
      <c r="M1757" s="131" t="s">
        <v>72</v>
      </c>
      <c r="N1757" s="130" t="s">
        <v>73</v>
      </c>
      <c r="O1757" s="219" t="s">
        <v>69</v>
      </c>
      <c r="P1757" s="130" t="s">
        <v>1699</v>
      </c>
      <c r="Q1757" s="132" t="s">
        <v>93</v>
      </c>
      <c r="R1757" s="218">
        <v>3.4119999000000001</v>
      </c>
      <c r="S1757" s="129">
        <v>1</v>
      </c>
      <c r="T1757" s="129">
        <v>100</v>
      </c>
      <c r="U1757" s="129">
        <v>100</v>
      </c>
      <c r="V1757" s="129">
        <v>18</v>
      </c>
      <c r="W1757" s="129">
        <v>118</v>
      </c>
      <c r="X1757" s="27">
        <f t="shared" si="195"/>
        <v>341.19999000000001</v>
      </c>
    </row>
    <row r="1758" spans="1:24" x14ac:dyDescent="0.2">
      <c r="A1758" s="220">
        <v>43889</v>
      </c>
      <c r="B1758" s="130" t="s">
        <v>111</v>
      </c>
      <c r="C1758" s="130" t="s">
        <v>102</v>
      </c>
      <c r="D1758" s="130" t="s">
        <v>1786</v>
      </c>
      <c r="E1758" s="130" t="s">
        <v>3182</v>
      </c>
      <c r="F1758" s="130" t="s">
        <v>3201</v>
      </c>
      <c r="G1758" s="220">
        <v>43862</v>
      </c>
      <c r="H1758" s="130" t="s">
        <v>3200</v>
      </c>
      <c r="I1758" s="130" t="s">
        <v>3199</v>
      </c>
      <c r="J1758" s="130" t="s">
        <v>95</v>
      </c>
      <c r="K1758" s="130" t="s">
        <v>96</v>
      </c>
      <c r="L1758" s="174" t="s">
        <v>71</v>
      </c>
      <c r="M1758" s="131" t="s">
        <v>72</v>
      </c>
      <c r="N1758" s="130" t="s">
        <v>73</v>
      </c>
      <c r="O1758" s="219" t="s">
        <v>69</v>
      </c>
      <c r="P1758" s="130" t="s">
        <v>1699</v>
      </c>
      <c r="Q1758" s="132" t="s">
        <v>93</v>
      </c>
      <c r="R1758" s="218">
        <v>3.4300000999999996</v>
      </c>
      <c r="S1758" s="129">
        <v>1</v>
      </c>
      <c r="T1758" s="129">
        <v>100</v>
      </c>
      <c r="U1758" s="129">
        <v>100</v>
      </c>
      <c r="V1758" s="129">
        <v>18</v>
      </c>
      <c r="W1758" s="129">
        <v>118</v>
      </c>
      <c r="X1758" s="27">
        <f t="shared" si="195"/>
        <v>343.00000999999997</v>
      </c>
    </row>
    <row r="1759" spans="1:24" x14ac:dyDescent="0.2">
      <c r="A1759" s="220">
        <v>43889</v>
      </c>
      <c r="B1759" s="130" t="s">
        <v>111</v>
      </c>
      <c r="C1759" s="130" t="s">
        <v>102</v>
      </c>
      <c r="D1759" s="130" t="s">
        <v>1783</v>
      </c>
      <c r="E1759" s="130" t="s">
        <v>3161</v>
      </c>
      <c r="F1759" s="130" t="s">
        <v>3201</v>
      </c>
      <c r="G1759" s="220">
        <v>43886</v>
      </c>
      <c r="H1759" s="130" t="s">
        <v>3200</v>
      </c>
      <c r="I1759" s="130" t="s">
        <v>3199</v>
      </c>
      <c r="J1759" s="130" t="s">
        <v>97</v>
      </c>
      <c r="K1759" s="130" t="s">
        <v>98</v>
      </c>
      <c r="L1759" s="174" t="s">
        <v>71</v>
      </c>
      <c r="M1759" s="131" t="s">
        <v>72</v>
      </c>
      <c r="N1759" s="130" t="s">
        <v>73</v>
      </c>
      <c r="O1759" s="219" t="s">
        <v>99</v>
      </c>
      <c r="P1759" s="130" t="s">
        <v>98</v>
      </c>
      <c r="Q1759" s="132" t="s">
        <v>93</v>
      </c>
      <c r="R1759" s="218">
        <v>3.4300000999999996</v>
      </c>
      <c r="S1759" s="129">
        <v>1</v>
      </c>
      <c r="T1759" s="129">
        <v>72.033896999999996</v>
      </c>
      <c r="U1759" s="129">
        <v>72.033896999999996</v>
      </c>
      <c r="V1759" s="129">
        <v>12.966103000000002</v>
      </c>
      <c r="W1759" s="129">
        <v>85</v>
      </c>
      <c r="X1759" s="27">
        <f t="shared" si="195"/>
        <v>247.07627391338966</v>
      </c>
    </row>
    <row r="1760" spans="1:24" x14ac:dyDescent="0.2">
      <c r="A1760" s="220">
        <v>43889</v>
      </c>
      <c r="B1760" s="130" t="s">
        <v>111</v>
      </c>
      <c r="C1760" s="130" t="s">
        <v>102</v>
      </c>
      <c r="D1760" s="130" t="s">
        <v>1783</v>
      </c>
      <c r="E1760" s="130" t="s">
        <v>3161</v>
      </c>
      <c r="F1760" s="130" t="s">
        <v>3201</v>
      </c>
      <c r="G1760" s="220">
        <v>43886</v>
      </c>
      <c r="H1760" s="130" t="s">
        <v>3200</v>
      </c>
      <c r="I1760" s="130" t="s">
        <v>3199</v>
      </c>
      <c r="J1760" s="130" t="s">
        <v>92</v>
      </c>
      <c r="K1760" s="130" t="s">
        <v>113</v>
      </c>
      <c r="L1760" s="174" t="s">
        <v>71</v>
      </c>
      <c r="M1760" s="131" t="s">
        <v>72</v>
      </c>
      <c r="N1760" s="130" t="s">
        <v>73</v>
      </c>
      <c r="O1760" s="219" t="s">
        <v>69</v>
      </c>
      <c r="P1760" s="130" t="s">
        <v>1699</v>
      </c>
      <c r="Q1760" s="132" t="s">
        <v>93</v>
      </c>
      <c r="R1760" s="218">
        <v>3.4300000999999996</v>
      </c>
      <c r="S1760" s="129">
        <v>1</v>
      </c>
      <c r="T1760" s="129">
        <v>12.711900000000004</v>
      </c>
      <c r="U1760" s="129">
        <v>12.711900000000004</v>
      </c>
      <c r="V1760" s="129">
        <v>2.2880999999999974</v>
      </c>
      <c r="W1760" s="129">
        <v>15</v>
      </c>
      <c r="X1760" s="27">
        <f t="shared" si="195"/>
        <v>43.601818271190005</v>
      </c>
    </row>
    <row r="1761" spans="1:24" x14ac:dyDescent="0.2">
      <c r="A1761" s="220">
        <v>43889</v>
      </c>
      <c r="B1761" s="130" t="s">
        <v>111</v>
      </c>
      <c r="C1761" s="130" t="s">
        <v>102</v>
      </c>
      <c r="D1761" s="130" t="s">
        <v>707</v>
      </c>
      <c r="E1761" s="130" t="s">
        <v>3163</v>
      </c>
      <c r="F1761" s="130" t="s">
        <v>3198</v>
      </c>
      <c r="G1761" s="220">
        <v>43879</v>
      </c>
      <c r="H1761" s="130" t="s">
        <v>3197</v>
      </c>
      <c r="I1761" s="130" t="s">
        <v>3196</v>
      </c>
      <c r="J1761" s="130" t="s">
        <v>95</v>
      </c>
      <c r="K1761" s="130" t="s">
        <v>96</v>
      </c>
      <c r="L1761" s="174" t="s">
        <v>71</v>
      </c>
      <c r="M1761" s="131" t="s">
        <v>72</v>
      </c>
      <c r="N1761" s="130" t="s">
        <v>73</v>
      </c>
      <c r="O1761" s="219" t="s">
        <v>69</v>
      </c>
      <c r="P1761" s="130" t="s">
        <v>1699</v>
      </c>
      <c r="Q1761" s="132" t="s">
        <v>93</v>
      </c>
      <c r="R1761" s="218">
        <v>3.4300000999999996</v>
      </c>
      <c r="S1761" s="129">
        <v>1</v>
      </c>
      <c r="T1761" s="129">
        <v>100</v>
      </c>
      <c r="U1761" s="129">
        <v>100</v>
      </c>
      <c r="V1761" s="129">
        <v>18</v>
      </c>
      <c r="W1761" s="129">
        <v>118</v>
      </c>
      <c r="X1761" s="27">
        <f t="shared" si="195"/>
        <v>343.00000999999997</v>
      </c>
    </row>
    <row r="1762" spans="1:24" x14ac:dyDescent="0.2">
      <c r="A1762" s="220">
        <v>43889</v>
      </c>
      <c r="B1762" s="130" t="s">
        <v>111</v>
      </c>
      <c r="C1762" s="130" t="s">
        <v>102</v>
      </c>
      <c r="D1762" s="130" t="s">
        <v>706</v>
      </c>
      <c r="E1762" s="130" t="s">
        <v>3165</v>
      </c>
      <c r="F1762" s="130" t="s">
        <v>3195</v>
      </c>
      <c r="G1762" s="220">
        <v>43879</v>
      </c>
      <c r="H1762" s="130" t="s">
        <v>3194</v>
      </c>
      <c r="I1762" s="130" t="s">
        <v>3193</v>
      </c>
      <c r="J1762" s="130" t="s">
        <v>95</v>
      </c>
      <c r="K1762" s="130" t="s">
        <v>96</v>
      </c>
      <c r="L1762" s="174" t="s">
        <v>71</v>
      </c>
      <c r="M1762" s="131" t="s">
        <v>72</v>
      </c>
      <c r="N1762" s="130" t="s">
        <v>73</v>
      </c>
      <c r="O1762" s="219" t="s">
        <v>69</v>
      </c>
      <c r="P1762" s="130" t="s">
        <v>1699</v>
      </c>
      <c r="Q1762" s="132" t="s">
        <v>93</v>
      </c>
      <c r="R1762" s="218">
        <v>3.4300000999999996</v>
      </c>
      <c r="S1762" s="129">
        <v>1</v>
      </c>
      <c r="T1762" s="129">
        <v>100</v>
      </c>
      <c r="U1762" s="129">
        <v>100</v>
      </c>
      <c r="V1762" s="129">
        <v>18</v>
      </c>
      <c r="W1762" s="129">
        <v>118</v>
      </c>
      <c r="X1762" s="27">
        <f t="shared" si="195"/>
        <v>343.00000999999997</v>
      </c>
    </row>
    <row r="1763" spans="1:24" x14ac:dyDescent="0.2">
      <c r="A1763" s="220">
        <v>43871</v>
      </c>
      <c r="B1763" s="130" t="s">
        <v>114</v>
      </c>
      <c r="C1763" s="130" t="s">
        <v>102</v>
      </c>
      <c r="D1763" s="130" t="s">
        <v>685</v>
      </c>
      <c r="E1763" s="130" t="s">
        <v>3128</v>
      </c>
      <c r="F1763" s="130">
        <v>0</v>
      </c>
      <c r="G1763" s="220">
        <v>43871</v>
      </c>
      <c r="H1763" s="130" t="s">
        <v>90</v>
      </c>
      <c r="I1763" s="130" t="s">
        <v>91</v>
      </c>
      <c r="J1763" s="130" t="s">
        <v>115</v>
      </c>
      <c r="K1763" s="130" t="s">
        <v>138</v>
      </c>
      <c r="L1763" s="174" t="s">
        <v>72</v>
      </c>
      <c r="M1763" s="131" t="s">
        <v>72</v>
      </c>
      <c r="N1763" s="130" t="s">
        <v>73</v>
      </c>
      <c r="O1763" s="219" t="s">
        <v>69</v>
      </c>
      <c r="P1763" s="130" t="s">
        <v>1699</v>
      </c>
      <c r="Q1763" s="132" t="s">
        <v>93</v>
      </c>
      <c r="R1763" s="218">
        <v>3.3640001000000002</v>
      </c>
      <c r="S1763" s="129">
        <v>-1</v>
      </c>
      <c r="T1763" s="129">
        <v>-0.49000000999999999</v>
      </c>
      <c r="U1763" s="129">
        <v>-0.49000000999999999</v>
      </c>
      <c r="V1763" s="129">
        <v>-8.8199970000000003E-2</v>
      </c>
      <c r="W1763" s="129">
        <v>-0.57819997999999995</v>
      </c>
      <c r="X1763" s="27">
        <f t="shared" si="195"/>
        <v>-1.6483600826400011</v>
      </c>
    </row>
    <row r="1764" spans="1:24" x14ac:dyDescent="0.2">
      <c r="A1764" s="220">
        <v>43872</v>
      </c>
      <c r="B1764" s="130" t="s">
        <v>114</v>
      </c>
      <c r="C1764" s="130" t="s">
        <v>102</v>
      </c>
      <c r="D1764" s="130" t="s">
        <v>684</v>
      </c>
      <c r="E1764" s="130" t="s">
        <v>3129</v>
      </c>
      <c r="F1764" s="130">
        <v>0</v>
      </c>
      <c r="G1764" s="220">
        <v>43872</v>
      </c>
      <c r="H1764" s="130" t="s">
        <v>90</v>
      </c>
      <c r="I1764" s="130" t="s">
        <v>91</v>
      </c>
      <c r="J1764" s="130" t="s">
        <v>115</v>
      </c>
      <c r="K1764" s="130" t="s">
        <v>138</v>
      </c>
      <c r="L1764" s="174" t="s">
        <v>72</v>
      </c>
      <c r="M1764" s="131" t="s">
        <v>72</v>
      </c>
      <c r="N1764" s="130" t="s">
        <v>73</v>
      </c>
      <c r="O1764" s="219" t="s">
        <v>69</v>
      </c>
      <c r="P1764" s="130" t="s">
        <v>1699</v>
      </c>
      <c r="Q1764" s="132" t="s">
        <v>93</v>
      </c>
      <c r="R1764" s="218">
        <v>3.3759999000000001</v>
      </c>
      <c r="S1764" s="129">
        <v>-1</v>
      </c>
      <c r="T1764" s="129">
        <v>-100</v>
      </c>
      <c r="U1764" s="129">
        <v>-100</v>
      </c>
      <c r="V1764" s="129">
        <v>-18</v>
      </c>
      <c r="W1764" s="129">
        <v>-118</v>
      </c>
      <c r="X1764" s="27">
        <f t="shared" si="195"/>
        <v>-337.59998999999999</v>
      </c>
    </row>
    <row r="1765" spans="1:24" x14ac:dyDescent="0.2">
      <c r="A1765" s="220">
        <v>43876</v>
      </c>
      <c r="B1765" s="130" t="s">
        <v>114</v>
      </c>
      <c r="C1765" s="130" t="s">
        <v>102</v>
      </c>
      <c r="D1765" s="130" t="s">
        <v>683</v>
      </c>
      <c r="E1765" s="130" t="s">
        <v>3130</v>
      </c>
      <c r="F1765" s="130">
        <v>0</v>
      </c>
      <c r="G1765" s="220">
        <v>43876</v>
      </c>
      <c r="H1765" s="130" t="s">
        <v>90</v>
      </c>
      <c r="I1765" s="130" t="s">
        <v>91</v>
      </c>
      <c r="J1765" s="130" t="s">
        <v>97</v>
      </c>
      <c r="K1765" s="130" t="s">
        <v>98</v>
      </c>
      <c r="L1765" s="174" t="s">
        <v>72</v>
      </c>
      <c r="M1765" s="131" t="s">
        <v>72</v>
      </c>
      <c r="N1765" s="130" t="s">
        <v>73</v>
      </c>
      <c r="O1765" s="219" t="s">
        <v>99</v>
      </c>
      <c r="P1765" s="130" t="s">
        <v>98</v>
      </c>
      <c r="Q1765" s="132" t="s">
        <v>93</v>
      </c>
      <c r="R1765" s="218">
        <v>3.3900001</v>
      </c>
      <c r="S1765" s="129">
        <v>-1</v>
      </c>
      <c r="T1765" s="129">
        <v>-324.5</v>
      </c>
      <c r="U1765" s="129">
        <v>-324.5</v>
      </c>
      <c r="V1765" s="129">
        <v>-58.41</v>
      </c>
      <c r="W1765" s="129">
        <v>-382.91</v>
      </c>
      <c r="X1765" s="27">
        <f t="shared" si="195"/>
        <v>-1100.05503245</v>
      </c>
    </row>
    <row r="1766" spans="1:24" x14ac:dyDescent="0.2">
      <c r="A1766" s="220">
        <v>43876</v>
      </c>
      <c r="B1766" s="130" t="s">
        <v>114</v>
      </c>
      <c r="C1766" s="130" t="s">
        <v>102</v>
      </c>
      <c r="D1766" s="130" t="s">
        <v>683</v>
      </c>
      <c r="E1766" s="130" t="s">
        <v>3130</v>
      </c>
      <c r="F1766" s="130">
        <v>0</v>
      </c>
      <c r="G1766" s="220">
        <v>43876</v>
      </c>
      <c r="H1766" s="130" t="s">
        <v>90</v>
      </c>
      <c r="I1766" s="130" t="s">
        <v>91</v>
      </c>
      <c r="J1766" s="130" t="s">
        <v>100</v>
      </c>
      <c r="K1766" s="130" t="s">
        <v>101</v>
      </c>
      <c r="L1766" s="174" t="s">
        <v>72</v>
      </c>
      <c r="M1766" s="131" t="s">
        <v>72</v>
      </c>
      <c r="N1766" s="130" t="s">
        <v>73</v>
      </c>
      <c r="O1766" s="219" t="s">
        <v>72</v>
      </c>
      <c r="P1766" s="130" t="s">
        <v>101</v>
      </c>
      <c r="Q1766" s="132" t="s">
        <v>93</v>
      </c>
      <c r="R1766" s="218">
        <v>3.3900001</v>
      </c>
      <c r="S1766" s="129">
        <v>-1</v>
      </c>
      <c r="T1766" s="129">
        <v>-360</v>
      </c>
      <c r="U1766" s="129">
        <v>-360</v>
      </c>
      <c r="V1766" s="129">
        <v>-64.799990000000037</v>
      </c>
      <c r="W1766" s="129">
        <v>-424.79999000000004</v>
      </c>
      <c r="X1766" s="27">
        <f t="shared" si="195"/>
        <v>-1220.400036</v>
      </c>
    </row>
    <row r="1767" spans="1:24" x14ac:dyDescent="0.2">
      <c r="A1767" s="220">
        <v>43876</v>
      </c>
      <c r="B1767" s="130" t="s">
        <v>114</v>
      </c>
      <c r="C1767" s="130" t="s">
        <v>102</v>
      </c>
      <c r="D1767" s="130" t="s">
        <v>683</v>
      </c>
      <c r="E1767" s="130" t="s">
        <v>3130</v>
      </c>
      <c r="F1767" s="130">
        <v>0</v>
      </c>
      <c r="G1767" s="220">
        <v>43876</v>
      </c>
      <c r="H1767" s="130" t="s">
        <v>90</v>
      </c>
      <c r="I1767" s="130" t="s">
        <v>91</v>
      </c>
      <c r="J1767" s="130" t="s">
        <v>92</v>
      </c>
      <c r="K1767" s="130" t="s">
        <v>113</v>
      </c>
      <c r="L1767" s="174" t="s">
        <v>72</v>
      </c>
      <c r="M1767" s="131" t="s">
        <v>72</v>
      </c>
      <c r="N1767" s="130" t="s">
        <v>73</v>
      </c>
      <c r="O1767" s="219" t="s">
        <v>69</v>
      </c>
      <c r="P1767" s="130" t="s">
        <v>1699</v>
      </c>
      <c r="Q1767" s="132" t="s">
        <v>93</v>
      </c>
      <c r="R1767" s="218">
        <v>3.3900001</v>
      </c>
      <c r="S1767" s="129">
        <v>-1</v>
      </c>
      <c r="T1767" s="129">
        <v>-110</v>
      </c>
      <c r="U1767" s="129">
        <v>-110</v>
      </c>
      <c r="V1767" s="129">
        <v>-19.8</v>
      </c>
      <c r="W1767" s="129">
        <v>-129.80000000000001</v>
      </c>
      <c r="X1767" s="27">
        <f t="shared" si="195"/>
        <v>-372.90001100000001</v>
      </c>
    </row>
    <row r="1768" spans="1:24" x14ac:dyDescent="0.2">
      <c r="A1768" s="220">
        <v>43876</v>
      </c>
      <c r="B1768" s="130" t="s">
        <v>114</v>
      </c>
      <c r="C1768" s="130" t="s">
        <v>102</v>
      </c>
      <c r="D1768" s="130" t="s">
        <v>683</v>
      </c>
      <c r="E1768" s="130" t="s">
        <v>3130</v>
      </c>
      <c r="F1768" s="130">
        <v>0</v>
      </c>
      <c r="G1768" s="220">
        <v>43876</v>
      </c>
      <c r="H1768" s="130" t="s">
        <v>90</v>
      </c>
      <c r="I1768" s="130" t="s">
        <v>91</v>
      </c>
      <c r="J1768" s="130" t="s">
        <v>132</v>
      </c>
      <c r="K1768" s="130" t="s">
        <v>94</v>
      </c>
      <c r="L1768" s="174" t="s">
        <v>72</v>
      </c>
      <c r="M1768" s="131" t="s">
        <v>72</v>
      </c>
      <c r="N1768" s="130" t="s">
        <v>73</v>
      </c>
      <c r="O1768" s="219" t="s">
        <v>69</v>
      </c>
      <c r="P1768" s="130" t="s">
        <v>1699</v>
      </c>
      <c r="Q1768" s="132" t="s">
        <v>93</v>
      </c>
      <c r="R1768" s="218">
        <v>3.3900001</v>
      </c>
      <c r="S1768" s="129">
        <v>-1</v>
      </c>
      <c r="T1768" s="129">
        <v>-40</v>
      </c>
      <c r="U1768" s="129">
        <v>-40</v>
      </c>
      <c r="V1768" s="129">
        <v>-7.2000010000000021</v>
      </c>
      <c r="W1768" s="129">
        <v>-47.200001</v>
      </c>
      <c r="X1768" s="27">
        <f t="shared" si="195"/>
        <v>-135.60000400000001</v>
      </c>
    </row>
    <row r="1769" spans="1:24" x14ac:dyDescent="0.2">
      <c r="A1769" s="220">
        <v>43876</v>
      </c>
      <c r="B1769" s="130" t="s">
        <v>114</v>
      </c>
      <c r="C1769" s="130" t="s">
        <v>102</v>
      </c>
      <c r="D1769" s="130" t="s">
        <v>683</v>
      </c>
      <c r="E1769" s="130" t="s">
        <v>3130</v>
      </c>
      <c r="F1769" s="130">
        <v>0</v>
      </c>
      <c r="G1769" s="220">
        <v>43876</v>
      </c>
      <c r="H1769" s="130" t="s">
        <v>90</v>
      </c>
      <c r="I1769" s="130" t="s">
        <v>91</v>
      </c>
      <c r="J1769" s="130" t="s">
        <v>70</v>
      </c>
      <c r="K1769" s="130" t="s">
        <v>112</v>
      </c>
      <c r="L1769" s="174" t="s">
        <v>72</v>
      </c>
      <c r="M1769" s="131" t="s">
        <v>72</v>
      </c>
      <c r="N1769" s="130" t="s">
        <v>73</v>
      </c>
      <c r="O1769" s="219" t="s">
        <v>69</v>
      </c>
      <c r="P1769" s="130" t="s">
        <v>1699</v>
      </c>
      <c r="Q1769" s="132" t="s">
        <v>93</v>
      </c>
      <c r="R1769" s="218">
        <v>3.3900001</v>
      </c>
      <c r="S1769" s="129">
        <v>-1</v>
      </c>
      <c r="T1769" s="129">
        <v>-30</v>
      </c>
      <c r="U1769" s="129">
        <v>-30</v>
      </c>
      <c r="V1769" s="129">
        <v>-5.4000019999999997</v>
      </c>
      <c r="W1769" s="129">
        <v>-35.400002000000001</v>
      </c>
      <c r="X1769" s="27">
        <f t="shared" si="195"/>
        <v>-101.700003</v>
      </c>
    </row>
    <row r="1770" spans="1:24" x14ac:dyDescent="0.2">
      <c r="A1770" s="220">
        <v>43876</v>
      </c>
      <c r="B1770" s="130" t="s">
        <v>114</v>
      </c>
      <c r="C1770" s="130" t="s">
        <v>102</v>
      </c>
      <c r="D1770" s="130" t="s">
        <v>683</v>
      </c>
      <c r="E1770" s="130" t="s">
        <v>3130</v>
      </c>
      <c r="F1770" s="130">
        <v>0</v>
      </c>
      <c r="G1770" s="220">
        <v>43876</v>
      </c>
      <c r="H1770" s="130" t="s">
        <v>90</v>
      </c>
      <c r="I1770" s="130" t="s">
        <v>91</v>
      </c>
      <c r="J1770" s="130" t="s">
        <v>95</v>
      </c>
      <c r="K1770" s="130" t="s">
        <v>96</v>
      </c>
      <c r="L1770" s="174" t="s">
        <v>72</v>
      </c>
      <c r="M1770" s="131" t="s">
        <v>72</v>
      </c>
      <c r="N1770" s="130" t="s">
        <v>73</v>
      </c>
      <c r="O1770" s="219" t="s">
        <v>69</v>
      </c>
      <c r="P1770" s="130" t="s">
        <v>1699</v>
      </c>
      <c r="Q1770" s="132" t="s">
        <v>93</v>
      </c>
      <c r="R1770" s="218">
        <v>3.3900001</v>
      </c>
      <c r="S1770" s="129">
        <v>1</v>
      </c>
      <c r="T1770" s="129">
        <v>-235.90680000000003</v>
      </c>
      <c r="U1770" s="129">
        <v>235.90680000000003</v>
      </c>
      <c r="V1770" s="129">
        <v>42.463199999999958</v>
      </c>
      <c r="W1770" s="129">
        <v>278.37</v>
      </c>
      <c r="X1770" s="27">
        <f t="shared" si="195"/>
        <v>799.72407559068006</v>
      </c>
    </row>
    <row r="1771" spans="1:24" x14ac:dyDescent="0.2">
      <c r="A1771" s="220">
        <v>43876</v>
      </c>
      <c r="B1771" s="130" t="s">
        <v>114</v>
      </c>
      <c r="C1771" s="130" t="s">
        <v>102</v>
      </c>
      <c r="D1771" s="130" t="s">
        <v>683</v>
      </c>
      <c r="E1771" s="130" t="s">
        <v>3130</v>
      </c>
      <c r="F1771" s="130">
        <v>0</v>
      </c>
      <c r="G1771" s="220">
        <v>43876</v>
      </c>
      <c r="H1771" s="130" t="s">
        <v>90</v>
      </c>
      <c r="I1771" s="130" t="s">
        <v>91</v>
      </c>
      <c r="J1771" s="130" t="s">
        <v>104</v>
      </c>
      <c r="K1771" s="130" t="s">
        <v>105</v>
      </c>
      <c r="L1771" s="174" t="s">
        <v>72</v>
      </c>
      <c r="M1771" s="131" t="s">
        <v>72</v>
      </c>
      <c r="N1771" s="130" t="s">
        <v>73</v>
      </c>
      <c r="O1771" s="219" t="s">
        <v>69</v>
      </c>
      <c r="P1771" s="130" t="s">
        <v>1699</v>
      </c>
      <c r="Q1771" s="132" t="s">
        <v>93</v>
      </c>
      <c r="R1771" s="218">
        <v>3.3900001</v>
      </c>
      <c r="S1771" s="129">
        <v>-1</v>
      </c>
      <c r="T1771" s="129">
        <v>0</v>
      </c>
      <c r="U1771" s="129">
        <v>0</v>
      </c>
      <c r="V1771" s="129">
        <v>0</v>
      </c>
      <c r="W1771" s="129">
        <v>0</v>
      </c>
      <c r="X1771" s="27">
        <f t="shared" si="195"/>
        <v>0</v>
      </c>
    </row>
    <row r="1772" spans="1:24" x14ac:dyDescent="0.2">
      <c r="A1772" s="220">
        <v>43876</v>
      </c>
      <c r="B1772" s="130" t="s">
        <v>114</v>
      </c>
      <c r="C1772" s="130" t="s">
        <v>102</v>
      </c>
      <c r="D1772" s="130" t="s">
        <v>682</v>
      </c>
      <c r="E1772" s="130" t="s">
        <v>3131</v>
      </c>
      <c r="F1772" s="130">
        <v>0</v>
      </c>
      <c r="G1772" s="220">
        <v>43876</v>
      </c>
      <c r="H1772" s="130" t="s">
        <v>90</v>
      </c>
      <c r="I1772" s="130" t="s">
        <v>91</v>
      </c>
      <c r="J1772" s="130" t="s">
        <v>97</v>
      </c>
      <c r="K1772" s="130" t="s">
        <v>98</v>
      </c>
      <c r="L1772" s="174" t="s">
        <v>72</v>
      </c>
      <c r="M1772" s="131" t="s">
        <v>72</v>
      </c>
      <c r="N1772" s="130" t="s">
        <v>73</v>
      </c>
      <c r="O1772" s="219" t="s">
        <v>99</v>
      </c>
      <c r="P1772" s="130" t="s">
        <v>98</v>
      </c>
      <c r="Q1772" s="132" t="s">
        <v>93</v>
      </c>
      <c r="R1772" s="218">
        <v>3.4000001000000002</v>
      </c>
      <c r="S1772" s="129">
        <v>-1</v>
      </c>
      <c r="T1772" s="129">
        <v>-324.5</v>
      </c>
      <c r="U1772" s="129">
        <v>-324.5</v>
      </c>
      <c r="V1772" s="129">
        <v>-58.41</v>
      </c>
      <c r="W1772" s="129">
        <v>-382.91</v>
      </c>
      <c r="X1772" s="27">
        <f t="shared" si="195"/>
        <v>-1103.3000324500001</v>
      </c>
    </row>
    <row r="1773" spans="1:24" x14ac:dyDescent="0.2">
      <c r="A1773" s="220">
        <v>43876</v>
      </c>
      <c r="B1773" s="130" t="s">
        <v>114</v>
      </c>
      <c r="C1773" s="130" t="s">
        <v>102</v>
      </c>
      <c r="D1773" s="130" t="s">
        <v>682</v>
      </c>
      <c r="E1773" s="130" t="s">
        <v>3131</v>
      </c>
      <c r="F1773" s="130">
        <v>0</v>
      </c>
      <c r="G1773" s="220">
        <v>43876</v>
      </c>
      <c r="H1773" s="130" t="s">
        <v>90</v>
      </c>
      <c r="I1773" s="130" t="s">
        <v>91</v>
      </c>
      <c r="J1773" s="130" t="s">
        <v>100</v>
      </c>
      <c r="K1773" s="130" t="s">
        <v>101</v>
      </c>
      <c r="L1773" s="174" t="s">
        <v>72</v>
      </c>
      <c r="M1773" s="131" t="s">
        <v>72</v>
      </c>
      <c r="N1773" s="130" t="s">
        <v>73</v>
      </c>
      <c r="O1773" s="219" t="s">
        <v>72</v>
      </c>
      <c r="P1773" s="130" t="s">
        <v>101</v>
      </c>
      <c r="Q1773" s="132" t="s">
        <v>93</v>
      </c>
      <c r="R1773" s="218">
        <v>3.4000001000000002</v>
      </c>
      <c r="S1773" s="129">
        <v>-1</v>
      </c>
      <c r="T1773" s="129">
        <v>-292.5</v>
      </c>
      <c r="U1773" s="129">
        <v>-292.5</v>
      </c>
      <c r="V1773" s="129">
        <v>-52.649990000000031</v>
      </c>
      <c r="W1773" s="129">
        <v>-345.14999000000006</v>
      </c>
      <c r="X1773" s="27">
        <f t="shared" si="195"/>
        <v>-994.50002925000001</v>
      </c>
    </row>
    <row r="1774" spans="1:24" x14ac:dyDescent="0.2">
      <c r="A1774" s="220">
        <v>43876</v>
      </c>
      <c r="B1774" s="130" t="s">
        <v>114</v>
      </c>
      <c r="C1774" s="130" t="s">
        <v>102</v>
      </c>
      <c r="D1774" s="130" t="s">
        <v>682</v>
      </c>
      <c r="E1774" s="130" t="s">
        <v>3131</v>
      </c>
      <c r="F1774" s="130">
        <v>0</v>
      </c>
      <c r="G1774" s="220">
        <v>43876</v>
      </c>
      <c r="H1774" s="130" t="s">
        <v>90</v>
      </c>
      <c r="I1774" s="130" t="s">
        <v>91</v>
      </c>
      <c r="J1774" s="130" t="s">
        <v>92</v>
      </c>
      <c r="K1774" s="130" t="s">
        <v>113</v>
      </c>
      <c r="L1774" s="174" t="s">
        <v>72</v>
      </c>
      <c r="M1774" s="131" t="s">
        <v>72</v>
      </c>
      <c r="N1774" s="130" t="s">
        <v>73</v>
      </c>
      <c r="O1774" s="219" t="s">
        <v>69</v>
      </c>
      <c r="P1774" s="130" t="s">
        <v>1699</v>
      </c>
      <c r="Q1774" s="132" t="s">
        <v>93</v>
      </c>
      <c r="R1774" s="218">
        <v>3.4000001000000002</v>
      </c>
      <c r="S1774" s="129">
        <v>-1</v>
      </c>
      <c r="T1774" s="129">
        <v>-30</v>
      </c>
      <c r="U1774" s="129">
        <v>-30</v>
      </c>
      <c r="V1774" s="129">
        <v>-5.4000019999999997</v>
      </c>
      <c r="W1774" s="129">
        <v>-35.400002000000001</v>
      </c>
      <c r="X1774" s="27">
        <f t="shared" si="195"/>
        <v>-102.00000300000001</v>
      </c>
    </row>
    <row r="1775" spans="1:24" x14ac:dyDescent="0.2">
      <c r="A1775" s="220">
        <v>43876</v>
      </c>
      <c r="B1775" s="130" t="s">
        <v>114</v>
      </c>
      <c r="C1775" s="130" t="s">
        <v>102</v>
      </c>
      <c r="D1775" s="130" t="s">
        <v>682</v>
      </c>
      <c r="E1775" s="130" t="s">
        <v>3131</v>
      </c>
      <c r="F1775" s="130">
        <v>0</v>
      </c>
      <c r="G1775" s="220">
        <v>43876</v>
      </c>
      <c r="H1775" s="130" t="s">
        <v>90</v>
      </c>
      <c r="I1775" s="130" t="s">
        <v>91</v>
      </c>
      <c r="J1775" s="130" t="s">
        <v>70</v>
      </c>
      <c r="K1775" s="130" t="s">
        <v>112</v>
      </c>
      <c r="L1775" s="174" t="s">
        <v>72</v>
      </c>
      <c r="M1775" s="131" t="s">
        <v>72</v>
      </c>
      <c r="N1775" s="130" t="s">
        <v>73</v>
      </c>
      <c r="O1775" s="219" t="s">
        <v>69</v>
      </c>
      <c r="P1775" s="130" t="s">
        <v>1699</v>
      </c>
      <c r="Q1775" s="132" t="s">
        <v>93</v>
      </c>
      <c r="R1775" s="218">
        <v>3.4000001000000002</v>
      </c>
      <c r="S1775" s="129">
        <v>-1</v>
      </c>
      <c r="T1775" s="129">
        <v>-30</v>
      </c>
      <c r="U1775" s="129">
        <v>-30</v>
      </c>
      <c r="V1775" s="129">
        <v>-5.4000019999999997</v>
      </c>
      <c r="W1775" s="129">
        <v>-35.400002000000001</v>
      </c>
      <c r="X1775" s="27">
        <f t="shared" si="195"/>
        <v>-102.00000300000001</v>
      </c>
    </row>
    <row r="1776" spans="1:24" x14ac:dyDescent="0.2">
      <c r="A1776" s="220">
        <v>43876</v>
      </c>
      <c r="B1776" s="130" t="s">
        <v>114</v>
      </c>
      <c r="C1776" s="130" t="s">
        <v>102</v>
      </c>
      <c r="D1776" s="130" t="s">
        <v>682</v>
      </c>
      <c r="E1776" s="130" t="s">
        <v>3131</v>
      </c>
      <c r="F1776" s="130">
        <v>0</v>
      </c>
      <c r="G1776" s="220">
        <v>43876</v>
      </c>
      <c r="H1776" s="130" t="s">
        <v>90</v>
      </c>
      <c r="I1776" s="130" t="s">
        <v>91</v>
      </c>
      <c r="J1776" s="130" t="s">
        <v>95</v>
      </c>
      <c r="K1776" s="130" t="s">
        <v>96</v>
      </c>
      <c r="L1776" s="174" t="s">
        <v>72</v>
      </c>
      <c r="M1776" s="131" t="s">
        <v>72</v>
      </c>
      <c r="N1776" s="130" t="s">
        <v>73</v>
      </c>
      <c r="O1776" s="219" t="s">
        <v>69</v>
      </c>
      <c r="P1776" s="130" t="s">
        <v>1699</v>
      </c>
      <c r="Q1776" s="132" t="s">
        <v>93</v>
      </c>
      <c r="R1776" s="218">
        <v>3.4000001000000002</v>
      </c>
      <c r="S1776" s="129">
        <v>1</v>
      </c>
      <c r="T1776" s="129">
        <v>-100</v>
      </c>
      <c r="U1776" s="129">
        <v>100</v>
      </c>
      <c r="V1776" s="129">
        <v>18</v>
      </c>
      <c r="W1776" s="129">
        <v>118</v>
      </c>
      <c r="X1776" s="27">
        <f t="shared" si="195"/>
        <v>340.00001000000003</v>
      </c>
    </row>
    <row r="1777" spans="1:37" x14ac:dyDescent="0.2">
      <c r="A1777" s="220">
        <v>43876</v>
      </c>
      <c r="B1777" s="130" t="s">
        <v>114</v>
      </c>
      <c r="C1777" s="130" t="s">
        <v>102</v>
      </c>
      <c r="D1777" s="130" t="s">
        <v>682</v>
      </c>
      <c r="E1777" s="130" t="s">
        <v>3131</v>
      </c>
      <c r="F1777" s="130">
        <v>0</v>
      </c>
      <c r="G1777" s="220">
        <v>43876</v>
      </c>
      <c r="H1777" s="130" t="s">
        <v>90</v>
      </c>
      <c r="I1777" s="130" t="s">
        <v>91</v>
      </c>
      <c r="J1777" s="130" t="s">
        <v>104</v>
      </c>
      <c r="K1777" s="130" t="s">
        <v>105</v>
      </c>
      <c r="L1777" s="174" t="s">
        <v>72</v>
      </c>
      <c r="M1777" s="131" t="s">
        <v>72</v>
      </c>
      <c r="N1777" s="130" t="s">
        <v>73</v>
      </c>
      <c r="O1777" s="219" t="s">
        <v>69</v>
      </c>
      <c r="P1777" s="130" t="s">
        <v>1699</v>
      </c>
      <c r="Q1777" s="132" t="s">
        <v>93</v>
      </c>
      <c r="R1777" s="218">
        <v>3.4000001000000002</v>
      </c>
      <c r="S1777" s="129">
        <v>-1</v>
      </c>
      <c r="T1777" s="129">
        <v>0</v>
      </c>
      <c r="U1777" s="129">
        <v>0</v>
      </c>
      <c r="V1777" s="129">
        <v>0</v>
      </c>
      <c r="W1777" s="129">
        <v>0</v>
      </c>
      <c r="X1777" s="27">
        <f t="shared" si="195"/>
        <v>0</v>
      </c>
    </row>
    <row r="1778" spans="1:37" x14ac:dyDescent="0.2">
      <c r="A1778" s="220">
        <v>43876</v>
      </c>
      <c r="B1778" s="130" t="s">
        <v>114</v>
      </c>
      <c r="C1778" s="130" t="s">
        <v>102</v>
      </c>
      <c r="D1778" s="130" t="s">
        <v>681</v>
      </c>
      <c r="E1778" s="130" t="s">
        <v>3132</v>
      </c>
      <c r="F1778" s="130">
        <v>0</v>
      </c>
      <c r="G1778" s="220">
        <v>43876</v>
      </c>
      <c r="H1778" s="130" t="s">
        <v>90</v>
      </c>
      <c r="I1778" s="130" t="s">
        <v>91</v>
      </c>
      <c r="J1778" s="130" t="s">
        <v>97</v>
      </c>
      <c r="K1778" s="130" t="s">
        <v>98</v>
      </c>
      <c r="L1778" s="174" t="s">
        <v>72</v>
      </c>
      <c r="M1778" s="131" t="s">
        <v>72</v>
      </c>
      <c r="N1778" s="130" t="s">
        <v>73</v>
      </c>
      <c r="O1778" s="219" t="s">
        <v>99</v>
      </c>
      <c r="P1778" s="130" t="s">
        <v>98</v>
      </c>
      <c r="Q1778" s="132" t="s">
        <v>93</v>
      </c>
      <c r="R1778" s="218">
        <v>3.3599999</v>
      </c>
      <c r="S1778" s="129">
        <v>-1</v>
      </c>
      <c r="T1778" s="129">
        <v>-324.5</v>
      </c>
      <c r="U1778" s="129">
        <v>-324.5</v>
      </c>
      <c r="V1778" s="129">
        <v>-58.41</v>
      </c>
      <c r="W1778" s="129">
        <v>-382.91</v>
      </c>
      <c r="X1778" s="27">
        <f t="shared" si="195"/>
        <v>-1090.31996755</v>
      </c>
    </row>
    <row r="1779" spans="1:37" x14ac:dyDescent="0.2">
      <c r="A1779" s="220">
        <v>43876</v>
      </c>
      <c r="B1779" s="130" t="s">
        <v>114</v>
      </c>
      <c r="C1779" s="130" t="s">
        <v>102</v>
      </c>
      <c r="D1779" s="130" t="s">
        <v>681</v>
      </c>
      <c r="E1779" s="130" t="s">
        <v>3132</v>
      </c>
      <c r="F1779" s="130">
        <v>0</v>
      </c>
      <c r="G1779" s="220">
        <v>43876</v>
      </c>
      <c r="H1779" s="130" t="s">
        <v>90</v>
      </c>
      <c r="I1779" s="130" t="s">
        <v>91</v>
      </c>
      <c r="J1779" s="130" t="s">
        <v>100</v>
      </c>
      <c r="K1779" s="130" t="s">
        <v>101</v>
      </c>
      <c r="L1779" s="174" t="s">
        <v>72</v>
      </c>
      <c r="M1779" s="131" t="s">
        <v>72</v>
      </c>
      <c r="N1779" s="130" t="s">
        <v>73</v>
      </c>
      <c r="O1779" s="219" t="s">
        <v>72</v>
      </c>
      <c r="P1779" s="130" t="s">
        <v>101</v>
      </c>
      <c r="Q1779" s="132" t="s">
        <v>93</v>
      </c>
      <c r="R1779" s="218">
        <v>3.3599999</v>
      </c>
      <c r="S1779" s="129">
        <v>-1</v>
      </c>
      <c r="T1779" s="129">
        <v>-180</v>
      </c>
      <c r="U1779" s="129">
        <v>-180</v>
      </c>
      <c r="V1779" s="129">
        <v>-32.39998999999996</v>
      </c>
      <c r="W1779" s="129">
        <v>-212.39998999999997</v>
      </c>
      <c r="X1779" s="27">
        <f t="shared" si="195"/>
        <v>-604.799982</v>
      </c>
    </row>
    <row r="1780" spans="1:37" x14ac:dyDescent="0.2">
      <c r="A1780" s="220">
        <v>43876</v>
      </c>
      <c r="B1780" s="130" t="s">
        <v>114</v>
      </c>
      <c r="C1780" s="130" t="s">
        <v>102</v>
      </c>
      <c r="D1780" s="130" t="s">
        <v>681</v>
      </c>
      <c r="E1780" s="130" t="s">
        <v>3132</v>
      </c>
      <c r="F1780" s="130">
        <v>0</v>
      </c>
      <c r="G1780" s="220">
        <v>43876</v>
      </c>
      <c r="H1780" s="130" t="s">
        <v>90</v>
      </c>
      <c r="I1780" s="130" t="s">
        <v>91</v>
      </c>
      <c r="J1780" s="130" t="s">
        <v>92</v>
      </c>
      <c r="K1780" s="130" t="s">
        <v>113</v>
      </c>
      <c r="L1780" s="174" t="s">
        <v>72</v>
      </c>
      <c r="M1780" s="131" t="s">
        <v>72</v>
      </c>
      <c r="N1780" s="130" t="s">
        <v>73</v>
      </c>
      <c r="O1780" s="219" t="s">
        <v>69</v>
      </c>
      <c r="P1780" s="130" t="s">
        <v>1699</v>
      </c>
      <c r="Q1780" s="132" t="s">
        <v>93</v>
      </c>
      <c r="R1780" s="218">
        <v>3.3599999</v>
      </c>
      <c r="S1780" s="129">
        <v>-1</v>
      </c>
      <c r="T1780" s="129">
        <v>-70</v>
      </c>
      <c r="U1780" s="129">
        <v>-70</v>
      </c>
      <c r="V1780" s="129">
        <v>-12.599997999999978</v>
      </c>
      <c r="W1780" s="129">
        <v>-82.599997999999971</v>
      </c>
      <c r="X1780" s="27">
        <f t="shared" si="195"/>
        <v>-235.19999300000001</v>
      </c>
    </row>
    <row r="1781" spans="1:37" x14ac:dyDescent="0.2">
      <c r="A1781" s="220">
        <v>43876</v>
      </c>
      <c r="B1781" s="130" t="s">
        <v>114</v>
      </c>
      <c r="C1781" s="130" t="s">
        <v>102</v>
      </c>
      <c r="D1781" s="130" t="s">
        <v>681</v>
      </c>
      <c r="E1781" s="130" t="s">
        <v>3132</v>
      </c>
      <c r="F1781" s="130">
        <v>0</v>
      </c>
      <c r="G1781" s="220">
        <v>43876</v>
      </c>
      <c r="H1781" s="130" t="s">
        <v>90</v>
      </c>
      <c r="I1781" s="130" t="s">
        <v>91</v>
      </c>
      <c r="J1781" s="130" t="s">
        <v>95</v>
      </c>
      <c r="K1781" s="130" t="s">
        <v>96</v>
      </c>
      <c r="L1781" s="174" t="s">
        <v>72</v>
      </c>
      <c r="M1781" s="131" t="s">
        <v>72</v>
      </c>
      <c r="N1781" s="130" t="s">
        <v>73</v>
      </c>
      <c r="O1781" s="219" t="s">
        <v>69</v>
      </c>
      <c r="P1781" s="130" t="s">
        <v>1699</v>
      </c>
      <c r="Q1781" s="132" t="s">
        <v>93</v>
      </c>
      <c r="R1781" s="218">
        <v>3.3599999</v>
      </c>
      <c r="S1781" s="129">
        <v>1</v>
      </c>
      <c r="T1781" s="129">
        <v>-200</v>
      </c>
      <c r="U1781" s="129">
        <v>200</v>
      </c>
      <c r="V1781" s="129">
        <v>36</v>
      </c>
      <c r="W1781" s="129">
        <v>236</v>
      </c>
      <c r="X1781" s="27">
        <f t="shared" si="195"/>
        <v>671.99998000000005</v>
      </c>
    </row>
    <row r="1782" spans="1:37" x14ac:dyDescent="0.2">
      <c r="A1782" s="220">
        <v>43876</v>
      </c>
      <c r="B1782" s="130" t="s">
        <v>114</v>
      </c>
      <c r="C1782" s="130" t="s">
        <v>102</v>
      </c>
      <c r="D1782" s="130" t="s">
        <v>681</v>
      </c>
      <c r="E1782" s="130" t="s">
        <v>3132</v>
      </c>
      <c r="F1782" s="130">
        <v>0</v>
      </c>
      <c r="G1782" s="220">
        <v>43876</v>
      </c>
      <c r="H1782" s="130" t="s">
        <v>90</v>
      </c>
      <c r="I1782" s="130" t="s">
        <v>91</v>
      </c>
      <c r="J1782" s="130" t="s">
        <v>104</v>
      </c>
      <c r="K1782" s="130" t="s">
        <v>105</v>
      </c>
      <c r="L1782" s="174" t="s">
        <v>72</v>
      </c>
      <c r="M1782" s="131" t="s">
        <v>72</v>
      </c>
      <c r="N1782" s="130" t="s">
        <v>73</v>
      </c>
      <c r="O1782" s="219" t="s">
        <v>69</v>
      </c>
      <c r="P1782" s="130" t="s">
        <v>1699</v>
      </c>
      <c r="Q1782" s="132" t="s">
        <v>93</v>
      </c>
      <c r="R1782" s="218">
        <v>3.3599999</v>
      </c>
      <c r="S1782" s="129">
        <v>-1</v>
      </c>
      <c r="T1782" s="129">
        <v>0</v>
      </c>
      <c r="U1782" s="129">
        <v>0</v>
      </c>
      <c r="V1782" s="129">
        <v>0</v>
      </c>
      <c r="W1782" s="129">
        <v>0</v>
      </c>
      <c r="X1782" s="27">
        <f t="shared" si="195"/>
        <v>0</v>
      </c>
    </row>
    <row r="1783" spans="1:37" x14ac:dyDescent="0.2">
      <c r="A1783" s="220">
        <v>43876</v>
      </c>
      <c r="B1783" s="130" t="s">
        <v>114</v>
      </c>
      <c r="C1783" s="130" t="s">
        <v>102</v>
      </c>
      <c r="D1783" s="130" t="s">
        <v>680</v>
      </c>
      <c r="E1783" s="130" t="s">
        <v>3133</v>
      </c>
      <c r="F1783" s="130">
        <v>0</v>
      </c>
      <c r="G1783" s="220">
        <v>43876</v>
      </c>
      <c r="H1783" s="130" t="s">
        <v>90</v>
      </c>
      <c r="I1783" s="130" t="s">
        <v>91</v>
      </c>
      <c r="J1783" s="130" t="s">
        <v>97</v>
      </c>
      <c r="K1783" s="130" t="s">
        <v>98</v>
      </c>
      <c r="L1783" s="174" t="s">
        <v>72</v>
      </c>
      <c r="M1783" s="131" t="s">
        <v>72</v>
      </c>
      <c r="N1783" s="130" t="s">
        <v>73</v>
      </c>
      <c r="O1783" s="219" t="s">
        <v>99</v>
      </c>
      <c r="P1783" s="130" t="s">
        <v>98</v>
      </c>
      <c r="Q1783" s="132" t="s">
        <v>93</v>
      </c>
      <c r="R1783" s="218">
        <v>3.3800001000000002</v>
      </c>
      <c r="S1783" s="129">
        <v>-1</v>
      </c>
      <c r="T1783" s="129">
        <v>-354</v>
      </c>
      <c r="U1783" s="129">
        <v>-354</v>
      </c>
      <c r="V1783" s="129">
        <v>-63.72</v>
      </c>
      <c r="W1783" s="129">
        <v>-417.72</v>
      </c>
      <c r="X1783" s="27">
        <f t="shared" si="195"/>
        <v>-1196.5200354000001</v>
      </c>
    </row>
    <row r="1784" spans="1:37" x14ac:dyDescent="0.2">
      <c r="A1784" s="220">
        <v>43876</v>
      </c>
      <c r="B1784" s="130" t="s">
        <v>114</v>
      </c>
      <c r="C1784" s="130" t="s">
        <v>102</v>
      </c>
      <c r="D1784" s="130" t="s">
        <v>680</v>
      </c>
      <c r="E1784" s="130" t="s">
        <v>3133</v>
      </c>
      <c r="F1784" s="130">
        <v>0</v>
      </c>
      <c r="G1784" s="220">
        <v>43876</v>
      </c>
      <c r="H1784" s="130" t="s">
        <v>90</v>
      </c>
      <c r="I1784" s="130" t="s">
        <v>91</v>
      </c>
      <c r="J1784" s="130" t="s">
        <v>100</v>
      </c>
      <c r="K1784" s="130" t="s">
        <v>101</v>
      </c>
      <c r="L1784" s="174" t="s">
        <v>72</v>
      </c>
      <c r="M1784" s="131" t="s">
        <v>72</v>
      </c>
      <c r="N1784" s="130" t="s">
        <v>73</v>
      </c>
      <c r="O1784" s="219" t="s">
        <v>72</v>
      </c>
      <c r="P1784" s="130" t="s">
        <v>101</v>
      </c>
      <c r="Q1784" s="132" t="s">
        <v>93</v>
      </c>
      <c r="R1784" s="218">
        <v>3.3800001000000002</v>
      </c>
      <c r="S1784" s="129">
        <v>-1</v>
      </c>
      <c r="T1784" s="129">
        <v>-135</v>
      </c>
      <c r="U1784" s="129">
        <v>-135</v>
      </c>
      <c r="V1784" s="129">
        <v>-24.3</v>
      </c>
      <c r="W1784" s="129">
        <v>-159.30000000000001</v>
      </c>
      <c r="X1784" s="27">
        <f t="shared" si="195"/>
        <v>-456.30001350000003</v>
      </c>
    </row>
    <row r="1785" spans="1:37" x14ac:dyDescent="0.2">
      <c r="A1785" s="220">
        <v>43876</v>
      </c>
      <c r="B1785" s="130" t="s">
        <v>114</v>
      </c>
      <c r="C1785" s="130" t="s">
        <v>102</v>
      </c>
      <c r="D1785" s="130" t="s">
        <v>680</v>
      </c>
      <c r="E1785" s="130" t="s">
        <v>3133</v>
      </c>
      <c r="F1785" s="130">
        <v>0</v>
      </c>
      <c r="G1785" s="220">
        <v>43876</v>
      </c>
      <c r="H1785" s="130" t="s">
        <v>90</v>
      </c>
      <c r="I1785" s="130" t="s">
        <v>91</v>
      </c>
      <c r="J1785" s="130" t="s">
        <v>95</v>
      </c>
      <c r="K1785" s="130" t="s">
        <v>96</v>
      </c>
      <c r="L1785" s="174" t="s">
        <v>72</v>
      </c>
      <c r="M1785" s="131" t="s">
        <v>72</v>
      </c>
      <c r="N1785" s="130" t="s">
        <v>73</v>
      </c>
      <c r="O1785" s="219" t="s">
        <v>69</v>
      </c>
      <c r="P1785" s="130" t="s">
        <v>1699</v>
      </c>
      <c r="Q1785" s="132" t="s">
        <v>93</v>
      </c>
      <c r="R1785" s="218">
        <v>3.3800001000000002</v>
      </c>
      <c r="S1785" s="129">
        <v>1</v>
      </c>
      <c r="T1785" s="129">
        <v>-100</v>
      </c>
      <c r="U1785" s="129">
        <v>100</v>
      </c>
      <c r="V1785" s="129">
        <v>18</v>
      </c>
      <c r="W1785" s="129">
        <v>118</v>
      </c>
      <c r="X1785" s="27">
        <f t="shared" si="195"/>
        <v>338.00001000000003</v>
      </c>
    </row>
    <row r="1786" spans="1:37" x14ac:dyDescent="0.2">
      <c r="A1786" s="220">
        <v>43876</v>
      </c>
      <c r="B1786" s="130" t="s">
        <v>114</v>
      </c>
      <c r="C1786" s="130" t="s">
        <v>102</v>
      </c>
      <c r="D1786" s="130" t="s">
        <v>679</v>
      </c>
      <c r="E1786" s="130" t="s">
        <v>3134</v>
      </c>
      <c r="F1786" s="130">
        <v>0</v>
      </c>
      <c r="G1786" s="220">
        <v>43876</v>
      </c>
      <c r="H1786" s="130" t="s">
        <v>90</v>
      </c>
      <c r="I1786" s="130" t="s">
        <v>91</v>
      </c>
      <c r="J1786" s="130" t="s">
        <v>115</v>
      </c>
      <c r="K1786" s="130" t="s">
        <v>138</v>
      </c>
      <c r="L1786" s="174" t="s">
        <v>72</v>
      </c>
      <c r="M1786" s="131" t="s">
        <v>72</v>
      </c>
      <c r="N1786" s="130" t="s">
        <v>73</v>
      </c>
      <c r="O1786" s="219" t="s">
        <v>69</v>
      </c>
      <c r="P1786" s="130" t="s">
        <v>1699</v>
      </c>
      <c r="Q1786" s="132" t="s">
        <v>93</v>
      </c>
      <c r="R1786" s="218">
        <v>3.3640001000000002</v>
      </c>
      <c r="S1786" s="129">
        <v>-1</v>
      </c>
      <c r="T1786" s="129">
        <v>-509.51001000000014</v>
      </c>
      <c r="U1786" s="129">
        <v>-509.51001000000014</v>
      </c>
      <c r="V1786" s="129">
        <v>-91.711789999999823</v>
      </c>
      <c r="W1786" s="129">
        <v>-601.22179999999992</v>
      </c>
      <c r="X1786" s="27">
        <f t="shared" si="195"/>
        <v>-1713.9917245910015</v>
      </c>
    </row>
    <row r="1787" spans="1:37" x14ac:dyDescent="0.2">
      <c r="A1787" s="220">
        <v>43879</v>
      </c>
      <c r="B1787" s="130" t="s">
        <v>114</v>
      </c>
      <c r="C1787" s="130" t="s">
        <v>102</v>
      </c>
      <c r="D1787" s="130" t="s">
        <v>678</v>
      </c>
      <c r="E1787" s="130" t="s">
        <v>3135</v>
      </c>
      <c r="F1787" s="130">
        <v>0</v>
      </c>
      <c r="G1787" s="220">
        <v>43879</v>
      </c>
      <c r="H1787" s="130" t="s">
        <v>90</v>
      </c>
      <c r="I1787" s="130" t="s">
        <v>91</v>
      </c>
      <c r="J1787" s="130" t="s">
        <v>97</v>
      </c>
      <c r="K1787" s="130" t="s">
        <v>98</v>
      </c>
      <c r="L1787" s="174" t="s">
        <v>72</v>
      </c>
      <c r="M1787" s="131" t="s">
        <v>72</v>
      </c>
      <c r="N1787" s="130" t="s">
        <v>73</v>
      </c>
      <c r="O1787" s="219" t="s">
        <v>99</v>
      </c>
      <c r="P1787" s="130" t="s">
        <v>98</v>
      </c>
      <c r="Q1787" s="132" t="s">
        <v>93</v>
      </c>
      <c r="R1787" s="218">
        <v>3.3729998999999999</v>
      </c>
      <c r="S1787" s="129">
        <v>-1</v>
      </c>
      <c r="T1787" s="129">
        <v>-88.5</v>
      </c>
      <c r="U1787" s="129">
        <v>-88.5</v>
      </c>
      <c r="V1787" s="129">
        <v>-15.93</v>
      </c>
      <c r="W1787" s="129">
        <v>-104.43</v>
      </c>
      <c r="X1787" s="27">
        <f t="shared" si="195"/>
        <v>-298.51049115000001</v>
      </c>
    </row>
    <row r="1788" spans="1:37" x14ac:dyDescent="0.2">
      <c r="A1788" s="220">
        <v>43879</v>
      </c>
      <c r="B1788" s="130" t="s">
        <v>114</v>
      </c>
      <c r="C1788" s="130" t="s">
        <v>102</v>
      </c>
      <c r="D1788" s="130" t="s">
        <v>678</v>
      </c>
      <c r="E1788" s="130" t="s">
        <v>3135</v>
      </c>
      <c r="F1788" s="130">
        <v>0</v>
      </c>
      <c r="G1788" s="220">
        <v>43879</v>
      </c>
      <c r="H1788" s="130" t="s">
        <v>90</v>
      </c>
      <c r="I1788" s="130" t="s">
        <v>91</v>
      </c>
      <c r="J1788" s="130" t="s">
        <v>100</v>
      </c>
      <c r="K1788" s="130" t="s">
        <v>101</v>
      </c>
      <c r="L1788" s="174" t="s">
        <v>72</v>
      </c>
      <c r="M1788" s="131" t="s">
        <v>72</v>
      </c>
      <c r="N1788" s="130" t="s">
        <v>73</v>
      </c>
      <c r="O1788" s="219" t="s">
        <v>72</v>
      </c>
      <c r="P1788" s="130" t="s">
        <v>101</v>
      </c>
      <c r="Q1788" s="132" t="s">
        <v>93</v>
      </c>
      <c r="R1788" s="218">
        <v>3.3729998999999999</v>
      </c>
      <c r="S1788" s="129">
        <v>-1</v>
      </c>
      <c r="T1788" s="129">
        <v>-30</v>
      </c>
      <c r="U1788" s="129">
        <v>-30</v>
      </c>
      <c r="V1788" s="129">
        <v>-5.4000019999999997</v>
      </c>
      <c r="W1788" s="129">
        <v>-35.400002000000001</v>
      </c>
      <c r="X1788" s="27">
        <f t="shared" si="195"/>
        <v>-101.18999700000001</v>
      </c>
    </row>
    <row r="1789" spans="1:37" x14ac:dyDescent="0.2">
      <c r="A1789" s="220">
        <v>43879</v>
      </c>
      <c r="B1789" s="130" t="s">
        <v>114</v>
      </c>
      <c r="C1789" s="130" t="s">
        <v>102</v>
      </c>
      <c r="D1789" s="130" t="s">
        <v>678</v>
      </c>
      <c r="E1789" s="130" t="s">
        <v>3135</v>
      </c>
      <c r="F1789" s="130">
        <v>0</v>
      </c>
      <c r="G1789" s="220">
        <v>43879</v>
      </c>
      <c r="H1789" s="130" t="s">
        <v>90</v>
      </c>
      <c r="I1789" s="130" t="s">
        <v>91</v>
      </c>
      <c r="J1789" s="130" t="s">
        <v>92</v>
      </c>
      <c r="K1789" s="130" t="s">
        <v>113</v>
      </c>
      <c r="L1789" s="174" t="s">
        <v>72</v>
      </c>
      <c r="M1789" s="131" t="s">
        <v>72</v>
      </c>
      <c r="N1789" s="130" t="s">
        <v>73</v>
      </c>
      <c r="O1789" s="219" t="s">
        <v>69</v>
      </c>
      <c r="P1789" s="130" t="s">
        <v>1699</v>
      </c>
      <c r="Q1789" s="132" t="s">
        <v>93</v>
      </c>
      <c r="R1789" s="218">
        <v>3.3729998999999999</v>
      </c>
      <c r="S1789" s="129">
        <v>-1</v>
      </c>
      <c r="T1789" s="129">
        <v>-45</v>
      </c>
      <c r="U1789" s="129">
        <v>-45</v>
      </c>
      <c r="V1789" s="129">
        <v>-8.0999980000000047</v>
      </c>
      <c r="W1789" s="129">
        <v>-53.099998000000006</v>
      </c>
      <c r="X1789" s="27">
        <f t="shared" si="195"/>
        <v>-151.78499550000001</v>
      </c>
    </row>
    <row r="1790" spans="1:37" x14ac:dyDescent="0.2">
      <c r="A1790" s="220">
        <v>43879</v>
      </c>
      <c r="B1790" s="130" t="s">
        <v>114</v>
      </c>
      <c r="C1790" s="130" t="s">
        <v>102</v>
      </c>
      <c r="D1790" s="130" t="s">
        <v>677</v>
      </c>
      <c r="E1790" s="130" t="s">
        <v>3136</v>
      </c>
      <c r="F1790" s="130">
        <v>0</v>
      </c>
      <c r="G1790" s="220">
        <v>43879</v>
      </c>
      <c r="H1790" s="130" t="s">
        <v>1745</v>
      </c>
      <c r="I1790" s="130" t="s">
        <v>1744</v>
      </c>
      <c r="J1790" s="130" t="s">
        <v>95</v>
      </c>
      <c r="K1790" s="130" t="s">
        <v>96</v>
      </c>
      <c r="L1790" s="174" t="s">
        <v>72</v>
      </c>
      <c r="M1790" s="131" t="s">
        <v>72</v>
      </c>
      <c r="N1790" s="130" t="s">
        <v>73</v>
      </c>
      <c r="O1790" s="219" t="s">
        <v>69</v>
      </c>
      <c r="P1790" s="130" t="s">
        <v>1699</v>
      </c>
      <c r="Q1790" s="132" t="s">
        <v>93</v>
      </c>
      <c r="R1790" s="218">
        <v>3.3849999999999998</v>
      </c>
      <c r="S1790" s="129">
        <v>-1</v>
      </c>
      <c r="T1790" s="129">
        <v>-14.957599999999999</v>
      </c>
      <c r="U1790" s="129">
        <v>-14.957599999999999</v>
      </c>
      <c r="V1790" s="129">
        <v>-2.6923999999999979</v>
      </c>
      <c r="W1790" s="129">
        <v>-17.649999999999999</v>
      </c>
      <c r="X1790" s="27">
        <f t="shared" si="195"/>
        <v>-50.631475999999992</v>
      </c>
    </row>
    <row r="1791" spans="1:37" x14ac:dyDescent="0.2">
      <c r="AA1791" s="98">
        <f ca="1">SUBTOTAL(9,AA4:AA1790)</f>
        <v>914503.57493955863</v>
      </c>
      <c r="AB1791" s="98">
        <f t="shared" ref="AB1791:AJ1791" ca="1" si="196">SUBTOTAL(9,AB4:AB1790)</f>
        <v>179837.10868400006</v>
      </c>
      <c r="AC1791" s="98">
        <f t="shared" ca="1" si="196"/>
        <v>10983.169717514122</v>
      </c>
      <c r="AD1791" s="98">
        <f t="shared" ca="1" si="196"/>
        <v>31249.956610169502</v>
      </c>
      <c r="AE1791" s="98">
        <f t="shared" ca="1" si="196"/>
        <v>18213.829000000016</v>
      </c>
      <c r="AF1791" s="98">
        <f t="shared" ca="1" si="196"/>
        <v>48643.256249999977</v>
      </c>
      <c r="AG1791" s="98">
        <f t="shared" ca="1" si="196"/>
        <v>109886.70000000014</v>
      </c>
      <c r="AH1791" s="98">
        <f t="shared" ca="1" si="196"/>
        <v>0</v>
      </c>
      <c r="AI1791" s="98">
        <f t="shared" ca="1" si="196"/>
        <v>398814.02026168333</v>
      </c>
      <c r="AJ1791" s="98">
        <f t="shared" ca="1" si="196"/>
        <v>515689.55467787542</v>
      </c>
      <c r="AK1791" s="211">
        <f t="shared" ref="AK1791" ca="1" si="197">IFERROR(AJ1791/AA1791,0)</f>
        <v>0.5639010812089591</v>
      </c>
    </row>
  </sheetData>
  <autoFilter ref="A3:AV1790" xr:uid="{00000000-0009-0000-0000-000003000000}"/>
  <dataConsolidate/>
  <pageMargins left="3.937007874015748E-2" right="3.937007874015748E-2" top="0.35433070866141736" bottom="0.35433070866141736" header="0.31496062992125984" footer="0.31496062992125984"/>
  <pageSetup paperSize="9" scale="33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pageSetUpPr fitToPage="1"/>
  </sheetPr>
  <dimension ref="A1:AV1096"/>
  <sheetViews>
    <sheetView showGridLines="0" workbookViewId="0">
      <selection activeCell="K27" sqref="K27"/>
    </sheetView>
  </sheetViews>
  <sheetFormatPr defaultColWidth="11.42578125" defaultRowHeight="15" x14ac:dyDescent="0.25"/>
  <cols>
    <col min="1" max="1" width="17.5703125" customWidth="1"/>
    <col min="2" max="2" width="19" bestFit="1" customWidth="1"/>
    <col min="3" max="3" width="4" customWidth="1"/>
    <col min="4" max="4" width="17.5703125" customWidth="1"/>
    <col min="5" max="5" width="20.5703125" customWidth="1"/>
    <col min="6" max="6" width="4" customWidth="1"/>
    <col min="7" max="7" width="17.5703125" customWidth="1"/>
    <col min="8" max="8" width="22" customWidth="1"/>
    <col min="9" max="9" width="4" customWidth="1"/>
    <col min="10" max="10" width="17.5703125" customWidth="1"/>
    <col min="11" max="11" width="20.7109375" bestFit="1" customWidth="1"/>
    <col min="12" max="12" width="10.5703125" bestFit="1" customWidth="1"/>
  </cols>
  <sheetData>
    <row r="1" spans="1:48" x14ac:dyDescent="0.25">
      <c r="A1" s="43" t="s">
        <v>287</v>
      </c>
      <c r="B1" s="100">
        <v>2020</v>
      </c>
      <c r="D1" s="43" t="s">
        <v>287</v>
      </c>
      <c r="E1" s="100">
        <v>2020</v>
      </c>
      <c r="G1" s="43" t="s">
        <v>287</v>
      </c>
      <c r="H1" s="100">
        <v>2020</v>
      </c>
      <c r="J1" s="43" t="s">
        <v>287</v>
      </c>
      <c r="K1" s="100">
        <v>2020</v>
      </c>
    </row>
    <row r="2" spans="1:48" x14ac:dyDescent="0.25">
      <c r="A2" s="43" t="s">
        <v>286</v>
      </c>
      <c r="B2" s="12" t="s">
        <v>3156</v>
      </c>
      <c r="D2" s="43" t="s">
        <v>286</v>
      </c>
      <c r="E2" s="12" t="s">
        <v>3156</v>
      </c>
      <c r="G2" s="43" t="s">
        <v>286</v>
      </c>
      <c r="H2" s="12" t="s">
        <v>3156</v>
      </c>
      <c r="J2" s="43" t="s">
        <v>286</v>
      </c>
      <c r="K2" s="12" t="s">
        <v>3156</v>
      </c>
    </row>
    <row r="4" spans="1:48" x14ac:dyDescent="0.25">
      <c r="A4" s="43" t="s">
        <v>290</v>
      </c>
      <c r="B4" t="s">
        <v>291</v>
      </c>
      <c r="D4" s="43" t="s">
        <v>290</v>
      </c>
      <c r="E4" t="s">
        <v>296</v>
      </c>
      <c r="G4" s="43" t="s">
        <v>290</v>
      </c>
      <c r="H4" t="s">
        <v>295</v>
      </c>
      <c r="J4" s="43" t="s">
        <v>290</v>
      </c>
      <c r="K4" t="s">
        <v>3278</v>
      </c>
      <c r="L4" s="48"/>
      <c r="AR4" t="e">
        <f t="shared" ref="AR4:AR68" si="0">VLOOKUP(Z4,$E$4:$G$3523,3,0)</f>
        <v>#N/A</v>
      </c>
      <c r="AU4">
        <f>SUMIF(ASIGNACION!$C$5:$C$94,Z4,ASIGNACION!$R$5:$R$94)*'Costos x MO'!$B$7</f>
        <v>0</v>
      </c>
      <c r="AV4" t="str">
        <f>IFERROR(VLOOKUP(Z4,ASIGNACION!$C$5:$H$94,6,0),"F/Fecha")</f>
        <v>F/Fecha</v>
      </c>
    </row>
    <row r="5" spans="1:48" x14ac:dyDescent="0.25">
      <c r="A5" s="44" t="s">
        <v>121</v>
      </c>
      <c r="B5" s="46">
        <v>13023.988048473242</v>
      </c>
      <c r="D5" s="44" t="s">
        <v>121</v>
      </c>
      <c r="E5" s="46">
        <v>1401.4481501000002</v>
      </c>
      <c r="G5" s="44" t="s">
        <v>121</v>
      </c>
      <c r="H5" s="46">
        <v>11622.539898373239</v>
      </c>
      <c r="J5" s="44" t="s">
        <v>121</v>
      </c>
      <c r="K5" s="47">
        <v>19</v>
      </c>
      <c r="L5" s="48">
        <f>+B5/K5</f>
        <v>685.47305518280223</v>
      </c>
      <c r="AK5" s="12"/>
      <c r="AR5" s="12" t="e">
        <f t="shared" si="0"/>
        <v>#N/A</v>
      </c>
      <c r="AU5" s="12">
        <f>SUMIF(ASIGNACION!$C$5:$C$94,Z5,ASIGNACION!$R$5:$R$94)*'Costos x MO'!$B$7</f>
        <v>0</v>
      </c>
      <c r="AV5" s="12" t="str">
        <f>IFERROR(VLOOKUP(Z5,ASIGNACION!$C$5:$H$94,6,0),"F/Fecha")</f>
        <v>F/Fecha</v>
      </c>
    </row>
    <row r="6" spans="1:48" x14ac:dyDescent="0.25">
      <c r="A6" s="44" t="s">
        <v>123</v>
      </c>
      <c r="B6" s="46">
        <v>68600.909412973706</v>
      </c>
      <c r="D6" s="44" t="s">
        <v>123</v>
      </c>
      <c r="E6" s="46">
        <v>19314.465434098307</v>
      </c>
      <c r="G6" s="44" t="s">
        <v>123</v>
      </c>
      <c r="H6" s="46">
        <v>49286.44397887541</v>
      </c>
      <c r="J6" s="44" t="s">
        <v>123</v>
      </c>
      <c r="K6" s="47">
        <v>54</v>
      </c>
      <c r="L6" s="48">
        <f>+B6/K6</f>
        <v>1270.3872113513648</v>
      </c>
      <c r="AK6" s="12"/>
      <c r="AR6" s="12" t="e">
        <f t="shared" si="0"/>
        <v>#N/A</v>
      </c>
      <c r="AU6" s="12">
        <f>SUMIF(ASIGNACION!$C$5:$C$94,Z6,ASIGNACION!$R$5:$R$94)*'Costos x MO'!$B$7</f>
        <v>0</v>
      </c>
      <c r="AV6" s="12" t="str">
        <f>IFERROR(VLOOKUP(Z6,ASIGNACION!$C$5:$H$94,6,0),"F/Fecha")</f>
        <v>F/Fecha</v>
      </c>
    </row>
    <row r="7" spans="1:48" x14ac:dyDescent="0.25">
      <c r="A7" s="44" t="s">
        <v>770</v>
      </c>
      <c r="B7" s="46">
        <v>51032.60153</v>
      </c>
      <c r="D7" s="44" t="s">
        <v>770</v>
      </c>
      <c r="E7" s="46">
        <v>24265.77292511514</v>
      </c>
      <c r="G7" s="44" t="s">
        <v>770</v>
      </c>
      <c r="H7" s="46">
        <v>26766.828604884857</v>
      </c>
      <c r="J7" s="44" t="s">
        <v>770</v>
      </c>
      <c r="K7" s="47">
        <v>6</v>
      </c>
      <c r="L7" s="48">
        <f>+B7/K7</f>
        <v>8505.4335883333333</v>
      </c>
      <c r="AK7" s="12"/>
      <c r="AR7" s="12" t="e">
        <f t="shared" si="0"/>
        <v>#N/A</v>
      </c>
      <c r="AU7" s="12">
        <f>SUMIF(ASIGNACION!$C$5:$C$94,Z7,ASIGNACION!$R$5:$R$94)*'Costos x MO'!$B$7</f>
        <v>0</v>
      </c>
      <c r="AV7" s="12" t="str">
        <f>IFERROR(VLOOKUP(Z7,ASIGNACION!$C$5:$H$94,6,0),"F/Fecha")</f>
        <v>F/Fecha</v>
      </c>
    </row>
    <row r="8" spans="1:48" x14ac:dyDescent="0.25">
      <c r="A8" s="44" t="s">
        <v>289</v>
      </c>
      <c r="B8" s="46">
        <v>132657.49899144695</v>
      </c>
      <c r="D8" s="44" t="s">
        <v>289</v>
      </c>
      <c r="E8" s="46">
        <v>44981.686509313447</v>
      </c>
      <c r="G8" s="44" t="s">
        <v>289</v>
      </c>
      <c r="H8" s="46">
        <v>87675.812482133508</v>
      </c>
      <c r="J8" s="44" t="s">
        <v>289</v>
      </c>
      <c r="K8" s="47">
        <v>79</v>
      </c>
      <c r="L8" s="48">
        <f>+B8/K8</f>
        <v>1679.2088479929994</v>
      </c>
      <c r="AK8" s="12"/>
      <c r="AR8" s="12" t="e">
        <f t="shared" si="0"/>
        <v>#N/A</v>
      </c>
      <c r="AU8" s="12">
        <f>SUMIF(ASIGNACION!$C$5:$C$94,Z8,ASIGNACION!$R$5:$R$94)*'Costos x MO'!$B$7</f>
        <v>0</v>
      </c>
      <c r="AV8" s="12" t="str">
        <f>IFERROR(VLOOKUP(Z8,ASIGNACION!$C$5:$H$94,6,0),"F/Fecha")</f>
        <v>F/Fecha</v>
      </c>
    </row>
    <row r="9" spans="1:48" s="12" customFormat="1" x14ac:dyDescent="0.25">
      <c r="A9"/>
      <c r="B9"/>
      <c r="D9"/>
      <c r="E9"/>
      <c r="G9"/>
      <c r="H9"/>
      <c r="J9"/>
      <c r="K9"/>
      <c r="L9" s="48"/>
    </row>
    <row r="10" spans="1:48" x14ac:dyDescent="0.25">
      <c r="AK10" s="12"/>
      <c r="AR10" s="12" t="e">
        <f t="shared" si="0"/>
        <v>#N/A</v>
      </c>
      <c r="AU10" s="12">
        <f>SUMIF(ASIGNACION!$C$5:$C$94,Z10,ASIGNACION!$R$5:$R$94)*'Costos x MO'!$B$7</f>
        <v>0</v>
      </c>
      <c r="AV10" s="12" t="str">
        <f>IFERROR(VLOOKUP(Z10,ASIGNACION!$C$5:$H$94,6,0),"F/Fecha")</f>
        <v>F/Fecha</v>
      </c>
    </row>
    <row r="11" spans="1:48" x14ac:dyDescent="0.25">
      <c r="A11" s="43" t="s">
        <v>287</v>
      </c>
      <c r="B11" s="100">
        <v>2020</v>
      </c>
      <c r="D11" s="43" t="s">
        <v>287</v>
      </c>
      <c r="E11" s="100">
        <v>2020</v>
      </c>
      <c r="G11" s="43" t="s">
        <v>287</v>
      </c>
      <c r="H11" s="100">
        <v>2020</v>
      </c>
      <c r="J11" s="43" t="s">
        <v>287</v>
      </c>
      <c r="K11" s="100">
        <v>2020</v>
      </c>
      <c r="AK11" s="12"/>
      <c r="AR11" s="12" t="e">
        <f t="shared" si="0"/>
        <v>#N/A</v>
      </c>
      <c r="AU11" s="12">
        <f>SUMIF(ASIGNACION!$C$5:$C$94,Z11,ASIGNACION!$R$5:$R$94)*'Costos x MO'!$B$7</f>
        <v>0</v>
      </c>
      <c r="AV11" s="12" t="str">
        <f>IFERROR(VLOOKUP(Z11,ASIGNACION!$C$5:$H$94,6,0),"F/Fecha")</f>
        <v>F/Fecha</v>
      </c>
    </row>
    <row r="12" spans="1:48" x14ac:dyDescent="0.25">
      <c r="A12" s="43" t="s">
        <v>286</v>
      </c>
      <c r="B12" s="12" t="s">
        <v>3156</v>
      </c>
      <c r="C12" s="12"/>
      <c r="D12" s="43" t="s">
        <v>286</v>
      </c>
      <c r="E12" s="12" t="s">
        <v>3156</v>
      </c>
      <c r="F12" s="12"/>
      <c r="G12" s="43" t="s">
        <v>286</v>
      </c>
      <c r="H12" s="12" t="s">
        <v>3156</v>
      </c>
      <c r="I12" s="12"/>
      <c r="J12" s="43" t="s">
        <v>286</v>
      </c>
      <c r="K12" s="12" t="s">
        <v>3156</v>
      </c>
      <c r="L12" s="12"/>
      <c r="AK12" s="12"/>
      <c r="AR12" s="12" t="e">
        <f t="shared" si="0"/>
        <v>#N/A</v>
      </c>
      <c r="AU12" s="12">
        <f>SUMIF(ASIGNACION!$C$5:$C$94,Z12,ASIGNACION!$R$5:$R$94)*'Costos x MO'!$B$7</f>
        <v>0</v>
      </c>
      <c r="AV12" s="12" t="str">
        <f>IFERROR(VLOOKUP(Z12,ASIGNACION!$C$5:$H$94,6,0),"F/Fecha")</f>
        <v>F/Fecha</v>
      </c>
    </row>
    <row r="13" spans="1:48" x14ac:dyDescent="0.25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AK13" s="12"/>
      <c r="AR13" s="12" t="e">
        <f t="shared" si="0"/>
        <v>#N/A</v>
      </c>
      <c r="AU13" s="12">
        <f>SUMIF(ASIGNACION!$C$5:$C$94,Z13,ASIGNACION!$R$5:$R$94)*'Costos x MO'!$B$7</f>
        <v>0</v>
      </c>
      <c r="AV13" s="12" t="str">
        <f>IFERROR(VLOOKUP(Z13,ASIGNACION!$C$5:$H$94,6,0),"F/Fecha")</f>
        <v>F/Fecha</v>
      </c>
    </row>
    <row r="14" spans="1:48" x14ac:dyDescent="0.25">
      <c r="A14" s="43" t="s">
        <v>290</v>
      </c>
      <c r="B14" t="s">
        <v>291</v>
      </c>
      <c r="C14" s="12"/>
      <c r="D14" s="43" t="s">
        <v>290</v>
      </c>
      <c r="E14" t="s">
        <v>296</v>
      </c>
      <c r="F14" s="12"/>
      <c r="G14" s="43" t="s">
        <v>290</v>
      </c>
      <c r="H14" t="s">
        <v>295</v>
      </c>
      <c r="I14" s="12"/>
      <c r="J14" s="43" t="s">
        <v>290</v>
      </c>
      <c r="K14" t="s">
        <v>3278</v>
      </c>
      <c r="L14" s="12"/>
      <c r="AK14" s="12"/>
      <c r="AR14" s="12" t="e">
        <f t="shared" si="0"/>
        <v>#N/A</v>
      </c>
      <c r="AU14" s="12">
        <f>SUMIF(ASIGNACION!$C$5:$C$94,Z14,ASIGNACION!$R$5:$R$94)*'Costos x MO'!$B$7</f>
        <v>0</v>
      </c>
      <c r="AV14" s="12" t="str">
        <f>IFERROR(VLOOKUP(Z14,ASIGNACION!$C$5:$H$94,6,0),"F/Fecha")</f>
        <v>F/Fecha</v>
      </c>
    </row>
    <row r="15" spans="1:48" x14ac:dyDescent="0.25">
      <c r="A15" s="44" t="s">
        <v>142</v>
      </c>
      <c r="B15" s="46">
        <v>68818.616671368291</v>
      </c>
      <c r="C15" s="12"/>
      <c r="D15" s="44" t="s">
        <v>142</v>
      </c>
      <c r="E15" s="46">
        <v>28764.212675115141</v>
      </c>
      <c r="F15" s="12"/>
      <c r="G15" s="44" t="s">
        <v>142</v>
      </c>
      <c r="H15" s="46">
        <v>40054.403996253153</v>
      </c>
      <c r="I15" s="12"/>
      <c r="J15" s="44" t="s">
        <v>142</v>
      </c>
      <c r="K15" s="47">
        <v>12</v>
      </c>
      <c r="L15" s="48">
        <f>+B15/K15</f>
        <v>5734.8847226140242</v>
      </c>
      <c r="AK15" s="12"/>
      <c r="AR15" s="12" t="e">
        <f t="shared" si="0"/>
        <v>#N/A</v>
      </c>
      <c r="AU15" s="12">
        <f>SUMIF(ASIGNACION!$C$5:$C$94,Z15,ASIGNACION!$R$5:$R$94)*'Costos x MO'!$B$7</f>
        <v>0</v>
      </c>
      <c r="AV15" s="12" t="str">
        <f>IFERROR(VLOOKUP(Z15,ASIGNACION!$C$5:$H$94,6,0),"F/Fecha")</f>
        <v>F/Fecha</v>
      </c>
    </row>
    <row r="16" spans="1:48" x14ac:dyDescent="0.25">
      <c r="A16" s="44" t="s">
        <v>124</v>
      </c>
      <c r="B16" s="46">
        <v>26252.195456950591</v>
      </c>
      <c r="C16" s="12"/>
      <c r="D16" s="44" t="s">
        <v>124</v>
      </c>
      <c r="E16" s="46">
        <v>7349.5320338983074</v>
      </c>
      <c r="F16" s="12"/>
      <c r="G16" s="44" t="s">
        <v>124</v>
      </c>
      <c r="H16" s="46">
        <v>18902.663423052283</v>
      </c>
      <c r="I16" s="12"/>
      <c r="J16" s="44" t="s">
        <v>124</v>
      </c>
      <c r="K16" s="47">
        <v>41</v>
      </c>
      <c r="L16" s="48">
        <f>+B16/K16</f>
        <v>640.29745016952666</v>
      </c>
      <c r="AK16" s="12"/>
      <c r="AR16" s="12" t="e">
        <f t="shared" si="0"/>
        <v>#N/A</v>
      </c>
      <c r="AU16" s="12">
        <f>SUMIF(ASIGNACION!$C$5:$C$94,Z16,ASIGNACION!$R$5:$R$94)*'Costos x MO'!$B$7</f>
        <v>0</v>
      </c>
      <c r="AV16" s="12" t="str">
        <f>IFERROR(VLOOKUP(Z16,ASIGNACION!$C$5:$H$94,6,0),"F/Fecha")</f>
        <v>F/Fecha</v>
      </c>
    </row>
    <row r="17" spans="1:48" x14ac:dyDescent="0.25">
      <c r="A17" s="44" t="s">
        <v>23</v>
      </c>
      <c r="B17" s="46">
        <v>28183.361242509327</v>
      </c>
      <c r="C17" s="12"/>
      <c r="D17" s="44" t="s">
        <v>23</v>
      </c>
      <c r="E17" s="46">
        <v>8214.0159002</v>
      </c>
      <c r="F17" s="12"/>
      <c r="G17" s="44" t="s">
        <v>23</v>
      </c>
      <c r="H17" s="46">
        <v>19969.34534230932</v>
      </c>
      <c r="I17" s="12"/>
      <c r="J17" s="44" t="s">
        <v>23</v>
      </c>
      <c r="K17" s="47">
        <v>15</v>
      </c>
      <c r="L17" s="48">
        <f>+B17/K17</f>
        <v>1878.8907495006217</v>
      </c>
      <c r="AK17" s="12"/>
      <c r="AR17" s="12" t="e">
        <f t="shared" si="0"/>
        <v>#N/A</v>
      </c>
      <c r="AU17" s="12">
        <f>SUMIF(ASIGNACION!$C$5:$C$94,Z17,ASIGNACION!$R$5:$R$94)*'Costos x MO'!$B$7</f>
        <v>0</v>
      </c>
      <c r="AV17" s="12" t="str">
        <f>IFERROR(VLOOKUP(Z17,ASIGNACION!$C$5:$H$94,6,0),"F/Fecha")</f>
        <v>F/Fecha</v>
      </c>
    </row>
    <row r="18" spans="1:48" x14ac:dyDescent="0.25">
      <c r="A18" s="44" t="s">
        <v>447</v>
      </c>
      <c r="B18" s="46">
        <v>9403.3256206187398</v>
      </c>
      <c r="C18" s="12"/>
      <c r="D18" s="44" t="s">
        <v>447</v>
      </c>
      <c r="E18" s="46">
        <v>653.92590009999992</v>
      </c>
      <c r="F18" s="12"/>
      <c r="G18" s="44" t="s">
        <v>447</v>
      </c>
      <c r="H18" s="46">
        <v>8749.3997205187407</v>
      </c>
      <c r="I18" s="12"/>
      <c r="J18" s="44" t="s">
        <v>447</v>
      </c>
      <c r="K18" s="47">
        <v>11</v>
      </c>
      <c r="L18" s="48">
        <f>+B18/K18</f>
        <v>854.84778369261267</v>
      </c>
      <c r="AK18" s="12"/>
      <c r="AR18" s="12" t="e">
        <f t="shared" si="0"/>
        <v>#N/A</v>
      </c>
      <c r="AU18" s="12">
        <f>SUMIF(ASIGNACION!$C$5:$C$94,Z18,ASIGNACION!$R$5:$R$94)*'Costos x MO'!$B$7</f>
        <v>0</v>
      </c>
      <c r="AV18" s="12" t="str">
        <f>IFERROR(VLOOKUP(Z18,ASIGNACION!$C$5:$H$94,6,0),"F/Fecha")</f>
        <v>F/Fecha</v>
      </c>
    </row>
    <row r="19" spans="1:48" x14ac:dyDescent="0.25">
      <c r="A19" s="44" t="s">
        <v>289</v>
      </c>
      <c r="B19" s="46">
        <v>132657.49899144695</v>
      </c>
      <c r="C19" s="12"/>
      <c r="D19" s="44" t="s">
        <v>289</v>
      </c>
      <c r="E19" s="46">
        <v>44981.686509313455</v>
      </c>
      <c r="F19" s="12"/>
      <c r="G19" s="44" t="s">
        <v>289</v>
      </c>
      <c r="H19" s="46">
        <v>87675.812482133508</v>
      </c>
      <c r="I19" s="12"/>
      <c r="J19" s="44" t="s">
        <v>289</v>
      </c>
      <c r="K19" s="47">
        <v>79</v>
      </c>
      <c r="L19" s="48">
        <f>+B19/K19</f>
        <v>1679.2088479929994</v>
      </c>
      <c r="AK19" s="12"/>
      <c r="AR19" s="12" t="e">
        <f t="shared" si="0"/>
        <v>#N/A</v>
      </c>
      <c r="AU19" s="12">
        <f>SUMIF(ASIGNACION!$C$5:$C$94,Z19,ASIGNACION!$R$5:$R$94)*'Costos x MO'!$B$7</f>
        <v>0</v>
      </c>
      <c r="AV19" s="12" t="str">
        <f>IFERROR(VLOOKUP(Z19,ASIGNACION!$C$5:$H$94,6,0),"F/Fecha")</f>
        <v>F/Fecha</v>
      </c>
    </row>
    <row r="20" spans="1:48" x14ac:dyDescent="0.25">
      <c r="L20" s="48"/>
      <c r="AK20" s="12"/>
      <c r="AR20" s="12" t="e">
        <f t="shared" si="0"/>
        <v>#N/A</v>
      </c>
      <c r="AU20" s="12">
        <f>SUMIF(ASIGNACION!$C$5:$C$94,Z20,ASIGNACION!$R$5:$R$94)*'Costos x MO'!$B$7</f>
        <v>0</v>
      </c>
      <c r="AV20" s="12" t="str">
        <f>IFERROR(VLOOKUP(Z20,ASIGNACION!$C$5:$H$94,6,0),"F/Fecha")</f>
        <v>F/Fecha</v>
      </c>
    </row>
    <row r="21" spans="1:48" s="12" customFormat="1" x14ac:dyDescent="0.25">
      <c r="A21" s="44"/>
      <c r="B21" s="46"/>
      <c r="D21" s="44"/>
      <c r="E21" s="46"/>
      <c r="G21" s="44"/>
      <c r="H21" s="46"/>
      <c r="J21" s="44"/>
      <c r="K21" s="47"/>
      <c r="L21" s="48"/>
      <c r="AR21" s="12" t="e">
        <f t="shared" si="0"/>
        <v>#N/A</v>
      </c>
      <c r="AU21" s="12">
        <f>SUMIF(ASIGNACION!$C$5:$C$94,Z21,ASIGNACION!$R$5:$R$94)*'Costos x MO'!$B$7</f>
        <v>0</v>
      </c>
      <c r="AV21" s="12" t="str">
        <f>IFERROR(VLOOKUP(Z21,ASIGNACION!$C$5:$H$94,6,0),"F/Fecha")</f>
        <v>F/Fecha</v>
      </c>
    </row>
    <row r="22" spans="1:48" x14ac:dyDescent="0.25">
      <c r="A22" s="43" t="s">
        <v>287</v>
      </c>
      <c r="B22" s="100">
        <v>2020</v>
      </c>
      <c r="D22" s="43" t="s">
        <v>287</v>
      </c>
      <c r="E22" s="100">
        <v>2020</v>
      </c>
      <c r="G22" s="43" t="s">
        <v>287</v>
      </c>
      <c r="H22" s="100">
        <v>2020</v>
      </c>
      <c r="J22" s="43" t="s">
        <v>287</v>
      </c>
      <c r="K22" s="100">
        <v>2020</v>
      </c>
      <c r="AK22" s="12"/>
      <c r="AR22" s="12" t="e">
        <f t="shared" si="0"/>
        <v>#N/A</v>
      </c>
      <c r="AU22" s="12">
        <f>SUMIF(ASIGNACION!$C$5:$C$94,Z22,ASIGNACION!$R$5:$R$94)*'Costos x MO'!$B$7</f>
        <v>0</v>
      </c>
      <c r="AV22" s="12" t="str">
        <f>IFERROR(VLOOKUP(Z22,ASIGNACION!$C$5:$H$94,6,0),"F/Fecha")</f>
        <v>F/Fecha</v>
      </c>
    </row>
    <row r="23" spans="1:48" x14ac:dyDescent="0.25">
      <c r="A23" s="43" t="s">
        <v>286</v>
      </c>
      <c r="B23" s="12" t="s">
        <v>3156</v>
      </c>
      <c r="D23" s="43" t="s">
        <v>286</v>
      </c>
      <c r="E23" s="12" t="s">
        <v>3156</v>
      </c>
      <c r="G23" s="43" t="s">
        <v>286</v>
      </c>
      <c r="H23" s="12" t="s">
        <v>3156</v>
      </c>
      <c r="J23" s="43" t="s">
        <v>286</v>
      </c>
      <c r="K23" s="12" t="s">
        <v>3156</v>
      </c>
      <c r="AK23" s="12"/>
      <c r="AR23" s="12" t="e">
        <f t="shared" si="0"/>
        <v>#N/A</v>
      </c>
      <c r="AU23" s="12">
        <f>SUMIF(ASIGNACION!$C$5:$C$94,Z23,ASIGNACION!$R$5:$R$94)*'Costos x MO'!$B$7</f>
        <v>0</v>
      </c>
      <c r="AV23" s="12" t="str">
        <f>IFERROR(VLOOKUP(Z23,ASIGNACION!$C$5:$H$94,6,0),"F/Fecha")</f>
        <v>F/Fecha</v>
      </c>
    </row>
    <row r="24" spans="1:48" x14ac:dyDescent="0.25">
      <c r="A24" s="43" t="s">
        <v>271</v>
      </c>
      <c r="B24" s="12" t="s">
        <v>121</v>
      </c>
      <c r="C24" s="12"/>
      <c r="D24" s="43" t="s">
        <v>271</v>
      </c>
      <c r="E24" s="12" t="s">
        <v>121</v>
      </c>
      <c r="F24" s="12"/>
      <c r="G24" s="43" t="s">
        <v>271</v>
      </c>
      <c r="H24" s="12" t="s">
        <v>121</v>
      </c>
      <c r="I24" s="12"/>
      <c r="J24" s="43" t="s">
        <v>271</v>
      </c>
      <c r="K24" s="12" t="s">
        <v>121</v>
      </c>
      <c r="L24" s="12"/>
      <c r="AK24" s="12"/>
      <c r="AR24" s="12" t="e">
        <f t="shared" si="0"/>
        <v>#N/A</v>
      </c>
      <c r="AU24" s="12">
        <f>SUMIF(ASIGNACION!$C$5:$C$94,Z24,ASIGNACION!$R$5:$R$94)*'Costos x MO'!$B$7</f>
        <v>0</v>
      </c>
      <c r="AV24" s="12" t="str">
        <f>IFERROR(VLOOKUP(Z24,ASIGNACION!$C$5:$H$94,6,0),"F/Fecha")</f>
        <v>F/Fecha</v>
      </c>
    </row>
    <row r="25" spans="1:48" x14ac:dyDescent="0.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AK25" s="12"/>
      <c r="AR25" s="12" t="e">
        <f t="shared" si="0"/>
        <v>#N/A</v>
      </c>
      <c r="AU25" s="12">
        <f>SUMIF(ASIGNACION!$C$5:$C$94,Z25,ASIGNACION!$R$5:$R$94)*'Costos x MO'!$B$7</f>
        <v>0</v>
      </c>
      <c r="AV25" s="12" t="str">
        <f>IFERROR(VLOOKUP(Z25,ASIGNACION!$C$5:$H$94,6,0),"F/Fecha")</f>
        <v>F/Fecha</v>
      </c>
    </row>
    <row r="26" spans="1:48" x14ac:dyDescent="0.25">
      <c r="A26" s="43" t="s">
        <v>290</v>
      </c>
      <c r="B26" t="s">
        <v>291</v>
      </c>
      <c r="C26" s="12"/>
      <c r="D26" s="43" t="s">
        <v>290</v>
      </c>
      <c r="E26" t="s">
        <v>296</v>
      </c>
      <c r="F26" s="12"/>
      <c r="G26" s="43" t="s">
        <v>290</v>
      </c>
      <c r="H26" t="s">
        <v>295</v>
      </c>
      <c r="I26" s="12"/>
      <c r="J26" s="43" t="s">
        <v>290</v>
      </c>
      <c r="K26" t="s">
        <v>3278</v>
      </c>
      <c r="L26" s="12"/>
      <c r="AK26" s="12"/>
      <c r="AR26" s="12" t="e">
        <f t="shared" si="0"/>
        <v>#N/A</v>
      </c>
      <c r="AU26" s="12">
        <f>SUMIF(ASIGNACION!$C$5:$C$94,Z26,ASIGNACION!$R$5:$R$94)*'Costos x MO'!$B$7</f>
        <v>0</v>
      </c>
      <c r="AV26" s="12" t="str">
        <f>IFERROR(VLOOKUP(Z26,ASIGNACION!$C$5:$H$94,6,0),"F/Fecha")</f>
        <v>F/Fecha</v>
      </c>
    </row>
    <row r="27" spans="1:48" x14ac:dyDescent="0.25">
      <c r="A27" s="44" t="s">
        <v>124</v>
      </c>
      <c r="B27" s="46">
        <v>3910.6624278544996</v>
      </c>
      <c r="C27" s="12"/>
      <c r="D27" s="44" t="s">
        <v>124</v>
      </c>
      <c r="E27" s="46">
        <v>957.26250000000005</v>
      </c>
      <c r="F27" s="12"/>
      <c r="G27" s="44" t="s">
        <v>124</v>
      </c>
      <c r="H27" s="46">
        <v>2953.3999278544998</v>
      </c>
      <c r="I27" s="12"/>
      <c r="J27" s="44" t="s">
        <v>124</v>
      </c>
      <c r="K27" s="47">
        <v>9</v>
      </c>
      <c r="L27" s="48">
        <f>+B27/K27</f>
        <v>434.51804753938882</v>
      </c>
      <c r="AK27" s="12"/>
      <c r="AR27" s="12" t="e">
        <f t="shared" si="0"/>
        <v>#N/A</v>
      </c>
      <c r="AU27" s="12">
        <f>SUMIF(ASIGNACION!$C$5:$C$94,Z27,ASIGNACION!$R$5:$R$94)*'Costos x MO'!$B$7</f>
        <v>0</v>
      </c>
      <c r="AV27" s="12" t="str">
        <f>IFERROR(VLOOKUP(Z27,ASIGNACION!$C$5:$H$94,6,0),"F/Fecha")</f>
        <v>F/Fecha</v>
      </c>
    </row>
    <row r="28" spans="1:48" x14ac:dyDescent="0.25">
      <c r="A28" s="44" t="s">
        <v>447</v>
      </c>
      <c r="B28" s="46">
        <v>9113.3256206187398</v>
      </c>
      <c r="C28" s="12"/>
      <c r="D28" s="44" t="s">
        <v>447</v>
      </c>
      <c r="E28" s="46">
        <v>444.18565009999992</v>
      </c>
      <c r="F28" s="12"/>
      <c r="G28" s="44" t="s">
        <v>447</v>
      </c>
      <c r="H28" s="46">
        <v>8669.1399705187396</v>
      </c>
      <c r="I28" s="12"/>
      <c r="J28" s="44" t="s">
        <v>447</v>
      </c>
      <c r="K28" s="47">
        <v>10</v>
      </c>
      <c r="L28" s="48">
        <f>+B28/K28</f>
        <v>911.332562061874</v>
      </c>
      <c r="AK28" s="12"/>
      <c r="AR28" s="12" t="e">
        <f t="shared" si="0"/>
        <v>#N/A</v>
      </c>
      <c r="AU28" s="12">
        <f>SUMIF(ASIGNACION!$C$5:$C$94,Z28,ASIGNACION!$R$5:$R$94)*'Costos x MO'!$B$7</f>
        <v>0</v>
      </c>
      <c r="AV28" s="12" t="str">
        <f>IFERROR(VLOOKUP(Z28,ASIGNACION!$C$5:$H$94,6,0),"F/Fecha")</f>
        <v>F/Fecha</v>
      </c>
    </row>
    <row r="29" spans="1:48" x14ac:dyDescent="0.25">
      <c r="A29" s="44" t="s">
        <v>289</v>
      </c>
      <c r="B29" s="46">
        <v>13023.988048473238</v>
      </c>
      <c r="C29" s="12"/>
      <c r="D29" s="44" t="s">
        <v>289</v>
      </c>
      <c r="E29" s="46">
        <v>1401.4481501</v>
      </c>
      <c r="F29" s="12"/>
      <c r="G29" s="44" t="s">
        <v>289</v>
      </c>
      <c r="H29" s="46">
        <v>11622.539898373239</v>
      </c>
      <c r="I29" s="12"/>
      <c r="J29" s="44" t="s">
        <v>289</v>
      </c>
      <c r="K29" s="47">
        <v>19</v>
      </c>
      <c r="L29" s="48">
        <f>+B29/K29</f>
        <v>685.473055182802</v>
      </c>
      <c r="AK29" s="12"/>
      <c r="AR29" s="12" t="e">
        <f t="shared" si="0"/>
        <v>#N/A</v>
      </c>
      <c r="AU29" s="12">
        <f>SUMIF(ASIGNACION!$C$5:$C$94,Z29,ASIGNACION!$R$5:$R$94)*'Costos x MO'!$B$7</f>
        <v>0</v>
      </c>
      <c r="AV29" s="12" t="str">
        <f>IFERROR(VLOOKUP(Z29,ASIGNACION!$C$5:$H$94,6,0),"F/Fecha")</f>
        <v>F/Fecha</v>
      </c>
    </row>
    <row r="30" spans="1:48" x14ac:dyDescent="0.25">
      <c r="C30" s="12"/>
      <c r="F30" s="12"/>
      <c r="I30" s="12"/>
      <c r="L30" s="48" t="e">
        <f>+B30/K30</f>
        <v>#DIV/0!</v>
      </c>
      <c r="AK30" s="12"/>
      <c r="AR30" s="12" t="e">
        <f t="shared" si="0"/>
        <v>#N/A</v>
      </c>
      <c r="AU30" s="12">
        <f>SUMIF(ASIGNACION!$C$5:$C$94,Z30,ASIGNACION!$R$5:$R$94)*'Costos x MO'!$B$7</f>
        <v>0</v>
      </c>
      <c r="AV30" s="12" t="str">
        <f>IFERROR(VLOOKUP(Z30,ASIGNACION!$C$5:$H$94,6,0),"F/Fecha")</f>
        <v>F/Fecha</v>
      </c>
    </row>
    <row r="31" spans="1:48" x14ac:dyDescent="0.25">
      <c r="C31" s="12"/>
      <c r="F31" s="12"/>
      <c r="I31" s="12"/>
      <c r="L31" s="48" t="e">
        <f>+B31/K31</f>
        <v>#DIV/0!</v>
      </c>
      <c r="AK31" s="12"/>
      <c r="AR31" s="12" t="e">
        <f t="shared" si="0"/>
        <v>#N/A</v>
      </c>
      <c r="AU31" s="12">
        <f>SUMIF(ASIGNACION!$C$5:$C$94,Z31,ASIGNACION!$R$5:$R$94)*'Costos x MO'!$B$7</f>
        <v>0</v>
      </c>
      <c r="AV31" s="12" t="str">
        <f>IFERROR(VLOOKUP(Z31,ASIGNACION!$C$5:$H$94,6,0),"F/Fecha")</f>
        <v>F/Fecha</v>
      </c>
    </row>
    <row r="32" spans="1:48" x14ac:dyDescent="0.25">
      <c r="C32" s="12"/>
      <c r="F32" s="12"/>
      <c r="I32" s="12"/>
      <c r="L32" s="48"/>
      <c r="AK32" s="12"/>
      <c r="AR32" s="12" t="e">
        <f t="shared" si="0"/>
        <v>#N/A</v>
      </c>
      <c r="AU32" s="12">
        <f>SUMIF(ASIGNACION!$C$5:$C$94,Z32,ASIGNACION!$R$5:$R$94)*'Costos x MO'!$B$7</f>
        <v>0</v>
      </c>
      <c r="AV32" s="12" t="str">
        <f>IFERROR(VLOOKUP(Z32,ASIGNACION!$C$5:$H$94,6,0),"F/Fecha")</f>
        <v>F/Fecha</v>
      </c>
    </row>
    <row r="33" spans="1:48" x14ac:dyDescent="0.25">
      <c r="A33" s="43" t="s">
        <v>287</v>
      </c>
      <c r="B33" s="100">
        <v>2020</v>
      </c>
      <c r="D33" s="43" t="s">
        <v>287</v>
      </c>
      <c r="E33" s="100">
        <v>2020</v>
      </c>
      <c r="G33" s="43" t="s">
        <v>287</v>
      </c>
      <c r="H33" s="100">
        <v>2020</v>
      </c>
      <c r="J33" s="43" t="s">
        <v>287</v>
      </c>
      <c r="K33" s="100">
        <v>2020</v>
      </c>
      <c r="AK33" s="12"/>
      <c r="AR33" s="12" t="e">
        <f t="shared" si="0"/>
        <v>#N/A</v>
      </c>
      <c r="AU33" s="12">
        <f>SUMIF(ASIGNACION!$C$5:$C$94,Z33,ASIGNACION!$R$5:$R$94)*'Costos x MO'!$B$7</f>
        <v>0</v>
      </c>
      <c r="AV33" s="12" t="str">
        <f>IFERROR(VLOOKUP(Z33,ASIGNACION!$C$5:$H$94,6,0),"F/Fecha")</f>
        <v>F/Fecha</v>
      </c>
    </row>
    <row r="34" spans="1:48" x14ac:dyDescent="0.25">
      <c r="A34" s="43" t="s">
        <v>286</v>
      </c>
      <c r="B34" s="12" t="s">
        <v>3156</v>
      </c>
      <c r="C34" s="12"/>
      <c r="D34" s="43" t="s">
        <v>286</v>
      </c>
      <c r="E34" s="12" t="s">
        <v>3156</v>
      </c>
      <c r="F34" s="12"/>
      <c r="G34" s="43" t="s">
        <v>286</v>
      </c>
      <c r="H34" s="12" t="s">
        <v>3156</v>
      </c>
      <c r="I34" s="12"/>
      <c r="J34" s="43" t="s">
        <v>286</v>
      </c>
      <c r="K34" s="12" t="s">
        <v>3156</v>
      </c>
      <c r="L34" s="12"/>
      <c r="AK34" s="12"/>
      <c r="AR34" s="12" t="e">
        <f t="shared" si="0"/>
        <v>#N/A</v>
      </c>
      <c r="AU34" s="12">
        <f>SUMIF(ASIGNACION!$C$5:$C$94,Z34,ASIGNACION!$R$5:$R$94)*'Costos x MO'!$B$7</f>
        <v>0</v>
      </c>
      <c r="AV34" s="12" t="str">
        <f>IFERROR(VLOOKUP(Z34,ASIGNACION!$C$5:$H$94,6,0),"F/Fecha")</f>
        <v>F/Fecha</v>
      </c>
    </row>
    <row r="35" spans="1:48" x14ac:dyDescent="0.25">
      <c r="A35" s="43" t="s">
        <v>271</v>
      </c>
      <c r="B35" s="12" t="s">
        <v>1310</v>
      </c>
      <c r="C35" s="12"/>
      <c r="D35" s="43" t="s">
        <v>271</v>
      </c>
      <c r="E35" s="12" t="s">
        <v>1310</v>
      </c>
      <c r="F35" s="12"/>
      <c r="G35" s="43" t="s">
        <v>271</v>
      </c>
      <c r="H35" s="12" t="s">
        <v>1310</v>
      </c>
      <c r="I35" s="12"/>
      <c r="J35" s="43" t="s">
        <v>271</v>
      </c>
      <c r="K35" s="12" t="s">
        <v>1310</v>
      </c>
      <c r="L35" s="12"/>
      <c r="AK35" s="12"/>
      <c r="AR35" s="12" t="e">
        <f t="shared" si="0"/>
        <v>#N/A</v>
      </c>
      <c r="AU35" s="12">
        <f>SUMIF(ASIGNACION!$C$5:$C$94,Z35,ASIGNACION!$R$5:$R$94)*'Costos x MO'!$B$7</f>
        <v>0</v>
      </c>
      <c r="AV35" s="12" t="str">
        <f>IFERROR(VLOOKUP(Z35,ASIGNACION!$C$5:$H$94,6,0),"F/Fecha")</f>
        <v>F/Fecha</v>
      </c>
    </row>
    <row r="36" spans="1:48" x14ac:dyDescent="0.25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AK36" s="12"/>
      <c r="AR36" s="12" t="e">
        <f t="shared" si="0"/>
        <v>#N/A</v>
      </c>
      <c r="AU36" s="12">
        <f>SUMIF(ASIGNACION!$C$5:$C$94,Z36,ASIGNACION!$R$5:$R$94)*'Costos x MO'!$B$7</f>
        <v>0</v>
      </c>
      <c r="AV36" s="12" t="str">
        <f>IFERROR(VLOOKUP(Z36,ASIGNACION!$C$5:$H$94,6,0),"F/Fecha")</f>
        <v>F/Fecha</v>
      </c>
    </row>
    <row r="37" spans="1:48" x14ac:dyDescent="0.25">
      <c r="A37" s="43" t="s">
        <v>290</v>
      </c>
      <c r="B37" t="s">
        <v>291</v>
      </c>
      <c r="C37" s="12"/>
      <c r="D37" s="43" t="s">
        <v>290</v>
      </c>
      <c r="E37" t="s">
        <v>296</v>
      </c>
      <c r="F37" s="12"/>
      <c r="G37" s="43" t="s">
        <v>290</v>
      </c>
      <c r="H37" t="s">
        <v>295</v>
      </c>
      <c r="I37" s="12"/>
      <c r="J37" s="43" t="s">
        <v>290</v>
      </c>
      <c r="K37" t="s">
        <v>297</v>
      </c>
      <c r="L37" s="12"/>
      <c r="AK37" s="12"/>
      <c r="AR37" s="12" t="e">
        <f t="shared" si="0"/>
        <v>#N/A</v>
      </c>
      <c r="AU37" s="12">
        <f>SUMIF(ASIGNACION!$C$5:$C$94,Z37,ASIGNACION!$R$5:$R$94)*'Costos x MO'!$B$7</f>
        <v>0</v>
      </c>
      <c r="AV37" s="12" t="str">
        <f>IFERROR(VLOOKUP(Z37,ASIGNACION!$C$5:$H$94,6,0),"F/Fecha")</f>
        <v>F/Fecha</v>
      </c>
    </row>
    <row r="38" spans="1:48" x14ac:dyDescent="0.25">
      <c r="A38" s="44" t="s">
        <v>289</v>
      </c>
      <c r="B38" s="46"/>
      <c r="C38" s="12"/>
      <c r="D38" s="44" t="s">
        <v>289</v>
      </c>
      <c r="E38" s="46"/>
      <c r="F38" s="12"/>
      <c r="G38" s="44" t="s">
        <v>289</v>
      </c>
      <c r="H38" s="46"/>
      <c r="I38" s="12"/>
      <c r="J38" s="44" t="s">
        <v>289</v>
      </c>
      <c r="K38" s="47"/>
      <c r="L38" s="48" t="e">
        <f>+B38/K38</f>
        <v>#DIV/0!</v>
      </c>
      <c r="AK38" s="12"/>
      <c r="AR38" s="12" t="e">
        <f t="shared" si="0"/>
        <v>#N/A</v>
      </c>
      <c r="AU38" s="12">
        <f>SUMIF(ASIGNACION!$C$5:$C$94,Z38,ASIGNACION!$R$5:$R$94)*'Costos x MO'!$B$7</f>
        <v>0</v>
      </c>
      <c r="AV38" s="12" t="str">
        <f>IFERROR(VLOOKUP(Z38,ASIGNACION!$C$5:$H$94,6,0),"F/Fecha")</f>
        <v>F/Fecha</v>
      </c>
    </row>
    <row r="39" spans="1:48" x14ac:dyDescent="0.25">
      <c r="C39" s="12"/>
      <c r="F39" s="12"/>
      <c r="I39" s="12"/>
      <c r="L39" s="48" t="e">
        <f>+B39/K39</f>
        <v>#DIV/0!</v>
      </c>
      <c r="AK39" s="12"/>
      <c r="AR39" s="12" t="e">
        <f t="shared" si="0"/>
        <v>#N/A</v>
      </c>
      <c r="AU39" s="12">
        <f>SUMIF(ASIGNACION!$C$5:$C$94,Z39,ASIGNACION!$R$5:$R$94)*'Costos x MO'!$B$7</f>
        <v>0</v>
      </c>
      <c r="AV39" s="12" t="str">
        <f>IFERROR(VLOOKUP(Z39,ASIGNACION!$C$5:$H$94,6,0),"F/Fecha")</f>
        <v>F/Fecha</v>
      </c>
    </row>
    <row r="40" spans="1:48" x14ac:dyDescent="0.25">
      <c r="C40" s="12"/>
      <c r="F40" s="12"/>
      <c r="I40" s="12"/>
      <c r="L40" s="48" t="e">
        <f>+B40/K40</f>
        <v>#DIV/0!</v>
      </c>
      <c r="AK40" s="12"/>
      <c r="AR40" s="12" t="e">
        <f t="shared" si="0"/>
        <v>#N/A</v>
      </c>
      <c r="AU40" s="12">
        <f>SUMIF(ASIGNACION!$C$5:$C$94,Z40,ASIGNACION!$R$5:$R$94)*'Costos x MO'!$B$7</f>
        <v>0</v>
      </c>
      <c r="AV40" s="12" t="str">
        <f>IFERROR(VLOOKUP(Z40,ASIGNACION!$C$5:$H$94,6,0),"F/Fecha")</f>
        <v>F/Fecha</v>
      </c>
    </row>
    <row r="41" spans="1:48" x14ac:dyDescent="0.25">
      <c r="C41" s="12"/>
      <c r="F41" s="12"/>
      <c r="I41" s="12"/>
      <c r="L41" s="48" t="e">
        <f>+B41/K41</f>
        <v>#DIV/0!</v>
      </c>
      <c r="AK41" s="12"/>
      <c r="AR41" s="12" t="e">
        <f t="shared" si="0"/>
        <v>#N/A</v>
      </c>
      <c r="AU41" s="12">
        <f>SUMIF(ASIGNACION!$C$5:$C$94,Z41,ASIGNACION!$R$5:$R$94)*'Costos x MO'!$B$7</f>
        <v>0</v>
      </c>
      <c r="AV41" s="12" t="str">
        <f>IFERROR(VLOOKUP(Z41,ASIGNACION!$C$5:$H$94,6,0),"F/Fecha")</f>
        <v>F/Fecha</v>
      </c>
    </row>
    <row r="42" spans="1:48" x14ac:dyDescent="0.25">
      <c r="C42" s="12"/>
      <c r="F42" s="12"/>
      <c r="I42" s="12"/>
      <c r="L42" s="48"/>
      <c r="AK42" s="12"/>
      <c r="AR42" s="12" t="e">
        <f t="shared" si="0"/>
        <v>#N/A</v>
      </c>
      <c r="AU42" s="12">
        <f>SUMIF(ASIGNACION!$C$5:$C$94,Z42,ASIGNACION!$R$5:$R$94)*'Costos x MO'!$B$7</f>
        <v>0</v>
      </c>
      <c r="AV42" s="12" t="str">
        <f>IFERROR(VLOOKUP(Z42,ASIGNACION!$C$5:$H$94,6,0),"F/Fecha")</f>
        <v>F/Fecha</v>
      </c>
    </row>
    <row r="43" spans="1:48" x14ac:dyDescent="0.25">
      <c r="A43" s="43" t="s">
        <v>287</v>
      </c>
      <c r="B43" s="100">
        <v>2020</v>
      </c>
      <c r="D43" s="43" t="s">
        <v>287</v>
      </c>
      <c r="E43" s="100">
        <v>2020</v>
      </c>
      <c r="G43" s="43" t="s">
        <v>287</v>
      </c>
      <c r="H43" s="100">
        <v>2020</v>
      </c>
      <c r="J43" s="43" t="s">
        <v>287</v>
      </c>
      <c r="K43" s="100">
        <v>2020</v>
      </c>
      <c r="AK43" s="12"/>
      <c r="AR43" s="12" t="e">
        <f t="shared" si="0"/>
        <v>#N/A</v>
      </c>
      <c r="AU43" s="12">
        <f>SUMIF(ASIGNACION!$C$5:$C$94,Z43,ASIGNACION!$R$5:$R$94)*'Costos x MO'!$B$7</f>
        <v>0</v>
      </c>
      <c r="AV43" s="12" t="str">
        <f>IFERROR(VLOOKUP(Z43,ASIGNACION!$C$5:$H$94,6,0),"F/Fecha")</f>
        <v>F/Fecha</v>
      </c>
    </row>
    <row r="44" spans="1:48" x14ac:dyDescent="0.25">
      <c r="A44" s="43" t="s">
        <v>286</v>
      </c>
      <c r="B44" s="12" t="s">
        <v>3156</v>
      </c>
      <c r="C44" s="12"/>
      <c r="D44" s="43" t="s">
        <v>286</v>
      </c>
      <c r="E44" s="12" t="s">
        <v>3156</v>
      </c>
      <c r="F44" s="12"/>
      <c r="G44" s="43" t="s">
        <v>286</v>
      </c>
      <c r="H44" s="12" t="s">
        <v>3156</v>
      </c>
      <c r="I44" s="12"/>
      <c r="J44" s="43" t="s">
        <v>286</v>
      </c>
      <c r="K44" s="12" t="s">
        <v>3156</v>
      </c>
      <c r="L44" s="12"/>
      <c r="AK44" s="12"/>
      <c r="AR44" s="12" t="e">
        <f t="shared" si="0"/>
        <v>#N/A</v>
      </c>
      <c r="AU44" s="12">
        <f>SUMIF(ASIGNACION!$C$5:$C$94,Z44,ASIGNACION!$R$5:$R$94)*'Costos x MO'!$B$7</f>
        <v>0</v>
      </c>
      <c r="AV44" s="12" t="str">
        <f>IFERROR(VLOOKUP(Z44,ASIGNACION!$C$5:$H$94,6,0),"F/Fecha")</f>
        <v>F/Fecha</v>
      </c>
    </row>
    <row r="45" spans="1:48" x14ac:dyDescent="0.25">
      <c r="A45" s="43" t="s">
        <v>271</v>
      </c>
      <c r="B45" s="12" t="s">
        <v>123</v>
      </c>
      <c r="C45" s="12"/>
      <c r="D45" s="43" t="s">
        <v>271</v>
      </c>
      <c r="E45" s="12" t="s">
        <v>123</v>
      </c>
      <c r="F45" s="12"/>
      <c r="G45" s="43" t="s">
        <v>271</v>
      </c>
      <c r="H45" s="12" t="s">
        <v>123</v>
      </c>
      <c r="I45" s="12"/>
      <c r="J45" s="43" t="s">
        <v>271</v>
      </c>
      <c r="K45" s="12" t="s">
        <v>123</v>
      </c>
      <c r="L45" s="12"/>
      <c r="AK45" s="12"/>
      <c r="AR45" s="12" t="e">
        <f t="shared" si="0"/>
        <v>#N/A</v>
      </c>
      <c r="AU45" s="12">
        <f>SUMIF(ASIGNACION!$C$5:$C$94,Z45,ASIGNACION!$R$5:$R$94)*'Costos x MO'!$B$7</f>
        <v>0</v>
      </c>
      <c r="AV45" s="12" t="str">
        <f>IFERROR(VLOOKUP(Z45,ASIGNACION!$C$5:$H$94,6,0),"F/Fecha")</f>
        <v>F/Fecha</v>
      </c>
    </row>
    <row r="46" spans="1:48" x14ac:dyDescent="0.25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AK46" s="12"/>
      <c r="AR46" s="12" t="e">
        <f t="shared" si="0"/>
        <v>#N/A</v>
      </c>
      <c r="AU46" s="12">
        <f>SUMIF(ASIGNACION!$C$5:$C$94,Z46,ASIGNACION!$R$5:$R$94)*'Costos x MO'!$B$7</f>
        <v>0</v>
      </c>
      <c r="AV46" s="12" t="str">
        <f>IFERROR(VLOOKUP(Z46,ASIGNACION!$C$5:$H$94,6,0),"F/Fecha")</f>
        <v>F/Fecha</v>
      </c>
    </row>
    <row r="47" spans="1:48" x14ac:dyDescent="0.25">
      <c r="A47" s="43" t="s">
        <v>290</v>
      </c>
      <c r="B47" t="s">
        <v>291</v>
      </c>
      <c r="C47" s="12"/>
      <c r="D47" s="43" t="s">
        <v>290</v>
      </c>
      <c r="E47" t="s">
        <v>296</v>
      </c>
      <c r="F47" s="12"/>
      <c r="G47" s="43" t="s">
        <v>290</v>
      </c>
      <c r="H47" t="s">
        <v>295</v>
      </c>
      <c r="I47" s="12"/>
      <c r="J47" s="43" t="s">
        <v>290</v>
      </c>
      <c r="K47" t="s">
        <v>3278</v>
      </c>
      <c r="L47" s="12"/>
      <c r="AK47" s="12"/>
      <c r="AR47" s="12" t="e">
        <f t="shared" si="0"/>
        <v>#N/A</v>
      </c>
      <c r="AU47" s="12">
        <f>SUMIF(ASIGNACION!$C$5:$C$94,Z47,ASIGNACION!$R$5:$R$94)*'Costos x MO'!$B$7</f>
        <v>0</v>
      </c>
      <c r="AV47" s="12" t="str">
        <f>IFERROR(VLOOKUP(Z47,ASIGNACION!$C$5:$H$94,6,0),"F/Fecha")</f>
        <v>F/Fecha</v>
      </c>
    </row>
    <row r="48" spans="1:48" x14ac:dyDescent="0.25">
      <c r="A48" s="44" t="s">
        <v>142</v>
      </c>
      <c r="B48" s="46">
        <v>18076.015141368294</v>
      </c>
      <c r="C48" s="12"/>
      <c r="D48" s="44" t="s">
        <v>142</v>
      </c>
      <c r="E48" s="46">
        <v>4708.18</v>
      </c>
      <c r="F48" s="12"/>
      <c r="G48" s="44" t="s">
        <v>142</v>
      </c>
      <c r="H48" s="46">
        <v>13367.835141368292</v>
      </c>
      <c r="I48" s="12"/>
      <c r="J48" s="44" t="s">
        <v>142</v>
      </c>
      <c r="K48" s="47">
        <v>7</v>
      </c>
      <c r="L48" s="48">
        <f>+B48/K48</f>
        <v>2582.2878773383277</v>
      </c>
      <c r="AK48" s="12"/>
      <c r="AR48" s="12" t="e">
        <f t="shared" si="0"/>
        <v>#N/A</v>
      </c>
      <c r="AU48" s="12">
        <f>SUMIF(ASIGNACION!$C$5:$C$94,Z48,ASIGNACION!$R$5:$R$94)*'Costos x MO'!$B$7</f>
        <v>0</v>
      </c>
      <c r="AV48" s="12" t="str">
        <f>IFERROR(VLOOKUP(Z48,ASIGNACION!$C$5:$H$94,6,0),"F/Fecha")</f>
        <v>F/Fecha</v>
      </c>
    </row>
    <row r="49" spans="1:48" x14ac:dyDescent="0.25">
      <c r="A49" s="44" t="s">
        <v>124</v>
      </c>
      <c r="B49" s="46">
        <v>22341.533029096092</v>
      </c>
      <c r="C49" s="12"/>
      <c r="D49" s="44" t="s">
        <v>124</v>
      </c>
      <c r="E49" s="46">
        <v>6392.2695338983067</v>
      </c>
      <c r="F49" s="12"/>
      <c r="G49" s="44" t="s">
        <v>124</v>
      </c>
      <c r="H49" s="46">
        <v>15949.263495197783</v>
      </c>
      <c r="I49" s="12"/>
      <c r="J49" s="44" t="s">
        <v>124</v>
      </c>
      <c r="K49" s="47">
        <v>32</v>
      </c>
      <c r="L49" s="48">
        <f>+B49/K49</f>
        <v>698.17290715925287</v>
      </c>
      <c r="AK49" s="12"/>
      <c r="AR49" s="12" t="e">
        <f t="shared" si="0"/>
        <v>#N/A</v>
      </c>
      <c r="AU49" s="12">
        <f>SUMIF(ASIGNACION!$C$5:$C$94,Z49,ASIGNACION!$R$5:$R$94)*'Costos x MO'!$B$7</f>
        <v>0</v>
      </c>
      <c r="AV49" s="12" t="str">
        <f>IFERROR(VLOOKUP(Z49,ASIGNACION!$C$5:$H$94,6,0),"F/Fecha")</f>
        <v>F/Fecha</v>
      </c>
    </row>
    <row r="50" spans="1:48" x14ac:dyDescent="0.25">
      <c r="A50" s="44" t="s">
        <v>23</v>
      </c>
      <c r="B50" s="46">
        <v>28183.361242509327</v>
      </c>
      <c r="C50" s="12"/>
      <c r="D50" s="44" t="s">
        <v>23</v>
      </c>
      <c r="E50" s="46">
        <v>8214.0159002</v>
      </c>
      <c r="F50" s="12"/>
      <c r="G50" s="44" t="s">
        <v>23</v>
      </c>
      <c r="H50" s="46">
        <v>19969.34534230932</v>
      </c>
      <c r="I50" s="12"/>
      <c r="J50" s="44" t="s">
        <v>23</v>
      </c>
      <c r="K50" s="47">
        <v>15</v>
      </c>
      <c r="L50" s="48">
        <f>+B50/K50</f>
        <v>1878.8907495006217</v>
      </c>
      <c r="AK50" s="12"/>
      <c r="AR50" s="12" t="e">
        <f t="shared" si="0"/>
        <v>#N/A</v>
      </c>
      <c r="AU50" s="12">
        <f>SUMIF(ASIGNACION!$C$5:$C$94,Z50,ASIGNACION!$R$5:$R$94)*'Costos x MO'!$B$7</f>
        <v>0</v>
      </c>
      <c r="AV50" s="12" t="str">
        <f>IFERROR(VLOOKUP(Z50,ASIGNACION!$C$5:$H$94,6,0),"F/Fecha")</f>
        <v>F/Fecha</v>
      </c>
    </row>
    <row r="51" spans="1:48" x14ac:dyDescent="0.25">
      <c r="A51" s="44" t="s">
        <v>289</v>
      </c>
      <c r="B51" s="46">
        <v>68600.90941297372</v>
      </c>
      <c r="C51" s="12"/>
      <c r="D51" s="44" t="s">
        <v>289</v>
      </c>
      <c r="E51" s="46">
        <v>19314.465434098307</v>
      </c>
      <c r="F51" s="12"/>
      <c r="G51" s="44" t="s">
        <v>289</v>
      </c>
      <c r="H51" s="46">
        <v>49286.443978875395</v>
      </c>
      <c r="I51" s="12"/>
      <c r="J51" s="44" t="s">
        <v>289</v>
      </c>
      <c r="K51" s="47">
        <v>54</v>
      </c>
      <c r="L51" s="48">
        <f>+B51/K51</f>
        <v>1270.3872113513653</v>
      </c>
      <c r="AK51" s="12"/>
      <c r="AR51" s="12" t="e">
        <f t="shared" si="0"/>
        <v>#N/A</v>
      </c>
      <c r="AU51" s="12">
        <f>SUMIF(ASIGNACION!$C$5:$C$94,Z51,ASIGNACION!$R$5:$R$94)*'Costos x MO'!$B$7</f>
        <v>0</v>
      </c>
      <c r="AV51" s="12" t="str">
        <f>IFERROR(VLOOKUP(Z51,ASIGNACION!$C$5:$H$94,6,0),"F/Fecha")</f>
        <v>F/Fecha</v>
      </c>
    </row>
    <row r="52" spans="1:48" x14ac:dyDescent="0.25">
      <c r="C52" s="12"/>
      <c r="F52" s="12"/>
      <c r="I52" s="12"/>
      <c r="L52" s="48"/>
      <c r="AK52" s="12"/>
      <c r="AR52" s="12" t="e">
        <f t="shared" si="0"/>
        <v>#N/A</v>
      </c>
      <c r="AU52" s="12">
        <f>SUMIF(ASIGNACION!$C$5:$C$94,Z52,ASIGNACION!$R$5:$R$94)*'Costos x MO'!$B$7</f>
        <v>0</v>
      </c>
      <c r="AV52" s="12" t="str">
        <f>IFERROR(VLOOKUP(Z52,ASIGNACION!$C$5:$H$94,6,0),"F/Fecha")</f>
        <v>F/Fecha</v>
      </c>
    </row>
    <row r="53" spans="1:48" x14ac:dyDescent="0.25">
      <c r="AK53" s="12"/>
      <c r="AR53" s="12" t="e">
        <f t="shared" si="0"/>
        <v>#N/A</v>
      </c>
      <c r="AU53" s="12">
        <f>SUMIF(ASIGNACION!$C$5:$C$94,Z53,ASIGNACION!$R$5:$R$94)*'Costos x MO'!$B$7</f>
        <v>0</v>
      </c>
      <c r="AV53" s="12" t="str">
        <f>IFERROR(VLOOKUP(Z53,ASIGNACION!$C$5:$H$94,6,0),"F/Fecha")</f>
        <v>F/Fecha</v>
      </c>
    </row>
    <row r="54" spans="1:48" x14ac:dyDescent="0.25">
      <c r="A54" s="43" t="s">
        <v>287</v>
      </c>
      <c r="B54" s="100">
        <v>2020</v>
      </c>
      <c r="C54" s="12"/>
      <c r="D54" s="43" t="s">
        <v>287</v>
      </c>
      <c r="E54" s="100">
        <v>2020</v>
      </c>
      <c r="F54" s="12"/>
      <c r="G54" s="43" t="s">
        <v>287</v>
      </c>
      <c r="H54" s="100">
        <v>2020</v>
      </c>
      <c r="I54" s="12"/>
      <c r="J54" s="43" t="s">
        <v>287</v>
      </c>
      <c r="K54" s="100">
        <v>2020</v>
      </c>
      <c r="L54" s="12"/>
      <c r="AK54" s="12"/>
      <c r="AR54" s="12" t="e">
        <f t="shared" si="0"/>
        <v>#N/A</v>
      </c>
      <c r="AU54" s="12">
        <f>SUMIF(ASIGNACION!$C$5:$C$94,Z54,ASIGNACION!$R$5:$R$94)*'Costos x MO'!$B$7</f>
        <v>0</v>
      </c>
      <c r="AV54" s="12" t="str">
        <f>IFERROR(VLOOKUP(Z54,ASIGNACION!$C$5:$H$94,6,0),"F/Fecha")</f>
        <v>F/Fecha</v>
      </c>
    </row>
    <row r="55" spans="1:48" x14ac:dyDescent="0.25">
      <c r="A55" s="43" t="s">
        <v>286</v>
      </c>
      <c r="B55" s="12" t="s">
        <v>3156</v>
      </c>
      <c r="C55" s="12"/>
      <c r="D55" s="43" t="s">
        <v>286</v>
      </c>
      <c r="E55" s="12" t="s">
        <v>3156</v>
      </c>
      <c r="F55" s="12"/>
      <c r="G55" s="43" t="s">
        <v>286</v>
      </c>
      <c r="H55" s="12" t="s">
        <v>3156</v>
      </c>
      <c r="I55" s="12"/>
      <c r="J55" s="43" t="s">
        <v>286</v>
      </c>
      <c r="K55" s="12" t="s">
        <v>3156</v>
      </c>
      <c r="L55" s="12"/>
      <c r="AK55" s="12"/>
      <c r="AR55" s="12" t="e">
        <f t="shared" si="0"/>
        <v>#N/A</v>
      </c>
      <c r="AU55" s="12">
        <f>SUMIF(ASIGNACION!$C$5:$C$94,Z55,ASIGNACION!$R$5:$R$94)*'Costos x MO'!$B$7</f>
        <v>0</v>
      </c>
      <c r="AV55" s="12" t="str">
        <f>IFERROR(VLOOKUP(Z55,ASIGNACION!$C$5:$H$94,6,0),"F/Fecha")</f>
        <v>F/Fecha</v>
      </c>
    </row>
    <row r="56" spans="1:48" x14ac:dyDescent="0.25">
      <c r="A56" s="43" t="s">
        <v>271</v>
      </c>
      <c r="B56" s="12" t="s">
        <v>770</v>
      </c>
      <c r="C56" s="12"/>
      <c r="D56" s="43" t="s">
        <v>271</v>
      </c>
      <c r="E56" s="12" t="s">
        <v>770</v>
      </c>
      <c r="F56" s="12"/>
      <c r="G56" s="43" t="s">
        <v>271</v>
      </c>
      <c r="H56" s="12" t="s">
        <v>770</v>
      </c>
      <c r="I56" s="12"/>
      <c r="J56" s="43" t="s">
        <v>271</v>
      </c>
      <c r="K56" s="12" t="s">
        <v>770</v>
      </c>
      <c r="L56" s="12"/>
      <c r="AK56" s="12"/>
      <c r="AR56" s="12" t="e">
        <f t="shared" si="0"/>
        <v>#N/A</v>
      </c>
      <c r="AU56" s="12">
        <f>SUMIF(ASIGNACION!$C$5:$C$94,Z56,ASIGNACION!$R$5:$R$94)*'Costos x MO'!$B$7</f>
        <v>0</v>
      </c>
      <c r="AV56" s="12" t="str">
        <f>IFERROR(VLOOKUP(Z56,ASIGNACION!$C$5:$H$94,6,0),"F/Fecha")</f>
        <v>F/Fecha</v>
      </c>
    </row>
    <row r="57" spans="1:48" x14ac:dyDescent="0.2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AK57" s="12"/>
      <c r="AR57" s="12" t="e">
        <f t="shared" si="0"/>
        <v>#N/A</v>
      </c>
      <c r="AU57" s="12">
        <f>SUMIF(ASIGNACION!$C$5:$C$94,Z57,ASIGNACION!$R$5:$R$94)*'Costos x MO'!$B$7</f>
        <v>0</v>
      </c>
      <c r="AV57" s="12" t="str">
        <f>IFERROR(VLOOKUP(Z57,ASIGNACION!$C$5:$H$94,6,0),"F/Fecha")</f>
        <v>F/Fecha</v>
      </c>
    </row>
    <row r="58" spans="1:48" x14ac:dyDescent="0.25">
      <c r="A58" s="43" t="s">
        <v>290</v>
      </c>
      <c r="B58" t="s">
        <v>291</v>
      </c>
      <c r="C58" s="43"/>
      <c r="D58" s="43" t="s">
        <v>290</v>
      </c>
      <c r="E58" t="s">
        <v>296</v>
      </c>
      <c r="F58" s="43"/>
      <c r="G58" s="43" t="s">
        <v>290</v>
      </c>
      <c r="H58" t="s">
        <v>295</v>
      </c>
      <c r="I58" s="43"/>
      <c r="J58" s="43" t="s">
        <v>290</v>
      </c>
      <c r="K58" t="s">
        <v>3278</v>
      </c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 t="e">
        <f t="shared" si="0"/>
        <v>#N/A</v>
      </c>
      <c r="AS58" s="43"/>
      <c r="AT58" s="43"/>
      <c r="AU58" s="43">
        <f>SUMIF(ASIGNACION!$C$5:$C$94,Z58,ASIGNACION!$R$5:$R$94)*'Costos x MO'!$B$7</f>
        <v>0</v>
      </c>
      <c r="AV58" s="43" t="str">
        <f>IFERROR(VLOOKUP(Z58,ASIGNACION!$C$5:$H$94,6,0),"F/Fecha")</f>
        <v>F/Fecha</v>
      </c>
    </row>
    <row r="59" spans="1:48" x14ac:dyDescent="0.25">
      <c r="A59" s="44" t="s">
        <v>142</v>
      </c>
      <c r="B59" s="46">
        <v>50742.60153</v>
      </c>
      <c r="C59" s="12"/>
      <c r="D59" s="44" t="s">
        <v>142</v>
      </c>
      <c r="E59" s="46">
        <v>24056.032675115141</v>
      </c>
      <c r="F59" s="12"/>
      <c r="G59" s="44" t="s">
        <v>142</v>
      </c>
      <c r="H59" s="46">
        <v>26686.568854884859</v>
      </c>
      <c r="I59" s="12"/>
      <c r="J59" s="44" t="s">
        <v>142</v>
      </c>
      <c r="K59" s="47">
        <v>5</v>
      </c>
      <c r="L59" s="48">
        <f>+B59/K59</f>
        <v>10148.520306</v>
      </c>
      <c r="AK59" s="12"/>
      <c r="AR59" s="12" t="e">
        <f t="shared" si="0"/>
        <v>#N/A</v>
      </c>
      <c r="AU59" s="12">
        <f>SUMIF(ASIGNACION!$C$5:$C$94,Z59,ASIGNACION!$R$5:$R$94)*'Costos x MO'!$B$7</f>
        <v>0</v>
      </c>
      <c r="AV59" s="12" t="str">
        <f>IFERROR(VLOOKUP(Z59,ASIGNACION!$C$5:$H$94,6,0),"F/Fecha")</f>
        <v>F/Fecha</v>
      </c>
    </row>
    <row r="60" spans="1:48" x14ac:dyDescent="0.25">
      <c r="A60" s="44" t="s">
        <v>447</v>
      </c>
      <c r="B60" s="46">
        <v>290</v>
      </c>
      <c r="C60" s="12"/>
      <c r="D60" s="44" t="s">
        <v>447</v>
      </c>
      <c r="E60" s="46">
        <v>209.74025</v>
      </c>
      <c r="F60" s="12"/>
      <c r="G60" s="44" t="s">
        <v>447</v>
      </c>
      <c r="H60" s="46">
        <v>80.259749999999997</v>
      </c>
      <c r="I60" s="12"/>
      <c r="J60" s="44" t="s">
        <v>447</v>
      </c>
      <c r="K60" s="47">
        <v>1</v>
      </c>
      <c r="L60" s="48">
        <f>+B60/K60</f>
        <v>290</v>
      </c>
      <c r="AK60" s="12"/>
      <c r="AR60" s="12" t="e">
        <f t="shared" si="0"/>
        <v>#N/A</v>
      </c>
      <c r="AU60" s="12">
        <f>SUMIF(ASIGNACION!$C$5:$C$94,Z60,ASIGNACION!$R$5:$R$94)*'Costos x MO'!$B$7</f>
        <v>0</v>
      </c>
      <c r="AV60" s="12" t="str">
        <f>IFERROR(VLOOKUP(Z60,ASIGNACION!$C$5:$H$94,6,0),"F/Fecha")</f>
        <v>F/Fecha</v>
      </c>
    </row>
    <row r="61" spans="1:48" x14ac:dyDescent="0.25">
      <c r="A61" s="44" t="s">
        <v>289</v>
      </c>
      <c r="B61" s="46">
        <v>51032.60153</v>
      </c>
      <c r="C61" s="12"/>
      <c r="D61" s="44" t="s">
        <v>289</v>
      </c>
      <c r="E61" s="46">
        <v>24265.77292511514</v>
      </c>
      <c r="F61" s="12"/>
      <c r="G61" s="44" t="s">
        <v>289</v>
      </c>
      <c r="H61" s="46">
        <v>26766.82860488486</v>
      </c>
      <c r="I61" s="12"/>
      <c r="J61" s="44" t="s">
        <v>289</v>
      </c>
      <c r="K61" s="47">
        <v>6</v>
      </c>
      <c r="L61" s="48">
        <f>+B61/K61</f>
        <v>8505.4335883333333</v>
      </c>
      <c r="AK61" s="12"/>
      <c r="AR61" s="12" t="e">
        <f t="shared" si="0"/>
        <v>#N/A</v>
      </c>
      <c r="AU61" s="12">
        <f>SUMIF(ASIGNACION!$C$5:$C$94,Z61,ASIGNACION!$R$5:$R$94)*'Costos x MO'!$B$7</f>
        <v>0</v>
      </c>
      <c r="AV61" s="12" t="str">
        <f>IFERROR(VLOOKUP(Z61,ASIGNACION!$C$5:$H$94,6,0),"F/Fecha")</f>
        <v>F/Fecha</v>
      </c>
    </row>
    <row r="62" spans="1:48" x14ac:dyDescent="0.25">
      <c r="C62" s="12"/>
      <c r="F62" s="12"/>
      <c r="I62" s="12"/>
      <c r="L62" s="48" t="e">
        <f>+B62/K62</f>
        <v>#DIV/0!</v>
      </c>
      <c r="AK62" s="12"/>
      <c r="AR62" s="12" t="e">
        <f t="shared" si="0"/>
        <v>#N/A</v>
      </c>
      <c r="AU62" s="12">
        <f>SUMIF(ASIGNACION!$C$5:$C$94,Z62,ASIGNACION!$R$5:$R$94)*'Costos x MO'!$B$7</f>
        <v>0</v>
      </c>
      <c r="AV62" s="12" t="str">
        <f>IFERROR(VLOOKUP(Z62,ASIGNACION!$C$5:$H$94,6,0),"F/Fecha")</f>
        <v>F/Fecha</v>
      </c>
    </row>
    <row r="63" spans="1:48" x14ac:dyDescent="0.25">
      <c r="C63" s="12"/>
      <c r="F63" s="12"/>
      <c r="I63" s="12"/>
      <c r="L63" s="48" t="e">
        <f>+B63/K63</f>
        <v>#DIV/0!</v>
      </c>
      <c r="AK63" s="12"/>
      <c r="AR63" s="12" t="e">
        <f t="shared" si="0"/>
        <v>#N/A</v>
      </c>
      <c r="AU63" s="12">
        <f>SUMIF(ASIGNACION!$C$5:$C$94,Z63,ASIGNACION!$R$5:$R$94)*'Costos x MO'!$B$7</f>
        <v>0</v>
      </c>
      <c r="AV63" s="12" t="str">
        <f>IFERROR(VLOOKUP(Z63,ASIGNACION!$C$5:$H$94,6,0),"F/Fecha")</f>
        <v>F/Fecha</v>
      </c>
    </row>
    <row r="64" spans="1:48" x14ac:dyDescent="0.25">
      <c r="AK64" s="12"/>
      <c r="AR64" s="12" t="e">
        <f t="shared" si="0"/>
        <v>#N/A</v>
      </c>
      <c r="AU64" s="12">
        <f>SUMIF(ASIGNACION!$C$5:$C$94,Z64,ASIGNACION!$R$5:$R$94)*'Costos x MO'!$B$7</f>
        <v>0</v>
      </c>
      <c r="AV64" s="12" t="str">
        <f>IFERROR(VLOOKUP(Z64,ASIGNACION!$C$5:$H$94,6,0),"F/Fecha")</f>
        <v>F/Fecha</v>
      </c>
    </row>
    <row r="65" spans="37:48" x14ac:dyDescent="0.25">
      <c r="AK65" s="12"/>
      <c r="AR65" s="12" t="e">
        <f t="shared" si="0"/>
        <v>#N/A</v>
      </c>
      <c r="AU65" s="12">
        <f>SUMIF(ASIGNACION!$C$5:$C$94,Z65,ASIGNACION!$R$5:$R$94)*'Costos x MO'!$B$7</f>
        <v>0</v>
      </c>
      <c r="AV65" s="12" t="str">
        <f>IFERROR(VLOOKUP(Z65,ASIGNACION!$C$5:$H$94,6,0),"F/Fecha")</f>
        <v>F/Fecha</v>
      </c>
    </row>
    <row r="66" spans="37:48" x14ac:dyDescent="0.25">
      <c r="AK66" s="12"/>
      <c r="AR66" s="12" t="e">
        <f t="shared" si="0"/>
        <v>#N/A</v>
      </c>
      <c r="AU66" s="12">
        <f>SUMIF(ASIGNACION!$C$5:$C$94,Z66,ASIGNACION!$R$5:$R$94)*'Costos x MO'!$B$7</f>
        <v>0</v>
      </c>
      <c r="AV66" s="12" t="str">
        <f>IFERROR(VLOOKUP(Z66,ASIGNACION!$C$5:$H$94,6,0),"F/Fecha")</f>
        <v>F/Fecha</v>
      </c>
    </row>
    <row r="67" spans="37:48" x14ac:dyDescent="0.25">
      <c r="AK67" s="12"/>
      <c r="AR67" s="12" t="e">
        <f t="shared" si="0"/>
        <v>#N/A</v>
      </c>
      <c r="AU67" s="12">
        <f>SUMIF(ASIGNACION!$C$5:$C$94,Z67,ASIGNACION!$R$5:$R$94)*'Costos x MO'!$B$7</f>
        <v>0</v>
      </c>
      <c r="AV67" s="12" t="str">
        <f>IFERROR(VLOOKUP(Z67,ASIGNACION!$C$5:$H$94,6,0),"F/Fecha")</f>
        <v>F/Fecha</v>
      </c>
    </row>
    <row r="68" spans="37:48" x14ac:dyDescent="0.25">
      <c r="AK68" s="12"/>
      <c r="AR68" s="12" t="e">
        <f t="shared" si="0"/>
        <v>#N/A</v>
      </c>
      <c r="AU68" s="12">
        <f>SUMIF(ASIGNACION!$C$5:$C$94,Z68,ASIGNACION!$R$5:$R$94)*'Costos x MO'!$B$7</f>
        <v>0</v>
      </c>
      <c r="AV68" s="12" t="str">
        <f>IFERROR(VLOOKUP(Z68,ASIGNACION!$C$5:$H$94,6,0),"F/Fecha")</f>
        <v>F/Fecha</v>
      </c>
    </row>
    <row r="69" spans="37:48" x14ac:dyDescent="0.25">
      <c r="AK69" s="12"/>
      <c r="AR69" s="12" t="e">
        <f t="shared" ref="AR69:AR132" si="1">VLOOKUP(Z69,$E$4:$G$3523,3,0)</f>
        <v>#N/A</v>
      </c>
      <c r="AU69" s="12">
        <f>SUMIF(ASIGNACION!$C$5:$C$94,Z69,ASIGNACION!$R$5:$R$94)*'Costos x MO'!$B$7</f>
        <v>0</v>
      </c>
      <c r="AV69" s="12" t="str">
        <f>IFERROR(VLOOKUP(Z69,ASIGNACION!$C$5:$H$94,6,0),"F/Fecha")</f>
        <v>F/Fecha</v>
      </c>
    </row>
    <row r="70" spans="37:48" x14ac:dyDescent="0.25">
      <c r="AK70" s="12"/>
      <c r="AR70" s="12" t="e">
        <f t="shared" si="1"/>
        <v>#N/A</v>
      </c>
      <c r="AU70" s="12">
        <f>SUMIF(ASIGNACION!$C$5:$C$94,Z70,ASIGNACION!$R$5:$R$94)*'Costos x MO'!$B$7</f>
        <v>0</v>
      </c>
      <c r="AV70" s="12" t="str">
        <f>IFERROR(VLOOKUP(Z70,ASIGNACION!$C$5:$H$94,6,0),"F/Fecha")</f>
        <v>F/Fecha</v>
      </c>
    </row>
    <row r="71" spans="37:48" x14ac:dyDescent="0.25">
      <c r="AK71" s="12"/>
      <c r="AR71" s="12" t="e">
        <f t="shared" si="1"/>
        <v>#N/A</v>
      </c>
      <c r="AU71" s="12">
        <f>SUMIF(ASIGNACION!$C$5:$C$94,Z71,ASIGNACION!$R$5:$R$94)*'Costos x MO'!$B$7</f>
        <v>0</v>
      </c>
      <c r="AV71" s="12" t="str">
        <f>IFERROR(VLOOKUP(Z71,ASIGNACION!$C$5:$H$94,6,0),"F/Fecha")</f>
        <v>F/Fecha</v>
      </c>
    </row>
    <row r="72" spans="37:48" x14ac:dyDescent="0.25">
      <c r="AK72" s="12"/>
      <c r="AR72" s="12" t="e">
        <f t="shared" si="1"/>
        <v>#N/A</v>
      </c>
      <c r="AU72" s="12">
        <f>SUMIF(ASIGNACION!$C$5:$C$94,Z72,ASIGNACION!$R$5:$R$94)*'Costos x MO'!$B$7</f>
        <v>0</v>
      </c>
      <c r="AV72" s="12" t="str">
        <f>IFERROR(VLOOKUP(Z72,ASIGNACION!$C$5:$H$94,6,0),"F/Fecha")</f>
        <v>F/Fecha</v>
      </c>
    </row>
    <row r="73" spans="37:48" x14ac:dyDescent="0.25">
      <c r="AK73" s="12"/>
      <c r="AR73" s="12" t="e">
        <f t="shared" si="1"/>
        <v>#N/A</v>
      </c>
      <c r="AU73" s="12">
        <f>SUMIF(ASIGNACION!$C$5:$C$94,Z73,ASIGNACION!$R$5:$R$94)*'Costos x MO'!$B$7</f>
        <v>0</v>
      </c>
      <c r="AV73" s="12" t="str">
        <f>IFERROR(VLOOKUP(Z73,ASIGNACION!$C$5:$H$94,6,0),"F/Fecha")</f>
        <v>F/Fecha</v>
      </c>
    </row>
    <row r="74" spans="37:48" x14ac:dyDescent="0.25">
      <c r="AK74" s="12"/>
      <c r="AR74" s="12" t="e">
        <f t="shared" si="1"/>
        <v>#N/A</v>
      </c>
      <c r="AU74" s="12">
        <f>SUMIF(ASIGNACION!$C$5:$C$94,Z74,ASIGNACION!$R$5:$R$94)*'Costos x MO'!$B$7</f>
        <v>0</v>
      </c>
      <c r="AV74" s="12" t="str">
        <f>IFERROR(VLOOKUP(Z74,ASIGNACION!$C$5:$H$94,6,0),"F/Fecha")</f>
        <v>F/Fecha</v>
      </c>
    </row>
    <row r="75" spans="37:48" x14ac:dyDescent="0.25">
      <c r="AK75" s="12"/>
      <c r="AR75" s="12" t="e">
        <f t="shared" si="1"/>
        <v>#N/A</v>
      </c>
      <c r="AU75" s="12">
        <f>SUMIF(ASIGNACION!$C$5:$C$94,Z75,ASIGNACION!$R$5:$R$94)*'Costos x MO'!$B$7</f>
        <v>0</v>
      </c>
      <c r="AV75" s="12" t="str">
        <f>IFERROR(VLOOKUP(Z75,ASIGNACION!$C$5:$H$94,6,0),"F/Fecha")</f>
        <v>F/Fecha</v>
      </c>
    </row>
    <row r="76" spans="37:48" x14ac:dyDescent="0.25">
      <c r="AK76" s="12"/>
      <c r="AR76" s="12" t="e">
        <f t="shared" si="1"/>
        <v>#N/A</v>
      </c>
      <c r="AU76" s="12">
        <f>SUMIF(ASIGNACION!$C$5:$C$94,Z76,ASIGNACION!$R$5:$R$94)*'Costos x MO'!$B$7</f>
        <v>0</v>
      </c>
      <c r="AV76" s="12" t="str">
        <f>IFERROR(VLOOKUP(Z76,ASIGNACION!$C$5:$H$94,6,0),"F/Fecha")</f>
        <v>F/Fecha</v>
      </c>
    </row>
    <row r="77" spans="37:48" x14ac:dyDescent="0.25">
      <c r="AK77" s="12"/>
      <c r="AR77" s="12" t="e">
        <f t="shared" si="1"/>
        <v>#N/A</v>
      </c>
      <c r="AU77" s="12">
        <f>SUMIF(ASIGNACION!$C$5:$C$94,Z77,ASIGNACION!$R$5:$R$94)*'Costos x MO'!$B$7</f>
        <v>0</v>
      </c>
      <c r="AV77" s="12" t="str">
        <f>IFERROR(VLOOKUP(Z77,ASIGNACION!$C$5:$H$94,6,0),"F/Fecha")</f>
        <v>F/Fecha</v>
      </c>
    </row>
    <row r="78" spans="37:48" x14ac:dyDescent="0.25">
      <c r="AK78" s="12"/>
      <c r="AR78" s="12" t="e">
        <f t="shared" si="1"/>
        <v>#N/A</v>
      </c>
      <c r="AU78" s="12">
        <f>SUMIF(ASIGNACION!$C$5:$C$94,Z78,ASIGNACION!$R$5:$R$94)*'Costos x MO'!$B$7</f>
        <v>0</v>
      </c>
      <c r="AV78" s="12" t="str">
        <f>IFERROR(VLOOKUP(Z78,ASIGNACION!$C$5:$H$94,6,0),"F/Fecha")</f>
        <v>F/Fecha</v>
      </c>
    </row>
    <row r="79" spans="37:48" x14ac:dyDescent="0.25">
      <c r="AK79" s="12"/>
      <c r="AR79" s="12" t="e">
        <f t="shared" si="1"/>
        <v>#N/A</v>
      </c>
      <c r="AU79" s="12">
        <f>SUMIF(ASIGNACION!$C$5:$C$94,Z79,ASIGNACION!$R$5:$R$94)*'Costos x MO'!$B$7</f>
        <v>0</v>
      </c>
      <c r="AV79" s="12" t="str">
        <f>IFERROR(VLOOKUP(Z79,ASIGNACION!$C$5:$H$94,6,0),"F/Fecha")</f>
        <v>F/Fecha</v>
      </c>
    </row>
    <row r="80" spans="37:48" x14ac:dyDescent="0.25">
      <c r="AK80" s="12"/>
      <c r="AR80" s="12" t="e">
        <f t="shared" si="1"/>
        <v>#N/A</v>
      </c>
      <c r="AU80" s="12">
        <f>SUMIF(ASIGNACION!$C$5:$C$94,Z80,ASIGNACION!$R$5:$R$94)*'Costos x MO'!$B$7</f>
        <v>0</v>
      </c>
      <c r="AV80" s="12" t="str">
        <f>IFERROR(VLOOKUP(Z80,ASIGNACION!$C$5:$H$94,6,0),"F/Fecha")</f>
        <v>F/Fecha</v>
      </c>
    </row>
    <row r="81" spans="37:48" x14ac:dyDescent="0.25">
      <c r="AK81" s="12"/>
      <c r="AR81" s="12" t="e">
        <f t="shared" si="1"/>
        <v>#N/A</v>
      </c>
      <c r="AU81" s="12">
        <f>SUMIF(ASIGNACION!$C$5:$C$94,Z81,ASIGNACION!$R$5:$R$94)*'Costos x MO'!$B$7</f>
        <v>0</v>
      </c>
      <c r="AV81" s="12" t="str">
        <f>IFERROR(VLOOKUP(Z81,ASIGNACION!$C$5:$H$94,6,0),"F/Fecha")</f>
        <v>F/Fecha</v>
      </c>
    </row>
    <row r="82" spans="37:48" x14ac:dyDescent="0.25">
      <c r="AK82" s="12"/>
      <c r="AR82" s="12" t="e">
        <f t="shared" si="1"/>
        <v>#N/A</v>
      </c>
      <c r="AU82" s="12">
        <f>SUMIF(ASIGNACION!$C$5:$C$94,Z82,ASIGNACION!$R$5:$R$94)*'Costos x MO'!$B$7</f>
        <v>0</v>
      </c>
      <c r="AV82" s="12" t="str">
        <f>IFERROR(VLOOKUP(Z82,ASIGNACION!$C$5:$H$94,6,0),"F/Fecha")</f>
        <v>F/Fecha</v>
      </c>
    </row>
    <row r="83" spans="37:48" x14ac:dyDescent="0.25">
      <c r="AK83" s="12"/>
      <c r="AR83" s="12" t="e">
        <f t="shared" si="1"/>
        <v>#N/A</v>
      </c>
      <c r="AU83" s="12">
        <f>SUMIF(ASIGNACION!$C$5:$C$94,Z83,ASIGNACION!$R$5:$R$94)*'Costos x MO'!$B$7</f>
        <v>0</v>
      </c>
      <c r="AV83" s="12" t="str">
        <f>IFERROR(VLOOKUP(Z83,ASIGNACION!$C$5:$H$94,6,0),"F/Fecha")</f>
        <v>F/Fecha</v>
      </c>
    </row>
    <row r="84" spans="37:48" x14ac:dyDescent="0.25">
      <c r="AK84" s="12"/>
      <c r="AR84" s="12" t="e">
        <f t="shared" si="1"/>
        <v>#N/A</v>
      </c>
      <c r="AU84" s="12">
        <f>SUMIF(ASIGNACION!$C$5:$C$94,Z84,ASIGNACION!$R$5:$R$94)*'Costos x MO'!$B$7</f>
        <v>0</v>
      </c>
      <c r="AV84" s="12" t="str">
        <f>IFERROR(VLOOKUP(Z84,ASIGNACION!$C$5:$H$94,6,0),"F/Fecha")</f>
        <v>F/Fecha</v>
      </c>
    </row>
    <row r="85" spans="37:48" x14ac:dyDescent="0.25">
      <c r="AK85" s="12"/>
      <c r="AR85" s="12" t="e">
        <f t="shared" si="1"/>
        <v>#N/A</v>
      </c>
      <c r="AU85" s="12">
        <f>SUMIF(ASIGNACION!$C$5:$C$94,Z85,ASIGNACION!$R$5:$R$94)*'Costos x MO'!$B$7</f>
        <v>0</v>
      </c>
      <c r="AV85" s="12" t="str">
        <f>IFERROR(VLOOKUP(Z85,ASIGNACION!$C$5:$H$94,6,0),"F/Fecha")</f>
        <v>F/Fecha</v>
      </c>
    </row>
    <row r="86" spans="37:48" x14ac:dyDescent="0.25">
      <c r="AK86" s="12"/>
      <c r="AR86" s="12" t="e">
        <f t="shared" si="1"/>
        <v>#N/A</v>
      </c>
      <c r="AU86" s="12">
        <f>SUMIF(ASIGNACION!$C$5:$C$94,Z86,ASIGNACION!$R$5:$R$94)*'Costos x MO'!$B$7</f>
        <v>0</v>
      </c>
      <c r="AV86" s="12" t="str">
        <f>IFERROR(VLOOKUP(Z86,ASIGNACION!$C$5:$H$94,6,0),"F/Fecha")</f>
        <v>F/Fecha</v>
      </c>
    </row>
    <row r="87" spans="37:48" x14ac:dyDescent="0.25">
      <c r="AK87" s="12"/>
      <c r="AR87" s="12" t="e">
        <f t="shared" si="1"/>
        <v>#N/A</v>
      </c>
      <c r="AU87" s="12">
        <f>SUMIF(ASIGNACION!$C$5:$C$94,Z87,ASIGNACION!$R$5:$R$94)*'Costos x MO'!$B$7</f>
        <v>0</v>
      </c>
      <c r="AV87" s="12" t="str">
        <f>IFERROR(VLOOKUP(Z87,ASIGNACION!$C$5:$H$94,6,0),"F/Fecha")</f>
        <v>F/Fecha</v>
      </c>
    </row>
    <row r="88" spans="37:48" x14ac:dyDescent="0.25">
      <c r="AK88" s="12"/>
      <c r="AR88" s="12" t="e">
        <f t="shared" si="1"/>
        <v>#N/A</v>
      </c>
      <c r="AU88" s="12">
        <f>SUMIF(ASIGNACION!$C$5:$C$94,Z88,ASIGNACION!$R$5:$R$94)*'Costos x MO'!$B$7</f>
        <v>0</v>
      </c>
      <c r="AV88" s="12" t="str">
        <f>IFERROR(VLOOKUP(Z88,ASIGNACION!$C$5:$H$94,6,0),"F/Fecha")</f>
        <v>F/Fecha</v>
      </c>
    </row>
    <row r="89" spans="37:48" x14ac:dyDescent="0.25">
      <c r="AK89" s="12"/>
      <c r="AR89" s="12" t="e">
        <f t="shared" si="1"/>
        <v>#N/A</v>
      </c>
      <c r="AU89" s="12">
        <f>SUMIF(ASIGNACION!$C$5:$C$94,Z89,ASIGNACION!$R$5:$R$94)*'Costos x MO'!$B$7</f>
        <v>0</v>
      </c>
      <c r="AV89" s="12" t="str">
        <f>IFERROR(VLOOKUP(Z89,ASIGNACION!$C$5:$H$94,6,0),"F/Fecha")</f>
        <v>F/Fecha</v>
      </c>
    </row>
    <row r="90" spans="37:48" x14ac:dyDescent="0.25">
      <c r="AK90" s="12"/>
      <c r="AR90" s="12" t="e">
        <f t="shared" si="1"/>
        <v>#N/A</v>
      </c>
      <c r="AU90" s="12">
        <f>SUMIF(ASIGNACION!$C$5:$C$94,Z90,ASIGNACION!$R$5:$R$94)*'Costos x MO'!$B$7</f>
        <v>0</v>
      </c>
      <c r="AV90" s="12" t="str">
        <f>IFERROR(VLOOKUP(Z90,ASIGNACION!$C$5:$H$94,6,0),"F/Fecha")</f>
        <v>F/Fecha</v>
      </c>
    </row>
    <row r="91" spans="37:48" x14ac:dyDescent="0.25">
      <c r="AK91" s="12"/>
      <c r="AR91" s="12" t="e">
        <f t="shared" si="1"/>
        <v>#N/A</v>
      </c>
      <c r="AU91" s="12">
        <f>SUMIF(ASIGNACION!$C$5:$C$94,Z91,ASIGNACION!$R$5:$R$94)*'Costos x MO'!$B$7</f>
        <v>0</v>
      </c>
      <c r="AV91" s="12" t="str">
        <f>IFERROR(VLOOKUP(Z91,ASIGNACION!$C$5:$H$94,6,0),"F/Fecha")</f>
        <v>F/Fecha</v>
      </c>
    </row>
    <row r="92" spans="37:48" x14ac:dyDescent="0.25">
      <c r="AK92" s="12"/>
      <c r="AR92" s="12" t="e">
        <f t="shared" si="1"/>
        <v>#N/A</v>
      </c>
      <c r="AU92" s="12">
        <f>SUMIF(ASIGNACION!$C$5:$C$94,Z92,ASIGNACION!$R$5:$R$94)*'Costos x MO'!$B$7</f>
        <v>0</v>
      </c>
      <c r="AV92" s="12" t="str">
        <f>IFERROR(VLOOKUP(Z92,ASIGNACION!$C$5:$H$94,6,0),"F/Fecha")</f>
        <v>F/Fecha</v>
      </c>
    </row>
    <row r="93" spans="37:48" x14ac:dyDescent="0.25">
      <c r="AK93" s="12"/>
      <c r="AR93" s="12" t="e">
        <f t="shared" si="1"/>
        <v>#N/A</v>
      </c>
      <c r="AU93" s="12">
        <f>SUMIF(ASIGNACION!$C$5:$C$94,Z93,ASIGNACION!$R$5:$R$94)*'Costos x MO'!$B$7</f>
        <v>0</v>
      </c>
      <c r="AV93" s="12" t="str">
        <f>IFERROR(VLOOKUP(Z93,ASIGNACION!$C$5:$H$94,6,0),"F/Fecha")</f>
        <v>F/Fecha</v>
      </c>
    </row>
    <row r="94" spans="37:48" x14ac:dyDescent="0.25">
      <c r="AK94" s="12"/>
      <c r="AR94" s="12" t="e">
        <f t="shared" si="1"/>
        <v>#N/A</v>
      </c>
      <c r="AU94" s="12">
        <f>SUMIF(ASIGNACION!$C$5:$C$94,Z94,ASIGNACION!$R$5:$R$94)*'Costos x MO'!$B$7</f>
        <v>0</v>
      </c>
      <c r="AV94" s="12" t="str">
        <f>IFERROR(VLOOKUP(Z94,ASIGNACION!$C$5:$H$94,6,0),"F/Fecha")</f>
        <v>F/Fecha</v>
      </c>
    </row>
    <row r="95" spans="37:48" x14ac:dyDescent="0.25">
      <c r="AK95" s="12"/>
      <c r="AR95" s="12" t="e">
        <f t="shared" si="1"/>
        <v>#N/A</v>
      </c>
      <c r="AU95" s="12">
        <f>SUMIF(ASIGNACION!$C$5:$C$94,Z95,ASIGNACION!$R$5:$R$94)*'Costos x MO'!$B$7</f>
        <v>0</v>
      </c>
      <c r="AV95" s="12" t="str">
        <f>IFERROR(VLOOKUP(Z95,ASIGNACION!$C$5:$H$94,6,0),"F/Fecha")</f>
        <v>F/Fecha</v>
      </c>
    </row>
    <row r="96" spans="37:48" x14ac:dyDescent="0.25">
      <c r="AK96" s="12"/>
      <c r="AR96" s="12" t="e">
        <f t="shared" si="1"/>
        <v>#N/A</v>
      </c>
      <c r="AU96" s="12">
        <f>SUMIF(ASIGNACION!$C$5:$C$94,Z96,ASIGNACION!$R$5:$R$94)*'Costos x MO'!$B$7</f>
        <v>0</v>
      </c>
      <c r="AV96" s="12" t="str">
        <f>IFERROR(VLOOKUP(Z96,ASIGNACION!$C$5:$H$94,6,0),"F/Fecha")</f>
        <v>F/Fecha</v>
      </c>
    </row>
    <row r="97" spans="37:48" x14ac:dyDescent="0.25">
      <c r="AK97" s="12"/>
      <c r="AR97" s="12" t="e">
        <f t="shared" si="1"/>
        <v>#N/A</v>
      </c>
      <c r="AU97" s="12">
        <f>SUMIF(ASIGNACION!$C$5:$C$94,Z97,ASIGNACION!$R$5:$R$94)*'Costos x MO'!$B$7</f>
        <v>0</v>
      </c>
      <c r="AV97" s="12" t="str">
        <f>IFERROR(VLOOKUP(Z97,ASIGNACION!$C$5:$H$94,6,0),"F/Fecha")</f>
        <v>F/Fecha</v>
      </c>
    </row>
    <row r="98" spans="37:48" x14ac:dyDescent="0.25">
      <c r="AK98" s="12"/>
      <c r="AR98" s="12" t="e">
        <f t="shared" si="1"/>
        <v>#N/A</v>
      </c>
      <c r="AU98" s="12">
        <f>SUMIF(ASIGNACION!$C$5:$C$94,Z98,ASIGNACION!$R$5:$R$94)*'Costos x MO'!$B$7</f>
        <v>0</v>
      </c>
      <c r="AV98" s="12" t="str">
        <f>IFERROR(VLOOKUP(Z98,ASIGNACION!$C$5:$H$94,6,0),"F/Fecha")</f>
        <v>F/Fecha</v>
      </c>
    </row>
    <row r="99" spans="37:48" x14ac:dyDescent="0.25">
      <c r="AK99" s="12"/>
      <c r="AR99" s="12" t="e">
        <f t="shared" si="1"/>
        <v>#N/A</v>
      </c>
      <c r="AU99" s="12">
        <f>SUMIF(ASIGNACION!$C$5:$C$94,Z99,ASIGNACION!$R$5:$R$94)*'Costos x MO'!$B$7</f>
        <v>0</v>
      </c>
      <c r="AV99" s="12" t="str">
        <f>IFERROR(VLOOKUP(Z99,ASIGNACION!$C$5:$H$94,6,0),"F/Fecha")</f>
        <v>F/Fecha</v>
      </c>
    </row>
    <row r="100" spans="37:48" x14ac:dyDescent="0.25">
      <c r="AK100" s="12"/>
      <c r="AR100" s="12" t="e">
        <f t="shared" si="1"/>
        <v>#N/A</v>
      </c>
      <c r="AU100" s="12">
        <f>SUMIF(ASIGNACION!$C$5:$C$94,Z100,ASIGNACION!$R$5:$R$94)*'Costos x MO'!$B$7</f>
        <v>0</v>
      </c>
      <c r="AV100" s="12" t="str">
        <f>IFERROR(VLOOKUP(Z100,ASIGNACION!$C$5:$H$94,6,0),"F/Fecha")</f>
        <v>F/Fecha</v>
      </c>
    </row>
    <row r="101" spans="37:48" x14ac:dyDescent="0.25">
      <c r="AK101" s="12"/>
      <c r="AR101" s="12" t="e">
        <f t="shared" si="1"/>
        <v>#N/A</v>
      </c>
      <c r="AU101" s="12">
        <f>SUMIF(ASIGNACION!$C$5:$C$94,Z101,ASIGNACION!$R$5:$R$94)*'Costos x MO'!$B$7</f>
        <v>0</v>
      </c>
      <c r="AV101" s="12" t="str">
        <f>IFERROR(VLOOKUP(Z101,ASIGNACION!$C$5:$H$94,6,0),"F/Fecha")</f>
        <v>F/Fecha</v>
      </c>
    </row>
    <row r="102" spans="37:48" x14ac:dyDescent="0.25">
      <c r="AK102" s="12"/>
      <c r="AR102" s="12" t="e">
        <f t="shared" si="1"/>
        <v>#N/A</v>
      </c>
      <c r="AU102" s="12">
        <f>SUMIF(ASIGNACION!$C$5:$C$94,Z102,ASIGNACION!$R$5:$R$94)*'Costos x MO'!$B$7</f>
        <v>0</v>
      </c>
      <c r="AV102" s="12" t="str">
        <f>IFERROR(VLOOKUP(Z102,ASIGNACION!$C$5:$H$94,6,0),"F/Fecha")</f>
        <v>F/Fecha</v>
      </c>
    </row>
    <row r="103" spans="37:48" x14ac:dyDescent="0.25">
      <c r="AK103" s="12"/>
      <c r="AR103" s="12" t="e">
        <f t="shared" si="1"/>
        <v>#N/A</v>
      </c>
      <c r="AU103" s="12">
        <f>SUMIF(ASIGNACION!$C$5:$C$94,Z103,ASIGNACION!$R$5:$R$94)*'Costos x MO'!$B$7</f>
        <v>0</v>
      </c>
      <c r="AV103" s="12" t="str">
        <f>IFERROR(VLOOKUP(Z103,ASIGNACION!$C$5:$H$94,6,0),"F/Fecha")</f>
        <v>F/Fecha</v>
      </c>
    </row>
    <row r="104" spans="37:48" x14ac:dyDescent="0.25">
      <c r="AK104" s="12"/>
      <c r="AR104" s="12" t="e">
        <f t="shared" si="1"/>
        <v>#N/A</v>
      </c>
      <c r="AU104" s="12">
        <f>SUMIF(ASIGNACION!$C$5:$C$94,Z104,ASIGNACION!$R$5:$R$94)*'Costos x MO'!$B$7</f>
        <v>0</v>
      </c>
      <c r="AV104" s="12" t="str">
        <f>IFERROR(VLOOKUP(Z104,ASIGNACION!$C$5:$H$94,6,0),"F/Fecha")</f>
        <v>F/Fecha</v>
      </c>
    </row>
    <row r="105" spans="37:48" x14ac:dyDescent="0.25">
      <c r="AK105" s="12"/>
      <c r="AR105" s="12" t="e">
        <f t="shared" si="1"/>
        <v>#N/A</v>
      </c>
      <c r="AU105" s="12">
        <f>SUMIF(ASIGNACION!$C$5:$C$94,Z105,ASIGNACION!$R$5:$R$94)*'Costos x MO'!$B$7</f>
        <v>0</v>
      </c>
      <c r="AV105" s="12" t="str">
        <f>IFERROR(VLOOKUP(Z105,ASIGNACION!$C$5:$H$94,6,0),"F/Fecha")</f>
        <v>F/Fecha</v>
      </c>
    </row>
    <row r="106" spans="37:48" x14ac:dyDescent="0.25">
      <c r="AK106" s="12"/>
      <c r="AR106" s="12" t="e">
        <f t="shared" si="1"/>
        <v>#N/A</v>
      </c>
      <c r="AU106" s="12">
        <f>SUMIF(ASIGNACION!$C$5:$C$94,Z106,ASIGNACION!$R$5:$R$94)*'Costos x MO'!$B$7</f>
        <v>0</v>
      </c>
      <c r="AV106" s="12" t="str">
        <f>IFERROR(VLOOKUP(Z106,ASIGNACION!$C$5:$H$94,6,0),"F/Fecha")</f>
        <v>F/Fecha</v>
      </c>
    </row>
    <row r="107" spans="37:48" x14ac:dyDescent="0.25">
      <c r="AK107" s="12"/>
      <c r="AR107" s="12" t="e">
        <f t="shared" si="1"/>
        <v>#N/A</v>
      </c>
      <c r="AU107" s="12">
        <f>SUMIF(ASIGNACION!$C$5:$C$94,Z107,ASIGNACION!$R$5:$R$94)*'Costos x MO'!$B$7</f>
        <v>0</v>
      </c>
      <c r="AV107" s="12" t="str">
        <f>IFERROR(VLOOKUP(Z107,ASIGNACION!$C$5:$H$94,6,0),"F/Fecha")</f>
        <v>F/Fecha</v>
      </c>
    </row>
    <row r="108" spans="37:48" x14ac:dyDescent="0.25">
      <c r="AK108" s="12"/>
      <c r="AR108" s="12" t="e">
        <f t="shared" si="1"/>
        <v>#N/A</v>
      </c>
      <c r="AU108" s="12">
        <f>SUMIF(ASIGNACION!$C$5:$C$94,Z108,ASIGNACION!$R$5:$R$94)*'Costos x MO'!$B$7</f>
        <v>0</v>
      </c>
      <c r="AV108" s="12" t="str">
        <f>IFERROR(VLOOKUP(Z108,ASIGNACION!$C$5:$H$94,6,0),"F/Fecha")</f>
        <v>F/Fecha</v>
      </c>
    </row>
    <row r="109" spans="37:48" x14ac:dyDescent="0.25">
      <c r="AK109" s="12"/>
      <c r="AR109" s="12" t="e">
        <f t="shared" si="1"/>
        <v>#N/A</v>
      </c>
      <c r="AU109" s="12">
        <f>SUMIF(ASIGNACION!$C$5:$C$94,Z109,ASIGNACION!$R$5:$R$94)*'Costos x MO'!$B$7</f>
        <v>0</v>
      </c>
      <c r="AV109" s="12" t="str">
        <f>IFERROR(VLOOKUP(Z109,ASIGNACION!$C$5:$H$94,6,0),"F/Fecha")</f>
        <v>F/Fecha</v>
      </c>
    </row>
    <row r="110" spans="37:48" x14ac:dyDescent="0.25">
      <c r="AK110" s="12"/>
      <c r="AR110" s="12" t="e">
        <f t="shared" si="1"/>
        <v>#N/A</v>
      </c>
      <c r="AU110" s="12">
        <f>SUMIF(ASIGNACION!$C$5:$C$94,Z110,ASIGNACION!$R$5:$R$94)*'Costos x MO'!$B$7</f>
        <v>0</v>
      </c>
      <c r="AV110" s="12" t="str">
        <f>IFERROR(VLOOKUP(Z110,ASIGNACION!$C$5:$H$94,6,0),"F/Fecha")</f>
        <v>F/Fecha</v>
      </c>
    </row>
    <row r="111" spans="37:48" x14ac:dyDescent="0.25">
      <c r="AK111" s="12"/>
      <c r="AR111" s="12" t="e">
        <f t="shared" si="1"/>
        <v>#N/A</v>
      </c>
      <c r="AU111" s="12">
        <f>SUMIF(ASIGNACION!$C$5:$C$94,Z111,ASIGNACION!$R$5:$R$94)*'Costos x MO'!$B$7</f>
        <v>0</v>
      </c>
      <c r="AV111" s="12" t="str">
        <f>IFERROR(VLOOKUP(Z111,ASIGNACION!$C$5:$H$94,6,0),"F/Fecha")</f>
        <v>F/Fecha</v>
      </c>
    </row>
    <row r="112" spans="37:48" x14ac:dyDescent="0.25">
      <c r="AK112" s="12"/>
      <c r="AR112" s="12" t="e">
        <f t="shared" si="1"/>
        <v>#N/A</v>
      </c>
      <c r="AU112" s="12">
        <f>SUMIF(ASIGNACION!$C$5:$C$94,Z112,ASIGNACION!$R$5:$R$94)*'Costos x MO'!$B$7</f>
        <v>0</v>
      </c>
      <c r="AV112" s="12" t="str">
        <f>IFERROR(VLOOKUP(Z112,ASIGNACION!$C$5:$H$94,6,0),"F/Fecha")</f>
        <v>F/Fecha</v>
      </c>
    </row>
    <row r="113" spans="37:48" x14ac:dyDescent="0.25">
      <c r="AK113" s="12"/>
      <c r="AR113" s="12" t="e">
        <f t="shared" si="1"/>
        <v>#N/A</v>
      </c>
      <c r="AU113" s="12">
        <f>SUMIF(ASIGNACION!$C$5:$C$94,Z113,ASIGNACION!$R$5:$R$94)*'Costos x MO'!$B$7</f>
        <v>0</v>
      </c>
      <c r="AV113" s="12" t="str">
        <f>IFERROR(VLOOKUP(Z113,ASIGNACION!$C$5:$H$94,6,0),"F/Fecha")</f>
        <v>F/Fecha</v>
      </c>
    </row>
    <row r="114" spans="37:48" x14ac:dyDescent="0.25">
      <c r="AK114" s="12"/>
      <c r="AR114" s="12" t="e">
        <f t="shared" si="1"/>
        <v>#N/A</v>
      </c>
      <c r="AU114" s="12">
        <f>SUMIF(ASIGNACION!$C$5:$C$94,Z114,ASIGNACION!$R$5:$R$94)*'Costos x MO'!$B$7</f>
        <v>0</v>
      </c>
      <c r="AV114" s="12" t="str">
        <f>IFERROR(VLOOKUP(Z114,ASIGNACION!$C$5:$H$94,6,0),"F/Fecha")</f>
        <v>F/Fecha</v>
      </c>
    </row>
    <row r="115" spans="37:48" x14ac:dyDescent="0.25">
      <c r="AK115" s="12"/>
      <c r="AR115" s="12" t="e">
        <f t="shared" si="1"/>
        <v>#N/A</v>
      </c>
      <c r="AU115" s="12">
        <f>SUMIF(ASIGNACION!$C$5:$C$94,Z115,ASIGNACION!$R$5:$R$94)*'Costos x MO'!$B$7</f>
        <v>0</v>
      </c>
      <c r="AV115" s="12" t="str">
        <f>IFERROR(VLOOKUP(Z115,ASIGNACION!$C$5:$H$94,6,0),"F/Fecha")</f>
        <v>F/Fecha</v>
      </c>
    </row>
    <row r="116" spans="37:48" x14ac:dyDescent="0.25">
      <c r="AK116" s="12"/>
      <c r="AR116" s="12" t="e">
        <f t="shared" si="1"/>
        <v>#N/A</v>
      </c>
      <c r="AU116" s="12">
        <f>SUMIF(ASIGNACION!$C$5:$C$94,Z116,ASIGNACION!$R$5:$R$94)*'Costos x MO'!$B$7</f>
        <v>0</v>
      </c>
      <c r="AV116" s="12" t="str">
        <f>IFERROR(VLOOKUP(Z116,ASIGNACION!$C$5:$H$94,6,0),"F/Fecha")</f>
        <v>F/Fecha</v>
      </c>
    </row>
    <row r="117" spans="37:48" x14ac:dyDescent="0.25">
      <c r="AK117" s="12"/>
      <c r="AR117" s="12" t="e">
        <f t="shared" si="1"/>
        <v>#N/A</v>
      </c>
      <c r="AU117" s="12">
        <f>SUMIF(ASIGNACION!$C$5:$C$94,Z117,ASIGNACION!$R$5:$R$94)*'Costos x MO'!$B$7</f>
        <v>0</v>
      </c>
      <c r="AV117" s="12" t="str">
        <f>IFERROR(VLOOKUP(Z117,ASIGNACION!$C$5:$H$94,6,0),"F/Fecha")</f>
        <v>F/Fecha</v>
      </c>
    </row>
    <row r="118" spans="37:48" x14ac:dyDescent="0.25">
      <c r="AK118" s="12"/>
      <c r="AR118" s="12" t="e">
        <f t="shared" si="1"/>
        <v>#N/A</v>
      </c>
      <c r="AU118" s="12">
        <f>SUMIF(ASIGNACION!$C$5:$C$94,Z118,ASIGNACION!$R$5:$R$94)*'Costos x MO'!$B$7</f>
        <v>0</v>
      </c>
      <c r="AV118" s="12" t="str">
        <f>IFERROR(VLOOKUP(Z118,ASIGNACION!$C$5:$H$94,6,0),"F/Fecha")</f>
        <v>F/Fecha</v>
      </c>
    </row>
    <row r="119" spans="37:48" x14ac:dyDescent="0.25">
      <c r="AK119" s="12"/>
      <c r="AR119" s="12" t="e">
        <f t="shared" si="1"/>
        <v>#N/A</v>
      </c>
      <c r="AU119" s="12">
        <f>SUMIF(ASIGNACION!$C$5:$C$94,Z119,ASIGNACION!$R$5:$R$94)*'Costos x MO'!$B$7</f>
        <v>0</v>
      </c>
      <c r="AV119" s="12" t="str">
        <f>IFERROR(VLOOKUP(Z119,ASIGNACION!$C$5:$H$94,6,0),"F/Fecha")</f>
        <v>F/Fecha</v>
      </c>
    </row>
    <row r="120" spans="37:48" x14ac:dyDescent="0.25">
      <c r="AK120" s="12"/>
      <c r="AR120" s="12" t="e">
        <f t="shared" si="1"/>
        <v>#N/A</v>
      </c>
      <c r="AU120" s="12">
        <f>SUMIF(ASIGNACION!$C$5:$C$94,Z120,ASIGNACION!$R$5:$R$94)*'Costos x MO'!$B$7</f>
        <v>0</v>
      </c>
      <c r="AV120" s="12" t="str">
        <f>IFERROR(VLOOKUP(Z120,ASIGNACION!$C$5:$H$94,6,0),"F/Fecha")</f>
        <v>F/Fecha</v>
      </c>
    </row>
    <row r="121" spans="37:48" x14ac:dyDescent="0.25">
      <c r="AK121" s="12"/>
      <c r="AR121" s="12" t="e">
        <f t="shared" si="1"/>
        <v>#N/A</v>
      </c>
      <c r="AU121" s="12">
        <f>SUMIF(ASIGNACION!$C$5:$C$94,Z121,ASIGNACION!$R$5:$R$94)*'Costos x MO'!$B$7</f>
        <v>0</v>
      </c>
      <c r="AV121" s="12" t="str">
        <f>IFERROR(VLOOKUP(Z121,ASIGNACION!$C$5:$H$94,6,0),"F/Fecha")</f>
        <v>F/Fecha</v>
      </c>
    </row>
    <row r="122" spans="37:48" x14ac:dyDescent="0.25">
      <c r="AK122" s="12"/>
      <c r="AR122" s="12" t="e">
        <f t="shared" si="1"/>
        <v>#N/A</v>
      </c>
      <c r="AU122" s="12">
        <f>SUMIF(ASIGNACION!$C$5:$C$94,Z122,ASIGNACION!$R$5:$R$94)*'Costos x MO'!$B$7</f>
        <v>0</v>
      </c>
      <c r="AV122" s="12" t="str">
        <f>IFERROR(VLOOKUP(Z122,ASIGNACION!$C$5:$H$94,6,0),"F/Fecha")</f>
        <v>F/Fecha</v>
      </c>
    </row>
    <row r="123" spans="37:48" x14ac:dyDescent="0.25">
      <c r="AK123" s="12"/>
      <c r="AR123" s="12" t="e">
        <f t="shared" si="1"/>
        <v>#N/A</v>
      </c>
      <c r="AU123" s="12">
        <f>SUMIF(ASIGNACION!$C$5:$C$94,Z123,ASIGNACION!$R$5:$R$94)*'Costos x MO'!$B$7</f>
        <v>0</v>
      </c>
      <c r="AV123" s="12" t="str">
        <f>IFERROR(VLOOKUP(Z123,ASIGNACION!$C$5:$H$94,6,0),"F/Fecha")</f>
        <v>F/Fecha</v>
      </c>
    </row>
    <row r="124" spans="37:48" x14ac:dyDescent="0.25">
      <c r="AK124" s="12"/>
      <c r="AR124" s="12" t="e">
        <f t="shared" si="1"/>
        <v>#N/A</v>
      </c>
      <c r="AU124" s="12">
        <f>SUMIF(ASIGNACION!$C$5:$C$94,Z124,ASIGNACION!$R$5:$R$94)*'Costos x MO'!$B$7</f>
        <v>0</v>
      </c>
      <c r="AV124" s="12" t="str">
        <f>IFERROR(VLOOKUP(Z124,ASIGNACION!$C$5:$H$94,6,0),"F/Fecha")</f>
        <v>F/Fecha</v>
      </c>
    </row>
    <row r="125" spans="37:48" x14ac:dyDescent="0.25">
      <c r="AK125" s="12"/>
      <c r="AR125" s="12" t="e">
        <f t="shared" si="1"/>
        <v>#N/A</v>
      </c>
      <c r="AU125" s="12">
        <f>SUMIF(ASIGNACION!$C$5:$C$94,Z125,ASIGNACION!$R$5:$R$94)*'Costos x MO'!$B$7</f>
        <v>0</v>
      </c>
      <c r="AV125" s="12" t="str">
        <f>IFERROR(VLOOKUP(Z125,ASIGNACION!$C$5:$H$94,6,0),"F/Fecha")</f>
        <v>F/Fecha</v>
      </c>
    </row>
    <row r="126" spans="37:48" x14ac:dyDescent="0.25">
      <c r="AK126" s="12"/>
      <c r="AR126" s="12" t="e">
        <f t="shared" si="1"/>
        <v>#N/A</v>
      </c>
      <c r="AU126" s="12">
        <f>SUMIF(ASIGNACION!$C$5:$C$94,Z126,ASIGNACION!$R$5:$R$94)*'Costos x MO'!$B$7</f>
        <v>0</v>
      </c>
      <c r="AV126" s="12" t="str">
        <f>IFERROR(VLOOKUP(Z126,ASIGNACION!$C$5:$H$94,6,0),"F/Fecha")</f>
        <v>F/Fecha</v>
      </c>
    </row>
    <row r="127" spans="37:48" x14ac:dyDescent="0.25">
      <c r="AK127" s="12"/>
      <c r="AR127" s="12" t="e">
        <f t="shared" si="1"/>
        <v>#N/A</v>
      </c>
      <c r="AU127" s="12">
        <f>SUMIF(ASIGNACION!$C$5:$C$94,Z127,ASIGNACION!$R$5:$R$94)*'Costos x MO'!$B$7</f>
        <v>0</v>
      </c>
      <c r="AV127" s="12" t="str">
        <f>IFERROR(VLOOKUP(Z127,ASIGNACION!$C$5:$H$94,6,0),"F/Fecha")</f>
        <v>F/Fecha</v>
      </c>
    </row>
    <row r="128" spans="37:48" x14ac:dyDescent="0.25">
      <c r="AK128" s="12"/>
      <c r="AR128" s="12" t="e">
        <f t="shared" si="1"/>
        <v>#N/A</v>
      </c>
      <c r="AU128" s="12">
        <f>SUMIF(ASIGNACION!$C$5:$C$94,Z128,ASIGNACION!$R$5:$R$94)*'Costos x MO'!$B$7</f>
        <v>0</v>
      </c>
      <c r="AV128" s="12" t="str">
        <f>IFERROR(VLOOKUP(Z128,ASIGNACION!$C$5:$H$94,6,0),"F/Fecha")</f>
        <v>F/Fecha</v>
      </c>
    </row>
    <row r="129" spans="37:48" x14ac:dyDescent="0.25">
      <c r="AK129" s="12"/>
      <c r="AR129" s="12" t="e">
        <f t="shared" si="1"/>
        <v>#N/A</v>
      </c>
      <c r="AU129" s="12">
        <f>SUMIF(ASIGNACION!$C$5:$C$94,Z129,ASIGNACION!$R$5:$R$94)*'Costos x MO'!$B$7</f>
        <v>0</v>
      </c>
      <c r="AV129" s="12" t="str">
        <f>IFERROR(VLOOKUP(Z129,ASIGNACION!$C$5:$H$94,6,0),"F/Fecha")</f>
        <v>F/Fecha</v>
      </c>
    </row>
    <row r="130" spans="37:48" x14ac:dyDescent="0.25">
      <c r="AK130" s="12"/>
      <c r="AR130" s="12" t="e">
        <f t="shared" si="1"/>
        <v>#N/A</v>
      </c>
      <c r="AU130" s="12">
        <f>SUMIF(ASIGNACION!$C$5:$C$94,Z130,ASIGNACION!$R$5:$R$94)*'Costos x MO'!$B$7</f>
        <v>0</v>
      </c>
      <c r="AV130" s="12" t="str">
        <f>IFERROR(VLOOKUP(Z130,ASIGNACION!$C$5:$H$94,6,0),"F/Fecha")</f>
        <v>F/Fecha</v>
      </c>
    </row>
    <row r="131" spans="37:48" x14ac:dyDescent="0.25">
      <c r="AK131" s="12"/>
      <c r="AR131" s="12" t="e">
        <f t="shared" si="1"/>
        <v>#N/A</v>
      </c>
      <c r="AU131" s="12">
        <f>SUMIF(ASIGNACION!$C$5:$C$94,Z131,ASIGNACION!$R$5:$R$94)*'Costos x MO'!$B$7</f>
        <v>0</v>
      </c>
      <c r="AV131" s="12" t="str">
        <f>IFERROR(VLOOKUP(Z131,ASIGNACION!$C$5:$H$94,6,0),"F/Fecha")</f>
        <v>F/Fecha</v>
      </c>
    </row>
    <row r="132" spans="37:48" x14ac:dyDescent="0.25">
      <c r="AK132" s="12"/>
      <c r="AR132" s="12" t="e">
        <f t="shared" si="1"/>
        <v>#N/A</v>
      </c>
      <c r="AU132" s="12">
        <f>SUMIF(ASIGNACION!$C$5:$C$94,Z132,ASIGNACION!$R$5:$R$94)*'Costos x MO'!$B$7</f>
        <v>0</v>
      </c>
      <c r="AV132" s="12" t="str">
        <f>IFERROR(VLOOKUP(Z132,ASIGNACION!$C$5:$H$94,6,0),"F/Fecha")</f>
        <v>F/Fecha</v>
      </c>
    </row>
    <row r="133" spans="37:48" x14ac:dyDescent="0.25">
      <c r="AK133" s="12"/>
      <c r="AR133" s="12" t="e">
        <f t="shared" ref="AR133:AR196" si="2">VLOOKUP(Z133,$E$4:$G$3523,3,0)</f>
        <v>#N/A</v>
      </c>
      <c r="AU133" s="12">
        <f>SUMIF(ASIGNACION!$C$5:$C$94,Z133,ASIGNACION!$R$5:$R$94)*'Costos x MO'!$B$7</f>
        <v>0</v>
      </c>
      <c r="AV133" s="12" t="str">
        <f>IFERROR(VLOOKUP(Z133,ASIGNACION!$C$5:$H$94,6,0),"F/Fecha")</f>
        <v>F/Fecha</v>
      </c>
    </row>
    <row r="134" spans="37:48" x14ac:dyDescent="0.25">
      <c r="AK134" s="12"/>
      <c r="AR134" s="12" t="e">
        <f t="shared" si="2"/>
        <v>#N/A</v>
      </c>
      <c r="AU134" s="12">
        <f>SUMIF(ASIGNACION!$C$5:$C$94,Z134,ASIGNACION!$R$5:$R$94)*'Costos x MO'!$B$7</f>
        <v>0</v>
      </c>
      <c r="AV134" s="12" t="str">
        <f>IFERROR(VLOOKUP(Z134,ASIGNACION!$C$5:$H$94,6,0),"F/Fecha")</f>
        <v>F/Fecha</v>
      </c>
    </row>
    <row r="135" spans="37:48" x14ac:dyDescent="0.25">
      <c r="AK135" s="12"/>
      <c r="AR135" s="12" t="e">
        <f t="shared" si="2"/>
        <v>#N/A</v>
      </c>
      <c r="AU135" s="12">
        <f>SUMIF(ASIGNACION!$C$5:$C$94,Z135,ASIGNACION!$R$5:$R$94)*'Costos x MO'!$B$7</f>
        <v>0</v>
      </c>
      <c r="AV135" s="12" t="str">
        <f>IFERROR(VLOOKUP(Z135,ASIGNACION!$C$5:$H$94,6,0),"F/Fecha")</f>
        <v>F/Fecha</v>
      </c>
    </row>
    <row r="136" spans="37:48" x14ac:dyDescent="0.25">
      <c r="AK136" s="12"/>
      <c r="AR136" s="12" t="e">
        <f t="shared" si="2"/>
        <v>#N/A</v>
      </c>
      <c r="AU136" s="12">
        <f>SUMIF(ASIGNACION!$C$5:$C$94,Z136,ASIGNACION!$R$5:$R$94)*'Costos x MO'!$B$7</f>
        <v>0</v>
      </c>
      <c r="AV136" s="12" t="str">
        <f>IFERROR(VLOOKUP(Z136,ASIGNACION!$C$5:$H$94,6,0),"F/Fecha")</f>
        <v>F/Fecha</v>
      </c>
    </row>
    <row r="137" spans="37:48" x14ac:dyDescent="0.25">
      <c r="AK137" s="12"/>
      <c r="AR137" s="12" t="e">
        <f t="shared" si="2"/>
        <v>#N/A</v>
      </c>
      <c r="AU137" s="12">
        <f>SUMIF(ASIGNACION!$C$5:$C$94,Z137,ASIGNACION!$R$5:$R$94)*'Costos x MO'!$B$7</f>
        <v>0</v>
      </c>
      <c r="AV137" s="12" t="str">
        <f>IFERROR(VLOOKUP(Z137,ASIGNACION!$C$5:$H$94,6,0),"F/Fecha")</f>
        <v>F/Fecha</v>
      </c>
    </row>
    <row r="138" spans="37:48" x14ac:dyDescent="0.25">
      <c r="AK138" s="12"/>
      <c r="AR138" s="12" t="e">
        <f t="shared" si="2"/>
        <v>#N/A</v>
      </c>
      <c r="AU138" s="12">
        <f>SUMIF(ASIGNACION!$C$5:$C$94,Z138,ASIGNACION!$R$5:$R$94)*'Costos x MO'!$B$7</f>
        <v>0</v>
      </c>
      <c r="AV138" s="12" t="str">
        <f>IFERROR(VLOOKUP(Z138,ASIGNACION!$C$5:$H$94,6,0),"F/Fecha")</f>
        <v>F/Fecha</v>
      </c>
    </row>
    <row r="139" spans="37:48" x14ac:dyDescent="0.25">
      <c r="AK139" s="12"/>
      <c r="AR139" s="12" t="e">
        <f t="shared" si="2"/>
        <v>#N/A</v>
      </c>
      <c r="AU139" s="12">
        <f>SUMIF(ASIGNACION!$C$5:$C$94,Z139,ASIGNACION!$R$5:$R$94)*'Costos x MO'!$B$7</f>
        <v>0</v>
      </c>
      <c r="AV139" s="12" t="str">
        <f>IFERROR(VLOOKUP(Z139,ASIGNACION!$C$5:$H$94,6,0),"F/Fecha")</f>
        <v>F/Fecha</v>
      </c>
    </row>
    <row r="140" spans="37:48" x14ac:dyDescent="0.25">
      <c r="AK140" s="12"/>
      <c r="AR140" s="12" t="e">
        <f t="shared" si="2"/>
        <v>#N/A</v>
      </c>
      <c r="AU140" s="12">
        <f>SUMIF(ASIGNACION!$C$5:$C$94,Z140,ASIGNACION!$R$5:$R$94)*'Costos x MO'!$B$7</f>
        <v>0</v>
      </c>
      <c r="AV140" s="12" t="str">
        <f>IFERROR(VLOOKUP(Z140,ASIGNACION!$C$5:$H$94,6,0),"F/Fecha")</f>
        <v>F/Fecha</v>
      </c>
    </row>
    <row r="141" spans="37:48" x14ac:dyDescent="0.25">
      <c r="AK141" s="12"/>
      <c r="AR141" s="12" t="e">
        <f t="shared" si="2"/>
        <v>#N/A</v>
      </c>
      <c r="AU141" s="12">
        <f>SUMIF(ASIGNACION!$C$5:$C$94,Z141,ASIGNACION!$R$5:$R$94)*'Costos x MO'!$B$7</f>
        <v>0</v>
      </c>
      <c r="AV141" s="12" t="str">
        <f>IFERROR(VLOOKUP(Z141,ASIGNACION!$C$5:$H$94,6,0),"F/Fecha")</f>
        <v>F/Fecha</v>
      </c>
    </row>
    <row r="142" spans="37:48" x14ac:dyDescent="0.25">
      <c r="AK142" s="12"/>
      <c r="AR142" s="12" t="e">
        <f t="shared" si="2"/>
        <v>#N/A</v>
      </c>
      <c r="AU142" s="12">
        <f>SUMIF(ASIGNACION!$C$5:$C$94,Z142,ASIGNACION!$R$5:$R$94)*'Costos x MO'!$B$7</f>
        <v>0</v>
      </c>
      <c r="AV142" s="12" t="str">
        <f>IFERROR(VLOOKUP(Z142,ASIGNACION!$C$5:$H$94,6,0),"F/Fecha")</f>
        <v>F/Fecha</v>
      </c>
    </row>
    <row r="143" spans="37:48" x14ac:dyDescent="0.25">
      <c r="AK143" s="12"/>
      <c r="AR143" s="12" t="e">
        <f t="shared" si="2"/>
        <v>#N/A</v>
      </c>
      <c r="AU143" s="12">
        <f>SUMIF(ASIGNACION!$C$5:$C$94,Z143,ASIGNACION!$R$5:$R$94)*'Costos x MO'!$B$7</f>
        <v>0</v>
      </c>
      <c r="AV143" s="12" t="str">
        <f>IFERROR(VLOOKUP(Z143,ASIGNACION!$C$5:$H$94,6,0),"F/Fecha")</f>
        <v>F/Fecha</v>
      </c>
    </row>
    <row r="144" spans="37:48" x14ac:dyDescent="0.25">
      <c r="AK144" s="12"/>
      <c r="AR144" s="12" t="e">
        <f t="shared" si="2"/>
        <v>#N/A</v>
      </c>
      <c r="AU144" s="12">
        <f>SUMIF(ASIGNACION!$C$5:$C$94,Z144,ASIGNACION!$R$5:$R$94)*'Costos x MO'!$B$7</f>
        <v>0</v>
      </c>
      <c r="AV144" s="12" t="str">
        <f>IFERROR(VLOOKUP(Z144,ASIGNACION!$C$5:$H$94,6,0),"F/Fecha")</f>
        <v>F/Fecha</v>
      </c>
    </row>
    <row r="145" spans="37:48" x14ac:dyDescent="0.25">
      <c r="AK145" s="12"/>
      <c r="AR145" s="12" t="e">
        <f t="shared" si="2"/>
        <v>#N/A</v>
      </c>
      <c r="AU145" s="12">
        <f>SUMIF(ASIGNACION!$C$5:$C$94,Z145,ASIGNACION!$R$5:$R$94)*'Costos x MO'!$B$7</f>
        <v>0</v>
      </c>
      <c r="AV145" s="12" t="str">
        <f>IFERROR(VLOOKUP(Z145,ASIGNACION!$C$5:$H$94,6,0),"F/Fecha")</f>
        <v>F/Fecha</v>
      </c>
    </row>
    <row r="146" spans="37:48" x14ac:dyDescent="0.25">
      <c r="AK146" s="12"/>
      <c r="AR146" s="12" t="e">
        <f t="shared" si="2"/>
        <v>#N/A</v>
      </c>
      <c r="AU146" s="12">
        <f>SUMIF(ASIGNACION!$C$5:$C$94,Z146,ASIGNACION!$R$5:$R$94)*'Costos x MO'!$B$7</f>
        <v>0</v>
      </c>
      <c r="AV146" s="12" t="str">
        <f>IFERROR(VLOOKUP(Z146,ASIGNACION!$C$5:$H$94,6,0),"F/Fecha")</f>
        <v>F/Fecha</v>
      </c>
    </row>
    <row r="147" spans="37:48" x14ac:dyDescent="0.25">
      <c r="AK147" s="12"/>
      <c r="AR147" s="12" t="e">
        <f t="shared" si="2"/>
        <v>#N/A</v>
      </c>
      <c r="AU147" s="12">
        <f>SUMIF(ASIGNACION!$C$5:$C$94,Z147,ASIGNACION!$R$5:$R$94)*'Costos x MO'!$B$7</f>
        <v>0</v>
      </c>
      <c r="AV147" s="12" t="str">
        <f>IFERROR(VLOOKUP(Z147,ASIGNACION!$C$5:$H$94,6,0),"F/Fecha")</f>
        <v>F/Fecha</v>
      </c>
    </row>
    <row r="148" spans="37:48" x14ac:dyDescent="0.25">
      <c r="AK148" s="12"/>
      <c r="AR148" s="12" t="e">
        <f t="shared" si="2"/>
        <v>#N/A</v>
      </c>
      <c r="AU148" s="12">
        <f>SUMIF(ASIGNACION!$C$5:$C$94,Z148,ASIGNACION!$R$5:$R$94)*'Costos x MO'!$B$7</f>
        <v>0</v>
      </c>
      <c r="AV148" s="12" t="str">
        <f>IFERROR(VLOOKUP(Z148,ASIGNACION!$C$5:$H$94,6,0),"F/Fecha")</f>
        <v>F/Fecha</v>
      </c>
    </row>
    <row r="149" spans="37:48" x14ac:dyDescent="0.25">
      <c r="AK149" s="12"/>
      <c r="AR149" s="12" t="e">
        <f t="shared" si="2"/>
        <v>#N/A</v>
      </c>
      <c r="AU149" s="12">
        <f>SUMIF(ASIGNACION!$C$5:$C$94,Z149,ASIGNACION!$R$5:$R$94)*'Costos x MO'!$B$7</f>
        <v>0</v>
      </c>
      <c r="AV149" s="12" t="str">
        <f>IFERROR(VLOOKUP(Z149,ASIGNACION!$C$5:$H$94,6,0),"F/Fecha")</f>
        <v>F/Fecha</v>
      </c>
    </row>
    <row r="150" spans="37:48" x14ac:dyDescent="0.25">
      <c r="AK150" s="12"/>
      <c r="AR150" s="12" t="e">
        <f t="shared" si="2"/>
        <v>#N/A</v>
      </c>
      <c r="AU150" s="12">
        <f>SUMIF(ASIGNACION!$C$5:$C$94,Z150,ASIGNACION!$R$5:$R$94)*'Costos x MO'!$B$7</f>
        <v>0</v>
      </c>
      <c r="AV150" s="12" t="str">
        <f>IFERROR(VLOOKUP(Z150,ASIGNACION!$C$5:$H$94,6,0),"F/Fecha")</f>
        <v>F/Fecha</v>
      </c>
    </row>
    <row r="151" spans="37:48" x14ac:dyDescent="0.25">
      <c r="AK151" s="12"/>
      <c r="AR151" s="12" t="e">
        <f t="shared" si="2"/>
        <v>#N/A</v>
      </c>
      <c r="AU151" s="12">
        <f>SUMIF(ASIGNACION!$C$5:$C$94,Z151,ASIGNACION!$R$5:$R$94)*'Costos x MO'!$B$7</f>
        <v>0</v>
      </c>
      <c r="AV151" s="12" t="str">
        <f>IFERROR(VLOOKUP(Z151,ASIGNACION!$C$5:$H$94,6,0),"F/Fecha")</f>
        <v>F/Fecha</v>
      </c>
    </row>
    <row r="152" spans="37:48" x14ac:dyDescent="0.25">
      <c r="AK152" s="12"/>
      <c r="AR152" s="12" t="e">
        <f t="shared" si="2"/>
        <v>#N/A</v>
      </c>
      <c r="AU152" s="12">
        <f>SUMIF(ASIGNACION!$C$5:$C$94,Z152,ASIGNACION!$R$5:$R$94)*'Costos x MO'!$B$7</f>
        <v>0</v>
      </c>
      <c r="AV152" s="12" t="str">
        <f>IFERROR(VLOOKUP(Z152,ASIGNACION!$C$5:$H$94,6,0),"F/Fecha")</f>
        <v>F/Fecha</v>
      </c>
    </row>
    <row r="153" spans="37:48" x14ac:dyDescent="0.25">
      <c r="AK153" s="12"/>
      <c r="AR153" s="12" t="e">
        <f t="shared" si="2"/>
        <v>#N/A</v>
      </c>
      <c r="AU153" s="12">
        <f>SUMIF(ASIGNACION!$C$5:$C$94,Z153,ASIGNACION!$R$5:$R$94)*'Costos x MO'!$B$7</f>
        <v>0</v>
      </c>
      <c r="AV153" s="12" t="str">
        <f>IFERROR(VLOOKUP(Z153,ASIGNACION!$C$5:$H$94,6,0),"F/Fecha")</f>
        <v>F/Fecha</v>
      </c>
    </row>
    <row r="154" spans="37:48" x14ac:dyDescent="0.25">
      <c r="AK154" s="12"/>
      <c r="AR154" s="12" t="e">
        <f t="shared" si="2"/>
        <v>#N/A</v>
      </c>
      <c r="AU154" s="12">
        <f>SUMIF(ASIGNACION!$C$5:$C$94,Z154,ASIGNACION!$R$5:$R$94)*'Costos x MO'!$B$7</f>
        <v>0</v>
      </c>
      <c r="AV154" s="12" t="str">
        <f>IFERROR(VLOOKUP(Z154,ASIGNACION!$C$5:$H$94,6,0),"F/Fecha")</f>
        <v>F/Fecha</v>
      </c>
    </row>
    <row r="155" spans="37:48" x14ac:dyDescent="0.25">
      <c r="AK155" s="12"/>
      <c r="AR155" s="12" t="e">
        <f t="shared" si="2"/>
        <v>#N/A</v>
      </c>
      <c r="AU155" s="12">
        <f>SUMIF(ASIGNACION!$C$5:$C$94,Z155,ASIGNACION!$R$5:$R$94)*'Costos x MO'!$B$7</f>
        <v>0</v>
      </c>
      <c r="AV155" s="12" t="str">
        <f>IFERROR(VLOOKUP(Z155,ASIGNACION!$C$5:$H$94,6,0),"F/Fecha")</f>
        <v>F/Fecha</v>
      </c>
    </row>
    <row r="156" spans="37:48" x14ac:dyDescent="0.25">
      <c r="AK156" s="12"/>
      <c r="AR156" s="12" t="e">
        <f t="shared" si="2"/>
        <v>#N/A</v>
      </c>
      <c r="AU156" s="12">
        <f>SUMIF(ASIGNACION!$C$5:$C$94,Z156,ASIGNACION!$R$5:$R$94)*'Costos x MO'!$B$7</f>
        <v>0</v>
      </c>
      <c r="AV156" s="12" t="str">
        <f>IFERROR(VLOOKUP(Z156,ASIGNACION!$C$5:$H$94,6,0),"F/Fecha")</f>
        <v>F/Fecha</v>
      </c>
    </row>
    <row r="157" spans="37:48" x14ac:dyDescent="0.25">
      <c r="AK157" s="12"/>
      <c r="AR157" s="12" t="e">
        <f t="shared" si="2"/>
        <v>#N/A</v>
      </c>
      <c r="AU157" s="12">
        <f>SUMIF(ASIGNACION!$C$5:$C$94,Z157,ASIGNACION!$R$5:$R$94)*'Costos x MO'!$B$7</f>
        <v>0</v>
      </c>
      <c r="AV157" s="12" t="str">
        <f>IFERROR(VLOOKUP(Z157,ASIGNACION!$C$5:$H$94,6,0),"F/Fecha")</f>
        <v>F/Fecha</v>
      </c>
    </row>
    <row r="158" spans="37:48" x14ac:dyDescent="0.25">
      <c r="AK158" s="12"/>
      <c r="AR158" s="12" t="e">
        <f t="shared" si="2"/>
        <v>#N/A</v>
      </c>
      <c r="AU158" s="12">
        <f>SUMIF(ASIGNACION!$C$5:$C$94,Z158,ASIGNACION!$R$5:$R$94)*'Costos x MO'!$B$7</f>
        <v>0</v>
      </c>
      <c r="AV158" s="12" t="str">
        <f>IFERROR(VLOOKUP(Z158,ASIGNACION!$C$5:$H$94,6,0),"F/Fecha")</f>
        <v>F/Fecha</v>
      </c>
    </row>
    <row r="159" spans="37:48" x14ac:dyDescent="0.25">
      <c r="AK159" s="12"/>
      <c r="AR159" s="12" t="e">
        <f t="shared" si="2"/>
        <v>#N/A</v>
      </c>
      <c r="AU159" s="12">
        <f>SUMIF(ASIGNACION!$C$5:$C$94,Z159,ASIGNACION!$R$5:$R$94)*'Costos x MO'!$B$7</f>
        <v>0</v>
      </c>
      <c r="AV159" s="12" t="str">
        <f>IFERROR(VLOOKUP(Z159,ASIGNACION!$C$5:$H$94,6,0),"F/Fecha")</f>
        <v>F/Fecha</v>
      </c>
    </row>
    <row r="160" spans="37:48" x14ac:dyDescent="0.25">
      <c r="AK160" s="12"/>
      <c r="AR160" s="12" t="e">
        <f t="shared" si="2"/>
        <v>#N/A</v>
      </c>
      <c r="AU160" s="12">
        <f>SUMIF(ASIGNACION!$C$5:$C$94,Z160,ASIGNACION!$R$5:$R$94)*'Costos x MO'!$B$7</f>
        <v>0</v>
      </c>
      <c r="AV160" s="12" t="str">
        <f>IFERROR(VLOOKUP(Z160,ASIGNACION!$C$5:$H$94,6,0),"F/Fecha")</f>
        <v>F/Fecha</v>
      </c>
    </row>
    <row r="161" spans="37:48" x14ac:dyDescent="0.25">
      <c r="AK161" s="12"/>
      <c r="AR161" s="12" t="e">
        <f t="shared" si="2"/>
        <v>#N/A</v>
      </c>
      <c r="AU161" s="12">
        <f>SUMIF(ASIGNACION!$C$5:$C$94,Z161,ASIGNACION!$R$5:$R$94)*'Costos x MO'!$B$7</f>
        <v>0</v>
      </c>
      <c r="AV161" s="12" t="str">
        <f>IFERROR(VLOOKUP(Z161,ASIGNACION!$C$5:$H$94,6,0),"F/Fecha")</f>
        <v>F/Fecha</v>
      </c>
    </row>
    <row r="162" spans="37:48" x14ac:dyDescent="0.25">
      <c r="AK162" s="12"/>
      <c r="AR162" s="12" t="e">
        <f t="shared" si="2"/>
        <v>#N/A</v>
      </c>
      <c r="AU162" s="12">
        <f>SUMIF(ASIGNACION!$C$5:$C$94,Z162,ASIGNACION!$R$5:$R$94)*'Costos x MO'!$B$7</f>
        <v>0</v>
      </c>
      <c r="AV162" s="12" t="str">
        <f>IFERROR(VLOOKUP(Z162,ASIGNACION!$C$5:$H$94,6,0),"F/Fecha")</f>
        <v>F/Fecha</v>
      </c>
    </row>
    <row r="163" spans="37:48" x14ac:dyDescent="0.25">
      <c r="AK163" s="12"/>
      <c r="AR163" s="12" t="e">
        <f t="shared" si="2"/>
        <v>#N/A</v>
      </c>
      <c r="AU163" s="12">
        <f>SUMIF(ASIGNACION!$C$5:$C$94,Z163,ASIGNACION!$R$5:$R$94)*'Costos x MO'!$B$7</f>
        <v>0</v>
      </c>
      <c r="AV163" s="12" t="str">
        <f>IFERROR(VLOOKUP(Z163,ASIGNACION!$C$5:$H$94,6,0),"F/Fecha")</f>
        <v>F/Fecha</v>
      </c>
    </row>
    <row r="164" spans="37:48" x14ac:dyDescent="0.25">
      <c r="AK164" s="12"/>
      <c r="AR164" s="12" t="e">
        <f t="shared" si="2"/>
        <v>#N/A</v>
      </c>
      <c r="AU164" s="12">
        <f>SUMIF(ASIGNACION!$C$5:$C$94,Z164,ASIGNACION!$R$5:$R$94)*'Costos x MO'!$B$7</f>
        <v>0</v>
      </c>
      <c r="AV164" s="12" t="str">
        <f>IFERROR(VLOOKUP(Z164,ASIGNACION!$C$5:$H$94,6,0),"F/Fecha")</f>
        <v>F/Fecha</v>
      </c>
    </row>
    <row r="165" spans="37:48" x14ac:dyDescent="0.25">
      <c r="AK165" s="12"/>
      <c r="AR165" s="12" t="e">
        <f t="shared" si="2"/>
        <v>#N/A</v>
      </c>
      <c r="AU165" s="12">
        <f>SUMIF(ASIGNACION!$C$5:$C$94,Z165,ASIGNACION!$R$5:$R$94)*'Costos x MO'!$B$7</f>
        <v>0</v>
      </c>
      <c r="AV165" s="12" t="str">
        <f>IFERROR(VLOOKUP(Z165,ASIGNACION!$C$5:$H$94,6,0),"F/Fecha")</f>
        <v>F/Fecha</v>
      </c>
    </row>
    <row r="166" spans="37:48" x14ac:dyDescent="0.25">
      <c r="AK166" s="12"/>
      <c r="AR166" s="12" t="e">
        <f t="shared" si="2"/>
        <v>#N/A</v>
      </c>
      <c r="AU166" s="12">
        <f>SUMIF(ASIGNACION!$C$5:$C$94,Z166,ASIGNACION!$R$5:$R$94)*'Costos x MO'!$B$7</f>
        <v>0</v>
      </c>
      <c r="AV166" s="12" t="str">
        <f>IFERROR(VLOOKUP(Z166,ASIGNACION!$C$5:$H$94,6,0),"F/Fecha")</f>
        <v>F/Fecha</v>
      </c>
    </row>
    <row r="167" spans="37:48" x14ac:dyDescent="0.25">
      <c r="AK167" s="12"/>
      <c r="AR167" s="12" t="e">
        <f t="shared" si="2"/>
        <v>#N/A</v>
      </c>
      <c r="AU167" s="12">
        <f>SUMIF(ASIGNACION!$C$5:$C$94,Z167,ASIGNACION!$R$5:$R$94)*'Costos x MO'!$B$7</f>
        <v>0</v>
      </c>
      <c r="AV167" s="12" t="str">
        <f>IFERROR(VLOOKUP(Z167,ASIGNACION!$C$5:$H$94,6,0),"F/Fecha")</f>
        <v>F/Fecha</v>
      </c>
    </row>
    <row r="168" spans="37:48" x14ac:dyDescent="0.25">
      <c r="AK168" s="12"/>
      <c r="AR168" s="12" t="e">
        <f t="shared" si="2"/>
        <v>#N/A</v>
      </c>
      <c r="AU168" s="12">
        <f>SUMIF(ASIGNACION!$C$5:$C$94,Z168,ASIGNACION!$R$5:$R$94)*'Costos x MO'!$B$7</f>
        <v>0</v>
      </c>
      <c r="AV168" s="12" t="str">
        <f>IFERROR(VLOOKUP(Z168,ASIGNACION!$C$5:$H$94,6,0),"F/Fecha")</f>
        <v>F/Fecha</v>
      </c>
    </row>
    <row r="169" spans="37:48" x14ac:dyDescent="0.25">
      <c r="AK169" s="12"/>
      <c r="AR169" s="12" t="e">
        <f t="shared" si="2"/>
        <v>#N/A</v>
      </c>
      <c r="AU169" s="12">
        <f>SUMIF(ASIGNACION!$C$5:$C$94,Z169,ASIGNACION!$R$5:$R$94)*'Costos x MO'!$B$7</f>
        <v>0</v>
      </c>
      <c r="AV169" s="12" t="str">
        <f>IFERROR(VLOOKUP(Z169,ASIGNACION!$C$5:$H$94,6,0),"F/Fecha")</f>
        <v>F/Fecha</v>
      </c>
    </row>
    <row r="170" spans="37:48" x14ac:dyDescent="0.25">
      <c r="AK170" s="12"/>
      <c r="AR170" s="12" t="e">
        <f t="shared" si="2"/>
        <v>#N/A</v>
      </c>
      <c r="AU170" s="12">
        <f>SUMIF(ASIGNACION!$C$5:$C$94,Z170,ASIGNACION!$R$5:$R$94)*'Costos x MO'!$B$7</f>
        <v>0</v>
      </c>
      <c r="AV170" s="12" t="str">
        <f>IFERROR(VLOOKUP(Z170,ASIGNACION!$C$5:$H$94,6,0),"F/Fecha")</f>
        <v>F/Fecha</v>
      </c>
    </row>
    <row r="171" spans="37:48" x14ac:dyDescent="0.25">
      <c r="AK171" s="12"/>
      <c r="AR171" s="12" t="e">
        <f t="shared" si="2"/>
        <v>#N/A</v>
      </c>
      <c r="AU171" s="12">
        <f>SUMIF(ASIGNACION!$C$5:$C$94,Z171,ASIGNACION!$R$5:$R$94)*'Costos x MO'!$B$7</f>
        <v>0</v>
      </c>
      <c r="AV171" s="12" t="str">
        <f>IFERROR(VLOOKUP(Z171,ASIGNACION!$C$5:$H$94,6,0),"F/Fecha")</f>
        <v>F/Fecha</v>
      </c>
    </row>
    <row r="172" spans="37:48" x14ac:dyDescent="0.25">
      <c r="AK172" s="12"/>
      <c r="AR172" s="12" t="e">
        <f t="shared" si="2"/>
        <v>#N/A</v>
      </c>
      <c r="AU172" s="12">
        <f>SUMIF(ASIGNACION!$C$5:$C$94,Z172,ASIGNACION!$R$5:$R$94)*'Costos x MO'!$B$7</f>
        <v>0</v>
      </c>
      <c r="AV172" s="12" t="str">
        <f>IFERROR(VLOOKUP(Z172,ASIGNACION!$C$5:$H$94,6,0),"F/Fecha")</f>
        <v>F/Fecha</v>
      </c>
    </row>
    <row r="173" spans="37:48" x14ac:dyDescent="0.25">
      <c r="AK173" s="12"/>
      <c r="AR173" s="12" t="e">
        <f t="shared" si="2"/>
        <v>#N/A</v>
      </c>
      <c r="AU173" s="12">
        <f>SUMIF(ASIGNACION!$C$5:$C$94,Z173,ASIGNACION!$R$5:$R$94)*'Costos x MO'!$B$7</f>
        <v>0</v>
      </c>
      <c r="AV173" s="12" t="str">
        <f>IFERROR(VLOOKUP(Z173,ASIGNACION!$C$5:$H$94,6,0),"F/Fecha")</f>
        <v>F/Fecha</v>
      </c>
    </row>
    <row r="174" spans="37:48" x14ac:dyDescent="0.25">
      <c r="AK174" s="12"/>
      <c r="AR174" s="12" t="e">
        <f t="shared" si="2"/>
        <v>#N/A</v>
      </c>
      <c r="AU174" s="12">
        <f>SUMIF(ASIGNACION!$C$5:$C$94,Z174,ASIGNACION!$R$5:$R$94)*'Costos x MO'!$B$7</f>
        <v>0</v>
      </c>
      <c r="AV174" s="12" t="str">
        <f>IFERROR(VLOOKUP(Z174,ASIGNACION!$C$5:$H$94,6,0),"F/Fecha")</f>
        <v>F/Fecha</v>
      </c>
    </row>
    <row r="175" spans="37:48" x14ac:dyDescent="0.25">
      <c r="AK175" s="12"/>
      <c r="AR175" s="12" t="e">
        <f t="shared" si="2"/>
        <v>#N/A</v>
      </c>
      <c r="AU175" s="12">
        <f>SUMIF(ASIGNACION!$C$5:$C$94,Z175,ASIGNACION!$R$5:$R$94)*'Costos x MO'!$B$7</f>
        <v>0</v>
      </c>
      <c r="AV175" s="12" t="str">
        <f>IFERROR(VLOOKUP(Z175,ASIGNACION!$C$5:$H$94,6,0),"F/Fecha")</f>
        <v>F/Fecha</v>
      </c>
    </row>
    <row r="176" spans="37:48" x14ac:dyDescent="0.25">
      <c r="AK176" s="12"/>
      <c r="AR176" s="12" t="e">
        <f t="shared" si="2"/>
        <v>#N/A</v>
      </c>
      <c r="AU176" s="12">
        <f>SUMIF(ASIGNACION!$C$5:$C$94,Z176,ASIGNACION!$R$5:$R$94)*'Costos x MO'!$B$7</f>
        <v>0</v>
      </c>
      <c r="AV176" s="12" t="str">
        <f>IFERROR(VLOOKUP(Z176,ASIGNACION!$C$5:$H$94,6,0),"F/Fecha")</f>
        <v>F/Fecha</v>
      </c>
    </row>
    <row r="177" spans="37:48" x14ac:dyDescent="0.25">
      <c r="AK177" s="12"/>
      <c r="AR177" s="12" t="e">
        <f t="shared" si="2"/>
        <v>#N/A</v>
      </c>
      <c r="AU177" s="12">
        <f>SUMIF(ASIGNACION!$C$5:$C$94,Z177,ASIGNACION!$R$5:$R$94)*'Costos x MO'!$B$7</f>
        <v>0</v>
      </c>
      <c r="AV177" s="12" t="str">
        <f>IFERROR(VLOOKUP(Z177,ASIGNACION!$C$5:$H$94,6,0),"F/Fecha")</f>
        <v>F/Fecha</v>
      </c>
    </row>
    <row r="178" spans="37:48" x14ac:dyDescent="0.25">
      <c r="AK178" s="12"/>
      <c r="AR178" s="12" t="e">
        <f t="shared" si="2"/>
        <v>#N/A</v>
      </c>
      <c r="AU178" s="12">
        <f>SUMIF(ASIGNACION!$C$5:$C$94,Z178,ASIGNACION!$R$5:$R$94)*'Costos x MO'!$B$7</f>
        <v>0</v>
      </c>
      <c r="AV178" s="12" t="str">
        <f>IFERROR(VLOOKUP(Z178,ASIGNACION!$C$5:$H$94,6,0),"F/Fecha")</f>
        <v>F/Fecha</v>
      </c>
    </row>
    <row r="179" spans="37:48" x14ac:dyDescent="0.25">
      <c r="AK179" s="12"/>
      <c r="AR179" s="12" t="e">
        <f t="shared" si="2"/>
        <v>#N/A</v>
      </c>
      <c r="AU179" s="12">
        <f>SUMIF(ASIGNACION!$C$5:$C$94,Z179,ASIGNACION!$R$5:$R$94)*'Costos x MO'!$B$7</f>
        <v>0</v>
      </c>
      <c r="AV179" s="12" t="str">
        <f>IFERROR(VLOOKUP(Z179,ASIGNACION!$C$5:$H$94,6,0),"F/Fecha")</f>
        <v>F/Fecha</v>
      </c>
    </row>
    <row r="180" spans="37:48" x14ac:dyDescent="0.25">
      <c r="AK180" s="12"/>
      <c r="AR180" s="12" t="e">
        <f t="shared" si="2"/>
        <v>#N/A</v>
      </c>
      <c r="AU180" s="12">
        <f>SUMIF(ASIGNACION!$C$5:$C$94,Z180,ASIGNACION!$R$5:$R$94)*'Costos x MO'!$B$7</f>
        <v>0</v>
      </c>
      <c r="AV180" s="12" t="str">
        <f>IFERROR(VLOOKUP(Z180,ASIGNACION!$C$5:$H$94,6,0),"F/Fecha")</f>
        <v>F/Fecha</v>
      </c>
    </row>
    <row r="181" spans="37:48" x14ac:dyDescent="0.25">
      <c r="AK181" s="12"/>
      <c r="AR181" s="12" t="e">
        <f t="shared" si="2"/>
        <v>#N/A</v>
      </c>
      <c r="AU181" s="12">
        <f>SUMIF(ASIGNACION!$C$5:$C$94,Z181,ASIGNACION!$R$5:$R$94)*'Costos x MO'!$B$7</f>
        <v>0</v>
      </c>
      <c r="AV181" s="12" t="str">
        <f>IFERROR(VLOOKUP(Z181,ASIGNACION!$C$5:$H$94,6,0),"F/Fecha")</f>
        <v>F/Fecha</v>
      </c>
    </row>
    <row r="182" spans="37:48" x14ac:dyDescent="0.25">
      <c r="AK182" s="12"/>
      <c r="AR182" s="12" t="e">
        <f t="shared" si="2"/>
        <v>#N/A</v>
      </c>
      <c r="AU182" s="12">
        <f>SUMIF(ASIGNACION!$C$5:$C$94,Z182,ASIGNACION!$R$5:$R$94)*'Costos x MO'!$B$7</f>
        <v>0</v>
      </c>
      <c r="AV182" s="12" t="str">
        <f>IFERROR(VLOOKUP(Z182,ASIGNACION!$C$5:$H$94,6,0),"F/Fecha")</f>
        <v>F/Fecha</v>
      </c>
    </row>
    <row r="183" spans="37:48" x14ac:dyDescent="0.25">
      <c r="AK183" s="12"/>
      <c r="AR183" s="12" t="e">
        <f t="shared" si="2"/>
        <v>#N/A</v>
      </c>
      <c r="AU183" s="12">
        <f>SUMIF(ASIGNACION!$C$5:$C$94,Z183,ASIGNACION!$R$5:$R$94)*'Costos x MO'!$B$7</f>
        <v>0</v>
      </c>
      <c r="AV183" s="12" t="str">
        <f>IFERROR(VLOOKUP(Z183,ASIGNACION!$C$5:$H$94,6,0),"F/Fecha")</f>
        <v>F/Fecha</v>
      </c>
    </row>
    <row r="184" spans="37:48" x14ac:dyDescent="0.25">
      <c r="AK184" s="12"/>
      <c r="AR184" s="12" t="e">
        <f t="shared" si="2"/>
        <v>#N/A</v>
      </c>
      <c r="AU184" s="12">
        <f>SUMIF(ASIGNACION!$C$5:$C$94,Z184,ASIGNACION!$R$5:$R$94)*'Costos x MO'!$B$7</f>
        <v>0</v>
      </c>
      <c r="AV184" s="12" t="str">
        <f>IFERROR(VLOOKUP(Z184,ASIGNACION!$C$5:$H$94,6,0),"F/Fecha")</f>
        <v>F/Fecha</v>
      </c>
    </row>
    <row r="185" spans="37:48" x14ac:dyDescent="0.25">
      <c r="AK185" s="12"/>
      <c r="AR185" s="12" t="e">
        <f t="shared" si="2"/>
        <v>#N/A</v>
      </c>
      <c r="AU185" s="12">
        <f>SUMIF(ASIGNACION!$C$5:$C$94,Z185,ASIGNACION!$R$5:$R$94)*'Costos x MO'!$B$7</f>
        <v>0</v>
      </c>
      <c r="AV185" s="12" t="str">
        <f>IFERROR(VLOOKUP(Z185,ASIGNACION!$C$5:$H$94,6,0),"F/Fecha")</f>
        <v>F/Fecha</v>
      </c>
    </row>
    <row r="186" spans="37:48" x14ac:dyDescent="0.25">
      <c r="AK186" s="12"/>
      <c r="AR186" s="12" t="e">
        <f t="shared" si="2"/>
        <v>#N/A</v>
      </c>
      <c r="AU186" s="12">
        <f>SUMIF(ASIGNACION!$C$5:$C$94,Z186,ASIGNACION!$R$5:$R$94)*'Costos x MO'!$B$7</f>
        <v>0</v>
      </c>
      <c r="AV186" s="12" t="str">
        <f>IFERROR(VLOOKUP(Z186,ASIGNACION!$C$5:$H$94,6,0),"F/Fecha")</f>
        <v>F/Fecha</v>
      </c>
    </row>
    <row r="187" spans="37:48" x14ac:dyDescent="0.25">
      <c r="AK187" s="12"/>
      <c r="AR187" s="12" t="e">
        <f t="shared" si="2"/>
        <v>#N/A</v>
      </c>
      <c r="AU187" s="12">
        <f>SUMIF(ASIGNACION!$C$5:$C$94,Z187,ASIGNACION!$R$5:$R$94)*'Costos x MO'!$B$7</f>
        <v>0</v>
      </c>
      <c r="AV187" s="12" t="str">
        <f>IFERROR(VLOOKUP(Z187,ASIGNACION!$C$5:$H$94,6,0),"F/Fecha")</f>
        <v>F/Fecha</v>
      </c>
    </row>
    <row r="188" spans="37:48" x14ac:dyDescent="0.25">
      <c r="AK188" s="12"/>
      <c r="AR188" s="12" t="e">
        <f t="shared" si="2"/>
        <v>#N/A</v>
      </c>
      <c r="AU188" s="12">
        <f>SUMIF(ASIGNACION!$C$5:$C$94,Z188,ASIGNACION!$R$5:$R$94)*'Costos x MO'!$B$7</f>
        <v>0</v>
      </c>
      <c r="AV188" s="12" t="str">
        <f>IFERROR(VLOOKUP(Z188,ASIGNACION!$C$5:$H$94,6,0),"F/Fecha")</f>
        <v>F/Fecha</v>
      </c>
    </row>
    <row r="189" spans="37:48" x14ac:dyDescent="0.25">
      <c r="AK189" s="12"/>
      <c r="AR189" s="12" t="e">
        <f t="shared" si="2"/>
        <v>#N/A</v>
      </c>
      <c r="AU189" s="12">
        <f>SUMIF(ASIGNACION!$C$5:$C$94,Z189,ASIGNACION!$R$5:$R$94)*'Costos x MO'!$B$7</f>
        <v>0</v>
      </c>
      <c r="AV189" s="12" t="str">
        <f>IFERROR(VLOOKUP(Z189,ASIGNACION!$C$5:$H$94,6,0),"F/Fecha")</f>
        <v>F/Fecha</v>
      </c>
    </row>
    <row r="190" spans="37:48" x14ac:dyDescent="0.25">
      <c r="AK190" s="12"/>
      <c r="AR190" s="12" t="e">
        <f t="shared" si="2"/>
        <v>#N/A</v>
      </c>
      <c r="AU190" s="12">
        <f>SUMIF(ASIGNACION!$C$5:$C$94,Z190,ASIGNACION!$R$5:$R$94)*'Costos x MO'!$B$7</f>
        <v>0</v>
      </c>
      <c r="AV190" s="12" t="str">
        <f>IFERROR(VLOOKUP(Z190,ASIGNACION!$C$5:$H$94,6,0),"F/Fecha")</f>
        <v>F/Fecha</v>
      </c>
    </row>
    <row r="191" spans="37:48" x14ac:dyDescent="0.25">
      <c r="AK191" s="12"/>
      <c r="AR191" s="12" t="e">
        <f t="shared" si="2"/>
        <v>#N/A</v>
      </c>
      <c r="AU191" s="12">
        <f>SUMIF(ASIGNACION!$C$5:$C$94,Z191,ASIGNACION!$R$5:$R$94)*'Costos x MO'!$B$7</f>
        <v>0</v>
      </c>
      <c r="AV191" s="12" t="str">
        <f>IFERROR(VLOOKUP(Z191,ASIGNACION!$C$5:$H$94,6,0),"F/Fecha")</f>
        <v>F/Fecha</v>
      </c>
    </row>
    <row r="192" spans="37:48" x14ac:dyDescent="0.25">
      <c r="AK192" s="12"/>
      <c r="AR192" s="12" t="e">
        <f t="shared" si="2"/>
        <v>#N/A</v>
      </c>
      <c r="AU192" s="12">
        <f>SUMIF(ASIGNACION!$C$5:$C$94,Z192,ASIGNACION!$R$5:$R$94)*'Costos x MO'!$B$7</f>
        <v>0</v>
      </c>
      <c r="AV192" s="12" t="str">
        <f>IFERROR(VLOOKUP(Z192,ASIGNACION!$C$5:$H$94,6,0),"F/Fecha")</f>
        <v>F/Fecha</v>
      </c>
    </row>
    <row r="193" spans="37:48" x14ac:dyDescent="0.25">
      <c r="AK193" s="12"/>
      <c r="AR193" s="12" t="e">
        <f t="shared" si="2"/>
        <v>#N/A</v>
      </c>
      <c r="AU193" s="12">
        <f>SUMIF(ASIGNACION!$C$5:$C$94,Z193,ASIGNACION!$R$5:$R$94)*'Costos x MO'!$B$7</f>
        <v>0</v>
      </c>
      <c r="AV193" s="12" t="str">
        <f>IFERROR(VLOOKUP(Z193,ASIGNACION!$C$5:$H$94,6,0),"F/Fecha")</f>
        <v>F/Fecha</v>
      </c>
    </row>
    <row r="194" spans="37:48" x14ac:dyDescent="0.25">
      <c r="AK194" s="12"/>
      <c r="AR194" s="12" t="e">
        <f t="shared" si="2"/>
        <v>#N/A</v>
      </c>
      <c r="AU194" s="12">
        <f>SUMIF(ASIGNACION!$C$5:$C$94,Z194,ASIGNACION!$R$5:$R$94)*'Costos x MO'!$B$7</f>
        <v>0</v>
      </c>
      <c r="AV194" s="12" t="str">
        <f>IFERROR(VLOOKUP(Z194,ASIGNACION!$C$5:$H$94,6,0),"F/Fecha")</f>
        <v>F/Fecha</v>
      </c>
    </row>
    <row r="195" spans="37:48" x14ac:dyDescent="0.25">
      <c r="AK195" s="12"/>
      <c r="AR195" s="12" t="e">
        <f t="shared" si="2"/>
        <v>#N/A</v>
      </c>
      <c r="AU195" s="12">
        <f>SUMIF(ASIGNACION!$C$5:$C$94,Z195,ASIGNACION!$R$5:$R$94)*'Costos x MO'!$B$7</f>
        <v>0</v>
      </c>
      <c r="AV195" s="12" t="str">
        <f>IFERROR(VLOOKUP(Z195,ASIGNACION!$C$5:$H$94,6,0),"F/Fecha")</f>
        <v>F/Fecha</v>
      </c>
    </row>
    <row r="196" spans="37:48" x14ac:dyDescent="0.25">
      <c r="AK196" s="12"/>
      <c r="AR196" s="12" t="e">
        <f t="shared" si="2"/>
        <v>#N/A</v>
      </c>
      <c r="AU196" s="12">
        <f>SUMIF(ASIGNACION!$C$5:$C$94,Z196,ASIGNACION!$R$5:$R$94)*'Costos x MO'!$B$7</f>
        <v>0</v>
      </c>
      <c r="AV196" s="12" t="str">
        <f>IFERROR(VLOOKUP(Z196,ASIGNACION!$C$5:$H$94,6,0),"F/Fecha")</f>
        <v>F/Fecha</v>
      </c>
    </row>
    <row r="197" spans="37:48" x14ac:dyDescent="0.25">
      <c r="AK197" s="12"/>
      <c r="AR197" s="12" t="e">
        <f t="shared" ref="AR197:AR260" si="3">VLOOKUP(Z197,$E$4:$G$3523,3,0)</f>
        <v>#N/A</v>
      </c>
      <c r="AU197" s="12">
        <f>SUMIF(ASIGNACION!$C$5:$C$94,Z197,ASIGNACION!$R$5:$R$94)*'Costos x MO'!$B$7</f>
        <v>0</v>
      </c>
      <c r="AV197" s="12" t="str">
        <f>IFERROR(VLOOKUP(Z197,ASIGNACION!$C$5:$H$94,6,0),"F/Fecha")</f>
        <v>F/Fecha</v>
      </c>
    </row>
    <row r="198" spans="37:48" x14ac:dyDescent="0.25">
      <c r="AK198" s="12"/>
      <c r="AR198" s="12" t="e">
        <f t="shared" si="3"/>
        <v>#N/A</v>
      </c>
      <c r="AU198" s="12">
        <f>SUMIF(ASIGNACION!$C$5:$C$94,Z198,ASIGNACION!$R$5:$R$94)*'Costos x MO'!$B$7</f>
        <v>0</v>
      </c>
      <c r="AV198" s="12" t="str">
        <f>IFERROR(VLOOKUP(Z198,ASIGNACION!$C$5:$H$94,6,0),"F/Fecha")</f>
        <v>F/Fecha</v>
      </c>
    </row>
    <row r="199" spans="37:48" x14ac:dyDescent="0.25">
      <c r="AK199" s="12"/>
      <c r="AR199" s="12" t="e">
        <f t="shared" si="3"/>
        <v>#N/A</v>
      </c>
      <c r="AU199" s="12">
        <f>SUMIF(ASIGNACION!$C$5:$C$94,Z199,ASIGNACION!$R$5:$R$94)*'Costos x MO'!$B$7</f>
        <v>0</v>
      </c>
      <c r="AV199" s="12" t="str">
        <f>IFERROR(VLOOKUP(Z199,ASIGNACION!$C$5:$H$94,6,0),"F/Fecha")</f>
        <v>F/Fecha</v>
      </c>
    </row>
    <row r="200" spans="37:48" x14ac:dyDescent="0.25">
      <c r="AK200" s="12"/>
      <c r="AR200" s="12" t="e">
        <f t="shared" si="3"/>
        <v>#N/A</v>
      </c>
      <c r="AU200" s="12">
        <f>SUMIF(ASIGNACION!$C$5:$C$94,Z200,ASIGNACION!$R$5:$R$94)*'Costos x MO'!$B$7</f>
        <v>0</v>
      </c>
      <c r="AV200" s="12" t="str">
        <f>IFERROR(VLOOKUP(Z200,ASIGNACION!$C$5:$H$94,6,0),"F/Fecha")</f>
        <v>F/Fecha</v>
      </c>
    </row>
    <row r="201" spans="37:48" x14ac:dyDescent="0.25">
      <c r="AK201" s="12"/>
      <c r="AR201" s="12" t="e">
        <f t="shared" si="3"/>
        <v>#N/A</v>
      </c>
      <c r="AU201" s="12">
        <f>SUMIF(ASIGNACION!$C$5:$C$94,Z201,ASIGNACION!$R$5:$R$94)*'Costos x MO'!$B$7</f>
        <v>0</v>
      </c>
      <c r="AV201" s="12" t="str">
        <f>IFERROR(VLOOKUP(Z201,ASIGNACION!$C$5:$H$94,6,0),"F/Fecha")</f>
        <v>F/Fecha</v>
      </c>
    </row>
    <row r="202" spans="37:48" x14ac:dyDescent="0.25">
      <c r="AK202" s="12"/>
      <c r="AR202" s="12" t="e">
        <f t="shared" si="3"/>
        <v>#N/A</v>
      </c>
      <c r="AU202" s="12">
        <f>SUMIF(ASIGNACION!$C$5:$C$94,Z202,ASIGNACION!$R$5:$R$94)*'Costos x MO'!$B$7</f>
        <v>0</v>
      </c>
      <c r="AV202" s="12" t="str">
        <f>IFERROR(VLOOKUP(Z202,ASIGNACION!$C$5:$H$94,6,0),"F/Fecha")</f>
        <v>F/Fecha</v>
      </c>
    </row>
    <row r="203" spans="37:48" x14ac:dyDescent="0.25">
      <c r="AK203" s="12"/>
      <c r="AR203" s="12" t="e">
        <f t="shared" si="3"/>
        <v>#N/A</v>
      </c>
      <c r="AU203" s="12">
        <f>SUMIF(ASIGNACION!$C$5:$C$94,Z203,ASIGNACION!$R$5:$R$94)*'Costos x MO'!$B$7</f>
        <v>0</v>
      </c>
      <c r="AV203" s="12" t="str">
        <f>IFERROR(VLOOKUP(Z203,ASIGNACION!$C$5:$H$94,6,0),"F/Fecha")</f>
        <v>F/Fecha</v>
      </c>
    </row>
    <row r="204" spans="37:48" x14ac:dyDescent="0.25">
      <c r="AK204" s="12"/>
      <c r="AR204" s="12" t="e">
        <f t="shared" si="3"/>
        <v>#N/A</v>
      </c>
      <c r="AU204" s="12">
        <f>SUMIF(ASIGNACION!$C$5:$C$94,Z204,ASIGNACION!$R$5:$R$94)*'Costos x MO'!$B$7</f>
        <v>0</v>
      </c>
      <c r="AV204" s="12" t="str">
        <f>IFERROR(VLOOKUP(Z204,ASIGNACION!$C$5:$H$94,6,0),"F/Fecha")</f>
        <v>F/Fecha</v>
      </c>
    </row>
    <row r="205" spans="37:48" x14ac:dyDescent="0.25">
      <c r="AK205" s="12"/>
      <c r="AR205" s="12" t="e">
        <f t="shared" si="3"/>
        <v>#N/A</v>
      </c>
      <c r="AU205" s="12">
        <f>SUMIF(ASIGNACION!$C$5:$C$94,Z205,ASIGNACION!$R$5:$R$94)*'Costos x MO'!$B$7</f>
        <v>0</v>
      </c>
      <c r="AV205" s="12" t="str">
        <f>IFERROR(VLOOKUP(Z205,ASIGNACION!$C$5:$H$94,6,0),"F/Fecha")</f>
        <v>F/Fecha</v>
      </c>
    </row>
    <row r="206" spans="37:48" x14ac:dyDescent="0.25">
      <c r="AK206" s="12"/>
      <c r="AR206" s="12" t="e">
        <f t="shared" si="3"/>
        <v>#N/A</v>
      </c>
      <c r="AU206" s="12">
        <f>SUMIF(ASIGNACION!$C$5:$C$94,Z206,ASIGNACION!$R$5:$R$94)*'Costos x MO'!$B$7</f>
        <v>0</v>
      </c>
      <c r="AV206" s="12" t="str">
        <f>IFERROR(VLOOKUP(Z206,ASIGNACION!$C$5:$H$94,6,0),"F/Fecha")</f>
        <v>F/Fecha</v>
      </c>
    </row>
    <row r="207" spans="37:48" x14ac:dyDescent="0.25">
      <c r="AK207" s="12"/>
      <c r="AR207" s="12" t="e">
        <f t="shared" si="3"/>
        <v>#N/A</v>
      </c>
      <c r="AU207" s="12">
        <f>SUMIF(ASIGNACION!$C$5:$C$94,Z207,ASIGNACION!$R$5:$R$94)*'Costos x MO'!$B$7</f>
        <v>0</v>
      </c>
      <c r="AV207" s="12" t="str">
        <f>IFERROR(VLOOKUP(Z207,ASIGNACION!$C$5:$H$94,6,0),"F/Fecha")</f>
        <v>F/Fecha</v>
      </c>
    </row>
    <row r="208" spans="37:48" x14ac:dyDescent="0.25">
      <c r="AK208" s="12"/>
      <c r="AR208" s="12" t="e">
        <f t="shared" si="3"/>
        <v>#N/A</v>
      </c>
      <c r="AU208" s="12">
        <f>SUMIF(ASIGNACION!$C$5:$C$94,Z208,ASIGNACION!$R$5:$R$94)*'Costos x MO'!$B$7</f>
        <v>0</v>
      </c>
      <c r="AV208" s="12" t="str">
        <f>IFERROR(VLOOKUP(Z208,ASIGNACION!$C$5:$H$94,6,0),"F/Fecha")</f>
        <v>F/Fecha</v>
      </c>
    </row>
    <row r="209" spans="37:48" x14ac:dyDescent="0.25">
      <c r="AK209" s="12"/>
      <c r="AR209" s="12" t="e">
        <f t="shared" si="3"/>
        <v>#N/A</v>
      </c>
      <c r="AU209" s="12">
        <f>SUMIF(ASIGNACION!$C$5:$C$94,Z209,ASIGNACION!$R$5:$R$94)*'Costos x MO'!$B$7</f>
        <v>0</v>
      </c>
      <c r="AV209" s="12" t="str">
        <f>IFERROR(VLOOKUP(Z209,ASIGNACION!$C$5:$H$94,6,0),"F/Fecha")</f>
        <v>F/Fecha</v>
      </c>
    </row>
    <row r="210" spans="37:48" x14ac:dyDescent="0.25">
      <c r="AK210" s="12"/>
      <c r="AR210" s="12" t="e">
        <f t="shared" si="3"/>
        <v>#N/A</v>
      </c>
      <c r="AU210" s="12">
        <f>SUMIF(ASIGNACION!$C$5:$C$94,Z210,ASIGNACION!$R$5:$R$94)*'Costos x MO'!$B$7</f>
        <v>0</v>
      </c>
      <c r="AV210" s="12" t="str">
        <f>IFERROR(VLOOKUP(Z210,ASIGNACION!$C$5:$H$94,6,0),"F/Fecha")</f>
        <v>F/Fecha</v>
      </c>
    </row>
    <row r="211" spans="37:48" x14ac:dyDescent="0.25">
      <c r="AK211" s="12"/>
      <c r="AR211" s="12" t="e">
        <f t="shared" si="3"/>
        <v>#N/A</v>
      </c>
      <c r="AU211" s="12">
        <f>SUMIF(ASIGNACION!$C$5:$C$94,Z211,ASIGNACION!$R$5:$R$94)*'Costos x MO'!$B$7</f>
        <v>0</v>
      </c>
      <c r="AV211" s="12" t="str">
        <f>IFERROR(VLOOKUP(Z211,ASIGNACION!$C$5:$H$94,6,0),"F/Fecha")</f>
        <v>F/Fecha</v>
      </c>
    </row>
    <row r="212" spans="37:48" x14ac:dyDescent="0.25">
      <c r="AK212" s="12"/>
      <c r="AR212" s="12" t="e">
        <f t="shared" si="3"/>
        <v>#N/A</v>
      </c>
      <c r="AU212" s="12">
        <f>SUMIF(ASIGNACION!$C$5:$C$94,Z212,ASIGNACION!$R$5:$R$94)*'Costos x MO'!$B$7</f>
        <v>0</v>
      </c>
      <c r="AV212" s="12" t="str">
        <f>IFERROR(VLOOKUP(Z212,ASIGNACION!$C$5:$H$94,6,0),"F/Fecha")</f>
        <v>F/Fecha</v>
      </c>
    </row>
    <row r="213" spans="37:48" x14ac:dyDescent="0.25">
      <c r="AK213" s="12"/>
      <c r="AR213" s="12" t="e">
        <f t="shared" si="3"/>
        <v>#N/A</v>
      </c>
      <c r="AU213" s="12">
        <f>SUMIF(ASIGNACION!$C$5:$C$94,Z213,ASIGNACION!$R$5:$R$94)*'Costos x MO'!$B$7</f>
        <v>0</v>
      </c>
      <c r="AV213" s="12" t="str">
        <f>IFERROR(VLOOKUP(Z213,ASIGNACION!$C$5:$H$94,6,0),"F/Fecha")</f>
        <v>F/Fecha</v>
      </c>
    </row>
    <row r="214" spans="37:48" x14ac:dyDescent="0.25">
      <c r="AK214" s="12"/>
      <c r="AR214" s="12" t="e">
        <f t="shared" si="3"/>
        <v>#N/A</v>
      </c>
      <c r="AU214" s="12">
        <f>SUMIF(ASIGNACION!$C$5:$C$94,Z214,ASIGNACION!$R$5:$R$94)*'Costos x MO'!$B$7</f>
        <v>0</v>
      </c>
      <c r="AV214" s="12" t="str">
        <f>IFERROR(VLOOKUP(Z214,ASIGNACION!$C$5:$H$94,6,0),"F/Fecha")</f>
        <v>F/Fecha</v>
      </c>
    </row>
    <row r="215" spans="37:48" x14ac:dyDescent="0.25">
      <c r="AK215" s="12"/>
      <c r="AR215" s="12" t="e">
        <f t="shared" si="3"/>
        <v>#N/A</v>
      </c>
      <c r="AU215" s="12">
        <f>SUMIF(ASIGNACION!$C$5:$C$94,Z215,ASIGNACION!$R$5:$R$94)*'Costos x MO'!$B$7</f>
        <v>0</v>
      </c>
      <c r="AV215" s="12" t="str">
        <f>IFERROR(VLOOKUP(Z215,ASIGNACION!$C$5:$H$94,6,0),"F/Fecha")</f>
        <v>F/Fecha</v>
      </c>
    </row>
    <row r="216" spans="37:48" x14ac:dyDescent="0.25">
      <c r="AK216" s="12"/>
      <c r="AR216" s="12" t="e">
        <f t="shared" si="3"/>
        <v>#N/A</v>
      </c>
      <c r="AU216" s="12">
        <f>SUMIF(ASIGNACION!$C$5:$C$94,Z216,ASIGNACION!$R$5:$R$94)*'Costos x MO'!$B$7</f>
        <v>0</v>
      </c>
      <c r="AV216" s="12" t="str">
        <f>IFERROR(VLOOKUP(Z216,ASIGNACION!$C$5:$H$94,6,0),"F/Fecha")</f>
        <v>F/Fecha</v>
      </c>
    </row>
    <row r="217" spans="37:48" x14ac:dyDescent="0.25">
      <c r="AK217" s="12"/>
      <c r="AR217" s="12" t="e">
        <f t="shared" si="3"/>
        <v>#N/A</v>
      </c>
      <c r="AU217" s="12">
        <f>SUMIF(ASIGNACION!$C$5:$C$94,Z217,ASIGNACION!$R$5:$R$94)*'Costos x MO'!$B$7</f>
        <v>0</v>
      </c>
      <c r="AV217" s="12" t="str">
        <f>IFERROR(VLOOKUP(Z217,ASIGNACION!$C$5:$H$94,6,0),"F/Fecha")</f>
        <v>F/Fecha</v>
      </c>
    </row>
    <row r="218" spans="37:48" x14ac:dyDescent="0.25">
      <c r="AK218" s="12"/>
      <c r="AR218" s="12" t="e">
        <f t="shared" si="3"/>
        <v>#N/A</v>
      </c>
      <c r="AU218" s="12">
        <f>SUMIF(ASIGNACION!$C$5:$C$94,Z218,ASIGNACION!$R$5:$R$94)*'Costos x MO'!$B$7</f>
        <v>0</v>
      </c>
      <c r="AV218" s="12" t="str">
        <f>IFERROR(VLOOKUP(Z218,ASIGNACION!$C$5:$H$94,6,0),"F/Fecha")</f>
        <v>F/Fecha</v>
      </c>
    </row>
    <row r="219" spans="37:48" x14ac:dyDescent="0.25">
      <c r="AK219" s="12"/>
      <c r="AR219" s="12" t="e">
        <f t="shared" si="3"/>
        <v>#N/A</v>
      </c>
      <c r="AU219" s="12">
        <f>SUMIF(ASIGNACION!$C$5:$C$94,Z219,ASIGNACION!$R$5:$R$94)*'Costos x MO'!$B$7</f>
        <v>0</v>
      </c>
      <c r="AV219" s="12" t="str">
        <f>IFERROR(VLOOKUP(Z219,ASIGNACION!$C$5:$H$94,6,0),"F/Fecha")</f>
        <v>F/Fecha</v>
      </c>
    </row>
    <row r="220" spans="37:48" x14ac:dyDescent="0.25">
      <c r="AK220" s="12"/>
      <c r="AR220" s="12" t="e">
        <f t="shared" si="3"/>
        <v>#N/A</v>
      </c>
      <c r="AU220" s="12">
        <f>SUMIF(ASIGNACION!$C$5:$C$94,Z220,ASIGNACION!$R$5:$R$94)*'Costos x MO'!$B$7</f>
        <v>0</v>
      </c>
      <c r="AV220" s="12" t="str">
        <f>IFERROR(VLOOKUP(Z220,ASIGNACION!$C$5:$H$94,6,0),"F/Fecha")</f>
        <v>F/Fecha</v>
      </c>
    </row>
    <row r="221" spans="37:48" x14ac:dyDescent="0.25">
      <c r="AK221" s="12"/>
      <c r="AR221" s="12" t="e">
        <f t="shared" si="3"/>
        <v>#N/A</v>
      </c>
      <c r="AU221" s="12">
        <f>SUMIF(ASIGNACION!$C$5:$C$94,Z221,ASIGNACION!$R$5:$R$94)*'Costos x MO'!$B$7</f>
        <v>0</v>
      </c>
      <c r="AV221" s="12" t="str">
        <f>IFERROR(VLOOKUP(Z221,ASIGNACION!$C$5:$H$94,6,0),"F/Fecha")</f>
        <v>F/Fecha</v>
      </c>
    </row>
    <row r="222" spans="37:48" x14ac:dyDescent="0.25">
      <c r="AK222" s="12"/>
      <c r="AR222" s="12" t="e">
        <f t="shared" si="3"/>
        <v>#N/A</v>
      </c>
      <c r="AU222" s="12">
        <f>SUMIF(ASIGNACION!$C$5:$C$94,Z222,ASIGNACION!$R$5:$R$94)*'Costos x MO'!$B$7</f>
        <v>0</v>
      </c>
      <c r="AV222" s="12" t="str">
        <f>IFERROR(VLOOKUP(Z222,ASIGNACION!$C$5:$H$94,6,0),"F/Fecha")</f>
        <v>F/Fecha</v>
      </c>
    </row>
    <row r="223" spans="37:48" x14ac:dyDescent="0.25">
      <c r="AK223" s="12"/>
      <c r="AR223" s="12" t="e">
        <f t="shared" si="3"/>
        <v>#N/A</v>
      </c>
      <c r="AU223" s="12">
        <f>SUMIF(ASIGNACION!$C$5:$C$94,Z223,ASIGNACION!$R$5:$R$94)*'Costos x MO'!$B$7</f>
        <v>0</v>
      </c>
      <c r="AV223" s="12" t="str">
        <f>IFERROR(VLOOKUP(Z223,ASIGNACION!$C$5:$H$94,6,0),"F/Fecha")</f>
        <v>F/Fecha</v>
      </c>
    </row>
    <row r="224" spans="37:48" x14ac:dyDescent="0.25">
      <c r="AK224" s="12"/>
      <c r="AR224" s="12" t="e">
        <f t="shared" si="3"/>
        <v>#N/A</v>
      </c>
      <c r="AU224" s="12">
        <f>SUMIF(ASIGNACION!$C$5:$C$94,Z224,ASIGNACION!$R$5:$R$94)*'Costos x MO'!$B$7</f>
        <v>0</v>
      </c>
      <c r="AV224" s="12" t="str">
        <f>IFERROR(VLOOKUP(Z224,ASIGNACION!$C$5:$H$94,6,0),"F/Fecha")</f>
        <v>F/Fecha</v>
      </c>
    </row>
    <row r="225" spans="37:48" x14ac:dyDescent="0.25">
      <c r="AK225" s="12"/>
      <c r="AR225" s="12" t="e">
        <f t="shared" si="3"/>
        <v>#N/A</v>
      </c>
      <c r="AU225" s="12">
        <f>SUMIF(ASIGNACION!$C$5:$C$94,Z225,ASIGNACION!$R$5:$R$94)*'Costos x MO'!$B$7</f>
        <v>0</v>
      </c>
      <c r="AV225" s="12" t="str">
        <f>IFERROR(VLOOKUP(Z225,ASIGNACION!$C$5:$H$94,6,0),"F/Fecha")</f>
        <v>F/Fecha</v>
      </c>
    </row>
    <row r="226" spans="37:48" x14ac:dyDescent="0.25">
      <c r="AK226" s="12"/>
      <c r="AR226" s="12" t="e">
        <f t="shared" si="3"/>
        <v>#N/A</v>
      </c>
      <c r="AU226" s="12">
        <f>SUMIF(ASIGNACION!$C$5:$C$94,Z226,ASIGNACION!$R$5:$R$94)*'Costos x MO'!$B$7</f>
        <v>0</v>
      </c>
      <c r="AV226" s="12" t="str">
        <f>IFERROR(VLOOKUP(Z226,ASIGNACION!$C$5:$H$94,6,0),"F/Fecha")</f>
        <v>F/Fecha</v>
      </c>
    </row>
    <row r="227" spans="37:48" x14ac:dyDescent="0.25">
      <c r="AK227" s="12"/>
      <c r="AR227" s="12" t="e">
        <f t="shared" si="3"/>
        <v>#N/A</v>
      </c>
      <c r="AU227" s="12">
        <f>SUMIF(ASIGNACION!$C$5:$C$94,Z227,ASIGNACION!$R$5:$R$94)*'Costos x MO'!$B$7</f>
        <v>0</v>
      </c>
      <c r="AV227" s="12" t="str">
        <f>IFERROR(VLOOKUP(Z227,ASIGNACION!$C$5:$H$94,6,0),"F/Fecha")</f>
        <v>F/Fecha</v>
      </c>
    </row>
    <row r="228" spans="37:48" x14ac:dyDescent="0.25">
      <c r="AK228" s="12"/>
      <c r="AR228" s="12" t="e">
        <f t="shared" si="3"/>
        <v>#N/A</v>
      </c>
      <c r="AU228" s="12">
        <f>SUMIF(ASIGNACION!$C$5:$C$94,Z228,ASIGNACION!$R$5:$R$94)*'Costos x MO'!$B$7</f>
        <v>0</v>
      </c>
      <c r="AV228" s="12" t="str">
        <f>IFERROR(VLOOKUP(Z228,ASIGNACION!$C$5:$H$94,6,0),"F/Fecha")</f>
        <v>F/Fecha</v>
      </c>
    </row>
    <row r="229" spans="37:48" x14ac:dyDescent="0.25">
      <c r="AK229" s="12"/>
      <c r="AR229" s="12" t="e">
        <f t="shared" si="3"/>
        <v>#N/A</v>
      </c>
      <c r="AU229" s="12">
        <f>SUMIF(ASIGNACION!$C$5:$C$94,Z229,ASIGNACION!$R$5:$R$94)*'Costos x MO'!$B$7</f>
        <v>0</v>
      </c>
      <c r="AV229" s="12" t="str">
        <f>IFERROR(VLOOKUP(Z229,ASIGNACION!$C$5:$H$94,6,0),"F/Fecha")</f>
        <v>F/Fecha</v>
      </c>
    </row>
    <row r="230" spans="37:48" x14ac:dyDescent="0.25">
      <c r="AK230" s="12"/>
      <c r="AR230" s="12" t="e">
        <f t="shared" si="3"/>
        <v>#N/A</v>
      </c>
      <c r="AU230" s="12">
        <f>SUMIF(ASIGNACION!$C$5:$C$94,Z230,ASIGNACION!$R$5:$R$94)*'Costos x MO'!$B$7</f>
        <v>0</v>
      </c>
      <c r="AV230" s="12" t="str">
        <f>IFERROR(VLOOKUP(Z230,ASIGNACION!$C$5:$H$94,6,0),"F/Fecha")</f>
        <v>F/Fecha</v>
      </c>
    </row>
    <row r="231" spans="37:48" x14ac:dyDescent="0.25">
      <c r="AK231" s="12"/>
      <c r="AR231" s="12" t="e">
        <f t="shared" si="3"/>
        <v>#N/A</v>
      </c>
      <c r="AU231" s="12">
        <f>SUMIF(ASIGNACION!$C$5:$C$94,Z231,ASIGNACION!$R$5:$R$94)*'Costos x MO'!$B$7</f>
        <v>0</v>
      </c>
      <c r="AV231" s="12" t="str">
        <f>IFERROR(VLOOKUP(Z231,ASIGNACION!$C$5:$H$94,6,0),"F/Fecha")</f>
        <v>F/Fecha</v>
      </c>
    </row>
    <row r="232" spans="37:48" x14ac:dyDescent="0.25">
      <c r="AK232" s="12"/>
      <c r="AR232" s="12" t="e">
        <f t="shared" si="3"/>
        <v>#N/A</v>
      </c>
      <c r="AU232" s="12">
        <f>SUMIF(ASIGNACION!$C$5:$C$94,Z232,ASIGNACION!$R$5:$R$94)*'Costos x MO'!$B$7</f>
        <v>0</v>
      </c>
      <c r="AV232" s="12" t="str">
        <f>IFERROR(VLOOKUP(Z232,ASIGNACION!$C$5:$H$94,6,0),"F/Fecha")</f>
        <v>F/Fecha</v>
      </c>
    </row>
    <row r="233" spans="37:48" x14ac:dyDescent="0.25">
      <c r="AK233" s="12"/>
      <c r="AR233" s="12" t="e">
        <f t="shared" si="3"/>
        <v>#N/A</v>
      </c>
      <c r="AU233" s="12">
        <f>SUMIF(ASIGNACION!$C$5:$C$94,Z233,ASIGNACION!$R$5:$R$94)*'Costos x MO'!$B$7</f>
        <v>0</v>
      </c>
      <c r="AV233" s="12" t="str">
        <f>IFERROR(VLOOKUP(Z233,ASIGNACION!$C$5:$H$94,6,0),"F/Fecha")</f>
        <v>F/Fecha</v>
      </c>
    </row>
    <row r="234" spans="37:48" x14ac:dyDescent="0.25">
      <c r="AK234" s="12"/>
      <c r="AR234" s="12" t="e">
        <f t="shared" si="3"/>
        <v>#N/A</v>
      </c>
      <c r="AU234" s="12">
        <f>SUMIF(ASIGNACION!$C$5:$C$94,Z234,ASIGNACION!$R$5:$R$94)*'Costos x MO'!$B$7</f>
        <v>0</v>
      </c>
      <c r="AV234" s="12" t="str">
        <f>IFERROR(VLOOKUP(Z234,ASIGNACION!$C$5:$H$94,6,0),"F/Fecha")</f>
        <v>F/Fecha</v>
      </c>
    </row>
    <row r="235" spans="37:48" x14ac:dyDescent="0.25">
      <c r="AK235" s="12"/>
      <c r="AR235" s="12" t="e">
        <f t="shared" si="3"/>
        <v>#N/A</v>
      </c>
      <c r="AU235" s="12">
        <f>SUMIF(ASIGNACION!$C$5:$C$94,Z235,ASIGNACION!$R$5:$R$94)*'Costos x MO'!$B$7</f>
        <v>0</v>
      </c>
      <c r="AV235" s="12" t="str">
        <f>IFERROR(VLOOKUP(Z235,ASIGNACION!$C$5:$H$94,6,0),"F/Fecha")</f>
        <v>F/Fecha</v>
      </c>
    </row>
    <row r="236" spans="37:48" x14ac:dyDescent="0.25">
      <c r="AK236" s="12"/>
      <c r="AR236" s="12" t="e">
        <f t="shared" si="3"/>
        <v>#N/A</v>
      </c>
      <c r="AU236" s="12">
        <f>SUMIF(ASIGNACION!$C$5:$C$94,Z236,ASIGNACION!$R$5:$R$94)*'Costos x MO'!$B$7</f>
        <v>0</v>
      </c>
      <c r="AV236" s="12" t="str">
        <f>IFERROR(VLOOKUP(Z236,ASIGNACION!$C$5:$H$94,6,0),"F/Fecha")</f>
        <v>F/Fecha</v>
      </c>
    </row>
    <row r="237" spans="37:48" x14ac:dyDescent="0.25">
      <c r="AK237" s="12"/>
      <c r="AR237" s="12" t="e">
        <f t="shared" si="3"/>
        <v>#N/A</v>
      </c>
      <c r="AU237" s="12">
        <f>SUMIF(ASIGNACION!$C$5:$C$94,Z237,ASIGNACION!$R$5:$R$94)*'Costos x MO'!$B$7</f>
        <v>0</v>
      </c>
      <c r="AV237" s="12" t="str">
        <f>IFERROR(VLOOKUP(Z237,ASIGNACION!$C$5:$H$94,6,0),"F/Fecha")</f>
        <v>F/Fecha</v>
      </c>
    </row>
    <row r="238" spans="37:48" x14ac:dyDescent="0.25">
      <c r="AK238" s="12"/>
      <c r="AR238" s="12" t="e">
        <f t="shared" si="3"/>
        <v>#N/A</v>
      </c>
      <c r="AU238" s="12">
        <f>SUMIF(ASIGNACION!$C$5:$C$94,Z238,ASIGNACION!$R$5:$R$94)*'Costos x MO'!$B$7</f>
        <v>0</v>
      </c>
      <c r="AV238" s="12" t="str">
        <f>IFERROR(VLOOKUP(Z238,ASIGNACION!$C$5:$H$94,6,0),"F/Fecha")</f>
        <v>F/Fecha</v>
      </c>
    </row>
    <row r="239" spans="37:48" x14ac:dyDescent="0.25">
      <c r="AK239" s="12"/>
      <c r="AR239" s="12" t="e">
        <f t="shared" si="3"/>
        <v>#N/A</v>
      </c>
      <c r="AU239" s="12">
        <f>SUMIF(ASIGNACION!$C$5:$C$94,Z239,ASIGNACION!$R$5:$R$94)*'Costos x MO'!$B$7</f>
        <v>0</v>
      </c>
      <c r="AV239" s="12" t="str">
        <f>IFERROR(VLOOKUP(Z239,ASIGNACION!$C$5:$H$94,6,0),"F/Fecha")</f>
        <v>F/Fecha</v>
      </c>
    </row>
    <row r="240" spans="37:48" x14ac:dyDescent="0.25">
      <c r="AK240" s="12"/>
      <c r="AR240" s="12" t="e">
        <f t="shared" si="3"/>
        <v>#N/A</v>
      </c>
      <c r="AU240" s="12">
        <f>SUMIF(ASIGNACION!$C$5:$C$94,Z240,ASIGNACION!$R$5:$R$94)*'Costos x MO'!$B$7</f>
        <v>0</v>
      </c>
      <c r="AV240" s="12" t="str">
        <f>IFERROR(VLOOKUP(Z240,ASIGNACION!$C$5:$H$94,6,0),"F/Fecha")</f>
        <v>F/Fecha</v>
      </c>
    </row>
    <row r="241" spans="37:48" x14ac:dyDescent="0.25">
      <c r="AK241" s="12"/>
      <c r="AR241" s="12" t="e">
        <f t="shared" si="3"/>
        <v>#N/A</v>
      </c>
      <c r="AU241" s="12">
        <f>SUMIF(ASIGNACION!$C$5:$C$94,Z241,ASIGNACION!$R$5:$R$94)*'Costos x MO'!$B$7</f>
        <v>0</v>
      </c>
      <c r="AV241" s="12" t="str">
        <f>IFERROR(VLOOKUP(Z241,ASIGNACION!$C$5:$H$94,6,0),"F/Fecha")</f>
        <v>F/Fecha</v>
      </c>
    </row>
    <row r="242" spans="37:48" x14ac:dyDescent="0.25">
      <c r="AK242" s="12"/>
      <c r="AR242" s="12" t="e">
        <f t="shared" si="3"/>
        <v>#N/A</v>
      </c>
      <c r="AU242" s="12">
        <f>SUMIF(ASIGNACION!$C$5:$C$94,Z242,ASIGNACION!$R$5:$R$94)*'Costos x MO'!$B$7</f>
        <v>0</v>
      </c>
      <c r="AV242" s="12" t="str">
        <f>IFERROR(VLOOKUP(Z242,ASIGNACION!$C$5:$H$94,6,0),"F/Fecha")</f>
        <v>F/Fecha</v>
      </c>
    </row>
    <row r="243" spans="37:48" x14ac:dyDescent="0.25">
      <c r="AK243" s="12"/>
      <c r="AR243" s="12" t="e">
        <f t="shared" si="3"/>
        <v>#N/A</v>
      </c>
      <c r="AU243" s="12">
        <f>SUMIF(ASIGNACION!$C$5:$C$94,Z243,ASIGNACION!$R$5:$R$94)*'Costos x MO'!$B$7</f>
        <v>0</v>
      </c>
      <c r="AV243" s="12" t="str">
        <f>IFERROR(VLOOKUP(Z243,ASIGNACION!$C$5:$H$94,6,0),"F/Fecha")</f>
        <v>F/Fecha</v>
      </c>
    </row>
    <row r="244" spans="37:48" x14ac:dyDescent="0.25">
      <c r="AK244" s="12"/>
      <c r="AR244" s="12" t="e">
        <f t="shared" si="3"/>
        <v>#N/A</v>
      </c>
      <c r="AU244" s="12">
        <f>SUMIF(ASIGNACION!$C$5:$C$94,Z244,ASIGNACION!$R$5:$R$94)*'Costos x MO'!$B$7</f>
        <v>0</v>
      </c>
      <c r="AV244" s="12" t="str">
        <f>IFERROR(VLOOKUP(Z244,ASIGNACION!$C$5:$H$94,6,0),"F/Fecha")</f>
        <v>F/Fecha</v>
      </c>
    </row>
    <row r="245" spans="37:48" x14ac:dyDescent="0.25">
      <c r="AK245" s="12"/>
      <c r="AR245" s="12" t="e">
        <f t="shared" si="3"/>
        <v>#N/A</v>
      </c>
      <c r="AU245" s="12">
        <f>SUMIF(ASIGNACION!$C$5:$C$94,Z245,ASIGNACION!$R$5:$R$94)*'Costos x MO'!$B$7</f>
        <v>0</v>
      </c>
      <c r="AV245" s="12" t="str">
        <f>IFERROR(VLOOKUP(Z245,ASIGNACION!$C$5:$H$94,6,0),"F/Fecha")</f>
        <v>F/Fecha</v>
      </c>
    </row>
    <row r="246" spans="37:48" x14ac:dyDescent="0.25">
      <c r="AK246" s="12"/>
      <c r="AR246" s="12" t="e">
        <f t="shared" si="3"/>
        <v>#N/A</v>
      </c>
      <c r="AU246" s="12">
        <f>SUMIF(ASIGNACION!$C$5:$C$94,Z246,ASIGNACION!$R$5:$R$94)*'Costos x MO'!$B$7</f>
        <v>0</v>
      </c>
      <c r="AV246" s="12" t="str">
        <f>IFERROR(VLOOKUP(Z246,ASIGNACION!$C$5:$H$94,6,0),"F/Fecha")</f>
        <v>F/Fecha</v>
      </c>
    </row>
    <row r="247" spans="37:48" x14ac:dyDescent="0.25">
      <c r="AK247" s="12"/>
      <c r="AR247" s="12" t="e">
        <f t="shared" si="3"/>
        <v>#N/A</v>
      </c>
      <c r="AU247" s="12">
        <f>SUMIF(ASIGNACION!$C$5:$C$94,Z247,ASIGNACION!$R$5:$R$94)*'Costos x MO'!$B$7</f>
        <v>0</v>
      </c>
      <c r="AV247" s="12" t="str">
        <f>IFERROR(VLOOKUP(Z247,ASIGNACION!$C$5:$H$94,6,0),"F/Fecha")</f>
        <v>F/Fecha</v>
      </c>
    </row>
    <row r="248" spans="37:48" x14ac:dyDescent="0.25">
      <c r="AK248" s="12"/>
      <c r="AR248" s="12" t="e">
        <f t="shared" si="3"/>
        <v>#N/A</v>
      </c>
      <c r="AU248" s="12">
        <f>SUMIF(ASIGNACION!$C$5:$C$94,Z248,ASIGNACION!$R$5:$R$94)*'Costos x MO'!$B$7</f>
        <v>0</v>
      </c>
      <c r="AV248" s="12" t="str">
        <f>IFERROR(VLOOKUP(Z248,ASIGNACION!$C$5:$H$94,6,0),"F/Fecha")</f>
        <v>F/Fecha</v>
      </c>
    </row>
    <row r="249" spans="37:48" x14ac:dyDescent="0.25">
      <c r="AK249" s="12"/>
      <c r="AR249" s="12" t="e">
        <f t="shared" si="3"/>
        <v>#N/A</v>
      </c>
      <c r="AU249" s="12">
        <f>SUMIF(ASIGNACION!$C$5:$C$94,Z249,ASIGNACION!$R$5:$R$94)*'Costos x MO'!$B$7</f>
        <v>0</v>
      </c>
      <c r="AV249" s="12" t="str">
        <f>IFERROR(VLOOKUP(Z249,ASIGNACION!$C$5:$H$94,6,0),"F/Fecha")</f>
        <v>F/Fecha</v>
      </c>
    </row>
    <row r="250" spans="37:48" x14ac:dyDescent="0.25">
      <c r="AK250" s="12"/>
      <c r="AR250" s="12" t="e">
        <f t="shared" si="3"/>
        <v>#N/A</v>
      </c>
      <c r="AU250" s="12">
        <f>SUMIF(ASIGNACION!$C$5:$C$94,Z250,ASIGNACION!$R$5:$R$94)*'Costos x MO'!$B$7</f>
        <v>0</v>
      </c>
      <c r="AV250" s="12" t="str">
        <f>IFERROR(VLOOKUP(Z250,ASIGNACION!$C$5:$H$94,6,0),"F/Fecha")</f>
        <v>F/Fecha</v>
      </c>
    </row>
    <row r="251" spans="37:48" x14ac:dyDescent="0.25">
      <c r="AK251" s="12"/>
      <c r="AR251" s="12" t="e">
        <f t="shared" si="3"/>
        <v>#N/A</v>
      </c>
      <c r="AU251" s="12">
        <f>SUMIF(ASIGNACION!$C$5:$C$94,Z251,ASIGNACION!$R$5:$R$94)*'Costos x MO'!$B$7</f>
        <v>0</v>
      </c>
      <c r="AV251" s="12" t="str">
        <f>IFERROR(VLOOKUP(Z251,ASIGNACION!$C$5:$H$94,6,0),"F/Fecha")</f>
        <v>F/Fecha</v>
      </c>
    </row>
    <row r="252" spans="37:48" x14ac:dyDescent="0.25">
      <c r="AK252" s="12"/>
      <c r="AR252" s="12" t="e">
        <f t="shared" si="3"/>
        <v>#N/A</v>
      </c>
      <c r="AU252" s="12">
        <f>SUMIF(ASIGNACION!$C$5:$C$94,Z252,ASIGNACION!$R$5:$R$94)*'Costos x MO'!$B$7</f>
        <v>0</v>
      </c>
      <c r="AV252" s="12" t="str">
        <f>IFERROR(VLOOKUP(Z252,ASIGNACION!$C$5:$H$94,6,0),"F/Fecha")</f>
        <v>F/Fecha</v>
      </c>
    </row>
    <row r="253" spans="37:48" x14ac:dyDescent="0.25">
      <c r="AK253" s="12"/>
      <c r="AR253" s="12" t="e">
        <f t="shared" si="3"/>
        <v>#N/A</v>
      </c>
      <c r="AU253" s="12">
        <f>SUMIF(ASIGNACION!$C$5:$C$94,Z253,ASIGNACION!$R$5:$R$94)*'Costos x MO'!$B$7</f>
        <v>0</v>
      </c>
      <c r="AV253" s="12" t="str">
        <f>IFERROR(VLOOKUP(Z253,ASIGNACION!$C$5:$H$94,6,0),"F/Fecha")</f>
        <v>F/Fecha</v>
      </c>
    </row>
    <row r="254" spans="37:48" x14ac:dyDescent="0.25">
      <c r="AK254" s="12"/>
      <c r="AR254" s="12" t="e">
        <f t="shared" si="3"/>
        <v>#N/A</v>
      </c>
      <c r="AU254" s="12">
        <f>SUMIF(ASIGNACION!$C$5:$C$94,Z254,ASIGNACION!$R$5:$R$94)*'Costos x MO'!$B$7</f>
        <v>0</v>
      </c>
      <c r="AV254" s="12" t="str">
        <f>IFERROR(VLOOKUP(Z254,ASIGNACION!$C$5:$H$94,6,0),"F/Fecha")</f>
        <v>F/Fecha</v>
      </c>
    </row>
    <row r="255" spans="37:48" x14ac:dyDescent="0.25">
      <c r="AK255" s="12"/>
      <c r="AR255" s="12" t="e">
        <f t="shared" si="3"/>
        <v>#N/A</v>
      </c>
      <c r="AU255" s="12">
        <f>SUMIF(ASIGNACION!$C$5:$C$94,Z255,ASIGNACION!$R$5:$R$94)*'Costos x MO'!$B$7</f>
        <v>0</v>
      </c>
      <c r="AV255" s="12" t="str">
        <f>IFERROR(VLOOKUP(Z255,ASIGNACION!$C$5:$H$94,6,0),"F/Fecha")</f>
        <v>F/Fecha</v>
      </c>
    </row>
    <row r="256" spans="37:48" x14ac:dyDescent="0.25">
      <c r="AK256" s="12"/>
      <c r="AR256" s="12" t="e">
        <f t="shared" si="3"/>
        <v>#N/A</v>
      </c>
      <c r="AU256" s="12">
        <f>SUMIF(ASIGNACION!$C$5:$C$94,Z256,ASIGNACION!$R$5:$R$94)*'Costos x MO'!$B$7</f>
        <v>0</v>
      </c>
      <c r="AV256" s="12" t="str">
        <f>IFERROR(VLOOKUP(Z256,ASIGNACION!$C$5:$H$94,6,0),"F/Fecha")</f>
        <v>F/Fecha</v>
      </c>
    </row>
    <row r="257" spans="37:48" x14ac:dyDescent="0.25">
      <c r="AK257" s="12"/>
      <c r="AR257" s="12" t="e">
        <f t="shared" si="3"/>
        <v>#N/A</v>
      </c>
      <c r="AU257" s="12">
        <f>SUMIF(ASIGNACION!$C$5:$C$94,Z257,ASIGNACION!$R$5:$R$94)*'Costos x MO'!$B$7</f>
        <v>0</v>
      </c>
      <c r="AV257" s="12" t="str">
        <f>IFERROR(VLOOKUP(Z257,ASIGNACION!$C$5:$H$94,6,0),"F/Fecha")</f>
        <v>F/Fecha</v>
      </c>
    </row>
    <row r="258" spans="37:48" x14ac:dyDescent="0.25">
      <c r="AK258" s="12"/>
      <c r="AR258" s="12" t="e">
        <f t="shared" si="3"/>
        <v>#N/A</v>
      </c>
      <c r="AU258" s="12">
        <f>SUMIF(ASIGNACION!$C$5:$C$94,Z258,ASIGNACION!$R$5:$R$94)*'Costos x MO'!$B$7</f>
        <v>0</v>
      </c>
      <c r="AV258" s="12" t="str">
        <f>IFERROR(VLOOKUP(Z258,ASIGNACION!$C$5:$H$94,6,0),"F/Fecha")</f>
        <v>F/Fecha</v>
      </c>
    </row>
    <row r="259" spans="37:48" x14ac:dyDescent="0.25">
      <c r="AK259" s="12"/>
      <c r="AR259" s="12" t="e">
        <f t="shared" si="3"/>
        <v>#N/A</v>
      </c>
      <c r="AU259" s="12">
        <f>SUMIF(ASIGNACION!$C$5:$C$94,Z259,ASIGNACION!$R$5:$R$94)*'Costos x MO'!$B$7</f>
        <v>0</v>
      </c>
      <c r="AV259" s="12" t="str">
        <f>IFERROR(VLOOKUP(Z259,ASIGNACION!$C$5:$H$94,6,0),"F/Fecha")</f>
        <v>F/Fecha</v>
      </c>
    </row>
    <row r="260" spans="37:48" x14ac:dyDescent="0.25">
      <c r="AK260" s="12"/>
      <c r="AR260" s="12" t="e">
        <f t="shared" si="3"/>
        <v>#N/A</v>
      </c>
      <c r="AU260" s="12">
        <f>SUMIF(ASIGNACION!$C$5:$C$94,Z260,ASIGNACION!$R$5:$R$94)*'Costos x MO'!$B$7</f>
        <v>0</v>
      </c>
      <c r="AV260" s="12" t="str">
        <f>IFERROR(VLOOKUP(Z260,ASIGNACION!$C$5:$H$94,6,0),"F/Fecha")</f>
        <v>F/Fecha</v>
      </c>
    </row>
    <row r="261" spans="37:48" x14ac:dyDescent="0.25">
      <c r="AK261" s="12"/>
      <c r="AR261" s="12" t="e">
        <f t="shared" ref="AR261:AR324" si="4">VLOOKUP(Z261,$E$4:$G$3523,3,0)</f>
        <v>#N/A</v>
      </c>
      <c r="AU261" s="12">
        <f>SUMIF(ASIGNACION!$C$5:$C$94,Z261,ASIGNACION!$R$5:$R$94)*'Costos x MO'!$B$7</f>
        <v>0</v>
      </c>
      <c r="AV261" s="12" t="str">
        <f>IFERROR(VLOOKUP(Z261,ASIGNACION!$C$5:$H$94,6,0),"F/Fecha")</f>
        <v>F/Fecha</v>
      </c>
    </row>
    <row r="262" spans="37:48" x14ac:dyDescent="0.25">
      <c r="AK262" s="12"/>
      <c r="AR262" s="12" t="e">
        <f t="shared" si="4"/>
        <v>#N/A</v>
      </c>
      <c r="AU262" s="12">
        <f>SUMIF(ASIGNACION!$C$5:$C$94,Z262,ASIGNACION!$R$5:$R$94)*'Costos x MO'!$B$7</f>
        <v>0</v>
      </c>
      <c r="AV262" s="12" t="str">
        <f>IFERROR(VLOOKUP(Z262,ASIGNACION!$C$5:$H$94,6,0),"F/Fecha")</f>
        <v>F/Fecha</v>
      </c>
    </row>
    <row r="263" spans="37:48" x14ac:dyDescent="0.25">
      <c r="AK263" s="12"/>
      <c r="AR263" s="12" t="e">
        <f t="shared" si="4"/>
        <v>#N/A</v>
      </c>
      <c r="AU263" s="12">
        <f>SUMIF(ASIGNACION!$C$5:$C$94,Z263,ASIGNACION!$R$5:$R$94)*'Costos x MO'!$B$7</f>
        <v>0</v>
      </c>
      <c r="AV263" s="12" t="str">
        <f>IFERROR(VLOOKUP(Z263,ASIGNACION!$C$5:$H$94,6,0),"F/Fecha")</f>
        <v>F/Fecha</v>
      </c>
    </row>
    <row r="264" spans="37:48" x14ac:dyDescent="0.25">
      <c r="AK264" s="12"/>
      <c r="AR264" s="12" t="e">
        <f t="shared" si="4"/>
        <v>#N/A</v>
      </c>
      <c r="AU264" s="12">
        <f>SUMIF(ASIGNACION!$C$5:$C$94,Z264,ASIGNACION!$R$5:$R$94)*'Costos x MO'!$B$7</f>
        <v>0</v>
      </c>
      <c r="AV264" s="12" t="str">
        <f>IFERROR(VLOOKUP(Z264,ASIGNACION!$C$5:$H$94,6,0),"F/Fecha")</f>
        <v>F/Fecha</v>
      </c>
    </row>
    <row r="265" spans="37:48" x14ac:dyDescent="0.25">
      <c r="AK265" s="12"/>
      <c r="AR265" s="12" t="e">
        <f t="shared" si="4"/>
        <v>#N/A</v>
      </c>
      <c r="AU265" s="12">
        <f>SUMIF(ASIGNACION!$C$5:$C$94,Z265,ASIGNACION!$R$5:$R$94)*'Costos x MO'!$B$7</f>
        <v>0</v>
      </c>
      <c r="AV265" s="12" t="str">
        <f>IFERROR(VLOOKUP(Z265,ASIGNACION!$C$5:$H$94,6,0),"F/Fecha")</f>
        <v>F/Fecha</v>
      </c>
    </row>
    <row r="266" spans="37:48" x14ac:dyDescent="0.25">
      <c r="AK266" s="12"/>
      <c r="AR266" s="12" t="e">
        <f t="shared" si="4"/>
        <v>#N/A</v>
      </c>
      <c r="AU266" s="12">
        <f>SUMIF(ASIGNACION!$C$5:$C$94,Z266,ASIGNACION!$R$5:$R$94)*'Costos x MO'!$B$7</f>
        <v>0</v>
      </c>
      <c r="AV266" s="12" t="str">
        <f>IFERROR(VLOOKUP(Z266,ASIGNACION!$C$5:$H$94,6,0),"F/Fecha")</f>
        <v>F/Fecha</v>
      </c>
    </row>
    <row r="267" spans="37:48" x14ac:dyDescent="0.25">
      <c r="AK267" s="12"/>
      <c r="AR267" s="12" t="e">
        <f t="shared" si="4"/>
        <v>#N/A</v>
      </c>
      <c r="AU267" s="12">
        <f>SUMIF(ASIGNACION!$C$5:$C$94,Z267,ASIGNACION!$R$5:$R$94)*'Costos x MO'!$B$7</f>
        <v>0</v>
      </c>
      <c r="AV267" s="12" t="str">
        <f>IFERROR(VLOOKUP(Z267,ASIGNACION!$C$5:$H$94,6,0),"F/Fecha")</f>
        <v>F/Fecha</v>
      </c>
    </row>
    <row r="268" spans="37:48" x14ac:dyDescent="0.25">
      <c r="AK268" s="12"/>
      <c r="AR268" s="12" t="e">
        <f t="shared" si="4"/>
        <v>#N/A</v>
      </c>
      <c r="AU268" s="12">
        <f>SUMIF(ASIGNACION!$C$5:$C$94,Z268,ASIGNACION!$R$5:$R$94)*'Costos x MO'!$B$7</f>
        <v>0</v>
      </c>
      <c r="AV268" s="12" t="str">
        <f>IFERROR(VLOOKUP(Z268,ASIGNACION!$C$5:$H$94,6,0),"F/Fecha")</f>
        <v>F/Fecha</v>
      </c>
    </row>
    <row r="269" spans="37:48" x14ac:dyDescent="0.25">
      <c r="AK269" s="12"/>
      <c r="AR269" s="12" t="e">
        <f t="shared" si="4"/>
        <v>#N/A</v>
      </c>
      <c r="AU269" s="12">
        <f>SUMIF(ASIGNACION!$C$5:$C$94,Z269,ASIGNACION!$R$5:$R$94)*'Costos x MO'!$B$7</f>
        <v>0</v>
      </c>
      <c r="AV269" s="12" t="str">
        <f>IFERROR(VLOOKUP(Z269,ASIGNACION!$C$5:$H$94,6,0),"F/Fecha")</f>
        <v>F/Fecha</v>
      </c>
    </row>
    <row r="270" spans="37:48" x14ac:dyDescent="0.25">
      <c r="AK270" s="12"/>
      <c r="AR270" s="12" t="e">
        <f t="shared" si="4"/>
        <v>#N/A</v>
      </c>
      <c r="AU270" s="12">
        <f>SUMIF(ASIGNACION!$C$5:$C$94,Z270,ASIGNACION!$R$5:$R$94)*'Costos x MO'!$B$7</f>
        <v>0</v>
      </c>
      <c r="AV270" s="12" t="str">
        <f>IFERROR(VLOOKUP(Z270,ASIGNACION!$C$5:$H$94,6,0),"F/Fecha")</f>
        <v>F/Fecha</v>
      </c>
    </row>
    <row r="271" spans="37:48" x14ac:dyDescent="0.25">
      <c r="AK271" s="12"/>
      <c r="AR271" s="12" t="e">
        <f t="shared" si="4"/>
        <v>#N/A</v>
      </c>
      <c r="AU271" s="12">
        <f>SUMIF(ASIGNACION!$C$5:$C$94,Z271,ASIGNACION!$R$5:$R$94)*'Costos x MO'!$B$7</f>
        <v>0</v>
      </c>
      <c r="AV271" s="12" t="str">
        <f>IFERROR(VLOOKUP(Z271,ASIGNACION!$C$5:$H$94,6,0),"F/Fecha")</f>
        <v>F/Fecha</v>
      </c>
    </row>
    <row r="272" spans="37:48" x14ac:dyDescent="0.25">
      <c r="AK272" s="12"/>
      <c r="AR272" s="12" t="e">
        <f t="shared" si="4"/>
        <v>#N/A</v>
      </c>
      <c r="AU272" s="12">
        <f>SUMIF(ASIGNACION!$C$5:$C$94,Z272,ASIGNACION!$R$5:$R$94)*'Costos x MO'!$B$7</f>
        <v>0</v>
      </c>
      <c r="AV272" s="12" t="str">
        <f>IFERROR(VLOOKUP(Z272,ASIGNACION!$C$5:$H$94,6,0),"F/Fecha")</f>
        <v>F/Fecha</v>
      </c>
    </row>
    <row r="273" spans="37:48" x14ac:dyDescent="0.25">
      <c r="AK273" s="12"/>
      <c r="AR273" s="12" t="e">
        <f t="shared" si="4"/>
        <v>#N/A</v>
      </c>
      <c r="AU273" s="12">
        <f>SUMIF(ASIGNACION!$C$5:$C$94,Z273,ASIGNACION!$R$5:$R$94)*'Costos x MO'!$B$7</f>
        <v>0</v>
      </c>
      <c r="AV273" s="12" t="str">
        <f>IFERROR(VLOOKUP(Z273,ASIGNACION!$C$5:$H$94,6,0),"F/Fecha")</f>
        <v>F/Fecha</v>
      </c>
    </row>
    <row r="274" spans="37:48" x14ac:dyDescent="0.25">
      <c r="AK274" s="12"/>
      <c r="AR274" s="12" t="e">
        <f t="shared" si="4"/>
        <v>#N/A</v>
      </c>
      <c r="AU274" s="12">
        <f>SUMIF(ASIGNACION!$C$5:$C$94,Z274,ASIGNACION!$R$5:$R$94)*'Costos x MO'!$B$7</f>
        <v>0</v>
      </c>
      <c r="AV274" s="12" t="str">
        <f>IFERROR(VLOOKUP(Z274,ASIGNACION!$C$5:$H$94,6,0),"F/Fecha")</f>
        <v>F/Fecha</v>
      </c>
    </row>
    <row r="275" spans="37:48" x14ac:dyDescent="0.25">
      <c r="AK275" s="12"/>
      <c r="AR275" s="12" t="e">
        <f t="shared" si="4"/>
        <v>#N/A</v>
      </c>
      <c r="AU275" s="12">
        <f>SUMIF(ASIGNACION!$C$5:$C$94,Z275,ASIGNACION!$R$5:$R$94)*'Costos x MO'!$B$7</f>
        <v>0</v>
      </c>
      <c r="AV275" s="12" t="str">
        <f>IFERROR(VLOOKUP(Z275,ASIGNACION!$C$5:$H$94,6,0),"F/Fecha")</f>
        <v>F/Fecha</v>
      </c>
    </row>
    <row r="276" spans="37:48" x14ac:dyDescent="0.25">
      <c r="AK276" s="12"/>
      <c r="AR276" s="12" t="e">
        <f t="shared" si="4"/>
        <v>#N/A</v>
      </c>
      <c r="AU276" s="12">
        <f>SUMIF(ASIGNACION!$C$5:$C$94,Z276,ASIGNACION!$R$5:$R$94)*'Costos x MO'!$B$7</f>
        <v>0</v>
      </c>
      <c r="AV276" s="12" t="str">
        <f>IFERROR(VLOOKUP(Z276,ASIGNACION!$C$5:$H$94,6,0),"F/Fecha")</f>
        <v>F/Fecha</v>
      </c>
    </row>
    <row r="277" spans="37:48" x14ac:dyDescent="0.25">
      <c r="AK277" s="12"/>
      <c r="AR277" s="12" t="e">
        <f t="shared" si="4"/>
        <v>#N/A</v>
      </c>
      <c r="AU277" s="12">
        <f>SUMIF(ASIGNACION!$C$5:$C$94,Z277,ASIGNACION!$R$5:$R$94)*'Costos x MO'!$B$7</f>
        <v>0</v>
      </c>
      <c r="AV277" s="12" t="str">
        <f>IFERROR(VLOOKUP(Z277,ASIGNACION!$C$5:$H$94,6,0),"F/Fecha")</f>
        <v>F/Fecha</v>
      </c>
    </row>
    <row r="278" spans="37:48" x14ac:dyDescent="0.25">
      <c r="AK278" s="12"/>
      <c r="AR278" s="12" t="e">
        <f t="shared" si="4"/>
        <v>#N/A</v>
      </c>
      <c r="AU278" s="12">
        <f>SUMIF(ASIGNACION!$C$5:$C$94,Z278,ASIGNACION!$R$5:$R$94)*'Costos x MO'!$B$7</f>
        <v>0</v>
      </c>
      <c r="AV278" s="12" t="str">
        <f>IFERROR(VLOOKUP(Z278,ASIGNACION!$C$5:$H$94,6,0),"F/Fecha")</f>
        <v>F/Fecha</v>
      </c>
    </row>
    <row r="279" spans="37:48" x14ac:dyDescent="0.25">
      <c r="AK279" s="12"/>
      <c r="AR279" s="12" t="e">
        <f t="shared" si="4"/>
        <v>#N/A</v>
      </c>
      <c r="AU279" s="12">
        <f>SUMIF(ASIGNACION!$C$5:$C$94,Z279,ASIGNACION!$R$5:$R$94)*'Costos x MO'!$B$7</f>
        <v>0</v>
      </c>
      <c r="AV279" s="12" t="str">
        <f>IFERROR(VLOOKUP(Z279,ASIGNACION!$C$5:$H$94,6,0),"F/Fecha")</f>
        <v>F/Fecha</v>
      </c>
    </row>
    <row r="280" spans="37:48" x14ac:dyDescent="0.25">
      <c r="AK280" s="12"/>
      <c r="AR280" s="12" t="e">
        <f t="shared" si="4"/>
        <v>#N/A</v>
      </c>
      <c r="AU280" s="12">
        <f>SUMIF(ASIGNACION!$C$5:$C$94,Z280,ASIGNACION!$R$5:$R$94)*'Costos x MO'!$B$7</f>
        <v>0</v>
      </c>
      <c r="AV280" s="12" t="str">
        <f>IFERROR(VLOOKUP(Z280,ASIGNACION!$C$5:$H$94,6,0),"F/Fecha")</f>
        <v>F/Fecha</v>
      </c>
    </row>
    <row r="281" spans="37:48" x14ac:dyDescent="0.25">
      <c r="AK281" s="12"/>
      <c r="AR281" s="12" t="e">
        <f t="shared" si="4"/>
        <v>#N/A</v>
      </c>
      <c r="AU281" s="12">
        <f>SUMIF(ASIGNACION!$C$5:$C$94,Z281,ASIGNACION!$R$5:$R$94)*'Costos x MO'!$B$7</f>
        <v>0</v>
      </c>
      <c r="AV281" s="12" t="str">
        <f>IFERROR(VLOOKUP(Z281,ASIGNACION!$C$5:$H$94,6,0),"F/Fecha")</f>
        <v>F/Fecha</v>
      </c>
    </row>
    <row r="282" spans="37:48" x14ac:dyDescent="0.25">
      <c r="AK282" s="12"/>
      <c r="AR282" s="12" t="e">
        <f t="shared" si="4"/>
        <v>#N/A</v>
      </c>
      <c r="AU282" s="12">
        <f>SUMIF(ASIGNACION!$C$5:$C$94,Z282,ASIGNACION!$R$5:$R$94)*'Costos x MO'!$B$7</f>
        <v>0</v>
      </c>
      <c r="AV282" s="12" t="str">
        <f>IFERROR(VLOOKUP(Z282,ASIGNACION!$C$5:$H$94,6,0),"F/Fecha")</f>
        <v>F/Fecha</v>
      </c>
    </row>
    <row r="283" spans="37:48" x14ac:dyDescent="0.25">
      <c r="AK283" s="12"/>
      <c r="AR283" s="12" t="e">
        <f t="shared" si="4"/>
        <v>#N/A</v>
      </c>
      <c r="AU283" s="12">
        <f>SUMIF(ASIGNACION!$C$5:$C$94,Z283,ASIGNACION!$R$5:$R$94)*'Costos x MO'!$B$7</f>
        <v>0</v>
      </c>
      <c r="AV283" s="12" t="str">
        <f>IFERROR(VLOOKUP(Z283,ASIGNACION!$C$5:$H$94,6,0),"F/Fecha")</f>
        <v>F/Fecha</v>
      </c>
    </row>
    <row r="284" spans="37:48" x14ac:dyDescent="0.25">
      <c r="AK284" s="12"/>
      <c r="AR284" s="12" t="e">
        <f t="shared" si="4"/>
        <v>#N/A</v>
      </c>
      <c r="AU284" s="12">
        <f>SUMIF(ASIGNACION!$C$5:$C$94,Z284,ASIGNACION!$R$5:$R$94)*'Costos x MO'!$B$7</f>
        <v>0</v>
      </c>
      <c r="AV284" s="12" t="str">
        <f>IFERROR(VLOOKUP(Z284,ASIGNACION!$C$5:$H$94,6,0),"F/Fecha")</f>
        <v>F/Fecha</v>
      </c>
    </row>
    <row r="285" spans="37:48" x14ac:dyDescent="0.25">
      <c r="AK285" s="12"/>
      <c r="AR285" s="12" t="e">
        <f t="shared" si="4"/>
        <v>#N/A</v>
      </c>
      <c r="AU285" s="12">
        <f>SUMIF(ASIGNACION!$C$5:$C$94,Z285,ASIGNACION!$R$5:$R$94)*'Costos x MO'!$B$7</f>
        <v>0</v>
      </c>
      <c r="AV285" s="12" t="str">
        <f>IFERROR(VLOOKUP(Z285,ASIGNACION!$C$5:$H$94,6,0),"F/Fecha")</f>
        <v>F/Fecha</v>
      </c>
    </row>
    <row r="286" spans="37:48" x14ac:dyDescent="0.25">
      <c r="AK286" s="12"/>
      <c r="AR286" s="12" t="e">
        <f t="shared" si="4"/>
        <v>#N/A</v>
      </c>
      <c r="AU286" s="12">
        <f>SUMIF(ASIGNACION!$C$5:$C$94,Z286,ASIGNACION!$R$5:$R$94)*'Costos x MO'!$B$7</f>
        <v>0</v>
      </c>
      <c r="AV286" s="12" t="str">
        <f>IFERROR(VLOOKUP(Z286,ASIGNACION!$C$5:$H$94,6,0),"F/Fecha")</f>
        <v>F/Fecha</v>
      </c>
    </row>
    <row r="287" spans="37:48" x14ac:dyDescent="0.25">
      <c r="AK287" s="12"/>
      <c r="AR287" s="12" t="e">
        <f t="shared" si="4"/>
        <v>#N/A</v>
      </c>
      <c r="AU287" s="12">
        <f>SUMIF(ASIGNACION!$C$5:$C$94,Z287,ASIGNACION!$R$5:$R$94)*'Costos x MO'!$B$7</f>
        <v>0</v>
      </c>
      <c r="AV287" s="12" t="str">
        <f>IFERROR(VLOOKUP(Z287,ASIGNACION!$C$5:$H$94,6,0),"F/Fecha")</f>
        <v>F/Fecha</v>
      </c>
    </row>
    <row r="288" spans="37:48" x14ac:dyDescent="0.25">
      <c r="AK288" s="12"/>
      <c r="AR288" s="12" t="e">
        <f t="shared" si="4"/>
        <v>#N/A</v>
      </c>
      <c r="AU288" s="12">
        <f>SUMIF(ASIGNACION!$C$5:$C$94,Z288,ASIGNACION!$R$5:$R$94)*'Costos x MO'!$B$7</f>
        <v>0</v>
      </c>
      <c r="AV288" s="12" t="str">
        <f>IFERROR(VLOOKUP(Z288,ASIGNACION!$C$5:$H$94,6,0),"F/Fecha")</f>
        <v>F/Fecha</v>
      </c>
    </row>
    <row r="289" spans="37:48" x14ac:dyDescent="0.25">
      <c r="AK289" s="12"/>
      <c r="AR289" s="12" t="e">
        <f t="shared" si="4"/>
        <v>#N/A</v>
      </c>
      <c r="AU289" s="12">
        <f>SUMIF(ASIGNACION!$C$5:$C$94,Z289,ASIGNACION!$R$5:$R$94)*'Costos x MO'!$B$7</f>
        <v>0</v>
      </c>
      <c r="AV289" s="12" t="str">
        <f>IFERROR(VLOOKUP(Z289,ASIGNACION!$C$5:$H$94,6,0),"F/Fecha")</f>
        <v>F/Fecha</v>
      </c>
    </row>
    <row r="290" spans="37:48" x14ac:dyDescent="0.25">
      <c r="AK290" s="12"/>
      <c r="AR290" s="12" t="e">
        <f t="shared" si="4"/>
        <v>#N/A</v>
      </c>
      <c r="AU290" s="12">
        <f>SUMIF(ASIGNACION!$C$5:$C$94,Z290,ASIGNACION!$R$5:$R$94)*'Costos x MO'!$B$7</f>
        <v>0</v>
      </c>
      <c r="AV290" s="12" t="str">
        <f>IFERROR(VLOOKUP(Z290,ASIGNACION!$C$5:$H$94,6,0),"F/Fecha")</f>
        <v>F/Fecha</v>
      </c>
    </row>
    <row r="291" spans="37:48" x14ac:dyDescent="0.25">
      <c r="AK291" s="12"/>
      <c r="AR291" s="12" t="e">
        <f t="shared" si="4"/>
        <v>#N/A</v>
      </c>
      <c r="AU291" s="12">
        <f>SUMIF(ASIGNACION!$C$5:$C$94,Z291,ASIGNACION!$R$5:$R$94)*'Costos x MO'!$B$7</f>
        <v>0</v>
      </c>
      <c r="AV291" s="12" t="str">
        <f>IFERROR(VLOOKUP(Z291,ASIGNACION!$C$5:$H$94,6,0),"F/Fecha")</f>
        <v>F/Fecha</v>
      </c>
    </row>
    <row r="292" spans="37:48" x14ac:dyDescent="0.25">
      <c r="AK292" s="12"/>
      <c r="AR292" s="12" t="e">
        <f t="shared" si="4"/>
        <v>#N/A</v>
      </c>
      <c r="AU292" s="12">
        <f>SUMIF(ASIGNACION!$C$5:$C$94,Z292,ASIGNACION!$R$5:$R$94)*'Costos x MO'!$B$7</f>
        <v>0</v>
      </c>
      <c r="AV292" s="12" t="str">
        <f>IFERROR(VLOOKUP(Z292,ASIGNACION!$C$5:$H$94,6,0),"F/Fecha")</f>
        <v>F/Fecha</v>
      </c>
    </row>
    <row r="293" spans="37:48" x14ac:dyDescent="0.25">
      <c r="AK293" s="12"/>
      <c r="AR293" s="12" t="e">
        <f t="shared" si="4"/>
        <v>#N/A</v>
      </c>
      <c r="AU293" s="12">
        <f>SUMIF(ASIGNACION!$C$5:$C$94,Z293,ASIGNACION!$R$5:$R$94)*'Costos x MO'!$B$7</f>
        <v>0</v>
      </c>
      <c r="AV293" s="12" t="str">
        <f>IFERROR(VLOOKUP(Z293,ASIGNACION!$C$5:$H$94,6,0),"F/Fecha")</f>
        <v>F/Fecha</v>
      </c>
    </row>
    <row r="294" spans="37:48" x14ac:dyDescent="0.25">
      <c r="AK294" s="12"/>
      <c r="AR294" s="12" t="e">
        <f t="shared" si="4"/>
        <v>#N/A</v>
      </c>
      <c r="AU294" s="12">
        <f>SUMIF(ASIGNACION!$C$5:$C$94,Z294,ASIGNACION!$R$5:$R$94)*'Costos x MO'!$B$7</f>
        <v>0</v>
      </c>
      <c r="AV294" s="12" t="str">
        <f>IFERROR(VLOOKUP(Z294,ASIGNACION!$C$5:$H$94,6,0),"F/Fecha")</f>
        <v>F/Fecha</v>
      </c>
    </row>
    <row r="295" spans="37:48" x14ac:dyDescent="0.25">
      <c r="AK295" s="12"/>
      <c r="AR295" s="12" t="e">
        <f t="shared" si="4"/>
        <v>#N/A</v>
      </c>
      <c r="AU295" s="12">
        <f>SUMIF(ASIGNACION!$C$5:$C$94,Z295,ASIGNACION!$R$5:$R$94)*'Costos x MO'!$B$7</f>
        <v>0</v>
      </c>
      <c r="AV295" s="12" t="str">
        <f>IFERROR(VLOOKUP(Z295,ASIGNACION!$C$5:$H$94,6,0),"F/Fecha")</f>
        <v>F/Fecha</v>
      </c>
    </row>
    <row r="296" spans="37:48" x14ac:dyDescent="0.25">
      <c r="AK296" s="12"/>
      <c r="AR296" s="12" t="e">
        <f t="shared" si="4"/>
        <v>#N/A</v>
      </c>
      <c r="AU296" s="12">
        <f>SUMIF(ASIGNACION!$C$5:$C$94,Z296,ASIGNACION!$R$5:$R$94)*'Costos x MO'!$B$7</f>
        <v>0</v>
      </c>
      <c r="AV296" s="12" t="str">
        <f>IFERROR(VLOOKUP(Z296,ASIGNACION!$C$5:$H$94,6,0),"F/Fecha")</f>
        <v>F/Fecha</v>
      </c>
    </row>
    <row r="297" spans="37:48" x14ac:dyDescent="0.25">
      <c r="AK297" s="12"/>
      <c r="AR297" s="12" t="e">
        <f t="shared" si="4"/>
        <v>#N/A</v>
      </c>
      <c r="AU297" s="12">
        <f>SUMIF(ASIGNACION!$C$5:$C$94,Z297,ASIGNACION!$R$5:$R$94)*'Costos x MO'!$B$7</f>
        <v>0</v>
      </c>
      <c r="AV297" s="12" t="str">
        <f>IFERROR(VLOOKUP(Z297,ASIGNACION!$C$5:$H$94,6,0),"F/Fecha")</f>
        <v>F/Fecha</v>
      </c>
    </row>
    <row r="298" spans="37:48" x14ac:dyDescent="0.25">
      <c r="AK298" s="12"/>
      <c r="AR298" s="12" t="e">
        <f t="shared" si="4"/>
        <v>#N/A</v>
      </c>
      <c r="AU298" s="12">
        <f>SUMIF(ASIGNACION!$C$5:$C$94,Z298,ASIGNACION!$R$5:$R$94)*'Costos x MO'!$B$7</f>
        <v>0</v>
      </c>
      <c r="AV298" s="12" t="str">
        <f>IFERROR(VLOOKUP(Z298,ASIGNACION!$C$5:$H$94,6,0),"F/Fecha")</f>
        <v>F/Fecha</v>
      </c>
    </row>
    <row r="299" spans="37:48" x14ac:dyDescent="0.25">
      <c r="AK299" s="12"/>
      <c r="AR299" s="12" t="e">
        <f t="shared" si="4"/>
        <v>#N/A</v>
      </c>
      <c r="AU299" s="12">
        <f>SUMIF(ASIGNACION!$C$5:$C$94,Z299,ASIGNACION!$R$5:$R$94)*'Costos x MO'!$B$7</f>
        <v>0</v>
      </c>
      <c r="AV299" s="12" t="str">
        <f>IFERROR(VLOOKUP(Z299,ASIGNACION!$C$5:$H$94,6,0),"F/Fecha")</f>
        <v>F/Fecha</v>
      </c>
    </row>
    <row r="300" spans="37:48" x14ac:dyDescent="0.25">
      <c r="AK300" s="12"/>
      <c r="AR300" s="12" t="e">
        <f t="shared" si="4"/>
        <v>#N/A</v>
      </c>
      <c r="AU300" s="12">
        <f>SUMIF(ASIGNACION!$C$5:$C$94,Z300,ASIGNACION!$R$5:$R$94)*'Costos x MO'!$B$7</f>
        <v>0</v>
      </c>
      <c r="AV300" s="12" t="str">
        <f>IFERROR(VLOOKUP(Z300,ASIGNACION!$C$5:$H$94,6,0),"F/Fecha")</f>
        <v>F/Fecha</v>
      </c>
    </row>
    <row r="301" spans="37:48" x14ac:dyDescent="0.25">
      <c r="AK301" s="12"/>
      <c r="AR301" s="12" t="e">
        <f t="shared" si="4"/>
        <v>#N/A</v>
      </c>
      <c r="AU301" s="12">
        <f>SUMIF(ASIGNACION!$C$5:$C$94,Z301,ASIGNACION!$R$5:$R$94)*'Costos x MO'!$B$7</f>
        <v>0</v>
      </c>
      <c r="AV301" s="12" t="str">
        <f>IFERROR(VLOOKUP(Z301,ASIGNACION!$C$5:$H$94,6,0),"F/Fecha")</f>
        <v>F/Fecha</v>
      </c>
    </row>
    <row r="302" spans="37:48" x14ac:dyDescent="0.25">
      <c r="AK302" s="12"/>
      <c r="AR302" s="12" t="e">
        <f t="shared" si="4"/>
        <v>#N/A</v>
      </c>
      <c r="AU302" s="12">
        <f>SUMIF(ASIGNACION!$C$5:$C$94,Z302,ASIGNACION!$R$5:$R$94)*'Costos x MO'!$B$7</f>
        <v>0</v>
      </c>
      <c r="AV302" s="12" t="str">
        <f>IFERROR(VLOOKUP(Z302,ASIGNACION!$C$5:$H$94,6,0),"F/Fecha")</f>
        <v>F/Fecha</v>
      </c>
    </row>
    <row r="303" spans="37:48" x14ac:dyDescent="0.25">
      <c r="AK303" s="12"/>
      <c r="AR303" s="12" t="e">
        <f t="shared" si="4"/>
        <v>#N/A</v>
      </c>
      <c r="AU303" s="12">
        <f>SUMIF(ASIGNACION!$C$5:$C$94,Z303,ASIGNACION!$R$5:$R$94)*'Costos x MO'!$B$7</f>
        <v>0</v>
      </c>
      <c r="AV303" s="12" t="str">
        <f>IFERROR(VLOOKUP(Z303,ASIGNACION!$C$5:$H$94,6,0),"F/Fecha")</f>
        <v>F/Fecha</v>
      </c>
    </row>
    <row r="304" spans="37:48" x14ac:dyDescent="0.25">
      <c r="AK304" s="12"/>
      <c r="AR304" s="12" t="e">
        <f t="shared" si="4"/>
        <v>#N/A</v>
      </c>
      <c r="AU304" s="12">
        <f>SUMIF(ASIGNACION!$C$5:$C$94,Z304,ASIGNACION!$R$5:$R$94)*'Costos x MO'!$B$7</f>
        <v>0</v>
      </c>
      <c r="AV304" s="12" t="str">
        <f>IFERROR(VLOOKUP(Z304,ASIGNACION!$C$5:$H$94,6,0),"F/Fecha")</f>
        <v>F/Fecha</v>
      </c>
    </row>
    <row r="305" spans="37:48" x14ac:dyDescent="0.25">
      <c r="AK305" s="12"/>
      <c r="AR305" s="12" t="e">
        <f t="shared" si="4"/>
        <v>#N/A</v>
      </c>
      <c r="AU305" s="12">
        <f>SUMIF(ASIGNACION!$C$5:$C$94,Z305,ASIGNACION!$R$5:$R$94)*'Costos x MO'!$B$7</f>
        <v>0</v>
      </c>
      <c r="AV305" s="12" t="str">
        <f>IFERROR(VLOOKUP(Z305,ASIGNACION!$C$5:$H$94,6,0),"F/Fecha")</f>
        <v>F/Fecha</v>
      </c>
    </row>
    <row r="306" spans="37:48" x14ac:dyDescent="0.25">
      <c r="AK306" s="12"/>
      <c r="AR306" s="12" t="e">
        <f t="shared" si="4"/>
        <v>#N/A</v>
      </c>
      <c r="AU306" s="12">
        <f>SUMIF(ASIGNACION!$C$5:$C$94,Z306,ASIGNACION!$R$5:$R$94)*'Costos x MO'!$B$7</f>
        <v>0</v>
      </c>
      <c r="AV306" s="12" t="str">
        <f>IFERROR(VLOOKUP(Z306,ASIGNACION!$C$5:$H$94,6,0),"F/Fecha")</f>
        <v>F/Fecha</v>
      </c>
    </row>
    <row r="307" spans="37:48" x14ac:dyDescent="0.25">
      <c r="AK307" s="12"/>
      <c r="AR307" s="12" t="e">
        <f t="shared" si="4"/>
        <v>#N/A</v>
      </c>
      <c r="AU307" s="12">
        <f>SUMIF(ASIGNACION!$C$5:$C$94,Z307,ASIGNACION!$R$5:$R$94)*'Costos x MO'!$B$7</f>
        <v>0</v>
      </c>
      <c r="AV307" s="12" t="str">
        <f>IFERROR(VLOOKUP(Z307,ASIGNACION!$C$5:$H$94,6,0),"F/Fecha")</f>
        <v>F/Fecha</v>
      </c>
    </row>
    <row r="308" spans="37:48" x14ac:dyDescent="0.25">
      <c r="AK308" s="12"/>
      <c r="AR308" s="12" t="e">
        <f t="shared" si="4"/>
        <v>#N/A</v>
      </c>
      <c r="AU308" s="12">
        <f>SUMIF(ASIGNACION!$C$5:$C$94,Z308,ASIGNACION!$R$5:$R$94)*'Costos x MO'!$B$7</f>
        <v>0</v>
      </c>
      <c r="AV308" s="12" t="str">
        <f>IFERROR(VLOOKUP(Z308,ASIGNACION!$C$5:$H$94,6,0),"F/Fecha")</f>
        <v>F/Fecha</v>
      </c>
    </row>
    <row r="309" spans="37:48" x14ac:dyDescent="0.25">
      <c r="AK309" s="12"/>
      <c r="AR309" s="12" t="e">
        <f t="shared" si="4"/>
        <v>#N/A</v>
      </c>
      <c r="AU309" s="12">
        <f>SUMIF(ASIGNACION!$C$5:$C$94,Z309,ASIGNACION!$R$5:$R$94)*'Costos x MO'!$B$7</f>
        <v>0</v>
      </c>
      <c r="AV309" s="12" t="str">
        <f>IFERROR(VLOOKUP(Z309,ASIGNACION!$C$5:$H$94,6,0),"F/Fecha")</f>
        <v>F/Fecha</v>
      </c>
    </row>
    <row r="310" spans="37:48" x14ac:dyDescent="0.25">
      <c r="AK310" s="12"/>
      <c r="AR310" s="12" t="e">
        <f t="shared" si="4"/>
        <v>#N/A</v>
      </c>
      <c r="AU310" s="12">
        <f>SUMIF(ASIGNACION!$C$5:$C$94,Z310,ASIGNACION!$R$5:$R$94)*'Costos x MO'!$B$7</f>
        <v>0</v>
      </c>
      <c r="AV310" s="12" t="str">
        <f>IFERROR(VLOOKUP(Z310,ASIGNACION!$C$5:$H$94,6,0),"F/Fecha")</f>
        <v>F/Fecha</v>
      </c>
    </row>
    <row r="311" spans="37:48" x14ac:dyDescent="0.25">
      <c r="AK311" s="12"/>
      <c r="AR311" s="12" t="e">
        <f t="shared" si="4"/>
        <v>#N/A</v>
      </c>
      <c r="AU311" s="12">
        <f>SUMIF(ASIGNACION!$C$5:$C$94,Z311,ASIGNACION!$R$5:$R$94)*'Costos x MO'!$B$7</f>
        <v>0</v>
      </c>
      <c r="AV311" s="12" t="str">
        <f>IFERROR(VLOOKUP(Z311,ASIGNACION!$C$5:$H$94,6,0),"F/Fecha")</f>
        <v>F/Fecha</v>
      </c>
    </row>
    <row r="312" spans="37:48" x14ac:dyDescent="0.25">
      <c r="AK312" s="12"/>
      <c r="AR312" s="12" t="e">
        <f t="shared" si="4"/>
        <v>#N/A</v>
      </c>
      <c r="AU312" s="12">
        <f>SUMIF(ASIGNACION!$C$5:$C$94,Z312,ASIGNACION!$R$5:$R$94)*'Costos x MO'!$B$7</f>
        <v>0</v>
      </c>
      <c r="AV312" s="12" t="str">
        <f>IFERROR(VLOOKUP(Z312,ASIGNACION!$C$5:$H$94,6,0),"F/Fecha")</f>
        <v>F/Fecha</v>
      </c>
    </row>
    <row r="313" spans="37:48" x14ac:dyDescent="0.25">
      <c r="AK313" s="12"/>
      <c r="AR313" s="12" t="e">
        <f t="shared" si="4"/>
        <v>#N/A</v>
      </c>
      <c r="AU313" s="12">
        <f>SUMIF(ASIGNACION!$C$5:$C$94,Z313,ASIGNACION!$R$5:$R$94)*'Costos x MO'!$B$7</f>
        <v>0</v>
      </c>
      <c r="AV313" s="12" t="str">
        <f>IFERROR(VLOOKUP(Z313,ASIGNACION!$C$5:$H$94,6,0),"F/Fecha")</f>
        <v>F/Fecha</v>
      </c>
    </row>
    <row r="314" spans="37:48" x14ac:dyDescent="0.25">
      <c r="AK314" s="12"/>
      <c r="AR314" s="12" t="e">
        <f t="shared" si="4"/>
        <v>#N/A</v>
      </c>
      <c r="AU314" s="12">
        <f>SUMIF(ASIGNACION!$C$5:$C$94,Z314,ASIGNACION!$R$5:$R$94)*'Costos x MO'!$B$7</f>
        <v>0</v>
      </c>
      <c r="AV314" s="12" t="str">
        <f>IFERROR(VLOOKUP(Z314,ASIGNACION!$C$5:$H$94,6,0),"F/Fecha")</f>
        <v>F/Fecha</v>
      </c>
    </row>
    <row r="315" spans="37:48" x14ac:dyDescent="0.25">
      <c r="AK315" s="12"/>
      <c r="AR315" s="12" t="e">
        <f t="shared" si="4"/>
        <v>#N/A</v>
      </c>
      <c r="AU315" s="12">
        <f>SUMIF(ASIGNACION!$C$5:$C$94,Z315,ASIGNACION!$R$5:$R$94)*'Costos x MO'!$B$7</f>
        <v>0</v>
      </c>
      <c r="AV315" s="12" t="str">
        <f>IFERROR(VLOOKUP(Z315,ASIGNACION!$C$5:$H$94,6,0),"F/Fecha")</f>
        <v>F/Fecha</v>
      </c>
    </row>
    <row r="316" spans="37:48" x14ac:dyDescent="0.25">
      <c r="AK316" s="12"/>
      <c r="AR316" s="12" t="e">
        <f t="shared" si="4"/>
        <v>#N/A</v>
      </c>
      <c r="AU316" s="12">
        <f>SUMIF(ASIGNACION!$C$5:$C$94,Z316,ASIGNACION!$R$5:$R$94)*'Costos x MO'!$B$7</f>
        <v>0</v>
      </c>
      <c r="AV316" s="12" t="str">
        <f>IFERROR(VLOOKUP(Z316,ASIGNACION!$C$5:$H$94,6,0),"F/Fecha")</f>
        <v>F/Fecha</v>
      </c>
    </row>
    <row r="317" spans="37:48" x14ac:dyDescent="0.25">
      <c r="AK317" s="12"/>
      <c r="AR317" s="12" t="e">
        <f t="shared" si="4"/>
        <v>#N/A</v>
      </c>
      <c r="AU317" s="12">
        <f>SUMIF(ASIGNACION!$C$5:$C$94,Z317,ASIGNACION!$R$5:$R$94)*'Costos x MO'!$B$7</f>
        <v>0</v>
      </c>
      <c r="AV317" s="12" t="str">
        <f>IFERROR(VLOOKUP(Z317,ASIGNACION!$C$5:$H$94,6,0),"F/Fecha")</f>
        <v>F/Fecha</v>
      </c>
    </row>
    <row r="318" spans="37:48" x14ac:dyDescent="0.25">
      <c r="AK318" s="12"/>
      <c r="AR318" s="12" t="e">
        <f t="shared" si="4"/>
        <v>#N/A</v>
      </c>
      <c r="AU318" s="12">
        <f>SUMIF(ASIGNACION!$C$5:$C$94,Z318,ASIGNACION!$R$5:$R$94)*'Costos x MO'!$B$7</f>
        <v>0</v>
      </c>
      <c r="AV318" s="12" t="str">
        <f>IFERROR(VLOOKUP(Z318,ASIGNACION!$C$5:$H$94,6,0),"F/Fecha")</f>
        <v>F/Fecha</v>
      </c>
    </row>
    <row r="319" spans="37:48" x14ac:dyDescent="0.25">
      <c r="AK319" s="12"/>
      <c r="AR319" s="12" t="e">
        <f t="shared" si="4"/>
        <v>#N/A</v>
      </c>
      <c r="AU319" s="12">
        <f>SUMIF(ASIGNACION!$C$5:$C$94,Z319,ASIGNACION!$R$5:$R$94)*'Costos x MO'!$B$7</f>
        <v>0</v>
      </c>
      <c r="AV319" s="12" t="str">
        <f>IFERROR(VLOOKUP(Z319,ASIGNACION!$C$5:$H$94,6,0),"F/Fecha")</f>
        <v>F/Fecha</v>
      </c>
    </row>
    <row r="320" spans="37:48" x14ac:dyDescent="0.25">
      <c r="AK320" s="12"/>
      <c r="AR320" s="12" t="e">
        <f t="shared" si="4"/>
        <v>#N/A</v>
      </c>
      <c r="AU320" s="12">
        <f>SUMIF(ASIGNACION!$C$5:$C$94,Z320,ASIGNACION!$R$5:$R$94)*'Costos x MO'!$B$7</f>
        <v>0</v>
      </c>
      <c r="AV320" s="12" t="str">
        <f>IFERROR(VLOOKUP(Z320,ASIGNACION!$C$5:$H$94,6,0),"F/Fecha")</f>
        <v>F/Fecha</v>
      </c>
    </row>
    <row r="321" spans="37:48" x14ac:dyDescent="0.25">
      <c r="AK321" s="12"/>
      <c r="AR321" s="12" t="e">
        <f t="shared" si="4"/>
        <v>#N/A</v>
      </c>
      <c r="AU321" s="12">
        <f>SUMIF(ASIGNACION!$C$5:$C$94,Z321,ASIGNACION!$R$5:$R$94)*'Costos x MO'!$B$7</f>
        <v>0</v>
      </c>
      <c r="AV321" s="12" t="str">
        <f>IFERROR(VLOOKUP(Z321,ASIGNACION!$C$5:$H$94,6,0),"F/Fecha")</f>
        <v>F/Fecha</v>
      </c>
    </row>
    <row r="322" spans="37:48" x14ac:dyDescent="0.25">
      <c r="AK322" s="12"/>
      <c r="AR322" s="12" t="e">
        <f t="shared" si="4"/>
        <v>#N/A</v>
      </c>
      <c r="AU322" s="12">
        <f>SUMIF(ASIGNACION!$C$5:$C$94,Z322,ASIGNACION!$R$5:$R$94)*'Costos x MO'!$B$7</f>
        <v>0</v>
      </c>
      <c r="AV322" s="12" t="str">
        <f>IFERROR(VLOOKUP(Z322,ASIGNACION!$C$5:$H$94,6,0),"F/Fecha")</f>
        <v>F/Fecha</v>
      </c>
    </row>
    <row r="323" spans="37:48" x14ac:dyDescent="0.25">
      <c r="AK323" s="12"/>
      <c r="AR323" s="12" t="e">
        <f t="shared" si="4"/>
        <v>#N/A</v>
      </c>
      <c r="AU323" s="12">
        <f>SUMIF(ASIGNACION!$C$5:$C$94,Z323,ASIGNACION!$R$5:$R$94)*'Costos x MO'!$B$7</f>
        <v>0</v>
      </c>
      <c r="AV323" s="12" t="str">
        <f>IFERROR(VLOOKUP(Z323,ASIGNACION!$C$5:$H$94,6,0),"F/Fecha")</f>
        <v>F/Fecha</v>
      </c>
    </row>
    <row r="324" spans="37:48" x14ac:dyDescent="0.25">
      <c r="AK324" s="12"/>
      <c r="AR324" s="12" t="e">
        <f t="shared" si="4"/>
        <v>#N/A</v>
      </c>
      <c r="AU324" s="12">
        <f>SUMIF(ASIGNACION!$C$5:$C$94,Z324,ASIGNACION!$R$5:$R$94)*'Costos x MO'!$B$7</f>
        <v>0</v>
      </c>
      <c r="AV324" s="12" t="str">
        <f>IFERROR(VLOOKUP(Z324,ASIGNACION!$C$5:$H$94,6,0),"F/Fecha")</f>
        <v>F/Fecha</v>
      </c>
    </row>
    <row r="325" spans="37:48" x14ac:dyDescent="0.25">
      <c r="AK325" s="12"/>
      <c r="AR325" s="12" t="e">
        <f t="shared" ref="AR325:AR388" si="5">VLOOKUP(Z325,$E$4:$G$3523,3,0)</f>
        <v>#N/A</v>
      </c>
      <c r="AU325" s="12">
        <f>SUMIF(ASIGNACION!$C$5:$C$94,Z325,ASIGNACION!$R$5:$R$94)*'Costos x MO'!$B$7</f>
        <v>0</v>
      </c>
      <c r="AV325" s="12" t="str">
        <f>IFERROR(VLOOKUP(Z325,ASIGNACION!$C$5:$H$94,6,0),"F/Fecha")</f>
        <v>F/Fecha</v>
      </c>
    </row>
    <row r="326" spans="37:48" x14ac:dyDescent="0.25">
      <c r="AK326" s="12"/>
      <c r="AR326" s="12" t="e">
        <f t="shared" si="5"/>
        <v>#N/A</v>
      </c>
      <c r="AU326" s="12">
        <f>SUMIF(ASIGNACION!$C$5:$C$94,Z326,ASIGNACION!$R$5:$R$94)*'Costos x MO'!$B$7</f>
        <v>0</v>
      </c>
      <c r="AV326" s="12" t="str">
        <f>IFERROR(VLOOKUP(Z326,ASIGNACION!$C$5:$H$94,6,0),"F/Fecha")</f>
        <v>F/Fecha</v>
      </c>
    </row>
    <row r="327" spans="37:48" x14ac:dyDescent="0.25">
      <c r="AK327" s="12"/>
      <c r="AR327" s="12" t="e">
        <f t="shared" si="5"/>
        <v>#N/A</v>
      </c>
      <c r="AU327" s="12">
        <f>SUMIF(ASIGNACION!$C$5:$C$94,Z327,ASIGNACION!$R$5:$R$94)*'Costos x MO'!$B$7</f>
        <v>0</v>
      </c>
      <c r="AV327" s="12" t="str">
        <f>IFERROR(VLOOKUP(Z327,ASIGNACION!$C$5:$H$94,6,0),"F/Fecha")</f>
        <v>F/Fecha</v>
      </c>
    </row>
    <row r="328" spans="37:48" x14ac:dyDescent="0.25">
      <c r="AK328" s="12"/>
      <c r="AR328" s="12" t="e">
        <f t="shared" si="5"/>
        <v>#N/A</v>
      </c>
      <c r="AU328" s="12">
        <f>SUMIF(ASIGNACION!$C$5:$C$94,Z328,ASIGNACION!$R$5:$R$94)*'Costos x MO'!$B$7</f>
        <v>0</v>
      </c>
      <c r="AV328" s="12" t="str">
        <f>IFERROR(VLOOKUP(Z328,ASIGNACION!$C$5:$H$94,6,0),"F/Fecha")</f>
        <v>F/Fecha</v>
      </c>
    </row>
    <row r="329" spans="37:48" x14ac:dyDescent="0.25">
      <c r="AK329" s="12"/>
      <c r="AR329" s="12" t="e">
        <f t="shared" si="5"/>
        <v>#N/A</v>
      </c>
      <c r="AU329" s="12">
        <f>SUMIF(ASIGNACION!$C$5:$C$94,Z329,ASIGNACION!$R$5:$R$94)*'Costos x MO'!$B$7</f>
        <v>0</v>
      </c>
      <c r="AV329" s="12" t="str">
        <f>IFERROR(VLOOKUP(Z329,ASIGNACION!$C$5:$H$94,6,0),"F/Fecha")</f>
        <v>F/Fecha</v>
      </c>
    </row>
    <row r="330" spans="37:48" x14ac:dyDescent="0.25">
      <c r="AK330" s="12"/>
      <c r="AR330" s="12" t="e">
        <f t="shared" si="5"/>
        <v>#N/A</v>
      </c>
      <c r="AU330" s="12">
        <f>SUMIF(ASIGNACION!$C$5:$C$94,Z330,ASIGNACION!$R$5:$R$94)*'Costos x MO'!$B$7</f>
        <v>0</v>
      </c>
      <c r="AV330" s="12" t="str">
        <f>IFERROR(VLOOKUP(Z330,ASIGNACION!$C$5:$H$94,6,0),"F/Fecha")</f>
        <v>F/Fecha</v>
      </c>
    </row>
    <row r="331" spans="37:48" x14ac:dyDescent="0.25">
      <c r="AK331" s="12"/>
      <c r="AR331" s="12" t="e">
        <f t="shared" si="5"/>
        <v>#N/A</v>
      </c>
      <c r="AU331" s="12">
        <f>SUMIF(ASIGNACION!$C$5:$C$94,Z331,ASIGNACION!$R$5:$R$94)*'Costos x MO'!$B$7</f>
        <v>0</v>
      </c>
      <c r="AV331" s="12" t="str">
        <f>IFERROR(VLOOKUP(Z331,ASIGNACION!$C$5:$H$94,6,0),"F/Fecha")</f>
        <v>F/Fecha</v>
      </c>
    </row>
    <row r="332" spans="37:48" x14ac:dyDescent="0.25">
      <c r="AK332" s="12"/>
      <c r="AR332" s="12" t="e">
        <f t="shared" si="5"/>
        <v>#N/A</v>
      </c>
      <c r="AU332" s="12">
        <f>SUMIF(ASIGNACION!$C$5:$C$94,Z332,ASIGNACION!$R$5:$R$94)*'Costos x MO'!$B$7</f>
        <v>0</v>
      </c>
      <c r="AV332" s="12" t="str">
        <f>IFERROR(VLOOKUP(Z332,ASIGNACION!$C$5:$H$94,6,0),"F/Fecha")</f>
        <v>F/Fecha</v>
      </c>
    </row>
    <row r="333" spans="37:48" x14ac:dyDescent="0.25">
      <c r="AK333" s="12"/>
      <c r="AR333" s="12" t="e">
        <f t="shared" si="5"/>
        <v>#N/A</v>
      </c>
      <c r="AU333" s="12">
        <f>SUMIF(ASIGNACION!$C$5:$C$94,Z333,ASIGNACION!$R$5:$R$94)*'Costos x MO'!$B$7</f>
        <v>0</v>
      </c>
      <c r="AV333" s="12" t="str">
        <f>IFERROR(VLOOKUP(Z333,ASIGNACION!$C$5:$H$94,6,0),"F/Fecha")</f>
        <v>F/Fecha</v>
      </c>
    </row>
    <row r="334" spans="37:48" x14ac:dyDescent="0.25">
      <c r="AK334" s="12"/>
      <c r="AR334" s="12" t="e">
        <f t="shared" si="5"/>
        <v>#N/A</v>
      </c>
      <c r="AU334" s="12">
        <f>SUMIF(ASIGNACION!$C$5:$C$94,Z334,ASIGNACION!$R$5:$R$94)*'Costos x MO'!$B$7</f>
        <v>0</v>
      </c>
      <c r="AV334" s="12" t="str">
        <f>IFERROR(VLOOKUP(Z334,ASIGNACION!$C$5:$H$94,6,0),"F/Fecha")</f>
        <v>F/Fecha</v>
      </c>
    </row>
    <row r="335" spans="37:48" x14ac:dyDescent="0.25">
      <c r="AK335" s="12"/>
      <c r="AR335" s="12" t="e">
        <f t="shared" si="5"/>
        <v>#N/A</v>
      </c>
      <c r="AU335" s="12">
        <f>SUMIF(ASIGNACION!$C$5:$C$94,Z335,ASIGNACION!$R$5:$R$94)*'Costos x MO'!$B$7</f>
        <v>0</v>
      </c>
      <c r="AV335" s="12" t="str">
        <f>IFERROR(VLOOKUP(Z335,ASIGNACION!$C$5:$H$94,6,0),"F/Fecha")</f>
        <v>F/Fecha</v>
      </c>
    </row>
    <row r="336" spans="37:48" x14ac:dyDescent="0.25">
      <c r="AK336" s="12"/>
      <c r="AR336" s="12" t="e">
        <f t="shared" si="5"/>
        <v>#N/A</v>
      </c>
      <c r="AU336" s="12">
        <f>SUMIF(ASIGNACION!$C$5:$C$94,Z336,ASIGNACION!$R$5:$R$94)*'Costos x MO'!$B$7</f>
        <v>0</v>
      </c>
      <c r="AV336" s="12" t="str">
        <f>IFERROR(VLOOKUP(Z336,ASIGNACION!$C$5:$H$94,6,0),"F/Fecha")</f>
        <v>F/Fecha</v>
      </c>
    </row>
    <row r="337" spans="37:48" x14ac:dyDescent="0.25">
      <c r="AK337" s="12"/>
      <c r="AR337" s="12" t="e">
        <f t="shared" si="5"/>
        <v>#N/A</v>
      </c>
      <c r="AU337" s="12">
        <f>SUMIF(ASIGNACION!$C$5:$C$94,Z337,ASIGNACION!$R$5:$R$94)*'Costos x MO'!$B$7</f>
        <v>0</v>
      </c>
      <c r="AV337" s="12" t="str">
        <f>IFERROR(VLOOKUP(Z337,ASIGNACION!$C$5:$H$94,6,0),"F/Fecha")</f>
        <v>F/Fecha</v>
      </c>
    </row>
    <row r="338" spans="37:48" x14ac:dyDescent="0.25">
      <c r="AK338" s="12"/>
      <c r="AR338" s="12" t="e">
        <f t="shared" si="5"/>
        <v>#N/A</v>
      </c>
      <c r="AU338" s="12">
        <f>SUMIF(ASIGNACION!$C$5:$C$94,Z338,ASIGNACION!$R$5:$R$94)*'Costos x MO'!$B$7</f>
        <v>0</v>
      </c>
      <c r="AV338" s="12" t="str">
        <f>IFERROR(VLOOKUP(Z338,ASIGNACION!$C$5:$H$94,6,0),"F/Fecha")</f>
        <v>F/Fecha</v>
      </c>
    </row>
    <row r="339" spans="37:48" x14ac:dyDescent="0.25">
      <c r="AK339" s="12"/>
      <c r="AR339" s="12" t="e">
        <f t="shared" si="5"/>
        <v>#N/A</v>
      </c>
      <c r="AU339" s="12">
        <f>SUMIF(ASIGNACION!$C$5:$C$94,Z339,ASIGNACION!$R$5:$R$94)*'Costos x MO'!$B$7</f>
        <v>0</v>
      </c>
      <c r="AV339" s="12" t="str">
        <f>IFERROR(VLOOKUP(Z339,ASIGNACION!$C$5:$H$94,6,0),"F/Fecha")</f>
        <v>F/Fecha</v>
      </c>
    </row>
    <row r="340" spans="37:48" x14ac:dyDescent="0.25">
      <c r="AK340" s="12"/>
      <c r="AR340" s="12" t="e">
        <f t="shared" si="5"/>
        <v>#N/A</v>
      </c>
      <c r="AU340" s="12">
        <f>SUMIF(ASIGNACION!$C$5:$C$94,Z340,ASIGNACION!$R$5:$R$94)*'Costos x MO'!$B$7</f>
        <v>0</v>
      </c>
      <c r="AV340" s="12" t="str">
        <f>IFERROR(VLOOKUP(Z340,ASIGNACION!$C$5:$H$94,6,0),"F/Fecha")</f>
        <v>F/Fecha</v>
      </c>
    </row>
    <row r="341" spans="37:48" x14ac:dyDescent="0.25">
      <c r="AK341" s="12"/>
      <c r="AR341" s="12" t="e">
        <f t="shared" si="5"/>
        <v>#N/A</v>
      </c>
      <c r="AU341" s="12">
        <f>SUMIF(ASIGNACION!$C$5:$C$94,Z341,ASIGNACION!$R$5:$R$94)*'Costos x MO'!$B$7</f>
        <v>0</v>
      </c>
      <c r="AV341" s="12" t="str">
        <f>IFERROR(VLOOKUP(Z341,ASIGNACION!$C$5:$H$94,6,0),"F/Fecha")</f>
        <v>F/Fecha</v>
      </c>
    </row>
    <row r="342" spans="37:48" x14ac:dyDescent="0.25">
      <c r="AK342" s="12"/>
      <c r="AR342" s="12" t="e">
        <f t="shared" si="5"/>
        <v>#N/A</v>
      </c>
      <c r="AU342" s="12">
        <f>SUMIF(ASIGNACION!$C$5:$C$94,Z342,ASIGNACION!$R$5:$R$94)*'Costos x MO'!$B$7</f>
        <v>0</v>
      </c>
      <c r="AV342" s="12" t="str">
        <f>IFERROR(VLOOKUP(Z342,ASIGNACION!$C$5:$H$94,6,0),"F/Fecha")</f>
        <v>F/Fecha</v>
      </c>
    </row>
    <row r="343" spans="37:48" x14ac:dyDescent="0.25">
      <c r="AK343" s="12"/>
      <c r="AR343" s="12" t="e">
        <f t="shared" si="5"/>
        <v>#N/A</v>
      </c>
      <c r="AU343" s="12">
        <f>SUMIF(ASIGNACION!$C$5:$C$94,Z343,ASIGNACION!$R$5:$R$94)*'Costos x MO'!$B$7</f>
        <v>0</v>
      </c>
      <c r="AV343" s="12" t="str">
        <f>IFERROR(VLOOKUP(Z343,ASIGNACION!$C$5:$H$94,6,0),"F/Fecha")</f>
        <v>F/Fecha</v>
      </c>
    </row>
    <row r="344" spans="37:48" x14ac:dyDescent="0.25">
      <c r="AK344" s="12"/>
      <c r="AR344" s="12" t="e">
        <f t="shared" si="5"/>
        <v>#N/A</v>
      </c>
      <c r="AU344" s="12">
        <f>SUMIF(ASIGNACION!$C$5:$C$94,Z344,ASIGNACION!$R$5:$R$94)*'Costos x MO'!$B$7</f>
        <v>0</v>
      </c>
      <c r="AV344" s="12" t="str">
        <f>IFERROR(VLOOKUP(Z344,ASIGNACION!$C$5:$H$94,6,0),"F/Fecha")</f>
        <v>F/Fecha</v>
      </c>
    </row>
    <row r="345" spans="37:48" x14ac:dyDescent="0.25">
      <c r="AK345" s="12"/>
      <c r="AR345" s="12" t="e">
        <f t="shared" si="5"/>
        <v>#N/A</v>
      </c>
      <c r="AU345" s="12">
        <f>SUMIF(ASIGNACION!$C$5:$C$94,Z345,ASIGNACION!$R$5:$R$94)*'Costos x MO'!$B$7</f>
        <v>0</v>
      </c>
      <c r="AV345" s="12" t="str">
        <f>IFERROR(VLOOKUP(Z345,ASIGNACION!$C$5:$H$94,6,0),"F/Fecha")</f>
        <v>F/Fecha</v>
      </c>
    </row>
    <row r="346" spans="37:48" x14ac:dyDescent="0.25">
      <c r="AK346" s="12"/>
      <c r="AR346" s="12" t="e">
        <f t="shared" si="5"/>
        <v>#N/A</v>
      </c>
      <c r="AU346" s="12">
        <f>SUMIF(ASIGNACION!$C$5:$C$94,Z346,ASIGNACION!$R$5:$R$94)*'Costos x MO'!$B$7</f>
        <v>0</v>
      </c>
      <c r="AV346" s="12" t="str">
        <f>IFERROR(VLOOKUP(Z346,ASIGNACION!$C$5:$H$94,6,0),"F/Fecha")</f>
        <v>F/Fecha</v>
      </c>
    </row>
    <row r="347" spans="37:48" x14ac:dyDescent="0.25">
      <c r="AK347" s="12"/>
      <c r="AR347" s="12" t="e">
        <f t="shared" si="5"/>
        <v>#N/A</v>
      </c>
      <c r="AU347" s="12">
        <f>SUMIF(ASIGNACION!$C$5:$C$94,Z347,ASIGNACION!$R$5:$R$94)*'Costos x MO'!$B$7</f>
        <v>0</v>
      </c>
      <c r="AV347" s="12" t="str">
        <f>IFERROR(VLOOKUP(Z347,ASIGNACION!$C$5:$H$94,6,0),"F/Fecha")</f>
        <v>F/Fecha</v>
      </c>
    </row>
    <row r="348" spans="37:48" x14ac:dyDescent="0.25">
      <c r="AK348" s="12"/>
      <c r="AR348" s="12" t="e">
        <f t="shared" si="5"/>
        <v>#N/A</v>
      </c>
      <c r="AU348" s="12">
        <f>SUMIF(ASIGNACION!$C$5:$C$94,Z348,ASIGNACION!$R$5:$R$94)*'Costos x MO'!$B$7</f>
        <v>0</v>
      </c>
      <c r="AV348" s="12" t="str">
        <f>IFERROR(VLOOKUP(Z348,ASIGNACION!$C$5:$H$94,6,0),"F/Fecha")</f>
        <v>F/Fecha</v>
      </c>
    </row>
    <row r="349" spans="37:48" x14ac:dyDescent="0.25">
      <c r="AK349" s="12"/>
      <c r="AR349" s="12" t="e">
        <f t="shared" si="5"/>
        <v>#N/A</v>
      </c>
      <c r="AU349" s="12">
        <f>SUMIF(ASIGNACION!$C$5:$C$94,Z349,ASIGNACION!$R$5:$R$94)*'Costos x MO'!$B$7</f>
        <v>0</v>
      </c>
      <c r="AV349" s="12" t="str">
        <f>IFERROR(VLOOKUP(Z349,ASIGNACION!$C$5:$H$94,6,0),"F/Fecha")</f>
        <v>F/Fecha</v>
      </c>
    </row>
    <row r="350" spans="37:48" x14ac:dyDescent="0.25">
      <c r="AK350" s="12"/>
      <c r="AR350" s="12" t="e">
        <f t="shared" si="5"/>
        <v>#N/A</v>
      </c>
      <c r="AU350" s="12">
        <f>SUMIF(ASIGNACION!$C$5:$C$94,Z350,ASIGNACION!$R$5:$R$94)*'Costos x MO'!$B$7</f>
        <v>0</v>
      </c>
      <c r="AV350" s="12" t="str">
        <f>IFERROR(VLOOKUP(Z350,ASIGNACION!$C$5:$H$94,6,0),"F/Fecha")</f>
        <v>F/Fecha</v>
      </c>
    </row>
    <row r="351" spans="37:48" x14ac:dyDescent="0.25">
      <c r="AK351" s="12"/>
      <c r="AR351" s="12" t="e">
        <f t="shared" si="5"/>
        <v>#N/A</v>
      </c>
      <c r="AU351" s="12">
        <f>SUMIF(ASIGNACION!$C$5:$C$94,Z351,ASIGNACION!$R$5:$R$94)*'Costos x MO'!$B$7</f>
        <v>0</v>
      </c>
      <c r="AV351" s="12" t="str">
        <f>IFERROR(VLOOKUP(Z351,ASIGNACION!$C$5:$H$94,6,0),"F/Fecha")</f>
        <v>F/Fecha</v>
      </c>
    </row>
    <row r="352" spans="37:48" x14ac:dyDescent="0.25">
      <c r="AK352" s="12"/>
      <c r="AR352" s="12" t="e">
        <f t="shared" si="5"/>
        <v>#N/A</v>
      </c>
      <c r="AU352" s="12">
        <f>SUMIF(ASIGNACION!$C$5:$C$94,Z352,ASIGNACION!$R$5:$R$94)*'Costos x MO'!$B$7</f>
        <v>0</v>
      </c>
      <c r="AV352" s="12" t="str">
        <f>IFERROR(VLOOKUP(Z352,ASIGNACION!$C$5:$H$94,6,0),"F/Fecha")</f>
        <v>F/Fecha</v>
      </c>
    </row>
    <row r="353" spans="37:48" x14ac:dyDescent="0.25">
      <c r="AK353" s="12"/>
      <c r="AR353" s="12" t="e">
        <f t="shared" si="5"/>
        <v>#N/A</v>
      </c>
      <c r="AU353" s="12">
        <f>SUMIF(ASIGNACION!$C$5:$C$94,Z353,ASIGNACION!$R$5:$R$94)*'Costos x MO'!$B$7</f>
        <v>0</v>
      </c>
      <c r="AV353" s="12" t="str">
        <f>IFERROR(VLOOKUP(Z353,ASIGNACION!$C$5:$H$94,6,0),"F/Fecha")</f>
        <v>F/Fecha</v>
      </c>
    </row>
    <row r="354" spans="37:48" x14ac:dyDescent="0.25">
      <c r="AK354" s="12"/>
      <c r="AR354" s="12" t="e">
        <f t="shared" si="5"/>
        <v>#N/A</v>
      </c>
      <c r="AU354" s="12">
        <f>SUMIF(ASIGNACION!$C$5:$C$94,Z354,ASIGNACION!$R$5:$R$94)*'Costos x MO'!$B$7</f>
        <v>0</v>
      </c>
      <c r="AV354" s="12" t="str">
        <f>IFERROR(VLOOKUP(Z354,ASIGNACION!$C$5:$H$94,6,0),"F/Fecha")</f>
        <v>F/Fecha</v>
      </c>
    </row>
    <row r="355" spans="37:48" x14ac:dyDescent="0.25">
      <c r="AK355" s="12"/>
      <c r="AR355" s="12" t="e">
        <f t="shared" si="5"/>
        <v>#N/A</v>
      </c>
      <c r="AU355" s="12">
        <f>SUMIF(ASIGNACION!$C$5:$C$94,Z355,ASIGNACION!$R$5:$R$94)*'Costos x MO'!$B$7</f>
        <v>0</v>
      </c>
      <c r="AV355" s="12" t="str">
        <f>IFERROR(VLOOKUP(Z355,ASIGNACION!$C$5:$H$94,6,0),"F/Fecha")</f>
        <v>F/Fecha</v>
      </c>
    </row>
    <row r="356" spans="37:48" x14ac:dyDescent="0.25">
      <c r="AK356" s="12"/>
      <c r="AR356" s="12" t="e">
        <f t="shared" si="5"/>
        <v>#N/A</v>
      </c>
      <c r="AU356" s="12">
        <f>SUMIF(ASIGNACION!$C$5:$C$94,Z356,ASIGNACION!$R$5:$R$94)*'Costos x MO'!$B$7</f>
        <v>0</v>
      </c>
      <c r="AV356" s="12" t="str">
        <f>IFERROR(VLOOKUP(Z356,ASIGNACION!$C$5:$H$94,6,0),"F/Fecha")</f>
        <v>F/Fecha</v>
      </c>
    </row>
    <row r="357" spans="37:48" x14ac:dyDescent="0.25">
      <c r="AK357" s="12"/>
      <c r="AR357" s="12" t="e">
        <f t="shared" si="5"/>
        <v>#N/A</v>
      </c>
      <c r="AU357" s="12">
        <f>SUMIF(ASIGNACION!$C$5:$C$94,Z357,ASIGNACION!$R$5:$R$94)*'Costos x MO'!$B$7</f>
        <v>0</v>
      </c>
      <c r="AV357" s="12" t="str">
        <f>IFERROR(VLOOKUP(Z357,ASIGNACION!$C$5:$H$94,6,0),"F/Fecha")</f>
        <v>F/Fecha</v>
      </c>
    </row>
    <row r="358" spans="37:48" x14ac:dyDescent="0.25">
      <c r="AK358" s="12"/>
      <c r="AR358" s="12" t="e">
        <f t="shared" si="5"/>
        <v>#N/A</v>
      </c>
      <c r="AU358" s="12">
        <f>SUMIF(ASIGNACION!$C$5:$C$94,Z358,ASIGNACION!$R$5:$R$94)*'Costos x MO'!$B$7</f>
        <v>0</v>
      </c>
      <c r="AV358" s="12" t="str">
        <f>IFERROR(VLOOKUP(Z358,ASIGNACION!$C$5:$H$94,6,0),"F/Fecha")</f>
        <v>F/Fecha</v>
      </c>
    </row>
    <row r="359" spans="37:48" x14ac:dyDescent="0.25">
      <c r="AK359" s="12"/>
      <c r="AR359" s="12" t="e">
        <f t="shared" si="5"/>
        <v>#N/A</v>
      </c>
      <c r="AU359" s="12">
        <f>SUMIF(ASIGNACION!$C$5:$C$94,Z359,ASIGNACION!$R$5:$R$94)*'Costos x MO'!$B$7</f>
        <v>0</v>
      </c>
      <c r="AV359" s="12" t="str">
        <f>IFERROR(VLOOKUP(Z359,ASIGNACION!$C$5:$H$94,6,0),"F/Fecha")</f>
        <v>F/Fecha</v>
      </c>
    </row>
    <row r="360" spans="37:48" x14ac:dyDescent="0.25">
      <c r="AK360" s="12"/>
      <c r="AR360" s="12" t="e">
        <f t="shared" si="5"/>
        <v>#N/A</v>
      </c>
      <c r="AU360" s="12">
        <f>SUMIF(ASIGNACION!$C$5:$C$94,Z360,ASIGNACION!$R$5:$R$94)*'Costos x MO'!$B$7</f>
        <v>0</v>
      </c>
      <c r="AV360" s="12" t="str">
        <f>IFERROR(VLOOKUP(Z360,ASIGNACION!$C$5:$H$94,6,0),"F/Fecha")</f>
        <v>F/Fecha</v>
      </c>
    </row>
    <row r="361" spans="37:48" x14ac:dyDescent="0.25">
      <c r="AK361" s="12"/>
      <c r="AR361" s="12" t="e">
        <f t="shared" si="5"/>
        <v>#N/A</v>
      </c>
      <c r="AU361" s="12">
        <f>SUMIF(ASIGNACION!$C$5:$C$94,Z361,ASIGNACION!$R$5:$R$94)*'Costos x MO'!$B$7</f>
        <v>0</v>
      </c>
      <c r="AV361" s="12" t="str">
        <f>IFERROR(VLOOKUP(Z361,ASIGNACION!$C$5:$H$94,6,0),"F/Fecha")</f>
        <v>F/Fecha</v>
      </c>
    </row>
    <row r="362" spans="37:48" x14ac:dyDescent="0.25">
      <c r="AK362" s="12"/>
      <c r="AR362" s="12" t="e">
        <f t="shared" si="5"/>
        <v>#N/A</v>
      </c>
      <c r="AU362" s="12">
        <f>SUMIF(ASIGNACION!$C$5:$C$94,Z362,ASIGNACION!$R$5:$R$94)*'Costos x MO'!$B$7</f>
        <v>0</v>
      </c>
      <c r="AV362" s="12" t="str">
        <f>IFERROR(VLOOKUP(Z362,ASIGNACION!$C$5:$H$94,6,0),"F/Fecha")</f>
        <v>F/Fecha</v>
      </c>
    </row>
    <row r="363" spans="37:48" x14ac:dyDescent="0.25">
      <c r="AK363" s="12"/>
      <c r="AR363" s="12" t="e">
        <f t="shared" si="5"/>
        <v>#N/A</v>
      </c>
      <c r="AU363" s="12">
        <f>SUMIF(ASIGNACION!$C$5:$C$94,Z363,ASIGNACION!$R$5:$R$94)*'Costos x MO'!$B$7</f>
        <v>0</v>
      </c>
      <c r="AV363" s="12" t="str">
        <f>IFERROR(VLOOKUP(Z363,ASIGNACION!$C$5:$H$94,6,0),"F/Fecha")</f>
        <v>F/Fecha</v>
      </c>
    </row>
    <row r="364" spans="37:48" x14ac:dyDescent="0.25">
      <c r="AK364" s="12"/>
      <c r="AR364" s="12" t="e">
        <f t="shared" si="5"/>
        <v>#N/A</v>
      </c>
      <c r="AU364" s="12">
        <f>SUMIF(ASIGNACION!$C$5:$C$94,Z364,ASIGNACION!$R$5:$R$94)*'Costos x MO'!$B$7</f>
        <v>0</v>
      </c>
      <c r="AV364" s="12" t="str">
        <f>IFERROR(VLOOKUP(Z364,ASIGNACION!$C$5:$H$94,6,0),"F/Fecha")</f>
        <v>F/Fecha</v>
      </c>
    </row>
    <row r="365" spans="37:48" x14ac:dyDescent="0.25">
      <c r="AK365" s="12"/>
      <c r="AR365" s="12" t="e">
        <f t="shared" si="5"/>
        <v>#N/A</v>
      </c>
      <c r="AU365" s="12">
        <f>SUMIF(ASIGNACION!$C$5:$C$94,Z365,ASIGNACION!$R$5:$R$94)*'Costos x MO'!$B$7</f>
        <v>0</v>
      </c>
      <c r="AV365" s="12" t="str">
        <f>IFERROR(VLOOKUP(Z365,ASIGNACION!$C$5:$H$94,6,0),"F/Fecha")</f>
        <v>F/Fecha</v>
      </c>
    </row>
    <row r="366" spans="37:48" x14ac:dyDescent="0.25">
      <c r="AK366" s="12"/>
      <c r="AR366" s="12" t="e">
        <f t="shared" si="5"/>
        <v>#N/A</v>
      </c>
      <c r="AU366" s="12">
        <f>SUMIF(ASIGNACION!$C$5:$C$94,Z366,ASIGNACION!$R$5:$R$94)*'Costos x MO'!$B$7</f>
        <v>0</v>
      </c>
      <c r="AV366" s="12" t="str">
        <f>IFERROR(VLOOKUP(Z366,ASIGNACION!$C$5:$H$94,6,0),"F/Fecha")</f>
        <v>F/Fecha</v>
      </c>
    </row>
    <row r="367" spans="37:48" x14ac:dyDescent="0.25">
      <c r="AK367" s="12"/>
      <c r="AR367" s="12" t="e">
        <f t="shared" si="5"/>
        <v>#N/A</v>
      </c>
      <c r="AU367" s="12">
        <f>SUMIF(ASIGNACION!$C$5:$C$94,Z367,ASIGNACION!$R$5:$R$94)*'Costos x MO'!$B$7</f>
        <v>0</v>
      </c>
      <c r="AV367" s="12" t="str">
        <f>IFERROR(VLOOKUP(Z367,ASIGNACION!$C$5:$H$94,6,0),"F/Fecha")</f>
        <v>F/Fecha</v>
      </c>
    </row>
    <row r="368" spans="37:48" x14ac:dyDescent="0.25">
      <c r="AK368" s="12"/>
      <c r="AR368" s="12" t="e">
        <f t="shared" si="5"/>
        <v>#N/A</v>
      </c>
      <c r="AU368" s="12">
        <f>SUMIF(ASIGNACION!$C$5:$C$94,Z368,ASIGNACION!$R$5:$R$94)*'Costos x MO'!$B$7</f>
        <v>0</v>
      </c>
      <c r="AV368" s="12" t="str">
        <f>IFERROR(VLOOKUP(Z368,ASIGNACION!$C$5:$H$94,6,0),"F/Fecha")</f>
        <v>F/Fecha</v>
      </c>
    </row>
    <row r="369" spans="37:48" x14ac:dyDescent="0.25">
      <c r="AK369" s="12"/>
      <c r="AR369" s="12" t="e">
        <f t="shared" si="5"/>
        <v>#N/A</v>
      </c>
      <c r="AU369" s="12">
        <f>SUMIF(ASIGNACION!$C$5:$C$94,Z369,ASIGNACION!$R$5:$R$94)*'Costos x MO'!$B$7</f>
        <v>0</v>
      </c>
      <c r="AV369" s="12" t="str">
        <f>IFERROR(VLOOKUP(Z369,ASIGNACION!$C$5:$H$94,6,0),"F/Fecha")</f>
        <v>F/Fecha</v>
      </c>
    </row>
    <row r="370" spans="37:48" x14ac:dyDescent="0.25">
      <c r="AK370" s="12"/>
      <c r="AR370" s="12" t="e">
        <f t="shared" si="5"/>
        <v>#N/A</v>
      </c>
      <c r="AU370" s="12">
        <f>SUMIF(ASIGNACION!$C$5:$C$94,Z370,ASIGNACION!$R$5:$R$94)*'Costos x MO'!$B$7</f>
        <v>0</v>
      </c>
      <c r="AV370" s="12" t="str">
        <f>IFERROR(VLOOKUP(Z370,ASIGNACION!$C$5:$H$94,6,0),"F/Fecha")</f>
        <v>F/Fecha</v>
      </c>
    </row>
    <row r="371" spans="37:48" x14ac:dyDescent="0.25">
      <c r="AK371" s="12"/>
      <c r="AR371" s="12" t="e">
        <f t="shared" si="5"/>
        <v>#N/A</v>
      </c>
      <c r="AU371" s="12">
        <f>SUMIF(ASIGNACION!$C$5:$C$94,Z371,ASIGNACION!$R$5:$R$94)*'Costos x MO'!$B$7</f>
        <v>0</v>
      </c>
      <c r="AV371" s="12" t="str">
        <f>IFERROR(VLOOKUP(Z371,ASIGNACION!$C$5:$H$94,6,0),"F/Fecha")</f>
        <v>F/Fecha</v>
      </c>
    </row>
    <row r="372" spans="37:48" x14ac:dyDescent="0.25">
      <c r="AK372" s="12"/>
      <c r="AR372" s="12" t="e">
        <f t="shared" si="5"/>
        <v>#N/A</v>
      </c>
      <c r="AU372" s="12">
        <f>SUMIF(ASIGNACION!$C$5:$C$94,Z372,ASIGNACION!$R$5:$R$94)*'Costos x MO'!$B$7</f>
        <v>0</v>
      </c>
      <c r="AV372" s="12" t="str">
        <f>IFERROR(VLOOKUP(Z372,ASIGNACION!$C$5:$H$94,6,0),"F/Fecha")</f>
        <v>F/Fecha</v>
      </c>
    </row>
    <row r="373" spans="37:48" x14ac:dyDescent="0.25">
      <c r="AK373" s="12"/>
      <c r="AR373" s="12" t="e">
        <f t="shared" si="5"/>
        <v>#N/A</v>
      </c>
      <c r="AU373" s="12">
        <f>SUMIF(ASIGNACION!$C$5:$C$94,Z373,ASIGNACION!$R$5:$R$94)*'Costos x MO'!$B$7</f>
        <v>0</v>
      </c>
      <c r="AV373" s="12" t="str">
        <f>IFERROR(VLOOKUP(Z373,ASIGNACION!$C$5:$H$94,6,0),"F/Fecha")</f>
        <v>F/Fecha</v>
      </c>
    </row>
    <row r="374" spans="37:48" x14ac:dyDescent="0.25">
      <c r="AK374" s="12"/>
      <c r="AR374" s="12" t="e">
        <f t="shared" si="5"/>
        <v>#N/A</v>
      </c>
      <c r="AU374" s="12">
        <f>SUMIF(ASIGNACION!$C$5:$C$94,Z374,ASIGNACION!$R$5:$R$94)*'Costos x MO'!$B$7</f>
        <v>0</v>
      </c>
      <c r="AV374" s="12" t="str">
        <f>IFERROR(VLOOKUP(Z374,ASIGNACION!$C$5:$H$94,6,0),"F/Fecha")</f>
        <v>F/Fecha</v>
      </c>
    </row>
    <row r="375" spans="37:48" x14ac:dyDescent="0.25">
      <c r="AK375" s="12"/>
      <c r="AR375" s="12" t="e">
        <f t="shared" si="5"/>
        <v>#N/A</v>
      </c>
      <c r="AU375" s="12">
        <f>SUMIF(ASIGNACION!$C$5:$C$94,Z375,ASIGNACION!$R$5:$R$94)*'Costos x MO'!$B$7</f>
        <v>0</v>
      </c>
      <c r="AV375" s="12" t="str">
        <f>IFERROR(VLOOKUP(Z375,ASIGNACION!$C$5:$H$94,6,0),"F/Fecha")</f>
        <v>F/Fecha</v>
      </c>
    </row>
    <row r="376" spans="37:48" x14ac:dyDescent="0.25">
      <c r="AK376" s="12"/>
      <c r="AR376" s="12" t="e">
        <f t="shared" si="5"/>
        <v>#N/A</v>
      </c>
      <c r="AU376" s="12">
        <f>SUMIF(ASIGNACION!$C$5:$C$94,Z376,ASIGNACION!$R$5:$R$94)*'Costos x MO'!$B$7</f>
        <v>0</v>
      </c>
      <c r="AV376" s="12" t="str">
        <f>IFERROR(VLOOKUP(Z376,ASIGNACION!$C$5:$H$94,6,0),"F/Fecha")</f>
        <v>F/Fecha</v>
      </c>
    </row>
    <row r="377" spans="37:48" x14ac:dyDescent="0.25">
      <c r="AK377" s="12"/>
      <c r="AR377" s="12" t="e">
        <f t="shared" si="5"/>
        <v>#N/A</v>
      </c>
      <c r="AU377" s="12">
        <f>SUMIF(ASIGNACION!$C$5:$C$94,Z377,ASIGNACION!$R$5:$R$94)*'Costos x MO'!$B$7</f>
        <v>0</v>
      </c>
      <c r="AV377" s="12" t="str">
        <f>IFERROR(VLOOKUP(Z377,ASIGNACION!$C$5:$H$94,6,0),"F/Fecha")</f>
        <v>F/Fecha</v>
      </c>
    </row>
    <row r="378" spans="37:48" x14ac:dyDescent="0.25">
      <c r="AK378" s="12"/>
      <c r="AR378" s="12" t="e">
        <f t="shared" si="5"/>
        <v>#N/A</v>
      </c>
      <c r="AU378" s="12">
        <f>SUMIF(ASIGNACION!$C$5:$C$94,Z378,ASIGNACION!$R$5:$R$94)*'Costos x MO'!$B$7</f>
        <v>0</v>
      </c>
      <c r="AV378" s="12" t="str">
        <f>IFERROR(VLOOKUP(Z378,ASIGNACION!$C$5:$H$94,6,0),"F/Fecha")</f>
        <v>F/Fecha</v>
      </c>
    </row>
    <row r="379" spans="37:48" x14ac:dyDescent="0.25">
      <c r="AK379" s="12"/>
      <c r="AR379" s="12" t="e">
        <f t="shared" si="5"/>
        <v>#N/A</v>
      </c>
      <c r="AU379" s="12">
        <f>SUMIF(ASIGNACION!$C$5:$C$94,Z379,ASIGNACION!$R$5:$R$94)*'Costos x MO'!$B$7</f>
        <v>0</v>
      </c>
      <c r="AV379" s="12" t="str">
        <f>IFERROR(VLOOKUP(Z379,ASIGNACION!$C$5:$H$94,6,0),"F/Fecha")</f>
        <v>F/Fecha</v>
      </c>
    </row>
    <row r="380" spans="37:48" x14ac:dyDescent="0.25">
      <c r="AK380" s="12"/>
      <c r="AR380" s="12" t="e">
        <f t="shared" si="5"/>
        <v>#N/A</v>
      </c>
      <c r="AU380" s="12">
        <f>SUMIF(ASIGNACION!$C$5:$C$94,Z380,ASIGNACION!$R$5:$R$94)*'Costos x MO'!$B$7</f>
        <v>0</v>
      </c>
      <c r="AV380" s="12" t="str">
        <f>IFERROR(VLOOKUP(Z380,ASIGNACION!$C$5:$H$94,6,0),"F/Fecha")</f>
        <v>F/Fecha</v>
      </c>
    </row>
    <row r="381" spans="37:48" x14ac:dyDescent="0.25">
      <c r="AK381" s="12"/>
      <c r="AR381" s="12" t="e">
        <f t="shared" si="5"/>
        <v>#N/A</v>
      </c>
      <c r="AU381" s="12">
        <f>SUMIF(ASIGNACION!$C$5:$C$94,Z381,ASIGNACION!$R$5:$R$94)*'Costos x MO'!$B$7</f>
        <v>0</v>
      </c>
      <c r="AV381" s="12" t="str">
        <f>IFERROR(VLOOKUP(Z381,ASIGNACION!$C$5:$H$94,6,0),"F/Fecha")</f>
        <v>F/Fecha</v>
      </c>
    </row>
    <row r="382" spans="37:48" x14ac:dyDescent="0.25">
      <c r="AK382" s="12"/>
      <c r="AR382" s="12" t="e">
        <f t="shared" si="5"/>
        <v>#N/A</v>
      </c>
      <c r="AU382" s="12">
        <f>SUMIF(ASIGNACION!$C$5:$C$94,Z382,ASIGNACION!$R$5:$R$94)*'Costos x MO'!$B$7</f>
        <v>0</v>
      </c>
      <c r="AV382" s="12" t="str">
        <f>IFERROR(VLOOKUP(Z382,ASIGNACION!$C$5:$H$94,6,0),"F/Fecha")</f>
        <v>F/Fecha</v>
      </c>
    </row>
    <row r="383" spans="37:48" x14ac:dyDescent="0.25">
      <c r="AK383" s="12"/>
      <c r="AR383" s="12" t="e">
        <f t="shared" si="5"/>
        <v>#N/A</v>
      </c>
      <c r="AU383" s="12">
        <f>SUMIF(ASIGNACION!$C$5:$C$94,Z383,ASIGNACION!$R$5:$R$94)*'Costos x MO'!$B$7</f>
        <v>0</v>
      </c>
      <c r="AV383" s="12" t="str">
        <f>IFERROR(VLOOKUP(Z383,ASIGNACION!$C$5:$H$94,6,0),"F/Fecha")</f>
        <v>F/Fecha</v>
      </c>
    </row>
    <row r="384" spans="37:48" x14ac:dyDescent="0.25">
      <c r="AK384" s="12"/>
      <c r="AR384" s="12" t="e">
        <f t="shared" si="5"/>
        <v>#N/A</v>
      </c>
      <c r="AU384" s="12">
        <f>SUMIF(ASIGNACION!$C$5:$C$94,Z384,ASIGNACION!$R$5:$R$94)*'Costos x MO'!$B$7</f>
        <v>0</v>
      </c>
      <c r="AV384" s="12" t="str">
        <f>IFERROR(VLOOKUP(Z384,ASIGNACION!$C$5:$H$94,6,0),"F/Fecha")</f>
        <v>F/Fecha</v>
      </c>
    </row>
    <row r="385" spans="37:48" x14ac:dyDescent="0.25">
      <c r="AK385" s="12"/>
      <c r="AR385" s="12" t="e">
        <f t="shared" si="5"/>
        <v>#N/A</v>
      </c>
      <c r="AU385" s="12">
        <f>SUMIF(ASIGNACION!$C$5:$C$94,Z385,ASIGNACION!$R$5:$R$94)*'Costos x MO'!$B$7</f>
        <v>0</v>
      </c>
      <c r="AV385" s="12" t="str">
        <f>IFERROR(VLOOKUP(Z385,ASIGNACION!$C$5:$H$94,6,0),"F/Fecha")</f>
        <v>F/Fecha</v>
      </c>
    </row>
    <row r="386" spans="37:48" x14ac:dyDescent="0.25">
      <c r="AK386" s="12"/>
      <c r="AR386" s="12" t="e">
        <f t="shared" si="5"/>
        <v>#N/A</v>
      </c>
      <c r="AU386" s="12">
        <f>SUMIF(ASIGNACION!$C$5:$C$94,Z386,ASIGNACION!$R$5:$R$94)*'Costos x MO'!$B$7</f>
        <v>0</v>
      </c>
      <c r="AV386" s="12" t="str">
        <f>IFERROR(VLOOKUP(Z386,ASIGNACION!$C$5:$H$94,6,0),"F/Fecha")</f>
        <v>F/Fecha</v>
      </c>
    </row>
    <row r="387" spans="37:48" x14ac:dyDescent="0.25">
      <c r="AK387" s="12"/>
      <c r="AR387" s="12" t="e">
        <f t="shared" si="5"/>
        <v>#N/A</v>
      </c>
      <c r="AU387" s="12">
        <f>SUMIF(ASIGNACION!$C$5:$C$94,Z387,ASIGNACION!$R$5:$R$94)*'Costos x MO'!$B$7</f>
        <v>0</v>
      </c>
      <c r="AV387" s="12" t="str">
        <f>IFERROR(VLOOKUP(Z387,ASIGNACION!$C$5:$H$94,6,0),"F/Fecha")</f>
        <v>F/Fecha</v>
      </c>
    </row>
    <row r="388" spans="37:48" x14ac:dyDescent="0.25">
      <c r="AK388" s="12"/>
      <c r="AR388" s="12" t="e">
        <f t="shared" si="5"/>
        <v>#N/A</v>
      </c>
      <c r="AU388" s="12">
        <f>SUMIF(ASIGNACION!$C$5:$C$94,Z388,ASIGNACION!$R$5:$R$94)*'Costos x MO'!$B$7</f>
        <v>0</v>
      </c>
      <c r="AV388" s="12" t="str">
        <f>IFERROR(VLOOKUP(Z388,ASIGNACION!$C$5:$H$94,6,0),"F/Fecha")</f>
        <v>F/Fecha</v>
      </c>
    </row>
    <row r="389" spans="37:48" x14ac:dyDescent="0.25">
      <c r="AK389" s="12"/>
      <c r="AR389" s="12" t="e">
        <f t="shared" ref="AR389:AR452" si="6">VLOOKUP(Z389,$E$4:$G$3523,3,0)</f>
        <v>#N/A</v>
      </c>
      <c r="AU389" s="12">
        <f>SUMIF(ASIGNACION!$C$5:$C$94,Z389,ASIGNACION!$R$5:$R$94)*'Costos x MO'!$B$7</f>
        <v>0</v>
      </c>
      <c r="AV389" s="12" t="str">
        <f>IFERROR(VLOOKUP(Z389,ASIGNACION!$C$5:$H$94,6,0),"F/Fecha")</f>
        <v>F/Fecha</v>
      </c>
    </row>
    <row r="390" spans="37:48" x14ac:dyDescent="0.25">
      <c r="AK390" s="12"/>
      <c r="AR390" s="12" t="e">
        <f t="shared" si="6"/>
        <v>#N/A</v>
      </c>
      <c r="AU390" s="12">
        <f>SUMIF(ASIGNACION!$C$5:$C$94,Z390,ASIGNACION!$R$5:$R$94)*'Costos x MO'!$B$7</f>
        <v>0</v>
      </c>
      <c r="AV390" s="12" t="str">
        <f>IFERROR(VLOOKUP(Z390,ASIGNACION!$C$5:$H$94,6,0),"F/Fecha")</f>
        <v>F/Fecha</v>
      </c>
    </row>
    <row r="391" spans="37:48" x14ac:dyDescent="0.25">
      <c r="AK391" s="12"/>
      <c r="AR391" s="12" t="e">
        <f t="shared" si="6"/>
        <v>#N/A</v>
      </c>
      <c r="AU391" s="12">
        <f>SUMIF(ASIGNACION!$C$5:$C$94,Z391,ASIGNACION!$R$5:$R$94)*'Costos x MO'!$B$7</f>
        <v>0</v>
      </c>
      <c r="AV391" s="12" t="str">
        <f>IFERROR(VLOOKUP(Z391,ASIGNACION!$C$5:$H$94,6,0),"F/Fecha")</f>
        <v>F/Fecha</v>
      </c>
    </row>
    <row r="392" spans="37:48" x14ac:dyDescent="0.25">
      <c r="AK392" s="12"/>
      <c r="AR392" s="12" t="e">
        <f t="shared" si="6"/>
        <v>#N/A</v>
      </c>
      <c r="AU392" s="12">
        <f>SUMIF(ASIGNACION!$C$5:$C$94,Z392,ASIGNACION!$R$5:$R$94)*'Costos x MO'!$B$7</f>
        <v>0</v>
      </c>
      <c r="AV392" s="12" t="str">
        <f>IFERROR(VLOOKUP(Z392,ASIGNACION!$C$5:$H$94,6,0),"F/Fecha")</f>
        <v>F/Fecha</v>
      </c>
    </row>
    <row r="393" spans="37:48" x14ac:dyDescent="0.25">
      <c r="AK393" s="12"/>
      <c r="AR393" s="12" t="e">
        <f t="shared" si="6"/>
        <v>#N/A</v>
      </c>
      <c r="AU393" s="12">
        <f>SUMIF(ASIGNACION!$C$5:$C$94,Z393,ASIGNACION!$R$5:$R$94)*'Costos x MO'!$B$7</f>
        <v>0</v>
      </c>
      <c r="AV393" s="12" t="str">
        <f>IFERROR(VLOOKUP(Z393,ASIGNACION!$C$5:$H$94,6,0),"F/Fecha")</f>
        <v>F/Fecha</v>
      </c>
    </row>
    <row r="394" spans="37:48" x14ac:dyDescent="0.25">
      <c r="AK394" s="12"/>
      <c r="AR394" s="12" t="e">
        <f t="shared" si="6"/>
        <v>#N/A</v>
      </c>
      <c r="AU394" s="12">
        <f>SUMIF(ASIGNACION!$C$5:$C$94,Z394,ASIGNACION!$R$5:$R$94)*'Costos x MO'!$B$7</f>
        <v>0</v>
      </c>
      <c r="AV394" s="12" t="str">
        <f>IFERROR(VLOOKUP(Z394,ASIGNACION!$C$5:$H$94,6,0),"F/Fecha")</f>
        <v>F/Fecha</v>
      </c>
    </row>
    <row r="395" spans="37:48" x14ac:dyDescent="0.25">
      <c r="AK395" s="12"/>
      <c r="AR395" s="12" t="e">
        <f t="shared" si="6"/>
        <v>#N/A</v>
      </c>
      <c r="AU395" s="12">
        <f>SUMIF(ASIGNACION!$C$5:$C$94,Z395,ASIGNACION!$R$5:$R$94)*'Costos x MO'!$B$7</f>
        <v>0</v>
      </c>
      <c r="AV395" s="12" t="str">
        <f>IFERROR(VLOOKUP(Z395,ASIGNACION!$C$5:$H$94,6,0),"F/Fecha")</f>
        <v>F/Fecha</v>
      </c>
    </row>
    <row r="396" spans="37:48" x14ac:dyDescent="0.25">
      <c r="AK396" s="12"/>
      <c r="AR396" s="12" t="e">
        <f t="shared" si="6"/>
        <v>#N/A</v>
      </c>
      <c r="AU396" s="12">
        <f>SUMIF(ASIGNACION!$C$5:$C$94,Z396,ASIGNACION!$R$5:$R$94)*'Costos x MO'!$B$7</f>
        <v>0</v>
      </c>
      <c r="AV396" s="12" t="str">
        <f>IFERROR(VLOOKUP(Z396,ASIGNACION!$C$5:$H$94,6,0),"F/Fecha")</f>
        <v>F/Fecha</v>
      </c>
    </row>
    <row r="397" spans="37:48" x14ac:dyDescent="0.25">
      <c r="AK397" s="12"/>
      <c r="AR397" s="12" t="e">
        <f t="shared" si="6"/>
        <v>#N/A</v>
      </c>
      <c r="AU397" s="12">
        <f>SUMIF(ASIGNACION!$C$5:$C$94,Z397,ASIGNACION!$R$5:$R$94)*'Costos x MO'!$B$7</f>
        <v>0</v>
      </c>
      <c r="AV397" s="12" t="str">
        <f>IFERROR(VLOOKUP(Z397,ASIGNACION!$C$5:$H$94,6,0),"F/Fecha")</f>
        <v>F/Fecha</v>
      </c>
    </row>
    <row r="398" spans="37:48" x14ac:dyDescent="0.25">
      <c r="AK398" s="12"/>
      <c r="AR398" s="12" t="e">
        <f t="shared" si="6"/>
        <v>#N/A</v>
      </c>
      <c r="AU398" s="12">
        <f>SUMIF(ASIGNACION!$C$5:$C$94,Z398,ASIGNACION!$R$5:$R$94)*'Costos x MO'!$B$7</f>
        <v>0</v>
      </c>
      <c r="AV398" s="12" t="str">
        <f>IFERROR(VLOOKUP(Z398,ASIGNACION!$C$5:$H$94,6,0),"F/Fecha")</f>
        <v>F/Fecha</v>
      </c>
    </row>
    <row r="399" spans="37:48" x14ac:dyDescent="0.25">
      <c r="AK399" s="12"/>
      <c r="AR399" s="12" t="e">
        <f t="shared" si="6"/>
        <v>#N/A</v>
      </c>
      <c r="AU399" s="12">
        <f>SUMIF(ASIGNACION!$C$5:$C$94,Z399,ASIGNACION!$R$5:$R$94)*'Costos x MO'!$B$7</f>
        <v>0</v>
      </c>
      <c r="AV399" s="12" t="str">
        <f>IFERROR(VLOOKUP(Z399,ASIGNACION!$C$5:$H$94,6,0),"F/Fecha")</f>
        <v>F/Fecha</v>
      </c>
    </row>
    <row r="400" spans="37:48" x14ac:dyDescent="0.25">
      <c r="AK400" s="12"/>
      <c r="AR400" s="12" t="e">
        <f t="shared" si="6"/>
        <v>#N/A</v>
      </c>
      <c r="AU400" s="12">
        <f>SUMIF(ASIGNACION!$C$5:$C$94,Z400,ASIGNACION!$R$5:$R$94)*'Costos x MO'!$B$7</f>
        <v>0</v>
      </c>
      <c r="AV400" s="12" t="str">
        <f>IFERROR(VLOOKUP(Z400,ASIGNACION!$C$5:$H$94,6,0),"F/Fecha")</f>
        <v>F/Fecha</v>
      </c>
    </row>
    <row r="401" spans="37:48" x14ac:dyDescent="0.25">
      <c r="AK401" s="12"/>
      <c r="AR401" s="12" t="e">
        <f t="shared" si="6"/>
        <v>#N/A</v>
      </c>
      <c r="AU401" s="12">
        <f>SUMIF(ASIGNACION!$C$5:$C$94,Z401,ASIGNACION!$R$5:$R$94)*'Costos x MO'!$B$7</f>
        <v>0</v>
      </c>
      <c r="AV401" s="12" t="str">
        <f>IFERROR(VLOOKUP(Z401,ASIGNACION!$C$5:$H$94,6,0),"F/Fecha")</f>
        <v>F/Fecha</v>
      </c>
    </row>
    <row r="402" spans="37:48" x14ac:dyDescent="0.25">
      <c r="AK402" s="12"/>
      <c r="AR402" s="12" t="e">
        <f t="shared" si="6"/>
        <v>#N/A</v>
      </c>
      <c r="AU402" s="12">
        <f>SUMIF(ASIGNACION!$C$5:$C$94,Z402,ASIGNACION!$R$5:$R$94)*'Costos x MO'!$B$7</f>
        <v>0</v>
      </c>
      <c r="AV402" s="12" t="str">
        <f>IFERROR(VLOOKUP(Z402,ASIGNACION!$C$5:$H$94,6,0),"F/Fecha")</f>
        <v>F/Fecha</v>
      </c>
    </row>
    <row r="403" spans="37:48" x14ac:dyDescent="0.25">
      <c r="AK403" s="12"/>
      <c r="AR403" s="12" t="e">
        <f t="shared" si="6"/>
        <v>#N/A</v>
      </c>
      <c r="AU403" s="12">
        <f>SUMIF(ASIGNACION!$C$5:$C$94,Z403,ASIGNACION!$R$5:$R$94)*'Costos x MO'!$B$7</f>
        <v>0</v>
      </c>
      <c r="AV403" s="12" t="str">
        <f>IFERROR(VLOOKUP(Z403,ASIGNACION!$C$5:$H$94,6,0),"F/Fecha")</f>
        <v>F/Fecha</v>
      </c>
    </row>
    <row r="404" spans="37:48" x14ac:dyDescent="0.25">
      <c r="AK404" s="12"/>
      <c r="AR404" s="12" t="e">
        <f t="shared" si="6"/>
        <v>#N/A</v>
      </c>
      <c r="AU404" s="12">
        <f>SUMIF(ASIGNACION!$C$5:$C$94,Z404,ASIGNACION!$R$5:$R$94)*'Costos x MO'!$B$7</f>
        <v>0</v>
      </c>
      <c r="AV404" s="12" t="str">
        <f>IFERROR(VLOOKUP(Z404,ASIGNACION!$C$5:$H$94,6,0),"F/Fecha")</f>
        <v>F/Fecha</v>
      </c>
    </row>
    <row r="405" spans="37:48" x14ac:dyDescent="0.25">
      <c r="AK405" s="12"/>
      <c r="AR405" s="12" t="e">
        <f t="shared" si="6"/>
        <v>#N/A</v>
      </c>
      <c r="AU405" s="12">
        <f>SUMIF(ASIGNACION!$C$5:$C$94,Z405,ASIGNACION!$R$5:$R$94)*'Costos x MO'!$B$7</f>
        <v>0</v>
      </c>
      <c r="AV405" s="12" t="str">
        <f>IFERROR(VLOOKUP(Z405,ASIGNACION!$C$5:$H$94,6,0),"F/Fecha")</f>
        <v>F/Fecha</v>
      </c>
    </row>
    <row r="406" spans="37:48" x14ac:dyDescent="0.25">
      <c r="AK406" s="12"/>
      <c r="AR406" s="12" t="e">
        <f t="shared" si="6"/>
        <v>#N/A</v>
      </c>
      <c r="AU406" s="12">
        <f>SUMIF(ASIGNACION!$C$5:$C$94,Z406,ASIGNACION!$R$5:$R$94)*'Costos x MO'!$B$7</f>
        <v>0</v>
      </c>
      <c r="AV406" s="12" t="str">
        <f>IFERROR(VLOOKUP(Z406,ASIGNACION!$C$5:$H$94,6,0),"F/Fecha")</f>
        <v>F/Fecha</v>
      </c>
    </row>
    <row r="407" spans="37:48" x14ac:dyDescent="0.25">
      <c r="AK407" s="12"/>
      <c r="AR407" s="12" t="e">
        <f t="shared" si="6"/>
        <v>#N/A</v>
      </c>
      <c r="AU407" s="12">
        <f>SUMIF(ASIGNACION!$C$5:$C$94,Z407,ASIGNACION!$R$5:$R$94)*'Costos x MO'!$B$7</f>
        <v>0</v>
      </c>
      <c r="AV407" s="12" t="str">
        <f>IFERROR(VLOOKUP(Z407,ASIGNACION!$C$5:$H$94,6,0),"F/Fecha")</f>
        <v>F/Fecha</v>
      </c>
    </row>
    <row r="408" spans="37:48" x14ac:dyDescent="0.25">
      <c r="AK408" s="12"/>
      <c r="AR408" s="12" t="e">
        <f t="shared" si="6"/>
        <v>#N/A</v>
      </c>
      <c r="AU408" s="12">
        <f>SUMIF(ASIGNACION!$C$5:$C$94,Z408,ASIGNACION!$R$5:$R$94)*'Costos x MO'!$B$7</f>
        <v>0</v>
      </c>
      <c r="AV408" s="12" t="str">
        <f>IFERROR(VLOOKUP(Z408,ASIGNACION!$C$5:$H$94,6,0),"F/Fecha")</f>
        <v>F/Fecha</v>
      </c>
    </row>
    <row r="409" spans="37:48" x14ac:dyDescent="0.25">
      <c r="AK409" s="12"/>
      <c r="AR409" s="12" t="e">
        <f t="shared" si="6"/>
        <v>#N/A</v>
      </c>
      <c r="AU409" s="12">
        <f>SUMIF(ASIGNACION!$C$5:$C$94,Z409,ASIGNACION!$R$5:$R$94)*'Costos x MO'!$B$7</f>
        <v>0</v>
      </c>
      <c r="AV409" s="12" t="str">
        <f>IFERROR(VLOOKUP(Z409,ASIGNACION!$C$5:$H$94,6,0),"F/Fecha")</f>
        <v>F/Fecha</v>
      </c>
    </row>
    <row r="410" spans="37:48" x14ac:dyDescent="0.25">
      <c r="AK410" s="12"/>
      <c r="AR410" s="12" t="e">
        <f t="shared" si="6"/>
        <v>#N/A</v>
      </c>
      <c r="AU410" s="12">
        <f>SUMIF(ASIGNACION!$C$5:$C$94,Z410,ASIGNACION!$R$5:$R$94)*'Costos x MO'!$B$7</f>
        <v>0</v>
      </c>
      <c r="AV410" s="12" t="str">
        <f>IFERROR(VLOOKUP(Z410,ASIGNACION!$C$5:$H$94,6,0),"F/Fecha")</f>
        <v>F/Fecha</v>
      </c>
    </row>
    <row r="411" spans="37:48" x14ac:dyDescent="0.25">
      <c r="AK411" s="12"/>
      <c r="AR411" s="12" t="e">
        <f t="shared" si="6"/>
        <v>#N/A</v>
      </c>
      <c r="AU411" s="12">
        <f>SUMIF(ASIGNACION!$C$5:$C$94,Z411,ASIGNACION!$R$5:$R$94)*'Costos x MO'!$B$7</f>
        <v>0</v>
      </c>
      <c r="AV411" s="12" t="str">
        <f>IFERROR(VLOOKUP(Z411,ASIGNACION!$C$5:$H$94,6,0),"F/Fecha")</f>
        <v>F/Fecha</v>
      </c>
    </row>
    <row r="412" spans="37:48" x14ac:dyDescent="0.25">
      <c r="AK412" s="12"/>
      <c r="AR412" s="12" t="e">
        <f t="shared" si="6"/>
        <v>#N/A</v>
      </c>
      <c r="AU412" s="12">
        <f>SUMIF(ASIGNACION!$C$5:$C$94,Z412,ASIGNACION!$R$5:$R$94)*'Costos x MO'!$B$7</f>
        <v>0</v>
      </c>
      <c r="AV412" s="12" t="str">
        <f>IFERROR(VLOOKUP(Z412,ASIGNACION!$C$5:$H$94,6,0),"F/Fecha")</f>
        <v>F/Fecha</v>
      </c>
    </row>
    <row r="413" spans="37:48" x14ac:dyDescent="0.25">
      <c r="AK413" s="12"/>
      <c r="AR413" s="12" t="e">
        <f t="shared" si="6"/>
        <v>#N/A</v>
      </c>
      <c r="AU413" s="12">
        <f>SUMIF(ASIGNACION!$C$5:$C$94,Z413,ASIGNACION!$R$5:$R$94)*'Costos x MO'!$B$7</f>
        <v>0</v>
      </c>
      <c r="AV413" s="12" t="str">
        <f>IFERROR(VLOOKUP(Z413,ASIGNACION!$C$5:$H$94,6,0),"F/Fecha")</f>
        <v>F/Fecha</v>
      </c>
    </row>
    <row r="414" spans="37:48" x14ac:dyDescent="0.25">
      <c r="AK414" s="12"/>
      <c r="AR414" s="12" t="e">
        <f t="shared" si="6"/>
        <v>#N/A</v>
      </c>
      <c r="AU414" s="12">
        <f>SUMIF(ASIGNACION!$C$5:$C$94,Z414,ASIGNACION!$R$5:$R$94)*'Costos x MO'!$B$7</f>
        <v>0</v>
      </c>
      <c r="AV414" s="12" t="str">
        <f>IFERROR(VLOOKUP(Z414,ASIGNACION!$C$5:$H$94,6,0),"F/Fecha")</f>
        <v>F/Fecha</v>
      </c>
    </row>
    <row r="415" spans="37:48" x14ac:dyDescent="0.25">
      <c r="AK415" s="12"/>
      <c r="AR415" s="12" t="e">
        <f t="shared" si="6"/>
        <v>#N/A</v>
      </c>
      <c r="AU415" s="12">
        <f>SUMIF(ASIGNACION!$C$5:$C$94,Z415,ASIGNACION!$R$5:$R$94)*'Costos x MO'!$B$7</f>
        <v>0</v>
      </c>
      <c r="AV415" s="12" t="str">
        <f>IFERROR(VLOOKUP(Z415,ASIGNACION!$C$5:$H$94,6,0),"F/Fecha")</f>
        <v>F/Fecha</v>
      </c>
    </row>
    <row r="416" spans="37:48" x14ac:dyDescent="0.25">
      <c r="AK416" s="12"/>
      <c r="AR416" s="12" t="e">
        <f t="shared" si="6"/>
        <v>#N/A</v>
      </c>
      <c r="AU416" s="12">
        <f>SUMIF(ASIGNACION!$C$5:$C$94,Z416,ASIGNACION!$R$5:$R$94)*'Costos x MO'!$B$7</f>
        <v>0</v>
      </c>
      <c r="AV416" s="12" t="str">
        <f>IFERROR(VLOOKUP(Z416,ASIGNACION!$C$5:$H$94,6,0),"F/Fecha")</f>
        <v>F/Fecha</v>
      </c>
    </row>
    <row r="417" spans="37:48" x14ac:dyDescent="0.25">
      <c r="AK417" s="12"/>
      <c r="AR417" s="12" t="e">
        <f t="shared" si="6"/>
        <v>#N/A</v>
      </c>
      <c r="AU417" s="12">
        <f>SUMIF(ASIGNACION!$C$5:$C$94,Z417,ASIGNACION!$R$5:$R$94)*'Costos x MO'!$B$7</f>
        <v>0</v>
      </c>
      <c r="AV417" s="12" t="str">
        <f>IFERROR(VLOOKUP(Z417,ASIGNACION!$C$5:$H$94,6,0),"F/Fecha")</f>
        <v>F/Fecha</v>
      </c>
    </row>
    <row r="418" spans="37:48" x14ac:dyDescent="0.25">
      <c r="AK418" s="12"/>
      <c r="AR418" s="12" t="e">
        <f t="shared" si="6"/>
        <v>#N/A</v>
      </c>
      <c r="AU418" s="12">
        <f>SUMIF(ASIGNACION!$C$5:$C$94,Z418,ASIGNACION!$R$5:$R$94)*'Costos x MO'!$B$7</f>
        <v>0</v>
      </c>
      <c r="AV418" s="12" t="str">
        <f>IFERROR(VLOOKUP(Z418,ASIGNACION!$C$5:$H$94,6,0),"F/Fecha")</f>
        <v>F/Fecha</v>
      </c>
    </row>
    <row r="419" spans="37:48" x14ac:dyDescent="0.25">
      <c r="AK419" s="12"/>
      <c r="AR419" s="12" t="e">
        <f t="shared" si="6"/>
        <v>#N/A</v>
      </c>
      <c r="AU419" s="12">
        <f>SUMIF(ASIGNACION!$C$5:$C$94,Z419,ASIGNACION!$R$5:$R$94)*'Costos x MO'!$B$7</f>
        <v>0</v>
      </c>
      <c r="AV419" s="12" t="str">
        <f>IFERROR(VLOOKUP(Z419,ASIGNACION!$C$5:$H$94,6,0),"F/Fecha")</f>
        <v>F/Fecha</v>
      </c>
    </row>
    <row r="420" spans="37:48" x14ac:dyDescent="0.25">
      <c r="AK420" s="12"/>
      <c r="AR420" s="12" t="e">
        <f t="shared" si="6"/>
        <v>#N/A</v>
      </c>
      <c r="AU420" s="12">
        <f>SUMIF(ASIGNACION!$C$5:$C$94,Z420,ASIGNACION!$R$5:$R$94)*'Costos x MO'!$B$7</f>
        <v>0</v>
      </c>
      <c r="AV420" s="12" t="str">
        <f>IFERROR(VLOOKUP(Z420,ASIGNACION!$C$5:$H$94,6,0),"F/Fecha")</f>
        <v>F/Fecha</v>
      </c>
    </row>
    <row r="421" spans="37:48" x14ac:dyDescent="0.25">
      <c r="AK421" s="12"/>
      <c r="AR421" s="12" t="e">
        <f t="shared" si="6"/>
        <v>#N/A</v>
      </c>
      <c r="AU421" s="12">
        <f>SUMIF(ASIGNACION!$C$5:$C$94,Z421,ASIGNACION!$R$5:$R$94)*'Costos x MO'!$B$7</f>
        <v>0</v>
      </c>
      <c r="AV421" s="12" t="str">
        <f>IFERROR(VLOOKUP(Z421,ASIGNACION!$C$5:$H$94,6,0),"F/Fecha")</f>
        <v>F/Fecha</v>
      </c>
    </row>
    <row r="422" spans="37:48" x14ac:dyDescent="0.25">
      <c r="AK422" s="12"/>
      <c r="AR422" s="12" t="e">
        <f t="shared" si="6"/>
        <v>#N/A</v>
      </c>
      <c r="AU422" s="12">
        <f>SUMIF(ASIGNACION!$C$5:$C$94,Z422,ASIGNACION!$R$5:$R$94)*'Costos x MO'!$B$7</f>
        <v>0</v>
      </c>
      <c r="AV422" s="12" t="str">
        <f>IFERROR(VLOOKUP(Z422,ASIGNACION!$C$5:$H$94,6,0),"F/Fecha")</f>
        <v>F/Fecha</v>
      </c>
    </row>
    <row r="423" spans="37:48" x14ac:dyDescent="0.25">
      <c r="AK423" s="12"/>
      <c r="AR423" s="12" t="e">
        <f t="shared" si="6"/>
        <v>#N/A</v>
      </c>
      <c r="AU423" s="12">
        <f>SUMIF(ASIGNACION!$C$5:$C$94,Z423,ASIGNACION!$R$5:$R$94)*'Costos x MO'!$B$7</f>
        <v>0</v>
      </c>
      <c r="AV423" s="12" t="str">
        <f>IFERROR(VLOOKUP(Z423,ASIGNACION!$C$5:$H$94,6,0),"F/Fecha")</f>
        <v>F/Fecha</v>
      </c>
    </row>
    <row r="424" spans="37:48" x14ac:dyDescent="0.25">
      <c r="AK424" s="12"/>
      <c r="AR424" s="12" t="e">
        <f t="shared" si="6"/>
        <v>#N/A</v>
      </c>
      <c r="AU424" s="12">
        <f>SUMIF(ASIGNACION!$C$5:$C$94,Z424,ASIGNACION!$R$5:$R$94)*'Costos x MO'!$B$7</f>
        <v>0</v>
      </c>
      <c r="AV424" s="12" t="str">
        <f>IFERROR(VLOOKUP(Z424,ASIGNACION!$C$5:$H$94,6,0),"F/Fecha")</f>
        <v>F/Fecha</v>
      </c>
    </row>
    <row r="425" spans="37:48" x14ac:dyDescent="0.25">
      <c r="AK425" s="12"/>
      <c r="AR425" s="12" t="e">
        <f t="shared" si="6"/>
        <v>#N/A</v>
      </c>
      <c r="AU425" s="12">
        <f>SUMIF(ASIGNACION!$C$5:$C$94,Z425,ASIGNACION!$R$5:$R$94)*'Costos x MO'!$B$7</f>
        <v>0</v>
      </c>
      <c r="AV425" s="12" t="str">
        <f>IFERROR(VLOOKUP(Z425,ASIGNACION!$C$5:$H$94,6,0),"F/Fecha")</f>
        <v>F/Fecha</v>
      </c>
    </row>
    <row r="426" spans="37:48" x14ac:dyDescent="0.25">
      <c r="AK426" s="12"/>
      <c r="AR426" s="12" t="e">
        <f t="shared" si="6"/>
        <v>#N/A</v>
      </c>
      <c r="AU426" s="12">
        <f>SUMIF(ASIGNACION!$C$5:$C$94,Z426,ASIGNACION!$R$5:$R$94)*'Costos x MO'!$B$7</f>
        <v>0</v>
      </c>
      <c r="AV426" s="12" t="str">
        <f>IFERROR(VLOOKUP(Z426,ASIGNACION!$C$5:$H$94,6,0),"F/Fecha")</f>
        <v>F/Fecha</v>
      </c>
    </row>
    <row r="427" spans="37:48" x14ac:dyDescent="0.25">
      <c r="AK427" s="12"/>
      <c r="AR427" s="12" t="e">
        <f t="shared" si="6"/>
        <v>#N/A</v>
      </c>
      <c r="AU427" s="12">
        <f>SUMIF(ASIGNACION!$C$5:$C$94,Z427,ASIGNACION!$R$5:$R$94)*'Costos x MO'!$B$7</f>
        <v>0</v>
      </c>
      <c r="AV427" s="12" t="str">
        <f>IFERROR(VLOOKUP(Z427,ASIGNACION!$C$5:$H$94,6,0),"F/Fecha")</f>
        <v>F/Fecha</v>
      </c>
    </row>
    <row r="428" spans="37:48" x14ac:dyDescent="0.25">
      <c r="AK428" s="12"/>
      <c r="AR428" s="12" t="e">
        <f t="shared" si="6"/>
        <v>#N/A</v>
      </c>
      <c r="AU428" s="12">
        <f>SUMIF(ASIGNACION!$C$5:$C$94,Z428,ASIGNACION!$R$5:$R$94)*'Costos x MO'!$B$7</f>
        <v>0</v>
      </c>
      <c r="AV428" s="12" t="str">
        <f>IFERROR(VLOOKUP(Z428,ASIGNACION!$C$5:$H$94,6,0),"F/Fecha")</f>
        <v>F/Fecha</v>
      </c>
    </row>
    <row r="429" spans="37:48" x14ac:dyDescent="0.25">
      <c r="AK429" s="12"/>
      <c r="AR429" s="12" t="e">
        <f t="shared" si="6"/>
        <v>#N/A</v>
      </c>
      <c r="AU429" s="12">
        <f>SUMIF(ASIGNACION!$C$5:$C$94,Z429,ASIGNACION!$R$5:$R$94)*'Costos x MO'!$B$7</f>
        <v>0</v>
      </c>
      <c r="AV429" s="12" t="str">
        <f>IFERROR(VLOOKUP(Z429,ASIGNACION!$C$5:$H$94,6,0),"F/Fecha")</f>
        <v>F/Fecha</v>
      </c>
    </row>
    <row r="430" spans="37:48" x14ac:dyDescent="0.25">
      <c r="AK430" s="12"/>
      <c r="AR430" s="12" t="e">
        <f t="shared" si="6"/>
        <v>#N/A</v>
      </c>
      <c r="AU430" s="12">
        <f>SUMIF(ASIGNACION!$C$5:$C$94,Z430,ASIGNACION!$R$5:$R$94)*'Costos x MO'!$B$7</f>
        <v>0</v>
      </c>
      <c r="AV430" s="12" t="str">
        <f>IFERROR(VLOOKUP(Z430,ASIGNACION!$C$5:$H$94,6,0),"F/Fecha")</f>
        <v>F/Fecha</v>
      </c>
    </row>
    <row r="431" spans="37:48" x14ac:dyDescent="0.25">
      <c r="AK431" s="12"/>
      <c r="AR431" s="12" t="e">
        <f t="shared" si="6"/>
        <v>#N/A</v>
      </c>
      <c r="AU431" s="12">
        <f>SUMIF(ASIGNACION!$C$5:$C$94,Z431,ASIGNACION!$R$5:$R$94)*'Costos x MO'!$B$7</f>
        <v>0</v>
      </c>
      <c r="AV431" s="12" t="str">
        <f>IFERROR(VLOOKUP(Z431,ASIGNACION!$C$5:$H$94,6,0),"F/Fecha")</f>
        <v>F/Fecha</v>
      </c>
    </row>
    <row r="432" spans="37:48" x14ac:dyDescent="0.25">
      <c r="AK432" s="12"/>
      <c r="AR432" s="12" t="e">
        <f t="shared" si="6"/>
        <v>#N/A</v>
      </c>
      <c r="AU432" s="12">
        <f>SUMIF(ASIGNACION!$C$5:$C$94,Z432,ASIGNACION!$R$5:$R$94)*'Costos x MO'!$B$7</f>
        <v>0</v>
      </c>
      <c r="AV432" s="12" t="str">
        <f>IFERROR(VLOOKUP(Z432,ASIGNACION!$C$5:$H$94,6,0),"F/Fecha")</f>
        <v>F/Fecha</v>
      </c>
    </row>
    <row r="433" spans="37:48" x14ac:dyDescent="0.25">
      <c r="AK433" s="12"/>
      <c r="AR433" s="12" t="e">
        <f t="shared" si="6"/>
        <v>#N/A</v>
      </c>
      <c r="AU433" s="12">
        <f>SUMIF(ASIGNACION!$C$5:$C$94,Z433,ASIGNACION!$R$5:$R$94)*'Costos x MO'!$B$7</f>
        <v>0</v>
      </c>
      <c r="AV433" s="12" t="str">
        <f>IFERROR(VLOOKUP(Z433,ASIGNACION!$C$5:$H$94,6,0),"F/Fecha")</f>
        <v>F/Fecha</v>
      </c>
    </row>
    <row r="434" spans="37:48" x14ac:dyDescent="0.25">
      <c r="AK434" s="12"/>
      <c r="AR434" s="12" t="e">
        <f t="shared" si="6"/>
        <v>#N/A</v>
      </c>
      <c r="AU434" s="12">
        <f>SUMIF(ASIGNACION!$C$5:$C$94,Z434,ASIGNACION!$R$5:$R$94)*'Costos x MO'!$B$7</f>
        <v>0</v>
      </c>
      <c r="AV434" s="12" t="str">
        <f>IFERROR(VLOOKUP(Z434,ASIGNACION!$C$5:$H$94,6,0),"F/Fecha")</f>
        <v>F/Fecha</v>
      </c>
    </row>
    <row r="435" spans="37:48" x14ac:dyDescent="0.25">
      <c r="AK435" s="12"/>
      <c r="AR435" s="12" t="e">
        <f t="shared" si="6"/>
        <v>#N/A</v>
      </c>
      <c r="AU435" s="12">
        <f>SUMIF(ASIGNACION!$C$5:$C$94,Z435,ASIGNACION!$R$5:$R$94)*'Costos x MO'!$B$7</f>
        <v>0</v>
      </c>
      <c r="AV435" s="12" t="str">
        <f>IFERROR(VLOOKUP(Z435,ASIGNACION!$C$5:$H$94,6,0),"F/Fecha")</f>
        <v>F/Fecha</v>
      </c>
    </row>
    <row r="436" spans="37:48" x14ac:dyDescent="0.25">
      <c r="AK436" s="12"/>
      <c r="AR436" s="12" t="e">
        <f t="shared" si="6"/>
        <v>#N/A</v>
      </c>
      <c r="AU436" s="12">
        <f>SUMIF(ASIGNACION!$C$5:$C$94,Z436,ASIGNACION!$R$5:$R$94)*'Costos x MO'!$B$7</f>
        <v>0</v>
      </c>
      <c r="AV436" s="12" t="str">
        <f>IFERROR(VLOOKUP(Z436,ASIGNACION!$C$5:$H$94,6,0),"F/Fecha")</f>
        <v>F/Fecha</v>
      </c>
    </row>
    <row r="437" spans="37:48" x14ac:dyDescent="0.25">
      <c r="AK437" s="12"/>
      <c r="AR437" s="12" t="e">
        <f t="shared" si="6"/>
        <v>#N/A</v>
      </c>
      <c r="AU437" s="12">
        <f>SUMIF(ASIGNACION!$C$5:$C$94,Z437,ASIGNACION!$R$5:$R$94)*'Costos x MO'!$B$7</f>
        <v>0</v>
      </c>
      <c r="AV437" s="12" t="str">
        <f>IFERROR(VLOOKUP(Z437,ASIGNACION!$C$5:$H$94,6,0),"F/Fecha")</f>
        <v>F/Fecha</v>
      </c>
    </row>
    <row r="438" spans="37:48" x14ac:dyDescent="0.25">
      <c r="AK438" s="12"/>
      <c r="AR438" s="12" t="e">
        <f t="shared" si="6"/>
        <v>#N/A</v>
      </c>
      <c r="AU438" s="12">
        <f>SUMIF(ASIGNACION!$C$5:$C$94,Z438,ASIGNACION!$R$5:$R$94)*'Costos x MO'!$B$7</f>
        <v>0</v>
      </c>
      <c r="AV438" s="12" t="str">
        <f>IFERROR(VLOOKUP(Z438,ASIGNACION!$C$5:$H$94,6,0),"F/Fecha")</f>
        <v>F/Fecha</v>
      </c>
    </row>
    <row r="439" spans="37:48" x14ac:dyDescent="0.25">
      <c r="AK439" s="12"/>
      <c r="AR439" s="12" t="e">
        <f t="shared" si="6"/>
        <v>#N/A</v>
      </c>
      <c r="AU439" s="12">
        <f>SUMIF(ASIGNACION!$C$5:$C$94,Z439,ASIGNACION!$R$5:$R$94)*'Costos x MO'!$B$7</f>
        <v>0</v>
      </c>
      <c r="AV439" s="12" t="str">
        <f>IFERROR(VLOOKUP(Z439,ASIGNACION!$C$5:$H$94,6,0),"F/Fecha")</f>
        <v>F/Fecha</v>
      </c>
    </row>
    <row r="440" spans="37:48" x14ac:dyDescent="0.25">
      <c r="AK440" s="12"/>
      <c r="AR440" s="12" t="e">
        <f t="shared" si="6"/>
        <v>#N/A</v>
      </c>
      <c r="AU440" s="12">
        <f>SUMIF(ASIGNACION!$C$5:$C$94,Z440,ASIGNACION!$R$5:$R$94)*'Costos x MO'!$B$7</f>
        <v>0</v>
      </c>
      <c r="AV440" s="12" t="str">
        <f>IFERROR(VLOOKUP(Z440,ASIGNACION!$C$5:$H$94,6,0),"F/Fecha")</f>
        <v>F/Fecha</v>
      </c>
    </row>
    <row r="441" spans="37:48" x14ac:dyDescent="0.25">
      <c r="AK441" s="12"/>
      <c r="AR441" s="12" t="e">
        <f t="shared" si="6"/>
        <v>#N/A</v>
      </c>
      <c r="AU441" s="12">
        <f>SUMIF(ASIGNACION!$C$5:$C$94,Z441,ASIGNACION!$R$5:$R$94)*'Costos x MO'!$B$7</f>
        <v>0</v>
      </c>
      <c r="AV441" s="12" t="str">
        <f>IFERROR(VLOOKUP(Z441,ASIGNACION!$C$5:$H$94,6,0),"F/Fecha")</f>
        <v>F/Fecha</v>
      </c>
    </row>
    <row r="442" spans="37:48" x14ac:dyDescent="0.25">
      <c r="AK442" s="12"/>
      <c r="AR442" s="12" t="e">
        <f t="shared" si="6"/>
        <v>#N/A</v>
      </c>
      <c r="AU442" s="12">
        <f>SUMIF(ASIGNACION!$C$5:$C$94,Z442,ASIGNACION!$R$5:$R$94)*'Costos x MO'!$B$7</f>
        <v>0</v>
      </c>
      <c r="AV442" s="12" t="str">
        <f>IFERROR(VLOOKUP(Z442,ASIGNACION!$C$5:$H$94,6,0),"F/Fecha")</f>
        <v>F/Fecha</v>
      </c>
    </row>
    <row r="443" spans="37:48" x14ac:dyDescent="0.25">
      <c r="AK443" s="12"/>
      <c r="AR443" s="12" t="e">
        <f t="shared" si="6"/>
        <v>#N/A</v>
      </c>
      <c r="AU443" s="12">
        <f>SUMIF(ASIGNACION!$C$5:$C$94,Z443,ASIGNACION!$R$5:$R$94)*'Costos x MO'!$B$7</f>
        <v>0</v>
      </c>
      <c r="AV443" s="12" t="str">
        <f>IFERROR(VLOOKUP(Z443,ASIGNACION!$C$5:$H$94,6,0),"F/Fecha")</f>
        <v>F/Fecha</v>
      </c>
    </row>
    <row r="444" spans="37:48" x14ac:dyDescent="0.25">
      <c r="AK444" s="12"/>
      <c r="AR444" s="12" t="e">
        <f t="shared" si="6"/>
        <v>#N/A</v>
      </c>
      <c r="AU444" s="12">
        <f>SUMIF(ASIGNACION!$C$5:$C$94,Z444,ASIGNACION!$R$5:$R$94)*'Costos x MO'!$B$7</f>
        <v>0</v>
      </c>
      <c r="AV444" s="12" t="str">
        <f>IFERROR(VLOOKUP(Z444,ASIGNACION!$C$5:$H$94,6,0),"F/Fecha")</f>
        <v>F/Fecha</v>
      </c>
    </row>
    <row r="445" spans="37:48" x14ac:dyDescent="0.25">
      <c r="AK445" s="12"/>
      <c r="AR445" s="12" t="e">
        <f t="shared" si="6"/>
        <v>#N/A</v>
      </c>
      <c r="AU445" s="12">
        <f>SUMIF(ASIGNACION!$C$5:$C$94,Z445,ASIGNACION!$R$5:$R$94)*'Costos x MO'!$B$7</f>
        <v>0</v>
      </c>
      <c r="AV445" s="12" t="str">
        <f>IFERROR(VLOOKUP(Z445,ASIGNACION!$C$5:$H$94,6,0),"F/Fecha")</f>
        <v>F/Fecha</v>
      </c>
    </row>
    <row r="446" spans="37:48" x14ac:dyDescent="0.25">
      <c r="AK446" s="12"/>
      <c r="AR446" s="12" t="e">
        <f t="shared" si="6"/>
        <v>#N/A</v>
      </c>
      <c r="AU446" s="12">
        <f>SUMIF(ASIGNACION!$C$5:$C$94,Z446,ASIGNACION!$R$5:$R$94)*'Costos x MO'!$B$7</f>
        <v>0</v>
      </c>
      <c r="AV446" s="12" t="str">
        <f>IFERROR(VLOOKUP(Z446,ASIGNACION!$C$5:$H$94,6,0),"F/Fecha")</f>
        <v>F/Fecha</v>
      </c>
    </row>
    <row r="447" spans="37:48" x14ac:dyDescent="0.25">
      <c r="AK447" s="12"/>
      <c r="AR447" s="12" t="e">
        <f t="shared" si="6"/>
        <v>#N/A</v>
      </c>
      <c r="AU447" s="12">
        <f>SUMIF(ASIGNACION!$C$5:$C$94,Z447,ASIGNACION!$R$5:$R$94)*'Costos x MO'!$B$7</f>
        <v>0</v>
      </c>
      <c r="AV447" s="12" t="str">
        <f>IFERROR(VLOOKUP(Z447,ASIGNACION!$C$5:$H$94,6,0),"F/Fecha")</f>
        <v>F/Fecha</v>
      </c>
    </row>
    <row r="448" spans="37:48" x14ac:dyDescent="0.25">
      <c r="AK448" s="12"/>
      <c r="AR448" s="12" t="e">
        <f t="shared" si="6"/>
        <v>#N/A</v>
      </c>
      <c r="AU448" s="12">
        <f>SUMIF(ASIGNACION!$C$5:$C$94,Z448,ASIGNACION!$R$5:$R$94)*'Costos x MO'!$B$7</f>
        <v>0</v>
      </c>
      <c r="AV448" s="12" t="str">
        <f>IFERROR(VLOOKUP(Z448,ASIGNACION!$C$5:$H$94,6,0),"F/Fecha")</f>
        <v>F/Fecha</v>
      </c>
    </row>
    <row r="449" spans="37:48" x14ac:dyDescent="0.25">
      <c r="AK449" s="12"/>
      <c r="AR449" s="12" t="e">
        <f t="shared" si="6"/>
        <v>#N/A</v>
      </c>
      <c r="AU449" s="12">
        <f>SUMIF(ASIGNACION!$C$5:$C$94,Z449,ASIGNACION!$R$5:$R$94)*'Costos x MO'!$B$7</f>
        <v>0</v>
      </c>
      <c r="AV449" s="12" t="str">
        <f>IFERROR(VLOOKUP(Z449,ASIGNACION!$C$5:$H$94,6,0),"F/Fecha")</f>
        <v>F/Fecha</v>
      </c>
    </row>
    <row r="450" spans="37:48" x14ac:dyDescent="0.25">
      <c r="AK450" s="12"/>
      <c r="AR450" s="12" t="e">
        <f t="shared" si="6"/>
        <v>#N/A</v>
      </c>
      <c r="AU450" s="12">
        <f>SUMIF(ASIGNACION!$C$5:$C$94,Z450,ASIGNACION!$R$5:$R$94)*'Costos x MO'!$B$7</f>
        <v>0</v>
      </c>
      <c r="AV450" s="12" t="str">
        <f>IFERROR(VLOOKUP(Z450,ASIGNACION!$C$5:$H$94,6,0),"F/Fecha")</f>
        <v>F/Fecha</v>
      </c>
    </row>
    <row r="451" spans="37:48" x14ac:dyDescent="0.25">
      <c r="AK451" s="12"/>
      <c r="AR451" s="12" t="e">
        <f t="shared" si="6"/>
        <v>#N/A</v>
      </c>
      <c r="AU451" s="12">
        <f>SUMIF(ASIGNACION!$C$5:$C$94,Z451,ASIGNACION!$R$5:$R$94)*'Costos x MO'!$B$7</f>
        <v>0</v>
      </c>
      <c r="AV451" s="12" t="str">
        <f>IFERROR(VLOOKUP(Z451,ASIGNACION!$C$5:$H$94,6,0),"F/Fecha")</f>
        <v>F/Fecha</v>
      </c>
    </row>
    <row r="452" spans="37:48" x14ac:dyDescent="0.25">
      <c r="AK452" s="12"/>
      <c r="AR452" s="12" t="e">
        <f t="shared" si="6"/>
        <v>#N/A</v>
      </c>
      <c r="AU452" s="12">
        <f>SUMIF(ASIGNACION!$C$5:$C$94,Z452,ASIGNACION!$R$5:$R$94)*'Costos x MO'!$B$7</f>
        <v>0</v>
      </c>
      <c r="AV452" s="12" t="str">
        <f>IFERROR(VLOOKUP(Z452,ASIGNACION!$C$5:$H$94,6,0),"F/Fecha")</f>
        <v>F/Fecha</v>
      </c>
    </row>
    <row r="453" spans="37:48" x14ac:dyDescent="0.25">
      <c r="AK453" s="12"/>
      <c r="AR453" s="12" t="e">
        <f t="shared" ref="AR453:AR516" si="7">VLOOKUP(Z453,$E$4:$G$3523,3,0)</f>
        <v>#N/A</v>
      </c>
      <c r="AU453" s="12">
        <f>SUMIF(ASIGNACION!$C$5:$C$94,Z453,ASIGNACION!$R$5:$R$94)*'Costos x MO'!$B$7</f>
        <v>0</v>
      </c>
      <c r="AV453" s="12" t="str">
        <f>IFERROR(VLOOKUP(Z453,ASIGNACION!$C$5:$H$94,6,0),"F/Fecha")</f>
        <v>F/Fecha</v>
      </c>
    </row>
    <row r="454" spans="37:48" x14ac:dyDescent="0.25">
      <c r="AK454" s="12"/>
      <c r="AR454" s="12" t="e">
        <f t="shared" si="7"/>
        <v>#N/A</v>
      </c>
      <c r="AU454" s="12">
        <f>SUMIF(ASIGNACION!$C$5:$C$94,Z454,ASIGNACION!$R$5:$R$94)*'Costos x MO'!$B$7</f>
        <v>0</v>
      </c>
      <c r="AV454" s="12" t="str">
        <f>IFERROR(VLOOKUP(Z454,ASIGNACION!$C$5:$H$94,6,0),"F/Fecha")</f>
        <v>F/Fecha</v>
      </c>
    </row>
    <row r="455" spans="37:48" x14ac:dyDescent="0.25">
      <c r="AK455" s="12"/>
      <c r="AR455" s="12" t="e">
        <f t="shared" si="7"/>
        <v>#N/A</v>
      </c>
      <c r="AU455" s="12">
        <f>SUMIF(ASIGNACION!$C$5:$C$94,Z455,ASIGNACION!$R$5:$R$94)*'Costos x MO'!$B$7</f>
        <v>0</v>
      </c>
      <c r="AV455" s="12" t="str">
        <f>IFERROR(VLOOKUP(Z455,ASIGNACION!$C$5:$H$94,6,0),"F/Fecha")</f>
        <v>F/Fecha</v>
      </c>
    </row>
    <row r="456" spans="37:48" x14ac:dyDescent="0.25">
      <c r="AK456" s="12"/>
      <c r="AR456" s="12" t="e">
        <f t="shared" si="7"/>
        <v>#N/A</v>
      </c>
      <c r="AU456" s="12">
        <f>SUMIF(ASIGNACION!$C$5:$C$94,Z456,ASIGNACION!$R$5:$R$94)*'Costos x MO'!$B$7</f>
        <v>0</v>
      </c>
      <c r="AV456" s="12" t="str">
        <f>IFERROR(VLOOKUP(Z456,ASIGNACION!$C$5:$H$94,6,0),"F/Fecha")</f>
        <v>F/Fecha</v>
      </c>
    </row>
    <row r="457" spans="37:48" x14ac:dyDescent="0.25">
      <c r="AK457" s="12"/>
      <c r="AR457" s="12" t="e">
        <f t="shared" si="7"/>
        <v>#N/A</v>
      </c>
      <c r="AU457" s="12">
        <f>SUMIF(ASIGNACION!$C$5:$C$94,Z457,ASIGNACION!$R$5:$R$94)*'Costos x MO'!$B$7</f>
        <v>0</v>
      </c>
      <c r="AV457" s="12" t="str">
        <f>IFERROR(VLOOKUP(Z457,ASIGNACION!$C$5:$H$94,6,0),"F/Fecha")</f>
        <v>F/Fecha</v>
      </c>
    </row>
    <row r="458" spans="37:48" x14ac:dyDescent="0.25">
      <c r="AK458" s="12"/>
      <c r="AR458" s="12" t="e">
        <f t="shared" si="7"/>
        <v>#N/A</v>
      </c>
      <c r="AU458" s="12">
        <f>SUMIF(ASIGNACION!$C$5:$C$94,Z458,ASIGNACION!$R$5:$R$94)*'Costos x MO'!$B$7</f>
        <v>0</v>
      </c>
      <c r="AV458" s="12" t="str">
        <f>IFERROR(VLOOKUP(Z458,ASIGNACION!$C$5:$H$94,6,0),"F/Fecha")</f>
        <v>F/Fecha</v>
      </c>
    </row>
    <row r="459" spans="37:48" x14ac:dyDescent="0.25">
      <c r="AK459" s="12"/>
      <c r="AR459" s="12" t="e">
        <f t="shared" si="7"/>
        <v>#N/A</v>
      </c>
      <c r="AU459" s="12">
        <f>SUMIF(ASIGNACION!$C$5:$C$94,Z459,ASIGNACION!$R$5:$R$94)*'Costos x MO'!$B$7</f>
        <v>0</v>
      </c>
      <c r="AV459" s="12" t="str">
        <f>IFERROR(VLOOKUP(Z459,ASIGNACION!$C$5:$H$94,6,0),"F/Fecha")</f>
        <v>F/Fecha</v>
      </c>
    </row>
    <row r="460" spans="37:48" x14ac:dyDescent="0.25">
      <c r="AK460" s="12"/>
      <c r="AR460" s="12" t="e">
        <f t="shared" si="7"/>
        <v>#N/A</v>
      </c>
      <c r="AU460" s="12">
        <f>SUMIF(ASIGNACION!$C$5:$C$94,Z460,ASIGNACION!$R$5:$R$94)*'Costos x MO'!$B$7</f>
        <v>0</v>
      </c>
      <c r="AV460" s="12" t="str">
        <f>IFERROR(VLOOKUP(Z460,ASIGNACION!$C$5:$H$94,6,0),"F/Fecha")</f>
        <v>F/Fecha</v>
      </c>
    </row>
    <row r="461" spans="37:48" x14ac:dyDescent="0.25">
      <c r="AK461" s="12"/>
      <c r="AR461" s="12" t="e">
        <f t="shared" si="7"/>
        <v>#N/A</v>
      </c>
      <c r="AU461" s="12">
        <f>SUMIF(ASIGNACION!$C$5:$C$94,Z461,ASIGNACION!$R$5:$R$94)*'Costos x MO'!$B$7</f>
        <v>0</v>
      </c>
      <c r="AV461" s="12" t="str">
        <f>IFERROR(VLOOKUP(Z461,ASIGNACION!$C$5:$H$94,6,0),"F/Fecha")</f>
        <v>F/Fecha</v>
      </c>
    </row>
    <row r="462" spans="37:48" x14ac:dyDescent="0.25">
      <c r="AK462" s="12"/>
      <c r="AR462" s="12" t="e">
        <f t="shared" si="7"/>
        <v>#N/A</v>
      </c>
      <c r="AU462" s="12">
        <f>SUMIF(ASIGNACION!$C$5:$C$94,Z462,ASIGNACION!$R$5:$R$94)*'Costos x MO'!$B$7</f>
        <v>0</v>
      </c>
      <c r="AV462" s="12" t="str">
        <f>IFERROR(VLOOKUP(Z462,ASIGNACION!$C$5:$H$94,6,0),"F/Fecha")</f>
        <v>F/Fecha</v>
      </c>
    </row>
    <row r="463" spans="37:48" x14ac:dyDescent="0.25">
      <c r="AK463" s="12"/>
      <c r="AR463" s="12" t="e">
        <f t="shared" si="7"/>
        <v>#N/A</v>
      </c>
      <c r="AU463" s="12">
        <f>SUMIF(ASIGNACION!$C$5:$C$94,Z463,ASIGNACION!$R$5:$R$94)*'Costos x MO'!$B$7</f>
        <v>0</v>
      </c>
      <c r="AV463" s="12" t="str">
        <f>IFERROR(VLOOKUP(Z463,ASIGNACION!$C$5:$H$94,6,0),"F/Fecha")</f>
        <v>F/Fecha</v>
      </c>
    </row>
    <row r="464" spans="37:48" x14ac:dyDescent="0.25">
      <c r="AK464" s="12"/>
      <c r="AR464" s="12" t="e">
        <f t="shared" si="7"/>
        <v>#N/A</v>
      </c>
      <c r="AU464" s="12">
        <f>SUMIF(ASIGNACION!$C$5:$C$94,Z464,ASIGNACION!$R$5:$R$94)*'Costos x MO'!$B$7</f>
        <v>0</v>
      </c>
      <c r="AV464" s="12" t="str">
        <f>IFERROR(VLOOKUP(Z464,ASIGNACION!$C$5:$H$94,6,0),"F/Fecha")</f>
        <v>F/Fecha</v>
      </c>
    </row>
    <row r="465" spans="37:48" x14ac:dyDescent="0.25">
      <c r="AK465" s="12"/>
      <c r="AR465" s="12" t="e">
        <f t="shared" si="7"/>
        <v>#N/A</v>
      </c>
      <c r="AU465" s="12">
        <f>SUMIF(ASIGNACION!$C$5:$C$94,Z465,ASIGNACION!$R$5:$R$94)*'Costos x MO'!$B$7</f>
        <v>0</v>
      </c>
      <c r="AV465" s="12" t="str">
        <f>IFERROR(VLOOKUP(Z465,ASIGNACION!$C$5:$H$94,6,0),"F/Fecha")</f>
        <v>F/Fecha</v>
      </c>
    </row>
    <row r="466" spans="37:48" x14ac:dyDescent="0.25">
      <c r="AK466" s="12"/>
      <c r="AR466" s="12" t="e">
        <f t="shared" si="7"/>
        <v>#N/A</v>
      </c>
      <c r="AU466" s="12">
        <f>SUMIF(ASIGNACION!$C$5:$C$94,Z466,ASIGNACION!$R$5:$R$94)*'Costos x MO'!$B$7</f>
        <v>0</v>
      </c>
      <c r="AV466" s="12" t="str">
        <f>IFERROR(VLOOKUP(Z466,ASIGNACION!$C$5:$H$94,6,0),"F/Fecha")</f>
        <v>F/Fecha</v>
      </c>
    </row>
    <row r="467" spans="37:48" x14ac:dyDescent="0.25">
      <c r="AK467" s="12"/>
      <c r="AR467" s="12" t="e">
        <f t="shared" si="7"/>
        <v>#N/A</v>
      </c>
      <c r="AU467" s="12">
        <f>SUMIF(ASIGNACION!$C$5:$C$94,Z467,ASIGNACION!$R$5:$R$94)*'Costos x MO'!$B$7</f>
        <v>0</v>
      </c>
      <c r="AV467" s="12" t="str">
        <f>IFERROR(VLOOKUP(Z467,ASIGNACION!$C$5:$H$94,6,0),"F/Fecha")</f>
        <v>F/Fecha</v>
      </c>
    </row>
    <row r="468" spans="37:48" x14ac:dyDescent="0.25">
      <c r="AK468" s="12"/>
      <c r="AR468" s="12" t="e">
        <f t="shared" si="7"/>
        <v>#N/A</v>
      </c>
      <c r="AU468" s="12">
        <f>SUMIF(ASIGNACION!$C$5:$C$94,Z468,ASIGNACION!$R$5:$R$94)*'Costos x MO'!$B$7</f>
        <v>0</v>
      </c>
      <c r="AV468" s="12" t="str">
        <f>IFERROR(VLOOKUP(Z468,ASIGNACION!$C$5:$H$94,6,0),"F/Fecha")</f>
        <v>F/Fecha</v>
      </c>
    </row>
    <row r="469" spans="37:48" x14ac:dyDescent="0.25">
      <c r="AK469" s="12"/>
      <c r="AR469" s="12" t="e">
        <f t="shared" si="7"/>
        <v>#N/A</v>
      </c>
      <c r="AU469" s="12">
        <f>SUMIF(ASIGNACION!$C$5:$C$94,Z469,ASIGNACION!$R$5:$R$94)*'Costos x MO'!$B$7</f>
        <v>0</v>
      </c>
      <c r="AV469" s="12" t="str">
        <f>IFERROR(VLOOKUP(Z469,ASIGNACION!$C$5:$H$94,6,0),"F/Fecha")</f>
        <v>F/Fecha</v>
      </c>
    </row>
    <row r="470" spans="37:48" x14ac:dyDescent="0.25">
      <c r="AK470" s="12"/>
      <c r="AR470" s="12" t="e">
        <f t="shared" si="7"/>
        <v>#N/A</v>
      </c>
      <c r="AU470" s="12">
        <f>SUMIF(ASIGNACION!$C$5:$C$94,Z470,ASIGNACION!$R$5:$R$94)*'Costos x MO'!$B$7</f>
        <v>0</v>
      </c>
      <c r="AV470" s="12" t="str">
        <f>IFERROR(VLOOKUP(Z470,ASIGNACION!$C$5:$H$94,6,0),"F/Fecha")</f>
        <v>F/Fecha</v>
      </c>
    </row>
    <row r="471" spans="37:48" x14ac:dyDescent="0.25">
      <c r="AK471" s="12"/>
      <c r="AR471" s="12" t="e">
        <f t="shared" si="7"/>
        <v>#N/A</v>
      </c>
      <c r="AU471" s="12">
        <f>SUMIF(ASIGNACION!$C$5:$C$94,Z471,ASIGNACION!$R$5:$R$94)*'Costos x MO'!$B$7</f>
        <v>0</v>
      </c>
      <c r="AV471" s="12" t="str">
        <f>IFERROR(VLOOKUP(Z471,ASIGNACION!$C$5:$H$94,6,0),"F/Fecha")</f>
        <v>F/Fecha</v>
      </c>
    </row>
    <row r="472" spans="37:48" x14ac:dyDescent="0.25">
      <c r="AK472" s="12"/>
      <c r="AR472" s="12" t="e">
        <f t="shared" si="7"/>
        <v>#N/A</v>
      </c>
      <c r="AU472" s="12">
        <f>SUMIF(ASIGNACION!$C$5:$C$94,Z472,ASIGNACION!$R$5:$R$94)*'Costos x MO'!$B$7</f>
        <v>0</v>
      </c>
      <c r="AV472" s="12" t="str">
        <f>IFERROR(VLOOKUP(Z472,ASIGNACION!$C$5:$H$94,6,0),"F/Fecha")</f>
        <v>F/Fecha</v>
      </c>
    </row>
    <row r="473" spans="37:48" x14ac:dyDescent="0.25">
      <c r="AK473" s="12"/>
      <c r="AR473" s="12" t="e">
        <f t="shared" si="7"/>
        <v>#N/A</v>
      </c>
      <c r="AU473" s="12">
        <f>SUMIF(ASIGNACION!$C$5:$C$94,Z473,ASIGNACION!$R$5:$R$94)*'Costos x MO'!$B$7</f>
        <v>0</v>
      </c>
      <c r="AV473" s="12" t="str">
        <f>IFERROR(VLOOKUP(Z473,ASIGNACION!$C$5:$H$94,6,0),"F/Fecha")</f>
        <v>F/Fecha</v>
      </c>
    </row>
    <row r="474" spans="37:48" x14ac:dyDescent="0.25">
      <c r="AK474" s="12"/>
      <c r="AR474" s="12" t="e">
        <f t="shared" si="7"/>
        <v>#N/A</v>
      </c>
      <c r="AU474" s="12">
        <f>SUMIF(ASIGNACION!$C$5:$C$94,Z474,ASIGNACION!$R$5:$R$94)*'Costos x MO'!$B$7</f>
        <v>0</v>
      </c>
      <c r="AV474" s="12" t="str">
        <f>IFERROR(VLOOKUP(Z474,ASIGNACION!$C$5:$H$94,6,0),"F/Fecha")</f>
        <v>F/Fecha</v>
      </c>
    </row>
    <row r="475" spans="37:48" x14ac:dyDescent="0.25">
      <c r="AK475" s="12"/>
      <c r="AR475" s="12" t="e">
        <f t="shared" si="7"/>
        <v>#N/A</v>
      </c>
      <c r="AU475" s="12">
        <f>SUMIF(ASIGNACION!$C$5:$C$94,Z475,ASIGNACION!$R$5:$R$94)*'Costos x MO'!$B$7</f>
        <v>0</v>
      </c>
      <c r="AV475" s="12" t="str">
        <f>IFERROR(VLOOKUP(Z475,ASIGNACION!$C$5:$H$94,6,0),"F/Fecha")</f>
        <v>F/Fecha</v>
      </c>
    </row>
    <row r="476" spans="37:48" x14ac:dyDescent="0.25">
      <c r="AK476" s="12"/>
      <c r="AR476" s="12" t="e">
        <f t="shared" si="7"/>
        <v>#N/A</v>
      </c>
      <c r="AU476" s="12">
        <f>SUMIF(ASIGNACION!$C$5:$C$94,Z476,ASIGNACION!$R$5:$R$94)*'Costos x MO'!$B$7</f>
        <v>0</v>
      </c>
      <c r="AV476" s="12" t="str">
        <f>IFERROR(VLOOKUP(Z476,ASIGNACION!$C$5:$H$94,6,0),"F/Fecha")</f>
        <v>F/Fecha</v>
      </c>
    </row>
    <row r="477" spans="37:48" x14ac:dyDescent="0.25">
      <c r="AK477" s="12"/>
      <c r="AR477" s="12" t="e">
        <f t="shared" si="7"/>
        <v>#N/A</v>
      </c>
      <c r="AU477" s="12">
        <f>SUMIF(ASIGNACION!$C$5:$C$94,Z477,ASIGNACION!$R$5:$R$94)*'Costos x MO'!$B$7</f>
        <v>0</v>
      </c>
      <c r="AV477" s="12" t="str">
        <f>IFERROR(VLOOKUP(Z477,ASIGNACION!$C$5:$H$94,6,0),"F/Fecha")</f>
        <v>F/Fecha</v>
      </c>
    </row>
    <row r="478" spans="37:48" x14ac:dyDescent="0.25">
      <c r="AK478" s="12"/>
      <c r="AR478" s="12" t="e">
        <f t="shared" si="7"/>
        <v>#N/A</v>
      </c>
      <c r="AU478" s="12">
        <f>SUMIF(ASIGNACION!$C$5:$C$94,Z478,ASIGNACION!$R$5:$R$94)*'Costos x MO'!$B$7</f>
        <v>0</v>
      </c>
      <c r="AV478" s="12" t="str">
        <f>IFERROR(VLOOKUP(Z478,ASIGNACION!$C$5:$H$94,6,0),"F/Fecha")</f>
        <v>F/Fecha</v>
      </c>
    </row>
    <row r="479" spans="37:48" x14ac:dyDescent="0.25">
      <c r="AK479" s="12"/>
      <c r="AR479" s="12" t="e">
        <f t="shared" si="7"/>
        <v>#N/A</v>
      </c>
      <c r="AU479" s="12">
        <f>SUMIF(ASIGNACION!$C$5:$C$94,Z479,ASIGNACION!$R$5:$R$94)*'Costos x MO'!$B$7</f>
        <v>0</v>
      </c>
      <c r="AV479" s="12" t="str">
        <f>IFERROR(VLOOKUP(Z479,ASIGNACION!$C$5:$H$94,6,0),"F/Fecha")</f>
        <v>F/Fecha</v>
      </c>
    </row>
    <row r="480" spans="37:48" x14ac:dyDescent="0.25">
      <c r="AK480" s="12"/>
      <c r="AR480" s="12" t="e">
        <f t="shared" si="7"/>
        <v>#N/A</v>
      </c>
      <c r="AU480" s="12">
        <f>SUMIF(ASIGNACION!$C$5:$C$94,Z480,ASIGNACION!$R$5:$R$94)*'Costos x MO'!$B$7</f>
        <v>0</v>
      </c>
      <c r="AV480" s="12" t="str">
        <f>IFERROR(VLOOKUP(Z480,ASIGNACION!$C$5:$H$94,6,0),"F/Fecha")</f>
        <v>F/Fecha</v>
      </c>
    </row>
    <row r="481" spans="37:48" x14ac:dyDescent="0.25">
      <c r="AK481" s="12"/>
      <c r="AR481" s="12" t="e">
        <f t="shared" si="7"/>
        <v>#N/A</v>
      </c>
      <c r="AU481" s="12">
        <f>SUMIF(ASIGNACION!$C$5:$C$94,Z481,ASIGNACION!$R$5:$R$94)*'Costos x MO'!$B$7</f>
        <v>0</v>
      </c>
      <c r="AV481" s="12" t="str">
        <f>IFERROR(VLOOKUP(Z481,ASIGNACION!$C$5:$H$94,6,0),"F/Fecha")</f>
        <v>F/Fecha</v>
      </c>
    </row>
    <row r="482" spans="37:48" x14ac:dyDescent="0.25">
      <c r="AK482" s="12"/>
      <c r="AR482" s="12" t="e">
        <f t="shared" si="7"/>
        <v>#N/A</v>
      </c>
      <c r="AU482" s="12">
        <f>SUMIF(ASIGNACION!$C$5:$C$94,Z482,ASIGNACION!$R$5:$R$94)*'Costos x MO'!$B$7</f>
        <v>0</v>
      </c>
      <c r="AV482" s="12" t="str">
        <f>IFERROR(VLOOKUP(Z482,ASIGNACION!$C$5:$H$94,6,0),"F/Fecha")</f>
        <v>F/Fecha</v>
      </c>
    </row>
    <row r="483" spans="37:48" x14ac:dyDescent="0.25">
      <c r="AK483" s="12"/>
      <c r="AR483" s="12" t="e">
        <f t="shared" si="7"/>
        <v>#N/A</v>
      </c>
      <c r="AU483" s="12">
        <f>SUMIF(ASIGNACION!$C$5:$C$94,Z483,ASIGNACION!$R$5:$R$94)*'Costos x MO'!$B$7</f>
        <v>0</v>
      </c>
      <c r="AV483" s="12" t="str">
        <f>IFERROR(VLOOKUP(Z483,ASIGNACION!$C$5:$H$94,6,0),"F/Fecha")</f>
        <v>F/Fecha</v>
      </c>
    </row>
    <row r="484" spans="37:48" x14ac:dyDescent="0.25">
      <c r="AK484" s="12"/>
      <c r="AR484" s="12" t="e">
        <f t="shared" si="7"/>
        <v>#N/A</v>
      </c>
      <c r="AU484" s="12">
        <f>SUMIF(ASIGNACION!$C$5:$C$94,Z484,ASIGNACION!$R$5:$R$94)*'Costos x MO'!$B$7</f>
        <v>0</v>
      </c>
      <c r="AV484" s="12" t="str">
        <f>IFERROR(VLOOKUP(Z484,ASIGNACION!$C$5:$H$94,6,0),"F/Fecha")</f>
        <v>F/Fecha</v>
      </c>
    </row>
    <row r="485" spans="37:48" x14ac:dyDescent="0.25">
      <c r="AK485" s="12"/>
      <c r="AR485" s="12" t="e">
        <f t="shared" si="7"/>
        <v>#N/A</v>
      </c>
      <c r="AU485" s="12">
        <f>SUMIF(ASIGNACION!$C$5:$C$94,Z485,ASIGNACION!$R$5:$R$94)*'Costos x MO'!$B$7</f>
        <v>0</v>
      </c>
      <c r="AV485" s="12" t="str">
        <f>IFERROR(VLOOKUP(Z485,ASIGNACION!$C$5:$H$94,6,0),"F/Fecha")</f>
        <v>F/Fecha</v>
      </c>
    </row>
    <row r="486" spans="37:48" x14ac:dyDescent="0.25">
      <c r="AK486" s="12"/>
      <c r="AR486" s="12" t="e">
        <f t="shared" si="7"/>
        <v>#N/A</v>
      </c>
      <c r="AU486" s="12">
        <f>SUMIF(ASIGNACION!$C$5:$C$94,Z486,ASIGNACION!$R$5:$R$94)*'Costos x MO'!$B$7</f>
        <v>0</v>
      </c>
      <c r="AV486" s="12" t="str">
        <f>IFERROR(VLOOKUP(Z486,ASIGNACION!$C$5:$H$94,6,0),"F/Fecha")</f>
        <v>F/Fecha</v>
      </c>
    </row>
    <row r="487" spans="37:48" x14ac:dyDescent="0.25">
      <c r="AK487" s="12"/>
      <c r="AR487" s="12" t="e">
        <f t="shared" si="7"/>
        <v>#N/A</v>
      </c>
      <c r="AU487" s="12">
        <f>SUMIF(ASIGNACION!$C$5:$C$94,Z487,ASIGNACION!$R$5:$R$94)*'Costos x MO'!$B$7</f>
        <v>0</v>
      </c>
      <c r="AV487" s="12" t="str">
        <f>IFERROR(VLOOKUP(Z487,ASIGNACION!$C$5:$H$94,6,0),"F/Fecha")</f>
        <v>F/Fecha</v>
      </c>
    </row>
    <row r="488" spans="37:48" x14ac:dyDescent="0.25">
      <c r="AK488" s="12"/>
      <c r="AR488" s="12" t="e">
        <f t="shared" si="7"/>
        <v>#N/A</v>
      </c>
      <c r="AU488" s="12">
        <f>SUMIF(ASIGNACION!$C$5:$C$94,Z488,ASIGNACION!$R$5:$R$94)*'Costos x MO'!$B$7</f>
        <v>0</v>
      </c>
      <c r="AV488" s="12" t="str">
        <f>IFERROR(VLOOKUP(Z488,ASIGNACION!$C$5:$H$94,6,0),"F/Fecha")</f>
        <v>F/Fecha</v>
      </c>
    </row>
    <row r="489" spans="37:48" x14ac:dyDescent="0.25">
      <c r="AK489" s="12"/>
      <c r="AR489" s="12" t="e">
        <f t="shared" si="7"/>
        <v>#N/A</v>
      </c>
      <c r="AU489" s="12">
        <f>SUMIF(ASIGNACION!$C$5:$C$94,Z489,ASIGNACION!$R$5:$R$94)*'Costos x MO'!$B$7</f>
        <v>0</v>
      </c>
      <c r="AV489" s="12" t="str">
        <f>IFERROR(VLOOKUP(Z489,ASIGNACION!$C$5:$H$94,6,0),"F/Fecha")</f>
        <v>F/Fecha</v>
      </c>
    </row>
    <row r="490" spans="37:48" x14ac:dyDescent="0.25">
      <c r="AK490" s="12"/>
      <c r="AR490" s="12" t="e">
        <f t="shared" si="7"/>
        <v>#N/A</v>
      </c>
      <c r="AU490" s="12">
        <f>SUMIF(ASIGNACION!$C$5:$C$94,Z490,ASIGNACION!$R$5:$R$94)*'Costos x MO'!$B$7</f>
        <v>0</v>
      </c>
      <c r="AV490" s="12" t="str">
        <f>IFERROR(VLOOKUP(Z490,ASIGNACION!$C$5:$H$94,6,0),"F/Fecha")</f>
        <v>F/Fecha</v>
      </c>
    </row>
    <row r="491" spans="37:48" x14ac:dyDescent="0.25">
      <c r="AK491" s="12"/>
      <c r="AR491" s="12" t="e">
        <f t="shared" si="7"/>
        <v>#N/A</v>
      </c>
      <c r="AU491" s="12">
        <f>SUMIF(ASIGNACION!$C$5:$C$94,Z491,ASIGNACION!$R$5:$R$94)*'Costos x MO'!$B$7</f>
        <v>0</v>
      </c>
      <c r="AV491" s="12" t="str">
        <f>IFERROR(VLOOKUP(Z491,ASIGNACION!$C$5:$H$94,6,0),"F/Fecha")</f>
        <v>F/Fecha</v>
      </c>
    </row>
    <row r="492" spans="37:48" x14ac:dyDescent="0.25">
      <c r="AK492" s="12"/>
      <c r="AR492" s="12" t="e">
        <f t="shared" si="7"/>
        <v>#N/A</v>
      </c>
      <c r="AU492" s="12">
        <f>SUMIF(ASIGNACION!$C$5:$C$94,Z492,ASIGNACION!$R$5:$R$94)*'Costos x MO'!$B$7</f>
        <v>0</v>
      </c>
      <c r="AV492" s="12" t="str">
        <f>IFERROR(VLOOKUP(Z492,ASIGNACION!$C$5:$H$94,6,0),"F/Fecha")</f>
        <v>F/Fecha</v>
      </c>
    </row>
    <row r="493" spans="37:48" x14ac:dyDescent="0.25">
      <c r="AK493" s="12"/>
      <c r="AR493" s="12" t="e">
        <f t="shared" si="7"/>
        <v>#N/A</v>
      </c>
      <c r="AU493" s="12">
        <f>SUMIF(ASIGNACION!$C$5:$C$94,Z493,ASIGNACION!$R$5:$R$94)*'Costos x MO'!$B$7</f>
        <v>0</v>
      </c>
      <c r="AV493" s="12" t="str">
        <f>IFERROR(VLOOKUP(Z493,ASIGNACION!$C$5:$H$94,6,0),"F/Fecha")</f>
        <v>F/Fecha</v>
      </c>
    </row>
    <row r="494" spans="37:48" x14ac:dyDescent="0.25">
      <c r="AK494" s="12"/>
      <c r="AR494" s="12" t="e">
        <f t="shared" si="7"/>
        <v>#N/A</v>
      </c>
      <c r="AU494" s="12">
        <f>SUMIF(ASIGNACION!$C$5:$C$94,Z494,ASIGNACION!$R$5:$R$94)*'Costos x MO'!$B$7</f>
        <v>0</v>
      </c>
      <c r="AV494" s="12" t="str">
        <f>IFERROR(VLOOKUP(Z494,ASIGNACION!$C$5:$H$94,6,0),"F/Fecha")</f>
        <v>F/Fecha</v>
      </c>
    </row>
    <row r="495" spans="37:48" x14ac:dyDescent="0.25">
      <c r="AK495" s="12"/>
      <c r="AR495" s="12" t="e">
        <f t="shared" si="7"/>
        <v>#N/A</v>
      </c>
      <c r="AU495" s="12">
        <f>SUMIF(ASIGNACION!$C$5:$C$94,Z495,ASIGNACION!$R$5:$R$94)*'Costos x MO'!$B$7</f>
        <v>0</v>
      </c>
      <c r="AV495" s="12" t="str">
        <f>IFERROR(VLOOKUP(Z495,ASIGNACION!$C$5:$H$94,6,0),"F/Fecha")</f>
        <v>F/Fecha</v>
      </c>
    </row>
    <row r="496" spans="37:48" x14ac:dyDescent="0.25">
      <c r="AK496" s="12"/>
      <c r="AR496" s="12" t="e">
        <f t="shared" si="7"/>
        <v>#N/A</v>
      </c>
      <c r="AU496" s="12">
        <f>SUMIF(ASIGNACION!$C$5:$C$94,Z496,ASIGNACION!$R$5:$R$94)*'Costos x MO'!$B$7</f>
        <v>0</v>
      </c>
      <c r="AV496" s="12" t="str">
        <f>IFERROR(VLOOKUP(Z496,ASIGNACION!$C$5:$H$94,6,0),"F/Fecha")</f>
        <v>F/Fecha</v>
      </c>
    </row>
    <row r="497" spans="37:48" x14ac:dyDescent="0.25">
      <c r="AK497" s="12"/>
      <c r="AR497" s="12" t="e">
        <f t="shared" si="7"/>
        <v>#N/A</v>
      </c>
      <c r="AU497" s="12">
        <f>SUMIF(ASIGNACION!$C$5:$C$94,Z497,ASIGNACION!$R$5:$R$94)*'Costos x MO'!$B$7</f>
        <v>0</v>
      </c>
      <c r="AV497" s="12" t="str">
        <f>IFERROR(VLOOKUP(Z497,ASIGNACION!$C$5:$H$94,6,0),"F/Fecha")</f>
        <v>F/Fecha</v>
      </c>
    </row>
    <row r="498" spans="37:48" x14ac:dyDescent="0.25">
      <c r="AK498" s="12"/>
      <c r="AR498" s="12" t="e">
        <f t="shared" si="7"/>
        <v>#N/A</v>
      </c>
      <c r="AU498" s="12">
        <f>SUMIF(ASIGNACION!$C$5:$C$94,Z498,ASIGNACION!$R$5:$R$94)*'Costos x MO'!$B$7</f>
        <v>0</v>
      </c>
      <c r="AV498" s="12" t="str">
        <f>IFERROR(VLOOKUP(Z498,ASIGNACION!$C$5:$H$94,6,0),"F/Fecha")</f>
        <v>F/Fecha</v>
      </c>
    </row>
    <row r="499" spans="37:48" x14ac:dyDescent="0.25">
      <c r="AK499" s="12"/>
      <c r="AR499" s="12" t="e">
        <f t="shared" si="7"/>
        <v>#N/A</v>
      </c>
      <c r="AU499" s="12">
        <f>SUMIF(ASIGNACION!$C$5:$C$94,Z499,ASIGNACION!$R$5:$R$94)*'Costos x MO'!$B$7</f>
        <v>0</v>
      </c>
      <c r="AV499" s="12" t="str">
        <f>IFERROR(VLOOKUP(Z499,ASIGNACION!$C$5:$H$94,6,0),"F/Fecha")</f>
        <v>F/Fecha</v>
      </c>
    </row>
    <row r="500" spans="37:48" x14ac:dyDescent="0.25">
      <c r="AK500" s="12"/>
      <c r="AR500" s="12" t="e">
        <f t="shared" si="7"/>
        <v>#N/A</v>
      </c>
      <c r="AU500" s="12">
        <f>SUMIF(ASIGNACION!$C$5:$C$94,Z500,ASIGNACION!$R$5:$R$94)*'Costos x MO'!$B$7</f>
        <v>0</v>
      </c>
      <c r="AV500" s="12" t="str">
        <f>IFERROR(VLOOKUP(Z500,ASIGNACION!$C$5:$H$94,6,0),"F/Fecha")</f>
        <v>F/Fecha</v>
      </c>
    </row>
    <row r="501" spans="37:48" x14ac:dyDescent="0.25">
      <c r="AK501" s="12"/>
      <c r="AR501" s="12" t="e">
        <f t="shared" si="7"/>
        <v>#N/A</v>
      </c>
      <c r="AU501" s="12">
        <f>SUMIF(ASIGNACION!$C$5:$C$94,Z501,ASIGNACION!$R$5:$R$94)*'Costos x MO'!$B$7</f>
        <v>0</v>
      </c>
      <c r="AV501" s="12" t="str">
        <f>IFERROR(VLOOKUP(Z501,ASIGNACION!$C$5:$H$94,6,0),"F/Fecha")</f>
        <v>F/Fecha</v>
      </c>
    </row>
    <row r="502" spans="37:48" x14ac:dyDescent="0.25">
      <c r="AK502" s="12"/>
      <c r="AR502" s="12" t="e">
        <f t="shared" si="7"/>
        <v>#N/A</v>
      </c>
      <c r="AU502" s="12">
        <f>SUMIF(ASIGNACION!$C$5:$C$94,Z502,ASIGNACION!$R$5:$R$94)*'Costos x MO'!$B$7</f>
        <v>0</v>
      </c>
      <c r="AV502" s="12" t="str">
        <f>IFERROR(VLOOKUP(Z502,ASIGNACION!$C$5:$H$94,6,0),"F/Fecha")</f>
        <v>F/Fecha</v>
      </c>
    </row>
    <row r="503" spans="37:48" x14ac:dyDescent="0.25">
      <c r="AK503" s="12"/>
      <c r="AR503" s="12" t="e">
        <f t="shared" si="7"/>
        <v>#N/A</v>
      </c>
      <c r="AU503" s="12">
        <f>SUMIF(ASIGNACION!$C$5:$C$94,Z503,ASIGNACION!$R$5:$R$94)*'Costos x MO'!$B$7</f>
        <v>0</v>
      </c>
      <c r="AV503" s="12" t="str">
        <f>IFERROR(VLOOKUP(Z503,ASIGNACION!$C$5:$H$94,6,0),"F/Fecha")</f>
        <v>F/Fecha</v>
      </c>
    </row>
    <row r="504" spans="37:48" x14ac:dyDescent="0.25">
      <c r="AK504" s="12"/>
      <c r="AR504" s="12" t="e">
        <f t="shared" si="7"/>
        <v>#N/A</v>
      </c>
      <c r="AU504" s="12">
        <f>SUMIF(ASIGNACION!$C$5:$C$94,Z504,ASIGNACION!$R$5:$R$94)*'Costos x MO'!$B$7</f>
        <v>0</v>
      </c>
      <c r="AV504" s="12" t="str">
        <f>IFERROR(VLOOKUP(Z504,ASIGNACION!$C$5:$H$94,6,0),"F/Fecha")</f>
        <v>F/Fecha</v>
      </c>
    </row>
    <row r="505" spans="37:48" x14ac:dyDescent="0.25">
      <c r="AK505" s="12"/>
      <c r="AR505" s="12" t="e">
        <f t="shared" si="7"/>
        <v>#N/A</v>
      </c>
      <c r="AU505" s="12">
        <f>SUMIF(ASIGNACION!$C$5:$C$94,Z505,ASIGNACION!$R$5:$R$94)*'Costos x MO'!$B$7</f>
        <v>0</v>
      </c>
      <c r="AV505" s="12" t="str">
        <f>IFERROR(VLOOKUP(Z505,ASIGNACION!$C$5:$H$94,6,0),"F/Fecha")</f>
        <v>F/Fecha</v>
      </c>
    </row>
    <row r="506" spans="37:48" x14ac:dyDescent="0.25">
      <c r="AK506" s="12"/>
      <c r="AR506" s="12" t="e">
        <f t="shared" si="7"/>
        <v>#N/A</v>
      </c>
      <c r="AU506" s="12">
        <f>SUMIF(ASIGNACION!$C$5:$C$94,Z506,ASIGNACION!$R$5:$R$94)*'Costos x MO'!$B$7</f>
        <v>0</v>
      </c>
      <c r="AV506" s="12" t="str">
        <f>IFERROR(VLOOKUP(Z506,ASIGNACION!$C$5:$H$94,6,0),"F/Fecha")</f>
        <v>F/Fecha</v>
      </c>
    </row>
    <row r="507" spans="37:48" x14ac:dyDescent="0.25">
      <c r="AK507" s="12"/>
      <c r="AR507" s="12" t="e">
        <f t="shared" si="7"/>
        <v>#N/A</v>
      </c>
      <c r="AU507" s="12">
        <f>SUMIF(ASIGNACION!$C$5:$C$94,Z507,ASIGNACION!$R$5:$R$94)*'Costos x MO'!$B$7</f>
        <v>0</v>
      </c>
      <c r="AV507" s="12" t="str">
        <f>IFERROR(VLOOKUP(Z507,ASIGNACION!$C$5:$H$94,6,0),"F/Fecha")</f>
        <v>F/Fecha</v>
      </c>
    </row>
    <row r="508" spans="37:48" x14ac:dyDescent="0.25">
      <c r="AK508" s="12"/>
      <c r="AR508" s="12" t="e">
        <f t="shared" si="7"/>
        <v>#N/A</v>
      </c>
      <c r="AU508" s="12">
        <f>SUMIF(ASIGNACION!$C$5:$C$94,Z508,ASIGNACION!$R$5:$R$94)*'Costos x MO'!$B$7</f>
        <v>0</v>
      </c>
      <c r="AV508" s="12" t="str">
        <f>IFERROR(VLOOKUP(Z508,ASIGNACION!$C$5:$H$94,6,0),"F/Fecha")</f>
        <v>F/Fecha</v>
      </c>
    </row>
    <row r="509" spans="37:48" x14ac:dyDescent="0.25">
      <c r="AK509" s="12"/>
      <c r="AR509" s="12" t="e">
        <f t="shared" si="7"/>
        <v>#N/A</v>
      </c>
      <c r="AU509" s="12">
        <f>SUMIF(ASIGNACION!$C$5:$C$94,Z509,ASIGNACION!$R$5:$R$94)*'Costos x MO'!$B$7</f>
        <v>0</v>
      </c>
      <c r="AV509" s="12" t="str">
        <f>IFERROR(VLOOKUP(Z509,ASIGNACION!$C$5:$H$94,6,0),"F/Fecha")</f>
        <v>F/Fecha</v>
      </c>
    </row>
    <row r="510" spans="37:48" x14ac:dyDescent="0.25">
      <c r="AK510" s="12"/>
      <c r="AR510" s="12" t="e">
        <f t="shared" si="7"/>
        <v>#N/A</v>
      </c>
      <c r="AU510" s="12">
        <f>SUMIF(ASIGNACION!$C$5:$C$94,Z510,ASIGNACION!$R$5:$R$94)*'Costos x MO'!$B$7</f>
        <v>0</v>
      </c>
      <c r="AV510" s="12" t="str">
        <f>IFERROR(VLOOKUP(Z510,ASIGNACION!$C$5:$H$94,6,0),"F/Fecha")</f>
        <v>F/Fecha</v>
      </c>
    </row>
    <row r="511" spans="37:48" x14ac:dyDescent="0.25">
      <c r="AK511" s="12"/>
      <c r="AR511" s="12" t="e">
        <f t="shared" si="7"/>
        <v>#N/A</v>
      </c>
      <c r="AU511" s="12">
        <f>SUMIF(ASIGNACION!$C$5:$C$94,Z511,ASIGNACION!$R$5:$R$94)*'Costos x MO'!$B$7</f>
        <v>0</v>
      </c>
      <c r="AV511" s="12" t="str">
        <f>IFERROR(VLOOKUP(Z511,ASIGNACION!$C$5:$H$94,6,0),"F/Fecha")</f>
        <v>F/Fecha</v>
      </c>
    </row>
    <row r="512" spans="37:48" x14ac:dyDescent="0.25">
      <c r="AK512" s="12"/>
      <c r="AR512" s="12" t="e">
        <f t="shared" si="7"/>
        <v>#N/A</v>
      </c>
      <c r="AU512" s="12">
        <f>SUMIF(ASIGNACION!$C$5:$C$94,Z512,ASIGNACION!$R$5:$R$94)*'Costos x MO'!$B$7</f>
        <v>0</v>
      </c>
      <c r="AV512" s="12" t="str">
        <f>IFERROR(VLOOKUP(Z512,ASIGNACION!$C$5:$H$94,6,0),"F/Fecha")</f>
        <v>F/Fecha</v>
      </c>
    </row>
    <row r="513" spans="37:48" x14ac:dyDescent="0.25">
      <c r="AK513" s="12"/>
      <c r="AR513" s="12" t="e">
        <f t="shared" si="7"/>
        <v>#N/A</v>
      </c>
      <c r="AU513" s="12">
        <f>SUMIF(ASIGNACION!$C$5:$C$94,Z513,ASIGNACION!$R$5:$R$94)*'Costos x MO'!$B$7</f>
        <v>0</v>
      </c>
      <c r="AV513" s="12" t="str">
        <f>IFERROR(VLOOKUP(Z513,ASIGNACION!$C$5:$H$94,6,0),"F/Fecha")</f>
        <v>F/Fecha</v>
      </c>
    </row>
    <row r="514" spans="37:48" x14ac:dyDescent="0.25">
      <c r="AK514" s="12"/>
      <c r="AR514" s="12" t="e">
        <f t="shared" si="7"/>
        <v>#N/A</v>
      </c>
      <c r="AU514" s="12">
        <f>SUMIF(ASIGNACION!$C$5:$C$94,Z514,ASIGNACION!$R$5:$R$94)*'Costos x MO'!$B$7</f>
        <v>0</v>
      </c>
      <c r="AV514" s="12" t="str">
        <f>IFERROR(VLOOKUP(Z514,ASIGNACION!$C$5:$H$94,6,0),"F/Fecha")</f>
        <v>F/Fecha</v>
      </c>
    </row>
    <row r="515" spans="37:48" x14ac:dyDescent="0.25">
      <c r="AK515" s="12"/>
      <c r="AR515" s="12" t="e">
        <f t="shared" si="7"/>
        <v>#N/A</v>
      </c>
      <c r="AU515" s="12">
        <f>SUMIF(ASIGNACION!$C$5:$C$94,Z515,ASIGNACION!$R$5:$R$94)*'Costos x MO'!$B$7</f>
        <v>0</v>
      </c>
      <c r="AV515" s="12" t="str">
        <f>IFERROR(VLOOKUP(Z515,ASIGNACION!$C$5:$H$94,6,0),"F/Fecha")</f>
        <v>F/Fecha</v>
      </c>
    </row>
    <row r="516" spans="37:48" x14ac:dyDescent="0.25">
      <c r="AK516" s="12"/>
      <c r="AR516" s="12" t="e">
        <f t="shared" si="7"/>
        <v>#N/A</v>
      </c>
      <c r="AU516" s="12">
        <f>SUMIF(ASIGNACION!$C$5:$C$94,Z516,ASIGNACION!$R$5:$R$94)*'Costos x MO'!$B$7</f>
        <v>0</v>
      </c>
      <c r="AV516" s="12" t="str">
        <f>IFERROR(VLOOKUP(Z516,ASIGNACION!$C$5:$H$94,6,0),"F/Fecha")</f>
        <v>F/Fecha</v>
      </c>
    </row>
    <row r="517" spans="37:48" x14ac:dyDescent="0.25">
      <c r="AK517" s="12"/>
      <c r="AR517" s="12" t="e">
        <f t="shared" ref="AR517:AR580" si="8">VLOOKUP(Z517,$E$4:$G$3523,3,0)</f>
        <v>#N/A</v>
      </c>
      <c r="AU517" s="12">
        <f>SUMIF(ASIGNACION!$C$5:$C$94,Z517,ASIGNACION!$R$5:$R$94)*'Costos x MO'!$B$7</f>
        <v>0</v>
      </c>
      <c r="AV517" s="12" t="str">
        <f>IFERROR(VLOOKUP(Z517,ASIGNACION!$C$5:$H$94,6,0),"F/Fecha")</f>
        <v>F/Fecha</v>
      </c>
    </row>
    <row r="518" spans="37:48" x14ac:dyDescent="0.25">
      <c r="AK518" s="12"/>
      <c r="AR518" s="12" t="e">
        <f t="shared" si="8"/>
        <v>#N/A</v>
      </c>
      <c r="AU518" s="12">
        <f>SUMIF(ASIGNACION!$C$5:$C$94,Z518,ASIGNACION!$R$5:$R$94)*'Costos x MO'!$B$7</f>
        <v>0</v>
      </c>
      <c r="AV518" s="12" t="str">
        <f>IFERROR(VLOOKUP(Z518,ASIGNACION!$C$5:$H$94,6,0),"F/Fecha")</f>
        <v>F/Fecha</v>
      </c>
    </row>
    <row r="519" spans="37:48" x14ac:dyDescent="0.25">
      <c r="AK519" s="12"/>
      <c r="AR519" s="12" t="e">
        <f t="shared" si="8"/>
        <v>#N/A</v>
      </c>
      <c r="AU519" s="12">
        <f>SUMIF(ASIGNACION!$C$5:$C$94,Z519,ASIGNACION!$R$5:$R$94)*'Costos x MO'!$B$7</f>
        <v>0</v>
      </c>
      <c r="AV519" s="12" t="str">
        <f>IFERROR(VLOOKUP(Z519,ASIGNACION!$C$5:$H$94,6,0),"F/Fecha")</f>
        <v>F/Fecha</v>
      </c>
    </row>
    <row r="520" spans="37:48" x14ac:dyDescent="0.25">
      <c r="AK520" s="12"/>
      <c r="AR520" s="12" t="e">
        <f t="shared" si="8"/>
        <v>#N/A</v>
      </c>
      <c r="AU520" s="12">
        <f>SUMIF(ASIGNACION!$C$5:$C$94,Z520,ASIGNACION!$R$5:$R$94)*'Costos x MO'!$B$7</f>
        <v>0</v>
      </c>
      <c r="AV520" s="12" t="str">
        <f>IFERROR(VLOOKUP(Z520,ASIGNACION!$C$5:$H$94,6,0),"F/Fecha")</f>
        <v>F/Fecha</v>
      </c>
    </row>
    <row r="521" spans="37:48" x14ac:dyDescent="0.25">
      <c r="AK521" s="12"/>
      <c r="AR521" s="12" t="e">
        <f t="shared" si="8"/>
        <v>#N/A</v>
      </c>
      <c r="AU521" s="12">
        <f>SUMIF(ASIGNACION!$C$5:$C$94,Z521,ASIGNACION!$R$5:$R$94)*'Costos x MO'!$B$7</f>
        <v>0</v>
      </c>
      <c r="AV521" s="12" t="str">
        <f>IFERROR(VLOOKUP(Z521,ASIGNACION!$C$5:$H$94,6,0),"F/Fecha")</f>
        <v>F/Fecha</v>
      </c>
    </row>
    <row r="522" spans="37:48" x14ac:dyDescent="0.25">
      <c r="AK522" s="12"/>
      <c r="AR522" s="12" t="e">
        <f t="shared" si="8"/>
        <v>#N/A</v>
      </c>
      <c r="AU522" s="12">
        <f>SUMIF(ASIGNACION!$C$5:$C$94,Z522,ASIGNACION!$R$5:$R$94)*'Costos x MO'!$B$7</f>
        <v>0</v>
      </c>
      <c r="AV522" s="12" t="str">
        <f>IFERROR(VLOOKUP(Z522,ASIGNACION!$C$5:$H$94,6,0),"F/Fecha")</f>
        <v>F/Fecha</v>
      </c>
    </row>
    <row r="523" spans="37:48" x14ac:dyDescent="0.25">
      <c r="AK523" s="12"/>
      <c r="AR523" s="12" t="e">
        <f t="shared" si="8"/>
        <v>#N/A</v>
      </c>
      <c r="AU523" s="12">
        <f>SUMIF(ASIGNACION!$C$5:$C$94,Z523,ASIGNACION!$R$5:$R$94)*'Costos x MO'!$B$7</f>
        <v>0</v>
      </c>
      <c r="AV523" s="12" t="str">
        <f>IFERROR(VLOOKUP(Z523,ASIGNACION!$C$5:$H$94,6,0),"F/Fecha")</f>
        <v>F/Fecha</v>
      </c>
    </row>
    <row r="524" spans="37:48" x14ac:dyDescent="0.25">
      <c r="AK524" s="12"/>
      <c r="AR524" s="12" t="e">
        <f t="shared" si="8"/>
        <v>#N/A</v>
      </c>
      <c r="AU524" s="12">
        <f>SUMIF(ASIGNACION!$C$5:$C$94,Z524,ASIGNACION!$R$5:$R$94)*'Costos x MO'!$B$7</f>
        <v>0</v>
      </c>
      <c r="AV524" s="12" t="str">
        <f>IFERROR(VLOOKUP(Z524,ASIGNACION!$C$5:$H$94,6,0),"F/Fecha")</f>
        <v>F/Fecha</v>
      </c>
    </row>
    <row r="525" spans="37:48" x14ac:dyDescent="0.25">
      <c r="AK525" s="12"/>
      <c r="AR525" s="12" t="e">
        <f t="shared" si="8"/>
        <v>#N/A</v>
      </c>
      <c r="AU525" s="12">
        <f>SUMIF(ASIGNACION!$C$5:$C$94,Z525,ASIGNACION!$R$5:$R$94)*'Costos x MO'!$B$7</f>
        <v>0</v>
      </c>
      <c r="AV525" s="12" t="str">
        <f>IFERROR(VLOOKUP(Z525,ASIGNACION!$C$5:$H$94,6,0),"F/Fecha")</f>
        <v>F/Fecha</v>
      </c>
    </row>
    <row r="526" spans="37:48" x14ac:dyDescent="0.25">
      <c r="AK526" s="12"/>
      <c r="AR526" s="12" t="e">
        <f t="shared" si="8"/>
        <v>#N/A</v>
      </c>
      <c r="AU526" s="12">
        <f>SUMIF(ASIGNACION!$C$5:$C$94,Z526,ASIGNACION!$R$5:$R$94)*'Costos x MO'!$B$7</f>
        <v>0</v>
      </c>
      <c r="AV526" s="12" t="str">
        <f>IFERROR(VLOOKUP(Z526,ASIGNACION!$C$5:$H$94,6,0),"F/Fecha")</f>
        <v>F/Fecha</v>
      </c>
    </row>
    <row r="527" spans="37:48" x14ac:dyDescent="0.25">
      <c r="AK527" s="12"/>
      <c r="AR527" s="12" t="e">
        <f t="shared" si="8"/>
        <v>#N/A</v>
      </c>
      <c r="AU527" s="12">
        <f>SUMIF(ASIGNACION!$C$5:$C$94,Z527,ASIGNACION!$R$5:$R$94)*'Costos x MO'!$B$7</f>
        <v>0</v>
      </c>
      <c r="AV527" s="12" t="str">
        <f>IFERROR(VLOOKUP(Z527,ASIGNACION!$C$5:$H$94,6,0),"F/Fecha")</f>
        <v>F/Fecha</v>
      </c>
    </row>
    <row r="528" spans="37:48" x14ac:dyDescent="0.25">
      <c r="AK528" s="12"/>
      <c r="AR528" s="12" t="e">
        <f t="shared" si="8"/>
        <v>#N/A</v>
      </c>
      <c r="AU528" s="12">
        <f>SUMIF(ASIGNACION!$C$5:$C$94,Z528,ASIGNACION!$R$5:$R$94)*'Costos x MO'!$B$7</f>
        <v>0</v>
      </c>
      <c r="AV528" s="12" t="str">
        <f>IFERROR(VLOOKUP(Z528,ASIGNACION!$C$5:$H$94,6,0),"F/Fecha")</f>
        <v>F/Fecha</v>
      </c>
    </row>
    <row r="529" spans="37:48" x14ac:dyDescent="0.25">
      <c r="AK529" s="12"/>
      <c r="AR529" s="12" t="e">
        <f t="shared" si="8"/>
        <v>#N/A</v>
      </c>
      <c r="AU529" s="12">
        <f>SUMIF(ASIGNACION!$C$5:$C$94,Z529,ASIGNACION!$R$5:$R$94)*'Costos x MO'!$B$7</f>
        <v>0</v>
      </c>
      <c r="AV529" s="12" t="str">
        <f>IFERROR(VLOOKUP(Z529,ASIGNACION!$C$5:$H$94,6,0),"F/Fecha")</f>
        <v>F/Fecha</v>
      </c>
    </row>
    <row r="530" spans="37:48" x14ac:dyDescent="0.25">
      <c r="AK530" s="12"/>
      <c r="AR530" s="12" t="e">
        <f t="shared" si="8"/>
        <v>#N/A</v>
      </c>
      <c r="AU530" s="12">
        <f>SUMIF(ASIGNACION!$C$5:$C$94,Z530,ASIGNACION!$R$5:$R$94)*'Costos x MO'!$B$7</f>
        <v>0</v>
      </c>
      <c r="AV530" s="12" t="str">
        <f>IFERROR(VLOOKUP(Z530,ASIGNACION!$C$5:$H$94,6,0),"F/Fecha")</f>
        <v>F/Fecha</v>
      </c>
    </row>
    <row r="531" spans="37:48" x14ac:dyDescent="0.25">
      <c r="AK531" s="12"/>
      <c r="AR531" s="12" t="e">
        <f t="shared" si="8"/>
        <v>#N/A</v>
      </c>
      <c r="AU531" s="12">
        <f>SUMIF(ASIGNACION!$C$5:$C$94,Z531,ASIGNACION!$R$5:$R$94)*'Costos x MO'!$B$7</f>
        <v>0</v>
      </c>
      <c r="AV531" s="12" t="str">
        <f>IFERROR(VLOOKUP(Z531,ASIGNACION!$C$5:$H$94,6,0),"F/Fecha")</f>
        <v>F/Fecha</v>
      </c>
    </row>
    <row r="532" spans="37:48" x14ac:dyDescent="0.25">
      <c r="AK532" s="12"/>
      <c r="AR532" s="12" t="e">
        <f t="shared" si="8"/>
        <v>#N/A</v>
      </c>
      <c r="AU532" s="12">
        <f>SUMIF(ASIGNACION!$C$5:$C$94,Z532,ASIGNACION!$R$5:$R$94)*'Costos x MO'!$B$7</f>
        <v>0</v>
      </c>
      <c r="AV532" s="12" t="str">
        <f>IFERROR(VLOOKUP(Z532,ASIGNACION!$C$5:$H$94,6,0),"F/Fecha")</f>
        <v>F/Fecha</v>
      </c>
    </row>
    <row r="533" spans="37:48" x14ac:dyDescent="0.25">
      <c r="AK533" s="12"/>
      <c r="AR533" s="12" t="e">
        <f t="shared" si="8"/>
        <v>#N/A</v>
      </c>
      <c r="AU533" s="12">
        <f>SUMIF(ASIGNACION!$C$5:$C$94,Z533,ASIGNACION!$R$5:$R$94)*'Costos x MO'!$B$7</f>
        <v>0</v>
      </c>
      <c r="AV533" s="12" t="str">
        <f>IFERROR(VLOOKUP(Z533,ASIGNACION!$C$5:$H$94,6,0),"F/Fecha")</f>
        <v>F/Fecha</v>
      </c>
    </row>
    <row r="534" spans="37:48" x14ac:dyDescent="0.25">
      <c r="AK534" s="12"/>
      <c r="AR534" s="12" t="e">
        <f t="shared" si="8"/>
        <v>#N/A</v>
      </c>
      <c r="AU534" s="12">
        <f>SUMIF(ASIGNACION!$C$5:$C$94,Z534,ASIGNACION!$R$5:$R$94)*'Costos x MO'!$B$7</f>
        <v>0</v>
      </c>
      <c r="AV534" s="12" t="str">
        <f>IFERROR(VLOOKUP(Z534,ASIGNACION!$C$5:$H$94,6,0),"F/Fecha")</f>
        <v>F/Fecha</v>
      </c>
    </row>
    <row r="535" spans="37:48" x14ac:dyDescent="0.25">
      <c r="AK535" s="12"/>
      <c r="AR535" s="12" t="e">
        <f t="shared" si="8"/>
        <v>#N/A</v>
      </c>
      <c r="AU535" s="12">
        <f>SUMIF(ASIGNACION!$C$5:$C$94,Z535,ASIGNACION!$R$5:$R$94)*'Costos x MO'!$B$7</f>
        <v>0</v>
      </c>
      <c r="AV535" s="12" t="str">
        <f>IFERROR(VLOOKUP(Z535,ASIGNACION!$C$5:$H$94,6,0),"F/Fecha")</f>
        <v>F/Fecha</v>
      </c>
    </row>
    <row r="536" spans="37:48" x14ac:dyDescent="0.25">
      <c r="AK536" s="12"/>
      <c r="AR536" s="12" t="e">
        <f t="shared" si="8"/>
        <v>#N/A</v>
      </c>
      <c r="AU536" s="12">
        <f>SUMIF(ASIGNACION!$C$5:$C$94,Z536,ASIGNACION!$R$5:$R$94)*'Costos x MO'!$B$7</f>
        <v>0</v>
      </c>
      <c r="AV536" s="12" t="str">
        <f>IFERROR(VLOOKUP(Z536,ASIGNACION!$C$5:$H$94,6,0),"F/Fecha")</f>
        <v>F/Fecha</v>
      </c>
    </row>
    <row r="537" spans="37:48" x14ac:dyDescent="0.25">
      <c r="AK537" s="12"/>
      <c r="AR537" s="12" t="e">
        <f t="shared" si="8"/>
        <v>#N/A</v>
      </c>
      <c r="AU537" s="12">
        <f>SUMIF(ASIGNACION!$C$5:$C$94,Z537,ASIGNACION!$R$5:$R$94)*'Costos x MO'!$B$7</f>
        <v>0</v>
      </c>
      <c r="AV537" s="12" t="str">
        <f>IFERROR(VLOOKUP(Z537,ASIGNACION!$C$5:$H$94,6,0),"F/Fecha")</f>
        <v>F/Fecha</v>
      </c>
    </row>
    <row r="538" spans="37:48" x14ac:dyDescent="0.25">
      <c r="AK538" s="12"/>
      <c r="AR538" s="12" t="e">
        <f t="shared" si="8"/>
        <v>#N/A</v>
      </c>
      <c r="AU538" s="12">
        <f>SUMIF(ASIGNACION!$C$5:$C$94,Z538,ASIGNACION!$R$5:$R$94)*'Costos x MO'!$B$7</f>
        <v>0</v>
      </c>
      <c r="AV538" s="12" t="str">
        <f>IFERROR(VLOOKUP(Z538,ASIGNACION!$C$5:$H$94,6,0),"F/Fecha")</f>
        <v>F/Fecha</v>
      </c>
    </row>
    <row r="539" spans="37:48" x14ac:dyDescent="0.25">
      <c r="AK539" s="12"/>
      <c r="AR539" s="12" t="e">
        <f t="shared" si="8"/>
        <v>#N/A</v>
      </c>
      <c r="AU539" s="12">
        <f>SUMIF(ASIGNACION!$C$5:$C$94,Z539,ASIGNACION!$R$5:$R$94)*'Costos x MO'!$B$7</f>
        <v>0</v>
      </c>
      <c r="AV539" s="12" t="str">
        <f>IFERROR(VLOOKUP(Z539,ASIGNACION!$C$5:$H$94,6,0),"F/Fecha")</f>
        <v>F/Fecha</v>
      </c>
    </row>
    <row r="540" spans="37:48" x14ac:dyDescent="0.25">
      <c r="AK540" s="12"/>
      <c r="AR540" s="12" t="e">
        <f t="shared" si="8"/>
        <v>#N/A</v>
      </c>
      <c r="AU540" s="12">
        <f>SUMIF(ASIGNACION!$C$5:$C$94,Z540,ASIGNACION!$R$5:$R$94)*'Costos x MO'!$B$7</f>
        <v>0</v>
      </c>
      <c r="AV540" s="12" t="str">
        <f>IFERROR(VLOOKUP(Z540,ASIGNACION!$C$5:$H$94,6,0),"F/Fecha")</f>
        <v>F/Fecha</v>
      </c>
    </row>
    <row r="541" spans="37:48" x14ac:dyDescent="0.25">
      <c r="AK541" s="12"/>
      <c r="AR541" s="12" t="e">
        <f t="shared" si="8"/>
        <v>#N/A</v>
      </c>
      <c r="AU541" s="12">
        <f>SUMIF(ASIGNACION!$C$5:$C$94,Z541,ASIGNACION!$R$5:$R$94)*'Costos x MO'!$B$7</f>
        <v>0</v>
      </c>
      <c r="AV541" s="12" t="str">
        <f>IFERROR(VLOOKUP(Z541,ASIGNACION!$C$5:$H$94,6,0),"F/Fecha")</f>
        <v>F/Fecha</v>
      </c>
    </row>
    <row r="542" spans="37:48" x14ac:dyDescent="0.25">
      <c r="AK542" s="12"/>
      <c r="AR542" s="12" t="e">
        <f t="shared" si="8"/>
        <v>#N/A</v>
      </c>
      <c r="AU542" s="12">
        <f>SUMIF(ASIGNACION!$C$5:$C$94,Z542,ASIGNACION!$R$5:$R$94)*'Costos x MO'!$B$7</f>
        <v>0</v>
      </c>
      <c r="AV542" s="12" t="str">
        <f>IFERROR(VLOOKUP(Z542,ASIGNACION!$C$5:$H$94,6,0),"F/Fecha")</f>
        <v>F/Fecha</v>
      </c>
    </row>
    <row r="543" spans="37:48" x14ac:dyDescent="0.25">
      <c r="AK543" s="12"/>
      <c r="AR543" s="12" t="e">
        <f t="shared" si="8"/>
        <v>#N/A</v>
      </c>
      <c r="AU543" s="12">
        <f>SUMIF(ASIGNACION!$C$5:$C$94,Z543,ASIGNACION!$R$5:$R$94)*'Costos x MO'!$B$7</f>
        <v>0</v>
      </c>
      <c r="AV543" s="12" t="str">
        <f>IFERROR(VLOOKUP(Z543,ASIGNACION!$C$5:$H$94,6,0),"F/Fecha")</f>
        <v>F/Fecha</v>
      </c>
    </row>
    <row r="544" spans="37:48" x14ac:dyDescent="0.25">
      <c r="AK544" s="12"/>
      <c r="AR544" s="12" t="e">
        <f t="shared" si="8"/>
        <v>#N/A</v>
      </c>
      <c r="AU544" s="12">
        <f>SUMIF(ASIGNACION!$C$5:$C$94,Z544,ASIGNACION!$R$5:$R$94)*'Costos x MO'!$B$7</f>
        <v>0</v>
      </c>
      <c r="AV544" s="12" t="str">
        <f>IFERROR(VLOOKUP(Z544,ASIGNACION!$C$5:$H$94,6,0),"F/Fecha")</f>
        <v>F/Fecha</v>
      </c>
    </row>
    <row r="545" spans="37:48" x14ac:dyDescent="0.25">
      <c r="AK545" s="12"/>
      <c r="AR545" s="12" t="e">
        <f t="shared" si="8"/>
        <v>#N/A</v>
      </c>
      <c r="AU545" s="12">
        <f>SUMIF(ASIGNACION!$C$5:$C$94,Z545,ASIGNACION!$R$5:$R$94)*'Costos x MO'!$B$7</f>
        <v>0</v>
      </c>
      <c r="AV545" s="12" t="str">
        <f>IFERROR(VLOOKUP(Z545,ASIGNACION!$C$5:$H$94,6,0),"F/Fecha")</f>
        <v>F/Fecha</v>
      </c>
    </row>
    <row r="546" spans="37:48" x14ac:dyDescent="0.25">
      <c r="AK546" s="12"/>
      <c r="AR546" s="12" t="e">
        <f t="shared" si="8"/>
        <v>#N/A</v>
      </c>
      <c r="AU546" s="12">
        <f>SUMIF(ASIGNACION!$C$5:$C$94,Z546,ASIGNACION!$R$5:$R$94)*'Costos x MO'!$B$7</f>
        <v>0</v>
      </c>
      <c r="AV546" s="12" t="str">
        <f>IFERROR(VLOOKUP(Z546,ASIGNACION!$C$5:$H$94,6,0),"F/Fecha")</f>
        <v>F/Fecha</v>
      </c>
    </row>
    <row r="547" spans="37:48" x14ac:dyDescent="0.25">
      <c r="AK547" s="12"/>
      <c r="AR547" s="12" t="e">
        <f t="shared" si="8"/>
        <v>#N/A</v>
      </c>
      <c r="AU547" s="12">
        <f>SUMIF(ASIGNACION!$C$5:$C$94,Z547,ASIGNACION!$R$5:$R$94)*'Costos x MO'!$B$7</f>
        <v>0</v>
      </c>
      <c r="AV547" s="12" t="str">
        <f>IFERROR(VLOOKUP(Z547,ASIGNACION!$C$5:$H$94,6,0),"F/Fecha")</f>
        <v>F/Fecha</v>
      </c>
    </row>
    <row r="548" spans="37:48" x14ac:dyDescent="0.25">
      <c r="AK548" s="12"/>
      <c r="AR548" s="12" t="e">
        <f t="shared" si="8"/>
        <v>#N/A</v>
      </c>
      <c r="AU548" s="12">
        <f>SUMIF(ASIGNACION!$C$5:$C$94,Z548,ASIGNACION!$R$5:$R$94)*'Costos x MO'!$B$7</f>
        <v>0</v>
      </c>
      <c r="AV548" s="12" t="str">
        <f>IFERROR(VLOOKUP(Z548,ASIGNACION!$C$5:$H$94,6,0),"F/Fecha")</f>
        <v>F/Fecha</v>
      </c>
    </row>
    <row r="549" spans="37:48" x14ac:dyDescent="0.25">
      <c r="AK549" s="12"/>
      <c r="AR549" s="12" t="e">
        <f t="shared" si="8"/>
        <v>#N/A</v>
      </c>
      <c r="AU549" s="12">
        <f>SUMIF(ASIGNACION!$C$5:$C$94,Z549,ASIGNACION!$R$5:$R$94)*'Costos x MO'!$B$7</f>
        <v>0</v>
      </c>
      <c r="AV549" s="12" t="str">
        <f>IFERROR(VLOOKUP(Z549,ASIGNACION!$C$5:$H$94,6,0),"F/Fecha")</f>
        <v>F/Fecha</v>
      </c>
    </row>
    <row r="550" spans="37:48" x14ac:dyDescent="0.25">
      <c r="AK550" s="12"/>
      <c r="AR550" s="12" t="e">
        <f t="shared" si="8"/>
        <v>#N/A</v>
      </c>
      <c r="AU550" s="12">
        <f>SUMIF(ASIGNACION!$C$5:$C$94,Z550,ASIGNACION!$R$5:$R$94)*'Costos x MO'!$B$7</f>
        <v>0</v>
      </c>
      <c r="AV550" s="12" t="str">
        <f>IFERROR(VLOOKUP(Z550,ASIGNACION!$C$5:$H$94,6,0),"F/Fecha")</f>
        <v>F/Fecha</v>
      </c>
    </row>
    <row r="551" spans="37:48" x14ac:dyDescent="0.25">
      <c r="AK551" s="12"/>
      <c r="AR551" s="12" t="e">
        <f t="shared" si="8"/>
        <v>#N/A</v>
      </c>
      <c r="AU551" s="12">
        <f>SUMIF(ASIGNACION!$C$5:$C$94,Z551,ASIGNACION!$R$5:$R$94)*'Costos x MO'!$B$7</f>
        <v>0</v>
      </c>
      <c r="AV551" s="12" t="str">
        <f>IFERROR(VLOOKUP(Z551,ASIGNACION!$C$5:$H$94,6,0),"F/Fecha")</f>
        <v>F/Fecha</v>
      </c>
    </row>
    <row r="552" spans="37:48" x14ac:dyDescent="0.25">
      <c r="AK552" s="12"/>
      <c r="AR552" s="12" t="e">
        <f t="shared" si="8"/>
        <v>#N/A</v>
      </c>
      <c r="AU552" s="12">
        <f>SUMIF(ASIGNACION!$C$5:$C$94,Z552,ASIGNACION!$R$5:$R$94)*'Costos x MO'!$B$7</f>
        <v>0</v>
      </c>
      <c r="AV552" s="12" t="str">
        <f>IFERROR(VLOOKUP(Z552,ASIGNACION!$C$5:$H$94,6,0),"F/Fecha")</f>
        <v>F/Fecha</v>
      </c>
    </row>
    <row r="553" spans="37:48" x14ac:dyDescent="0.25">
      <c r="AK553" s="12"/>
      <c r="AR553" s="12" t="e">
        <f t="shared" si="8"/>
        <v>#N/A</v>
      </c>
      <c r="AU553" s="12">
        <f>SUMIF(ASIGNACION!$C$5:$C$94,Z553,ASIGNACION!$R$5:$R$94)*'Costos x MO'!$B$7</f>
        <v>0</v>
      </c>
      <c r="AV553" s="12" t="str">
        <f>IFERROR(VLOOKUP(Z553,ASIGNACION!$C$5:$H$94,6,0),"F/Fecha")</f>
        <v>F/Fecha</v>
      </c>
    </row>
    <row r="554" spans="37:48" x14ac:dyDescent="0.25">
      <c r="AK554" s="12"/>
      <c r="AR554" s="12" t="e">
        <f t="shared" si="8"/>
        <v>#N/A</v>
      </c>
      <c r="AU554" s="12">
        <f>SUMIF(ASIGNACION!$C$5:$C$94,Z554,ASIGNACION!$R$5:$R$94)*'Costos x MO'!$B$7</f>
        <v>0</v>
      </c>
      <c r="AV554" s="12" t="str">
        <f>IFERROR(VLOOKUP(Z554,ASIGNACION!$C$5:$H$94,6,0),"F/Fecha")</f>
        <v>F/Fecha</v>
      </c>
    </row>
    <row r="555" spans="37:48" x14ac:dyDescent="0.25">
      <c r="AK555" s="12"/>
      <c r="AR555" s="12" t="e">
        <f t="shared" si="8"/>
        <v>#N/A</v>
      </c>
      <c r="AU555" s="12">
        <f>SUMIF(ASIGNACION!$C$5:$C$94,Z555,ASIGNACION!$R$5:$R$94)*'Costos x MO'!$B$7</f>
        <v>0</v>
      </c>
      <c r="AV555" s="12" t="str">
        <f>IFERROR(VLOOKUP(Z555,ASIGNACION!$C$5:$H$94,6,0),"F/Fecha")</f>
        <v>F/Fecha</v>
      </c>
    </row>
    <row r="556" spans="37:48" x14ac:dyDescent="0.25">
      <c r="AK556" s="12"/>
      <c r="AR556" s="12" t="e">
        <f t="shared" si="8"/>
        <v>#N/A</v>
      </c>
      <c r="AU556" s="12">
        <f>SUMIF(ASIGNACION!$C$5:$C$94,Z556,ASIGNACION!$R$5:$R$94)*'Costos x MO'!$B$7</f>
        <v>0</v>
      </c>
      <c r="AV556" s="12" t="str">
        <f>IFERROR(VLOOKUP(Z556,ASIGNACION!$C$5:$H$94,6,0),"F/Fecha")</f>
        <v>F/Fecha</v>
      </c>
    </row>
    <row r="557" spans="37:48" x14ac:dyDescent="0.25">
      <c r="AK557" s="12"/>
      <c r="AR557" s="12" t="e">
        <f t="shared" si="8"/>
        <v>#N/A</v>
      </c>
      <c r="AU557" s="12">
        <f>SUMIF(ASIGNACION!$C$5:$C$94,Z557,ASIGNACION!$R$5:$R$94)*'Costos x MO'!$B$7</f>
        <v>0</v>
      </c>
      <c r="AV557" s="12" t="str">
        <f>IFERROR(VLOOKUP(Z557,ASIGNACION!$C$5:$H$94,6,0),"F/Fecha")</f>
        <v>F/Fecha</v>
      </c>
    </row>
    <row r="558" spans="37:48" x14ac:dyDescent="0.25">
      <c r="AK558" s="12"/>
      <c r="AR558" s="12" t="e">
        <f t="shared" si="8"/>
        <v>#N/A</v>
      </c>
      <c r="AU558" s="12">
        <f>SUMIF(ASIGNACION!$C$5:$C$94,Z558,ASIGNACION!$R$5:$R$94)*'Costos x MO'!$B$7</f>
        <v>0</v>
      </c>
      <c r="AV558" s="12" t="str">
        <f>IFERROR(VLOOKUP(Z558,ASIGNACION!$C$5:$H$94,6,0),"F/Fecha")</f>
        <v>F/Fecha</v>
      </c>
    </row>
    <row r="559" spans="37:48" x14ac:dyDescent="0.25">
      <c r="AK559" s="12"/>
      <c r="AR559" s="12" t="e">
        <f t="shared" si="8"/>
        <v>#N/A</v>
      </c>
      <c r="AU559" s="12">
        <f>SUMIF(ASIGNACION!$C$5:$C$94,Z559,ASIGNACION!$R$5:$R$94)*'Costos x MO'!$B$7</f>
        <v>0</v>
      </c>
      <c r="AV559" s="12" t="str">
        <f>IFERROR(VLOOKUP(Z559,ASIGNACION!$C$5:$H$94,6,0),"F/Fecha")</f>
        <v>F/Fecha</v>
      </c>
    </row>
    <row r="560" spans="37:48" x14ac:dyDescent="0.25">
      <c r="AK560" s="12"/>
      <c r="AR560" s="12" t="e">
        <f t="shared" si="8"/>
        <v>#N/A</v>
      </c>
      <c r="AU560" s="12">
        <f>SUMIF(ASIGNACION!$C$5:$C$94,Z560,ASIGNACION!$R$5:$R$94)*'Costos x MO'!$B$7</f>
        <v>0</v>
      </c>
      <c r="AV560" s="12" t="str">
        <f>IFERROR(VLOOKUP(Z560,ASIGNACION!$C$5:$H$94,6,0),"F/Fecha")</f>
        <v>F/Fecha</v>
      </c>
    </row>
    <row r="561" spans="37:48" x14ac:dyDescent="0.25">
      <c r="AK561" s="12"/>
      <c r="AR561" s="12" t="e">
        <f t="shared" si="8"/>
        <v>#N/A</v>
      </c>
      <c r="AU561" s="12">
        <f>SUMIF(ASIGNACION!$C$5:$C$94,Z561,ASIGNACION!$R$5:$R$94)*'Costos x MO'!$B$7</f>
        <v>0</v>
      </c>
      <c r="AV561" s="12" t="str">
        <f>IFERROR(VLOOKUP(Z561,ASIGNACION!$C$5:$H$94,6,0),"F/Fecha")</f>
        <v>F/Fecha</v>
      </c>
    </row>
    <row r="562" spans="37:48" x14ac:dyDescent="0.25">
      <c r="AK562" s="12"/>
      <c r="AR562" s="12" t="e">
        <f t="shared" si="8"/>
        <v>#N/A</v>
      </c>
      <c r="AU562" s="12">
        <f>SUMIF(ASIGNACION!$C$5:$C$94,Z562,ASIGNACION!$R$5:$R$94)*'Costos x MO'!$B$7</f>
        <v>0</v>
      </c>
      <c r="AV562" s="12" t="str">
        <f>IFERROR(VLOOKUP(Z562,ASIGNACION!$C$5:$H$94,6,0),"F/Fecha")</f>
        <v>F/Fecha</v>
      </c>
    </row>
    <row r="563" spans="37:48" x14ac:dyDescent="0.25">
      <c r="AK563" s="12"/>
      <c r="AR563" s="12" t="e">
        <f t="shared" si="8"/>
        <v>#N/A</v>
      </c>
      <c r="AU563" s="12">
        <f>SUMIF(ASIGNACION!$C$5:$C$94,Z563,ASIGNACION!$R$5:$R$94)*'Costos x MO'!$B$7</f>
        <v>0</v>
      </c>
      <c r="AV563" s="12" t="str">
        <f>IFERROR(VLOOKUP(Z563,ASIGNACION!$C$5:$H$94,6,0),"F/Fecha")</f>
        <v>F/Fecha</v>
      </c>
    </row>
    <row r="564" spans="37:48" x14ac:dyDescent="0.25">
      <c r="AK564" s="12"/>
      <c r="AR564" s="12" t="e">
        <f t="shared" si="8"/>
        <v>#N/A</v>
      </c>
      <c r="AU564" s="12">
        <f>SUMIF(ASIGNACION!$C$5:$C$94,Z564,ASIGNACION!$R$5:$R$94)*'Costos x MO'!$B$7</f>
        <v>0</v>
      </c>
      <c r="AV564" s="12" t="str">
        <f>IFERROR(VLOOKUP(Z564,ASIGNACION!$C$5:$H$94,6,0),"F/Fecha")</f>
        <v>F/Fecha</v>
      </c>
    </row>
    <row r="565" spans="37:48" x14ac:dyDescent="0.25">
      <c r="AK565" s="12"/>
      <c r="AR565" s="12" t="e">
        <f t="shared" si="8"/>
        <v>#N/A</v>
      </c>
      <c r="AU565" s="12">
        <f>SUMIF(ASIGNACION!$C$5:$C$94,Z565,ASIGNACION!$R$5:$R$94)*'Costos x MO'!$B$7</f>
        <v>0</v>
      </c>
      <c r="AV565" s="12" t="str">
        <f>IFERROR(VLOOKUP(Z565,ASIGNACION!$C$5:$H$94,6,0),"F/Fecha")</f>
        <v>F/Fecha</v>
      </c>
    </row>
    <row r="566" spans="37:48" x14ac:dyDescent="0.25">
      <c r="AK566" s="12"/>
      <c r="AR566" s="12" t="e">
        <f t="shared" si="8"/>
        <v>#N/A</v>
      </c>
      <c r="AU566" s="12">
        <f>SUMIF(ASIGNACION!$C$5:$C$94,Z566,ASIGNACION!$R$5:$R$94)*'Costos x MO'!$B$7</f>
        <v>0</v>
      </c>
      <c r="AV566" s="12" t="str">
        <f>IFERROR(VLOOKUP(Z566,ASIGNACION!$C$5:$H$94,6,0),"F/Fecha")</f>
        <v>F/Fecha</v>
      </c>
    </row>
    <row r="567" spans="37:48" x14ac:dyDescent="0.25">
      <c r="AK567" s="12"/>
      <c r="AR567" s="12" t="e">
        <f t="shared" si="8"/>
        <v>#N/A</v>
      </c>
      <c r="AU567" s="12">
        <f>SUMIF(ASIGNACION!$C$5:$C$94,Z567,ASIGNACION!$R$5:$R$94)*'Costos x MO'!$B$7</f>
        <v>0</v>
      </c>
      <c r="AV567" s="12" t="str">
        <f>IFERROR(VLOOKUP(Z567,ASIGNACION!$C$5:$H$94,6,0),"F/Fecha")</f>
        <v>F/Fecha</v>
      </c>
    </row>
    <row r="568" spans="37:48" x14ac:dyDescent="0.25">
      <c r="AK568" s="12"/>
      <c r="AR568" s="12" t="e">
        <f t="shared" si="8"/>
        <v>#N/A</v>
      </c>
      <c r="AU568" s="12">
        <f>SUMIF(ASIGNACION!$C$5:$C$94,Z568,ASIGNACION!$R$5:$R$94)*'Costos x MO'!$B$7</f>
        <v>0</v>
      </c>
      <c r="AV568" s="12" t="str">
        <f>IFERROR(VLOOKUP(Z568,ASIGNACION!$C$5:$H$94,6,0),"F/Fecha")</f>
        <v>F/Fecha</v>
      </c>
    </row>
    <row r="569" spans="37:48" x14ac:dyDescent="0.25">
      <c r="AK569" s="12"/>
      <c r="AR569" s="12" t="e">
        <f t="shared" si="8"/>
        <v>#N/A</v>
      </c>
      <c r="AU569" s="12">
        <f>SUMIF(ASIGNACION!$C$5:$C$94,Z569,ASIGNACION!$R$5:$R$94)*'Costos x MO'!$B$7</f>
        <v>0</v>
      </c>
      <c r="AV569" s="12" t="str">
        <f>IFERROR(VLOOKUP(Z569,ASIGNACION!$C$5:$H$94,6,0),"F/Fecha")</f>
        <v>F/Fecha</v>
      </c>
    </row>
    <row r="570" spans="37:48" x14ac:dyDescent="0.25">
      <c r="AK570" s="12"/>
      <c r="AR570" s="12" t="e">
        <f t="shared" si="8"/>
        <v>#N/A</v>
      </c>
      <c r="AU570" s="12">
        <f>SUMIF(ASIGNACION!$C$5:$C$94,Z570,ASIGNACION!$R$5:$R$94)*'Costos x MO'!$B$7</f>
        <v>0</v>
      </c>
      <c r="AV570" s="12" t="str">
        <f>IFERROR(VLOOKUP(Z570,ASIGNACION!$C$5:$H$94,6,0),"F/Fecha")</f>
        <v>F/Fecha</v>
      </c>
    </row>
    <row r="571" spans="37:48" x14ac:dyDescent="0.25">
      <c r="AK571" s="12"/>
      <c r="AR571" s="12" t="e">
        <f t="shared" si="8"/>
        <v>#N/A</v>
      </c>
      <c r="AU571" s="12">
        <f>SUMIF(ASIGNACION!$C$5:$C$94,Z571,ASIGNACION!$R$5:$R$94)*'Costos x MO'!$B$7</f>
        <v>0</v>
      </c>
      <c r="AV571" s="12" t="str">
        <f>IFERROR(VLOOKUP(Z571,ASIGNACION!$C$5:$H$94,6,0),"F/Fecha")</f>
        <v>F/Fecha</v>
      </c>
    </row>
    <row r="572" spans="37:48" x14ac:dyDescent="0.25">
      <c r="AK572" s="12"/>
      <c r="AR572" s="12" t="e">
        <f t="shared" si="8"/>
        <v>#N/A</v>
      </c>
      <c r="AU572" s="12">
        <f>SUMIF(ASIGNACION!$C$5:$C$94,Z572,ASIGNACION!$R$5:$R$94)*'Costos x MO'!$B$7</f>
        <v>0</v>
      </c>
      <c r="AV572" s="12" t="str">
        <f>IFERROR(VLOOKUP(Z572,ASIGNACION!$C$5:$H$94,6,0),"F/Fecha")</f>
        <v>F/Fecha</v>
      </c>
    </row>
    <row r="573" spans="37:48" x14ac:dyDescent="0.25">
      <c r="AK573" s="12"/>
      <c r="AR573" s="12" t="e">
        <f t="shared" si="8"/>
        <v>#N/A</v>
      </c>
      <c r="AU573" s="12">
        <f>SUMIF(ASIGNACION!$C$5:$C$94,Z573,ASIGNACION!$R$5:$R$94)*'Costos x MO'!$B$7</f>
        <v>0</v>
      </c>
      <c r="AV573" s="12" t="str">
        <f>IFERROR(VLOOKUP(Z573,ASIGNACION!$C$5:$H$94,6,0),"F/Fecha")</f>
        <v>F/Fecha</v>
      </c>
    </row>
    <row r="574" spans="37:48" x14ac:dyDescent="0.25">
      <c r="AK574" s="12"/>
      <c r="AR574" s="12" t="e">
        <f t="shared" si="8"/>
        <v>#N/A</v>
      </c>
      <c r="AU574" s="12">
        <f>SUMIF(ASIGNACION!$C$5:$C$94,Z574,ASIGNACION!$R$5:$R$94)*'Costos x MO'!$B$7</f>
        <v>0</v>
      </c>
      <c r="AV574" s="12" t="str">
        <f>IFERROR(VLOOKUP(Z574,ASIGNACION!$C$5:$H$94,6,0),"F/Fecha")</f>
        <v>F/Fecha</v>
      </c>
    </row>
    <row r="575" spans="37:48" x14ac:dyDescent="0.25">
      <c r="AK575" s="12"/>
      <c r="AR575" s="12" t="e">
        <f t="shared" si="8"/>
        <v>#N/A</v>
      </c>
      <c r="AU575" s="12">
        <f>SUMIF(ASIGNACION!$C$5:$C$94,Z575,ASIGNACION!$R$5:$R$94)*'Costos x MO'!$B$7</f>
        <v>0</v>
      </c>
      <c r="AV575" s="12" t="str">
        <f>IFERROR(VLOOKUP(Z575,ASIGNACION!$C$5:$H$94,6,0),"F/Fecha")</f>
        <v>F/Fecha</v>
      </c>
    </row>
    <row r="576" spans="37:48" x14ac:dyDescent="0.25">
      <c r="AK576" s="12"/>
      <c r="AR576" s="12" t="e">
        <f t="shared" si="8"/>
        <v>#N/A</v>
      </c>
      <c r="AU576" s="12">
        <f>SUMIF(ASIGNACION!$C$5:$C$94,Z576,ASIGNACION!$R$5:$R$94)*'Costos x MO'!$B$7</f>
        <v>0</v>
      </c>
      <c r="AV576" s="12" t="str">
        <f>IFERROR(VLOOKUP(Z576,ASIGNACION!$C$5:$H$94,6,0),"F/Fecha")</f>
        <v>F/Fecha</v>
      </c>
    </row>
    <row r="577" spans="37:48" x14ac:dyDescent="0.25">
      <c r="AK577" s="12"/>
      <c r="AR577" s="12" t="e">
        <f t="shared" si="8"/>
        <v>#N/A</v>
      </c>
      <c r="AU577" s="12">
        <f>SUMIF(ASIGNACION!$C$5:$C$94,Z577,ASIGNACION!$R$5:$R$94)*'Costos x MO'!$B$7</f>
        <v>0</v>
      </c>
      <c r="AV577" s="12" t="str">
        <f>IFERROR(VLOOKUP(Z577,ASIGNACION!$C$5:$H$94,6,0),"F/Fecha")</f>
        <v>F/Fecha</v>
      </c>
    </row>
    <row r="578" spans="37:48" x14ac:dyDescent="0.25">
      <c r="AK578" s="12"/>
      <c r="AR578" s="12" t="e">
        <f t="shared" si="8"/>
        <v>#N/A</v>
      </c>
      <c r="AU578" s="12">
        <f>SUMIF(ASIGNACION!$C$5:$C$94,Z578,ASIGNACION!$R$5:$R$94)*'Costos x MO'!$B$7</f>
        <v>0</v>
      </c>
      <c r="AV578" s="12" t="str">
        <f>IFERROR(VLOOKUP(Z578,ASIGNACION!$C$5:$H$94,6,0),"F/Fecha")</f>
        <v>F/Fecha</v>
      </c>
    </row>
    <row r="579" spans="37:48" x14ac:dyDescent="0.25">
      <c r="AK579" s="12"/>
      <c r="AR579" s="12" t="e">
        <f t="shared" si="8"/>
        <v>#N/A</v>
      </c>
      <c r="AU579" s="12">
        <f>SUMIF(ASIGNACION!$C$5:$C$94,Z579,ASIGNACION!$R$5:$R$94)*'Costos x MO'!$B$7</f>
        <v>0</v>
      </c>
      <c r="AV579" s="12" t="str">
        <f>IFERROR(VLOOKUP(Z579,ASIGNACION!$C$5:$H$94,6,0),"F/Fecha")</f>
        <v>F/Fecha</v>
      </c>
    </row>
    <row r="580" spans="37:48" x14ac:dyDescent="0.25">
      <c r="AK580" s="12"/>
      <c r="AR580" s="12" t="e">
        <f t="shared" si="8"/>
        <v>#N/A</v>
      </c>
      <c r="AU580" s="12">
        <f>SUMIF(ASIGNACION!$C$5:$C$94,Z580,ASIGNACION!$R$5:$R$94)*'Costos x MO'!$B$7</f>
        <v>0</v>
      </c>
      <c r="AV580" s="12" t="str">
        <f>IFERROR(VLOOKUP(Z580,ASIGNACION!$C$5:$H$94,6,0),"F/Fecha")</f>
        <v>F/Fecha</v>
      </c>
    </row>
    <row r="581" spans="37:48" x14ac:dyDescent="0.25">
      <c r="AK581" s="12"/>
      <c r="AR581" s="12" t="e">
        <f t="shared" ref="AR581:AR644" si="9">VLOOKUP(Z581,$E$4:$G$3523,3,0)</f>
        <v>#N/A</v>
      </c>
      <c r="AU581" s="12">
        <f>SUMIF(ASIGNACION!$C$5:$C$94,Z581,ASIGNACION!$R$5:$R$94)*'Costos x MO'!$B$7</f>
        <v>0</v>
      </c>
      <c r="AV581" s="12" t="str">
        <f>IFERROR(VLOOKUP(Z581,ASIGNACION!$C$5:$H$94,6,0),"F/Fecha")</f>
        <v>F/Fecha</v>
      </c>
    </row>
    <row r="582" spans="37:48" x14ac:dyDescent="0.25">
      <c r="AK582" s="12"/>
      <c r="AR582" s="12" t="e">
        <f t="shared" si="9"/>
        <v>#N/A</v>
      </c>
      <c r="AU582" s="12">
        <f>SUMIF(ASIGNACION!$C$5:$C$94,Z582,ASIGNACION!$R$5:$R$94)*'Costos x MO'!$B$7</f>
        <v>0</v>
      </c>
      <c r="AV582" s="12" t="str">
        <f>IFERROR(VLOOKUP(Z582,ASIGNACION!$C$5:$H$94,6,0),"F/Fecha")</f>
        <v>F/Fecha</v>
      </c>
    </row>
    <row r="583" spans="37:48" x14ac:dyDescent="0.25">
      <c r="AK583" s="12"/>
      <c r="AR583" s="12" t="e">
        <f t="shared" si="9"/>
        <v>#N/A</v>
      </c>
      <c r="AU583" s="12">
        <f>SUMIF(ASIGNACION!$C$5:$C$94,Z583,ASIGNACION!$R$5:$R$94)*'Costos x MO'!$B$7</f>
        <v>0</v>
      </c>
      <c r="AV583" s="12" t="str">
        <f>IFERROR(VLOOKUP(Z583,ASIGNACION!$C$5:$H$94,6,0),"F/Fecha")</f>
        <v>F/Fecha</v>
      </c>
    </row>
    <row r="584" spans="37:48" x14ac:dyDescent="0.25">
      <c r="AK584" s="12"/>
      <c r="AR584" s="12" t="e">
        <f t="shared" si="9"/>
        <v>#N/A</v>
      </c>
      <c r="AU584" s="12">
        <f>SUMIF(ASIGNACION!$C$5:$C$94,Z584,ASIGNACION!$R$5:$R$94)*'Costos x MO'!$B$7</f>
        <v>0</v>
      </c>
      <c r="AV584" s="12" t="str">
        <f>IFERROR(VLOOKUP(Z584,ASIGNACION!$C$5:$H$94,6,0),"F/Fecha")</f>
        <v>F/Fecha</v>
      </c>
    </row>
    <row r="585" spans="37:48" x14ac:dyDescent="0.25">
      <c r="AK585" s="12"/>
      <c r="AR585" s="12" t="e">
        <f t="shared" si="9"/>
        <v>#N/A</v>
      </c>
      <c r="AU585" s="12">
        <f>SUMIF(ASIGNACION!$C$5:$C$94,Z585,ASIGNACION!$R$5:$R$94)*'Costos x MO'!$B$7</f>
        <v>0</v>
      </c>
      <c r="AV585" s="12" t="str">
        <f>IFERROR(VLOOKUP(Z585,ASIGNACION!$C$5:$H$94,6,0),"F/Fecha")</f>
        <v>F/Fecha</v>
      </c>
    </row>
    <row r="586" spans="37:48" x14ac:dyDescent="0.25">
      <c r="AK586" s="12"/>
      <c r="AR586" s="12" t="e">
        <f t="shared" si="9"/>
        <v>#N/A</v>
      </c>
      <c r="AU586" s="12">
        <f>SUMIF(ASIGNACION!$C$5:$C$94,Z586,ASIGNACION!$R$5:$R$94)*'Costos x MO'!$B$7</f>
        <v>0</v>
      </c>
      <c r="AV586" s="12" t="str">
        <f>IFERROR(VLOOKUP(Z586,ASIGNACION!$C$5:$H$94,6,0),"F/Fecha")</f>
        <v>F/Fecha</v>
      </c>
    </row>
    <row r="587" spans="37:48" x14ac:dyDescent="0.25">
      <c r="AK587" s="12"/>
      <c r="AR587" s="12" t="e">
        <f t="shared" si="9"/>
        <v>#N/A</v>
      </c>
      <c r="AU587" s="12">
        <f>SUMIF(ASIGNACION!$C$5:$C$94,Z587,ASIGNACION!$R$5:$R$94)*'Costos x MO'!$B$7</f>
        <v>0</v>
      </c>
      <c r="AV587" s="12" t="str">
        <f>IFERROR(VLOOKUP(Z587,ASIGNACION!$C$5:$H$94,6,0),"F/Fecha")</f>
        <v>F/Fecha</v>
      </c>
    </row>
    <row r="588" spans="37:48" x14ac:dyDescent="0.25">
      <c r="AK588" s="12"/>
      <c r="AR588" s="12" t="e">
        <f t="shared" si="9"/>
        <v>#N/A</v>
      </c>
      <c r="AU588" s="12">
        <f>SUMIF(ASIGNACION!$C$5:$C$94,Z588,ASIGNACION!$R$5:$R$94)*'Costos x MO'!$B$7</f>
        <v>0</v>
      </c>
      <c r="AV588" s="12" t="str">
        <f>IFERROR(VLOOKUP(Z588,ASIGNACION!$C$5:$H$94,6,0),"F/Fecha")</f>
        <v>F/Fecha</v>
      </c>
    </row>
    <row r="589" spans="37:48" x14ac:dyDescent="0.25">
      <c r="AK589" s="12"/>
      <c r="AR589" s="12" t="e">
        <f t="shared" si="9"/>
        <v>#N/A</v>
      </c>
      <c r="AU589" s="12">
        <f>SUMIF(ASIGNACION!$C$5:$C$94,Z589,ASIGNACION!$R$5:$R$94)*'Costos x MO'!$B$7</f>
        <v>0</v>
      </c>
      <c r="AV589" s="12" t="str">
        <f>IFERROR(VLOOKUP(Z589,ASIGNACION!$C$5:$H$94,6,0),"F/Fecha")</f>
        <v>F/Fecha</v>
      </c>
    </row>
    <row r="590" spans="37:48" x14ac:dyDescent="0.25">
      <c r="AK590" s="12"/>
      <c r="AR590" s="12" t="e">
        <f t="shared" si="9"/>
        <v>#N/A</v>
      </c>
      <c r="AU590" s="12">
        <f>SUMIF(ASIGNACION!$C$5:$C$94,Z590,ASIGNACION!$R$5:$R$94)*'Costos x MO'!$B$7</f>
        <v>0</v>
      </c>
      <c r="AV590" s="12" t="str">
        <f>IFERROR(VLOOKUP(Z590,ASIGNACION!$C$5:$H$94,6,0),"F/Fecha")</f>
        <v>F/Fecha</v>
      </c>
    </row>
    <row r="591" spans="37:48" x14ac:dyDescent="0.25">
      <c r="AK591" s="12"/>
      <c r="AR591" s="12" t="e">
        <f t="shared" si="9"/>
        <v>#N/A</v>
      </c>
      <c r="AU591" s="12">
        <f>SUMIF(ASIGNACION!$C$5:$C$94,Z591,ASIGNACION!$R$5:$R$94)*'Costos x MO'!$B$7</f>
        <v>0</v>
      </c>
      <c r="AV591" s="12" t="str">
        <f>IFERROR(VLOOKUP(Z591,ASIGNACION!$C$5:$H$94,6,0),"F/Fecha")</f>
        <v>F/Fecha</v>
      </c>
    </row>
    <row r="592" spans="37:48" x14ac:dyDescent="0.25">
      <c r="AK592" s="12"/>
      <c r="AR592" s="12" t="e">
        <f t="shared" si="9"/>
        <v>#N/A</v>
      </c>
      <c r="AU592" s="12">
        <f>SUMIF(ASIGNACION!$C$5:$C$94,Z592,ASIGNACION!$R$5:$R$94)*'Costos x MO'!$B$7</f>
        <v>0</v>
      </c>
      <c r="AV592" s="12" t="str">
        <f>IFERROR(VLOOKUP(Z592,ASIGNACION!$C$5:$H$94,6,0),"F/Fecha")</f>
        <v>F/Fecha</v>
      </c>
    </row>
    <row r="593" spans="37:48" x14ac:dyDescent="0.25">
      <c r="AK593" s="12"/>
      <c r="AR593" s="12" t="e">
        <f t="shared" si="9"/>
        <v>#N/A</v>
      </c>
      <c r="AU593" s="12">
        <f>SUMIF(ASIGNACION!$C$5:$C$94,Z593,ASIGNACION!$R$5:$R$94)*'Costos x MO'!$B$7</f>
        <v>0</v>
      </c>
      <c r="AV593" s="12" t="str">
        <f>IFERROR(VLOOKUP(Z593,ASIGNACION!$C$5:$H$94,6,0),"F/Fecha")</f>
        <v>F/Fecha</v>
      </c>
    </row>
    <row r="594" spans="37:48" x14ac:dyDescent="0.25">
      <c r="AK594" s="12"/>
      <c r="AR594" s="12" t="e">
        <f t="shared" si="9"/>
        <v>#N/A</v>
      </c>
      <c r="AU594" s="12">
        <f>SUMIF(ASIGNACION!$C$5:$C$94,Z594,ASIGNACION!$R$5:$R$94)*'Costos x MO'!$B$7</f>
        <v>0</v>
      </c>
      <c r="AV594" s="12" t="str">
        <f>IFERROR(VLOOKUP(Z594,ASIGNACION!$C$5:$H$94,6,0),"F/Fecha")</f>
        <v>F/Fecha</v>
      </c>
    </row>
    <row r="595" spans="37:48" x14ac:dyDescent="0.25">
      <c r="AK595" s="12"/>
      <c r="AR595" s="12" t="e">
        <f t="shared" si="9"/>
        <v>#N/A</v>
      </c>
      <c r="AU595" s="12">
        <f>SUMIF(ASIGNACION!$C$5:$C$94,Z595,ASIGNACION!$R$5:$R$94)*'Costos x MO'!$B$7</f>
        <v>0</v>
      </c>
      <c r="AV595" s="12" t="str">
        <f>IFERROR(VLOOKUP(Z595,ASIGNACION!$C$5:$H$94,6,0),"F/Fecha")</f>
        <v>F/Fecha</v>
      </c>
    </row>
    <row r="596" spans="37:48" x14ac:dyDescent="0.25">
      <c r="AK596" s="12"/>
      <c r="AR596" s="12" t="e">
        <f t="shared" si="9"/>
        <v>#N/A</v>
      </c>
      <c r="AU596" s="12">
        <f>SUMIF(ASIGNACION!$C$5:$C$94,Z596,ASIGNACION!$R$5:$R$94)*'Costos x MO'!$B$7</f>
        <v>0</v>
      </c>
      <c r="AV596" s="12" t="str">
        <f>IFERROR(VLOOKUP(Z596,ASIGNACION!$C$5:$H$94,6,0),"F/Fecha")</f>
        <v>F/Fecha</v>
      </c>
    </row>
    <row r="597" spans="37:48" x14ac:dyDescent="0.25">
      <c r="AK597" s="12"/>
      <c r="AR597" s="12" t="e">
        <f t="shared" si="9"/>
        <v>#N/A</v>
      </c>
      <c r="AU597" s="12">
        <f>SUMIF(ASIGNACION!$C$5:$C$94,Z597,ASIGNACION!$R$5:$R$94)*'Costos x MO'!$B$7</f>
        <v>0</v>
      </c>
      <c r="AV597" s="12" t="str">
        <f>IFERROR(VLOOKUP(Z597,ASIGNACION!$C$5:$H$94,6,0),"F/Fecha")</f>
        <v>F/Fecha</v>
      </c>
    </row>
    <row r="598" spans="37:48" x14ac:dyDescent="0.25">
      <c r="AK598" s="12"/>
      <c r="AR598" s="12" t="e">
        <f t="shared" si="9"/>
        <v>#N/A</v>
      </c>
      <c r="AU598" s="12">
        <f>SUMIF(ASIGNACION!$C$5:$C$94,Z598,ASIGNACION!$R$5:$R$94)*'Costos x MO'!$B$7</f>
        <v>0</v>
      </c>
      <c r="AV598" s="12" t="str">
        <f>IFERROR(VLOOKUP(Z598,ASIGNACION!$C$5:$H$94,6,0),"F/Fecha")</f>
        <v>F/Fecha</v>
      </c>
    </row>
    <row r="599" spans="37:48" x14ac:dyDescent="0.25">
      <c r="AK599" s="12"/>
      <c r="AR599" s="12" t="e">
        <f t="shared" si="9"/>
        <v>#N/A</v>
      </c>
      <c r="AU599" s="12">
        <f>SUMIF(ASIGNACION!$C$5:$C$94,Z599,ASIGNACION!$R$5:$R$94)*'Costos x MO'!$B$7</f>
        <v>0</v>
      </c>
      <c r="AV599" s="12" t="str">
        <f>IFERROR(VLOOKUP(Z599,ASIGNACION!$C$5:$H$94,6,0),"F/Fecha")</f>
        <v>F/Fecha</v>
      </c>
    </row>
    <row r="600" spans="37:48" x14ac:dyDescent="0.25">
      <c r="AK600" s="12"/>
      <c r="AR600" s="12" t="e">
        <f t="shared" si="9"/>
        <v>#N/A</v>
      </c>
      <c r="AU600" s="12">
        <f>SUMIF(ASIGNACION!$C$5:$C$94,Z600,ASIGNACION!$R$5:$R$94)*'Costos x MO'!$B$7</f>
        <v>0</v>
      </c>
      <c r="AV600" s="12" t="str">
        <f>IFERROR(VLOOKUP(Z600,ASIGNACION!$C$5:$H$94,6,0),"F/Fecha")</f>
        <v>F/Fecha</v>
      </c>
    </row>
    <row r="601" spans="37:48" x14ac:dyDescent="0.25">
      <c r="AK601" s="12"/>
      <c r="AR601" s="12" t="e">
        <f t="shared" si="9"/>
        <v>#N/A</v>
      </c>
      <c r="AU601" s="12">
        <f>SUMIF(ASIGNACION!$C$5:$C$94,Z601,ASIGNACION!$R$5:$R$94)*'Costos x MO'!$B$7</f>
        <v>0</v>
      </c>
      <c r="AV601" s="12" t="str">
        <f>IFERROR(VLOOKUP(Z601,ASIGNACION!$C$5:$H$94,6,0),"F/Fecha")</f>
        <v>F/Fecha</v>
      </c>
    </row>
    <row r="602" spans="37:48" x14ac:dyDescent="0.25">
      <c r="AK602" s="12"/>
      <c r="AR602" s="12" t="e">
        <f t="shared" si="9"/>
        <v>#N/A</v>
      </c>
      <c r="AU602" s="12">
        <f>SUMIF(ASIGNACION!$C$5:$C$94,Z602,ASIGNACION!$R$5:$R$94)*'Costos x MO'!$B$7</f>
        <v>0</v>
      </c>
      <c r="AV602" s="12" t="str">
        <f>IFERROR(VLOOKUP(Z602,ASIGNACION!$C$5:$H$94,6,0),"F/Fecha")</f>
        <v>F/Fecha</v>
      </c>
    </row>
    <row r="603" spans="37:48" x14ac:dyDescent="0.25">
      <c r="AK603" s="12"/>
      <c r="AR603" s="12" t="e">
        <f t="shared" si="9"/>
        <v>#N/A</v>
      </c>
      <c r="AU603" s="12">
        <f>SUMIF(ASIGNACION!$C$5:$C$94,Z603,ASIGNACION!$R$5:$R$94)*'Costos x MO'!$B$7</f>
        <v>0</v>
      </c>
      <c r="AV603" s="12" t="str">
        <f>IFERROR(VLOOKUP(Z603,ASIGNACION!$C$5:$H$94,6,0),"F/Fecha")</f>
        <v>F/Fecha</v>
      </c>
    </row>
    <row r="604" spans="37:48" x14ac:dyDescent="0.25">
      <c r="AK604" s="12"/>
      <c r="AR604" s="12" t="e">
        <f t="shared" si="9"/>
        <v>#N/A</v>
      </c>
      <c r="AU604" s="12">
        <f>SUMIF(ASIGNACION!$C$5:$C$94,Z604,ASIGNACION!$R$5:$R$94)*'Costos x MO'!$B$7</f>
        <v>0</v>
      </c>
      <c r="AV604" s="12" t="str">
        <f>IFERROR(VLOOKUP(Z604,ASIGNACION!$C$5:$H$94,6,0),"F/Fecha")</f>
        <v>F/Fecha</v>
      </c>
    </row>
    <row r="605" spans="37:48" x14ac:dyDescent="0.25">
      <c r="AK605" s="12"/>
      <c r="AR605" s="12" t="e">
        <f t="shared" si="9"/>
        <v>#N/A</v>
      </c>
      <c r="AU605" s="12">
        <f>SUMIF(ASIGNACION!$C$5:$C$94,Z605,ASIGNACION!$R$5:$R$94)*'Costos x MO'!$B$7</f>
        <v>0</v>
      </c>
      <c r="AV605" s="12" t="str">
        <f>IFERROR(VLOOKUP(Z605,ASIGNACION!$C$5:$H$94,6,0),"F/Fecha")</f>
        <v>F/Fecha</v>
      </c>
    </row>
    <row r="606" spans="37:48" x14ac:dyDescent="0.25">
      <c r="AK606" s="12"/>
      <c r="AR606" s="12" t="e">
        <f t="shared" si="9"/>
        <v>#N/A</v>
      </c>
      <c r="AU606" s="12">
        <f>SUMIF(ASIGNACION!$C$5:$C$94,Z606,ASIGNACION!$R$5:$R$94)*'Costos x MO'!$B$7</f>
        <v>0</v>
      </c>
      <c r="AV606" s="12" t="str">
        <f>IFERROR(VLOOKUP(Z606,ASIGNACION!$C$5:$H$94,6,0),"F/Fecha")</f>
        <v>F/Fecha</v>
      </c>
    </row>
    <row r="607" spans="37:48" x14ac:dyDescent="0.25">
      <c r="AK607" s="12"/>
      <c r="AR607" s="12" t="e">
        <f t="shared" si="9"/>
        <v>#N/A</v>
      </c>
      <c r="AU607" s="12">
        <f>SUMIF(ASIGNACION!$C$5:$C$94,Z607,ASIGNACION!$R$5:$R$94)*'Costos x MO'!$B$7</f>
        <v>0</v>
      </c>
      <c r="AV607" s="12" t="str">
        <f>IFERROR(VLOOKUP(Z607,ASIGNACION!$C$5:$H$94,6,0),"F/Fecha")</f>
        <v>F/Fecha</v>
      </c>
    </row>
    <row r="608" spans="37:48" x14ac:dyDescent="0.25">
      <c r="AK608" s="12"/>
      <c r="AR608" s="12" t="e">
        <f t="shared" si="9"/>
        <v>#N/A</v>
      </c>
      <c r="AU608" s="12">
        <f>SUMIF(ASIGNACION!$C$5:$C$94,Z608,ASIGNACION!$R$5:$R$94)*'Costos x MO'!$B$7</f>
        <v>0</v>
      </c>
      <c r="AV608" s="12" t="str">
        <f>IFERROR(VLOOKUP(Z608,ASIGNACION!$C$5:$H$94,6,0),"F/Fecha")</f>
        <v>F/Fecha</v>
      </c>
    </row>
    <row r="609" spans="37:48" x14ac:dyDescent="0.25">
      <c r="AK609" s="12"/>
      <c r="AR609" s="12" t="e">
        <f t="shared" si="9"/>
        <v>#N/A</v>
      </c>
      <c r="AU609" s="12">
        <f>SUMIF(ASIGNACION!$C$5:$C$94,Z609,ASIGNACION!$R$5:$R$94)*'Costos x MO'!$B$7</f>
        <v>0</v>
      </c>
      <c r="AV609" s="12" t="str">
        <f>IFERROR(VLOOKUP(Z609,ASIGNACION!$C$5:$H$94,6,0),"F/Fecha")</f>
        <v>F/Fecha</v>
      </c>
    </row>
    <row r="610" spans="37:48" x14ac:dyDescent="0.25">
      <c r="AK610" s="12"/>
      <c r="AR610" s="12" t="e">
        <f t="shared" si="9"/>
        <v>#N/A</v>
      </c>
      <c r="AU610" s="12">
        <f>SUMIF(ASIGNACION!$C$5:$C$94,Z610,ASIGNACION!$R$5:$R$94)*'Costos x MO'!$B$7</f>
        <v>0</v>
      </c>
      <c r="AV610" s="12" t="str">
        <f>IFERROR(VLOOKUP(Z610,ASIGNACION!$C$5:$H$94,6,0),"F/Fecha")</f>
        <v>F/Fecha</v>
      </c>
    </row>
    <row r="611" spans="37:48" x14ac:dyDescent="0.25">
      <c r="AK611" s="12"/>
      <c r="AR611" s="12" t="e">
        <f t="shared" si="9"/>
        <v>#N/A</v>
      </c>
      <c r="AU611" s="12">
        <f>SUMIF(ASIGNACION!$C$5:$C$94,Z611,ASIGNACION!$R$5:$R$94)*'Costos x MO'!$B$7</f>
        <v>0</v>
      </c>
      <c r="AV611" s="12" t="str">
        <f>IFERROR(VLOOKUP(Z611,ASIGNACION!$C$5:$H$94,6,0),"F/Fecha")</f>
        <v>F/Fecha</v>
      </c>
    </row>
    <row r="612" spans="37:48" x14ac:dyDescent="0.25">
      <c r="AK612" s="12"/>
      <c r="AR612" s="12" t="e">
        <f t="shared" si="9"/>
        <v>#N/A</v>
      </c>
      <c r="AU612" s="12">
        <f>SUMIF(ASIGNACION!$C$5:$C$94,Z612,ASIGNACION!$R$5:$R$94)*'Costos x MO'!$B$7</f>
        <v>0</v>
      </c>
      <c r="AV612" s="12" t="str">
        <f>IFERROR(VLOOKUP(Z612,ASIGNACION!$C$5:$H$94,6,0),"F/Fecha")</f>
        <v>F/Fecha</v>
      </c>
    </row>
    <row r="613" spans="37:48" x14ac:dyDescent="0.25">
      <c r="AK613" s="12"/>
      <c r="AR613" s="12" t="e">
        <f t="shared" si="9"/>
        <v>#N/A</v>
      </c>
      <c r="AU613" s="12">
        <f>SUMIF(ASIGNACION!$C$5:$C$94,Z613,ASIGNACION!$R$5:$R$94)*'Costos x MO'!$B$7</f>
        <v>0</v>
      </c>
      <c r="AV613" s="12" t="str">
        <f>IFERROR(VLOOKUP(Z613,ASIGNACION!$C$5:$H$94,6,0),"F/Fecha")</f>
        <v>F/Fecha</v>
      </c>
    </row>
    <row r="614" spans="37:48" x14ac:dyDescent="0.25">
      <c r="AK614" s="12"/>
      <c r="AR614" s="12" t="e">
        <f t="shared" si="9"/>
        <v>#N/A</v>
      </c>
      <c r="AU614" s="12">
        <f>SUMIF(ASIGNACION!$C$5:$C$94,Z614,ASIGNACION!$R$5:$R$94)*'Costos x MO'!$B$7</f>
        <v>0</v>
      </c>
      <c r="AV614" s="12" t="str">
        <f>IFERROR(VLOOKUP(Z614,ASIGNACION!$C$5:$H$94,6,0),"F/Fecha")</f>
        <v>F/Fecha</v>
      </c>
    </row>
    <row r="615" spans="37:48" x14ac:dyDescent="0.25">
      <c r="AK615" s="12"/>
      <c r="AR615" s="12" t="e">
        <f t="shared" si="9"/>
        <v>#N/A</v>
      </c>
      <c r="AU615" s="12">
        <f>SUMIF(ASIGNACION!$C$5:$C$94,Z615,ASIGNACION!$R$5:$R$94)*'Costos x MO'!$B$7</f>
        <v>0</v>
      </c>
      <c r="AV615" s="12" t="str">
        <f>IFERROR(VLOOKUP(Z615,ASIGNACION!$C$5:$H$94,6,0),"F/Fecha")</f>
        <v>F/Fecha</v>
      </c>
    </row>
    <row r="616" spans="37:48" x14ac:dyDescent="0.25">
      <c r="AK616" s="12"/>
      <c r="AR616" s="12" t="e">
        <f t="shared" si="9"/>
        <v>#N/A</v>
      </c>
      <c r="AU616" s="12">
        <f>SUMIF(ASIGNACION!$C$5:$C$94,Z616,ASIGNACION!$R$5:$R$94)*'Costos x MO'!$B$7</f>
        <v>0</v>
      </c>
      <c r="AV616" s="12" t="str">
        <f>IFERROR(VLOOKUP(Z616,ASIGNACION!$C$5:$H$94,6,0),"F/Fecha")</f>
        <v>F/Fecha</v>
      </c>
    </row>
    <row r="617" spans="37:48" x14ac:dyDescent="0.25">
      <c r="AK617" s="12"/>
      <c r="AR617" s="12" t="e">
        <f t="shared" si="9"/>
        <v>#N/A</v>
      </c>
      <c r="AU617" s="12">
        <f>SUMIF(ASIGNACION!$C$5:$C$94,Z617,ASIGNACION!$R$5:$R$94)*'Costos x MO'!$B$7</f>
        <v>0</v>
      </c>
      <c r="AV617" s="12" t="str">
        <f>IFERROR(VLOOKUP(Z617,ASIGNACION!$C$5:$H$94,6,0),"F/Fecha")</f>
        <v>F/Fecha</v>
      </c>
    </row>
    <row r="618" spans="37:48" x14ac:dyDescent="0.25">
      <c r="AK618" s="12"/>
      <c r="AR618" s="12" t="e">
        <f t="shared" si="9"/>
        <v>#N/A</v>
      </c>
      <c r="AU618" s="12">
        <f>SUMIF(ASIGNACION!$C$5:$C$94,Z618,ASIGNACION!$R$5:$R$94)*'Costos x MO'!$B$7</f>
        <v>0</v>
      </c>
      <c r="AV618" s="12" t="str">
        <f>IFERROR(VLOOKUP(Z618,ASIGNACION!$C$5:$H$94,6,0),"F/Fecha")</f>
        <v>F/Fecha</v>
      </c>
    </row>
    <row r="619" spans="37:48" x14ac:dyDescent="0.25">
      <c r="AK619" s="12"/>
      <c r="AR619" s="12" t="e">
        <f t="shared" si="9"/>
        <v>#N/A</v>
      </c>
      <c r="AU619" s="12">
        <f>SUMIF(ASIGNACION!$C$5:$C$94,Z619,ASIGNACION!$R$5:$R$94)*'Costos x MO'!$B$7</f>
        <v>0</v>
      </c>
      <c r="AV619" s="12" t="str">
        <f>IFERROR(VLOOKUP(Z619,ASIGNACION!$C$5:$H$94,6,0),"F/Fecha")</f>
        <v>F/Fecha</v>
      </c>
    </row>
    <row r="620" spans="37:48" x14ac:dyDescent="0.25">
      <c r="AK620" s="12"/>
      <c r="AR620" s="12" t="e">
        <f t="shared" si="9"/>
        <v>#N/A</v>
      </c>
      <c r="AU620" s="12">
        <f>SUMIF(ASIGNACION!$C$5:$C$94,Z620,ASIGNACION!$R$5:$R$94)*'Costos x MO'!$B$7</f>
        <v>0</v>
      </c>
      <c r="AV620" s="12" t="str">
        <f>IFERROR(VLOOKUP(Z620,ASIGNACION!$C$5:$H$94,6,0),"F/Fecha")</f>
        <v>F/Fecha</v>
      </c>
    </row>
    <row r="621" spans="37:48" x14ac:dyDescent="0.25">
      <c r="AK621" s="12"/>
      <c r="AR621" s="12" t="e">
        <f t="shared" si="9"/>
        <v>#N/A</v>
      </c>
      <c r="AU621" s="12">
        <f>SUMIF(ASIGNACION!$C$5:$C$94,Z621,ASIGNACION!$R$5:$R$94)*'Costos x MO'!$B$7</f>
        <v>0</v>
      </c>
      <c r="AV621" s="12" t="str">
        <f>IFERROR(VLOOKUP(Z621,ASIGNACION!$C$5:$H$94,6,0),"F/Fecha")</f>
        <v>F/Fecha</v>
      </c>
    </row>
    <row r="622" spans="37:48" x14ac:dyDescent="0.25">
      <c r="AK622" s="12"/>
      <c r="AR622" s="12" t="e">
        <f t="shared" si="9"/>
        <v>#N/A</v>
      </c>
      <c r="AU622" s="12">
        <f>SUMIF(ASIGNACION!$C$5:$C$94,Z622,ASIGNACION!$R$5:$R$94)*'Costos x MO'!$B$7</f>
        <v>0</v>
      </c>
      <c r="AV622" s="12" t="str">
        <f>IFERROR(VLOOKUP(Z622,ASIGNACION!$C$5:$H$94,6,0),"F/Fecha")</f>
        <v>F/Fecha</v>
      </c>
    </row>
    <row r="623" spans="37:48" x14ac:dyDescent="0.25">
      <c r="AK623" s="12"/>
      <c r="AR623" s="12" t="e">
        <f t="shared" si="9"/>
        <v>#N/A</v>
      </c>
      <c r="AU623" s="12">
        <f>SUMIF(ASIGNACION!$C$5:$C$94,Z623,ASIGNACION!$R$5:$R$94)*'Costos x MO'!$B$7</f>
        <v>0</v>
      </c>
      <c r="AV623" s="12" t="str">
        <f>IFERROR(VLOOKUP(Z623,ASIGNACION!$C$5:$H$94,6,0),"F/Fecha")</f>
        <v>F/Fecha</v>
      </c>
    </row>
    <row r="624" spans="37:48" x14ac:dyDescent="0.25">
      <c r="AK624" s="12"/>
      <c r="AR624" s="12" t="e">
        <f t="shared" si="9"/>
        <v>#N/A</v>
      </c>
      <c r="AU624" s="12">
        <f>SUMIF(ASIGNACION!$C$5:$C$94,Z624,ASIGNACION!$R$5:$R$94)*'Costos x MO'!$B$7</f>
        <v>0</v>
      </c>
      <c r="AV624" s="12" t="str">
        <f>IFERROR(VLOOKUP(Z624,ASIGNACION!$C$5:$H$94,6,0),"F/Fecha")</f>
        <v>F/Fecha</v>
      </c>
    </row>
    <row r="625" spans="37:48" x14ac:dyDescent="0.25">
      <c r="AK625" s="12"/>
      <c r="AR625" s="12" t="e">
        <f t="shared" si="9"/>
        <v>#N/A</v>
      </c>
      <c r="AU625" s="12">
        <f>SUMIF(ASIGNACION!$C$5:$C$94,Z625,ASIGNACION!$R$5:$R$94)*'Costos x MO'!$B$7</f>
        <v>0</v>
      </c>
      <c r="AV625" s="12" t="str">
        <f>IFERROR(VLOOKUP(Z625,ASIGNACION!$C$5:$H$94,6,0),"F/Fecha")</f>
        <v>F/Fecha</v>
      </c>
    </row>
    <row r="626" spans="37:48" x14ac:dyDescent="0.25">
      <c r="AK626" s="12"/>
      <c r="AR626" s="12" t="e">
        <f t="shared" si="9"/>
        <v>#N/A</v>
      </c>
      <c r="AU626" s="12">
        <f>SUMIF(ASIGNACION!$C$5:$C$94,Z626,ASIGNACION!$R$5:$R$94)*'Costos x MO'!$B$7</f>
        <v>0</v>
      </c>
      <c r="AV626" s="12" t="str">
        <f>IFERROR(VLOOKUP(Z626,ASIGNACION!$C$5:$H$94,6,0),"F/Fecha")</f>
        <v>F/Fecha</v>
      </c>
    </row>
    <row r="627" spans="37:48" x14ac:dyDescent="0.25">
      <c r="AK627" s="12"/>
      <c r="AR627" s="12" t="e">
        <f t="shared" si="9"/>
        <v>#N/A</v>
      </c>
      <c r="AU627" s="12">
        <f>SUMIF(ASIGNACION!$C$5:$C$94,Z627,ASIGNACION!$R$5:$R$94)*'Costos x MO'!$B$7</f>
        <v>0</v>
      </c>
      <c r="AV627" s="12" t="str">
        <f>IFERROR(VLOOKUP(Z627,ASIGNACION!$C$5:$H$94,6,0),"F/Fecha")</f>
        <v>F/Fecha</v>
      </c>
    </row>
    <row r="628" spans="37:48" x14ac:dyDescent="0.25">
      <c r="AK628" s="12"/>
      <c r="AR628" s="12" t="e">
        <f t="shared" si="9"/>
        <v>#N/A</v>
      </c>
      <c r="AU628" s="12">
        <f>SUMIF(ASIGNACION!$C$5:$C$94,Z628,ASIGNACION!$R$5:$R$94)*'Costos x MO'!$B$7</f>
        <v>0</v>
      </c>
      <c r="AV628" s="12" t="str">
        <f>IFERROR(VLOOKUP(Z628,ASIGNACION!$C$5:$H$94,6,0),"F/Fecha")</f>
        <v>F/Fecha</v>
      </c>
    </row>
    <row r="629" spans="37:48" x14ac:dyDescent="0.25">
      <c r="AK629" s="12"/>
      <c r="AR629" s="12" t="e">
        <f t="shared" si="9"/>
        <v>#N/A</v>
      </c>
      <c r="AU629" s="12">
        <f>SUMIF(ASIGNACION!$C$5:$C$94,Z629,ASIGNACION!$R$5:$R$94)*'Costos x MO'!$B$7</f>
        <v>0</v>
      </c>
      <c r="AV629" s="12" t="str">
        <f>IFERROR(VLOOKUP(Z629,ASIGNACION!$C$5:$H$94,6,0),"F/Fecha")</f>
        <v>F/Fecha</v>
      </c>
    </row>
    <row r="630" spans="37:48" x14ac:dyDescent="0.25">
      <c r="AK630" s="12"/>
      <c r="AR630" s="12" t="e">
        <f t="shared" si="9"/>
        <v>#N/A</v>
      </c>
      <c r="AU630" s="12">
        <f>SUMIF(ASIGNACION!$C$5:$C$94,Z630,ASIGNACION!$R$5:$R$94)*'Costos x MO'!$B$7</f>
        <v>0</v>
      </c>
      <c r="AV630" s="12" t="str">
        <f>IFERROR(VLOOKUP(Z630,ASIGNACION!$C$5:$H$94,6,0),"F/Fecha")</f>
        <v>F/Fecha</v>
      </c>
    </row>
    <row r="631" spans="37:48" x14ac:dyDescent="0.25">
      <c r="AK631" s="12"/>
      <c r="AR631" s="12" t="e">
        <f t="shared" si="9"/>
        <v>#N/A</v>
      </c>
      <c r="AU631" s="12">
        <f>SUMIF(ASIGNACION!$C$5:$C$94,Z631,ASIGNACION!$R$5:$R$94)*'Costos x MO'!$B$7</f>
        <v>0</v>
      </c>
      <c r="AV631" s="12" t="str">
        <f>IFERROR(VLOOKUP(Z631,ASIGNACION!$C$5:$H$94,6,0),"F/Fecha")</f>
        <v>F/Fecha</v>
      </c>
    </row>
    <row r="632" spans="37:48" x14ac:dyDescent="0.25">
      <c r="AK632" s="12"/>
      <c r="AR632" s="12" t="e">
        <f t="shared" si="9"/>
        <v>#N/A</v>
      </c>
      <c r="AU632" s="12">
        <f>SUMIF(ASIGNACION!$C$5:$C$94,Z632,ASIGNACION!$R$5:$R$94)*'Costos x MO'!$B$7</f>
        <v>0</v>
      </c>
      <c r="AV632" s="12" t="str">
        <f>IFERROR(VLOOKUP(Z632,ASIGNACION!$C$5:$H$94,6,0),"F/Fecha")</f>
        <v>F/Fecha</v>
      </c>
    </row>
    <row r="633" spans="37:48" x14ac:dyDescent="0.25">
      <c r="AK633" s="12"/>
      <c r="AR633" s="12" t="e">
        <f t="shared" si="9"/>
        <v>#N/A</v>
      </c>
      <c r="AU633" s="12">
        <f>SUMIF(ASIGNACION!$C$5:$C$94,Z633,ASIGNACION!$R$5:$R$94)*'Costos x MO'!$B$7</f>
        <v>0</v>
      </c>
      <c r="AV633" s="12" t="str">
        <f>IFERROR(VLOOKUP(Z633,ASIGNACION!$C$5:$H$94,6,0),"F/Fecha")</f>
        <v>F/Fecha</v>
      </c>
    </row>
    <row r="634" spans="37:48" x14ac:dyDescent="0.25">
      <c r="AK634" s="12"/>
      <c r="AR634" s="12" t="e">
        <f t="shared" si="9"/>
        <v>#N/A</v>
      </c>
      <c r="AU634" s="12">
        <f>SUMIF(ASIGNACION!$C$5:$C$94,Z634,ASIGNACION!$R$5:$R$94)*'Costos x MO'!$B$7</f>
        <v>0</v>
      </c>
      <c r="AV634" s="12" t="str">
        <f>IFERROR(VLOOKUP(Z634,ASIGNACION!$C$5:$H$94,6,0),"F/Fecha")</f>
        <v>F/Fecha</v>
      </c>
    </row>
    <row r="635" spans="37:48" x14ac:dyDescent="0.25">
      <c r="AK635" s="12"/>
      <c r="AR635" s="12" t="e">
        <f t="shared" si="9"/>
        <v>#N/A</v>
      </c>
      <c r="AU635" s="12">
        <f>SUMIF(ASIGNACION!$C$5:$C$94,Z635,ASIGNACION!$R$5:$R$94)*'Costos x MO'!$B$7</f>
        <v>0</v>
      </c>
      <c r="AV635" s="12" t="str">
        <f>IFERROR(VLOOKUP(Z635,ASIGNACION!$C$5:$H$94,6,0),"F/Fecha")</f>
        <v>F/Fecha</v>
      </c>
    </row>
    <row r="636" spans="37:48" x14ac:dyDescent="0.25">
      <c r="AK636" s="12"/>
      <c r="AR636" s="12" t="e">
        <f t="shared" si="9"/>
        <v>#N/A</v>
      </c>
      <c r="AU636" s="12">
        <f>SUMIF(ASIGNACION!$C$5:$C$94,Z636,ASIGNACION!$R$5:$R$94)*'Costos x MO'!$B$7</f>
        <v>0</v>
      </c>
      <c r="AV636" s="12" t="str">
        <f>IFERROR(VLOOKUP(Z636,ASIGNACION!$C$5:$H$94,6,0),"F/Fecha")</f>
        <v>F/Fecha</v>
      </c>
    </row>
    <row r="637" spans="37:48" x14ac:dyDescent="0.25">
      <c r="AK637" s="12"/>
      <c r="AR637" s="12" t="e">
        <f t="shared" si="9"/>
        <v>#N/A</v>
      </c>
      <c r="AU637" s="12">
        <f>SUMIF(ASIGNACION!$C$5:$C$94,Z637,ASIGNACION!$R$5:$R$94)*'Costos x MO'!$B$7</f>
        <v>0</v>
      </c>
      <c r="AV637" s="12" t="str">
        <f>IFERROR(VLOOKUP(Z637,ASIGNACION!$C$5:$H$94,6,0),"F/Fecha")</f>
        <v>F/Fecha</v>
      </c>
    </row>
    <row r="638" spans="37:48" x14ac:dyDescent="0.25">
      <c r="AK638" s="12"/>
      <c r="AR638" s="12" t="e">
        <f t="shared" si="9"/>
        <v>#N/A</v>
      </c>
      <c r="AU638" s="12">
        <f>SUMIF(ASIGNACION!$C$5:$C$94,Z638,ASIGNACION!$R$5:$R$94)*'Costos x MO'!$B$7</f>
        <v>0</v>
      </c>
      <c r="AV638" s="12" t="str">
        <f>IFERROR(VLOOKUP(Z638,ASIGNACION!$C$5:$H$94,6,0),"F/Fecha")</f>
        <v>F/Fecha</v>
      </c>
    </row>
    <row r="639" spans="37:48" x14ac:dyDescent="0.25">
      <c r="AK639" s="12"/>
      <c r="AR639" s="12" t="e">
        <f t="shared" si="9"/>
        <v>#N/A</v>
      </c>
      <c r="AU639" s="12">
        <f>SUMIF(ASIGNACION!$C$5:$C$94,Z639,ASIGNACION!$R$5:$R$94)*'Costos x MO'!$B$7</f>
        <v>0</v>
      </c>
      <c r="AV639" s="12" t="str">
        <f>IFERROR(VLOOKUP(Z639,ASIGNACION!$C$5:$H$94,6,0),"F/Fecha")</f>
        <v>F/Fecha</v>
      </c>
    </row>
    <row r="640" spans="37:48" x14ac:dyDescent="0.25">
      <c r="AK640" s="12"/>
      <c r="AR640" s="12" t="e">
        <f t="shared" si="9"/>
        <v>#N/A</v>
      </c>
      <c r="AU640" s="12">
        <f>SUMIF(ASIGNACION!$C$5:$C$94,Z640,ASIGNACION!$R$5:$R$94)*'Costos x MO'!$B$7</f>
        <v>0</v>
      </c>
      <c r="AV640" s="12" t="str">
        <f>IFERROR(VLOOKUP(Z640,ASIGNACION!$C$5:$H$94,6,0),"F/Fecha")</f>
        <v>F/Fecha</v>
      </c>
    </row>
    <row r="641" spans="37:48" x14ac:dyDescent="0.25">
      <c r="AK641" s="12"/>
      <c r="AR641" s="12" t="e">
        <f t="shared" si="9"/>
        <v>#N/A</v>
      </c>
      <c r="AU641" s="12">
        <f>SUMIF(ASIGNACION!$C$5:$C$94,Z641,ASIGNACION!$R$5:$R$94)*'Costos x MO'!$B$7</f>
        <v>0</v>
      </c>
      <c r="AV641" s="12" t="str">
        <f>IFERROR(VLOOKUP(Z641,ASIGNACION!$C$5:$H$94,6,0),"F/Fecha")</f>
        <v>F/Fecha</v>
      </c>
    </row>
    <row r="642" spans="37:48" x14ac:dyDescent="0.25">
      <c r="AK642" s="12"/>
      <c r="AR642" s="12" t="e">
        <f t="shared" si="9"/>
        <v>#N/A</v>
      </c>
      <c r="AU642" s="12">
        <f>SUMIF(ASIGNACION!$C$5:$C$94,Z642,ASIGNACION!$R$5:$R$94)*'Costos x MO'!$B$7</f>
        <v>0</v>
      </c>
      <c r="AV642" s="12" t="str">
        <f>IFERROR(VLOOKUP(Z642,ASIGNACION!$C$5:$H$94,6,0),"F/Fecha")</f>
        <v>F/Fecha</v>
      </c>
    </row>
    <row r="643" spans="37:48" x14ac:dyDescent="0.25">
      <c r="AK643" s="12"/>
      <c r="AR643" s="12" t="e">
        <f t="shared" si="9"/>
        <v>#N/A</v>
      </c>
      <c r="AU643" s="12">
        <f>SUMIF(ASIGNACION!$C$5:$C$94,Z643,ASIGNACION!$R$5:$R$94)*'Costos x MO'!$B$7</f>
        <v>0</v>
      </c>
      <c r="AV643" s="12" t="str">
        <f>IFERROR(VLOOKUP(Z643,ASIGNACION!$C$5:$H$94,6,0),"F/Fecha")</f>
        <v>F/Fecha</v>
      </c>
    </row>
    <row r="644" spans="37:48" x14ac:dyDescent="0.25">
      <c r="AK644" s="12"/>
      <c r="AR644" s="12" t="e">
        <f t="shared" si="9"/>
        <v>#N/A</v>
      </c>
      <c r="AU644" s="12">
        <f>SUMIF(ASIGNACION!$C$5:$C$94,Z644,ASIGNACION!$R$5:$R$94)*'Costos x MO'!$B$7</f>
        <v>0</v>
      </c>
      <c r="AV644" s="12" t="str">
        <f>IFERROR(VLOOKUP(Z644,ASIGNACION!$C$5:$H$94,6,0),"F/Fecha")</f>
        <v>F/Fecha</v>
      </c>
    </row>
    <row r="645" spans="37:48" x14ac:dyDescent="0.25">
      <c r="AK645" s="12"/>
      <c r="AR645" s="12" t="e">
        <f t="shared" ref="AR645:AR708" si="10">VLOOKUP(Z645,$E$4:$G$3523,3,0)</f>
        <v>#N/A</v>
      </c>
      <c r="AU645" s="12">
        <f>SUMIF(ASIGNACION!$C$5:$C$94,Z645,ASIGNACION!$R$5:$R$94)*'Costos x MO'!$B$7</f>
        <v>0</v>
      </c>
      <c r="AV645" s="12" t="str">
        <f>IFERROR(VLOOKUP(Z645,ASIGNACION!$C$5:$H$94,6,0),"F/Fecha")</f>
        <v>F/Fecha</v>
      </c>
    </row>
    <row r="646" spans="37:48" x14ac:dyDescent="0.25">
      <c r="AK646" s="12"/>
      <c r="AR646" s="12" t="e">
        <f t="shared" si="10"/>
        <v>#N/A</v>
      </c>
      <c r="AU646" s="12">
        <f>SUMIF(ASIGNACION!$C$5:$C$94,Z646,ASIGNACION!$R$5:$R$94)*'Costos x MO'!$B$7</f>
        <v>0</v>
      </c>
      <c r="AV646" s="12" t="str">
        <f>IFERROR(VLOOKUP(Z646,ASIGNACION!$C$5:$H$94,6,0),"F/Fecha")</f>
        <v>F/Fecha</v>
      </c>
    </row>
    <row r="647" spans="37:48" x14ac:dyDescent="0.25">
      <c r="AK647" s="12"/>
      <c r="AR647" s="12" t="e">
        <f t="shared" si="10"/>
        <v>#N/A</v>
      </c>
      <c r="AU647" s="12">
        <f>SUMIF(ASIGNACION!$C$5:$C$94,Z647,ASIGNACION!$R$5:$R$94)*'Costos x MO'!$B$7</f>
        <v>0</v>
      </c>
      <c r="AV647" s="12" t="str">
        <f>IFERROR(VLOOKUP(Z647,ASIGNACION!$C$5:$H$94,6,0),"F/Fecha")</f>
        <v>F/Fecha</v>
      </c>
    </row>
    <row r="648" spans="37:48" x14ac:dyDescent="0.25">
      <c r="AK648" s="12"/>
      <c r="AR648" s="12" t="e">
        <f t="shared" si="10"/>
        <v>#N/A</v>
      </c>
      <c r="AU648" s="12">
        <f>SUMIF(ASIGNACION!$C$5:$C$94,Z648,ASIGNACION!$R$5:$R$94)*'Costos x MO'!$B$7</f>
        <v>0</v>
      </c>
      <c r="AV648" s="12" t="str">
        <f>IFERROR(VLOOKUP(Z648,ASIGNACION!$C$5:$H$94,6,0),"F/Fecha")</f>
        <v>F/Fecha</v>
      </c>
    </row>
    <row r="649" spans="37:48" x14ac:dyDescent="0.25">
      <c r="AK649" s="12"/>
      <c r="AR649" s="12" t="e">
        <f t="shared" si="10"/>
        <v>#N/A</v>
      </c>
      <c r="AU649" s="12">
        <f>SUMIF(ASIGNACION!$C$5:$C$94,Z649,ASIGNACION!$R$5:$R$94)*'Costos x MO'!$B$7</f>
        <v>0</v>
      </c>
      <c r="AV649" s="12" t="str">
        <f>IFERROR(VLOOKUP(Z649,ASIGNACION!$C$5:$H$94,6,0),"F/Fecha")</f>
        <v>F/Fecha</v>
      </c>
    </row>
    <row r="650" spans="37:48" x14ac:dyDescent="0.25">
      <c r="AK650" s="12"/>
      <c r="AR650" s="12" t="e">
        <f t="shared" si="10"/>
        <v>#N/A</v>
      </c>
      <c r="AU650" s="12">
        <f>SUMIF(ASIGNACION!$C$5:$C$94,Z650,ASIGNACION!$R$5:$R$94)*'Costos x MO'!$B$7</f>
        <v>0</v>
      </c>
      <c r="AV650" s="12" t="str">
        <f>IFERROR(VLOOKUP(Z650,ASIGNACION!$C$5:$H$94,6,0),"F/Fecha")</f>
        <v>F/Fecha</v>
      </c>
    </row>
    <row r="651" spans="37:48" x14ac:dyDescent="0.25">
      <c r="AK651" s="12"/>
      <c r="AR651" s="12" t="e">
        <f t="shared" si="10"/>
        <v>#N/A</v>
      </c>
      <c r="AU651" s="12">
        <f>SUMIF(ASIGNACION!$C$5:$C$94,Z651,ASIGNACION!$R$5:$R$94)*'Costos x MO'!$B$7</f>
        <v>0</v>
      </c>
      <c r="AV651" s="12" t="str">
        <f>IFERROR(VLOOKUP(Z651,ASIGNACION!$C$5:$H$94,6,0),"F/Fecha")</f>
        <v>F/Fecha</v>
      </c>
    </row>
    <row r="652" spans="37:48" x14ac:dyDescent="0.25">
      <c r="AK652" s="12"/>
      <c r="AR652" s="12" t="e">
        <f t="shared" si="10"/>
        <v>#N/A</v>
      </c>
      <c r="AU652" s="12">
        <f>SUMIF(ASIGNACION!$C$5:$C$94,Z652,ASIGNACION!$R$5:$R$94)*'Costos x MO'!$B$7</f>
        <v>0</v>
      </c>
      <c r="AV652" s="12" t="str">
        <f>IFERROR(VLOOKUP(Z652,ASIGNACION!$C$5:$H$94,6,0),"F/Fecha")</f>
        <v>F/Fecha</v>
      </c>
    </row>
    <row r="653" spans="37:48" x14ac:dyDescent="0.25">
      <c r="AK653" s="12"/>
      <c r="AR653" s="12" t="e">
        <f t="shared" si="10"/>
        <v>#N/A</v>
      </c>
      <c r="AU653" s="12">
        <f>SUMIF(ASIGNACION!$C$5:$C$94,Z653,ASIGNACION!$R$5:$R$94)*'Costos x MO'!$B$7</f>
        <v>0</v>
      </c>
      <c r="AV653" s="12" t="str">
        <f>IFERROR(VLOOKUP(Z653,ASIGNACION!$C$5:$H$94,6,0),"F/Fecha")</f>
        <v>F/Fecha</v>
      </c>
    </row>
    <row r="654" spans="37:48" x14ac:dyDescent="0.25">
      <c r="AK654" s="12"/>
      <c r="AR654" s="12" t="e">
        <f t="shared" si="10"/>
        <v>#N/A</v>
      </c>
      <c r="AU654" s="12">
        <f>SUMIF(ASIGNACION!$C$5:$C$94,Z654,ASIGNACION!$R$5:$R$94)*'Costos x MO'!$B$7</f>
        <v>0</v>
      </c>
      <c r="AV654" s="12" t="str">
        <f>IFERROR(VLOOKUP(Z654,ASIGNACION!$C$5:$H$94,6,0),"F/Fecha")</f>
        <v>F/Fecha</v>
      </c>
    </row>
    <row r="655" spans="37:48" x14ac:dyDescent="0.25">
      <c r="AK655" s="12"/>
      <c r="AR655" s="12" t="e">
        <f t="shared" si="10"/>
        <v>#N/A</v>
      </c>
      <c r="AU655" s="12">
        <f>SUMIF(ASIGNACION!$C$5:$C$94,Z655,ASIGNACION!$R$5:$R$94)*'Costos x MO'!$B$7</f>
        <v>0</v>
      </c>
      <c r="AV655" s="12" t="str">
        <f>IFERROR(VLOOKUP(Z655,ASIGNACION!$C$5:$H$94,6,0),"F/Fecha")</f>
        <v>F/Fecha</v>
      </c>
    </row>
    <row r="656" spans="37:48" x14ac:dyDescent="0.25">
      <c r="AK656" s="12"/>
      <c r="AR656" s="12" t="e">
        <f t="shared" si="10"/>
        <v>#N/A</v>
      </c>
      <c r="AU656" s="12">
        <f>SUMIF(ASIGNACION!$C$5:$C$94,Z656,ASIGNACION!$R$5:$R$94)*'Costos x MO'!$B$7</f>
        <v>0</v>
      </c>
      <c r="AV656" s="12" t="str">
        <f>IFERROR(VLOOKUP(Z656,ASIGNACION!$C$5:$H$94,6,0),"F/Fecha")</f>
        <v>F/Fecha</v>
      </c>
    </row>
    <row r="657" spans="37:48" x14ac:dyDescent="0.25">
      <c r="AK657" s="12"/>
      <c r="AR657" s="12" t="e">
        <f t="shared" si="10"/>
        <v>#N/A</v>
      </c>
      <c r="AU657" s="12">
        <f>SUMIF(ASIGNACION!$C$5:$C$94,Z657,ASIGNACION!$R$5:$R$94)*'Costos x MO'!$B$7</f>
        <v>0</v>
      </c>
      <c r="AV657" s="12" t="str">
        <f>IFERROR(VLOOKUP(Z657,ASIGNACION!$C$5:$H$94,6,0),"F/Fecha")</f>
        <v>F/Fecha</v>
      </c>
    </row>
    <row r="658" spans="37:48" x14ac:dyDescent="0.25">
      <c r="AK658" s="12"/>
      <c r="AR658" s="12" t="e">
        <f t="shared" si="10"/>
        <v>#N/A</v>
      </c>
      <c r="AU658" s="12">
        <f>SUMIF(ASIGNACION!$C$5:$C$94,Z658,ASIGNACION!$R$5:$R$94)*'Costos x MO'!$B$7</f>
        <v>0</v>
      </c>
      <c r="AV658" s="12" t="str">
        <f>IFERROR(VLOOKUP(Z658,ASIGNACION!$C$5:$H$94,6,0),"F/Fecha")</f>
        <v>F/Fecha</v>
      </c>
    </row>
    <row r="659" spans="37:48" x14ac:dyDescent="0.25">
      <c r="AK659" s="12"/>
      <c r="AR659" s="12" t="e">
        <f t="shared" si="10"/>
        <v>#N/A</v>
      </c>
      <c r="AU659" s="12">
        <f>SUMIF(ASIGNACION!$C$5:$C$94,Z659,ASIGNACION!$R$5:$R$94)*'Costos x MO'!$B$7</f>
        <v>0</v>
      </c>
      <c r="AV659" s="12" t="str">
        <f>IFERROR(VLOOKUP(Z659,ASIGNACION!$C$5:$H$94,6,0),"F/Fecha")</f>
        <v>F/Fecha</v>
      </c>
    </row>
    <row r="660" spans="37:48" x14ac:dyDescent="0.25">
      <c r="AK660" s="12"/>
      <c r="AR660" s="12" t="e">
        <f t="shared" si="10"/>
        <v>#N/A</v>
      </c>
      <c r="AU660" s="12">
        <f>SUMIF(ASIGNACION!$C$5:$C$94,Z660,ASIGNACION!$R$5:$R$94)*'Costos x MO'!$B$7</f>
        <v>0</v>
      </c>
      <c r="AV660" s="12" t="str">
        <f>IFERROR(VLOOKUP(Z660,ASIGNACION!$C$5:$H$94,6,0),"F/Fecha")</f>
        <v>F/Fecha</v>
      </c>
    </row>
    <row r="661" spans="37:48" x14ac:dyDescent="0.25">
      <c r="AK661" s="12"/>
      <c r="AR661" s="12" t="e">
        <f t="shared" si="10"/>
        <v>#N/A</v>
      </c>
      <c r="AU661" s="12">
        <f>SUMIF(ASIGNACION!$C$5:$C$94,Z661,ASIGNACION!$R$5:$R$94)*'Costos x MO'!$B$7</f>
        <v>0</v>
      </c>
      <c r="AV661" s="12" t="str">
        <f>IFERROR(VLOOKUP(Z661,ASIGNACION!$C$5:$H$94,6,0),"F/Fecha")</f>
        <v>F/Fecha</v>
      </c>
    </row>
    <row r="662" spans="37:48" x14ac:dyDescent="0.25">
      <c r="AK662" s="12"/>
      <c r="AR662" s="12" t="e">
        <f t="shared" si="10"/>
        <v>#N/A</v>
      </c>
      <c r="AU662" s="12">
        <f>SUMIF(ASIGNACION!$C$5:$C$94,Z662,ASIGNACION!$R$5:$R$94)*'Costos x MO'!$B$7</f>
        <v>0</v>
      </c>
      <c r="AV662" s="12" t="str">
        <f>IFERROR(VLOOKUP(Z662,ASIGNACION!$C$5:$H$94,6,0),"F/Fecha")</f>
        <v>F/Fecha</v>
      </c>
    </row>
    <row r="663" spans="37:48" x14ac:dyDescent="0.25">
      <c r="AK663" s="12"/>
      <c r="AR663" s="12" t="e">
        <f t="shared" si="10"/>
        <v>#N/A</v>
      </c>
      <c r="AU663" s="12">
        <f>SUMIF(ASIGNACION!$C$5:$C$94,Z663,ASIGNACION!$R$5:$R$94)*'Costos x MO'!$B$7</f>
        <v>0</v>
      </c>
      <c r="AV663" s="12" t="str">
        <f>IFERROR(VLOOKUP(Z663,ASIGNACION!$C$5:$H$94,6,0),"F/Fecha")</f>
        <v>F/Fecha</v>
      </c>
    </row>
    <row r="664" spans="37:48" x14ac:dyDescent="0.25">
      <c r="AK664" s="12"/>
      <c r="AR664" s="12" t="e">
        <f t="shared" si="10"/>
        <v>#N/A</v>
      </c>
      <c r="AU664" s="12">
        <f>SUMIF(ASIGNACION!$C$5:$C$94,Z664,ASIGNACION!$R$5:$R$94)*'Costos x MO'!$B$7</f>
        <v>0</v>
      </c>
      <c r="AV664" s="12" t="str">
        <f>IFERROR(VLOOKUP(Z664,ASIGNACION!$C$5:$H$94,6,0),"F/Fecha")</f>
        <v>F/Fecha</v>
      </c>
    </row>
    <row r="665" spans="37:48" x14ac:dyDescent="0.25">
      <c r="AK665" s="12"/>
      <c r="AR665" s="12" t="e">
        <f t="shared" si="10"/>
        <v>#N/A</v>
      </c>
      <c r="AU665" s="12">
        <f>SUMIF(ASIGNACION!$C$5:$C$94,Z665,ASIGNACION!$R$5:$R$94)*'Costos x MO'!$B$7</f>
        <v>0</v>
      </c>
      <c r="AV665" s="12" t="str">
        <f>IFERROR(VLOOKUP(Z665,ASIGNACION!$C$5:$H$94,6,0),"F/Fecha")</f>
        <v>F/Fecha</v>
      </c>
    </row>
    <row r="666" spans="37:48" x14ac:dyDescent="0.25">
      <c r="AK666" s="12"/>
      <c r="AR666" s="12" t="e">
        <f t="shared" si="10"/>
        <v>#N/A</v>
      </c>
      <c r="AU666" s="12">
        <f>SUMIF(ASIGNACION!$C$5:$C$94,Z666,ASIGNACION!$R$5:$R$94)*'Costos x MO'!$B$7</f>
        <v>0</v>
      </c>
      <c r="AV666" s="12" t="str">
        <f>IFERROR(VLOOKUP(Z666,ASIGNACION!$C$5:$H$94,6,0),"F/Fecha")</f>
        <v>F/Fecha</v>
      </c>
    </row>
    <row r="667" spans="37:48" x14ac:dyDescent="0.25">
      <c r="AK667" s="12"/>
      <c r="AR667" s="12" t="e">
        <f t="shared" si="10"/>
        <v>#N/A</v>
      </c>
      <c r="AU667" s="12">
        <f>SUMIF(ASIGNACION!$C$5:$C$94,Z667,ASIGNACION!$R$5:$R$94)*'Costos x MO'!$B$7</f>
        <v>0</v>
      </c>
      <c r="AV667" s="12" t="str">
        <f>IFERROR(VLOOKUP(Z667,ASIGNACION!$C$5:$H$94,6,0),"F/Fecha")</f>
        <v>F/Fecha</v>
      </c>
    </row>
    <row r="668" spans="37:48" x14ac:dyDescent="0.25">
      <c r="AK668" s="12"/>
      <c r="AR668" s="12" t="e">
        <f t="shared" si="10"/>
        <v>#N/A</v>
      </c>
      <c r="AU668" s="12">
        <f>SUMIF(ASIGNACION!$C$5:$C$94,Z668,ASIGNACION!$R$5:$R$94)*'Costos x MO'!$B$7</f>
        <v>0</v>
      </c>
      <c r="AV668" s="12" t="str">
        <f>IFERROR(VLOOKUP(Z668,ASIGNACION!$C$5:$H$94,6,0),"F/Fecha")</f>
        <v>F/Fecha</v>
      </c>
    </row>
    <row r="669" spans="37:48" x14ac:dyDescent="0.25">
      <c r="AK669" s="12"/>
      <c r="AR669" s="12" t="e">
        <f t="shared" si="10"/>
        <v>#N/A</v>
      </c>
      <c r="AU669" s="12">
        <f>SUMIF(ASIGNACION!$C$5:$C$94,Z669,ASIGNACION!$R$5:$R$94)*'Costos x MO'!$B$7</f>
        <v>0</v>
      </c>
      <c r="AV669" s="12" t="str">
        <f>IFERROR(VLOOKUP(Z669,ASIGNACION!$C$5:$H$94,6,0),"F/Fecha")</f>
        <v>F/Fecha</v>
      </c>
    </row>
    <row r="670" spans="37:48" x14ac:dyDescent="0.25">
      <c r="AK670" s="12"/>
      <c r="AR670" s="12" t="e">
        <f t="shared" si="10"/>
        <v>#N/A</v>
      </c>
      <c r="AU670" s="12">
        <f>SUMIF(ASIGNACION!$C$5:$C$94,Z670,ASIGNACION!$R$5:$R$94)*'Costos x MO'!$B$7</f>
        <v>0</v>
      </c>
      <c r="AV670" s="12" t="str">
        <f>IFERROR(VLOOKUP(Z670,ASIGNACION!$C$5:$H$94,6,0),"F/Fecha")</f>
        <v>F/Fecha</v>
      </c>
    </row>
    <row r="671" spans="37:48" x14ac:dyDescent="0.25">
      <c r="AK671" s="12"/>
      <c r="AR671" s="12" t="e">
        <f t="shared" si="10"/>
        <v>#N/A</v>
      </c>
      <c r="AU671" s="12">
        <f>SUMIF(ASIGNACION!$C$5:$C$94,Z671,ASIGNACION!$R$5:$R$94)*'Costos x MO'!$B$7</f>
        <v>0</v>
      </c>
      <c r="AV671" s="12" t="str">
        <f>IFERROR(VLOOKUP(Z671,ASIGNACION!$C$5:$H$94,6,0),"F/Fecha")</f>
        <v>F/Fecha</v>
      </c>
    </row>
    <row r="672" spans="37:48" x14ac:dyDescent="0.25">
      <c r="AK672" s="12"/>
      <c r="AR672" s="12" t="e">
        <f t="shared" si="10"/>
        <v>#N/A</v>
      </c>
      <c r="AU672" s="12">
        <f>SUMIF(ASIGNACION!$C$5:$C$94,Z672,ASIGNACION!$R$5:$R$94)*'Costos x MO'!$B$7</f>
        <v>0</v>
      </c>
      <c r="AV672" s="12" t="str">
        <f>IFERROR(VLOOKUP(Z672,ASIGNACION!$C$5:$H$94,6,0),"F/Fecha")</f>
        <v>F/Fecha</v>
      </c>
    </row>
    <row r="673" spans="37:48" x14ac:dyDescent="0.25">
      <c r="AK673" s="12"/>
      <c r="AR673" s="12" t="e">
        <f t="shared" si="10"/>
        <v>#N/A</v>
      </c>
      <c r="AU673" s="12">
        <f>SUMIF(ASIGNACION!$C$5:$C$94,Z673,ASIGNACION!$R$5:$R$94)*'Costos x MO'!$B$7</f>
        <v>0</v>
      </c>
      <c r="AV673" s="12" t="str">
        <f>IFERROR(VLOOKUP(Z673,ASIGNACION!$C$5:$H$94,6,0),"F/Fecha")</f>
        <v>F/Fecha</v>
      </c>
    </row>
    <row r="674" spans="37:48" x14ac:dyDescent="0.25">
      <c r="AK674" s="12"/>
      <c r="AR674" s="12" t="e">
        <f t="shared" si="10"/>
        <v>#N/A</v>
      </c>
      <c r="AU674" s="12">
        <f>SUMIF(ASIGNACION!$C$5:$C$94,Z674,ASIGNACION!$R$5:$R$94)*'Costos x MO'!$B$7</f>
        <v>0</v>
      </c>
      <c r="AV674" s="12" t="str">
        <f>IFERROR(VLOOKUP(Z674,ASIGNACION!$C$5:$H$94,6,0),"F/Fecha")</f>
        <v>F/Fecha</v>
      </c>
    </row>
    <row r="675" spans="37:48" x14ac:dyDescent="0.25">
      <c r="AK675" s="12"/>
      <c r="AR675" s="12" t="e">
        <f t="shared" si="10"/>
        <v>#N/A</v>
      </c>
      <c r="AU675" s="12">
        <f>SUMIF(ASIGNACION!$C$5:$C$94,Z675,ASIGNACION!$R$5:$R$94)*'Costos x MO'!$B$7</f>
        <v>0</v>
      </c>
      <c r="AV675" s="12" t="str">
        <f>IFERROR(VLOOKUP(Z675,ASIGNACION!$C$5:$H$94,6,0),"F/Fecha")</f>
        <v>F/Fecha</v>
      </c>
    </row>
    <row r="676" spans="37:48" x14ac:dyDescent="0.25">
      <c r="AK676" s="12"/>
      <c r="AR676" s="12" t="e">
        <f t="shared" si="10"/>
        <v>#N/A</v>
      </c>
      <c r="AU676" s="12">
        <f>SUMIF(ASIGNACION!$C$5:$C$94,Z676,ASIGNACION!$R$5:$R$94)*'Costos x MO'!$B$7</f>
        <v>0</v>
      </c>
      <c r="AV676" s="12" t="str">
        <f>IFERROR(VLOOKUP(Z676,ASIGNACION!$C$5:$H$94,6,0),"F/Fecha")</f>
        <v>F/Fecha</v>
      </c>
    </row>
    <row r="677" spans="37:48" x14ac:dyDescent="0.25">
      <c r="AK677" s="12"/>
      <c r="AR677" s="12" t="e">
        <f t="shared" si="10"/>
        <v>#N/A</v>
      </c>
      <c r="AU677" s="12">
        <f>SUMIF(ASIGNACION!$C$5:$C$94,Z677,ASIGNACION!$R$5:$R$94)*'Costos x MO'!$B$7</f>
        <v>0</v>
      </c>
      <c r="AV677" s="12" t="str">
        <f>IFERROR(VLOOKUP(Z677,ASIGNACION!$C$5:$H$94,6,0),"F/Fecha")</f>
        <v>F/Fecha</v>
      </c>
    </row>
    <row r="678" spans="37:48" x14ac:dyDescent="0.25">
      <c r="AK678" s="12"/>
      <c r="AR678" s="12" t="e">
        <f t="shared" si="10"/>
        <v>#N/A</v>
      </c>
      <c r="AU678" s="12">
        <f>SUMIF(ASIGNACION!$C$5:$C$94,Z678,ASIGNACION!$R$5:$R$94)*'Costos x MO'!$B$7</f>
        <v>0</v>
      </c>
      <c r="AV678" s="12" t="str">
        <f>IFERROR(VLOOKUP(Z678,ASIGNACION!$C$5:$H$94,6,0),"F/Fecha")</f>
        <v>F/Fecha</v>
      </c>
    </row>
    <row r="679" spans="37:48" x14ac:dyDescent="0.25">
      <c r="AK679" s="12"/>
      <c r="AR679" s="12" t="e">
        <f t="shared" si="10"/>
        <v>#N/A</v>
      </c>
      <c r="AU679" s="12">
        <f>SUMIF(ASIGNACION!$C$5:$C$94,Z679,ASIGNACION!$R$5:$R$94)*'Costos x MO'!$B$7</f>
        <v>0</v>
      </c>
      <c r="AV679" s="12" t="str">
        <f>IFERROR(VLOOKUP(Z679,ASIGNACION!$C$5:$H$94,6,0),"F/Fecha")</f>
        <v>F/Fecha</v>
      </c>
    </row>
    <row r="680" spans="37:48" x14ac:dyDescent="0.25">
      <c r="AK680" s="12"/>
      <c r="AR680" s="12" t="e">
        <f t="shared" si="10"/>
        <v>#N/A</v>
      </c>
      <c r="AU680" s="12">
        <f>SUMIF(ASIGNACION!$C$5:$C$94,Z680,ASIGNACION!$R$5:$R$94)*'Costos x MO'!$B$7</f>
        <v>0</v>
      </c>
      <c r="AV680" s="12" t="str">
        <f>IFERROR(VLOOKUP(Z680,ASIGNACION!$C$5:$H$94,6,0),"F/Fecha")</f>
        <v>F/Fecha</v>
      </c>
    </row>
    <row r="681" spans="37:48" x14ac:dyDescent="0.25">
      <c r="AK681" s="12"/>
      <c r="AR681" s="12" t="e">
        <f t="shared" si="10"/>
        <v>#N/A</v>
      </c>
      <c r="AU681" s="12">
        <f>SUMIF(ASIGNACION!$C$5:$C$94,Z681,ASIGNACION!$R$5:$R$94)*'Costos x MO'!$B$7</f>
        <v>0</v>
      </c>
      <c r="AV681" s="12" t="str">
        <f>IFERROR(VLOOKUP(Z681,ASIGNACION!$C$5:$H$94,6,0),"F/Fecha")</f>
        <v>F/Fecha</v>
      </c>
    </row>
    <row r="682" spans="37:48" x14ac:dyDescent="0.25">
      <c r="AK682" s="12"/>
      <c r="AR682" s="12" t="e">
        <f t="shared" si="10"/>
        <v>#N/A</v>
      </c>
      <c r="AU682" s="12">
        <f>SUMIF(ASIGNACION!$C$5:$C$94,Z682,ASIGNACION!$R$5:$R$94)*'Costos x MO'!$B$7</f>
        <v>0</v>
      </c>
      <c r="AV682" s="12" t="str">
        <f>IFERROR(VLOOKUP(Z682,ASIGNACION!$C$5:$H$94,6,0),"F/Fecha")</f>
        <v>F/Fecha</v>
      </c>
    </row>
    <row r="683" spans="37:48" x14ac:dyDescent="0.25">
      <c r="AK683" s="12"/>
      <c r="AR683" s="12" t="e">
        <f t="shared" si="10"/>
        <v>#N/A</v>
      </c>
      <c r="AU683" s="12">
        <f>SUMIF(ASIGNACION!$C$5:$C$94,Z683,ASIGNACION!$R$5:$R$94)*'Costos x MO'!$B$7</f>
        <v>0</v>
      </c>
      <c r="AV683" s="12" t="str">
        <f>IFERROR(VLOOKUP(Z683,ASIGNACION!$C$5:$H$94,6,0),"F/Fecha")</f>
        <v>F/Fecha</v>
      </c>
    </row>
    <row r="684" spans="37:48" x14ac:dyDescent="0.25">
      <c r="AK684" s="12"/>
      <c r="AR684" s="12" t="e">
        <f t="shared" si="10"/>
        <v>#N/A</v>
      </c>
      <c r="AU684" s="12">
        <f>SUMIF(ASIGNACION!$C$5:$C$94,Z684,ASIGNACION!$R$5:$R$94)*'Costos x MO'!$B$7</f>
        <v>0</v>
      </c>
      <c r="AV684" s="12" t="str">
        <f>IFERROR(VLOOKUP(Z684,ASIGNACION!$C$5:$H$94,6,0),"F/Fecha")</f>
        <v>F/Fecha</v>
      </c>
    </row>
    <row r="685" spans="37:48" x14ac:dyDescent="0.25">
      <c r="AK685" s="12"/>
      <c r="AR685" s="12" t="e">
        <f t="shared" si="10"/>
        <v>#N/A</v>
      </c>
      <c r="AU685" s="12">
        <f>SUMIF(ASIGNACION!$C$5:$C$94,Z685,ASIGNACION!$R$5:$R$94)*'Costos x MO'!$B$7</f>
        <v>0</v>
      </c>
      <c r="AV685" s="12" t="str">
        <f>IFERROR(VLOOKUP(Z685,ASIGNACION!$C$5:$H$94,6,0),"F/Fecha")</f>
        <v>F/Fecha</v>
      </c>
    </row>
    <row r="686" spans="37:48" x14ac:dyDescent="0.25">
      <c r="AK686" s="12"/>
      <c r="AR686" s="12" t="e">
        <f t="shared" si="10"/>
        <v>#N/A</v>
      </c>
      <c r="AU686" s="12">
        <f>SUMIF(ASIGNACION!$C$5:$C$94,Z686,ASIGNACION!$R$5:$R$94)*'Costos x MO'!$B$7</f>
        <v>0</v>
      </c>
      <c r="AV686" s="12" t="str">
        <f>IFERROR(VLOOKUP(Z686,ASIGNACION!$C$5:$H$94,6,0),"F/Fecha")</f>
        <v>F/Fecha</v>
      </c>
    </row>
    <row r="687" spans="37:48" x14ac:dyDescent="0.25">
      <c r="AK687" s="12"/>
      <c r="AR687" s="12" t="e">
        <f t="shared" si="10"/>
        <v>#N/A</v>
      </c>
      <c r="AU687" s="12">
        <f>SUMIF(ASIGNACION!$C$5:$C$94,Z687,ASIGNACION!$R$5:$R$94)*'Costos x MO'!$B$7</f>
        <v>0</v>
      </c>
      <c r="AV687" s="12" t="str">
        <f>IFERROR(VLOOKUP(Z687,ASIGNACION!$C$5:$H$94,6,0),"F/Fecha")</f>
        <v>F/Fecha</v>
      </c>
    </row>
    <row r="688" spans="37:48" x14ac:dyDescent="0.25">
      <c r="AK688" s="12"/>
      <c r="AR688" s="12" t="e">
        <f t="shared" si="10"/>
        <v>#N/A</v>
      </c>
      <c r="AU688" s="12">
        <f>SUMIF(ASIGNACION!$C$5:$C$94,Z688,ASIGNACION!$R$5:$R$94)*'Costos x MO'!$B$7</f>
        <v>0</v>
      </c>
      <c r="AV688" s="12" t="str">
        <f>IFERROR(VLOOKUP(Z688,ASIGNACION!$C$5:$H$94,6,0),"F/Fecha")</f>
        <v>F/Fecha</v>
      </c>
    </row>
    <row r="689" spans="37:48" x14ac:dyDescent="0.25">
      <c r="AK689" s="12"/>
      <c r="AR689" s="12" t="e">
        <f t="shared" si="10"/>
        <v>#N/A</v>
      </c>
      <c r="AU689" s="12">
        <f>SUMIF(ASIGNACION!$C$5:$C$94,Z689,ASIGNACION!$R$5:$R$94)*'Costos x MO'!$B$7</f>
        <v>0</v>
      </c>
      <c r="AV689" s="12" t="str">
        <f>IFERROR(VLOOKUP(Z689,ASIGNACION!$C$5:$H$94,6,0),"F/Fecha")</f>
        <v>F/Fecha</v>
      </c>
    </row>
    <row r="690" spans="37:48" x14ac:dyDescent="0.25">
      <c r="AK690" s="12"/>
      <c r="AR690" s="12" t="e">
        <f t="shared" si="10"/>
        <v>#N/A</v>
      </c>
      <c r="AU690" s="12">
        <f>SUMIF(ASIGNACION!$C$5:$C$94,Z690,ASIGNACION!$R$5:$R$94)*'Costos x MO'!$B$7</f>
        <v>0</v>
      </c>
      <c r="AV690" s="12" t="str">
        <f>IFERROR(VLOOKUP(Z690,ASIGNACION!$C$5:$H$94,6,0),"F/Fecha")</f>
        <v>F/Fecha</v>
      </c>
    </row>
    <row r="691" spans="37:48" x14ac:dyDescent="0.25">
      <c r="AK691" s="12"/>
      <c r="AR691" s="12" t="e">
        <f t="shared" si="10"/>
        <v>#N/A</v>
      </c>
      <c r="AU691" s="12">
        <f>SUMIF(ASIGNACION!$C$5:$C$94,Z691,ASIGNACION!$R$5:$R$94)*'Costos x MO'!$B$7</f>
        <v>0</v>
      </c>
      <c r="AV691" s="12" t="str">
        <f>IFERROR(VLOOKUP(Z691,ASIGNACION!$C$5:$H$94,6,0),"F/Fecha")</f>
        <v>F/Fecha</v>
      </c>
    </row>
    <row r="692" spans="37:48" x14ac:dyDescent="0.25">
      <c r="AK692" s="12"/>
      <c r="AR692" s="12" t="e">
        <f t="shared" si="10"/>
        <v>#N/A</v>
      </c>
      <c r="AU692" s="12">
        <f>SUMIF(ASIGNACION!$C$5:$C$94,Z692,ASIGNACION!$R$5:$R$94)*'Costos x MO'!$B$7</f>
        <v>0</v>
      </c>
      <c r="AV692" s="12" t="str">
        <f>IFERROR(VLOOKUP(Z692,ASIGNACION!$C$5:$H$94,6,0),"F/Fecha")</f>
        <v>F/Fecha</v>
      </c>
    </row>
    <row r="693" spans="37:48" x14ac:dyDescent="0.25">
      <c r="AK693" s="12"/>
      <c r="AR693" s="12" t="e">
        <f t="shared" si="10"/>
        <v>#N/A</v>
      </c>
      <c r="AU693" s="12">
        <f>SUMIF(ASIGNACION!$C$5:$C$94,Z693,ASIGNACION!$R$5:$R$94)*'Costos x MO'!$B$7</f>
        <v>0</v>
      </c>
      <c r="AV693" s="12" t="str">
        <f>IFERROR(VLOOKUP(Z693,ASIGNACION!$C$5:$H$94,6,0),"F/Fecha")</f>
        <v>F/Fecha</v>
      </c>
    </row>
    <row r="694" spans="37:48" x14ac:dyDescent="0.25">
      <c r="AK694" s="12"/>
      <c r="AR694" s="12" t="e">
        <f t="shared" si="10"/>
        <v>#N/A</v>
      </c>
      <c r="AU694" s="12">
        <f>SUMIF(ASIGNACION!$C$5:$C$94,Z694,ASIGNACION!$R$5:$R$94)*'Costos x MO'!$B$7</f>
        <v>0</v>
      </c>
      <c r="AV694" s="12" t="str">
        <f>IFERROR(VLOOKUP(Z694,ASIGNACION!$C$5:$H$94,6,0),"F/Fecha")</f>
        <v>F/Fecha</v>
      </c>
    </row>
    <row r="695" spans="37:48" x14ac:dyDescent="0.25">
      <c r="AK695" s="12"/>
      <c r="AR695" s="12" t="e">
        <f t="shared" si="10"/>
        <v>#N/A</v>
      </c>
      <c r="AU695" s="12">
        <f>SUMIF(ASIGNACION!$C$5:$C$94,Z695,ASIGNACION!$R$5:$R$94)*'Costos x MO'!$B$7</f>
        <v>0</v>
      </c>
      <c r="AV695" s="12" t="str">
        <f>IFERROR(VLOOKUP(Z695,ASIGNACION!$C$5:$H$94,6,0),"F/Fecha")</f>
        <v>F/Fecha</v>
      </c>
    </row>
    <row r="696" spans="37:48" x14ac:dyDescent="0.25">
      <c r="AK696" s="12"/>
      <c r="AR696" s="12" t="e">
        <f t="shared" si="10"/>
        <v>#N/A</v>
      </c>
      <c r="AU696" s="12">
        <f>SUMIF(ASIGNACION!$C$5:$C$94,Z696,ASIGNACION!$R$5:$R$94)*'Costos x MO'!$B$7</f>
        <v>0</v>
      </c>
      <c r="AV696" s="12" t="str">
        <f>IFERROR(VLOOKUP(Z696,ASIGNACION!$C$5:$H$94,6,0),"F/Fecha")</f>
        <v>F/Fecha</v>
      </c>
    </row>
    <row r="697" spans="37:48" x14ac:dyDescent="0.25">
      <c r="AK697" s="12"/>
      <c r="AR697" s="12" t="e">
        <f t="shared" si="10"/>
        <v>#N/A</v>
      </c>
      <c r="AU697" s="12">
        <f>SUMIF(ASIGNACION!$C$5:$C$94,Z697,ASIGNACION!$R$5:$R$94)*'Costos x MO'!$B$7</f>
        <v>0</v>
      </c>
      <c r="AV697" s="12" t="str">
        <f>IFERROR(VLOOKUP(Z697,ASIGNACION!$C$5:$H$94,6,0),"F/Fecha")</f>
        <v>F/Fecha</v>
      </c>
    </row>
    <row r="698" spans="37:48" x14ac:dyDescent="0.25">
      <c r="AK698" s="12"/>
      <c r="AR698" s="12" t="e">
        <f t="shared" si="10"/>
        <v>#N/A</v>
      </c>
      <c r="AU698" s="12">
        <f>SUMIF(ASIGNACION!$C$5:$C$94,Z698,ASIGNACION!$R$5:$R$94)*'Costos x MO'!$B$7</f>
        <v>0</v>
      </c>
      <c r="AV698" s="12" t="str">
        <f>IFERROR(VLOOKUP(Z698,ASIGNACION!$C$5:$H$94,6,0),"F/Fecha")</f>
        <v>F/Fecha</v>
      </c>
    </row>
    <row r="699" spans="37:48" x14ac:dyDescent="0.25">
      <c r="AK699" s="12"/>
      <c r="AR699" s="12" t="e">
        <f t="shared" si="10"/>
        <v>#N/A</v>
      </c>
      <c r="AU699" s="12">
        <f>SUMIF(ASIGNACION!$C$5:$C$94,Z699,ASIGNACION!$R$5:$R$94)*'Costos x MO'!$B$7</f>
        <v>0</v>
      </c>
      <c r="AV699" s="12" t="str">
        <f>IFERROR(VLOOKUP(Z699,ASIGNACION!$C$5:$H$94,6,0),"F/Fecha")</f>
        <v>F/Fecha</v>
      </c>
    </row>
    <row r="700" spans="37:48" x14ac:dyDescent="0.25">
      <c r="AK700" s="12"/>
      <c r="AR700" s="12" t="e">
        <f t="shared" si="10"/>
        <v>#N/A</v>
      </c>
      <c r="AU700" s="12">
        <f>SUMIF(ASIGNACION!$C$5:$C$94,Z700,ASIGNACION!$R$5:$R$94)*'Costos x MO'!$B$7</f>
        <v>0</v>
      </c>
      <c r="AV700" s="12" t="str">
        <f>IFERROR(VLOOKUP(Z700,ASIGNACION!$C$5:$H$94,6,0),"F/Fecha")</f>
        <v>F/Fecha</v>
      </c>
    </row>
    <row r="701" spans="37:48" x14ac:dyDescent="0.25">
      <c r="AK701" s="12"/>
      <c r="AR701" s="12" t="e">
        <f t="shared" si="10"/>
        <v>#N/A</v>
      </c>
      <c r="AU701" s="12">
        <f>SUMIF(ASIGNACION!$C$5:$C$94,Z701,ASIGNACION!$R$5:$R$94)*'Costos x MO'!$B$7</f>
        <v>0</v>
      </c>
      <c r="AV701" s="12" t="str">
        <f>IFERROR(VLOOKUP(Z701,ASIGNACION!$C$5:$H$94,6,0),"F/Fecha")</f>
        <v>F/Fecha</v>
      </c>
    </row>
    <row r="702" spans="37:48" x14ac:dyDescent="0.25">
      <c r="AK702" s="12"/>
      <c r="AR702" s="12" t="e">
        <f t="shared" si="10"/>
        <v>#N/A</v>
      </c>
      <c r="AU702" s="12">
        <f>SUMIF(ASIGNACION!$C$5:$C$94,Z702,ASIGNACION!$R$5:$R$94)*'Costos x MO'!$B$7</f>
        <v>0</v>
      </c>
      <c r="AV702" s="12" t="str">
        <f>IFERROR(VLOOKUP(Z702,ASIGNACION!$C$5:$H$94,6,0),"F/Fecha")</f>
        <v>F/Fecha</v>
      </c>
    </row>
    <row r="703" spans="37:48" x14ac:dyDescent="0.25">
      <c r="AK703" s="12"/>
      <c r="AR703" s="12" t="e">
        <f t="shared" si="10"/>
        <v>#N/A</v>
      </c>
      <c r="AU703" s="12">
        <f>SUMIF(ASIGNACION!$C$5:$C$94,Z703,ASIGNACION!$R$5:$R$94)*'Costos x MO'!$B$7</f>
        <v>0</v>
      </c>
      <c r="AV703" s="12" t="str">
        <f>IFERROR(VLOOKUP(Z703,ASIGNACION!$C$5:$H$94,6,0),"F/Fecha")</f>
        <v>F/Fecha</v>
      </c>
    </row>
    <row r="704" spans="37:48" x14ac:dyDescent="0.25">
      <c r="AK704" s="12"/>
      <c r="AR704" s="12" t="e">
        <f t="shared" si="10"/>
        <v>#N/A</v>
      </c>
      <c r="AU704" s="12">
        <f>SUMIF(ASIGNACION!$C$5:$C$94,Z704,ASIGNACION!$R$5:$R$94)*'Costos x MO'!$B$7</f>
        <v>0</v>
      </c>
      <c r="AV704" s="12" t="str">
        <f>IFERROR(VLOOKUP(Z704,ASIGNACION!$C$5:$H$94,6,0),"F/Fecha")</f>
        <v>F/Fecha</v>
      </c>
    </row>
    <row r="705" spans="37:48" x14ac:dyDescent="0.25">
      <c r="AK705" s="12"/>
      <c r="AR705" s="12" t="e">
        <f t="shared" si="10"/>
        <v>#N/A</v>
      </c>
      <c r="AU705" s="12">
        <f>SUMIF(ASIGNACION!$C$5:$C$94,Z705,ASIGNACION!$R$5:$R$94)*'Costos x MO'!$B$7</f>
        <v>0</v>
      </c>
      <c r="AV705" s="12" t="str">
        <f>IFERROR(VLOOKUP(Z705,ASIGNACION!$C$5:$H$94,6,0),"F/Fecha")</f>
        <v>F/Fecha</v>
      </c>
    </row>
    <row r="706" spans="37:48" x14ac:dyDescent="0.25">
      <c r="AK706" s="12"/>
      <c r="AR706" s="12" t="e">
        <f t="shared" si="10"/>
        <v>#N/A</v>
      </c>
      <c r="AU706" s="12">
        <f>SUMIF(ASIGNACION!$C$5:$C$94,Z706,ASIGNACION!$R$5:$R$94)*'Costos x MO'!$B$7</f>
        <v>0</v>
      </c>
      <c r="AV706" s="12" t="str">
        <f>IFERROR(VLOOKUP(Z706,ASIGNACION!$C$5:$H$94,6,0),"F/Fecha")</f>
        <v>F/Fecha</v>
      </c>
    </row>
    <row r="707" spans="37:48" x14ac:dyDescent="0.25">
      <c r="AK707" s="12"/>
      <c r="AR707" s="12" t="e">
        <f t="shared" si="10"/>
        <v>#N/A</v>
      </c>
      <c r="AU707" s="12">
        <f>SUMIF(ASIGNACION!$C$5:$C$94,Z707,ASIGNACION!$R$5:$R$94)*'Costos x MO'!$B$7</f>
        <v>0</v>
      </c>
      <c r="AV707" s="12" t="str">
        <f>IFERROR(VLOOKUP(Z707,ASIGNACION!$C$5:$H$94,6,0),"F/Fecha")</f>
        <v>F/Fecha</v>
      </c>
    </row>
    <row r="708" spans="37:48" x14ac:dyDescent="0.25">
      <c r="AK708" s="12"/>
      <c r="AR708" s="12" t="e">
        <f t="shared" si="10"/>
        <v>#N/A</v>
      </c>
      <c r="AU708" s="12">
        <f>SUMIF(ASIGNACION!$C$5:$C$94,Z708,ASIGNACION!$R$5:$R$94)*'Costos x MO'!$B$7</f>
        <v>0</v>
      </c>
      <c r="AV708" s="12" t="str">
        <f>IFERROR(VLOOKUP(Z708,ASIGNACION!$C$5:$H$94,6,0),"F/Fecha")</f>
        <v>F/Fecha</v>
      </c>
    </row>
    <row r="709" spans="37:48" x14ac:dyDescent="0.25">
      <c r="AK709" s="12"/>
      <c r="AR709" s="12" t="e">
        <f t="shared" ref="AR709:AR772" si="11">VLOOKUP(Z709,$E$4:$G$3523,3,0)</f>
        <v>#N/A</v>
      </c>
      <c r="AU709" s="12">
        <f>SUMIF(ASIGNACION!$C$5:$C$94,Z709,ASIGNACION!$R$5:$R$94)*'Costos x MO'!$B$7</f>
        <v>0</v>
      </c>
      <c r="AV709" s="12" t="str">
        <f>IFERROR(VLOOKUP(Z709,ASIGNACION!$C$5:$H$94,6,0),"F/Fecha")</f>
        <v>F/Fecha</v>
      </c>
    </row>
    <row r="710" spans="37:48" x14ac:dyDescent="0.25">
      <c r="AK710" s="12"/>
      <c r="AR710" s="12" t="e">
        <f t="shared" si="11"/>
        <v>#N/A</v>
      </c>
      <c r="AU710" s="12">
        <f>SUMIF(ASIGNACION!$C$5:$C$94,Z710,ASIGNACION!$R$5:$R$94)*'Costos x MO'!$B$7</f>
        <v>0</v>
      </c>
      <c r="AV710" s="12" t="str">
        <f>IFERROR(VLOOKUP(Z710,ASIGNACION!$C$5:$H$94,6,0),"F/Fecha")</f>
        <v>F/Fecha</v>
      </c>
    </row>
    <row r="711" spans="37:48" x14ac:dyDescent="0.25">
      <c r="AK711" s="12"/>
      <c r="AR711" s="12" t="e">
        <f t="shared" si="11"/>
        <v>#N/A</v>
      </c>
      <c r="AU711" s="12">
        <f>SUMIF(ASIGNACION!$C$5:$C$94,Z711,ASIGNACION!$R$5:$R$94)*'Costos x MO'!$B$7</f>
        <v>0</v>
      </c>
      <c r="AV711" s="12" t="str">
        <f>IFERROR(VLOOKUP(Z711,ASIGNACION!$C$5:$H$94,6,0),"F/Fecha")</f>
        <v>F/Fecha</v>
      </c>
    </row>
    <row r="712" spans="37:48" x14ac:dyDescent="0.25">
      <c r="AK712" s="12"/>
      <c r="AR712" s="12" t="e">
        <f t="shared" si="11"/>
        <v>#N/A</v>
      </c>
      <c r="AU712" s="12">
        <f>SUMIF(ASIGNACION!$C$5:$C$94,Z712,ASIGNACION!$R$5:$R$94)*'Costos x MO'!$B$7</f>
        <v>0</v>
      </c>
      <c r="AV712" s="12" t="str">
        <f>IFERROR(VLOOKUP(Z712,ASIGNACION!$C$5:$H$94,6,0),"F/Fecha")</f>
        <v>F/Fecha</v>
      </c>
    </row>
    <row r="713" spans="37:48" x14ac:dyDescent="0.25">
      <c r="AK713" s="12"/>
      <c r="AR713" s="12" t="e">
        <f t="shared" si="11"/>
        <v>#N/A</v>
      </c>
      <c r="AU713" s="12">
        <f>SUMIF(ASIGNACION!$C$5:$C$94,Z713,ASIGNACION!$R$5:$R$94)*'Costos x MO'!$B$7</f>
        <v>0</v>
      </c>
      <c r="AV713" s="12" t="str">
        <f>IFERROR(VLOOKUP(Z713,ASIGNACION!$C$5:$H$94,6,0),"F/Fecha")</f>
        <v>F/Fecha</v>
      </c>
    </row>
    <row r="714" spans="37:48" x14ac:dyDescent="0.25">
      <c r="AK714" s="12"/>
      <c r="AR714" s="12" t="e">
        <f t="shared" si="11"/>
        <v>#N/A</v>
      </c>
      <c r="AU714" s="12">
        <f>SUMIF(ASIGNACION!$C$5:$C$94,Z714,ASIGNACION!$R$5:$R$94)*'Costos x MO'!$B$7</f>
        <v>0</v>
      </c>
      <c r="AV714" s="12" t="str">
        <f>IFERROR(VLOOKUP(Z714,ASIGNACION!$C$5:$H$94,6,0),"F/Fecha")</f>
        <v>F/Fecha</v>
      </c>
    </row>
    <row r="715" spans="37:48" x14ac:dyDescent="0.25">
      <c r="AK715" s="12"/>
      <c r="AR715" s="12" t="e">
        <f t="shared" si="11"/>
        <v>#N/A</v>
      </c>
      <c r="AU715" s="12">
        <f>SUMIF(ASIGNACION!$C$5:$C$94,Z715,ASIGNACION!$R$5:$R$94)*'Costos x MO'!$B$7</f>
        <v>0</v>
      </c>
      <c r="AV715" s="12" t="str">
        <f>IFERROR(VLOOKUP(Z715,ASIGNACION!$C$5:$H$94,6,0),"F/Fecha")</f>
        <v>F/Fecha</v>
      </c>
    </row>
    <row r="716" spans="37:48" x14ac:dyDescent="0.25">
      <c r="AK716" s="12"/>
      <c r="AR716" s="12" t="e">
        <f t="shared" si="11"/>
        <v>#N/A</v>
      </c>
      <c r="AU716" s="12">
        <f>SUMIF(ASIGNACION!$C$5:$C$94,Z716,ASIGNACION!$R$5:$R$94)*'Costos x MO'!$B$7</f>
        <v>0</v>
      </c>
      <c r="AV716" s="12" t="str">
        <f>IFERROR(VLOOKUP(Z716,ASIGNACION!$C$5:$H$94,6,0),"F/Fecha")</f>
        <v>F/Fecha</v>
      </c>
    </row>
    <row r="717" spans="37:48" x14ac:dyDescent="0.25">
      <c r="AK717" s="12"/>
      <c r="AR717" s="12" t="e">
        <f t="shared" si="11"/>
        <v>#N/A</v>
      </c>
      <c r="AU717" s="12">
        <f>SUMIF(ASIGNACION!$C$5:$C$94,Z717,ASIGNACION!$R$5:$R$94)*'Costos x MO'!$B$7</f>
        <v>0</v>
      </c>
      <c r="AV717" s="12" t="str">
        <f>IFERROR(VLOOKUP(Z717,ASIGNACION!$C$5:$H$94,6,0),"F/Fecha")</f>
        <v>F/Fecha</v>
      </c>
    </row>
    <row r="718" spans="37:48" x14ac:dyDescent="0.25">
      <c r="AK718" s="12"/>
      <c r="AR718" s="12" t="e">
        <f t="shared" si="11"/>
        <v>#N/A</v>
      </c>
      <c r="AU718" s="12">
        <f>SUMIF(ASIGNACION!$C$5:$C$94,Z718,ASIGNACION!$R$5:$R$94)*'Costos x MO'!$B$7</f>
        <v>0</v>
      </c>
      <c r="AV718" s="12" t="str">
        <f>IFERROR(VLOOKUP(Z718,ASIGNACION!$C$5:$H$94,6,0),"F/Fecha")</f>
        <v>F/Fecha</v>
      </c>
    </row>
    <row r="719" spans="37:48" x14ac:dyDescent="0.25">
      <c r="AK719" s="12"/>
      <c r="AR719" s="12" t="e">
        <f t="shared" si="11"/>
        <v>#N/A</v>
      </c>
      <c r="AU719" s="12">
        <f>SUMIF(ASIGNACION!$C$5:$C$94,Z719,ASIGNACION!$R$5:$R$94)*'Costos x MO'!$B$7</f>
        <v>0</v>
      </c>
      <c r="AV719" s="12" t="str">
        <f>IFERROR(VLOOKUP(Z719,ASIGNACION!$C$5:$H$94,6,0),"F/Fecha")</f>
        <v>F/Fecha</v>
      </c>
    </row>
    <row r="720" spans="37:48" x14ac:dyDescent="0.25">
      <c r="AK720" s="12"/>
      <c r="AR720" s="12" t="e">
        <f t="shared" si="11"/>
        <v>#N/A</v>
      </c>
      <c r="AU720" s="12">
        <f>SUMIF(ASIGNACION!$C$5:$C$94,Z720,ASIGNACION!$R$5:$R$94)*'Costos x MO'!$B$7</f>
        <v>0</v>
      </c>
      <c r="AV720" s="12" t="str">
        <f>IFERROR(VLOOKUP(Z720,ASIGNACION!$C$5:$H$94,6,0),"F/Fecha")</f>
        <v>F/Fecha</v>
      </c>
    </row>
    <row r="721" spans="37:48" x14ac:dyDescent="0.25">
      <c r="AK721" s="12"/>
      <c r="AR721" s="12" t="e">
        <f t="shared" si="11"/>
        <v>#N/A</v>
      </c>
      <c r="AU721" s="12">
        <f>SUMIF(ASIGNACION!$C$5:$C$94,Z721,ASIGNACION!$R$5:$R$94)*'Costos x MO'!$B$7</f>
        <v>0</v>
      </c>
      <c r="AV721" s="12" t="str">
        <f>IFERROR(VLOOKUP(Z721,ASIGNACION!$C$5:$H$94,6,0),"F/Fecha")</f>
        <v>F/Fecha</v>
      </c>
    </row>
    <row r="722" spans="37:48" x14ac:dyDescent="0.25">
      <c r="AK722" s="12"/>
      <c r="AR722" s="12" t="e">
        <f t="shared" si="11"/>
        <v>#N/A</v>
      </c>
      <c r="AU722" s="12">
        <f>SUMIF(ASIGNACION!$C$5:$C$94,Z722,ASIGNACION!$R$5:$R$94)*'Costos x MO'!$B$7</f>
        <v>0</v>
      </c>
      <c r="AV722" s="12" t="str">
        <f>IFERROR(VLOOKUP(Z722,ASIGNACION!$C$5:$H$94,6,0),"F/Fecha")</f>
        <v>F/Fecha</v>
      </c>
    </row>
    <row r="723" spans="37:48" x14ac:dyDescent="0.25">
      <c r="AK723" s="12"/>
      <c r="AR723" s="12" t="e">
        <f t="shared" si="11"/>
        <v>#N/A</v>
      </c>
      <c r="AU723" s="12">
        <f>SUMIF(ASIGNACION!$C$5:$C$94,Z723,ASIGNACION!$R$5:$R$94)*'Costos x MO'!$B$7</f>
        <v>0</v>
      </c>
      <c r="AV723" s="12" t="str">
        <f>IFERROR(VLOOKUP(Z723,ASIGNACION!$C$5:$H$94,6,0),"F/Fecha")</f>
        <v>F/Fecha</v>
      </c>
    </row>
    <row r="724" spans="37:48" x14ac:dyDescent="0.25">
      <c r="AK724" s="12"/>
      <c r="AR724" s="12" t="e">
        <f t="shared" si="11"/>
        <v>#N/A</v>
      </c>
      <c r="AU724" s="12">
        <f>SUMIF(ASIGNACION!$C$5:$C$94,Z724,ASIGNACION!$R$5:$R$94)*'Costos x MO'!$B$7</f>
        <v>0</v>
      </c>
      <c r="AV724" s="12" t="str">
        <f>IFERROR(VLOOKUP(Z724,ASIGNACION!$C$5:$H$94,6,0),"F/Fecha")</f>
        <v>F/Fecha</v>
      </c>
    </row>
    <row r="725" spans="37:48" x14ac:dyDescent="0.25">
      <c r="AK725" s="12"/>
      <c r="AR725" s="12" t="e">
        <f t="shared" si="11"/>
        <v>#N/A</v>
      </c>
      <c r="AU725" s="12">
        <f>SUMIF(ASIGNACION!$C$5:$C$94,Z725,ASIGNACION!$R$5:$R$94)*'Costos x MO'!$B$7</f>
        <v>0</v>
      </c>
      <c r="AV725" s="12" t="str">
        <f>IFERROR(VLOOKUP(Z725,ASIGNACION!$C$5:$H$94,6,0),"F/Fecha")</f>
        <v>F/Fecha</v>
      </c>
    </row>
    <row r="726" spans="37:48" x14ac:dyDescent="0.25">
      <c r="AK726" s="12"/>
      <c r="AR726" s="12" t="e">
        <f t="shared" si="11"/>
        <v>#N/A</v>
      </c>
      <c r="AU726" s="12">
        <f>SUMIF(ASIGNACION!$C$5:$C$94,Z726,ASIGNACION!$R$5:$R$94)*'Costos x MO'!$B$7</f>
        <v>0</v>
      </c>
      <c r="AV726" s="12" t="str">
        <f>IFERROR(VLOOKUP(Z726,ASIGNACION!$C$5:$H$94,6,0),"F/Fecha")</f>
        <v>F/Fecha</v>
      </c>
    </row>
    <row r="727" spans="37:48" x14ac:dyDescent="0.25">
      <c r="AK727" s="12"/>
      <c r="AR727" s="12" t="e">
        <f t="shared" si="11"/>
        <v>#N/A</v>
      </c>
      <c r="AU727" s="12">
        <f>SUMIF(ASIGNACION!$C$5:$C$94,Z727,ASIGNACION!$R$5:$R$94)*'Costos x MO'!$B$7</f>
        <v>0</v>
      </c>
      <c r="AV727" s="12" t="str">
        <f>IFERROR(VLOOKUP(Z727,ASIGNACION!$C$5:$H$94,6,0),"F/Fecha")</f>
        <v>F/Fecha</v>
      </c>
    </row>
    <row r="728" spans="37:48" x14ac:dyDescent="0.25">
      <c r="AK728" s="12"/>
      <c r="AR728" s="12" t="e">
        <f t="shared" si="11"/>
        <v>#N/A</v>
      </c>
      <c r="AU728" s="12">
        <f>SUMIF(ASIGNACION!$C$5:$C$94,Z728,ASIGNACION!$R$5:$R$94)*'Costos x MO'!$B$7</f>
        <v>0</v>
      </c>
      <c r="AV728" s="12" t="str">
        <f>IFERROR(VLOOKUP(Z728,ASIGNACION!$C$5:$H$94,6,0),"F/Fecha")</f>
        <v>F/Fecha</v>
      </c>
    </row>
    <row r="729" spans="37:48" x14ac:dyDescent="0.25">
      <c r="AK729" s="12"/>
      <c r="AR729" s="12" t="e">
        <f t="shared" si="11"/>
        <v>#N/A</v>
      </c>
      <c r="AU729" s="12">
        <f>SUMIF(ASIGNACION!$C$5:$C$94,Z729,ASIGNACION!$R$5:$R$94)*'Costos x MO'!$B$7</f>
        <v>0</v>
      </c>
      <c r="AV729" s="12" t="str">
        <f>IFERROR(VLOOKUP(Z729,ASIGNACION!$C$5:$H$94,6,0),"F/Fecha")</f>
        <v>F/Fecha</v>
      </c>
    </row>
    <row r="730" spans="37:48" x14ac:dyDescent="0.25">
      <c r="AK730" s="12"/>
      <c r="AR730" s="12" t="e">
        <f t="shared" si="11"/>
        <v>#N/A</v>
      </c>
      <c r="AU730" s="12">
        <f>SUMIF(ASIGNACION!$C$5:$C$94,Z730,ASIGNACION!$R$5:$R$94)*'Costos x MO'!$B$7</f>
        <v>0</v>
      </c>
      <c r="AV730" s="12" t="str">
        <f>IFERROR(VLOOKUP(Z730,ASIGNACION!$C$5:$H$94,6,0),"F/Fecha")</f>
        <v>F/Fecha</v>
      </c>
    </row>
    <row r="731" spans="37:48" x14ac:dyDescent="0.25">
      <c r="AK731" s="12"/>
      <c r="AR731" s="12" t="e">
        <f t="shared" si="11"/>
        <v>#N/A</v>
      </c>
      <c r="AU731" s="12">
        <f>SUMIF(ASIGNACION!$C$5:$C$94,Z731,ASIGNACION!$R$5:$R$94)*'Costos x MO'!$B$7</f>
        <v>0</v>
      </c>
      <c r="AV731" s="12" t="str">
        <f>IFERROR(VLOOKUP(Z731,ASIGNACION!$C$5:$H$94,6,0),"F/Fecha")</f>
        <v>F/Fecha</v>
      </c>
    </row>
    <row r="732" spans="37:48" x14ac:dyDescent="0.25">
      <c r="AK732" s="12"/>
      <c r="AR732" s="12" t="e">
        <f t="shared" si="11"/>
        <v>#N/A</v>
      </c>
      <c r="AU732" s="12">
        <f>SUMIF(ASIGNACION!$C$5:$C$94,Z732,ASIGNACION!$R$5:$R$94)*'Costos x MO'!$B$7</f>
        <v>0</v>
      </c>
      <c r="AV732" s="12" t="str">
        <f>IFERROR(VLOOKUP(Z732,ASIGNACION!$C$5:$H$94,6,0),"F/Fecha")</f>
        <v>F/Fecha</v>
      </c>
    </row>
    <row r="733" spans="37:48" x14ac:dyDescent="0.25">
      <c r="AK733" s="12"/>
      <c r="AR733" s="12" t="e">
        <f t="shared" si="11"/>
        <v>#N/A</v>
      </c>
      <c r="AU733" s="12">
        <f>SUMIF(ASIGNACION!$C$5:$C$94,Z733,ASIGNACION!$R$5:$R$94)*'Costos x MO'!$B$7</f>
        <v>0</v>
      </c>
      <c r="AV733" s="12" t="str">
        <f>IFERROR(VLOOKUP(Z733,ASIGNACION!$C$5:$H$94,6,0),"F/Fecha")</f>
        <v>F/Fecha</v>
      </c>
    </row>
    <row r="734" spans="37:48" x14ac:dyDescent="0.25">
      <c r="AK734" s="12"/>
      <c r="AR734" s="12" t="e">
        <f t="shared" si="11"/>
        <v>#N/A</v>
      </c>
      <c r="AU734" s="12">
        <f>SUMIF(ASIGNACION!$C$5:$C$94,Z734,ASIGNACION!$R$5:$R$94)*'Costos x MO'!$B$7</f>
        <v>0</v>
      </c>
      <c r="AV734" s="12" t="str">
        <f>IFERROR(VLOOKUP(Z734,ASIGNACION!$C$5:$H$94,6,0),"F/Fecha")</f>
        <v>F/Fecha</v>
      </c>
    </row>
    <row r="735" spans="37:48" x14ac:dyDescent="0.25">
      <c r="AK735" s="12"/>
      <c r="AR735" s="12" t="e">
        <f t="shared" si="11"/>
        <v>#N/A</v>
      </c>
      <c r="AU735" s="12">
        <f>SUMIF(ASIGNACION!$C$5:$C$94,Z735,ASIGNACION!$R$5:$R$94)*'Costos x MO'!$B$7</f>
        <v>0</v>
      </c>
      <c r="AV735" s="12" t="str">
        <f>IFERROR(VLOOKUP(Z735,ASIGNACION!$C$5:$H$94,6,0),"F/Fecha")</f>
        <v>F/Fecha</v>
      </c>
    </row>
    <row r="736" spans="37:48" x14ac:dyDescent="0.25">
      <c r="AK736" s="12"/>
      <c r="AR736" s="12" t="e">
        <f t="shared" si="11"/>
        <v>#N/A</v>
      </c>
      <c r="AU736" s="12">
        <f>SUMIF(ASIGNACION!$C$5:$C$94,Z736,ASIGNACION!$R$5:$R$94)*'Costos x MO'!$B$7</f>
        <v>0</v>
      </c>
      <c r="AV736" s="12" t="str">
        <f>IFERROR(VLOOKUP(Z736,ASIGNACION!$C$5:$H$94,6,0),"F/Fecha")</f>
        <v>F/Fecha</v>
      </c>
    </row>
    <row r="737" spans="37:48" x14ac:dyDescent="0.25">
      <c r="AK737" s="12"/>
      <c r="AR737" s="12" t="e">
        <f t="shared" si="11"/>
        <v>#N/A</v>
      </c>
      <c r="AU737" s="12">
        <f>SUMIF(ASIGNACION!$C$5:$C$94,Z737,ASIGNACION!$R$5:$R$94)*'Costos x MO'!$B$7</f>
        <v>0</v>
      </c>
      <c r="AV737" s="12" t="str">
        <f>IFERROR(VLOOKUP(Z737,ASIGNACION!$C$5:$H$94,6,0),"F/Fecha")</f>
        <v>F/Fecha</v>
      </c>
    </row>
    <row r="738" spans="37:48" x14ac:dyDescent="0.25">
      <c r="AK738" s="12"/>
      <c r="AR738" s="12" t="e">
        <f t="shared" si="11"/>
        <v>#N/A</v>
      </c>
      <c r="AU738" s="12">
        <f>SUMIF(ASIGNACION!$C$5:$C$94,Z738,ASIGNACION!$R$5:$R$94)*'Costos x MO'!$B$7</f>
        <v>0</v>
      </c>
      <c r="AV738" s="12" t="str">
        <f>IFERROR(VLOOKUP(Z738,ASIGNACION!$C$5:$H$94,6,0),"F/Fecha")</f>
        <v>F/Fecha</v>
      </c>
    </row>
    <row r="739" spans="37:48" x14ac:dyDescent="0.25">
      <c r="AK739" s="12"/>
      <c r="AR739" s="12" t="e">
        <f t="shared" si="11"/>
        <v>#N/A</v>
      </c>
      <c r="AU739" s="12">
        <f>SUMIF(ASIGNACION!$C$5:$C$94,Z739,ASIGNACION!$R$5:$R$94)*'Costos x MO'!$B$7</f>
        <v>0</v>
      </c>
      <c r="AV739" s="12" t="str">
        <f>IFERROR(VLOOKUP(Z739,ASIGNACION!$C$5:$H$94,6,0),"F/Fecha")</f>
        <v>F/Fecha</v>
      </c>
    </row>
    <row r="740" spans="37:48" x14ac:dyDescent="0.25">
      <c r="AK740" s="12"/>
      <c r="AR740" s="12" t="e">
        <f t="shared" si="11"/>
        <v>#N/A</v>
      </c>
      <c r="AU740" s="12">
        <f>SUMIF(ASIGNACION!$C$5:$C$94,Z740,ASIGNACION!$R$5:$R$94)*'Costos x MO'!$B$7</f>
        <v>0</v>
      </c>
      <c r="AV740" s="12" t="str">
        <f>IFERROR(VLOOKUP(Z740,ASIGNACION!$C$5:$H$94,6,0),"F/Fecha")</f>
        <v>F/Fecha</v>
      </c>
    </row>
    <row r="741" spans="37:48" x14ac:dyDescent="0.25">
      <c r="AK741" s="12"/>
      <c r="AR741" s="12" t="e">
        <f t="shared" si="11"/>
        <v>#N/A</v>
      </c>
      <c r="AU741" s="12">
        <f>SUMIF(ASIGNACION!$C$5:$C$94,Z741,ASIGNACION!$R$5:$R$94)*'Costos x MO'!$B$7</f>
        <v>0</v>
      </c>
      <c r="AV741" s="12" t="str">
        <f>IFERROR(VLOOKUP(Z741,ASIGNACION!$C$5:$H$94,6,0),"F/Fecha")</f>
        <v>F/Fecha</v>
      </c>
    </row>
    <row r="742" spans="37:48" x14ac:dyDescent="0.25">
      <c r="AK742" s="12"/>
      <c r="AR742" s="12" t="e">
        <f t="shared" si="11"/>
        <v>#N/A</v>
      </c>
      <c r="AU742" s="12">
        <f>SUMIF(ASIGNACION!$C$5:$C$94,Z742,ASIGNACION!$R$5:$R$94)*'Costos x MO'!$B$7</f>
        <v>0</v>
      </c>
      <c r="AV742" s="12" t="str">
        <f>IFERROR(VLOOKUP(Z742,ASIGNACION!$C$5:$H$94,6,0),"F/Fecha")</f>
        <v>F/Fecha</v>
      </c>
    </row>
    <row r="743" spans="37:48" x14ac:dyDescent="0.25">
      <c r="AK743" s="12"/>
      <c r="AR743" s="12" t="e">
        <f t="shared" si="11"/>
        <v>#N/A</v>
      </c>
      <c r="AU743" s="12">
        <f>SUMIF(ASIGNACION!$C$5:$C$94,Z743,ASIGNACION!$R$5:$R$94)*'Costos x MO'!$B$7</f>
        <v>0</v>
      </c>
      <c r="AV743" s="12" t="str">
        <f>IFERROR(VLOOKUP(Z743,ASIGNACION!$C$5:$H$94,6,0),"F/Fecha")</f>
        <v>F/Fecha</v>
      </c>
    </row>
    <row r="744" spans="37:48" x14ac:dyDescent="0.25">
      <c r="AK744" s="12"/>
      <c r="AR744" s="12" t="e">
        <f t="shared" si="11"/>
        <v>#N/A</v>
      </c>
      <c r="AU744" s="12">
        <f>SUMIF(ASIGNACION!$C$5:$C$94,Z744,ASIGNACION!$R$5:$R$94)*'Costos x MO'!$B$7</f>
        <v>0</v>
      </c>
      <c r="AV744" s="12" t="str">
        <f>IFERROR(VLOOKUP(Z744,ASIGNACION!$C$5:$H$94,6,0),"F/Fecha")</f>
        <v>F/Fecha</v>
      </c>
    </row>
    <row r="745" spans="37:48" x14ac:dyDescent="0.25">
      <c r="AK745" s="12"/>
      <c r="AR745" s="12" t="e">
        <f t="shared" si="11"/>
        <v>#N/A</v>
      </c>
      <c r="AU745" s="12">
        <f>SUMIF(ASIGNACION!$C$5:$C$94,Z745,ASIGNACION!$R$5:$R$94)*'Costos x MO'!$B$7</f>
        <v>0</v>
      </c>
      <c r="AV745" s="12" t="str">
        <f>IFERROR(VLOOKUP(Z745,ASIGNACION!$C$5:$H$94,6,0),"F/Fecha")</f>
        <v>F/Fecha</v>
      </c>
    </row>
    <row r="746" spans="37:48" x14ac:dyDescent="0.25">
      <c r="AK746" s="12"/>
      <c r="AR746" s="12" t="e">
        <f t="shared" si="11"/>
        <v>#N/A</v>
      </c>
      <c r="AU746" s="12">
        <f>SUMIF(ASIGNACION!$C$5:$C$94,Z746,ASIGNACION!$R$5:$R$94)*'Costos x MO'!$B$7</f>
        <v>0</v>
      </c>
      <c r="AV746" s="12" t="str">
        <f>IFERROR(VLOOKUP(Z746,ASIGNACION!$C$5:$H$94,6,0),"F/Fecha")</f>
        <v>F/Fecha</v>
      </c>
    </row>
    <row r="747" spans="37:48" x14ac:dyDescent="0.25">
      <c r="AK747" s="12"/>
      <c r="AR747" s="12" t="e">
        <f t="shared" si="11"/>
        <v>#N/A</v>
      </c>
      <c r="AU747" s="12">
        <f>SUMIF(ASIGNACION!$C$5:$C$94,Z747,ASIGNACION!$R$5:$R$94)*'Costos x MO'!$B$7</f>
        <v>0</v>
      </c>
      <c r="AV747" s="12" t="str">
        <f>IFERROR(VLOOKUP(Z747,ASIGNACION!$C$5:$H$94,6,0),"F/Fecha")</f>
        <v>F/Fecha</v>
      </c>
    </row>
    <row r="748" spans="37:48" x14ac:dyDescent="0.25">
      <c r="AK748" s="12"/>
      <c r="AR748" s="12" t="e">
        <f t="shared" si="11"/>
        <v>#N/A</v>
      </c>
      <c r="AU748" s="12">
        <f>SUMIF(ASIGNACION!$C$5:$C$94,Z748,ASIGNACION!$R$5:$R$94)*'Costos x MO'!$B$7</f>
        <v>0</v>
      </c>
      <c r="AV748" s="12" t="str">
        <f>IFERROR(VLOOKUP(Z748,ASIGNACION!$C$5:$H$94,6,0),"F/Fecha")</f>
        <v>F/Fecha</v>
      </c>
    </row>
    <row r="749" spans="37:48" x14ac:dyDescent="0.25">
      <c r="AK749" s="12"/>
      <c r="AR749" s="12" t="e">
        <f t="shared" si="11"/>
        <v>#N/A</v>
      </c>
      <c r="AU749" s="12">
        <f>SUMIF(ASIGNACION!$C$5:$C$94,Z749,ASIGNACION!$R$5:$R$94)*'Costos x MO'!$B$7</f>
        <v>0</v>
      </c>
      <c r="AV749" s="12" t="str">
        <f>IFERROR(VLOOKUP(Z749,ASIGNACION!$C$5:$H$94,6,0),"F/Fecha")</f>
        <v>F/Fecha</v>
      </c>
    </row>
    <row r="750" spans="37:48" x14ac:dyDescent="0.25">
      <c r="AK750" s="12"/>
      <c r="AR750" s="12" t="e">
        <f t="shared" si="11"/>
        <v>#N/A</v>
      </c>
      <c r="AU750" s="12">
        <f>SUMIF(ASIGNACION!$C$5:$C$94,Z750,ASIGNACION!$R$5:$R$94)*'Costos x MO'!$B$7</f>
        <v>0</v>
      </c>
      <c r="AV750" s="12" t="str">
        <f>IFERROR(VLOOKUP(Z750,ASIGNACION!$C$5:$H$94,6,0),"F/Fecha")</f>
        <v>F/Fecha</v>
      </c>
    </row>
    <row r="751" spans="37:48" x14ac:dyDescent="0.25">
      <c r="AK751" s="12"/>
      <c r="AR751" s="12" t="e">
        <f t="shared" si="11"/>
        <v>#N/A</v>
      </c>
      <c r="AU751" s="12">
        <f>SUMIF(ASIGNACION!$C$5:$C$94,Z751,ASIGNACION!$R$5:$R$94)*'Costos x MO'!$B$7</f>
        <v>0</v>
      </c>
      <c r="AV751" s="12" t="str">
        <f>IFERROR(VLOOKUP(Z751,ASIGNACION!$C$5:$H$94,6,0),"F/Fecha")</f>
        <v>F/Fecha</v>
      </c>
    </row>
    <row r="752" spans="37:48" x14ac:dyDescent="0.25">
      <c r="AK752" s="12"/>
      <c r="AR752" s="12" t="e">
        <f t="shared" si="11"/>
        <v>#N/A</v>
      </c>
      <c r="AU752" s="12">
        <f>SUMIF(ASIGNACION!$C$5:$C$94,Z752,ASIGNACION!$R$5:$R$94)*'Costos x MO'!$B$7</f>
        <v>0</v>
      </c>
      <c r="AV752" s="12" t="str">
        <f>IFERROR(VLOOKUP(Z752,ASIGNACION!$C$5:$H$94,6,0),"F/Fecha")</f>
        <v>F/Fecha</v>
      </c>
    </row>
    <row r="753" spans="37:48" x14ac:dyDescent="0.25">
      <c r="AK753" s="12"/>
      <c r="AR753" s="12" t="e">
        <f t="shared" si="11"/>
        <v>#N/A</v>
      </c>
      <c r="AU753" s="12">
        <f>SUMIF(ASIGNACION!$C$5:$C$94,Z753,ASIGNACION!$R$5:$R$94)*'Costos x MO'!$B$7</f>
        <v>0</v>
      </c>
      <c r="AV753" s="12" t="str">
        <f>IFERROR(VLOOKUP(Z753,ASIGNACION!$C$5:$H$94,6,0),"F/Fecha")</f>
        <v>F/Fecha</v>
      </c>
    </row>
    <row r="754" spans="37:48" x14ac:dyDescent="0.25">
      <c r="AK754" s="12"/>
      <c r="AR754" s="12" t="e">
        <f t="shared" si="11"/>
        <v>#N/A</v>
      </c>
      <c r="AU754" s="12">
        <f>SUMIF(ASIGNACION!$C$5:$C$94,Z754,ASIGNACION!$R$5:$R$94)*'Costos x MO'!$B$7</f>
        <v>0</v>
      </c>
      <c r="AV754" s="12" t="str">
        <f>IFERROR(VLOOKUP(Z754,ASIGNACION!$C$5:$H$94,6,0),"F/Fecha")</f>
        <v>F/Fecha</v>
      </c>
    </row>
    <row r="755" spans="37:48" x14ac:dyDescent="0.25">
      <c r="AK755" s="12"/>
      <c r="AR755" s="12" t="e">
        <f t="shared" si="11"/>
        <v>#N/A</v>
      </c>
      <c r="AU755" s="12">
        <f>SUMIF(ASIGNACION!$C$5:$C$94,Z755,ASIGNACION!$R$5:$R$94)*'Costos x MO'!$B$7</f>
        <v>0</v>
      </c>
      <c r="AV755" s="12" t="str">
        <f>IFERROR(VLOOKUP(Z755,ASIGNACION!$C$5:$H$94,6,0),"F/Fecha")</f>
        <v>F/Fecha</v>
      </c>
    </row>
    <row r="756" spans="37:48" x14ac:dyDescent="0.25">
      <c r="AK756" s="12"/>
      <c r="AR756" s="12" t="e">
        <f t="shared" si="11"/>
        <v>#N/A</v>
      </c>
      <c r="AU756" s="12">
        <f>SUMIF(ASIGNACION!$C$5:$C$94,Z756,ASIGNACION!$R$5:$R$94)*'Costos x MO'!$B$7</f>
        <v>0</v>
      </c>
      <c r="AV756" s="12" t="str">
        <f>IFERROR(VLOOKUP(Z756,ASIGNACION!$C$5:$H$94,6,0),"F/Fecha")</f>
        <v>F/Fecha</v>
      </c>
    </row>
    <row r="757" spans="37:48" x14ac:dyDescent="0.25">
      <c r="AK757" s="12"/>
      <c r="AR757" s="12" t="e">
        <f t="shared" si="11"/>
        <v>#N/A</v>
      </c>
      <c r="AU757" s="12">
        <f>SUMIF(ASIGNACION!$C$5:$C$94,Z757,ASIGNACION!$R$5:$R$94)*'Costos x MO'!$B$7</f>
        <v>0</v>
      </c>
      <c r="AV757" s="12" t="str">
        <f>IFERROR(VLOOKUP(Z757,ASIGNACION!$C$5:$H$94,6,0),"F/Fecha")</f>
        <v>F/Fecha</v>
      </c>
    </row>
    <row r="758" spans="37:48" x14ac:dyDescent="0.25">
      <c r="AK758" s="12"/>
      <c r="AR758" s="12" t="e">
        <f t="shared" si="11"/>
        <v>#N/A</v>
      </c>
      <c r="AU758" s="12">
        <f>SUMIF(ASIGNACION!$C$5:$C$94,Z758,ASIGNACION!$R$5:$R$94)*'Costos x MO'!$B$7</f>
        <v>0</v>
      </c>
      <c r="AV758" s="12" t="str">
        <f>IFERROR(VLOOKUP(Z758,ASIGNACION!$C$5:$H$94,6,0),"F/Fecha")</f>
        <v>F/Fecha</v>
      </c>
    </row>
    <row r="759" spans="37:48" x14ac:dyDescent="0.25">
      <c r="AK759" s="12"/>
      <c r="AR759" s="12" t="e">
        <f t="shared" si="11"/>
        <v>#N/A</v>
      </c>
      <c r="AU759" s="12">
        <f>SUMIF(ASIGNACION!$C$5:$C$94,Z759,ASIGNACION!$R$5:$R$94)*'Costos x MO'!$B$7</f>
        <v>0</v>
      </c>
      <c r="AV759" s="12" t="str">
        <f>IFERROR(VLOOKUP(Z759,ASIGNACION!$C$5:$H$94,6,0),"F/Fecha")</f>
        <v>F/Fecha</v>
      </c>
    </row>
    <row r="760" spans="37:48" x14ac:dyDescent="0.25">
      <c r="AK760" s="12"/>
      <c r="AR760" s="12" t="e">
        <f t="shared" si="11"/>
        <v>#N/A</v>
      </c>
      <c r="AU760" s="12">
        <f>SUMIF(ASIGNACION!$C$5:$C$94,Z760,ASIGNACION!$R$5:$R$94)*'Costos x MO'!$B$7</f>
        <v>0</v>
      </c>
      <c r="AV760" s="12" t="str">
        <f>IFERROR(VLOOKUP(Z760,ASIGNACION!$C$5:$H$94,6,0),"F/Fecha")</f>
        <v>F/Fecha</v>
      </c>
    </row>
    <row r="761" spans="37:48" x14ac:dyDescent="0.25">
      <c r="AK761" s="12"/>
      <c r="AR761" s="12" t="e">
        <f t="shared" si="11"/>
        <v>#N/A</v>
      </c>
      <c r="AU761" s="12">
        <f>SUMIF(ASIGNACION!$C$5:$C$94,Z761,ASIGNACION!$R$5:$R$94)*'Costos x MO'!$B$7</f>
        <v>0</v>
      </c>
      <c r="AV761" s="12" t="str">
        <f>IFERROR(VLOOKUP(Z761,ASIGNACION!$C$5:$H$94,6,0),"F/Fecha")</f>
        <v>F/Fecha</v>
      </c>
    </row>
    <row r="762" spans="37:48" x14ac:dyDescent="0.25">
      <c r="AK762" s="12"/>
      <c r="AR762" s="12" t="e">
        <f t="shared" si="11"/>
        <v>#N/A</v>
      </c>
      <c r="AU762" s="12">
        <f>SUMIF(ASIGNACION!$C$5:$C$94,Z762,ASIGNACION!$R$5:$R$94)*'Costos x MO'!$B$7</f>
        <v>0</v>
      </c>
      <c r="AV762" s="12" t="str">
        <f>IFERROR(VLOOKUP(Z762,ASIGNACION!$C$5:$H$94,6,0),"F/Fecha")</f>
        <v>F/Fecha</v>
      </c>
    </row>
    <row r="763" spans="37:48" x14ac:dyDescent="0.25">
      <c r="AK763" s="12"/>
      <c r="AR763" s="12" t="e">
        <f t="shared" si="11"/>
        <v>#N/A</v>
      </c>
      <c r="AU763" s="12">
        <f>SUMIF(ASIGNACION!$C$5:$C$94,Z763,ASIGNACION!$R$5:$R$94)*'Costos x MO'!$B$7</f>
        <v>0</v>
      </c>
      <c r="AV763" s="12" t="str">
        <f>IFERROR(VLOOKUP(Z763,ASIGNACION!$C$5:$H$94,6,0),"F/Fecha")</f>
        <v>F/Fecha</v>
      </c>
    </row>
    <row r="764" spans="37:48" x14ac:dyDescent="0.25">
      <c r="AK764" s="12"/>
      <c r="AR764" s="12" t="e">
        <f t="shared" si="11"/>
        <v>#N/A</v>
      </c>
      <c r="AU764" s="12">
        <f>SUMIF(ASIGNACION!$C$5:$C$94,Z764,ASIGNACION!$R$5:$R$94)*'Costos x MO'!$B$7</f>
        <v>0</v>
      </c>
      <c r="AV764" s="12" t="str">
        <f>IFERROR(VLOOKUP(Z764,ASIGNACION!$C$5:$H$94,6,0),"F/Fecha")</f>
        <v>F/Fecha</v>
      </c>
    </row>
    <row r="765" spans="37:48" x14ac:dyDescent="0.25">
      <c r="AK765" s="12"/>
      <c r="AR765" s="12" t="e">
        <f t="shared" si="11"/>
        <v>#N/A</v>
      </c>
      <c r="AU765" s="12">
        <f>SUMIF(ASIGNACION!$C$5:$C$94,Z765,ASIGNACION!$R$5:$R$94)*'Costos x MO'!$B$7</f>
        <v>0</v>
      </c>
      <c r="AV765" s="12" t="str">
        <f>IFERROR(VLOOKUP(Z765,ASIGNACION!$C$5:$H$94,6,0),"F/Fecha")</f>
        <v>F/Fecha</v>
      </c>
    </row>
    <row r="766" spans="37:48" x14ac:dyDescent="0.25">
      <c r="AK766" s="12"/>
      <c r="AR766" s="12" t="e">
        <f t="shared" si="11"/>
        <v>#N/A</v>
      </c>
      <c r="AU766" s="12">
        <f>SUMIF(ASIGNACION!$C$5:$C$94,Z766,ASIGNACION!$R$5:$R$94)*'Costos x MO'!$B$7</f>
        <v>0</v>
      </c>
      <c r="AV766" s="12" t="str">
        <f>IFERROR(VLOOKUP(Z766,ASIGNACION!$C$5:$H$94,6,0),"F/Fecha")</f>
        <v>F/Fecha</v>
      </c>
    </row>
    <row r="767" spans="37:48" x14ac:dyDescent="0.25">
      <c r="AK767" s="12"/>
      <c r="AR767" s="12" t="e">
        <f t="shared" si="11"/>
        <v>#N/A</v>
      </c>
      <c r="AU767" s="12">
        <f>SUMIF(ASIGNACION!$C$5:$C$94,Z767,ASIGNACION!$R$5:$R$94)*'Costos x MO'!$B$7</f>
        <v>0</v>
      </c>
      <c r="AV767" s="12" t="str">
        <f>IFERROR(VLOOKUP(Z767,ASIGNACION!$C$5:$H$94,6,0),"F/Fecha")</f>
        <v>F/Fecha</v>
      </c>
    </row>
    <row r="768" spans="37:48" x14ac:dyDescent="0.25">
      <c r="AK768" s="12"/>
      <c r="AR768" s="12" t="e">
        <f t="shared" si="11"/>
        <v>#N/A</v>
      </c>
      <c r="AU768" s="12">
        <f>SUMIF(ASIGNACION!$C$5:$C$94,Z768,ASIGNACION!$R$5:$R$94)*'Costos x MO'!$B$7</f>
        <v>0</v>
      </c>
      <c r="AV768" s="12" t="str">
        <f>IFERROR(VLOOKUP(Z768,ASIGNACION!$C$5:$H$94,6,0),"F/Fecha")</f>
        <v>F/Fecha</v>
      </c>
    </row>
    <row r="769" spans="37:48" x14ac:dyDescent="0.25">
      <c r="AK769" s="12"/>
      <c r="AR769" s="12" t="e">
        <f t="shared" si="11"/>
        <v>#N/A</v>
      </c>
      <c r="AU769" s="12">
        <f>SUMIF(ASIGNACION!$C$5:$C$94,Z769,ASIGNACION!$R$5:$R$94)*'Costos x MO'!$B$7</f>
        <v>0</v>
      </c>
      <c r="AV769" s="12" t="str">
        <f>IFERROR(VLOOKUP(Z769,ASIGNACION!$C$5:$H$94,6,0),"F/Fecha")</f>
        <v>F/Fecha</v>
      </c>
    </row>
    <row r="770" spans="37:48" x14ac:dyDescent="0.25">
      <c r="AK770" s="12"/>
      <c r="AR770" s="12" t="e">
        <f t="shared" si="11"/>
        <v>#N/A</v>
      </c>
      <c r="AU770" s="12">
        <f>SUMIF(ASIGNACION!$C$5:$C$94,Z770,ASIGNACION!$R$5:$R$94)*'Costos x MO'!$B$7</f>
        <v>0</v>
      </c>
      <c r="AV770" s="12" t="str">
        <f>IFERROR(VLOOKUP(Z770,ASIGNACION!$C$5:$H$94,6,0),"F/Fecha")</f>
        <v>F/Fecha</v>
      </c>
    </row>
    <row r="771" spans="37:48" x14ac:dyDescent="0.25">
      <c r="AK771" s="12"/>
      <c r="AR771" s="12" t="e">
        <f t="shared" si="11"/>
        <v>#N/A</v>
      </c>
      <c r="AU771" s="12">
        <f>SUMIF(ASIGNACION!$C$5:$C$94,Z771,ASIGNACION!$R$5:$R$94)*'Costos x MO'!$B$7</f>
        <v>0</v>
      </c>
      <c r="AV771" s="12" t="str">
        <f>IFERROR(VLOOKUP(Z771,ASIGNACION!$C$5:$H$94,6,0),"F/Fecha")</f>
        <v>F/Fecha</v>
      </c>
    </row>
    <row r="772" spans="37:48" x14ac:dyDescent="0.25">
      <c r="AK772" s="12"/>
      <c r="AR772" s="12" t="e">
        <f t="shared" si="11"/>
        <v>#N/A</v>
      </c>
      <c r="AU772" s="12">
        <f>SUMIF(ASIGNACION!$C$5:$C$94,Z772,ASIGNACION!$R$5:$R$94)*'Costos x MO'!$B$7</f>
        <v>0</v>
      </c>
      <c r="AV772" s="12" t="str">
        <f>IFERROR(VLOOKUP(Z772,ASIGNACION!$C$5:$H$94,6,0),"F/Fecha")</f>
        <v>F/Fecha</v>
      </c>
    </row>
    <row r="773" spans="37:48" x14ac:dyDescent="0.25">
      <c r="AK773" s="12"/>
      <c r="AR773" s="12" t="e">
        <f t="shared" ref="AR773:AR836" si="12">VLOOKUP(Z773,$E$4:$G$3523,3,0)</f>
        <v>#N/A</v>
      </c>
      <c r="AU773" s="12">
        <f>SUMIF(ASIGNACION!$C$5:$C$94,Z773,ASIGNACION!$R$5:$R$94)*'Costos x MO'!$B$7</f>
        <v>0</v>
      </c>
      <c r="AV773" s="12" t="str">
        <f>IFERROR(VLOOKUP(Z773,ASIGNACION!$C$5:$H$94,6,0),"F/Fecha")</f>
        <v>F/Fecha</v>
      </c>
    </row>
    <row r="774" spans="37:48" x14ac:dyDescent="0.25">
      <c r="AK774" s="12"/>
      <c r="AR774" s="12" t="e">
        <f t="shared" si="12"/>
        <v>#N/A</v>
      </c>
      <c r="AU774" s="12">
        <f>SUMIF(ASIGNACION!$C$5:$C$94,Z774,ASIGNACION!$R$5:$R$94)*'Costos x MO'!$B$7</f>
        <v>0</v>
      </c>
      <c r="AV774" s="12" t="str">
        <f>IFERROR(VLOOKUP(Z774,ASIGNACION!$C$5:$H$94,6,0),"F/Fecha")</f>
        <v>F/Fecha</v>
      </c>
    </row>
    <row r="775" spans="37:48" x14ac:dyDescent="0.25">
      <c r="AK775" s="12"/>
      <c r="AR775" s="12" t="e">
        <f t="shared" si="12"/>
        <v>#N/A</v>
      </c>
      <c r="AU775" s="12">
        <f>SUMIF(ASIGNACION!$C$5:$C$94,Z775,ASIGNACION!$R$5:$R$94)*'Costos x MO'!$B$7</f>
        <v>0</v>
      </c>
      <c r="AV775" s="12" t="str">
        <f>IFERROR(VLOOKUP(Z775,ASIGNACION!$C$5:$H$94,6,0),"F/Fecha")</f>
        <v>F/Fecha</v>
      </c>
    </row>
    <row r="776" spans="37:48" x14ac:dyDescent="0.25">
      <c r="AK776" s="12"/>
      <c r="AR776" s="12" t="e">
        <f t="shared" si="12"/>
        <v>#N/A</v>
      </c>
      <c r="AU776" s="12">
        <f>SUMIF(ASIGNACION!$C$5:$C$94,Z776,ASIGNACION!$R$5:$R$94)*'Costos x MO'!$B$7</f>
        <v>0</v>
      </c>
      <c r="AV776" s="12" t="str">
        <f>IFERROR(VLOOKUP(Z776,ASIGNACION!$C$5:$H$94,6,0),"F/Fecha")</f>
        <v>F/Fecha</v>
      </c>
    </row>
    <row r="777" spans="37:48" x14ac:dyDescent="0.25">
      <c r="AK777" s="12"/>
      <c r="AR777" s="12" t="e">
        <f t="shared" si="12"/>
        <v>#N/A</v>
      </c>
      <c r="AU777" s="12">
        <f>SUMIF(ASIGNACION!$C$5:$C$94,Z777,ASIGNACION!$R$5:$R$94)*'Costos x MO'!$B$7</f>
        <v>0</v>
      </c>
      <c r="AV777" s="12" t="str">
        <f>IFERROR(VLOOKUP(Z777,ASIGNACION!$C$5:$H$94,6,0),"F/Fecha")</f>
        <v>F/Fecha</v>
      </c>
    </row>
    <row r="778" spans="37:48" x14ac:dyDescent="0.25">
      <c r="AK778" s="12"/>
      <c r="AR778" s="12" t="e">
        <f t="shared" si="12"/>
        <v>#N/A</v>
      </c>
      <c r="AU778" s="12">
        <f>SUMIF(ASIGNACION!$C$5:$C$94,Z778,ASIGNACION!$R$5:$R$94)*'Costos x MO'!$B$7</f>
        <v>0</v>
      </c>
      <c r="AV778" s="12" t="str">
        <f>IFERROR(VLOOKUP(Z778,ASIGNACION!$C$5:$H$94,6,0),"F/Fecha")</f>
        <v>F/Fecha</v>
      </c>
    </row>
    <row r="779" spans="37:48" x14ac:dyDescent="0.25">
      <c r="AK779" s="12"/>
      <c r="AR779" s="12" t="e">
        <f t="shared" si="12"/>
        <v>#N/A</v>
      </c>
      <c r="AU779" s="12">
        <f>SUMIF(ASIGNACION!$C$5:$C$94,Z779,ASIGNACION!$R$5:$R$94)*'Costos x MO'!$B$7</f>
        <v>0</v>
      </c>
      <c r="AV779" s="12" t="str">
        <f>IFERROR(VLOOKUP(Z779,ASIGNACION!$C$5:$H$94,6,0),"F/Fecha")</f>
        <v>F/Fecha</v>
      </c>
    </row>
    <row r="780" spans="37:48" x14ac:dyDescent="0.25">
      <c r="AK780" s="12"/>
      <c r="AR780" s="12" t="e">
        <f t="shared" si="12"/>
        <v>#N/A</v>
      </c>
      <c r="AU780" s="12">
        <f>SUMIF(ASIGNACION!$C$5:$C$94,Z780,ASIGNACION!$R$5:$R$94)*'Costos x MO'!$B$7</f>
        <v>0</v>
      </c>
      <c r="AV780" s="12" t="str">
        <f>IFERROR(VLOOKUP(Z780,ASIGNACION!$C$5:$H$94,6,0),"F/Fecha")</f>
        <v>F/Fecha</v>
      </c>
    </row>
    <row r="781" spans="37:48" x14ac:dyDescent="0.25">
      <c r="AK781" s="12"/>
      <c r="AR781" s="12" t="e">
        <f t="shared" si="12"/>
        <v>#N/A</v>
      </c>
      <c r="AU781" s="12">
        <f>SUMIF(ASIGNACION!$C$5:$C$94,Z781,ASIGNACION!$R$5:$R$94)*'Costos x MO'!$B$7</f>
        <v>0</v>
      </c>
      <c r="AV781" s="12" t="str">
        <f>IFERROR(VLOOKUP(Z781,ASIGNACION!$C$5:$H$94,6,0),"F/Fecha")</f>
        <v>F/Fecha</v>
      </c>
    </row>
    <row r="782" spans="37:48" x14ac:dyDescent="0.25">
      <c r="AK782" s="12"/>
      <c r="AR782" s="12" t="e">
        <f t="shared" si="12"/>
        <v>#N/A</v>
      </c>
      <c r="AU782" s="12">
        <f>SUMIF(ASIGNACION!$C$5:$C$94,Z782,ASIGNACION!$R$5:$R$94)*'Costos x MO'!$B$7</f>
        <v>0</v>
      </c>
      <c r="AV782" s="12" t="str">
        <f>IFERROR(VLOOKUP(Z782,ASIGNACION!$C$5:$H$94,6,0),"F/Fecha")</f>
        <v>F/Fecha</v>
      </c>
    </row>
    <row r="783" spans="37:48" x14ac:dyDescent="0.25">
      <c r="AK783" s="12"/>
      <c r="AR783" s="12" t="e">
        <f t="shared" si="12"/>
        <v>#N/A</v>
      </c>
      <c r="AU783" s="12">
        <f>SUMIF(ASIGNACION!$C$5:$C$94,Z783,ASIGNACION!$R$5:$R$94)*'Costos x MO'!$B$7</f>
        <v>0</v>
      </c>
      <c r="AV783" s="12" t="str">
        <f>IFERROR(VLOOKUP(Z783,ASIGNACION!$C$5:$H$94,6,0),"F/Fecha")</f>
        <v>F/Fecha</v>
      </c>
    </row>
    <row r="784" spans="37:48" x14ac:dyDescent="0.25">
      <c r="AK784" s="12"/>
      <c r="AR784" s="12" t="e">
        <f t="shared" si="12"/>
        <v>#N/A</v>
      </c>
      <c r="AU784" s="12">
        <f>SUMIF(ASIGNACION!$C$5:$C$94,Z784,ASIGNACION!$R$5:$R$94)*'Costos x MO'!$B$7</f>
        <v>0</v>
      </c>
      <c r="AV784" s="12" t="str">
        <f>IFERROR(VLOOKUP(Z784,ASIGNACION!$C$5:$H$94,6,0),"F/Fecha")</f>
        <v>F/Fecha</v>
      </c>
    </row>
    <row r="785" spans="37:48" x14ac:dyDescent="0.25">
      <c r="AK785" s="12"/>
      <c r="AR785" s="12" t="e">
        <f t="shared" si="12"/>
        <v>#N/A</v>
      </c>
      <c r="AU785" s="12">
        <f>SUMIF(ASIGNACION!$C$5:$C$94,Z785,ASIGNACION!$R$5:$R$94)*'Costos x MO'!$B$7</f>
        <v>0</v>
      </c>
      <c r="AV785" s="12" t="str">
        <f>IFERROR(VLOOKUP(Z785,ASIGNACION!$C$5:$H$94,6,0),"F/Fecha")</f>
        <v>F/Fecha</v>
      </c>
    </row>
    <row r="786" spans="37:48" x14ac:dyDescent="0.25">
      <c r="AK786" s="12"/>
      <c r="AR786" s="12" t="e">
        <f t="shared" si="12"/>
        <v>#N/A</v>
      </c>
      <c r="AU786" s="12">
        <f>SUMIF(ASIGNACION!$C$5:$C$94,Z786,ASIGNACION!$R$5:$R$94)*'Costos x MO'!$B$7</f>
        <v>0</v>
      </c>
      <c r="AV786" s="12" t="str">
        <f>IFERROR(VLOOKUP(Z786,ASIGNACION!$C$5:$H$94,6,0),"F/Fecha")</f>
        <v>F/Fecha</v>
      </c>
    </row>
    <row r="787" spans="37:48" x14ac:dyDescent="0.25">
      <c r="AK787" s="12"/>
      <c r="AR787" s="12" t="e">
        <f t="shared" si="12"/>
        <v>#N/A</v>
      </c>
      <c r="AU787" s="12">
        <f>SUMIF(ASIGNACION!$C$5:$C$94,Z787,ASIGNACION!$R$5:$R$94)*'Costos x MO'!$B$7</f>
        <v>0</v>
      </c>
      <c r="AV787" s="12" t="str">
        <f>IFERROR(VLOOKUP(Z787,ASIGNACION!$C$5:$H$94,6,0),"F/Fecha")</f>
        <v>F/Fecha</v>
      </c>
    </row>
    <row r="788" spans="37:48" x14ac:dyDescent="0.25">
      <c r="AK788" s="12"/>
      <c r="AR788" s="12" t="e">
        <f t="shared" si="12"/>
        <v>#N/A</v>
      </c>
      <c r="AU788" s="12">
        <f>SUMIF(ASIGNACION!$C$5:$C$94,Z788,ASIGNACION!$R$5:$R$94)*'Costos x MO'!$B$7</f>
        <v>0</v>
      </c>
      <c r="AV788" s="12" t="str">
        <f>IFERROR(VLOOKUP(Z788,ASIGNACION!$C$5:$H$94,6,0),"F/Fecha")</f>
        <v>F/Fecha</v>
      </c>
    </row>
    <row r="789" spans="37:48" x14ac:dyDescent="0.25">
      <c r="AK789" s="12"/>
      <c r="AR789" s="12" t="e">
        <f t="shared" si="12"/>
        <v>#N/A</v>
      </c>
      <c r="AU789" s="12">
        <f>SUMIF(ASIGNACION!$C$5:$C$94,Z789,ASIGNACION!$R$5:$R$94)*'Costos x MO'!$B$7</f>
        <v>0</v>
      </c>
      <c r="AV789" s="12" t="str">
        <f>IFERROR(VLOOKUP(Z789,ASIGNACION!$C$5:$H$94,6,0),"F/Fecha")</f>
        <v>F/Fecha</v>
      </c>
    </row>
    <row r="790" spans="37:48" x14ac:dyDescent="0.25">
      <c r="AK790" s="12"/>
      <c r="AR790" s="12" t="e">
        <f t="shared" si="12"/>
        <v>#N/A</v>
      </c>
      <c r="AU790" s="12">
        <f>SUMIF(ASIGNACION!$C$5:$C$94,Z790,ASIGNACION!$R$5:$R$94)*'Costos x MO'!$B$7</f>
        <v>0</v>
      </c>
      <c r="AV790" s="12" t="str">
        <f>IFERROR(VLOOKUP(Z790,ASIGNACION!$C$5:$H$94,6,0),"F/Fecha")</f>
        <v>F/Fecha</v>
      </c>
    </row>
    <row r="791" spans="37:48" x14ac:dyDescent="0.25">
      <c r="AK791" s="12"/>
      <c r="AR791" s="12" t="e">
        <f t="shared" si="12"/>
        <v>#N/A</v>
      </c>
      <c r="AU791" s="12">
        <f>SUMIF(ASIGNACION!$C$5:$C$94,Z791,ASIGNACION!$R$5:$R$94)*'Costos x MO'!$B$7</f>
        <v>0</v>
      </c>
      <c r="AV791" s="12" t="str">
        <f>IFERROR(VLOOKUP(Z791,ASIGNACION!$C$5:$H$94,6,0),"F/Fecha")</f>
        <v>F/Fecha</v>
      </c>
    </row>
    <row r="792" spans="37:48" x14ac:dyDescent="0.25">
      <c r="AK792" s="12"/>
      <c r="AR792" s="12" t="e">
        <f t="shared" si="12"/>
        <v>#N/A</v>
      </c>
      <c r="AU792" s="12">
        <f>SUMIF(ASIGNACION!$C$5:$C$94,Z792,ASIGNACION!$R$5:$R$94)*'Costos x MO'!$B$7</f>
        <v>0</v>
      </c>
      <c r="AV792" s="12" t="str">
        <f>IFERROR(VLOOKUP(Z792,ASIGNACION!$C$5:$H$94,6,0),"F/Fecha")</f>
        <v>F/Fecha</v>
      </c>
    </row>
    <row r="793" spans="37:48" x14ac:dyDescent="0.25">
      <c r="AK793" s="12"/>
      <c r="AR793" s="12" t="e">
        <f t="shared" si="12"/>
        <v>#N/A</v>
      </c>
      <c r="AU793" s="12">
        <f>SUMIF(ASIGNACION!$C$5:$C$94,Z793,ASIGNACION!$R$5:$R$94)*'Costos x MO'!$B$7</f>
        <v>0</v>
      </c>
      <c r="AV793" s="12" t="str">
        <f>IFERROR(VLOOKUP(Z793,ASIGNACION!$C$5:$H$94,6,0),"F/Fecha")</f>
        <v>F/Fecha</v>
      </c>
    </row>
    <row r="794" spans="37:48" x14ac:dyDescent="0.25">
      <c r="AK794" s="12"/>
      <c r="AR794" s="12" t="e">
        <f t="shared" si="12"/>
        <v>#N/A</v>
      </c>
      <c r="AU794" s="12">
        <f>SUMIF(ASIGNACION!$C$5:$C$94,Z794,ASIGNACION!$R$5:$R$94)*'Costos x MO'!$B$7</f>
        <v>0</v>
      </c>
      <c r="AV794" s="12" t="str">
        <f>IFERROR(VLOOKUP(Z794,ASIGNACION!$C$5:$H$94,6,0),"F/Fecha")</f>
        <v>F/Fecha</v>
      </c>
    </row>
    <row r="795" spans="37:48" x14ac:dyDescent="0.25">
      <c r="AK795" s="12"/>
      <c r="AR795" s="12" t="e">
        <f t="shared" si="12"/>
        <v>#N/A</v>
      </c>
      <c r="AU795" s="12">
        <f>SUMIF(ASIGNACION!$C$5:$C$94,Z795,ASIGNACION!$R$5:$R$94)*'Costos x MO'!$B$7</f>
        <v>0</v>
      </c>
      <c r="AV795" s="12" t="str">
        <f>IFERROR(VLOOKUP(Z795,ASIGNACION!$C$5:$H$94,6,0),"F/Fecha")</f>
        <v>F/Fecha</v>
      </c>
    </row>
    <row r="796" spans="37:48" x14ac:dyDescent="0.25">
      <c r="AK796" s="12"/>
      <c r="AR796" s="12" t="e">
        <f t="shared" si="12"/>
        <v>#N/A</v>
      </c>
      <c r="AU796" s="12">
        <f>SUMIF(ASIGNACION!$C$5:$C$94,Z796,ASIGNACION!$R$5:$R$94)*'Costos x MO'!$B$7</f>
        <v>0</v>
      </c>
      <c r="AV796" s="12" t="str">
        <f>IFERROR(VLOOKUP(Z796,ASIGNACION!$C$5:$H$94,6,0),"F/Fecha")</f>
        <v>F/Fecha</v>
      </c>
    </row>
    <row r="797" spans="37:48" x14ac:dyDescent="0.25">
      <c r="AK797" s="12"/>
      <c r="AR797" s="12" t="e">
        <f t="shared" si="12"/>
        <v>#N/A</v>
      </c>
      <c r="AU797" s="12">
        <f>SUMIF(ASIGNACION!$C$5:$C$94,Z797,ASIGNACION!$R$5:$R$94)*'Costos x MO'!$B$7</f>
        <v>0</v>
      </c>
      <c r="AV797" s="12" t="str">
        <f>IFERROR(VLOOKUP(Z797,ASIGNACION!$C$5:$H$94,6,0),"F/Fecha")</f>
        <v>F/Fecha</v>
      </c>
    </row>
    <row r="798" spans="37:48" x14ac:dyDescent="0.25">
      <c r="AK798" s="12"/>
      <c r="AR798" s="12" t="e">
        <f t="shared" si="12"/>
        <v>#N/A</v>
      </c>
      <c r="AU798" s="12">
        <f>SUMIF(ASIGNACION!$C$5:$C$94,Z798,ASIGNACION!$R$5:$R$94)*'Costos x MO'!$B$7</f>
        <v>0</v>
      </c>
      <c r="AV798" s="12" t="str">
        <f>IFERROR(VLOOKUP(Z798,ASIGNACION!$C$5:$H$94,6,0),"F/Fecha")</f>
        <v>F/Fecha</v>
      </c>
    </row>
    <row r="799" spans="37:48" x14ac:dyDescent="0.25">
      <c r="AK799" s="12"/>
      <c r="AR799" s="12" t="e">
        <f t="shared" si="12"/>
        <v>#N/A</v>
      </c>
      <c r="AU799" s="12">
        <f>SUMIF(ASIGNACION!$C$5:$C$94,Z799,ASIGNACION!$R$5:$R$94)*'Costos x MO'!$B$7</f>
        <v>0</v>
      </c>
      <c r="AV799" s="12" t="str">
        <f>IFERROR(VLOOKUP(Z799,ASIGNACION!$C$5:$H$94,6,0),"F/Fecha")</f>
        <v>F/Fecha</v>
      </c>
    </row>
    <row r="800" spans="37:48" x14ac:dyDescent="0.25">
      <c r="AK800" s="12"/>
      <c r="AR800" s="12" t="e">
        <f t="shared" si="12"/>
        <v>#N/A</v>
      </c>
      <c r="AU800" s="12">
        <f>SUMIF(ASIGNACION!$C$5:$C$94,Z800,ASIGNACION!$R$5:$R$94)*'Costos x MO'!$B$7</f>
        <v>0</v>
      </c>
      <c r="AV800" s="12" t="str">
        <f>IFERROR(VLOOKUP(Z800,ASIGNACION!$C$5:$H$94,6,0),"F/Fecha")</f>
        <v>F/Fecha</v>
      </c>
    </row>
    <row r="801" spans="37:48" x14ac:dyDescent="0.25">
      <c r="AK801" s="12"/>
      <c r="AR801" s="12" t="e">
        <f t="shared" si="12"/>
        <v>#N/A</v>
      </c>
      <c r="AU801" s="12">
        <f>SUMIF(ASIGNACION!$C$5:$C$94,Z801,ASIGNACION!$R$5:$R$94)*'Costos x MO'!$B$7</f>
        <v>0</v>
      </c>
      <c r="AV801" s="12" t="str">
        <f>IFERROR(VLOOKUP(Z801,ASIGNACION!$C$5:$H$94,6,0),"F/Fecha")</f>
        <v>F/Fecha</v>
      </c>
    </row>
    <row r="802" spans="37:48" x14ac:dyDescent="0.25">
      <c r="AK802" s="12"/>
      <c r="AR802" s="12" t="e">
        <f t="shared" si="12"/>
        <v>#N/A</v>
      </c>
      <c r="AU802" s="12">
        <f>SUMIF(ASIGNACION!$C$5:$C$94,Z802,ASIGNACION!$R$5:$R$94)*'Costos x MO'!$B$7</f>
        <v>0</v>
      </c>
      <c r="AV802" s="12" t="str">
        <f>IFERROR(VLOOKUP(Z802,ASIGNACION!$C$5:$H$94,6,0),"F/Fecha")</f>
        <v>F/Fecha</v>
      </c>
    </row>
    <row r="803" spans="37:48" x14ac:dyDescent="0.25">
      <c r="AK803" s="12"/>
      <c r="AR803" s="12" t="e">
        <f t="shared" si="12"/>
        <v>#N/A</v>
      </c>
      <c r="AU803" s="12">
        <f>SUMIF(ASIGNACION!$C$5:$C$94,Z803,ASIGNACION!$R$5:$R$94)*'Costos x MO'!$B$7</f>
        <v>0</v>
      </c>
      <c r="AV803" s="12" t="str">
        <f>IFERROR(VLOOKUP(Z803,ASIGNACION!$C$5:$H$94,6,0),"F/Fecha")</f>
        <v>F/Fecha</v>
      </c>
    </row>
    <row r="804" spans="37:48" x14ac:dyDescent="0.25">
      <c r="AK804" s="12"/>
      <c r="AR804" s="12" t="e">
        <f t="shared" si="12"/>
        <v>#N/A</v>
      </c>
      <c r="AU804" s="12">
        <f>SUMIF(ASIGNACION!$C$5:$C$94,Z804,ASIGNACION!$R$5:$R$94)*'Costos x MO'!$B$7</f>
        <v>0</v>
      </c>
      <c r="AV804" s="12" t="str">
        <f>IFERROR(VLOOKUP(Z804,ASIGNACION!$C$5:$H$94,6,0),"F/Fecha")</f>
        <v>F/Fecha</v>
      </c>
    </row>
    <row r="805" spans="37:48" x14ac:dyDescent="0.25">
      <c r="AK805" s="12"/>
      <c r="AR805" s="12" t="e">
        <f t="shared" si="12"/>
        <v>#N/A</v>
      </c>
      <c r="AU805" s="12">
        <f>SUMIF(ASIGNACION!$C$5:$C$94,Z805,ASIGNACION!$R$5:$R$94)*'Costos x MO'!$B$7</f>
        <v>0</v>
      </c>
      <c r="AV805" s="12" t="str">
        <f>IFERROR(VLOOKUP(Z805,ASIGNACION!$C$5:$H$94,6,0),"F/Fecha")</f>
        <v>F/Fecha</v>
      </c>
    </row>
    <row r="806" spans="37:48" x14ac:dyDescent="0.25">
      <c r="AK806" s="12"/>
      <c r="AR806" s="12" t="e">
        <f t="shared" si="12"/>
        <v>#N/A</v>
      </c>
      <c r="AU806" s="12">
        <f>SUMIF(ASIGNACION!$C$5:$C$94,Z806,ASIGNACION!$R$5:$R$94)*'Costos x MO'!$B$7</f>
        <v>0</v>
      </c>
      <c r="AV806" s="12" t="str">
        <f>IFERROR(VLOOKUP(Z806,ASIGNACION!$C$5:$H$94,6,0),"F/Fecha")</f>
        <v>F/Fecha</v>
      </c>
    </row>
    <row r="807" spans="37:48" x14ac:dyDescent="0.25">
      <c r="AK807" s="12"/>
      <c r="AR807" s="12" t="e">
        <f t="shared" si="12"/>
        <v>#N/A</v>
      </c>
      <c r="AU807" s="12">
        <f>SUMIF(ASIGNACION!$C$5:$C$94,Z807,ASIGNACION!$R$5:$R$94)*'Costos x MO'!$B$7</f>
        <v>0</v>
      </c>
      <c r="AV807" s="12" t="str">
        <f>IFERROR(VLOOKUP(Z807,ASIGNACION!$C$5:$H$94,6,0),"F/Fecha")</f>
        <v>F/Fecha</v>
      </c>
    </row>
    <row r="808" spans="37:48" x14ac:dyDescent="0.25">
      <c r="AK808" s="12"/>
      <c r="AR808" s="12" t="e">
        <f t="shared" si="12"/>
        <v>#N/A</v>
      </c>
      <c r="AU808" s="12">
        <f>SUMIF(ASIGNACION!$C$5:$C$94,Z808,ASIGNACION!$R$5:$R$94)*'Costos x MO'!$B$7</f>
        <v>0</v>
      </c>
      <c r="AV808" s="12" t="str">
        <f>IFERROR(VLOOKUP(Z808,ASIGNACION!$C$5:$H$94,6,0),"F/Fecha")</f>
        <v>F/Fecha</v>
      </c>
    </row>
    <row r="809" spans="37:48" x14ac:dyDescent="0.25">
      <c r="AK809" s="12"/>
      <c r="AR809" s="12" t="e">
        <f t="shared" si="12"/>
        <v>#N/A</v>
      </c>
      <c r="AU809" s="12">
        <f>SUMIF(ASIGNACION!$C$5:$C$94,Z809,ASIGNACION!$R$5:$R$94)*'Costos x MO'!$B$7</f>
        <v>0</v>
      </c>
      <c r="AV809" s="12" t="str">
        <f>IFERROR(VLOOKUP(Z809,ASIGNACION!$C$5:$H$94,6,0),"F/Fecha")</f>
        <v>F/Fecha</v>
      </c>
    </row>
    <row r="810" spans="37:48" x14ac:dyDescent="0.25">
      <c r="AK810" s="12"/>
      <c r="AR810" s="12" t="e">
        <f t="shared" si="12"/>
        <v>#N/A</v>
      </c>
      <c r="AU810" s="12">
        <f>SUMIF(ASIGNACION!$C$5:$C$94,Z810,ASIGNACION!$R$5:$R$94)*'Costos x MO'!$B$7</f>
        <v>0</v>
      </c>
      <c r="AV810" s="12" t="str">
        <f>IFERROR(VLOOKUP(Z810,ASIGNACION!$C$5:$H$94,6,0),"F/Fecha")</f>
        <v>F/Fecha</v>
      </c>
    </row>
    <row r="811" spans="37:48" x14ac:dyDescent="0.25">
      <c r="AK811" s="12"/>
      <c r="AR811" s="12" t="e">
        <f t="shared" si="12"/>
        <v>#N/A</v>
      </c>
      <c r="AU811" s="12">
        <f>SUMIF(ASIGNACION!$C$5:$C$94,Z811,ASIGNACION!$R$5:$R$94)*'Costos x MO'!$B$7</f>
        <v>0</v>
      </c>
      <c r="AV811" s="12" t="str">
        <f>IFERROR(VLOOKUP(Z811,ASIGNACION!$C$5:$H$94,6,0),"F/Fecha")</f>
        <v>F/Fecha</v>
      </c>
    </row>
    <row r="812" spans="37:48" x14ac:dyDescent="0.25">
      <c r="AK812" s="12"/>
      <c r="AR812" s="12" t="e">
        <f t="shared" si="12"/>
        <v>#N/A</v>
      </c>
      <c r="AU812" s="12">
        <f>SUMIF(ASIGNACION!$C$5:$C$94,Z812,ASIGNACION!$R$5:$R$94)*'Costos x MO'!$B$7</f>
        <v>0</v>
      </c>
      <c r="AV812" s="12" t="str">
        <f>IFERROR(VLOOKUP(Z812,ASIGNACION!$C$5:$H$94,6,0),"F/Fecha")</f>
        <v>F/Fecha</v>
      </c>
    </row>
    <row r="813" spans="37:48" x14ac:dyDescent="0.25">
      <c r="AK813" s="12"/>
      <c r="AR813" s="12" t="e">
        <f t="shared" si="12"/>
        <v>#N/A</v>
      </c>
      <c r="AU813" s="12">
        <f>SUMIF(ASIGNACION!$C$5:$C$94,Z813,ASIGNACION!$R$5:$R$94)*'Costos x MO'!$B$7</f>
        <v>0</v>
      </c>
      <c r="AV813" s="12" t="str">
        <f>IFERROR(VLOOKUP(Z813,ASIGNACION!$C$5:$H$94,6,0),"F/Fecha")</f>
        <v>F/Fecha</v>
      </c>
    </row>
    <row r="814" spans="37:48" x14ac:dyDescent="0.25">
      <c r="AK814" s="12"/>
      <c r="AR814" s="12" t="e">
        <f t="shared" si="12"/>
        <v>#N/A</v>
      </c>
      <c r="AU814" s="12">
        <f>SUMIF(ASIGNACION!$C$5:$C$94,Z814,ASIGNACION!$R$5:$R$94)*'Costos x MO'!$B$7</f>
        <v>0</v>
      </c>
      <c r="AV814" s="12" t="str">
        <f>IFERROR(VLOOKUP(Z814,ASIGNACION!$C$5:$H$94,6,0),"F/Fecha")</f>
        <v>F/Fecha</v>
      </c>
    </row>
    <row r="815" spans="37:48" x14ac:dyDescent="0.25">
      <c r="AK815" s="12"/>
      <c r="AR815" s="12" t="e">
        <f t="shared" si="12"/>
        <v>#N/A</v>
      </c>
      <c r="AU815" s="12">
        <f>SUMIF(ASIGNACION!$C$5:$C$94,Z815,ASIGNACION!$R$5:$R$94)*'Costos x MO'!$B$7</f>
        <v>0</v>
      </c>
      <c r="AV815" s="12" t="str">
        <f>IFERROR(VLOOKUP(Z815,ASIGNACION!$C$5:$H$94,6,0),"F/Fecha")</f>
        <v>F/Fecha</v>
      </c>
    </row>
    <row r="816" spans="37:48" x14ac:dyDescent="0.25">
      <c r="AK816" s="12"/>
      <c r="AR816" s="12" t="e">
        <f t="shared" si="12"/>
        <v>#N/A</v>
      </c>
      <c r="AU816" s="12">
        <f>SUMIF(ASIGNACION!$C$5:$C$94,Z816,ASIGNACION!$R$5:$R$94)*'Costos x MO'!$B$7</f>
        <v>0</v>
      </c>
      <c r="AV816" s="12" t="str">
        <f>IFERROR(VLOOKUP(Z816,ASIGNACION!$C$5:$H$94,6,0),"F/Fecha")</f>
        <v>F/Fecha</v>
      </c>
    </row>
    <row r="817" spans="37:48" x14ac:dyDescent="0.25">
      <c r="AK817" s="12"/>
      <c r="AR817" s="12" t="e">
        <f t="shared" si="12"/>
        <v>#N/A</v>
      </c>
      <c r="AU817" s="12">
        <f>SUMIF(ASIGNACION!$C$5:$C$94,Z817,ASIGNACION!$R$5:$R$94)*'Costos x MO'!$B$7</f>
        <v>0</v>
      </c>
      <c r="AV817" s="12" t="str">
        <f>IFERROR(VLOOKUP(Z817,ASIGNACION!$C$5:$H$94,6,0),"F/Fecha")</f>
        <v>F/Fecha</v>
      </c>
    </row>
    <row r="818" spans="37:48" x14ac:dyDescent="0.25">
      <c r="AK818" s="12"/>
      <c r="AR818" s="12" t="e">
        <f t="shared" si="12"/>
        <v>#N/A</v>
      </c>
      <c r="AU818" s="12">
        <f>SUMIF(ASIGNACION!$C$5:$C$94,Z818,ASIGNACION!$R$5:$R$94)*'Costos x MO'!$B$7</f>
        <v>0</v>
      </c>
      <c r="AV818" s="12" t="str">
        <f>IFERROR(VLOOKUP(Z818,ASIGNACION!$C$5:$H$94,6,0),"F/Fecha")</f>
        <v>F/Fecha</v>
      </c>
    </row>
    <row r="819" spans="37:48" x14ac:dyDescent="0.25">
      <c r="AK819" s="12"/>
      <c r="AR819" s="12" t="e">
        <f t="shared" si="12"/>
        <v>#N/A</v>
      </c>
      <c r="AU819" s="12">
        <f>SUMIF(ASIGNACION!$C$5:$C$94,Z819,ASIGNACION!$R$5:$R$94)*'Costos x MO'!$B$7</f>
        <v>0</v>
      </c>
      <c r="AV819" s="12" t="str">
        <f>IFERROR(VLOOKUP(Z819,ASIGNACION!$C$5:$H$94,6,0),"F/Fecha")</f>
        <v>F/Fecha</v>
      </c>
    </row>
    <row r="820" spans="37:48" x14ac:dyDescent="0.25">
      <c r="AK820" s="12"/>
      <c r="AR820" s="12" t="e">
        <f t="shared" si="12"/>
        <v>#N/A</v>
      </c>
      <c r="AU820" s="12">
        <f>SUMIF(ASIGNACION!$C$5:$C$94,Z820,ASIGNACION!$R$5:$R$94)*'Costos x MO'!$B$7</f>
        <v>0</v>
      </c>
      <c r="AV820" s="12" t="str">
        <f>IFERROR(VLOOKUP(Z820,ASIGNACION!$C$5:$H$94,6,0),"F/Fecha")</f>
        <v>F/Fecha</v>
      </c>
    </row>
    <row r="821" spans="37:48" x14ac:dyDescent="0.25">
      <c r="AK821" s="12"/>
      <c r="AR821" s="12" t="e">
        <f t="shared" si="12"/>
        <v>#N/A</v>
      </c>
      <c r="AU821" s="12">
        <f>SUMIF(ASIGNACION!$C$5:$C$94,Z821,ASIGNACION!$R$5:$R$94)*'Costos x MO'!$B$7</f>
        <v>0</v>
      </c>
      <c r="AV821" s="12" t="str">
        <f>IFERROR(VLOOKUP(Z821,ASIGNACION!$C$5:$H$94,6,0),"F/Fecha")</f>
        <v>F/Fecha</v>
      </c>
    </row>
    <row r="822" spans="37:48" x14ac:dyDescent="0.25">
      <c r="AK822" s="12"/>
      <c r="AR822" s="12" t="e">
        <f t="shared" si="12"/>
        <v>#N/A</v>
      </c>
      <c r="AU822" s="12">
        <f>SUMIF(ASIGNACION!$C$5:$C$94,Z822,ASIGNACION!$R$5:$R$94)*'Costos x MO'!$B$7</f>
        <v>0</v>
      </c>
      <c r="AV822" s="12" t="str">
        <f>IFERROR(VLOOKUP(Z822,ASIGNACION!$C$5:$H$94,6,0),"F/Fecha")</f>
        <v>F/Fecha</v>
      </c>
    </row>
    <row r="823" spans="37:48" x14ac:dyDescent="0.25">
      <c r="AK823" s="12"/>
      <c r="AR823" s="12" t="e">
        <f t="shared" si="12"/>
        <v>#N/A</v>
      </c>
      <c r="AU823" s="12">
        <f>SUMIF(ASIGNACION!$C$5:$C$94,Z823,ASIGNACION!$R$5:$R$94)*'Costos x MO'!$B$7</f>
        <v>0</v>
      </c>
      <c r="AV823" s="12" t="str">
        <f>IFERROR(VLOOKUP(Z823,ASIGNACION!$C$5:$H$94,6,0),"F/Fecha")</f>
        <v>F/Fecha</v>
      </c>
    </row>
    <row r="824" spans="37:48" x14ac:dyDescent="0.25">
      <c r="AK824" s="12"/>
      <c r="AR824" s="12" t="e">
        <f t="shared" si="12"/>
        <v>#N/A</v>
      </c>
      <c r="AU824" s="12">
        <f>SUMIF(ASIGNACION!$C$5:$C$94,Z824,ASIGNACION!$R$5:$R$94)*'Costos x MO'!$B$7</f>
        <v>0</v>
      </c>
      <c r="AV824" s="12" t="str">
        <f>IFERROR(VLOOKUP(Z824,ASIGNACION!$C$5:$H$94,6,0),"F/Fecha")</f>
        <v>F/Fecha</v>
      </c>
    </row>
    <row r="825" spans="37:48" x14ac:dyDescent="0.25">
      <c r="AK825" s="12"/>
      <c r="AR825" s="12" t="e">
        <f t="shared" si="12"/>
        <v>#N/A</v>
      </c>
      <c r="AU825" s="12">
        <f>SUMIF(ASIGNACION!$C$5:$C$94,Z825,ASIGNACION!$R$5:$R$94)*'Costos x MO'!$B$7</f>
        <v>0</v>
      </c>
      <c r="AV825" s="12" t="str">
        <f>IFERROR(VLOOKUP(Z825,ASIGNACION!$C$5:$H$94,6,0),"F/Fecha")</f>
        <v>F/Fecha</v>
      </c>
    </row>
    <row r="826" spans="37:48" x14ac:dyDescent="0.25">
      <c r="AK826" s="12"/>
      <c r="AR826" s="12" t="e">
        <f t="shared" si="12"/>
        <v>#N/A</v>
      </c>
      <c r="AU826" s="12">
        <f>SUMIF(ASIGNACION!$C$5:$C$94,Z826,ASIGNACION!$R$5:$R$94)*'Costos x MO'!$B$7</f>
        <v>0</v>
      </c>
      <c r="AV826" s="12" t="str">
        <f>IFERROR(VLOOKUP(Z826,ASIGNACION!$C$5:$H$94,6,0),"F/Fecha")</f>
        <v>F/Fecha</v>
      </c>
    </row>
    <row r="827" spans="37:48" x14ac:dyDescent="0.25">
      <c r="AK827" s="12"/>
      <c r="AR827" s="12" t="e">
        <f t="shared" si="12"/>
        <v>#N/A</v>
      </c>
      <c r="AU827" s="12">
        <f>SUMIF(ASIGNACION!$C$5:$C$94,Z827,ASIGNACION!$R$5:$R$94)*'Costos x MO'!$B$7</f>
        <v>0</v>
      </c>
      <c r="AV827" s="12" t="str">
        <f>IFERROR(VLOOKUP(Z827,ASIGNACION!$C$5:$H$94,6,0),"F/Fecha")</f>
        <v>F/Fecha</v>
      </c>
    </row>
    <row r="828" spans="37:48" x14ac:dyDescent="0.25">
      <c r="AK828" s="12"/>
      <c r="AR828" s="12" t="e">
        <f t="shared" si="12"/>
        <v>#N/A</v>
      </c>
      <c r="AU828" s="12">
        <f>SUMIF(ASIGNACION!$C$5:$C$94,Z828,ASIGNACION!$R$5:$R$94)*'Costos x MO'!$B$7</f>
        <v>0</v>
      </c>
      <c r="AV828" s="12" t="str">
        <f>IFERROR(VLOOKUP(Z828,ASIGNACION!$C$5:$H$94,6,0),"F/Fecha")</f>
        <v>F/Fecha</v>
      </c>
    </row>
    <row r="829" spans="37:48" x14ac:dyDescent="0.25">
      <c r="AK829" s="12"/>
      <c r="AR829" s="12" t="e">
        <f t="shared" si="12"/>
        <v>#N/A</v>
      </c>
      <c r="AU829" s="12">
        <f>SUMIF(ASIGNACION!$C$5:$C$94,Z829,ASIGNACION!$R$5:$R$94)*'Costos x MO'!$B$7</f>
        <v>0</v>
      </c>
      <c r="AV829" s="12" t="str">
        <f>IFERROR(VLOOKUP(Z829,ASIGNACION!$C$5:$H$94,6,0),"F/Fecha")</f>
        <v>F/Fecha</v>
      </c>
    </row>
    <row r="830" spans="37:48" x14ac:dyDescent="0.25">
      <c r="AK830" s="12"/>
      <c r="AR830" s="12" t="e">
        <f t="shared" si="12"/>
        <v>#N/A</v>
      </c>
      <c r="AU830" s="12">
        <f>SUMIF(ASIGNACION!$C$5:$C$94,Z830,ASIGNACION!$R$5:$R$94)*'Costos x MO'!$B$7</f>
        <v>0</v>
      </c>
      <c r="AV830" s="12" t="str">
        <f>IFERROR(VLOOKUP(Z830,ASIGNACION!$C$5:$H$94,6,0),"F/Fecha")</f>
        <v>F/Fecha</v>
      </c>
    </row>
    <row r="831" spans="37:48" x14ac:dyDescent="0.25">
      <c r="AK831" s="12"/>
      <c r="AR831" s="12" t="e">
        <f t="shared" si="12"/>
        <v>#N/A</v>
      </c>
      <c r="AU831" s="12">
        <f>SUMIF(ASIGNACION!$C$5:$C$94,Z831,ASIGNACION!$R$5:$R$94)*'Costos x MO'!$B$7</f>
        <v>0</v>
      </c>
      <c r="AV831" s="12" t="str">
        <f>IFERROR(VLOOKUP(Z831,ASIGNACION!$C$5:$H$94,6,0),"F/Fecha")</f>
        <v>F/Fecha</v>
      </c>
    </row>
    <row r="832" spans="37:48" x14ac:dyDescent="0.25">
      <c r="AK832" s="12"/>
      <c r="AR832" s="12" t="e">
        <f t="shared" si="12"/>
        <v>#N/A</v>
      </c>
      <c r="AU832" s="12">
        <f>SUMIF(ASIGNACION!$C$5:$C$94,Z832,ASIGNACION!$R$5:$R$94)*'Costos x MO'!$B$7</f>
        <v>0</v>
      </c>
      <c r="AV832" s="12" t="str">
        <f>IFERROR(VLOOKUP(Z832,ASIGNACION!$C$5:$H$94,6,0),"F/Fecha")</f>
        <v>F/Fecha</v>
      </c>
    </row>
    <row r="833" spans="36:48" x14ac:dyDescent="0.25">
      <c r="AK833" s="12"/>
      <c r="AL833" t="str">
        <f>IFERROR(VLOOKUP(Z833,ASIGNACION!$C$5:$G$94,5,0),"S/TIPO")</f>
        <v>S/TIPO</v>
      </c>
      <c r="AM833" t="str">
        <f>IFERROR(VLOOKUP(Z833,ASIGNACION!$C$5:$S$94,17,0),"S/TIPO")</f>
        <v>S/TIPO</v>
      </c>
      <c r="AR833" s="12" t="e">
        <f t="shared" si="12"/>
        <v>#N/A</v>
      </c>
      <c r="AS833" t="str">
        <f>IFERROR(VLOOKUP(Z833,ASIGNACION!$C$5:$E$94,3,0),"S/MARCA")</f>
        <v>S/MARCA</v>
      </c>
      <c r="AT833" t="str">
        <f>IFERROR(VLOOKUP(Z833,ASIGNACION!$C$5:$F$94,4,0),"S/MODELO")</f>
        <v>S/MODELO</v>
      </c>
      <c r="AU833" s="12">
        <f>SUMIF(ASIGNACION!$C$5:$C$94,Z833,ASIGNACION!$R$5:$R$94)*'Costos x MO'!$B$7</f>
        <v>0</v>
      </c>
      <c r="AV833" s="12" t="str">
        <f>IFERROR(VLOOKUP(Z833,ASIGNACION!$C$5:$H$94,6,0),"F/Fecha")</f>
        <v>F/Fecha</v>
      </c>
    </row>
    <row r="834" spans="36:48" x14ac:dyDescent="0.25">
      <c r="AJ834" s="12"/>
      <c r="AK834" s="12"/>
      <c r="AL834" s="12" t="str">
        <f>IFERROR(VLOOKUP(Z834,ASIGNACION!$C$5:$G$94,5,0),"S/TIPO")</f>
        <v>S/TIPO</v>
      </c>
      <c r="AM834" s="12" t="str">
        <f>IFERROR(VLOOKUP(Z834,ASIGNACION!$C$5:$S$94,17,0),"S/TIPO")</f>
        <v>S/TIPO</v>
      </c>
      <c r="AN834" s="12"/>
      <c r="AO834" s="12"/>
      <c r="AP834" s="12"/>
      <c r="AQ834" s="12"/>
      <c r="AR834" s="12" t="e">
        <f t="shared" si="12"/>
        <v>#N/A</v>
      </c>
      <c r="AS834" s="12" t="str">
        <f>IFERROR(VLOOKUP(Z834,ASIGNACION!$C$5:$E$94,3,0),"S/MARCA")</f>
        <v>S/MARCA</v>
      </c>
      <c r="AT834" s="12" t="str">
        <f>IFERROR(VLOOKUP(Z834,ASIGNACION!$C$5:$F$94,4,0),"S/MODELO")</f>
        <v>S/MODELO</v>
      </c>
      <c r="AU834" s="12">
        <f>SUMIF(ASIGNACION!$C$5:$C$94,Z834,ASIGNACION!$R$5:$R$94)*'Costos x MO'!$B$7</f>
        <v>0</v>
      </c>
      <c r="AV834" s="12" t="str">
        <f>IFERROR(VLOOKUP(Z834,ASIGNACION!$C$5:$H$94,6,0),"F/Fecha")</f>
        <v>F/Fecha</v>
      </c>
    </row>
    <row r="835" spans="36:48" x14ac:dyDescent="0.25">
      <c r="AJ835" s="12"/>
      <c r="AK835" s="12"/>
      <c r="AL835" s="12" t="str">
        <f>IFERROR(VLOOKUP(Z835,ASIGNACION!$C$5:$G$94,5,0),"S/TIPO")</f>
        <v>S/TIPO</v>
      </c>
      <c r="AM835" s="12" t="str">
        <f>IFERROR(VLOOKUP(Z835,ASIGNACION!$C$5:$S$94,17,0),"S/TIPO")</f>
        <v>S/TIPO</v>
      </c>
      <c r="AN835" s="12"/>
      <c r="AO835" s="12"/>
      <c r="AP835" s="12"/>
      <c r="AQ835" s="12"/>
      <c r="AR835" s="12" t="e">
        <f t="shared" si="12"/>
        <v>#N/A</v>
      </c>
      <c r="AS835" s="12" t="str">
        <f>IFERROR(VLOOKUP(Z835,ASIGNACION!$C$5:$E$94,3,0),"S/MARCA")</f>
        <v>S/MARCA</v>
      </c>
      <c r="AT835" s="12" t="str">
        <f>IFERROR(VLOOKUP(Z835,ASIGNACION!$C$5:$F$94,4,0),"S/MODELO")</f>
        <v>S/MODELO</v>
      </c>
      <c r="AU835" s="12">
        <f>SUMIF(ASIGNACION!$C$5:$C$94,Z835,ASIGNACION!$R$5:$R$94)*'Costos x MO'!$B$7</f>
        <v>0</v>
      </c>
      <c r="AV835" s="12" t="str">
        <f>IFERROR(VLOOKUP(Z835,ASIGNACION!$C$5:$H$94,6,0),"F/Fecha")</f>
        <v>F/Fecha</v>
      </c>
    </row>
    <row r="836" spans="36:48" x14ac:dyDescent="0.25">
      <c r="AJ836" s="12"/>
      <c r="AK836" s="12"/>
      <c r="AL836" s="12" t="str">
        <f>IFERROR(VLOOKUP(Z836,ASIGNACION!$C$5:$G$94,5,0),"S/TIPO")</f>
        <v>S/TIPO</v>
      </c>
      <c r="AM836" s="12" t="str">
        <f>IFERROR(VLOOKUP(Z836,ASIGNACION!$C$5:$S$94,17,0),"S/TIPO")</f>
        <v>S/TIPO</v>
      </c>
      <c r="AN836" s="12"/>
      <c r="AO836" s="12"/>
      <c r="AP836" s="12"/>
      <c r="AQ836" s="12"/>
      <c r="AR836" s="12" t="e">
        <f t="shared" si="12"/>
        <v>#N/A</v>
      </c>
      <c r="AS836" s="12" t="str">
        <f>IFERROR(VLOOKUP(Z836,ASIGNACION!$C$5:$E$94,3,0),"S/MARCA")</f>
        <v>S/MARCA</v>
      </c>
      <c r="AT836" s="12" t="str">
        <f>IFERROR(VLOOKUP(Z836,ASIGNACION!$C$5:$F$94,4,0),"S/MODELO")</f>
        <v>S/MODELO</v>
      </c>
      <c r="AU836" s="12">
        <f>SUMIF(ASIGNACION!$C$5:$C$94,Z836,ASIGNACION!$R$5:$R$94)*'Costos x MO'!$B$7</f>
        <v>0</v>
      </c>
      <c r="AV836" s="12" t="str">
        <f>IFERROR(VLOOKUP(Z836,ASIGNACION!$C$5:$H$94,6,0),"F/Fecha")</f>
        <v>F/Fecha</v>
      </c>
    </row>
    <row r="837" spans="36:48" x14ac:dyDescent="0.25">
      <c r="AJ837" s="12"/>
      <c r="AK837" s="12"/>
      <c r="AL837" s="12" t="str">
        <f>IFERROR(VLOOKUP(Z837,ASIGNACION!$C$5:$G$94,5,0),"S/TIPO")</f>
        <v>S/TIPO</v>
      </c>
      <c r="AM837" s="12" t="str">
        <f>IFERROR(VLOOKUP(Z837,ASIGNACION!$C$5:$S$94,17,0),"S/TIPO")</f>
        <v>S/TIPO</v>
      </c>
      <c r="AN837" s="12"/>
      <c r="AO837" s="12"/>
      <c r="AP837" s="12"/>
      <c r="AQ837" s="12"/>
      <c r="AR837" s="12" t="e">
        <f t="shared" ref="AR837:AR900" si="13">VLOOKUP(Z837,$E$4:$G$3523,3,0)</f>
        <v>#N/A</v>
      </c>
      <c r="AS837" s="12" t="str">
        <f>IFERROR(VLOOKUP(Z837,ASIGNACION!$C$5:$E$94,3,0),"S/MARCA")</f>
        <v>S/MARCA</v>
      </c>
      <c r="AT837" s="12" t="str">
        <f>IFERROR(VLOOKUP(Z837,ASIGNACION!$C$5:$F$94,4,0),"S/MODELO")</f>
        <v>S/MODELO</v>
      </c>
      <c r="AU837" s="12">
        <f>SUMIF(ASIGNACION!$C$5:$C$94,Z837,ASIGNACION!$R$5:$R$94)*'Costos x MO'!$B$7</f>
        <v>0</v>
      </c>
      <c r="AV837" s="12" t="str">
        <f>IFERROR(VLOOKUP(Z837,ASIGNACION!$C$5:$H$94,6,0),"F/Fecha")</f>
        <v>F/Fecha</v>
      </c>
    </row>
    <row r="838" spans="36:48" x14ac:dyDescent="0.25">
      <c r="AJ838" s="12"/>
      <c r="AK838" s="12"/>
      <c r="AL838" s="12" t="str">
        <f>IFERROR(VLOOKUP(Z838,ASIGNACION!$C$5:$G$94,5,0),"S/TIPO")</f>
        <v>S/TIPO</v>
      </c>
      <c r="AM838" s="12" t="str">
        <f>IFERROR(VLOOKUP(Z838,ASIGNACION!$C$5:$S$94,17,0),"S/TIPO")</f>
        <v>S/TIPO</v>
      </c>
      <c r="AN838" s="12"/>
      <c r="AO838" s="12"/>
      <c r="AP838" s="12"/>
      <c r="AQ838" s="12"/>
      <c r="AR838" s="12" t="e">
        <f t="shared" si="13"/>
        <v>#N/A</v>
      </c>
      <c r="AS838" s="12" t="str">
        <f>IFERROR(VLOOKUP(Z838,ASIGNACION!$C$5:$E$94,3,0),"S/MARCA")</f>
        <v>S/MARCA</v>
      </c>
      <c r="AT838" s="12" t="str">
        <f>IFERROR(VLOOKUP(Z838,ASIGNACION!$C$5:$F$94,4,0),"S/MODELO")</f>
        <v>S/MODELO</v>
      </c>
      <c r="AU838" s="12">
        <f>SUMIF(ASIGNACION!$C$5:$C$94,Z838,ASIGNACION!$R$5:$R$94)*'Costos x MO'!$B$7</f>
        <v>0</v>
      </c>
      <c r="AV838" s="12" t="str">
        <f>IFERROR(VLOOKUP(Z838,ASIGNACION!$C$5:$H$94,6,0),"F/Fecha")</f>
        <v>F/Fecha</v>
      </c>
    </row>
    <row r="839" spans="36:48" x14ac:dyDescent="0.25">
      <c r="AJ839" s="12"/>
      <c r="AK839" s="12"/>
      <c r="AL839" s="12" t="str">
        <f>IFERROR(VLOOKUP(Z839,ASIGNACION!$C$5:$G$94,5,0),"S/TIPO")</f>
        <v>S/TIPO</v>
      </c>
      <c r="AM839" s="12" t="str">
        <f>IFERROR(VLOOKUP(Z839,ASIGNACION!$C$5:$S$94,17,0),"S/TIPO")</f>
        <v>S/TIPO</v>
      </c>
      <c r="AN839" s="12"/>
      <c r="AO839" s="12"/>
      <c r="AP839" s="12"/>
      <c r="AQ839" s="12"/>
      <c r="AR839" s="12" t="e">
        <f t="shared" si="13"/>
        <v>#N/A</v>
      </c>
      <c r="AS839" s="12" t="str">
        <f>IFERROR(VLOOKUP(Z839,ASIGNACION!$C$5:$E$94,3,0),"S/MARCA")</f>
        <v>S/MARCA</v>
      </c>
      <c r="AT839" s="12" t="str">
        <f>IFERROR(VLOOKUP(Z839,ASIGNACION!$C$5:$F$94,4,0),"S/MODELO")</f>
        <v>S/MODELO</v>
      </c>
      <c r="AU839" s="12">
        <f>SUMIF(ASIGNACION!$C$5:$C$94,Z839,ASIGNACION!$R$5:$R$94)*'Costos x MO'!$B$7</f>
        <v>0</v>
      </c>
      <c r="AV839" s="12" t="str">
        <f>IFERROR(VLOOKUP(Z839,ASIGNACION!$C$5:$H$94,6,0),"F/Fecha")</f>
        <v>F/Fecha</v>
      </c>
    </row>
    <row r="840" spans="36:48" x14ac:dyDescent="0.25">
      <c r="AJ840" s="12"/>
      <c r="AK840" s="12"/>
      <c r="AL840" s="12" t="str">
        <f>IFERROR(VLOOKUP(Z840,ASIGNACION!$C$5:$G$94,5,0),"S/TIPO")</f>
        <v>S/TIPO</v>
      </c>
      <c r="AM840" s="12" t="str">
        <f>IFERROR(VLOOKUP(Z840,ASIGNACION!$C$5:$S$94,17,0),"S/TIPO")</f>
        <v>S/TIPO</v>
      </c>
      <c r="AN840" s="12"/>
      <c r="AO840" s="12"/>
      <c r="AP840" s="12"/>
      <c r="AQ840" s="12"/>
      <c r="AR840" s="12" t="e">
        <f t="shared" si="13"/>
        <v>#N/A</v>
      </c>
      <c r="AS840" s="12" t="str">
        <f>IFERROR(VLOOKUP(Z840,ASIGNACION!$C$5:$E$94,3,0),"S/MARCA")</f>
        <v>S/MARCA</v>
      </c>
      <c r="AT840" s="12" t="str">
        <f>IFERROR(VLOOKUP(Z840,ASIGNACION!$C$5:$F$94,4,0),"S/MODELO")</f>
        <v>S/MODELO</v>
      </c>
      <c r="AU840" s="12">
        <f>SUMIF(ASIGNACION!$C$5:$C$94,Z840,ASIGNACION!$R$5:$R$94)*'Costos x MO'!$B$7</f>
        <v>0</v>
      </c>
      <c r="AV840" s="12" t="str">
        <f>IFERROR(VLOOKUP(Z840,ASIGNACION!$C$5:$H$94,6,0),"F/Fecha")</f>
        <v>F/Fecha</v>
      </c>
    </row>
    <row r="841" spans="36:48" x14ac:dyDescent="0.25">
      <c r="AJ841" s="12"/>
      <c r="AK841" s="12"/>
      <c r="AL841" s="12" t="str">
        <f>IFERROR(VLOOKUP(Z841,ASIGNACION!$C$5:$G$94,5,0),"S/TIPO")</f>
        <v>S/TIPO</v>
      </c>
      <c r="AM841" s="12" t="str">
        <f>IFERROR(VLOOKUP(Z841,ASIGNACION!$C$5:$S$94,17,0),"S/TIPO")</f>
        <v>S/TIPO</v>
      </c>
      <c r="AN841" s="12"/>
      <c r="AO841" s="12"/>
      <c r="AP841" s="12"/>
      <c r="AQ841" s="12"/>
      <c r="AR841" s="12" t="e">
        <f t="shared" si="13"/>
        <v>#N/A</v>
      </c>
      <c r="AS841" s="12" t="str">
        <f>IFERROR(VLOOKUP(Z841,ASIGNACION!$C$5:$E$94,3,0),"S/MARCA")</f>
        <v>S/MARCA</v>
      </c>
      <c r="AT841" s="12" t="str">
        <f>IFERROR(VLOOKUP(Z841,ASIGNACION!$C$5:$F$94,4,0),"S/MODELO")</f>
        <v>S/MODELO</v>
      </c>
      <c r="AU841" s="12">
        <f>SUMIF(ASIGNACION!$C$5:$C$94,Z841,ASIGNACION!$R$5:$R$94)*'Costos x MO'!$B$7</f>
        <v>0</v>
      </c>
      <c r="AV841" s="12" t="str">
        <f>IFERROR(VLOOKUP(Z841,ASIGNACION!$C$5:$H$94,6,0),"F/Fecha")</f>
        <v>F/Fecha</v>
      </c>
    </row>
    <row r="842" spans="36:48" x14ac:dyDescent="0.25">
      <c r="AJ842" s="12"/>
      <c r="AK842" s="12"/>
      <c r="AL842" s="12" t="str">
        <f>IFERROR(VLOOKUP(Z842,ASIGNACION!$C$5:$G$94,5,0),"S/TIPO")</f>
        <v>S/TIPO</v>
      </c>
      <c r="AM842" s="12" t="str">
        <f>IFERROR(VLOOKUP(Z842,ASIGNACION!$C$5:$S$94,17,0),"S/TIPO")</f>
        <v>S/TIPO</v>
      </c>
      <c r="AN842" s="12"/>
      <c r="AO842" s="12"/>
      <c r="AP842" s="12"/>
      <c r="AQ842" s="12"/>
      <c r="AR842" s="12" t="e">
        <f t="shared" si="13"/>
        <v>#N/A</v>
      </c>
      <c r="AS842" s="12" t="str">
        <f>IFERROR(VLOOKUP(Z842,ASIGNACION!$C$5:$E$94,3,0),"S/MARCA")</f>
        <v>S/MARCA</v>
      </c>
      <c r="AT842" s="12" t="str">
        <f>IFERROR(VLOOKUP(Z842,ASIGNACION!$C$5:$F$94,4,0),"S/MODELO")</f>
        <v>S/MODELO</v>
      </c>
      <c r="AU842" s="12">
        <f>SUMIF(ASIGNACION!$C$5:$C$94,Z842,ASIGNACION!$R$5:$R$94)*'Costos x MO'!$B$7</f>
        <v>0</v>
      </c>
      <c r="AV842" s="12" t="str">
        <f>IFERROR(VLOOKUP(Z842,ASIGNACION!$C$5:$H$94,6,0),"F/Fecha")</f>
        <v>F/Fecha</v>
      </c>
    </row>
    <row r="843" spans="36:48" x14ac:dyDescent="0.25">
      <c r="AJ843" s="12"/>
      <c r="AK843" s="12"/>
      <c r="AL843" s="12" t="str">
        <f>IFERROR(VLOOKUP(Z843,ASIGNACION!$C$5:$G$94,5,0),"S/TIPO")</f>
        <v>S/TIPO</v>
      </c>
      <c r="AM843" s="12" t="str">
        <f>IFERROR(VLOOKUP(Z843,ASIGNACION!$C$5:$S$94,17,0),"S/TIPO")</f>
        <v>S/TIPO</v>
      </c>
      <c r="AN843" s="12"/>
      <c r="AO843" s="12"/>
      <c r="AP843" s="12"/>
      <c r="AQ843" s="12"/>
      <c r="AR843" s="12" t="e">
        <f t="shared" si="13"/>
        <v>#N/A</v>
      </c>
      <c r="AS843" s="12" t="str">
        <f>IFERROR(VLOOKUP(Z843,ASIGNACION!$C$5:$E$94,3,0),"S/MARCA")</f>
        <v>S/MARCA</v>
      </c>
      <c r="AT843" s="12" t="str">
        <f>IFERROR(VLOOKUP(Z843,ASIGNACION!$C$5:$F$94,4,0),"S/MODELO")</f>
        <v>S/MODELO</v>
      </c>
      <c r="AU843" s="12">
        <f>SUMIF(ASIGNACION!$C$5:$C$94,Z843,ASIGNACION!$R$5:$R$94)*'Costos x MO'!$B$7</f>
        <v>0</v>
      </c>
      <c r="AV843" s="12" t="str">
        <f>IFERROR(VLOOKUP(Z843,ASIGNACION!$C$5:$H$94,6,0),"F/Fecha")</f>
        <v>F/Fecha</v>
      </c>
    </row>
    <row r="844" spans="36:48" x14ac:dyDescent="0.25">
      <c r="AJ844" s="12"/>
      <c r="AK844" s="12"/>
      <c r="AL844" s="12" t="str">
        <f>IFERROR(VLOOKUP(Z844,ASIGNACION!$C$5:$G$94,5,0),"S/TIPO")</f>
        <v>S/TIPO</v>
      </c>
      <c r="AM844" s="12" t="str">
        <f>IFERROR(VLOOKUP(Z844,ASIGNACION!$C$5:$S$94,17,0),"S/TIPO")</f>
        <v>S/TIPO</v>
      </c>
      <c r="AN844" s="12"/>
      <c r="AO844" s="12"/>
      <c r="AP844" s="12"/>
      <c r="AQ844" s="12"/>
      <c r="AR844" s="12" t="e">
        <f t="shared" si="13"/>
        <v>#N/A</v>
      </c>
      <c r="AS844" s="12" t="str">
        <f>IFERROR(VLOOKUP(Z844,ASIGNACION!$C$5:$E$94,3,0),"S/MARCA")</f>
        <v>S/MARCA</v>
      </c>
      <c r="AT844" s="12" t="str">
        <f>IFERROR(VLOOKUP(Z844,ASIGNACION!$C$5:$F$94,4,0),"S/MODELO")</f>
        <v>S/MODELO</v>
      </c>
      <c r="AU844" s="12">
        <f>SUMIF(ASIGNACION!$C$5:$C$94,Z844,ASIGNACION!$R$5:$R$94)*'Costos x MO'!$B$7</f>
        <v>0</v>
      </c>
      <c r="AV844" s="12" t="str">
        <f>IFERROR(VLOOKUP(Z844,ASIGNACION!$C$5:$H$94,6,0),"F/Fecha")</f>
        <v>F/Fecha</v>
      </c>
    </row>
    <row r="845" spans="36:48" x14ac:dyDescent="0.25">
      <c r="AJ845" s="12"/>
      <c r="AK845" s="12"/>
      <c r="AL845" s="12" t="str">
        <f>IFERROR(VLOOKUP(Z845,ASIGNACION!$C$5:$G$94,5,0),"S/TIPO")</f>
        <v>S/TIPO</v>
      </c>
      <c r="AM845" s="12" t="str">
        <f>IFERROR(VLOOKUP(Z845,ASIGNACION!$C$5:$S$94,17,0),"S/TIPO")</f>
        <v>S/TIPO</v>
      </c>
      <c r="AN845" s="12"/>
      <c r="AO845" s="12"/>
      <c r="AP845" s="12"/>
      <c r="AQ845" s="12"/>
      <c r="AR845" s="12" t="e">
        <f t="shared" si="13"/>
        <v>#N/A</v>
      </c>
      <c r="AS845" s="12" t="str">
        <f>IFERROR(VLOOKUP(Z845,ASIGNACION!$C$5:$E$94,3,0),"S/MARCA")</f>
        <v>S/MARCA</v>
      </c>
      <c r="AT845" s="12" t="str">
        <f>IFERROR(VLOOKUP(Z845,ASIGNACION!$C$5:$F$94,4,0),"S/MODELO")</f>
        <v>S/MODELO</v>
      </c>
      <c r="AU845" s="12">
        <f>SUMIF(ASIGNACION!$C$5:$C$94,Z845,ASIGNACION!$R$5:$R$94)*'Costos x MO'!$B$7</f>
        <v>0</v>
      </c>
      <c r="AV845" s="12" t="str">
        <f>IFERROR(VLOOKUP(Z845,ASIGNACION!$C$5:$H$94,6,0),"F/Fecha")</f>
        <v>F/Fecha</v>
      </c>
    </row>
    <row r="846" spans="36:48" x14ac:dyDescent="0.25">
      <c r="AJ846" s="12"/>
      <c r="AK846" s="12"/>
      <c r="AL846" s="12" t="str">
        <f>IFERROR(VLOOKUP(Z846,ASIGNACION!$C$5:$G$94,5,0),"S/TIPO")</f>
        <v>S/TIPO</v>
      </c>
      <c r="AM846" s="12" t="str">
        <f>IFERROR(VLOOKUP(Z846,ASIGNACION!$C$5:$S$94,17,0),"S/TIPO")</f>
        <v>S/TIPO</v>
      </c>
      <c r="AN846" s="12"/>
      <c r="AO846" s="12"/>
      <c r="AP846" s="12"/>
      <c r="AQ846" s="12"/>
      <c r="AR846" s="12" t="e">
        <f t="shared" si="13"/>
        <v>#N/A</v>
      </c>
      <c r="AS846" s="12" t="str">
        <f>IFERROR(VLOOKUP(Z846,ASIGNACION!$C$5:$E$94,3,0),"S/MARCA")</f>
        <v>S/MARCA</v>
      </c>
      <c r="AT846" s="12" t="str">
        <f>IFERROR(VLOOKUP(Z846,ASIGNACION!$C$5:$F$94,4,0),"S/MODELO")</f>
        <v>S/MODELO</v>
      </c>
      <c r="AU846" s="12">
        <f>SUMIF(ASIGNACION!$C$5:$C$94,Z846,ASIGNACION!$R$5:$R$94)*'Costos x MO'!$B$7</f>
        <v>0</v>
      </c>
      <c r="AV846" s="12" t="str">
        <f>IFERROR(VLOOKUP(Z846,ASIGNACION!$C$5:$H$94,6,0),"F/Fecha")</f>
        <v>F/Fecha</v>
      </c>
    </row>
    <row r="847" spans="36:48" x14ac:dyDescent="0.25">
      <c r="AJ847" s="12"/>
      <c r="AK847" s="12"/>
      <c r="AL847" s="12" t="str">
        <f>IFERROR(VLOOKUP(Z847,ASIGNACION!$C$5:$G$94,5,0),"S/TIPO")</f>
        <v>S/TIPO</v>
      </c>
      <c r="AM847" s="12" t="str">
        <f>IFERROR(VLOOKUP(Z847,ASIGNACION!$C$5:$S$94,17,0),"S/TIPO")</f>
        <v>S/TIPO</v>
      </c>
      <c r="AN847" s="12"/>
      <c r="AO847" s="12"/>
      <c r="AP847" s="12"/>
      <c r="AQ847" s="12"/>
      <c r="AR847" s="12" t="e">
        <f t="shared" si="13"/>
        <v>#N/A</v>
      </c>
      <c r="AS847" s="12" t="str">
        <f>IFERROR(VLOOKUP(Z847,ASIGNACION!$C$5:$E$94,3,0),"S/MARCA")</f>
        <v>S/MARCA</v>
      </c>
      <c r="AT847" s="12" t="str">
        <f>IFERROR(VLOOKUP(Z847,ASIGNACION!$C$5:$F$94,4,0),"S/MODELO")</f>
        <v>S/MODELO</v>
      </c>
      <c r="AU847" s="12">
        <f>SUMIF(ASIGNACION!$C$5:$C$94,Z847,ASIGNACION!$R$5:$R$94)*'Costos x MO'!$B$7</f>
        <v>0</v>
      </c>
      <c r="AV847" s="12" t="str">
        <f>IFERROR(VLOOKUP(Z847,ASIGNACION!$C$5:$H$94,6,0),"F/Fecha")</f>
        <v>F/Fecha</v>
      </c>
    </row>
    <row r="848" spans="36:48" x14ac:dyDescent="0.25">
      <c r="AJ848" s="12"/>
      <c r="AK848" s="12"/>
      <c r="AL848" s="12" t="str">
        <f>IFERROR(VLOOKUP(Z848,ASIGNACION!$C$5:$G$94,5,0),"S/TIPO")</f>
        <v>S/TIPO</v>
      </c>
      <c r="AM848" s="12" t="str">
        <f>IFERROR(VLOOKUP(Z848,ASIGNACION!$C$5:$S$94,17,0),"S/TIPO")</f>
        <v>S/TIPO</v>
      </c>
      <c r="AN848" s="12"/>
      <c r="AO848" s="12"/>
      <c r="AP848" s="12"/>
      <c r="AQ848" s="12"/>
      <c r="AR848" s="12" t="e">
        <f t="shared" si="13"/>
        <v>#N/A</v>
      </c>
      <c r="AS848" s="12" t="str">
        <f>IFERROR(VLOOKUP(Z848,ASIGNACION!$C$5:$E$94,3,0),"S/MARCA")</f>
        <v>S/MARCA</v>
      </c>
      <c r="AT848" s="12" t="str">
        <f>IFERROR(VLOOKUP(Z848,ASIGNACION!$C$5:$F$94,4,0),"S/MODELO")</f>
        <v>S/MODELO</v>
      </c>
      <c r="AU848" s="12">
        <f>SUMIF(ASIGNACION!$C$5:$C$94,Z848,ASIGNACION!$R$5:$R$94)*'Costos x MO'!$B$7</f>
        <v>0</v>
      </c>
      <c r="AV848" s="12" t="str">
        <f>IFERROR(VLOOKUP(Z848,ASIGNACION!$C$5:$H$94,6,0),"F/Fecha")</f>
        <v>F/Fecha</v>
      </c>
    </row>
    <row r="849" spans="36:48" x14ac:dyDescent="0.25">
      <c r="AJ849" s="12"/>
      <c r="AK849" s="12"/>
      <c r="AL849" s="12" t="str">
        <f>IFERROR(VLOOKUP(Z849,ASIGNACION!$C$5:$G$94,5,0),"S/TIPO")</f>
        <v>S/TIPO</v>
      </c>
      <c r="AM849" s="12" t="str">
        <f>IFERROR(VLOOKUP(Z849,ASIGNACION!$C$5:$S$94,17,0),"S/TIPO")</f>
        <v>S/TIPO</v>
      </c>
      <c r="AN849" s="12"/>
      <c r="AO849" s="12"/>
      <c r="AP849" s="12"/>
      <c r="AQ849" s="12"/>
      <c r="AR849" s="12" t="e">
        <f t="shared" si="13"/>
        <v>#N/A</v>
      </c>
      <c r="AS849" s="12" t="str">
        <f>IFERROR(VLOOKUP(Z849,ASIGNACION!$C$5:$E$94,3,0),"S/MARCA")</f>
        <v>S/MARCA</v>
      </c>
      <c r="AT849" s="12" t="str">
        <f>IFERROR(VLOOKUP(Z849,ASIGNACION!$C$5:$F$94,4,0),"S/MODELO")</f>
        <v>S/MODELO</v>
      </c>
      <c r="AU849" s="12">
        <f>SUMIF(ASIGNACION!$C$5:$C$94,Z849,ASIGNACION!$R$5:$R$94)*'Costos x MO'!$B$7</f>
        <v>0</v>
      </c>
      <c r="AV849" s="12" t="str">
        <f>IFERROR(VLOOKUP(Z849,ASIGNACION!$C$5:$H$94,6,0),"F/Fecha")</f>
        <v>F/Fecha</v>
      </c>
    </row>
    <row r="850" spans="36:48" x14ac:dyDescent="0.25">
      <c r="AJ850" s="12"/>
      <c r="AK850" s="12"/>
      <c r="AL850" s="12" t="str">
        <f>IFERROR(VLOOKUP(Z850,ASIGNACION!$C$5:$G$94,5,0),"S/TIPO")</f>
        <v>S/TIPO</v>
      </c>
      <c r="AM850" s="12" t="str">
        <f>IFERROR(VLOOKUP(Z850,ASIGNACION!$C$5:$S$94,17,0),"S/TIPO")</f>
        <v>S/TIPO</v>
      </c>
      <c r="AN850" s="12"/>
      <c r="AO850" s="12"/>
      <c r="AP850" s="12"/>
      <c r="AQ850" s="12"/>
      <c r="AR850" s="12" t="e">
        <f t="shared" si="13"/>
        <v>#N/A</v>
      </c>
      <c r="AS850" s="12" t="str">
        <f>IFERROR(VLOOKUP(Z850,ASIGNACION!$C$5:$E$94,3,0),"S/MARCA")</f>
        <v>S/MARCA</v>
      </c>
      <c r="AT850" s="12" t="str">
        <f>IFERROR(VLOOKUP(Z850,ASIGNACION!$C$5:$F$94,4,0),"S/MODELO")</f>
        <v>S/MODELO</v>
      </c>
      <c r="AU850" s="12">
        <f>SUMIF(ASIGNACION!$C$5:$C$94,Z850,ASIGNACION!$R$5:$R$94)*'Costos x MO'!$B$7</f>
        <v>0</v>
      </c>
      <c r="AV850" s="12" t="str">
        <f>IFERROR(VLOOKUP(Z850,ASIGNACION!$C$5:$H$94,6,0),"F/Fecha")</f>
        <v>F/Fecha</v>
      </c>
    </row>
    <row r="851" spans="36:48" x14ac:dyDescent="0.25">
      <c r="AJ851" s="12"/>
      <c r="AK851" s="12"/>
      <c r="AL851" s="12" t="str">
        <f>IFERROR(VLOOKUP(Z851,ASIGNACION!$C$5:$G$94,5,0),"S/TIPO")</f>
        <v>S/TIPO</v>
      </c>
      <c r="AM851" s="12" t="str">
        <f>IFERROR(VLOOKUP(Z851,ASIGNACION!$C$5:$S$94,17,0),"S/TIPO")</f>
        <v>S/TIPO</v>
      </c>
      <c r="AN851" s="12"/>
      <c r="AO851" s="12"/>
      <c r="AP851" s="12"/>
      <c r="AQ851" s="12"/>
      <c r="AR851" s="12" t="e">
        <f t="shared" si="13"/>
        <v>#N/A</v>
      </c>
      <c r="AS851" s="12" t="str">
        <f>IFERROR(VLOOKUP(Z851,ASIGNACION!$C$5:$E$94,3,0),"S/MARCA")</f>
        <v>S/MARCA</v>
      </c>
      <c r="AT851" s="12" t="str">
        <f>IFERROR(VLOOKUP(Z851,ASIGNACION!$C$5:$F$94,4,0),"S/MODELO")</f>
        <v>S/MODELO</v>
      </c>
      <c r="AU851" s="12">
        <f>SUMIF(ASIGNACION!$C$5:$C$94,Z851,ASIGNACION!$R$5:$R$94)*'Costos x MO'!$B$7</f>
        <v>0</v>
      </c>
      <c r="AV851" s="12" t="str">
        <f>IFERROR(VLOOKUP(Z851,ASIGNACION!$C$5:$H$94,6,0),"F/Fecha")</f>
        <v>F/Fecha</v>
      </c>
    </row>
    <row r="852" spans="36:48" x14ac:dyDescent="0.25">
      <c r="AJ852" s="12"/>
      <c r="AK852" s="12"/>
      <c r="AL852" s="12" t="str">
        <f>IFERROR(VLOOKUP(Z852,ASIGNACION!$C$5:$G$94,5,0),"S/TIPO")</f>
        <v>S/TIPO</v>
      </c>
      <c r="AM852" s="12" t="str">
        <f>IFERROR(VLOOKUP(Z852,ASIGNACION!$C$5:$S$94,17,0),"S/TIPO")</f>
        <v>S/TIPO</v>
      </c>
      <c r="AN852" s="12"/>
      <c r="AO852" s="12"/>
      <c r="AP852" s="12"/>
      <c r="AQ852" s="12"/>
      <c r="AR852" s="12" t="e">
        <f t="shared" si="13"/>
        <v>#N/A</v>
      </c>
      <c r="AS852" s="12" t="str">
        <f>IFERROR(VLOOKUP(Z852,ASIGNACION!$C$5:$E$94,3,0),"S/MARCA")</f>
        <v>S/MARCA</v>
      </c>
      <c r="AT852" s="12" t="str">
        <f>IFERROR(VLOOKUP(Z852,ASIGNACION!$C$5:$F$94,4,0),"S/MODELO")</f>
        <v>S/MODELO</v>
      </c>
      <c r="AU852" s="12">
        <f>SUMIF(ASIGNACION!$C$5:$C$94,Z852,ASIGNACION!$R$5:$R$94)*'Costos x MO'!$B$7</f>
        <v>0</v>
      </c>
      <c r="AV852" s="12" t="str">
        <f>IFERROR(VLOOKUP(Z852,ASIGNACION!$C$5:$H$94,6,0),"F/Fecha")</f>
        <v>F/Fecha</v>
      </c>
    </row>
    <row r="853" spans="36:48" x14ac:dyDescent="0.25">
      <c r="AJ853" s="12"/>
      <c r="AK853" s="12"/>
      <c r="AL853" s="12" t="str">
        <f>IFERROR(VLOOKUP(Z853,ASIGNACION!$C$5:$G$94,5,0),"S/TIPO")</f>
        <v>S/TIPO</v>
      </c>
      <c r="AM853" s="12" t="str">
        <f>IFERROR(VLOOKUP(Z853,ASIGNACION!$C$5:$S$94,17,0),"S/TIPO")</f>
        <v>S/TIPO</v>
      </c>
      <c r="AN853" s="12"/>
      <c r="AO853" s="12"/>
      <c r="AP853" s="12"/>
      <c r="AQ853" s="12"/>
      <c r="AR853" s="12" t="e">
        <f t="shared" si="13"/>
        <v>#N/A</v>
      </c>
      <c r="AS853" s="12" t="str">
        <f>IFERROR(VLOOKUP(Z853,ASIGNACION!$C$5:$E$94,3,0),"S/MARCA")</f>
        <v>S/MARCA</v>
      </c>
      <c r="AT853" s="12" t="str">
        <f>IFERROR(VLOOKUP(Z853,ASIGNACION!$C$5:$F$94,4,0),"S/MODELO")</f>
        <v>S/MODELO</v>
      </c>
      <c r="AU853" s="12">
        <f>SUMIF(ASIGNACION!$C$5:$C$94,Z853,ASIGNACION!$R$5:$R$94)*'Costos x MO'!$B$7</f>
        <v>0</v>
      </c>
      <c r="AV853" s="12" t="str">
        <f>IFERROR(VLOOKUP(Z853,ASIGNACION!$C$5:$H$94,6,0),"F/Fecha")</f>
        <v>F/Fecha</v>
      </c>
    </row>
    <row r="854" spans="36:48" x14ac:dyDescent="0.25">
      <c r="AJ854" s="12"/>
      <c r="AK854" s="12"/>
      <c r="AL854" s="12" t="str">
        <f>IFERROR(VLOOKUP(Z854,ASIGNACION!$C$5:$G$94,5,0),"S/TIPO")</f>
        <v>S/TIPO</v>
      </c>
      <c r="AM854" s="12" t="str">
        <f>IFERROR(VLOOKUP(Z854,ASIGNACION!$C$5:$S$94,17,0),"S/TIPO")</f>
        <v>S/TIPO</v>
      </c>
      <c r="AN854" s="12"/>
      <c r="AO854" s="12"/>
      <c r="AP854" s="12"/>
      <c r="AQ854" s="12"/>
      <c r="AR854" s="12" t="e">
        <f t="shared" si="13"/>
        <v>#N/A</v>
      </c>
      <c r="AS854" s="12" t="str">
        <f>IFERROR(VLOOKUP(Z854,ASIGNACION!$C$5:$E$94,3,0),"S/MARCA")</f>
        <v>S/MARCA</v>
      </c>
      <c r="AT854" s="12" t="str">
        <f>IFERROR(VLOOKUP(Z854,ASIGNACION!$C$5:$F$94,4,0),"S/MODELO")</f>
        <v>S/MODELO</v>
      </c>
      <c r="AU854" s="12">
        <f>SUMIF(ASIGNACION!$C$5:$C$94,Z854,ASIGNACION!$R$5:$R$94)*'Costos x MO'!$B$7</f>
        <v>0</v>
      </c>
      <c r="AV854" s="12" t="str">
        <f>IFERROR(VLOOKUP(Z854,ASIGNACION!$C$5:$H$94,6,0),"F/Fecha")</f>
        <v>F/Fecha</v>
      </c>
    </row>
    <row r="855" spans="36:48" x14ac:dyDescent="0.25">
      <c r="AJ855" s="12"/>
      <c r="AK855" s="12"/>
      <c r="AL855" s="12" t="str">
        <f>IFERROR(VLOOKUP(Z855,ASIGNACION!$C$5:$G$94,5,0),"S/TIPO")</f>
        <v>S/TIPO</v>
      </c>
      <c r="AM855" s="12" t="str">
        <f>IFERROR(VLOOKUP(Z855,ASIGNACION!$C$5:$S$94,17,0),"S/TIPO")</f>
        <v>S/TIPO</v>
      </c>
      <c r="AN855" s="12"/>
      <c r="AO855" s="12"/>
      <c r="AP855" s="12"/>
      <c r="AQ855" s="12"/>
      <c r="AR855" s="12" t="e">
        <f t="shared" si="13"/>
        <v>#N/A</v>
      </c>
      <c r="AS855" s="12" t="str">
        <f>IFERROR(VLOOKUP(Z855,ASIGNACION!$C$5:$E$94,3,0),"S/MARCA")</f>
        <v>S/MARCA</v>
      </c>
      <c r="AT855" s="12" t="str">
        <f>IFERROR(VLOOKUP(Z855,ASIGNACION!$C$5:$F$94,4,0),"S/MODELO")</f>
        <v>S/MODELO</v>
      </c>
      <c r="AU855" s="12">
        <f>SUMIF(ASIGNACION!$C$5:$C$94,Z855,ASIGNACION!$R$5:$R$94)*'Costos x MO'!$B$7</f>
        <v>0</v>
      </c>
      <c r="AV855" s="12" t="str">
        <f>IFERROR(VLOOKUP(Z855,ASIGNACION!$C$5:$H$94,6,0),"F/Fecha")</f>
        <v>F/Fecha</v>
      </c>
    </row>
    <row r="856" spans="36:48" x14ac:dyDescent="0.25">
      <c r="AJ856" s="12"/>
      <c r="AK856" s="12"/>
      <c r="AL856" s="12" t="str">
        <f>IFERROR(VLOOKUP(Z856,ASIGNACION!$C$5:$G$94,5,0),"S/TIPO")</f>
        <v>S/TIPO</v>
      </c>
      <c r="AM856" s="12" t="str">
        <f>IFERROR(VLOOKUP(Z856,ASIGNACION!$C$5:$S$94,17,0),"S/TIPO")</f>
        <v>S/TIPO</v>
      </c>
      <c r="AN856" s="12"/>
      <c r="AO856" s="12"/>
      <c r="AP856" s="12"/>
      <c r="AQ856" s="12"/>
      <c r="AR856" s="12" t="e">
        <f t="shared" si="13"/>
        <v>#N/A</v>
      </c>
      <c r="AS856" s="12" t="str">
        <f>IFERROR(VLOOKUP(Z856,ASIGNACION!$C$5:$E$94,3,0),"S/MARCA")</f>
        <v>S/MARCA</v>
      </c>
      <c r="AT856" s="12" t="str">
        <f>IFERROR(VLOOKUP(Z856,ASIGNACION!$C$5:$F$94,4,0),"S/MODELO")</f>
        <v>S/MODELO</v>
      </c>
      <c r="AU856" s="12">
        <f>SUMIF(ASIGNACION!$C$5:$C$94,Z856,ASIGNACION!$R$5:$R$94)*'Costos x MO'!$B$7</f>
        <v>0</v>
      </c>
      <c r="AV856" s="12" t="str">
        <f>IFERROR(VLOOKUP(Z856,ASIGNACION!$C$5:$H$94,6,0),"F/Fecha")</f>
        <v>F/Fecha</v>
      </c>
    </row>
    <row r="857" spans="36:48" x14ac:dyDescent="0.25">
      <c r="AJ857" s="12"/>
      <c r="AK857" s="12"/>
      <c r="AL857" s="12" t="str">
        <f>IFERROR(VLOOKUP(Z857,ASIGNACION!$C$5:$G$94,5,0),"S/TIPO")</f>
        <v>S/TIPO</v>
      </c>
      <c r="AM857" s="12" t="str">
        <f>IFERROR(VLOOKUP(Z857,ASIGNACION!$C$5:$S$94,17,0),"S/TIPO")</f>
        <v>S/TIPO</v>
      </c>
      <c r="AN857" s="12"/>
      <c r="AO857" s="12"/>
      <c r="AP857" s="12"/>
      <c r="AQ857" s="12"/>
      <c r="AR857" s="12" t="e">
        <f t="shared" si="13"/>
        <v>#N/A</v>
      </c>
      <c r="AS857" s="12" t="str">
        <f>IFERROR(VLOOKUP(Z857,ASIGNACION!$C$5:$E$94,3,0),"S/MARCA")</f>
        <v>S/MARCA</v>
      </c>
      <c r="AT857" s="12" t="str">
        <f>IFERROR(VLOOKUP(Z857,ASIGNACION!$C$5:$F$94,4,0),"S/MODELO")</f>
        <v>S/MODELO</v>
      </c>
      <c r="AU857" s="12">
        <f>SUMIF(ASIGNACION!$C$5:$C$94,Z857,ASIGNACION!$R$5:$R$94)*'Costos x MO'!$B$7</f>
        <v>0</v>
      </c>
      <c r="AV857" s="12" t="str">
        <f>IFERROR(VLOOKUP(Z857,ASIGNACION!$C$5:$H$94,6,0),"F/Fecha")</f>
        <v>F/Fecha</v>
      </c>
    </row>
    <row r="858" spans="36:48" x14ac:dyDescent="0.25">
      <c r="AJ858" s="12"/>
      <c r="AK858" s="12"/>
      <c r="AL858" s="12" t="str">
        <f>IFERROR(VLOOKUP(Z858,ASIGNACION!$C$5:$G$94,5,0),"S/TIPO")</f>
        <v>S/TIPO</v>
      </c>
      <c r="AM858" s="12" t="str">
        <f>IFERROR(VLOOKUP(Z858,ASIGNACION!$C$5:$S$94,17,0),"S/TIPO")</f>
        <v>S/TIPO</v>
      </c>
      <c r="AN858" s="12"/>
      <c r="AO858" s="12"/>
      <c r="AP858" s="12"/>
      <c r="AQ858" s="12"/>
      <c r="AR858" s="12" t="e">
        <f t="shared" si="13"/>
        <v>#N/A</v>
      </c>
      <c r="AS858" s="12" t="str">
        <f>IFERROR(VLOOKUP(Z858,ASIGNACION!$C$5:$E$94,3,0),"S/MARCA")</f>
        <v>S/MARCA</v>
      </c>
      <c r="AT858" s="12" t="str">
        <f>IFERROR(VLOOKUP(Z858,ASIGNACION!$C$5:$F$94,4,0),"S/MODELO")</f>
        <v>S/MODELO</v>
      </c>
      <c r="AU858" s="12">
        <f>SUMIF(ASIGNACION!$C$5:$C$94,Z858,ASIGNACION!$R$5:$R$94)*'Costos x MO'!$B$7</f>
        <v>0</v>
      </c>
      <c r="AV858" s="12" t="str">
        <f>IFERROR(VLOOKUP(Z858,ASIGNACION!$C$5:$H$94,6,0),"F/Fecha")</f>
        <v>F/Fecha</v>
      </c>
    </row>
    <row r="859" spans="36:48" x14ac:dyDescent="0.25">
      <c r="AJ859" s="12"/>
      <c r="AK859" s="12"/>
      <c r="AL859" s="12" t="str">
        <f>IFERROR(VLOOKUP(Z859,ASIGNACION!$C$5:$G$94,5,0),"S/TIPO")</f>
        <v>S/TIPO</v>
      </c>
      <c r="AM859" s="12" t="str">
        <f>IFERROR(VLOOKUP(Z859,ASIGNACION!$C$5:$S$94,17,0),"S/TIPO")</f>
        <v>S/TIPO</v>
      </c>
      <c r="AN859" s="12"/>
      <c r="AO859" s="12"/>
      <c r="AP859" s="12"/>
      <c r="AQ859" s="12"/>
      <c r="AR859" s="12" t="e">
        <f t="shared" si="13"/>
        <v>#N/A</v>
      </c>
      <c r="AS859" s="12" t="str">
        <f>IFERROR(VLOOKUP(Z859,ASIGNACION!$C$5:$E$94,3,0),"S/MARCA")</f>
        <v>S/MARCA</v>
      </c>
      <c r="AT859" s="12" t="str">
        <f>IFERROR(VLOOKUP(Z859,ASIGNACION!$C$5:$F$94,4,0),"S/MODELO")</f>
        <v>S/MODELO</v>
      </c>
      <c r="AU859" s="12">
        <f>SUMIF(ASIGNACION!$C$5:$C$94,Z859,ASIGNACION!$R$5:$R$94)*'Costos x MO'!$B$7</f>
        <v>0</v>
      </c>
      <c r="AV859" s="12" t="str">
        <f>IFERROR(VLOOKUP(Z859,ASIGNACION!$C$5:$H$94,6,0),"F/Fecha")</f>
        <v>F/Fecha</v>
      </c>
    </row>
    <row r="860" spans="36:48" x14ac:dyDescent="0.25">
      <c r="AJ860" s="12"/>
      <c r="AK860" s="12"/>
      <c r="AL860" s="12" t="str">
        <f>IFERROR(VLOOKUP(Z860,ASIGNACION!$C$5:$G$94,5,0),"S/TIPO")</f>
        <v>S/TIPO</v>
      </c>
      <c r="AM860" s="12" t="str">
        <f>IFERROR(VLOOKUP(Z860,ASIGNACION!$C$5:$S$94,17,0),"S/TIPO")</f>
        <v>S/TIPO</v>
      </c>
      <c r="AN860" s="12"/>
      <c r="AO860" s="12"/>
      <c r="AP860" s="12"/>
      <c r="AQ860" s="12"/>
      <c r="AR860" s="12" t="e">
        <f t="shared" si="13"/>
        <v>#N/A</v>
      </c>
      <c r="AS860" s="12" t="str">
        <f>IFERROR(VLOOKUP(Z860,ASIGNACION!$C$5:$E$94,3,0),"S/MARCA")</f>
        <v>S/MARCA</v>
      </c>
      <c r="AT860" s="12" t="str">
        <f>IFERROR(VLOOKUP(Z860,ASIGNACION!$C$5:$F$94,4,0),"S/MODELO")</f>
        <v>S/MODELO</v>
      </c>
      <c r="AU860" s="12">
        <f>SUMIF(ASIGNACION!$C$5:$C$94,Z860,ASIGNACION!$R$5:$R$94)*'Costos x MO'!$B$7</f>
        <v>0</v>
      </c>
      <c r="AV860" s="12" t="str">
        <f>IFERROR(VLOOKUP(Z860,ASIGNACION!$C$5:$H$94,6,0),"F/Fecha")</f>
        <v>F/Fecha</v>
      </c>
    </row>
    <row r="861" spans="36:48" x14ac:dyDescent="0.25">
      <c r="AJ861" s="12"/>
      <c r="AK861" s="12"/>
      <c r="AL861" s="12" t="str">
        <f>IFERROR(VLOOKUP(Z861,ASIGNACION!$C$5:$G$94,5,0),"S/TIPO")</f>
        <v>S/TIPO</v>
      </c>
      <c r="AM861" s="12" t="str">
        <f>IFERROR(VLOOKUP(Z861,ASIGNACION!$C$5:$S$94,17,0),"S/TIPO")</f>
        <v>S/TIPO</v>
      </c>
      <c r="AN861" s="12"/>
      <c r="AO861" s="12"/>
      <c r="AP861" s="12"/>
      <c r="AQ861" s="12"/>
      <c r="AR861" s="12" t="e">
        <f t="shared" si="13"/>
        <v>#N/A</v>
      </c>
      <c r="AS861" s="12" t="str">
        <f>IFERROR(VLOOKUP(Z861,ASIGNACION!$C$5:$E$94,3,0),"S/MARCA")</f>
        <v>S/MARCA</v>
      </c>
      <c r="AT861" s="12" t="str">
        <f>IFERROR(VLOOKUP(Z861,ASIGNACION!$C$5:$F$94,4,0),"S/MODELO")</f>
        <v>S/MODELO</v>
      </c>
      <c r="AU861" s="12">
        <f>SUMIF(ASIGNACION!$C$5:$C$94,Z861,ASIGNACION!$R$5:$R$94)*'Costos x MO'!$B$7</f>
        <v>0</v>
      </c>
      <c r="AV861" s="12" t="str">
        <f>IFERROR(VLOOKUP(Z861,ASIGNACION!$C$5:$H$94,6,0),"F/Fecha")</f>
        <v>F/Fecha</v>
      </c>
    </row>
    <row r="862" spans="36:48" x14ac:dyDescent="0.25">
      <c r="AJ862" s="12"/>
      <c r="AK862" s="12"/>
      <c r="AL862" s="12" t="str">
        <f>IFERROR(VLOOKUP(Z862,ASIGNACION!$C$5:$G$94,5,0),"S/TIPO")</f>
        <v>S/TIPO</v>
      </c>
      <c r="AM862" s="12" t="str">
        <f>IFERROR(VLOOKUP(Z862,ASIGNACION!$C$5:$S$94,17,0),"S/TIPO")</f>
        <v>S/TIPO</v>
      </c>
      <c r="AN862" s="12"/>
      <c r="AO862" s="12"/>
      <c r="AP862" s="12"/>
      <c r="AQ862" s="12"/>
      <c r="AR862" s="12" t="e">
        <f t="shared" si="13"/>
        <v>#N/A</v>
      </c>
      <c r="AS862" s="12" t="str">
        <f>IFERROR(VLOOKUP(Z862,ASIGNACION!$C$5:$E$94,3,0),"S/MARCA")</f>
        <v>S/MARCA</v>
      </c>
      <c r="AT862" s="12" t="str">
        <f>IFERROR(VLOOKUP(Z862,ASIGNACION!$C$5:$F$94,4,0),"S/MODELO")</f>
        <v>S/MODELO</v>
      </c>
      <c r="AU862" s="12">
        <f>SUMIF(ASIGNACION!$C$5:$C$94,Z862,ASIGNACION!$R$5:$R$94)*'Costos x MO'!$B$7</f>
        <v>0</v>
      </c>
      <c r="AV862" s="12" t="str">
        <f>IFERROR(VLOOKUP(Z862,ASIGNACION!$C$5:$H$94,6,0),"F/Fecha")</f>
        <v>F/Fecha</v>
      </c>
    </row>
    <row r="863" spans="36:48" x14ac:dyDescent="0.25">
      <c r="AJ863" s="12"/>
      <c r="AK863" s="12"/>
      <c r="AL863" s="12" t="str">
        <f>IFERROR(VLOOKUP(Z863,ASIGNACION!$C$5:$G$94,5,0),"S/TIPO")</f>
        <v>S/TIPO</v>
      </c>
      <c r="AM863" s="12" t="str">
        <f>IFERROR(VLOOKUP(Z863,ASIGNACION!$C$5:$S$94,17,0),"S/TIPO")</f>
        <v>S/TIPO</v>
      </c>
      <c r="AN863" s="12"/>
      <c r="AO863" s="12"/>
      <c r="AP863" s="12"/>
      <c r="AQ863" s="12"/>
      <c r="AR863" s="12" t="e">
        <f t="shared" si="13"/>
        <v>#N/A</v>
      </c>
      <c r="AS863" s="12" t="str">
        <f>IFERROR(VLOOKUP(Z863,ASIGNACION!$C$5:$E$94,3,0),"S/MARCA")</f>
        <v>S/MARCA</v>
      </c>
      <c r="AT863" s="12" t="str">
        <f>IFERROR(VLOOKUP(Z863,ASIGNACION!$C$5:$F$94,4,0),"S/MODELO")</f>
        <v>S/MODELO</v>
      </c>
      <c r="AU863" s="12">
        <f>SUMIF(ASIGNACION!$C$5:$C$94,Z863,ASIGNACION!$R$5:$R$94)*'Costos x MO'!$B$7</f>
        <v>0</v>
      </c>
      <c r="AV863" s="12" t="str">
        <f>IFERROR(VLOOKUP(Z863,ASIGNACION!$C$5:$H$94,6,0),"F/Fecha")</f>
        <v>F/Fecha</v>
      </c>
    </row>
    <row r="864" spans="36:48" x14ac:dyDescent="0.25">
      <c r="AJ864" s="12"/>
      <c r="AK864" s="12"/>
      <c r="AL864" s="12" t="str">
        <f>IFERROR(VLOOKUP(Z864,ASIGNACION!$C$5:$G$94,5,0),"S/TIPO")</f>
        <v>S/TIPO</v>
      </c>
      <c r="AM864" s="12" t="str">
        <f>IFERROR(VLOOKUP(Z864,ASIGNACION!$C$5:$S$94,17,0),"S/TIPO")</f>
        <v>S/TIPO</v>
      </c>
      <c r="AN864" s="12"/>
      <c r="AO864" s="12"/>
      <c r="AP864" s="12"/>
      <c r="AQ864" s="12"/>
      <c r="AR864" s="12" t="e">
        <f t="shared" si="13"/>
        <v>#N/A</v>
      </c>
      <c r="AS864" s="12" t="str">
        <f>IFERROR(VLOOKUP(Z864,ASIGNACION!$C$5:$E$94,3,0),"S/MARCA")</f>
        <v>S/MARCA</v>
      </c>
      <c r="AT864" s="12" t="str">
        <f>IFERROR(VLOOKUP(Z864,ASIGNACION!$C$5:$F$94,4,0),"S/MODELO")</f>
        <v>S/MODELO</v>
      </c>
      <c r="AU864" s="12">
        <f>SUMIF(ASIGNACION!$C$5:$C$94,Z864,ASIGNACION!$R$5:$R$94)*'Costos x MO'!$B$7</f>
        <v>0</v>
      </c>
      <c r="AV864" s="12" t="str">
        <f>IFERROR(VLOOKUP(Z864,ASIGNACION!$C$5:$H$94,6,0),"F/Fecha")</f>
        <v>F/Fecha</v>
      </c>
    </row>
    <row r="865" spans="36:48" x14ac:dyDescent="0.25">
      <c r="AJ865" s="12"/>
      <c r="AK865" s="12"/>
      <c r="AL865" s="12" t="str">
        <f>IFERROR(VLOOKUP(Z865,ASIGNACION!$C$5:$G$94,5,0),"S/TIPO")</f>
        <v>S/TIPO</v>
      </c>
      <c r="AM865" s="12" t="str">
        <f>IFERROR(VLOOKUP(Z865,ASIGNACION!$C$5:$S$94,17,0),"S/TIPO")</f>
        <v>S/TIPO</v>
      </c>
      <c r="AN865" s="12"/>
      <c r="AO865" s="12"/>
      <c r="AP865" s="12"/>
      <c r="AQ865" s="12"/>
      <c r="AR865" s="12" t="e">
        <f t="shared" si="13"/>
        <v>#N/A</v>
      </c>
      <c r="AS865" s="12" t="str">
        <f>IFERROR(VLOOKUP(Z865,ASIGNACION!$C$5:$E$94,3,0),"S/MARCA")</f>
        <v>S/MARCA</v>
      </c>
      <c r="AT865" s="12" t="str">
        <f>IFERROR(VLOOKUP(Z865,ASIGNACION!$C$5:$F$94,4,0),"S/MODELO")</f>
        <v>S/MODELO</v>
      </c>
      <c r="AU865" s="12">
        <f>SUMIF(ASIGNACION!$C$5:$C$94,Z865,ASIGNACION!$R$5:$R$94)*'Costos x MO'!$B$7</f>
        <v>0</v>
      </c>
      <c r="AV865" s="12" t="str">
        <f>IFERROR(VLOOKUP(Z865,ASIGNACION!$C$5:$H$94,6,0),"F/Fecha")</f>
        <v>F/Fecha</v>
      </c>
    </row>
    <row r="866" spans="36:48" x14ac:dyDescent="0.25">
      <c r="AJ866" s="12"/>
      <c r="AK866" s="12"/>
      <c r="AL866" s="12" t="str">
        <f>IFERROR(VLOOKUP(Z866,ASIGNACION!$C$5:$G$94,5,0),"S/TIPO")</f>
        <v>S/TIPO</v>
      </c>
      <c r="AM866" s="12" t="str">
        <f>IFERROR(VLOOKUP(Z866,ASIGNACION!$C$5:$S$94,17,0),"S/TIPO")</f>
        <v>S/TIPO</v>
      </c>
      <c r="AN866" s="12"/>
      <c r="AO866" s="12"/>
      <c r="AP866" s="12"/>
      <c r="AQ866" s="12"/>
      <c r="AR866" s="12" t="e">
        <f t="shared" si="13"/>
        <v>#N/A</v>
      </c>
      <c r="AS866" s="12" t="str">
        <f>IFERROR(VLOOKUP(Z866,ASIGNACION!$C$5:$E$94,3,0),"S/MARCA")</f>
        <v>S/MARCA</v>
      </c>
      <c r="AT866" s="12" t="str">
        <f>IFERROR(VLOOKUP(Z866,ASIGNACION!$C$5:$F$94,4,0),"S/MODELO")</f>
        <v>S/MODELO</v>
      </c>
      <c r="AU866" s="12">
        <f>SUMIF(ASIGNACION!$C$5:$C$94,Z866,ASIGNACION!$R$5:$R$94)*'Costos x MO'!$B$7</f>
        <v>0</v>
      </c>
      <c r="AV866" s="12" t="str">
        <f>IFERROR(VLOOKUP(Z866,ASIGNACION!$C$5:$H$94,6,0),"F/Fecha")</f>
        <v>F/Fecha</v>
      </c>
    </row>
    <row r="867" spans="36:48" x14ac:dyDescent="0.25">
      <c r="AJ867" s="12"/>
      <c r="AK867" s="12"/>
      <c r="AL867" s="12" t="str">
        <f>IFERROR(VLOOKUP(Z867,ASIGNACION!$C$5:$G$94,5,0),"S/TIPO")</f>
        <v>S/TIPO</v>
      </c>
      <c r="AM867" s="12" t="str">
        <f>IFERROR(VLOOKUP(Z867,ASIGNACION!$C$5:$S$94,17,0),"S/TIPO")</f>
        <v>S/TIPO</v>
      </c>
      <c r="AN867" s="12"/>
      <c r="AO867" s="12"/>
      <c r="AP867" s="12"/>
      <c r="AQ867" s="12"/>
      <c r="AR867" s="12" t="e">
        <f t="shared" si="13"/>
        <v>#N/A</v>
      </c>
      <c r="AS867" s="12" t="str">
        <f>IFERROR(VLOOKUP(Z867,ASIGNACION!$C$5:$E$94,3,0),"S/MARCA")</f>
        <v>S/MARCA</v>
      </c>
      <c r="AT867" s="12" t="str">
        <f>IFERROR(VLOOKUP(Z867,ASIGNACION!$C$5:$F$94,4,0),"S/MODELO")</f>
        <v>S/MODELO</v>
      </c>
      <c r="AU867" s="12">
        <f>SUMIF(ASIGNACION!$C$5:$C$94,Z867,ASIGNACION!$R$5:$R$94)*'Costos x MO'!$B$7</f>
        <v>0</v>
      </c>
      <c r="AV867" s="12" t="str">
        <f>IFERROR(VLOOKUP(Z867,ASIGNACION!$C$5:$H$94,6,0),"F/Fecha")</f>
        <v>F/Fecha</v>
      </c>
    </row>
    <row r="868" spans="36:48" x14ac:dyDescent="0.25">
      <c r="AJ868" s="12"/>
      <c r="AK868" s="12"/>
      <c r="AL868" s="12" t="str">
        <f>IFERROR(VLOOKUP(Z868,ASIGNACION!$C$5:$G$94,5,0),"S/TIPO")</f>
        <v>S/TIPO</v>
      </c>
      <c r="AM868" s="12" t="str">
        <f>IFERROR(VLOOKUP(Z868,ASIGNACION!$C$5:$S$94,17,0),"S/TIPO")</f>
        <v>S/TIPO</v>
      </c>
      <c r="AN868" s="12"/>
      <c r="AO868" s="12"/>
      <c r="AP868" s="12"/>
      <c r="AQ868" s="12"/>
      <c r="AR868" s="12" t="e">
        <f t="shared" si="13"/>
        <v>#N/A</v>
      </c>
      <c r="AS868" s="12" t="str">
        <f>IFERROR(VLOOKUP(Z868,ASIGNACION!$C$5:$E$94,3,0),"S/MARCA")</f>
        <v>S/MARCA</v>
      </c>
      <c r="AT868" s="12" t="str">
        <f>IFERROR(VLOOKUP(Z868,ASIGNACION!$C$5:$F$94,4,0),"S/MODELO")</f>
        <v>S/MODELO</v>
      </c>
      <c r="AU868" s="12">
        <f>SUMIF(ASIGNACION!$C$5:$C$94,Z868,ASIGNACION!$R$5:$R$94)*'Costos x MO'!$B$7</f>
        <v>0</v>
      </c>
      <c r="AV868" s="12" t="str">
        <f>IFERROR(VLOOKUP(Z868,ASIGNACION!$C$5:$H$94,6,0),"F/Fecha")</f>
        <v>F/Fecha</v>
      </c>
    </row>
    <row r="869" spans="36:48" x14ac:dyDescent="0.25">
      <c r="AJ869" s="12"/>
      <c r="AK869" s="12"/>
      <c r="AL869" s="12" t="str">
        <f>IFERROR(VLOOKUP(Z869,ASIGNACION!$C$5:$G$94,5,0),"S/TIPO")</f>
        <v>S/TIPO</v>
      </c>
      <c r="AM869" s="12" t="str">
        <f>IFERROR(VLOOKUP(Z869,ASIGNACION!$C$5:$S$94,17,0),"S/TIPO")</f>
        <v>S/TIPO</v>
      </c>
      <c r="AN869" s="12"/>
      <c r="AO869" s="12"/>
      <c r="AP869" s="12"/>
      <c r="AQ869" s="12"/>
      <c r="AR869" s="12" t="e">
        <f t="shared" si="13"/>
        <v>#N/A</v>
      </c>
      <c r="AS869" s="12" t="str">
        <f>IFERROR(VLOOKUP(Z869,ASIGNACION!$C$5:$E$94,3,0),"S/MARCA")</f>
        <v>S/MARCA</v>
      </c>
      <c r="AT869" s="12" t="str">
        <f>IFERROR(VLOOKUP(Z869,ASIGNACION!$C$5:$F$94,4,0),"S/MODELO")</f>
        <v>S/MODELO</v>
      </c>
      <c r="AU869" s="12">
        <f>SUMIF(ASIGNACION!$C$5:$C$94,Z869,ASIGNACION!$R$5:$R$94)*'Costos x MO'!$B$7</f>
        <v>0</v>
      </c>
      <c r="AV869" s="12" t="str">
        <f>IFERROR(VLOOKUP(Z869,ASIGNACION!$C$5:$H$94,6,0),"F/Fecha")</f>
        <v>F/Fecha</v>
      </c>
    </row>
    <row r="870" spans="36:48" x14ac:dyDescent="0.25">
      <c r="AJ870" s="12"/>
      <c r="AK870" s="12"/>
      <c r="AL870" s="12" t="str">
        <f>IFERROR(VLOOKUP(Z870,ASIGNACION!$C$5:$G$94,5,0),"S/TIPO")</f>
        <v>S/TIPO</v>
      </c>
      <c r="AM870" s="12" t="str">
        <f>IFERROR(VLOOKUP(Z870,ASIGNACION!$C$5:$S$94,17,0),"S/TIPO")</f>
        <v>S/TIPO</v>
      </c>
      <c r="AN870" s="12"/>
      <c r="AO870" s="12"/>
      <c r="AP870" s="12"/>
      <c r="AQ870" s="12"/>
      <c r="AR870" s="12" t="e">
        <f t="shared" si="13"/>
        <v>#N/A</v>
      </c>
      <c r="AS870" s="12" t="str">
        <f>IFERROR(VLOOKUP(Z870,ASIGNACION!$C$5:$E$94,3,0),"S/MARCA")</f>
        <v>S/MARCA</v>
      </c>
      <c r="AT870" s="12" t="str">
        <f>IFERROR(VLOOKUP(Z870,ASIGNACION!$C$5:$F$94,4,0),"S/MODELO")</f>
        <v>S/MODELO</v>
      </c>
      <c r="AU870" s="12">
        <f>SUMIF(ASIGNACION!$C$5:$C$94,Z870,ASIGNACION!$R$5:$R$94)*'Costos x MO'!$B$7</f>
        <v>0</v>
      </c>
      <c r="AV870" s="12" t="str">
        <f>IFERROR(VLOOKUP(Z870,ASIGNACION!$C$5:$H$94,6,0),"F/Fecha")</f>
        <v>F/Fecha</v>
      </c>
    </row>
    <row r="871" spans="36:48" x14ac:dyDescent="0.25">
      <c r="AJ871" s="12"/>
      <c r="AK871" s="12"/>
      <c r="AL871" s="12" t="str">
        <f>IFERROR(VLOOKUP(Z871,ASIGNACION!$C$5:$G$94,5,0),"S/TIPO")</f>
        <v>S/TIPO</v>
      </c>
      <c r="AM871" s="12" t="str">
        <f>IFERROR(VLOOKUP(Z871,ASIGNACION!$C$5:$S$94,17,0),"S/TIPO")</f>
        <v>S/TIPO</v>
      </c>
      <c r="AN871" s="12"/>
      <c r="AO871" s="12"/>
      <c r="AP871" s="12"/>
      <c r="AQ871" s="12"/>
      <c r="AR871" s="12" t="e">
        <f t="shared" si="13"/>
        <v>#N/A</v>
      </c>
      <c r="AS871" s="12" t="str">
        <f>IFERROR(VLOOKUP(Z871,ASIGNACION!$C$5:$E$94,3,0),"S/MARCA")</f>
        <v>S/MARCA</v>
      </c>
      <c r="AT871" s="12" t="str">
        <f>IFERROR(VLOOKUP(Z871,ASIGNACION!$C$5:$F$94,4,0),"S/MODELO")</f>
        <v>S/MODELO</v>
      </c>
      <c r="AU871" s="12">
        <f>SUMIF(ASIGNACION!$C$5:$C$94,Z871,ASIGNACION!$R$5:$R$94)*'Costos x MO'!$B$7</f>
        <v>0</v>
      </c>
      <c r="AV871" s="12" t="str">
        <f>IFERROR(VLOOKUP(Z871,ASIGNACION!$C$5:$H$94,6,0),"F/Fecha")</f>
        <v>F/Fecha</v>
      </c>
    </row>
    <row r="872" spans="36:48" x14ac:dyDescent="0.25">
      <c r="AJ872" s="12"/>
      <c r="AK872" s="12"/>
      <c r="AL872" s="12" t="str">
        <f>IFERROR(VLOOKUP(Z872,ASIGNACION!$C$5:$G$94,5,0),"S/TIPO")</f>
        <v>S/TIPO</v>
      </c>
      <c r="AM872" s="12" t="str">
        <f>IFERROR(VLOOKUP(Z872,ASIGNACION!$C$5:$S$94,17,0),"S/TIPO")</f>
        <v>S/TIPO</v>
      </c>
      <c r="AN872" s="12"/>
      <c r="AO872" s="12"/>
      <c r="AP872" s="12"/>
      <c r="AQ872" s="12"/>
      <c r="AR872" s="12" t="e">
        <f t="shared" si="13"/>
        <v>#N/A</v>
      </c>
      <c r="AS872" s="12" t="str">
        <f>IFERROR(VLOOKUP(Z872,ASIGNACION!$C$5:$E$94,3,0),"S/MARCA")</f>
        <v>S/MARCA</v>
      </c>
      <c r="AT872" s="12" t="str">
        <f>IFERROR(VLOOKUP(Z872,ASIGNACION!$C$5:$F$94,4,0),"S/MODELO")</f>
        <v>S/MODELO</v>
      </c>
      <c r="AU872" s="12">
        <f>SUMIF(ASIGNACION!$C$5:$C$94,Z872,ASIGNACION!$R$5:$R$94)*'Costos x MO'!$B$7</f>
        <v>0</v>
      </c>
      <c r="AV872" s="12" t="str">
        <f>IFERROR(VLOOKUP(Z872,ASIGNACION!$C$5:$H$94,6,0),"F/Fecha")</f>
        <v>F/Fecha</v>
      </c>
    </row>
    <row r="873" spans="36:48" x14ac:dyDescent="0.25">
      <c r="AJ873" s="12"/>
      <c r="AK873" s="12"/>
      <c r="AL873" s="12" t="str">
        <f>IFERROR(VLOOKUP(Z873,ASIGNACION!$C$5:$G$94,5,0),"S/TIPO")</f>
        <v>S/TIPO</v>
      </c>
      <c r="AM873" s="12" t="str">
        <f>IFERROR(VLOOKUP(Z873,ASIGNACION!$C$5:$S$94,17,0),"S/TIPO")</f>
        <v>S/TIPO</v>
      </c>
      <c r="AN873" s="12"/>
      <c r="AO873" s="12"/>
      <c r="AP873" s="12"/>
      <c r="AQ873" s="12"/>
      <c r="AR873" s="12" t="e">
        <f t="shared" si="13"/>
        <v>#N/A</v>
      </c>
      <c r="AS873" s="12" t="str">
        <f>IFERROR(VLOOKUP(Z873,ASIGNACION!$C$5:$E$94,3,0),"S/MARCA")</f>
        <v>S/MARCA</v>
      </c>
      <c r="AT873" s="12" t="str">
        <f>IFERROR(VLOOKUP(Z873,ASIGNACION!$C$5:$F$94,4,0),"S/MODELO")</f>
        <v>S/MODELO</v>
      </c>
      <c r="AU873" s="12">
        <f>SUMIF(ASIGNACION!$C$5:$C$94,Z873,ASIGNACION!$R$5:$R$94)*'Costos x MO'!$B$7</f>
        <v>0</v>
      </c>
      <c r="AV873" s="12" t="str">
        <f>IFERROR(VLOOKUP(Z873,ASIGNACION!$C$5:$H$94,6,0),"F/Fecha")</f>
        <v>F/Fecha</v>
      </c>
    </row>
    <row r="874" spans="36:48" x14ac:dyDescent="0.25">
      <c r="AJ874" s="12"/>
      <c r="AK874" s="12"/>
      <c r="AL874" s="12" t="str">
        <f>IFERROR(VLOOKUP(Z874,ASIGNACION!$C$5:$G$94,5,0),"S/TIPO")</f>
        <v>S/TIPO</v>
      </c>
      <c r="AM874" s="12" t="str">
        <f>IFERROR(VLOOKUP(Z874,ASIGNACION!$C$5:$S$94,17,0),"S/TIPO")</f>
        <v>S/TIPO</v>
      </c>
      <c r="AN874" s="12"/>
      <c r="AO874" s="12"/>
      <c r="AP874" s="12"/>
      <c r="AQ874" s="12"/>
      <c r="AR874" s="12" t="e">
        <f t="shared" si="13"/>
        <v>#N/A</v>
      </c>
      <c r="AS874" s="12" t="str">
        <f>IFERROR(VLOOKUP(Z874,ASIGNACION!$C$5:$E$94,3,0),"S/MARCA")</f>
        <v>S/MARCA</v>
      </c>
      <c r="AT874" s="12" t="str">
        <f>IFERROR(VLOOKUP(Z874,ASIGNACION!$C$5:$F$94,4,0),"S/MODELO")</f>
        <v>S/MODELO</v>
      </c>
      <c r="AU874" s="12">
        <f>SUMIF(ASIGNACION!$C$5:$C$94,Z874,ASIGNACION!$R$5:$R$94)*'Costos x MO'!$B$7</f>
        <v>0</v>
      </c>
      <c r="AV874" s="12" t="str">
        <f>IFERROR(VLOOKUP(Z874,ASIGNACION!$C$5:$H$94,6,0),"F/Fecha")</f>
        <v>F/Fecha</v>
      </c>
    </row>
    <row r="875" spans="36:48" x14ac:dyDescent="0.25">
      <c r="AJ875" s="12"/>
      <c r="AK875" s="12"/>
      <c r="AL875" s="12" t="str">
        <f>IFERROR(VLOOKUP(Z875,ASIGNACION!$C$5:$G$94,5,0),"S/TIPO")</f>
        <v>S/TIPO</v>
      </c>
      <c r="AM875" s="12" t="str">
        <f>IFERROR(VLOOKUP(Z875,ASIGNACION!$C$5:$S$94,17,0),"S/TIPO")</f>
        <v>S/TIPO</v>
      </c>
      <c r="AN875" s="12"/>
      <c r="AO875" s="12"/>
      <c r="AP875" s="12"/>
      <c r="AQ875" s="12"/>
      <c r="AR875" s="12" t="e">
        <f t="shared" si="13"/>
        <v>#N/A</v>
      </c>
      <c r="AS875" s="12" t="str">
        <f>IFERROR(VLOOKUP(Z875,ASIGNACION!$C$5:$E$94,3,0),"S/MARCA")</f>
        <v>S/MARCA</v>
      </c>
      <c r="AT875" s="12" t="str">
        <f>IFERROR(VLOOKUP(Z875,ASIGNACION!$C$5:$F$94,4,0),"S/MODELO")</f>
        <v>S/MODELO</v>
      </c>
      <c r="AU875" s="12">
        <f>SUMIF(ASIGNACION!$C$5:$C$94,Z875,ASIGNACION!$R$5:$R$94)*'Costos x MO'!$B$7</f>
        <v>0</v>
      </c>
      <c r="AV875" s="12" t="str">
        <f>IFERROR(VLOOKUP(Z875,ASIGNACION!$C$5:$H$94,6,0),"F/Fecha")</f>
        <v>F/Fecha</v>
      </c>
    </row>
    <row r="876" spans="36:48" x14ac:dyDescent="0.25">
      <c r="AJ876" s="12"/>
      <c r="AK876" s="12"/>
      <c r="AL876" s="12" t="str">
        <f>IFERROR(VLOOKUP(Z876,ASIGNACION!$C$5:$G$94,5,0),"S/TIPO")</f>
        <v>S/TIPO</v>
      </c>
      <c r="AM876" s="12" t="str">
        <f>IFERROR(VLOOKUP(Z876,ASIGNACION!$C$5:$S$94,17,0),"S/TIPO")</f>
        <v>S/TIPO</v>
      </c>
      <c r="AN876" s="12"/>
      <c r="AO876" s="12"/>
      <c r="AP876" s="12"/>
      <c r="AQ876" s="12"/>
      <c r="AR876" s="12" t="e">
        <f t="shared" si="13"/>
        <v>#N/A</v>
      </c>
      <c r="AS876" s="12" t="str">
        <f>IFERROR(VLOOKUP(Z876,ASIGNACION!$C$5:$E$94,3,0),"S/MARCA")</f>
        <v>S/MARCA</v>
      </c>
      <c r="AT876" s="12" t="str">
        <f>IFERROR(VLOOKUP(Z876,ASIGNACION!$C$5:$F$94,4,0),"S/MODELO")</f>
        <v>S/MODELO</v>
      </c>
      <c r="AU876" s="12">
        <f>SUMIF(ASIGNACION!$C$5:$C$94,Z876,ASIGNACION!$R$5:$R$94)*'Costos x MO'!$B$7</f>
        <v>0</v>
      </c>
      <c r="AV876" s="12" t="str">
        <f>IFERROR(VLOOKUP(Z876,ASIGNACION!$C$5:$H$94,6,0),"F/Fecha")</f>
        <v>F/Fecha</v>
      </c>
    </row>
    <row r="877" spans="36:48" x14ac:dyDescent="0.25">
      <c r="AJ877" s="12"/>
      <c r="AK877" s="12"/>
      <c r="AL877" s="12" t="str">
        <f>IFERROR(VLOOKUP(Z877,ASIGNACION!$C$5:$G$94,5,0),"S/TIPO")</f>
        <v>S/TIPO</v>
      </c>
      <c r="AM877" s="12" t="str">
        <f>IFERROR(VLOOKUP(Z877,ASIGNACION!$C$5:$S$94,17,0),"S/TIPO")</f>
        <v>S/TIPO</v>
      </c>
      <c r="AN877" s="12"/>
      <c r="AO877" s="12"/>
      <c r="AP877" s="12"/>
      <c r="AQ877" s="12"/>
      <c r="AR877" s="12" t="e">
        <f t="shared" si="13"/>
        <v>#N/A</v>
      </c>
      <c r="AS877" s="12" t="str">
        <f>IFERROR(VLOOKUP(Z877,ASIGNACION!$C$5:$E$94,3,0),"S/MARCA")</f>
        <v>S/MARCA</v>
      </c>
      <c r="AT877" s="12" t="str">
        <f>IFERROR(VLOOKUP(Z877,ASIGNACION!$C$5:$F$94,4,0),"S/MODELO")</f>
        <v>S/MODELO</v>
      </c>
      <c r="AU877" s="12">
        <f>SUMIF(ASIGNACION!$C$5:$C$94,Z877,ASIGNACION!$R$5:$R$94)*'Costos x MO'!$B$7</f>
        <v>0</v>
      </c>
      <c r="AV877" s="12" t="str">
        <f>IFERROR(VLOOKUP(Z877,ASIGNACION!$C$5:$H$94,6,0),"F/Fecha")</f>
        <v>F/Fecha</v>
      </c>
    </row>
    <row r="878" spans="36:48" x14ac:dyDescent="0.25">
      <c r="AJ878" s="12"/>
      <c r="AK878" s="12"/>
      <c r="AL878" s="12" t="str">
        <f>IFERROR(VLOOKUP(Z878,ASIGNACION!$C$5:$G$94,5,0),"S/TIPO")</f>
        <v>S/TIPO</v>
      </c>
      <c r="AM878" s="12" t="str">
        <f>IFERROR(VLOOKUP(Z878,ASIGNACION!$C$5:$S$94,17,0),"S/TIPO")</f>
        <v>S/TIPO</v>
      </c>
      <c r="AN878" s="12"/>
      <c r="AO878" s="12"/>
      <c r="AP878" s="12"/>
      <c r="AQ878" s="12"/>
      <c r="AR878" s="12" t="e">
        <f t="shared" si="13"/>
        <v>#N/A</v>
      </c>
      <c r="AS878" s="12" t="str">
        <f>IFERROR(VLOOKUP(Z878,ASIGNACION!$C$5:$E$94,3,0),"S/MARCA")</f>
        <v>S/MARCA</v>
      </c>
      <c r="AT878" s="12" t="str">
        <f>IFERROR(VLOOKUP(Z878,ASIGNACION!$C$5:$F$94,4,0),"S/MODELO")</f>
        <v>S/MODELO</v>
      </c>
      <c r="AU878" s="12">
        <f>SUMIF(ASIGNACION!$C$5:$C$94,Z878,ASIGNACION!$R$5:$R$94)*'Costos x MO'!$B$7</f>
        <v>0</v>
      </c>
      <c r="AV878" s="12" t="str">
        <f>IFERROR(VLOOKUP(Z878,ASIGNACION!$C$5:$H$94,6,0),"F/Fecha")</f>
        <v>F/Fecha</v>
      </c>
    </row>
    <row r="879" spans="36:48" x14ac:dyDescent="0.25">
      <c r="AJ879" s="12"/>
      <c r="AK879" s="12"/>
      <c r="AL879" s="12" t="str">
        <f>IFERROR(VLOOKUP(Z879,ASIGNACION!$C$5:$G$94,5,0),"S/TIPO")</f>
        <v>S/TIPO</v>
      </c>
      <c r="AM879" s="12" t="str">
        <f>IFERROR(VLOOKUP(Z879,ASIGNACION!$C$5:$S$94,17,0),"S/TIPO")</f>
        <v>S/TIPO</v>
      </c>
      <c r="AN879" s="12"/>
      <c r="AO879" s="12"/>
      <c r="AP879" s="12"/>
      <c r="AQ879" s="12"/>
      <c r="AR879" s="12" t="e">
        <f t="shared" si="13"/>
        <v>#N/A</v>
      </c>
      <c r="AS879" s="12" t="str">
        <f>IFERROR(VLOOKUP(Z879,ASIGNACION!$C$5:$E$94,3,0),"S/MARCA")</f>
        <v>S/MARCA</v>
      </c>
      <c r="AT879" s="12" t="str">
        <f>IFERROR(VLOOKUP(Z879,ASIGNACION!$C$5:$F$94,4,0),"S/MODELO")</f>
        <v>S/MODELO</v>
      </c>
      <c r="AU879" s="12">
        <f>SUMIF(ASIGNACION!$C$5:$C$94,Z879,ASIGNACION!$R$5:$R$94)*'Costos x MO'!$B$7</f>
        <v>0</v>
      </c>
      <c r="AV879" s="12" t="str">
        <f>IFERROR(VLOOKUP(Z879,ASIGNACION!$C$5:$H$94,6,0),"F/Fecha")</f>
        <v>F/Fecha</v>
      </c>
    </row>
    <row r="880" spans="36:48" x14ac:dyDescent="0.25">
      <c r="AJ880" s="12"/>
      <c r="AK880" s="12"/>
      <c r="AL880" s="12" t="str">
        <f>IFERROR(VLOOKUP(Z880,ASIGNACION!$C$5:$G$94,5,0),"S/TIPO")</f>
        <v>S/TIPO</v>
      </c>
      <c r="AM880" s="12" t="str">
        <f>IFERROR(VLOOKUP(Z880,ASIGNACION!$C$5:$S$94,17,0),"S/TIPO")</f>
        <v>S/TIPO</v>
      </c>
      <c r="AN880" s="12"/>
      <c r="AO880" s="12"/>
      <c r="AP880" s="12"/>
      <c r="AQ880" s="12"/>
      <c r="AR880" s="12" t="e">
        <f t="shared" si="13"/>
        <v>#N/A</v>
      </c>
      <c r="AS880" s="12" t="str">
        <f>IFERROR(VLOOKUP(Z880,ASIGNACION!$C$5:$E$94,3,0),"S/MARCA")</f>
        <v>S/MARCA</v>
      </c>
      <c r="AT880" s="12" t="str">
        <f>IFERROR(VLOOKUP(Z880,ASIGNACION!$C$5:$F$94,4,0),"S/MODELO")</f>
        <v>S/MODELO</v>
      </c>
      <c r="AU880" s="12">
        <f>SUMIF(ASIGNACION!$C$5:$C$94,Z880,ASIGNACION!$R$5:$R$94)*'Costos x MO'!$B$7</f>
        <v>0</v>
      </c>
      <c r="AV880" s="12" t="str">
        <f>IFERROR(VLOOKUP(Z880,ASIGNACION!$C$5:$H$94,6,0),"F/Fecha")</f>
        <v>F/Fecha</v>
      </c>
    </row>
    <row r="881" spans="36:48" x14ac:dyDescent="0.25">
      <c r="AJ881" s="12"/>
      <c r="AK881" s="12"/>
      <c r="AL881" s="12" t="str">
        <f>IFERROR(VLOOKUP(Z881,ASIGNACION!$C$5:$G$94,5,0),"S/TIPO")</f>
        <v>S/TIPO</v>
      </c>
      <c r="AM881" s="12" t="str">
        <f>IFERROR(VLOOKUP(Z881,ASIGNACION!$C$5:$S$94,17,0),"S/TIPO")</f>
        <v>S/TIPO</v>
      </c>
      <c r="AN881" s="12"/>
      <c r="AO881" s="12"/>
      <c r="AP881" s="12"/>
      <c r="AQ881" s="12"/>
      <c r="AR881" s="12" t="e">
        <f t="shared" si="13"/>
        <v>#N/A</v>
      </c>
      <c r="AS881" s="12" t="str">
        <f>IFERROR(VLOOKUP(Z881,ASIGNACION!$C$5:$E$94,3,0),"S/MARCA")</f>
        <v>S/MARCA</v>
      </c>
      <c r="AT881" s="12" t="str">
        <f>IFERROR(VLOOKUP(Z881,ASIGNACION!$C$5:$F$94,4,0),"S/MODELO")</f>
        <v>S/MODELO</v>
      </c>
      <c r="AU881" s="12">
        <f>SUMIF(ASIGNACION!$C$5:$C$94,Z881,ASIGNACION!$R$5:$R$94)*'Costos x MO'!$B$7</f>
        <v>0</v>
      </c>
      <c r="AV881" s="12" t="str">
        <f>IFERROR(VLOOKUP(Z881,ASIGNACION!$C$5:$H$94,6,0),"F/Fecha")</f>
        <v>F/Fecha</v>
      </c>
    </row>
    <row r="882" spans="36:48" x14ac:dyDescent="0.25">
      <c r="AJ882" s="12"/>
      <c r="AK882" s="12"/>
      <c r="AL882" s="12" t="str">
        <f>IFERROR(VLOOKUP(Z882,ASIGNACION!$C$5:$G$94,5,0),"S/TIPO")</f>
        <v>S/TIPO</v>
      </c>
      <c r="AM882" s="12" t="str">
        <f>IFERROR(VLOOKUP(Z882,ASIGNACION!$C$5:$S$94,17,0),"S/TIPO")</f>
        <v>S/TIPO</v>
      </c>
      <c r="AN882" s="12"/>
      <c r="AO882" s="12"/>
      <c r="AP882" s="12"/>
      <c r="AQ882" s="12"/>
      <c r="AR882" s="12" t="e">
        <f t="shared" si="13"/>
        <v>#N/A</v>
      </c>
      <c r="AS882" s="12" t="str">
        <f>IFERROR(VLOOKUP(Z882,ASIGNACION!$C$5:$E$94,3,0),"S/MARCA")</f>
        <v>S/MARCA</v>
      </c>
      <c r="AT882" s="12" t="str">
        <f>IFERROR(VLOOKUP(Z882,ASIGNACION!$C$5:$F$94,4,0),"S/MODELO")</f>
        <v>S/MODELO</v>
      </c>
      <c r="AU882" s="12">
        <f>SUMIF(ASIGNACION!$C$5:$C$94,Z882,ASIGNACION!$R$5:$R$94)*'Costos x MO'!$B$7</f>
        <v>0</v>
      </c>
      <c r="AV882" s="12" t="str">
        <f>IFERROR(VLOOKUP(Z882,ASIGNACION!$C$5:$H$94,6,0),"F/Fecha")</f>
        <v>F/Fecha</v>
      </c>
    </row>
    <row r="883" spans="36:48" x14ac:dyDescent="0.25">
      <c r="AJ883" s="12"/>
      <c r="AK883" s="12"/>
      <c r="AL883" s="12" t="str">
        <f>IFERROR(VLOOKUP(Z883,ASIGNACION!$C$5:$G$94,5,0),"S/TIPO")</f>
        <v>S/TIPO</v>
      </c>
      <c r="AM883" s="12" t="str">
        <f>IFERROR(VLOOKUP(Z883,ASIGNACION!$C$5:$S$94,17,0),"S/TIPO")</f>
        <v>S/TIPO</v>
      </c>
      <c r="AN883" s="12"/>
      <c r="AO883" s="12"/>
      <c r="AP883" s="12"/>
      <c r="AQ883" s="12"/>
      <c r="AR883" s="12" t="e">
        <f t="shared" si="13"/>
        <v>#N/A</v>
      </c>
      <c r="AS883" s="12" t="str">
        <f>IFERROR(VLOOKUP(Z883,ASIGNACION!$C$5:$E$94,3,0),"S/MARCA")</f>
        <v>S/MARCA</v>
      </c>
      <c r="AT883" s="12" t="str">
        <f>IFERROR(VLOOKUP(Z883,ASIGNACION!$C$5:$F$94,4,0),"S/MODELO")</f>
        <v>S/MODELO</v>
      </c>
      <c r="AU883" s="12">
        <f>SUMIF(ASIGNACION!$C$5:$C$94,Z883,ASIGNACION!$R$5:$R$94)*'Costos x MO'!$B$7</f>
        <v>0</v>
      </c>
      <c r="AV883" s="12" t="str">
        <f>IFERROR(VLOOKUP(Z883,ASIGNACION!$C$5:$H$94,6,0),"F/Fecha")</f>
        <v>F/Fecha</v>
      </c>
    </row>
    <row r="884" spans="36:48" x14ac:dyDescent="0.25">
      <c r="AJ884" s="12"/>
      <c r="AK884" s="12"/>
      <c r="AL884" s="12" t="str">
        <f>IFERROR(VLOOKUP(Z884,ASIGNACION!$C$5:$G$94,5,0),"S/TIPO")</f>
        <v>S/TIPO</v>
      </c>
      <c r="AM884" s="12" t="str">
        <f>IFERROR(VLOOKUP(Z884,ASIGNACION!$C$5:$S$94,17,0),"S/TIPO")</f>
        <v>S/TIPO</v>
      </c>
      <c r="AN884" s="12"/>
      <c r="AO884" s="12"/>
      <c r="AP884" s="12"/>
      <c r="AQ884" s="12"/>
      <c r="AR884" s="12" t="e">
        <f t="shared" si="13"/>
        <v>#N/A</v>
      </c>
      <c r="AS884" s="12" t="str">
        <f>IFERROR(VLOOKUP(Z884,ASIGNACION!$C$5:$E$94,3,0),"S/MARCA")</f>
        <v>S/MARCA</v>
      </c>
      <c r="AT884" s="12" t="str">
        <f>IFERROR(VLOOKUP(Z884,ASIGNACION!$C$5:$F$94,4,0),"S/MODELO")</f>
        <v>S/MODELO</v>
      </c>
      <c r="AU884" s="12">
        <f>SUMIF(ASIGNACION!$C$5:$C$94,Z884,ASIGNACION!$R$5:$R$94)*'Costos x MO'!$B$7</f>
        <v>0</v>
      </c>
      <c r="AV884" s="12" t="str">
        <f>IFERROR(VLOOKUP(Z884,ASIGNACION!$C$5:$H$94,6,0),"F/Fecha")</f>
        <v>F/Fecha</v>
      </c>
    </row>
    <row r="885" spans="36:48" x14ac:dyDescent="0.25">
      <c r="AJ885" s="12"/>
      <c r="AK885" s="12"/>
      <c r="AL885" s="12" t="str">
        <f>IFERROR(VLOOKUP(Z885,ASIGNACION!$C$5:$G$94,5,0),"S/TIPO")</f>
        <v>S/TIPO</v>
      </c>
      <c r="AM885" s="12" t="str">
        <f>IFERROR(VLOOKUP(Z885,ASIGNACION!$C$5:$S$94,17,0),"S/TIPO")</f>
        <v>S/TIPO</v>
      </c>
      <c r="AN885" s="12"/>
      <c r="AO885" s="12"/>
      <c r="AP885" s="12"/>
      <c r="AQ885" s="12"/>
      <c r="AR885" s="12" t="e">
        <f t="shared" si="13"/>
        <v>#N/A</v>
      </c>
      <c r="AS885" s="12" t="str">
        <f>IFERROR(VLOOKUP(Z885,ASIGNACION!$C$5:$E$94,3,0),"S/MARCA")</f>
        <v>S/MARCA</v>
      </c>
      <c r="AT885" s="12" t="str">
        <f>IFERROR(VLOOKUP(Z885,ASIGNACION!$C$5:$F$94,4,0),"S/MODELO")</f>
        <v>S/MODELO</v>
      </c>
      <c r="AU885" s="12">
        <f>SUMIF(ASIGNACION!$C$5:$C$94,Z885,ASIGNACION!$R$5:$R$94)*'Costos x MO'!$B$7</f>
        <v>0</v>
      </c>
      <c r="AV885" s="12" t="str">
        <f>IFERROR(VLOOKUP(Z885,ASIGNACION!$C$5:$H$94,6,0),"F/Fecha")</f>
        <v>F/Fecha</v>
      </c>
    </row>
    <row r="886" spans="36:48" x14ac:dyDescent="0.25">
      <c r="AJ886" s="12"/>
      <c r="AK886" s="12"/>
      <c r="AL886" s="12" t="str">
        <f>IFERROR(VLOOKUP(Z886,ASIGNACION!$C$5:$G$94,5,0),"S/TIPO")</f>
        <v>S/TIPO</v>
      </c>
      <c r="AM886" s="12" t="str">
        <f>IFERROR(VLOOKUP(Z886,ASIGNACION!$C$5:$S$94,17,0),"S/TIPO")</f>
        <v>S/TIPO</v>
      </c>
      <c r="AN886" s="12"/>
      <c r="AO886" s="12"/>
      <c r="AP886" s="12"/>
      <c r="AQ886" s="12"/>
      <c r="AR886" s="12" t="e">
        <f t="shared" si="13"/>
        <v>#N/A</v>
      </c>
      <c r="AS886" s="12" t="str">
        <f>IFERROR(VLOOKUP(Z886,ASIGNACION!$C$5:$E$94,3,0),"S/MARCA")</f>
        <v>S/MARCA</v>
      </c>
      <c r="AT886" s="12" t="str">
        <f>IFERROR(VLOOKUP(Z886,ASIGNACION!$C$5:$F$94,4,0),"S/MODELO")</f>
        <v>S/MODELO</v>
      </c>
      <c r="AU886" s="12">
        <f>SUMIF(ASIGNACION!$C$5:$C$94,Z886,ASIGNACION!$R$5:$R$94)*'Costos x MO'!$B$7</f>
        <v>0</v>
      </c>
      <c r="AV886" s="12" t="str">
        <f>IFERROR(VLOOKUP(Z886,ASIGNACION!$C$5:$H$94,6,0),"F/Fecha")</f>
        <v>F/Fecha</v>
      </c>
    </row>
    <row r="887" spans="36:48" x14ac:dyDescent="0.25">
      <c r="AJ887" s="12"/>
      <c r="AK887" s="12"/>
      <c r="AL887" s="12" t="str">
        <f>IFERROR(VLOOKUP(Z887,ASIGNACION!$C$5:$G$94,5,0),"S/TIPO")</f>
        <v>S/TIPO</v>
      </c>
      <c r="AM887" s="12" t="str">
        <f>IFERROR(VLOOKUP(Z887,ASIGNACION!$C$5:$S$94,17,0),"S/TIPO")</f>
        <v>S/TIPO</v>
      </c>
      <c r="AN887" s="12"/>
      <c r="AO887" s="12"/>
      <c r="AP887" s="12"/>
      <c r="AQ887" s="12"/>
      <c r="AR887" s="12" t="e">
        <f t="shared" si="13"/>
        <v>#N/A</v>
      </c>
      <c r="AS887" s="12" t="str">
        <f>IFERROR(VLOOKUP(Z887,ASIGNACION!$C$5:$E$94,3,0),"S/MARCA")</f>
        <v>S/MARCA</v>
      </c>
      <c r="AT887" s="12" t="str">
        <f>IFERROR(VLOOKUP(Z887,ASIGNACION!$C$5:$F$94,4,0),"S/MODELO")</f>
        <v>S/MODELO</v>
      </c>
      <c r="AU887" s="12">
        <f>SUMIF(ASIGNACION!$C$5:$C$94,Z887,ASIGNACION!$R$5:$R$94)*'Costos x MO'!$B$7</f>
        <v>0</v>
      </c>
      <c r="AV887" s="12" t="str">
        <f>IFERROR(VLOOKUP(Z887,ASIGNACION!$C$5:$H$94,6,0),"F/Fecha")</f>
        <v>F/Fecha</v>
      </c>
    </row>
    <row r="888" spans="36:48" x14ac:dyDescent="0.25">
      <c r="AJ888" s="12"/>
      <c r="AK888" s="12"/>
      <c r="AL888" s="12" t="str">
        <f>IFERROR(VLOOKUP(Z888,ASIGNACION!$C$5:$G$94,5,0),"S/TIPO")</f>
        <v>S/TIPO</v>
      </c>
      <c r="AM888" s="12" t="str">
        <f>IFERROR(VLOOKUP(Z888,ASIGNACION!$C$5:$S$94,17,0),"S/TIPO")</f>
        <v>S/TIPO</v>
      </c>
      <c r="AN888" s="12"/>
      <c r="AO888" s="12"/>
      <c r="AP888" s="12"/>
      <c r="AQ888" s="12"/>
      <c r="AR888" s="12" t="e">
        <f t="shared" si="13"/>
        <v>#N/A</v>
      </c>
      <c r="AS888" s="12" t="str">
        <f>IFERROR(VLOOKUP(Z888,ASIGNACION!$C$5:$E$94,3,0),"S/MARCA")</f>
        <v>S/MARCA</v>
      </c>
      <c r="AT888" s="12" t="str">
        <f>IFERROR(VLOOKUP(Z888,ASIGNACION!$C$5:$F$94,4,0),"S/MODELO")</f>
        <v>S/MODELO</v>
      </c>
      <c r="AU888" s="12">
        <f>SUMIF(ASIGNACION!$C$5:$C$94,Z888,ASIGNACION!$R$5:$R$94)*'Costos x MO'!$B$7</f>
        <v>0</v>
      </c>
      <c r="AV888" s="12" t="str">
        <f>IFERROR(VLOOKUP(Z888,ASIGNACION!$C$5:$H$94,6,0),"F/Fecha")</f>
        <v>F/Fecha</v>
      </c>
    </row>
    <row r="889" spans="36:48" x14ac:dyDescent="0.25">
      <c r="AJ889" s="12"/>
      <c r="AK889" s="12"/>
      <c r="AL889" s="12" t="str">
        <f>IFERROR(VLOOKUP(Z889,ASIGNACION!$C$5:$G$94,5,0),"S/TIPO")</f>
        <v>S/TIPO</v>
      </c>
      <c r="AM889" s="12" t="str">
        <f>IFERROR(VLOOKUP(Z889,ASIGNACION!$C$5:$S$94,17,0),"S/TIPO")</f>
        <v>S/TIPO</v>
      </c>
      <c r="AN889" s="12"/>
      <c r="AO889" s="12"/>
      <c r="AP889" s="12"/>
      <c r="AQ889" s="12"/>
      <c r="AR889" s="12" t="e">
        <f t="shared" si="13"/>
        <v>#N/A</v>
      </c>
      <c r="AS889" s="12" t="str">
        <f>IFERROR(VLOOKUP(Z889,ASIGNACION!$C$5:$E$94,3,0),"S/MARCA")</f>
        <v>S/MARCA</v>
      </c>
      <c r="AT889" s="12" t="str">
        <f>IFERROR(VLOOKUP(Z889,ASIGNACION!$C$5:$F$94,4,0),"S/MODELO")</f>
        <v>S/MODELO</v>
      </c>
      <c r="AU889" s="12">
        <f>SUMIF(ASIGNACION!$C$5:$C$94,Z889,ASIGNACION!$R$5:$R$94)*'Costos x MO'!$B$7</f>
        <v>0</v>
      </c>
      <c r="AV889" s="12" t="str">
        <f>IFERROR(VLOOKUP(Z889,ASIGNACION!$C$5:$H$94,6,0),"F/Fecha")</f>
        <v>F/Fecha</v>
      </c>
    </row>
    <row r="890" spans="36:48" x14ac:dyDescent="0.25">
      <c r="AJ890" s="12"/>
      <c r="AK890" s="12"/>
      <c r="AL890" s="12" t="str">
        <f>IFERROR(VLOOKUP(Z890,ASIGNACION!$C$5:$G$94,5,0),"S/TIPO")</f>
        <v>S/TIPO</v>
      </c>
      <c r="AM890" s="12" t="str">
        <f>IFERROR(VLOOKUP(Z890,ASIGNACION!$C$5:$S$94,17,0),"S/TIPO")</f>
        <v>S/TIPO</v>
      </c>
      <c r="AN890" s="12"/>
      <c r="AO890" s="12"/>
      <c r="AP890" s="12"/>
      <c r="AQ890" s="12"/>
      <c r="AR890" s="12" t="e">
        <f t="shared" si="13"/>
        <v>#N/A</v>
      </c>
      <c r="AS890" s="12" t="str">
        <f>IFERROR(VLOOKUP(Z890,ASIGNACION!$C$5:$E$94,3,0),"S/MARCA")</f>
        <v>S/MARCA</v>
      </c>
      <c r="AT890" s="12" t="str">
        <f>IFERROR(VLOOKUP(Z890,ASIGNACION!$C$5:$F$94,4,0),"S/MODELO")</f>
        <v>S/MODELO</v>
      </c>
      <c r="AU890" s="12">
        <f>SUMIF(ASIGNACION!$C$5:$C$94,Z890,ASIGNACION!$R$5:$R$94)*'Costos x MO'!$B$7</f>
        <v>0</v>
      </c>
      <c r="AV890" s="12" t="str">
        <f>IFERROR(VLOOKUP(Z890,ASIGNACION!$C$5:$H$94,6,0),"F/Fecha")</f>
        <v>F/Fecha</v>
      </c>
    </row>
    <row r="891" spans="36:48" x14ac:dyDescent="0.25">
      <c r="AJ891" s="12"/>
      <c r="AK891" s="12"/>
      <c r="AL891" s="12" t="str">
        <f>IFERROR(VLOOKUP(Z891,ASIGNACION!$C$5:$G$94,5,0),"S/TIPO")</f>
        <v>S/TIPO</v>
      </c>
      <c r="AM891" s="12" t="str">
        <f>IFERROR(VLOOKUP(Z891,ASIGNACION!$C$5:$S$94,17,0),"S/TIPO")</f>
        <v>S/TIPO</v>
      </c>
      <c r="AN891" s="12"/>
      <c r="AO891" s="12"/>
      <c r="AP891" s="12"/>
      <c r="AQ891" s="12"/>
      <c r="AR891" s="12" t="e">
        <f t="shared" si="13"/>
        <v>#N/A</v>
      </c>
      <c r="AS891" s="12" t="str">
        <f>IFERROR(VLOOKUP(Z891,ASIGNACION!$C$5:$E$94,3,0),"S/MARCA")</f>
        <v>S/MARCA</v>
      </c>
      <c r="AT891" s="12" t="str">
        <f>IFERROR(VLOOKUP(Z891,ASIGNACION!$C$5:$F$94,4,0),"S/MODELO")</f>
        <v>S/MODELO</v>
      </c>
      <c r="AU891" s="12">
        <f>SUMIF(ASIGNACION!$C$5:$C$94,Z891,ASIGNACION!$R$5:$R$94)*'Costos x MO'!$B$7</f>
        <v>0</v>
      </c>
      <c r="AV891" s="12" t="str">
        <f>IFERROR(VLOOKUP(Z891,ASIGNACION!$C$5:$H$94,6,0),"F/Fecha")</f>
        <v>F/Fecha</v>
      </c>
    </row>
    <row r="892" spans="36:48" x14ac:dyDescent="0.25">
      <c r="AJ892" s="12"/>
      <c r="AK892" s="12"/>
      <c r="AL892" s="12" t="str">
        <f>IFERROR(VLOOKUP(Z892,ASIGNACION!$C$5:$G$94,5,0),"S/TIPO")</f>
        <v>S/TIPO</v>
      </c>
      <c r="AM892" s="12" t="str">
        <f>IFERROR(VLOOKUP(Z892,ASIGNACION!$C$5:$S$94,17,0),"S/TIPO")</f>
        <v>S/TIPO</v>
      </c>
      <c r="AN892" s="12"/>
      <c r="AO892" s="12"/>
      <c r="AP892" s="12"/>
      <c r="AQ892" s="12"/>
      <c r="AR892" s="12" t="e">
        <f t="shared" si="13"/>
        <v>#N/A</v>
      </c>
      <c r="AS892" s="12" t="str">
        <f>IFERROR(VLOOKUP(Z892,ASIGNACION!$C$5:$E$94,3,0),"S/MARCA")</f>
        <v>S/MARCA</v>
      </c>
      <c r="AT892" s="12" t="str">
        <f>IFERROR(VLOOKUP(Z892,ASIGNACION!$C$5:$F$94,4,0),"S/MODELO")</f>
        <v>S/MODELO</v>
      </c>
      <c r="AU892" s="12">
        <f>SUMIF(ASIGNACION!$C$5:$C$94,Z892,ASIGNACION!$R$5:$R$94)*'Costos x MO'!$B$7</f>
        <v>0</v>
      </c>
      <c r="AV892" s="12" t="str">
        <f>IFERROR(VLOOKUP(Z892,ASIGNACION!$C$5:$H$94,6,0),"F/Fecha")</f>
        <v>F/Fecha</v>
      </c>
    </row>
    <row r="893" spans="36:48" x14ac:dyDescent="0.25">
      <c r="AJ893" s="12"/>
      <c r="AK893" s="12"/>
      <c r="AL893" s="12" t="str">
        <f>IFERROR(VLOOKUP(Z893,ASIGNACION!$C$5:$G$94,5,0),"S/TIPO")</f>
        <v>S/TIPO</v>
      </c>
      <c r="AM893" s="12" t="str">
        <f>IFERROR(VLOOKUP(Z893,ASIGNACION!$C$5:$S$94,17,0),"S/TIPO")</f>
        <v>S/TIPO</v>
      </c>
      <c r="AN893" s="12"/>
      <c r="AO893" s="12"/>
      <c r="AP893" s="12"/>
      <c r="AQ893" s="12"/>
      <c r="AR893" s="12" t="e">
        <f t="shared" si="13"/>
        <v>#N/A</v>
      </c>
      <c r="AS893" s="12" t="str">
        <f>IFERROR(VLOOKUP(Z893,ASIGNACION!$C$5:$E$94,3,0),"S/MARCA")</f>
        <v>S/MARCA</v>
      </c>
      <c r="AT893" s="12" t="str">
        <f>IFERROR(VLOOKUP(Z893,ASIGNACION!$C$5:$F$94,4,0),"S/MODELO")</f>
        <v>S/MODELO</v>
      </c>
      <c r="AU893" s="12">
        <f>SUMIF(ASIGNACION!$C$5:$C$94,Z893,ASIGNACION!$R$5:$R$94)*'Costos x MO'!$B$7</f>
        <v>0</v>
      </c>
      <c r="AV893" s="12" t="str">
        <f>IFERROR(VLOOKUP(Z893,ASIGNACION!$C$5:$H$94,6,0),"F/Fecha")</f>
        <v>F/Fecha</v>
      </c>
    </row>
    <row r="894" spans="36:48" x14ac:dyDescent="0.25">
      <c r="AJ894" s="12"/>
      <c r="AK894" s="12"/>
      <c r="AL894" s="12" t="str">
        <f>IFERROR(VLOOKUP(Z894,ASIGNACION!$C$5:$G$94,5,0),"S/TIPO")</f>
        <v>S/TIPO</v>
      </c>
      <c r="AM894" s="12" t="str">
        <f>IFERROR(VLOOKUP(Z894,ASIGNACION!$C$5:$S$94,17,0),"S/TIPO")</f>
        <v>S/TIPO</v>
      </c>
      <c r="AN894" s="12"/>
      <c r="AO894" s="12"/>
      <c r="AP894" s="12"/>
      <c r="AQ894" s="12"/>
      <c r="AR894" s="12" t="e">
        <f t="shared" si="13"/>
        <v>#N/A</v>
      </c>
      <c r="AS894" s="12" t="str">
        <f>IFERROR(VLOOKUP(Z894,ASIGNACION!$C$5:$E$94,3,0),"S/MARCA")</f>
        <v>S/MARCA</v>
      </c>
      <c r="AT894" s="12" t="str">
        <f>IFERROR(VLOOKUP(Z894,ASIGNACION!$C$5:$F$94,4,0),"S/MODELO")</f>
        <v>S/MODELO</v>
      </c>
      <c r="AU894" s="12">
        <f>SUMIF(ASIGNACION!$C$5:$C$94,Z894,ASIGNACION!$R$5:$R$94)*'Costos x MO'!$B$7</f>
        <v>0</v>
      </c>
      <c r="AV894" s="12" t="str">
        <f>IFERROR(VLOOKUP(Z894,ASIGNACION!$C$5:$H$94,6,0),"F/Fecha")</f>
        <v>F/Fecha</v>
      </c>
    </row>
    <row r="895" spans="36:48" x14ac:dyDescent="0.25">
      <c r="AJ895" s="12"/>
      <c r="AK895" s="12"/>
      <c r="AL895" s="12" t="str">
        <f>IFERROR(VLOOKUP(Z895,ASIGNACION!$C$5:$G$94,5,0),"S/TIPO")</f>
        <v>S/TIPO</v>
      </c>
      <c r="AM895" s="12" t="str">
        <f>IFERROR(VLOOKUP(Z895,ASIGNACION!$C$5:$S$94,17,0),"S/TIPO")</f>
        <v>S/TIPO</v>
      </c>
      <c r="AN895" s="12"/>
      <c r="AO895" s="12"/>
      <c r="AP895" s="12"/>
      <c r="AQ895" s="12"/>
      <c r="AR895" s="12" t="e">
        <f t="shared" si="13"/>
        <v>#N/A</v>
      </c>
      <c r="AS895" s="12" t="str">
        <f>IFERROR(VLOOKUP(Z895,ASIGNACION!$C$5:$E$94,3,0),"S/MARCA")</f>
        <v>S/MARCA</v>
      </c>
      <c r="AT895" s="12" t="str">
        <f>IFERROR(VLOOKUP(Z895,ASIGNACION!$C$5:$F$94,4,0),"S/MODELO")</f>
        <v>S/MODELO</v>
      </c>
      <c r="AU895" s="12">
        <f>SUMIF(ASIGNACION!$C$5:$C$94,Z895,ASIGNACION!$R$5:$R$94)*'Costos x MO'!$B$7</f>
        <v>0</v>
      </c>
      <c r="AV895" s="12" t="str">
        <f>IFERROR(VLOOKUP(Z895,ASIGNACION!$C$5:$H$94,6,0),"F/Fecha")</f>
        <v>F/Fecha</v>
      </c>
    </row>
    <row r="896" spans="36:48" x14ac:dyDescent="0.25">
      <c r="AJ896" s="12"/>
      <c r="AK896" s="12"/>
      <c r="AL896" s="12" t="str">
        <f>IFERROR(VLOOKUP(Z896,ASIGNACION!$C$5:$G$94,5,0),"S/TIPO")</f>
        <v>S/TIPO</v>
      </c>
      <c r="AM896" s="12" t="str">
        <f>IFERROR(VLOOKUP(Z896,ASIGNACION!$C$5:$S$94,17,0),"S/TIPO")</f>
        <v>S/TIPO</v>
      </c>
      <c r="AN896" s="12"/>
      <c r="AO896" s="12"/>
      <c r="AP896" s="12"/>
      <c r="AQ896" s="12"/>
      <c r="AR896" s="12" t="e">
        <f t="shared" si="13"/>
        <v>#N/A</v>
      </c>
      <c r="AS896" s="12" t="str">
        <f>IFERROR(VLOOKUP(Z896,ASIGNACION!$C$5:$E$94,3,0),"S/MARCA")</f>
        <v>S/MARCA</v>
      </c>
      <c r="AT896" s="12" t="str">
        <f>IFERROR(VLOOKUP(Z896,ASIGNACION!$C$5:$F$94,4,0),"S/MODELO")</f>
        <v>S/MODELO</v>
      </c>
      <c r="AU896" s="12">
        <f>SUMIF(ASIGNACION!$C$5:$C$94,Z896,ASIGNACION!$R$5:$R$94)*'Costos x MO'!$B$7</f>
        <v>0</v>
      </c>
      <c r="AV896" s="12" t="str">
        <f>IFERROR(VLOOKUP(Z896,ASIGNACION!$C$5:$H$94,6,0),"F/Fecha")</f>
        <v>F/Fecha</v>
      </c>
    </row>
    <row r="897" spans="36:48" x14ac:dyDescent="0.25">
      <c r="AJ897" s="12"/>
      <c r="AK897" s="12"/>
      <c r="AL897" s="12" t="str">
        <f>IFERROR(VLOOKUP(Z897,ASIGNACION!$C$5:$G$94,5,0),"S/TIPO")</f>
        <v>S/TIPO</v>
      </c>
      <c r="AM897" s="12" t="str">
        <f>IFERROR(VLOOKUP(Z897,ASIGNACION!$C$5:$S$94,17,0),"S/TIPO")</f>
        <v>S/TIPO</v>
      </c>
      <c r="AN897" s="12"/>
      <c r="AO897" s="12"/>
      <c r="AP897" s="12"/>
      <c r="AQ897" s="12"/>
      <c r="AR897" s="12" t="e">
        <f t="shared" si="13"/>
        <v>#N/A</v>
      </c>
      <c r="AS897" s="12" t="str">
        <f>IFERROR(VLOOKUP(Z897,ASIGNACION!$C$5:$E$94,3,0),"S/MARCA")</f>
        <v>S/MARCA</v>
      </c>
      <c r="AT897" s="12" t="str">
        <f>IFERROR(VLOOKUP(Z897,ASIGNACION!$C$5:$F$94,4,0),"S/MODELO")</f>
        <v>S/MODELO</v>
      </c>
      <c r="AU897" s="12">
        <f>SUMIF(ASIGNACION!$C$5:$C$94,Z897,ASIGNACION!$R$5:$R$94)*'Costos x MO'!$B$7</f>
        <v>0</v>
      </c>
      <c r="AV897" s="12" t="str">
        <f>IFERROR(VLOOKUP(Z897,ASIGNACION!$C$5:$H$94,6,0),"F/Fecha")</f>
        <v>F/Fecha</v>
      </c>
    </row>
    <row r="898" spans="36:48" x14ac:dyDescent="0.25">
      <c r="AJ898" s="12"/>
      <c r="AK898" s="12"/>
      <c r="AL898" s="12" t="str">
        <f>IFERROR(VLOOKUP(Z898,ASIGNACION!$C$5:$G$94,5,0),"S/TIPO")</f>
        <v>S/TIPO</v>
      </c>
      <c r="AM898" s="12" t="str">
        <f>IFERROR(VLOOKUP(Z898,ASIGNACION!$C$5:$S$94,17,0),"S/TIPO")</f>
        <v>S/TIPO</v>
      </c>
      <c r="AN898" s="12"/>
      <c r="AO898" s="12"/>
      <c r="AP898" s="12"/>
      <c r="AQ898" s="12"/>
      <c r="AR898" s="12" t="e">
        <f t="shared" si="13"/>
        <v>#N/A</v>
      </c>
      <c r="AS898" s="12" t="str">
        <f>IFERROR(VLOOKUP(Z898,ASIGNACION!$C$5:$E$94,3,0),"S/MARCA")</f>
        <v>S/MARCA</v>
      </c>
      <c r="AT898" s="12" t="str">
        <f>IFERROR(VLOOKUP(Z898,ASIGNACION!$C$5:$F$94,4,0),"S/MODELO")</f>
        <v>S/MODELO</v>
      </c>
      <c r="AU898" s="12">
        <f>SUMIF(ASIGNACION!$C$5:$C$94,Z898,ASIGNACION!$R$5:$R$94)*'Costos x MO'!$B$7</f>
        <v>0</v>
      </c>
      <c r="AV898" s="12" t="str">
        <f>IFERROR(VLOOKUP(Z898,ASIGNACION!$C$5:$H$94,6,0),"F/Fecha")</f>
        <v>F/Fecha</v>
      </c>
    </row>
    <row r="899" spans="36:48" x14ac:dyDescent="0.25">
      <c r="AJ899" s="12"/>
      <c r="AK899" s="12"/>
      <c r="AL899" s="12" t="str">
        <f>IFERROR(VLOOKUP(Z899,ASIGNACION!$C$5:$G$94,5,0),"S/TIPO")</f>
        <v>S/TIPO</v>
      </c>
      <c r="AM899" s="12" t="str">
        <f>IFERROR(VLOOKUP(Z899,ASIGNACION!$C$5:$S$94,17,0),"S/TIPO")</f>
        <v>S/TIPO</v>
      </c>
      <c r="AN899" s="12"/>
      <c r="AO899" s="12"/>
      <c r="AP899" s="12"/>
      <c r="AQ899" s="12"/>
      <c r="AR899" s="12" t="e">
        <f t="shared" si="13"/>
        <v>#N/A</v>
      </c>
      <c r="AS899" s="12" t="str">
        <f>IFERROR(VLOOKUP(Z899,ASIGNACION!$C$5:$E$94,3,0),"S/MARCA")</f>
        <v>S/MARCA</v>
      </c>
      <c r="AT899" s="12" t="str">
        <f>IFERROR(VLOOKUP(Z899,ASIGNACION!$C$5:$F$94,4,0),"S/MODELO")</f>
        <v>S/MODELO</v>
      </c>
      <c r="AU899" s="12">
        <f>SUMIF(ASIGNACION!$C$5:$C$94,Z899,ASIGNACION!$R$5:$R$94)*'Costos x MO'!$B$7</f>
        <v>0</v>
      </c>
      <c r="AV899" s="12" t="str">
        <f>IFERROR(VLOOKUP(Z899,ASIGNACION!$C$5:$H$94,6,0),"F/Fecha")</f>
        <v>F/Fecha</v>
      </c>
    </row>
    <row r="900" spans="36:48" x14ac:dyDescent="0.25">
      <c r="AJ900" s="12"/>
      <c r="AK900" s="12"/>
      <c r="AL900" s="12" t="str">
        <f>IFERROR(VLOOKUP(Z900,ASIGNACION!$C$5:$G$94,5,0),"S/TIPO")</f>
        <v>S/TIPO</v>
      </c>
      <c r="AM900" s="12" t="str">
        <f>IFERROR(VLOOKUP(Z900,ASIGNACION!$C$5:$S$94,17,0),"S/TIPO")</f>
        <v>S/TIPO</v>
      </c>
      <c r="AN900" s="12"/>
      <c r="AO900" s="12"/>
      <c r="AP900" s="12"/>
      <c r="AQ900" s="12"/>
      <c r="AR900" s="12" t="e">
        <f t="shared" si="13"/>
        <v>#N/A</v>
      </c>
      <c r="AS900" s="12" t="str">
        <f>IFERROR(VLOOKUP(Z900,ASIGNACION!$C$5:$E$94,3,0),"S/MARCA")</f>
        <v>S/MARCA</v>
      </c>
      <c r="AT900" s="12" t="str">
        <f>IFERROR(VLOOKUP(Z900,ASIGNACION!$C$5:$F$94,4,0),"S/MODELO")</f>
        <v>S/MODELO</v>
      </c>
      <c r="AU900" s="12">
        <f>SUMIF(ASIGNACION!$C$5:$C$94,Z900,ASIGNACION!$R$5:$R$94)*'Costos x MO'!$B$7</f>
        <v>0</v>
      </c>
      <c r="AV900" s="12" t="str">
        <f>IFERROR(VLOOKUP(Z900,ASIGNACION!$C$5:$H$94,6,0),"F/Fecha")</f>
        <v>F/Fecha</v>
      </c>
    </row>
    <row r="901" spans="36:48" x14ac:dyDescent="0.25">
      <c r="AJ901" s="12"/>
      <c r="AK901" s="12"/>
      <c r="AL901" s="12" t="str">
        <f>IFERROR(VLOOKUP(Z901,ASIGNACION!$C$5:$G$94,5,0),"S/TIPO")</f>
        <v>S/TIPO</v>
      </c>
      <c r="AM901" s="12" t="str">
        <f>IFERROR(VLOOKUP(Z901,ASIGNACION!$C$5:$S$94,17,0),"S/TIPO")</f>
        <v>S/TIPO</v>
      </c>
      <c r="AN901" s="12"/>
      <c r="AO901" s="12"/>
      <c r="AP901" s="12"/>
      <c r="AQ901" s="12"/>
      <c r="AR901" s="12" t="e">
        <f t="shared" ref="AR901:AR958" si="14">VLOOKUP(Z901,$E$4:$G$3523,3,0)</f>
        <v>#N/A</v>
      </c>
      <c r="AS901" s="12" t="str">
        <f>IFERROR(VLOOKUP(Z901,ASIGNACION!$C$5:$E$94,3,0),"S/MARCA")</f>
        <v>S/MARCA</v>
      </c>
      <c r="AT901" s="12" t="str">
        <f>IFERROR(VLOOKUP(Z901,ASIGNACION!$C$5:$F$94,4,0),"S/MODELO")</f>
        <v>S/MODELO</v>
      </c>
      <c r="AU901" s="12">
        <f>SUMIF(ASIGNACION!$C$5:$C$94,Z901,ASIGNACION!$R$5:$R$94)*'Costos x MO'!$B$7</f>
        <v>0</v>
      </c>
      <c r="AV901" s="12" t="str">
        <f>IFERROR(VLOOKUP(Z901,ASIGNACION!$C$5:$H$94,6,0),"F/Fecha")</f>
        <v>F/Fecha</v>
      </c>
    </row>
    <row r="902" spans="36:48" x14ac:dyDescent="0.25">
      <c r="AJ902" s="12"/>
      <c r="AK902" s="12"/>
      <c r="AL902" s="12" t="str">
        <f>IFERROR(VLOOKUP(Z902,ASIGNACION!$C$5:$G$94,5,0),"S/TIPO")</f>
        <v>S/TIPO</v>
      </c>
      <c r="AM902" s="12" t="str">
        <f>IFERROR(VLOOKUP(Z902,ASIGNACION!$C$5:$S$94,17,0),"S/TIPO")</f>
        <v>S/TIPO</v>
      </c>
      <c r="AN902" s="12"/>
      <c r="AO902" s="12"/>
      <c r="AP902" s="12"/>
      <c r="AQ902" s="12"/>
      <c r="AR902" s="12" t="e">
        <f t="shared" si="14"/>
        <v>#N/A</v>
      </c>
      <c r="AS902" s="12" t="str">
        <f>IFERROR(VLOOKUP(Z902,ASIGNACION!$C$5:$E$94,3,0),"S/MARCA")</f>
        <v>S/MARCA</v>
      </c>
      <c r="AT902" s="12" t="str">
        <f>IFERROR(VLOOKUP(Z902,ASIGNACION!$C$5:$F$94,4,0),"S/MODELO")</f>
        <v>S/MODELO</v>
      </c>
      <c r="AU902" s="12">
        <f>SUMIF(ASIGNACION!$C$5:$C$94,Z902,ASIGNACION!$R$5:$R$94)*'Costos x MO'!$B$7</f>
        <v>0</v>
      </c>
      <c r="AV902" s="12" t="str">
        <f>IFERROR(VLOOKUP(Z902,ASIGNACION!$C$5:$H$94,6,0),"F/Fecha")</f>
        <v>F/Fecha</v>
      </c>
    </row>
    <row r="903" spans="36:48" x14ac:dyDescent="0.25">
      <c r="AJ903" s="12"/>
      <c r="AK903" s="12"/>
      <c r="AL903" s="12" t="str">
        <f>IFERROR(VLOOKUP(Z903,ASIGNACION!$C$5:$G$94,5,0),"S/TIPO")</f>
        <v>S/TIPO</v>
      </c>
      <c r="AM903" s="12" t="str">
        <f>IFERROR(VLOOKUP(Z903,ASIGNACION!$C$5:$S$94,17,0),"S/TIPO")</f>
        <v>S/TIPO</v>
      </c>
      <c r="AN903" s="12"/>
      <c r="AO903" s="12"/>
      <c r="AP903" s="12"/>
      <c r="AQ903" s="12"/>
      <c r="AR903" s="12" t="e">
        <f t="shared" si="14"/>
        <v>#N/A</v>
      </c>
      <c r="AS903" s="12" t="str">
        <f>IFERROR(VLOOKUP(Z903,ASIGNACION!$C$5:$E$94,3,0),"S/MARCA")</f>
        <v>S/MARCA</v>
      </c>
      <c r="AT903" s="12" t="str">
        <f>IFERROR(VLOOKUP(Z903,ASIGNACION!$C$5:$F$94,4,0),"S/MODELO")</f>
        <v>S/MODELO</v>
      </c>
      <c r="AU903" s="12">
        <f>SUMIF(ASIGNACION!$C$5:$C$94,Z903,ASIGNACION!$R$5:$R$94)*'Costos x MO'!$B$7</f>
        <v>0</v>
      </c>
      <c r="AV903" s="12" t="str">
        <f>IFERROR(VLOOKUP(Z903,ASIGNACION!$C$5:$H$94,6,0),"F/Fecha")</f>
        <v>F/Fecha</v>
      </c>
    </row>
    <row r="904" spans="36:48" x14ac:dyDescent="0.25">
      <c r="AJ904" s="12"/>
      <c r="AK904" s="12"/>
      <c r="AL904" s="12" t="str">
        <f>IFERROR(VLOOKUP(Z904,ASIGNACION!$C$5:$G$94,5,0),"S/TIPO")</f>
        <v>S/TIPO</v>
      </c>
      <c r="AM904" s="12" t="str">
        <f>IFERROR(VLOOKUP(Z904,ASIGNACION!$C$5:$S$94,17,0),"S/TIPO")</f>
        <v>S/TIPO</v>
      </c>
      <c r="AN904" s="12"/>
      <c r="AO904" s="12"/>
      <c r="AP904" s="12"/>
      <c r="AQ904" s="12"/>
      <c r="AR904" s="12" t="e">
        <f t="shared" si="14"/>
        <v>#N/A</v>
      </c>
      <c r="AS904" s="12" t="str">
        <f>IFERROR(VLOOKUP(Z904,ASIGNACION!$C$5:$E$94,3,0),"S/MARCA")</f>
        <v>S/MARCA</v>
      </c>
      <c r="AT904" s="12" t="str">
        <f>IFERROR(VLOOKUP(Z904,ASIGNACION!$C$5:$F$94,4,0),"S/MODELO")</f>
        <v>S/MODELO</v>
      </c>
      <c r="AU904" s="12">
        <f>SUMIF(ASIGNACION!$C$5:$C$94,Z904,ASIGNACION!$R$5:$R$94)*'Costos x MO'!$B$7</f>
        <v>0</v>
      </c>
      <c r="AV904" s="12" t="str">
        <f>IFERROR(VLOOKUP(Z904,ASIGNACION!$C$5:$H$94,6,0),"F/Fecha")</f>
        <v>F/Fecha</v>
      </c>
    </row>
    <row r="905" spans="36:48" x14ac:dyDescent="0.25">
      <c r="AJ905" s="12"/>
      <c r="AK905" s="12"/>
      <c r="AL905" s="12" t="str">
        <f>IFERROR(VLOOKUP(Z905,ASIGNACION!$C$5:$G$94,5,0),"S/TIPO")</f>
        <v>S/TIPO</v>
      </c>
      <c r="AM905" s="12" t="str">
        <f>IFERROR(VLOOKUP(Z905,ASIGNACION!$C$5:$S$94,17,0),"S/TIPO")</f>
        <v>S/TIPO</v>
      </c>
      <c r="AN905" s="12"/>
      <c r="AO905" s="12"/>
      <c r="AP905" s="12"/>
      <c r="AQ905" s="12"/>
      <c r="AR905" s="12" t="e">
        <f t="shared" si="14"/>
        <v>#N/A</v>
      </c>
      <c r="AS905" s="12" t="str">
        <f>IFERROR(VLOOKUP(Z905,ASIGNACION!$C$5:$E$94,3,0),"S/MARCA")</f>
        <v>S/MARCA</v>
      </c>
      <c r="AT905" s="12" t="str">
        <f>IFERROR(VLOOKUP(Z905,ASIGNACION!$C$5:$F$94,4,0),"S/MODELO")</f>
        <v>S/MODELO</v>
      </c>
      <c r="AU905" s="12">
        <f>SUMIF(ASIGNACION!$C$5:$C$94,Z905,ASIGNACION!$R$5:$R$94)*'Costos x MO'!$B$7</f>
        <v>0</v>
      </c>
      <c r="AV905" s="12" t="str">
        <f>IFERROR(VLOOKUP(Z905,ASIGNACION!$C$5:$H$94,6,0),"F/Fecha")</f>
        <v>F/Fecha</v>
      </c>
    </row>
    <row r="906" spans="36:48" x14ac:dyDescent="0.25">
      <c r="AJ906" s="12"/>
      <c r="AK906" s="12"/>
      <c r="AL906" s="12" t="str">
        <f>IFERROR(VLOOKUP(Z906,ASIGNACION!$C$5:$G$94,5,0),"S/TIPO")</f>
        <v>S/TIPO</v>
      </c>
      <c r="AM906" s="12" t="str">
        <f>IFERROR(VLOOKUP(Z906,ASIGNACION!$C$5:$S$94,17,0),"S/TIPO")</f>
        <v>S/TIPO</v>
      </c>
      <c r="AN906" s="12"/>
      <c r="AO906" s="12"/>
      <c r="AP906" s="12"/>
      <c r="AQ906" s="12"/>
      <c r="AR906" s="12" t="e">
        <f t="shared" si="14"/>
        <v>#N/A</v>
      </c>
      <c r="AS906" s="12" t="str">
        <f>IFERROR(VLOOKUP(Z906,ASIGNACION!$C$5:$E$94,3,0),"S/MARCA")</f>
        <v>S/MARCA</v>
      </c>
      <c r="AT906" s="12" t="str">
        <f>IFERROR(VLOOKUP(Z906,ASIGNACION!$C$5:$F$94,4,0),"S/MODELO")</f>
        <v>S/MODELO</v>
      </c>
      <c r="AU906" s="12">
        <f>SUMIF(ASIGNACION!$C$5:$C$94,Z906,ASIGNACION!$R$5:$R$94)*'Costos x MO'!$B$7</f>
        <v>0</v>
      </c>
      <c r="AV906" s="12" t="str">
        <f>IFERROR(VLOOKUP(Z906,ASIGNACION!$C$5:$H$94,6,0),"F/Fecha")</f>
        <v>F/Fecha</v>
      </c>
    </row>
    <row r="907" spans="36:48" x14ac:dyDescent="0.25">
      <c r="AJ907" s="12"/>
      <c r="AK907" s="12"/>
      <c r="AL907" s="12" t="str">
        <f>IFERROR(VLOOKUP(Z907,ASIGNACION!$C$5:$G$94,5,0),"S/TIPO")</f>
        <v>S/TIPO</v>
      </c>
      <c r="AM907" s="12" t="str">
        <f>IFERROR(VLOOKUP(Z907,ASIGNACION!$C$5:$S$94,17,0),"S/TIPO")</f>
        <v>S/TIPO</v>
      </c>
      <c r="AN907" s="12"/>
      <c r="AO907" s="12"/>
      <c r="AP907" s="12"/>
      <c r="AQ907" s="12"/>
      <c r="AR907" s="12" t="e">
        <f t="shared" si="14"/>
        <v>#N/A</v>
      </c>
      <c r="AS907" s="12" t="str">
        <f>IFERROR(VLOOKUP(Z907,ASIGNACION!$C$5:$E$94,3,0),"S/MARCA")</f>
        <v>S/MARCA</v>
      </c>
      <c r="AT907" s="12" t="str">
        <f>IFERROR(VLOOKUP(Z907,ASIGNACION!$C$5:$F$94,4,0),"S/MODELO")</f>
        <v>S/MODELO</v>
      </c>
      <c r="AU907" s="12">
        <f>SUMIF(ASIGNACION!$C$5:$C$94,Z907,ASIGNACION!$R$5:$R$94)*'Costos x MO'!$B$7</f>
        <v>0</v>
      </c>
      <c r="AV907" s="12" t="str">
        <f>IFERROR(VLOOKUP(Z907,ASIGNACION!$C$5:$H$94,6,0),"F/Fecha")</f>
        <v>F/Fecha</v>
      </c>
    </row>
    <row r="908" spans="36:48" x14ac:dyDescent="0.25">
      <c r="AJ908" s="12"/>
      <c r="AK908" s="12"/>
      <c r="AL908" s="12" t="str">
        <f>IFERROR(VLOOKUP(Z908,ASIGNACION!$C$5:$G$94,5,0),"S/TIPO")</f>
        <v>S/TIPO</v>
      </c>
      <c r="AM908" s="12" t="str">
        <f>IFERROR(VLOOKUP(Z908,ASIGNACION!$C$5:$S$94,17,0),"S/TIPO")</f>
        <v>S/TIPO</v>
      </c>
      <c r="AN908" s="12"/>
      <c r="AO908" s="12"/>
      <c r="AP908" s="12"/>
      <c r="AQ908" s="12"/>
      <c r="AR908" s="12" t="e">
        <f t="shared" si="14"/>
        <v>#N/A</v>
      </c>
      <c r="AS908" s="12" t="str">
        <f>IFERROR(VLOOKUP(Z908,ASIGNACION!$C$5:$E$94,3,0),"S/MARCA")</f>
        <v>S/MARCA</v>
      </c>
      <c r="AT908" s="12" t="str">
        <f>IFERROR(VLOOKUP(Z908,ASIGNACION!$C$5:$F$94,4,0),"S/MODELO")</f>
        <v>S/MODELO</v>
      </c>
      <c r="AU908" s="12">
        <f>SUMIF(ASIGNACION!$C$5:$C$94,Z908,ASIGNACION!$R$5:$R$94)*'Costos x MO'!$B$7</f>
        <v>0</v>
      </c>
      <c r="AV908" s="12" t="str">
        <f>IFERROR(VLOOKUP(Z908,ASIGNACION!$C$5:$H$94,6,0),"F/Fecha")</f>
        <v>F/Fecha</v>
      </c>
    </row>
    <row r="909" spans="36:48" x14ac:dyDescent="0.25">
      <c r="AJ909" s="12"/>
      <c r="AK909" s="12"/>
      <c r="AL909" s="12" t="str">
        <f>IFERROR(VLOOKUP(Z909,ASIGNACION!$C$5:$G$94,5,0),"S/TIPO")</f>
        <v>S/TIPO</v>
      </c>
      <c r="AM909" s="12" t="str">
        <f>IFERROR(VLOOKUP(Z909,ASIGNACION!$C$5:$S$94,17,0),"S/TIPO")</f>
        <v>S/TIPO</v>
      </c>
      <c r="AN909" s="12"/>
      <c r="AO909" s="12"/>
      <c r="AP909" s="12"/>
      <c r="AQ909" s="12"/>
      <c r="AR909" s="12" t="e">
        <f t="shared" si="14"/>
        <v>#N/A</v>
      </c>
      <c r="AS909" s="12" t="str">
        <f>IFERROR(VLOOKUP(Z909,ASIGNACION!$C$5:$E$94,3,0),"S/MARCA")</f>
        <v>S/MARCA</v>
      </c>
      <c r="AT909" s="12" t="str">
        <f>IFERROR(VLOOKUP(Z909,ASIGNACION!$C$5:$F$94,4,0),"S/MODELO")</f>
        <v>S/MODELO</v>
      </c>
      <c r="AU909" s="12">
        <f>SUMIF(ASIGNACION!$C$5:$C$94,Z909,ASIGNACION!$R$5:$R$94)*'Costos x MO'!$B$7</f>
        <v>0</v>
      </c>
      <c r="AV909" s="12" t="str">
        <f>IFERROR(VLOOKUP(Z909,ASIGNACION!$C$5:$H$94,6,0),"F/Fecha")</f>
        <v>F/Fecha</v>
      </c>
    </row>
    <row r="910" spans="36:48" x14ac:dyDescent="0.25">
      <c r="AJ910" s="12"/>
      <c r="AK910" s="12"/>
      <c r="AL910" s="12" t="str">
        <f>IFERROR(VLOOKUP(Z910,ASIGNACION!$C$5:$G$94,5,0),"S/TIPO")</f>
        <v>S/TIPO</v>
      </c>
      <c r="AM910" s="12" t="str">
        <f>IFERROR(VLOOKUP(Z910,ASIGNACION!$C$5:$S$94,17,0),"S/TIPO")</f>
        <v>S/TIPO</v>
      </c>
      <c r="AN910" s="12"/>
      <c r="AO910" s="12"/>
      <c r="AP910" s="12"/>
      <c r="AQ910" s="12"/>
      <c r="AR910" s="12" t="e">
        <f t="shared" si="14"/>
        <v>#N/A</v>
      </c>
      <c r="AS910" s="12" t="str">
        <f>IFERROR(VLOOKUP(Z910,ASIGNACION!$C$5:$E$94,3,0),"S/MARCA")</f>
        <v>S/MARCA</v>
      </c>
      <c r="AT910" s="12" t="str">
        <f>IFERROR(VLOOKUP(Z910,ASIGNACION!$C$5:$F$94,4,0),"S/MODELO")</f>
        <v>S/MODELO</v>
      </c>
      <c r="AU910" s="12">
        <f>SUMIF(ASIGNACION!$C$5:$C$94,Z910,ASIGNACION!$R$5:$R$94)*'Costos x MO'!$B$7</f>
        <v>0</v>
      </c>
      <c r="AV910" s="12" t="str">
        <f>IFERROR(VLOOKUP(Z910,ASIGNACION!$C$5:$H$94,6,0),"F/Fecha")</f>
        <v>F/Fecha</v>
      </c>
    </row>
    <row r="911" spans="36:48" x14ac:dyDescent="0.25">
      <c r="AJ911" s="12"/>
      <c r="AK911" s="12"/>
      <c r="AL911" s="12" t="str">
        <f>IFERROR(VLOOKUP(Z911,ASIGNACION!$C$5:$G$94,5,0),"S/TIPO")</f>
        <v>S/TIPO</v>
      </c>
      <c r="AM911" s="12" t="str">
        <f>IFERROR(VLOOKUP(Z911,ASIGNACION!$C$5:$S$94,17,0),"S/TIPO")</f>
        <v>S/TIPO</v>
      </c>
      <c r="AN911" s="12"/>
      <c r="AO911" s="12"/>
      <c r="AP911" s="12"/>
      <c r="AQ911" s="12"/>
      <c r="AR911" s="12" t="e">
        <f t="shared" si="14"/>
        <v>#N/A</v>
      </c>
      <c r="AS911" s="12" t="str">
        <f>IFERROR(VLOOKUP(Z911,ASIGNACION!$C$5:$E$94,3,0),"S/MARCA")</f>
        <v>S/MARCA</v>
      </c>
      <c r="AT911" s="12" t="str">
        <f>IFERROR(VLOOKUP(Z911,ASIGNACION!$C$5:$F$94,4,0),"S/MODELO")</f>
        <v>S/MODELO</v>
      </c>
      <c r="AU911" s="12">
        <f>SUMIF(ASIGNACION!$C$5:$C$94,Z911,ASIGNACION!$R$5:$R$94)*'Costos x MO'!$B$7</f>
        <v>0</v>
      </c>
      <c r="AV911" s="12" t="str">
        <f>IFERROR(VLOOKUP(Z911,ASIGNACION!$C$5:$H$94,6,0),"F/Fecha")</f>
        <v>F/Fecha</v>
      </c>
    </row>
    <row r="912" spans="36:48" x14ac:dyDescent="0.25">
      <c r="AJ912" s="12"/>
      <c r="AK912" s="12"/>
      <c r="AL912" s="12" t="str">
        <f>IFERROR(VLOOKUP(Z912,ASIGNACION!$C$5:$G$94,5,0),"S/TIPO")</f>
        <v>S/TIPO</v>
      </c>
      <c r="AM912" s="12" t="str">
        <f>IFERROR(VLOOKUP(Z912,ASIGNACION!$C$5:$S$94,17,0),"S/TIPO")</f>
        <v>S/TIPO</v>
      </c>
      <c r="AN912" s="12"/>
      <c r="AO912" s="12"/>
      <c r="AP912" s="12"/>
      <c r="AQ912" s="12"/>
      <c r="AR912" s="12" t="e">
        <f t="shared" si="14"/>
        <v>#N/A</v>
      </c>
      <c r="AS912" s="12" t="str">
        <f>IFERROR(VLOOKUP(Z912,ASIGNACION!$C$5:$E$94,3,0),"S/MARCA")</f>
        <v>S/MARCA</v>
      </c>
      <c r="AT912" s="12" t="str">
        <f>IFERROR(VLOOKUP(Z912,ASIGNACION!$C$5:$F$94,4,0),"S/MODELO")</f>
        <v>S/MODELO</v>
      </c>
      <c r="AU912" s="12">
        <f>SUMIF(ASIGNACION!$C$5:$C$94,Z912,ASIGNACION!$R$5:$R$94)*'Costos x MO'!$B$7</f>
        <v>0</v>
      </c>
      <c r="AV912" s="12" t="str">
        <f>IFERROR(VLOOKUP(Z912,ASIGNACION!$C$5:$H$94,6,0),"F/Fecha")</f>
        <v>F/Fecha</v>
      </c>
    </row>
    <row r="913" spans="36:48" x14ac:dyDescent="0.25">
      <c r="AJ913" s="12"/>
      <c r="AK913" s="12"/>
      <c r="AL913" s="12" t="str">
        <f>IFERROR(VLOOKUP(Z913,ASIGNACION!$C$5:$G$94,5,0),"S/TIPO")</f>
        <v>S/TIPO</v>
      </c>
      <c r="AM913" s="12" t="str">
        <f>IFERROR(VLOOKUP(Z913,ASIGNACION!$C$5:$S$94,17,0),"S/TIPO")</f>
        <v>S/TIPO</v>
      </c>
      <c r="AN913" s="12"/>
      <c r="AO913" s="12"/>
      <c r="AP913" s="12"/>
      <c r="AQ913" s="12"/>
      <c r="AR913" s="12" t="e">
        <f t="shared" si="14"/>
        <v>#N/A</v>
      </c>
      <c r="AS913" s="12" t="str">
        <f>IFERROR(VLOOKUP(Z913,ASIGNACION!$C$5:$E$94,3,0),"S/MARCA")</f>
        <v>S/MARCA</v>
      </c>
      <c r="AT913" s="12" t="str">
        <f>IFERROR(VLOOKUP(Z913,ASIGNACION!$C$5:$F$94,4,0),"S/MODELO")</f>
        <v>S/MODELO</v>
      </c>
      <c r="AU913" s="12">
        <f>SUMIF(ASIGNACION!$C$5:$C$94,Z913,ASIGNACION!$R$5:$R$94)*'Costos x MO'!$B$7</f>
        <v>0</v>
      </c>
      <c r="AV913" s="12" t="str">
        <f>IFERROR(VLOOKUP(Z913,ASIGNACION!$C$5:$H$94,6,0),"F/Fecha")</f>
        <v>F/Fecha</v>
      </c>
    </row>
    <row r="914" spans="36:48" x14ac:dyDescent="0.25">
      <c r="AJ914" s="12"/>
      <c r="AK914" s="12"/>
      <c r="AL914" s="12" t="str">
        <f>IFERROR(VLOOKUP(Z914,ASIGNACION!$C$5:$G$94,5,0),"S/TIPO")</f>
        <v>S/TIPO</v>
      </c>
      <c r="AM914" s="12" t="str">
        <f>IFERROR(VLOOKUP(Z914,ASIGNACION!$C$5:$S$94,17,0),"S/TIPO")</f>
        <v>S/TIPO</v>
      </c>
      <c r="AN914" s="12"/>
      <c r="AO914" s="12"/>
      <c r="AP914" s="12"/>
      <c r="AQ914" s="12"/>
      <c r="AR914" s="12" t="e">
        <f t="shared" si="14"/>
        <v>#N/A</v>
      </c>
      <c r="AS914" s="12" t="str">
        <f>IFERROR(VLOOKUP(Z914,ASIGNACION!$C$5:$E$94,3,0),"S/MARCA")</f>
        <v>S/MARCA</v>
      </c>
      <c r="AT914" s="12" t="str">
        <f>IFERROR(VLOOKUP(Z914,ASIGNACION!$C$5:$F$94,4,0),"S/MODELO")</f>
        <v>S/MODELO</v>
      </c>
      <c r="AU914" s="12">
        <f>SUMIF(ASIGNACION!$C$5:$C$94,Z914,ASIGNACION!$R$5:$R$94)*'Costos x MO'!$B$7</f>
        <v>0</v>
      </c>
      <c r="AV914" s="12" t="str">
        <f>IFERROR(VLOOKUP(Z914,ASIGNACION!$C$5:$H$94,6,0),"F/Fecha")</f>
        <v>F/Fecha</v>
      </c>
    </row>
    <row r="915" spans="36:48" x14ac:dyDescent="0.25">
      <c r="AJ915" s="12"/>
      <c r="AK915" s="12"/>
      <c r="AL915" s="12" t="str">
        <f>IFERROR(VLOOKUP(Z915,ASIGNACION!$C$5:$G$94,5,0),"S/TIPO")</f>
        <v>S/TIPO</v>
      </c>
      <c r="AM915" s="12" t="str">
        <f>IFERROR(VLOOKUP(Z915,ASIGNACION!$C$5:$S$94,17,0),"S/TIPO")</f>
        <v>S/TIPO</v>
      </c>
      <c r="AN915" s="12"/>
      <c r="AO915" s="12"/>
      <c r="AP915" s="12"/>
      <c r="AQ915" s="12"/>
      <c r="AR915" s="12" t="e">
        <f t="shared" si="14"/>
        <v>#N/A</v>
      </c>
      <c r="AS915" s="12" t="str">
        <f>IFERROR(VLOOKUP(Z915,ASIGNACION!$C$5:$E$94,3,0),"S/MARCA")</f>
        <v>S/MARCA</v>
      </c>
      <c r="AT915" s="12" t="str">
        <f>IFERROR(VLOOKUP(Z915,ASIGNACION!$C$5:$F$94,4,0),"S/MODELO")</f>
        <v>S/MODELO</v>
      </c>
      <c r="AU915" s="12">
        <f>SUMIF(ASIGNACION!$C$5:$C$94,Z915,ASIGNACION!$R$5:$R$94)*'Costos x MO'!$B$7</f>
        <v>0</v>
      </c>
      <c r="AV915" s="12" t="str">
        <f>IFERROR(VLOOKUP(Z915,ASIGNACION!$C$5:$H$94,6,0),"F/Fecha")</f>
        <v>F/Fecha</v>
      </c>
    </row>
    <row r="916" spans="36:48" x14ac:dyDescent="0.25">
      <c r="AJ916" s="12"/>
      <c r="AK916" s="12"/>
      <c r="AL916" s="12" t="str">
        <f>IFERROR(VLOOKUP(Z916,ASIGNACION!$C$5:$G$94,5,0),"S/TIPO")</f>
        <v>S/TIPO</v>
      </c>
      <c r="AM916" s="12" t="str">
        <f>IFERROR(VLOOKUP(Z916,ASIGNACION!$C$5:$S$94,17,0),"S/TIPO")</f>
        <v>S/TIPO</v>
      </c>
      <c r="AN916" s="12"/>
      <c r="AO916" s="12"/>
      <c r="AP916" s="12"/>
      <c r="AQ916" s="12"/>
      <c r="AR916" s="12" t="e">
        <f t="shared" si="14"/>
        <v>#N/A</v>
      </c>
      <c r="AS916" s="12" t="str">
        <f>IFERROR(VLOOKUP(Z916,ASIGNACION!$C$5:$E$94,3,0),"S/MARCA")</f>
        <v>S/MARCA</v>
      </c>
      <c r="AT916" s="12" t="str">
        <f>IFERROR(VLOOKUP(Z916,ASIGNACION!$C$5:$F$94,4,0),"S/MODELO")</f>
        <v>S/MODELO</v>
      </c>
      <c r="AU916" s="12">
        <f>SUMIF(ASIGNACION!$C$5:$C$94,Z916,ASIGNACION!$R$5:$R$94)*'Costos x MO'!$B$7</f>
        <v>0</v>
      </c>
      <c r="AV916" s="12" t="str">
        <f>IFERROR(VLOOKUP(Z916,ASIGNACION!$C$5:$H$94,6,0),"F/Fecha")</f>
        <v>F/Fecha</v>
      </c>
    </row>
    <row r="917" spans="36:48" x14ac:dyDescent="0.25">
      <c r="AJ917" s="12"/>
      <c r="AK917" s="12"/>
      <c r="AL917" s="12" t="str">
        <f>IFERROR(VLOOKUP(Z917,ASIGNACION!$C$5:$G$94,5,0),"S/TIPO")</f>
        <v>S/TIPO</v>
      </c>
      <c r="AM917" s="12" t="str">
        <f>IFERROR(VLOOKUP(Z917,ASIGNACION!$C$5:$S$94,17,0),"S/TIPO")</f>
        <v>S/TIPO</v>
      </c>
      <c r="AN917" s="12"/>
      <c r="AO917" s="12"/>
      <c r="AP917" s="12"/>
      <c r="AQ917" s="12"/>
      <c r="AR917" s="12" t="e">
        <f t="shared" si="14"/>
        <v>#N/A</v>
      </c>
      <c r="AS917" s="12" t="str">
        <f>IFERROR(VLOOKUP(Z917,ASIGNACION!$C$5:$E$94,3,0),"S/MARCA")</f>
        <v>S/MARCA</v>
      </c>
      <c r="AT917" s="12" t="str">
        <f>IFERROR(VLOOKUP(Z917,ASIGNACION!$C$5:$F$94,4,0),"S/MODELO")</f>
        <v>S/MODELO</v>
      </c>
      <c r="AU917" s="12">
        <f>SUMIF(ASIGNACION!$C$5:$C$94,Z917,ASIGNACION!$R$5:$R$94)*'Costos x MO'!$B$7</f>
        <v>0</v>
      </c>
      <c r="AV917" s="12" t="str">
        <f>IFERROR(VLOOKUP(Z917,ASIGNACION!$C$5:$H$94,6,0),"F/Fecha")</f>
        <v>F/Fecha</v>
      </c>
    </row>
    <row r="918" spans="36:48" x14ac:dyDescent="0.25">
      <c r="AJ918" s="12"/>
      <c r="AK918" s="12"/>
      <c r="AL918" s="12" t="str">
        <f>IFERROR(VLOOKUP(Z918,ASIGNACION!$C$5:$G$94,5,0),"S/TIPO")</f>
        <v>S/TIPO</v>
      </c>
      <c r="AM918" s="12" t="str">
        <f>IFERROR(VLOOKUP(Z918,ASIGNACION!$C$5:$S$94,17,0),"S/TIPO")</f>
        <v>S/TIPO</v>
      </c>
      <c r="AN918" s="12"/>
      <c r="AO918" s="12"/>
      <c r="AP918" s="12"/>
      <c r="AQ918" s="12"/>
      <c r="AR918" s="12" t="e">
        <f t="shared" si="14"/>
        <v>#N/A</v>
      </c>
      <c r="AS918" s="12" t="str">
        <f>IFERROR(VLOOKUP(Z918,ASIGNACION!$C$5:$E$94,3,0),"S/MARCA")</f>
        <v>S/MARCA</v>
      </c>
      <c r="AT918" s="12" t="str">
        <f>IFERROR(VLOOKUP(Z918,ASIGNACION!$C$5:$F$94,4,0),"S/MODELO")</f>
        <v>S/MODELO</v>
      </c>
      <c r="AU918" s="12">
        <f>SUMIF(ASIGNACION!$C$5:$C$94,Z918,ASIGNACION!$R$5:$R$94)*'Costos x MO'!$B$7</f>
        <v>0</v>
      </c>
      <c r="AV918" s="12" t="str">
        <f>IFERROR(VLOOKUP(Z918,ASIGNACION!$C$5:$H$94,6,0),"F/Fecha")</f>
        <v>F/Fecha</v>
      </c>
    </row>
    <row r="919" spans="36:48" x14ac:dyDescent="0.25">
      <c r="AJ919" s="12"/>
      <c r="AK919" s="12"/>
      <c r="AL919" s="12" t="str">
        <f>IFERROR(VLOOKUP(Z919,ASIGNACION!$C$5:$G$94,5,0),"S/TIPO")</f>
        <v>S/TIPO</v>
      </c>
      <c r="AM919" s="12" t="str">
        <f>IFERROR(VLOOKUP(Z919,ASIGNACION!$C$5:$S$94,17,0),"S/TIPO")</f>
        <v>S/TIPO</v>
      </c>
      <c r="AN919" s="12"/>
      <c r="AO919" s="12"/>
      <c r="AP919" s="12"/>
      <c r="AQ919" s="12"/>
      <c r="AR919" s="12" t="e">
        <f t="shared" si="14"/>
        <v>#N/A</v>
      </c>
      <c r="AS919" s="12" t="str">
        <f>IFERROR(VLOOKUP(Z919,ASIGNACION!$C$5:$E$94,3,0),"S/MARCA")</f>
        <v>S/MARCA</v>
      </c>
      <c r="AT919" s="12" t="str">
        <f>IFERROR(VLOOKUP(Z919,ASIGNACION!$C$5:$F$94,4,0),"S/MODELO")</f>
        <v>S/MODELO</v>
      </c>
      <c r="AU919" s="12">
        <f>SUMIF(ASIGNACION!$C$5:$C$94,Z919,ASIGNACION!$R$5:$R$94)*'Costos x MO'!$B$7</f>
        <v>0</v>
      </c>
      <c r="AV919" s="12" t="str">
        <f>IFERROR(VLOOKUP(Z919,ASIGNACION!$C$5:$H$94,6,0),"F/Fecha")</f>
        <v>F/Fecha</v>
      </c>
    </row>
    <row r="920" spans="36:48" x14ac:dyDescent="0.25">
      <c r="AJ920" s="12"/>
      <c r="AK920" s="12"/>
      <c r="AL920" s="12" t="str">
        <f>IFERROR(VLOOKUP(Z920,ASIGNACION!$C$5:$G$94,5,0),"S/TIPO")</f>
        <v>S/TIPO</v>
      </c>
      <c r="AM920" s="12" t="str">
        <f>IFERROR(VLOOKUP(Z920,ASIGNACION!$C$5:$S$94,17,0),"S/TIPO")</f>
        <v>S/TIPO</v>
      </c>
      <c r="AN920" s="12"/>
      <c r="AO920" s="12"/>
      <c r="AP920" s="12"/>
      <c r="AQ920" s="12"/>
      <c r="AR920" s="12" t="e">
        <f t="shared" si="14"/>
        <v>#N/A</v>
      </c>
      <c r="AS920" s="12" t="str">
        <f>IFERROR(VLOOKUP(Z920,ASIGNACION!$C$5:$E$94,3,0),"S/MARCA")</f>
        <v>S/MARCA</v>
      </c>
      <c r="AT920" s="12" t="str">
        <f>IFERROR(VLOOKUP(Z920,ASIGNACION!$C$5:$F$94,4,0),"S/MODELO")</f>
        <v>S/MODELO</v>
      </c>
      <c r="AU920" s="12">
        <f>SUMIF(ASIGNACION!$C$5:$C$94,Z920,ASIGNACION!$R$5:$R$94)*'Costos x MO'!$B$7</f>
        <v>0</v>
      </c>
      <c r="AV920" s="12" t="str">
        <f>IFERROR(VLOOKUP(Z920,ASIGNACION!$C$5:$H$94,6,0),"F/Fecha")</f>
        <v>F/Fecha</v>
      </c>
    </row>
    <row r="921" spans="36:48" x14ac:dyDescent="0.25">
      <c r="AJ921" s="12"/>
      <c r="AK921" s="12"/>
      <c r="AL921" s="12" t="str">
        <f>IFERROR(VLOOKUP(Z921,ASIGNACION!$C$5:$G$94,5,0),"S/TIPO")</f>
        <v>S/TIPO</v>
      </c>
      <c r="AM921" s="12" t="str">
        <f>IFERROR(VLOOKUP(Z921,ASIGNACION!$C$5:$S$94,17,0),"S/TIPO")</f>
        <v>S/TIPO</v>
      </c>
      <c r="AN921" s="12"/>
      <c r="AO921" s="12"/>
      <c r="AP921" s="12"/>
      <c r="AQ921" s="12"/>
      <c r="AR921" s="12" t="e">
        <f t="shared" si="14"/>
        <v>#N/A</v>
      </c>
      <c r="AS921" s="12" t="str">
        <f>IFERROR(VLOOKUP(Z921,ASIGNACION!$C$5:$E$94,3,0),"S/MARCA")</f>
        <v>S/MARCA</v>
      </c>
      <c r="AT921" s="12" t="str">
        <f>IFERROR(VLOOKUP(Z921,ASIGNACION!$C$5:$F$94,4,0),"S/MODELO")</f>
        <v>S/MODELO</v>
      </c>
      <c r="AU921" s="12">
        <f>SUMIF(ASIGNACION!$C$5:$C$94,Z921,ASIGNACION!$R$5:$R$94)*'Costos x MO'!$B$7</f>
        <v>0</v>
      </c>
      <c r="AV921" s="12" t="str">
        <f>IFERROR(VLOOKUP(Z921,ASIGNACION!$C$5:$H$94,6,0),"F/Fecha")</f>
        <v>F/Fecha</v>
      </c>
    </row>
    <row r="922" spans="36:48" x14ac:dyDescent="0.25">
      <c r="AJ922" s="12"/>
      <c r="AK922" s="12"/>
      <c r="AL922" s="12" t="str">
        <f>IFERROR(VLOOKUP(Z922,ASIGNACION!$C$5:$G$94,5,0),"S/TIPO")</f>
        <v>S/TIPO</v>
      </c>
      <c r="AM922" s="12" t="str">
        <f>IFERROR(VLOOKUP(Z922,ASIGNACION!$C$5:$S$94,17,0),"S/TIPO")</f>
        <v>S/TIPO</v>
      </c>
      <c r="AN922" s="12"/>
      <c r="AO922" s="12"/>
      <c r="AP922" s="12"/>
      <c r="AQ922" s="12"/>
      <c r="AR922" s="12" t="e">
        <f t="shared" si="14"/>
        <v>#N/A</v>
      </c>
      <c r="AS922" s="12" t="str">
        <f>IFERROR(VLOOKUP(Z922,ASIGNACION!$C$5:$E$94,3,0),"S/MARCA")</f>
        <v>S/MARCA</v>
      </c>
      <c r="AT922" s="12" t="str">
        <f>IFERROR(VLOOKUP(Z922,ASIGNACION!$C$5:$F$94,4,0),"S/MODELO")</f>
        <v>S/MODELO</v>
      </c>
      <c r="AU922" s="12">
        <f>SUMIF(ASIGNACION!$C$5:$C$94,Z922,ASIGNACION!$R$5:$R$94)*'Costos x MO'!$B$7</f>
        <v>0</v>
      </c>
      <c r="AV922" s="12" t="str">
        <f>IFERROR(VLOOKUP(Z922,ASIGNACION!$C$5:$H$94,6,0),"F/Fecha")</f>
        <v>F/Fecha</v>
      </c>
    </row>
    <row r="923" spans="36:48" x14ac:dyDescent="0.25">
      <c r="AJ923" s="12"/>
      <c r="AK923" s="12"/>
      <c r="AL923" s="12" t="str">
        <f>IFERROR(VLOOKUP(Z923,ASIGNACION!$C$5:$G$94,5,0),"S/TIPO")</f>
        <v>S/TIPO</v>
      </c>
      <c r="AM923" s="12" t="str">
        <f>IFERROR(VLOOKUP(Z923,ASIGNACION!$C$5:$S$94,17,0),"S/TIPO")</f>
        <v>S/TIPO</v>
      </c>
      <c r="AN923" s="12"/>
      <c r="AO923" s="12"/>
      <c r="AP923" s="12"/>
      <c r="AQ923" s="12"/>
      <c r="AR923" s="12" t="e">
        <f t="shared" si="14"/>
        <v>#N/A</v>
      </c>
      <c r="AS923" s="12" t="str">
        <f>IFERROR(VLOOKUP(Z923,ASIGNACION!$C$5:$E$94,3,0),"S/MARCA")</f>
        <v>S/MARCA</v>
      </c>
      <c r="AT923" s="12" t="str">
        <f>IFERROR(VLOOKUP(Z923,ASIGNACION!$C$5:$F$94,4,0),"S/MODELO")</f>
        <v>S/MODELO</v>
      </c>
      <c r="AU923" s="12">
        <f>SUMIF(ASIGNACION!$C$5:$C$94,Z923,ASIGNACION!$R$5:$R$94)*'Costos x MO'!$B$7</f>
        <v>0</v>
      </c>
      <c r="AV923" s="12" t="str">
        <f>IFERROR(VLOOKUP(Z923,ASIGNACION!$C$5:$H$94,6,0),"F/Fecha")</f>
        <v>F/Fecha</v>
      </c>
    </row>
    <row r="924" spans="36:48" x14ac:dyDescent="0.25">
      <c r="AJ924" s="12"/>
      <c r="AK924" s="12"/>
      <c r="AL924" s="12" t="str">
        <f>IFERROR(VLOOKUP(Z924,ASIGNACION!$C$5:$G$94,5,0),"S/TIPO")</f>
        <v>S/TIPO</v>
      </c>
      <c r="AM924" s="12" t="str">
        <f>IFERROR(VLOOKUP(Z924,ASIGNACION!$C$5:$S$94,17,0),"S/TIPO")</f>
        <v>S/TIPO</v>
      </c>
      <c r="AN924" s="12"/>
      <c r="AO924" s="12"/>
      <c r="AP924" s="12"/>
      <c r="AQ924" s="12"/>
      <c r="AR924" s="12" t="e">
        <f t="shared" si="14"/>
        <v>#N/A</v>
      </c>
      <c r="AS924" s="12" t="str">
        <f>IFERROR(VLOOKUP(Z924,ASIGNACION!$C$5:$E$94,3,0),"S/MARCA")</f>
        <v>S/MARCA</v>
      </c>
      <c r="AT924" s="12" t="str">
        <f>IFERROR(VLOOKUP(Z924,ASIGNACION!$C$5:$F$94,4,0),"S/MODELO")</f>
        <v>S/MODELO</v>
      </c>
      <c r="AU924" s="12">
        <f>SUMIF(ASIGNACION!$C$5:$C$94,Z924,ASIGNACION!$R$5:$R$94)*'Costos x MO'!$B$7</f>
        <v>0</v>
      </c>
      <c r="AV924" s="12" t="str">
        <f>IFERROR(VLOOKUP(Z924,ASIGNACION!$C$5:$H$94,6,0),"F/Fecha")</f>
        <v>F/Fecha</v>
      </c>
    </row>
    <row r="925" spans="36:48" x14ac:dyDescent="0.25">
      <c r="AJ925" s="12"/>
      <c r="AK925" s="12"/>
      <c r="AL925" s="12" t="str">
        <f>IFERROR(VLOOKUP(Z925,ASIGNACION!$C$5:$G$94,5,0),"S/TIPO")</f>
        <v>S/TIPO</v>
      </c>
      <c r="AM925" s="12" t="str">
        <f>IFERROR(VLOOKUP(Z925,ASIGNACION!$C$5:$S$94,17,0),"S/TIPO")</f>
        <v>S/TIPO</v>
      </c>
      <c r="AN925" s="12"/>
      <c r="AO925" s="12"/>
      <c r="AP925" s="12"/>
      <c r="AQ925" s="12"/>
      <c r="AR925" s="12" t="e">
        <f t="shared" si="14"/>
        <v>#N/A</v>
      </c>
      <c r="AS925" s="12" t="str">
        <f>IFERROR(VLOOKUP(Z925,ASIGNACION!$C$5:$E$94,3,0),"S/MARCA")</f>
        <v>S/MARCA</v>
      </c>
      <c r="AT925" s="12" t="str">
        <f>IFERROR(VLOOKUP(Z925,ASIGNACION!$C$5:$F$94,4,0),"S/MODELO")</f>
        <v>S/MODELO</v>
      </c>
      <c r="AU925" s="12">
        <f>SUMIF(ASIGNACION!$C$5:$C$94,Z925,ASIGNACION!$R$5:$R$94)*'Costos x MO'!$B$7</f>
        <v>0</v>
      </c>
      <c r="AV925" s="12" t="str">
        <f>IFERROR(VLOOKUP(Z925,ASIGNACION!$C$5:$H$94,6,0),"F/Fecha")</f>
        <v>F/Fecha</v>
      </c>
    </row>
    <row r="926" spans="36:48" x14ac:dyDescent="0.25">
      <c r="AJ926" s="12"/>
      <c r="AK926" s="12"/>
      <c r="AL926" s="12" t="str">
        <f>IFERROR(VLOOKUP(Z926,ASIGNACION!$C$5:$G$94,5,0),"S/TIPO")</f>
        <v>S/TIPO</v>
      </c>
      <c r="AM926" s="12" t="str">
        <f>IFERROR(VLOOKUP(Z926,ASIGNACION!$C$5:$S$94,17,0),"S/TIPO")</f>
        <v>S/TIPO</v>
      </c>
      <c r="AN926" s="12"/>
      <c r="AO926" s="12"/>
      <c r="AP926" s="12"/>
      <c r="AQ926" s="12"/>
      <c r="AR926" s="12" t="e">
        <f t="shared" si="14"/>
        <v>#N/A</v>
      </c>
      <c r="AS926" s="12" t="str">
        <f>IFERROR(VLOOKUP(Z926,ASIGNACION!$C$5:$E$94,3,0),"S/MARCA")</f>
        <v>S/MARCA</v>
      </c>
      <c r="AT926" s="12" t="str">
        <f>IFERROR(VLOOKUP(Z926,ASIGNACION!$C$5:$F$94,4,0),"S/MODELO")</f>
        <v>S/MODELO</v>
      </c>
      <c r="AU926" s="12">
        <f>SUMIF(ASIGNACION!$C$5:$C$94,Z926,ASIGNACION!$R$5:$R$94)*'Costos x MO'!$B$7</f>
        <v>0</v>
      </c>
      <c r="AV926" s="12" t="str">
        <f>IFERROR(VLOOKUP(Z926,ASIGNACION!$C$5:$H$94,6,0),"F/Fecha")</f>
        <v>F/Fecha</v>
      </c>
    </row>
    <row r="927" spans="36:48" x14ac:dyDescent="0.25">
      <c r="AJ927" s="12"/>
      <c r="AK927" s="12"/>
      <c r="AL927" s="12" t="str">
        <f>IFERROR(VLOOKUP(Z927,ASIGNACION!$C$5:$G$94,5,0),"S/TIPO")</f>
        <v>S/TIPO</v>
      </c>
      <c r="AM927" s="12" t="str">
        <f>IFERROR(VLOOKUP(Z927,ASIGNACION!$C$5:$S$94,17,0),"S/TIPO")</f>
        <v>S/TIPO</v>
      </c>
      <c r="AN927" s="12"/>
      <c r="AO927" s="12"/>
      <c r="AP927" s="12"/>
      <c r="AQ927" s="12"/>
      <c r="AR927" s="12" t="e">
        <f t="shared" si="14"/>
        <v>#N/A</v>
      </c>
      <c r="AS927" s="12" t="str">
        <f>IFERROR(VLOOKUP(Z927,ASIGNACION!$C$5:$E$94,3,0),"S/MARCA")</f>
        <v>S/MARCA</v>
      </c>
      <c r="AT927" s="12" t="str">
        <f>IFERROR(VLOOKUP(Z927,ASIGNACION!$C$5:$F$94,4,0),"S/MODELO")</f>
        <v>S/MODELO</v>
      </c>
      <c r="AU927" s="12">
        <f>SUMIF(ASIGNACION!$C$5:$C$94,Z927,ASIGNACION!$R$5:$R$94)*'Costos x MO'!$B$7</f>
        <v>0</v>
      </c>
      <c r="AV927" s="12" t="str">
        <f>IFERROR(VLOOKUP(Z927,ASIGNACION!$C$5:$H$94,6,0),"F/Fecha")</f>
        <v>F/Fecha</v>
      </c>
    </row>
    <row r="928" spans="36:48" x14ac:dyDescent="0.25">
      <c r="AJ928" s="12"/>
      <c r="AK928" s="12"/>
      <c r="AL928" s="12" t="str">
        <f>IFERROR(VLOOKUP(Z928,ASIGNACION!$C$5:$G$94,5,0),"S/TIPO")</f>
        <v>S/TIPO</v>
      </c>
      <c r="AM928" s="12" t="str">
        <f>IFERROR(VLOOKUP(Z928,ASIGNACION!$C$5:$S$94,17,0),"S/TIPO")</f>
        <v>S/TIPO</v>
      </c>
      <c r="AN928" s="12"/>
      <c r="AO928" s="12"/>
      <c r="AP928" s="12"/>
      <c r="AQ928" s="12"/>
      <c r="AR928" s="12" t="e">
        <f t="shared" si="14"/>
        <v>#N/A</v>
      </c>
      <c r="AS928" s="12" t="str">
        <f>IFERROR(VLOOKUP(Z928,ASIGNACION!$C$5:$E$94,3,0),"S/MARCA")</f>
        <v>S/MARCA</v>
      </c>
      <c r="AT928" s="12" t="str">
        <f>IFERROR(VLOOKUP(Z928,ASIGNACION!$C$5:$F$94,4,0),"S/MODELO")</f>
        <v>S/MODELO</v>
      </c>
      <c r="AU928" s="12">
        <f>SUMIF(ASIGNACION!$C$5:$C$94,Z928,ASIGNACION!$R$5:$R$94)*'Costos x MO'!$B$7</f>
        <v>0</v>
      </c>
      <c r="AV928" s="12" t="str">
        <f>IFERROR(VLOOKUP(Z928,ASIGNACION!$C$5:$H$94,6,0),"F/Fecha")</f>
        <v>F/Fecha</v>
      </c>
    </row>
    <row r="929" spans="36:48" x14ac:dyDescent="0.25">
      <c r="AJ929" s="12"/>
      <c r="AK929" s="12"/>
      <c r="AL929" s="12" t="str">
        <f>IFERROR(VLOOKUP(Z929,ASIGNACION!$C$5:$G$94,5,0),"S/TIPO")</f>
        <v>S/TIPO</v>
      </c>
      <c r="AM929" s="12" t="str">
        <f>IFERROR(VLOOKUP(Z929,ASIGNACION!$C$5:$S$94,17,0),"S/TIPO")</f>
        <v>S/TIPO</v>
      </c>
      <c r="AN929" s="12"/>
      <c r="AO929" s="12"/>
      <c r="AP929" s="12"/>
      <c r="AQ929" s="12"/>
      <c r="AR929" s="12" t="e">
        <f t="shared" si="14"/>
        <v>#N/A</v>
      </c>
      <c r="AS929" s="12" t="str">
        <f>IFERROR(VLOOKUP(Z929,ASIGNACION!$C$5:$E$94,3,0),"S/MARCA")</f>
        <v>S/MARCA</v>
      </c>
      <c r="AT929" s="12" t="str">
        <f>IFERROR(VLOOKUP(Z929,ASIGNACION!$C$5:$F$94,4,0),"S/MODELO")</f>
        <v>S/MODELO</v>
      </c>
      <c r="AU929" s="12">
        <f>SUMIF(ASIGNACION!$C$5:$C$94,Z929,ASIGNACION!$R$5:$R$94)*'Costos x MO'!$B$7</f>
        <v>0</v>
      </c>
      <c r="AV929" s="12" t="str">
        <f>IFERROR(VLOOKUP(Z929,ASIGNACION!$C$5:$H$94,6,0),"F/Fecha")</f>
        <v>F/Fecha</v>
      </c>
    </row>
    <row r="930" spans="36:48" x14ac:dyDescent="0.25">
      <c r="AJ930" s="12"/>
      <c r="AK930" s="12"/>
      <c r="AL930" s="12" t="str">
        <f>IFERROR(VLOOKUP(Z930,ASIGNACION!$C$5:$G$94,5,0),"S/TIPO")</f>
        <v>S/TIPO</v>
      </c>
      <c r="AM930" s="12" t="str">
        <f>IFERROR(VLOOKUP(Z930,ASIGNACION!$C$5:$S$94,17,0),"S/TIPO")</f>
        <v>S/TIPO</v>
      </c>
      <c r="AN930" s="12"/>
      <c r="AO930" s="12"/>
      <c r="AP930" s="12"/>
      <c r="AQ930" s="12"/>
      <c r="AR930" s="12" t="e">
        <f t="shared" si="14"/>
        <v>#N/A</v>
      </c>
      <c r="AS930" s="12" t="str">
        <f>IFERROR(VLOOKUP(Z930,ASIGNACION!$C$5:$E$94,3,0),"S/MARCA")</f>
        <v>S/MARCA</v>
      </c>
      <c r="AT930" s="12" t="str">
        <f>IFERROR(VLOOKUP(Z930,ASIGNACION!$C$5:$F$94,4,0),"S/MODELO")</f>
        <v>S/MODELO</v>
      </c>
      <c r="AU930" s="12">
        <f>SUMIF(ASIGNACION!$C$5:$C$94,Z930,ASIGNACION!$R$5:$R$94)*'Costos x MO'!$B$7</f>
        <v>0</v>
      </c>
      <c r="AV930" s="12" t="str">
        <f>IFERROR(VLOOKUP(Z930,ASIGNACION!$C$5:$H$94,6,0),"F/Fecha")</f>
        <v>F/Fecha</v>
      </c>
    </row>
    <row r="931" spans="36:48" x14ac:dyDescent="0.25">
      <c r="AJ931" s="12"/>
      <c r="AK931" s="12"/>
      <c r="AL931" s="12" t="str">
        <f>IFERROR(VLOOKUP(Z931,ASIGNACION!$C$5:$G$94,5,0),"S/TIPO")</f>
        <v>S/TIPO</v>
      </c>
      <c r="AM931" s="12" t="str">
        <f>IFERROR(VLOOKUP(Z931,ASIGNACION!$C$5:$S$94,17,0),"S/TIPO")</f>
        <v>S/TIPO</v>
      </c>
      <c r="AN931" s="12"/>
      <c r="AO931" s="12"/>
      <c r="AP931" s="12"/>
      <c r="AQ931" s="12"/>
      <c r="AR931" s="12" t="e">
        <f t="shared" si="14"/>
        <v>#N/A</v>
      </c>
      <c r="AS931" s="12" t="str">
        <f>IFERROR(VLOOKUP(Z931,ASIGNACION!$C$5:$E$94,3,0),"S/MARCA")</f>
        <v>S/MARCA</v>
      </c>
      <c r="AT931" s="12" t="str">
        <f>IFERROR(VLOOKUP(Z931,ASIGNACION!$C$5:$F$94,4,0),"S/MODELO")</f>
        <v>S/MODELO</v>
      </c>
      <c r="AU931" s="12">
        <f>SUMIF(ASIGNACION!$C$5:$C$94,Z931,ASIGNACION!$R$5:$R$94)*'Costos x MO'!$B$7</f>
        <v>0</v>
      </c>
      <c r="AV931" s="12" t="str">
        <f>IFERROR(VLOOKUP(Z931,ASIGNACION!$C$5:$H$94,6,0),"F/Fecha")</f>
        <v>F/Fecha</v>
      </c>
    </row>
    <row r="932" spans="36:48" x14ac:dyDescent="0.25">
      <c r="AJ932" s="12"/>
      <c r="AK932" s="12"/>
      <c r="AL932" s="12" t="str">
        <f>IFERROR(VLOOKUP(Z932,ASIGNACION!$C$5:$G$94,5,0),"S/TIPO")</f>
        <v>S/TIPO</v>
      </c>
      <c r="AM932" s="12" t="str">
        <f>IFERROR(VLOOKUP(Z932,ASIGNACION!$C$5:$S$94,17,0),"S/TIPO")</f>
        <v>S/TIPO</v>
      </c>
      <c r="AN932" s="12"/>
      <c r="AO932" s="12"/>
      <c r="AP932" s="12"/>
      <c r="AQ932" s="12"/>
      <c r="AR932" s="12" t="e">
        <f t="shared" si="14"/>
        <v>#N/A</v>
      </c>
      <c r="AS932" s="12" t="str">
        <f>IFERROR(VLOOKUP(Z932,ASIGNACION!$C$5:$E$94,3,0),"S/MARCA")</f>
        <v>S/MARCA</v>
      </c>
      <c r="AT932" s="12" t="str">
        <f>IFERROR(VLOOKUP(Z932,ASIGNACION!$C$5:$F$94,4,0),"S/MODELO")</f>
        <v>S/MODELO</v>
      </c>
      <c r="AU932" s="12">
        <f>SUMIF(ASIGNACION!$C$5:$C$94,Z932,ASIGNACION!$R$5:$R$94)*'Costos x MO'!$B$7</f>
        <v>0</v>
      </c>
      <c r="AV932" s="12" t="str">
        <f>IFERROR(VLOOKUP(Z932,ASIGNACION!$C$5:$H$94,6,0),"F/Fecha")</f>
        <v>F/Fecha</v>
      </c>
    </row>
    <row r="933" spans="36:48" x14ac:dyDescent="0.25">
      <c r="AJ933" s="12"/>
      <c r="AK933" s="12"/>
      <c r="AL933" s="12" t="str">
        <f>IFERROR(VLOOKUP(Z933,ASIGNACION!$C$5:$G$94,5,0),"S/TIPO")</f>
        <v>S/TIPO</v>
      </c>
      <c r="AM933" s="12" t="str">
        <f>IFERROR(VLOOKUP(Z933,ASIGNACION!$C$5:$S$94,17,0),"S/TIPO")</f>
        <v>S/TIPO</v>
      </c>
      <c r="AN933" s="12"/>
      <c r="AO933" s="12"/>
      <c r="AP933" s="12"/>
      <c r="AQ933" s="12"/>
      <c r="AR933" s="12" t="e">
        <f t="shared" si="14"/>
        <v>#N/A</v>
      </c>
      <c r="AS933" s="12" t="str">
        <f>IFERROR(VLOOKUP(Z933,ASIGNACION!$C$5:$E$94,3,0),"S/MARCA")</f>
        <v>S/MARCA</v>
      </c>
      <c r="AT933" s="12" t="str">
        <f>IFERROR(VLOOKUP(Z933,ASIGNACION!$C$5:$F$94,4,0),"S/MODELO")</f>
        <v>S/MODELO</v>
      </c>
      <c r="AU933" s="12">
        <f>SUMIF(ASIGNACION!$C$5:$C$94,Z933,ASIGNACION!$R$5:$R$94)*'Costos x MO'!$B$7</f>
        <v>0</v>
      </c>
      <c r="AV933" s="12" t="str">
        <f>IFERROR(VLOOKUP(Z933,ASIGNACION!$C$5:$H$94,6,0),"F/Fecha")</f>
        <v>F/Fecha</v>
      </c>
    </row>
    <row r="934" spans="36:48" x14ac:dyDescent="0.25">
      <c r="AJ934" s="12"/>
      <c r="AK934" s="12"/>
      <c r="AL934" s="12" t="str">
        <f>IFERROR(VLOOKUP(Z934,ASIGNACION!$C$5:$G$94,5,0),"S/TIPO")</f>
        <v>S/TIPO</v>
      </c>
      <c r="AM934" s="12" t="str">
        <f>IFERROR(VLOOKUP(Z934,ASIGNACION!$C$5:$S$94,17,0),"S/TIPO")</f>
        <v>S/TIPO</v>
      </c>
      <c r="AN934" s="12"/>
      <c r="AO934" s="12"/>
      <c r="AP934" s="12"/>
      <c r="AQ934" s="12"/>
      <c r="AR934" s="12" t="e">
        <f t="shared" si="14"/>
        <v>#N/A</v>
      </c>
      <c r="AS934" s="12" t="str">
        <f>IFERROR(VLOOKUP(Z934,ASIGNACION!$C$5:$E$94,3,0),"S/MARCA")</f>
        <v>S/MARCA</v>
      </c>
      <c r="AT934" s="12" t="str">
        <f>IFERROR(VLOOKUP(Z934,ASIGNACION!$C$5:$F$94,4,0),"S/MODELO")</f>
        <v>S/MODELO</v>
      </c>
      <c r="AU934" s="12">
        <f>SUMIF(ASIGNACION!$C$5:$C$94,Z934,ASIGNACION!$R$5:$R$94)*'Costos x MO'!$B$7</f>
        <v>0</v>
      </c>
      <c r="AV934" s="12" t="str">
        <f>IFERROR(VLOOKUP(Z934,ASIGNACION!$C$5:$H$94,6,0),"F/Fecha")</f>
        <v>F/Fecha</v>
      </c>
    </row>
    <row r="935" spans="36:48" x14ac:dyDescent="0.25">
      <c r="AJ935" s="12"/>
      <c r="AK935" s="12"/>
      <c r="AL935" s="12" t="str">
        <f>IFERROR(VLOOKUP(Z935,ASIGNACION!$C$5:$G$94,5,0),"S/TIPO")</f>
        <v>S/TIPO</v>
      </c>
      <c r="AM935" s="12" t="str">
        <f>IFERROR(VLOOKUP(Z935,ASIGNACION!$C$5:$S$94,17,0),"S/TIPO")</f>
        <v>S/TIPO</v>
      </c>
      <c r="AN935" s="12"/>
      <c r="AO935" s="12"/>
      <c r="AP935" s="12"/>
      <c r="AQ935" s="12"/>
      <c r="AR935" s="12" t="e">
        <f t="shared" si="14"/>
        <v>#N/A</v>
      </c>
      <c r="AS935" s="12" t="str">
        <f>IFERROR(VLOOKUP(Z935,ASIGNACION!$C$5:$E$94,3,0),"S/MARCA")</f>
        <v>S/MARCA</v>
      </c>
      <c r="AT935" s="12" t="str">
        <f>IFERROR(VLOOKUP(Z935,ASIGNACION!$C$5:$F$94,4,0),"S/MODELO")</f>
        <v>S/MODELO</v>
      </c>
      <c r="AU935" s="12">
        <f>SUMIF(ASIGNACION!$C$5:$C$94,Z935,ASIGNACION!$R$5:$R$94)*'Costos x MO'!$B$7</f>
        <v>0</v>
      </c>
      <c r="AV935" s="12" t="str">
        <f>IFERROR(VLOOKUP(Z935,ASIGNACION!$C$5:$H$94,6,0),"F/Fecha")</f>
        <v>F/Fecha</v>
      </c>
    </row>
    <row r="936" spans="36:48" x14ac:dyDescent="0.25">
      <c r="AJ936" s="12"/>
      <c r="AK936" s="12"/>
      <c r="AL936" s="12" t="str">
        <f>IFERROR(VLOOKUP(Z936,ASIGNACION!$C$5:$G$94,5,0),"S/TIPO")</f>
        <v>S/TIPO</v>
      </c>
      <c r="AM936" s="12" t="str">
        <f>IFERROR(VLOOKUP(Z936,ASIGNACION!$C$5:$S$94,17,0),"S/TIPO")</f>
        <v>S/TIPO</v>
      </c>
      <c r="AN936" s="12"/>
      <c r="AO936" s="12"/>
      <c r="AP936" s="12"/>
      <c r="AQ936" s="12"/>
      <c r="AR936" s="12" t="e">
        <f t="shared" si="14"/>
        <v>#N/A</v>
      </c>
      <c r="AS936" s="12" t="str">
        <f>IFERROR(VLOOKUP(Z936,ASIGNACION!$C$5:$E$94,3,0),"S/MARCA")</f>
        <v>S/MARCA</v>
      </c>
      <c r="AT936" s="12" t="str">
        <f>IFERROR(VLOOKUP(Z936,ASIGNACION!$C$5:$F$94,4,0),"S/MODELO")</f>
        <v>S/MODELO</v>
      </c>
      <c r="AU936" s="12">
        <f>SUMIF(ASIGNACION!$C$5:$C$94,Z936,ASIGNACION!$R$5:$R$94)*'Costos x MO'!$B$7</f>
        <v>0</v>
      </c>
      <c r="AV936" s="12" t="str">
        <f>IFERROR(VLOOKUP(Z936,ASIGNACION!$C$5:$H$94,6,0),"F/Fecha")</f>
        <v>F/Fecha</v>
      </c>
    </row>
    <row r="937" spans="36:48" x14ac:dyDescent="0.25">
      <c r="AJ937" s="12"/>
      <c r="AK937" s="12"/>
      <c r="AL937" s="12" t="str">
        <f>IFERROR(VLOOKUP(Z937,ASIGNACION!$C$5:$G$94,5,0),"S/TIPO")</f>
        <v>S/TIPO</v>
      </c>
      <c r="AM937" s="12" t="str">
        <f>IFERROR(VLOOKUP(Z937,ASIGNACION!$C$5:$S$94,17,0),"S/TIPO")</f>
        <v>S/TIPO</v>
      </c>
      <c r="AN937" s="12"/>
      <c r="AO937" s="12"/>
      <c r="AP937" s="12"/>
      <c r="AQ937" s="12"/>
      <c r="AR937" s="12" t="e">
        <f t="shared" si="14"/>
        <v>#N/A</v>
      </c>
      <c r="AS937" s="12" t="str">
        <f>IFERROR(VLOOKUP(Z937,ASIGNACION!$C$5:$E$94,3,0),"S/MARCA")</f>
        <v>S/MARCA</v>
      </c>
      <c r="AT937" s="12" t="str">
        <f>IFERROR(VLOOKUP(Z937,ASIGNACION!$C$5:$F$94,4,0),"S/MODELO")</f>
        <v>S/MODELO</v>
      </c>
      <c r="AU937" s="12">
        <f>SUMIF(ASIGNACION!$C$5:$C$94,Z937,ASIGNACION!$R$5:$R$94)*'Costos x MO'!$B$7</f>
        <v>0</v>
      </c>
      <c r="AV937" s="12" t="str">
        <f>IFERROR(VLOOKUP(Z937,ASIGNACION!$C$5:$H$94,6,0),"F/Fecha")</f>
        <v>F/Fecha</v>
      </c>
    </row>
    <row r="938" spans="36:48" x14ac:dyDescent="0.25">
      <c r="AJ938" s="12"/>
      <c r="AK938" s="12"/>
      <c r="AL938" s="12" t="str">
        <f>IFERROR(VLOOKUP(Z938,ASIGNACION!$C$5:$G$94,5,0),"S/TIPO")</f>
        <v>S/TIPO</v>
      </c>
      <c r="AM938" s="12" t="str">
        <f>IFERROR(VLOOKUP(Z938,ASIGNACION!$C$5:$S$94,17,0),"S/TIPO")</f>
        <v>S/TIPO</v>
      </c>
      <c r="AN938" s="12"/>
      <c r="AO938" s="12"/>
      <c r="AP938" s="12"/>
      <c r="AQ938" s="12"/>
      <c r="AR938" s="12" t="e">
        <f t="shared" si="14"/>
        <v>#N/A</v>
      </c>
      <c r="AS938" s="12" t="str">
        <f>IFERROR(VLOOKUP(Z938,ASIGNACION!$C$5:$E$94,3,0),"S/MARCA")</f>
        <v>S/MARCA</v>
      </c>
      <c r="AT938" s="12" t="str">
        <f>IFERROR(VLOOKUP(Z938,ASIGNACION!$C$5:$F$94,4,0),"S/MODELO")</f>
        <v>S/MODELO</v>
      </c>
      <c r="AU938" s="12">
        <f>SUMIF(ASIGNACION!$C$5:$C$94,Z938,ASIGNACION!$R$5:$R$94)*'Costos x MO'!$B$7</f>
        <v>0</v>
      </c>
      <c r="AV938" s="12" t="str">
        <f>IFERROR(VLOOKUP(Z938,ASIGNACION!$C$5:$H$94,6,0),"F/Fecha")</f>
        <v>F/Fecha</v>
      </c>
    </row>
    <row r="939" spans="36:48" x14ac:dyDescent="0.25">
      <c r="AJ939" s="12"/>
      <c r="AK939" s="12"/>
      <c r="AL939" s="12" t="str">
        <f>IFERROR(VLOOKUP(Z939,ASIGNACION!$C$5:$G$94,5,0),"S/TIPO")</f>
        <v>S/TIPO</v>
      </c>
      <c r="AM939" s="12" t="str">
        <f>IFERROR(VLOOKUP(Z939,ASIGNACION!$C$5:$S$94,17,0),"S/TIPO")</f>
        <v>S/TIPO</v>
      </c>
      <c r="AN939" s="12"/>
      <c r="AO939" s="12"/>
      <c r="AP939" s="12"/>
      <c r="AQ939" s="12"/>
      <c r="AR939" s="12" t="e">
        <f t="shared" si="14"/>
        <v>#N/A</v>
      </c>
      <c r="AS939" s="12" t="str">
        <f>IFERROR(VLOOKUP(Z939,ASIGNACION!$C$5:$E$94,3,0),"S/MARCA")</f>
        <v>S/MARCA</v>
      </c>
      <c r="AT939" s="12" t="str">
        <f>IFERROR(VLOOKUP(Z939,ASIGNACION!$C$5:$F$94,4,0),"S/MODELO")</f>
        <v>S/MODELO</v>
      </c>
      <c r="AU939" s="12">
        <f>SUMIF(ASIGNACION!$C$5:$C$94,Z939,ASIGNACION!$R$5:$R$94)*'Costos x MO'!$B$7</f>
        <v>0</v>
      </c>
      <c r="AV939" s="12" t="str">
        <f>IFERROR(VLOOKUP(Z939,ASIGNACION!$C$5:$H$94,6,0),"F/Fecha")</f>
        <v>F/Fecha</v>
      </c>
    </row>
    <row r="940" spans="36:48" x14ac:dyDescent="0.25">
      <c r="AJ940" s="12"/>
      <c r="AK940" s="12"/>
      <c r="AL940" s="12" t="str">
        <f>IFERROR(VLOOKUP(Z940,ASIGNACION!$C$5:$G$94,5,0),"S/TIPO")</f>
        <v>S/TIPO</v>
      </c>
      <c r="AM940" s="12" t="str">
        <f>IFERROR(VLOOKUP(Z940,ASIGNACION!$C$5:$S$94,17,0),"S/TIPO")</f>
        <v>S/TIPO</v>
      </c>
      <c r="AN940" s="12"/>
      <c r="AO940" s="12"/>
      <c r="AP940" s="12"/>
      <c r="AQ940" s="12"/>
      <c r="AR940" s="12" t="e">
        <f t="shared" si="14"/>
        <v>#N/A</v>
      </c>
      <c r="AS940" s="12" t="str">
        <f>IFERROR(VLOOKUP(Z940,ASIGNACION!$C$5:$E$94,3,0),"S/MARCA")</f>
        <v>S/MARCA</v>
      </c>
      <c r="AT940" s="12" t="str">
        <f>IFERROR(VLOOKUP(Z940,ASIGNACION!$C$5:$F$94,4,0),"S/MODELO")</f>
        <v>S/MODELO</v>
      </c>
      <c r="AU940" s="12">
        <f>SUMIF(ASIGNACION!$C$5:$C$94,Z940,ASIGNACION!$R$5:$R$94)*'Costos x MO'!$B$7</f>
        <v>0</v>
      </c>
      <c r="AV940" s="12" t="str">
        <f>IFERROR(VLOOKUP(Z940,ASIGNACION!$C$5:$H$94,6,0),"F/Fecha")</f>
        <v>F/Fecha</v>
      </c>
    </row>
    <row r="941" spans="36:48" x14ac:dyDescent="0.25">
      <c r="AJ941" s="12"/>
      <c r="AK941" s="12"/>
      <c r="AL941" s="12" t="str">
        <f>IFERROR(VLOOKUP(Z941,ASIGNACION!$C$5:$G$94,5,0),"S/TIPO")</f>
        <v>S/TIPO</v>
      </c>
      <c r="AM941" s="12" t="str">
        <f>IFERROR(VLOOKUP(Z941,ASIGNACION!$C$5:$S$94,17,0),"S/TIPO")</f>
        <v>S/TIPO</v>
      </c>
      <c r="AN941" s="12"/>
      <c r="AO941" s="12"/>
      <c r="AP941" s="12"/>
      <c r="AQ941" s="12"/>
      <c r="AR941" s="12" t="e">
        <f t="shared" si="14"/>
        <v>#N/A</v>
      </c>
      <c r="AS941" s="12" t="str">
        <f>IFERROR(VLOOKUP(Z941,ASIGNACION!$C$5:$E$94,3,0),"S/MARCA")</f>
        <v>S/MARCA</v>
      </c>
      <c r="AT941" s="12" t="str">
        <f>IFERROR(VLOOKUP(Z941,ASIGNACION!$C$5:$F$94,4,0),"S/MODELO")</f>
        <v>S/MODELO</v>
      </c>
      <c r="AU941" s="12">
        <f>SUMIF(ASIGNACION!$C$5:$C$94,Z941,ASIGNACION!$R$5:$R$94)*'Costos x MO'!$B$7</f>
        <v>0</v>
      </c>
      <c r="AV941" s="12" t="str">
        <f>IFERROR(VLOOKUP(Z941,ASIGNACION!$C$5:$H$94,6,0),"F/Fecha")</f>
        <v>F/Fecha</v>
      </c>
    </row>
    <row r="942" spans="36:48" x14ac:dyDescent="0.25">
      <c r="AJ942" s="12"/>
      <c r="AK942" s="12"/>
      <c r="AL942" s="12" t="str">
        <f>IFERROR(VLOOKUP(Z942,ASIGNACION!$C$5:$G$94,5,0),"S/TIPO")</f>
        <v>S/TIPO</v>
      </c>
      <c r="AM942" s="12" t="str">
        <f>IFERROR(VLOOKUP(Z942,ASIGNACION!$C$5:$S$94,17,0),"S/TIPO")</f>
        <v>S/TIPO</v>
      </c>
      <c r="AN942" s="12"/>
      <c r="AO942" s="12"/>
      <c r="AP942" s="12"/>
      <c r="AQ942" s="12"/>
      <c r="AR942" s="12" t="e">
        <f t="shared" si="14"/>
        <v>#N/A</v>
      </c>
      <c r="AS942" s="12" t="str">
        <f>IFERROR(VLOOKUP(Z942,ASIGNACION!$C$5:$E$94,3,0),"S/MARCA")</f>
        <v>S/MARCA</v>
      </c>
      <c r="AT942" s="12" t="str">
        <f>IFERROR(VLOOKUP(Z942,ASIGNACION!$C$5:$F$94,4,0),"S/MODELO")</f>
        <v>S/MODELO</v>
      </c>
      <c r="AU942" s="12">
        <f>SUMIF(ASIGNACION!$C$5:$C$94,Z942,ASIGNACION!$R$5:$R$94)*'Costos x MO'!$B$7</f>
        <v>0</v>
      </c>
      <c r="AV942" s="12" t="str">
        <f>IFERROR(VLOOKUP(Z942,ASIGNACION!$C$5:$H$94,6,0),"F/Fecha")</f>
        <v>F/Fecha</v>
      </c>
    </row>
    <row r="943" spans="36:48" x14ac:dyDescent="0.25">
      <c r="AJ943" s="12"/>
      <c r="AK943" s="12"/>
      <c r="AL943" s="12" t="str">
        <f>IFERROR(VLOOKUP(Z943,ASIGNACION!$C$5:$G$94,5,0),"S/TIPO")</f>
        <v>S/TIPO</v>
      </c>
      <c r="AM943" s="12" t="str">
        <f>IFERROR(VLOOKUP(Z943,ASIGNACION!$C$5:$S$94,17,0),"S/TIPO")</f>
        <v>S/TIPO</v>
      </c>
      <c r="AN943" s="12"/>
      <c r="AO943" s="12"/>
      <c r="AP943" s="12"/>
      <c r="AQ943" s="12"/>
      <c r="AR943" s="12" t="e">
        <f t="shared" si="14"/>
        <v>#N/A</v>
      </c>
      <c r="AS943" s="12" t="str">
        <f>IFERROR(VLOOKUP(Z943,ASIGNACION!$C$5:$E$94,3,0),"S/MARCA")</f>
        <v>S/MARCA</v>
      </c>
      <c r="AT943" s="12" t="str">
        <f>IFERROR(VLOOKUP(Z943,ASIGNACION!$C$5:$F$94,4,0),"S/MODELO")</f>
        <v>S/MODELO</v>
      </c>
      <c r="AU943" s="12">
        <f>SUMIF(ASIGNACION!$C$5:$C$94,Z943,ASIGNACION!$R$5:$R$94)*'Costos x MO'!$B$7</f>
        <v>0</v>
      </c>
      <c r="AV943" s="12" t="str">
        <f>IFERROR(VLOOKUP(Z943,ASIGNACION!$C$5:$H$94,6,0),"F/Fecha")</f>
        <v>F/Fecha</v>
      </c>
    </row>
    <row r="944" spans="36:48" x14ac:dyDescent="0.25">
      <c r="AJ944" s="12"/>
      <c r="AK944" s="12"/>
      <c r="AL944" s="12" t="str">
        <f>IFERROR(VLOOKUP(Z944,ASIGNACION!$C$5:$G$94,5,0),"S/TIPO")</f>
        <v>S/TIPO</v>
      </c>
      <c r="AM944" s="12" t="str">
        <f>IFERROR(VLOOKUP(Z944,ASIGNACION!$C$5:$S$94,17,0),"S/TIPO")</f>
        <v>S/TIPO</v>
      </c>
      <c r="AN944" s="12"/>
      <c r="AO944" s="12"/>
      <c r="AP944" s="12"/>
      <c r="AQ944" s="12"/>
      <c r="AR944" s="12" t="e">
        <f t="shared" si="14"/>
        <v>#N/A</v>
      </c>
      <c r="AS944" s="12" t="str">
        <f>IFERROR(VLOOKUP(Z944,ASIGNACION!$C$5:$E$94,3,0),"S/MARCA")</f>
        <v>S/MARCA</v>
      </c>
      <c r="AT944" s="12" t="str">
        <f>IFERROR(VLOOKUP(Z944,ASIGNACION!$C$5:$F$94,4,0),"S/MODELO")</f>
        <v>S/MODELO</v>
      </c>
      <c r="AU944" s="12">
        <f>SUMIF(ASIGNACION!$C$5:$C$94,Z944,ASIGNACION!$R$5:$R$94)*'Costos x MO'!$B$7</f>
        <v>0</v>
      </c>
      <c r="AV944" s="12" t="str">
        <f>IFERROR(VLOOKUP(Z944,ASIGNACION!$C$5:$H$94,6,0),"F/Fecha")</f>
        <v>F/Fecha</v>
      </c>
    </row>
    <row r="945" spans="36:48" x14ac:dyDescent="0.25">
      <c r="AJ945" s="12"/>
      <c r="AK945" s="12"/>
      <c r="AL945" s="12" t="str">
        <f>IFERROR(VLOOKUP(Z945,ASIGNACION!$C$5:$G$94,5,0),"S/TIPO")</f>
        <v>S/TIPO</v>
      </c>
      <c r="AM945" s="12" t="str">
        <f>IFERROR(VLOOKUP(Z945,ASIGNACION!$C$5:$S$94,17,0),"S/TIPO")</f>
        <v>S/TIPO</v>
      </c>
      <c r="AN945" s="12"/>
      <c r="AO945" s="12"/>
      <c r="AP945" s="12"/>
      <c r="AQ945" s="12"/>
      <c r="AR945" s="12" t="e">
        <f t="shared" si="14"/>
        <v>#N/A</v>
      </c>
      <c r="AS945" s="12" t="str">
        <f>IFERROR(VLOOKUP(Z945,ASIGNACION!$C$5:$E$94,3,0),"S/MARCA")</f>
        <v>S/MARCA</v>
      </c>
      <c r="AT945" s="12" t="str">
        <f>IFERROR(VLOOKUP(Z945,ASIGNACION!$C$5:$F$94,4,0),"S/MODELO")</f>
        <v>S/MODELO</v>
      </c>
      <c r="AU945" s="12">
        <f>SUMIF(ASIGNACION!$C$5:$C$94,Z945,ASIGNACION!$R$5:$R$94)*'Costos x MO'!$B$7</f>
        <v>0</v>
      </c>
      <c r="AV945" s="12" t="str">
        <f>IFERROR(VLOOKUP(Z945,ASIGNACION!$C$5:$H$94,6,0),"F/Fecha")</f>
        <v>F/Fecha</v>
      </c>
    </row>
    <row r="946" spans="36:48" x14ac:dyDescent="0.25">
      <c r="AJ946" s="12"/>
      <c r="AK946" s="12"/>
      <c r="AL946" s="12" t="str">
        <f>IFERROR(VLOOKUP(Z946,ASIGNACION!$C$5:$G$94,5,0),"S/TIPO")</f>
        <v>S/TIPO</v>
      </c>
      <c r="AM946" s="12" t="str">
        <f>IFERROR(VLOOKUP(Z946,ASIGNACION!$C$5:$S$94,17,0),"S/TIPO")</f>
        <v>S/TIPO</v>
      </c>
      <c r="AN946" s="12"/>
      <c r="AO946" s="12"/>
      <c r="AP946" s="12"/>
      <c r="AQ946" s="12"/>
      <c r="AR946" s="12" t="e">
        <f t="shared" si="14"/>
        <v>#N/A</v>
      </c>
      <c r="AS946" s="12" t="str">
        <f>IFERROR(VLOOKUP(Z946,ASIGNACION!$C$5:$E$94,3,0),"S/MARCA")</f>
        <v>S/MARCA</v>
      </c>
      <c r="AT946" s="12" t="str">
        <f>IFERROR(VLOOKUP(Z946,ASIGNACION!$C$5:$F$94,4,0),"S/MODELO")</f>
        <v>S/MODELO</v>
      </c>
      <c r="AU946" s="12">
        <f>SUMIF(ASIGNACION!$C$5:$C$94,Z946,ASIGNACION!$R$5:$R$94)*'Costos x MO'!$B$7</f>
        <v>0</v>
      </c>
      <c r="AV946" s="12" t="str">
        <f>IFERROR(VLOOKUP(Z946,ASIGNACION!$C$5:$H$94,6,0),"F/Fecha")</f>
        <v>F/Fecha</v>
      </c>
    </row>
    <row r="947" spans="36:48" x14ac:dyDescent="0.25">
      <c r="AJ947" s="12"/>
      <c r="AK947" s="12"/>
      <c r="AL947" s="12" t="str">
        <f>IFERROR(VLOOKUP(Z947,ASIGNACION!$C$5:$G$94,5,0),"S/TIPO")</f>
        <v>S/TIPO</v>
      </c>
      <c r="AM947" s="12" t="str">
        <f>IFERROR(VLOOKUP(Z947,ASIGNACION!$C$5:$S$94,17,0),"S/TIPO")</f>
        <v>S/TIPO</v>
      </c>
      <c r="AN947" s="12"/>
      <c r="AO947" s="12"/>
      <c r="AP947" s="12"/>
      <c r="AQ947" s="12"/>
      <c r="AR947" s="12" t="e">
        <f t="shared" si="14"/>
        <v>#N/A</v>
      </c>
      <c r="AS947" s="12" t="str">
        <f>IFERROR(VLOOKUP(Z947,ASIGNACION!$C$5:$E$94,3,0),"S/MARCA")</f>
        <v>S/MARCA</v>
      </c>
      <c r="AT947" s="12" t="str">
        <f>IFERROR(VLOOKUP(Z947,ASIGNACION!$C$5:$F$94,4,0),"S/MODELO")</f>
        <v>S/MODELO</v>
      </c>
      <c r="AU947" s="12">
        <f>SUMIF(ASIGNACION!$C$5:$C$94,Z947,ASIGNACION!$R$5:$R$94)*'Costos x MO'!$B$7</f>
        <v>0</v>
      </c>
      <c r="AV947" s="12" t="str">
        <f>IFERROR(VLOOKUP(Z947,ASIGNACION!$C$5:$H$94,6,0),"F/Fecha")</f>
        <v>F/Fecha</v>
      </c>
    </row>
    <row r="948" spans="36:48" x14ac:dyDescent="0.25">
      <c r="AJ948" s="12"/>
      <c r="AK948" s="12"/>
      <c r="AL948" s="12" t="str">
        <f>IFERROR(VLOOKUP(Z948,ASIGNACION!$C$5:$G$94,5,0),"S/TIPO")</f>
        <v>S/TIPO</v>
      </c>
      <c r="AM948" s="12" t="str">
        <f>IFERROR(VLOOKUP(Z948,ASIGNACION!$C$5:$S$94,17,0),"S/TIPO")</f>
        <v>S/TIPO</v>
      </c>
      <c r="AN948" s="12"/>
      <c r="AO948" s="12"/>
      <c r="AP948" s="12"/>
      <c r="AQ948" s="12"/>
      <c r="AR948" s="12" t="e">
        <f t="shared" si="14"/>
        <v>#N/A</v>
      </c>
      <c r="AS948" s="12" t="str">
        <f>IFERROR(VLOOKUP(Z948,ASIGNACION!$C$5:$E$94,3,0),"S/MARCA")</f>
        <v>S/MARCA</v>
      </c>
      <c r="AT948" s="12" t="str">
        <f>IFERROR(VLOOKUP(Z948,ASIGNACION!$C$5:$F$94,4,0),"S/MODELO")</f>
        <v>S/MODELO</v>
      </c>
      <c r="AU948" s="12">
        <f>SUMIF(ASIGNACION!$C$5:$C$94,Z948,ASIGNACION!$R$5:$R$94)*'Costos x MO'!$B$7</f>
        <v>0</v>
      </c>
      <c r="AV948" s="12" t="str">
        <f>IFERROR(VLOOKUP(Z948,ASIGNACION!$C$5:$H$94,6,0),"F/Fecha")</f>
        <v>F/Fecha</v>
      </c>
    </row>
    <row r="949" spans="36:48" x14ac:dyDescent="0.25">
      <c r="AJ949" s="12"/>
      <c r="AK949" s="12"/>
      <c r="AL949" s="12" t="str">
        <f>IFERROR(VLOOKUP(Z949,ASIGNACION!$C$5:$G$94,5,0),"S/TIPO")</f>
        <v>S/TIPO</v>
      </c>
      <c r="AM949" s="12" t="str">
        <f>IFERROR(VLOOKUP(Z949,ASIGNACION!$C$5:$S$94,17,0),"S/TIPO")</f>
        <v>S/TIPO</v>
      </c>
      <c r="AN949" s="12"/>
      <c r="AO949" s="12"/>
      <c r="AP949" s="12"/>
      <c r="AQ949" s="12"/>
      <c r="AR949" s="12" t="e">
        <f t="shared" si="14"/>
        <v>#N/A</v>
      </c>
      <c r="AS949" s="12" t="str">
        <f>IFERROR(VLOOKUP(Z949,ASIGNACION!$C$5:$E$94,3,0),"S/MARCA")</f>
        <v>S/MARCA</v>
      </c>
      <c r="AT949" s="12" t="str">
        <f>IFERROR(VLOOKUP(Z949,ASIGNACION!$C$5:$F$94,4,0),"S/MODELO")</f>
        <v>S/MODELO</v>
      </c>
      <c r="AU949" s="12">
        <f>SUMIF(ASIGNACION!$C$5:$C$94,Z949,ASIGNACION!$R$5:$R$94)*'Costos x MO'!$B$7</f>
        <v>0</v>
      </c>
      <c r="AV949" s="12" t="str">
        <f>IFERROR(VLOOKUP(Z949,ASIGNACION!$C$5:$H$94,6,0),"F/Fecha")</f>
        <v>F/Fecha</v>
      </c>
    </row>
    <row r="950" spans="36:48" x14ac:dyDescent="0.25">
      <c r="AJ950" s="12"/>
      <c r="AK950" s="12"/>
      <c r="AL950" s="12" t="str">
        <f>IFERROR(VLOOKUP(Z950,ASIGNACION!$C$5:$G$94,5,0),"S/TIPO")</f>
        <v>S/TIPO</v>
      </c>
      <c r="AM950" s="12" t="str">
        <f>IFERROR(VLOOKUP(Z950,ASIGNACION!$C$5:$S$94,17,0),"S/TIPO")</f>
        <v>S/TIPO</v>
      </c>
      <c r="AN950" s="12"/>
      <c r="AO950" s="12"/>
      <c r="AP950" s="12"/>
      <c r="AQ950" s="12"/>
      <c r="AR950" s="12" t="e">
        <f t="shared" si="14"/>
        <v>#N/A</v>
      </c>
      <c r="AS950" s="12" t="str">
        <f>IFERROR(VLOOKUP(Z950,ASIGNACION!$C$5:$E$94,3,0),"S/MARCA")</f>
        <v>S/MARCA</v>
      </c>
      <c r="AT950" s="12" t="str">
        <f>IFERROR(VLOOKUP(Z950,ASIGNACION!$C$5:$F$94,4,0),"S/MODELO")</f>
        <v>S/MODELO</v>
      </c>
      <c r="AU950" s="12">
        <f>SUMIF(ASIGNACION!$C$5:$C$94,Z950,ASIGNACION!$R$5:$R$94)*'Costos x MO'!$B$7</f>
        <v>0</v>
      </c>
      <c r="AV950" s="12" t="str">
        <f>IFERROR(VLOOKUP(Z950,ASIGNACION!$C$5:$H$94,6,0),"F/Fecha")</f>
        <v>F/Fecha</v>
      </c>
    </row>
    <row r="951" spans="36:48" x14ac:dyDescent="0.25">
      <c r="AJ951" s="12"/>
      <c r="AK951" s="12"/>
      <c r="AL951" s="12" t="str">
        <f>IFERROR(VLOOKUP(Z951,ASIGNACION!$C$5:$G$94,5,0),"S/TIPO")</f>
        <v>S/TIPO</v>
      </c>
      <c r="AM951" s="12" t="str">
        <f>IFERROR(VLOOKUP(Z951,ASIGNACION!$C$5:$S$94,17,0),"S/TIPO")</f>
        <v>S/TIPO</v>
      </c>
      <c r="AN951" s="12"/>
      <c r="AO951" s="12"/>
      <c r="AP951" s="12"/>
      <c r="AQ951" s="12"/>
      <c r="AR951" s="12" t="e">
        <f t="shared" si="14"/>
        <v>#N/A</v>
      </c>
      <c r="AS951" s="12" t="str">
        <f>IFERROR(VLOOKUP(Z951,ASIGNACION!$C$5:$E$94,3,0),"S/MARCA")</f>
        <v>S/MARCA</v>
      </c>
      <c r="AT951" s="12" t="str">
        <f>IFERROR(VLOOKUP(Z951,ASIGNACION!$C$5:$F$94,4,0),"S/MODELO")</f>
        <v>S/MODELO</v>
      </c>
      <c r="AU951" s="12">
        <f>SUMIF(ASIGNACION!$C$5:$C$94,Z951,ASIGNACION!$R$5:$R$94)*'Costos x MO'!$B$7</f>
        <v>0</v>
      </c>
      <c r="AV951" s="12" t="str">
        <f>IFERROR(VLOOKUP(Z951,ASIGNACION!$C$5:$H$94,6,0),"F/Fecha")</f>
        <v>F/Fecha</v>
      </c>
    </row>
    <row r="952" spans="36:48" x14ac:dyDescent="0.25">
      <c r="AJ952" s="12"/>
      <c r="AK952" s="12"/>
      <c r="AL952" s="12" t="str">
        <f>IFERROR(VLOOKUP(Z952,ASIGNACION!$C$5:$G$94,5,0),"S/TIPO")</f>
        <v>S/TIPO</v>
      </c>
      <c r="AM952" s="12" t="str">
        <f>IFERROR(VLOOKUP(Z952,ASIGNACION!$C$5:$S$94,17,0),"S/TIPO")</f>
        <v>S/TIPO</v>
      </c>
      <c r="AN952" s="12"/>
      <c r="AO952" s="12"/>
      <c r="AP952" s="12"/>
      <c r="AQ952" s="12"/>
      <c r="AR952" s="12" t="e">
        <f t="shared" si="14"/>
        <v>#N/A</v>
      </c>
      <c r="AS952" s="12" t="str">
        <f>IFERROR(VLOOKUP(Z952,ASIGNACION!$C$5:$E$94,3,0),"S/MARCA")</f>
        <v>S/MARCA</v>
      </c>
      <c r="AT952" s="12" t="str">
        <f>IFERROR(VLOOKUP(Z952,ASIGNACION!$C$5:$F$94,4,0),"S/MODELO")</f>
        <v>S/MODELO</v>
      </c>
      <c r="AU952" s="12">
        <f>SUMIF(ASIGNACION!$C$5:$C$94,Z952,ASIGNACION!$R$5:$R$94)*'Costos x MO'!$B$7</f>
        <v>0</v>
      </c>
      <c r="AV952" s="12" t="str">
        <f>IFERROR(VLOOKUP(Z952,ASIGNACION!$C$5:$H$94,6,0),"F/Fecha")</f>
        <v>F/Fecha</v>
      </c>
    </row>
    <row r="953" spans="36:48" x14ac:dyDescent="0.25">
      <c r="AJ953" s="12"/>
      <c r="AK953" s="12"/>
      <c r="AL953" s="12" t="str">
        <f>IFERROR(VLOOKUP(Z953,ASIGNACION!$C$5:$G$94,5,0),"S/TIPO")</f>
        <v>S/TIPO</v>
      </c>
      <c r="AM953" s="12" t="str">
        <f>IFERROR(VLOOKUP(Z953,ASIGNACION!$C$5:$S$94,17,0),"S/TIPO")</f>
        <v>S/TIPO</v>
      </c>
      <c r="AN953" s="12"/>
      <c r="AO953" s="12"/>
      <c r="AP953" s="12"/>
      <c r="AQ953" s="12"/>
      <c r="AR953" s="12" t="e">
        <f t="shared" si="14"/>
        <v>#N/A</v>
      </c>
      <c r="AS953" s="12" t="str">
        <f>IFERROR(VLOOKUP(Z953,ASIGNACION!$C$5:$E$94,3,0),"S/MARCA")</f>
        <v>S/MARCA</v>
      </c>
      <c r="AT953" s="12" t="str">
        <f>IFERROR(VLOOKUP(Z953,ASIGNACION!$C$5:$F$94,4,0),"S/MODELO")</f>
        <v>S/MODELO</v>
      </c>
      <c r="AU953" s="12">
        <f>SUMIF(ASIGNACION!$C$5:$C$94,Z953,ASIGNACION!$R$5:$R$94)*'Costos x MO'!$B$7</f>
        <v>0</v>
      </c>
      <c r="AV953" s="12" t="str">
        <f>IFERROR(VLOOKUP(Z953,ASIGNACION!$C$5:$H$94,6,0),"F/Fecha")</f>
        <v>F/Fecha</v>
      </c>
    </row>
    <row r="954" spans="36:48" x14ac:dyDescent="0.25">
      <c r="AJ954" s="12"/>
      <c r="AK954" s="12"/>
      <c r="AL954" s="12" t="str">
        <f>IFERROR(VLOOKUP(Z954,ASIGNACION!$C$5:$G$94,5,0),"S/TIPO")</f>
        <v>S/TIPO</v>
      </c>
      <c r="AM954" s="12" t="str">
        <f>IFERROR(VLOOKUP(Z954,ASIGNACION!$C$5:$S$94,17,0),"S/TIPO")</f>
        <v>S/TIPO</v>
      </c>
      <c r="AN954" s="12"/>
      <c r="AO954" s="12"/>
      <c r="AP954" s="12"/>
      <c r="AQ954" s="12"/>
      <c r="AR954" s="12" t="e">
        <f t="shared" si="14"/>
        <v>#N/A</v>
      </c>
      <c r="AS954" s="12" t="str">
        <f>IFERROR(VLOOKUP(Z954,ASIGNACION!$C$5:$E$94,3,0),"S/MARCA")</f>
        <v>S/MARCA</v>
      </c>
      <c r="AT954" s="12" t="str">
        <f>IFERROR(VLOOKUP(Z954,ASIGNACION!$C$5:$F$94,4,0),"S/MODELO")</f>
        <v>S/MODELO</v>
      </c>
      <c r="AU954" s="12">
        <f>SUMIF(ASIGNACION!$C$5:$C$94,Z954,ASIGNACION!$R$5:$R$94)*'Costos x MO'!$B$7</f>
        <v>0</v>
      </c>
      <c r="AV954" s="12" t="str">
        <f>IFERROR(VLOOKUP(Z954,ASIGNACION!$C$5:$H$94,6,0),"F/Fecha")</f>
        <v>F/Fecha</v>
      </c>
    </row>
    <row r="955" spans="36:48" x14ac:dyDescent="0.25">
      <c r="AJ955" s="12"/>
      <c r="AK955" s="12"/>
      <c r="AL955" s="12" t="str">
        <f>IFERROR(VLOOKUP(Z955,ASIGNACION!$C$5:$G$94,5,0),"S/TIPO")</f>
        <v>S/TIPO</v>
      </c>
      <c r="AM955" s="12" t="str">
        <f>IFERROR(VLOOKUP(Z955,ASIGNACION!$C$5:$S$94,17,0),"S/TIPO")</f>
        <v>S/TIPO</v>
      </c>
      <c r="AN955" s="12"/>
      <c r="AO955" s="12"/>
      <c r="AP955" s="12"/>
      <c r="AQ955" s="12"/>
      <c r="AR955" s="12" t="e">
        <f t="shared" si="14"/>
        <v>#N/A</v>
      </c>
      <c r="AS955" s="12" t="str">
        <f>IFERROR(VLOOKUP(Z955,ASIGNACION!$C$5:$E$94,3,0),"S/MARCA")</f>
        <v>S/MARCA</v>
      </c>
      <c r="AT955" s="12" t="str">
        <f>IFERROR(VLOOKUP(Z955,ASIGNACION!$C$5:$F$94,4,0),"S/MODELO")</f>
        <v>S/MODELO</v>
      </c>
      <c r="AU955" s="12">
        <f>SUMIF(ASIGNACION!$C$5:$C$94,Z955,ASIGNACION!$R$5:$R$94)*'Costos x MO'!$B$7</f>
        <v>0</v>
      </c>
      <c r="AV955" s="12" t="str">
        <f>IFERROR(VLOOKUP(Z955,ASIGNACION!$C$5:$H$94,6,0),"F/Fecha")</f>
        <v>F/Fecha</v>
      </c>
    </row>
    <row r="956" spans="36:48" x14ac:dyDescent="0.25">
      <c r="AJ956" s="12"/>
      <c r="AK956" s="12"/>
      <c r="AL956" s="12" t="str">
        <f>IFERROR(VLOOKUP(Z956,ASIGNACION!$C$5:$G$94,5,0),"S/TIPO")</f>
        <v>S/TIPO</v>
      </c>
      <c r="AM956" s="12" t="str">
        <f>IFERROR(VLOOKUP(Z956,ASIGNACION!$C$5:$S$94,17,0),"S/TIPO")</f>
        <v>S/TIPO</v>
      </c>
      <c r="AN956" s="12"/>
      <c r="AO956" s="12"/>
      <c r="AP956" s="12"/>
      <c r="AQ956" s="12"/>
      <c r="AR956" s="12" t="e">
        <f t="shared" si="14"/>
        <v>#N/A</v>
      </c>
      <c r="AS956" s="12" t="str">
        <f>IFERROR(VLOOKUP(Z956,ASIGNACION!$C$5:$E$94,3,0),"S/MARCA")</f>
        <v>S/MARCA</v>
      </c>
      <c r="AT956" s="12" t="str">
        <f>IFERROR(VLOOKUP(Z956,ASIGNACION!$C$5:$F$94,4,0),"S/MODELO")</f>
        <v>S/MODELO</v>
      </c>
      <c r="AU956" s="12">
        <f>SUMIF(ASIGNACION!$C$5:$C$94,Z956,ASIGNACION!$R$5:$R$94)*'Costos x MO'!$B$7</f>
        <v>0</v>
      </c>
      <c r="AV956" s="12" t="str">
        <f>IFERROR(VLOOKUP(Z956,ASIGNACION!$C$5:$H$94,6,0),"F/Fecha")</f>
        <v>F/Fecha</v>
      </c>
    </row>
    <row r="957" spans="36:48" x14ac:dyDescent="0.25">
      <c r="AJ957" s="12"/>
      <c r="AK957" s="12"/>
      <c r="AL957" s="12" t="str">
        <f>IFERROR(VLOOKUP(Z957,ASIGNACION!$C$5:$G$94,5,0),"S/TIPO")</f>
        <v>S/TIPO</v>
      </c>
      <c r="AM957" s="12" t="str">
        <f>IFERROR(VLOOKUP(Z957,ASIGNACION!$C$5:$S$94,17,0),"S/TIPO")</f>
        <v>S/TIPO</v>
      </c>
      <c r="AN957" s="12"/>
      <c r="AO957" s="12"/>
      <c r="AP957" s="12"/>
      <c r="AQ957" s="12"/>
      <c r="AR957" s="12" t="e">
        <f t="shared" si="14"/>
        <v>#N/A</v>
      </c>
      <c r="AS957" s="12" t="str">
        <f>IFERROR(VLOOKUP(Z957,ASIGNACION!$C$5:$E$94,3,0),"S/MARCA")</f>
        <v>S/MARCA</v>
      </c>
      <c r="AT957" s="12" t="str">
        <f>IFERROR(VLOOKUP(Z957,ASIGNACION!$C$5:$F$94,4,0),"S/MODELO")</f>
        <v>S/MODELO</v>
      </c>
      <c r="AU957" s="12">
        <f>SUMIF(ASIGNACION!$C$5:$C$94,Z957,ASIGNACION!$R$5:$R$94)*'Costos x MO'!$B$7</f>
        <v>0</v>
      </c>
      <c r="AV957" s="12" t="str">
        <f>IFERROR(VLOOKUP(Z957,ASIGNACION!$C$5:$H$94,6,0),"F/Fecha")</f>
        <v>F/Fecha</v>
      </c>
    </row>
    <row r="958" spans="36:48" x14ac:dyDescent="0.25">
      <c r="AJ958" s="12"/>
      <c r="AK958" s="12"/>
      <c r="AL958" s="12" t="str">
        <f>IFERROR(VLOOKUP(Z958,ASIGNACION!$C$5:$G$94,5,0),"S/TIPO")</f>
        <v>S/TIPO</v>
      </c>
      <c r="AM958" s="12" t="str">
        <f>IFERROR(VLOOKUP(Z958,ASIGNACION!$C$5:$S$94,17,0),"S/TIPO")</f>
        <v>S/TIPO</v>
      </c>
      <c r="AN958" s="12"/>
      <c r="AO958" s="12"/>
      <c r="AP958" s="12"/>
      <c r="AQ958" s="12"/>
      <c r="AR958" s="12" t="e">
        <f t="shared" si="14"/>
        <v>#N/A</v>
      </c>
      <c r="AS958" s="12" t="str">
        <f>IFERROR(VLOOKUP(Z958,ASIGNACION!$C$5:$E$94,3,0),"S/MARCA")</f>
        <v>S/MARCA</v>
      </c>
      <c r="AT958" s="12" t="str">
        <f>IFERROR(VLOOKUP(Z958,ASIGNACION!$C$5:$F$94,4,0),"S/MODELO")</f>
        <v>S/MODELO</v>
      </c>
      <c r="AU958" s="12">
        <f>SUMIF(ASIGNACION!$C$5:$C$94,Z958,ASIGNACION!$R$5:$R$94)*'Costos x MO'!$B$7</f>
        <v>0</v>
      </c>
      <c r="AV958" s="12" t="str">
        <f>IFERROR(VLOOKUP(Z958,ASIGNACION!$C$5:$H$94,6,0),"F/Fecha")</f>
        <v>F/Fecha</v>
      </c>
    </row>
    <row r="959" spans="36:48" x14ac:dyDescent="0.25">
      <c r="AP959" s="12"/>
    </row>
    <row r="960" spans="36:48" x14ac:dyDescent="0.25">
      <c r="AP960" s="12"/>
    </row>
    <row r="961" spans="42:42" x14ac:dyDescent="0.25">
      <c r="AP961" s="12"/>
    </row>
    <row r="962" spans="42:42" x14ac:dyDescent="0.25">
      <c r="AP962" s="12"/>
    </row>
    <row r="963" spans="42:42" x14ac:dyDescent="0.25">
      <c r="AP963" s="12"/>
    </row>
    <row r="964" spans="42:42" x14ac:dyDescent="0.25">
      <c r="AP964" s="12"/>
    </row>
    <row r="965" spans="42:42" x14ac:dyDescent="0.25">
      <c r="AP965" s="12"/>
    </row>
    <row r="966" spans="42:42" x14ac:dyDescent="0.25">
      <c r="AP966" s="12"/>
    </row>
    <row r="967" spans="42:42" x14ac:dyDescent="0.25">
      <c r="AP967" s="12"/>
    </row>
    <row r="968" spans="42:42" x14ac:dyDescent="0.25">
      <c r="AP968" s="12"/>
    </row>
    <row r="969" spans="42:42" x14ac:dyDescent="0.25">
      <c r="AP969" s="12"/>
    </row>
    <row r="970" spans="42:42" x14ac:dyDescent="0.25">
      <c r="AP970" s="12"/>
    </row>
    <row r="971" spans="42:42" x14ac:dyDescent="0.25">
      <c r="AP971" s="12"/>
    </row>
    <row r="972" spans="42:42" x14ac:dyDescent="0.25">
      <c r="AP972" s="12"/>
    </row>
    <row r="973" spans="42:42" x14ac:dyDescent="0.25">
      <c r="AP973" s="12"/>
    </row>
    <row r="974" spans="42:42" x14ac:dyDescent="0.25">
      <c r="AP974" s="12"/>
    </row>
    <row r="975" spans="42:42" x14ac:dyDescent="0.25">
      <c r="AP975" s="12"/>
    </row>
    <row r="976" spans="42:42" x14ac:dyDescent="0.25">
      <c r="AP976" s="12"/>
    </row>
    <row r="977" spans="42:42" x14ac:dyDescent="0.25">
      <c r="AP977" s="12"/>
    </row>
    <row r="978" spans="42:42" x14ac:dyDescent="0.25">
      <c r="AP978" s="12"/>
    </row>
    <row r="979" spans="42:42" x14ac:dyDescent="0.25">
      <c r="AP979" s="12"/>
    </row>
    <row r="980" spans="42:42" x14ac:dyDescent="0.25">
      <c r="AP980" s="12"/>
    </row>
    <row r="981" spans="42:42" x14ac:dyDescent="0.25">
      <c r="AP981" s="12"/>
    </row>
    <row r="982" spans="42:42" x14ac:dyDescent="0.25">
      <c r="AP982" s="12"/>
    </row>
    <row r="983" spans="42:42" x14ac:dyDescent="0.25">
      <c r="AP983" s="12"/>
    </row>
    <row r="984" spans="42:42" x14ac:dyDescent="0.25">
      <c r="AP984" s="12"/>
    </row>
    <row r="985" spans="42:42" x14ac:dyDescent="0.25">
      <c r="AP985" s="12"/>
    </row>
    <row r="986" spans="42:42" x14ac:dyDescent="0.25">
      <c r="AP986" s="12"/>
    </row>
    <row r="987" spans="42:42" x14ac:dyDescent="0.25">
      <c r="AP987" s="12"/>
    </row>
    <row r="988" spans="42:42" x14ac:dyDescent="0.25">
      <c r="AP988" s="12"/>
    </row>
    <row r="989" spans="42:42" x14ac:dyDescent="0.25">
      <c r="AP989" s="12"/>
    </row>
    <row r="990" spans="42:42" x14ac:dyDescent="0.25">
      <c r="AP990" s="12"/>
    </row>
    <row r="991" spans="42:42" x14ac:dyDescent="0.25">
      <c r="AP991" s="12"/>
    </row>
    <row r="992" spans="42:42" x14ac:dyDescent="0.25">
      <c r="AP992" s="12"/>
    </row>
    <row r="993" spans="42:42" x14ac:dyDescent="0.25">
      <c r="AP993" s="12"/>
    </row>
    <row r="994" spans="42:42" x14ac:dyDescent="0.25">
      <c r="AP994" s="12"/>
    </row>
    <row r="995" spans="42:42" x14ac:dyDescent="0.25">
      <c r="AP995" s="12"/>
    </row>
    <row r="996" spans="42:42" x14ac:dyDescent="0.25">
      <c r="AP996" s="12"/>
    </row>
    <row r="997" spans="42:42" x14ac:dyDescent="0.25">
      <c r="AP997" s="12"/>
    </row>
    <row r="998" spans="42:42" x14ac:dyDescent="0.25">
      <c r="AP998" s="12"/>
    </row>
    <row r="999" spans="42:42" x14ac:dyDescent="0.25">
      <c r="AP999" s="12"/>
    </row>
    <row r="1000" spans="42:42" x14ac:dyDescent="0.25">
      <c r="AP1000" s="12"/>
    </row>
    <row r="1001" spans="42:42" x14ac:dyDescent="0.25">
      <c r="AP1001" s="12"/>
    </row>
    <row r="1002" spans="42:42" x14ac:dyDescent="0.25">
      <c r="AP1002" s="12"/>
    </row>
    <row r="1003" spans="42:42" x14ac:dyDescent="0.25">
      <c r="AP1003" s="12"/>
    </row>
    <row r="1004" spans="42:42" x14ac:dyDescent="0.25">
      <c r="AP1004" s="12"/>
    </row>
    <row r="1005" spans="42:42" x14ac:dyDescent="0.25">
      <c r="AP1005" s="12"/>
    </row>
    <row r="1006" spans="42:42" x14ac:dyDescent="0.25">
      <c r="AP1006" s="12"/>
    </row>
    <row r="1007" spans="42:42" x14ac:dyDescent="0.25">
      <c r="AP1007" s="12"/>
    </row>
    <row r="1008" spans="42:42" x14ac:dyDescent="0.25">
      <c r="AP1008" s="12"/>
    </row>
    <row r="1009" spans="42:42" x14ac:dyDescent="0.25">
      <c r="AP1009" s="12"/>
    </row>
    <row r="1010" spans="42:42" x14ac:dyDescent="0.25">
      <c r="AP1010" s="12"/>
    </row>
    <row r="1011" spans="42:42" x14ac:dyDescent="0.25">
      <c r="AP1011" s="12"/>
    </row>
    <row r="1012" spans="42:42" x14ac:dyDescent="0.25">
      <c r="AP1012" s="12"/>
    </row>
    <row r="1013" spans="42:42" x14ac:dyDescent="0.25">
      <c r="AP1013" s="12"/>
    </row>
    <row r="1014" spans="42:42" x14ac:dyDescent="0.25">
      <c r="AP1014" s="12"/>
    </row>
    <row r="1015" spans="42:42" x14ac:dyDescent="0.25">
      <c r="AP1015" s="12"/>
    </row>
    <row r="1016" spans="42:42" x14ac:dyDescent="0.25">
      <c r="AP1016" s="12"/>
    </row>
    <row r="1017" spans="42:42" x14ac:dyDescent="0.25">
      <c r="AP1017" s="12"/>
    </row>
    <row r="1018" spans="42:42" x14ac:dyDescent="0.25">
      <c r="AP1018" s="12"/>
    </row>
    <row r="1019" spans="42:42" x14ac:dyDescent="0.25">
      <c r="AP1019" s="12"/>
    </row>
    <row r="1020" spans="42:42" x14ac:dyDescent="0.25">
      <c r="AP1020" s="12"/>
    </row>
    <row r="1021" spans="42:42" x14ac:dyDescent="0.25">
      <c r="AP1021" s="12"/>
    </row>
    <row r="1022" spans="42:42" x14ac:dyDescent="0.25">
      <c r="AP1022" s="12"/>
    </row>
    <row r="1023" spans="42:42" x14ac:dyDescent="0.25">
      <c r="AP1023" s="12"/>
    </row>
    <row r="1024" spans="42:42" x14ac:dyDescent="0.25">
      <c r="AP1024" s="12"/>
    </row>
    <row r="1025" spans="42:42" x14ac:dyDescent="0.25">
      <c r="AP1025" s="12"/>
    </row>
    <row r="1026" spans="42:42" x14ac:dyDescent="0.25">
      <c r="AP1026" s="12"/>
    </row>
    <row r="1027" spans="42:42" x14ac:dyDescent="0.25">
      <c r="AP1027" s="12"/>
    </row>
    <row r="1028" spans="42:42" x14ac:dyDescent="0.25">
      <c r="AP1028" s="12"/>
    </row>
    <row r="1029" spans="42:42" x14ac:dyDescent="0.25">
      <c r="AP1029" s="12"/>
    </row>
    <row r="1030" spans="42:42" x14ac:dyDescent="0.25">
      <c r="AP1030" s="12"/>
    </row>
    <row r="1031" spans="42:42" x14ac:dyDescent="0.25">
      <c r="AP1031" s="12"/>
    </row>
    <row r="1032" spans="42:42" x14ac:dyDescent="0.25">
      <c r="AP1032" s="12"/>
    </row>
    <row r="1033" spans="42:42" x14ac:dyDescent="0.25">
      <c r="AP1033" s="12"/>
    </row>
    <row r="1034" spans="42:42" x14ac:dyDescent="0.25">
      <c r="AP1034" s="12"/>
    </row>
    <row r="1035" spans="42:42" x14ac:dyDescent="0.25">
      <c r="AP1035" s="12"/>
    </row>
    <row r="1036" spans="42:42" x14ac:dyDescent="0.25">
      <c r="AP1036" s="12"/>
    </row>
    <row r="1037" spans="42:42" x14ac:dyDescent="0.25">
      <c r="AP1037" s="12"/>
    </row>
    <row r="1038" spans="42:42" x14ac:dyDescent="0.25">
      <c r="AP1038" s="12"/>
    </row>
    <row r="1039" spans="42:42" x14ac:dyDescent="0.25">
      <c r="AP1039" s="12"/>
    </row>
    <row r="1040" spans="42:42" x14ac:dyDescent="0.25">
      <c r="AP1040" s="12"/>
    </row>
    <row r="1041" spans="42:42" x14ac:dyDescent="0.25">
      <c r="AP1041" s="12"/>
    </row>
    <row r="1042" spans="42:42" x14ac:dyDescent="0.25">
      <c r="AP1042" s="12"/>
    </row>
    <row r="1043" spans="42:42" x14ac:dyDescent="0.25">
      <c r="AP1043" s="12"/>
    </row>
    <row r="1044" spans="42:42" x14ac:dyDescent="0.25">
      <c r="AP1044" s="12"/>
    </row>
    <row r="1045" spans="42:42" x14ac:dyDescent="0.25">
      <c r="AP1045" s="12"/>
    </row>
    <row r="1046" spans="42:42" x14ac:dyDescent="0.25">
      <c r="AP1046" s="12"/>
    </row>
    <row r="1047" spans="42:42" x14ac:dyDescent="0.25">
      <c r="AP1047" s="12"/>
    </row>
    <row r="1048" spans="42:42" x14ac:dyDescent="0.25">
      <c r="AP1048" s="12"/>
    </row>
    <row r="1049" spans="42:42" x14ac:dyDescent="0.25">
      <c r="AP1049" s="12"/>
    </row>
    <row r="1050" spans="42:42" x14ac:dyDescent="0.25">
      <c r="AP1050" s="12"/>
    </row>
    <row r="1051" spans="42:42" x14ac:dyDescent="0.25">
      <c r="AP1051" s="12"/>
    </row>
    <row r="1052" spans="42:42" x14ac:dyDescent="0.25">
      <c r="AP1052" s="12"/>
    </row>
    <row r="1053" spans="42:42" x14ac:dyDescent="0.25">
      <c r="AP1053" s="12"/>
    </row>
    <row r="1054" spans="42:42" x14ac:dyDescent="0.25">
      <c r="AP1054" s="12"/>
    </row>
    <row r="1055" spans="42:42" x14ac:dyDescent="0.25">
      <c r="AP1055" s="12"/>
    </row>
    <row r="1056" spans="42:42" x14ac:dyDescent="0.25">
      <c r="AP1056" s="12"/>
    </row>
    <row r="1057" spans="42:42" x14ac:dyDescent="0.25">
      <c r="AP1057" s="12"/>
    </row>
    <row r="1058" spans="42:42" x14ac:dyDescent="0.25">
      <c r="AP1058" s="12"/>
    </row>
    <row r="1059" spans="42:42" x14ac:dyDescent="0.25">
      <c r="AP1059" s="12"/>
    </row>
    <row r="1060" spans="42:42" x14ac:dyDescent="0.25">
      <c r="AP1060" s="12"/>
    </row>
    <row r="1061" spans="42:42" x14ac:dyDescent="0.25">
      <c r="AP1061" s="12"/>
    </row>
    <row r="1062" spans="42:42" x14ac:dyDescent="0.25">
      <c r="AP1062" s="12"/>
    </row>
    <row r="1063" spans="42:42" x14ac:dyDescent="0.25">
      <c r="AP1063" s="12"/>
    </row>
    <row r="1064" spans="42:42" x14ac:dyDescent="0.25">
      <c r="AP1064" s="12"/>
    </row>
    <row r="1065" spans="42:42" x14ac:dyDescent="0.25">
      <c r="AP1065" s="12"/>
    </row>
    <row r="1066" spans="42:42" x14ac:dyDescent="0.25">
      <c r="AP1066" s="12"/>
    </row>
    <row r="1067" spans="42:42" x14ac:dyDescent="0.25">
      <c r="AP1067" s="12"/>
    </row>
    <row r="1068" spans="42:42" x14ac:dyDescent="0.25">
      <c r="AP1068" s="12"/>
    </row>
    <row r="1069" spans="42:42" x14ac:dyDescent="0.25">
      <c r="AP1069" s="12"/>
    </row>
    <row r="1070" spans="42:42" x14ac:dyDescent="0.25">
      <c r="AP1070" s="12"/>
    </row>
    <row r="1071" spans="42:42" x14ac:dyDescent="0.25">
      <c r="AP1071" s="12"/>
    </row>
    <row r="1072" spans="42:42" x14ac:dyDescent="0.25">
      <c r="AP1072" s="12"/>
    </row>
    <row r="1073" spans="42:42" x14ac:dyDescent="0.25">
      <c r="AP1073" s="12"/>
    </row>
    <row r="1074" spans="42:42" x14ac:dyDescent="0.25">
      <c r="AP1074" s="12"/>
    </row>
    <row r="1075" spans="42:42" x14ac:dyDescent="0.25">
      <c r="AP1075" s="12"/>
    </row>
    <row r="1076" spans="42:42" x14ac:dyDescent="0.25">
      <c r="AP1076" s="12"/>
    </row>
    <row r="1077" spans="42:42" x14ac:dyDescent="0.25">
      <c r="AP1077" s="12"/>
    </row>
    <row r="1078" spans="42:42" x14ac:dyDescent="0.25">
      <c r="AP1078" s="12"/>
    </row>
    <row r="1079" spans="42:42" x14ac:dyDescent="0.25">
      <c r="AP1079" s="12"/>
    </row>
    <row r="1080" spans="42:42" x14ac:dyDescent="0.25">
      <c r="AP1080" s="12"/>
    </row>
    <row r="1081" spans="42:42" x14ac:dyDescent="0.25">
      <c r="AP1081" s="12"/>
    </row>
    <row r="1082" spans="42:42" x14ac:dyDescent="0.25">
      <c r="AP1082" s="12"/>
    </row>
    <row r="1083" spans="42:42" x14ac:dyDescent="0.25">
      <c r="AP1083" s="12"/>
    </row>
    <row r="1084" spans="42:42" x14ac:dyDescent="0.25">
      <c r="AP1084" s="12"/>
    </row>
    <row r="1085" spans="42:42" x14ac:dyDescent="0.25">
      <c r="AP1085" s="12"/>
    </row>
    <row r="1086" spans="42:42" x14ac:dyDescent="0.25">
      <c r="AP1086" s="12"/>
    </row>
    <row r="1087" spans="42:42" x14ac:dyDescent="0.25">
      <c r="AP1087" s="12"/>
    </row>
    <row r="1088" spans="42:42" x14ac:dyDescent="0.25">
      <c r="AP1088" s="12"/>
    </row>
    <row r="1089" spans="42:42" x14ac:dyDescent="0.25">
      <c r="AP1089" s="12"/>
    </row>
    <row r="1090" spans="42:42" x14ac:dyDescent="0.25">
      <c r="AP1090" s="12"/>
    </row>
    <row r="1091" spans="42:42" x14ac:dyDescent="0.25">
      <c r="AP1091" s="12"/>
    </row>
    <row r="1092" spans="42:42" x14ac:dyDescent="0.25">
      <c r="AP1092" s="12"/>
    </row>
    <row r="1093" spans="42:42" x14ac:dyDescent="0.25">
      <c r="AP1093" s="12"/>
    </row>
    <row r="1094" spans="42:42" x14ac:dyDescent="0.25">
      <c r="AP1094" s="12"/>
    </row>
    <row r="1095" spans="42:42" x14ac:dyDescent="0.25">
      <c r="AP1095" s="12"/>
    </row>
    <row r="1096" spans="42:42" x14ac:dyDescent="0.25">
      <c r="AP1096" s="12"/>
    </row>
  </sheetData>
  <pageMargins left="0.25" right="0.25" top="0.75" bottom="0.75" header="0.3" footer="0.3"/>
  <pageSetup paperSize="9" scale="81" fitToHeight="0" orientation="landscape" r:id="rId2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3:T55"/>
  <sheetViews>
    <sheetView showGridLines="0" workbookViewId="0">
      <selection activeCell="O10" sqref="O10:P11"/>
    </sheetView>
  </sheetViews>
  <sheetFormatPr defaultColWidth="11.42578125" defaultRowHeight="15" x14ac:dyDescent="0.25"/>
  <cols>
    <col min="2" max="2" width="15.85546875" customWidth="1"/>
    <col min="3" max="5" width="11.85546875" customWidth="1"/>
    <col min="6" max="6" width="6.7109375" customWidth="1"/>
    <col min="7" max="7" width="4" customWidth="1"/>
    <col min="8" max="10" width="8.7109375" customWidth="1"/>
    <col min="11" max="12" width="8.7109375" style="12" customWidth="1"/>
    <col min="13" max="13" width="8.7109375" customWidth="1"/>
    <col min="14" max="14" width="4" style="12" customWidth="1"/>
    <col min="15" max="15" width="14" bestFit="1" customWidth="1"/>
    <col min="16" max="18" width="8.7109375" customWidth="1"/>
    <col min="19" max="19" width="4" customWidth="1"/>
    <col min="20" max="20" width="8.7109375" customWidth="1"/>
  </cols>
  <sheetData>
    <row r="3" spans="2:13" x14ac:dyDescent="0.25">
      <c r="B3" s="55"/>
      <c r="C3" s="56" t="s">
        <v>3237</v>
      </c>
      <c r="D3" s="55"/>
      <c r="E3" s="55"/>
      <c r="F3" s="55"/>
      <c r="G3" s="55"/>
      <c r="H3" s="55"/>
      <c r="I3" s="55"/>
    </row>
    <row r="4" spans="2:13" x14ac:dyDescent="0.25">
      <c r="B4" s="57" t="s">
        <v>313</v>
      </c>
      <c r="C4" s="58" t="s">
        <v>314</v>
      </c>
      <c r="D4" s="59" t="s">
        <v>315</v>
      </c>
      <c r="E4" s="57" t="s">
        <v>316</v>
      </c>
      <c r="F4" s="59" t="s">
        <v>317</v>
      </c>
      <c r="G4" s="55"/>
      <c r="H4" s="58" t="s">
        <v>318</v>
      </c>
      <c r="I4" s="59" t="s">
        <v>319</v>
      </c>
    </row>
    <row r="5" spans="2:13" x14ac:dyDescent="0.25">
      <c r="B5" s="60" t="str">
        <f>PROPER(Cua_Trab!A5)</f>
        <v>C.C</v>
      </c>
      <c r="C5" s="91">
        <f>Cua_Trab!B5</f>
        <v>13023.988048473242</v>
      </c>
      <c r="D5" s="91">
        <f>Cua_Trab!E5</f>
        <v>1401.4481501000002</v>
      </c>
      <c r="E5" s="91">
        <f>Cua_Trab!H5</f>
        <v>11622.539898373239</v>
      </c>
      <c r="F5" s="92">
        <f>IFERROR(E5/C5,0)</f>
        <v>0.89239485287578335</v>
      </c>
      <c r="G5" s="55"/>
      <c r="H5" s="61">
        <f>Cua_Trab!K5</f>
        <v>19</v>
      </c>
      <c r="I5" s="61">
        <f>+C5/H5</f>
        <v>685.47305518280223</v>
      </c>
      <c r="M5" s="113"/>
    </row>
    <row r="6" spans="2:13" x14ac:dyDescent="0.25">
      <c r="B6" s="60" t="str">
        <f>PROPER(Cua_Trab!A6)</f>
        <v>Rimac</v>
      </c>
      <c r="C6" s="91">
        <f>Cua_Trab!B6</f>
        <v>68600.909412973706</v>
      </c>
      <c r="D6" s="91">
        <f>Cua_Trab!E6</f>
        <v>19314.465434098307</v>
      </c>
      <c r="E6" s="91">
        <f>Cua_Trab!H6</f>
        <v>49286.44397887541</v>
      </c>
      <c r="F6" s="92">
        <f>IFERROR(E6/C6,0)</f>
        <v>0.71845175815634932</v>
      </c>
      <c r="G6" s="55"/>
      <c r="H6" s="61">
        <f>Cua_Trab!K6</f>
        <v>54</v>
      </c>
      <c r="I6" s="61">
        <f>+C6/H6</f>
        <v>1270.3872113513648</v>
      </c>
    </row>
    <row r="7" spans="2:13" x14ac:dyDescent="0.25">
      <c r="B7" s="63" t="str">
        <f>PROPER(Cua_Trab!A7)</f>
        <v>Acceso</v>
      </c>
      <c r="C7" s="74">
        <f>Cua_Trab!B7</f>
        <v>51032.60153</v>
      </c>
      <c r="D7" s="93">
        <f>Cua_Trab!E7</f>
        <v>24265.77292511514</v>
      </c>
      <c r="E7" s="93">
        <f>Cua_Trab!H7</f>
        <v>26766.828604884857</v>
      </c>
      <c r="F7" s="94">
        <f>IFERROR(E7/C7,0)</f>
        <v>0.5245044893341313</v>
      </c>
      <c r="G7" s="55"/>
      <c r="H7" s="64">
        <f>Cua_Trab!K7</f>
        <v>6</v>
      </c>
      <c r="I7" s="65">
        <f>+C7/H7</f>
        <v>8505.4335883333333</v>
      </c>
    </row>
    <row r="8" spans="2:13" x14ac:dyDescent="0.25">
      <c r="B8" s="56" t="str">
        <f>PROPER(Cua_Trab!A8)</f>
        <v>Total General</v>
      </c>
      <c r="C8" s="72">
        <f>Cua_Trab!B8</f>
        <v>132657.49899144695</v>
      </c>
      <c r="D8" s="95">
        <f>Cua_Trab!E8</f>
        <v>44981.686509313447</v>
      </c>
      <c r="E8" s="95">
        <f ca="1">IF(TEXT(TODAY(),"MMMM")=O20,Cua_Trab!H8,Cua_Trab!H8-M25)</f>
        <v>87675.812482133508</v>
      </c>
      <c r="F8" s="73">
        <f ca="1">IFERROR(E8/C8,0)</f>
        <v>0.66091862992069805</v>
      </c>
      <c r="G8" s="55"/>
      <c r="H8" s="67">
        <f>Cua_Trab!K8</f>
        <v>79</v>
      </c>
      <c r="I8" s="68">
        <f>+C8/H8</f>
        <v>1679.2088479929994</v>
      </c>
    </row>
    <row r="9" spans="2:13" s="12" customFormat="1" x14ac:dyDescent="0.25">
      <c r="B9" s="55"/>
      <c r="C9" s="55"/>
      <c r="D9" s="55"/>
      <c r="E9" s="55"/>
      <c r="F9" s="55"/>
      <c r="G9" s="55"/>
      <c r="H9" s="55"/>
      <c r="I9" s="55"/>
    </row>
    <row r="10" spans="2:13" x14ac:dyDescent="0.25">
      <c r="B10" s="55"/>
      <c r="C10" s="55"/>
      <c r="D10" s="55"/>
      <c r="E10" s="55"/>
      <c r="F10" s="55"/>
      <c r="G10" s="55"/>
      <c r="H10" s="55"/>
      <c r="I10" s="55"/>
    </row>
    <row r="11" spans="2:13" x14ac:dyDescent="0.25">
      <c r="B11" s="55"/>
      <c r="C11" s="56" t="s">
        <v>3237</v>
      </c>
      <c r="D11" s="55"/>
      <c r="E11" s="55"/>
      <c r="F11" s="55"/>
      <c r="G11" s="55"/>
      <c r="H11" s="55"/>
      <c r="I11" s="55"/>
    </row>
    <row r="12" spans="2:13" x14ac:dyDescent="0.25">
      <c r="B12" s="57" t="s">
        <v>320</v>
      </c>
      <c r="C12" s="58" t="s">
        <v>314</v>
      </c>
      <c r="D12" s="59" t="s">
        <v>315</v>
      </c>
      <c r="E12" s="57" t="s">
        <v>316</v>
      </c>
      <c r="F12" s="59" t="s">
        <v>317</v>
      </c>
      <c r="G12" s="55"/>
      <c r="H12" s="58" t="s">
        <v>318</v>
      </c>
      <c r="I12" s="59" t="s">
        <v>319</v>
      </c>
    </row>
    <row r="13" spans="2:13" x14ac:dyDescent="0.25">
      <c r="B13" s="60" t="str">
        <f>PROPER(Cua_Trab!A15)</f>
        <v>Grave</v>
      </c>
      <c r="C13" s="70">
        <f>Cua_Trab!B15</f>
        <v>68818.616671368291</v>
      </c>
      <c r="D13" s="70">
        <f ca="1">IF(TEXT(TODAY(),"MMMM")=$O$20,Cua_Trab!E15,Cua_Trab!E15+T29)</f>
        <v>28764.212675115141</v>
      </c>
      <c r="E13" s="70">
        <f>Cua_Trab!H15</f>
        <v>40054.403996253153</v>
      </c>
      <c r="F13" s="62">
        <f>IFERROR(E13/C13,0)</f>
        <v>0.58202861280293106</v>
      </c>
      <c r="G13" s="55"/>
      <c r="H13" s="61">
        <f>Cua_Trab!K15</f>
        <v>12</v>
      </c>
      <c r="I13" s="61">
        <f>+C13/H13</f>
        <v>5734.8847226140242</v>
      </c>
    </row>
    <row r="14" spans="2:13" x14ac:dyDescent="0.25">
      <c r="B14" s="60" t="str">
        <f>PROPER(Cua_Trab!A16)</f>
        <v>Leve</v>
      </c>
      <c r="C14" s="70">
        <f>Cua_Trab!B16</f>
        <v>26252.195456950591</v>
      </c>
      <c r="D14" s="70">
        <f ca="1">IF(TEXT(TODAY(),"MMMM")=$O$20,Cua_Trab!E16,Cua_Trab!E16+T30)</f>
        <v>7349.5320338983074</v>
      </c>
      <c r="E14" s="70">
        <f>Cua_Trab!H16</f>
        <v>18902.663423052283</v>
      </c>
      <c r="F14" s="62">
        <f>IFERROR(E14/C14,0)</f>
        <v>0.72004124203819952</v>
      </c>
      <c r="G14" s="55"/>
      <c r="H14" s="70">
        <f>Cua_Trab!K16</f>
        <v>41</v>
      </c>
      <c r="I14" s="61">
        <f>+C14/H14</f>
        <v>640.29745016952666</v>
      </c>
    </row>
    <row r="15" spans="2:13" x14ac:dyDescent="0.25">
      <c r="B15" s="60" t="str">
        <f>PROPER(Cua_Trab!A17)</f>
        <v>Mediano</v>
      </c>
      <c r="C15" s="70">
        <f>Cua_Trab!B17</f>
        <v>28183.361242509327</v>
      </c>
      <c r="D15" s="70">
        <f ca="1">IF(TEXT(TODAY(),"MMMM")=$O$20,Cua_Trab!E17,Cua_Trab!E17+T31)</f>
        <v>8214.0159002</v>
      </c>
      <c r="E15" s="70">
        <f>Cua_Trab!H17</f>
        <v>19969.34534230932</v>
      </c>
      <c r="F15" s="62">
        <f>IFERROR(E15/C15,0)</f>
        <v>0.70855087760750479</v>
      </c>
      <c r="G15" s="55"/>
      <c r="H15" s="70">
        <f>Cua_Trab!K17</f>
        <v>15</v>
      </c>
      <c r="I15" s="61">
        <f>+C15/H15</f>
        <v>1878.8907495006217</v>
      </c>
    </row>
    <row r="16" spans="2:13" x14ac:dyDescent="0.25">
      <c r="B16" s="63" t="str">
        <f>PROPER(Cua_Trab!A18)</f>
        <v>Mecanica</v>
      </c>
      <c r="C16" s="64">
        <f>Cua_Trab!B18</f>
        <v>9403.3256206187398</v>
      </c>
      <c r="D16" s="64">
        <f ca="1">IF(TEXT(TODAY(),"MMMM")=$O$20,Cua_Trab!E18,Cua_Trab!E18+T32)</f>
        <v>653.92590009999992</v>
      </c>
      <c r="E16" s="64">
        <f>Cua_Trab!H18</f>
        <v>8749.3997205187407</v>
      </c>
      <c r="F16" s="66">
        <f>IFERROR(E16/C16,0)</f>
        <v>0.93045801810094386</v>
      </c>
      <c r="G16" s="55"/>
      <c r="H16" s="64">
        <f>Cua_Trab!K18</f>
        <v>11</v>
      </c>
      <c r="I16" s="65">
        <f>+C16/H16</f>
        <v>854.84778369261267</v>
      </c>
    </row>
    <row r="17" spans="1:20" x14ac:dyDescent="0.25">
      <c r="B17" s="56" t="str">
        <f>Cua_Trab!A19</f>
        <v>Total general</v>
      </c>
      <c r="C17" s="67">
        <f>Cua_Trab!B19</f>
        <v>132657.49899144695</v>
      </c>
      <c r="D17" s="67">
        <f ca="1">IF(TEXT(TODAY(),"MMMM")=$O$20,Cua_Trab!E19,Cua_Trab!E19+T33)</f>
        <v>44981.686509313455</v>
      </c>
      <c r="E17" s="67">
        <f>Cua_Trab!H19</f>
        <v>87675.812482133508</v>
      </c>
      <c r="F17" s="69">
        <f>IFERROR(E17/C17,0)</f>
        <v>0.66091862992069805</v>
      </c>
      <c r="G17" s="55"/>
      <c r="H17" s="67">
        <f>Cua_Trab!K19</f>
        <v>79</v>
      </c>
      <c r="I17" s="68">
        <f>+C17/H17</f>
        <v>1679.2088479929994</v>
      </c>
    </row>
    <row r="18" spans="1:20" x14ac:dyDescent="0.25">
      <c r="D18" s="45"/>
      <c r="E18" s="45"/>
    </row>
    <row r="20" spans="1:20" x14ac:dyDescent="0.25">
      <c r="O20" t="s">
        <v>739</v>
      </c>
      <c r="P20">
        <v>2019</v>
      </c>
    </row>
    <row r="21" spans="1:20" x14ac:dyDescent="0.25">
      <c r="B21" s="57" t="s">
        <v>469</v>
      </c>
      <c r="C21" s="58" t="s">
        <v>470</v>
      </c>
      <c r="D21" s="97"/>
      <c r="E21" s="57" t="s">
        <v>313</v>
      </c>
      <c r="F21" s="58" t="s">
        <v>317</v>
      </c>
      <c r="G21" s="97"/>
      <c r="H21" s="59" t="s">
        <v>471</v>
      </c>
      <c r="I21" s="59" t="s">
        <v>472</v>
      </c>
      <c r="J21" s="59" t="s">
        <v>473</v>
      </c>
      <c r="K21" s="59" t="s">
        <v>476</v>
      </c>
      <c r="L21" s="59" t="s">
        <v>517</v>
      </c>
      <c r="M21" s="59" t="s">
        <v>67</v>
      </c>
      <c r="N21" s="70"/>
      <c r="O21" s="57" t="s">
        <v>320</v>
      </c>
      <c r="P21" s="58" t="s">
        <v>474</v>
      </c>
      <c r="Q21" s="58" t="s">
        <v>475</v>
      </c>
      <c r="R21" s="58" t="s">
        <v>121</v>
      </c>
      <c r="S21" s="97"/>
      <c r="T21" s="58" t="s">
        <v>67</v>
      </c>
    </row>
    <row r="22" spans="1:20" x14ac:dyDescent="0.25">
      <c r="B22" s="56" t="s">
        <v>476</v>
      </c>
      <c r="C22" s="97"/>
      <c r="D22" s="60"/>
      <c r="E22" s="60" t="s">
        <v>121</v>
      </c>
      <c r="F22" s="108">
        <f>+H5/$H$8</f>
        <v>0.24050632911392406</v>
      </c>
      <c r="G22" s="97"/>
      <c r="H22" s="70">
        <f>+$C$25*F22</f>
        <v>0</v>
      </c>
      <c r="I22" s="70">
        <f>+C23</f>
        <v>0</v>
      </c>
      <c r="J22" s="70">
        <f>+$D$54*F22</f>
        <v>0</v>
      </c>
      <c r="K22" s="70">
        <f>(SUMIF($A$23:$A$31,"sue",$C$23:$C$31))*F22</f>
        <v>0</v>
      </c>
      <c r="L22" s="70">
        <f>(SUMIF($A$23:$A$31,"ser",$C$23:$C$31))*F22</f>
        <v>0</v>
      </c>
      <c r="M22" s="70">
        <f>+H22+I22+J22+K22+L22</f>
        <v>0</v>
      </c>
      <c r="N22" s="70"/>
      <c r="O22" s="60" t="s">
        <v>294</v>
      </c>
      <c r="P22" s="61">
        <f ca="1">COUNTIFS(Facturacion!$AL$4:$AL$314,P$21,Facturacion!$AM$4:$AM$314,$O22,Facturacion!$AN$4:$AN$314,$O$20,Facturacion!$AO$4:$AO$314,Diapo_10!$P$20)</f>
        <v>0</v>
      </c>
      <c r="Q22" s="61">
        <f ca="1">COUNTIFS(Facturacion!$AL$4:$AL$314,Q$21,Facturacion!$AM$4:$AM$314,$O22,Facturacion!$AN$4:$AN$314,$O$20,Facturacion!$AO$4:$AO$314,Diapo_10!$P$20)</f>
        <v>0</v>
      </c>
      <c r="R22" s="61">
        <f ca="1">COUNTIFS(Facturacion!$AL$4:$AL$314,R$21,Facturacion!$AM$4:$AM$314,$O22,Facturacion!$AN$4:$AN$314,$O$20,Facturacion!$AO$4:$AO$314,Diapo_10!$P$20)</f>
        <v>0</v>
      </c>
      <c r="S22" s="97"/>
      <c r="T22" s="61">
        <f ca="1">SUM(P22:R22)</f>
        <v>0</v>
      </c>
    </row>
    <row r="23" spans="1:20" x14ac:dyDescent="0.25">
      <c r="A23" t="s">
        <v>521</v>
      </c>
      <c r="B23" s="60" t="s">
        <v>524</v>
      </c>
      <c r="C23" s="70">
        <f>3110*0</f>
        <v>0</v>
      </c>
      <c r="D23" s="97"/>
      <c r="E23" s="60" t="s">
        <v>475</v>
      </c>
      <c r="F23" s="108">
        <f>+H6/$H$8</f>
        <v>0.68354430379746833</v>
      </c>
      <c r="G23" s="97"/>
      <c r="H23" s="70">
        <f t="shared" ref="H23:H24" si="0">+$C$25*F23</f>
        <v>0</v>
      </c>
      <c r="I23" s="70">
        <f>$C$24*(H6/($H$6+$H$7))</f>
        <v>0</v>
      </c>
      <c r="J23" s="70">
        <f>+$D$54*F23</f>
        <v>0</v>
      </c>
      <c r="K23" s="70">
        <f t="shared" ref="K23:K24" si="1">(SUMIF($A$23:$A$31,"sue",$C$23:$C$31))*F23</f>
        <v>0</v>
      </c>
      <c r="L23" s="70">
        <f t="shared" ref="L23:L24" si="2">(SUMIF($A$23:$A$31,"ser",$C$23:$C$31))*F23</f>
        <v>0</v>
      </c>
      <c r="M23" s="70">
        <f t="shared" ref="M23:M24" si="3">+H23+I23+J23+K23+L23</f>
        <v>0</v>
      </c>
      <c r="N23" s="70"/>
      <c r="O23" s="60" t="s">
        <v>292</v>
      </c>
      <c r="P23" s="61">
        <f ca="1">COUNTIFS(Facturacion!$AL$4:$AL$314,P$21,Facturacion!$AM$4:$AM$314,$O23,Facturacion!$AN$4:$AN$314,$O$20,Facturacion!$AO$4:$AO$314,Diapo_10!$P$20)</f>
        <v>0</v>
      </c>
      <c r="Q23" s="61">
        <f ca="1">COUNTIFS(Facturacion!$AL$4:$AL$314,Q$21,Facturacion!$AM$4:$AM$314,$O23,Facturacion!$AN$4:$AN$314,$O$20,Facturacion!$AO$4:$AO$314,Diapo_10!$P$20)</f>
        <v>0</v>
      </c>
      <c r="R23" s="61">
        <f ca="1">COUNTIFS(Facturacion!$AL$4:$AL$314,R$21,Facturacion!$AM$4:$AM$314,$O23,Facturacion!$AN$4:$AN$314,$O$20,Facturacion!$AO$4:$AO$314,Diapo_10!$P$20)</f>
        <v>0</v>
      </c>
      <c r="S23" s="97"/>
      <c r="T23" s="61">
        <f ca="1">SUM(P23:R23)</f>
        <v>0</v>
      </c>
    </row>
    <row r="24" spans="1:20" x14ac:dyDescent="0.25">
      <c r="A24" t="s">
        <v>523</v>
      </c>
      <c r="B24" s="60" t="s">
        <v>525</v>
      </c>
      <c r="C24" s="70">
        <f>5286*0</f>
        <v>0</v>
      </c>
      <c r="D24" s="97"/>
      <c r="E24" s="63" t="s">
        <v>474</v>
      </c>
      <c r="F24" s="109">
        <f>+H7/$H$8</f>
        <v>7.5949367088607597E-2</v>
      </c>
      <c r="G24" s="97"/>
      <c r="H24" s="64">
        <f t="shared" si="0"/>
        <v>0</v>
      </c>
      <c r="I24" s="64">
        <f>$C$24*(H7/($H$6+$H$7))</f>
        <v>0</v>
      </c>
      <c r="J24" s="64">
        <f>+$D$54*F24</f>
        <v>0</v>
      </c>
      <c r="K24" s="64">
        <f t="shared" si="1"/>
        <v>0</v>
      </c>
      <c r="L24" s="64">
        <f t="shared" si="2"/>
        <v>0</v>
      </c>
      <c r="M24" s="64">
        <f t="shared" si="3"/>
        <v>0</v>
      </c>
      <c r="N24" s="112"/>
      <c r="O24" s="60" t="s">
        <v>293</v>
      </c>
      <c r="P24" s="61">
        <f ca="1">COUNTIFS(Facturacion!$AL$4:$AL$314,P$21,Facturacion!$AM$4:$AM$314,$O24,Facturacion!$AN$4:$AN$314,$O$20,Facturacion!$AO$4:$AO$314,Diapo_10!$P$20)</f>
        <v>0</v>
      </c>
      <c r="Q24" s="61">
        <f ca="1">COUNTIFS(Facturacion!$AL$4:$AL$314,Q$21,Facturacion!$AM$4:$AM$314,$O24,Facturacion!$AN$4:$AN$314,$O$20,Facturacion!$AO$4:$AO$314,Diapo_10!$P$20)</f>
        <v>0</v>
      </c>
      <c r="R24" s="61">
        <f ca="1">COUNTIFS(Facturacion!$AL$4:$AL$314,R$21,Facturacion!$AM$4:$AM$314,$O24,Facturacion!$AN$4:$AN$314,$O$20,Facturacion!$AO$4:$AO$314,Diapo_10!$P$20)</f>
        <v>0</v>
      </c>
      <c r="S24" s="97"/>
      <c r="T24" s="61">
        <f t="shared" ref="T24:T25" ca="1" si="4">SUM(P24:R24)</f>
        <v>0</v>
      </c>
    </row>
    <row r="25" spans="1:20" x14ac:dyDescent="0.25">
      <c r="A25" t="s">
        <v>522</v>
      </c>
      <c r="B25" s="60" t="s">
        <v>526</v>
      </c>
      <c r="C25" s="70">
        <f>2600*0</f>
        <v>0</v>
      </c>
      <c r="D25" s="97"/>
      <c r="E25" s="56" t="s">
        <v>477</v>
      </c>
      <c r="F25" s="110">
        <f>SUM(F21:F24)</f>
        <v>1</v>
      </c>
      <c r="G25" s="97"/>
      <c r="H25" s="67">
        <f>SUM(H22:H24)</f>
        <v>0</v>
      </c>
      <c r="I25" s="67">
        <f t="shared" ref="I25:M25" si="5">SUM(I22:I24)</f>
        <v>0</v>
      </c>
      <c r="J25" s="67">
        <f t="shared" si="5"/>
        <v>0</v>
      </c>
      <c r="K25" s="67">
        <f t="shared" si="5"/>
        <v>0</v>
      </c>
      <c r="L25" s="67">
        <f t="shared" ref="L25" si="6">SUM(L22:L24)</f>
        <v>0</v>
      </c>
      <c r="M25" s="67">
        <f t="shared" si="5"/>
        <v>0</v>
      </c>
      <c r="N25" s="67"/>
      <c r="O25" s="63" t="s">
        <v>472</v>
      </c>
      <c r="P25" s="64">
        <f ca="1">COUNTIFS(Facturacion!$AL$4:$AL$314,P$21,Facturacion!$AM$4:$AM$314,$O25,Facturacion!$AN$4:$AN$314,$O$20,Facturacion!$AO$4:$AO$314,Diapo_10!$P$20)</f>
        <v>0</v>
      </c>
      <c r="Q25" s="64">
        <f ca="1">COUNTIFS(Facturacion!$AL$4:$AL$314,Q$21,Facturacion!$AM$4:$AM$314,$O25,Facturacion!$AN$4:$AN$314,$O$20,Facturacion!$AO$4:$AO$314,Diapo_10!$P$20)</f>
        <v>0</v>
      </c>
      <c r="R25" s="64">
        <f ca="1">COUNTIFS(Facturacion!$AL$4:$AL$314,R$21,Facturacion!$AM$4:$AM$314,$O25,Facturacion!$AN$4:$AN$314,$O$20,Facturacion!$AO$4:$AO$314,Diapo_10!$P$20)</f>
        <v>0</v>
      </c>
      <c r="S25" s="97"/>
      <c r="T25" s="64">
        <f t="shared" ca="1" si="4"/>
        <v>0</v>
      </c>
    </row>
    <row r="26" spans="1:20" x14ac:dyDescent="0.25">
      <c r="A26" t="s">
        <v>520</v>
      </c>
      <c r="B26" s="60" t="s">
        <v>508</v>
      </c>
      <c r="C26" s="70">
        <f>16940.33*0</f>
        <v>0</v>
      </c>
      <c r="F26" s="97"/>
      <c r="G26" s="97"/>
      <c r="H26" s="97"/>
      <c r="I26" s="97"/>
      <c r="J26" s="97"/>
      <c r="K26" s="97"/>
      <c r="L26" s="97"/>
      <c r="M26" s="97"/>
      <c r="N26" s="97"/>
      <c r="O26" s="56" t="s">
        <v>477</v>
      </c>
      <c r="P26" s="68">
        <f ca="1">SUM(P22:P25)</f>
        <v>0</v>
      </c>
      <c r="Q26" s="68">
        <f t="shared" ref="Q26:T26" ca="1" si="7">SUM(Q22:Q25)</f>
        <v>0</v>
      </c>
      <c r="R26" s="68">
        <f t="shared" ca="1" si="7"/>
        <v>0</v>
      </c>
      <c r="S26" s="97"/>
      <c r="T26" s="68">
        <f t="shared" ca="1" si="7"/>
        <v>0</v>
      </c>
    </row>
    <row r="27" spans="1:20" x14ac:dyDescent="0.25">
      <c r="A27" s="12" t="s">
        <v>518</v>
      </c>
      <c r="B27" s="60" t="s">
        <v>509</v>
      </c>
      <c r="C27" s="70">
        <f>3003*0</f>
        <v>0</v>
      </c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</row>
    <row r="28" spans="1:20" x14ac:dyDescent="0.25">
      <c r="A28" s="12" t="s">
        <v>518</v>
      </c>
      <c r="B28" s="60" t="s">
        <v>510</v>
      </c>
      <c r="C28" s="70">
        <f>1401.62*0</f>
        <v>0</v>
      </c>
      <c r="F28" s="97"/>
      <c r="G28" s="97"/>
      <c r="H28" s="97"/>
      <c r="I28" s="97"/>
      <c r="J28" s="97"/>
      <c r="K28" s="97"/>
      <c r="L28" s="97"/>
      <c r="M28" s="97"/>
      <c r="N28" s="97"/>
      <c r="O28" s="57" t="s">
        <v>320</v>
      </c>
      <c r="P28" s="58" t="s">
        <v>474</v>
      </c>
      <c r="Q28" s="58" t="s">
        <v>475</v>
      </c>
      <c r="R28" s="58" t="s">
        <v>121</v>
      </c>
      <c r="S28" s="97"/>
      <c r="T28" s="58" t="s">
        <v>67</v>
      </c>
    </row>
    <row r="29" spans="1:20" x14ac:dyDescent="0.25">
      <c r="A29" s="12" t="s">
        <v>518</v>
      </c>
      <c r="B29" s="60" t="s">
        <v>511</v>
      </c>
      <c r="C29" s="70">
        <f>1038*0</f>
        <v>0</v>
      </c>
      <c r="F29" s="97"/>
      <c r="G29" s="97"/>
      <c r="H29" s="97"/>
      <c r="I29" s="97"/>
      <c r="J29" s="97"/>
      <c r="K29" s="97"/>
      <c r="L29" s="97"/>
      <c r="M29" s="97"/>
      <c r="N29" s="97"/>
      <c r="O29" s="60" t="s">
        <v>294</v>
      </c>
      <c r="P29" s="61">
        <f ca="1">IFERROR((P22/P$26)*M$24,0)</f>
        <v>0</v>
      </c>
      <c r="Q29" s="61">
        <f t="shared" ref="Q29:R29" ca="1" si="8">IFERROR((Q22/Q$26)*N$24,0)</f>
        <v>0</v>
      </c>
      <c r="R29" s="61">
        <f t="shared" ca="1" si="8"/>
        <v>0</v>
      </c>
      <c r="S29" s="97"/>
      <c r="T29" s="61">
        <f ca="1">SUM(P29:R29)</f>
        <v>0</v>
      </c>
    </row>
    <row r="30" spans="1:20" x14ac:dyDescent="0.25">
      <c r="A30" t="s">
        <v>518</v>
      </c>
      <c r="B30" s="60" t="s">
        <v>512</v>
      </c>
      <c r="C30" s="70">
        <f>1063.87*0</f>
        <v>0</v>
      </c>
      <c r="F30" s="97"/>
      <c r="G30" s="97"/>
      <c r="H30" s="97"/>
      <c r="I30" s="97"/>
      <c r="J30" s="97"/>
      <c r="K30" s="97"/>
      <c r="L30" s="97"/>
      <c r="M30" s="97"/>
      <c r="N30" s="97"/>
      <c r="O30" s="60" t="s">
        <v>292</v>
      </c>
      <c r="P30" s="61">
        <f t="shared" ref="P30:R30" ca="1" si="9">IFERROR((P23/P$26)*M$24,0)</f>
        <v>0</v>
      </c>
      <c r="Q30" s="61">
        <f t="shared" ca="1" si="9"/>
        <v>0</v>
      </c>
      <c r="R30" s="61">
        <f t="shared" ca="1" si="9"/>
        <v>0</v>
      </c>
      <c r="S30" s="97"/>
      <c r="T30" s="61">
        <f ca="1">SUM(P30:R30)</f>
        <v>0</v>
      </c>
    </row>
    <row r="31" spans="1:20" x14ac:dyDescent="0.25">
      <c r="A31" t="s">
        <v>519</v>
      </c>
      <c r="B31" s="63" t="s">
        <v>527</v>
      </c>
      <c r="C31" s="64">
        <f>20915.19*0</f>
        <v>0</v>
      </c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60" t="s">
        <v>293</v>
      </c>
      <c r="P31" s="61">
        <f t="shared" ref="P31:R31" ca="1" si="10">IFERROR((P24/P$26)*M$24,0)</f>
        <v>0</v>
      </c>
      <c r="Q31" s="61">
        <f t="shared" ca="1" si="10"/>
        <v>0</v>
      </c>
      <c r="R31" s="61">
        <f t="shared" ca="1" si="10"/>
        <v>0</v>
      </c>
      <c r="S31" s="97"/>
      <c r="T31" s="61">
        <f t="shared" ref="T31:T32" ca="1" si="11">SUM(P31:R31)</f>
        <v>0</v>
      </c>
    </row>
    <row r="32" spans="1:20" x14ac:dyDescent="0.25">
      <c r="B32" s="56" t="s">
        <v>67</v>
      </c>
      <c r="C32" s="67">
        <f>SUM(C23:C31)</f>
        <v>0</v>
      </c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63" t="s">
        <v>472</v>
      </c>
      <c r="P32" s="64">
        <f t="shared" ref="P32:R32" ca="1" si="12">IFERROR((P25/P$26)*M$24,0)</f>
        <v>0</v>
      </c>
      <c r="Q32" s="64">
        <f t="shared" ca="1" si="12"/>
        <v>0</v>
      </c>
      <c r="R32" s="64">
        <f t="shared" ca="1" si="12"/>
        <v>0</v>
      </c>
      <c r="S32" s="97"/>
      <c r="T32" s="64">
        <f t="shared" ca="1" si="11"/>
        <v>0</v>
      </c>
    </row>
    <row r="33" spans="1:20" x14ac:dyDescent="0.25">
      <c r="F33" s="97"/>
      <c r="G33" s="97"/>
      <c r="H33" s="97"/>
      <c r="I33" s="97"/>
      <c r="J33" s="97"/>
      <c r="K33" s="97"/>
      <c r="L33" s="97"/>
      <c r="M33" s="97"/>
      <c r="N33" s="97"/>
      <c r="O33" s="56" t="s">
        <v>477</v>
      </c>
      <c r="P33" s="68">
        <f ca="1">SUM(P29:P32)</f>
        <v>0</v>
      </c>
      <c r="Q33" s="68">
        <f t="shared" ref="Q33:T33" ca="1" si="13">SUM(Q29:Q32)</f>
        <v>0</v>
      </c>
      <c r="R33" s="68">
        <f t="shared" ca="1" si="13"/>
        <v>0</v>
      </c>
      <c r="S33" s="97"/>
      <c r="T33" s="68">
        <f t="shared" ca="1" si="13"/>
        <v>0</v>
      </c>
    </row>
    <row r="34" spans="1:20" ht="17.25" x14ac:dyDescent="0.25">
      <c r="B34" s="56" t="s">
        <v>473</v>
      </c>
      <c r="C34" s="75">
        <f>16380*3.3</f>
        <v>54054</v>
      </c>
      <c r="D34" s="115">
        <f>(C34/C54)*0</f>
        <v>0</v>
      </c>
      <c r="E34" s="111" t="s">
        <v>478</v>
      </c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</row>
    <row r="35" spans="1:20" x14ac:dyDescent="0.25">
      <c r="B35" s="57" t="s">
        <v>479</v>
      </c>
      <c r="C35" s="58" t="s">
        <v>480</v>
      </c>
      <c r="D35" s="59" t="s">
        <v>481</v>
      </c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</row>
    <row r="36" spans="1:20" x14ac:dyDescent="0.25">
      <c r="A36" t="s">
        <v>513</v>
      </c>
      <c r="B36" s="60" t="s">
        <v>482</v>
      </c>
      <c r="C36" s="115">
        <f>20.88+19.944</f>
        <v>40.823999999999998</v>
      </c>
      <c r="D36" s="115">
        <f t="shared" ref="D36:D53" si="14">+C36*$D$34</f>
        <v>0</v>
      </c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</row>
    <row r="37" spans="1:20" x14ac:dyDescent="0.25">
      <c r="A37" t="s">
        <v>513</v>
      </c>
      <c r="B37" s="60" t="s">
        <v>483</v>
      </c>
      <c r="C37" s="115">
        <v>76.075999999999993</v>
      </c>
      <c r="D37" s="115">
        <f t="shared" si="14"/>
        <v>0</v>
      </c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</row>
    <row r="38" spans="1:20" x14ac:dyDescent="0.25">
      <c r="A38" t="s">
        <v>513</v>
      </c>
      <c r="B38" s="60" t="s">
        <v>507</v>
      </c>
      <c r="C38" s="115">
        <v>503.63</v>
      </c>
      <c r="D38" s="115">
        <f t="shared" si="14"/>
        <v>0</v>
      </c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</row>
    <row r="39" spans="1:20" x14ac:dyDescent="0.25">
      <c r="A39" t="s">
        <v>514</v>
      </c>
      <c r="B39" s="60" t="s">
        <v>484</v>
      </c>
      <c r="C39" s="115">
        <v>56.7</v>
      </c>
      <c r="D39" s="115">
        <f t="shared" si="14"/>
        <v>0</v>
      </c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</row>
    <row r="40" spans="1:20" x14ac:dyDescent="0.25">
      <c r="A40" t="s">
        <v>515</v>
      </c>
      <c r="B40" s="60" t="s">
        <v>472</v>
      </c>
      <c r="C40" s="115">
        <f>77.81+45</f>
        <v>122.81</v>
      </c>
      <c r="D40" s="115">
        <f t="shared" si="14"/>
        <v>0</v>
      </c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</row>
    <row r="41" spans="1:20" x14ac:dyDescent="0.25">
      <c r="A41" t="s">
        <v>513</v>
      </c>
      <c r="B41" s="60" t="s">
        <v>485</v>
      </c>
      <c r="C41" s="115">
        <v>30.94</v>
      </c>
      <c r="D41" s="115">
        <f t="shared" si="14"/>
        <v>0</v>
      </c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</row>
    <row r="42" spans="1:20" s="12" customFormat="1" x14ac:dyDescent="0.25">
      <c r="A42" t="s">
        <v>514</v>
      </c>
      <c r="B42" s="60" t="s">
        <v>486</v>
      </c>
      <c r="C42" s="115">
        <v>354.3</v>
      </c>
      <c r="D42" s="115">
        <f t="shared" si="14"/>
        <v>0</v>
      </c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</row>
    <row r="43" spans="1:20" s="12" customFormat="1" x14ac:dyDescent="0.25">
      <c r="A43" s="12" t="s">
        <v>516</v>
      </c>
      <c r="B43" s="60" t="s">
        <v>487</v>
      </c>
      <c r="C43" s="115">
        <f>354.39+91.88</f>
        <v>446.27</v>
      </c>
      <c r="D43" s="115">
        <f t="shared" si="14"/>
        <v>0</v>
      </c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</row>
    <row r="44" spans="1:20" s="12" customFormat="1" x14ac:dyDescent="0.25">
      <c r="A44" s="12" t="s">
        <v>513</v>
      </c>
      <c r="B44" s="60" t="s">
        <v>488</v>
      </c>
      <c r="C44" s="115">
        <v>53.814999999999998</v>
      </c>
      <c r="D44" s="115">
        <f t="shared" si="14"/>
        <v>0</v>
      </c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</row>
    <row r="45" spans="1:20" x14ac:dyDescent="0.25">
      <c r="A45" s="12" t="s">
        <v>513</v>
      </c>
      <c r="B45" s="60" t="s">
        <v>489</v>
      </c>
      <c r="C45" s="115">
        <v>102.24</v>
      </c>
      <c r="D45" s="115">
        <f t="shared" si="14"/>
        <v>0</v>
      </c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</row>
    <row r="46" spans="1:20" x14ac:dyDescent="0.25">
      <c r="A46" t="s">
        <v>513</v>
      </c>
      <c r="B46" s="60" t="s">
        <v>490</v>
      </c>
      <c r="C46" s="115">
        <v>17.100000000000001</v>
      </c>
      <c r="D46" s="115">
        <f t="shared" si="14"/>
        <v>0</v>
      </c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</row>
    <row r="47" spans="1:20" x14ac:dyDescent="0.25">
      <c r="A47" t="s">
        <v>513</v>
      </c>
      <c r="B47" s="60" t="s">
        <v>491</v>
      </c>
      <c r="C47" s="115">
        <v>11.28</v>
      </c>
      <c r="D47" s="115">
        <f t="shared" si="14"/>
        <v>0</v>
      </c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</row>
    <row r="48" spans="1:20" x14ac:dyDescent="0.25">
      <c r="A48" t="s">
        <v>513</v>
      </c>
      <c r="B48" s="60" t="s">
        <v>492</v>
      </c>
      <c r="C48" s="115">
        <v>22.56</v>
      </c>
      <c r="D48" s="115">
        <f t="shared" si="14"/>
        <v>0</v>
      </c>
      <c r="E48" s="97"/>
    </row>
    <row r="49" spans="1:5" x14ac:dyDescent="0.25">
      <c r="A49" t="s">
        <v>513</v>
      </c>
      <c r="B49" s="60" t="s">
        <v>493</v>
      </c>
      <c r="C49" s="115">
        <v>17.86</v>
      </c>
      <c r="D49" s="115">
        <f t="shared" si="14"/>
        <v>0</v>
      </c>
      <c r="E49" s="97"/>
    </row>
    <row r="50" spans="1:5" x14ac:dyDescent="0.25">
      <c r="A50" t="s">
        <v>513</v>
      </c>
      <c r="B50" s="60" t="s">
        <v>504</v>
      </c>
      <c r="C50" s="115">
        <v>11.183999999999999</v>
      </c>
      <c r="D50" s="115">
        <f t="shared" si="14"/>
        <v>0</v>
      </c>
      <c r="E50" s="97"/>
    </row>
    <row r="51" spans="1:5" s="12" customFormat="1" x14ac:dyDescent="0.25">
      <c r="A51" t="s">
        <v>513</v>
      </c>
      <c r="B51" s="60" t="s">
        <v>505</v>
      </c>
      <c r="C51" s="115">
        <v>21.6</v>
      </c>
      <c r="D51" s="115">
        <f t="shared" si="14"/>
        <v>0</v>
      </c>
      <c r="E51" s="97"/>
    </row>
    <row r="52" spans="1:5" x14ac:dyDescent="0.25">
      <c r="A52" s="12" t="s">
        <v>513</v>
      </c>
      <c r="B52" s="60" t="s">
        <v>528</v>
      </c>
      <c r="C52" s="115">
        <v>333.45</v>
      </c>
      <c r="D52" s="115">
        <f t="shared" si="14"/>
        <v>0</v>
      </c>
      <c r="E52" s="97"/>
    </row>
    <row r="53" spans="1:5" x14ac:dyDescent="0.25">
      <c r="A53" t="s">
        <v>513</v>
      </c>
      <c r="B53" s="63" t="s">
        <v>506</v>
      </c>
      <c r="C53" s="116">
        <v>27.36</v>
      </c>
      <c r="D53" s="116">
        <f t="shared" si="14"/>
        <v>0</v>
      </c>
      <c r="E53" s="97"/>
    </row>
    <row r="54" spans="1:5" x14ac:dyDescent="0.25">
      <c r="B54" s="56" t="s">
        <v>67</v>
      </c>
      <c r="C54" s="67">
        <f>SUM(C36:C53)</f>
        <v>2249.9989999999998</v>
      </c>
      <c r="D54" s="67">
        <f>SUM(D36:D53)</f>
        <v>0</v>
      </c>
      <c r="E54" s="97"/>
    </row>
    <row r="55" spans="1:5" x14ac:dyDescent="0.25">
      <c r="C55" s="45"/>
    </row>
  </sheetData>
  <pageMargins left="0.25" right="0.25" top="0.75" bottom="0.75" header="0.3" footer="0.3"/>
  <pageSetup paperSize="9" scale="72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1269B-9D4D-4C53-9284-30024A7E1B95}">
  <sheetPr>
    <pageSetUpPr fitToPage="1"/>
  </sheetPr>
  <dimension ref="A3:T55"/>
  <sheetViews>
    <sheetView showGridLines="0" workbookViewId="0">
      <selection activeCell="C13" sqref="C13"/>
    </sheetView>
  </sheetViews>
  <sheetFormatPr defaultColWidth="11.42578125" defaultRowHeight="15" x14ac:dyDescent="0.25"/>
  <cols>
    <col min="1" max="1" width="11.42578125" style="12"/>
    <col min="2" max="2" width="15.85546875" style="12" customWidth="1"/>
    <col min="3" max="5" width="11.85546875" style="12" customWidth="1"/>
    <col min="6" max="6" width="6.7109375" style="12" customWidth="1"/>
    <col min="7" max="7" width="4" style="12" customWidth="1"/>
    <col min="8" max="13" width="8.7109375" style="12" customWidth="1"/>
    <col min="14" max="14" width="4" style="12" customWidth="1"/>
    <col min="15" max="15" width="14" style="12" bestFit="1" customWidth="1"/>
    <col min="16" max="18" width="8.7109375" style="12" customWidth="1"/>
    <col min="19" max="19" width="4" style="12" customWidth="1"/>
    <col min="20" max="20" width="8.7109375" style="12" customWidth="1"/>
    <col min="21" max="16384" width="11.42578125" style="12"/>
  </cols>
  <sheetData>
    <row r="3" spans="2:13" x14ac:dyDescent="0.25">
      <c r="B3" s="229" t="s">
        <v>2856</v>
      </c>
      <c r="C3" s="56" t="s">
        <v>2857</v>
      </c>
      <c r="D3" s="228">
        <v>2019</v>
      </c>
      <c r="E3" s="55"/>
      <c r="F3" s="55"/>
      <c r="G3" s="55"/>
      <c r="H3" s="55"/>
      <c r="I3" s="55"/>
    </row>
    <row r="4" spans="2:13" x14ac:dyDescent="0.25">
      <c r="B4" s="57" t="s">
        <v>313</v>
      </c>
      <c r="C4" s="58" t="s">
        <v>314</v>
      </c>
      <c r="D4" s="59" t="s">
        <v>315</v>
      </c>
      <c r="E4" s="57" t="s">
        <v>316</v>
      </c>
      <c r="F4" s="59" t="s">
        <v>317</v>
      </c>
      <c r="G4" s="55"/>
      <c r="H4" s="58" t="s">
        <v>318</v>
      </c>
      <c r="I4" s="59" t="s">
        <v>319</v>
      </c>
    </row>
    <row r="5" spans="2:13" x14ac:dyDescent="0.25">
      <c r="B5" s="60" t="s">
        <v>121</v>
      </c>
      <c r="C5" s="91">
        <f ca="1">SUMIFS(Facturacion!$AA$4:$AA$288,Facturacion!$AL$4:$AL$288,$B5,Facturacion!$AN$4:$AN$288,$C$3,Facturacion!$AO$4:$AO$288,$D$3)</f>
        <v>0</v>
      </c>
      <c r="D5" s="91">
        <f ca="1">SUMIFS(Facturacion!$AI$4:$AI$288,Facturacion!$AL$4:$AL$288,$B5,Facturacion!$AN$4:$AN$288,$C$3,Facturacion!$AO$4:$AO$288,$D$3)</f>
        <v>0</v>
      </c>
      <c r="E5" s="91">
        <f ca="1">SUMIFS(Facturacion!$AJ$4:$AJ$288,Facturacion!$AL$4:$AL$288,$B5,Facturacion!$AN$4:$AN$288,$C$3,Facturacion!$AO$4:$AO$288,$D$3)</f>
        <v>0</v>
      </c>
      <c r="F5" s="92">
        <f ca="1">IFERROR(E5/C5,0)</f>
        <v>0</v>
      </c>
      <c r="G5" s="55"/>
      <c r="H5" s="61">
        <f ca="1">SUMIFS(Facturacion!$AQ$4:$AQ$288,Facturacion!$AL$4:$AL$288,$B5,Facturacion!$AN$4:$AN$288,$C$3,Facturacion!$AO$4:$AO$288,$D$3)</f>
        <v>0</v>
      </c>
      <c r="I5" s="61">
        <f ca="1">IFERROR(C5/H5,0)</f>
        <v>0</v>
      </c>
      <c r="M5" s="113"/>
    </row>
    <row r="6" spans="2:13" x14ac:dyDescent="0.25">
      <c r="B6" s="60" t="s">
        <v>474</v>
      </c>
      <c r="C6" s="91">
        <f ca="1">SUMIFS(Facturacion!$AA$4:$AA$288,Facturacion!$AL$4:$AL$288,$B6,Facturacion!$AN$4:$AN$288,$C$3,Facturacion!$AO$4:$AO$288,$D$3)</f>
        <v>0</v>
      </c>
      <c r="D6" s="91">
        <f ca="1">SUMIFS(Facturacion!$AI$4:$AI$288,Facturacion!$AL$4:$AL$288,$B6,Facturacion!$AN$4:$AN$288,$C$3,Facturacion!$AO$4:$AO$288,$D$3)</f>
        <v>0</v>
      </c>
      <c r="E6" s="91">
        <f ca="1">SUMIFS(Facturacion!$AJ$4:$AJ$288,Facturacion!$AL$4:$AL$288,$B6,Facturacion!$AN$4:$AN$288,$C$3,Facturacion!$AO$4:$AO$288,$D$3)</f>
        <v>0</v>
      </c>
      <c r="F6" s="92">
        <f ca="1">IFERROR(E6/C6,0)</f>
        <v>0</v>
      </c>
      <c r="G6" s="55"/>
      <c r="H6" s="61">
        <f ca="1">SUMIFS(Facturacion!$AQ$4:$AQ$288,Facturacion!$AL$4:$AL$288,$B6,Facturacion!$AN$4:$AN$288,$C$3,Facturacion!$AO$4:$AO$288,$D$3)</f>
        <v>0</v>
      </c>
      <c r="I6" s="61">
        <f t="shared" ref="I6:I8" ca="1" si="0">IFERROR(C6/H6,0)</f>
        <v>0</v>
      </c>
    </row>
    <row r="7" spans="2:13" x14ac:dyDescent="0.25">
      <c r="B7" s="60" t="s">
        <v>475</v>
      </c>
      <c r="C7" s="91">
        <f ca="1">SUMIFS(Facturacion!$AA$4:$AA$288,Facturacion!$AL$4:$AL$288,$B7,Facturacion!$AN$4:$AN$288,$C$3,Facturacion!$AO$4:$AO$288,$D$3)</f>
        <v>0</v>
      </c>
      <c r="D7" s="91">
        <f ca="1">SUMIFS(Facturacion!$AI$4:$AI$288,Facturacion!$AL$4:$AL$288,$B7,Facturacion!$AN$4:$AN$288,$C$3,Facturacion!$AO$4:$AO$288,$D$3)</f>
        <v>0</v>
      </c>
      <c r="E7" s="91">
        <f ca="1">SUMIFS(Facturacion!$AJ$4:$AJ$288,Facturacion!$AL$4:$AL$288,$B7,Facturacion!$AN$4:$AN$288,$C$3,Facturacion!$AO$4:$AO$288,$D$3)</f>
        <v>0</v>
      </c>
      <c r="F7" s="92">
        <f ca="1">IFERROR(E7/C7,0)</f>
        <v>0</v>
      </c>
      <c r="G7" s="55"/>
      <c r="H7" s="61">
        <f ca="1">SUMIFS(Facturacion!$AQ$4:$AQ$288,Facturacion!$AL$4:$AL$288,$B7,Facturacion!$AN$4:$AN$288,$C$3,Facturacion!$AO$4:$AO$288,$D$3)</f>
        <v>0</v>
      </c>
      <c r="I7" s="61">
        <f t="shared" ca="1" si="0"/>
        <v>0</v>
      </c>
    </row>
    <row r="8" spans="2:13" x14ac:dyDescent="0.25">
      <c r="B8" s="63" t="s">
        <v>1255</v>
      </c>
      <c r="C8" s="74">
        <f ca="1">SUMIFS(Facturacion!$AA$4:$AA$288,Facturacion!$AL$4:$AL$288,$B8,Facturacion!$AN$4:$AN$288,$C$3,Facturacion!$AO$4:$AO$288,$D$3)</f>
        <v>0</v>
      </c>
      <c r="D8" s="93">
        <f ca="1">SUMIFS(Facturacion!$AI$4:$AI$288,Facturacion!$AL$4:$AL$288,$B8,Facturacion!$AN$4:$AN$288,$C$3,Facturacion!$AO$4:$AO$288,$D$3)</f>
        <v>0</v>
      </c>
      <c r="E8" s="93">
        <f ca="1">SUMIFS(Facturacion!$AJ$4:$AJ$288,Facturacion!$AL$4:$AL$288,$B8,Facturacion!$AN$4:$AN$288,$C$3,Facturacion!$AO$4:$AO$288,$D$3)</f>
        <v>0</v>
      </c>
      <c r="F8" s="94">
        <f ca="1">IFERROR(E8/C8,0)</f>
        <v>0</v>
      </c>
      <c r="G8" s="55"/>
      <c r="H8" s="64">
        <f ca="1">SUMIFS(Facturacion!$AQ$4:$AQ$288,Facturacion!$AL$4:$AL$288,$B8,Facturacion!$AN$4:$AN$288,$C$3,Facturacion!$AO$4:$AO$288,$D$3)</f>
        <v>0</v>
      </c>
      <c r="I8" s="65">
        <f t="shared" ca="1" si="0"/>
        <v>0</v>
      </c>
    </row>
    <row r="9" spans="2:13" x14ac:dyDescent="0.25">
      <c r="B9" s="56" t="str">
        <f>PROPER(Cua_Trab!A8)</f>
        <v>Total General</v>
      </c>
      <c r="C9" s="72">
        <f ca="1">SUM(C5:C8)</f>
        <v>0</v>
      </c>
      <c r="D9" s="72">
        <f t="shared" ref="D9:E9" ca="1" si="1">SUM(D5:D8)</f>
        <v>0</v>
      </c>
      <c r="E9" s="72">
        <f t="shared" ca="1" si="1"/>
        <v>0</v>
      </c>
      <c r="F9" s="73">
        <f ca="1">IFERROR(E9/C9,0)</f>
        <v>0</v>
      </c>
      <c r="G9" s="55"/>
      <c r="H9" s="72">
        <f ca="1">SUM(H5:H8)</f>
        <v>0</v>
      </c>
      <c r="I9" s="68">
        <f ca="1">IFERROR(C9/H9,0)</f>
        <v>0</v>
      </c>
    </row>
    <row r="10" spans="2:13" x14ac:dyDescent="0.25">
      <c r="B10" s="55"/>
      <c r="C10" s="55"/>
      <c r="D10" s="55"/>
      <c r="E10" s="55"/>
      <c r="F10" s="55"/>
      <c r="G10" s="55"/>
      <c r="H10" s="55"/>
      <c r="I10" s="55"/>
    </row>
    <row r="11" spans="2:13" x14ac:dyDescent="0.25">
      <c r="B11" s="229" t="s">
        <v>2856</v>
      </c>
      <c r="C11" s="56" t="s">
        <v>2857</v>
      </c>
      <c r="D11" s="228">
        <v>2019</v>
      </c>
      <c r="E11" s="55"/>
      <c r="F11" s="55"/>
      <c r="G11" s="55"/>
      <c r="H11" s="55"/>
      <c r="I11" s="55"/>
    </row>
    <row r="12" spans="2:13" x14ac:dyDescent="0.25">
      <c r="B12" s="57" t="s">
        <v>320</v>
      </c>
      <c r="C12" s="58" t="s">
        <v>314</v>
      </c>
      <c r="D12" s="59" t="s">
        <v>315</v>
      </c>
      <c r="E12" s="57" t="s">
        <v>316</v>
      </c>
      <c r="F12" s="59" t="s">
        <v>317</v>
      </c>
      <c r="G12" s="55"/>
      <c r="H12" s="58" t="s">
        <v>318</v>
      </c>
      <c r="I12" s="59" t="s">
        <v>319</v>
      </c>
    </row>
    <row r="13" spans="2:13" x14ac:dyDescent="0.25">
      <c r="B13" s="60" t="s">
        <v>294</v>
      </c>
      <c r="C13" s="70">
        <f ca="1">SUMIFS(Facturacion!$AA$4:$AA$288,Facturacion!$AM$4:$AM$288,$B13,Facturacion!$AN$4:$AN$288,$C$11,Facturacion!$AO$4:$AO$288,$D$11)</f>
        <v>0</v>
      </c>
      <c r="D13" s="70">
        <f ca="1">SUMIFS(Facturacion!$AI$4:$AI$288,Facturacion!$AM$4:$AM$288,$B13,Facturacion!$AN$4:$AN$288,$C$11,Facturacion!$AO$4:$AO$288,$D$11)</f>
        <v>0</v>
      </c>
      <c r="E13" s="70">
        <f ca="1">SUMIFS(Facturacion!$AJ$4:$AJ$288,Facturacion!$AM$4:$AM$288,$B13,Facturacion!$AN$4:$AN$288,$C$11,Facturacion!$AO$4:$AO$288,$D$11)</f>
        <v>0</v>
      </c>
      <c r="F13" s="62">
        <f ca="1">IFERROR(E13/C13,0)</f>
        <v>0</v>
      </c>
      <c r="G13" s="55"/>
      <c r="H13" s="61">
        <f ca="1">SUMIFS(Facturacion!$AQ$4:$AQ$288,Facturacion!$AM$4:$AM$288,$B13,Facturacion!$AN$4:$AN$288,$C$11,Facturacion!$AO$4:$AO$288,$D$11)</f>
        <v>0</v>
      </c>
      <c r="I13" s="61" t="e">
        <f ca="1">+C13/H13</f>
        <v>#DIV/0!</v>
      </c>
    </row>
    <row r="14" spans="2:13" x14ac:dyDescent="0.25">
      <c r="B14" s="60" t="s">
        <v>292</v>
      </c>
      <c r="C14" s="70">
        <f ca="1">SUMIFS(Facturacion!$AA$4:$AA$288,Facturacion!$AM$4:$AM$288,$B14,Facturacion!$AN$4:$AN$288,$C$11,Facturacion!$AO$4:$AO$288,$D$11)</f>
        <v>0</v>
      </c>
      <c r="D14" s="70">
        <f ca="1">SUMIFS(Facturacion!$AI$4:$AI$288,Facturacion!$AM$4:$AM$288,$B14,Facturacion!$AN$4:$AN$288,$C$11,Facturacion!$AO$4:$AO$288,$D$11)</f>
        <v>0</v>
      </c>
      <c r="E14" s="70">
        <f ca="1">SUMIFS(Facturacion!$AJ$4:$AJ$288,Facturacion!$AM$4:$AM$288,$B14,Facturacion!$AN$4:$AN$288,$C$11,Facturacion!$AO$4:$AO$288,$D$11)</f>
        <v>0</v>
      </c>
      <c r="F14" s="62">
        <f ca="1">IFERROR(E14/C14,0)</f>
        <v>0</v>
      </c>
      <c r="G14" s="55"/>
      <c r="H14" s="70">
        <f ca="1">SUMIFS(Facturacion!$AQ$4:$AQ$288,Facturacion!$AM$4:$AM$288,$B14,Facturacion!$AN$4:$AN$288,$C$11,Facturacion!$AO$4:$AO$288,$D$11)</f>
        <v>0</v>
      </c>
      <c r="I14" s="61" t="e">
        <f ca="1">+C14/H14</f>
        <v>#DIV/0!</v>
      </c>
    </row>
    <row r="15" spans="2:13" x14ac:dyDescent="0.25">
      <c r="B15" s="60" t="s">
        <v>293</v>
      </c>
      <c r="C15" s="70">
        <f ca="1">SUMIFS(Facturacion!$AA$4:$AA$288,Facturacion!$AM$4:$AM$288,$B15,Facturacion!$AN$4:$AN$288,$C$11,Facturacion!$AO$4:$AO$288,$D$11)</f>
        <v>0</v>
      </c>
      <c r="D15" s="70">
        <f ca="1">SUMIFS(Facturacion!$AI$4:$AI$288,Facturacion!$AM$4:$AM$288,$B15,Facturacion!$AN$4:$AN$288,$C$11,Facturacion!$AO$4:$AO$288,$D$11)</f>
        <v>0</v>
      </c>
      <c r="E15" s="70">
        <f ca="1">SUMIFS(Facturacion!$AJ$4:$AJ$288,Facturacion!$AM$4:$AM$288,$B15,Facturacion!$AN$4:$AN$288,$C$11,Facturacion!$AO$4:$AO$288,$D$11)</f>
        <v>0</v>
      </c>
      <c r="F15" s="62">
        <f ca="1">IFERROR(E15/C15,0)</f>
        <v>0</v>
      </c>
      <c r="G15" s="55"/>
      <c r="H15" s="70">
        <f ca="1">SUMIFS(Facturacion!$AQ$4:$AQ$288,Facturacion!$AM$4:$AM$288,$B15,Facturacion!$AN$4:$AN$288,$C$11,Facturacion!$AO$4:$AO$288,$D$11)</f>
        <v>0</v>
      </c>
      <c r="I15" s="61" t="e">
        <f ca="1">+C15/H15</f>
        <v>#DIV/0!</v>
      </c>
    </row>
    <row r="16" spans="2:13" x14ac:dyDescent="0.25">
      <c r="B16" s="63" t="s">
        <v>472</v>
      </c>
      <c r="C16" s="64">
        <f ca="1">SUMIFS(Facturacion!$AA$4:$AA$288,Facturacion!$AM$4:$AM$288,$B16,Facturacion!$AN$4:$AN$288,$C$11,Facturacion!$AO$4:$AO$288,$D$11)</f>
        <v>0</v>
      </c>
      <c r="D16" s="64">
        <f ca="1">SUMIFS(Facturacion!$AI$4:$AI$288,Facturacion!$AM$4:$AM$288,$B16,Facturacion!$AN$4:$AN$288,$C$11,Facturacion!$AO$4:$AO$288,$D$11)</f>
        <v>0</v>
      </c>
      <c r="E16" s="64">
        <f ca="1">SUMIFS(Facturacion!$AJ$4:$AJ$288,Facturacion!$AM$4:$AM$288,$B16,Facturacion!$AN$4:$AN$288,$C$11,Facturacion!$AO$4:$AO$288,$D$11)</f>
        <v>0</v>
      </c>
      <c r="F16" s="66">
        <f ca="1">IFERROR(E16/C16,0)</f>
        <v>0</v>
      </c>
      <c r="G16" s="55"/>
      <c r="H16" s="64">
        <f ca="1">SUMIFS(Facturacion!$AQ$4:$AQ$288,Facturacion!$AM$4:$AM$288,$B16,Facturacion!$AN$4:$AN$288,$C$11,Facturacion!$AO$4:$AO$288,$D$11)</f>
        <v>0</v>
      </c>
      <c r="I16" s="65" t="e">
        <f ca="1">+C16/H16</f>
        <v>#DIV/0!</v>
      </c>
    </row>
    <row r="17" spans="1:20" x14ac:dyDescent="0.25">
      <c r="B17" s="56" t="str">
        <f>Cua_Trab!A19</f>
        <v>Total general</v>
      </c>
      <c r="C17" s="67">
        <f ca="1">SUM(C13:C16)</f>
        <v>0</v>
      </c>
      <c r="D17" s="67">
        <f t="shared" ref="D17:E17" ca="1" si="2">SUM(D13:D16)</f>
        <v>0</v>
      </c>
      <c r="E17" s="67">
        <f t="shared" ca="1" si="2"/>
        <v>0</v>
      </c>
      <c r="F17" s="69">
        <f ca="1">IFERROR(E17/C17,0)</f>
        <v>0</v>
      </c>
      <c r="G17" s="55"/>
      <c r="H17" s="67">
        <f ca="1">SUM(H13:H16)</f>
        <v>0</v>
      </c>
      <c r="I17" s="68" t="e">
        <f ca="1">+C17/H17</f>
        <v>#DIV/0!</v>
      </c>
    </row>
    <row r="18" spans="1:20" x14ac:dyDescent="0.25">
      <c r="D18" s="45"/>
      <c r="E18" s="45"/>
    </row>
    <row r="20" spans="1:20" x14ac:dyDescent="0.25">
      <c r="O20" s="12" t="s">
        <v>739</v>
      </c>
      <c r="P20" s="12">
        <v>2019</v>
      </c>
    </row>
    <row r="21" spans="1:20" x14ac:dyDescent="0.25">
      <c r="B21" s="57" t="s">
        <v>469</v>
      </c>
      <c r="C21" s="58" t="s">
        <v>470</v>
      </c>
      <c r="D21" s="97"/>
      <c r="E21" s="57" t="s">
        <v>313</v>
      </c>
      <c r="F21" s="58" t="s">
        <v>317</v>
      </c>
      <c r="G21" s="97"/>
      <c r="H21" s="59" t="s">
        <v>471</v>
      </c>
      <c r="I21" s="59" t="s">
        <v>472</v>
      </c>
      <c r="J21" s="59" t="s">
        <v>473</v>
      </c>
      <c r="K21" s="59" t="s">
        <v>476</v>
      </c>
      <c r="L21" s="59" t="s">
        <v>517</v>
      </c>
      <c r="M21" s="59" t="s">
        <v>67</v>
      </c>
      <c r="N21" s="70"/>
      <c r="O21" s="57" t="s">
        <v>320</v>
      </c>
      <c r="P21" s="58" t="s">
        <v>474</v>
      </c>
      <c r="Q21" s="58" t="s">
        <v>475</v>
      </c>
      <c r="R21" s="58" t="s">
        <v>121</v>
      </c>
      <c r="S21" s="97"/>
      <c r="T21" s="58" t="s">
        <v>67</v>
      </c>
    </row>
    <row r="22" spans="1:20" x14ac:dyDescent="0.25">
      <c r="B22" s="56" t="s">
        <v>476</v>
      </c>
      <c r="C22" s="97"/>
      <c r="D22" s="60"/>
      <c r="E22" s="60" t="s">
        <v>121</v>
      </c>
      <c r="F22" s="108" t="e">
        <f ca="1">+H5/$H$9</f>
        <v>#DIV/0!</v>
      </c>
      <c r="G22" s="97"/>
      <c r="H22" s="70" t="e">
        <f ca="1">+$C$25*F22</f>
        <v>#DIV/0!</v>
      </c>
      <c r="I22" s="70">
        <f>+C23</f>
        <v>0</v>
      </c>
      <c r="J22" s="70" t="e">
        <f ca="1">+$D$54*F22</f>
        <v>#DIV/0!</v>
      </c>
      <c r="K22" s="70" t="e">
        <f ca="1">(SUMIF($A$23:$A$31,"sue",$C$23:$C$31))*F22</f>
        <v>#DIV/0!</v>
      </c>
      <c r="L22" s="70" t="e">
        <f ca="1">(SUMIF($A$23:$A$31,"ser",$C$23:$C$31))*F22</f>
        <v>#DIV/0!</v>
      </c>
      <c r="M22" s="70" t="e">
        <f ca="1">+H22+I22+J22+K22+L22</f>
        <v>#DIV/0!</v>
      </c>
      <c r="N22" s="70"/>
      <c r="O22" s="60" t="s">
        <v>294</v>
      </c>
      <c r="P22" s="61">
        <f ca="1">COUNTIFS(Facturacion!$AL$4:$AL$314,P$21,Facturacion!$AM$4:$AM$314,$O22,Facturacion!$AN$4:$AN$314,$O$20,Facturacion!$AO$4:$AO$314,'Diapo_10 (2)'!$P$20)</f>
        <v>0</v>
      </c>
      <c r="Q22" s="61">
        <f ca="1">COUNTIFS(Facturacion!$AL$4:$AL$314,Q$21,Facturacion!$AM$4:$AM$314,$O22,Facturacion!$AN$4:$AN$314,$O$20,Facturacion!$AO$4:$AO$314,'Diapo_10 (2)'!$P$20)</f>
        <v>0</v>
      </c>
      <c r="R22" s="61">
        <f ca="1">COUNTIFS(Facturacion!$AL$4:$AL$314,R$21,Facturacion!$AM$4:$AM$314,$O22,Facturacion!$AN$4:$AN$314,$O$20,Facturacion!$AO$4:$AO$314,'Diapo_10 (2)'!$P$20)</f>
        <v>0</v>
      </c>
      <c r="S22" s="97"/>
      <c r="T22" s="61">
        <f ca="1">SUM(P22:R22)</f>
        <v>0</v>
      </c>
    </row>
    <row r="23" spans="1:20" x14ac:dyDescent="0.25">
      <c r="A23" s="12" t="s">
        <v>521</v>
      </c>
      <c r="B23" s="60" t="s">
        <v>524</v>
      </c>
      <c r="C23" s="70">
        <f>3110*0</f>
        <v>0</v>
      </c>
      <c r="D23" s="97"/>
      <c r="E23" s="60" t="s">
        <v>475</v>
      </c>
      <c r="F23" s="108" t="e">
        <f ca="1">+H6/$H$9</f>
        <v>#DIV/0!</v>
      </c>
      <c r="G23" s="97"/>
      <c r="H23" s="70" t="e">
        <f t="shared" ref="H23:H24" ca="1" si="3">+$C$25*F23</f>
        <v>#DIV/0!</v>
      </c>
      <c r="I23" s="70" t="e">
        <f ca="1">$C$24*(H6/($H$6+$H$8))</f>
        <v>#DIV/0!</v>
      </c>
      <c r="J23" s="70" t="e">
        <f ca="1">+$D$54*F23</f>
        <v>#DIV/0!</v>
      </c>
      <c r="K23" s="70" t="e">
        <f t="shared" ref="K23:K24" ca="1" si="4">(SUMIF($A$23:$A$31,"sue",$C$23:$C$31))*F23</f>
        <v>#DIV/0!</v>
      </c>
      <c r="L23" s="70" t="e">
        <f t="shared" ref="L23:L24" ca="1" si="5">(SUMIF($A$23:$A$31,"ser",$C$23:$C$31))*F23</f>
        <v>#DIV/0!</v>
      </c>
      <c r="M23" s="70" t="e">
        <f t="shared" ref="M23:M24" ca="1" si="6">+H23+I23+J23+K23+L23</f>
        <v>#DIV/0!</v>
      </c>
      <c r="N23" s="70"/>
      <c r="O23" s="60" t="s">
        <v>292</v>
      </c>
      <c r="P23" s="61">
        <f ca="1">COUNTIFS(Facturacion!$AL$4:$AL$314,P$21,Facturacion!$AM$4:$AM$314,$O23,Facturacion!$AN$4:$AN$314,$O$20,Facturacion!$AO$4:$AO$314,'Diapo_10 (2)'!$P$20)</f>
        <v>0</v>
      </c>
      <c r="Q23" s="61">
        <f ca="1">COUNTIFS(Facturacion!$AL$4:$AL$314,Q$21,Facturacion!$AM$4:$AM$314,$O23,Facturacion!$AN$4:$AN$314,$O$20,Facturacion!$AO$4:$AO$314,'Diapo_10 (2)'!$P$20)</f>
        <v>0</v>
      </c>
      <c r="R23" s="61">
        <f ca="1">COUNTIFS(Facturacion!$AL$4:$AL$314,R$21,Facturacion!$AM$4:$AM$314,$O23,Facturacion!$AN$4:$AN$314,$O$20,Facturacion!$AO$4:$AO$314,'Diapo_10 (2)'!$P$20)</f>
        <v>0</v>
      </c>
      <c r="S23" s="97"/>
      <c r="T23" s="61">
        <f ca="1">SUM(P23:R23)</f>
        <v>0</v>
      </c>
    </row>
    <row r="24" spans="1:20" x14ac:dyDescent="0.25">
      <c r="A24" s="12" t="s">
        <v>523</v>
      </c>
      <c r="B24" s="60" t="s">
        <v>525</v>
      </c>
      <c r="C24" s="70">
        <f>5286*0</f>
        <v>0</v>
      </c>
      <c r="D24" s="97"/>
      <c r="E24" s="63" t="s">
        <v>474</v>
      </c>
      <c r="F24" s="109" t="e">
        <f ca="1">+H8/$H$9</f>
        <v>#DIV/0!</v>
      </c>
      <c r="G24" s="97"/>
      <c r="H24" s="64" t="e">
        <f t="shared" ca="1" si="3"/>
        <v>#DIV/0!</v>
      </c>
      <c r="I24" s="64" t="e">
        <f ca="1">$C$24*(H8/($H$6+$H$8))</f>
        <v>#DIV/0!</v>
      </c>
      <c r="J24" s="64" t="e">
        <f ca="1">+$D$54*F24</f>
        <v>#DIV/0!</v>
      </c>
      <c r="K24" s="64" t="e">
        <f t="shared" ca="1" si="4"/>
        <v>#DIV/0!</v>
      </c>
      <c r="L24" s="64" t="e">
        <f t="shared" ca="1" si="5"/>
        <v>#DIV/0!</v>
      </c>
      <c r="M24" s="64" t="e">
        <f t="shared" ca="1" si="6"/>
        <v>#DIV/0!</v>
      </c>
      <c r="N24" s="112"/>
      <c r="O24" s="60" t="s">
        <v>293</v>
      </c>
      <c r="P24" s="61">
        <f ca="1">COUNTIFS(Facturacion!$AL$4:$AL$314,P$21,Facturacion!$AM$4:$AM$314,$O24,Facturacion!$AN$4:$AN$314,$O$20,Facturacion!$AO$4:$AO$314,'Diapo_10 (2)'!$P$20)</f>
        <v>0</v>
      </c>
      <c r="Q24" s="61">
        <f ca="1">COUNTIFS(Facturacion!$AL$4:$AL$314,Q$21,Facturacion!$AM$4:$AM$314,$O24,Facturacion!$AN$4:$AN$314,$O$20,Facturacion!$AO$4:$AO$314,'Diapo_10 (2)'!$P$20)</f>
        <v>0</v>
      </c>
      <c r="R24" s="61">
        <f ca="1">COUNTIFS(Facturacion!$AL$4:$AL$314,R$21,Facturacion!$AM$4:$AM$314,$O24,Facturacion!$AN$4:$AN$314,$O$20,Facturacion!$AO$4:$AO$314,'Diapo_10 (2)'!$P$20)</f>
        <v>0</v>
      </c>
      <c r="S24" s="97"/>
      <c r="T24" s="61">
        <f t="shared" ref="T24:T25" ca="1" si="7">SUM(P24:R24)</f>
        <v>0</v>
      </c>
    </row>
    <row r="25" spans="1:20" x14ac:dyDescent="0.25">
      <c r="A25" s="12" t="s">
        <v>522</v>
      </c>
      <c r="B25" s="60" t="s">
        <v>526</v>
      </c>
      <c r="C25" s="70">
        <f>2600*0</f>
        <v>0</v>
      </c>
      <c r="D25" s="97"/>
      <c r="E25" s="56" t="s">
        <v>477</v>
      </c>
      <c r="F25" s="110" t="e">
        <f ca="1">SUM(F21:F24)</f>
        <v>#DIV/0!</v>
      </c>
      <c r="G25" s="97"/>
      <c r="H25" s="67" t="e">
        <f ca="1">SUM(H22:H24)</f>
        <v>#DIV/0!</v>
      </c>
      <c r="I25" s="67" t="e">
        <f t="shared" ref="I25:M25" ca="1" si="8">SUM(I22:I24)</f>
        <v>#DIV/0!</v>
      </c>
      <c r="J25" s="67" t="e">
        <f t="shared" ca="1" si="8"/>
        <v>#DIV/0!</v>
      </c>
      <c r="K25" s="67" t="e">
        <f t="shared" ca="1" si="8"/>
        <v>#DIV/0!</v>
      </c>
      <c r="L25" s="67" t="e">
        <f t="shared" ca="1" si="8"/>
        <v>#DIV/0!</v>
      </c>
      <c r="M25" s="67" t="e">
        <f t="shared" ca="1" si="8"/>
        <v>#DIV/0!</v>
      </c>
      <c r="N25" s="67"/>
      <c r="O25" s="63" t="s">
        <v>472</v>
      </c>
      <c r="P25" s="64">
        <f ca="1">COUNTIFS(Facturacion!$AL$4:$AL$314,P$21,Facturacion!$AM$4:$AM$314,$O25,Facturacion!$AN$4:$AN$314,$O$20,Facturacion!$AO$4:$AO$314,'Diapo_10 (2)'!$P$20)</f>
        <v>0</v>
      </c>
      <c r="Q25" s="64">
        <f ca="1">COUNTIFS(Facturacion!$AL$4:$AL$314,Q$21,Facturacion!$AM$4:$AM$314,$O25,Facturacion!$AN$4:$AN$314,$O$20,Facturacion!$AO$4:$AO$314,'Diapo_10 (2)'!$P$20)</f>
        <v>0</v>
      </c>
      <c r="R25" s="64">
        <f ca="1">COUNTIFS(Facturacion!$AL$4:$AL$314,R$21,Facturacion!$AM$4:$AM$314,$O25,Facturacion!$AN$4:$AN$314,$O$20,Facturacion!$AO$4:$AO$314,'Diapo_10 (2)'!$P$20)</f>
        <v>0</v>
      </c>
      <c r="S25" s="97"/>
      <c r="T25" s="64">
        <f t="shared" ca="1" si="7"/>
        <v>0</v>
      </c>
    </row>
    <row r="26" spans="1:20" x14ac:dyDescent="0.25">
      <c r="A26" s="12" t="s">
        <v>520</v>
      </c>
      <c r="B26" s="60" t="s">
        <v>508</v>
      </c>
      <c r="C26" s="70">
        <f>16940.33*0</f>
        <v>0</v>
      </c>
      <c r="F26" s="97"/>
      <c r="G26" s="97"/>
      <c r="H26" s="97"/>
      <c r="I26" s="97"/>
      <c r="J26" s="97"/>
      <c r="K26" s="97"/>
      <c r="L26" s="97"/>
      <c r="M26" s="97"/>
      <c r="N26" s="97"/>
      <c r="O26" s="56" t="s">
        <v>477</v>
      </c>
      <c r="P26" s="68">
        <f ca="1">SUM(P22:P25)</f>
        <v>0</v>
      </c>
      <c r="Q26" s="68">
        <f t="shared" ref="Q26:T26" ca="1" si="9">SUM(Q22:Q25)</f>
        <v>0</v>
      </c>
      <c r="R26" s="68">
        <f t="shared" ca="1" si="9"/>
        <v>0</v>
      </c>
      <c r="S26" s="97"/>
      <c r="T26" s="68">
        <f t="shared" ca="1" si="9"/>
        <v>0</v>
      </c>
    </row>
    <row r="27" spans="1:20" x14ac:dyDescent="0.25">
      <c r="A27" s="12" t="s">
        <v>518</v>
      </c>
      <c r="B27" s="60" t="s">
        <v>509</v>
      </c>
      <c r="C27" s="70">
        <f>3003*0</f>
        <v>0</v>
      </c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</row>
    <row r="28" spans="1:20" x14ac:dyDescent="0.25">
      <c r="A28" s="12" t="s">
        <v>518</v>
      </c>
      <c r="B28" s="60" t="s">
        <v>510</v>
      </c>
      <c r="C28" s="70">
        <f>1401.62*0</f>
        <v>0</v>
      </c>
      <c r="F28" s="97"/>
      <c r="G28" s="97"/>
      <c r="H28" s="97"/>
      <c r="I28" s="97"/>
      <c r="J28" s="97"/>
      <c r="K28" s="97"/>
      <c r="L28" s="97"/>
      <c r="M28" s="97"/>
      <c r="N28" s="97"/>
      <c r="O28" s="57" t="s">
        <v>320</v>
      </c>
      <c r="P28" s="58" t="s">
        <v>474</v>
      </c>
      <c r="Q28" s="58" t="s">
        <v>475</v>
      </c>
      <c r="R28" s="58" t="s">
        <v>121</v>
      </c>
      <c r="S28" s="97"/>
      <c r="T28" s="58" t="s">
        <v>67</v>
      </c>
    </row>
    <row r="29" spans="1:20" x14ac:dyDescent="0.25">
      <c r="A29" s="12" t="s">
        <v>518</v>
      </c>
      <c r="B29" s="60" t="s">
        <v>511</v>
      </c>
      <c r="C29" s="70">
        <f>1038*0</f>
        <v>0</v>
      </c>
      <c r="F29" s="97"/>
      <c r="G29" s="97"/>
      <c r="H29" s="97"/>
      <c r="I29" s="97"/>
      <c r="J29" s="97"/>
      <c r="K29" s="97"/>
      <c r="L29" s="97"/>
      <c r="M29" s="97"/>
      <c r="N29" s="97"/>
      <c r="O29" s="60" t="s">
        <v>294</v>
      </c>
      <c r="P29" s="61">
        <f ca="1">IFERROR((P22/P$26)*M$24,0)</f>
        <v>0</v>
      </c>
      <c r="Q29" s="61">
        <f t="shared" ref="Q29:R29" ca="1" si="10">IFERROR((Q22/Q$26)*N$24,0)</f>
        <v>0</v>
      </c>
      <c r="R29" s="61">
        <f t="shared" ca="1" si="10"/>
        <v>0</v>
      </c>
      <c r="S29" s="97"/>
      <c r="T29" s="61">
        <f ca="1">SUM(P29:R29)</f>
        <v>0</v>
      </c>
    </row>
    <row r="30" spans="1:20" x14ac:dyDescent="0.25">
      <c r="A30" s="12" t="s">
        <v>518</v>
      </c>
      <c r="B30" s="60" t="s">
        <v>512</v>
      </c>
      <c r="C30" s="70">
        <f>1063.87*0</f>
        <v>0</v>
      </c>
      <c r="F30" s="97"/>
      <c r="G30" s="97"/>
      <c r="H30" s="97"/>
      <c r="I30" s="97"/>
      <c r="J30" s="97"/>
      <c r="K30" s="97"/>
      <c r="L30" s="97"/>
      <c r="M30" s="97"/>
      <c r="N30" s="97"/>
      <c r="O30" s="60" t="s">
        <v>292</v>
      </c>
      <c r="P30" s="61">
        <f t="shared" ref="P30:R32" ca="1" si="11">IFERROR((P23/P$26)*M$24,0)</f>
        <v>0</v>
      </c>
      <c r="Q30" s="61">
        <f t="shared" ca="1" si="11"/>
        <v>0</v>
      </c>
      <c r="R30" s="61">
        <f t="shared" ca="1" si="11"/>
        <v>0</v>
      </c>
      <c r="S30" s="97"/>
      <c r="T30" s="61">
        <f ca="1">SUM(P30:R30)</f>
        <v>0</v>
      </c>
    </row>
    <row r="31" spans="1:20" x14ac:dyDescent="0.25">
      <c r="A31" s="12" t="s">
        <v>519</v>
      </c>
      <c r="B31" s="63" t="s">
        <v>527</v>
      </c>
      <c r="C31" s="64">
        <f>20915.19*0</f>
        <v>0</v>
      </c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60" t="s">
        <v>293</v>
      </c>
      <c r="P31" s="61">
        <f t="shared" ca="1" si="11"/>
        <v>0</v>
      </c>
      <c r="Q31" s="61">
        <f t="shared" ca="1" si="11"/>
        <v>0</v>
      </c>
      <c r="R31" s="61">
        <f t="shared" ca="1" si="11"/>
        <v>0</v>
      </c>
      <c r="S31" s="97"/>
      <c r="T31" s="61">
        <f t="shared" ref="T31:T32" ca="1" si="12">SUM(P31:R31)</f>
        <v>0</v>
      </c>
    </row>
    <row r="32" spans="1:20" x14ac:dyDescent="0.25">
      <c r="B32" s="56" t="s">
        <v>67</v>
      </c>
      <c r="C32" s="67">
        <f>SUM(C23:C31)</f>
        <v>0</v>
      </c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63" t="s">
        <v>472</v>
      </c>
      <c r="P32" s="64">
        <f t="shared" ca="1" si="11"/>
        <v>0</v>
      </c>
      <c r="Q32" s="64">
        <f t="shared" ca="1" si="11"/>
        <v>0</v>
      </c>
      <c r="R32" s="64">
        <f t="shared" ca="1" si="11"/>
        <v>0</v>
      </c>
      <c r="S32" s="97"/>
      <c r="T32" s="64">
        <f t="shared" ca="1" si="12"/>
        <v>0</v>
      </c>
    </row>
    <row r="33" spans="1:20" x14ac:dyDescent="0.25">
      <c r="F33" s="97"/>
      <c r="G33" s="97"/>
      <c r="H33" s="97"/>
      <c r="I33" s="97"/>
      <c r="J33" s="97"/>
      <c r="K33" s="97"/>
      <c r="L33" s="97"/>
      <c r="M33" s="97"/>
      <c r="N33" s="97"/>
      <c r="O33" s="56" t="s">
        <v>477</v>
      </c>
      <c r="P33" s="68">
        <f ca="1">SUM(P29:P32)</f>
        <v>0</v>
      </c>
      <c r="Q33" s="68">
        <f t="shared" ref="Q33:T33" ca="1" si="13">SUM(Q29:Q32)</f>
        <v>0</v>
      </c>
      <c r="R33" s="68">
        <f t="shared" ca="1" si="13"/>
        <v>0</v>
      </c>
      <c r="S33" s="97"/>
      <c r="T33" s="68">
        <f t="shared" ca="1" si="13"/>
        <v>0</v>
      </c>
    </row>
    <row r="34" spans="1:20" ht="17.25" x14ac:dyDescent="0.25">
      <c r="B34" s="56" t="s">
        <v>473</v>
      </c>
      <c r="C34" s="75">
        <f>16380*3.3</f>
        <v>54054</v>
      </c>
      <c r="D34" s="115">
        <f>(C34/C54)*0</f>
        <v>0</v>
      </c>
      <c r="E34" s="111" t="s">
        <v>478</v>
      </c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</row>
    <row r="35" spans="1:20" x14ac:dyDescent="0.25">
      <c r="B35" s="57" t="s">
        <v>479</v>
      </c>
      <c r="C35" s="58" t="s">
        <v>480</v>
      </c>
      <c r="D35" s="59" t="s">
        <v>481</v>
      </c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</row>
    <row r="36" spans="1:20" x14ac:dyDescent="0.25">
      <c r="A36" s="12" t="s">
        <v>513</v>
      </c>
      <c r="B36" s="60" t="s">
        <v>482</v>
      </c>
      <c r="C36" s="115">
        <f>20.88+19.944</f>
        <v>40.823999999999998</v>
      </c>
      <c r="D36" s="115">
        <f t="shared" ref="D36:D53" si="14">+C36*$D$34</f>
        <v>0</v>
      </c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</row>
    <row r="37" spans="1:20" x14ac:dyDescent="0.25">
      <c r="A37" s="12" t="s">
        <v>513</v>
      </c>
      <c r="B37" s="60" t="s">
        <v>483</v>
      </c>
      <c r="C37" s="115">
        <v>76.075999999999993</v>
      </c>
      <c r="D37" s="115">
        <f t="shared" si="14"/>
        <v>0</v>
      </c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</row>
    <row r="38" spans="1:20" x14ac:dyDescent="0.25">
      <c r="A38" s="12" t="s">
        <v>513</v>
      </c>
      <c r="B38" s="60" t="s">
        <v>507</v>
      </c>
      <c r="C38" s="115">
        <v>503.63</v>
      </c>
      <c r="D38" s="115">
        <f t="shared" si="14"/>
        <v>0</v>
      </c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</row>
    <row r="39" spans="1:20" x14ac:dyDescent="0.25">
      <c r="A39" s="12" t="s">
        <v>514</v>
      </c>
      <c r="B39" s="60" t="s">
        <v>484</v>
      </c>
      <c r="C39" s="115">
        <v>56.7</v>
      </c>
      <c r="D39" s="115">
        <f t="shared" si="14"/>
        <v>0</v>
      </c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</row>
    <row r="40" spans="1:20" x14ac:dyDescent="0.25">
      <c r="A40" s="12" t="s">
        <v>515</v>
      </c>
      <c r="B40" s="60" t="s">
        <v>472</v>
      </c>
      <c r="C40" s="115">
        <f>77.81+45</f>
        <v>122.81</v>
      </c>
      <c r="D40" s="115">
        <f t="shared" si="14"/>
        <v>0</v>
      </c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</row>
    <row r="41" spans="1:20" x14ac:dyDescent="0.25">
      <c r="A41" s="12" t="s">
        <v>513</v>
      </c>
      <c r="B41" s="60" t="s">
        <v>485</v>
      </c>
      <c r="C41" s="115">
        <v>30.94</v>
      </c>
      <c r="D41" s="115">
        <f t="shared" si="14"/>
        <v>0</v>
      </c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</row>
    <row r="42" spans="1:20" x14ac:dyDescent="0.25">
      <c r="A42" s="12" t="s">
        <v>514</v>
      </c>
      <c r="B42" s="60" t="s">
        <v>486</v>
      </c>
      <c r="C42" s="115">
        <v>354.3</v>
      </c>
      <c r="D42" s="115">
        <f t="shared" si="14"/>
        <v>0</v>
      </c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</row>
    <row r="43" spans="1:20" x14ac:dyDescent="0.25">
      <c r="A43" s="12" t="s">
        <v>516</v>
      </c>
      <c r="B43" s="60" t="s">
        <v>487</v>
      </c>
      <c r="C43" s="115">
        <f>354.39+91.88</f>
        <v>446.27</v>
      </c>
      <c r="D43" s="115">
        <f t="shared" si="14"/>
        <v>0</v>
      </c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</row>
    <row r="44" spans="1:20" x14ac:dyDescent="0.25">
      <c r="A44" s="12" t="s">
        <v>513</v>
      </c>
      <c r="B44" s="60" t="s">
        <v>488</v>
      </c>
      <c r="C44" s="115">
        <v>53.814999999999998</v>
      </c>
      <c r="D44" s="115">
        <f t="shared" si="14"/>
        <v>0</v>
      </c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</row>
    <row r="45" spans="1:20" x14ac:dyDescent="0.25">
      <c r="A45" s="12" t="s">
        <v>513</v>
      </c>
      <c r="B45" s="60" t="s">
        <v>489</v>
      </c>
      <c r="C45" s="115">
        <v>102.24</v>
      </c>
      <c r="D45" s="115">
        <f t="shared" si="14"/>
        <v>0</v>
      </c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</row>
    <row r="46" spans="1:20" x14ac:dyDescent="0.25">
      <c r="A46" s="12" t="s">
        <v>513</v>
      </c>
      <c r="B46" s="60" t="s">
        <v>490</v>
      </c>
      <c r="C46" s="115">
        <v>17.100000000000001</v>
      </c>
      <c r="D46" s="115">
        <f t="shared" si="14"/>
        <v>0</v>
      </c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</row>
    <row r="47" spans="1:20" x14ac:dyDescent="0.25">
      <c r="A47" s="12" t="s">
        <v>513</v>
      </c>
      <c r="B47" s="60" t="s">
        <v>491</v>
      </c>
      <c r="C47" s="115">
        <v>11.28</v>
      </c>
      <c r="D47" s="115">
        <f t="shared" si="14"/>
        <v>0</v>
      </c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</row>
    <row r="48" spans="1:20" x14ac:dyDescent="0.25">
      <c r="A48" s="12" t="s">
        <v>513</v>
      </c>
      <c r="B48" s="60" t="s">
        <v>492</v>
      </c>
      <c r="C48" s="115">
        <v>22.56</v>
      </c>
      <c r="D48" s="115">
        <f t="shared" si="14"/>
        <v>0</v>
      </c>
      <c r="E48" s="97"/>
    </row>
    <row r="49" spans="1:5" x14ac:dyDescent="0.25">
      <c r="A49" s="12" t="s">
        <v>513</v>
      </c>
      <c r="B49" s="60" t="s">
        <v>493</v>
      </c>
      <c r="C49" s="115">
        <v>17.86</v>
      </c>
      <c r="D49" s="115">
        <f t="shared" si="14"/>
        <v>0</v>
      </c>
      <c r="E49" s="97"/>
    </row>
    <row r="50" spans="1:5" x14ac:dyDescent="0.25">
      <c r="A50" s="12" t="s">
        <v>513</v>
      </c>
      <c r="B50" s="60" t="s">
        <v>504</v>
      </c>
      <c r="C50" s="115">
        <v>11.183999999999999</v>
      </c>
      <c r="D50" s="115">
        <f t="shared" si="14"/>
        <v>0</v>
      </c>
      <c r="E50" s="97"/>
    </row>
    <row r="51" spans="1:5" x14ac:dyDescent="0.25">
      <c r="A51" s="12" t="s">
        <v>513</v>
      </c>
      <c r="B51" s="60" t="s">
        <v>505</v>
      </c>
      <c r="C51" s="115">
        <v>21.6</v>
      </c>
      <c r="D51" s="115">
        <f t="shared" si="14"/>
        <v>0</v>
      </c>
      <c r="E51" s="97"/>
    </row>
    <row r="52" spans="1:5" x14ac:dyDescent="0.25">
      <c r="A52" s="12" t="s">
        <v>513</v>
      </c>
      <c r="B52" s="60" t="s">
        <v>528</v>
      </c>
      <c r="C52" s="115">
        <v>333.45</v>
      </c>
      <c r="D52" s="115">
        <f t="shared" si="14"/>
        <v>0</v>
      </c>
      <c r="E52" s="97"/>
    </row>
    <row r="53" spans="1:5" x14ac:dyDescent="0.25">
      <c r="A53" s="12" t="s">
        <v>513</v>
      </c>
      <c r="B53" s="63" t="s">
        <v>506</v>
      </c>
      <c r="C53" s="116">
        <v>27.36</v>
      </c>
      <c r="D53" s="116">
        <f t="shared" si="14"/>
        <v>0</v>
      </c>
      <c r="E53" s="97"/>
    </row>
    <row r="54" spans="1:5" x14ac:dyDescent="0.25">
      <c r="B54" s="56" t="s">
        <v>67</v>
      </c>
      <c r="C54" s="67">
        <f>SUM(C36:C53)</f>
        <v>2249.9989999999998</v>
      </c>
      <c r="D54" s="67">
        <f>SUM(D36:D53)</f>
        <v>0</v>
      </c>
      <c r="E54" s="97"/>
    </row>
    <row r="55" spans="1:5" x14ac:dyDescent="0.25">
      <c r="C55" s="45"/>
    </row>
  </sheetData>
  <pageMargins left="0.25" right="0.25" top="0.75" bottom="0.75" header="0.3" footer="0.3"/>
  <pageSetup paperSize="9" scale="72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8AB9F-285A-46AF-9E98-6361A5B95A39}">
  <sheetPr>
    <pageSetUpPr fitToPage="1"/>
  </sheetPr>
  <dimension ref="A3:T55"/>
  <sheetViews>
    <sheetView showGridLines="0" workbookViewId="0">
      <selection activeCell="D16" sqref="D16"/>
    </sheetView>
  </sheetViews>
  <sheetFormatPr defaultColWidth="11.42578125" defaultRowHeight="15" x14ac:dyDescent="0.25"/>
  <cols>
    <col min="1" max="1" width="11.42578125" style="12"/>
    <col min="2" max="2" width="15.85546875" style="12" customWidth="1"/>
    <col min="3" max="5" width="11.85546875" style="12" customWidth="1"/>
    <col min="6" max="6" width="6.7109375" style="12" customWidth="1"/>
    <col min="7" max="7" width="4" style="12" customWidth="1"/>
    <col min="8" max="13" width="8.7109375" style="12" customWidth="1"/>
    <col min="14" max="14" width="4" style="12" customWidth="1"/>
    <col min="15" max="15" width="14" style="12" bestFit="1" customWidth="1"/>
    <col min="16" max="18" width="8.7109375" style="12" customWidth="1"/>
    <col min="19" max="19" width="4" style="12" customWidth="1"/>
    <col min="20" max="20" width="8.7109375" style="12" customWidth="1"/>
    <col min="21" max="16384" width="11.42578125" style="12"/>
  </cols>
  <sheetData>
    <row r="3" spans="2:13" x14ac:dyDescent="0.25">
      <c r="B3" s="229" t="s">
        <v>2856</v>
      </c>
      <c r="C3" s="56" t="s">
        <v>603</v>
      </c>
      <c r="D3" s="228">
        <v>2020</v>
      </c>
      <c r="E3" s="55"/>
      <c r="F3" s="55"/>
      <c r="G3" s="55"/>
      <c r="H3" s="55"/>
      <c r="I3" s="55"/>
    </row>
    <row r="4" spans="2:13" x14ac:dyDescent="0.25">
      <c r="B4" s="57" t="s">
        <v>313</v>
      </c>
      <c r="C4" s="58" t="s">
        <v>314</v>
      </c>
      <c r="D4" s="59" t="s">
        <v>315</v>
      </c>
      <c r="E4" s="57" t="s">
        <v>316</v>
      </c>
      <c r="F4" s="59" t="s">
        <v>317</v>
      </c>
      <c r="G4" s="55"/>
      <c r="H4" s="58" t="s">
        <v>318</v>
      </c>
      <c r="I4" s="59" t="s">
        <v>319</v>
      </c>
    </row>
    <row r="5" spans="2:13" x14ac:dyDescent="0.25">
      <c r="B5" s="60" t="s">
        <v>121</v>
      </c>
      <c r="C5" s="91">
        <f ca="1">SUMIFS(Facturacion!$AA$4:$AA$288,Facturacion!$AL$4:$AL$288,$B5,Facturacion!$AN$4:$AN$288,$C$3,Facturacion!$AO$4:$AO$288,$D$3)</f>
        <v>0</v>
      </c>
      <c r="D5" s="91">
        <f ca="1">SUMIFS(Facturacion!$AI$4:$AI$288,Facturacion!$AL$4:$AL$288,$B5,Facturacion!$AN$4:$AN$288,$C$3,Facturacion!$AO$4:$AO$288,$D$3)</f>
        <v>0</v>
      </c>
      <c r="E5" s="91">
        <f ca="1">SUMIFS(Facturacion!$AJ$4:$AJ$288,Facturacion!$AL$4:$AL$288,$B5,Facturacion!$AN$4:$AN$288,$C$3,Facturacion!$AO$4:$AO$288,$D$3)</f>
        <v>0</v>
      </c>
      <c r="F5" s="92">
        <f ca="1">IFERROR(E5/C5,0)</f>
        <v>0</v>
      </c>
      <c r="G5" s="55"/>
      <c r="H5" s="61">
        <f ca="1">SUMIFS(Facturacion!$AQ$4:$AQ$288,Facturacion!$AL$4:$AL$288,$B5,Facturacion!$AN$4:$AN$288,$C$3,Facturacion!$AO$4:$AO$288,$D$3)</f>
        <v>0</v>
      </c>
      <c r="I5" s="61">
        <f ca="1">IFERROR(C5/H5,0)</f>
        <v>0</v>
      </c>
      <c r="M5" s="113"/>
    </row>
    <row r="6" spans="2:13" x14ac:dyDescent="0.25">
      <c r="B6" s="60" t="s">
        <v>474</v>
      </c>
      <c r="C6" s="91">
        <f ca="1">SUMIFS(Facturacion!$AA$4:$AA$288,Facturacion!$AL$4:$AL$288,$B6,Facturacion!$AN$4:$AN$288,$C$3,Facturacion!$AO$4:$AO$288,$D$3)</f>
        <v>0</v>
      </c>
      <c r="D6" s="91">
        <f ca="1">SUMIFS(Facturacion!$AI$4:$AI$288,Facturacion!$AL$4:$AL$288,$B6,Facturacion!$AN$4:$AN$288,$C$3,Facturacion!$AO$4:$AO$288,$D$3)</f>
        <v>0</v>
      </c>
      <c r="E6" s="91">
        <f ca="1">SUMIFS(Facturacion!$AJ$4:$AJ$288,Facturacion!$AL$4:$AL$288,$B6,Facturacion!$AN$4:$AN$288,$C$3,Facturacion!$AO$4:$AO$288,$D$3)</f>
        <v>0</v>
      </c>
      <c r="F6" s="92">
        <f ca="1">IFERROR(E6/C6,0)</f>
        <v>0</v>
      </c>
      <c r="G6" s="55"/>
      <c r="H6" s="61">
        <f ca="1">SUMIFS(Facturacion!$AQ$4:$AQ$288,Facturacion!$AL$4:$AL$288,$B6,Facturacion!$AN$4:$AN$288,$C$3,Facturacion!$AO$4:$AO$288,$D$3)</f>
        <v>0</v>
      </c>
      <c r="I6" s="61">
        <f t="shared" ref="I6:I8" ca="1" si="0">IFERROR(C6/H6,0)</f>
        <v>0</v>
      </c>
    </row>
    <row r="7" spans="2:13" x14ac:dyDescent="0.25">
      <c r="B7" s="60" t="s">
        <v>475</v>
      </c>
      <c r="C7" s="91">
        <f ca="1">SUMIFS(Facturacion!$AA$4:$AA$288,Facturacion!$AL$4:$AL$288,$B7,Facturacion!$AN$4:$AN$288,$C$3,Facturacion!$AO$4:$AO$288,$D$3)</f>
        <v>0</v>
      </c>
      <c r="D7" s="91">
        <f ca="1">SUMIFS(Facturacion!$AI$4:$AI$288,Facturacion!$AL$4:$AL$288,$B7,Facturacion!$AN$4:$AN$288,$C$3,Facturacion!$AO$4:$AO$288,$D$3)</f>
        <v>0</v>
      </c>
      <c r="E7" s="91">
        <f ca="1">SUMIFS(Facturacion!$AJ$4:$AJ$288,Facturacion!$AL$4:$AL$288,$B7,Facturacion!$AN$4:$AN$288,$C$3,Facturacion!$AO$4:$AO$288,$D$3)</f>
        <v>0</v>
      </c>
      <c r="F7" s="92">
        <f ca="1">IFERROR(E7/C7,0)</f>
        <v>0</v>
      </c>
      <c r="G7" s="55"/>
      <c r="H7" s="61">
        <f ca="1">SUMIFS(Facturacion!$AQ$4:$AQ$288,Facturacion!$AL$4:$AL$288,$B7,Facturacion!$AN$4:$AN$288,$C$3,Facturacion!$AO$4:$AO$288,$D$3)</f>
        <v>0</v>
      </c>
      <c r="I7" s="61">
        <f t="shared" ca="1" si="0"/>
        <v>0</v>
      </c>
    </row>
    <row r="8" spans="2:13" x14ac:dyDescent="0.25">
      <c r="B8" s="63" t="s">
        <v>1255</v>
      </c>
      <c r="C8" s="74">
        <f ca="1">SUMIFS(Facturacion!$AA$4:$AA$288,Facturacion!$AL$4:$AL$288,$B8,Facturacion!$AN$4:$AN$288,$C$3,Facturacion!$AO$4:$AO$288,$D$3)</f>
        <v>0</v>
      </c>
      <c r="D8" s="93">
        <f ca="1">SUMIFS(Facturacion!$AI$4:$AI$288,Facturacion!$AL$4:$AL$288,$B8,Facturacion!$AN$4:$AN$288,$C$3,Facturacion!$AO$4:$AO$288,$D$3)</f>
        <v>0</v>
      </c>
      <c r="E8" s="93">
        <f ca="1">SUMIFS(Facturacion!$AJ$4:$AJ$288,Facturacion!$AL$4:$AL$288,$B8,Facturacion!$AN$4:$AN$288,$C$3,Facturacion!$AO$4:$AO$288,$D$3)</f>
        <v>0</v>
      </c>
      <c r="F8" s="94">
        <f ca="1">IFERROR(E8/C8,0)</f>
        <v>0</v>
      </c>
      <c r="G8" s="55"/>
      <c r="H8" s="64">
        <f ca="1">SUMIFS(Facturacion!$AQ$4:$AQ$288,Facturacion!$AL$4:$AL$288,$B8,Facturacion!$AN$4:$AN$288,$C$3,Facturacion!$AO$4:$AO$288,$D$3)</f>
        <v>0</v>
      </c>
      <c r="I8" s="65">
        <f t="shared" ca="1" si="0"/>
        <v>0</v>
      </c>
    </row>
    <row r="9" spans="2:13" x14ac:dyDescent="0.25">
      <c r="B9" s="56" t="str">
        <f>PROPER(Cua_Trab!A8)</f>
        <v>Total General</v>
      </c>
      <c r="C9" s="72">
        <f ca="1">SUM(C5:C8)</f>
        <v>0</v>
      </c>
      <c r="D9" s="72">
        <f t="shared" ref="D9:E9" ca="1" si="1">SUM(D5:D8)</f>
        <v>0</v>
      </c>
      <c r="E9" s="72">
        <f t="shared" ca="1" si="1"/>
        <v>0</v>
      </c>
      <c r="F9" s="73">
        <f ca="1">IFERROR(E9/C9,0)</f>
        <v>0</v>
      </c>
      <c r="G9" s="55"/>
      <c r="H9" s="72">
        <f ca="1">SUM(H5:H8)</f>
        <v>0</v>
      </c>
      <c r="I9" s="68">
        <f ca="1">IFERROR(C9/H9,0)</f>
        <v>0</v>
      </c>
    </row>
    <row r="10" spans="2:13" x14ac:dyDescent="0.25">
      <c r="B10" s="55"/>
      <c r="C10" s="55"/>
      <c r="D10" s="55"/>
      <c r="E10" s="55"/>
      <c r="F10" s="55"/>
      <c r="G10" s="55"/>
      <c r="H10" s="55"/>
      <c r="I10" s="55"/>
    </row>
    <row r="11" spans="2:13" x14ac:dyDescent="0.25">
      <c r="B11" s="229" t="s">
        <v>2856</v>
      </c>
      <c r="C11" s="56" t="s">
        <v>603</v>
      </c>
      <c r="D11" s="228">
        <v>2020</v>
      </c>
      <c r="E11" s="55"/>
      <c r="F11" s="55"/>
      <c r="G11" s="55"/>
      <c r="H11" s="55"/>
      <c r="I11" s="55"/>
    </row>
    <row r="12" spans="2:13" x14ac:dyDescent="0.25">
      <c r="B12" s="57" t="s">
        <v>320</v>
      </c>
      <c r="C12" s="58" t="s">
        <v>314</v>
      </c>
      <c r="D12" s="59">
        <v>0</v>
      </c>
      <c r="E12" s="57" t="s">
        <v>316</v>
      </c>
      <c r="F12" s="59" t="s">
        <v>317</v>
      </c>
      <c r="G12" s="55"/>
      <c r="H12" s="58" t="s">
        <v>318</v>
      </c>
      <c r="I12" s="59" t="s">
        <v>319</v>
      </c>
    </row>
    <row r="13" spans="2:13" x14ac:dyDescent="0.25">
      <c r="B13" s="60" t="s">
        <v>294</v>
      </c>
      <c r="C13" s="70">
        <f ca="1">SUMIFS(Facturacion!$AA$4:$AA$288,Facturacion!$AM$4:$AM$288,$B13,Facturacion!$AN$4:$AN$288,$C$11,Facturacion!$AO$4:$AO$288,$D$11)</f>
        <v>0</v>
      </c>
      <c r="D13" s="70">
        <f ca="1">SUMIFS(Facturacion!$AI$4:$AI$288,Facturacion!$AM$4:$AM$288,$B13,Facturacion!$AN$4:$AN$288,$C$11,Facturacion!$AO$4:$AO$288,$D$11)</f>
        <v>0</v>
      </c>
      <c r="E13" s="70">
        <f ca="1">SUMIFS(Facturacion!$AJ$4:$AJ$288,Facturacion!$AM$4:$AM$288,$B13,Facturacion!$AN$4:$AN$288,$C$11,Facturacion!$AO$4:$AO$288,$D$11)</f>
        <v>0</v>
      </c>
      <c r="F13" s="62">
        <f ca="1">IFERROR(E13/C13,0)</f>
        <v>0</v>
      </c>
      <c r="G13" s="55"/>
      <c r="H13" s="61">
        <f ca="1">SUMIFS(Facturacion!$AQ$4:$AQ$288,Facturacion!$AM$4:$AM$288,$B13,Facturacion!$AN$4:$AN$288,$C$11,Facturacion!$AO$4:$AO$288,$D$11)</f>
        <v>0</v>
      </c>
      <c r="I13" s="61" t="e">
        <f ca="1">+C13/H13</f>
        <v>#DIV/0!</v>
      </c>
    </row>
    <row r="14" spans="2:13" x14ac:dyDescent="0.25">
      <c r="B14" s="60" t="s">
        <v>292</v>
      </c>
      <c r="C14" s="70">
        <f ca="1">SUMIFS(Facturacion!$AA$4:$AA$288,Facturacion!$AM$4:$AM$288,$B14,Facturacion!$AN$4:$AN$288,$C$11,Facturacion!$AO$4:$AO$288,$D$11)</f>
        <v>0</v>
      </c>
      <c r="D14" s="70">
        <f ca="1">SUMIFS(Facturacion!$AI$4:$AI$288,Facturacion!$AM$4:$AM$288,$B14,Facturacion!$AN$4:$AN$288,$C$11,Facturacion!$AO$4:$AO$288,$D$11)</f>
        <v>0</v>
      </c>
      <c r="E14" s="70">
        <f ca="1">SUMIFS(Facturacion!$AJ$4:$AJ$288,Facturacion!$AM$4:$AM$288,$B14,Facturacion!$AN$4:$AN$288,$C$11,Facturacion!$AO$4:$AO$288,$D$11)</f>
        <v>0</v>
      </c>
      <c r="F14" s="62">
        <f ca="1">IFERROR(E14/C14,0)</f>
        <v>0</v>
      </c>
      <c r="G14" s="55"/>
      <c r="H14" s="70">
        <f ca="1">SUMIFS(Facturacion!$AQ$4:$AQ$288,Facturacion!$AM$4:$AM$288,$B14,Facturacion!$AN$4:$AN$288,$C$11,Facturacion!$AO$4:$AO$288,$D$11)</f>
        <v>0</v>
      </c>
      <c r="I14" s="61" t="e">
        <f ca="1">+C14/H14</f>
        <v>#DIV/0!</v>
      </c>
    </row>
    <row r="15" spans="2:13" x14ac:dyDescent="0.25">
      <c r="B15" s="60" t="s">
        <v>293</v>
      </c>
      <c r="C15" s="70">
        <f ca="1">SUMIFS(Facturacion!$AA$4:$AA$288,Facturacion!$AM$4:$AM$288,$B15,Facturacion!$AN$4:$AN$288,$C$11,Facturacion!$AO$4:$AO$288,$D$11)</f>
        <v>0</v>
      </c>
      <c r="D15" s="70">
        <f ca="1">SUMIFS(Facturacion!$AI$4:$AI$288,Facturacion!$AM$4:$AM$288,$B15,Facturacion!$AN$4:$AN$288,$C$11,Facturacion!$AO$4:$AO$288,$D$11)</f>
        <v>0</v>
      </c>
      <c r="E15" s="70">
        <f ca="1">SUMIFS(Facturacion!$AJ$4:$AJ$288,Facturacion!$AM$4:$AM$288,$B15,Facturacion!$AN$4:$AN$288,$C$11,Facturacion!$AO$4:$AO$288,$D$11)</f>
        <v>0</v>
      </c>
      <c r="F15" s="62">
        <f ca="1">IFERROR(E15/C15,0)</f>
        <v>0</v>
      </c>
      <c r="G15" s="55"/>
      <c r="H15" s="70">
        <f ca="1">SUMIFS(Facturacion!$AQ$4:$AQ$288,Facturacion!$AM$4:$AM$288,$B15,Facturacion!$AN$4:$AN$288,$C$11,Facturacion!$AO$4:$AO$288,$D$11)</f>
        <v>0</v>
      </c>
      <c r="I15" s="61" t="e">
        <f ca="1">+C15/H15</f>
        <v>#DIV/0!</v>
      </c>
    </row>
    <row r="16" spans="2:13" x14ac:dyDescent="0.25">
      <c r="B16" s="63" t="s">
        <v>472</v>
      </c>
      <c r="C16" s="64">
        <f ca="1">SUMIFS(Facturacion!$AA$4:$AA$288,Facturacion!$AM$4:$AM$288,$B16,Facturacion!$AN$4:$AN$288,$C$11,Facturacion!$AO$4:$AO$288,$D$11)</f>
        <v>0</v>
      </c>
      <c r="D16" s="64">
        <f ca="1">SUMIFS(Facturacion!$AI$4:$AI$288,Facturacion!$AM$4:$AM$288,$B16,Facturacion!$AN$4:$AN$288,$C$11,Facturacion!$AO$4:$AO$288,$D$11)</f>
        <v>0</v>
      </c>
      <c r="E16" s="64">
        <f ca="1">SUMIFS(Facturacion!$AJ$4:$AJ$288,Facturacion!$AM$4:$AM$288,$B16,Facturacion!$AN$4:$AN$288,$C$11,Facturacion!$AO$4:$AO$288,$D$11)</f>
        <v>0</v>
      </c>
      <c r="F16" s="66">
        <f ca="1">IFERROR(E16/C16,0)</f>
        <v>0</v>
      </c>
      <c r="G16" s="55"/>
      <c r="H16" s="64">
        <f ca="1">SUMIFS(Facturacion!$AQ$4:$AQ$288,Facturacion!$AM$4:$AM$288,$B16,Facturacion!$AN$4:$AN$288,$C$11,Facturacion!$AO$4:$AO$288,$D$11)</f>
        <v>0</v>
      </c>
      <c r="I16" s="65" t="e">
        <f ca="1">+C16/H16</f>
        <v>#DIV/0!</v>
      </c>
    </row>
    <row r="17" spans="1:20" x14ac:dyDescent="0.25">
      <c r="B17" s="56" t="str">
        <f>Cua_Trab!A19</f>
        <v>Total general</v>
      </c>
      <c r="C17" s="67">
        <f ca="1">SUM(C13:C16)</f>
        <v>0</v>
      </c>
      <c r="D17" s="67">
        <f t="shared" ref="D17:E17" ca="1" si="2">SUM(D13:D16)</f>
        <v>0</v>
      </c>
      <c r="E17" s="67">
        <f t="shared" ca="1" si="2"/>
        <v>0</v>
      </c>
      <c r="F17" s="69">
        <f ca="1">IFERROR(E17/C17,0)</f>
        <v>0</v>
      </c>
      <c r="G17" s="55"/>
      <c r="H17" s="67">
        <f ca="1">SUM(H13:H16)</f>
        <v>0</v>
      </c>
      <c r="I17" s="68" t="e">
        <f ca="1">+C17/H17</f>
        <v>#DIV/0!</v>
      </c>
    </row>
    <row r="18" spans="1:20" x14ac:dyDescent="0.25">
      <c r="D18" s="45"/>
      <c r="E18" s="45"/>
    </row>
    <row r="20" spans="1:20" x14ac:dyDescent="0.25">
      <c r="O20" s="12" t="s">
        <v>739</v>
      </c>
      <c r="P20" s="12">
        <v>2019</v>
      </c>
    </row>
    <row r="21" spans="1:20" x14ac:dyDescent="0.25">
      <c r="B21" s="57" t="s">
        <v>469</v>
      </c>
      <c r="C21" s="58" t="s">
        <v>470</v>
      </c>
      <c r="D21" s="97"/>
      <c r="E21" s="57" t="s">
        <v>313</v>
      </c>
      <c r="F21" s="58" t="s">
        <v>317</v>
      </c>
      <c r="G21" s="97"/>
      <c r="H21" s="59" t="s">
        <v>471</v>
      </c>
      <c r="I21" s="59" t="s">
        <v>472</v>
      </c>
      <c r="J21" s="59" t="s">
        <v>473</v>
      </c>
      <c r="K21" s="59" t="s">
        <v>476</v>
      </c>
      <c r="L21" s="59" t="s">
        <v>517</v>
      </c>
      <c r="M21" s="59" t="s">
        <v>67</v>
      </c>
      <c r="N21" s="70"/>
      <c r="O21" s="57" t="s">
        <v>320</v>
      </c>
      <c r="P21" s="58" t="s">
        <v>474</v>
      </c>
      <c r="Q21" s="58" t="s">
        <v>475</v>
      </c>
      <c r="R21" s="58" t="s">
        <v>121</v>
      </c>
      <c r="S21" s="97"/>
      <c r="T21" s="58" t="s">
        <v>67</v>
      </c>
    </row>
    <row r="22" spans="1:20" x14ac:dyDescent="0.25">
      <c r="B22" s="56" t="s">
        <v>476</v>
      </c>
      <c r="C22" s="97"/>
      <c r="D22" s="60"/>
      <c r="E22" s="60" t="s">
        <v>121</v>
      </c>
      <c r="F22" s="108" t="e">
        <f ca="1">+H5/$H$9</f>
        <v>#DIV/0!</v>
      </c>
      <c r="G22" s="97"/>
      <c r="H22" s="70" t="e">
        <f ca="1">+$C$25*F22</f>
        <v>#DIV/0!</v>
      </c>
      <c r="I22" s="70">
        <f>+C23</f>
        <v>0</v>
      </c>
      <c r="J22" s="70" t="e">
        <f ca="1">+$D$54*F22</f>
        <v>#DIV/0!</v>
      </c>
      <c r="K22" s="70" t="e">
        <f ca="1">(SUMIF($A$23:$A$31,"sue",$C$23:$C$31))*F22</f>
        <v>#DIV/0!</v>
      </c>
      <c r="L22" s="70" t="e">
        <f ca="1">(SUMIF($A$23:$A$31,"ser",$C$23:$C$31))*F22</f>
        <v>#DIV/0!</v>
      </c>
      <c r="M22" s="70" t="e">
        <f ca="1">+H22+I22+J22+K22+L22</f>
        <v>#DIV/0!</v>
      </c>
      <c r="N22" s="70"/>
      <c r="O22" s="60" t="s">
        <v>294</v>
      </c>
      <c r="P22" s="61">
        <f ca="1">COUNTIFS(Facturacion!$AL$4:$AL$314,P$21,Facturacion!$AM$4:$AM$314,$O22,Facturacion!$AN$4:$AN$314,$O$20,Facturacion!$AO$4:$AO$314,'Diapo_10 (3)'!$P$20)</f>
        <v>0</v>
      </c>
      <c r="Q22" s="61">
        <f ca="1">COUNTIFS(Facturacion!$AL$4:$AL$314,Q$21,Facturacion!$AM$4:$AM$314,$O22,Facturacion!$AN$4:$AN$314,$O$20,Facturacion!$AO$4:$AO$314,'Diapo_10 (3)'!$P$20)</f>
        <v>0</v>
      </c>
      <c r="R22" s="61">
        <f ca="1">COUNTIFS(Facturacion!$AL$4:$AL$314,R$21,Facturacion!$AM$4:$AM$314,$O22,Facturacion!$AN$4:$AN$314,$O$20,Facturacion!$AO$4:$AO$314,'Diapo_10 (3)'!$P$20)</f>
        <v>0</v>
      </c>
      <c r="S22" s="97"/>
      <c r="T22" s="61">
        <f ca="1">SUM(P22:R22)</f>
        <v>0</v>
      </c>
    </row>
    <row r="23" spans="1:20" x14ac:dyDescent="0.25">
      <c r="A23" s="12" t="s">
        <v>521</v>
      </c>
      <c r="B23" s="60" t="s">
        <v>524</v>
      </c>
      <c r="C23" s="70">
        <f>3110*0</f>
        <v>0</v>
      </c>
      <c r="D23" s="97"/>
      <c r="E23" s="60" t="s">
        <v>475</v>
      </c>
      <c r="F23" s="108" t="e">
        <f ca="1">+H6/$H$9</f>
        <v>#DIV/0!</v>
      </c>
      <c r="G23" s="97"/>
      <c r="H23" s="70" t="e">
        <f t="shared" ref="H23:H24" ca="1" si="3">+$C$25*F23</f>
        <v>#DIV/0!</v>
      </c>
      <c r="I23" s="70" t="e">
        <f ca="1">$C$24*(H6/($H$6+$H$8))</f>
        <v>#DIV/0!</v>
      </c>
      <c r="J23" s="70" t="e">
        <f ca="1">+$D$54*F23</f>
        <v>#DIV/0!</v>
      </c>
      <c r="K23" s="70" t="e">
        <f t="shared" ref="K23:K24" ca="1" si="4">(SUMIF($A$23:$A$31,"sue",$C$23:$C$31))*F23</f>
        <v>#DIV/0!</v>
      </c>
      <c r="L23" s="70" t="e">
        <f t="shared" ref="L23:L24" ca="1" si="5">(SUMIF($A$23:$A$31,"ser",$C$23:$C$31))*F23</f>
        <v>#DIV/0!</v>
      </c>
      <c r="M23" s="70" t="e">
        <f t="shared" ref="M23:M24" ca="1" si="6">+H23+I23+J23+K23+L23</f>
        <v>#DIV/0!</v>
      </c>
      <c r="N23" s="70"/>
      <c r="O23" s="60" t="s">
        <v>292</v>
      </c>
      <c r="P23" s="61">
        <f ca="1">COUNTIFS(Facturacion!$AL$4:$AL$314,P$21,Facturacion!$AM$4:$AM$314,$O23,Facturacion!$AN$4:$AN$314,$O$20,Facturacion!$AO$4:$AO$314,'Diapo_10 (3)'!$P$20)</f>
        <v>0</v>
      </c>
      <c r="Q23" s="61">
        <f ca="1">COUNTIFS(Facturacion!$AL$4:$AL$314,Q$21,Facturacion!$AM$4:$AM$314,$O23,Facturacion!$AN$4:$AN$314,$O$20,Facturacion!$AO$4:$AO$314,'Diapo_10 (3)'!$P$20)</f>
        <v>0</v>
      </c>
      <c r="R23" s="61">
        <f ca="1">COUNTIFS(Facturacion!$AL$4:$AL$314,R$21,Facturacion!$AM$4:$AM$314,$O23,Facturacion!$AN$4:$AN$314,$O$20,Facturacion!$AO$4:$AO$314,'Diapo_10 (3)'!$P$20)</f>
        <v>0</v>
      </c>
      <c r="S23" s="97"/>
      <c r="T23" s="61">
        <f ca="1">SUM(P23:R23)</f>
        <v>0</v>
      </c>
    </row>
    <row r="24" spans="1:20" x14ac:dyDescent="0.25">
      <c r="A24" s="12" t="s">
        <v>523</v>
      </c>
      <c r="B24" s="60" t="s">
        <v>525</v>
      </c>
      <c r="C24" s="70">
        <f>5286*0</f>
        <v>0</v>
      </c>
      <c r="D24" s="97"/>
      <c r="E24" s="63" t="s">
        <v>474</v>
      </c>
      <c r="F24" s="109" t="e">
        <f ca="1">+H8/$H$9</f>
        <v>#DIV/0!</v>
      </c>
      <c r="G24" s="97"/>
      <c r="H24" s="64" t="e">
        <f t="shared" ca="1" si="3"/>
        <v>#DIV/0!</v>
      </c>
      <c r="I24" s="64" t="e">
        <f ca="1">$C$24*(H8/($H$6+$H$8))</f>
        <v>#DIV/0!</v>
      </c>
      <c r="J24" s="64" t="e">
        <f ca="1">+$D$54*F24</f>
        <v>#DIV/0!</v>
      </c>
      <c r="K24" s="64" t="e">
        <f t="shared" ca="1" si="4"/>
        <v>#DIV/0!</v>
      </c>
      <c r="L24" s="64" t="e">
        <f t="shared" ca="1" si="5"/>
        <v>#DIV/0!</v>
      </c>
      <c r="M24" s="64" t="e">
        <f t="shared" ca="1" si="6"/>
        <v>#DIV/0!</v>
      </c>
      <c r="N24" s="112"/>
      <c r="O24" s="60" t="s">
        <v>293</v>
      </c>
      <c r="P24" s="61">
        <f ca="1">COUNTIFS(Facturacion!$AL$4:$AL$314,P$21,Facturacion!$AM$4:$AM$314,$O24,Facturacion!$AN$4:$AN$314,$O$20,Facturacion!$AO$4:$AO$314,'Diapo_10 (3)'!$P$20)</f>
        <v>0</v>
      </c>
      <c r="Q24" s="61">
        <f ca="1">COUNTIFS(Facturacion!$AL$4:$AL$314,Q$21,Facturacion!$AM$4:$AM$314,$O24,Facturacion!$AN$4:$AN$314,$O$20,Facturacion!$AO$4:$AO$314,'Diapo_10 (3)'!$P$20)</f>
        <v>0</v>
      </c>
      <c r="R24" s="61">
        <f ca="1">COUNTIFS(Facturacion!$AL$4:$AL$314,R$21,Facturacion!$AM$4:$AM$314,$O24,Facturacion!$AN$4:$AN$314,$O$20,Facturacion!$AO$4:$AO$314,'Diapo_10 (3)'!$P$20)</f>
        <v>0</v>
      </c>
      <c r="S24" s="97"/>
      <c r="T24" s="61">
        <f t="shared" ref="T24:T25" ca="1" si="7">SUM(P24:R24)</f>
        <v>0</v>
      </c>
    </row>
    <row r="25" spans="1:20" x14ac:dyDescent="0.25">
      <c r="A25" s="12" t="s">
        <v>522</v>
      </c>
      <c r="B25" s="60" t="s">
        <v>526</v>
      </c>
      <c r="C25" s="70">
        <f>2600*0</f>
        <v>0</v>
      </c>
      <c r="D25" s="97"/>
      <c r="E25" s="56" t="s">
        <v>477</v>
      </c>
      <c r="F25" s="110" t="e">
        <f ca="1">SUM(F21:F24)</f>
        <v>#DIV/0!</v>
      </c>
      <c r="G25" s="97"/>
      <c r="H25" s="67" t="e">
        <f ca="1">SUM(H22:H24)</f>
        <v>#DIV/0!</v>
      </c>
      <c r="I25" s="67" t="e">
        <f t="shared" ref="I25:M25" ca="1" si="8">SUM(I22:I24)</f>
        <v>#DIV/0!</v>
      </c>
      <c r="J25" s="67" t="e">
        <f t="shared" ca="1" si="8"/>
        <v>#DIV/0!</v>
      </c>
      <c r="K25" s="67" t="e">
        <f t="shared" ca="1" si="8"/>
        <v>#DIV/0!</v>
      </c>
      <c r="L25" s="67" t="e">
        <f t="shared" ca="1" si="8"/>
        <v>#DIV/0!</v>
      </c>
      <c r="M25" s="67" t="e">
        <f t="shared" ca="1" si="8"/>
        <v>#DIV/0!</v>
      </c>
      <c r="N25" s="67"/>
      <c r="O25" s="63" t="s">
        <v>472</v>
      </c>
      <c r="P25" s="64">
        <f ca="1">COUNTIFS(Facturacion!$AL$4:$AL$314,P$21,Facturacion!$AM$4:$AM$314,$O25,Facturacion!$AN$4:$AN$314,$O$20,Facturacion!$AO$4:$AO$314,'Diapo_10 (3)'!$P$20)</f>
        <v>0</v>
      </c>
      <c r="Q25" s="64">
        <f ca="1">COUNTIFS(Facturacion!$AL$4:$AL$314,Q$21,Facturacion!$AM$4:$AM$314,$O25,Facturacion!$AN$4:$AN$314,$O$20,Facturacion!$AO$4:$AO$314,'Diapo_10 (3)'!$P$20)</f>
        <v>0</v>
      </c>
      <c r="R25" s="64">
        <f ca="1">COUNTIFS(Facturacion!$AL$4:$AL$314,R$21,Facturacion!$AM$4:$AM$314,$O25,Facturacion!$AN$4:$AN$314,$O$20,Facturacion!$AO$4:$AO$314,'Diapo_10 (3)'!$P$20)</f>
        <v>0</v>
      </c>
      <c r="S25" s="97"/>
      <c r="T25" s="64">
        <f t="shared" ca="1" si="7"/>
        <v>0</v>
      </c>
    </row>
    <row r="26" spans="1:20" x14ac:dyDescent="0.25">
      <c r="A26" s="12" t="s">
        <v>520</v>
      </c>
      <c r="B26" s="60" t="s">
        <v>508</v>
      </c>
      <c r="C26" s="70">
        <f>16940.33*0</f>
        <v>0</v>
      </c>
      <c r="F26" s="97"/>
      <c r="G26" s="97"/>
      <c r="H26" s="97"/>
      <c r="I26" s="97"/>
      <c r="J26" s="97"/>
      <c r="K26" s="97"/>
      <c r="L26" s="97"/>
      <c r="M26" s="97"/>
      <c r="N26" s="97"/>
      <c r="O26" s="56" t="s">
        <v>477</v>
      </c>
      <c r="P26" s="68">
        <f ca="1">SUM(P22:P25)</f>
        <v>0</v>
      </c>
      <c r="Q26" s="68">
        <f t="shared" ref="Q26:T26" ca="1" si="9">SUM(Q22:Q25)</f>
        <v>0</v>
      </c>
      <c r="R26" s="68">
        <f t="shared" ca="1" si="9"/>
        <v>0</v>
      </c>
      <c r="S26" s="97"/>
      <c r="T26" s="68">
        <f t="shared" ca="1" si="9"/>
        <v>0</v>
      </c>
    </row>
    <row r="27" spans="1:20" x14ac:dyDescent="0.25">
      <c r="A27" s="12" t="s">
        <v>518</v>
      </c>
      <c r="B27" s="60" t="s">
        <v>509</v>
      </c>
      <c r="C27" s="70">
        <f>3003*0</f>
        <v>0</v>
      </c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</row>
    <row r="28" spans="1:20" x14ac:dyDescent="0.25">
      <c r="A28" s="12" t="s">
        <v>518</v>
      </c>
      <c r="B28" s="60" t="s">
        <v>510</v>
      </c>
      <c r="C28" s="70">
        <f>1401.62*0</f>
        <v>0</v>
      </c>
      <c r="F28" s="97"/>
      <c r="G28" s="97"/>
      <c r="H28" s="97"/>
      <c r="I28" s="97"/>
      <c r="J28" s="97"/>
      <c r="K28" s="97"/>
      <c r="L28" s="97"/>
      <c r="M28" s="97"/>
      <c r="N28" s="97"/>
      <c r="O28" s="57" t="s">
        <v>320</v>
      </c>
      <c r="P28" s="58" t="s">
        <v>474</v>
      </c>
      <c r="Q28" s="58" t="s">
        <v>475</v>
      </c>
      <c r="R28" s="58" t="s">
        <v>121</v>
      </c>
      <c r="S28" s="97"/>
      <c r="T28" s="58" t="s">
        <v>67</v>
      </c>
    </row>
    <row r="29" spans="1:20" x14ac:dyDescent="0.25">
      <c r="A29" s="12" t="s">
        <v>518</v>
      </c>
      <c r="B29" s="60" t="s">
        <v>511</v>
      </c>
      <c r="C29" s="70">
        <f>1038*0</f>
        <v>0</v>
      </c>
      <c r="F29" s="97"/>
      <c r="G29" s="97"/>
      <c r="H29" s="97"/>
      <c r="I29" s="97"/>
      <c r="J29" s="97"/>
      <c r="K29" s="97"/>
      <c r="L29" s="97"/>
      <c r="M29" s="97"/>
      <c r="N29" s="97"/>
      <c r="O29" s="60" t="s">
        <v>294</v>
      </c>
      <c r="P29" s="61">
        <f ca="1">IFERROR((P22/P$26)*M$24,0)</f>
        <v>0</v>
      </c>
      <c r="Q29" s="61">
        <f t="shared" ref="Q29:R29" ca="1" si="10">IFERROR((Q22/Q$26)*N$24,0)</f>
        <v>0</v>
      </c>
      <c r="R29" s="61">
        <f t="shared" ca="1" si="10"/>
        <v>0</v>
      </c>
      <c r="S29" s="97"/>
      <c r="T29" s="61">
        <f ca="1">SUM(P29:R29)</f>
        <v>0</v>
      </c>
    </row>
    <row r="30" spans="1:20" x14ac:dyDescent="0.25">
      <c r="A30" s="12" t="s">
        <v>518</v>
      </c>
      <c r="B30" s="60" t="s">
        <v>512</v>
      </c>
      <c r="C30" s="70">
        <f>1063.87*0</f>
        <v>0</v>
      </c>
      <c r="F30" s="97"/>
      <c r="G30" s="97"/>
      <c r="H30" s="97"/>
      <c r="I30" s="97"/>
      <c r="J30" s="97"/>
      <c r="K30" s="97"/>
      <c r="L30" s="97"/>
      <c r="M30" s="97"/>
      <c r="N30" s="97"/>
      <c r="O30" s="60" t="s">
        <v>292</v>
      </c>
      <c r="P30" s="61">
        <f t="shared" ref="P30:R32" ca="1" si="11">IFERROR((P23/P$26)*M$24,0)</f>
        <v>0</v>
      </c>
      <c r="Q30" s="61">
        <f t="shared" ca="1" si="11"/>
        <v>0</v>
      </c>
      <c r="R30" s="61">
        <f t="shared" ca="1" si="11"/>
        <v>0</v>
      </c>
      <c r="S30" s="97"/>
      <c r="T30" s="61">
        <f ca="1">SUM(P30:R30)</f>
        <v>0</v>
      </c>
    </row>
    <row r="31" spans="1:20" x14ac:dyDescent="0.25">
      <c r="A31" s="12" t="s">
        <v>519</v>
      </c>
      <c r="B31" s="63" t="s">
        <v>527</v>
      </c>
      <c r="C31" s="64">
        <f>20915.19*0</f>
        <v>0</v>
      </c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60" t="s">
        <v>293</v>
      </c>
      <c r="P31" s="61">
        <f t="shared" ca="1" si="11"/>
        <v>0</v>
      </c>
      <c r="Q31" s="61">
        <f t="shared" ca="1" si="11"/>
        <v>0</v>
      </c>
      <c r="R31" s="61">
        <f t="shared" ca="1" si="11"/>
        <v>0</v>
      </c>
      <c r="S31" s="97"/>
      <c r="T31" s="61">
        <f t="shared" ref="T31:T32" ca="1" si="12">SUM(P31:R31)</f>
        <v>0</v>
      </c>
    </row>
    <row r="32" spans="1:20" x14ac:dyDescent="0.25">
      <c r="B32" s="56" t="s">
        <v>67</v>
      </c>
      <c r="C32" s="67">
        <f>SUM(C23:C31)</f>
        <v>0</v>
      </c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63" t="s">
        <v>472</v>
      </c>
      <c r="P32" s="64">
        <f t="shared" ca="1" si="11"/>
        <v>0</v>
      </c>
      <c r="Q32" s="64">
        <f t="shared" ca="1" si="11"/>
        <v>0</v>
      </c>
      <c r="R32" s="64">
        <f t="shared" ca="1" si="11"/>
        <v>0</v>
      </c>
      <c r="S32" s="97"/>
      <c r="T32" s="64">
        <f t="shared" ca="1" si="12"/>
        <v>0</v>
      </c>
    </row>
    <row r="33" spans="1:20" x14ac:dyDescent="0.25">
      <c r="F33" s="97"/>
      <c r="G33" s="97"/>
      <c r="H33" s="97"/>
      <c r="I33" s="97"/>
      <c r="J33" s="97"/>
      <c r="K33" s="97"/>
      <c r="L33" s="97"/>
      <c r="M33" s="97"/>
      <c r="N33" s="97"/>
      <c r="O33" s="56" t="s">
        <v>477</v>
      </c>
      <c r="P33" s="68">
        <f ca="1">SUM(P29:P32)</f>
        <v>0</v>
      </c>
      <c r="Q33" s="68">
        <f t="shared" ref="Q33:T33" ca="1" si="13">SUM(Q29:Q32)</f>
        <v>0</v>
      </c>
      <c r="R33" s="68">
        <f t="shared" ca="1" si="13"/>
        <v>0</v>
      </c>
      <c r="S33" s="97"/>
      <c r="T33" s="68">
        <f t="shared" ca="1" si="13"/>
        <v>0</v>
      </c>
    </row>
    <row r="34" spans="1:20" ht="17.25" x14ac:dyDescent="0.25">
      <c r="B34" s="56" t="s">
        <v>473</v>
      </c>
      <c r="C34" s="75">
        <f>16380*3.3</f>
        <v>54054</v>
      </c>
      <c r="D34" s="115">
        <f>(C34/C54)*0</f>
        <v>0</v>
      </c>
      <c r="E34" s="111" t="s">
        <v>478</v>
      </c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</row>
    <row r="35" spans="1:20" x14ac:dyDescent="0.25">
      <c r="B35" s="57" t="s">
        <v>479</v>
      </c>
      <c r="C35" s="58" t="s">
        <v>480</v>
      </c>
      <c r="D35" s="59" t="s">
        <v>481</v>
      </c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</row>
    <row r="36" spans="1:20" x14ac:dyDescent="0.25">
      <c r="A36" s="12" t="s">
        <v>513</v>
      </c>
      <c r="B36" s="60" t="s">
        <v>482</v>
      </c>
      <c r="C36" s="115">
        <f>20.88+19.944</f>
        <v>40.823999999999998</v>
      </c>
      <c r="D36" s="115">
        <f t="shared" ref="D36:D53" si="14">+C36*$D$34</f>
        <v>0</v>
      </c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</row>
    <row r="37" spans="1:20" x14ac:dyDescent="0.25">
      <c r="A37" s="12" t="s">
        <v>513</v>
      </c>
      <c r="B37" s="60" t="s">
        <v>483</v>
      </c>
      <c r="C37" s="115">
        <v>76.075999999999993</v>
      </c>
      <c r="D37" s="115">
        <f t="shared" si="14"/>
        <v>0</v>
      </c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</row>
    <row r="38" spans="1:20" x14ac:dyDescent="0.25">
      <c r="A38" s="12" t="s">
        <v>513</v>
      </c>
      <c r="B38" s="60" t="s">
        <v>507</v>
      </c>
      <c r="C38" s="115">
        <v>503.63</v>
      </c>
      <c r="D38" s="115">
        <f t="shared" si="14"/>
        <v>0</v>
      </c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</row>
    <row r="39" spans="1:20" x14ac:dyDescent="0.25">
      <c r="A39" s="12" t="s">
        <v>514</v>
      </c>
      <c r="B39" s="60" t="s">
        <v>484</v>
      </c>
      <c r="C39" s="115">
        <v>56.7</v>
      </c>
      <c r="D39" s="115">
        <f t="shared" si="14"/>
        <v>0</v>
      </c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</row>
    <row r="40" spans="1:20" x14ac:dyDescent="0.25">
      <c r="A40" s="12" t="s">
        <v>515</v>
      </c>
      <c r="B40" s="60" t="s">
        <v>472</v>
      </c>
      <c r="C40" s="115">
        <f>77.81+45</f>
        <v>122.81</v>
      </c>
      <c r="D40" s="115">
        <f t="shared" si="14"/>
        <v>0</v>
      </c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</row>
    <row r="41" spans="1:20" x14ac:dyDescent="0.25">
      <c r="A41" s="12" t="s">
        <v>513</v>
      </c>
      <c r="B41" s="60" t="s">
        <v>485</v>
      </c>
      <c r="C41" s="115">
        <v>30.94</v>
      </c>
      <c r="D41" s="115">
        <f t="shared" si="14"/>
        <v>0</v>
      </c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</row>
    <row r="42" spans="1:20" x14ac:dyDescent="0.25">
      <c r="A42" s="12" t="s">
        <v>514</v>
      </c>
      <c r="B42" s="60" t="s">
        <v>486</v>
      </c>
      <c r="C42" s="115">
        <v>354.3</v>
      </c>
      <c r="D42" s="115">
        <f t="shared" si="14"/>
        <v>0</v>
      </c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</row>
    <row r="43" spans="1:20" x14ac:dyDescent="0.25">
      <c r="A43" s="12" t="s">
        <v>516</v>
      </c>
      <c r="B43" s="60" t="s">
        <v>487</v>
      </c>
      <c r="C43" s="115">
        <f>354.39+91.88</f>
        <v>446.27</v>
      </c>
      <c r="D43" s="115">
        <f t="shared" si="14"/>
        <v>0</v>
      </c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</row>
    <row r="44" spans="1:20" x14ac:dyDescent="0.25">
      <c r="A44" s="12" t="s">
        <v>513</v>
      </c>
      <c r="B44" s="60" t="s">
        <v>488</v>
      </c>
      <c r="C44" s="115">
        <v>53.814999999999998</v>
      </c>
      <c r="D44" s="115">
        <f t="shared" si="14"/>
        <v>0</v>
      </c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</row>
    <row r="45" spans="1:20" x14ac:dyDescent="0.25">
      <c r="A45" s="12" t="s">
        <v>513</v>
      </c>
      <c r="B45" s="60" t="s">
        <v>489</v>
      </c>
      <c r="C45" s="115">
        <v>102.24</v>
      </c>
      <c r="D45" s="115">
        <f t="shared" si="14"/>
        <v>0</v>
      </c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</row>
    <row r="46" spans="1:20" x14ac:dyDescent="0.25">
      <c r="A46" s="12" t="s">
        <v>513</v>
      </c>
      <c r="B46" s="60" t="s">
        <v>490</v>
      </c>
      <c r="C46" s="115">
        <v>17.100000000000001</v>
      </c>
      <c r="D46" s="115">
        <f t="shared" si="14"/>
        <v>0</v>
      </c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</row>
    <row r="47" spans="1:20" x14ac:dyDescent="0.25">
      <c r="A47" s="12" t="s">
        <v>513</v>
      </c>
      <c r="B47" s="60" t="s">
        <v>491</v>
      </c>
      <c r="C47" s="115">
        <v>11.28</v>
      </c>
      <c r="D47" s="115">
        <f t="shared" si="14"/>
        <v>0</v>
      </c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</row>
    <row r="48" spans="1:20" x14ac:dyDescent="0.25">
      <c r="A48" s="12" t="s">
        <v>513</v>
      </c>
      <c r="B48" s="60" t="s">
        <v>492</v>
      </c>
      <c r="C48" s="115">
        <v>22.56</v>
      </c>
      <c r="D48" s="115">
        <f t="shared" si="14"/>
        <v>0</v>
      </c>
      <c r="E48" s="97"/>
    </row>
    <row r="49" spans="1:5" x14ac:dyDescent="0.25">
      <c r="A49" s="12" t="s">
        <v>513</v>
      </c>
      <c r="B49" s="60" t="s">
        <v>493</v>
      </c>
      <c r="C49" s="115">
        <v>17.86</v>
      </c>
      <c r="D49" s="115">
        <f t="shared" si="14"/>
        <v>0</v>
      </c>
      <c r="E49" s="97"/>
    </row>
    <row r="50" spans="1:5" x14ac:dyDescent="0.25">
      <c r="A50" s="12" t="s">
        <v>513</v>
      </c>
      <c r="B50" s="60" t="s">
        <v>504</v>
      </c>
      <c r="C50" s="115">
        <v>11.183999999999999</v>
      </c>
      <c r="D50" s="115">
        <f t="shared" si="14"/>
        <v>0</v>
      </c>
      <c r="E50" s="97"/>
    </row>
    <row r="51" spans="1:5" x14ac:dyDescent="0.25">
      <c r="A51" s="12" t="s">
        <v>513</v>
      </c>
      <c r="B51" s="60" t="s">
        <v>505</v>
      </c>
      <c r="C51" s="115">
        <v>21.6</v>
      </c>
      <c r="D51" s="115">
        <f t="shared" si="14"/>
        <v>0</v>
      </c>
      <c r="E51" s="97"/>
    </row>
    <row r="52" spans="1:5" x14ac:dyDescent="0.25">
      <c r="A52" s="12" t="s">
        <v>513</v>
      </c>
      <c r="B52" s="60" t="s">
        <v>528</v>
      </c>
      <c r="C52" s="115">
        <v>333.45</v>
      </c>
      <c r="D52" s="115">
        <f t="shared" si="14"/>
        <v>0</v>
      </c>
      <c r="E52" s="97"/>
    </row>
    <row r="53" spans="1:5" x14ac:dyDescent="0.25">
      <c r="A53" s="12" t="s">
        <v>513</v>
      </c>
      <c r="B53" s="63" t="s">
        <v>506</v>
      </c>
      <c r="C53" s="116">
        <v>27.36</v>
      </c>
      <c r="D53" s="116">
        <f t="shared" si="14"/>
        <v>0</v>
      </c>
      <c r="E53" s="97"/>
    </row>
    <row r="54" spans="1:5" x14ac:dyDescent="0.25">
      <c r="B54" s="56" t="s">
        <v>67</v>
      </c>
      <c r="C54" s="67">
        <f>SUM(C36:C53)</f>
        <v>2249.9989999999998</v>
      </c>
      <c r="D54" s="67">
        <f>SUM(D36:D53)</f>
        <v>0</v>
      </c>
      <c r="E54" s="97"/>
    </row>
    <row r="55" spans="1:5" x14ac:dyDescent="0.25">
      <c r="C55" s="45"/>
    </row>
  </sheetData>
  <pageMargins left="0.25" right="0.25" top="0.75" bottom="0.75" header="0.3" footer="0.3"/>
  <pageSetup paperSize="9" scale="72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C2:J40"/>
  <sheetViews>
    <sheetView showGridLines="0" workbookViewId="0">
      <selection activeCell="M27" sqref="M27:N28"/>
    </sheetView>
  </sheetViews>
  <sheetFormatPr defaultColWidth="11.42578125" defaultRowHeight="15" x14ac:dyDescent="0.25"/>
  <cols>
    <col min="3" max="3" width="15.85546875" customWidth="1"/>
    <col min="4" max="6" width="11.85546875" customWidth="1"/>
    <col min="7" max="7" width="6.7109375" customWidth="1"/>
    <col min="8" max="8" width="4" customWidth="1"/>
    <col min="9" max="10" width="8.7109375" customWidth="1"/>
  </cols>
  <sheetData>
    <row r="2" spans="3:10" x14ac:dyDescent="0.25">
      <c r="F2" s="45"/>
    </row>
    <row r="3" spans="3:10" x14ac:dyDescent="0.25">
      <c r="C3" s="55"/>
      <c r="D3" s="56" t="s">
        <v>3237</v>
      </c>
      <c r="E3" s="55"/>
      <c r="F3" s="55"/>
      <c r="G3" s="55"/>
      <c r="H3" s="55"/>
      <c r="I3" s="55"/>
      <c r="J3" s="55"/>
    </row>
    <row r="4" spans="3:10" x14ac:dyDescent="0.25">
      <c r="C4" s="57" t="s">
        <v>321</v>
      </c>
      <c r="D4" s="58" t="s">
        <v>314</v>
      </c>
      <c r="E4" s="59" t="s">
        <v>315</v>
      </c>
      <c r="F4" s="59" t="s">
        <v>316</v>
      </c>
      <c r="G4" s="59" t="s">
        <v>317</v>
      </c>
      <c r="H4" s="55"/>
      <c r="I4" s="58" t="s">
        <v>318</v>
      </c>
      <c r="J4" s="59" t="s">
        <v>319</v>
      </c>
    </row>
    <row r="5" spans="3:10" x14ac:dyDescent="0.25">
      <c r="C5" s="60" t="str">
        <f>PROPER(Cua_Trab!A27)</f>
        <v>Leve</v>
      </c>
      <c r="D5" s="70">
        <f>Cua_Trab!B27</f>
        <v>3910.6624278544996</v>
      </c>
      <c r="E5" s="70">
        <f>Cua_Trab!E27</f>
        <v>957.26250000000005</v>
      </c>
      <c r="F5" s="70">
        <f>Cua_Trab!H27</f>
        <v>2953.3999278544998</v>
      </c>
      <c r="G5" s="62">
        <f>IFERROR(F5/D5,0)</f>
        <v>0.75521730201469184</v>
      </c>
      <c r="H5" s="71"/>
      <c r="I5" s="70">
        <f>Cua_Trab!K27</f>
        <v>9</v>
      </c>
      <c r="J5" s="61">
        <f>+D5/I5</f>
        <v>434.51804753938882</v>
      </c>
    </row>
    <row r="6" spans="3:10" x14ac:dyDescent="0.25">
      <c r="C6" s="63" t="str">
        <f>PROPER(Cua_Trab!A28)</f>
        <v>Mecanica</v>
      </c>
      <c r="D6" s="64">
        <f>Cua_Trab!B28</f>
        <v>9113.3256206187398</v>
      </c>
      <c r="E6" s="64">
        <f>Cua_Trab!E28</f>
        <v>444.18565009999992</v>
      </c>
      <c r="F6" s="64">
        <f>Cua_Trab!H28</f>
        <v>8669.1399705187396</v>
      </c>
      <c r="G6" s="66">
        <f>IFERROR(F6/D6,0)</f>
        <v>0.95125976305564697</v>
      </c>
      <c r="H6" s="71"/>
      <c r="I6" s="64">
        <f>Cua_Trab!K28</f>
        <v>10</v>
      </c>
      <c r="J6" s="65">
        <f>+D6/I6</f>
        <v>911.332562061874</v>
      </c>
    </row>
    <row r="7" spans="3:10" x14ac:dyDescent="0.25">
      <c r="C7" s="56" t="str">
        <f>PROPER(Cua_Trab!A29)</f>
        <v>Total General</v>
      </c>
      <c r="D7" s="67">
        <f>Cua_Trab!B29</f>
        <v>13023.988048473238</v>
      </c>
      <c r="E7" s="67">
        <f>Cua_Trab!E29</f>
        <v>1401.4481501</v>
      </c>
      <c r="F7" s="67">
        <f>Cua_Trab!H29</f>
        <v>11622.539898373239</v>
      </c>
      <c r="G7" s="69">
        <f>IFERROR(F7/D7,0)</f>
        <v>0.89239485287578357</v>
      </c>
      <c r="H7" s="71"/>
      <c r="I7" s="67">
        <f>Cua_Trab!K29</f>
        <v>19</v>
      </c>
      <c r="J7" s="68">
        <f>+D7/I7</f>
        <v>685.473055182802</v>
      </c>
    </row>
    <row r="8" spans="3:10" x14ac:dyDescent="0.25">
      <c r="C8" s="56"/>
      <c r="D8" s="67"/>
      <c r="E8" s="67"/>
      <c r="F8" s="67"/>
      <c r="G8" s="69"/>
      <c r="H8" s="71"/>
      <c r="I8" s="67"/>
      <c r="J8" s="68"/>
    </row>
    <row r="9" spans="3:10" x14ac:dyDescent="0.25">
      <c r="C9" s="56"/>
      <c r="D9" s="67"/>
      <c r="E9" s="67"/>
      <c r="F9" s="67"/>
      <c r="G9" s="69"/>
      <c r="H9" s="71"/>
      <c r="I9" s="67"/>
      <c r="J9" s="68"/>
    </row>
    <row r="10" spans="3:10" hidden="1" x14ac:dyDescent="0.25">
      <c r="C10" s="56"/>
      <c r="D10" s="72"/>
      <c r="E10" s="72"/>
      <c r="F10" s="72"/>
      <c r="G10" s="73"/>
      <c r="H10" s="55"/>
      <c r="I10" s="55"/>
      <c r="J10" s="55"/>
    </row>
    <row r="11" spans="3:10" hidden="1" x14ac:dyDescent="0.25">
      <c r="C11" s="55"/>
      <c r="D11" s="56" t="s">
        <v>3237</v>
      </c>
      <c r="E11" s="55"/>
      <c r="F11" s="55"/>
      <c r="G11" s="55"/>
      <c r="H11" s="55"/>
      <c r="I11" s="55"/>
      <c r="J11" s="55"/>
    </row>
    <row r="12" spans="3:10" hidden="1" x14ac:dyDescent="0.25">
      <c r="C12" s="57" t="s">
        <v>322</v>
      </c>
      <c r="D12" s="58" t="s">
        <v>314</v>
      </c>
      <c r="E12" s="59" t="s">
        <v>315</v>
      </c>
      <c r="F12" s="59" t="s">
        <v>316</v>
      </c>
      <c r="G12" s="59" t="s">
        <v>317</v>
      </c>
      <c r="H12" s="55"/>
      <c r="I12" s="58" t="s">
        <v>318</v>
      </c>
      <c r="J12" s="59" t="s">
        <v>319</v>
      </c>
    </row>
    <row r="13" spans="3:10" hidden="1" x14ac:dyDescent="0.25">
      <c r="C13" s="60" t="str">
        <f>PROPER(Cua_Trab!A38)</f>
        <v>Total General</v>
      </c>
      <c r="D13" s="70">
        <f>Cua_Trab!B38</f>
        <v>0</v>
      </c>
      <c r="E13" s="70">
        <f ca="1">IF(TEXT(TODAY(),"MMMM")=Diapo_10!O20,Cua_Trab!E38,Cua_Trab!E38+Diapo_10!Q29)</f>
        <v>0</v>
      </c>
      <c r="F13" s="70">
        <f ca="1">IF(TEXT(TODAY(),"MMMM")=Diapo_10!O20,Cua_Trab!H38,Cua_Trab!H38-Diapo_10!Q29)</f>
        <v>0</v>
      </c>
      <c r="G13" s="62">
        <f ca="1">IFERROR(F13/D13,0)</f>
        <v>0</v>
      </c>
      <c r="H13" s="71"/>
      <c r="I13" s="70">
        <f>Cua_Trab!K38</f>
        <v>0</v>
      </c>
      <c r="J13" s="61" t="e">
        <f>+D13/I13</f>
        <v>#DIV/0!</v>
      </c>
    </row>
    <row r="14" spans="3:10" hidden="1" x14ac:dyDescent="0.25">
      <c r="C14" s="63" t="str">
        <f>PROPER(Cua_Trab!A39)</f>
        <v/>
      </c>
      <c r="D14" s="64">
        <f>Cua_Trab!B39</f>
        <v>0</v>
      </c>
      <c r="E14" s="64">
        <f ca="1">IF(TEXT(TODAY(),"MMMM")=Diapo_10!O20,Cua_Trab!E39,Cua_Trab!E39+Diapo_10!Q30)</f>
        <v>0</v>
      </c>
      <c r="F14" s="64">
        <f ca="1">IF(TEXT(TODAY(),"MMMM")=Diapo_10!O20,Cua_Trab!H39,Cua_Trab!H39-Diapo_10!Q30)</f>
        <v>0</v>
      </c>
      <c r="G14" s="66">
        <f ca="1">IFERROR(F14/D14,0)</f>
        <v>0</v>
      </c>
      <c r="H14" s="71"/>
      <c r="I14" s="64">
        <f>Cua_Trab!K39</f>
        <v>0</v>
      </c>
      <c r="J14" s="65" t="e">
        <f>+D14/I14</f>
        <v>#DIV/0!</v>
      </c>
    </row>
    <row r="15" spans="3:10" hidden="1" x14ac:dyDescent="0.25">
      <c r="C15" s="56" t="str">
        <f>PROPER(Cua_Trab!A40)</f>
        <v/>
      </c>
      <c r="D15" s="67">
        <f>Cua_Trab!B40</f>
        <v>0</v>
      </c>
      <c r="E15" s="67">
        <f ca="1">IF(TEXT(TODAY(),"MMMM")=Diapo_10!O20,Cua_Trab!E40,Cua_Trab!E40+Diapo_10!Q31)</f>
        <v>0</v>
      </c>
      <c r="F15" s="67">
        <f ca="1">IF(TEXT(TODAY(),"MMMM")=Diapo_10!O20,Cua_Trab!H40,Cua_Trab!H40-Diapo_10!Q31)</f>
        <v>0</v>
      </c>
      <c r="G15" s="69">
        <f ca="1">IFERROR(F15/D15,0)</f>
        <v>0</v>
      </c>
      <c r="H15" s="71"/>
      <c r="I15" s="67">
        <f>Cua_Trab!K40</f>
        <v>0</v>
      </c>
      <c r="J15" s="68" t="e">
        <f>+D15/I15</f>
        <v>#DIV/0!</v>
      </c>
    </row>
    <row r="16" spans="3:10" hidden="1" x14ac:dyDescent="0.25">
      <c r="C16" s="56"/>
      <c r="D16" s="67"/>
      <c r="E16" s="67"/>
      <c r="F16" s="67"/>
      <c r="G16" s="69"/>
      <c r="H16" s="71"/>
      <c r="I16" s="67"/>
      <c r="J16" s="68"/>
    </row>
    <row r="17" spans="3:10" s="12" customFormat="1" x14ac:dyDescent="0.25">
      <c r="C17" s="56"/>
      <c r="D17" s="67"/>
      <c r="E17" s="67"/>
      <c r="F17" s="67"/>
      <c r="G17" s="69"/>
      <c r="H17" s="71"/>
      <c r="I17" s="67"/>
      <c r="J17" s="68"/>
    </row>
    <row r="18" spans="3:10" x14ac:dyDescent="0.25">
      <c r="C18" s="55"/>
      <c r="D18" s="56" t="s">
        <v>3237</v>
      </c>
      <c r="E18" s="55"/>
      <c r="F18" s="55"/>
      <c r="G18" s="55"/>
      <c r="H18" s="55"/>
      <c r="I18" s="55"/>
      <c r="J18" s="55"/>
    </row>
    <row r="19" spans="3:10" x14ac:dyDescent="0.25">
      <c r="C19" s="57" t="s">
        <v>323</v>
      </c>
      <c r="D19" s="58" t="s">
        <v>314</v>
      </c>
      <c r="E19" s="59" t="s">
        <v>315</v>
      </c>
      <c r="F19" s="59" t="s">
        <v>316</v>
      </c>
      <c r="G19" s="59" t="s">
        <v>317</v>
      </c>
      <c r="H19" s="55"/>
      <c r="I19" s="58" t="s">
        <v>318</v>
      </c>
      <c r="J19" s="59" t="s">
        <v>319</v>
      </c>
    </row>
    <row r="20" spans="3:10" x14ac:dyDescent="0.25">
      <c r="C20" s="60" t="str">
        <f>PROPER(Cua_Trab!A48)</f>
        <v>Grave</v>
      </c>
      <c r="D20" s="70">
        <f>Cua_Trab!B48</f>
        <v>18076.015141368294</v>
      </c>
      <c r="E20" s="70">
        <f>Cua_Trab!E48</f>
        <v>4708.18</v>
      </c>
      <c r="F20" s="70">
        <f>Cua_Trab!H48</f>
        <v>13367.835141368292</v>
      </c>
      <c r="G20" s="62">
        <f>IFERROR(F20/D20,0)</f>
        <v>0.7395344071589659</v>
      </c>
      <c r="H20" s="71"/>
      <c r="I20" s="61">
        <f>Cua_Trab!K48</f>
        <v>7</v>
      </c>
      <c r="J20" s="61">
        <f>+D20/I20</f>
        <v>2582.2878773383277</v>
      </c>
    </row>
    <row r="21" spans="3:10" x14ac:dyDescent="0.25">
      <c r="C21" s="60" t="str">
        <f>PROPER(Cua_Trab!A49)</f>
        <v>Leve</v>
      </c>
      <c r="D21" s="70">
        <f>Cua_Trab!B49</f>
        <v>22341.533029096092</v>
      </c>
      <c r="E21" s="70">
        <f>Cua_Trab!E49</f>
        <v>6392.2695338983067</v>
      </c>
      <c r="F21" s="70">
        <f>Cua_Trab!H49</f>
        <v>15949.263495197783</v>
      </c>
      <c r="G21" s="62">
        <f>IFERROR(F21/D21,0)</f>
        <v>0.71388402373402704</v>
      </c>
      <c r="H21" s="71"/>
      <c r="I21" s="70">
        <f>Cua_Trab!K49</f>
        <v>32</v>
      </c>
      <c r="J21" s="61">
        <f>+D21/I21</f>
        <v>698.17290715925287</v>
      </c>
    </row>
    <row r="22" spans="3:10" x14ac:dyDescent="0.25">
      <c r="C22" s="74" t="str">
        <f>PROPER(Cua_Trab!A50)</f>
        <v>Mediano</v>
      </c>
      <c r="D22" s="65">
        <f>Cua_Trab!B50</f>
        <v>28183.361242509327</v>
      </c>
      <c r="E22" s="64">
        <f>Cua_Trab!E50</f>
        <v>8214.0159002</v>
      </c>
      <c r="F22" s="65">
        <f>Cua_Trab!H50</f>
        <v>19969.34534230932</v>
      </c>
      <c r="G22" s="66">
        <f>IFERROR(F22/D22,0)</f>
        <v>0.70855087760750479</v>
      </c>
      <c r="H22" s="71"/>
      <c r="I22" s="64">
        <f>Cua_Trab!K50</f>
        <v>15</v>
      </c>
      <c r="J22" s="65">
        <f>+D22/I22</f>
        <v>1878.8907495006217</v>
      </c>
    </row>
    <row r="23" spans="3:10" x14ac:dyDescent="0.25">
      <c r="C23" s="56" t="str">
        <f>PROPER(Cua_Trab!A51)</f>
        <v>Total General</v>
      </c>
      <c r="D23" s="75">
        <f>Cua_Trab!B51</f>
        <v>68600.90941297372</v>
      </c>
      <c r="E23" s="75">
        <f>Cua_Trab!E51</f>
        <v>19314.465434098307</v>
      </c>
      <c r="F23" s="75">
        <f>Cua_Trab!H51</f>
        <v>49286.443978875395</v>
      </c>
      <c r="G23" s="69">
        <f>IFERROR(F23/D23,0)</f>
        <v>0.71845175815634887</v>
      </c>
      <c r="H23" s="76"/>
      <c r="I23" s="75">
        <f>Cua_Trab!K51</f>
        <v>54</v>
      </c>
      <c r="J23" s="68">
        <f>+D23/I23</f>
        <v>1270.3872113513653</v>
      </c>
    </row>
    <row r="24" spans="3:10" x14ac:dyDescent="0.25">
      <c r="C24" s="56"/>
      <c r="D24" s="75"/>
      <c r="E24" s="75"/>
      <c r="F24" s="75"/>
      <c r="G24" s="69"/>
      <c r="H24" s="76"/>
      <c r="I24" s="75"/>
      <c r="J24" s="68"/>
    </row>
    <row r="26" spans="3:10" x14ac:dyDescent="0.25">
      <c r="C26" s="55"/>
      <c r="D26" s="56" t="s">
        <v>3237</v>
      </c>
      <c r="E26" s="55"/>
      <c r="F26" s="55"/>
      <c r="G26" s="55"/>
      <c r="H26" s="55"/>
      <c r="I26" s="55"/>
      <c r="J26" s="55"/>
    </row>
    <row r="27" spans="3:10" x14ac:dyDescent="0.25">
      <c r="C27" s="57" t="s">
        <v>1218</v>
      </c>
      <c r="D27" s="58" t="s">
        <v>314</v>
      </c>
      <c r="E27" s="59" t="s">
        <v>315</v>
      </c>
      <c r="F27" s="59" t="s">
        <v>316</v>
      </c>
      <c r="G27" s="59" t="s">
        <v>317</v>
      </c>
      <c r="H27" s="55"/>
      <c r="I27" s="58" t="s">
        <v>318</v>
      </c>
      <c r="J27" s="59" t="s">
        <v>319</v>
      </c>
    </row>
    <row r="28" spans="3:10" x14ac:dyDescent="0.25">
      <c r="C28" s="60" t="str">
        <f>PROPER(Cua_Trab!A59)</f>
        <v>Grave</v>
      </c>
      <c r="D28" s="70">
        <f>Cua_Trab!B59</f>
        <v>50742.60153</v>
      </c>
      <c r="E28" s="70">
        <f>Cua_Trab!E59</f>
        <v>24056.032675115141</v>
      </c>
      <c r="F28" s="70">
        <f>Cua_Trab!H59</f>
        <v>26686.568854884859</v>
      </c>
      <c r="G28" s="62">
        <f>IFERROR(F28/D28,0)</f>
        <v>0.52592039135217072</v>
      </c>
      <c r="H28" s="71"/>
      <c r="I28" s="70">
        <f>Cua_Trab!K59</f>
        <v>5</v>
      </c>
      <c r="J28" s="61">
        <f>+D28/I28</f>
        <v>10148.520306</v>
      </c>
    </row>
    <row r="29" spans="3:10" x14ac:dyDescent="0.25">
      <c r="C29" s="63" t="str">
        <f>PROPER(Cua_Trab!A60)</f>
        <v>Mecanica</v>
      </c>
      <c r="D29" s="64">
        <f>Cua_Trab!B60</f>
        <v>290</v>
      </c>
      <c r="E29" s="64">
        <f>Cua_Trab!E60</f>
        <v>209.74025</v>
      </c>
      <c r="F29" s="64">
        <f>Cua_Trab!H60</f>
        <v>80.259749999999997</v>
      </c>
      <c r="G29" s="66">
        <f>IFERROR(F29/D29,0)</f>
        <v>0.27675775862068963</v>
      </c>
      <c r="H29" s="71"/>
      <c r="I29" s="64">
        <f>Cua_Trab!K60</f>
        <v>1</v>
      </c>
      <c r="J29" s="65">
        <f>+D29/I29</f>
        <v>290</v>
      </c>
    </row>
    <row r="30" spans="3:10" x14ac:dyDescent="0.25">
      <c r="C30" s="56" t="str">
        <f>PROPER(Cua_Trab!A61)</f>
        <v>Total General</v>
      </c>
      <c r="D30" s="67">
        <f>Cua_Trab!B61</f>
        <v>51032.60153</v>
      </c>
      <c r="E30" s="67">
        <f>Cua_Trab!E61</f>
        <v>24265.77292511514</v>
      </c>
      <c r="F30" s="67">
        <f>Cua_Trab!H61</f>
        <v>26766.82860488486</v>
      </c>
      <c r="G30" s="69">
        <f>IFERROR(F30/D30,0)</f>
        <v>0.52450448933413141</v>
      </c>
      <c r="H30" s="71"/>
      <c r="I30" s="67">
        <f>Cua_Trab!K61</f>
        <v>6</v>
      </c>
      <c r="J30" s="68">
        <f>+D30/I30</f>
        <v>8505.4335883333333</v>
      </c>
    </row>
    <row r="31" spans="3:10" x14ac:dyDescent="0.25">
      <c r="C31" s="56"/>
      <c r="D31" s="67"/>
      <c r="E31" s="67"/>
      <c r="F31" s="67"/>
      <c r="G31" s="69"/>
      <c r="H31" s="71"/>
      <c r="I31" s="67"/>
      <c r="J31" s="68"/>
    </row>
    <row r="32" spans="3:10" x14ac:dyDescent="0.25">
      <c r="C32" s="12"/>
      <c r="D32" s="12"/>
      <c r="E32" s="12"/>
      <c r="F32" s="12"/>
      <c r="G32" s="12"/>
      <c r="H32" s="12"/>
      <c r="I32" s="12"/>
      <c r="J32" s="12"/>
    </row>
    <row r="35" spans="3:10" x14ac:dyDescent="0.25">
      <c r="C35" s="55"/>
      <c r="D35" s="56" t="s">
        <v>3237</v>
      </c>
      <c r="E35" s="55"/>
      <c r="F35" s="55"/>
      <c r="G35" s="55"/>
      <c r="H35" s="55"/>
      <c r="I35" s="55"/>
      <c r="J35" s="55"/>
    </row>
    <row r="36" spans="3:10" x14ac:dyDescent="0.25">
      <c r="C36" s="57" t="s">
        <v>322</v>
      </c>
      <c r="D36" s="58" t="s">
        <v>314</v>
      </c>
      <c r="E36" s="59" t="s">
        <v>315</v>
      </c>
      <c r="F36" s="59" t="s">
        <v>316</v>
      </c>
      <c r="G36" s="59" t="s">
        <v>317</v>
      </c>
      <c r="H36" s="55"/>
      <c r="I36" s="58" t="s">
        <v>318</v>
      </c>
      <c r="J36" s="59" t="s">
        <v>319</v>
      </c>
    </row>
    <row r="37" spans="3:10" x14ac:dyDescent="0.25">
      <c r="C37" s="63" t="str">
        <f>PROPER(Cua_Trab!A38)</f>
        <v>Total General</v>
      </c>
      <c r="D37" s="64">
        <f>Cua_Trab!B38</f>
        <v>0</v>
      </c>
      <c r="E37" s="64">
        <f>Cua_Trab!E38</f>
        <v>0</v>
      </c>
      <c r="F37" s="64">
        <f>Cua_Trab!H38</f>
        <v>0</v>
      </c>
      <c r="G37" s="66">
        <f>IFERROR(F37/D37,0)</f>
        <v>0</v>
      </c>
      <c r="H37" s="71"/>
      <c r="I37" s="64">
        <f>Cua_Trab!K38</f>
        <v>0</v>
      </c>
      <c r="J37" s="65">
        <f>IFERROR(D37/I37,0)</f>
        <v>0</v>
      </c>
    </row>
    <row r="38" spans="3:10" x14ac:dyDescent="0.25">
      <c r="C38" s="56"/>
      <c r="D38" s="67"/>
      <c r="E38" s="67"/>
      <c r="F38" s="67"/>
      <c r="G38" s="69"/>
      <c r="H38" s="71"/>
      <c r="I38" s="67"/>
      <c r="J38" s="68"/>
    </row>
    <row r="39" spans="3:10" x14ac:dyDescent="0.25">
      <c r="C39" s="12"/>
      <c r="D39" s="12"/>
      <c r="E39" s="12"/>
      <c r="F39" s="12"/>
      <c r="G39" s="12"/>
      <c r="H39" s="12"/>
      <c r="I39" s="12"/>
      <c r="J39" s="12"/>
    </row>
    <row r="40" spans="3:10" x14ac:dyDescent="0.25">
      <c r="C40" s="56"/>
      <c r="D40" s="67"/>
      <c r="E40" s="67"/>
      <c r="F40" s="67"/>
      <c r="G40" s="69"/>
      <c r="H40" s="71"/>
      <c r="I40" s="67"/>
      <c r="J40" s="68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95D98-936F-460E-97EB-0F1EB747D097}">
  <dimension ref="B2:I33"/>
  <sheetViews>
    <sheetView showGridLines="0" topLeftCell="A10" workbookViewId="0">
      <selection activeCell="C1" sqref="C1"/>
    </sheetView>
  </sheetViews>
  <sheetFormatPr defaultColWidth="11.42578125" defaultRowHeight="15" x14ac:dyDescent="0.25"/>
  <cols>
    <col min="1" max="1" width="11.42578125" style="12"/>
    <col min="2" max="2" width="15.85546875" style="12" customWidth="1"/>
    <col min="3" max="5" width="11.85546875" style="12" customWidth="1"/>
    <col min="6" max="6" width="6.7109375" style="12" customWidth="1"/>
    <col min="7" max="7" width="4" style="12" customWidth="1"/>
    <col min="8" max="9" width="8.7109375" style="12" customWidth="1"/>
    <col min="10" max="16384" width="11.42578125" style="12"/>
  </cols>
  <sheetData>
    <row r="2" spans="2:9" x14ac:dyDescent="0.25">
      <c r="E2" s="45"/>
    </row>
    <row r="3" spans="2:9" x14ac:dyDescent="0.25">
      <c r="B3" s="229" t="s">
        <v>2856</v>
      </c>
      <c r="C3" s="56" t="s">
        <v>2857</v>
      </c>
      <c r="D3" s="228">
        <v>2019</v>
      </c>
      <c r="E3" s="230" t="s">
        <v>121</v>
      </c>
      <c r="F3" s="55"/>
      <c r="G3" s="55"/>
      <c r="H3" s="55"/>
      <c r="I3" s="55"/>
    </row>
    <row r="4" spans="2:9" x14ac:dyDescent="0.25">
      <c r="B4" s="57" t="s">
        <v>321</v>
      </c>
      <c r="C4" s="58" t="s">
        <v>314</v>
      </c>
      <c r="D4" s="59" t="s">
        <v>315</v>
      </c>
      <c r="E4" s="59" t="s">
        <v>316</v>
      </c>
      <c r="F4" s="59" t="s">
        <v>317</v>
      </c>
      <c r="G4" s="55"/>
      <c r="H4" s="58" t="s">
        <v>318</v>
      </c>
      <c r="I4" s="59" t="s">
        <v>319</v>
      </c>
    </row>
    <row r="5" spans="2:9" x14ac:dyDescent="0.25">
      <c r="B5" s="60" t="s">
        <v>292</v>
      </c>
      <c r="C5" s="70">
        <f ca="1">SUMIFS(Facturacion!$AA$4:$AA$288,Facturacion!$AM$4:$AM$288,$B5,Facturacion!$AN$4:$AN$288,$C$3,Facturacion!$AO$4:$AO$288,$D$3,Facturacion!$AL$4:$AL$288,$E$3)</f>
        <v>0</v>
      </c>
      <c r="D5" s="70">
        <f ca="1">SUMIFS(Facturacion!$AI$4:$AI$288,Facturacion!$AM$4:$AM$288,$B5,Facturacion!$AN$4:$AN$288,$C$3,Facturacion!$AO$4:$AO$288,$D$3,Facturacion!$AL$4:$AL$288,$E$3)</f>
        <v>0</v>
      </c>
      <c r="E5" s="70">
        <f ca="1">SUMIFS(Facturacion!$AJ$4:$AJ$288,Facturacion!$AM$4:$AM$288,$B5,Facturacion!$AN$4:$AN$288,$C$3,Facturacion!$AO$4:$AO$288,$D$3,Facturacion!$AL$4:$AL$288,$E$3)</f>
        <v>0</v>
      </c>
      <c r="F5" s="62">
        <f ca="1">IFERROR(E5/C5,0)</f>
        <v>0</v>
      </c>
      <c r="G5" s="71"/>
      <c r="H5" s="70">
        <f ca="1">SUMIFS(Facturacion!$AQ$4:$AQ$288,Facturacion!$AM$4:$AM$288,$B5,Facturacion!$AN$4:$AN$288,$C$3,Facturacion!$AO$4:$AO$288,$D$3,Facturacion!$AL$4:$AL$288,$E$3)</f>
        <v>0</v>
      </c>
      <c r="I5" s="61">
        <f ca="1">IFERROR(C5/H5,0)</f>
        <v>0</v>
      </c>
    </row>
    <row r="6" spans="2:9" x14ac:dyDescent="0.25">
      <c r="B6" s="60" t="s">
        <v>293</v>
      </c>
      <c r="C6" s="70">
        <f ca="1">SUMIFS(Facturacion!$AA$4:$AA$288,Facturacion!$AM$4:$AM$288,$B6,Facturacion!$AN$4:$AN$288,$C$3,Facturacion!$AO$4:$AO$288,$D$3,Facturacion!$AL$4:$AL$288,$E$3)</f>
        <v>0</v>
      </c>
      <c r="D6" s="70">
        <f ca="1">SUMIFS(Facturacion!$AI$4:$AI$288,Facturacion!$AM$4:$AM$288,$B6,Facturacion!$AN$4:$AN$288,$C$3,Facturacion!$AO$4:$AO$288,$D$3,Facturacion!$AL$4:$AL$288,$E$3)</f>
        <v>0</v>
      </c>
      <c r="E6" s="70">
        <f ca="1">SUMIFS(Facturacion!$AJ$4:$AJ$288,Facturacion!$AM$4:$AM$288,$B6,Facturacion!$AN$4:$AN$288,$C$3,Facturacion!$AO$4:$AO$288,$D$3,Facturacion!$AL$4:$AL$288,$E$3)</f>
        <v>0</v>
      </c>
      <c r="F6" s="62">
        <f t="shared" ref="F6:F7" ca="1" si="0">IFERROR(E6/C6,0)</f>
        <v>0</v>
      </c>
      <c r="G6" s="71"/>
      <c r="H6" s="70">
        <f ca="1">SUMIFS(Facturacion!$AQ$4:$AQ$288,Facturacion!$AM$4:$AM$288,$B6,Facturacion!$AN$4:$AN$288,$C$3,Facturacion!$AO$4:$AO$288,$D$3,Facturacion!$AL$4:$AL$288,$E$3)</f>
        <v>0</v>
      </c>
      <c r="I6" s="61">
        <f t="shared" ref="I6:I9" ca="1" si="1">IFERROR(C6/H6,0)</f>
        <v>0</v>
      </c>
    </row>
    <row r="7" spans="2:9" x14ac:dyDescent="0.25">
      <c r="B7" s="60" t="s">
        <v>294</v>
      </c>
      <c r="C7" s="70">
        <f ca="1">SUMIFS(Facturacion!$AA$4:$AA$288,Facturacion!$AM$4:$AM$288,$B7,Facturacion!$AN$4:$AN$288,$C$3,Facturacion!$AO$4:$AO$288,$D$3,Facturacion!$AL$4:$AL$288,$E$3)</f>
        <v>0</v>
      </c>
      <c r="D7" s="70">
        <f ca="1">SUMIFS(Facturacion!$AI$4:$AI$288,Facturacion!$AM$4:$AM$288,$B7,Facturacion!$AN$4:$AN$288,$C$3,Facturacion!$AO$4:$AO$288,$D$3,Facturacion!$AL$4:$AL$288,$E$3)</f>
        <v>0</v>
      </c>
      <c r="E7" s="70">
        <f ca="1">SUMIFS(Facturacion!$AJ$4:$AJ$288,Facturacion!$AM$4:$AM$288,$B7,Facturacion!$AN$4:$AN$288,$C$3,Facturacion!$AO$4:$AO$288,$D$3,Facturacion!$AL$4:$AL$288,$E$3)</f>
        <v>0</v>
      </c>
      <c r="F7" s="62">
        <f t="shared" ca="1" si="0"/>
        <v>0</v>
      </c>
      <c r="G7" s="71"/>
      <c r="H7" s="70">
        <f ca="1">SUMIFS(Facturacion!$AQ$4:$AQ$288,Facturacion!$AM$4:$AM$288,$B7,Facturacion!$AN$4:$AN$288,$C$3,Facturacion!$AO$4:$AO$288,$D$3,Facturacion!$AL$4:$AL$288,$E$3)</f>
        <v>0</v>
      </c>
      <c r="I7" s="61">
        <f t="shared" ca="1" si="1"/>
        <v>0</v>
      </c>
    </row>
    <row r="8" spans="2:9" x14ac:dyDescent="0.25">
      <c r="B8" s="63" t="s">
        <v>472</v>
      </c>
      <c r="C8" s="64">
        <f ca="1">SUMIFS(Facturacion!$AA$4:$AA$288,Facturacion!$AM$4:$AM$288,$B8,Facturacion!$AN$4:$AN$288,$C$3,Facturacion!$AO$4:$AO$288,$D$3,Facturacion!$AL$4:$AL$288,$E$3)</f>
        <v>0</v>
      </c>
      <c r="D8" s="64">
        <f ca="1">SUMIFS(Facturacion!$AI$4:$AI$288,Facturacion!$AM$4:$AM$288,$B8,Facturacion!$AN$4:$AN$288,$C$3,Facturacion!$AO$4:$AO$288,$D$3,Facturacion!$AL$4:$AL$288,$E$3)</f>
        <v>0</v>
      </c>
      <c r="E8" s="64">
        <f ca="1">SUMIFS(Facturacion!$AJ$4:$AJ$288,Facturacion!$AM$4:$AM$288,$B8,Facturacion!$AN$4:$AN$288,$C$3,Facturacion!$AO$4:$AO$288,$D$3,Facturacion!$AL$4:$AL$288,$E$3)</f>
        <v>0</v>
      </c>
      <c r="F8" s="66">
        <f ca="1">IFERROR(E8/C8,0)</f>
        <v>0</v>
      </c>
      <c r="G8" s="71"/>
      <c r="H8" s="64">
        <f ca="1">SUMIFS(Facturacion!$AQ$4:$AQ$288,Facturacion!$AM$4:$AM$288,$B8,Facturacion!$AN$4:$AN$288,$C$3,Facturacion!$AO$4:$AO$288,$D$3,Facturacion!$AL$4:$AL$288,$E$3)</f>
        <v>0</v>
      </c>
      <c r="I8" s="65">
        <f t="shared" ca="1" si="1"/>
        <v>0</v>
      </c>
    </row>
    <row r="9" spans="2:9" x14ac:dyDescent="0.25">
      <c r="B9" s="56" t="str">
        <f>PROPER(Cua_Trab!A29)</f>
        <v>Total General</v>
      </c>
      <c r="C9" s="67">
        <f ca="1">SUM(C5:C8)</f>
        <v>0</v>
      </c>
      <c r="D9" s="67">
        <f t="shared" ref="D9:E9" ca="1" si="2">SUM(D5:D8)</f>
        <v>0</v>
      </c>
      <c r="E9" s="67">
        <f t="shared" ca="1" si="2"/>
        <v>0</v>
      </c>
      <c r="F9" s="69">
        <f ca="1">IFERROR(E9/C9,0)</f>
        <v>0</v>
      </c>
      <c r="G9" s="71"/>
      <c r="H9" s="67">
        <f ca="1">SUM(H5:H8)</f>
        <v>0</v>
      </c>
      <c r="I9" s="68">
        <f t="shared" ca="1" si="1"/>
        <v>0</v>
      </c>
    </row>
    <row r="10" spans="2:9" x14ac:dyDescent="0.25">
      <c r="B10" s="56"/>
      <c r="C10" s="67"/>
      <c r="D10" s="67"/>
      <c r="E10" s="67"/>
      <c r="F10" s="69"/>
      <c r="G10" s="71"/>
      <c r="H10" s="67"/>
      <c r="I10" s="68"/>
    </row>
    <row r="11" spans="2:9" x14ac:dyDescent="0.25">
      <c r="B11" s="229" t="s">
        <v>2856</v>
      </c>
      <c r="C11" s="56" t="s">
        <v>2857</v>
      </c>
      <c r="D11" s="228">
        <v>2019</v>
      </c>
      <c r="E11" s="230" t="s">
        <v>474</v>
      </c>
      <c r="F11" s="55"/>
      <c r="G11" s="55"/>
      <c r="H11" s="55"/>
      <c r="I11" s="55"/>
    </row>
    <row r="12" spans="2:9" x14ac:dyDescent="0.25">
      <c r="B12" s="57" t="s">
        <v>323</v>
      </c>
      <c r="C12" s="58" t="s">
        <v>314</v>
      </c>
      <c r="D12" s="59" t="s">
        <v>315</v>
      </c>
      <c r="E12" s="59" t="s">
        <v>316</v>
      </c>
      <c r="F12" s="59" t="s">
        <v>317</v>
      </c>
      <c r="G12" s="55"/>
      <c r="H12" s="58" t="s">
        <v>318</v>
      </c>
      <c r="I12" s="59" t="s">
        <v>319</v>
      </c>
    </row>
    <row r="13" spans="2:9" x14ac:dyDescent="0.25">
      <c r="B13" s="60" t="s">
        <v>292</v>
      </c>
      <c r="C13" s="70">
        <f ca="1">SUMIFS(Facturacion!$AA$4:$AA$288,Facturacion!$AM$4:$AM$288,$B13,Facturacion!$AN$4:$AN$288,$C$11,Facturacion!$AO$4:$AO$288,$D$11,Facturacion!$AL$4:$AL$288,$E$11)</f>
        <v>0</v>
      </c>
      <c r="D13" s="70">
        <f ca="1">SUMIFS(Facturacion!$AI$4:$AI$288,Facturacion!$AM$4:$AM$288,$B13,Facturacion!$AN$4:$AN$288,$C$11,Facturacion!$AO$4:$AO$288,$D$11,Facturacion!$AL$4:$AL$288,$E$11)</f>
        <v>0</v>
      </c>
      <c r="E13" s="70">
        <f ca="1">SUMIFS(Facturacion!$AJ$4:$AJ$288,Facturacion!$AM$4:$AM$288,$B13,Facturacion!$AN$4:$AN$288,$C$11,Facturacion!$AO$4:$AO$288,$D$11,Facturacion!$AL$4:$AL$288,$E$11)</f>
        <v>0</v>
      </c>
      <c r="F13" s="62">
        <f ca="1">IFERROR(E13/C13,0)</f>
        <v>0</v>
      </c>
      <c r="G13" s="71"/>
      <c r="H13" s="61">
        <f ca="1">SUMIFS(Facturacion!$AQ$4:$AQ$288,Facturacion!$AM$4:$AM$288,$B13,Facturacion!$AN$4:$AN$288,$C$11,Facturacion!$AO$4:$AO$288,$D$11,Facturacion!$AL$4:$AL$288,$E$11)</f>
        <v>0</v>
      </c>
      <c r="I13" s="61">
        <f ca="1">IFERROR(C13/H13,0)</f>
        <v>0</v>
      </c>
    </row>
    <row r="14" spans="2:9" x14ac:dyDescent="0.25">
      <c r="B14" s="60" t="s">
        <v>293</v>
      </c>
      <c r="C14" s="70">
        <f ca="1">SUMIFS(Facturacion!$AA$4:$AA$288,Facturacion!$AM$4:$AM$288,$B14,Facturacion!$AN$4:$AN$288,$C$11,Facturacion!$AO$4:$AO$288,$D$11,Facturacion!$AL$4:$AL$288,$E$11)</f>
        <v>0</v>
      </c>
      <c r="D14" s="70">
        <f ca="1">SUMIFS(Facturacion!$AI$4:$AI$288,Facturacion!$AM$4:$AM$288,$B14,Facturacion!$AN$4:$AN$288,$C$11,Facturacion!$AO$4:$AO$288,$D$11,Facturacion!$AL$4:$AL$288,$E$11)</f>
        <v>0</v>
      </c>
      <c r="E14" s="70">
        <f ca="1">SUMIFS(Facturacion!$AJ$4:$AJ$288,Facturacion!$AM$4:$AM$288,$B14,Facturacion!$AN$4:$AN$288,$C$11,Facturacion!$AO$4:$AO$288,$D$11,Facturacion!$AL$4:$AL$288,$E$11)</f>
        <v>0</v>
      </c>
      <c r="F14" s="62">
        <f t="shared" ref="F14:F15" ca="1" si="3">IFERROR(E14/C14,0)</f>
        <v>0</v>
      </c>
      <c r="G14" s="71"/>
      <c r="H14" s="70">
        <f ca="1">SUMIFS(Facturacion!$AQ$4:$AQ$288,Facturacion!$AM$4:$AM$288,$B14,Facturacion!$AN$4:$AN$288,$C$11,Facturacion!$AO$4:$AO$288,$D$11,Facturacion!$AL$4:$AL$288,$E$11)</f>
        <v>0</v>
      </c>
      <c r="I14" s="61">
        <f t="shared" ref="I14:I16" ca="1" si="4">IFERROR(C14/H14,0)</f>
        <v>0</v>
      </c>
    </row>
    <row r="15" spans="2:9" x14ac:dyDescent="0.25">
      <c r="B15" s="74" t="s">
        <v>294</v>
      </c>
      <c r="C15" s="65">
        <f ca="1">SUMIFS(Facturacion!$AA$4:$AA$288,Facturacion!$AM$4:$AM$288,$B15,Facturacion!$AN$4:$AN$288,$C$11,Facturacion!$AO$4:$AO$288,$D$11,Facturacion!$AL$4:$AL$288,$E$11)</f>
        <v>0</v>
      </c>
      <c r="D15" s="64">
        <f ca="1">SUMIFS(Facturacion!$AI$4:$AI$288,Facturacion!$AM$4:$AM$288,$B15,Facturacion!$AN$4:$AN$288,$C$11,Facturacion!$AO$4:$AO$288,$D$11,Facturacion!$AL$4:$AL$288,$E$11)</f>
        <v>0</v>
      </c>
      <c r="E15" s="65">
        <f ca="1">SUMIFS(Facturacion!$AJ$4:$AJ$288,Facturacion!$AM$4:$AM$288,$B15,Facturacion!$AN$4:$AN$288,$C$11,Facturacion!$AO$4:$AO$288,$D$11,Facturacion!$AL$4:$AL$288,$E$11)</f>
        <v>0</v>
      </c>
      <c r="F15" s="66">
        <f t="shared" ca="1" si="3"/>
        <v>0</v>
      </c>
      <c r="G15" s="71"/>
      <c r="H15" s="64">
        <f ca="1">SUMIFS(Facturacion!$AQ$4:$AQ$288,Facturacion!$AM$4:$AM$288,$B15,Facturacion!$AN$4:$AN$288,$C$11,Facturacion!$AO$4:$AO$288,$D$11,Facturacion!$AL$4:$AL$288,$E$11)</f>
        <v>0</v>
      </c>
      <c r="I15" s="65">
        <f t="shared" ca="1" si="4"/>
        <v>0</v>
      </c>
    </row>
    <row r="16" spans="2:9" x14ac:dyDescent="0.25">
      <c r="B16" s="56" t="str">
        <f>PROPER(Cua_Trab!A51)</f>
        <v>Total General</v>
      </c>
      <c r="C16" s="75">
        <f ca="1">SUM(C13:C15)</f>
        <v>0</v>
      </c>
      <c r="D16" s="75">
        <f t="shared" ref="D16:E16" ca="1" si="5">SUM(D13:D15)</f>
        <v>0</v>
      </c>
      <c r="E16" s="75">
        <f t="shared" ca="1" si="5"/>
        <v>0</v>
      </c>
      <c r="F16" s="69">
        <f ca="1">IFERROR(E16/C16,0)</f>
        <v>0</v>
      </c>
      <c r="G16" s="76"/>
      <c r="H16" s="75">
        <f ca="1">SUM(H13:H15)</f>
        <v>0</v>
      </c>
      <c r="I16" s="68">
        <f t="shared" ca="1" si="4"/>
        <v>0</v>
      </c>
    </row>
    <row r="18" spans="2:9" x14ac:dyDescent="0.25">
      <c r="B18" s="229" t="s">
        <v>2856</v>
      </c>
      <c r="C18" s="56" t="s">
        <v>2857</v>
      </c>
      <c r="D18" s="228">
        <v>2019</v>
      </c>
      <c r="E18" s="230" t="s">
        <v>1255</v>
      </c>
      <c r="F18" s="55"/>
      <c r="G18" s="55"/>
      <c r="H18" s="55"/>
      <c r="I18" s="55"/>
    </row>
    <row r="19" spans="2:9" x14ac:dyDescent="0.25">
      <c r="B19" s="57" t="s">
        <v>1218</v>
      </c>
      <c r="C19" s="58" t="s">
        <v>314</v>
      </c>
      <c r="D19" s="59" t="s">
        <v>315</v>
      </c>
      <c r="E19" s="59" t="s">
        <v>316</v>
      </c>
      <c r="F19" s="59" t="s">
        <v>317</v>
      </c>
      <c r="G19" s="55"/>
      <c r="H19" s="58" t="s">
        <v>318</v>
      </c>
      <c r="I19" s="59" t="s">
        <v>319</v>
      </c>
    </row>
    <row r="20" spans="2:9" x14ac:dyDescent="0.25">
      <c r="B20" s="60" t="s">
        <v>292</v>
      </c>
      <c r="C20" s="70">
        <f ca="1">SUMIFS(Facturacion!$AA$4:$AA$288,Facturacion!$AM$4:$AM$288,$B20,Facturacion!$AN$4:$AN$288,$C$18,Facturacion!$AO$4:$AO$288,$D$18,Facturacion!$AL$4:$AL$288,$E$18)</f>
        <v>0</v>
      </c>
      <c r="D20" s="70">
        <f ca="1">SUMIFS(Facturacion!$AI$4:$AI$288,Facturacion!$AM$4:$AM$288,$B20,Facturacion!$AN$4:$AN$288,$C$18,Facturacion!$AO$4:$AO$288,$D$18,Facturacion!$AL$4:$AL$288,$E$18)</f>
        <v>0</v>
      </c>
      <c r="E20" s="70">
        <f ca="1">SUMIFS(Facturacion!$AJ$4:$AJ$288,Facturacion!$AM$4:$AM$288,$B20,Facturacion!$AN$4:$AN$288,$C$18,Facturacion!$AO$4:$AO$288,$D$18,Facturacion!$AL$4:$AL$288,$E$18)</f>
        <v>0</v>
      </c>
      <c r="F20" s="62">
        <f ca="1">IFERROR(E20/C20,0)</f>
        <v>0</v>
      </c>
      <c r="G20" s="71"/>
      <c r="H20" s="70">
        <f ca="1">SUMIFS(Facturacion!$AQ$4:$AQ$288,Facturacion!$AM$4:$AM$288,$B20,Facturacion!$AN$4:$AN$288,$C$18,Facturacion!$AO$4:$AO$288,$D$18,Facturacion!$AL$4:$AL$288,$E$18)</f>
        <v>0</v>
      </c>
      <c r="I20" s="61">
        <f ca="1">IFERROR(C20/H20,0)</f>
        <v>0</v>
      </c>
    </row>
    <row r="21" spans="2:9" x14ac:dyDescent="0.25">
      <c r="B21" s="60" t="s">
        <v>293</v>
      </c>
      <c r="C21" s="70">
        <f ca="1">SUMIFS(Facturacion!$AA$4:$AA$288,Facturacion!$AM$4:$AM$288,$B21,Facturacion!$AN$4:$AN$288,$C$18,Facturacion!$AO$4:$AO$288,$D$18,Facturacion!$AL$4:$AL$288,$E$18)</f>
        <v>0</v>
      </c>
      <c r="D21" s="70">
        <f ca="1">SUMIFS(Facturacion!$AI$4:$AI$288,Facturacion!$AM$4:$AM$288,$B21,Facturacion!$AN$4:$AN$288,$C$18,Facturacion!$AO$4:$AO$288,$D$18,Facturacion!$AL$4:$AL$288,$E$18)</f>
        <v>0</v>
      </c>
      <c r="E21" s="70">
        <f ca="1">SUMIFS(Facturacion!$AJ$4:$AJ$288,Facturacion!$AM$4:$AM$288,$B21,Facturacion!$AN$4:$AN$288,$C$18,Facturacion!$AO$4:$AO$288,$D$18,Facturacion!$AL$4:$AL$288,$E$18)</f>
        <v>0</v>
      </c>
      <c r="F21" s="62">
        <f t="shared" ref="F21:F22" ca="1" si="6">IFERROR(E21/C21,0)</f>
        <v>0</v>
      </c>
      <c r="G21" s="71"/>
      <c r="H21" s="70">
        <f ca="1">SUMIFS(Facturacion!$AQ$4:$AQ$288,Facturacion!$AM$4:$AM$288,$B21,Facturacion!$AN$4:$AN$288,$C$18,Facturacion!$AO$4:$AO$288,$D$18,Facturacion!$AL$4:$AL$288,$E$18)</f>
        <v>0</v>
      </c>
      <c r="I21" s="61">
        <f t="shared" ref="I21:I24" ca="1" si="7">IFERROR(C21/H21,0)</f>
        <v>0</v>
      </c>
    </row>
    <row r="22" spans="2:9" x14ac:dyDescent="0.25">
      <c r="B22" s="60" t="s">
        <v>294</v>
      </c>
      <c r="C22" s="70">
        <f ca="1">SUMIFS(Facturacion!$AA$4:$AA$288,Facturacion!$AM$4:$AM$288,$B22,Facturacion!$AN$4:$AN$288,$C$18,Facturacion!$AO$4:$AO$288,$D$18,Facturacion!$AL$4:$AL$288,$E$18)</f>
        <v>0</v>
      </c>
      <c r="D22" s="70">
        <f ca="1">SUMIFS(Facturacion!$AI$4:$AI$288,Facturacion!$AM$4:$AM$288,$B22,Facturacion!$AN$4:$AN$288,$C$18,Facturacion!$AO$4:$AO$288,$D$18,Facturacion!$AL$4:$AL$288,$E$18)</f>
        <v>0</v>
      </c>
      <c r="E22" s="70">
        <f ca="1">SUMIFS(Facturacion!$AJ$4:$AJ$288,Facturacion!$AM$4:$AM$288,$B22,Facturacion!$AN$4:$AN$288,$C$18,Facturacion!$AO$4:$AO$288,$D$18,Facturacion!$AL$4:$AL$288,$E$18)</f>
        <v>0</v>
      </c>
      <c r="F22" s="62">
        <f t="shared" ca="1" si="6"/>
        <v>0</v>
      </c>
      <c r="G22" s="71"/>
      <c r="H22" s="70">
        <f ca="1">SUMIFS(Facturacion!$AQ$4:$AQ$288,Facturacion!$AM$4:$AM$288,$B22,Facturacion!$AN$4:$AN$288,$C$18,Facturacion!$AO$4:$AO$288,$D$18,Facturacion!$AL$4:$AL$288,$E$18)</f>
        <v>0</v>
      </c>
      <c r="I22" s="61">
        <f t="shared" ca="1" si="7"/>
        <v>0</v>
      </c>
    </row>
    <row r="23" spans="2:9" x14ac:dyDescent="0.25">
      <c r="B23" s="63" t="s">
        <v>472</v>
      </c>
      <c r="C23" s="64">
        <f ca="1">SUMIFS(Facturacion!$AA$4:$AA$288,Facturacion!$AM$4:$AM$288,$B23,Facturacion!$AN$4:$AN$288,$C$18,Facturacion!$AO$4:$AO$288,$D$18,Facturacion!$AL$4:$AL$288,$E$18)</f>
        <v>0</v>
      </c>
      <c r="D23" s="64">
        <f ca="1">SUMIFS(Facturacion!$AI$4:$AI$288,Facturacion!$AM$4:$AM$288,$B23,Facturacion!$AN$4:$AN$288,$C$18,Facturacion!$AO$4:$AO$288,$D$18,Facturacion!$AL$4:$AL$288,$E$18)</f>
        <v>0</v>
      </c>
      <c r="E23" s="64">
        <f ca="1">SUMIFS(Facturacion!$AJ$4:$AJ$288,Facturacion!$AM$4:$AM$288,$B23,Facturacion!$AN$4:$AN$288,$C$18,Facturacion!$AO$4:$AO$288,$D$18,Facturacion!$AL$4:$AL$288,$E$18)</f>
        <v>0</v>
      </c>
      <c r="F23" s="66">
        <f ca="1">IFERROR(E23/C23,0)</f>
        <v>0</v>
      </c>
      <c r="G23" s="71"/>
      <c r="H23" s="64">
        <f ca="1">SUMIFS(Facturacion!$AQ$4:$AQ$288,Facturacion!$AM$4:$AM$288,$B23,Facturacion!$AN$4:$AN$288,$C$18,Facturacion!$AO$4:$AO$288,$D$18,Facturacion!$AL$4:$AL$288,$E$18)</f>
        <v>0</v>
      </c>
      <c r="I23" s="65">
        <f t="shared" ca="1" si="7"/>
        <v>0</v>
      </c>
    </row>
    <row r="24" spans="2:9" x14ac:dyDescent="0.25">
      <c r="B24" s="56" t="str">
        <f>PROPER(Cua_Trab!A63)</f>
        <v/>
      </c>
      <c r="C24" s="67">
        <f ca="1">SUM(C20:C23)</f>
        <v>0</v>
      </c>
      <c r="D24" s="67">
        <f t="shared" ref="D24:E24" ca="1" si="8">SUM(D20:D23)</f>
        <v>0</v>
      </c>
      <c r="E24" s="67">
        <f t="shared" ca="1" si="8"/>
        <v>0</v>
      </c>
      <c r="F24" s="69">
        <f ca="1">IFERROR(E24/C24,0)</f>
        <v>0</v>
      </c>
      <c r="G24" s="71"/>
      <c r="H24" s="67">
        <f t="shared" ref="H24" ca="1" si="9">SUM(H20:H23)</f>
        <v>0</v>
      </c>
      <c r="I24" s="68">
        <f t="shared" ca="1" si="7"/>
        <v>0</v>
      </c>
    </row>
    <row r="26" spans="2:9" x14ac:dyDescent="0.25">
      <c r="B26" s="229" t="s">
        <v>2856</v>
      </c>
      <c r="C26" s="56" t="s">
        <v>2857</v>
      </c>
      <c r="D26" s="228">
        <v>2019</v>
      </c>
      <c r="E26" s="230" t="s">
        <v>475</v>
      </c>
      <c r="F26" s="55"/>
      <c r="G26" s="55"/>
      <c r="H26" s="55"/>
      <c r="I26" s="55"/>
    </row>
    <row r="27" spans="2:9" x14ac:dyDescent="0.25">
      <c r="B27" s="57" t="s">
        <v>322</v>
      </c>
      <c r="C27" s="58" t="s">
        <v>314</v>
      </c>
      <c r="D27" s="59" t="s">
        <v>315</v>
      </c>
      <c r="E27" s="59" t="s">
        <v>316</v>
      </c>
      <c r="F27" s="59" t="s">
        <v>317</v>
      </c>
      <c r="G27" s="55"/>
      <c r="H27" s="58" t="s">
        <v>318</v>
      </c>
      <c r="I27" s="59" t="s">
        <v>319</v>
      </c>
    </row>
    <row r="28" spans="2:9" x14ac:dyDescent="0.25">
      <c r="B28" s="60" t="s">
        <v>292</v>
      </c>
      <c r="C28" s="70">
        <f ca="1">SUMIFS(Facturacion!$AA$4:$AA$288,Facturacion!$AM$4:$AM$288,$B28,Facturacion!$AN$4:$AN$288,$C$26,Facturacion!$AO$4:$AO$288,$D$26,Facturacion!$AL$4:$AL$288,$E$26)</f>
        <v>0</v>
      </c>
      <c r="D28" s="70">
        <f ca="1">SUMIFS(Facturacion!$AI$4:$AI$288,Facturacion!$AM$4:$AM$288,$B28,Facturacion!$AN$4:$AN$288,$C$26,Facturacion!$AO$4:$AO$288,$E$26,Facturacion!$AL$4:$AL$288,$D$26)</f>
        <v>0</v>
      </c>
      <c r="E28" s="70">
        <f ca="1">SUMIFS(Facturacion!$AJ$4:$AJ$288,Facturacion!$AM$4:$AM$288,$B28,Facturacion!$AN$4:$AN$288,$C$26,Facturacion!$AO$4:$AO$288,$D$26,Facturacion!$AL$4:$AL$288,$E$26)</f>
        <v>0</v>
      </c>
      <c r="F28" s="62">
        <f ca="1">IFERROR(E28/C28,0)</f>
        <v>0</v>
      </c>
      <c r="G28" s="71"/>
      <c r="H28" s="61">
        <f ca="1">SUMIFS(Facturacion!$AQ$4:$AQ$288,Facturacion!$AM$4:$AM$288,$B28,Facturacion!$AN$4:$AN$288,$C$26,Facturacion!$AO$4:$AO$288,$D$26,Facturacion!$AL$4:$AL$288,$E$26)</f>
        <v>0</v>
      </c>
      <c r="I28" s="61">
        <f ca="1">IFERROR(C28/H28,0)</f>
        <v>0</v>
      </c>
    </row>
    <row r="29" spans="2:9" x14ac:dyDescent="0.25">
      <c r="B29" s="60" t="s">
        <v>293</v>
      </c>
      <c r="C29" s="70">
        <f ca="1">SUMIFS(Facturacion!$AA$4:$AA$288,Facturacion!$AM$4:$AM$288,$B29,Facturacion!$AN$4:$AN$288,$C$26,Facturacion!$AO$4:$AO$288,$D$26,Facturacion!$AL$4:$AL$288,$E$26)</f>
        <v>0</v>
      </c>
      <c r="D29" s="70">
        <f ca="1">SUMIFS(Facturacion!$AI$4:$AI$288,Facturacion!$AM$4:$AM$288,$B29,Facturacion!$AN$4:$AN$288,$C$26,Facturacion!$AO$4:$AO$288,$E$26,Facturacion!$AL$4:$AL$288,$D$26)</f>
        <v>0</v>
      </c>
      <c r="E29" s="70">
        <f ca="1">SUMIFS(Facturacion!$AJ$4:$AJ$288,Facturacion!$AM$4:$AM$288,$B29,Facturacion!$AN$4:$AN$288,$C$26,Facturacion!$AO$4:$AO$288,$D$26,Facturacion!$AL$4:$AL$288,$E$26)</f>
        <v>0</v>
      </c>
      <c r="F29" s="62">
        <f t="shared" ref="F29:F30" ca="1" si="10">IFERROR(E29/C29,0)</f>
        <v>0</v>
      </c>
      <c r="G29" s="71"/>
      <c r="H29" s="70">
        <f ca="1">SUMIFS(Facturacion!$AQ$4:$AQ$288,Facturacion!$AM$4:$AM$288,$B29,Facturacion!$AN$4:$AN$288,$C$26,Facturacion!$AO$4:$AO$288,$D$26,Facturacion!$AL$4:$AL$288,$E$26)</f>
        <v>0</v>
      </c>
      <c r="I29" s="61">
        <f t="shared" ref="I29:I31" ca="1" si="11">IFERROR(C29/H29,0)</f>
        <v>0</v>
      </c>
    </row>
    <row r="30" spans="2:9" x14ac:dyDescent="0.25">
      <c r="B30" s="74" t="s">
        <v>294</v>
      </c>
      <c r="C30" s="65">
        <f ca="1">SUMIFS(Facturacion!$AA$4:$AA$288,Facturacion!$AM$4:$AM$288,$B30,Facturacion!$AN$4:$AN$288,$C$26,Facturacion!$AO$4:$AO$288,$D$26,Facturacion!$AL$4:$AL$288,$E$26)</f>
        <v>0</v>
      </c>
      <c r="D30" s="64">
        <f ca="1">SUMIFS(Facturacion!$AI$4:$AI$288,Facturacion!$AM$4:$AM$288,$B30,Facturacion!$AN$4:$AN$288,$C$26,Facturacion!$AO$4:$AO$288,$E$26,Facturacion!$AL$4:$AL$288,$D$26)</f>
        <v>0</v>
      </c>
      <c r="E30" s="65">
        <f ca="1">SUMIFS(Facturacion!$AJ$4:$AJ$288,Facturacion!$AM$4:$AM$288,$B30,Facturacion!$AN$4:$AN$288,$C$26,Facturacion!$AO$4:$AO$288,$D$26,Facturacion!$AL$4:$AL$288,$E$26)</f>
        <v>0</v>
      </c>
      <c r="F30" s="66">
        <f t="shared" ca="1" si="10"/>
        <v>0</v>
      </c>
      <c r="G30" s="71"/>
      <c r="H30" s="64">
        <f ca="1">SUMIFS(Facturacion!$AQ$4:$AQ$288,Facturacion!$AM$4:$AM$288,$B30,Facturacion!$AN$4:$AN$288,$C$26,Facturacion!$AO$4:$AO$288,$D$26,Facturacion!$AL$4:$AL$288,$E$26)</f>
        <v>0</v>
      </c>
      <c r="I30" s="65">
        <f t="shared" ca="1" si="11"/>
        <v>0</v>
      </c>
    </row>
    <row r="31" spans="2:9" x14ac:dyDescent="0.25">
      <c r="B31" s="56" t="s">
        <v>477</v>
      </c>
      <c r="C31" s="67">
        <f ca="1">SUM(C28:C30)</f>
        <v>0</v>
      </c>
      <c r="D31" s="67">
        <f t="shared" ref="D31:E31" ca="1" si="12">SUM(D28:D30)</f>
        <v>0</v>
      </c>
      <c r="E31" s="67">
        <f t="shared" ca="1" si="12"/>
        <v>0</v>
      </c>
      <c r="F31" s="69">
        <f ca="1">IFERROR(E31/C31,0)</f>
        <v>0</v>
      </c>
      <c r="G31" s="71"/>
      <c r="H31" s="67">
        <f ca="1">SUM(H28:H30)</f>
        <v>0</v>
      </c>
      <c r="I31" s="68">
        <f t="shared" ca="1" si="11"/>
        <v>0</v>
      </c>
    </row>
    <row r="33" spans="2:9" x14ac:dyDescent="0.25">
      <c r="B33" s="56"/>
      <c r="C33" s="67"/>
      <c r="D33" s="67"/>
      <c r="E33" s="67"/>
      <c r="F33" s="69"/>
      <c r="G33" s="71"/>
      <c r="H33" s="67"/>
      <c r="I33" s="68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4FEB-14B0-45BD-85C2-7CBDD6180732}">
  <dimension ref="B2:I33"/>
  <sheetViews>
    <sheetView showGridLines="0" topLeftCell="A7" workbookViewId="0">
      <selection activeCell="B1" sqref="B1"/>
    </sheetView>
  </sheetViews>
  <sheetFormatPr defaultColWidth="11.42578125" defaultRowHeight="15" x14ac:dyDescent="0.25"/>
  <cols>
    <col min="1" max="1" width="11.42578125" style="12"/>
    <col min="2" max="2" width="15.85546875" style="12" customWidth="1"/>
    <col min="3" max="5" width="11.85546875" style="12" customWidth="1"/>
    <col min="6" max="6" width="6.7109375" style="12" customWidth="1"/>
    <col min="7" max="7" width="4" style="12" customWidth="1"/>
    <col min="8" max="9" width="8.7109375" style="12" customWidth="1"/>
    <col min="10" max="16384" width="11.42578125" style="12"/>
  </cols>
  <sheetData>
    <row r="2" spans="2:9" x14ac:dyDescent="0.25">
      <c r="E2" s="45"/>
    </row>
    <row r="3" spans="2:9" x14ac:dyDescent="0.25">
      <c r="B3" s="229" t="s">
        <v>2856</v>
      </c>
      <c r="C3" s="56" t="s">
        <v>603</v>
      </c>
      <c r="D3" s="228">
        <v>2020</v>
      </c>
      <c r="E3" s="230" t="s">
        <v>121</v>
      </c>
      <c r="F3" s="55"/>
      <c r="G3" s="55"/>
      <c r="H3" s="55"/>
      <c r="I3" s="55"/>
    </row>
    <row r="4" spans="2:9" x14ac:dyDescent="0.25">
      <c r="B4" s="57" t="s">
        <v>321</v>
      </c>
      <c r="C4" s="58" t="s">
        <v>314</v>
      </c>
      <c r="D4" s="59" t="s">
        <v>315</v>
      </c>
      <c r="E4" s="59" t="s">
        <v>316</v>
      </c>
      <c r="F4" s="59" t="s">
        <v>317</v>
      </c>
      <c r="G4" s="55"/>
      <c r="H4" s="58" t="s">
        <v>318</v>
      </c>
      <c r="I4" s="59" t="s">
        <v>319</v>
      </c>
    </row>
    <row r="5" spans="2:9" x14ac:dyDescent="0.25">
      <c r="B5" s="60" t="s">
        <v>292</v>
      </c>
      <c r="C5" s="70">
        <f ca="1">SUMIFS(Facturacion!$AA$4:$AA$288,Facturacion!$AM$4:$AM$288,$B5,Facturacion!$AN$4:$AN$288,$C$3,Facturacion!$AO$4:$AO$288,$D$3,Facturacion!$AL$4:$AL$288,$E$3)</f>
        <v>0</v>
      </c>
      <c r="D5" s="70">
        <f ca="1">SUMIFS(Facturacion!$AI$4:$AI$288,Facturacion!$AM$4:$AM$288,$B5,Facturacion!$AN$4:$AN$288,$C$3,Facturacion!$AO$4:$AO$288,$D$3,Facturacion!$AL$4:$AL$288,$E$3)</f>
        <v>0</v>
      </c>
      <c r="E5" s="70">
        <f ca="1">SUMIFS(Facturacion!$AJ$4:$AJ$288,Facturacion!$AM$4:$AM$288,$B5,Facturacion!$AN$4:$AN$288,$C$3,Facturacion!$AO$4:$AO$288,$D$3,Facturacion!$AL$4:$AL$288,$E$3)</f>
        <v>0</v>
      </c>
      <c r="F5" s="62">
        <f ca="1">IFERROR(E5/C5,0)</f>
        <v>0</v>
      </c>
      <c r="G5" s="71"/>
      <c r="H5" s="70">
        <f ca="1">SUMIFS(Facturacion!$AQ$4:$AQ$288,Facturacion!$AM$4:$AM$288,$B5,Facturacion!$AN$4:$AN$288,$C$3,Facturacion!$AO$4:$AO$288,$D$3,Facturacion!$AL$4:$AL$288,$E$3)</f>
        <v>0</v>
      </c>
      <c r="I5" s="61">
        <f ca="1">IFERROR(C5/H5,0)</f>
        <v>0</v>
      </c>
    </row>
    <row r="6" spans="2:9" x14ac:dyDescent="0.25">
      <c r="B6" s="60" t="s">
        <v>293</v>
      </c>
      <c r="C6" s="70">
        <f ca="1">SUMIFS(Facturacion!$AA$4:$AA$288,Facturacion!$AM$4:$AM$288,$B6,Facturacion!$AN$4:$AN$288,$C$3,Facturacion!$AO$4:$AO$288,$D$3,Facturacion!$AL$4:$AL$288,$E$3)</f>
        <v>0</v>
      </c>
      <c r="D6" s="70">
        <f ca="1">SUMIFS(Facturacion!$AI$4:$AI$288,Facturacion!$AM$4:$AM$288,$B6,Facturacion!$AN$4:$AN$288,$C$3,Facturacion!$AO$4:$AO$288,$D$3,Facturacion!$AL$4:$AL$288,$E$3)</f>
        <v>0</v>
      </c>
      <c r="E6" s="70">
        <f ca="1">SUMIFS(Facturacion!$AJ$4:$AJ$288,Facturacion!$AM$4:$AM$288,$B6,Facturacion!$AN$4:$AN$288,$C$3,Facturacion!$AO$4:$AO$288,$D$3,Facturacion!$AL$4:$AL$288,$E$3)</f>
        <v>0</v>
      </c>
      <c r="F6" s="62">
        <f t="shared" ref="F6:F7" ca="1" si="0">IFERROR(E6/C6,0)</f>
        <v>0</v>
      </c>
      <c r="G6" s="71"/>
      <c r="H6" s="70">
        <f ca="1">SUMIFS(Facturacion!$AQ$4:$AQ$288,Facturacion!$AM$4:$AM$288,$B6,Facturacion!$AN$4:$AN$288,$C$3,Facturacion!$AO$4:$AO$288,$D$3,Facturacion!$AL$4:$AL$288,$E$3)</f>
        <v>0</v>
      </c>
      <c r="I6" s="61">
        <f t="shared" ref="I6:I9" ca="1" si="1">IFERROR(C6/H6,0)</f>
        <v>0</v>
      </c>
    </row>
    <row r="7" spans="2:9" x14ac:dyDescent="0.25">
      <c r="B7" s="60" t="s">
        <v>294</v>
      </c>
      <c r="C7" s="70">
        <f ca="1">SUMIFS(Facturacion!$AA$4:$AA$288,Facturacion!$AM$4:$AM$288,$B7,Facturacion!$AN$4:$AN$288,$C$3,Facturacion!$AO$4:$AO$288,$D$3,Facturacion!$AL$4:$AL$288,$E$3)</f>
        <v>0</v>
      </c>
      <c r="D7" s="70">
        <f ca="1">SUMIFS(Facturacion!$AI$4:$AI$288,Facturacion!$AM$4:$AM$288,$B7,Facturacion!$AN$4:$AN$288,$C$3,Facturacion!$AO$4:$AO$288,$D$3,Facturacion!$AL$4:$AL$288,$E$3)</f>
        <v>0</v>
      </c>
      <c r="E7" s="70">
        <f ca="1">SUMIFS(Facturacion!$AJ$4:$AJ$288,Facturacion!$AM$4:$AM$288,$B7,Facturacion!$AN$4:$AN$288,$C$3,Facturacion!$AO$4:$AO$288,$D$3,Facturacion!$AL$4:$AL$288,$E$3)</f>
        <v>0</v>
      </c>
      <c r="F7" s="62">
        <f t="shared" ca="1" si="0"/>
        <v>0</v>
      </c>
      <c r="G7" s="71"/>
      <c r="H7" s="70">
        <f ca="1">SUMIFS(Facturacion!$AQ$4:$AQ$288,Facturacion!$AM$4:$AM$288,$B7,Facturacion!$AN$4:$AN$288,$C$3,Facturacion!$AO$4:$AO$288,$D$3,Facturacion!$AL$4:$AL$288,$E$3)</f>
        <v>0</v>
      </c>
      <c r="I7" s="61">
        <f t="shared" ca="1" si="1"/>
        <v>0</v>
      </c>
    </row>
    <row r="8" spans="2:9" x14ac:dyDescent="0.25">
      <c r="B8" s="63" t="s">
        <v>472</v>
      </c>
      <c r="C8" s="64">
        <f ca="1">SUMIFS(Facturacion!$AA$4:$AA$288,Facturacion!$AM$4:$AM$288,$B8,Facturacion!$AN$4:$AN$288,$C$3,Facturacion!$AO$4:$AO$288,$D$3,Facturacion!$AL$4:$AL$288,$E$3)</f>
        <v>0</v>
      </c>
      <c r="D8" s="64">
        <f ca="1">SUMIFS(Facturacion!$AI$4:$AI$288,Facturacion!$AM$4:$AM$288,$B8,Facturacion!$AN$4:$AN$288,$C$3,Facturacion!$AO$4:$AO$288,$D$3,Facturacion!$AL$4:$AL$288,$E$3)</f>
        <v>0</v>
      </c>
      <c r="E8" s="64">
        <f ca="1">SUMIFS(Facturacion!$AJ$4:$AJ$288,Facturacion!$AM$4:$AM$288,$B8,Facturacion!$AN$4:$AN$288,$C$3,Facturacion!$AO$4:$AO$288,$D$3,Facturacion!$AL$4:$AL$288,$E$3)</f>
        <v>0</v>
      </c>
      <c r="F8" s="66">
        <f ca="1">IFERROR(E8/C8,0)</f>
        <v>0</v>
      </c>
      <c r="G8" s="71"/>
      <c r="H8" s="64">
        <f ca="1">SUMIFS(Facturacion!$AQ$4:$AQ$288,Facturacion!$AM$4:$AM$288,$B8,Facturacion!$AN$4:$AN$288,$C$3,Facturacion!$AO$4:$AO$288,$D$3,Facturacion!$AL$4:$AL$288,$E$3)</f>
        <v>0</v>
      </c>
      <c r="I8" s="65">
        <f t="shared" ca="1" si="1"/>
        <v>0</v>
      </c>
    </row>
    <row r="9" spans="2:9" x14ac:dyDescent="0.25">
      <c r="B9" s="56" t="str">
        <f>PROPER(Cua_Trab!A29)</f>
        <v>Total General</v>
      </c>
      <c r="C9" s="67">
        <f ca="1">SUM(C5:C8)</f>
        <v>0</v>
      </c>
      <c r="D9" s="67">
        <f t="shared" ref="D9:E9" ca="1" si="2">SUM(D5:D8)</f>
        <v>0</v>
      </c>
      <c r="E9" s="67">
        <f t="shared" ca="1" si="2"/>
        <v>0</v>
      </c>
      <c r="F9" s="69">
        <f ca="1">IFERROR(E9/C9,0)</f>
        <v>0</v>
      </c>
      <c r="G9" s="71"/>
      <c r="H9" s="67">
        <f ca="1">SUM(H5:H8)</f>
        <v>0</v>
      </c>
      <c r="I9" s="68">
        <f t="shared" ca="1" si="1"/>
        <v>0</v>
      </c>
    </row>
    <row r="10" spans="2:9" x14ac:dyDescent="0.25">
      <c r="B10" s="56"/>
      <c r="C10" s="67"/>
      <c r="D10" s="67"/>
      <c r="E10" s="67"/>
      <c r="F10" s="69"/>
      <c r="G10" s="71"/>
      <c r="H10" s="67"/>
      <c r="I10" s="68"/>
    </row>
    <row r="11" spans="2:9" x14ac:dyDescent="0.25">
      <c r="B11" s="229" t="s">
        <v>2856</v>
      </c>
      <c r="C11" s="56" t="s">
        <v>603</v>
      </c>
      <c r="D11" s="228">
        <v>2020</v>
      </c>
      <c r="E11" s="230" t="s">
        <v>474</v>
      </c>
      <c r="F11" s="55"/>
      <c r="G11" s="55"/>
      <c r="H11" s="55"/>
      <c r="I11" s="55"/>
    </row>
    <row r="12" spans="2:9" x14ac:dyDescent="0.25">
      <c r="B12" s="57" t="s">
        <v>323</v>
      </c>
      <c r="C12" s="58" t="s">
        <v>314</v>
      </c>
      <c r="D12" s="59" t="s">
        <v>315</v>
      </c>
      <c r="E12" s="59" t="s">
        <v>316</v>
      </c>
      <c r="F12" s="59" t="s">
        <v>317</v>
      </c>
      <c r="G12" s="55"/>
      <c r="H12" s="58" t="s">
        <v>318</v>
      </c>
      <c r="I12" s="59" t="s">
        <v>319</v>
      </c>
    </row>
    <row r="13" spans="2:9" x14ac:dyDescent="0.25">
      <c r="B13" s="60" t="s">
        <v>292</v>
      </c>
      <c r="C13" s="70">
        <f ca="1">SUMIFS(Facturacion!$AA$4:$AA$288,Facturacion!$AM$4:$AM$288,$B13,Facturacion!$AN$4:$AN$288,$C$11,Facturacion!$AO$4:$AO$288,$D$11,Facturacion!$AL$4:$AL$288,$E$11)</f>
        <v>0</v>
      </c>
      <c r="D13" s="70">
        <f ca="1">SUMIFS(Facturacion!$AI$4:$AI$288,Facturacion!$AM$4:$AM$288,$B13,Facturacion!$AN$4:$AN$288,$C$11,Facturacion!$AO$4:$AO$288,$D$11,Facturacion!$AL$4:$AL$288,$E$11)</f>
        <v>0</v>
      </c>
      <c r="E13" s="70">
        <f ca="1">SUMIFS(Facturacion!$AJ$4:$AJ$288,Facturacion!$AM$4:$AM$288,$B13,Facturacion!$AN$4:$AN$288,$C$11,Facturacion!$AO$4:$AO$288,$D$11,Facturacion!$AL$4:$AL$288,$E$11)</f>
        <v>0</v>
      </c>
      <c r="F13" s="62">
        <f ca="1">IFERROR(E13/C13,0)</f>
        <v>0</v>
      </c>
      <c r="G13" s="71"/>
      <c r="H13" s="61">
        <f ca="1">SUMIFS(Facturacion!$AQ$4:$AQ$288,Facturacion!$AM$4:$AM$288,$B13,Facturacion!$AN$4:$AN$288,$C$11,Facturacion!$AO$4:$AO$288,$D$11,Facturacion!$AL$4:$AL$288,$E$11)</f>
        <v>0</v>
      </c>
      <c r="I13" s="61">
        <f ca="1">IFERROR(C13/H13,0)</f>
        <v>0</v>
      </c>
    </row>
    <row r="14" spans="2:9" x14ac:dyDescent="0.25">
      <c r="B14" s="60" t="s">
        <v>293</v>
      </c>
      <c r="C14" s="70">
        <f ca="1">SUMIFS(Facturacion!$AA$4:$AA$288,Facturacion!$AM$4:$AM$288,$B14,Facturacion!$AN$4:$AN$288,$C$11,Facturacion!$AO$4:$AO$288,$D$11,Facturacion!$AL$4:$AL$288,$E$11)</f>
        <v>0</v>
      </c>
      <c r="D14" s="70">
        <f ca="1">SUMIFS(Facturacion!$AI$4:$AI$288,Facturacion!$AM$4:$AM$288,$B14,Facturacion!$AN$4:$AN$288,$C$11,Facturacion!$AO$4:$AO$288,$D$11,Facturacion!$AL$4:$AL$288,$E$11)</f>
        <v>0</v>
      </c>
      <c r="E14" s="70">
        <f ca="1">SUMIFS(Facturacion!$AJ$4:$AJ$288,Facturacion!$AM$4:$AM$288,$B14,Facturacion!$AN$4:$AN$288,$C$11,Facturacion!$AO$4:$AO$288,$D$11,Facturacion!$AL$4:$AL$288,$E$11)</f>
        <v>0</v>
      </c>
      <c r="F14" s="62">
        <f t="shared" ref="F14:F15" ca="1" si="3">IFERROR(E14/C14,0)</f>
        <v>0</v>
      </c>
      <c r="G14" s="71"/>
      <c r="H14" s="70">
        <f ca="1">SUMIFS(Facturacion!$AQ$4:$AQ$288,Facturacion!$AM$4:$AM$288,$B14,Facturacion!$AN$4:$AN$288,$C$11,Facturacion!$AO$4:$AO$288,$D$11,Facturacion!$AL$4:$AL$288,$E$11)</f>
        <v>0</v>
      </c>
      <c r="I14" s="61">
        <f t="shared" ref="I14:I16" ca="1" si="4">IFERROR(C14/H14,0)</f>
        <v>0</v>
      </c>
    </row>
    <row r="15" spans="2:9" x14ac:dyDescent="0.25">
      <c r="B15" s="74" t="s">
        <v>294</v>
      </c>
      <c r="C15" s="65">
        <f ca="1">SUMIFS(Facturacion!$AA$4:$AA$288,Facturacion!$AM$4:$AM$288,$B15,Facturacion!$AN$4:$AN$288,$C$11,Facturacion!$AO$4:$AO$288,$D$11,Facturacion!$AL$4:$AL$288,$E$11)</f>
        <v>0</v>
      </c>
      <c r="D15" s="64">
        <f ca="1">SUMIFS(Facturacion!$AI$4:$AI$288,Facturacion!$AM$4:$AM$288,$B15,Facturacion!$AN$4:$AN$288,$C$11,Facturacion!$AO$4:$AO$288,$D$11,Facturacion!$AL$4:$AL$288,$E$11)</f>
        <v>0</v>
      </c>
      <c r="E15" s="65">
        <f ca="1">SUMIFS(Facturacion!$AJ$4:$AJ$288,Facturacion!$AM$4:$AM$288,$B15,Facturacion!$AN$4:$AN$288,$C$11,Facturacion!$AO$4:$AO$288,$D$11,Facturacion!$AL$4:$AL$288,$E$11)</f>
        <v>0</v>
      </c>
      <c r="F15" s="66">
        <f t="shared" ca="1" si="3"/>
        <v>0</v>
      </c>
      <c r="G15" s="71"/>
      <c r="H15" s="64">
        <f ca="1">SUMIFS(Facturacion!$AQ$4:$AQ$288,Facturacion!$AM$4:$AM$288,$B15,Facturacion!$AN$4:$AN$288,$C$11,Facturacion!$AO$4:$AO$288,$D$11,Facturacion!$AL$4:$AL$288,$E$11)</f>
        <v>0</v>
      </c>
      <c r="I15" s="65">
        <f t="shared" ca="1" si="4"/>
        <v>0</v>
      </c>
    </row>
    <row r="16" spans="2:9" x14ac:dyDescent="0.25">
      <c r="B16" s="56" t="str">
        <f>PROPER(Cua_Trab!A51)</f>
        <v>Total General</v>
      </c>
      <c r="C16" s="75">
        <f ca="1">SUM(C13:C15)</f>
        <v>0</v>
      </c>
      <c r="D16" s="75">
        <f t="shared" ref="D16:E16" ca="1" si="5">SUM(D13:D15)</f>
        <v>0</v>
      </c>
      <c r="E16" s="75">
        <f t="shared" ca="1" si="5"/>
        <v>0</v>
      </c>
      <c r="F16" s="69">
        <f ca="1">IFERROR(E16/C16,0)</f>
        <v>0</v>
      </c>
      <c r="G16" s="76"/>
      <c r="H16" s="75">
        <f ca="1">SUM(H13:H15)</f>
        <v>0</v>
      </c>
      <c r="I16" s="68">
        <f t="shared" ca="1" si="4"/>
        <v>0</v>
      </c>
    </row>
    <row r="18" spans="2:9" x14ac:dyDescent="0.25">
      <c r="B18" s="229" t="s">
        <v>2856</v>
      </c>
      <c r="C18" s="56" t="s">
        <v>603</v>
      </c>
      <c r="D18" s="228">
        <v>2020</v>
      </c>
      <c r="E18" s="230" t="s">
        <v>1255</v>
      </c>
      <c r="F18" s="55"/>
      <c r="G18" s="55"/>
      <c r="H18" s="55"/>
      <c r="I18" s="55"/>
    </row>
    <row r="19" spans="2:9" x14ac:dyDescent="0.25">
      <c r="B19" s="57" t="s">
        <v>1218</v>
      </c>
      <c r="C19" s="58" t="s">
        <v>314</v>
      </c>
      <c r="D19" s="59" t="s">
        <v>315</v>
      </c>
      <c r="E19" s="59" t="s">
        <v>316</v>
      </c>
      <c r="F19" s="59" t="s">
        <v>317</v>
      </c>
      <c r="G19" s="55"/>
      <c r="H19" s="58" t="s">
        <v>318</v>
      </c>
      <c r="I19" s="59" t="s">
        <v>319</v>
      </c>
    </row>
    <row r="20" spans="2:9" x14ac:dyDescent="0.25">
      <c r="B20" s="60" t="s">
        <v>292</v>
      </c>
      <c r="C20" s="70">
        <f ca="1">SUMIFS(Facturacion!$AA$4:$AA$288,Facturacion!$AM$4:$AM$288,$B20,Facturacion!$AN$4:$AN$288,$C$18,Facturacion!$AO$4:$AO$288,$D$18,Facturacion!$AL$4:$AL$288,$E$18)</f>
        <v>0</v>
      </c>
      <c r="D20" s="70">
        <f ca="1">SUMIFS(Facturacion!$AI$4:$AI$288,Facturacion!$AM$4:$AM$288,$B20,Facturacion!$AN$4:$AN$288,$C$18,Facturacion!$AO$4:$AO$288,$D$18,Facturacion!$AL$4:$AL$288,$E$18)</f>
        <v>0</v>
      </c>
      <c r="E20" s="70">
        <f ca="1">SUMIFS(Facturacion!$AJ$4:$AJ$288,Facturacion!$AM$4:$AM$288,$B20,Facturacion!$AN$4:$AN$288,$C$18,Facturacion!$AO$4:$AO$288,$D$18,Facturacion!$AL$4:$AL$288,$E$18)</f>
        <v>0</v>
      </c>
      <c r="F20" s="62">
        <f ca="1">IFERROR(E20/C20,0)</f>
        <v>0</v>
      </c>
      <c r="G20" s="71"/>
      <c r="H20" s="70">
        <f ca="1">SUMIFS(Facturacion!$AQ$4:$AQ$288,Facturacion!$AM$4:$AM$288,$B20,Facturacion!$AN$4:$AN$288,$C$18,Facturacion!$AO$4:$AO$288,$D$18,Facturacion!$AL$4:$AL$288,$E$18)</f>
        <v>0</v>
      </c>
      <c r="I20" s="61">
        <f ca="1">IFERROR(C20/H20,0)</f>
        <v>0</v>
      </c>
    </row>
    <row r="21" spans="2:9" x14ac:dyDescent="0.25">
      <c r="B21" s="60" t="s">
        <v>293</v>
      </c>
      <c r="C21" s="70">
        <f ca="1">SUMIFS(Facturacion!$AA$4:$AA$288,Facturacion!$AM$4:$AM$288,$B21,Facturacion!$AN$4:$AN$288,$C$18,Facturacion!$AO$4:$AO$288,$D$18,Facturacion!$AL$4:$AL$288,$E$18)</f>
        <v>0</v>
      </c>
      <c r="D21" s="70">
        <f ca="1">SUMIFS(Facturacion!$AI$4:$AI$288,Facturacion!$AM$4:$AM$288,$B21,Facturacion!$AN$4:$AN$288,$C$18,Facturacion!$AO$4:$AO$288,$D$18,Facturacion!$AL$4:$AL$288,$E$18)</f>
        <v>0</v>
      </c>
      <c r="E21" s="70">
        <f ca="1">SUMIFS(Facturacion!$AJ$4:$AJ$288,Facturacion!$AM$4:$AM$288,$B21,Facturacion!$AN$4:$AN$288,$C$18,Facturacion!$AO$4:$AO$288,$D$18,Facturacion!$AL$4:$AL$288,$E$18)</f>
        <v>0</v>
      </c>
      <c r="F21" s="62">
        <f t="shared" ref="F21:F22" ca="1" si="6">IFERROR(E21/C21,0)</f>
        <v>0</v>
      </c>
      <c r="G21" s="71"/>
      <c r="H21" s="70">
        <f ca="1">SUMIFS(Facturacion!$AQ$4:$AQ$288,Facturacion!$AM$4:$AM$288,$B21,Facturacion!$AN$4:$AN$288,$C$18,Facturacion!$AO$4:$AO$288,$D$18,Facturacion!$AL$4:$AL$288,$E$18)</f>
        <v>0</v>
      </c>
      <c r="I21" s="61">
        <f t="shared" ref="I21:I24" ca="1" si="7">IFERROR(C21/H21,0)</f>
        <v>0</v>
      </c>
    </row>
    <row r="22" spans="2:9" x14ac:dyDescent="0.25">
      <c r="B22" s="60" t="s">
        <v>294</v>
      </c>
      <c r="C22" s="70">
        <f ca="1">SUMIFS(Facturacion!$AA$4:$AA$288,Facturacion!$AM$4:$AM$288,$B22,Facturacion!$AN$4:$AN$288,$C$18,Facturacion!$AO$4:$AO$288,$D$18,Facturacion!$AL$4:$AL$288,$E$18)</f>
        <v>0</v>
      </c>
      <c r="D22" s="70">
        <f ca="1">SUMIFS(Facturacion!$AI$4:$AI$288,Facturacion!$AM$4:$AM$288,$B22,Facturacion!$AN$4:$AN$288,$C$18,Facturacion!$AO$4:$AO$288,$D$18,Facturacion!$AL$4:$AL$288,$E$18)</f>
        <v>0</v>
      </c>
      <c r="E22" s="70">
        <f ca="1">SUMIFS(Facturacion!$AJ$4:$AJ$288,Facturacion!$AM$4:$AM$288,$B22,Facturacion!$AN$4:$AN$288,$C$18,Facturacion!$AO$4:$AO$288,$D$18,Facturacion!$AL$4:$AL$288,$E$18)</f>
        <v>0</v>
      </c>
      <c r="F22" s="62">
        <f t="shared" ca="1" si="6"/>
        <v>0</v>
      </c>
      <c r="G22" s="71"/>
      <c r="H22" s="70">
        <f ca="1">SUMIFS(Facturacion!$AQ$4:$AQ$288,Facturacion!$AM$4:$AM$288,$B22,Facturacion!$AN$4:$AN$288,$C$18,Facturacion!$AO$4:$AO$288,$D$18,Facturacion!$AL$4:$AL$288,$E$18)</f>
        <v>0</v>
      </c>
      <c r="I22" s="61">
        <f t="shared" ca="1" si="7"/>
        <v>0</v>
      </c>
    </row>
    <row r="23" spans="2:9" x14ac:dyDescent="0.25">
      <c r="B23" s="63" t="s">
        <v>472</v>
      </c>
      <c r="C23" s="64">
        <f ca="1">SUMIFS(Facturacion!$AA$4:$AA$288,Facturacion!$AM$4:$AM$288,$B23,Facturacion!$AN$4:$AN$288,$C$18,Facturacion!$AO$4:$AO$288,$D$18,Facturacion!$AL$4:$AL$288,$E$18)</f>
        <v>0</v>
      </c>
      <c r="D23" s="64">
        <f ca="1">SUMIFS(Facturacion!$AI$4:$AI$288,Facturacion!$AM$4:$AM$288,$B23,Facturacion!$AN$4:$AN$288,$C$18,Facturacion!$AO$4:$AO$288,$D$18,Facturacion!$AL$4:$AL$288,$E$18)</f>
        <v>0</v>
      </c>
      <c r="E23" s="64">
        <f ca="1">SUMIFS(Facturacion!$AJ$4:$AJ$288,Facturacion!$AM$4:$AM$288,$B23,Facturacion!$AN$4:$AN$288,$C$18,Facturacion!$AO$4:$AO$288,$D$18,Facturacion!$AL$4:$AL$288,$E$18)</f>
        <v>0</v>
      </c>
      <c r="F23" s="66">
        <f ca="1">IFERROR(E23/C23,0)</f>
        <v>0</v>
      </c>
      <c r="G23" s="71"/>
      <c r="H23" s="64">
        <f ca="1">SUMIFS(Facturacion!$AQ$4:$AQ$288,Facturacion!$AM$4:$AM$288,$B23,Facturacion!$AN$4:$AN$288,$C$18,Facturacion!$AO$4:$AO$288,$D$18,Facturacion!$AL$4:$AL$288,$E$18)</f>
        <v>0</v>
      </c>
      <c r="I23" s="65">
        <f t="shared" ca="1" si="7"/>
        <v>0</v>
      </c>
    </row>
    <row r="24" spans="2:9" x14ac:dyDescent="0.25">
      <c r="B24" s="56" t="s">
        <v>477</v>
      </c>
      <c r="C24" s="67">
        <f ca="1">SUM(C20:C23)</f>
        <v>0</v>
      </c>
      <c r="D24" s="67">
        <f t="shared" ref="D24:E24" ca="1" si="8">SUM(D20:D23)</f>
        <v>0</v>
      </c>
      <c r="E24" s="67">
        <f t="shared" ca="1" si="8"/>
        <v>0</v>
      </c>
      <c r="F24" s="69">
        <f ca="1">IFERROR(E24/C24,0)</f>
        <v>0</v>
      </c>
      <c r="G24" s="71"/>
      <c r="H24" s="67">
        <f t="shared" ref="H24" ca="1" si="9">SUM(H20:H23)</f>
        <v>0</v>
      </c>
      <c r="I24" s="68">
        <f t="shared" ca="1" si="7"/>
        <v>0</v>
      </c>
    </row>
    <row r="26" spans="2:9" x14ac:dyDescent="0.25">
      <c r="B26" s="229" t="s">
        <v>2856</v>
      </c>
      <c r="C26" s="56" t="s">
        <v>603</v>
      </c>
      <c r="D26" s="228">
        <v>2020</v>
      </c>
      <c r="E26" s="230" t="s">
        <v>475</v>
      </c>
      <c r="F26" s="55"/>
      <c r="G26" s="55"/>
      <c r="H26" s="55"/>
      <c r="I26" s="55"/>
    </row>
    <row r="27" spans="2:9" x14ac:dyDescent="0.25">
      <c r="B27" s="57" t="s">
        <v>322</v>
      </c>
      <c r="C27" s="58" t="s">
        <v>314</v>
      </c>
      <c r="D27" s="59" t="s">
        <v>315</v>
      </c>
      <c r="E27" s="59" t="s">
        <v>316</v>
      </c>
      <c r="F27" s="59" t="s">
        <v>317</v>
      </c>
      <c r="G27" s="55"/>
      <c r="H27" s="58" t="s">
        <v>318</v>
      </c>
      <c r="I27" s="59" t="s">
        <v>319</v>
      </c>
    </row>
    <row r="28" spans="2:9" x14ac:dyDescent="0.25">
      <c r="B28" s="60" t="s">
        <v>292</v>
      </c>
      <c r="C28" s="70">
        <f ca="1">SUMIFS(Facturacion!$AA$4:$AA$288,Facturacion!$AM$4:$AM$288,$B28,Facturacion!$AN$4:$AN$288,$C$26,Facturacion!$AO$4:$AO$288,$D$26,Facturacion!$AL$4:$AL$288,$E$26)</f>
        <v>0</v>
      </c>
      <c r="D28" s="70">
        <f ca="1">SUMIFS(Facturacion!$AI$4:$AI$288,Facturacion!$AM$4:$AM$288,$B28,Facturacion!$AN$4:$AN$288,$C$26,Facturacion!$AO$4:$AO$288,$E$26,Facturacion!$AL$4:$AL$288,$D$26)</f>
        <v>0</v>
      </c>
      <c r="E28" s="70">
        <f ca="1">SUMIFS(Facturacion!$AJ$4:$AJ$288,Facturacion!$AM$4:$AM$288,$B28,Facturacion!$AN$4:$AN$288,$C$26,Facturacion!$AO$4:$AO$288,$D$26,Facturacion!$AL$4:$AL$288,$E$26)</f>
        <v>0</v>
      </c>
      <c r="F28" s="62">
        <f ca="1">IFERROR(E28/C28,0)</f>
        <v>0</v>
      </c>
      <c r="G28" s="71"/>
      <c r="H28" s="61">
        <f ca="1">SUMIFS(Facturacion!$AQ$4:$AQ$288,Facturacion!$AM$4:$AM$288,$B28,Facturacion!$AN$4:$AN$288,$C$26,Facturacion!$AO$4:$AO$288,$D$26,Facturacion!$AL$4:$AL$288,$E$26)</f>
        <v>0</v>
      </c>
      <c r="I28" s="61">
        <f ca="1">IFERROR(C28/H28,0)</f>
        <v>0</v>
      </c>
    </row>
    <row r="29" spans="2:9" x14ac:dyDescent="0.25">
      <c r="B29" s="60" t="s">
        <v>293</v>
      </c>
      <c r="C29" s="70">
        <f ca="1">SUMIFS(Facturacion!$AA$4:$AA$288,Facturacion!$AM$4:$AM$288,$B29,Facturacion!$AN$4:$AN$288,$C$26,Facturacion!$AO$4:$AO$288,$D$26,Facturacion!$AL$4:$AL$288,$E$26)</f>
        <v>0</v>
      </c>
      <c r="D29" s="70">
        <f ca="1">SUMIFS(Facturacion!$AI$4:$AI$288,Facturacion!$AM$4:$AM$288,$B29,Facturacion!$AN$4:$AN$288,$C$26,Facturacion!$AO$4:$AO$288,$E$26,Facturacion!$AL$4:$AL$288,$D$26)</f>
        <v>0</v>
      </c>
      <c r="E29" s="70">
        <f ca="1">SUMIFS(Facturacion!$AJ$4:$AJ$288,Facturacion!$AM$4:$AM$288,$B29,Facturacion!$AN$4:$AN$288,$C$26,Facturacion!$AO$4:$AO$288,$D$26,Facturacion!$AL$4:$AL$288,$E$26)</f>
        <v>0</v>
      </c>
      <c r="F29" s="62">
        <f t="shared" ref="F29:F30" ca="1" si="10">IFERROR(E29/C29,0)</f>
        <v>0</v>
      </c>
      <c r="G29" s="71"/>
      <c r="H29" s="70">
        <f ca="1">SUMIFS(Facturacion!$AQ$4:$AQ$288,Facturacion!$AM$4:$AM$288,$B29,Facturacion!$AN$4:$AN$288,$C$26,Facturacion!$AO$4:$AO$288,$D$26,Facturacion!$AL$4:$AL$288,$E$26)</f>
        <v>0</v>
      </c>
      <c r="I29" s="61">
        <f t="shared" ref="I29:I31" ca="1" si="11">IFERROR(C29/H29,0)</f>
        <v>0</v>
      </c>
    </row>
    <row r="30" spans="2:9" x14ac:dyDescent="0.25">
      <c r="B30" s="74" t="s">
        <v>294</v>
      </c>
      <c r="C30" s="65">
        <f ca="1">SUMIFS(Facturacion!$AA$4:$AA$288,Facturacion!$AM$4:$AM$288,$B30,Facturacion!$AN$4:$AN$288,$C$26,Facturacion!$AO$4:$AO$288,$D$26,Facturacion!$AL$4:$AL$288,$E$26)</f>
        <v>0</v>
      </c>
      <c r="D30" s="64">
        <f ca="1">SUMIFS(Facturacion!$AI$4:$AI$288,Facturacion!$AM$4:$AM$288,$B30,Facturacion!$AN$4:$AN$288,$C$26,Facturacion!$AO$4:$AO$288,$E$26,Facturacion!$AL$4:$AL$288,$D$26)</f>
        <v>0</v>
      </c>
      <c r="E30" s="65">
        <f ca="1">SUMIFS(Facturacion!$AJ$4:$AJ$288,Facturacion!$AM$4:$AM$288,$B30,Facturacion!$AN$4:$AN$288,$C$26,Facturacion!$AO$4:$AO$288,$D$26,Facturacion!$AL$4:$AL$288,$E$26)</f>
        <v>0</v>
      </c>
      <c r="F30" s="66">
        <f t="shared" ca="1" si="10"/>
        <v>0</v>
      </c>
      <c r="G30" s="71"/>
      <c r="H30" s="64">
        <f ca="1">SUMIFS(Facturacion!$AQ$4:$AQ$288,Facturacion!$AM$4:$AM$288,$B30,Facturacion!$AN$4:$AN$288,$C$26,Facturacion!$AO$4:$AO$288,$D$26,Facturacion!$AL$4:$AL$288,$E$26)</f>
        <v>0</v>
      </c>
      <c r="I30" s="65">
        <f t="shared" ca="1" si="11"/>
        <v>0</v>
      </c>
    </row>
    <row r="31" spans="2:9" x14ac:dyDescent="0.25">
      <c r="B31" s="56" t="s">
        <v>477</v>
      </c>
      <c r="C31" s="67">
        <f ca="1">SUM(C28:C30)</f>
        <v>0</v>
      </c>
      <c r="D31" s="67">
        <f t="shared" ref="D31:E31" ca="1" si="12">SUM(D28:D30)</f>
        <v>0</v>
      </c>
      <c r="E31" s="67">
        <f t="shared" ca="1" si="12"/>
        <v>0</v>
      </c>
      <c r="F31" s="69">
        <f ca="1">IFERROR(E31/C31,0)</f>
        <v>0</v>
      </c>
      <c r="G31" s="71"/>
      <c r="H31" s="67">
        <f ca="1">SUM(H28:H30)</f>
        <v>0</v>
      </c>
      <c r="I31" s="68">
        <f t="shared" ca="1" si="11"/>
        <v>0</v>
      </c>
    </row>
    <row r="33" spans="2:9" x14ac:dyDescent="0.25">
      <c r="B33" s="56"/>
      <c r="C33" s="67"/>
      <c r="D33" s="67"/>
      <c r="E33" s="67"/>
      <c r="F33" s="69"/>
      <c r="G33" s="71"/>
      <c r="H33" s="67"/>
      <c r="I33" s="68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>
    <tabColor rgb="FFFFC000"/>
  </sheetPr>
  <dimension ref="A1:B7"/>
  <sheetViews>
    <sheetView workbookViewId="0">
      <selection activeCell="B4" sqref="B4"/>
    </sheetView>
  </sheetViews>
  <sheetFormatPr defaultColWidth="11.42578125" defaultRowHeight="15" x14ac:dyDescent="0.25"/>
  <cols>
    <col min="1" max="1" width="28.5703125" bestFit="1" customWidth="1"/>
    <col min="2" max="2" width="9.140625" bestFit="1" customWidth="1"/>
  </cols>
  <sheetData>
    <row r="1" spans="1:2" x14ac:dyDescent="0.25">
      <c r="A1" s="235" t="s">
        <v>136</v>
      </c>
      <c r="B1" s="235"/>
    </row>
    <row r="2" spans="1:2" ht="6" customHeight="1" x14ac:dyDescent="0.25"/>
    <row r="3" spans="1:2" ht="30" x14ac:dyDescent="0.25">
      <c r="A3" s="15" t="s">
        <v>27</v>
      </c>
      <c r="B3" s="15" t="s">
        <v>32</v>
      </c>
    </row>
    <row r="4" spans="1:2" x14ac:dyDescent="0.25">
      <c r="A4" s="1" t="s">
        <v>29</v>
      </c>
      <c r="B4" s="3">
        <f>4.5</f>
        <v>4.5</v>
      </c>
    </row>
    <row r="5" spans="1:2" x14ac:dyDescent="0.25">
      <c r="A5" s="2" t="s">
        <v>30</v>
      </c>
      <c r="B5" s="4">
        <v>21</v>
      </c>
    </row>
    <row r="6" spans="1:2" x14ac:dyDescent="0.25">
      <c r="A6" s="1" t="s">
        <v>31</v>
      </c>
      <c r="B6" s="3">
        <v>4.5</v>
      </c>
    </row>
    <row r="7" spans="1:2" x14ac:dyDescent="0.25">
      <c r="A7" s="2" t="s">
        <v>28</v>
      </c>
      <c r="B7" s="4">
        <v>3.35</v>
      </c>
    </row>
  </sheetData>
  <mergeCells count="1">
    <mergeCell ref="A1:B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64"/>
  <sheetViews>
    <sheetView showGridLines="0" workbookViewId="0">
      <selection activeCell="G14" sqref="G14"/>
    </sheetView>
  </sheetViews>
  <sheetFormatPr defaultColWidth="11.42578125" defaultRowHeight="15" x14ac:dyDescent="0.25"/>
  <cols>
    <col min="1" max="1" width="32" customWidth="1"/>
    <col min="2" max="2" width="22.85546875" customWidth="1"/>
    <col min="3" max="3" width="6" customWidth="1"/>
    <col min="4" max="4" width="32" customWidth="1"/>
    <col min="5" max="5" width="19.28515625" customWidth="1"/>
    <col min="6" max="6" width="3" customWidth="1"/>
    <col min="7" max="7" width="25.42578125" bestFit="1" customWidth="1"/>
    <col min="8" max="10" width="11.85546875" style="12" customWidth="1"/>
    <col min="11" max="11" width="6.7109375" style="12" customWidth="1"/>
    <col min="12" max="12" width="4" style="12" customWidth="1"/>
    <col min="13" max="14" width="8.7109375" style="12" customWidth="1"/>
    <col min="15" max="15" width="4" style="12" customWidth="1"/>
    <col min="16" max="16" width="9.28515625" bestFit="1" customWidth="1"/>
  </cols>
  <sheetData>
    <row r="1" spans="1:16" x14ac:dyDescent="0.25">
      <c r="A1" s="43" t="s">
        <v>287</v>
      </c>
      <c r="B1" s="100">
        <v>2019</v>
      </c>
      <c r="D1" s="43" t="s">
        <v>287</v>
      </c>
      <c r="E1" s="100">
        <v>2019</v>
      </c>
    </row>
    <row r="2" spans="1:16" x14ac:dyDescent="0.25">
      <c r="A2" s="43" t="s">
        <v>286</v>
      </c>
      <c r="B2" s="12" t="s">
        <v>603</v>
      </c>
      <c r="D2" s="43" t="s">
        <v>286</v>
      </c>
      <c r="E2" s="12" t="s">
        <v>603</v>
      </c>
      <c r="J2" s="45"/>
    </row>
    <row r="3" spans="1:16" x14ac:dyDescent="0.25">
      <c r="A3" s="43" t="s">
        <v>271</v>
      </c>
      <c r="B3" s="12" t="s">
        <v>121</v>
      </c>
      <c r="D3" s="43" t="s">
        <v>271</v>
      </c>
      <c r="E3" s="12" t="s">
        <v>121</v>
      </c>
      <c r="J3" s="45"/>
    </row>
    <row r="4" spans="1:16" x14ac:dyDescent="0.25">
      <c r="D4" s="12"/>
      <c r="E4" s="12"/>
      <c r="J4" s="45"/>
    </row>
    <row r="5" spans="1:16" x14ac:dyDescent="0.25">
      <c r="A5" s="43" t="s">
        <v>290</v>
      </c>
      <c r="B5" t="s">
        <v>291</v>
      </c>
      <c r="D5" s="43" t="s">
        <v>290</v>
      </c>
      <c r="E5" t="s">
        <v>296</v>
      </c>
      <c r="J5" s="45"/>
    </row>
    <row r="6" spans="1:16" x14ac:dyDescent="0.25">
      <c r="A6" s="44" t="s">
        <v>312</v>
      </c>
      <c r="B6" s="121">
        <v>5586</v>
      </c>
      <c r="D6" s="44" t="s">
        <v>312</v>
      </c>
      <c r="E6" s="121">
        <v>2568.4530022999998</v>
      </c>
      <c r="J6" s="45"/>
    </row>
    <row r="7" spans="1:16" x14ac:dyDescent="0.25">
      <c r="A7" s="44" t="s">
        <v>556</v>
      </c>
      <c r="B7" s="121">
        <v>7510.1291017535605</v>
      </c>
      <c r="D7" s="44" t="s">
        <v>556</v>
      </c>
      <c r="E7" s="121">
        <v>2946.8787320000001</v>
      </c>
      <c r="J7" s="45"/>
    </row>
    <row r="8" spans="1:16" x14ac:dyDescent="0.25">
      <c r="A8" s="44" t="s">
        <v>591</v>
      </c>
      <c r="B8" s="121">
        <v>1679</v>
      </c>
      <c r="D8" s="44" t="s">
        <v>468</v>
      </c>
      <c r="E8" s="121">
        <v>701.41464572000007</v>
      </c>
      <c r="J8" s="45"/>
    </row>
    <row r="9" spans="1:16" x14ac:dyDescent="0.25">
      <c r="A9" s="44" t="s">
        <v>289</v>
      </c>
      <c r="B9" s="121">
        <v>14775.12910175356</v>
      </c>
      <c r="D9" s="44" t="s">
        <v>289</v>
      </c>
      <c r="E9" s="121">
        <v>6216.7463800200003</v>
      </c>
      <c r="J9" s="45"/>
    </row>
    <row r="10" spans="1:16" x14ac:dyDescent="0.25">
      <c r="H10" s="72"/>
      <c r="I10" s="72"/>
      <c r="J10" s="72"/>
      <c r="K10" s="73"/>
      <c r="L10" s="55"/>
      <c r="M10" s="55"/>
      <c r="N10" s="55"/>
      <c r="O10" s="55"/>
    </row>
    <row r="11" spans="1:16" x14ac:dyDescent="0.25">
      <c r="G11" s="55"/>
      <c r="H11" s="56" t="s">
        <v>604</v>
      </c>
      <c r="I11" s="55"/>
      <c r="J11" s="55"/>
      <c r="K11" s="55"/>
      <c r="L11" s="55"/>
      <c r="M11" s="55"/>
      <c r="N11" s="55"/>
      <c r="O11" s="55"/>
    </row>
    <row r="12" spans="1:16" x14ac:dyDescent="0.25">
      <c r="A12" s="43" t="s">
        <v>287</v>
      </c>
      <c r="B12" s="100">
        <v>2019</v>
      </c>
      <c r="D12" s="43" t="s">
        <v>287</v>
      </c>
      <c r="E12" s="100">
        <v>2019</v>
      </c>
      <c r="G12" s="57" t="s">
        <v>321</v>
      </c>
      <c r="H12" s="58" t="s">
        <v>314</v>
      </c>
      <c r="I12" s="59" t="s">
        <v>315</v>
      </c>
      <c r="J12" s="59" t="s">
        <v>316</v>
      </c>
      <c r="K12" s="59" t="s">
        <v>317</v>
      </c>
      <c r="L12" s="55"/>
      <c r="M12" s="58" t="s">
        <v>318</v>
      </c>
      <c r="N12" s="59" t="s">
        <v>319</v>
      </c>
      <c r="O12" s="55"/>
      <c r="P12" s="59" t="s">
        <v>593</v>
      </c>
    </row>
    <row r="13" spans="1:16" x14ac:dyDescent="0.25">
      <c r="A13" s="43" t="s">
        <v>286</v>
      </c>
      <c r="B13" s="12" t="s">
        <v>603</v>
      </c>
      <c r="D13" s="43" t="s">
        <v>286</v>
      </c>
      <c r="E13" s="12" t="s">
        <v>603</v>
      </c>
      <c r="G13" s="60" t="str">
        <f>PROPER(A6)</f>
        <v>Indura Peru S.A.</v>
      </c>
      <c r="H13" s="70">
        <f>+B6</f>
        <v>5586</v>
      </c>
      <c r="I13" s="70">
        <f>+E6</f>
        <v>2568.4530022999998</v>
      </c>
      <c r="J13" s="70">
        <f>+B17</f>
        <v>3017.5469977000002</v>
      </c>
      <c r="K13" s="62">
        <f>IFERROR(J13/H13,0)</f>
        <v>0.54019817359470113</v>
      </c>
      <c r="L13" s="71"/>
      <c r="M13" s="70">
        <f>+E17</f>
        <v>6</v>
      </c>
      <c r="N13" s="61">
        <f>+H13/M13</f>
        <v>931</v>
      </c>
      <c r="O13" s="71"/>
      <c r="P13" s="122">
        <f>+B28</f>
        <v>1.3333333333333333</v>
      </c>
    </row>
    <row r="14" spans="1:16" x14ac:dyDescent="0.25">
      <c r="A14" s="43" t="s">
        <v>271</v>
      </c>
      <c r="B14" s="12" t="s">
        <v>121</v>
      </c>
      <c r="D14" s="43" t="s">
        <v>271</v>
      </c>
      <c r="E14" s="12" t="s">
        <v>121</v>
      </c>
      <c r="G14" s="60" t="str">
        <f t="shared" ref="G14:G15" si="0">PROPER(A7)</f>
        <v>Rentaequipos Leasing Peru S.A.</v>
      </c>
      <c r="H14" s="70">
        <f t="shared" ref="H14:H16" si="1">+B7</f>
        <v>7510.1291017535605</v>
      </c>
      <c r="I14" s="70">
        <f t="shared" ref="I14:I16" si="2">+E7</f>
        <v>2946.8787320000001</v>
      </c>
      <c r="J14" s="70">
        <f>+B18</f>
        <v>4563.2503697535622</v>
      </c>
      <c r="K14" s="62">
        <f>IFERROR(J14/H14,0)</f>
        <v>0.60761277308642758</v>
      </c>
      <c r="L14" s="71"/>
      <c r="M14" s="70">
        <f>+E18</f>
        <v>8</v>
      </c>
      <c r="N14" s="61">
        <f>+H14/M14</f>
        <v>938.76613771919506</v>
      </c>
      <c r="O14" s="71"/>
      <c r="P14" s="122">
        <f t="shared" ref="P14:P16" si="3">+B29</f>
        <v>9.875</v>
      </c>
    </row>
    <row r="15" spans="1:16" x14ac:dyDescent="0.25">
      <c r="A15" s="12"/>
      <c r="B15" s="12"/>
      <c r="D15" s="12"/>
      <c r="E15" s="12"/>
      <c r="G15" s="63" t="str">
        <f t="shared" si="0"/>
        <v>Unimar S.A</v>
      </c>
      <c r="H15" s="64">
        <f t="shared" si="1"/>
        <v>1679</v>
      </c>
      <c r="I15" s="64">
        <f t="shared" si="2"/>
        <v>701.41464572000007</v>
      </c>
      <c r="J15" s="64">
        <f>+B19</f>
        <v>977.58535427999993</v>
      </c>
      <c r="K15" s="66">
        <f>IFERROR(J15/H15,0)</f>
        <v>0.58224261720071468</v>
      </c>
      <c r="L15" s="71"/>
      <c r="M15" s="64">
        <f>+E19</f>
        <v>2</v>
      </c>
      <c r="N15" s="65">
        <f>+H15/M15</f>
        <v>839.5</v>
      </c>
      <c r="O15" s="71"/>
      <c r="P15" s="123">
        <f t="shared" si="3"/>
        <v>15.5</v>
      </c>
    </row>
    <row r="16" spans="1:16" x14ac:dyDescent="0.25">
      <c r="A16" s="43" t="s">
        <v>290</v>
      </c>
      <c r="B16" t="s">
        <v>295</v>
      </c>
      <c r="D16" s="43" t="s">
        <v>290</v>
      </c>
      <c r="E16" t="s">
        <v>297</v>
      </c>
      <c r="G16" s="56" t="str">
        <f>PROPER(Cua_Trab!J41)</f>
        <v/>
      </c>
      <c r="H16" s="67">
        <f t="shared" si="1"/>
        <v>14775.12910175356</v>
      </c>
      <c r="I16" s="67">
        <f t="shared" si="2"/>
        <v>6216.7463800200003</v>
      </c>
      <c r="J16" s="67">
        <f>+B20</f>
        <v>8558.382721733562</v>
      </c>
      <c r="K16" s="69">
        <f>IFERROR(J16/H16,0)</f>
        <v>0.57924250020379353</v>
      </c>
      <c r="L16" s="71"/>
      <c r="M16" s="67">
        <f>+E20</f>
        <v>16</v>
      </c>
      <c r="N16" s="68">
        <f>+H16/M16</f>
        <v>923.44556885959753</v>
      </c>
      <c r="O16" s="71"/>
      <c r="P16" s="124">
        <f t="shared" si="3"/>
        <v>7.375</v>
      </c>
    </row>
    <row r="17" spans="1:16" x14ac:dyDescent="0.25">
      <c r="A17" s="44" t="s">
        <v>312</v>
      </c>
      <c r="B17" s="121">
        <v>3017.5469977000002</v>
      </c>
      <c r="D17" s="44" t="s">
        <v>312</v>
      </c>
      <c r="E17" s="121">
        <v>6</v>
      </c>
      <c r="H17" s="67"/>
      <c r="I17" s="67"/>
      <c r="J17" s="67"/>
      <c r="K17" s="69"/>
      <c r="L17" s="71"/>
      <c r="M17" s="67"/>
      <c r="N17" s="68"/>
      <c r="O17" s="71"/>
    </row>
    <row r="18" spans="1:16" x14ac:dyDescent="0.25">
      <c r="A18" s="44" t="s">
        <v>556</v>
      </c>
      <c r="B18" s="121">
        <v>4563.2503697535622</v>
      </c>
      <c r="D18" s="44" t="s">
        <v>556</v>
      </c>
      <c r="E18" s="121">
        <v>8</v>
      </c>
      <c r="G18" s="55"/>
      <c r="H18" s="56" t="s">
        <v>604</v>
      </c>
      <c r="I18" s="55"/>
      <c r="J18" s="55"/>
      <c r="K18" s="55"/>
      <c r="L18" s="55"/>
      <c r="M18" s="55"/>
      <c r="N18" s="55"/>
      <c r="O18" s="55"/>
      <c r="P18" s="12"/>
    </row>
    <row r="19" spans="1:16" x14ac:dyDescent="0.25">
      <c r="A19" s="44" t="s">
        <v>468</v>
      </c>
      <c r="B19" s="121">
        <v>977.58535427999993</v>
      </c>
      <c r="D19" s="44" t="s">
        <v>468</v>
      </c>
      <c r="E19" s="121">
        <v>2</v>
      </c>
      <c r="G19" s="57" t="s">
        <v>323</v>
      </c>
      <c r="H19" s="58" t="s">
        <v>314</v>
      </c>
      <c r="I19" s="59" t="s">
        <v>315</v>
      </c>
      <c r="J19" s="59" t="s">
        <v>316</v>
      </c>
      <c r="K19" s="59" t="s">
        <v>317</v>
      </c>
      <c r="L19" s="55"/>
      <c r="M19" s="58" t="s">
        <v>318</v>
      </c>
      <c r="N19" s="59" t="s">
        <v>319</v>
      </c>
      <c r="O19" s="55"/>
      <c r="P19" s="59" t="s">
        <v>593</v>
      </c>
    </row>
    <row r="20" spans="1:16" x14ac:dyDescent="0.25">
      <c r="A20" s="44" t="s">
        <v>289</v>
      </c>
      <c r="B20" s="121">
        <v>8558.382721733562</v>
      </c>
      <c r="D20" s="44" t="s">
        <v>289</v>
      </c>
      <c r="E20" s="121">
        <v>16</v>
      </c>
      <c r="G20" s="60" t="str">
        <f>PROPER(A39)</f>
        <v>Farmagro S A</v>
      </c>
      <c r="H20" s="70">
        <f>+B39</f>
        <v>820.91814099999976</v>
      </c>
      <c r="I20" s="70">
        <f>+E39</f>
        <v>211.70499999999998</v>
      </c>
      <c r="J20" s="70">
        <f>+B50</f>
        <v>609.21314099999972</v>
      </c>
      <c r="K20" s="62">
        <f>IFERROR(J20/H20,0)</f>
        <v>0.74211192392202219</v>
      </c>
      <c r="L20" s="71"/>
      <c r="M20" s="70">
        <f>+E50</f>
        <v>1</v>
      </c>
      <c r="N20" s="61">
        <f>+H20/M20</f>
        <v>820.91814099999976</v>
      </c>
      <c r="O20" s="71"/>
      <c r="P20" s="122">
        <f>+B61</f>
        <v>3</v>
      </c>
    </row>
    <row r="21" spans="1:16" x14ac:dyDescent="0.25">
      <c r="G21" s="63" t="str">
        <f>PROPER(A40)</f>
        <v>Rentaequipos Leasing Peru S.A.</v>
      </c>
      <c r="H21" s="64">
        <f>+B40</f>
        <v>27506.938923314843</v>
      </c>
      <c r="I21" s="64">
        <f>+E40</f>
        <v>7627.3163810435599</v>
      </c>
      <c r="J21" s="64">
        <f>+B51</f>
        <v>19879.622542271281</v>
      </c>
      <c r="K21" s="66">
        <f>IFERROR(J21/H21,0)</f>
        <v>0.72271300698680585</v>
      </c>
      <c r="L21" s="71"/>
      <c r="M21" s="64">
        <f>+E51</f>
        <v>14</v>
      </c>
      <c r="N21" s="65">
        <f>+H21/M21</f>
        <v>1964.7813516653459</v>
      </c>
      <c r="O21" s="71"/>
      <c r="P21" s="123">
        <f>+B62</f>
        <v>37</v>
      </c>
    </row>
    <row r="22" spans="1:16" x14ac:dyDescent="0.25">
      <c r="G22" s="56" t="str">
        <f>PROPER(A41)</f>
        <v>Total General</v>
      </c>
      <c r="H22" s="67">
        <f>+B41</f>
        <v>28327.857064314841</v>
      </c>
      <c r="I22" s="67">
        <f>+E41</f>
        <v>7839.0213810435598</v>
      </c>
      <c r="J22" s="67">
        <f>+B52</f>
        <v>20488.835683271282</v>
      </c>
      <c r="K22" s="69">
        <f>IFERROR(J22/H22,0)</f>
        <v>0.72327517174186362</v>
      </c>
      <c r="L22" s="71"/>
      <c r="M22" s="67">
        <f>+E52</f>
        <v>15</v>
      </c>
      <c r="N22" s="68">
        <f>+H22/M22</f>
        <v>1888.523804287656</v>
      </c>
      <c r="O22" s="71"/>
      <c r="P22" s="124">
        <f>+B63</f>
        <v>34.733333333333334</v>
      </c>
    </row>
    <row r="23" spans="1:16" x14ac:dyDescent="0.25">
      <c r="A23" s="43" t="s">
        <v>287</v>
      </c>
      <c r="B23" s="100">
        <v>2019</v>
      </c>
      <c r="J23" s="45"/>
    </row>
    <row r="24" spans="1:16" x14ac:dyDescent="0.25">
      <c r="A24" s="43" t="s">
        <v>286</v>
      </c>
      <c r="B24" s="12" t="s">
        <v>603</v>
      </c>
      <c r="J24" s="45"/>
    </row>
    <row r="25" spans="1:16" x14ac:dyDescent="0.25">
      <c r="A25" s="43" t="s">
        <v>271</v>
      </c>
      <c r="B25" s="12" t="s">
        <v>121</v>
      </c>
    </row>
    <row r="26" spans="1:16" x14ac:dyDescent="0.25">
      <c r="A26" s="12"/>
      <c r="B26" s="12"/>
      <c r="H26" s="45"/>
    </row>
    <row r="27" spans="1:16" x14ac:dyDescent="0.25">
      <c r="A27" s="43" t="s">
        <v>290</v>
      </c>
      <c r="B27" t="s">
        <v>592</v>
      </c>
    </row>
    <row r="28" spans="1:16" x14ac:dyDescent="0.25">
      <c r="A28" s="44" t="s">
        <v>312</v>
      </c>
      <c r="B28" s="121">
        <v>1.3333333333333333</v>
      </c>
    </row>
    <row r="29" spans="1:16" x14ac:dyDescent="0.25">
      <c r="A29" s="44" t="s">
        <v>556</v>
      </c>
      <c r="B29" s="121">
        <v>9.875</v>
      </c>
    </row>
    <row r="30" spans="1:16" x14ac:dyDescent="0.25">
      <c r="A30" s="44" t="s">
        <v>468</v>
      </c>
      <c r="B30" s="121">
        <v>15.5</v>
      </c>
    </row>
    <row r="31" spans="1:16" x14ac:dyDescent="0.25">
      <c r="A31" s="44" t="s">
        <v>289</v>
      </c>
      <c r="B31" s="121">
        <v>7.375</v>
      </c>
    </row>
    <row r="34" spans="1:16" x14ac:dyDescent="0.25">
      <c r="A34" s="43" t="s">
        <v>287</v>
      </c>
      <c r="B34" s="100">
        <v>2019</v>
      </c>
      <c r="C34" s="12"/>
      <c r="D34" s="43" t="s">
        <v>287</v>
      </c>
      <c r="E34" s="100">
        <v>2019</v>
      </c>
      <c r="F34" s="12"/>
      <c r="G34" s="12"/>
      <c r="P34" s="12"/>
    </row>
    <row r="35" spans="1:16" x14ac:dyDescent="0.25">
      <c r="A35" s="43" t="s">
        <v>286</v>
      </c>
      <c r="B35" s="12" t="s">
        <v>603</v>
      </c>
      <c r="C35" s="12"/>
      <c r="D35" s="43" t="s">
        <v>286</v>
      </c>
      <c r="E35" s="12" t="s">
        <v>603</v>
      </c>
      <c r="F35" s="12"/>
      <c r="G35" s="12"/>
      <c r="J35" s="45"/>
      <c r="P35" s="12"/>
    </row>
    <row r="36" spans="1:16" x14ac:dyDescent="0.25">
      <c r="A36" s="43" t="s">
        <v>271</v>
      </c>
      <c r="B36" s="12" t="s">
        <v>123</v>
      </c>
      <c r="C36" s="12"/>
      <c r="D36" s="43" t="s">
        <v>271</v>
      </c>
      <c r="E36" s="12" t="s">
        <v>123</v>
      </c>
      <c r="F36" s="12"/>
      <c r="G36" s="12"/>
      <c r="J36" s="45"/>
      <c r="P36" s="12"/>
    </row>
    <row r="37" spans="1:16" x14ac:dyDescent="0.25">
      <c r="A37" s="12"/>
      <c r="B37" s="12"/>
      <c r="C37" s="12"/>
      <c r="D37" s="12"/>
      <c r="E37" s="12"/>
      <c r="F37" s="12"/>
      <c r="G37" s="12"/>
      <c r="J37" s="45"/>
      <c r="P37" s="12"/>
    </row>
    <row r="38" spans="1:16" x14ac:dyDescent="0.25">
      <c r="A38" s="43" t="s">
        <v>290</v>
      </c>
      <c r="B38" t="s">
        <v>291</v>
      </c>
      <c r="C38" s="12"/>
      <c r="D38" s="43" t="s">
        <v>290</v>
      </c>
      <c r="E38" t="s">
        <v>296</v>
      </c>
      <c r="F38" s="12"/>
      <c r="G38" s="12"/>
      <c r="J38" s="45"/>
      <c r="P38" s="12"/>
    </row>
    <row r="39" spans="1:16" x14ac:dyDescent="0.25">
      <c r="A39" s="44" t="s">
        <v>110</v>
      </c>
      <c r="B39" s="121">
        <v>820.91814099999976</v>
      </c>
      <c r="C39" s="12"/>
      <c r="D39" s="44" t="s">
        <v>110</v>
      </c>
      <c r="E39" s="121">
        <v>211.70499999999998</v>
      </c>
      <c r="F39" s="12"/>
      <c r="G39" s="12"/>
      <c r="J39" s="45"/>
      <c r="P39" s="12"/>
    </row>
    <row r="40" spans="1:16" x14ac:dyDescent="0.25">
      <c r="A40" s="44" t="s">
        <v>556</v>
      </c>
      <c r="B40" s="121">
        <v>27506.938923314843</v>
      </c>
      <c r="C40" s="12"/>
      <c r="D40" s="44" t="s">
        <v>556</v>
      </c>
      <c r="E40" s="121">
        <v>7627.3163810435599</v>
      </c>
      <c r="F40" s="12"/>
      <c r="G40" s="12"/>
      <c r="J40" s="45"/>
      <c r="P40" s="12"/>
    </row>
    <row r="41" spans="1:16" x14ac:dyDescent="0.25">
      <c r="A41" s="44" t="s">
        <v>289</v>
      </c>
      <c r="B41" s="121">
        <v>28327.857064314841</v>
      </c>
      <c r="C41" s="12"/>
      <c r="D41" s="44" t="s">
        <v>289</v>
      </c>
      <c r="E41" s="121">
        <v>7839.0213810435598</v>
      </c>
      <c r="F41" s="12"/>
      <c r="G41" s="12"/>
      <c r="J41" s="45"/>
      <c r="P41" s="12"/>
    </row>
    <row r="42" spans="1:16" x14ac:dyDescent="0.25">
      <c r="C42" s="12"/>
      <c r="F42" s="12"/>
      <c r="G42" s="12"/>
      <c r="J42" s="45"/>
      <c r="P42" s="12"/>
    </row>
    <row r="43" spans="1:16" x14ac:dyDescent="0.25">
      <c r="A43" s="12"/>
      <c r="B43" s="12"/>
      <c r="C43" s="12"/>
      <c r="D43" s="12"/>
      <c r="E43" s="12"/>
      <c r="F43" s="12"/>
      <c r="G43" s="12"/>
      <c r="H43" s="72"/>
      <c r="I43" s="72"/>
      <c r="J43" s="72"/>
      <c r="K43" s="73"/>
      <c r="L43" s="55"/>
      <c r="M43" s="55"/>
      <c r="N43" s="55"/>
      <c r="O43" s="55"/>
      <c r="P43" s="12"/>
    </row>
    <row r="44" spans="1:16" x14ac:dyDescent="0.25">
      <c r="A44" s="12"/>
      <c r="B44" s="12"/>
      <c r="C44" s="12"/>
      <c r="D44" s="12"/>
      <c r="E44" s="12"/>
      <c r="F44" s="12"/>
    </row>
    <row r="45" spans="1:16" x14ac:dyDescent="0.25">
      <c r="A45" s="43" t="s">
        <v>287</v>
      </c>
      <c r="B45" s="100">
        <v>2019</v>
      </c>
      <c r="C45" s="12"/>
      <c r="D45" s="43" t="s">
        <v>287</v>
      </c>
      <c r="E45" s="100">
        <v>2019</v>
      </c>
      <c r="F45" s="12"/>
    </row>
    <row r="46" spans="1:16" x14ac:dyDescent="0.25">
      <c r="A46" s="43" t="s">
        <v>286</v>
      </c>
      <c r="B46" s="12" t="s">
        <v>603</v>
      </c>
      <c r="C46" s="12"/>
      <c r="D46" s="43" t="s">
        <v>286</v>
      </c>
      <c r="E46" s="12" t="s">
        <v>603</v>
      </c>
      <c r="F46" s="12"/>
    </row>
    <row r="47" spans="1:16" x14ac:dyDescent="0.25">
      <c r="A47" s="43" t="s">
        <v>271</v>
      </c>
      <c r="B47" s="12" t="s">
        <v>123</v>
      </c>
      <c r="C47" s="12"/>
      <c r="D47" s="43" t="s">
        <v>271</v>
      </c>
      <c r="E47" s="12" t="s">
        <v>123</v>
      </c>
      <c r="F47" s="12"/>
    </row>
    <row r="48" spans="1:16" x14ac:dyDescent="0.25">
      <c r="A48" s="12"/>
      <c r="B48" s="12"/>
      <c r="C48" s="12"/>
      <c r="D48" s="12"/>
      <c r="E48" s="12"/>
      <c r="F48" s="12"/>
    </row>
    <row r="49" spans="1:16" x14ac:dyDescent="0.25">
      <c r="A49" s="43" t="s">
        <v>290</v>
      </c>
      <c r="B49" t="s">
        <v>295</v>
      </c>
      <c r="C49" s="12"/>
      <c r="D49" s="43" t="s">
        <v>290</v>
      </c>
      <c r="E49" t="s">
        <v>297</v>
      </c>
      <c r="F49" s="12"/>
      <c r="G49" s="12"/>
      <c r="H49" s="67"/>
      <c r="I49" s="67"/>
      <c r="J49" s="67"/>
      <c r="K49" s="69"/>
      <c r="L49" s="71"/>
      <c r="M49" s="67"/>
      <c r="N49" s="68"/>
      <c r="O49" s="71"/>
      <c r="P49" s="12"/>
    </row>
    <row r="50" spans="1:16" x14ac:dyDescent="0.25">
      <c r="A50" s="44" t="s">
        <v>110</v>
      </c>
      <c r="B50" s="121">
        <v>609.21314099999972</v>
      </c>
      <c r="C50" s="12"/>
      <c r="D50" s="44" t="s">
        <v>110</v>
      </c>
      <c r="E50" s="121">
        <v>1</v>
      </c>
      <c r="F50" s="12"/>
      <c r="G50" s="12"/>
      <c r="H50" s="67"/>
      <c r="I50" s="67"/>
      <c r="J50" s="67"/>
      <c r="K50" s="69"/>
      <c r="L50" s="71"/>
      <c r="M50" s="67"/>
      <c r="N50" s="68"/>
      <c r="O50" s="71"/>
      <c r="P50" s="12"/>
    </row>
    <row r="51" spans="1:16" x14ac:dyDescent="0.25">
      <c r="A51" s="44" t="s">
        <v>556</v>
      </c>
      <c r="B51" s="121">
        <v>19879.622542271281</v>
      </c>
      <c r="C51" s="12"/>
      <c r="D51" s="44" t="s">
        <v>556</v>
      </c>
      <c r="E51" s="121">
        <v>14</v>
      </c>
      <c r="F51" s="12"/>
      <c r="G51" s="12"/>
      <c r="J51" s="45"/>
      <c r="P51" s="12"/>
    </row>
    <row r="52" spans="1:16" x14ac:dyDescent="0.25">
      <c r="A52" s="44" t="s">
        <v>289</v>
      </c>
      <c r="B52" s="121">
        <v>20488.835683271282</v>
      </c>
      <c r="C52" s="12"/>
      <c r="D52" s="44" t="s">
        <v>289</v>
      </c>
      <c r="E52" s="121">
        <v>15</v>
      </c>
      <c r="F52" s="12"/>
      <c r="G52" s="12"/>
      <c r="J52" s="45"/>
      <c r="P52" s="12"/>
    </row>
    <row r="53" spans="1:16" x14ac:dyDescent="0.25">
      <c r="C53" s="12"/>
      <c r="F53" s="12"/>
      <c r="G53" s="12"/>
      <c r="J53" s="45"/>
      <c r="P53" s="12"/>
    </row>
    <row r="54" spans="1:16" x14ac:dyDescent="0.25">
      <c r="A54" s="12"/>
      <c r="B54" s="12"/>
      <c r="C54" s="12"/>
      <c r="D54" s="12"/>
      <c r="E54" s="12"/>
      <c r="F54" s="12"/>
      <c r="G54" s="12"/>
      <c r="J54" s="45"/>
      <c r="P54" s="12"/>
    </row>
    <row r="55" spans="1:16" x14ac:dyDescent="0.25">
      <c r="A55" s="12"/>
      <c r="B55" s="12"/>
      <c r="C55" s="12"/>
      <c r="D55" s="12"/>
      <c r="E55" s="12"/>
      <c r="F55" s="12"/>
      <c r="G55" s="12"/>
      <c r="J55" s="45"/>
      <c r="P55" s="12"/>
    </row>
    <row r="56" spans="1:16" x14ac:dyDescent="0.25">
      <c r="A56" s="43" t="s">
        <v>287</v>
      </c>
      <c r="B56" s="100">
        <v>2019</v>
      </c>
      <c r="C56" s="12"/>
      <c r="D56" s="12"/>
      <c r="E56" s="12"/>
      <c r="F56" s="12"/>
      <c r="G56" s="12"/>
      <c r="J56" s="45"/>
      <c r="P56" s="12"/>
    </row>
    <row r="57" spans="1:16" x14ac:dyDescent="0.25">
      <c r="A57" s="43" t="s">
        <v>286</v>
      </c>
      <c r="B57" s="12" t="s">
        <v>603</v>
      </c>
      <c r="C57" s="12"/>
      <c r="D57" s="12"/>
      <c r="E57" s="12"/>
      <c r="F57" s="12"/>
      <c r="G57" s="12"/>
      <c r="J57" s="45"/>
      <c r="P57" s="12"/>
    </row>
    <row r="58" spans="1:16" x14ac:dyDescent="0.25">
      <c r="A58" s="43" t="s">
        <v>271</v>
      </c>
      <c r="B58" s="12" t="s">
        <v>123</v>
      </c>
      <c r="C58" s="12"/>
      <c r="D58" s="12"/>
      <c r="E58" s="12"/>
      <c r="F58" s="12"/>
      <c r="G58" s="12"/>
      <c r="P58" s="12"/>
    </row>
    <row r="59" spans="1:16" x14ac:dyDescent="0.25">
      <c r="A59" s="12"/>
      <c r="B59" s="12"/>
      <c r="C59" s="12"/>
      <c r="D59" s="12"/>
      <c r="E59" s="12"/>
      <c r="F59" s="12"/>
      <c r="G59" s="12"/>
      <c r="H59" s="45"/>
      <c r="P59" s="12"/>
    </row>
    <row r="60" spans="1:16" x14ac:dyDescent="0.25">
      <c r="A60" s="43" t="s">
        <v>290</v>
      </c>
      <c r="B60" t="s">
        <v>592</v>
      </c>
      <c r="C60" s="12"/>
      <c r="D60" s="12"/>
      <c r="E60" s="12"/>
      <c r="F60" s="12"/>
      <c r="G60" s="12"/>
      <c r="P60" s="12"/>
    </row>
    <row r="61" spans="1:16" x14ac:dyDescent="0.25">
      <c r="A61" s="44" t="s">
        <v>110</v>
      </c>
      <c r="B61" s="121">
        <v>3</v>
      </c>
      <c r="C61" s="12"/>
      <c r="D61" s="12"/>
      <c r="E61" s="12"/>
      <c r="F61" s="12"/>
      <c r="G61" s="12"/>
      <c r="P61" s="12"/>
    </row>
    <row r="62" spans="1:16" x14ac:dyDescent="0.25">
      <c r="A62" s="44" t="s">
        <v>556</v>
      </c>
      <c r="B62" s="121">
        <v>37</v>
      </c>
      <c r="C62" s="12"/>
      <c r="D62" s="12"/>
      <c r="E62" s="12"/>
      <c r="F62" s="12"/>
      <c r="G62" s="12"/>
      <c r="P62" s="12"/>
    </row>
    <row r="63" spans="1:16" x14ac:dyDescent="0.25">
      <c r="A63" s="44" t="s">
        <v>289</v>
      </c>
      <c r="B63" s="121">
        <v>34.733333333333334</v>
      </c>
      <c r="C63" s="12"/>
      <c r="D63" s="12"/>
      <c r="E63" s="12"/>
      <c r="F63" s="12"/>
      <c r="G63" s="12"/>
      <c r="P63" s="12"/>
    </row>
    <row r="64" spans="1:16" x14ac:dyDescent="0.25">
      <c r="C64" s="12"/>
      <c r="D64" s="12"/>
      <c r="E64" s="12"/>
      <c r="F64" s="12"/>
      <c r="G64" s="12"/>
      <c r="P64" s="12"/>
    </row>
  </sheetData>
  <pageMargins left="0.7" right="0.7" top="0.75" bottom="0.75" header="0.3" footer="0.3"/>
  <pageSetup paperSize="9" orientation="landscape" r:id="rId1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92"/>
  <sheetViews>
    <sheetView topLeftCell="A71" workbookViewId="0">
      <selection activeCell="A79" sqref="A79:A91"/>
    </sheetView>
  </sheetViews>
  <sheetFormatPr defaultColWidth="11.42578125" defaultRowHeight="15" x14ac:dyDescent="0.25"/>
  <cols>
    <col min="1" max="1" width="17.5703125" bestFit="1" customWidth="1"/>
    <col min="2" max="2" width="20.42578125" bestFit="1" customWidth="1"/>
  </cols>
  <sheetData>
    <row r="1" spans="1:4" x14ac:dyDescent="0.25">
      <c r="A1" s="43" t="s">
        <v>45</v>
      </c>
      <c r="B1" s="12" t="s">
        <v>3137</v>
      </c>
    </row>
    <row r="3" spans="1:4" x14ac:dyDescent="0.25">
      <c r="A3" s="43" t="s">
        <v>290</v>
      </c>
    </row>
    <row r="4" spans="1:4" x14ac:dyDescent="0.25">
      <c r="A4" s="44" t="s">
        <v>901</v>
      </c>
    </row>
    <row r="5" spans="1:4" x14ac:dyDescent="0.25">
      <c r="A5" s="44" t="s">
        <v>1363</v>
      </c>
    </row>
    <row r="6" spans="1:4" x14ac:dyDescent="0.25">
      <c r="A6" s="44" t="s">
        <v>1406</v>
      </c>
    </row>
    <row r="7" spans="1:4" x14ac:dyDescent="0.25">
      <c r="A7" s="44" t="s">
        <v>1900</v>
      </c>
      <c r="C7" s="12"/>
      <c r="D7" s="12"/>
    </row>
    <row r="8" spans="1:4" x14ac:dyDescent="0.25">
      <c r="A8" s="44" t="s">
        <v>1941</v>
      </c>
      <c r="C8" s="12"/>
      <c r="D8" s="12"/>
    </row>
    <row r="9" spans="1:4" x14ac:dyDescent="0.25">
      <c r="A9" s="44" t="s">
        <v>1932</v>
      </c>
      <c r="C9" s="12"/>
      <c r="D9" s="12"/>
    </row>
    <row r="10" spans="1:4" x14ac:dyDescent="0.25">
      <c r="A10" s="44" t="s">
        <v>2670</v>
      </c>
      <c r="C10" s="12"/>
      <c r="D10" s="12"/>
    </row>
    <row r="11" spans="1:4" x14ac:dyDescent="0.25">
      <c r="A11" s="44" t="s">
        <v>2672</v>
      </c>
      <c r="C11" s="12"/>
      <c r="D11" s="12"/>
    </row>
    <row r="12" spans="1:4" x14ac:dyDescent="0.25">
      <c r="A12" s="44" t="s">
        <v>2693</v>
      </c>
      <c r="C12" s="12"/>
      <c r="D12" s="12"/>
    </row>
    <row r="13" spans="1:4" x14ac:dyDescent="0.25">
      <c r="A13" s="44" t="s">
        <v>2661</v>
      </c>
      <c r="C13" s="12"/>
      <c r="D13" s="12"/>
    </row>
    <row r="14" spans="1:4" x14ac:dyDescent="0.25">
      <c r="A14" s="44" t="s">
        <v>2676</v>
      </c>
      <c r="C14" s="12"/>
      <c r="D14" s="12"/>
    </row>
    <row r="15" spans="1:4" x14ac:dyDescent="0.25">
      <c r="A15" s="44" t="s">
        <v>2667</v>
      </c>
      <c r="C15" s="12"/>
      <c r="D15" s="12"/>
    </row>
    <row r="16" spans="1:4" x14ac:dyDescent="0.25">
      <c r="A16" s="44" t="s">
        <v>2677</v>
      </c>
      <c r="C16" s="12"/>
      <c r="D16" s="12"/>
    </row>
    <row r="17" spans="1:4" x14ac:dyDescent="0.25">
      <c r="A17" s="44" t="s">
        <v>2679</v>
      </c>
      <c r="C17" s="12"/>
      <c r="D17" s="12"/>
    </row>
    <row r="18" spans="1:4" x14ac:dyDescent="0.25">
      <c r="A18" s="44" t="s">
        <v>2684</v>
      </c>
      <c r="C18" s="12"/>
      <c r="D18" s="12"/>
    </row>
    <row r="19" spans="1:4" x14ac:dyDescent="0.25">
      <c r="A19" s="44" t="s">
        <v>2000</v>
      </c>
      <c r="C19" s="12"/>
      <c r="D19" s="12"/>
    </row>
    <row r="20" spans="1:4" x14ac:dyDescent="0.25">
      <c r="A20" s="44" t="s">
        <v>1356</v>
      </c>
      <c r="C20" s="12"/>
      <c r="D20" s="12"/>
    </row>
    <row r="21" spans="1:4" x14ac:dyDescent="0.25">
      <c r="A21" s="44" t="s">
        <v>2547</v>
      </c>
      <c r="C21" s="12"/>
      <c r="D21" s="12"/>
    </row>
    <row r="22" spans="1:4" x14ac:dyDescent="0.25">
      <c r="A22" s="44" t="s">
        <v>2590</v>
      </c>
      <c r="C22" s="12"/>
      <c r="D22" s="12"/>
    </row>
    <row r="23" spans="1:4" x14ac:dyDescent="0.25">
      <c r="A23" s="44" t="s">
        <v>1998</v>
      </c>
      <c r="C23" s="12"/>
      <c r="D23" s="12"/>
    </row>
    <row r="24" spans="1:4" x14ac:dyDescent="0.25">
      <c r="A24" s="44" t="s">
        <v>2682</v>
      </c>
      <c r="C24" s="12"/>
      <c r="D24" s="12"/>
    </row>
    <row r="25" spans="1:4" x14ac:dyDescent="0.25">
      <c r="A25" s="44" t="s">
        <v>2863</v>
      </c>
      <c r="C25" s="12"/>
      <c r="D25" s="12"/>
    </row>
    <row r="26" spans="1:4" x14ac:dyDescent="0.25">
      <c r="A26" s="44" t="s">
        <v>3046</v>
      </c>
      <c r="C26" s="12"/>
      <c r="D26" s="12"/>
    </row>
    <row r="27" spans="1:4" x14ac:dyDescent="0.25">
      <c r="A27" s="44" t="s">
        <v>2687</v>
      </c>
      <c r="C27" s="12"/>
      <c r="D27" s="12"/>
    </row>
    <row r="28" spans="1:4" x14ac:dyDescent="0.25">
      <c r="A28" s="44" t="s">
        <v>2859</v>
      </c>
      <c r="C28" s="12"/>
      <c r="D28" s="12"/>
    </row>
    <row r="29" spans="1:4" x14ac:dyDescent="0.25">
      <c r="A29" s="44" t="s">
        <v>1951</v>
      </c>
      <c r="C29" s="12"/>
      <c r="D29" s="12"/>
    </row>
    <row r="30" spans="1:4" x14ac:dyDescent="0.25">
      <c r="A30" s="44" t="s">
        <v>2689</v>
      </c>
      <c r="C30" s="12"/>
      <c r="D30" s="12"/>
    </row>
    <row r="31" spans="1:4" x14ac:dyDescent="0.25">
      <c r="A31" s="44" t="s">
        <v>2862</v>
      </c>
      <c r="C31" s="12"/>
      <c r="D31" s="12"/>
    </row>
    <row r="32" spans="1:4" x14ac:dyDescent="0.25">
      <c r="A32" s="44" t="s">
        <v>2870</v>
      </c>
      <c r="C32" s="12"/>
      <c r="D32" s="12"/>
    </row>
    <row r="33" spans="1:4" x14ac:dyDescent="0.25">
      <c r="A33" s="44" t="s">
        <v>2880</v>
      </c>
      <c r="C33" s="12"/>
      <c r="D33" s="12"/>
    </row>
    <row r="34" spans="1:4" x14ac:dyDescent="0.25">
      <c r="A34" s="44" t="s">
        <v>2901</v>
      </c>
      <c r="C34" s="12"/>
      <c r="D34" s="12"/>
    </row>
    <row r="35" spans="1:4" x14ac:dyDescent="0.25">
      <c r="A35" s="44" t="s">
        <v>2898</v>
      </c>
      <c r="C35" s="12"/>
      <c r="D35" s="12"/>
    </row>
    <row r="36" spans="1:4" x14ac:dyDescent="0.25">
      <c r="A36" s="44" t="s">
        <v>2865</v>
      </c>
      <c r="C36" s="12"/>
      <c r="D36" s="12"/>
    </row>
    <row r="37" spans="1:4" x14ac:dyDescent="0.25">
      <c r="A37" s="44" t="s">
        <v>2879</v>
      </c>
      <c r="C37" s="12"/>
      <c r="D37" s="12"/>
    </row>
    <row r="38" spans="1:4" x14ac:dyDescent="0.25">
      <c r="A38" s="44" t="s">
        <v>2876</v>
      </c>
      <c r="C38" s="12"/>
      <c r="D38" s="12"/>
    </row>
    <row r="39" spans="1:4" x14ac:dyDescent="0.25">
      <c r="A39" s="44" t="s">
        <v>2894</v>
      </c>
      <c r="C39" s="12"/>
      <c r="D39" s="12"/>
    </row>
    <row r="40" spans="1:4" x14ac:dyDescent="0.25">
      <c r="A40" s="44" t="s">
        <v>2908</v>
      </c>
      <c r="C40" s="12"/>
      <c r="D40" s="12"/>
    </row>
    <row r="41" spans="1:4" x14ac:dyDescent="0.25">
      <c r="A41" s="44" t="s">
        <v>2851</v>
      </c>
      <c r="C41" s="12"/>
      <c r="D41" s="12"/>
    </row>
    <row r="42" spans="1:4" x14ac:dyDescent="0.25">
      <c r="A42" s="44" t="s">
        <v>2919</v>
      </c>
      <c r="C42" s="12"/>
      <c r="D42" s="12"/>
    </row>
    <row r="43" spans="1:4" x14ac:dyDescent="0.25">
      <c r="A43" s="44" t="s">
        <v>2690</v>
      </c>
      <c r="C43" s="12"/>
      <c r="D43" s="12"/>
    </row>
    <row r="44" spans="1:4" x14ac:dyDescent="0.25">
      <c r="A44" s="44" t="s">
        <v>2889</v>
      </c>
      <c r="C44" s="12"/>
      <c r="D44" s="12"/>
    </row>
    <row r="45" spans="1:4" x14ac:dyDescent="0.25">
      <c r="A45" s="44" t="s">
        <v>2914</v>
      </c>
      <c r="C45" s="12"/>
      <c r="D45" s="12"/>
    </row>
    <row r="46" spans="1:4" x14ac:dyDescent="0.25">
      <c r="A46" s="44" t="s">
        <v>2588</v>
      </c>
      <c r="C46" s="12"/>
      <c r="D46" s="12"/>
    </row>
    <row r="47" spans="1:4" x14ac:dyDescent="0.25">
      <c r="A47" s="44" t="s">
        <v>2920</v>
      </c>
      <c r="C47" s="12"/>
      <c r="D47" s="12"/>
    </row>
    <row r="48" spans="1:4" x14ac:dyDescent="0.25">
      <c r="A48" s="44" t="s">
        <v>2905</v>
      </c>
      <c r="C48" s="12"/>
      <c r="D48" s="12"/>
    </row>
    <row r="49" spans="1:4" x14ac:dyDescent="0.25">
      <c r="A49" s="44" t="s">
        <v>2937</v>
      </c>
      <c r="C49" s="12"/>
      <c r="D49" s="12"/>
    </row>
    <row r="50" spans="1:4" x14ac:dyDescent="0.25">
      <c r="A50" s="44" t="s">
        <v>3061</v>
      </c>
      <c r="C50" s="12"/>
      <c r="D50" s="12"/>
    </row>
    <row r="51" spans="1:4" x14ac:dyDescent="0.25">
      <c r="A51" s="44" t="s">
        <v>2885</v>
      </c>
      <c r="C51" s="12"/>
      <c r="D51" s="12"/>
    </row>
    <row r="52" spans="1:4" x14ac:dyDescent="0.25">
      <c r="A52" s="44" t="s">
        <v>2903</v>
      </c>
      <c r="C52" s="12"/>
      <c r="D52" s="12"/>
    </row>
    <row r="53" spans="1:4" x14ac:dyDescent="0.25">
      <c r="A53" s="44" t="s">
        <v>2929</v>
      </c>
      <c r="C53" s="12"/>
      <c r="D53" s="12"/>
    </row>
    <row r="54" spans="1:4" x14ac:dyDescent="0.25">
      <c r="A54" s="44" t="s">
        <v>2981</v>
      </c>
      <c r="C54" s="12"/>
      <c r="D54" s="12"/>
    </row>
    <row r="55" spans="1:4" x14ac:dyDescent="0.25">
      <c r="A55" s="44" t="s">
        <v>2916</v>
      </c>
      <c r="C55" s="12"/>
      <c r="D55" s="12"/>
    </row>
    <row r="56" spans="1:4" x14ac:dyDescent="0.25">
      <c r="A56" s="44" t="s">
        <v>2912</v>
      </c>
      <c r="C56" s="12"/>
      <c r="D56" s="12"/>
    </row>
    <row r="57" spans="1:4" x14ac:dyDescent="0.25">
      <c r="A57" s="44" t="s">
        <v>2649</v>
      </c>
      <c r="C57" s="12"/>
      <c r="D57" s="12"/>
    </row>
    <row r="58" spans="1:4" x14ac:dyDescent="0.25">
      <c r="A58" s="44" t="s">
        <v>2935</v>
      </c>
      <c r="C58" s="12"/>
      <c r="D58" s="12"/>
    </row>
    <row r="59" spans="1:4" x14ac:dyDescent="0.25">
      <c r="A59" s="44" t="s">
        <v>3029</v>
      </c>
      <c r="C59" s="12"/>
      <c r="D59" s="12"/>
    </row>
    <row r="60" spans="1:4" x14ac:dyDescent="0.25">
      <c r="A60" s="44" t="s">
        <v>2884</v>
      </c>
      <c r="C60" s="12"/>
      <c r="D60" s="12"/>
    </row>
    <row r="61" spans="1:4" x14ac:dyDescent="0.25">
      <c r="A61" s="44" t="s">
        <v>2891</v>
      </c>
      <c r="C61" s="12"/>
      <c r="D61" s="12"/>
    </row>
    <row r="62" spans="1:4" x14ac:dyDescent="0.25">
      <c r="A62" s="44" t="s">
        <v>3022</v>
      </c>
      <c r="C62" s="12"/>
      <c r="D62" s="12"/>
    </row>
    <row r="63" spans="1:4" x14ac:dyDescent="0.25">
      <c r="A63" s="44" t="s">
        <v>3011</v>
      </c>
      <c r="C63" s="12"/>
      <c r="D63" s="12"/>
    </row>
    <row r="64" spans="1:4" x14ac:dyDescent="0.25">
      <c r="A64" s="44" t="s">
        <v>3010</v>
      </c>
      <c r="C64" s="12"/>
      <c r="D64" s="12"/>
    </row>
    <row r="65" spans="1:4" x14ac:dyDescent="0.25">
      <c r="A65" s="44" t="s">
        <v>3006</v>
      </c>
      <c r="C65" s="12"/>
      <c r="D65" s="12"/>
    </row>
    <row r="66" spans="1:4" x14ac:dyDescent="0.25">
      <c r="A66" s="44" t="s">
        <v>2932</v>
      </c>
      <c r="C66" s="12"/>
      <c r="D66" s="12"/>
    </row>
    <row r="67" spans="1:4" x14ac:dyDescent="0.25">
      <c r="A67" s="44" t="s">
        <v>2931</v>
      </c>
      <c r="C67" s="12"/>
      <c r="D67" s="12"/>
    </row>
    <row r="68" spans="1:4" x14ac:dyDescent="0.25">
      <c r="A68" s="44" t="s">
        <v>2907</v>
      </c>
      <c r="C68" s="12"/>
      <c r="D68" s="12"/>
    </row>
    <row r="69" spans="1:4" x14ac:dyDescent="0.25">
      <c r="A69" s="44" t="s">
        <v>2962</v>
      </c>
    </row>
    <row r="70" spans="1:4" x14ac:dyDescent="0.25">
      <c r="A70" s="44" t="s">
        <v>3128</v>
      </c>
    </row>
    <row r="71" spans="1:4" x14ac:dyDescent="0.25">
      <c r="A71" s="44" t="s">
        <v>3129</v>
      </c>
    </row>
    <row r="72" spans="1:4" x14ac:dyDescent="0.25">
      <c r="A72" s="44" t="s">
        <v>3130</v>
      </c>
    </row>
    <row r="73" spans="1:4" x14ac:dyDescent="0.25">
      <c r="A73" s="44" t="s">
        <v>3131</v>
      </c>
    </row>
    <row r="74" spans="1:4" x14ac:dyDescent="0.25">
      <c r="A74" s="44" t="s">
        <v>3132</v>
      </c>
    </row>
    <row r="75" spans="1:4" x14ac:dyDescent="0.25">
      <c r="A75" s="44" t="s">
        <v>3133</v>
      </c>
    </row>
    <row r="76" spans="1:4" x14ac:dyDescent="0.25">
      <c r="A76" s="44" t="s">
        <v>3134</v>
      </c>
    </row>
    <row r="77" spans="1:4" x14ac:dyDescent="0.25">
      <c r="A77" s="44" t="s">
        <v>3135</v>
      </c>
    </row>
    <row r="78" spans="1:4" x14ac:dyDescent="0.25">
      <c r="A78" s="44" t="s">
        <v>3136</v>
      </c>
    </row>
    <row r="79" spans="1:4" x14ac:dyDescent="0.25">
      <c r="A79" s="44" t="s">
        <v>3179</v>
      </c>
    </row>
    <row r="80" spans="1:4" x14ac:dyDescent="0.25">
      <c r="A80" s="44" t="s">
        <v>3189</v>
      </c>
    </row>
    <row r="81" spans="1:1" x14ac:dyDescent="0.25">
      <c r="A81" s="44" t="s">
        <v>2933</v>
      </c>
    </row>
    <row r="82" spans="1:1" x14ac:dyDescent="0.25">
      <c r="A82" s="44" t="s">
        <v>3184</v>
      </c>
    </row>
    <row r="83" spans="1:1" x14ac:dyDescent="0.25">
      <c r="A83" s="44" t="s">
        <v>1022</v>
      </c>
    </row>
    <row r="84" spans="1:1" x14ac:dyDescent="0.25">
      <c r="A84" s="44" t="s">
        <v>3181</v>
      </c>
    </row>
    <row r="85" spans="1:1" x14ac:dyDescent="0.25">
      <c r="A85" s="44" t="s">
        <v>3180</v>
      </c>
    </row>
    <row r="86" spans="1:1" x14ac:dyDescent="0.25">
      <c r="A86" s="44" t="s">
        <v>3213</v>
      </c>
    </row>
    <row r="87" spans="1:1" x14ac:dyDescent="0.25">
      <c r="A87" s="44" t="s">
        <v>3217</v>
      </c>
    </row>
    <row r="88" spans="1:1" x14ac:dyDescent="0.25">
      <c r="A88" s="44" t="s">
        <v>3182</v>
      </c>
    </row>
    <row r="89" spans="1:1" x14ac:dyDescent="0.25">
      <c r="A89" s="44" t="s">
        <v>3163</v>
      </c>
    </row>
    <row r="90" spans="1:1" x14ac:dyDescent="0.25">
      <c r="A90" s="44" t="s">
        <v>3165</v>
      </c>
    </row>
    <row r="91" spans="1:1" x14ac:dyDescent="0.25">
      <c r="A91" s="44" t="s">
        <v>3161</v>
      </c>
    </row>
    <row r="92" spans="1:1" x14ac:dyDescent="0.25">
      <c r="A92" s="44" t="s">
        <v>289</v>
      </c>
    </row>
  </sheetData>
  <autoFilter ref="A3:B601" xr:uid="{00000000-0009-0000-0000-000009000000}"/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256AF-41B4-4F2C-B88C-59A7C635328F}">
  <dimension ref="A3:E12"/>
  <sheetViews>
    <sheetView workbookViewId="0">
      <selection activeCell="D12" sqref="D12"/>
    </sheetView>
  </sheetViews>
  <sheetFormatPr defaultColWidth="11.42578125" defaultRowHeight="15" x14ac:dyDescent="0.25"/>
  <cols>
    <col min="1" max="1" width="16.5703125" bestFit="1" customWidth="1"/>
    <col min="2" max="2" width="20.7109375" bestFit="1" customWidth="1"/>
    <col min="3" max="3" width="10.140625" bestFit="1" customWidth="1"/>
    <col min="4" max="4" width="20.7109375" bestFit="1" customWidth="1"/>
    <col min="5" max="5" width="17.7109375" bestFit="1" customWidth="1"/>
    <col min="6" max="6" width="14.85546875" bestFit="1" customWidth="1"/>
    <col min="7" max="7" width="11.85546875" bestFit="1" customWidth="1"/>
    <col min="8" max="8" width="20.7109375" bestFit="1" customWidth="1"/>
    <col min="9" max="9" width="17.7109375" bestFit="1" customWidth="1"/>
    <col min="10" max="10" width="30.7109375" bestFit="1" customWidth="1"/>
    <col min="11" max="11" width="27.7109375" bestFit="1" customWidth="1"/>
    <col min="12" max="12" width="25.5703125" bestFit="1" customWidth="1"/>
    <col min="13" max="13" width="22.5703125" bestFit="1" customWidth="1"/>
  </cols>
  <sheetData>
    <row r="3" spans="1:5" x14ac:dyDescent="0.25">
      <c r="A3" s="43" t="s">
        <v>287</v>
      </c>
      <c r="B3" s="43" t="s">
        <v>286</v>
      </c>
      <c r="C3" s="43" t="s">
        <v>271</v>
      </c>
      <c r="D3" s="12" t="s">
        <v>295</v>
      </c>
      <c r="E3" s="12" t="s">
        <v>1893</v>
      </c>
    </row>
    <row r="4" spans="1:5" x14ac:dyDescent="0.25">
      <c r="A4" s="12">
        <v>2019</v>
      </c>
      <c r="B4" s="12" t="s">
        <v>1217</v>
      </c>
      <c r="C4" s="12" t="s">
        <v>770</v>
      </c>
      <c r="D4" s="47">
        <v>33072.656687858478</v>
      </c>
      <c r="E4" s="47">
        <v>230</v>
      </c>
    </row>
    <row r="5" spans="1:5" x14ac:dyDescent="0.25">
      <c r="A5" s="12">
        <v>2019</v>
      </c>
      <c r="B5" s="12" t="s">
        <v>1217</v>
      </c>
      <c r="C5" s="12" t="s">
        <v>121</v>
      </c>
      <c r="D5" s="47">
        <v>8236.8451881610163</v>
      </c>
      <c r="E5" s="47">
        <v>95</v>
      </c>
    </row>
    <row r="6" spans="1:5" x14ac:dyDescent="0.25">
      <c r="A6" s="12">
        <v>2019</v>
      </c>
      <c r="B6" s="12" t="s">
        <v>1217</v>
      </c>
      <c r="C6" s="12" t="s">
        <v>123</v>
      </c>
      <c r="D6" s="47">
        <v>22526.821482609867</v>
      </c>
      <c r="E6" s="47">
        <v>266</v>
      </c>
    </row>
    <row r="7" spans="1:5" x14ac:dyDescent="0.25">
      <c r="A7" s="12">
        <v>2019</v>
      </c>
      <c r="B7" s="12" t="s">
        <v>1890</v>
      </c>
      <c r="C7" s="12" t="s">
        <v>770</v>
      </c>
      <c r="D7" s="47">
        <v>77782.952767185925</v>
      </c>
      <c r="E7" s="47">
        <v>399</v>
      </c>
    </row>
    <row r="8" spans="1:5" x14ac:dyDescent="0.25">
      <c r="A8" s="12">
        <v>2019</v>
      </c>
      <c r="B8" s="12" t="s">
        <v>1890</v>
      </c>
      <c r="C8" s="12" t="s">
        <v>121</v>
      </c>
      <c r="D8" s="47">
        <v>7930.5015597011798</v>
      </c>
      <c r="E8" s="47">
        <v>134</v>
      </c>
    </row>
    <row r="9" spans="1:5" x14ac:dyDescent="0.25">
      <c r="A9" s="12">
        <v>2019</v>
      </c>
      <c r="B9" s="12" t="s">
        <v>1890</v>
      </c>
      <c r="C9" s="12" t="s">
        <v>1310</v>
      </c>
      <c r="D9" s="47">
        <v>1572.835</v>
      </c>
      <c r="E9" s="47">
        <v>15</v>
      </c>
    </row>
    <row r="10" spans="1:5" x14ac:dyDescent="0.25">
      <c r="A10" s="12">
        <v>2019</v>
      </c>
      <c r="B10" s="12" t="s">
        <v>1890</v>
      </c>
      <c r="C10" s="12" t="s">
        <v>123</v>
      </c>
      <c r="D10" s="47">
        <v>41914.747418017076</v>
      </c>
      <c r="E10" s="47">
        <v>640</v>
      </c>
    </row>
    <row r="11" spans="1:5" x14ac:dyDescent="0.25">
      <c r="A11" s="12" t="s">
        <v>1892</v>
      </c>
      <c r="B11" s="12" t="s">
        <v>1892</v>
      </c>
      <c r="C11" s="12" t="s">
        <v>1892</v>
      </c>
      <c r="D11" s="121"/>
      <c r="E11" s="121"/>
    </row>
    <row r="12" spans="1:5" x14ac:dyDescent="0.25">
      <c r="A12" s="12" t="s">
        <v>289</v>
      </c>
      <c r="D12" s="121">
        <v>193037.36010353352</v>
      </c>
      <c r="E12" s="121">
        <v>1779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D7EC8-5CCC-4DC6-8FA4-3C10121A99BF}">
  <dimension ref="B2:Y173"/>
  <sheetViews>
    <sheetView workbookViewId="0">
      <selection activeCell="C4" sqref="C4"/>
    </sheetView>
  </sheetViews>
  <sheetFormatPr defaultColWidth="11.42578125" defaultRowHeight="15" x14ac:dyDescent="0.25"/>
  <cols>
    <col min="2" max="2" width="10.7109375" bestFit="1" customWidth="1"/>
    <col min="3" max="3" width="13.28515625" bestFit="1" customWidth="1"/>
    <col min="4" max="4" width="12" customWidth="1"/>
    <col min="5" max="5" width="14.28515625" bestFit="1" customWidth="1"/>
    <col min="6" max="7" width="12.7109375" bestFit="1" customWidth="1"/>
    <col min="8" max="8" width="11.7109375" bestFit="1" customWidth="1"/>
    <col min="9" max="9" width="12.42578125" bestFit="1" customWidth="1"/>
    <col min="10" max="10" width="10" bestFit="1" customWidth="1"/>
    <col min="11" max="11" width="12.5703125" bestFit="1" customWidth="1"/>
    <col min="12" max="12" width="11.28515625" bestFit="1" customWidth="1"/>
    <col min="13" max="13" width="12.140625" bestFit="1" customWidth="1"/>
    <col min="14" max="14" width="9.42578125" bestFit="1" customWidth="1"/>
    <col min="15" max="15" width="6.85546875" bestFit="1" customWidth="1"/>
    <col min="16" max="16" width="13.5703125" customWidth="1"/>
    <col min="18" max="18" width="7.5703125" bestFit="1" customWidth="1"/>
    <col min="19" max="19" width="8.5703125" customWidth="1"/>
    <col min="20" max="20" width="9.7109375" bestFit="1" customWidth="1"/>
    <col min="21" max="21" width="11.5703125" customWidth="1"/>
    <col min="22" max="22" width="8.85546875" bestFit="1" customWidth="1"/>
    <col min="23" max="23" width="12" bestFit="1" customWidth="1"/>
    <col min="24" max="24" width="10.28515625" bestFit="1" customWidth="1"/>
    <col min="25" max="25" width="36.7109375" bestFit="1" customWidth="1"/>
  </cols>
  <sheetData>
    <row r="2" spans="2:25" x14ac:dyDescent="0.25">
      <c r="B2" s="193" t="s">
        <v>411</v>
      </c>
      <c r="C2" s="193" t="s">
        <v>1219</v>
      </c>
    </row>
    <row r="3" spans="2:25" x14ac:dyDescent="0.25">
      <c r="B3" s="2" t="s">
        <v>1255</v>
      </c>
      <c r="C3" s="2">
        <v>14</v>
      </c>
    </row>
    <row r="7" spans="2:25" x14ac:dyDescent="0.25">
      <c r="B7" s="36" t="s">
        <v>259</v>
      </c>
      <c r="C7" s="35" t="s">
        <v>1220</v>
      </c>
      <c r="D7" s="35" t="s">
        <v>260</v>
      </c>
      <c r="E7" s="37" t="s">
        <v>261</v>
      </c>
      <c r="F7" s="37" t="s">
        <v>262</v>
      </c>
      <c r="G7" s="37" t="s">
        <v>263</v>
      </c>
      <c r="H7" s="37" t="s">
        <v>264</v>
      </c>
      <c r="I7" s="37" t="s">
        <v>265</v>
      </c>
      <c r="J7" s="37" t="s">
        <v>266</v>
      </c>
      <c r="K7" s="37" t="s">
        <v>267</v>
      </c>
      <c r="L7" s="37" t="s">
        <v>268</v>
      </c>
      <c r="M7" s="37" t="s">
        <v>269</v>
      </c>
      <c r="N7" s="38" t="s">
        <v>270</v>
      </c>
      <c r="O7" s="39" t="s">
        <v>271</v>
      </c>
      <c r="P7" s="39" t="s">
        <v>272</v>
      </c>
      <c r="Q7" s="39" t="s">
        <v>286</v>
      </c>
      <c r="R7" s="41" t="s">
        <v>287</v>
      </c>
      <c r="S7" s="41" t="s">
        <v>285</v>
      </c>
      <c r="T7" s="39" t="s">
        <v>288</v>
      </c>
      <c r="U7" s="54" t="s">
        <v>326</v>
      </c>
      <c r="V7" s="54" t="s">
        <v>50</v>
      </c>
      <c r="W7" s="54" t="s">
        <v>324</v>
      </c>
      <c r="X7" s="54" t="s">
        <v>325</v>
      </c>
      <c r="Y7" s="54" t="s">
        <v>411</v>
      </c>
    </row>
    <row r="8" spans="2:25" x14ac:dyDescent="0.25">
      <c r="B8" s="24">
        <f t="array" aca="1" ref="B8" ca="1">IF(ROWS(B$8:B8)&lt;=$C$3,INDEX(INDIRECT(B$7),SMALL(IF(Tip_Cli=$B$3,ROW(Tip_Cli)-ROW(Facturacion!$AL$4)+1),ROWS(B$8:B8))),"")</f>
        <v>43757</v>
      </c>
      <c r="C8" s="24" t="str">
        <f t="array" aca="1" ref="C8" ca="1">IF(ROWS(C$8:C8)&lt;=$C$3,INDEX(INDIRECT(C$7),SMALL(IF(Tip_Cli=$B$3,ROW(Tip_Cli)-ROW(Facturacion!$AL$4)+1),ROWS(C$8:C8))),"")</f>
        <v>005-00000039</v>
      </c>
      <c r="D8" s="4">
        <f t="array" aca="1" ref="D8" ca="1">IF(ROWS(D$8:D8)&lt;=$C$3,INDEX(INDIRECT(D$7),SMALL(IF(Tip_Cli=$B$3,ROW(Tip_Cli)-ROW(Facturacion!$AL$4)+1),ROWS(D$8:D8))),"")</f>
        <v>1615</v>
      </c>
      <c r="E8" s="4">
        <f t="array" aca="1" ref="E8" ca="1">IF(ROWS(E$8:E8)&lt;=$C$3,INDEX(INDIRECT(E$7),SMALL(IF(Tip_Cli=$B$3,ROW(Tip_Cli)-ROW(Facturacion!$AL$4)+1),ROWS(E$8:E8))),"")</f>
        <v>521.80870729999992</v>
      </c>
      <c r="F8" s="4">
        <f t="array" aca="1" ref="F8" ca="1">IF(ROWS(F$8:F8)&lt;=$C$3,INDEX(INDIRECT(F$7),SMALL(IF(Tip_Cli=$B$3,ROW(Tip_Cli)-ROW(Facturacion!$AL$4)+1),ROWS(F$8:F8))),"")</f>
        <v>16.949152542372882</v>
      </c>
      <c r="G8" s="4">
        <f t="array" aca="1" ref="G8" ca="1">IF(ROWS(G$8:G8)&lt;=$C$3,INDEX(INDIRECT(G$7),SMALL(IF(Tip_Cli=$B$3,ROW(Tip_Cli)-ROW(Facturacion!$AL$4)+1),ROWS(G$8:G8))),"")</f>
        <v>82.37</v>
      </c>
      <c r="H8" s="4">
        <f t="array" aca="1" ref="H8" ca="1">IF(ROWS(H$8:H8)&lt;=$C$3,INDEX(INDIRECT(H$7),SMALL(IF(Tip_Cli=$B$3,ROW(Tip_Cli)-ROW(Facturacion!$AL$4)+1),ROWS(H$8:H8))),"")</f>
        <v>40.250250000000001</v>
      </c>
      <c r="I8" s="4">
        <f t="array" aca="1" ref="I8" ca="1">IF(ROWS(I$8:I8)&lt;=$C$3,INDEX(INDIRECT(I$7),SMALL(IF(Tip_Cli=$B$3,ROW(Tip_Cli)-ROW(Facturacion!$AL$4)+1),ROWS(I$8:I8))),"")</f>
        <v>0</v>
      </c>
      <c r="J8" s="4">
        <f t="array" aca="1" ref="J8" ca="1">IF(ROWS(J$8:J8)&lt;=$C$3,INDEX(INDIRECT(J$7),SMALL(IF(Tip_Cli=$B$3,ROW(Tip_Cli)-ROW(Facturacion!$AL$4)+1),ROWS(J$8:J8))),"")</f>
        <v>0</v>
      </c>
      <c r="K8" s="4">
        <f t="array" aca="1" ref="K8" ca="1">IF(ROWS(K$8:K8)&lt;=$C$3,INDEX(INDIRECT(K$7),SMALL(IF(Tip_Cli=$B$3,ROW(Tip_Cli)-ROW(Facturacion!$AL$4)+1),ROWS(K$8:K8))),"")</f>
        <v>0</v>
      </c>
      <c r="L8" s="4">
        <f t="array" aca="1" ref="L8" ca="1">IF(ROWS(L$8:L8)&lt;=$C$3,INDEX(INDIRECT(L$7),SMALL(IF(Tip_Cli=$B$3,ROW(Tip_Cli)-ROW(Facturacion!$AL$4)+1),ROWS(L$8:L8))),"")</f>
        <v>661.37810984237285</v>
      </c>
      <c r="M8" s="4">
        <f t="array" aca="1" ref="M8" ca="1">IF(ROWS(M$8:M8)&lt;=$C$3,INDEX(INDIRECT(M$7),SMALL(IF(Tip_Cli=$B$3,ROW(Tip_Cli)-ROW(Facturacion!$AL$4)+1),ROWS(M$8:M8))),"")</f>
        <v>953.62189015762715</v>
      </c>
      <c r="N8" s="185">
        <f t="array" aca="1" ref="N8" ca="1">IF(ROWS(N$8:N8)&lt;=$C$3,INDEX(INDIRECT(N$7),SMALL(IF(Tip_Cli=$B$3,ROW(Tip_Cli)-ROW(Facturacion!$AL$4)+1),ROWS(N$8:N8))),"")</f>
        <v>0.59047795056199825</v>
      </c>
      <c r="O8" s="24" t="str">
        <f t="array" aca="1" ref="O8" ca="1">IF(ROWS(O$8:O8)&lt;=$C$3,INDEX(INDIRECT(O$7),SMALL(IF(Tip_Cli=$B$3,ROW(Tip_Cli)-ROW(Facturacion!$AL$4)+1),ROWS(O$8:O8))),"")</f>
        <v>ACCESO</v>
      </c>
      <c r="P8" s="24" t="str">
        <f t="array" aca="1" ref="P8" ca="1">IF(ROWS(P$8:P8)&lt;=$C$3,INDEX(INDIRECT(P$7),SMALL(IF(Tip_Cli=$B$3,ROW(Tip_Cli)-ROW(Facturacion!$AL$4)+1),ROWS(P$8:P8))),"")</f>
        <v>MECANICA</v>
      </c>
      <c r="Q8" s="24" t="str">
        <f t="array" aca="1" ref="Q8" ca="1">IF(ROWS(Q$8:Q8)&lt;=$C$3,INDEX(INDIRECT(Q$7),SMALL(IF(Tip_Cli=$B$3,ROW(Tip_Cli)-ROW(Facturacion!$AL$4)+1),ROWS(Q$8:Q8))),"")</f>
        <v>October</v>
      </c>
      <c r="R8" s="186">
        <f t="array" aca="1" ref="R8" ca="1">IF(ROWS(R$8:R8)&lt;=$C$3,INDEX(INDIRECT(R$7),SMALL(IF(Tip_Cli=$B$3,ROW(Tip_Cli)-ROW(Facturacion!$AL$4)+1),ROWS(R$8:R8))),"")</f>
        <v>2019</v>
      </c>
      <c r="S8" s="186">
        <f t="array" aca="1" ref="S8" ca="1">IF(ROWS(S$8:S8)&lt;=$C$3,INDEX(INDIRECT(S$7),SMALL(IF(Tip_Cli=$B$3,ROW(Tip_Cli)-ROW(Facturacion!$AL$4)+1),ROWS(S$8:S8))),"")</f>
        <v>7</v>
      </c>
      <c r="T8" s="186">
        <f t="array" aca="1" ref="T8" ca="1">IF(ROWS(T$8:T8)&lt;=$C$3,INDEX(INDIRECT(T$7),SMALL(IF(Tip_Cli=$B$3,ROW(Tip_Cli)-ROW(Facturacion!$AL$4)+1),ROWS(T$8:T8))),"")</f>
        <v>1</v>
      </c>
      <c r="U8" s="24">
        <f t="array" aca="1" ref="U8" ca="1">IF(ROWS(U$8:U8)&lt;=$C$3,INDEX(INDIRECT(U$7),SMALL(IF(Tip_Cli=$B$3,ROW(Tip_Cli)-ROW(Facturacion!$AL$4)+1),ROWS(U$8:U8))),"")</f>
        <v>43750</v>
      </c>
      <c r="V8" s="24" t="str">
        <f t="array" aca="1" ref="V8" ca="1">IF(ROWS(V$8:V8)&lt;=$C$3,INDEX(INDIRECT(V$7),SMALL(IF(Tip_Cli=$B$3,ROW(Tip_Cli)-ROW(Facturacion!$AL$4)+1),ROWS(V$8:V8))),"")</f>
        <v>AHV-326</v>
      </c>
      <c r="W8" s="24" t="str">
        <f t="array" aca="1" ref="W8" ca="1">IF(ROWS(W$8:W8)&lt;=$C$3,INDEX(INDIRECT(W$7),SMALL(IF(Tip_Cli=$B$3,ROW(Tip_Cli)-ROW(Facturacion!$AL$4)+1),ROWS(W$8:W8))),"")</f>
        <v>VOLKSWAGEN</v>
      </c>
      <c r="X8" s="24" t="str">
        <f t="array" aca="1" ref="X8" ca="1">IF(ROWS(X$8:X8)&lt;=$C$3,INDEX(INDIRECT(X$7),SMALL(IF(Tip_Cli=$B$3,ROW(Tip_Cli)-ROW(Facturacion!$AL$4)+1),ROWS(X$8:X8))),"")</f>
        <v>GOL</v>
      </c>
      <c r="Y8" s="187" t="str">
        <f t="array" aca="1" ref="Y8" ca="1">IF(ROWS(Y$8:Y8)&lt;=$C$3,INDEX(INDIRECT(Y$7),SMALL(IF(Tip_Cli=$B$3,ROW(Tip_Cli)-ROW(Facturacion!$AL$4)+1),ROWS(Y$8:Y8))),"")</f>
        <v>AUTOCLASS S.A.C.</v>
      </c>
    </row>
    <row r="9" spans="2:25" x14ac:dyDescent="0.25">
      <c r="B9" s="24">
        <f t="array" aca="1" ref="B9" ca="1">IF(ROWS(B$8:B9)&lt;=$C$3,INDEX(INDIRECT(B$7),SMALL(IF(Tip_Cli=$B$3,ROW(Tip_Cli)-ROW(Facturacion!$AL$4)+1),ROWS(B$8:B9))),"")</f>
        <v>43757</v>
      </c>
      <c r="C9" s="24" t="str">
        <f t="array" aca="1" ref="C9" ca="1">IF(ROWS(C$8:C9)&lt;=$C$3,INDEX(INDIRECT(C$7),SMALL(IF(Tip_Cli=$B$3,ROW(Tip_Cli)-ROW(Facturacion!$AL$4)+1),ROWS(C$8:C9))),"")</f>
        <v>005-00000038</v>
      </c>
      <c r="D9" s="4">
        <f t="array" aca="1" ref="D9" ca="1">IF(ROWS(D$8:D9)&lt;=$C$3,INDEX(INDIRECT(D$7),SMALL(IF(Tip_Cli=$B$3,ROW(Tip_Cli)-ROW(Facturacion!$AL$4)+1),ROWS(D$8:D9))),"")</f>
        <v>1488</v>
      </c>
      <c r="E9" s="4">
        <f t="array" aca="1" ref="E9" ca="1">IF(ROWS(E$8:E9)&lt;=$C$3,INDEX(INDIRECT(E$7),SMALL(IF(Tip_Cli=$B$3,ROW(Tip_Cli)-ROW(Facturacion!$AL$4)+1),ROWS(E$8:E9))),"")</f>
        <v>771.9944099999999</v>
      </c>
      <c r="F9" s="4">
        <f t="array" aca="1" ref="F9" ca="1">IF(ROWS(F$8:F9)&lt;=$C$3,INDEX(INDIRECT(F$7),SMALL(IF(Tip_Cli=$B$3,ROW(Tip_Cli)-ROW(Facturacion!$AL$4)+1),ROWS(F$8:F9))),"")</f>
        <v>0</v>
      </c>
      <c r="G9" s="4">
        <f t="array" aca="1" ref="G9" ca="1">IF(ROWS(G$8:G9)&lt;=$C$3,INDEX(INDIRECT(G$7),SMALL(IF(Tip_Cli=$B$3,ROW(Tip_Cli)-ROW(Facturacion!$AL$4)+1),ROWS(G$8:G9))),"")</f>
        <v>42.37</v>
      </c>
      <c r="H9" s="4">
        <f t="array" aca="1" ref="H9" ca="1">IF(ROWS(H$8:H9)&lt;=$C$3,INDEX(INDIRECT(H$7),SMALL(IF(Tip_Cli=$B$3,ROW(Tip_Cli)-ROW(Facturacion!$AL$4)+1),ROWS(H$8:H9))),"")</f>
        <v>75.375</v>
      </c>
      <c r="I9" s="4">
        <f t="array" aca="1" ref="I9" ca="1">IF(ROWS(I$8:I9)&lt;=$C$3,INDEX(INDIRECT(I$7),SMALL(IF(Tip_Cli=$B$3,ROW(Tip_Cli)-ROW(Facturacion!$AL$4)+1),ROWS(I$8:I9))),"")</f>
        <v>0</v>
      </c>
      <c r="J9" s="4">
        <f t="array" aca="1" ref="J9" ca="1">IF(ROWS(J$8:J9)&lt;=$C$3,INDEX(INDIRECT(J$7),SMALL(IF(Tip_Cli=$B$3,ROW(Tip_Cli)-ROW(Facturacion!$AL$4)+1),ROWS(J$8:J9))),"")</f>
        <v>0</v>
      </c>
      <c r="K9" s="4">
        <f t="array" aca="1" ref="K9" ca="1">IF(ROWS(K$8:K9)&lt;=$C$3,INDEX(INDIRECT(K$7),SMALL(IF(Tip_Cli=$B$3,ROW(Tip_Cli)-ROW(Facturacion!$AL$4)+1),ROWS(K$8:K9))),"")</f>
        <v>0</v>
      </c>
      <c r="L9" s="4">
        <f t="array" aca="1" ref="L9" ca="1">IF(ROWS(L$8:L9)&lt;=$C$3,INDEX(INDIRECT(L$7),SMALL(IF(Tip_Cli=$B$3,ROW(Tip_Cli)-ROW(Facturacion!$AL$4)+1),ROWS(L$8:L9))),"")</f>
        <v>889.73940999999991</v>
      </c>
      <c r="M9" s="4">
        <f t="array" aca="1" ref="M9" ca="1">IF(ROWS(M$8:M9)&lt;=$C$3,INDEX(INDIRECT(M$7),SMALL(IF(Tip_Cli=$B$3,ROW(Tip_Cli)-ROW(Facturacion!$AL$4)+1),ROWS(M$8:M9))),"")</f>
        <v>598.26059000000009</v>
      </c>
      <c r="N9" s="185">
        <f t="array" aca="1" ref="N9" ca="1">IF(ROWS(N$8:N9)&lt;=$C$3,INDEX(INDIRECT(N$7),SMALL(IF(Tip_Cli=$B$3,ROW(Tip_Cli)-ROW(Facturacion!$AL$4)+1),ROWS(N$8:N9))),"")</f>
        <v>0.40205684811827963</v>
      </c>
      <c r="O9" s="24" t="str">
        <f t="array" aca="1" ref="O9" ca="1">IF(ROWS(O$8:O9)&lt;=$C$3,INDEX(INDIRECT(O$7),SMALL(IF(Tip_Cli=$B$3,ROW(Tip_Cli)-ROW(Facturacion!$AL$4)+1),ROWS(O$8:O9))),"")</f>
        <v>ACCESO</v>
      </c>
      <c r="P9" s="24" t="str">
        <f t="array" aca="1" ref="P9" ca="1">IF(ROWS(P$8:P9)&lt;=$C$3,INDEX(INDIRECT(P$7),SMALL(IF(Tip_Cli=$B$3,ROW(Tip_Cli)-ROW(Facturacion!$AL$4)+1),ROWS(P$8:P9))),"")</f>
        <v>MECANICA</v>
      </c>
      <c r="Q9" s="24" t="str">
        <f t="array" aca="1" ref="Q9" ca="1">IF(ROWS(Q$8:Q9)&lt;=$C$3,INDEX(INDIRECT(Q$7),SMALL(IF(Tip_Cli=$B$3,ROW(Tip_Cli)-ROW(Facturacion!$AL$4)+1),ROWS(Q$8:Q9))),"")</f>
        <v>October</v>
      </c>
      <c r="R9" s="186">
        <f t="array" aca="1" ref="R9" ca="1">IF(ROWS(R$8:R9)&lt;=$C$3,INDEX(INDIRECT(R$7),SMALL(IF(Tip_Cli=$B$3,ROW(Tip_Cli)-ROW(Facturacion!$AL$4)+1),ROWS(R$8:R9))),"")</f>
        <v>2019</v>
      </c>
      <c r="S9" s="186">
        <f t="array" aca="1" ref="S9" ca="1">IF(ROWS(S$8:S9)&lt;=$C$3,INDEX(INDIRECT(S$7),SMALL(IF(Tip_Cli=$B$3,ROW(Tip_Cli)-ROW(Facturacion!$AL$4)+1),ROWS(S$8:S9))),"")</f>
        <v>7</v>
      </c>
      <c r="T9" s="186">
        <f t="array" aca="1" ref="T9" ca="1">IF(ROWS(T$8:T9)&lt;=$C$3,INDEX(INDIRECT(T$7),SMALL(IF(Tip_Cli=$B$3,ROW(Tip_Cli)-ROW(Facturacion!$AL$4)+1),ROWS(T$8:T9))),"")</f>
        <v>1</v>
      </c>
      <c r="U9" s="24">
        <f t="array" aca="1" ref="U9" ca="1">IF(ROWS(U$8:U9)&lt;=$C$3,INDEX(INDIRECT(U$7),SMALL(IF(Tip_Cli=$B$3,ROW(Tip_Cli)-ROW(Facturacion!$AL$4)+1),ROWS(U$8:U9))),"")</f>
        <v>43750</v>
      </c>
      <c r="V9" s="24" t="str">
        <f t="array" aca="1" ref="V9" ca="1">IF(ROWS(V$8:V9)&lt;=$C$3,INDEX(INDIRECT(V$7),SMALL(IF(Tip_Cli=$B$3,ROW(Tip_Cli)-ROW(Facturacion!$AL$4)+1),ROWS(V$8:V9))),"")</f>
        <v>AJF-554</v>
      </c>
      <c r="W9" s="24" t="str">
        <f t="array" aca="1" ref="W9" ca="1">IF(ROWS(W$8:W9)&lt;=$C$3,INDEX(INDIRECT(W$7),SMALL(IF(Tip_Cli=$B$3,ROW(Tip_Cli)-ROW(Facturacion!$AL$4)+1),ROWS(W$8:W9))),"")</f>
        <v>CHEVROLET</v>
      </c>
      <c r="X9" s="24" t="str">
        <f t="array" aca="1" ref="X9" ca="1">IF(ROWS(X$8:X9)&lt;=$C$3,INDEX(INDIRECT(X$7),SMALL(IF(Tip_Cli=$B$3,ROW(Tip_Cli)-ROW(Facturacion!$AL$4)+1),ROWS(X$8:X9))),"")</f>
        <v>SAIL</v>
      </c>
      <c r="Y9" s="187" t="str">
        <f t="array" aca="1" ref="Y9" ca="1">IF(ROWS(Y$8:Y9)&lt;=$C$3,INDEX(INDIRECT(Y$7),SMALL(IF(Tip_Cli=$B$3,ROW(Tip_Cli)-ROW(Facturacion!$AL$4)+1),ROWS(Y$8:Y9))),"")</f>
        <v>AUTOCLASS S.A.C.</v>
      </c>
    </row>
    <row r="10" spans="2:25" x14ac:dyDescent="0.25">
      <c r="B10" s="24">
        <f t="array" aca="1" ref="B10" ca="1">IF(ROWS(B$8:B10)&lt;=$C$3,INDEX(INDIRECT(B$7),SMALL(IF(Tip_Cli=$B$3,ROW(Tip_Cli)-ROW(Facturacion!$AL$4)+1),ROWS(B$8:B10))),"")</f>
        <v>43760</v>
      </c>
      <c r="C10" s="24" t="str">
        <f t="array" aca="1" ref="C10" ca="1">IF(ROWS(C$8:C10)&lt;=$C$3,INDEX(INDIRECT(C$7),SMALL(IF(Tip_Cli=$B$3,ROW(Tip_Cli)-ROW(Facturacion!$AL$4)+1),ROWS(C$8:C10))),"")</f>
        <v>005-00000028</v>
      </c>
      <c r="D10" s="4">
        <f t="array" aca="1" ref="D10" ca="1">IF(ROWS(D$8:D10)&lt;=$C$3,INDEX(INDIRECT(D$7),SMALL(IF(Tip_Cli=$B$3,ROW(Tip_Cli)-ROW(Facturacion!$AL$4)+1),ROWS(D$8:D10))),"")</f>
        <v>2167.7542000000003</v>
      </c>
      <c r="E10" s="4">
        <f t="array" aca="1" ref="E10" ca="1">IF(ROWS(E$8:E10)&lt;=$C$3,INDEX(INDIRECT(E$7),SMALL(IF(Tip_Cli=$B$3,ROW(Tip_Cli)-ROW(Facturacion!$AL$4)+1),ROWS(E$8:E10))),"")</f>
        <v>97.661901199999988</v>
      </c>
      <c r="F10" s="4">
        <f t="array" aca="1" ref="F10" ca="1">IF(ROWS(F$8:F10)&lt;=$C$3,INDEX(INDIRECT(F$7),SMALL(IF(Tip_Cli=$B$3,ROW(Tip_Cli)-ROW(Facturacion!$AL$4)+1),ROWS(F$8:F10))),"")</f>
        <v>0</v>
      </c>
      <c r="G10" s="4">
        <f t="array" aca="1" ref="G10" ca="1">IF(ROWS(G$8:G10)&lt;=$C$3,INDEX(INDIRECT(G$7),SMALL(IF(Tip_Cli=$B$3,ROW(Tip_Cli)-ROW(Facturacion!$AL$4)+1),ROWS(G$8:G10))),"")</f>
        <v>42.37</v>
      </c>
      <c r="H10" s="4">
        <f t="array" aca="1" ref="H10" ca="1">IF(ROWS(H$8:H10)&lt;=$C$3,INDEX(INDIRECT(H$7),SMALL(IF(Tip_Cli=$B$3,ROW(Tip_Cli)-ROW(Facturacion!$AL$4)+1),ROWS(H$8:H10))),"")</f>
        <v>105.52500000000001</v>
      </c>
      <c r="I10" s="4">
        <f t="array" aca="1" ref="I10" ca="1">IF(ROWS(I$8:I10)&lt;=$C$3,INDEX(INDIRECT(I$7),SMALL(IF(Tip_Cli=$B$3,ROW(Tip_Cli)-ROW(Facturacion!$AL$4)+1),ROWS(I$8:I10))),"")</f>
        <v>105.52500000000001</v>
      </c>
      <c r="J10" s="4">
        <f t="array" aca="1" ref="J10" ca="1">IF(ROWS(J$8:J10)&lt;=$C$3,INDEX(INDIRECT(J$7),SMALL(IF(Tip_Cli=$B$3,ROW(Tip_Cli)-ROW(Facturacion!$AL$4)+1),ROWS(J$8:J10))),"")</f>
        <v>580.38750000000005</v>
      </c>
      <c r="K10" s="4">
        <f t="array" aca="1" ref="K10" ca="1">IF(ROWS(K$8:K10)&lt;=$C$3,INDEX(INDIRECT(K$7),SMALL(IF(Tip_Cli=$B$3,ROW(Tip_Cli)-ROW(Facturacion!$AL$4)+1),ROWS(K$8:K10))),"")</f>
        <v>0</v>
      </c>
      <c r="L10" s="4">
        <f t="array" aca="1" ref="L10" ca="1">IF(ROWS(L$8:L10)&lt;=$C$3,INDEX(INDIRECT(L$7),SMALL(IF(Tip_Cli=$B$3,ROW(Tip_Cli)-ROW(Facturacion!$AL$4)+1),ROWS(L$8:L10))),"")</f>
        <v>931.46940119999999</v>
      </c>
      <c r="M10" s="4">
        <f t="array" aca="1" ref="M10" ca="1">IF(ROWS(M$8:M10)&lt;=$C$3,INDEX(INDIRECT(M$7),SMALL(IF(Tip_Cli=$B$3,ROW(Tip_Cli)-ROW(Facturacion!$AL$4)+1),ROWS(M$8:M10))),"")</f>
        <v>1236.2847988000003</v>
      </c>
      <c r="N10" s="185">
        <f t="array" aca="1" ref="N10" ca="1">IF(ROWS(N$8:N10)&lt;=$C$3,INDEX(INDIRECT(N$7),SMALL(IF(Tip_Cli=$B$3,ROW(Tip_Cli)-ROW(Facturacion!$AL$4)+1),ROWS(N$8:N10))),"")</f>
        <v>0.57030672518129599</v>
      </c>
      <c r="O10" s="24" t="str">
        <f t="array" aca="1" ref="O10" ca="1">IF(ROWS(O$8:O10)&lt;=$C$3,INDEX(INDIRECT(O$7),SMALL(IF(Tip_Cli=$B$3,ROW(Tip_Cli)-ROW(Facturacion!$AL$4)+1),ROWS(O$8:O10))),"")</f>
        <v>ACCESO</v>
      </c>
      <c r="P10" s="24" t="str">
        <f t="array" aca="1" ref="P10" ca="1">IF(ROWS(P$8:P10)&lt;=$C$3,INDEX(INDIRECT(P$7),SMALL(IF(Tip_Cli=$B$3,ROW(Tip_Cli)-ROW(Facturacion!$AL$4)+1),ROWS(P$8:P10))),"")</f>
        <v>LEVE</v>
      </c>
      <c r="Q10" s="24" t="str">
        <f t="array" aca="1" ref="Q10" ca="1">IF(ROWS(Q$8:Q10)&lt;=$C$3,INDEX(INDIRECT(Q$7),SMALL(IF(Tip_Cli=$B$3,ROW(Tip_Cli)-ROW(Facturacion!$AL$4)+1),ROWS(Q$8:Q10))),"")</f>
        <v>October</v>
      </c>
      <c r="R10" s="186">
        <f t="array" aca="1" ref="R10" ca="1">IF(ROWS(R$8:R10)&lt;=$C$3,INDEX(INDIRECT(R$7),SMALL(IF(Tip_Cli=$B$3,ROW(Tip_Cli)-ROW(Facturacion!$AL$4)+1),ROWS(R$8:R10))),"")</f>
        <v>2019</v>
      </c>
      <c r="S10" s="186">
        <f t="array" aca="1" ref="S10" ca="1">IF(ROWS(S$8:S10)&lt;=$C$3,INDEX(INDIRECT(S$7),SMALL(IF(Tip_Cli=$B$3,ROW(Tip_Cli)-ROW(Facturacion!$AL$4)+1),ROWS(S$8:S10))),"")</f>
        <v>13</v>
      </c>
      <c r="T10" s="186">
        <f t="array" aca="1" ref="T10" ca="1">IF(ROWS(T$8:T10)&lt;=$C$3,INDEX(INDIRECT(T$7),SMALL(IF(Tip_Cli=$B$3,ROW(Tip_Cli)-ROW(Facturacion!$AL$4)+1),ROWS(T$8:T10))),"")</f>
        <v>1</v>
      </c>
      <c r="U10" s="24">
        <f t="array" aca="1" ref="U10" ca="1">IF(ROWS(U$8:U10)&lt;=$C$3,INDEX(INDIRECT(U$7),SMALL(IF(Tip_Cli=$B$3,ROW(Tip_Cli)-ROW(Facturacion!$AL$4)+1),ROWS(U$8:U10))),"")</f>
        <v>43747</v>
      </c>
      <c r="V10" s="24" t="str">
        <f t="array" aca="1" ref="V10" ca="1">IF(ROWS(V$8:V10)&lt;=$C$3,INDEX(INDIRECT(V$7),SMALL(IF(Tip_Cli=$B$3,ROW(Tip_Cli)-ROW(Facturacion!$AL$4)+1),ROWS(V$8:V10))),"")</f>
        <v>BBH-363</v>
      </c>
      <c r="W10" s="24" t="str">
        <f t="array" aca="1" ref="W10" ca="1">IF(ROWS(W$8:W10)&lt;=$C$3,INDEX(INDIRECT(W$7),SMALL(IF(Tip_Cli=$B$3,ROW(Tip_Cli)-ROW(Facturacion!$AL$4)+1),ROWS(W$8:W10))),"")</f>
        <v>KIA</v>
      </c>
      <c r="X10" s="24" t="str">
        <f t="array" aca="1" ref="X10" ca="1">IF(ROWS(X$8:X10)&lt;=$C$3,INDEX(INDIRECT(X$7),SMALL(IF(Tip_Cli=$B$3,ROW(Tip_Cli)-ROW(Facturacion!$AL$4)+1),ROWS(X$8:X10))),"")</f>
        <v>RIO</v>
      </c>
      <c r="Y10" s="187" t="str">
        <f t="array" aca="1" ref="Y10" ca="1">IF(ROWS(Y$8:Y10)&lt;=$C$3,INDEX(INDIRECT(Y$7),SMALL(IF(Tip_Cli=$B$3,ROW(Tip_Cli)-ROW(Facturacion!$AL$4)+1),ROWS(Y$8:Y10))),"")</f>
        <v>AUTOCLASS S.A.C.</v>
      </c>
    </row>
    <row r="11" spans="2:25" x14ac:dyDescent="0.25">
      <c r="B11" s="24">
        <f t="array" aca="1" ref="B11" ca="1">IF(ROWS(B$8:B11)&lt;=$C$3,INDEX(INDIRECT(B$7),SMALL(IF(Tip_Cli=$B$3,ROW(Tip_Cli)-ROW(Facturacion!$AL$4)+1),ROWS(B$8:B11))),"")</f>
        <v>43761</v>
      </c>
      <c r="C11" s="24" t="str">
        <f t="array" aca="1" ref="C11" ca="1">IF(ROWS(C$8:C11)&lt;=$C$3,INDEX(INDIRECT(C$7),SMALL(IF(Tip_Cli=$B$3,ROW(Tip_Cli)-ROW(Facturacion!$AL$4)+1),ROWS(C$8:C11))),"")</f>
        <v>005-00000016</v>
      </c>
      <c r="D11" s="4">
        <f t="array" aca="1" ref="D11" ca="1">IF(ROWS(D$8:D11)&lt;=$C$3,INDEX(INDIRECT(D$7),SMALL(IF(Tip_Cli=$B$3,ROW(Tip_Cli)-ROW(Facturacion!$AL$4)+1),ROWS(D$8:D11))),"")</f>
        <v>5172</v>
      </c>
      <c r="E11" s="4">
        <f t="array" aca="1" ref="E11" ca="1">IF(ROWS(E$8:E11)&lt;=$C$3,INDEX(INDIRECT(E$7),SMALL(IF(Tip_Cli=$B$3,ROW(Tip_Cli)-ROW(Facturacion!$AL$4)+1),ROWS(E$8:E11))),"")</f>
        <v>2097.2683343999997</v>
      </c>
      <c r="F11" s="4">
        <f t="array" aca="1" ref="F11" ca="1">IF(ROWS(F$8:F11)&lt;=$C$3,INDEX(INDIRECT(F$7),SMALL(IF(Tip_Cli=$B$3,ROW(Tip_Cli)-ROW(Facturacion!$AL$4)+1),ROWS(F$8:F11))),"")</f>
        <v>0</v>
      </c>
      <c r="G11" s="4">
        <f t="array" aca="1" ref="G11" ca="1">IF(ROWS(G$8:G11)&lt;=$C$3,INDEX(INDIRECT(G$7),SMALL(IF(Tip_Cli=$B$3,ROW(Tip_Cli)-ROW(Facturacion!$AL$4)+1),ROWS(G$8:G11))),"")</f>
        <v>53.672881355932205</v>
      </c>
      <c r="H11" s="4">
        <f t="array" aca="1" ref="H11" ca="1">IF(ROWS(H$8:H11)&lt;=$C$3,INDEX(INDIRECT(H$7),SMALL(IF(Tip_Cli=$B$3,ROW(Tip_Cli)-ROW(Facturacion!$AL$4)+1),ROWS(H$8:H11))),"")</f>
        <v>135.67500000000001</v>
      </c>
      <c r="I11" s="4">
        <f t="array" aca="1" ref="I11" ca="1">IF(ROWS(I$8:I11)&lt;=$C$3,INDEX(INDIRECT(I$7),SMALL(IF(Tip_Cli=$B$3,ROW(Tip_Cli)-ROW(Facturacion!$AL$4)+1),ROWS(I$8:I11))),"")</f>
        <v>180.9</v>
      </c>
      <c r="J11" s="4">
        <f t="array" aca="1" ref="J11" ca="1">IF(ROWS(J$8:J11)&lt;=$C$3,INDEX(INDIRECT(J$7),SMALL(IF(Tip_Cli=$B$3,ROW(Tip_Cli)-ROW(Facturacion!$AL$4)+1),ROWS(J$8:J11))),"")</f>
        <v>703.5</v>
      </c>
      <c r="K11" s="4">
        <f t="array" aca="1" ref="K11" ca="1">IF(ROWS(K$8:K11)&lt;=$C$3,INDEX(INDIRECT(K$7),SMALL(IF(Tip_Cli=$B$3,ROW(Tip_Cli)-ROW(Facturacion!$AL$4)+1),ROWS(K$8:K11))),"")</f>
        <v>0</v>
      </c>
      <c r="L11" s="4">
        <f t="array" aca="1" ref="L11" ca="1">IF(ROWS(L$8:L11)&lt;=$C$3,INDEX(INDIRECT(L$7),SMALL(IF(Tip_Cli=$B$3,ROW(Tip_Cli)-ROW(Facturacion!$AL$4)+1),ROWS(L$8:L11))),"")</f>
        <v>3171.0162157559321</v>
      </c>
      <c r="M11" s="4">
        <f t="array" aca="1" ref="M11" ca="1">IF(ROWS(M$8:M11)&lt;=$C$3,INDEX(INDIRECT(M$7),SMALL(IF(Tip_Cli=$B$3,ROW(Tip_Cli)-ROW(Facturacion!$AL$4)+1),ROWS(M$8:M11))),"")</f>
        <v>2000.9837842440679</v>
      </c>
      <c r="N11" s="185">
        <f t="array" aca="1" ref="N11" ca="1">IF(ROWS(N$8:N11)&lt;=$C$3,INDEX(INDIRECT(N$7),SMALL(IF(Tip_Cli=$B$3,ROW(Tip_Cli)-ROW(Facturacion!$AL$4)+1),ROWS(N$8:N11))),"")</f>
        <v>0.38688781597913147</v>
      </c>
      <c r="O11" s="24" t="str">
        <f t="array" aca="1" ref="O11" ca="1">IF(ROWS(O$8:O11)&lt;=$C$3,INDEX(INDIRECT(O$7),SMALL(IF(Tip_Cli=$B$3,ROW(Tip_Cli)-ROW(Facturacion!$AL$4)+1),ROWS(O$8:O11))),"")</f>
        <v>ACCESO</v>
      </c>
      <c r="P11" s="24" t="str">
        <f t="array" aca="1" ref="P11" ca="1">IF(ROWS(P$8:P11)&lt;=$C$3,INDEX(INDIRECT(P$7),SMALL(IF(Tip_Cli=$B$3,ROW(Tip_Cli)-ROW(Facturacion!$AL$4)+1),ROWS(P$8:P11))),"")</f>
        <v>MEDIANO</v>
      </c>
      <c r="Q11" s="24" t="str">
        <f t="array" aca="1" ref="Q11" ca="1">IF(ROWS(Q$8:Q11)&lt;=$C$3,INDEX(INDIRECT(Q$7),SMALL(IF(Tip_Cli=$B$3,ROW(Tip_Cli)-ROW(Facturacion!$AL$4)+1),ROWS(Q$8:Q11))),"")</f>
        <v>October</v>
      </c>
      <c r="R11" s="186">
        <f t="array" aca="1" ref="R11" ca="1">IF(ROWS(R$8:R11)&lt;=$C$3,INDEX(INDIRECT(R$7),SMALL(IF(Tip_Cli=$B$3,ROW(Tip_Cli)-ROW(Facturacion!$AL$4)+1),ROWS(R$8:R11))),"")</f>
        <v>2019</v>
      </c>
      <c r="S11" s="186">
        <f t="array" aca="1" ref="S11" ca="1">IF(ROWS(S$8:S11)&lt;=$C$3,INDEX(INDIRECT(S$7),SMALL(IF(Tip_Cli=$B$3,ROW(Tip_Cli)-ROW(Facturacion!$AL$4)+1),ROWS(S$8:S11))),"")</f>
        <v>18</v>
      </c>
      <c r="T11" s="186">
        <f t="array" aca="1" ref="T11" ca="1">IF(ROWS(T$8:T11)&lt;=$C$3,INDEX(INDIRECT(T$7),SMALL(IF(Tip_Cli=$B$3,ROW(Tip_Cli)-ROW(Facturacion!$AL$4)+1),ROWS(T$8:T11))),"")</f>
        <v>1</v>
      </c>
      <c r="U11" s="24">
        <f t="array" aca="1" ref="U11" ca="1">IF(ROWS(U$8:U11)&lt;=$C$3,INDEX(INDIRECT(U$7),SMALL(IF(Tip_Cli=$B$3,ROW(Tip_Cli)-ROW(Facturacion!$AL$4)+1),ROWS(U$8:U11))),"")</f>
        <v>43743</v>
      </c>
      <c r="V11" s="24" t="str">
        <f t="array" aca="1" ref="V11" ca="1">IF(ROWS(V$8:V11)&lt;=$C$3,INDEX(INDIRECT(V$7),SMALL(IF(Tip_Cli=$B$3,ROW(Tip_Cli)-ROW(Facturacion!$AL$4)+1),ROWS(V$8:V11))),"")</f>
        <v>AUK-009</v>
      </c>
      <c r="W11" s="24" t="str">
        <f t="array" aca="1" ref="W11" ca="1">IF(ROWS(W$8:W11)&lt;=$C$3,INDEX(INDIRECT(W$7),SMALL(IF(Tip_Cli=$B$3,ROW(Tip_Cli)-ROW(Facturacion!$AL$4)+1),ROWS(W$8:W11))),"")</f>
        <v>KIA</v>
      </c>
      <c r="X11" s="24" t="str">
        <f t="array" aca="1" ref="X11" ca="1">IF(ROWS(X$8:X11)&lt;=$C$3,INDEX(INDIRECT(X$7),SMALL(IF(Tip_Cli=$B$3,ROW(Tip_Cli)-ROW(Facturacion!$AL$4)+1),ROWS(X$8:X11))),"")</f>
        <v>RIO</v>
      </c>
      <c r="Y11" s="187" t="str">
        <f t="array" aca="1" ref="Y11" ca="1">IF(ROWS(Y$8:Y11)&lt;=$C$3,INDEX(INDIRECT(Y$7),SMALL(IF(Tip_Cli=$B$3,ROW(Tip_Cli)-ROW(Facturacion!$AL$4)+1),ROWS(Y$8:Y11))),"")</f>
        <v>AUTOCLASS S.A.C.</v>
      </c>
    </row>
    <row r="12" spans="2:25" x14ac:dyDescent="0.25">
      <c r="B12" s="24">
        <f t="array" aca="1" ref="B12" ca="1">IF(ROWS(B$8:B12)&lt;=$C$3,INDEX(INDIRECT(B$7),SMALL(IF(Tip_Cli=$B$3,ROW(Tip_Cli)-ROW(Facturacion!$AL$4)+1),ROWS(B$8:B12))),"")</f>
        <v>43761</v>
      </c>
      <c r="C12" s="24" t="str">
        <f t="array" aca="1" ref="C12" ca="1">IF(ROWS(C$8:C12)&lt;=$C$3,INDEX(INDIRECT(C$7),SMALL(IF(Tip_Cli=$B$3,ROW(Tip_Cli)-ROW(Facturacion!$AL$4)+1),ROWS(C$8:C12))),"")</f>
        <v>005-00000026</v>
      </c>
      <c r="D12" s="4">
        <f t="array" aca="1" ref="D12" ca="1">IF(ROWS(D$8:D12)&lt;=$C$3,INDEX(INDIRECT(D$7),SMALL(IF(Tip_Cli=$B$3,ROW(Tip_Cli)-ROW(Facturacion!$AL$4)+1),ROWS(D$8:D12))),"")</f>
        <v>4922.6017000000002</v>
      </c>
      <c r="E12" s="4">
        <f t="array" aca="1" ref="E12" ca="1">IF(ROWS(E$8:E12)&lt;=$C$3,INDEX(INDIRECT(E$7),SMALL(IF(Tip_Cli=$B$3,ROW(Tip_Cli)-ROW(Facturacion!$AL$4)+1),ROWS(E$8:E12))),"")</f>
        <v>988.26797169999986</v>
      </c>
      <c r="F12" s="4">
        <f t="array" aca="1" ref="F12" ca="1">IF(ROWS(F$8:F12)&lt;=$C$3,INDEX(INDIRECT(F$7),SMALL(IF(Tip_Cli=$B$3,ROW(Tip_Cli)-ROW(Facturacion!$AL$4)+1),ROWS(F$8:F12))),"")</f>
        <v>0</v>
      </c>
      <c r="G12" s="4">
        <f t="array" aca="1" ref="G12" ca="1">IF(ROWS(G$8:G12)&lt;=$C$3,INDEX(INDIRECT(G$7),SMALL(IF(Tip_Cli=$B$3,ROW(Tip_Cli)-ROW(Facturacion!$AL$4)+1),ROWS(G$8:G12))),"")</f>
        <v>125.71000000000001</v>
      </c>
      <c r="H12" s="4">
        <f t="array" aca="1" ref="H12" ca="1">IF(ROWS(H$8:H12)&lt;=$C$3,INDEX(INDIRECT(H$7),SMALL(IF(Tip_Cli=$B$3,ROW(Tip_Cli)-ROW(Facturacion!$AL$4)+1),ROWS(H$8:H12))),"")</f>
        <v>105.52500000000001</v>
      </c>
      <c r="I12" s="4">
        <f t="array" aca="1" ref="I12" ca="1">IF(ROWS(I$8:I12)&lt;=$C$3,INDEX(INDIRECT(I$7),SMALL(IF(Tip_Cli=$B$3,ROW(Tip_Cli)-ROW(Facturacion!$AL$4)+1),ROWS(I$8:I12))),"")</f>
        <v>256.27500000000003</v>
      </c>
      <c r="J12" s="4">
        <f t="array" aca="1" ref="J12" ca="1">IF(ROWS(J$8:J12)&lt;=$C$3,INDEX(INDIRECT(J$7),SMALL(IF(Tip_Cli=$B$3,ROW(Tip_Cli)-ROW(Facturacion!$AL$4)+1),ROWS(J$8:J12))),"")</f>
        <v>914.55000000000007</v>
      </c>
      <c r="K12" s="4">
        <f t="array" aca="1" ref="K12" ca="1">IF(ROWS(K$8:K12)&lt;=$C$3,INDEX(INDIRECT(K$7),SMALL(IF(Tip_Cli=$B$3,ROW(Tip_Cli)-ROW(Facturacion!$AL$4)+1),ROWS(K$8:K12))),"")</f>
        <v>0</v>
      </c>
      <c r="L12" s="4">
        <f t="array" aca="1" ref="L12" ca="1">IF(ROWS(L$8:L12)&lt;=$C$3,INDEX(INDIRECT(L$7),SMALL(IF(Tip_Cli=$B$3,ROW(Tip_Cli)-ROW(Facturacion!$AL$4)+1),ROWS(L$8:L12))),"")</f>
        <v>2390.3279717</v>
      </c>
      <c r="M12" s="4">
        <f t="array" aca="1" ref="M12" ca="1">IF(ROWS(M$8:M12)&lt;=$C$3,INDEX(INDIRECT(M$7),SMALL(IF(Tip_Cli=$B$3,ROW(Tip_Cli)-ROW(Facturacion!$AL$4)+1),ROWS(M$8:M12))),"")</f>
        <v>2532.2737283000001</v>
      </c>
      <c r="N12" s="185">
        <f t="array" aca="1" ref="N12" ca="1">IF(ROWS(N$8:N12)&lt;=$C$3,INDEX(INDIRECT(N$7),SMALL(IF(Tip_Cli=$B$3,ROW(Tip_Cli)-ROW(Facturacion!$AL$4)+1),ROWS(N$8:N12))),"")</f>
        <v>0.51441775764632758</v>
      </c>
      <c r="O12" s="24" t="str">
        <f t="array" aca="1" ref="O12" ca="1">IF(ROWS(O$8:O12)&lt;=$C$3,INDEX(INDIRECT(O$7),SMALL(IF(Tip_Cli=$B$3,ROW(Tip_Cli)-ROW(Facturacion!$AL$4)+1),ROWS(O$8:O12))),"")</f>
        <v>ACCESO</v>
      </c>
      <c r="P12" s="24" t="str">
        <f t="array" aca="1" ref="P12" ca="1">IF(ROWS(P$8:P12)&lt;=$C$3,INDEX(INDIRECT(P$7),SMALL(IF(Tip_Cli=$B$3,ROW(Tip_Cli)-ROW(Facturacion!$AL$4)+1),ROWS(P$8:P12))),"")</f>
        <v>GRAVE</v>
      </c>
      <c r="Q12" s="24" t="str">
        <f t="array" aca="1" ref="Q12" ca="1">IF(ROWS(Q$8:Q12)&lt;=$C$3,INDEX(INDIRECT(Q$7),SMALL(IF(Tip_Cli=$B$3,ROW(Tip_Cli)-ROW(Facturacion!$AL$4)+1),ROWS(Q$8:Q12))),"")</f>
        <v>October</v>
      </c>
      <c r="R12" s="186">
        <f t="array" aca="1" ref="R12" ca="1">IF(ROWS(R$8:R12)&lt;=$C$3,INDEX(INDIRECT(R$7),SMALL(IF(Tip_Cli=$B$3,ROW(Tip_Cli)-ROW(Facturacion!$AL$4)+1),ROWS(R$8:R12))),"")</f>
        <v>2019</v>
      </c>
      <c r="S12" s="186">
        <f t="array" aca="1" ref="S12" ca="1">IF(ROWS(S$8:S12)&lt;=$C$3,INDEX(INDIRECT(S$7),SMALL(IF(Tip_Cli=$B$3,ROW(Tip_Cli)-ROW(Facturacion!$AL$4)+1),ROWS(S$8:S12))),"")</f>
        <v>14</v>
      </c>
      <c r="T12" s="186">
        <f t="array" aca="1" ref="T12" ca="1">IF(ROWS(T$8:T12)&lt;=$C$3,INDEX(INDIRECT(T$7),SMALL(IF(Tip_Cli=$B$3,ROW(Tip_Cli)-ROW(Facturacion!$AL$4)+1),ROWS(T$8:T12))),"")</f>
        <v>1</v>
      </c>
      <c r="U12" s="24">
        <f t="array" aca="1" ref="U12" ca="1">IF(ROWS(U$8:U12)&lt;=$C$3,INDEX(INDIRECT(U$7),SMALL(IF(Tip_Cli=$B$3,ROW(Tip_Cli)-ROW(Facturacion!$AL$4)+1),ROWS(U$8:U12))),"")</f>
        <v>43747</v>
      </c>
      <c r="V12" s="24" t="str">
        <f t="array" aca="1" ref="V12" ca="1">IF(ROWS(V$8:V12)&lt;=$C$3,INDEX(INDIRECT(V$7),SMALL(IF(Tip_Cli=$B$3,ROW(Tip_Cli)-ROW(Facturacion!$AL$4)+1),ROWS(V$8:V12))),"")</f>
        <v>BEN-484</v>
      </c>
      <c r="W12" s="24" t="str">
        <f t="array" aca="1" ref="W12" ca="1">IF(ROWS(W$8:W12)&lt;=$C$3,INDEX(INDIRECT(W$7),SMALL(IF(Tip_Cli=$B$3,ROW(Tip_Cli)-ROW(Facturacion!$AL$4)+1),ROWS(W$8:W12))),"")</f>
        <v>CHEVROLET</v>
      </c>
      <c r="X12" s="24" t="str">
        <f t="array" aca="1" ref="X12" ca="1">IF(ROWS(X$8:X12)&lt;=$C$3,INDEX(INDIRECT(X$7),SMALL(IF(Tip_Cli=$B$3,ROW(Tip_Cli)-ROW(Facturacion!$AL$4)+1),ROWS(X$8:X12))),"")</f>
        <v>SAIL</v>
      </c>
      <c r="Y12" s="187" t="str">
        <f t="array" aca="1" ref="Y12" ca="1">IF(ROWS(Y$8:Y12)&lt;=$C$3,INDEX(INDIRECT(Y$7),SMALL(IF(Tip_Cli=$B$3,ROW(Tip_Cli)-ROW(Facturacion!$AL$4)+1),ROWS(Y$8:Y12))),"")</f>
        <v>AUTOCLASS S.A.C.</v>
      </c>
    </row>
    <row r="13" spans="2:25" x14ac:dyDescent="0.25">
      <c r="B13" s="24">
        <f t="array" aca="1" ref="B13" ca="1">IF(ROWS(B$8:B13)&lt;=$C$3,INDEX(INDIRECT(B$7),SMALL(IF(Tip_Cli=$B$3,ROW(Tip_Cli)-ROW(Facturacion!$AL$4)+1),ROWS(B$8:B13))),"")</f>
        <v>43766</v>
      </c>
      <c r="C13" s="24" t="str">
        <f t="array" aca="1" ref="C13" ca="1">IF(ROWS(C$8:C13)&lt;=$C$3,INDEX(INDIRECT(C$7),SMALL(IF(Tip_Cli=$B$3,ROW(Tip_Cli)-ROW(Facturacion!$AL$4)+1),ROWS(C$8:C13))),"")</f>
        <v>005-00000017</v>
      </c>
      <c r="D13" s="4">
        <f t="array" aca="1" ref="D13" ca="1">IF(ROWS(D$8:D13)&lt;=$C$3,INDEX(INDIRECT(D$7),SMALL(IF(Tip_Cli=$B$3,ROW(Tip_Cli)-ROW(Facturacion!$AL$4)+1),ROWS(D$8:D13))),"")</f>
        <v>6205.2542000000003</v>
      </c>
      <c r="E13" s="4">
        <f t="array" aca="1" ref="E13" ca="1">IF(ROWS(E$8:E13)&lt;=$C$3,INDEX(INDIRECT(E$7),SMALL(IF(Tip_Cli=$B$3,ROW(Tip_Cli)-ROW(Facturacion!$AL$4)+1),ROWS(E$8:E13))),"")</f>
        <v>951.58547179999994</v>
      </c>
      <c r="F13" s="4">
        <f t="array" aca="1" ref="F13" ca="1">IF(ROWS(F$8:F13)&lt;=$C$3,INDEX(INDIRECT(F$7),SMALL(IF(Tip_Cli=$B$3,ROW(Tip_Cli)-ROW(Facturacion!$AL$4)+1),ROWS(F$8:F13))),"")</f>
        <v>0</v>
      </c>
      <c r="G13" s="4">
        <f t="array" aca="1" ref="G13" ca="1">IF(ROWS(G$8:G13)&lt;=$C$3,INDEX(INDIRECT(G$7),SMALL(IF(Tip_Cli=$B$3,ROW(Tip_Cli)-ROW(Facturacion!$AL$4)+1),ROWS(G$8:G13))),"")</f>
        <v>145.59372881355932</v>
      </c>
      <c r="H13" s="4">
        <f t="array" aca="1" ref="H13" ca="1">IF(ROWS(H$8:H13)&lt;=$C$3,INDEX(INDIRECT(H$7),SMALL(IF(Tip_Cli=$B$3,ROW(Tip_Cli)-ROW(Facturacion!$AL$4)+1),ROWS(H$8:H13))),"")</f>
        <v>120.60000000000001</v>
      </c>
      <c r="I13" s="4">
        <f t="array" aca="1" ref="I13" ca="1">IF(ROWS(I$8:I13)&lt;=$C$3,INDEX(INDIRECT(I$7),SMALL(IF(Tip_Cli=$B$3,ROW(Tip_Cli)-ROW(Facturacion!$AL$4)+1),ROWS(I$8:I13))),"")</f>
        <v>452.25</v>
      </c>
      <c r="J13" s="4">
        <f t="array" aca="1" ref="J13" ca="1">IF(ROWS(J$8:J13)&lt;=$C$3,INDEX(INDIRECT(J$7),SMALL(IF(Tip_Cli=$B$3,ROW(Tip_Cli)-ROW(Facturacion!$AL$4)+1),ROWS(J$8:J13))),"")</f>
        <v>949.72500000000002</v>
      </c>
      <c r="K13" s="4">
        <f t="array" aca="1" ref="K13" ca="1">IF(ROWS(K$8:K13)&lt;=$C$3,INDEX(INDIRECT(K$7),SMALL(IF(Tip_Cli=$B$3,ROW(Tip_Cli)-ROW(Facturacion!$AL$4)+1),ROWS(K$8:K13))),"")</f>
        <v>0</v>
      </c>
      <c r="L13" s="4">
        <f t="array" aca="1" ref="L13" ca="1">IF(ROWS(L$8:L13)&lt;=$C$3,INDEX(INDIRECT(L$7),SMALL(IF(Tip_Cli=$B$3,ROW(Tip_Cli)-ROW(Facturacion!$AL$4)+1),ROWS(L$8:L13))),"")</f>
        <v>2619.7542006135591</v>
      </c>
      <c r="M13" s="4">
        <f t="array" aca="1" ref="M13" ca="1">IF(ROWS(M$8:M13)&lt;=$C$3,INDEX(INDIRECT(M$7),SMALL(IF(Tip_Cli=$B$3,ROW(Tip_Cli)-ROW(Facturacion!$AL$4)+1),ROWS(M$8:M13))),"")</f>
        <v>3585.4999993864412</v>
      </c>
      <c r="N13" s="185">
        <f t="array" aca="1" ref="N13" ca="1">IF(ROWS(N$8:N13)&lt;=$C$3,INDEX(INDIRECT(N$7),SMALL(IF(Tip_Cli=$B$3,ROW(Tip_Cli)-ROW(Facturacion!$AL$4)+1),ROWS(N$8:N13))),"")</f>
        <v>0.57781677975197876</v>
      </c>
      <c r="O13" s="24" t="str">
        <f t="array" aca="1" ref="O13" ca="1">IF(ROWS(O$8:O13)&lt;=$C$3,INDEX(INDIRECT(O$7),SMALL(IF(Tip_Cli=$B$3,ROW(Tip_Cli)-ROW(Facturacion!$AL$4)+1),ROWS(O$8:O13))),"")</f>
        <v>ACCESO</v>
      </c>
      <c r="P13" s="24" t="str">
        <f t="array" aca="1" ref="P13" ca="1">IF(ROWS(P$8:P13)&lt;=$C$3,INDEX(INDIRECT(P$7),SMALL(IF(Tip_Cli=$B$3,ROW(Tip_Cli)-ROW(Facturacion!$AL$4)+1),ROWS(P$8:P13))),"")</f>
        <v>GRAVE</v>
      </c>
      <c r="Q13" s="24" t="str">
        <f t="array" aca="1" ref="Q13" ca="1">IF(ROWS(Q$8:Q13)&lt;=$C$3,INDEX(INDIRECT(Q$7),SMALL(IF(Tip_Cli=$B$3,ROW(Tip_Cli)-ROW(Facturacion!$AL$4)+1),ROWS(Q$8:Q13))),"")</f>
        <v>October</v>
      </c>
      <c r="R13" s="186">
        <f t="array" aca="1" ref="R13" ca="1">IF(ROWS(R$8:R13)&lt;=$C$3,INDEX(INDIRECT(R$7),SMALL(IF(Tip_Cli=$B$3,ROW(Tip_Cli)-ROW(Facturacion!$AL$4)+1),ROWS(R$8:R13))),"")</f>
        <v>2019</v>
      </c>
      <c r="S13" s="186">
        <f t="array" aca="1" ref="S13" ca="1">IF(ROWS(S$8:S13)&lt;=$C$3,INDEX(INDIRECT(S$7),SMALL(IF(Tip_Cli=$B$3,ROW(Tip_Cli)-ROW(Facturacion!$AL$4)+1),ROWS(S$8:S13))),"")</f>
        <v>21</v>
      </c>
      <c r="T13" s="186">
        <f t="array" aca="1" ref="T13" ca="1">IF(ROWS(T$8:T13)&lt;=$C$3,INDEX(INDIRECT(T$7),SMALL(IF(Tip_Cli=$B$3,ROW(Tip_Cli)-ROW(Facturacion!$AL$4)+1),ROWS(T$8:T13))),"")</f>
        <v>1</v>
      </c>
      <c r="U13" s="24">
        <f t="array" aca="1" ref="U13" ca="1">IF(ROWS(U$8:U13)&lt;=$C$3,INDEX(INDIRECT(U$7),SMALL(IF(Tip_Cli=$B$3,ROW(Tip_Cli)-ROW(Facturacion!$AL$4)+1),ROWS(U$8:U13))),"")</f>
        <v>43745</v>
      </c>
      <c r="V13" s="24" t="str">
        <f t="array" aca="1" ref="V13" ca="1">IF(ROWS(V$8:V13)&lt;=$C$3,INDEX(INDIRECT(V$7),SMALL(IF(Tip_Cli=$B$3,ROW(Tip_Cli)-ROW(Facturacion!$AL$4)+1),ROWS(V$8:V13))),"")</f>
        <v>ATK-580</v>
      </c>
      <c r="W13" s="24" t="str">
        <f t="array" aca="1" ref="W13" ca="1">IF(ROWS(W$8:W13)&lt;=$C$3,INDEX(INDIRECT(W$7),SMALL(IF(Tip_Cli=$B$3,ROW(Tip_Cli)-ROW(Facturacion!$AL$4)+1),ROWS(W$8:W13))),"")</f>
        <v>KIA</v>
      </c>
      <c r="X13" s="24" t="str">
        <f t="array" aca="1" ref="X13" ca="1">IF(ROWS(X$8:X13)&lt;=$C$3,INDEX(INDIRECT(X$7),SMALL(IF(Tip_Cli=$B$3,ROW(Tip_Cli)-ROW(Facturacion!$AL$4)+1),ROWS(X$8:X13))),"")</f>
        <v>CERATO</v>
      </c>
      <c r="Y13" s="187" t="str">
        <f t="array" aca="1" ref="Y13" ca="1">IF(ROWS(Y$8:Y13)&lt;=$C$3,INDEX(INDIRECT(Y$7),SMALL(IF(Tip_Cli=$B$3,ROW(Tip_Cli)-ROW(Facturacion!$AL$4)+1),ROWS(Y$8:Y13))),"")</f>
        <v>AUTOCLASS S.A.C.</v>
      </c>
    </row>
    <row r="14" spans="2:25" x14ac:dyDescent="0.25">
      <c r="B14" s="24">
        <f t="array" aca="1" ref="B14" ca="1">IF(ROWS(B$8:B14)&lt;=$C$3,INDEX(INDIRECT(B$7),SMALL(IF(Tip_Cli=$B$3,ROW(Tip_Cli)-ROW(Facturacion!$AL$4)+1),ROWS(B$8:B14))),"")</f>
        <v>43767</v>
      </c>
      <c r="C14" s="24" t="str">
        <f t="array" aca="1" ref="C14" ca="1">IF(ROWS(C$8:C14)&lt;=$C$3,INDEX(INDIRECT(C$7),SMALL(IF(Tip_Cli=$B$3,ROW(Tip_Cli)-ROW(Facturacion!$AL$4)+1),ROWS(C$8:C14))),"")</f>
        <v>005-00000013</v>
      </c>
      <c r="D14" s="4">
        <f t="array" aca="1" ref="D14" ca="1">IF(ROWS(D$8:D14)&lt;=$C$3,INDEX(INDIRECT(D$7),SMALL(IF(Tip_Cli=$B$3,ROW(Tip_Cli)-ROW(Facturacion!$AL$4)+1),ROWS(D$8:D14))),"")</f>
        <v>6158.5</v>
      </c>
      <c r="E14" s="4">
        <f t="array" aca="1" ref="E14" ca="1">IF(ROWS(E$8:E14)&lt;=$C$3,INDEX(INDIRECT(E$7),SMALL(IF(Tip_Cli=$B$3,ROW(Tip_Cli)-ROW(Facturacion!$AL$4)+1),ROWS(E$8:E14))),"")</f>
        <v>1076.6122704000002</v>
      </c>
      <c r="F14" s="4">
        <f t="array" aca="1" ref="F14" ca="1">IF(ROWS(F$8:F14)&lt;=$C$3,INDEX(INDIRECT(F$7),SMALL(IF(Tip_Cli=$B$3,ROW(Tip_Cli)-ROW(Facturacion!$AL$4)+1),ROWS(F$8:F14))),"")</f>
        <v>0</v>
      </c>
      <c r="G14" s="4">
        <f t="array" aca="1" ref="G14" ca="1">IF(ROWS(G$8:G14)&lt;=$C$3,INDEX(INDIRECT(G$7),SMALL(IF(Tip_Cli=$B$3,ROW(Tip_Cli)-ROW(Facturacion!$AL$4)+1),ROWS(G$8:G14))),"")</f>
        <v>172.54237288135593</v>
      </c>
      <c r="H14" s="4">
        <f t="array" aca="1" ref="H14" ca="1">IF(ROWS(H$8:H14)&lt;=$C$3,INDEX(INDIRECT(H$7),SMALL(IF(Tip_Cli=$B$3,ROW(Tip_Cli)-ROW(Facturacion!$AL$4)+1),ROWS(H$8:H14))),"")</f>
        <v>241.20000000000002</v>
      </c>
      <c r="I14" s="4">
        <f t="array" aca="1" ref="I14" ca="1">IF(ROWS(I$8:I14)&lt;=$C$3,INDEX(INDIRECT(I$7),SMALL(IF(Tip_Cli=$B$3,ROW(Tip_Cli)-ROW(Facturacion!$AL$4)+1),ROWS(I$8:I14))),"")</f>
        <v>301.5</v>
      </c>
      <c r="J14" s="4">
        <f t="array" aca="1" ref="J14" ca="1">IF(ROWS(J$8:J14)&lt;=$C$3,INDEX(INDIRECT(J$7),SMALL(IF(Tip_Cli=$B$3,ROW(Tip_Cli)-ROW(Facturacion!$AL$4)+1),ROWS(J$8:J14))),"")</f>
        <v>984.9</v>
      </c>
      <c r="K14" s="4">
        <f t="array" aca="1" ref="K14" ca="1">IF(ROWS(K$8:K14)&lt;=$C$3,INDEX(INDIRECT(K$7),SMALL(IF(Tip_Cli=$B$3,ROW(Tip_Cli)-ROW(Facturacion!$AL$4)+1),ROWS(K$8:K14))),"")</f>
        <v>0</v>
      </c>
      <c r="L14" s="4">
        <f t="array" aca="1" ref="L14" ca="1">IF(ROWS(L$8:L14)&lt;=$C$3,INDEX(INDIRECT(L$7),SMALL(IF(Tip_Cli=$B$3,ROW(Tip_Cli)-ROW(Facturacion!$AL$4)+1),ROWS(L$8:L14))),"")</f>
        <v>2776.754643281356</v>
      </c>
      <c r="M14" s="4">
        <f t="array" aca="1" ref="M14" ca="1">IF(ROWS(M$8:M14)&lt;=$C$3,INDEX(INDIRECT(M$7),SMALL(IF(Tip_Cli=$B$3,ROW(Tip_Cli)-ROW(Facturacion!$AL$4)+1),ROWS(M$8:M14))),"")</f>
        <v>3381.745356718644</v>
      </c>
      <c r="N14" s="185">
        <f t="array" aca="1" ref="N14" ca="1">IF(ROWS(N$8:N14)&lt;=$C$3,INDEX(INDIRECT(N$7),SMALL(IF(Tip_Cli=$B$3,ROW(Tip_Cli)-ROW(Facturacion!$AL$4)+1),ROWS(N$8:N14))),"")</f>
        <v>0.54911834971480777</v>
      </c>
      <c r="O14" s="24" t="str">
        <f t="array" aca="1" ref="O14" ca="1">IF(ROWS(O$8:O14)&lt;=$C$3,INDEX(INDIRECT(O$7),SMALL(IF(Tip_Cli=$B$3,ROW(Tip_Cli)-ROW(Facturacion!$AL$4)+1),ROWS(O$8:O14))),"")</f>
        <v>ACCESO</v>
      </c>
      <c r="P14" s="24" t="str">
        <f t="array" aca="1" ref="P14" ca="1">IF(ROWS(P$8:P14)&lt;=$C$3,INDEX(INDIRECT(P$7),SMALL(IF(Tip_Cli=$B$3,ROW(Tip_Cli)-ROW(Facturacion!$AL$4)+1),ROWS(P$8:P14))),"")</f>
        <v>GRAVE</v>
      </c>
      <c r="Q14" s="24" t="str">
        <f t="array" aca="1" ref="Q14" ca="1">IF(ROWS(Q$8:Q14)&lt;=$C$3,INDEX(INDIRECT(Q$7),SMALL(IF(Tip_Cli=$B$3,ROW(Tip_Cli)-ROW(Facturacion!$AL$4)+1),ROWS(Q$8:Q14))),"")</f>
        <v>October</v>
      </c>
      <c r="R14" s="186">
        <f t="array" aca="1" ref="R14" ca="1">IF(ROWS(R$8:R14)&lt;=$C$3,INDEX(INDIRECT(R$7),SMALL(IF(Tip_Cli=$B$3,ROW(Tip_Cli)-ROW(Facturacion!$AL$4)+1),ROWS(R$8:R14))),"")</f>
        <v>2019</v>
      </c>
      <c r="S14" s="186">
        <f t="array" aca="1" ref="S14" ca="1">IF(ROWS(S$8:S14)&lt;=$C$3,INDEX(INDIRECT(S$7),SMALL(IF(Tip_Cli=$B$3,ROW(Tip_Cli)-ROW(Facturacion!$AL$4)+1),ROWS(S$8:S14))),"")</f>
        <v>24</v>
      </c>
      <c r="T14" s="186">
        <f t="array" aca="1" ref="T14" ca="1">IF(ROWS(T$8:T14)&lt;=$C$3,INDEX(INDIRECT(T$7),SMALL(IF(Tip_Cli=$B$3,ROW(Tip_Cli)-ROW(Facturacion!$AL$4)+1),ROWS(T$8:T14))),"")</f>
        <v>1</v>
      </c>
      <c r="U14" s="24">
        <f t="array" aca="1" ref="U14" ca="1">IF(ROWS(U$8:U14)&lt;=$C$3,INDEX(INDIRECT(U$7),SMALL(IF(Tip_Cli=$B$3,ROW(Tip_Cli)-ROW(Facturacion!$AL$4)+1),ROWS(U$8:U14))),"")</f>
        <v>43743</v>
      </c>
      <c r="V14" s="24" t="str">
        <f t="array" aca="1" ref="V14" ca="1">IF(ROWS(V$8:V14)&lt;=$C$3,INDEX(INDIRECT(V$7),SMALL(IF(Tip_Cli=$B$3,ROW(Tip_Cli)-ROW(Facturacion!$AL$4)+1),ROWS(V$8:V14))),"")</f>
        <v>AYM-428</v>
      </c>
      <c r="W14" s="24" t="str">
        <f t="array" aca="1" ref="W14" ca="1">IF(ROWS(W$8:W14)&lt;=$C$3,INDEX(INDIRECT(W$7),SMALL(IF(Tip_Cli=$B$3,ROW(Tip_Cli)-ROW(Facturacion!$AL$4)+1),ROWS(W$8:W14))),"")</f>
        <v>CHEVROLET</v>
      </c>
      <c r="X14" s="24" t="str">
        <f t="array" aca="1" ref="X14" ca="1">IF(ROWS(X$8:X14)&lt;=$C$3,INDEX(INDIRECT(X$7),SMALL(IF(Tip_Cli=$B$3,ROW(Tip_Cli)-ROW(Facturacion!$AL$4)+1),ROWS(X$8:X14))),"")</f>
        <v>SAIL</v>
      </c>
      <c r="Y14" s="187" t="str">
        <f t="array" aca="1" ref="Y14" ca="1">IF(ROWS(Y$8:Y14)&lt;=$C$3,INDEX(INDIRECT(Y$7),SMALL(IF(Tip_Cli=$B$3,ROW(Tip_Cli)-ROW(Facturacion!$AL$4)+1),ROWS(Y$8:Y14))),"")</f>
        <v>AUTOCLASS S.A.C.</v>
      </c>
    </row>
    <row r="15" spans="2:25" x14ac:dyDescent="0.25">
      <c r="B15" s="24">
        <f t="array" aca="1" ref="B15" ca="1">IF(ROWS(B$8:B15)&lt;=$C$3,INDEX(INDIRECT(B$7),SMALL(IF(Tip_Cli=$B$3,ROW(Tip_Cli)-ROW(Facturacion!$AL$4)+1),ROWS(B$8:B15))),"")</f>
        <v>43767</v>
      </c>
      <c r="C15" s="24" t="str">
        <f t="array" aca="1" ref="C15" ca="1">IF(ROWS(C$8:C15)&lt;=$C$3,INDEX(INDIRECT(C$7),SMALL(IF(Tip_Cli=$B$3,ROW(Tip_Cli)-ROW(Facturacion!$AL$4)+1),ROWS(C$8:C15))),"")</f>
        <v>005-00000027</v>
      </c>
      <c r="D15" s="4">
        <f t="array" aca="1" ref="D15" ca="1">IF(ROWS(D$8:D15)&lt;=$C$3,INDEX(INDIRECT(D$7),SMALL(IF(Tip_Cli=$B$3,ROW(Tip_Cli)-ROW(Facturacion!$AL$4)+1),ROWS(D$8:D15))),"")</f>
        <v>3044.7542000000003</v>
      </c>
      <c r="E15" s="4">
        <f t="array" aca="1" ref="E15" ca="1">IF(ROWS(E$8:E15)&lt;=$C$3,INDEX(INDIRECT(E$7),SMALL(IF(Tip_Cli=$B$3,ROW(Tip_Cli)-ROW(Facturacion!$AL$4)+1),ROWS(E$8:E15))),"")</f>
        <v>439.48892599999994</v>
      </c>
      <c r="F15" s="4">
        <f t="array" aca="1" ref="F15" ca="1">IF(ROWS(F$8:F15)&lt;=$C$3,INDEX(INDIRECT(F$7),SMALL(IF(Tip_Cli=$B$3,ROW(Tip_Cli)-ROW(Facturacion!$AL$4)+1),ROWS(F$8:F15))),"")</f>
        <v>0</v>
      </c>
      <c r="G15" s="4">
        <f t="array" aca="1" ref="G15" ca="1">IF(ROWS(G$8:G15)&lt;=$C$3,INDEX(INDIRECT(G$7),SMALL(IF(Tip_Cli=$B$3,ROW(Tip_Cli)-ROW(Facturacion!$AL$4)+1),ROWS(G$8:G15))),"")</f>
        <v>59.324067796610173</v>
      </c>
      <c r="H15" s="4">
        <f t="array" aca="1" ref="H15" ca="1">IF(ROWS(H$8:H15)&lt;=$C$3,INDEX(INDIRECT(H$7),SMALL(IF(Tip_Cli=$B$3,ROW(Tip_Cli)-ROW(Facturacion!$AL$4)+1),ROWS(H$8:H15))),"")</f>
        <v>90.45</v>
      </c>
      <c r="I15" s="4">
        <f t="array" aca="1" ref="I15" ca="1">IF(ROWS(I$8:I15)&lt;=$C$3,INDEX(INDIRECT(I$7),SMALL(IF(Tip_Cli=$B$3,ROW(Tip_Cli)-ROW(Facturacion!$AL$4)+1),ROWS(I$8:I15))),"")</f>
        <v>211.05</v>
      </c>
      <c r="J15" s="4">
        <f t="array" aca="1" ref="J15" ca="1">IF(ROWS(J$8:J15)&lt;=$C$3,INDEX(INDIRECT(J$7),SMALL(IF(Tip_Cli=$B$3,ROW(Tip_Cli)-ROW(Facturacion!$AL$4)+1),ROWS(J$8:J15))),"")</f>
        <v>633.15</v>
      </c>
      <c r="K15" s="4">
        <f t="array" aca="1" ref="K15" ca="1">IF(ROWS(K$8:K15)&lt;=$C$3,INDEX(INDIRECT(K$7),SMALL(IF(Tip_Cli=$B$3,ROW(Tip_Cli)-ROW(Facturacion!$AL$4)+1),ROWS(K$8:K15))),"")</f>
        <v>0</v>
      </c>
      <c r="L15" s="4">
        <f t="array" aca="1" ref="L15" ca="1">IF(ROWS(L$8:L15)&lt;=$C$3,INDEX(INDIRECT(L$7),SMALL(IF(Tip_Cli=$B$3,ROW(Tip_Cli)-ROW(Facturacion!$AL$4)+1),ROWS(L$8:L15))),"")</f>
        <v>1433.4629937966101</v>
      </c>
      <c r="M15" s="4">
        <f t="array" aca="1" ref="M15" ca="1">IF(ROWS(M$8:M15)&lt;=$C$3,INDEX(INDIRECT(M$7),SMALL(IF(Tip_Cli=$B$3,ROW(Tip_Cli)-ROW(Facturacion!$AL$4)+1),ROWS(M$8:M15))),"")</f>
        <v>1611.2912062033902</v>
      </c>
      <c r="N15" s="185">
        <f t="array" aca="1" ref="N15" ca="1">IF(ROWS(N$8:N15)&lt;=$C$3,INDEX(INDIRECT(N$7),SMALL(IF(Tip_Cli=$B$3,ROW(Tip_Cli)-ROW(Facturacion!$AL$4)+1),ROWS(N$8:N15))),"")</f>
        <v>0.52920239216794251</v>
      </c>
      <c r="O15" s="24" t="str">
        <f t="array" aca="1" ref="O15" ca="1">IF(ROWS(O$8:O15)&lt;=$C$3,INDEX(INDIRECT(O$7),SMALL(IF(Tip_Cli=$B$3,ROW(Tip_Cli)-ROW(Facturacion!$AL$4)+1),ROWS(O$8:O15))),"")</f>
        <v>ACCESO</v>
      </c>
      <c r="P15" s="24" t="str">
        <f t="array" aca="1" ref="P15" ca="1">IF(ROWS(P$8:P15)&lt;=$C$3,INDEX(INDIRECT(P$7),SMALL(IF(Tip_Cli=$B$3,ROW(Tip_Cli)-ROW(Facturacion!$AL$4)+1),ROWS(P$8:P15))),"")</f>
        <v>MEDIANO</v>
      </c>
      <c r="Q15" s="24" t="str">
        <f t="array" aca="1" ref="Q15" ca="1">IF(ROWS(Q$8:Q15)&lt;=$C$3,INDEX(INDIRECT(Q$7),SMALL(IF(Tip_Cli=$B$3,ROW(Tip_Cli)-ROW(Facturacion!$AL$4)+1),ROWS(Q$8:Q15))),"")</f>
        <v>October</v>
      </c>
      <c r="R15" s="186">
        <f t="array" aca="1" ref="R15" ca="1">IF(ROWS(R$8:R15)&lt;=$C$3,INDEX(INDIRECT(R$7),SMALL(IF(Tip_Cli=$B$3,ROW(Tip_Cli)-ROW(Facturacion!$AL$4)+1),ROWS(R$8:R15))),"")</f>
        <v>2019</v>
      </c>
      <c r="S15" s="186">
        <f t="array" aca="1" ref="S15" ca="1">IF(ROWS(S$8:S15)&lt;=$C$3,INDEX(INDIRECT(S$7),SMALL(IF(Tip_Cli=$B$3,ROW(Tip_Cli)-ROW(Facturacion!$AL$4)+1),ROWS(S$8:S15))),"")</f>
        <v>20</v>
      </c>
      <c r="T15" s="186">
        <f t="array" aca="1" ref="T15" ca="1">IF(ROWS(T$8:T15)&lt;=$C$3,INDEX(INDIRECT(T$7),SMALL(IF(Tip_Cli=$B$3,ROW(Tip_Cli)-ROW(Facturacion!$AL$4)+1),ROWS(T$8:T15))),"")</f>
        <v>1</v>
      </c>
      <c r="U15" s="24">
        <f t="array" aca="1" ref="U15" ca="1">IF(ROWS(U$8:U15)&lt;=$C$3,INDEX(INDIRECT(U$7),SMALL(IF(Tip_Cli=$B$3,ROW(Tip_Cli)-ROW(Facturacion!$AL$4)+1),ROWS(U$8:U15))),"")</f>
        <v>43747</v>
      </c>
      <c r="V15" s="24" t="str">
        <f t="array" aca="1" ref="V15" ca="1">IF(ROWS(V$8:V15)&lt;=$C$3,INDEX(INDIRECT(V$7),SMALL(IF(Tip_Cli=$B$3,ROW(Tip_Cli)-ROW(Facturacion!$AL$4)+1),ROWS(V$8:V15))),"")</f>
        <v>BHA-218</v>
      </c>
      <c r="W15" s="24" t="str">
        <f t="array" aca="1" ref="W15" ca="1">IF(ROWS(W$8:W15)&lt;=$C$3,INDEX(INDIRECT(W$7),SMALL(IF(Tip_Cli=$B$3,ROW(Tip_Cli)-ROW(Facturacion!$AL$4)+1),ROWS(W$8:W15))),"")</f>
        <v>CHEVROLET</v>
      </c>
      <c r="X15" s="24" t="str">
        <f t="array" aca="1" ref="X15" ca="1">IF(ROWS(X$8:X15)&lt;=$C$3,INDEX(INDIRECT(X$7),SMALL(IF(Tip_Cli=$B$3,ROW(Tip_Cli)-ROW(Facturacion!$AL$4)+1),ROWS(X$8:X15))),"")</f>
        <v>SAIL</v>
      </c>
      <c r="Y15" s="187" t="str">
        <f t="array" aca="1" ref="Y15" ca="1">IF(ROWS(Y$8:Y15)&lt;=$C$3,INDEX(INDIRECT(Y$7),SMALL(IF(Tip_Cli=$B$3,ROW(Tip_Cli)-ROW(Facturacion!$AL$4)+1),ROWS(Y$8:Y15))),"")</f>
        <v>AUTOCLASS S.A.C.</v>
      </c>
    </row>
    <row r="16" spans="2:25" x14ac:dyDescent="0.25">
      <c r="B16" s="24">
        <f t="array" aca="1" ref="B16" ca="1">IF(ROWS(B$8:B16)&lt;=$C$3,INDEX(INDIRECT(B$7),SMALL(IF(Tip_Cli=$B$3,ROW(Tip_Cli)-ROW(Facturacion!$AL$4)+1),ROWS(B$8:B16))),"")</f>
        <v>43767</v>
      </c>
      <c r="C16" s="24" t="str">
        <f t="array" aca="1" ref="C16" ca="1">IF(ROWS(C$8:C16)&lt;=$C$3,INDEX(INDIRECT(C$7),SMALL(IF(Tip_Cli=$B$3,ROW(Tip_Cli)-ROW(Facturacion!$AL$4)+1),ROWS(C$8:C16))),"")</f>
        <v>005-00000018</v>
      </c>
      <c r="D16" s="4">
        <f t="array" aca="1" ref="D16" ca="1">IF(ROWS(D$8:D16)&lt;=$C$3,INDEX(INDIRECT(D$7),SMALL(IF(Tip_Cli=$B$3,ROW(Tip_Cli)-ROW(Facturacion!$AL$4)+1),ROWS(D$8:D16))),"")</f>
        <v>4644.5</v>
      </c>
      <c r="E16" s="4">
        <f t="array" aca="1" ref="E16" ca="1">IF(ROWS(E$8:E16)&lt;=$C$3,INDEX(INDIRECT(E$7),SMALL(IF(Tip_Cli=$B$3,ROW(Tip_Cli)-ROW(Facturacion!$AL$4)+1),ROWS(E$8:E16))),"")</f>
        <v>621.35519875</v>
      </c>
      <c r="F16" s="4">
        <f t="array" aca="1" ref="F16" ca="1">IF(ROWS(F$8:F16)&lt;=$C$3,INDEX(INDIRECT(F$7),SMALL(IF(Tip_Cli=$B$3,ROW(Tip_Cli)-ROW(Facturacion!$AL$4)+1),ROWS(F$8:F16))),"")</f>
        <v>0</v>
      </c>
      <c r="G16" s="4">
        <f t="array" aca="1" ref="G16" ca="1">IF(ROWS(G$8:G16)&lt;=$C$3,INDEX(INDIRECT(G$7),SMALL(IF(Tip_Cli=$B$3,ROW(Tip_Cli)-ROW(Facturacion!$AL$4)+1),ROWS(G$8:G16))),"")</f>
        <v>111.69203389830508</v>
      </c>
      <c r="H16" s="4">
        <f t="array" aca="1" ref="H16" ca="1">IF(ROWS(H$8:H16)&lt;=$C$3,INDEX(INDIRECT(H$7),SMALL(IF(Tip_Cli=$B$3,ROW(Tip_Cli)-ROW(Facturacion!$AL$4)+1),ROWS(H$8:H16))),"")</f>
        <v>120.60000000000001</v>
      </c>
      <c r="I16" s="4">
        <f t="array" aca="1" ref="I16" ca="1">IF(ROWS(I$8:I16)&lt;=$C$3,INDEX(INDIRECT(I$7),SMALL(IF(Tip_Cli=$B$3,ROW(Tip_Cli)-ROW(Facturacion!$AL$4)+1),ROWS(I$8:I16))),"")</f>
        <v>256.27500000000003</v>
      </c>
      <c r="J16" s="4">
        <f t="array" aca="1" ref="J16" ca="1">IF(ROWS(J$8:J16)&lt;=$C$3,INDEX(INDIRECT(J$7),SMALL(IF(Tip_Cli=$B$3,ROW(Tip_Cli)-ROW(Facturacion!$AL$4)+1),ROWS(J$8:J16))),"")</f>
        <v>844.2</v>
      </c>
      <c r="K16" s="4">
        <f t="array" aca="1" ref="K16" ca="1">IF(ROWS(K$8:K16)&lt;=$C$3,INDEX(INDIRECT(K$7),SMALL(IF(Tip_Cli=$B$3,ROW(Tip_Cli)-ROW(Facturacion!$AL$4)+1),ROWS(K$8:K16))),"")</f>
        <v>0</v>
      </c>
      <c r="L16" s="4">
        <f t="array" aca="1" ref="L16" ca="1">IF(ROWS(L$8:L16)&lt;=$C$3,INDEX(INDIRECT(L$7),SMALL(IF(Tip_Cli=$B$3,ROW(Tip_Cli)-ROW(Facturacion!$AL$4)+1),ROWS(L$8:L16))),"")</f>
        <v>1954.1222326483053</v>
      </c>
      <c r="M16" s="4">
        <f t="array" aca="1" ref="M16" ca="1">IF(ROWS(M$8:M16)&lt;=$C$3,INDEX(INDIRECT(M$7),SMALL(IF(Tip_Cli=$B$3,ROW(Tip_Cli)-ROW(Facturacion!$AL$4)+1),ROWS(M$8:M16))),"")</f>
        <v>2690.3777673516947</v>
      </c>
      <c r="N16" s="185">
        <f t="array" aca="1" ref="N16" ca="1">IF(ROWS(N$8:N16)&lt;=$C$3,INDEX(INDIRECT(N$7),SMALL(IF(Tip_Cli=$B$3,ROW(Tip_Cli)-ROW(Facturacion!$AL$4)+1),ROWS(N$8:N16))),"")</f>
        <v>0.57926101137941532</v>
      </c>
      <c r="O16" s="24" t="str">
        <f t="array" aca="1" ref="O16" ca="1">IF(ROWS(O$8:O16)&lt;=$C$3,INDEX(INDIRECT(O$7),SMALL(IF(Tip_Cli=$B$3,ROW(Tip_Cli)-ROW(Facturacion!$AL$4)+1),ROWS(O$8:O16))),"")</f>
        <v>ACCESO</v>
      </c>
      <c r="P16" s="24" t="str">
        <f t="array" aca="1" ref="P16" ca="1">IF(ROWS(P$8:P16)&lt;=$C$3,INDEX(INDIRECT(P$7),SMALL(IF(Tip_Cli=$B$3,ROW(Tip_Cli)-ROW(Facturacion!$AL$4)+1),ROWS(P$8:P16))),"")</f>
        <v>MEDIANO</v>
      </c>
      <c r="Q16" s="24" t="str">
        <f t="array" aca="1" ref="Q16" ca="1">IF(ROWS(Q$8:Q16)&lt;=$C$3,INDEX(INDIRECT(Q$7),SMALL(IF(Tip_Cli=$B$3,ROW(Tip_Cli)-ROW(Facturacion!$AL$4)+1),ROWS(Q$8:Q16))),"")</f>
        <v>October</v>
      </c>
      <c r="R16" s="186">
        <f t="array" aca="1" ref="R16" ca="1">IF(ROWS(R$8:R16)&lt;=$C$3,INDEX(INDIRECT(R$7),SMALL(IF(Tip_Cli=$B$3,ROW(Tip_Cli)-ROW(Facturacion!$AL$4)+1),ROWS(R$8:R16))),"")</f>
        <v>2019</v>
      </c>
      <c r="S16" s="186">
        <f t="array" aca="1" ref="S16" ca="1">IF(ROWS(S$8:S16)&lt;=$C$3,INDEX(INDIRECT(S$7),SMALL(IF(Tip_Cli=$B$3,ROW(Tip_Cli)-ROW(Facturacion!$AL$4)+1),ROWS(S$8:S16))),"")</f>
        <v>22</v>
      </c>
      <c r="T16" s="186">
        <f t="array" aca="1" ref="T16" ca="1">IF(ROWS(T$8:T16)&lt;=$C$3,INDEX(INDIRECT(T$7),SMALL(IF(Tip_Cli=$B$3,ROW(Tip_Cli)-ROW(Facturacion!$AL$4)+1),ROWS(T$8:T16))),"")</f>
        <v>1</v>
      </c>
      <c r="U16" s="24">
        <f t="array" aca="1" ref="U16" ca="1">IF(ROWS(U$8:U16)&lt;=$C$3,INDEX(INDIRECT(U$7),SMALL(IF(Tip_Cli=$B$3,ROW(Tip_Cli)-ROW(Facturacion!$AL$4)+1),ROWS(U$8:U16))),"")</f>
        <v>43745</v>
      </c>
      <c r="V16" s="24" t="str">
        <f t="array" aca="1" ref="V16" ca="1">IF(ROWS(V$8:V16)&lt;=$C$3,INDEX(INDIRECT(V$7),SMALL(IF(Tip_Cli=$B$3,ROW(Tip_Cli)-ROW(Facturacion!$AL$4)+1),ROWS(V$8:V16))),"")</f>
        <v>AWG-565</v>
      </c>
      <c r="W16" s="24" t="str">
        <f t="array" aca="1" ref="W16" ca="1">IF(ROWS(W$8:W16)&lt;=$C$3,INDEX(INDIRECT(W$7),SMALL(IF(Tip_Cli=$B$3,ROW(Tip_Cli)-ROW(Facturacion!$AL$4)+1),ROWS(W$8:W16))),"")</f>
        <v>KIA</v>
      </c>
      <c r="X16" s="24" t="str">
        <f t="array" aca="1" ref="X16" ca="1">IF(ROWS(X$8:X16)&lt;=$C$3,INDEX(INDIRECT(X$7),SMALL(IF(Tip_Cli=$B$3,ROW(Tip_Cli)-ROW(Facturacion!$AL$4)+1),ROWS(X$8:X16))),"")</f>
        <v>CERATO</v>
      </c>
      <c r="Y16" s="187" t="str">
        <f t="array" aca="1" ref="Y16" ca="1">IF(ROWS(Y$8:Y16)&lt;=$C$3,INDEX(INDIRECT(Y$7),SMALL(IF(Tip_Cli=$B$3,ROW(Tip_Cli)-ROW(Facturacion!$AL$4)+1),ROWS(Y$8:Y16))),"")</f>
        <v>AUTOCLASS S.A.C.</v>
      </c>
    </row>
    <row r="17" spans="2:25" x14ac:dyDescent="0.25">
      <c r="B17" s="24">
        <f t="array" aca="1" ref="B17" ca="1">IF(ROWS(B$8:B17)&lt;=$C$3,INDEX(INDIRECT(B$7),SMALL(IF(Tip_Cli=$B$3,ROW(Tip_Cli)-ROW(Facturacion!$AL$4)+1),ROWS(B$8:B17))),"")</f>
        <v>43767</v>
      </c>
      <c r="C17" s="24" t="str">
        <f t="array" aca="1" ref="C17" ca="1">IF(ROWS(C$8:C17)&lt;=$C$3,INDEX(INDIRECT(C$7),SMALL(IF(Tip_Cli=$B$3,ROW(Tip_Cli)-ROW(Facturacion!$AL$4)+1),ROWS(C$8:C17))),"")</f>
        <v>005-00000029</v>
      </c>
      <c r="D17" s="4">
        <f t="array" aca="1" ref="D17" ca="1">IF(ROWS(D$8:D17)&lt;=$C$3,INDEX(INDIRECT(D$7),SMALL(IF(Tip_Cli=$B$3,ROW(Tip_Cli)-ROW(Facturacion!$AL$4)+1),ROWS(D$8:D17))),"")</f>
        <v>7582.5</v>
      </c>
      <c r="E17" s="4">
        <f t="array" aca="1" ref="E17" ca="1">IF(ROWS(E$8:E17)&lt;=$C$3,INDEX(INDIRECT(E$7),SMALL(IF(Tip_Cli=$B$3,ROW(Tip_Cli)-ROW(Facturacion!$AL$4)+1),ROWS(E$8:E17))),"")</f>
        <v>2229.3106937999996</v>
      </c>
      <c r="F17" s="4">
        <f t="array" aca="1" ref="F17" ca="1">IF(ROWS(F$8:F17)&lt;=$C$3,INDEX(INDIRECT(F$7),SMALL(IF(Tip_Cli=$B$3,ROW(Tip_Cli)-ROW(Facturacion!$AL$4)+1),ROWS(F$8:F17))),"")</f>
        <v>59.322033898305087</v>
      </c>
      <c r="G17" s="4">
        <f t="array" aca="1" ref="G17" ca="1">IF(ROWS(G$8:G17)&lt;=$C$3,INDEX(INDIRECT(G$7),SMALL(IF(Tip_Cli=$B$3,ROW(Tip_Cli)-ROW(Facturacion!$AL$4)+1),ROWS(G$8:G17))),"")</f>
        <v>290.9571186440678</v>
      </c>
      <c r="H17" s="4">
        <f t="array" aca="1" ref="H17" ca="1">IF(ROWS(H$8:H17)&lt;=$C$3,INDEX(INDIRECT(H$7),SMALL(IF(Tip_Cli=$B$3,ROW(Tip_Cli)-ROW(Facturacion!$AL$4)+1),ROWS(H$8:H17))),"")</f>
        <v>226.125</v>
      </c>
      <c r="I17" s="4">
        <f t="array" aca="1" ref="I17" ca="1">IF(ROWS(I$8:I17)&lt;=$C$3,INDEX(INDIRECT(I$7),SMALL(IF(Tip_Cli=$B$3,ROW(Tip_Cli)-ROW(Facturacion!$AL$4)+1),ROWS(I$8:I17))),"")</f>
        <v>256.27500000000003</v>
      </c>
      <c r="J17" s="4">
        <f t="array" aca="1" ref="J17" ca="1">IF(ROWS(J$8:J17)&lt;=$C$3,INDEX(INDIRECT(J$7),SMALL(IF(Tip_Cli=$B$3,ROW(Tip_Cli)-ROW(Facturacion!$AL$4)+1),ROWS(J$8:J17))),"")</f>
        <v>844.2</v>
      </c>
      <c r="K17" s="4">
        <f t="array" aca="1" ref="K17" ca="1">IF(ROWS(K$8:K17)&lt;=$C$3,INDEX(INDIRECT(K$7),SMALL(IF(Tip_Cli=$B$3,ROW(Tip_Cli)-ROW(Facturacion!$AL$4)+1),ROWS(K$8:K17))),"")</f>
        <v>0</v>
      </c>
      <c r="L17" s="4">
        <f t="array" aca="1" ref="L17" ca="1">IF(ROWS(L$8:L17)&lt;=$C$3,INDEX(INDIRECT(L$7),SMALL(IF(Tip_Cli=$B$3,ROW(Tip_Cli)-ROW(Facturacion!$AL$4)+1),ROWS(L$8:L17))),"")</f>
        <v>3906.1898463423731</v>
      </c>
      <c r="M17" s="4">
        <f t="array" aca="1" ref="M17" ca="1">IF(ROWS(M$8:M17)&lt;=$C$3,INDEX(INDIRECT(M$7),SMALL(IF(Tip_Cli=$B$3,ROW(Tip_Cli)-ROW(Facturacion!$AL$4)+1),ROWS(M$8:M17))),"")</f>
        <v>3676.3101536576269</v>
      </c>
      <c r="N17" s="185">
        <f t="array" aca="1" ref="N17" ca="1">IF(ROWS(N$8:N17)&lt;=$C$3,INDEX(INDIRECT(N$7),SMALL(IF(Tip_Cli=$B$3,ROW(Tip_Cli)-ROW(Facturacion!$AL$4)+1),ROWS(N$8:N17))),"")</f>
        <v>0.48484143140885289</v>
      </c>
      <c r="O17" s="24" t="str">
        <f t="array" aca="1" ref="O17" ca="1">IF(ROWS(O$8:O17)&lt;=$C$3,INDEX(INDIRECT(O$7),SMALL(IF(Tip_Cli=$B$3,ROW(Tip_Cli)-ROW(Facturacion!$AL$4)+1),ROWS(O$8:O17))),"")</f>
        <v>ACCESO</v>
      </c>
      <c r="P17" s="24" t="str">
        <f t="array" aca="1" ref="P17" ca="1">IF(ROWS(P$8:P17)&lt;=$C$3,INDEX(INDIRECT(P$7),SMALL(IF(Tip_Cli=$B$3,ROW(Tip_Cli)-ROW(Facturacion!$AL$4)+1),ROWS(P$8:P17))),"")</f>
        <v>GRAVE</v>
      </c>
      <c r="Q17" s="24" t="str">
        <f t="array" aca="1" ref="Q17" ca="1">IF(ROWS(Q$8:Q17)&lt;=$C$3,INDEX(INDIRECT(Q$7),SMALL(IF(Tip_Cli=$B$3,ROW(Tip_Cli)-ROW(Facturacion!$AL$4)+1),ROWS(Q$8:Q17))),"")</f>
        <v>October</v>
      </c>
      <c r="R17" s="186">
        <f t="array" aca="1" ref="R17" ca="1">IF(ROWS(R$8:R17)&lt;=$C$3,INDEX(INDIRECT(R$7),SMALL(IF(Tip_Cli=$B$3,ROW(Tip_Cli)-ROW(Facturacion!$AL$4)+1),ROWS(R$8:R17))),"")</f>
        <v>2019</v>
      </c>
      <c r="S17" s="186">
        <f t="array" aca="1" ref="S17" ca="1">IF(ROWS(S$8:S17)&lt;=$C$3,INDEX(INDIRECT(S$7),SMALL(IF(Tip_Cli=$B$3,ROW(Tip_Cli)-ROW(Facturacion!$AL$4)+1),ROWS(S$8:S17))),"")</f>
        <v>20</v>
      </c>
      <c r="T17" s="186">
        <f t="array" aca="1" ref="T17" ca="1">IF(ROWS(T$8:T17)&lt;=$C$3,INDEX(INDIRECT(T$7),SMALL(IF(Tip_Cli=$B$3,ROW(Tip_Cli)-ROW(Facturacion!$AL$4)+1),ROWS(T$8:T17))),"")</f>
        <v>1</v>
      </c>
      <c r="U17" s="24">
        <f t="array" aca="1" ref="U17" ca="1">IF(ROWS(U$8:U17)&lt;=$C$3,INDEX(INDIRECT(U$7),SMALL(IF(Tip_Cli=$B$3,ROW(Tip_Cli)-ROW(Facturacion!$AL$4)+1),ROWS(U$8:U17))),"")</f>
        <v>43747</v>
      </c>
      <c r="V17" s="24" t="str">
        <f t="array" aca="1" ref="V17" ca="1">IF(ROWS(V$8:V17)&lt;=$C$3,INDEX(INDIRECT(V$7),SMALL(IF(Tip_Cli=$B$3,ROW(Tip_Cli)-ROW(Facturacion!$AL$4)+1),ROWS(V$8:V17))),"")</f>
        <v>BEQ-226</v>
      </c>
      <c r="W17" s="24" t="str">
        <f t="array" aca="1" ref="W17" ca="1">IF(ROWS(W$8:W17)&lt;=$C$3,INDEX(INDIRECT(W$7),SMALL(IF(Tip_Cli=$B$3,ROW(Tip_Cli)-ROW(Facturacion!$AL$4)+1),ROWS(W$8:W17))),"")</f>
        <v>CHEVROLET</v>
      </c>
      <c r="X17" s="24" t="str">
        <f t="array" aca="1" ref="X17" ca="1">IF(ROWS(X$8:X17)&lt;=$C$3,INDEX(INDIRECT(X$7),SMALL(IF(Tip_Cli=$B$3,ROW(Tip_Cli)-ROW(Facturacion!$AL$4)+1),ROWS(X$8:X17))),"")</f>
        <v>SAIL</v>
      </c>
      <c r="Y17" s="187" t="str">
        <f t="array" aca="1" ref="Y17" ca="1">IF(ROWS(Y$8:Y17)&lt;=$C$3,INDEX(INDIRECT(Y$7),SMALL(IF(Tip_Cli=$B$3,ROW(Tip_Cli)-ROW(Facturacion!$AL$4)+1),ROWS(Y$8:Y17))),"")</f>
        <v>AUTOCLASS S.A.C.</v>
      </c>
    </row>
    <row r="18" spans="2:25" x14ac:dyDescent="0.25">
      <c r="B18" s="24">
        <f t="array" aca="1" ref="B18" ca="1">IF(ROWS(B$8:B18)&lt;=$C$3,INDEX(INDIRECT(B$7),SMALL(IF(Tip_Cli=$B$3,ROW(Tip_Cli)-ROW(Facturacion!$AL$4)+1),ROWS(B$8:B18))),"")</f>
        <v>43768</v>
      </c>
      <c r="C18" s="24" t="str">
        <f t="array" aca="1" ref="C18" ca="1">IF(ROWS(C$8:C18)&lt;=$C$3,INDEX(INDIRECT(C$7),SMALL(IF(Tip_Cli=$B$3,ROW(Tip_Cli)-ROW(Facturacion!$AL$4)+1),ROWS(C$8:C18))),"")</f>
        <v>005-00000019</v>
      </c>
      <c r="D18" s="4">
        <f t="array" aca="1" ref="D18" ca="1">IF(ROWS(D$8:D18)&lt;=$C$3,INDEX(INDIRECT(D$7),SMALL(IF(Tip_Cli=$B$3,ROW(Tip_Cli)-ROW(Facturacion!$AL$4)+1),ROWS(D$8:D18))),"")</f>
        <v>6671.5</v>
      </c>
      <c r="E18" s="4">
        <f t="array" aca="1" ref="E18" ca="1">IF(ROWS(E$8:E18)&lt;=$C$3,INDEX(INDIRECT(E$7),SMALL(IF(Tip_Cli=$B$3,ROW(Tip_Cli)-ROW(Facturacion!$AL$4)+1),ROWS(E$8:E18))),"")</f>
        <v>1593.0606048</v>
      </c>
      <c r="F18" s="4">
        <f t="array" aca="1" ref="F18" ca="1">IF(ROWS(F$8:F18)&lt;=$C$3,INDEX(INDIRECT(F$7),SMALL(IF(Tip_Cli=$B$3,ROW(Tip_Cli)-ROW(Facturacion!$AL$4)+1),ROWS(F$8:F18))),"")</f>
        <v>110.16949152542374</v>
      </c>
      <c r="G18" s="4">
        <f t="array" aca="1" ref="G18" ca="1">IF(ROWS(G$8:G18)&lt;=$C$3,INDEX(INDIRECT(G$7),SMALL(IF(Tip_Cli=$B$3,ROW(Tip_Cli)-ROW(Facturacion!$AL$4)+1),ROWS(G$8:G18))),"")</f>
        <v>91.27118644067798</v>
      </c>
      <c r="H18" s="4">
        <f t="array" aca="1" ref="H18" ca="1">IF(ROWS(H$8:H18)&lt;=$C$3,INDEX(INDIRECT(H$7),SMALL(IF(Tip_Cli=$B$3,ROW(Tip_Cli)-ROW(Facturacion!$AL$4)+1),ROWS(H$8:H18))),"")</f>
        <v>150.75</v>
      </c>
      <c r="I18" s="4">
        <f t="array" aca="1" ref="I18" ca="1">IF(ROWS(I$8:I18)&lt;=$C$3,INDEX(INDIRECT(I$7),SMALL(IF(Tip_Cli=$B$3,ROW(Tip_Cli)-ROW(Facturacion!$AL$4)+1),ROWS(I$8:I18))),"")</f>
        <v>376.875</v>
      </c>
      <c r="J18" s="4">
        <f t="array" aca="1" ref="J18" ca="1">IF(ROWS(J$8:J18)&lt;=$C$3,INDEX(INDIRECT(J$7),SMALL(IF(Tip_Cli=$B$3,ROW(Tip_Cli)-ROW(Facturacion!$AL$4)+1),ROWS(J$8:J18))),"")</f>
        <v>1055.25</v>
      </c>
      <c r="K18" s="4">
        <f t="array" aca="1" ref="K18" ca="1">IF(ROWS(K$8:K18)&lt;=$C$3,INDEX(INDIRECT(K$7),SMALL(IF(Tip_Cli=$B$3,ROW(Tip_Cli)-ROW(Facturacion!$AL$4)+1),ROWS(K$8:K18))),"")</f>
        <v>0</v>
      </c>
      <c r="L18" s="4">
        <f t="array" aca="1" ref="L18" ca="1">IF(ROWS(L$8:L18)&lt;=$C$3,INDEX(INDIRECT(L$7),SMALL(IF(Tip_Cli=$B$3,ROW(Tip_Cli)-ROW(Facturacion!$AL$4)+1),ROWS(L$8:L18))),"")</f>
        <v>3377.3762827661017</v>
      </c>
      <c r="M18" s="4">
        <f t="array" aca="1" ref="M18" ca="1">IF(ROWS(M$8:M18)&lt;=$C$3,INDEX(INDIRECT(M$7),SMALL(IF(Tip_Cli=$B$3,ROW(Tip_Cli)-ROW(Facturacion!$AL$4)+1),ROWS(M$8:M18))),"")</f>
        <v>3294.1237172338983</v>
      </c>
      <c r="N18" s="185">
        <f t="array" aca="1" ref="N18" ca="1">IF(ROWS(N$8:N18)&lt;=$C$3,INDEX(INDIRECT(N$7),SMALL(IF(Tip_Cli=$B$3,ROW(Tip_Cli)-ROW(Facturacion!$AL$4)+1),ROWS(N$8:N18))),"")</f>
        <v>0.49376058116374105</v>
      </c>
      <c r="O18" s="24" t="str">
        <f t="array" aca="1" ref="O18" ca="1">IF(ROWS(O$8:O18)&lt;=$C$3,INDEX(INDIRECT(O$7),SMALL(IF(Tip_Cli=$B$3,ROW(Tip_Cli)-ROW(Facturacion!$AL$4)+1),ROWS(O$8:O18))),"")</f>
        <v>ACCESO</v>
      </c>
      <c r="P18" s="24" t="str">
        <f t="array" aca="1" ref="P18" ca="1">IF(ROWS(P$8:P18)&lt;=$C$3,INDEX(INDIRECT(P$7),SMALL(IF(Tip_Cli=$B$3,ROW(Tip_Cli)-ROW(Facturacion!$AL$4)+1),ROWS(P$8:P18))),"")</f>
        <v>GRAVE</v>
      </c>
      <c r="Q18" s="24" t="str">
        <f t="array" aca="1" ref="Q18" ca="1">IF(ROWS(Q$8:Q18)&lt;=$C$3,INDEX(INDIRECT(Q$7),SMALL(IF(Tip_Cli=$B$3,ROW(Tip_Cli)-ROW(Facturacion!$AL$4)+1),ROWS(Q$8:Q18))),"")</f>
        <v>October</v>
      </c>
      <c r="R18" s="186">
        <f t="array" aca="1" ref="R18" ca="1">IF(ROWS(R$8:R18)&lt;=$C$3,INDEX(INDIRECT(R$7),SMALL(IF(Tip_Cli=$B$3,ROW(Tip_Cli)-ROW(Facturacion!$AL$4)+1),ROWS(R$8:R18))),"")</f>
        <v>2019</v>
      </c>
      <c r="S18" s="186">
        <f t="array" aca="1" ref="S18" ca="1">IF(ROWS(S$8:S18)&lt;=$C$3,INDEX(INDIRECT(S$7),SMALL(IF(Tip_Cli=$B$3,ROW(Tip_Cli)-ROW(Facturacion!$AL$4)+1),ROWS(S$8:S18))),"")</f>
        <v>23</v>
      </c>
      <c r="T18" s="186">
        <f t="array" aca="1" ref="T18" ca="1">IF(ROWS(T$8:T18)&lt;=$C$3,INDEX(INDIRECT(T$7),SMALL(IF(Tip_Cli=$B$3,ROW(Tip_Cli)-ROW(Facturacion!$AL$4)+1),ROWS(T$8:T18))),"")</f>
        <v>1</v>
      </c>
      <c r="U18" s="24">
        <f t="array" aca="1" ref="U18" ca="1">IF(ROWS(U$8:U18)&lt;=$C$3,INDEX(INDIRECT(U$7),SMALL(IF(Tip_Cli=$B$3,ROW(Tip_Cli)-ROW(Facturacion!$AL$4)+1),ROWS(U$8:U18))),"")</f>
        <v>43745</v>
      </c>
      <c r="V18" s="24" t="str">
        <f t="array" aca="1" ref="V18" ca="1">IF(ROWS(V$8:V18)&lt;=$C$3,INDEX(INDIRECT(V$7),SMALL(IF(Tip_Cli=$B$3,ROW(Tip_Cli)-ROW(Facturacion!$AL$4)+1),ROWS(V$8:V18))),"")</f>
        <v>P2Y-146</v>
      </c>
      <c r="W18" s="24" t="str">
        <f t="array" aca="1" ref="W18" ca="1">IF(ROWS(W$8:W18)&lt;=$C$3,INDEX(INDIRECT(W$7),SMALL(IF(Tip_Cli=$B$3,ROW(Tip_Cli)-ROW(Facturacion!$AL$4)+1),ROWS(W$8:W18))),"")</f>
        <v>KIA</v>
      </c>
      <c r="X18" s="24" t="str">
        <f t="array" aca="1" ref="X18" ca="1">IF(ROWS(X$8:X18)&lt;=$C$3,INDEX(INDIRECT(X$7),SMALL(IF(Tip_Cli=$B$3,ROW(Tip_Cli)-ROW(Facturacion!$AL$4)+1),ROWS(X$8:X18))),"")</f>
        <v>RIO</v>
      </c>
      <c r="Y18" s="187" t="str">
        <f t="array" aca="1" ref="Y18" ca="1">IF(ROWS(Y$8:Y18)&lt;=$C$3,INDEX(INDIRECT(Y$7),SMALL(IF(Tip_Cli=$B$3,ROW(Tip_Cli)-ROW(Facturacion!$AL$4)+1),ROWS(Y$8:Y18))),"")</f>
        <v>AUTOCLASS S.A.C.</v>
      </c>
    </row>
    <row r="19" spans="2:25" x14ac:dyDescent="0.25">
      <c r="B19" s="24">
        <f t="array" aca="1" ref="B19" ca="1">IF(ROWS(B$8:B19)&lt;=$C$3,INDEX(INDIRECT(B$7),SMALL(IF(Tip_Cli=$B$3,ROW(Tip_Cli)-ROW(Facturacion!$AL$4)+1),ROWS(B$8:B19))),"")</f>
        <v>43768</v>
      </c>
      <c r="C19" s="24" t="str">
        <f t="array" aca="1" ref="C19" ca="1">IF(ROWS(C$8:C19)&lt;=$C$3,INDEX(INDIRECT(C$7),SMALL(IF(Tip_Cli=$B$3,ROW(Tip_Cli)-ROW(Facturacion!$AL$4)+1),ROWS(C$8:C19))),"")</f>
        <v>005-00000065</v>
      </c>
      <c r="D19" s="4">
        <f t="array" aca="1" ref="D19" ca="1">IF(ROWS(D$8:D19)&lt;=$C$3,INDEX(INDIRECT(D$7),SMALL(IF(Tip_Cli=$B$3,ROW(Tip_Cli)-ROW(Facturacion!$AL$4)+1),ROWS(D$8:D19))),"")</f>
        <v>3818.7542100000001</v>
      </c>
      <c r="E19" s="4">
        <f t="array" aca="1" ref="E19" ca="1">IF(ROWS(E$8:E19)&lt;=$C$3,INDEX(INDIRECT(E$7),SMALL(IF(Tip_Cli=$B$3,ROW(Tip_Cli)-ROW(Facturacion!$AL$4)+1),ROWS(E$8:E19))),"")</f>
        <v>548.89210930000002</v>
      </c>
      <c r="F19" s="4">
        <f t="array" aca="1" ref="F19" ca="1">IF(ROWS(F$8:F19)&lt;=$C$3,INDEX(INDIRECT(F$7),SMALL(IF(Tip_Cli=$B$3,ROW(Tip_Cli)-ROW(Facturacion!$AL$4)+1),ROWS(F$8:F19))),"")</f>
        <v>0</v>
      </c>
      <c r="G19" s="4">
        <f t="array" aca="1" ref="G19" ca="1">IF(ROWS(G$8:G19)&lt;=$C$3,INDEX(INDIRECT(G$7),SMALL(IF(Tip_Cli=$B$3,ROW(Tip_Cli)-ROW(Facturacion!$AL$4)+1),ROWS(G$8:G19))),"")</f>
        <v>41</v>
      </c>
      <c r="H19" s="4">
        <f t="array" aca="1" ref="H19" ca="1">IF(ROWS(H$8:H19)&lt;=$C$3,INDEX(INDIRECT(H$7),SMALL(IF(Tip_Cli=$B$3,ROW(Tip_Cli)-ROW(Facturacion!$AL$4)+1),ROWS(H$8:H19))),"")</f>
        <v>124.36875000000001</v>
      </c>
      <c r="I19" s="4">
        <f t="array" aca="1" ref="I19" ca="1">IF(ROWS(I$8:I19)&lt;=$C$3,INDEX(INDIRECT(I$7),SMALL(IF(Tip_Cli=$B$3,ROW(Tip_Cli)-ROW(Facturacion!$AL$4)+1),ROWS(I$8:I19))),"")</f>
        <v>150.75</v>
      </c>
      <c r="J19" s="4">
        <f t="array" aca="1" ref="J19" ca="1">IF(ROWS(J$8:J19)&lt;=$C$3,INDEX(INDIRECT(J$7),SMALL(IF(Tip_Cli=$B$3,ROW(Tip_Cli)-ROW(Facturacion!$AL$4)+1),ROWS(J$8:J19))),"")</f>
        <v>703.5</v>
      </c>
      <c r="K19" s="4">
        <f t="array" aca="1" ref="K19" ca="1">IF(ROWS(K$8:K19)&lt;=$C$3,INDEX(INDIRECT(K$7),SMALL(IF(Tip_Cli=$B$3,ROW(Tip_Cli)-ROW(Facturacion!$AL$4)+1),ROWS(K$8:K19))),"")</f>
        <v>0</v>
      </c>
      <c r="L19" s="4">
        <f t="array" aca="1" ref="L19" ca="1">IF(ROWS(L$8:L19)&lt;=$C$3,INDEX(INDIRECT(L$7),SMALL(IF(Tip_Cli=$B$3,ROW(Tip_Cli)-ROW(Facturacion!$AL$4)+1),ROWS(L$8:L19))),"")</f>
        <v>1568.5108593</v>
      </c>
      <c r="M19" s="4">
        <f t="array" aca="1" ref="M19" ca="1">IF(ROWS(M$8:M19)&lt;=$C$3,INDEX(INDIRECT(M$7),SMALL(IF(Tip_Cli=$B$3,ROW(Tip_Cli)-ROW(Facturacion!$AL$4)+1),ROWS(M$8:M19))),"")</f>
        <v>2250.2433507000001</v>
      </c>
      <c r="N19" s="185">
        <f t="array" aca="1" ref="N19" ca="1">IF(ROWS(N$8:N19)&lt;=$C$3,INDEX(INDIRECT(N$7),SMALL(IF(Tip_Cli=$B$3,ROW(Tip_Cli)-ROW(Facturacion!$AL$4)+1),ROWS(N$8:N19))),"")</f>
        <v>0.5892611115969153</v>
      </c>
      <c r="O19" s="24" t="str">
        <f t="array" aca="1" ref="O19" ca="1">IF(ROWS(O$8:O19)&lt;=$C$3,INDEX(INDIRECT(O$7),SMALL(IF(Tip_Cli=$B$3,ROW(Tip_Cli)-ROW(Facturacion!$AL$4)+1),ROWS(O$8:O19))),"")</f>
        <v>ACCESO</v>
      </c>
      <c r="P19" s="24" t="str">
        <f t="array" aca="1" ref="P19" ca="1">IF(ROWS(P$8:P19)&lt;=$C$3,INDEX(INDIRECT(P$7),SMALL(IF(Tip_Cli=$B$3,ROW(Tip_Cli)-ROW(Facturacion!$AL$4)+1),ROWS(P$8:P19))),"")</f>
        <v>MEDIANO</v>
      </c>
      <c r="Q19" s="24" t="str">
        <f t="array" aca="1" ref="Q19" ca="1">IF(ROWS(Q$8:Q19)&lt;=$C$3,INDEX(INDIRECT(Q$7),SMALL(IF(Tip_Cli=$B$3,ROW(Tip_Cli)-ROW(Facturacion!$AL$4)+1),ROWS(Q$8:Q19))),"")</f>
        <v>October</v>
      </c>
      <c r="R19" s="186">
        <f t="array" aca="1" ref="R19" ca="1">IF(ROWS(R$8:R19)&lt;=$C$3,INDEX(INDIRECT(R$7),SMALL(IF(Tip_Cli=$B$3,ROW(Tip_Cli)-ROW(Facturacion!$AL$4)+1),ROWS(R$8:R19))),"")</f>
        <v>2019</v>
      </c>
      <c r="S19" s="186">
        <f t="array" aca="1" ref="S19" ca="1">IF(ROWS(S$8:S19)&lt;=$C$3,INDEX(INDIRECT(S$7),SMALL(IF(Tip_Cli=$B$3,ROW(Tip_Cli)-ROW(Facturacion!$AL$4)+1),ROWS(S$8:S19))),"")</f>
        <v>11</v>
      </c>
      <c r="T19" s="186">
        <f t="array" aca="1" ref="T19" ca="1">IF(ROWS(T$8:T19)&lt;=$C$3,INDEX(INDIRECT(T$7),SMALL(IF(Tip_Cli=$B$3,ROW(Tip_Cli)-ROW(Facturacion!$AL$4)+1),ROWS(T$8:T19))),"")</f>
        <v>1</v>
      </c>
      <c r="U19" s="24">
        <f t="array" aca="1" ref="U19" ca="1">IF(ROWS(U$8:U19)&lt;=$C$3,INDEX(INDIRECT(U$7),SMALL(IF(Tip_Cli=$B$3,ROW(Tip_Cli)-ROW(Facturacion!$AL$4)+1),ROWS(U$8:U19))),"")</f>
        <v>43757</v>
      </c>
      <c r="V19" s="24" t="str">
        <f t="array" aca="1" ref="V19" ca="1">IF(ROWS(V$8:V19)&lt;=$C$3,INDEX(INDIRECT(V$7),SMALL(IF(Tip_Cli=$B$3,ROW(Tip_Cli)-ROW(Facturacion!$AL$4)+1),ROWS(V$8:V19))),"")</f>
        <v>APA-238</v>
      </c>
      <c r="W19" s="24" t="str">
        <f t="array" aca="1" ref="W19" ca="1">IF(ROWS(W$8:W19)&lt;=$C$3,INDEX(INDIRECT(W$7),SMALL(IF(Tip_Cli=$B$3,ROW(Tip_Cli)-ROW(Facturacion!$AL$4)+1),ROWS(W$8:W19))),"")</f>
        <v>HYUNDAY</v>
      </c>
      <c r="X19" s="24" t="str">
        <f t="array" aca="1" ref="X19" ca="1">IF(ROWS(X$8:X19)&lt;=$C$3,INDEX(INDIRECT(X$7),SMALL(IF(Tip_Cli=$B$3,ROW(Tip_Cli)-ROW(Facturacion!$AL$4)+1),ROWS(X$8:X19))),"")</f>
        <v>ACCENT</v>
      </c>
      <c r="Y19" s="187" t="str">
        <f t="array" aca="1" ref="Y19" ca="1">IF(ROWS(Y$8:Y19)&lt;=$C$3,INDEX(INDIRECT(Y$7),SMALL(IF(Tip_Cli=$B$3,ROW(Tip_Cli)-ROW(Facturacion!$AL$4)+1),ROWS(Y$8:Y19))),"")</f>
        <v>EDPYME ACCESO CREDITICIO SOCIEDAD ANONIMA</v>
      </c>
    </row>
    <row r="20" spans="2:25" x14ac:dyDescent="0.25">
      <c r="B20" s="24">
        <f t="array" aca="1" ref="B20" ca="1">IF(ROWS(B$8:B20)&lt;=$C$3,INDEX(INDIRECT(B$7),SMALL(IF(Tip_Cli=$B$3,ROW(Tip_Cli)-ROW(Facturacion!$AL$4)+1),ROWS(B$8:B20))),"")</f>
        <v>43769</v>
      </c>
      <c r="C20" s="24" t="str">
        <f t="array" aca="1" ref="C20" ca="1">IF(ROWS(C$8:C20)&lt;=$C$3,INDEX(INDIRECT(C$7),SMALL(IF(Tip_Cli=$B$3,ROW(Tip_Cli)-ROW(Facturacion!$AL$4)+1),ROWS(C$8:C20))),"")</f>
        <v>005-00000049</v>
      </c>
      <c r="D20" s="4">
        <f t="array" aca="1" ref="D20" ca="1">IF(ROWS(D$8:D20)&lt;=$C$3,INDEX(INDIRECT(D$7),SMALL(IF(Tip_Cli=$B$3,ROW(Tip_Cli)-ROW(Facturacion!$AL$4)+1),ROWS(D$8:D20))),"")</f>
        <v>6587.7542000000003</v>
      </c>
      <c r="E20" s="4">
        <f t="array" aca="1" ref="E20" ca="1">IF(ROWS(E$8:E20)&lt;=$C$3,INDEX(INDIRECT(E$7),SMALL(IF(Tip_Cli=$B$3,ROW(Tip_Cli)-ROW(Facturacion!$AL$4)+1),ROWS(E$8:E20))),"")</f>
        <v>1383.0209572000003</v>
      </c>
      <c r="F20" s="4">
        <f t="array" aca="1" ref="F20" ca="1">IF(ROWS(F$8:F20)&lt;=$C$3,INDEX(INDIRECT(F$7),SMALL(IF(Tip_Cli=$B$3,ROW(Tip_Cli)-ROW(Facturacion!$AL$4)+1),ROWS(F$8:F20))),"")</f>
        <v>76.271186440677965</v>
      </c>
      <c r="G20" s="4">
        <f t="array" aca="1" ref="G20" ca="1">IF(ROWS(G$8:G20)&lt;=$C$3,INDEX(INDIRECT(G$7),SMALL(IF(Tip_Cli=$B$3,ROW(Tip_Cli)-ROW(Facturacion!$AL$4)+1),ROWS(G$8:G20))),"")</f>
        <v>122.32203389830509</v>
      </c>
      <c r="H20" s="4">
        <f t="array" aca="1" ref="H20" ca="1">IF(ROWS(H$8:H20)&lt;=$C$3,INDEX(INDIRECT(H$7),SMALL(IF(Tip_Cli=$B$3,ROW(Tip_Cli)-ROW(Facturacion!$AL$4)+1),ROWS(H$8:H20))),"")</f>
        <v>154.51875000000001</v>
      </c>
      <c r="I20" s="4">
        <f t="array" aca="1" ref="I20" ca="1">IF(ROWS(I$8:I20)&lt;=$C$3,INDEX(INDIRECT(I$7),SMALL(IF(Tip_Cli=$B$3,ROW(Tip_Cli)-ROW(Facturacion!$AL$4)+1),ROWS(I$8:I20))),"")</f>
        <v>241.20000000000002</v>
      </c>
      <c r="J20" s="4">
        <f t="array" aca="1" ref="J20" ca="1">IF(ROWS(J$8:J20)&lt;=$C$3,INDEX(INDIRECT(J$7),SMALL(IF(Tip_Cli=$B$3,ROW(Tip_Cli)-ROW(Facturacion!$AL$4)+1),ROWS(J$8:J20))),"")</f>
        <v>1143.1875</v>
      </c>
      <c r="K20" s="4">
        <f t="array" aca="1" ref="K20" ca="1">IF(ROWS(K$8:K20)&lt;=$C$3,INDEX(INDIRECT(K$7),SMALL(IF(Tip_Cli=$B$3,ROW(Tip_Cli)-ROW(Facturacion!$AL$4)+1),ROWS(K$8:K20))),"")</f>
        <v>0</v>
      </c>
      <c r="L20" s="4">
        <f t="array" aca="1" ref="L20" ca="1">IF(ROWS(L$8:L20)&lt;=$C$3,INDEX(INDIRECT(L$7),SMALL(IF(Tip_Cli=$B$3,ROW(Tip_Cli)-ROW(Facturacion!$AL$4)+1),ROWS(L$8:L20))),"")</f>
        <v>3120.5204275389833</v>
      </c>
      <c r="M20" s="4">
        <f t="array" aca="1" ref="M20" ca="1">IF(ROWS(M$8:M20)&lt;=$C$3,INDEX(INDIRECT(M$7),SMALL(IF(Tip_Cli=$B$3,ROW(Tip_Cli)-ROW(Facturacion!$AL$4)+1),ROWS(M$8:M20))),"")</f>
        <v>3467.233772461017</v>
      </c>
      <c r="N20" s="185">
        <f t="array" aca="1" ref="N20" ca="1">IF(ROWS(N$8:N20)&lt;=$C$3,INDEX(INDIRECT(N$7),SMALL(IF(Tip_Cli=$B$3,ROW(Tip_Cli)-ROW(Facturacion!$AL$4)+1),ROWS(N$8:N20))),"")</f>
        <v>0.52631498796069487</v>
      </c>
      <c r="O20" s="24" t="str">
        <f t="array" aca="1" ref="O20" ca="1">IF(ROWS(O$8:O20)&lt;=$C$3,INDEX(INDIRECT(O$7),SMALL(IF(Tip_Cli=$B$3,ROW(Tip_Cli)-ROW(Facturacion!$AL$4)+1),ROWS(O$8:O20))),"")</f>
        <v>ACCESO</v>
      </c>
      <c r="P20" s="24" t="str">
        <f t="array" aca="1" ref="P20" ca="1">IF(ROWS(P$8:P20)&lt;=$C$3,INDEX(INDIRECT(P$7),SMALL(IF(Tip_Cli=$B$3,ROW(Tip_Cli)-ROW(Facturacion!$AL$4)+1),ROWS(P$8:P20))),"")</f>
        <v>GRAVE</v>
      </c>
      <c r="Q20" s="24" t="str">
        <f t="array" aca="1" ref="Q20" ca="1">IF(ROWS(Q$8:Q20)&lt;=$C$3,INDEX(INDIRECT(Q$7),SMALL(IF(Tip_Cli=$B$3,ROW(Tip_Cli)-ROW(Facturacion!$AL$4)+1),ROWS(Q$8:Q20))),"")</f>
        <v>October</v>
      </c>
      <c r="R20" s="186">
        <f t="array" aca="1" ref="R20" ca="1">IF(ROWS(R$8:R20)&lt;=$C$3,INDEX(INDIRECT(R$7),SMALL(IF(Tip_Cli=$B$3,ROW(Tip_Cli)-ROW(Facturacion!$AL$4)+1),ROWS(R$8:R20))),"")</f>
        <v>2019</v>
      </c>
      <c r="S20" s="186">
        <f t="array" aca="1" ref="S20" ca="1">IF(ROWS(S$8:S20)&lt;=$C$3,INDEX(INDIRECT(S$7),SMALL(IF(Tip_Cli=$B$3,ROW(Tip_Cli)-ROW(Facturacion!$AL$4)+1),ROWS(S$8:S20))),"")</f>
        <v>15</v>
      </c>
      <c r="T20" s="186">
        <f t="array" aca="1" ref="T20" ca="1">IF(ROWS(T$8:T20)&lt;=$C$3,INDEX(INDIRECT(T$7),SMALL(IF(Tip_Cli=$B$3,ROW(Tip_Cli)-ROW(Facturacion!$AL$4)+1),ROWS(T$8:T20))),"")</f>
        <v>1</v>
      </c>
      <c r="U20" s="24">
        <f t="array" aca="1" ref="U20" ca="1">IF(ROWS(U$8:U20)&lt;=$C$3,INDEX(INDIRECT(U$7),SMALL(IF(Tip_Cli=$B$3,ROW(Tip_Cli)-ROW(Facturacion!$AL$4)+1),ROWS(U$8:U20))),"")</f>
        <v>43754</v>
      </c>
      <c r="V20" s="24" t="str">
        <f t="array" aca="1" ref="V20" ca="1">IF(ROWS(V$8:V20)&lt;=$C$3,INDEX(INDIRECT(V$7),SMALL(IF(Tip_Cli=$B$3,ROW(Tip_Cli)-ROW(Facturacion!$AL$4)+1),ROWS(V$8:V20))),"")</f>
        <v>AKB-038</v>
      </c>
      <c r="W20" s="24" t="str">
        <f t="array" aca="1" ref="W20" ca="1">IF(ROWS(W$8:W20)&lt;=$C$3,INDEX(INDIRECT(W$7),SMALL(IF(Tip_Cli=$B$3,ROW(Tip_Cli)-ROW(Facturacion!$AL$4)+1),ROWS(W$8:W20))),"")</f>
        <v>KIA</v>
      </c>
      <c r="X20" s="24" t="str">
        <f t="array" aca="1" ref="X20" ca="1">IF(ROWS(X$8:X20)&lt;=$C$3,INDEX(INDIRECT(X$7),SMALL(IF(Tip_Cli=$B$3,ROW(Tip_Cli)-ROW(Facturacion!$AL$4)+1),ROWS(X$8:X20))),"")</f>
        <v>RIO</v>
      </c>
      <c r="Y20" s="187" t="str">
        <f t="array" aca="1" ref="Y20" ca="1">IF(ROWS(Y$8:Y20)&lt;=$C$3,INDEX(INDIRECT(Y$7),SMALL(IF(Tip_Cli=$B$3,ROW(Tip_Cli)-ROW(Facturacion!$AL$4)+1),ROWS(Y$8:Y20))),"")</f>
        <v>EDPYME ACCESO CREDITICIO SOCIEDAD ANONIMA</v>
      </c>
    </row>
    <row r="21" spans="2:25" x14ac:dyDescent="0.25">
      <c r="B21" s="24">
        <f t="array" aca="1" ref="B21" ca="1">IF(ROWS(B$8:B21)&lt;=$C$3,INDEX(INDIRECT(B$7),SMALL(IF(Tip_Cli=$B$3,ROW(Tip_Cli)-ROW(Facturacion!$AL$4)+1),ROWS(B$8:B21))),"")</f>
        <v>43769</v>
      </c>
      <c r="C21" s="24" t="str">
        <f t="array" aca="1" ref="C21" ca="1">IF(ROWS(C$8:C21)&lt;=$C$3,INDEX(INDIRECT(C$7),SMALL(IF(Tip_Cli=$B$3,ROW(Tip_Cli)-ROW(Facturacion!$AL$4)+1),ROWS(C$8:C21))),"")</f>
        <v>005-00000055</v>
      </c>
      <c r="D21" s="4">
        <f t="array" aca="1" ref="D21" ca="1">IF(ROWS(D$8:D21)&lt;=$C$3,INDEX(INDIRECT(D$7),SMALL(IF(Tip_Cli=$B$3,ROW(Tip_Cli)-ROW(Facturacion!$AL$4)+1),ROWS(D$8:D21))),"")</f>
        <v>3862.7542100000001</v>
      </c>
      <c r="E21" s="4">
        <f t="array" aca="1" ref="E21" ca="1">IF(ROWS(E$8:E21)&lt;=$C$3,INDEX(INDIRECT(E$7),SMALL(IF(Tip_Cli=$B$3,ROW(Tip_Cli)-ROW(Facturacion!$AL$4)+1),ROWS(E$8:E21))),"")</f>
        <v>1395.5710020000001</v>
      </c>
      <c r="F21" s="4">
        <f t="array" aca="1" ref="F21" ca="1">IF(ROWS(F$8:F21)&lt;=$C$3,INDEX(INDIRECT(F$7),SMALL(IF(Tip_Cli=$B$3,ROW(Tip_Cli)-ROW(Facturacion!$AL$4)+1),ROWS(F$8:F21))),"")</f>
        <v>0</v>
      </c>
      <c r="G21" s="4">
        <f t="array" aca="1" ref="G21" ca="1">IF(ROWS(G$8:G21)&lt;=$C$3,INDEX(INDIRECT(G$7),SMALL(IF(Tip_Cli=$B$3,ROW(Tip_Cli)-ROW(Facturacion!$AL$4)+1),ROWS(G$8:G21))),"")</f>
        <v>119.37288135593221</v>
      </c>
      <c r="H21" s="4">
        <f t="array" aca="1" ref="H21" ca="1">IF(ROWS(H$8:H21)&lt;=$C$3,INDEX(INDIRECT(H$7),SMALL(IF(Tip_Cli=$B$3,ROW(Tip_Cli)-ROW(Facturacion!$AL$4)+1),ROWS(H$8:H21))),"")</f>
        <v>154.51875000000001</v>
      </c>
      <c r="I21" s="4">
        <f t="array" aca="1" ref="I21" ca="1">IF(ROWS(I$8:I21)&lt;=$C$3,INDEX(INDIRECT(I$7),SMALL(IF(Tip_Cli=$B$3,ROW(Tip_Cli)-ROW(Facturacion!$AL$4)+1),ROWS(I$8:I21))),"")</f>
        <v>75.375</v>
      </c>
      <c r="J21" s="4">
        <f t="array" aca="1" ref="J21" ca="1">IF(ROWS(J$8:J21)&lt;=$C$3,INDEX(INDIRECT(J$7),SMALL(IF(Tip_Cli=$B$3,ROW(Tip_Cli)-ROW(Facturacion!$AL$4)+1),ROWS(J$8:J21))),"")</f>
        <v>422.1</v>
      </c>
      <c r="K21" s="4">
        <f t="array" aca="1" ref="K21" ca="1">IF(ROWS(K$8:K21)&lt;=$C$3,INDEX(INDIRECT(K$7),SMALL(IF(Tip_Cli=$B$3,ROW(Tip_Cli)-ROW(Facturacion!$AL$4)+1),ROWS(K$8:K21))),"")</f>
        <v>0</v>
      </c>
      <c r="L21" s="4">
        <f t="array" aca="1" ref="L21" ca="1">IF(ROWS(L$8:L21)&lt;=$C$3,INDEX(INDIRECT(L$7),SMALL(IF(Tip_Cli=$B$3,ROW(Tip_Cli)-ROW(Facturacion!$AL$4)+1),ROWS(L$8:L21))),"")</f>
        <v>2166.9376333559321</v>
      </c>
      <c r="M21" s="4">
        <f t="array" aca="1" ref="M21" ca="1">IF(ROWS(M$8:M21)&lt;=$C$3,INDEX(INDIRECT(M$7),SMALL(IF(Tip_Cli=$B$3,ROW(Tip_Cli)-ROW(Facturacion!$AL$4)+1),ROWS(M$8:M21))),"")</f>
        <v>1695.8165766440679</v>
      </c>
      <c r="N21" s="185">
        <f t="array" aca="1" ref="N21" ca="1">IF(ROWS(N$8:N21)&lt;=$C$3,INDEX(INDIRECT(N$7),SMALL(IF(Tip_Cli=$B$3,ROW(Tip_Cli)-ROW(Facturacion!$AL$4)+1),ROWS(N$8:N21))),"")</f>
        <v>0.43901746900020022</v>
      </c>
      <c r="O21" s="24" t="str">
        <f t="array" aca="1" ref="O21" ca="1">IF(ROWS(O$8:O21)&lt;=$C$3,INDEX(INDIRECT(O$7),SMALL(IF(Tip_Cli=$B$3,ROW(Tip_Cli)-ROW(Facturacion!$AL$4)+1),ROWS(O$8:O21))),"")</f>
        <v>ACCESO</v>
      </c>
      <c r="P21" s="24" t="str">
        <f t="array" aca="1" ref="P21" ca="1">IF(ROWS(P$8:P21)&lt;=$C$3,INDEX(INDIRECT(P$7),SMALL(IF(Tip_Cli=$B$3,ROW(Tip_Cli)-ROW(Facturacion!$AL$4)+1),ROWS(P$8:P21))),"")</f>
        <v>LEVE</v>
      </c>
      <c r="Q21" s="24" t="str">
        <f t="array" aca="1" ref="Q21" ca="1">IF(ROWS(Q$8:Q21)&lt;=$C$3,INDEX(INDIRECT(Q$7),SMALL(IF(Tip_Cli=$B$3,ROW(Tip_Cli)-ROW(Facturacion!$AL$4)+1),ROWS(Q$8:Q21))),"")</f>
        <v>October</v>
      </c>
      <c r="R21" s="186">
        <f t="array" aca="1" ref="R21" ca="1">IF(ROWS(R$8:R21)&lt;=$C$3,INDEX(INDIRECT(R$7),SMALL(IF(Tip_Cli=$B$3,ROW(Tip_Cli)-ROW(Facturacion!$AL$4)+1),ROWS(R$8:R21))),"")</f>
        <v>2019</v>
      </c>
      <c r="S21" s="186">
        <f t="array" aca="1" ref="S21" ca="1">IF(ROWS(S$8:S21)&lt;=$C$3,INDEX(INDIRECT(S$7),SMALL(IF(Tip_Cli=$B$3,ROW(Tip_Cli)-ROW(Facturacion!$AL$4)+1),ROWS(S$8:S21))),"")</f>
        <v>15</v>
      </c>
      <c r="T21" s="186">
        <f t="array" aca="1" ref="T21" ca="1">IF(ROWS(T$8:T21)&lt;=$C$3,INDEX(INDIRECT(T$7),SMALL(IF(Tip_Cli=$B$3,ROW(Tip_Cli)-ROW(Facturacion!$AL$4)+1),ROWS(T$8:T21))),"")</f>
        <v>1</v>
      </c>
      <c r="U21" s="24">
        <f t="array" aca="1" ref="U21" ca="1">IF(ROWS(U$8:U21)&lt;=$C$3,INDEX(INDIRECT(U$7),SMALL(IF(Tip_Cli=$B$3,ROW(Tip_Cli)-ROW(Facturacion!$AL$4)+1),ROWS(U$8:U21))),"")</f>
        <v>43754</v>
      </c>
      <c r="V21" s="24" t="str">
        <f t="array" aca="1" ref="V21" ca="1">IF(ROWS(V$8:V21)&lt;=$C$3,INDEX(INDIRECT(V$7),SMALL(IF(Tip_Cli=$B$3,ROW(Tip_Cli)-ROW(Facturacion!$AL$4)+1),ROWS(V$8:V21))),"")</f>
        <v>AEM-292</v>
      </c>
      <c r="W21" s="24" t="str">
        <f t="array" aca="1" ref="W21" ca="1">IF(ROWS(W$8:W21)&lt;=$C$3,INDEX(INDIRECT(W$7),SMALL(IF(Tip_Cli=$B$3,ROW(Tip_Cli)-ROW(Facturacion!$AL$4)+1),ROWS(W$8:W21))),"")</f>
        <v>HYUNDAY</v>
      </c>
      <c r="X21" s="24" t="str">
        <f t="array" aca="1" ref="X21" ca="1">IF(ROWS(X$8:X21)&lt;=$C$3,INDEX(INDIRECT(X$7),SMALL(IF(Tip_Cli=$B$3,ROW(Tip_Cli)-ROW(Facturacion!$AL$4)+1),ROWS(X$8:X21))),"")</f>
        <v>ACCENT</v>
      </c>
      <c r="Y21" s="187" t="str">
        <f t="array" aca="1" ref="Y21" ca="1">IF(ROWS(Y$8:Y21)&lt;=$C$3,INDEX(INDIRECT(Y$7),SMALL(IF(Tip_Cli=$B$3,ROW(Tip_Cli)-ROW(Facturacion!$AL$4)+1),ROWS(Y$8:Y21))),"")</f>
        <v>EDPYME ACCESO CREDITICIO SOCIEDAD ANONIMA</v>
      </c>
    </row>
    <row r="22" spans="2:25" x14ac:dyDescent="0.25">
      <c r="B22" s="24" t="str">
        <f t="array" aca="1" ref="B22" ca="1">IF(ROWS(B$8:B22)&lt;=$C$3,INDEX(INDIRECT(B$7),SMALL(IF(Tip_Cli=$B$3,ROW(Tip_Cli)-ROW(Facturacion!$AL$4)+1),ROWS(B$8:B22))),"")</f>
        <v/>
      </c>
      <c r="C22" s="24" t="str">
        <f t="array" aca="1" ref="C22" ca="1">IF(ROWS(C$8:C22)&lt;=$C$3,INDEX(INDIRECT(C$7),SMALL(IF(Tip_Cli=$B$3,ROW(Tip_Cli)-ROW(Facturacion!$AL$4)+1),ROWS(C$8:C22))),"")</f>
        <v/>
      </c>
      <c r="D22" s="4" t="str">
        <f t="array" aca="1" ref="D22" ca="1">IF(ROWS(D$8:D22)&lt;=$C$3,INDEX(INDIRECT(D$7),SMALL(IF(Tip_Cli=$B$3,ROW(Tip_Cli)-ROW(Facturacion!$AL$4)+1),ROWS(D$8:D22))),"")</f>
        <v/>
      </c>
      <c r="E22" s="4" t="str">
        <f t="array" aca="1" ref="E22" ca="1">IF(ROWS(E$8:E22)&lt;=$C$3,INDEX(INDIRECT(E$7),SMALL(IF(Tip_Cli=$B$3,ROW(Tip_Cli)-ROW(Facturacion!$AL$4)+1),ROWS(E$8:E22))),"")</f>
        <v/>
      </c>
      <c r="F22" s="4" t="str">
        <f t="array" aca="1" ref="F22" ca="1">IF(ROWS(F$8:F22)&lt;=$C$3,INDEX(INDIRECT(F$7),SMALL(IF(Tip_Cli=$B$3,ROW(Tip_Cli)-ROW(Facturacion!$AL$4)+1),ROWS(F$8:F22))),"")</f>
        <v/>
      </c>
      <c r="G22" s="4" t="str">
        <f t="array" aca="1" ref="G22" ca="1">IF(ROWS(G$8:G22)&lt;=$C$3,INDEX(INDIRECT(G$7),SMALL(IF(Tip_Cli=$B$3,ROW(Tip_Cli)-ROW(Facturacion!$AL$4)+1),ROWS(G$8:G22))),"")</f>
        <v/>
      </c>
      <c r="H22" s="4" t="str">
        <f t="array" aca="1" ref="H22" ca="1">IF(ROWS(H$8:H22)&lt;=$C$3,INDEX(INDIRECT(H$7),SMALL(IF(Tip_Cli=$B$3,ROW(Tip_Cli)-ROW(Facturacion!$AL$4)+1),ROWS(H$8:H22))),"")</f>
        <v/>
      </c>
      <c r="I22" s="4" t="str">
        <f t="array" aca="1" ref="I22" ca="1">IF(ROWS(I$8:I22)&lt;=$C$3,INDEX(INDIRECT(I$7),SMALL(IF(Tip_Cli=$B$3,ROW(Tip_Cli)-ROW(Facturacion!$AL$4)+1),ROWS(I$8:I22))),"")</f>
        <v/>
      </c>
      <c r="J22" s="4" t="str">
        <f t="array" aca="1" ref="J22" ca="1">IF(ROWS(J$8:J22)&lt;=$C$3,INDEX(INDIRECT(J$7),SMALL(IF(Tip_Cli=$B$3,ROW(Tip_Cli)-ROW(Facturacion!$AL$4)+1),ROWS(J$8:J22))),"")</f>
        <v/>
      </c>
      <c r="K22" s="4" t="str">
        <f t="array" aca="1" ref="K22" ca="1">IF(ROWS(K$8:K22)&lt;=$C$3,INDEX(INDIRECT(K$7),SMALL(IF(Tip_Cli=$B$3,ROW(Tip_Cli)-ROW(Facturacion!$AL$4)+1),ROWS(K$8:K22))),"")</f>
        <v/>
      </c>
      <c r="L22" s="4" t="str">
        <f t="array" aca="1" ref="L22" ca="1">IF(ROWS(L$8:L22)&lt;=$C$3,INDEX(INDIRECT(L$7),SMALL(IF(Tip_Cli=$B$3,ROW(Tip_Cli)-ROW(Facturacion!$AL$4)+1),ROWS(L$8:L22))),"")</f>
        <v/>
      </c>
      <c r="M22" s="4" t="str">
        <f t="array" aca="1" ref="M22" ca="1">IF(ROWS(M$8:M22)&lt;=$C$3,INDEX(INDIRECT(M$7),SMALL(IF(Tip_Cli=$B$3,ROW(Tip_Cli)-ROW(Facturacion!$AL$4)+1),ROWS(M$8:M22))),"")</f>
        <v/>
      </c>
      <c r="N22" s="185" t="str">
        <f t="array" aca="1" ref="N22" ca="1">IF(ROWS(N$8:N22)&lt;=$C$3,INDEX(INDIRECT(N$7),SMALL(IF(Tip_Cli=$B$3,ROW(Tip_Cli)-ROW(Facturacion!$AL$4)+1),ROWS(N$8:N22))),"")</f>
        <v/>
      </c>
      <c r="O22" s="24" t="str">
        <f t="array" aca="1" ref="O22" ca="1">IF(ROWS(O$8:O22)&lt;=$C$3,INDEX(INDIRECT(O$7),SMALL(IF(Tip_Cli=$B$3,ROW(Tip_Cli)-ROW(Facturacion!$AL$4)+1),ROWS(O$8:O22))),"")</f>
        <v/>
      </c>
      <c r="P22" s="24" t="str">
        <f t="array" aca="1" ref="P22" ca="1">IF(ROWS(P$8:P22)&lt;=$C$3,INDEX(INDIRECT(P$7),SMALL(IF(Tip_Cli=$B$3,ROW(Tip_Cli)-ROW(Facturacion!$AL$4)+1),ROWS(P$8:P22))),"")</f>
        <v/>
      </c>
      <c r="Q22" s="24" t="str">
        <f t="array" aca="1" ref="Q22" ca="1">IF(ROWS(Q$8:Q22)&lt;=$C$3,INDEX(INDIRECT(Q$7),SMALL(IF(Tip_Cli=$B$3,ROW(Tip_Cli)-ROW(Facturacion!$AL$4)+1),ROWS(Q$8:Q22))),"")</f>
        <v/>
      </c>
      <c r="R22" s="186" t="str">
        <f t="array" aca="1" ref="R22" ca="1">IF(ROWS(R$8:R22)&lt;=$C$3,INDEX(INDIRECT(R$7),SMALL(IF(Tip_Cli=$B$3,ROW(Tip_Cli)-ROW(Facturacion!$AL$4)+1),ROWS(R$8:R22))),"")</f>
        <v/>
      </c>
      <c r="S22" s="186" t="str">
        <f t="array" aca="1" ref="S22" ca="1">IF(ROWS(S$8:S22)&lt;=$C$3,INDEX(INDIRECT(S$7),SMALL(IF(Tip_Cli=$B$3,ROW(Tip_Cli)-ROW(Facturacion!$AL$4)+1),ROWS(S$8:S22))),"")</f>
        <v/>
      </c>
      <c r="T22" s="186" t="str">
        <f t="array" aca="1" ref="T22" ca="1">IF(ROWS(T$8:T22)&lt;=$C$3,INDEX(INDIRECT(T$7),SMALL(IF(Tip_Cli=$B$3,ROW(Tip_Cli)-ROW(Facturacion!$AL$4)+1),ROWS(T$8:T22))),"")</f>
        <v/>
      </c>
      <c r="U22" s="24" t="str">
        <f t="array" aca="1" ref="U22" ca="1">IF(ROWS(U$8:U22)&lt;=$C$3,INDEX(INDIRECT(U$7),SMALL(IF(Tip_Cli=$B$3,ROW(Tip_Cli)-ROW(Facturacion!$AL$4)+1),ROWS(U$8:U22))),"")</f>
        <v/>
      </c>
      <c r="V22" s="24" t="str">
        <f t="array" aca="1" ref="V22" ca="1">IF(ROWS(V$8:V22)&lt;=$C$3,INDEX(INDIRECT(V$7),SMALL(IF(Tip_Cli=$B$3,ROW(Tip_Cli)-ROW(Facturacion!$AL$4)+1),ROWS(V$8:V22))),"")</f>
        <v/>
      </c>
      <c r="W22" s="24" t="str">
        <f t="array" aca="1" ref="W22" ca="1">IF(ROWS(W$8:W22)&lt;=$C$3,INDEX(INDIRECT(W$7),SMALL(IF(Tip_Cli=$B$3,ROW(Tip_Cli)-ROW(Facturacion!$AL$4)+1),ROWS(W$8:W22))),"")</f>
        <v/>
      </c>
      <c r="X22" s="24" t="str">
        <f t="array" aca="1" ref="X22" ca="1">IF(ROWS(X$8:X22)&lt;=$C$3,INDEX(INDIRECT(X$7),SMALL(IF(Tip_Cli=$B$3,ROW(Tip_Cli)-ROW(Facturacion!$AL$4)+1),ROWS(X$8:X22))),"")</f>
        <v/>
      </c>
      <c r="Y22" s="187" t="str">
        <f t="array" aca="1" ref="Y22" ca="1">IF(ROWS(Y$8:Y22)&lt;=$C$3,INDEX(INDIRECT(Y$7),SMALL(IF(Tip_Cli=$B$3,ROW(Tip_Cli)-ROW(Facturacion!$AL$4)+1),ROWS(Y$8:Y22))),"")</f>
        <v/>
      </c>
    </row>
    <row r="23" spans="2:25" x14ac:dyDescent="0.25">
      <c r="B23" s="24" t="str">
        <f t="array" aca="1" ref="B23" ca="1">IF(ROWS(B$8:B23)&lt;=$C$3,INDEX(INDIRECT(B$7),SMALL(IF(Tip_Cli=$B$3,ROW(Tip_Cli)-ROW(Facturacion!$AL$4)+1),ROWS(B$8:B23))),"")</f>
        <v/>
      </c>
      <c r="C23" s="24" t="str">
        <f t="array" aca="1" ref="C23" ca="1">IF(ROWS(C$8:C23)&lt;=$C$3,INDEX(INDIRECT(C$7),SMALL(IF(Tip_Cli=$B$3,ROW(Tip_Cli)-ROW(Facturacion!$AL$4)+1),ROWS(C$8:C23))),"")</f>
        <v/>
      </c>
      <c r="D23" s="4" t="str">
        <f t="array" aca="1" ref="D23" ca="1">IF(ROWS(D$8:D23)&lt;=$C$3,INDEX(INDIRECT(D$7),SMALL(IF(Tip_Cli=$B$3,ROW(Tip_Cli)-ROW(Facturacion!$AL$4)+1),ROWS(D$8:D23))),"")</f>
        <v/>
      </c>
      <c r="E23" s="4" t="str">
        <f t="array" aca="1" ref="E23" ca="1">IF(ROWS(E$8:E23)&lt;=$C$3,INDEX(INDIRECT(E$7),SMALL(IF(Tip_Cli=$B$3,ROW(Tip_Cli)-ROW(Facturacion!$AL$4)+1),ROWS(E$8:E23))),"")</f>
        <v/>
      </c>
      <c r="F23" s="4" t="str">
        <f t="array" aca="1" ref="F23" ca="1">IF(ROWS(F$8:F23)&lt;=$C$3,INDEX(INDIRECT(F$7),SMALL(IF(Tip_Cli=$B$3,ROW(Tip_Cli)-ROW(Facturacion!$AL$4)+1),ROWS(F$8:F23))),"")</f>
        <v/>
      </c>
      <c r="G23" s="4" t="str">
        <f t="array" aca="1" ref="G23" ca="1">IF(ROWS(G$8:G23)&lt;=$C$3,INDEX(INDIRECT(G$7),SMALL(IF(Tip_Cli=$B$3,ROW(Tip_Cli)-ROW(Facturacion!$AL$4)+1),ROWS(G$8:G23))),"")</f>
        <v/>
      </c>
      <c r="H23" s="4" t="str">
        <f t="array" aca="1" ref="H23" ca="1">IF(ROWS(H$8:H23)&lt;=$C$3,INDEX(INDIRECT(H$7),SMALL(IF(Tip_Cli=$B$3,ROW(Tip_Cli)-ROW(Facturacion!$AL$4)+1),ROWS(H$8:H23))),"")</f>
        <v/>
      </c>
      <c r="I23" s="4" t="str">
        <f t="array" aca="1" ref="I23" ca="1">IF(ROWS(I$8:I23)&lt;=$C$3,INDEX(INDIRECT(I$7),SMALL(IF(Tip_Cli=$B$3,ROW(Tip_Cli)-ROW(Facturacion!$AL$4)+1),ROWS(I$8:I23))),"")</f>
        <v/>
      </c>
      <c r="J23" s="4" t="str">
        <f t="array" aca="1" ref="J23" ca="1">IF(ROWS(J$8:J23)&lt;=$C$3,INDEX(INDIRECT(J$7),SMALL(IF(Tip_Cli=$B$3,ROW(Tip_Cli)-ROW(Facturacion!$AL$4)+1),ROWS(J$8:J23))),"")</f>
        <v/>
      </c>
      <c r="K23" s="4" t="str">
        <f t="array" aca="1" ref="K23" ca="1">IF(ROWS(K$8:K23)&lt;=$C$3,INDEX(INDIRECT(K$7),SMALL(IF(Tip_Cli=$B$3,ROW(Tip_Cli)-ROW(Facturacion!$AL$4)+1),ROWS(K$8:K23))),"")</f>
        <v/>
      </c>
      <c r="L23" s="4" t="str">
        <f t="array" aca="1" ref="L23" ca="1">IF(ROWS(L$8:L23)&lt;=$C$3,INDEX(INDIRECT(L$7),SMALL(IF(Tip_Cli=$B$3,ROW(Tip_Cli)-ROW(Facturacion!$AL$4)+1),ROWS(L$8:L23))),"")</f>
        <v/>
      </c>
      <c r="M23" s="4" t="str">
        <f t="array" aca="1" ref="M23" ca="1">IF(ROWS(M$8:M23)&lt;=$C$3,INDEX(INDIRECT(M$7),SMALL(IF(Tip_Cli=$B$3,ROW(Tip_Cli)-ROW(Facturacion!$AL$4)+1),ROWS(M$8:M23))),"")</f>
        <v/>
      </c>
      <c r="N23" s="185" t="str">
        <f t="array" aca="1" ref="N23" ca="1">IF(ROWS(N$8:N23)&lt;=$C$3,INDEX(INDIRECT(N$7),SMALL(IF(Tip_Cli=$B$3,ROW(Tip_Cli)-ROW(Facturacion!$AL$4)+1),ROWS(N$8:N23))),"")</f>
        <v/>
      </c>
      <c r="O23" s="24" t="str">
        <f t="array" aca="1" ref="O23" ca="1">IF(ROWS(O$8:O23)&lt;=$C$3,INDEX(INDIRECT(O$7),SMALL(IF(Tip_Cli=$B$3,ROW(Tip_Cli)-ROW(Facturacion!$AL$4)+1),ROWS(O$8:O23))),"")</f>
        <v/>
      </c>
      <c r="P23" s="24" t="str">
        <f t="array" aca="1" ref="P23" ca="1">IF(ROWS(P$8:P23)&lt;=$C$3,INDEX(INDIRECT(P$7),SMALL(IF(Tip_Cli=$B$3,ROW(Tip_Cli)-ROW(Facturacion!$AL$4)+1),ROWS(P$8:P23))),"")</f>
        <v/>
      </c>
      <c r="Q23" s="24" t="str">
        <f t="array" aca="1" ref="Q23" ca="1">IF(ROWS(Q$8:Q23)&lt;=$C$3,INDEX(INDIRECT(Q$7),SMALL(IF(Tip_Cli=$B$3,ROW(Tip_Cli)-ROW(Facturacion!$AL$4)+1),ROWS(Q$8:Q23))),"")</f>
        <v/>
      </c>
      <c r="R23" s="186" t="str">
        <f t="array" aca="1" ref="R23" ca="1">IF(ROWS(R$8:R23)&lt;=$C$3,INDEX(INDIRECT(R$7),SMALL(IF(Tip_Cli=$B$3,ROW(Tip_Cli)-ROW(Facturacion!$AL$4)+1),ROWS(R$8:R23))),"")</f>
        <v/>
      </c>
      <c r="S23" s="186" t="str">
        <f t="array" aca="1" ref="S23" ca="1">IF(ROWS(S$8:S23)&lt;=$C$3,INDEX(INDIRECT(S$7),SMALL(IF(Tip_Cli=$B$3,ROW(Tip_Cli)-ROW(Facturacion!$AL$4)+1),ROWS(S$8:S23))),"")</f>
        <v/>
      </c>
      <c r="T23" s="186" t="str">
        <f t="array" aca="1" ref="T23" ca="1">IF(ROWS(T$8:T23)&lt;=$C$3,INDEX(INDIRECT(T$7),SMALL(IF(Tip_Cli=$B$3,ROW(Tip_Cli)-ROW(Facturacion!$AL$4)+1),ROWS(T$8:T23))),"")</f>
        <v/>
      </c>
      <c r="U23" s="24" t="str">
        <f t="array" aca="1" ref="U23" ca="1">IF(ROWS(U$8:U23)&lt;=$C$3,INDEX(INDIRECT(U$7),SMALL(IF(Tip_Cli=$B$3,ROW(Tip_Cli)-ROW(Facturacion!$AL$4)+1),ROWS(U$8:U23))),"")</f>
        <v/>
      </c>
      <c r="V23" s="24" t="str">
        <f t="array" aca="1" ref="V23" ca="1">IF(ROWS(V$8:V23)&lt;=$C$3,INDEX(INDIRECT(V$7),SMALL(IF(Tip_Cli=$B$3,ROW(Tip_Cli)-ROW(Facturacion!$AL$4)+1),ROWS(V$8:V23))),"")</f>
        <v/>
      </c>
      <c r="W23" s="24" t="str">
        <f t="array" aca="1" ref="W23" ca="1">IF(ROWS(W$8:W23)&lt;=$C$3,INDEX(INDIRECT(W$7),SMALL(IF(Tip_Cli=$B$3,ROW(Tip_Cli)-ROW(Facturacion!$AL$4)+1),ROWS(W$8:W23))),"")</f>
        <v/>
      </c>
      <c r="X23" s="24" t="str">
        <f t="array" aca="1" ref="X23" ca="1">IF(ROWS(X$8:X23)&lt;=$C$3,INDEX(INDIRECT(X$7),SMALL(IF(Tip_Cli=$B$3,ROW(Tip_Cli)-ROW(Facturacion!$AL$4)+1),ROWS(X$8:X23))),"")</f>
        <v/>
      </c>
      <c r="Y23" s="187" t="str">
        <f t="array" aca="1" ref="Y23" ca="1">IF(ROWS(Y$8:Y23)&lt;=$C$3,INDEX(INDIRECT(Y$7),SMALL(IF(Tip_Cli=$B$3,ROW(Tip_Cli)-ROW(Facturacion!$AL$4)+1),ROWS(Y$8:Y23))),"")</f>
        <v/>
      </c>
    </row>
    <row r="24" spans="2:25" x14ac:dyDescent="0.25">
      <c r="B24" s="24" t="str">
        <f t="array" aca="1" ref="B24" ca="1">IF(ROWS(B$8:B24)&lt;=$C$3,INDEX(INDIRECT(B$7),SMALL(IF(Tip_Cli=$B$3,ROW(Tip_Cli)-ROW(Facturacion!$AL$4)+1),ROWS(B$8:B24))),"")</f>
        <v/>
      </c>
      <c r="C24" s="24" t="str">
        <f t="array" aca="1" ref="C24" ca="1">IF(ROWS(C$8:C24)&lt;=$C$3,INDEX(INDIRECT(C$7),SMALL(IF(Tip_Cli=$B$3,ROW(Tip_Cli)-ROW(Facturacion!$AL$4)+1),ROWS(C$8:C24))),"")</f>
        <v/>
      </c>
      <c r="D24" s="4" t="str">
        <f t="array" aca="1" ref="D24" ca="1">IF(ROWS(D$8:D24)&lt;=$C$3,INDEX(INDIRECT(D$7),SMALL(IF(Tip_Cli=$B$3,ROW(Tip_Cli)-ROW(Facturacion!$AL$4)+1),ROWS(D$8:D24))),"")</f>
        <v/>
      </c>
      <c r="E24" s="4" t="str">
        <f t="array" aca="1" ref="E24" ca="1">IF(ROWS(E$8:E24)&lt;=$C$3,INDEX(INDIRECT(E$7),SMALL(IF(Tip_Cli=$B$3,ROW(Tip_Cli)-ROW(Facturacion!$AL$4)+1),ROWS(E$8:E24))),"")</f>
        <v/>
      </c>
      <c r="F24" s="4" t="str">
        <f t="array" aca="1" ref="F24" ca="1">IF(ROWS(F$8:F24)&lt;=$C$3,INDEX(INDIRECT(F$7),SMALL(IF(Tip_Cli=$B$3,ROW(Tip_Cli)-ROW(Facturacion!$AL$4)+1),ROWS(F$8:F24))),"")</f>
        <v/>
      </c>
      <c r="G24" s="4" t="str">
        <f t="array" aca="1" ref="G24" ca="1">IF(ROWS(G$8:G24)&lt;=$C$3,INDEX(INDIRECT(G$7),SMALL(IF(Tip_Cli=$B$3,ROW(Tip_Cli)-ROW(Facturacion!$AL$4)+1),ROWS(G$8:G24))),"")</f>
        <v/>
      </c>
      <c r="H24" s="4" t="str">
        <f t="array" aca="1" ref="H24" ca="1">IF(ROWS(H$8:H24)&lt;=$C$3,INDEX(INDIRECT(H$7),SMALL(IF(Tip_Cli=$B$3,ROW(Tip_Cli)-ROW(Facturacion!$AL$4)+1),ROWS(H$8:H24))),"")</f>
        <v/>
      </c>
      <c r="I24" s="4" t="str">
        <f t="array" aca="1" ref="I24" ca="1">IF(ROWS(I$8:I24)&lt;=$C$3,INDEX(INDIRECT(I$7),SMALL(IF(Tip_Cli=$B$3,ROW(Tip_Cli)-ROW(Facturacion!$AL$4)+1),ROWS(I$8:I24))),"")</f>
        <v/>
      </c>
      <c r="J24" s="4" t="str">
        <f t="array" aca="1" ref="J24" ca="1">IF(ROWS(J$8:J24)&lt;=$C$3,INDEX(INDIRECT(J$7),SMALL(IF(Tip_Cli=$B$3,ROW(Tip_Cli)-ROW(Facturacion!$AL$4)+1),ROWS(J$8:J24))),"")</f>
        <v/>
      </c>
      <c r="K24" s="4" t="str">
        <f t="array" aca="1" ref="K24" ca="1">IF(ROWS(K$8:K24)&lt;=$C$3,INDEX(INDIRECT(K$7),SMALL(IF(Tip_Cli=$B$3,ROW(Tip_Cli)-ROW(Facturacion!$AL$4)+1),ROWS(K$8:K24))),"")</f>
        <v/>
      </c>
      <c r="L24" s="4" t="str">
        <f t="array" aca="1" ref="L24" ca="1">IF(ROWS(L$8:L24)&lt;=$C$3,INDEX(INDIRECT(L$7),SMALL(IF(Tip_Cli=$B$3,ROW(Tip_Cli)-ROW(Facturacion!$AL$4)+1),ROWS(L$8:L24))),"")</f>
        <v/>
      </c>
      <c r="M24" s="4" t="str">
        <f t="array" aca="1" ref="M24" ca="1">IF(ROWS(M$8:M24)&lt;=$C$3,INDEX(INDIRECT(M$7),SMALL(IF(Tip_Cli=$B$3,ROW(Tip_Cli)-ROW(Facturacion!$AL$4)+1),ROWS(M$8:M24))),"")</f>
        <v/>
      </c>
      <c r="N24" s="185" t="str">
        <f t="array" aca="1" ref="N24" ca="1">IF(ROWS(N$8:N24)&lt;=$C$3,INDEX(INDIRECT(N$7),SMALL(IF(Tip_Cli=$B$3,ROW(Tip_Cli)-ROW(Facturacion!$AL$4)+1),ROWS(N$8:N24))),"")</f>
        <v/>
      </c>
      <c r="O24" s="24" t="str">
        <f t="array" aca="1" ref="O24" ca="1">IF(ROWS(O$8:O24)&lt;=$C$3,INDEX(INDIRECT(O$7),SMALL(IF(Tip_Cli=$B$3,ROW(Tip_Cli)-ROW(Facturacion!$AL$4)+1),ROWS(O$8:O24))),"")</f>
        <v/>
      </c>
      <c r="P24" s="24" t="str">
        <f t="array" aca="1" ref="P24" ca="1">IF(ROWS(P$8:P24)&lt;=$C$3,INDEX(INDIRECT(P$7),SMALL(IF(Tip_Cli=$B$3,ROW(Tip_Cli)-ROW(Facturacion!$AL$4)+1),ROWS(P$8:P24))),"")</f>
        <v/>
      </c>
      <c r="Q24" s="24" t="str">
        <f t="array" aca="1" ref="Q24" ca="1">IF(ROWS(Q$8:Q24)&lt;=$C$3,INDEX(INDIRECT(Q$7),SMALL(IF(Tip_Cli=$B$3,ROW(Tip_Cli)-ROW(Facturacion!$AL$4)+1),ROWS(Q$8:Q24))),"")</f>
        <v/>
      </c>
      <c r="R24" s="186" t="str">
        <f t="array" aca="1" ref="R24" ca="1">IF(ROWS(R$8:R24)&lt;=$C$3,INDEX(INDIRECT(R$7),SMALL(IF(Tip_Cli=$B$3,ROW(Tip_Cli)-ROW(Facturacion!$AL$4)+1),ROWS(R$8:R24))),"")</f>
        <v/>
      </c>
      <c r="S24" s="186" t="str">
        <f t="array" aca="1" ref="S24" ca="1">IF(ROWS(S$8:S24)&lt;=$C$3,INDEX(INDIRECT(S$7),SMALL(IF(Tip_Cli=$B$3,ROW(Tip_Cli)-ROW(Facturacion!$AL$4)+1),ROWS(S$8:S24))),"")</f>
        <v/>
      </c>
      <c r="T24" s="186" t="str">
        <f t="array" aca="1" ref="T24" ca="1">IF(ROWS(T$8:T24)&lt;=$C$3,INDEX(INDIRECT(T$7),SMALL(IF(Tip_Cli=$B$3,ROW(Tip_Cli)-ROW(Facturacion!$AL$4)+1),ROWS(T$8:T24))),"")</f>
        <v/>
      </c>
      <c r="U24" s="24" t="str">
        <f t="array" aca="1" ref="U24" ca="1">IF(ROWS(U$8:U24)&lt;=$C$3,INDEX(INDIRECT(U$7),SMALL(IF(Tip_Cli=$B$3,ROW(Tip_Cli)-ROW(Facturacion!$AL$4)+1),ROWS(U$8:U24))),"")</f>
        <v/>
      </c>
      <c r="V24" s="24" t="str">
        <f t="array" aca="1" ref="V24" ca="1">IF(ROWS(V$8:V24)&lt;=$C$3,INDEX(INDIRECT(V$7),SMALL(IF(Tip_Cli=$B$3,ROW(Tip_Cli)-ROW(Facturacion!$AL$4)+1),ROWS(V$8:V24))),"")</f>
        <v/>
      </c>
      <c r="W24" s="24" t="str">
        <f t="array" aca="1" ref="W24" ca="1">IF(ROWS(W$8:W24)&lt;=$C$3,INDEX(INDIRECT(W$7),SMALL(IF(Tip_Cli=$B$3,ROW(Tip_Cli)-ROW(Facturacion!$AL$4)+1),ROWS(W$8:W24))),"")</f>
        <v/>
      </c>
      <c r="X24" s="24" t="str">
        <f t="array" aca="1" ref="X24" ca="1">IF(ROWS(X$8:X24)&lt;=$C$3,INDEX(INDIRECT(X$7),SMALL(IF(Tip_Cli=$B$3,ROW(Tip_Cli)-ROW(Facturacion!$AL$4)+1),ROWS(X$8:X24))),"")</f>
        <v/>
      </c>
      <c r="Y24" s="187" t="str">
        <f t="array" aca="1" ref="Y24" ca="1">IF(ROWS(Y$8:Y24)&lt;=$C$3,INDEX(INDIRECT(Y$7),SMALL(IF(Tip_Cli=$B$3,ROW(Tip_Cli)-ROW(Facturacion!$AL$4)+1),ROWS(Y$8:Y24))),"")</f>
        <v/>
      </c>
    </row>
    <row r="25" spans="2:25" x14ac:dyDescent="0.25">
      <c r="B25" s="24" t="str">
        <f t="array" aca="1" ref="B25" ca="1">IF(ROWS(B$8:B25)&lt;=$C$3,INDEX(INDIRECT(B$7),SMALL(IF(Tip_Cli=$B$3,ROW(Tip_Cli)-ROW(Facturacion!$AL$4)+1),ROWS(B$8:B25))),"")</f>
        <v/>
      </c>
      <c r="C25" s="24" t="str">
        <f t="array" aca="1" ref="C25" ca="1">IF(ROWS(C$8:C25)&lt;=$C$3,INDEX(INDIRECT(C$7),SMALL(IF(Tip_Cli=$B$3,ROW(Tip_Cli)-ROW(Facturacion!$AL$4)+1),ROWS(C$8:C25))),"")</f>
        <v/>
      </c>
      <c r="D25" s="4" t="str">
        <f t="array" aca="1" ref="D25" ca="1">IF(ROWS(D$8:D25)&lt;=$C$3,INDEX(INDIRECT(D$7),SMALL(IF(Tip_Cli=$B$3,ROW(Tip_Cli)-ROW(Facturacion!$AL$4)+1),ROWS(D$8:D25))),"")</f>
        <v/>
      </c>
      <c r="E25" s="4" t="str">
        <f t="array" aca="1" ref="E25" ca="1">IF(ROWS(E$8:E25)&lt;=$C$3,INDEX(INDIRECT(E$7),SMALL(IF(Tip_Cli=$B$3,ROW(Tip_Cli)-ROW(Facturacion!$AL$4)+1),ROWS(E$8:E25))),"")</f>
        <v/>
      </c>
      <c r="F25" s="4" t="str">
        <f t="array" aca="1" ref="F25" ca="1">IF(ROWS(F$8:F25)&lt;=$C$3,INDEX(INDIRECT(F$7),SMALL(IF(Tip_Cli=$B$3,ROW(Tip_Cli)-ROW(Facturacion!$AL$4)+1),ROWS(F$8:F25))),"")</f>
        <v/>
      </c>
      <c r="G25" s="4" t="str">
        <f t="array" aca="1" ref="G25" ca="1">IF(ROWS(G$8:G25)&lt;=$C$3,INDEX(INDIRECT(G$7),SMALL(IF(Tip_Cli=$B$3,ROW(Tip_Cli)-ROW(Facturacion!$AL$4)+1),ROWS(G$8:G25))),"")</f>
        <v/>
      </c>
      <c r="H25" s="4" t="str">
        <f t="array" aca="1" ref="H25" ca="1">IF(ROWS(H$8:H25)&lt;=$C$3,INDEX(INDIRECT(H$7),SMALL(IF(Tip_Cli=$B$3,ROW(Tip_Cli)-ROW(Facturacion!$AL$4)+1),ROWS(H$8:H25))),"")</f>
        <v/>
      </c>
      <c r="I25" s="4" t="str">
        <f t="array" aca="1" ref="I25" ca="1">IF(ROWS(I$8:I25)&lt;=$C$3,INDEX(INDIRECT(I$7),SMALL(IF(Tip_Cli=$B$3,ROW(Tip_Cli)-ROW(Facturacion!$AL$4)+1),ROWS(I$8:I25))),"")</f>
        <v/>
      </c>
      <c r="J25" s="4" t="str">
        <f t="array" aca="1" ref="J25" ca="1">IF(ROWS(J$8:J25)&lt;=$C$3,INDEX(INDIRECT(J$7),SMALL(IF(Tip_Cli=$B$3,ROW(Tip_Cli)-ROW(Facturacion!$AL$4)+1),ROWS(J$8:J25))),"")</f>
        <v/>
      </c>
      <c r="K25" s="4" t="str">
        <f t="array" aca="1" ref="K25" ca="1">IF(ROWS(K$8:K25)&lt;=$C$3,INDEX(INDIRECT(K$7),SMALL(IF(Tip_Cli=$B$3,ROW(Tip_Cli)-ROW(Facturacion!$AL$4)+1),ROWS(K$8:K25))),"")</f>
        <v/>
      </c>
      <c r="L25" s="4" t="str">
        <f t="array" aca="1" ref="L25" ca="1">IF(ROWS(L$8:L25)&lt;=$C$3,INDEX(INDIRECT(L$7),SMALL(IF(Tip_Cli=$B$3,ROW(Tip_Cli)-ROW(Facturacion!$AL$4)+1),ROWS(L$8:L25))),"")</f>
        <v/>
      </c>
      <c r="M25" s="4" t="str">
        <f t="array" aca="1" ref="M25" ca="1">IF(ROWS(M$8:M25)&lt;=$C$3,INDEX(INDIRECT(M$7),SMALL(IF(Tip_Cli=$B$3,ROW(Tip_Cli)-ROW(Facturacion!$AL$4)+1),ROWS(M$8:M25))),"")</f>
        <v/>
      </c>
      <c r="N25" s="185" t="str">
        <f t="array" aca="1" ref="N25" ca="1">IF(ROWS(N$8:N25)&lt;=$C$3,INDEX(INDIRECT(N$7),SMALL(IF(Tip_Cli=$B$3,ROW(Tip_Cli)-ROW(Facturacion!$AL$4)+1),ROWS(N$8:N25))),"")</f>
        <v/>
      </c>
      <c r="O25" s="24" t="str">
        <f t="array" aca="1" ref="O25" ca="1">IF(ROWS(O$8:O25)&lt;=$C$3,INDEX(INDIRECT(O$7),SMALL(IF(Tip_Cli=$B$3,ROW(Tip_Cli)-ROW(Facturacion!$AL$4)+1),ROWS(O$8:O25))),"")</f>
        <v/>
      </c>
      <c r="P25" s="24" t="str">
        <f t="array" aca="1" ref="P25" ca="1">IF(ROWS(P$8:P25)&lt;=$C$3,INDEX(INDIRECT(P$7),SMALL(IF(Tip_Cli=$B$3,ROW(Tip_Cli)-ROW(Facturacion!$AL$4)+1),ROWS(P$8:P25))),"")</f>
        <v/>
      </c>
      <c r="Q25" s="24" t="str">
        <f t="array" aca="1" ref="Q25" ca="1">IF(ROWS(Q$8:Q25)&lt;=$C$3,INDEX(INDIRECT(Q$7),SMALL(IF(Tip_Cli=$B$3,ROW(Tip_Cli)-ROW(Facturacion!$AL$4)+1),ROWS(Q$8:Q25))),"")</f>
        <v/>
      </c>
      <c r="R25" s="186" t="str">
        <f t="array" aca="1" ref="R25" ca="1">IF(ROWS(R$8:R25)&lt;=$C$3,INDEX(INDIRECT(R$7),SMALL(IF(Tip_Cli=$B$3,ROW(Tip_Cli)-ROW(Facturacion!$AL$4)+1),ROWS(R$8:R25))),"")</f>
        <v/>
      </c>
      <c r="S25" s="186" t="str">
        <f t="array" aca="1" ref="S25" ca="1">IF(ROWS(S$8:S25)&lt;=$C$3,INDEX(INDIRECT(S$7),SMALL(IF(Tip_Cli=$B$3,ROW(Tip_Cli)-ROW(Facturacion!$AL$4)+1),ROWS(S$8:S25))),"")</f>
        <v/>
      </c>
      <c r="T25" s="186" t="str">
        <f t="array" aca="1" ref="T25" ca="1">IF(ROWS(T$8:T25)&lt;=$C$3,INDEX(INDIRECT(T$7),SMALL(IF(Tip_Cli=$B$3,ROW(Tip_Cli)-ROW(Facturacion!$AL$4)+1),ROWS(T$8:T25))),"")</f>
        <v/>
      </c>
      <c r="U25" s="24" t="str">
        <f t="array" aca="1" ref="U25" ca="1">IF(ROWS(U$8:U25)&lt;=$C$3,INDEX(INDIRECT(U$7),SMALL(IF(Tip_Cli=$B$3,ROW(Tip_Cli)-ROW(Facturacion!$AL$4)+1),ROWS(U$8:U25))),"")</f>
        <v/>
      </c>
      <c r="V25" s="24" t="str">
        <f t="array" aca="1" ref="V25" ca="1">IF(ROWS(V$8:V25)&lt;=$C$3,INDEX(INDIRECT(V$7),SMALL(IF(Tip_Cli=$B$3,ROW(Tip_Cli)-ROW(Facturacion!$AL$4)+1),ROWS(V$8:V25))),"")</f>
        <v/>
      </c>
      <c r="W25" s="24" t="str">
        <f t="array" aca="1" ref="W25" ca="1">IF(ROWS(W$8:W25)&lt;=$C$3,INDEX(INDIRECT(W$7),SMALL(IF(Tip_Cli=$B$3,ROW(Tip_Cli)-ROW(Facturacion!$AL$4)+1),ROWS(W$8:W25))),"")</f>
        <v/>
      </c>
      <c r="X25" s="24" t="str">
        <f t="array" aca="1" ref="X25" ca="1">IF(ROWS(X$8:X25)&lt;=$C$3,INDEX(INDIRECT(X$7),SMALL(IF(Tip_Cli=$B$3,ROW(Tip_Cli)-ROW(Facturacion!$AL$4)+1),ROWS(X$8:X25))),"")</f>
        <v/>
      </c>
      <c r="Y25" s="187" t="str">
        <f t="array" aca="1" ref="Y25" ca="1">IF(ROWS(Y$8:Y25)&lt;=$C$3,INDEX(INDIRECT(Y$7),SMALL(IF(Tip_Cli=$B$3,ROW(Tip_Cli)-ROW(Facturacion!$AL$4)+1),ROWS(Y$8:Y25))),"")</f>
        <v/>
      </c>
    </row>
    <row r="26" spans="2:25" x14ac:dyDescent="0.25">
      <c r="B26" s="24" t="str">
        <f t="array" aca="1" ref="B26" ca="1">IF(ROWS(B$8:B26)&lt;=$C$3,INDEX(INDIRECT(B$7),SMALL(IF(Tip_Cli=$B$3,ROW(Tip_Cli)-ROW(Facturacion!$AL$4)+1),ROWS(B$8:B26))),"")</f>
        <v/>
      </c>
      <c r="C26" s="24" t="str">
        <f t="array" aca="1" ref="C26" ca="1">IF(ROWS(C$8:C26)&lt;=$C$3,INDEX(INDIRECT(C$7),SMALL(IF(Tip_Cli=$B$3,ROW(Tip_Cli)-ROW(Facturacion!$AL$4)+1),ROWS(C$8:C26))),"")</f>
        <v/>
      </c>
      <c r="D26" s="4" t="str">
        <f t="array" aca="1" ref="D26" ca="1">IF(ROWS(D$8:D26)&lt;=$C$3,INDEX(INDIRECT(D$7),SMALL(IF(Tip_Cli=$B$3,ROW(Tip_Cli)-ROW(Facturacion!$AL$4)+1),ROWS(D$8:D26))),"")</f>
        <v/>
      </c>
      <c r="E26" s="4" t="str">
        <f t="array" aca="1" ref="E26" ca="1">IF(ROWS(E$8:E26)&lt;=$C$3,INDEX(INDIRECT(E$7),SMALL(IF(Tip_Cli=$B$3,ROW(Tip_Cli)-ROW(Facturacion!$AL$4)+1),ROWS(E$8:E26))),"")</f>
        <v/>
      </c>
      <c r="F26" s="4" t="str">
        <f t="array" aca="1" ref="F26" ca="1">IF(ROWS(F$8:F26)&lt;=$C$3,INDEX(INDIRECT(F$7),SMALL(IF(Tip_Cli=$B$3,ROW(Tip_Cli)-ROW(Facturacion!$AL$4)+1),ROWS(F$8:F26))),"")</f>
        <v/>
      </c>
      <c r="G26" s="4" t="str">
        <f t="array" aca="1" ref="G26" ca="1">IF(ROWS(G$8:G26)&lt;=$C$3,INDEX(INDIRECT(G$7),SMALL(IF(Tip_Cli=$B$3,ROW(Tip_Cli)-ROW(Facturacion!$AL$4)+1),ROWS(G$8:G26))),"")</f>
        <v/>
      </c>
      <c r="H26" s="4" t="str">
        <f t="array" aca="1" ref="H26" ca="1">IF(ROWS(H$8:H26)&lt;=$C$3,INDEX(INDIRECT(H$7),SMALL(IF(Tip_Cli=$B$3,ROW(Tip_Cli)-ROW(Facturacion!$AL$4)+1),ROWS(H$8:H26))),"")</f>
        <v/>
      </c>
      <c r="I26" s="4" t="str">
        <f t="array" aca="1" ref="I26" ca="1">IF(ROWS(I$8:I26)&lt;=$C$3,INDEX(INDIRECT(I$7),SMALL(IF(Tip_Cli=$B$3,ROW(Tip_Cli)-ROW(Facturacion!$AL$4)+1),ROWS(I$8:I26))),"")</f>
        <v/>
      </c>
      <c r="J26" s="4" t="str">
        <f t="array" aca="1" ref="J26" ca="1">IF(ROWS(J$8:J26)&lt;=$C$3,INDEX(INDIRECT(J$7),SMALL(IF(Tip_Cli=$B$3,ROW(Tip_Cli)-ROW(Facturacion!$AL$4)+1),ROWS(J$8:J26))),"")</f>
        <v/>
      </c>
      <c r="K26" s="4" t="str">
        <f t="array" aca="1" ref="K26" ca="1">IF(ROWS(K$8:K26)&lt;=$C$3,INDEX(INDIRECT(K$7),SMALL(IF(Tip_Cli=$B$3,ROW(Tip_Cli)-ROW(Facturacion!$AL$4)+1),ROWS(K$8:K26))),"")</f>
        <v/>
      </c>
      <c r="L26" s="4" t="str">
        <f t="array" aca="1" ref="L26" ca="1">IF(ROWS(L$8:L26)&lt;=$C$3,INDEX(INDIRECT(L$7),SMALL(IF(Tip_Cli=$B$3,ROW(Tip_Cli)-ROW(Facturacion!$AL$4)+1),ROWS(L$8:L26))),"")</f>
        <v/>
      </c>
      <c r="M26" s="4" t="str">
        <f t="array" aca="1" ref="M26" ca="1">IF(ROWS(M$8:M26)&lt;=$C$3,INDEX(INDIRECT(M$7),SMALL(IF(Tip_Cli=$B$3,ROW(Tip_Cli)-ROW(Facturacion!$AL$4)+1),ROWS(M$8:M26))),"")</f>
        <v/>
      </c>
      <c r="N26" s="185" t="str">
        <f t="array" aca="1" ref="N26" ca="1">IF(ROWS(N$8:N26)&lt;=$C$3,INDEX(INDIRECT(N$7),SMALL(IF(Tip_Cli=$B$3,ROW(Tip_Cli)-ROW(Facturacion!$AL$4)+1),ROWS(N$8:N26))),"")</f>
        <v/>
      </c>
      <c r="O26" s="24" t="str">
        <f t="array" aca="1" ref="O26" ca="1">IF(ROWS(O$8:O26)&lt;=$C$3,INDEX(INDIRECT(O$7),SMALL(IF(Tip_Cli=$B$3,ROW(Tip_Cli)-ROW(Facturacion!$AL$4)+1),ROWS(O$8:O26))),"")</f>
        <v/>
      </c>
      <c r="P26" s="24" t="str">
        <f t="array" aca="1" ref="P26" ca="1">IF(ROWS(P$8:P26)&lt;=$C$3,INDEX(INDIRECT(P$7),SMALL(IF(Tip_Cli=$B$3,ROW(Tip_Cli)-ROW(Facturacion!$AL$4)+1),ROWS(P$8:P26))),"")</f>
        <v/>
      </c>
      <c r="Q26" s="24" t="str">
        <f t="array" aca="1" ref="Q26" ca="1">IF(ROWS(Q$8:Q26)&lt;=$C$3,INDEX(INDIRECT(Q$7),SMALL(IF(Tip_Cli=$B$3,ROW(Tip_Cli)-ROW(Facturacion!$AL$4)+1),ROWS(Q$8:Q26))),"")</f>
        <v/>
      </c>
      <c r="R26" s="186" t="str">
        <f t="array" aca="1" ref="R26" ca="1">IF(ROWS(R$8:R26)&lt;=$C$3,INDEX(INDIRECT(R$7),SMALL(IF(Tip_Cli=$B$3,ROW(Tip_Cli)-ROW(Facturacion!$AL$4)+1),ROWS(R$8:R26))),"")</f>
        <v/>
      </c>
      <c r="S26" s="186" t="str">
        <f t="array" aca="1" ref="S26" ca="1">IF(ROWS(S$8:S26)&lt;=$C$3,INDEX(INDIRECT(S$7),SMALL(IF(Tip_Cli=$B$3,ROW(Tip_Cli)-ROW(Facturacion!$AL$4)+1),ROWS(S$8:S26))),"")</f>
        <v/>
      </c>
      <c r="T26" s="186" t="str">
        <f t="array" aca="1" ref="T26" ca="1">IF(ROWS(T$8:T26)&lt;=$C$3,INDEX(INDIRECT(T$7),SMALL(IF(Tip_Cli=$B$3,ROW(Tip_Cli)-ROW(Facturacion!$AL$4)+1),ROWS(T$8:T26))),"")</f>
        <v/>
      </c>
      <c r="U26" s="24" t="str">
        <f t="array" aca="1" ref="U26" ca="1">IF(ROWS(U$8:U26)&lt;=$C$3,INDEX(INDIRECT(U$7),SMALL(IF(Tip_Cli=$B$3,ROW(Tip_Cli)-ROW(Facturacion!$AL$4)+1),ROWS(U$8:U26))),"")</f>
        <v/>
      </c>
      <c r="V26" s="24" t="str">
        <f t="array" aca="1" ref="V26" ca="1">IF(ROWS(V$8:V26)&lt;=$C$3,INDEX(INDIRECT(V$7),SMALL(IF(Tip_Cli=$B$3,ROW(Tip_Cli)-ROW(Facturacion!$AL$4)+1),ROWS(V$8:V26))),"")</f>
        <v/>
      </c>
      <c r="W26" s="24" t="str">
        <f t="array" aca="1" ref="W26" ca="1">IF(ROWS(W$8:W26)&lt;=$C$3,INDEX(INDIRECT(W$7),SMALL(IF(Tip_Cli=$B$3,ROW(Tip_Cli)-ROW(Facturacion!$AL$4)+1),ROWS(W$8:W26))),"")</f>
        <v/>
      </c>
      <c r="X26" s="24" t="str">
        <f t="array" aca="1" ref="X26" ca="1">IF(ROWS(X$8:X26)&lt;=$C$3,INDEX(INDIRECT(X$7),SMALL(IF(Tip_Cli=$B$3,ROW(Tip_Cli)-ROW(Facturacion!$AL$4)+1),ROWS(X$8:X26))),"")</f>
        <v/>
      </c>
      <c r="Y26" s="187" t="str">
        <f t="array" aca="1" ref="Y26" ca="1">IF(ROWS(Y$8:Y26)&lt;=$C$3,INDEX(INDIRECT(Y$7),SMALL(IF(Tip_Cli=$B$3,ROW(Tip_Cli)-ROW(Facturacion!$AL$4)+1),ROWS(Y$8:Y26))),"")</f>
        <v/>
      </c>
    </row>
    <row r="27" spans="2:25" x14ac:dyDescent="0.25">
      <c r="B27" s="24" t="str">
        <f t="array" aca="1" ref="B27" ca="1">IF(ROWS(B$8:B27)&lt;=$C$3,INDEX(INDIRECT(B$7),SMALL(IF(Tip_Cli=$B$3,ROW(Tip_Cli)-ROW(Facturacion!$AL$4)+1),ROWS(B$8:B27))),"")</f>
        <v/>
      </c>
      <c r="C27" s="24" t="str">
        <f t="array" aca="1" ref="C27" ca="1">IF(ROWS(C$8:C27)&lt;=$C$3,INDEX(INDIRECT(C$7),SMALL(IF(Tip_Cli=$B$3,ROW(Tip_Cli)-ROW(Facturacion!$AL$4)+1),ROWS(C$8:C27))),"")</f>
        <v/>
      </c>
      <c r="D27" s="4" t="str">
        <f t="array" aca="1" ref="D27" ca="1">IF(ROWS(D$8:D27)&lt;=$C$3,INDEX(INDIRECT(D$7),SMALL(IF(Tip_Cli=$B$3,ROW(Tip_Cli)-ROW(Facturacion!$AL$4)+1),ROWS(D$8:D27))),"")</f>
        <v/>
      </c>
      <c r="E27" s="4" t="str">
        <f t="array" aca="1" ref="E27" ca="1">IF(ROWS(E$8:E27)&lt;=$C$3,INDEX(INDIRECT(E$7),SMALL(IF(Tip_Cli=$B$3,ROW(Tip_Cli)-ROW(Facturacion!$AL$4)+1),ROWS(E$8:E27))),"")</f>
        <v/>
      </c>
      <c r="F27" s="4" t="str">
        <f t="array" aca="1" ref="F27" ca="1">IF(ROWS(F$8:F27)&lt;=$C$3,INDEX(INDIRECT(F$7),SMALL(IF(Tip_Cli=$B$3,ROW(Tip_Cli)-ROW(Facturacion!$AL$4)+1),ROWS(F$8:F27))),"")</f>
        <v/>
      </c>
      <c r="G27" s="4" t="str">
        <f t="array" aca="1" ref="G27" ca="1">IF(ROWS(G$8:G27)&lt;=$C$3,INDEX(INDIRECT(G$7),SMALL(IF(Tip_Cli=$B$3,ROW(Tip_Cli)-ROW(Facturacion!$AL$4)+1),ROWS(G$8:G27))),"")</f>
        <v/>
      </c>
      <c r="H27" s="4" t="str">
        <f t="array" aca="1" ref="H27" ca="1">IF(ROWS(H$8:H27)&lt;=$C$3,INDEX(INDIRECT(H$7),SMALL(IF(Tip_Cli=$B$3,ROW(Tip_Cli)-ROW(Facturacion!$AL$4)+1),ROWS(H$8:H27))),"")</f>
        <v/>
      </c>
      <c r="I27" s="4" t="str">
        <f t="array" aca="1" ref="I27" ca="1">IF(ROWS(I$8:I27)&lt;=$C$3,INDEX(INDIRECT(I$7),SMALL(IF(Tip_Cli=$B$3,ROW(Tip_Cli)-ROW(Facturacion!$AL$4)+1),ROWS(I$8:I27))),"")</f>
        <v/>
      </c>
      <c r="J27" s="4" t="str">
        <f t="array" aca="1" ref="J27" ca="1">IF(ROWS(J$8:J27)&lt;=$C$3,INDEX(INDIRECT(J$7),SMALL(IF(Tip_Cli=$B$3,ROW(Tip_Cli)-ROW(Facturacion!$AL$4)+1),ROWS(J$8:J27))),"")</f>
        <v/>
      </c>
      <c r="K27" s="4" t="str">
        <f t="array" aca="1" ref="K27" ca="1">IF(ROWS(K$8:K27)&lt;=$C$3,INDEX(INDIRECT(K$7),SMALL(IF(Tip_Cli=$B$3,ROW(Tip_Cli)-ROW(Facturacion!$AL$4)+1),ROWS(K$8:K27))),"")</f>
        <v/>
      </c>
      <c r="L27" s="4" t="str">
        <f t="array" aca="1" ref="L27" ca="1">IF(ROWS(L$8:L27)&lt;=$C$3,INDEX(INDIRECT(L$7),SMALL(IF(Tip_Cli=$B$3,ROW(Tip_Cli)-ROW(Facturacion!$AL$4)+1),ROWS(L$8:L27))),"")</f>
        <v/>
      </c>
      <c r="M27" s="4" t="str">
        <f t="array" aca="1" ref="M27" ca="1">IF(ROWS(M$8:M27)&lt;=$C$3,INDEX(INDIRECT(M$7),SMALL(IF(Tip_Cli=$B$3,ROW(Tip_Cli)-ROW(Facturacion!$AL$4)+1),ROWS(M$8:M27))),"")</f>
        <v/>
      </c>
      <c r="N27" s="185" t="str">
        <f t="array" aca="1" ref="N27" ca="1">IF(ROWS(N$8:N27)&lt;=$C$3,INDEX(INDIRECT(N$7),SMALL(IF(Tip_Cli=$B$3,ROW(Tip_Cli)-ROW(Facturacion!$AL$4)+1),ROWS(N$8:N27))),"")</f>
        <v/>
      </c>
      <c r="O27" s="24" t="str">
        <f t="array" aca="1" ref="O27" ca="1">IF(ROWS(O$8:O27)&lt;=$C$3,INDEX(INDIRECT(O$7),SMALL(IF(Tip_Cli=$B$3,ROW(Tip_Cli)-ROW(Facturacion!$AL$4)+1),ROWS(O$8:O27))),"")</f>
        <v/>
      </c>
      <c r="P27" s="24" t="str">
        <f t="array" aca="1" ref="P27" ca="1">IF(ROWS(P$8:P27)&lt;=$C$3,INDEX(INDIRECT(P$7),SMALL(IF(Tip_Cli=$B$3,ROW(Tip_Cli)-ROW(Facturacion!$AL$4)+1),ROWS(P$8:P27))),"")</f>
        <v/>
      </c>
      <c r="Q27" s="24" t="str">
        <f t="array" aca="1" ref="Q27" ca="1">IF(ROWS(Q$8:Q27)&lt;=$C$3,INDEX(INDIRECT(Q$7),SMALL(IF(Tip_Cli=$B$3,ROW(Tip_Cli)-ROW(Facturacion!$AL$4)+1),ROWS(Q$8:Q27))),"")</f>
        <v/>
      </c>
      <c r="R27" s="186" t="str">
        <f t="array" aca="1" ref="R27" ca="1">IF(ROWS(R$8:R27)&lt;=$C$3,INDEX(INDIRECT(R$7),SMALL(IF(Tip_Cli=$B$3,ROW(Tip_Cli)-ROW(Facturacion!$AL$4)+1),ROWS(R$8:R27))),"")</f>
        <v/>
      </c>
      <c r="S27" s="186" t="str">
        <f t="array" aca="1" ref="S27" ca="1">IF(ROWS(S$8:S27)&lt;=$C$3,INDEX(INDIRECT(S$7),SMALL(IF(Tip_Cli=$B$3,ROW(Tip_Cli)-ROW(Facturacion!$AL$4)+1),ROWS(S$8:S27))),"")</f>
        <v/>
      </c>
      <c r="T27" s="186" t="str">
        <f t="array" aca="1" ref="T27" ca="1">IF(ROWS(T$8:T27)&lt;=$C$3,INDEX(INDIRECT(T$7),SMALL(IF(Tip_Cli=$B$3,ROW(Tip_Cli)-ROW(Facturacion!$AL$4)+1),ROWS(T$8:T27))),"")</f>
        <v/>
      </c>
      <c r="U27" s="24" t="str">
        <f t="array" aca="1" ref="U27" ca="1">IF(ROWS(U$8:U27)&lt;=$C$3,INDEX(INDIRECT(U$7),SMALL(IF(Tip_Cli=$B$3,ROW(Tip_Cli)-ROW(Facturacion!$AL$4)+1),ROWS(U$8:U27))),"")</f>
        <v/>
      </c>
      <c r="V27" s="24" t="str">
        <f t="array" aca="1" ref="V27" ca="1">IF(ROWS(V$8:V27)&lt;=$C$3,INDEX(INDIRECT(V$7),SMALL(IF(Tip_Cli=$B$3,ROW(Tip_Cli)-ROW(Facturacion!$AL$4)+1),ROWS(V$8:V27))),"")</f>
        <v/>
      </c>
      <c r="W27" s="24" t="str">
        <f t="array" aca="1" ref="W27" ca="1">IF(ROWS(W$8:W27)&lt;=$C$3,INDEX(INDIRECT(W$7),SMALL(IF(Tip_Cli=$B$3,ROW(Tip_Cli)-ROW(Facturacion!$AL$4)+1),ROWS(W$8:W27))),"")</f>
        <v/>
      </c>
      <c r="X27" s="24" t="str">
        <f t="array" aca="1" ref="X27" ca="1">IF(ROWS(X$8:X27)&lt;=$C$3,INDEX(INDIRECT(X$7),SMALL(IF(Tip_Cli=$B$3,ROW(Tip_Cli)-ROW(Facturacion!$AL$4)+1),ROWS(X$8:X27))),"")</f>
        <v/>
      </c>
      <c r="Y27" s="187" t="str">
        <f t="array" aca="1" ref="Y27" ca="1">IF(ROWS(Y$8:Y27)&lt;=$C$3,INDEX(INDIRECT(Y$7),SMALL(IF(Tip_Cli=$B$3,ROW(Tip_Cli)-ROW(Facturacion!$AL$4)+1),ROWS(Y$8:Y27))),"")</f>
        <v/>
      </c>
    </row>
    <row r="28" spans="2:25" x14ac:dyDescent="0.25">
      <c r="B28" s="24" t="str">
        <f t="array" aca="1" ref="B28" ca="1">IF(ROWS(B$8:B28)&lt;=$C$3,INDEX(INDIRECT(B$7),SMALL(IF(Tip_Cli=$B$3,ROW(Tip_Cli)-ROW(Facturacion!$AL$4)+1),ROWS(B$8:B28))),"")</f>
        <v/>
      </c>
      <c r="C28" s="24" t="str">
        <f t="array" aca="1" ref="C28" ca="1">IF(ROWS(C$8:C28)&lt;=$C$3,INDEX(INDIRECT(C$7),SMALL(IF(Tip_Cli=$B$3,ROW(Tip_Cli)-ROW(Facturacion!$AL$4)+1),ROWS(C$8:C28))),"")</f>
        <v/>
      </c>
      <c r="D28" s="4" t="str">
        <f t="array" aca="1" ref="D28" ca="1">IF(ROWS(D$8:D28)&lt;=$C$3,INDEX(INDIRECT(D$7),SMALL(IF(Tip_Cli=$B$3,ROW(Tip_Cli)-ROW(Facturacion!$AL$4)+1),ROWS(D$8:D28))),"")</f>
        <v/>
      </c>
      <c r="E28" s="4" t="str">
        <f t="array" aca="1" ref="E28" ca="1">IF(ROWS(E$8:E28)&lt;=$C$3,INDEX(INDIRECT(E$7),SMALL(IF(Tip_Cli=$B$3,ROW(Tip_Cli)-ROW(Facturacion!$AL$4)+1),ROWS(E$8:E28))),"")</f>
        <v/>
      </c>
      <c r="F28" s="4" t="str">
        <f t="array" aca="1" ref="F28" ca="1">IF(ROWS(F$8:F28)&lt;=$C$3,INDEX(INDIRECT(F$7),SMALL(IF(Tip_Cli=$B$3,ROW(Tip_Cli)-ROW(Facturacion!$AL$4)+1),ROWS(F$8:F28))),"")</f>
        <v/>
      </c>
      <c r="G28" s="4" t="str">
        <f t="array" aca="1" ref="G28" ca="1">IF(ROWS(G$8:G28)&lt;=$C$3,INDEX(INDIRECT(G$7),SMALL(IF(Tip_Cli=$B$3,ROW(Tip_Cli)-ROW(Facturacion!$AL$4)+1),ROWS(G$8:G28))),"")</f>
        <v/>
      </c>
      <c r="H28" s="4" t="str">
        <f t="array" aca="1" ref="H28" ca="1">IF(ROWS(H$8:H28)&lt;=$C$3,INDEX(INDIRECT(H$7),SMALL(IF(Tip_Cli=$B$3,ROW(Tip_Cli)-ROW(Facturacion!$AL$4)+1),ROWS(H$8:H28))),"")</f>
        <v/>
      </c>
      <c r="I28" s="4" t="str">
        <f t="array" aca="1" ref="I28" ca="1">IF(ROWS(I$8:I28)&lt;=$C$3,INDEX(INDIRECT(I$7),SMALL(IF(Tip_Cli=$B$3,ROW(Tip_Cli)-ROW(Facturacion!$AL$4)+1),ROWS(I$8:I28))),"")</f>
        <v/>
      </c>
      <c r="J28" s="4" t="str">
        <f t="array" aca="1" ref="J28" ca="1">IF(ROWS(J$8:J28)&lt;=$C$3,INDEX(INDIRECT(J$7),SMALL(IF(Tip_Cli=$B$3,ROW(Tip_Cli)-ROW(Facturacion!$AL$4)+1),ROWS(J$8:J28))),"")</f>
        <v/>
      </c>
      <c r="K28" s="4" t="str">
        <f t="array" aca="1" ref="K28" ca="1">IF(ROWS(K$8:K28)&lt;=$C$3,INDEX(INDIRECT(K$7),SMALL(IF(Tip_Cli=$B$3,ROW(Tip_Cli)-ROW(Facturacion!$AL$4)+1),ROWS(K$8:K28))),"")</f>
        <v/>
      </c>
      <c r="L28" s="4" t="str">
        <f t="array" aca="1" ref="L28" ca="1">IF(ROWS(L$8:L28)&lt;=$C$3,INDEX(INDIRECT(L$7),SMALL(IF(Tip_Cli=$B$3,ROW(Tip_Cli)-ROW(Facturacion!$AL$4)+1),ROWS(L$8:L28))),"")</f>
        <v/>
      </c>
      <c r="M28" s="4" t="str">
        <f t="array" aca="1" ref="M28" ca="1">IF(ROWS(M$8:M28)&lt;=$C$3,INDEX(INDIRECT(M$7),SMALL(IF(Tip_Cli=$B$3,ROW(Tip_Cli)-ROW(Facturacion!$AL$4)+1),ROWS(M$8:M28))),"")</f>
        <v/>
      </c>
      <c r="N28" s="185" t="str">
        <f t="array" aca="1" ref="N28" ca="1">IF(ROWS(N$8:N28)&lt;=$C$3,INDEX(INDIRECT(N$7),SMALL(IF(Tip_Cli=$B$3,ROW(Tip_Cli)-ROW(Facturacion!$AL$4)+1),ROWS(N$8:N28))),"")</f>
        <v/>
      </c>
      <c r="O28" s="24" t="str">
        <f t="array" aca="1" ref="O28" ca="1">IF(ROWS(O$8:O28)&lt;=$C$3,INDEX(INDIRECT(O$7),SMALL(IF(Tip_Cli=$B$3,ROW(Tip_Cli)-ROW(Facturacion!$AL$4)+1),ROWS(O$8:O28))),"")</f>
        <v/>
      </c>
      <c r="P28" s="24" t="str">
        <f t="array" aca="1" ref="P28" ca="1">IF(ROWS(P$8:P28)&lt;=$C$3,INDEX(INDIRECT(P$7),SMALL(IF(Tip_Cli=$B$3,ROW(Tip_Cli)-ROW(Facturacion!$AL$4)+1),ROWS(P$8:P28))),"")</f>
        <v/>
      </c>
      <c r="Q28" s="24" t="str">
        <f t="array" aca="1" ref="Q28" ca="1">IF(ROWS(Q$8:Q28)&lt;=$C$3,INDEX(INDIRECT(Q$7),SMALL(IF(Tip_Cli=$B$3,ROW(Tip_Cli)-ROW(Facturacion!$AL$4)+1),ROWS(Q$8:Q28))),"")</f>
        <v/>
      </c>
      <c r="R28" s="186" t="str">
        <f t="array" aca="1" ref="R28" ca="1">IF(ROWS(R$8:R28)&lt;=$C$3,INDEX(INDIRECT(R$7),SMALL(IF(Tip_Cli=$B$3,ROW(Tip_Cli)-ROW(Facturacion!$AL$4)+1),ROWS(R$8:R28))),"")</f>
        <v/>
      </c>
      <c r="S28" s="186" t="str">
        <f t="array" aca="1" ref="S28" ca="1">IF(ROWS(S$8:S28)&lt;=$C$3,INDEX(INDIRECT(S$7),SMALL(IF(Tip_Cli=$B$3,ROW(Tip_Cli)-ROW(Facturacion!$AL$4)+1),ROWS(S$8:S28))),"")</f>
        <v/>
      </c>
      <c r="T28" s="186" t="str">
        <f t="array" aca="1" ref="T28" ca="1">IF(ROWS(T$8:T28)&lt;=$C$3,INDEX(INDIRECT(T$7),SMALL(IF(Tip_Cli=$B$3,ROW(Tip_Cli)-ROW(Facturacion!$AL$4)+1),ROWS(T$8:T28))),"")</f>
        <v/>
      </c>
      <c r="U28" s="24" t="str">
        <f t="array" aca="1" ref="U28" ca="1">IF(ROWS(U$8:U28)&lt;=$C$3,INDEX(INDIRECT(U$7),SMALL(IF(Tip_Cli=$B$3,ROW(Tip_Cli)-ROW(Facturacion!$AL$4)+1),ROWS(U$8:U28))),"")</f>
        <v/>
      </c>
      <c r="V28" s="24" t="str">
        <f t="array" aca="1" ref="V28" ca="1">IF(ROWS(V$8:V28)&lt;=$C$3,INDEX(INDIRECT(V$7),SMALL(IF(Tip_Cli=$B$3,ROW(Tip_Cli)-ROW(Facturacion!$AL$4)+1),ROWS(V$8:V28))),"")</f>
        <v/>
      </c>
      <c r="W28" s="24" t="str">
        <f t="array" aca="1" ref="W28" ca="1">IF(ROWS(W$8:W28)&lt;=$C$3,INDEX(INDIRECT(W$7),SMALL(IF(Tip_Cli=$B$3,ROW(Tip_Cli)-ROW(Facturacion!$AL$4)+1),ROWS(W$8:W28))),"")</f>
        <v/>
      </c>
      <c r="X28" s="24" t="str">
        <f t="array" aca="1" ref="X28" ca="1">IF(ROWS(X$8:X28)&lt;=$C$3,INDEX(INDIRECT(X$7),SMALL(IF(Tip_Cli=$B$3,ROW(Tip_Cli)-ROW(Facturacion!$AL$4)+1),ROWS(X$8:X28))),"")</f>
        <v/>
      </c>
      <c r="Y28" s="187" t="str">
        <f t="array" aca="1" ref="Y28" ca="1">IF(ROWS(Y$8:Y28)&lt;=$C$3,INDEX(INDIRECT(Y$7),SMALL(IF(Tip_Cli=$B$3,ROW(Tip_Cli)-ROW(Facturacion!$AL$4)+1),ROWS(Y$8:Y28))),"")</f>
        <v/>
      </c>
    </row>
    <row r="29" spans="2:25" x14ac:dyDescent="0.25">
      <c r="B29" s="24" t="str">
        <f t="array" aca="1" ref="B29" ca="1">IF(ROWS(B$8:B29)&lt;=$C$3,INDEX(INDIRECT(B$7),SMALL(IF(Tip_Cli=$B$3,ROW(Tip_Cli)-ROW(Facturacion!$AL$4)+1),ROWS(B$8:B29))),"")</f>
        <v/>
      </c>
      <c r="C29" s="24" t="str">
        <f t="array" aca="1" ref="C29" ca="1">IF(ROWS(C$8:C29)&lt;=$C$3,INDEX(INDIRECT(C$7),SMALL(IF(Tip_Cli=$B$3,ROW(Tip_Cli)-ROW(Facturacion!$AL$4)+1),ROWS(C$8:C29))),"")</f>
        <v/>
      </c>
      <c r="D29" s="4" t="str">
        <f t="array" aca="1" ref="D29" ca="1">IF(ROWS(D$8:D29)&lt;=$C$3,INDEX(INDIRECT(D$7),SMALL(IF(Tip_Cli=$B$3,ROW(Tip_Cli)-ROW(Facturacion!$AL$4)+1),ROWS(D$8:D29))),"")</f>
        <v/>
      </c>
      <c r="E29" s="4" t="str">
        <f t="array" aca="1" ref="E29" ca="1">IF(ROWS(E$8:E29)&lt;=$C$3,INDEX(INDIRECT(E$7),SMALL(IF(Tip_Cli=$B$3,ROW(Tip_Cli)-ROW(Facturacion!$AL$4)+1),ROWS(E$8:E29))),"")</f>
        <v/>
      </c>
      <c r="F29" s="4" t="str">
        <f t="array" aca="1" ref="F29" ca="1">IF(ROWS(F$8:F29)&lt;=$C$3,INDEX(INDIRECT(F$7),SMALL(IF(Tip_Cli=$B$3,ROW(Tip_Cli)-ROW(Facturacion!$AL$4)+1),ROWS(F$8:F29))),"")</f>
        <v/>
      </c>
      <c r="G29" s="4" t="str">
        <f t="array" aca="1" ref="G29" ca="1">IF(ROWS(G$8:G29)&lt;=$C$3,INDEX(INDIRECT(G$7),SMALL(IF(Tip_Cli=$B$3,ROW(Tip_Cli)-ROW(Facturacion!$AL$4)+1),ROWS(G$8:G29))),"")</f>
        <v/>
      </c>
      <c r="H29" s="4" t="str">
        <f t="array" aca="1" ref="H29" ca="1">IF(ROWS(H$8:H29)&lt;=$C$3,INDEX(INDIRECT(H$7),SMALL(IF(Tip_Cli=$B$3,ROW(Tip_Cli)-ROW(Facturacion!$AL$4)+1),ROWS(H$8:H29))),"")</f>
        <v/>
      </c>
      <c r="I29" s="4" t="str">
        <f t="array" aca="1" ref="I29" ca="1">IF(ROWS(I$8:I29)&lt;=$C$3,INDEX(INDIRECT(I$7),SMALL(IF(Tip_Cli=$B$3,ROW(Tip_Cli)-ROW(Facturacion!$AL$4)+1),ROWS(I$8:I29))),"")</f>
        <v/>
      </c>
      <c r="J29" s="4" t="str">
        <f t="array" aca="1" ref="J29" ca="1">IF(ROWS(J$8:J29)&lt;=$C$3,INDEX(INDIRECT(J$7),SMALL(IF(Tip_Cli=$B$3,ROW(Tip_Cli)-ROW(Facturacion!$AL$4)+1),ROWS(J$8:J29))),"")</f>
        <v/>
      </c>
      <c r="K29" s="4" t="str">
        <f t="array" aca="1" ref="K29" ca="1">IF(ROWS(K$8:K29)&lt;=$C$3,INDEX(INDIRECT(K$7),SMALL(IF(Tip_Cli=$B$3,ROW(Tip_Cli)-ROW(Facturacion!$AL$4)+1),ROWS(K$8:K29))),"")</f>
        <v/>
      </c>
      <c r="L29" s="4" t="str">
        <f t="array" aca="1" ref="L29" ca="1">IF(ROWS(L$8:L29)&lt;=$C$3,INDEX(INDIRECT(L$7),SMALL(IF(Tip_Cli=$B$3,ROW(Tip_Cli)-ROW(Facturacion!$AL$4)+1),ROWS(L$8:L29))),"")</f>
        <v/>
      </c>
      <c r="M29" s="4" t="str">
        <f t="array" aca="1" ref="M29" ca="1">IF(ROWS(M$8:M29)&lt;=$C$3,INDEX(INDIRECT(M$7),SMALL(IF(Tip_Cli=$B$3,ROW(Tip_Cli)-ROW(Facturacion!$AL$4)+1),ROWS(M$8:M29))),"")</f>
        <v/>
      </c>
      <c r="N29" s="185" t="str">
        <f t="array" aca="1" ref="N29" ca="1">IF(ROWS(N$8:N29)&lt;=$C$3,INDEX(INDIRECT(N$7),SMALL(IF(Tip_Cli=$B$3,ROW(Tip_Cli)-ROW(Facturacion!$AL$4)+1),ROWS(N$8:N29))),"")</f>
        <v/>
      </c>
      <c r="O29" s="24" t="str">
        <f t="array" aca="1" ref="O29" ca="1">IF(ROWS(O$8:O29)&lt;=$C$3,INDEX(INDIRECT(O$7),SMALL(IF(Tip_Cli=$B$3,ROW(Tip_Cli)-ROW(Facturacion!$AL$4)+1),ROWS(O$8:O29))),"")</f>
        <v/>
      </c>
      <c r="P29" s="24" t="str">
        <f t="array" aca="1" ref="P29" ca="1">IF(ROWS(P$8:P29)&lt;=$C$3,INDEX(INDIRECT(P$7),SMALL(IF(Tip_Cli=$B$3,ROW(Tip_Cli)-ROW(Facturacion!$AL$4)+1),ROWS(P$8:P29))),"")</f>
        <v/>
      </c>
      <c r="Q29" s="24" t="str">
        <f t="array" aca="1" ref="Q29" ca="1">IF(ROWS(Q$8:Q29)&lt;=$C$3,INDEX(INDIRECT(Q$7),SMALL(IF(Tip_Cli=$B$3,ROW(Tip_Cli)-ROW(Facturacion!$AL$4)+1),ROWS(Q$8:Q29))),"")</f>
        <v/>
      </c>
      <c r="R29" s="186" t="str">
        <f t="array" aca="1" ref="R29" ca="1">IF(ROWS(R$8:R29)&lt;=$C$3,INDEX(INDIRECT(R$7),SMALL(IF(Tip_Cli=$B$3,ROW(Tip_Cli)-ROW(Facturacion!$AL$4)+1),ROWS(R$8:R29))),"")</f>
        <v/>
      </c>
      <c r="S29" s="186" t="str">
        <f t="array" aca="1" ref="S29" ca="1">IF(ROWS(S$8:S29)&lt;=$C$3,INDEX(INDIRECT(S$7),SMALL(IF(Tip_Cli=$B$3,ROW(Tip_Cli)-ROW(Facturacion!$AL$4)+1),ROWS(S$8:S29))),"")</f>
        <v/>
      </c>
      <c r="T29" s="186" t="str">
        <f t="array" aca="1" ref="T29" ca="1">IF(ROWS(T$8:T29)&lt;=$C$3,INDEX(INDIRECT(T$7),SMALL(IF(Tip_Cli=$B$3,ROW(Tip_Cli)-ROW(Facturacion!$AL$4)+1),ROWS(T$8:T29))),"")</f>
        <v/>
      </c>
      <c r="U29" s="24" t="str">
        <f t="array" aca="1" ref="U29" ca="1">IF(ROWS(U$8:U29)&lt;=$C$3,INDEX(INDIRECT(U$7),SMALL(IF(Tip_Cli=$B$3,ROW(Tip_Cli)-ROW(Facturacion!$AL$4)+1),ROWS(U$8:U29))),"")</f>
        <v/>
      </c>
      <c r="V29" s="24" t="str">
        <f t="array" aca="1" ref="V29" ca="1">IF(ROWS(V$8:V29)&lt;=$C$3,INDEX(INDIRECT(V$7),SMALL(IF(Tip_Cli=$B$3,ROW(Tip_Cli)-ROW(Facturacion!$AL$4)+1),ROWS(V$8:V29))),"")</f>
        <v/>
      </c>
      <c r="W29" s="24" t="str">
        <f t="array" aca="1" ref="W29" ca="1">IF(ROWS(W$8:W29)&lt;=$C$3,INDEX(INDIRECT(W$7),SMALL(IF(Tip_Cli=$B$3,ROW(Tip_Cli)-ROW(Facturacion!$AL$4)+1),ROWS(W$8:W29))),"")</f>
        <v/>
      </c>
      <c r="X29" s="24" t="str">
        <f t="array" aca="1" ref="X29" ca="1">IF(ROWS(X$8:X29)&lt;=$C$3,INDEX(INDIRECT(X$7),SMALL(IF(Tip_Cli=$B$3,ROW(Tip_Cli)-ROW(Facturacion!$AL$4)+1),ROWS(X$8:X29))),"")</f>
        <v/>
      </c>
      <c r="Y29" s="187" t="str">
        <f t="array" aca="1" ref="Y29" ca="1">IF(ROWS(Y$8:Y29)&lt;=$C$3,INDEX(INDIRECT(Y$7),SMALL(IF(Tip_Cli=$B$3,ROW(Tip_Cli)-ROW(Facturacion!$AL$4)+1),ROWS(Y$8:Y29))),"")</f>
        <v/>
      </c>
    </row>
    <row r="30" spans="2:25" x14ac:dyDescent="0.25">
      <c r="B30" s="24" t="str">
        <f t="array" aca="1" ref="B30" ca="1">IF(ROWS(B$8:B30)&lt;=$C$3,INDEX(INDIRECT(B$7),SMALL(IF(Tip_Cli=$B$3,ROW(Tip_Cli)-ROW(Facturacion!$AL$4)+1),ROWS(B$8:B30))),"")</f>
        <v/>
      </c>
      <c r="C30" s="24" t="str">
        <f t="array" aca="1" ref="C30" ca="1">IF(ROWS(C$8:C30)&lt;=$C$3,INDEX(INDIRECT(C$7),SMALL(IF(Tip_Cli=$B$3,ROW(Tip_Cli)-ROW(Facturacion!$AL$4)+1),ROWS(C$8:C30))),"")</f>
        <v/>
      </c>
      <c r="D30" s="4" t="str">
        <f t="array" aca="1" ref="D30" ca="1">IF(ROWS(D$8:D30)&lt;=$C$3,INDEX(INDIRECT(D$7),SMALL(IF(Tip_Cli=$B$3,ROW(Tip_Cli)-ROW(Facturacion!$AL$4)+1),ROWS(D$8:D30))),"")</f>
        <v/>
      </c>
      <c r="E30" s="4" t="str">
        <f t="array" aca="1" ref="E30" ca="1">IF(ROWS(E$8:E30)&lt;=$C$3,INDEX(INDIRECT(E$7),SMALL(IF(Tip_Cli=$B$3,ROW(Tip_Cli)-ROW(Facturacion!$AL$4)+1),ROWS(E$8:E30))),"")</f>
        <v/>
      </c>
      <c r="F30" s="4" t="str">
        <f t="array" aca="1" ref="F30" ca="1">IF(ROWS(F$8:F30)&lt;=$C$3,INDEX(INDIRECT(F$7),SMALL(IF(Tip_Cli=$B$3,ROW(Tip_Cli)-ROW(Facturacion!$AL$4)+1),ROWS(F$8:F30))),"")</f>
        <v/>
      </c>
      <c r="G30" s="4" t="str">
        <f t="array" aca="1" ref="G30" ca="1">IF(ROWS(G$8:G30)&lt;=$C$3,INDEX(INDIRECT(G$7),SMALL(IF(Tip_Cli=$B$3,ROW(Tip_Cli)-ROW(Facturacion!$AL$4)+1),ROWS(G$8:G30))),"")</f>
        <v/>
      </c>
      <c r="H30" s="4" t="str">
        <f t="array" aca="1" ref="H30" ca="1">IF(ROWS(H$8:H30)&lt;=$C$3,INDEX(INDIRECT(H$7),SMALL(IF(Tip_Cli=$B$3,ROW(Tip_Cli)-ROW(Facturacion!$AL$4)+1),ROWS(H$8:H30))),"")</f>
        <v/>
      </c>
      <c r="I30" s="4" t="str">
        <f t="array" aca="1" ref="I30" ca="1">IF(ROWS(I$8:I30)&lt;=$C$3,INDEX(INDIRECT(I$7),SMALL(IF(Tip_Cli=$B$3,ROW(Tip_Cli)-ROW(Facturacion!$AL$4)+1),ROWS(I$8:I30))),"")</f>
        <v/>
      </c>
      <c r="J30" s="4" t="str">
        <f t="array" aca="1" ref="J30" ca="1">IF(ROWS(J$8:J30)&lt;=$C$3,INDEX(INDIRECT(J$7),SMALL(IF(Tip_Cli=$B$3,ROW(Tip_Cli)-ROW(Facturacion!$AL$4)+1),ROWS(J$8:J30))),"")</f>
        <v/>
      </c>
      <c r="K30" s="4" t="str">
        <f t="array" aca="1" ref="K30" ca="1">IF(ROWS(K$8:K30)&lt;=$C$3,INDEX(INDIRECT(K$7),SMALL(IF(Tip_Cli=$B$3,ROW(Tip_Cli)-ROW(Facturacion!$AL$4)+1),ROWS(K$8:K30))),"")</f>
        <v/>
      </c>
      <c r="L30" s="4" t="str">
        <f t="array" aca="1" ref="L30" ca="1">IF(ROWS(L$8:L30)&lt;=$C$3,INDEX(INDIRECT(L$7),SMALL(IF(Tip_Cli=$B$3,ROW(Tip_Cli)-ROW(Facturacion!$AL$4)+1),ROWS(L$8:L30))),"")</f>
        <v/>
      </c>
      <c r="M30" s="4" t="str">
        <f t="array" aca="1" ref="M30" ca="1">IF(ROWS(M$8:M30)&lt;=$C$3,INDEX(INDIRECT(M$7),SMALL(IF(Tip_Cli=$B$3,ROW(Tip_Cli)-ROW(Facturacion!$AL$4)+1),ROWS(M$8:M30))),"")</f>
        <v/>
      </c>
      <c r="N30" s="185" t="str">
        <f t="array" aca="1" ref="N30" ca="1">IF(ROWS(N$8:N30)&lt;=$C$3,INDEX(INDIRECT(N$7),SMALL(IF(Tip_Cli=$B$3,ROW(Tip_Cli)-ROW(Facturacion!$AL$4)+1),ROWS(N$8:N30))),"")</f>
        <v/>
      </c>
      <c r="O30" s="24" t="str">
        <f t="array" aca="1" ref="O30" ca="1">IF(ROWS(O$8:O30)&lt;=$C$3,INDEX(INDIRECT(O$7),SMALL(IF(Tip_Cli=$B$3,ROW(Tip_Cli)-ROW(Facturacion!$AL$4)+1),ROWS(O$8:O30))),"")</f>
        <v/>
      </c>
      <c r="P30" s="24" t="str">
        <f t="array" aca="1" ref="P30" ca="1">IF(ROWS(P$8:P30)&lt;=$C$3,INDEX(INDIRECT(P$7),SMALL(IF(Tip_Cli=$B$3,ROW(Tip_Cli)-ROW(Facturacion!$AL$4)+1),ROWS(P$8:P30))),"")</f>
        <v/>
      </c>
      <c r="Q30" s="24" t="str">
        <f t="array" aca="1" ref="Q30" ca="1">IF(ROWS(Q$8:Q30)&lt;=$C$3,INDEX(INDIRECT(Q$7),SMALL(IF(Tip_Cli=$B$3,ROW(Tip_Cli)-ROW(Facturacion!$AL$4)+1),ROWS(Q$8:Q30))),"")</f>
        <v/>
      </c>
      <c r="R30" s="186" t="str">
        <f t="array" aca="1" ref="R30" ca="1">IF(ROWS(R$8:R30)&lt;=$C$3,INDEX(INDIRECT(R$7),SMALL(IF(Tip_Cli=$B$3,ROW(Tip_Cli)-ROW(Facturacion!$AL$4)+1),ROWS(R$8:R30))),"")</f>
        <v/>
      </c>
      <c r="S30" s="186" t="str">
        <f t="array" aca="1" ref="S30" ca="1">IF(ROWS(S$8:S30)&lt;=$C$3,INDEX(INDIRECT(S$7),SMALL(IF(Tip_Cli=$B$3,ROW(Tip_Cli)-ROW(Facturacion!$AL$4)+1),ROWS(S$8:S30))),"")</f>
        <v/>
      </c>
      <c r="T30" s="186" t="str">
        <f t="array" aca="1" ref="T30" ca="1">IF(ROWS(T$8:T30)&lt;=$C$3,INDEX(INDIRECT(T$7),SMALL(IF(Tip_Cli=$B$3,ROW(Tip_Cli)-ROW(Facturacion!$AL$4)+1),ROWS(T$8:T30))),"")</f>
        <v/>
      </c>
      <c r="U30" s="24" t="str">
        <f t="array" aca="1" ref="U30" ca="1">IF(ROWS(U$8:U30)&lt;=$C$3,INDEX(INDIRECT(U$7),SMALL(IF(Tip_Cli=$B$3,ROW(Tip_Cli)-ROW(Facturacion!$AL$4)+1),ROWS(U$8:U30))),"")</f>
        <v/>
      </c>
      <c r="V30" s="24" t="str">
        <f t="array" aca="1" ref="V30" ca="1">IF(ROWS(V$8:V30)&lt;=$C$3,INDEX(INDIRECT(V$7),SMALL(IF(Tip_Cli=$B$3,ROW(Tip_Cli)-ROW(Facturacion!$AL$4)+1),ROWS(V$8:V30))),"")</f>
        <v/>
      </c>
      <c r="W30" s="24" t="str">
        <f t="array" aca="1" ref="W30" ca="1">IF(ROWS(W$8:W30)&lt;=$C$3,INDEX(INDIRECT(W$7),SMALL(IF(Tip_Cli=$B$3,ROW(Tip_Cli)-ROW(Facturacion!$AL$4)+1),ROWS(W$8:W30))),"")</f>
        <v/>
      </c>
      <c r="X30" s="24" t="str">
        <f t="array" aca="1" ref="X30" ca="1">IF(ROWS(X$8:X30)&lt;=$C$3,INDEX(INDIRECT(X$7),SMALL(IF(Tip_Cli=$B$3,ROW(Tip_Cli)-ROW(Facturacion!$AL$4)+1),ROWS(X$8:X30))),"")</f>
        <v/>
      </c>
      <c r="Y30" s="187" t="str">
        <f t="array" aca="1" ref="Y30" ca="1">IF(ROWS(Y$8:Y30)&lt;=$C$3,INDEX(INDIRECT(Y$7),SMALL(IF(Tip_Cli=$B$3,ROW(Tip_Cli)-ROW(Facturacion!$AL$4)+1),ROWS(Y$8:Y30))),"")</f>
        <v/>
      </c>
    </row>
    <row r="31" spans="2:25" x14ac:dyDescent="0.25">
      <c r="B31" s="24" t="str">
        <f t="array" aca="1" ref="B31" ca="1">IF(ROWS(B$8:B31)&lt;=$C$3,INDEX(INDIRECT(B$7),SMALL(IF(Tip_Cli=$B$3,ROW(Tip_Cli)-ROW(Facturacion!$AL$4)+1),ROWS(B$8:B31))),"")</f>
        <v/>
      </c>
      <c r="C31" s="24" t="str">
        <f t="array" aca="1" ref="C31" ca="1">IF(ROWS(C$8:C31)&lt;=$C$3,INDEX(INDIRECT(C$7),SMALL(IF(Tip_Cli=$B$3,ROW(Tip_Cli)-ROW(Facturacion!$AL$4)+1),ROWS(C$8:C31))),"")</f>
        <v/>
      </c>
      <c r="D31" s="4" t="str">
        <f t="array" aca="1" ref="D31" ca="1">IF(ROWS(D$8:D31)&lt;=$C$3,INDEX(INDIRECT(D$7),SMALL(IF(Tip_Cli=$B$3,ROW(Tip_Cli)-ROW(Facturacion!$AL$4)+1),ROWS(D$8:D31))),"")</f>
        <v/>
      </c>
      <c r="E31" s="4" t="str">
        <f t="array" aca="1" ref="E31" ca="1">IF(ROWS(E$8:E31)&lt;=$C$3,INDEX(INDIRECT(E$7),SMALL(IF(Tip_Cli=$B$3,ROW(Tip_Cli)-ROW(Facturacion!$AL$4)+1),ROWS(E$8:E31))),"")</f>
        <v/>
      </c>
      <c r="F31" s="4" t="str">
        <f t="array" aca="1" ref="F31" ca="1">IF(ROWS(F$8:F31)&lt;=$C$3,INDEX(INDIRECT(F$7),SMALL(IF(Tip_Cli=$B$3,ROW(Tip_Cli)-ROW(Facturacion!$AL$4)+1),ROWS(F$8:F31))),"")</f>
        <v/>
      </c>
      <c r="G31" s="4" t="str">
        <f t="array" aca="1" ref="G31" ca="1">IF(ROWS(G$8:G31)&lt;=$C$3,INDEX(INDIRECT(G$7),SMALL(IF(Tip_Cli=$B$3,ROW(Tip_Cli)-ROW(Facturacion!$AL$4)+1),ROWS(G$8:G31))),"")</f>
        <v/>
      </c>
      <c r="H31" s="4" t="str">
        <f t="array" aca="1" ref="H31" ca="1">IF(ROWS(H$8:H31)&lt;=$C$3,INDEX(INDIRECT(H$7),SMALL(IF(Tip_Cli=$B$3,ROW(Tip_Cli)-ROW(Facturacion!$AL$4)+1),ROWS(H$8:H31))),"")</f>
        <v/>
      </c>
      <c r="I31" s="4" t="str">
        <f t="array" aca="1" ref="I31" ca="1">IF(ROWS(I$8:I31)&lt;=$C$3,INDEX(INDIRECT(I$7),SMALL(IF(Tip_Cli=$B$3,ROW(Tip_Cli)-ROW(Facturacion!$AL$4)+1),ROWS(I$8:I31))),"")</f>
        <v/>
      </c>
      <c r="J31" s="4" t="str">
        <f t="array" aca="1" ref="J31" ca="1">IF(ROWS(J$8:J31)&lt;=$C$3,INDEX(INDIRECT(J$7),SMALL(IF(Tip_Cli=$B$3,ROW(Tip_Cli)-ROW(Facturacion!$AL$4)+1),ROWS(J$8:J31))),"")</f>
        <v/>
      </c>
      <c r="K31" s="4" t="str">
        <f t="array" aca="1" ref="K31" ca="1">IF(ROWS(K$8:K31)&lt;=$C$3,INDEX(INDIRECT(K$7),SMALL(IF(Tip_Cli=$B$3,ROW(Tip_Cli)-ROW(Facturacion!$AL$4)+1),ROWS(K$8:K31))),"")</f>
        <v/>
      </c>
      <c r="L31" s="4" t="str">
        <f t="array" aca="1" ref="L31" ca="1">IF(ROWS(L$8:L31)&lt;=$C$3,INDEX(INDIRECT(L$7),SMALL(IF(Tip_Cli=$B$3,ROW(Tip_Cli)-ROW(Facturacion!$AL$4)+1),ROWS(L$8:L31))),"")</f>
        <v/>
      </c>
      <c r="M31" s="4" t="str">
        <f t="array" aca="1" ref="M31" ca="1">IF(ROWS(M$8:M31)&lt;=$C$3,INDEX(INDIRECT(M$7),SMALL(IF(Tip_Cli=$B$3,ROW(Tip_Cli)-ROW(Facturacion!$AL$4)+1),ROWS(M$8:M31))),"")</f>
        <v/>
      </c>
      <c r="N31" s="185" t="str">
        <f t="array" aca="1" ref="N31" ca="1">IF(ROWS(N$8:N31)&lt;=$C$3,INDEX(INDIRECT(N$7),SMALL(IF(Tip_Cli=$B$3,ROW(Tip_Cli)-ROW(Facturacion!$AL$4)+1),ROWS(N$8:N31))),"")</f>
        <v/>
      </c>
      <c r="O31" s="24" t="str">
        <f t="array" aca="1" ref="O31" ca="1">IF(ROWS(O$8:O31)&lt;=$C$3,INDEX(INDIRECT(O$7),SMALL(IF(Tip_Cli=$B$3,ROW(Tip_Cli)-ROW(Facturacion!$AL$4)+1),ROWS(O$8:O31))),"")</f>
        <v/>
      </c>
      <c r="P31" s="24" t="str">
        <f t="array" aca="1" ref="P31" ca="1">IF(ROWS(P$8:P31)&lt;=$C$3,INDEX(INDIRECT(P$7),SMALL(IF(Tip_Cli=$B$3,ROW(Tip_Cli)-ROW(Facturacion!$AL$4)+1),ROWS(P$8:P31))),"")</f>
        <v/>
      </c>
      <c r="Q31" s="24" t="str">
        <f t="array" aca="1" ref="Q31" ca="1">IF(ROWS(Q$8:Q31)&lt;=$C$3,INDEX(INDIRECT(Q$7),SMALL(IF(Tip_Cli=$B$3,ROW(Tip_Cli)-ROW(Facturacion!$AL$4)+1),ROWS(Q$8:Q31))),"")</f>
        <v/>
      </c>
      <c r="R31" s="186" t="str">
        <f t="array" aca="1" ref="R31" ca="1">IF(ROWS(R$8:R31)&lt;=$C$3,INDEX(INDIRECT(R$7),SMALL(IF(Tip_Cli=$B$3,ROW(Tip_Cli)-ROW(Facturacion!$AL$4)+1),ROWS(R$8:R31))),"")</f>
        <v/>
      </c>
      <c r="S31" s="186" t="str">
        <f t="array" aca="1" ref="S31" ca="1">IF(ROWS(S$8:S31)&lt;=$C$3,INDEX(INDIRECT(S$7),SMALL(IF(Tip_Cli=$B$3,ROW(Tip_Cli)-ROW(Facturacion!$AL$4)+1),ROWS(S$8:S31))),"")</f>
        <v/>
      </c>
      <c r="T31" s="186" t="str">
        <f t="array" aca="1" ref="T31" ca="1">IF(ROWS(T$8:T31)&lt;=$C$3,INDEX(INDIRECT(T$7),SMALL(IF(Tip_Cli=$B$3,ROW(Tip_Cli)-ROW(Facturacion!$AL$4)+1),ROWS(T$8:T31))),"")</f>
        <v/>
      </c>
      <c r="U31" s="24" t="str">
        <f t="array" aca="1" ref="U31" ca="1">IF(ROWS(U$8:U31)&lt;=$C$3,INDEX(INDIRECT(U$7),SMALL(IF(Tip_Cli=$B$3,ROW(Tip_Cli)-ROW(Facturacion!$AL$4)+1),ROWS(U$8:U31))),"")</f>
        <v/>
      </c>
      <c r="V31" s="24" t="str">
        <f t="array" aca="1" ref="V31" ca="1">IF(ROWS(V$8:V31)&lt;=$C$3,INDEX(INDIRECT(V$7),SMALL(IF(Tip_Cli=$B$3,ROW(Tip_Cli)-ROW(Facturacion!$AL$4)+1),ROWS(V$8:V31))),"")</f>
        <v/>
      </c>
      <c r="W31" s="24" t="str">
        <f t="array" aca="1" ref="W31" ca="1">IF(ROWS(W$8:W31)&lt;=$C$3,INDEX(INDIRECT(W$7),SMALL(IF(Tip_Cli=$B$3,ROW(Tip_Cli)-ROW(Facturacion!$AL$4)+1),ROWS(W$8:W31))),"")</f>
        <v/>
      </c>
      <c r="X31" s="24" t="str">
        <f t="array" aca="1" ref="X31" ca="1">IF(ROWS(X$8:X31)&lt;=$C$3,INDEX(INDIRECT(X$7),SMALL(IF(Tip_Cli=$B$3,ROW(Tip_Cli)-ROW(Facturacion!$AL$4)+1),ROWS(X$8:X31))),"")</f>
        <v/>
      </c>
      <c r="Y31" s="187" t="str">
        <f t="array" aca="1" ref="Y31" ca="1">IF(ROWS(Y$8:Y31)&lt;=$C$3,INDEX(INDIRECT(Y$7),SMALL(IF(Tip_Cli=$B$3,ROW(Tip_Cli)-ROW(Facturacion!$AL$4)+1),ROWS(Y$8:Y31))),"")</f>
        <v/>
      </c>
    </row>
    <row r="32" spans="2:25" x14ac:dyDescent="0.25">
      <c r="B32" s="24" t="str">
        <f t="array" aca="1" ref="B32" ca="1">IF(ROWS(B$8:B32)&lt;=$C$3,INDEX(INDIRECT(B$7),SMALL(IF(Tip_Cli=$B$3,ROW(Tip_Cli)-ROW(Facturacion!$AL$4)+1),ROWS(B$8:B32))),"")</f>
        <v/>
      </c>
      <c r="C32" s="24" t="str">
        <f t="array" aca="1" ref="C32" ca="1">IF(ROWS(C$8:C32)&lt;=$C$3,INDEX(INDIRECT(C$7),SMALL(IF(Tip_Cli=$B$3,ROW(Tip_Cli)-ROW(Facturacion!$AL$4)+1),ROWS(C$8:C32))),"")</f>
        <v/>
      </c>
      <c r="D32" s="4" t="str">
        <f t="array" aca="1" ref="D32" ca="1">IF(ROWS(D$8:D32)&lt;=$C$3,INDEX(INDIRECT(D$7),SMALL(IF(Tip_Cli=$B$3,ROW(Tip_Cli)-ROW(Facturacion!$AL$4)+1),ROWS(D$8:D32))),"")</f>
        <v/>
      </c>
      <c r="E32" s="4" t="str">
        <f t="array" aca="1" ref="E32" ca="1">IF(ROWS(E$8:E32)&lt;=$C$3,INDEX(INDIRECT(E$7),SMALL(IF(Tip_Cli=$B$3,ROW(Tip_Cli)-ROW(Facturacion!$AL$4)+1),ROWS(E$8:E32))),"")</f>
        <v/>
      </c>
      <c r="F32" s="4" t="str">
        <f t="array" aca="1" ref="F32" ca="1">IF(ROWS(F$8:F32)&lt;=$C$3,INDEX(INDIRECT(F$7),SMALL(IF(Tip_Cli=$B$3,ROW(Tip_Cli)-ROW(Facturacion!$AL$4)+1),ROWS(F$8:F32))),"")</f>
        <v/>
      </c>
      <c r="G32" s="4" t="str">
        <f t="array" aca="1" ref="G32" ca="1">IF(ROWS(G$8:G32)&lt;=$C$3,INDEX(INDIRECT(G$7),SMALL(IF(Tip_Cli=$B$3,ROW(Tip_Cli)-ROW(Facturacion!$AL$4)+1),ROWS(G$8:G32))),"")</f>
        <v/>
      </c>
      <c r="H32" s="4" t="str">
        <f t="array" aca="1" ref="H32" ca="1">IF(ROWS(H$8:H32)&lt;=$C$3,INDEX(INDIRECT(H$7),SMALL(IF(Tip_Cli=$B$3,ROW(Tip_Cli)-ROW(Facturacion!$AL$4)+1),ROWS(H$8:H32))),"")</f>
        <v/>
      </c>
      <c r="I32" s="4" t="str">
        <f t="array" aca="1" ref="I32" ca="1">IF(ROWS(I$8:I32)&lt;=$C$3,INDEX(INDIRECT(I$7),SMALL(IF(Tip_Cli=$B$3,ROW(Tip_Cli)-ROW(Facturacion!$AL$4)+1),ROWS(I$8:I32))),"")</f>
        <v/>
      </c>
      <c r="J32" s="4" t="str">
        <f t="array" aca="1" ref="J32" ca="1">IF(ROWS(J$8:J32)&lt;=$C$3,INDEX(INDIRECT(J$7),SMALL(IF(Tip_Cli=$B$3,ROW(Tip_Cli)-ROW(Facturacion!$AL$4)+1),ROWS(J$8:J32))),"")</f>
        <v/>
      </c>
      <c r="K32" s="4" t="str">
        <f t="array" aca="1" ref="K32" ca="1">IF(ROWS(K$8:K32)&lt;=$C$3,INDEX(INDIRECT(K$7),SMALL(IF(Tip_Cli=$B$3,ROW(Tip_Cli)-ROW(Facturacion!$AL$4)+1),ROWS(K$8:K32))),"")</f>
        <v/>
      </c>
      <c r="L32" s="4" t="str">
        <f t="array" aca="1" ref="L32" ca="1">IF(ROWS(L$8:L32)&lt;=$C$3,INDEX(INDIRECT(L$7),SMALL(IF(Tip_Cli=$B$3,ROW(Tip_Cli)-ROW(Facturacion!$AL$4)+1),ROWS(L$8:L32))),"")</f>
        <v/>
      </c>
      <c r="M32" s="4" t="str">
        <f t="array" aca="1" ref="M32" ca="1">IF(ROWS(M$8:M32)&lt;=$C$3,INDEX(INDIRECT(M$7),SMALL(IF(Tip_Cli=$B$3,ROW(Tip_Cli)-ROW(Facturacion!$AL$4)+1),ROWS(M$8:M32))),"")</f>
        <v/>
      </c>
      <c r="N32" s="185" t="str">
        <f t="array" aca="1" ref="N32" ca="1">IF(ROWS(N$8:N32)&lt;=$C$3,INDEX(INDIRECT(N$7),SMALL(IF(Tip_Cli=$B$3,ROW(Tip_Cli)-ROW(Facturacion!$AL$4)+1),ROWS(N$8:N32))),"")</f>
        <v/>
      </c>
      <c r="O32" s="24" t="str">
        <f t="array" aca="1" ref="O32" ca="1">IF(ROWS(O$8:O32)&lt;=$C$3,INDEX(INDIRECT(O$7),SMALL(IF(Tip_Cli=$B$3,ROW(Tip_Cli)-ROW(Facturacion!$AL$4)+1),ROWS(O$8:O32))),"")</f>
        <v/>
      </c>
      <c r="P32" s="24" t="str">
        <f t="array" aca="1" ref="P32" ca="1">IF(ROWS(P$8:P32)&lt;=$C$3,INDEX(INDIRECT(P$7),SMALL(IF(Tip_Cli=$B$3,ROW(Tip_Cli)-ROW(Facturacion!$AL$4)+1),ROWS(P$8:P32))),"")</f>
        <v/>
      </c>
      <c r="Q32" s="24" t="str">
        <f t="array" aca="1" ref="Q32" ca="1">IF(ROWS(Q$8:Q32)&lt;=$C$3,INDEX(INDIRECT(Q$7),SMALL(IF(Tip_Cli=$B$3,ROW(Tip_Cli)-ROW(Facturacion!$AL$4)+1),ROWS(Q$8:Q32))),"")</f>
        <v/>
      </c>
      <c r="R32" s="186" t="str">
        <f t="array" aca="1" ref="R32" ca="1">IF(ROWS(R$8:R32)&lt;=$C$3,INDEX(INDIRECT(R$7),SMALL(IF(Tip_Cli=$B$3,ROW(Tip_Cli)-ROW(Facturacion!$AL$4)+1),ROWS(R$8:R32))),"")</f>
        <v/>
      </c>
      <c r="S32" s="186" t="str">
        <f t="array" aca="1" ref="S32" ca="1">IF(ROWS(S$8:S32)&lt;=$C$3,INDEX(INDIRECT(S$7),SMALL(IF(Tip_Cli=$B$3,ROW(Tip_Cli)-ROW(Facturacion!$AL$4)+1),ROWS(S$8:S32))),"")</f>
        <v/>
      </c>
      <c r="T32" s="186" t="str">
        <f t="array" aca="1" ref="T32" ca="1">IF(ROWS(T$8:T32)&lt;=$C$3,INDEX(INDIRECT(T$7),SMALL(IF(Tip_Cli=$B$3,ROW(Tip_Cli)-ROW(Facturacion!$AL$4)+1),ROWS(T$8:T32))),"")</f>
        <v/>
      </c>
      <c r="U32" s="24" t="str">
        <f t="array" aca="1" ref="U32" ca="1">IF(ROWS(U$8:U32)&lt;=$C$3,INDEX(INDIRECT(U$7),SMALL(IF(Tip_Cli=$B$3,ROW(Tip_Cli)-ROW(Facturacion!$AL$4)+1),ROWS(U$8:U32))),"")</f>
        <v/>
      </c>
      <c r="V32" s="24" t="str">
        <f t="array" aca="1" ref="V32" ca="1">IF(ROWS(V$8:V32)&lt;=$C$3,INDEX(INDIRECT(V$7),SMALL(IF(Tip_Cli=$B$3,ROW(Tip_Cli)-ROW(Facturacion!$AL$4)+1),ROWS(V$8:V32))),"")</f>
        <v/>
      </c>
      <c r="W32" s="24" t="str">
        <f t="array" aca="1" ref="W32" ca="1">IF(ROWS(W$8:W32)&lt;=$C$3,INDEX(INDIRECT(W$7),SMALL(IF(Tip_Cli=$B$3,ROW(Tip_Cli)-ROW(Facturacion!$AL$4)+1),ROWS(W$8:W32))),"")</f>
        <v/>
      </c>
      <c r="X32" s="24" t="str">
        <f t="array" aca="1" ref="X32" ca="1">IF(ROWS(X$8:X32)&lt;=$C$3,INDEX(INDIRECT(X$7),SMALL(IF(Tip_Cli=$B$3,ROW(Tip_Cli)-ROW(Facturacion!$AL$4)+1),ROWS(X$8:X32))),"")</f>
        <v/>
      </c>
      <c r="Y32" s="187" t="str">
        <f t="array" aca="1" ref="Y32" ca="1">IF(ROWS(Y$8:Y32)&lt;=$C$3,INDEX(INDIRECT(Y$7),SMALL(IF(Tip_Cli=$B$3,ROW(Tip_Cli)-ROW(Facturacion!$AL$4)+1),ROWS(Y$8:Y32))),"")</f>
        <v/>
      </c>
    </row>
    <row r="33" spans="2:25" x14ac:dyDescent="0.25">
      <c r="B33" s="24" t="str">
        <f t="array" aca="1" ref="B33" ca="1">IF(ROWS(B$8:B33)&lt;=$C$3,INDEX(INDIRECT(B$7),SMALL(IF(Tip_Cli=$B$3,ROW(Tip_Cli)-ROW(Facturacion!$AL$4)+1),ROWS(B$8:B33))),"")</f>
        <v/>
      </c>
      <c r="C33" s="24" t="str">
        <f t="array" aca="1" ref="C33" ca="1">IF(ROWS(C$8:C33)&lt;=$C$3,INDEX(INDIRECT(C$7),SMALL(IF(Tip_Cli=$B$3,ROW(Tip_Cli)-ROW(Facturacion!$AL$4)+1),ROWS(C$8:C33))),"")</f>
        <v/>
      </c>
      <c r="D33" s="4" t="str">
        <f t="array" aca="1" ref="D33" ca="1">IF(ROWS(D$8:D33)&lt;=$C$3,INDEX(INDIRECT(D$7),SMALL(IF(Tip_Cli=$B$3,ROW(Tip_Cli)-ROW(Facturacion!$AL$4)+1),ROWS(D$8:D33))),"")</f>
        <v/>
      </c>
      <c r="E33" s="4" t="str">
        <f t="array" aca="1" ref="E33" ca="1">IF(ROWS(E$8:E33)&lt;=$C$3,INDEX(INDIRECT(E$7),SMALL(IF(Tip_Cli=$B$3,ROW(Tip_Cli)-ROW(Facturacion!$AL$4)+1),ROWS(E$8:E33))),"")</f>
        <v/>
      </c>
      <c r="F33" s="4" t="str">
        <f t="array" aca="1" ref="F33" ca="1">IF(ROWS(F$8:F33)&lt;=$C$3,INDEX(INDIRECT(F$7),SMALL(IF(Tip_Cli=$B$3,ROW(Tip_Cli)-ROW(Facturacion!$AL$4)+1),ROWS(F$8:F33))),"")</f>
        <v/>
      </c>
      <c r="G33" s="4" t="str">
        <f t="array" aca="1" ref="G33" ca="1">IF(ROWS(G$8:G33)&lt;=$C$3,INDEX(INDIRECT(G$7),SMALL(IF(Tip_Cli=$B$3,ROW(Tip_Cli)-ROW(Facturacion!$AL$4)+1),ROWS(G$8:G33))),"")</f>
        <v/>
      </c>
      <c r="H33" s="4" t="str">
        <f t="array" aca="1" ref="H33" ca="1">IF(ROWS(H$8:H33)&lt;=$C$3,INDEX(INDIRECT(H$7),SMALL(IF(Tip_Cli=$B$3,ROW(Tip_Cli)-ROW(Facturacion!$AL$4)+1),ROWS(H$8:H33))),"")</f>
        <v/>
      </c>
      <c r="I33" s="4" t="str">
        <f t="array" aca="1" ref="I33" ca="1">IF(ROWS(I$8:I33)&lt;=$C$3,INDEX(INDIRECT(I$7),SMALL(IF(Tip_Cli=$B$3,ROW(Tip_Cli)-ROW(Facturacion!$AL$4)+1),ROWS(I$8:I33))),"")</f>
        <v/>
      </c>
      <c r="J33" s="4" t="str">
        <f t="array" aca="1" ref="J33" ca="1">IF(ROWS(J$8:J33)&lt;=$C$3,INDEX(INDIRECT(J$7),SMALL(IF(Tip_Cli=$B$3,ROW(Tip_Cli)-ROW(Facturacion!$AL$4)+1),ROWS(J$8:J33))),"")</f>
        <v/>
      </c>
      <c r="K33" s="4" t="str">
        <f t="array" aca="1" ref="K33" ca="1">IF(ROWS(K$8:K33)&lt;=$C$3,INDEX(INDIRECT(K$7),SMALL(IF(Tip_Cli=$B$3,ROW(Tip_Cli)-ROW(Facturacion!$AL$4)+1),ROWS(K$8:K33))),"")</f>
        <v/>
      </c>
      <c r="L33" s="4" t="str">
        <f t="array" aca="1" ref="L33" ca="1">IF(ROWS(L$8:L33)&lt;=$C$3,INDEX(INDIRECT(L$7),SMALL(IF(Tip_Cli=$B$3,ROW(Tip_Cli)-ROW(Facturacion!$AL$4)+1),ROWS(L$8:L33))),"")</f>
        <v/>
      </c>
      <c r="M33" s="4" t="str">
        <f t="array" aca="1" ref="M33" ca="1">IF(ROWS(M$8:M33)&lt;=$C$3,INDEX(INDIRECT(M$7),SMALL(IF(Tip_Cli=$B$3,ROW(Tip_Cli)-ROW(Facturacion!$AL$4)+1),ROWS(M$8:M33))),"")</f>
        <v/>
      </c>
      <c r="N33" s="185" t="str">
        <f t="array" aca="1" ref="N33" ca="1">IF(ROWS(N$8:N33)&lt;=$C$3,INDEX(INDIRECT(N$7),SMALL(IF(Tip_Cli=$B$3,ROW(Tip_Cli)-ROW(Facturacion!$AL$4)+1),ROWS(N$8:N33))),"")</f>
        <v/>
      </c>
      <c r="O33" s="24" t="str">
        <f t="array" aca="1" ref="O33" ca="1">IF(ROWS(O$8:O33)&lt;=$C$3,INDEX(INDIRECT(O$7),SMALL(IF(Tip_Cli=$B$3,ROW(Tip_Cli)-ROW(Facturacion!$AL$4)+1),ROWS(O$8:O33))),"")</f>
        <v/>
      </c>
      <c r="P33" s="24" t="str">
        <f t="array" aca="1" ref="P33" ca="1">IF(ROWS(P$8:P33)&lt;=$C$3,INDEX(INDIRECT(P$7),SMALL(IF(Tip_Cli=$B$3,ROW(Tip_Cli)-ROW(Facturacion!$AL$4)+1),ROWS(P$8:P33))),"")</f>
        <v/>
      </c>
      <c r="Q33" s="24" t="str">
        <f t="array" aca="1" ref="Q33" ca="1">IF(ROWS(Q$8:Q33)&lt;=$C$3,INDEX(INDIRECT(Q$7),SMALL(IF(Tip_Cli=$B$3,ROW(Tip_Cli)-ROW(Facturacion!$AL$4)+1),ROWS(Q$8:Q33))),"")</f>
        <v/>
      </c>
      <c r="R33" s="186" t="str">
        <f t="array" aca="1" ref="R33" ca="1">IF(ROWS(R$8:R33)&lt;=$C$3,INDEX(INDIRECT(R$7),SMALL(IF(Tip_Cli=$B$3,ROW(Tip_Cli)-ROW(Facturacion!$AL$4)+1),ROWS(R$8:R33))),"")</f>
        <v/>
      </c>
      <c r="S33" s="186" t="str">
        <f t="array" aca="1" ref="S33" ca="1">IF(ROWS(S$8:S33)&lt;=$C$3,INDEX(INDIRECT(S$7),SMALL(IF(Tip_Cli=$B$3,ROW(Tip_Cli)-ROW(Facturacion!$AL$4)+1),ROWS(S$8:S33))),"")</f>
        <v/>
      </c>
      <c r="T33" s="186" t="str">
        <f t="array" aca="1" ref="T33" ca="1">IF(ROWS(T$8:T33)&lt;=$C$3,INDEX(INDIRECT(T$7),SMALL(IF(Tip_Cli=$B$3,ROW(Tip_Cli)-ROW(Facturacion!$AL$4)+1),ROWS(T$8:T33))),"")</f>
        <v/>
      </c>
      <c r="U33" s="24" t="str">
        <f t="array" aca="1" ref="U33" ca="1">IF(ROWS(U$8:U33)&lt;=$C$3,INDEX(INDIRECT(U$7),SMALL(IF(Tip_Cli=$B$3,ROW(Tip_Cli)-ROW(Facturacion!$AL$4)+1),ROWS(U$8:U33))),"")</f>
        <v/>
      </c>
      <c r="V33" s="24" t="str">
        <f t="array" aca="1" ref="V33" ca="1">IF(ROWS(V$8:V33)&lt;=$C$3,INDEX(INDIRECT(V$7),SMALL(IF(Tip_Cli=$B$3,ROW(Tip_Cli)-ROW(Facturacion!$AL$4)+1),ROWS(V$8:V33))),"")</f>
        <v/>
      </c>
      <c r="W33" s="24" t="str">
        <f t="array" aca="1" ref="W33" ca="1">IF(ROWS(W$8:W33)&lt;=$C$3,INDEX(INDIRECT(W$7),SMALL(IF(Tip_Cli=$B$3,ROW(Tip_Cli)-ROW(Facturacion!$AL$4)+1),ROWS(W$8:W33))),"")</f>
        <v/>
      </c>
      <c r="X33" s="24" t="str">
        <f t="array" aca="1" ref="X33" ca="1">IF(ROWS(X$8:X33)&lt;=$C$3,INDEX(INDIRECT(X$7),SMALL(IF(Tip_Cli=$B$3,ROW(Tip_Cli)-ROW(Facturacion!$AL$4)+1),ROWS(X$8:X33))),"")</f>
        <v/>
      </c>
      <c r="Y33" s="187" t="str">
        <f t="array" aca="1" ref="Y33" ca="1">IF(ROWS(Y$8:Y33)&lt;=$C$3,INDEX(INDIRECT(Y$7),SMALL(IF(Tip_Cli=$B$3,ROW(Tip_Cli)-ROW(Facturacion!$AL$4)+1),ROWS(Y$8:Y33))),"")</f>
        <v/>
      </c>
    </row>
    <row r="34" spans="2:25" x14ac:dyDescent="0.25">
      <c r="B34" s="24" t="str">
        <f t="array" aca="1" ref="B34" ca="1">IF(ROWS(B$8:B34)&lt;=$C$3,INDEX(INDIRECT(B$7),SMALL(IF(Tip_Cli=$B$3,ROW(Tip_Cli)-ROW(Facturacion!$AL$4)+1),ROWS(B$8:B34))),"")</f>
        <v/>
      </c>
      <c r="C34" s="24" t="str">
        <f t="array" aca="1" ref="C34" ca="1">IF(ROWS(C$8:C34)&lt;=$C$3,INDEX(INDIRECT(C$7),SMALL(IF(Tip_Cli=$B$3,ROW(Tip_Cli)-ROW(Facturacion!$AL$4)+1),ROWS(C$8:C34))),"")</f>
        <v/>
      </c>
      <c r="D34" s="4" t="str">
        <f t="array" aca="1" ref="D34" ca="1">IF(ROWS(D$8:D34)&lt;=$C$3,INDEX(INDIRECT(D$7),SMALL(IF(Tip_Cli=$B$3,ROW(Tip_Cli)-ROW(Facturacion!$AL$4)+1),ROWS(D$8:D34))),"")</f>
        <v/>
      </c>
      <c r="E34" s="4" t="str">
        <f t="array" aca="1" ref="E34" ca="1">IF(ROWS(E$8:E34)&lt;=$C$3,INDEX(INDIRECT(E$7),SMALL(IF(Tip_Cli=$B$3,ROW(Tip_Cli)-ROW(Facturacion!$AL$4)+1),ROWS(E$8:E34))),"")</f>
        <v/>
      </c>
      <c r="F34" s="4" t="str">
        <f t="array" aca="1" ref="F34" ca="1">IF(ROWS(F$8:F34)&lt;=$C$3,INDEX(INDIRECT(F$7),SMALL(IF(Tip_Cli=$B$3,ROW(Tip_Cli)-ROW(Facturacion!$AL$4)+1),ROWS(F$8:F34))),"")</f>
        <v/>
      </c>
      <c r="G34" s="4" t="str">
        <f t="array" aca="1" ref="G34" ca="1">IF(ROWS(G$8:G34)&lt;=$C$3,INDEX(INDIRECT(G$7),SMALL(IF(Tip_Cli=$B$3,ROW(Tip_Cli)-ROW(Facturacion!$AL$4)+1),ROWS(G$8:G34))),"")</f>
        <v/>
      </c>
      <c r="H34" s="4" t="str">
        <f t="array" aca="1" ref="H34" ca="1">IF(ROWS(H$8:H34)&lt;=$C$3,INDEX(INDIRECT(H$7),SMALL(IF(Tip_Cli=$B$3,ROW(Tip_Cli)-ROW(Facturacion!$AL$4)+1),ROWS(H$8:H34))),"")</f>
        <v/>
      </c>
      <c r="I34" s="4" t="str">
        <f t="array" aca="1" ref="I34" ca="1">IF(ROWS(I$8:I34)&lt;=$C$3,INDEX(INDIRECT(I$7),SMALL(IF(Tip_Cli=$B$3,ROW(Tip_Cli)-ROW(Facturacion!$AL$4)+1),ROWS(I$8:I34))),"")</f>
        <v/>
      </c>
      <c r="J34" s="4" t="str">
        <f t="array" aca="1" ref="J34" ca="1">IF(ROWS(J$8:J34)&lt;=$C$3,INDEX(INDIRECT(J$7),SMALL(IF(Tip_Cli=$B$3,ROW(Tip_Cli)-ROW(Facturacion!$AL$4)+1),ROWS(J$8:J34))),"")</f>
        <v/>
      </c>
      <c r="K34" s="4" t="str">
        <f t="array" aca="1" ref="K34" ca="1">IF(ROWS(K$8:K34)&lt;=$C$3,INDEX(INDIRECT(K$7),SMALL(IF(Tip_Cli=$B$3,ROW(Tip_Cli)-ROW(Facturacion!$AL$4)+1),ROWS(K$8:K34))),"")</f>
        <v/>
      </c>
      <c r="L34" s="4" t="str">
        <f t="array" aca="1" ref="L34" ca="1">IF(ROWS(L$8:L34)&lt;=$C$3,INDEX(INDIRECT(L$7),SMALL(IF(Tip_Cli=$B$3,ROW(Tip_Cli)-ROW(Facturacion!$AL$4)+1),ROWS(L$8:L34))),"")</f>
        <v/>
      </c>
      <c r="M34" s="4" t="str">
        <f t="array" aca="1" ref="M34" ca="1">IF(ROWS(M$8:M34)&lt;=$C$3,INDEX(INDIRECT(M$7),SMALL(IF(Tip_Cli=$B$3,ROW(Tip_Cli)-ROW(Facturacion!$AL$4)+1),ROWS(M$8:M34))),"")</f>
        <v/>
      </c>
      <c r="N34" s="185" t="str">
        <f t="array" aca="1" ref="N34" ca="1">IF(ROWS(N$8:N34)&lt;=$C$3,INDEX(INDIRECT(N$7),SMALL(IF(Tip_Cli=$B$3,ROW(Tip_Cli)-ROW(Facturacion!$AL$4)+1),ROWS(N$8:N34))),"")</f>
        <v/>
      </c>
      <c r="O34" s="24" t="str">
        <f t="array" aca="1" ref="O34" ca="1">IF(ROWS(O$8:O34)&lt;=$C$3,INDEX(INDIRECT(O$7),SMALL(IF(Tip_Cli=$B$3,ROW(Tip_Cli)-ROW(Facturacion!$AL$4)+1),ROWS(O$8:O34))),"")</f>
        <v/>
      </c>
      <c r="P34" s="24" t="str">
        <f t="array" aca="1" ref="P34" ca="1">IF(ROWS(P$8:P34)&lt;=$C$3,INDEX(INDIRECT(P$7),SMALL(IF(Tip_Cli=$B$3,ROW(Tip_Cli)-ROW(Facturacion!$AL$4)+1),ROWS(P$8:P34))),"")</f>
        <v/>
      </c>
      <c r="Q34" s="24" t="str">
        <f t="array" aca="1" ref="Q34" ca="1">IF(ROWS(Q$8:Q34)&lt;=$C$3,INDEX(INDIRECT(Q$7),SMALL(IF(Tip_Cli=$B$3,ROW(Tip_Cli)-ROW(Facturacion!$AL$4)+1),ROWS(Q$8:Q34))),"")</f>
        <v/>
      </c>
      <c r="R34" s="186" t="str">
        <f t="array" aca="1" ref="R34" ca="1">IF(ROWS(R$8:R34)&lt;=$C$3,INDEX(INDIRECT(R$7),SMALL(IF(Tip_Cli=$B$3,ROW(Tip_Cli)-ROW(Facturacion!$AL$4)+1),ROWS(R$8:R34))),"")</f>
        <v/>
      </c>
      <c r="S34" s="186" t="str">
        <f t="array" aca="1" ref="S34" ca="1">IF(ROWS(S$8:S34)&lt;=$C$3,INDEX(INDIRECT(S$7),SMALL(IF(Tip_Cli=$B$3,ROW(Tip_Cli)-ROW(Facturacion!$AL$4)+1),ROWS(S$8:S34))),"")</f>
        <v/>
      </c>
      <c r="T34" s="186" t="str">
        <f t="array" aca="1" ref="T34" ca="1">IF(ROWS(T$8:T34)&lt;=$C$3,INDEX(INDIRECT(T$7),SMALL(IF(Tip_Cli=$B$3,ROW(Tip_Cli)-ROW(Facturacion!$AL$4)+1),ROWS(T$8:T34))),"")</f>
        <v/>
      </c>
      <c r="U34" s="24" t="str">
        <f t="array" aca="1" ref="U34" ca="1">IF(ROWS(U$8:U34)&lt;=$C$3,INDEX(INDIRECT(U$7),SMALL(IF(Tip_Cli=$B$3,ROW(Tip_Cli)-ROW(Facturacion!$AL$4)+1),ROWS(U$8:U34))),"")</f>
        <v/>
      </c>
      <c r="V34" s="24" t="str">
        <f t="array" aca="1" ref="V34" ca="1">IF(ROWS(V$8:V34)&lt;=$C$3,INDEX(INDIRECT(V$7),SMALL(IF(Tip_Cli=$B$3,ROW(Tip_Cli)-ROW(Facturacion!$AL$4)+1),ROWS(V$8:V34))),"")</f>
        <v/>
      </c>
      <c r="W34" s="24" t="str">
        <f t="array" aca="1" ref="W34" ca="1">IF(ROWS(W$8:W34)&lt;=$C$3,INDEX(INDIRECT(W$7),SMALL(IF(Tip_Cli=$B$3,ROW(Tip_Cli)-ROW(Facturacion!$AL$4)+1),ROWS(W$8:W34))),"")</f>
        <v/>
      </c>
      <c r="X34" s="24" t="str">
        <f t="array" aca="1" ref="X34" ca="1">IF(ROWS(X$8:X34)&lt;=$C$3,INDEX(INDIRECT(X$7),SMALL(IF(Tip_Cli=$B$3,ROW(Tip_Cli)-ROW(Facturacion!$AL$4)+1),ROWS(X$8:X34))),"")</f>
        <v/>
      </c>
      <c r="Y34" s="187" t="str">
        <f t="array" aca="1" ref="Y34" ca="1">IF(ROWS(Y$8:Y34)&lt;=$C$3,INDEX(INDIRECT(Y$7),SMALL(IF(Tip_Cli=$B$3,ROW(Tip_Cli)-ROW(Facturacion!$AL$4)+1),ROWS(Y$8:Y34))),"")</f>
        <v/>
      </c>
    </row>
    <row r="35" spans="2:25" x14ac:dyDescent="0.25">
      <c r="B35" s="188" t="str">
        <f t="array" aca="1" ref="B35" ca="1">IF(ROWS(B$8:B35)&lt;=$C$3,INDEX(INDIRECT(B$7),SMALL(IF(Tip_Cli=$B$3,ROW(Tip_Cli)-ROW(Facturacion!$AL$4)+1),ROWS(B$8:B35))),"")</f>
        <v/>
      </c>
      <c r="C35" s="188" t="str">
        <f t="array" aca="1" ref="C35" ca="1">IF(ROWS(C$8:C35)&lt;=$C$3,INDEX(INDIRECT(C$7),SMALL(IF(Tip_Cli=$B$3,ROW(Tip_Cli)-ROW(Facturacion!$AL$4)+1),ROWS(C$8:C35))),"")</f>
        <v/>
      </c>
      <c r="D35" s="189" t="str">
        <f t="array" aca="1" ref="D35" ca="1">IF(ROWS(D$8:D35)&lt;=$C$3,INDEX(INDIRECT(D$7),SMALL(IF(Tip_Cli=$B$3,ROW(Tip_Cli)-ROW(Facturacion!$AL$4)+1),ROWS(D$8:D35))),"")</f>
        <v/>
      </c>
      <c r="E35" s="189" t="str">
        <f t="array" aca="1" ref="E35" ca="1">IF(ROWS(E$8:E35)&lt;=$C$3,INDEX(INDIRECT(E$7),SMALL(IF(Tip_Cli=$B$3,ROW(Tip_Cli)-ROW(Facturacion!$AL$4)+1),ROWS(E$8:E35))),"")</f>
        <v/>
      </c>
      <c r="F35" s="189" t="str">
        <f t="array" aca="1" ref="F35" ca="1">IF(ROWS(F$8:F35)&lt;=$C$3,INDEX(INDIRECT(F$7),SMALL(IF(Tip_Cli=$B$3,ROW(Tip_Cli)-ROW(Facturacion!$AL$4)+1),ROWS(F$8:F35))),"")</f>
        <v/>
      </c>
      <c r="G35" s="189" t="str">
        <f t="array" aca="1" ref="G35" ca="1">IF(ROWS(G$8:G35)&lt;=$C$3,INDEX(INDIRECT(G$7),SMALL(IF(Tip_Cli=$B$3,ROW(Tip_Cli)-ROW(Facturacion!$AL$4)+1),ROWS(G$8:G35))),"")</f>
        <v/>
      </c>
      <c r="H35" s="189" t="str">
        <f t="array" aca="1" ref="H35" ca="1">IF(ROWS(H$8:H35)&lt;=$C$3,INDEX(INDIRECT(H$7),SMALL(IF(Tip_Cli=$B$3,ROW(Tip_Cli)-ROW(Facturacion!$AL$4)+1),ROWS(H$8:H35))),"")</f>
        <v/>
      </c>
      <c r="I35" s="189" t="str">
        <f t="array" aca="1" ref="I35" ca="1">IF(ROWS(I$8:I35)&lt;=$C$3,INDEX(INDIRECT(I$7),SMALL(IF(Tip_Cli=$B$3,ROW(Tip_Cli)-ROW(Facturacion!$AL$4)+1),ROWS(I$8:I35))),"")</f>
        <v/>
      </c>
      <c r="J35" s="189" t="str">
        <f t="array" aca="1" ref="J35" ca="1">IF(ROWS(J$8:J35)&lt;=$C$3,INDEX(INDIRECT(J$7),SMALL(IF(Tip_Cli=$B$3,ROW(Tip_Cli)-ROW(Facturacion!$AL$4)+1),ROWS(J$8:J35))),"")</f>
        <v/>
      </c>
      <c r="K35" s="189" t="str">
        <f t="array" aca="1" ref="K35" ca="1">IF(ROWS(K$8:K35)&lt;=$C$3,INDEX(INDIRECT(K$7),SMALL(IF(Tip_Cli=$B$3,ROW(Tip_Cli)-ROW(Facturacion!$AL$4)+1),ROWS(K$8:K35))),"")</f>
        <v/>
      </c>
      <c r="L35" s="189" t="str">
        <f t="array" aca="1" ref="L35" ca="1">IF(ROWS(L$8:L35)&lt;=$C$3,INDEX(INDIRECT(L$7),SMALL(IF(Tip_Cli=$B$3,ROW(Tip_Cli)-ROW(Facturacion!$AL$4)+1),ROWS(L$8:L35))),"")</f>
        <v/>
      </c>
      <c r="M35" s="189" t="str">
        <f t="array" aca="1" ref="M35" ca="1">IF(ROWS(M$8:M35)&lt;=$C$3,INDEX(INDIRECT(M$7),SMALL(IF(Tip_Cli=$B$3,ROW(Tip_Cli)-ROW(Facturacion!$AL$4)+1),ROWS(M$8:M35))),"")</f>
        <v/>
      </c>
      <c r="N35" s="190" t="str">
        <f t="array" aca="1" ref="N35" ca="1">IF(ROWS(N$8:N35)&lt;=$C$3,INDEX(INDIRECT(N$7),SMALL(IF(Tip_Cli=$B$3,ROW(Tip_Cli)-ROW(Facturacion!$AL$4)+1),ROWS(N$8:N35))),"")</f>
        <v/>
      </c>
      <c r="O35" s="188" t="str">
        <f t="array" aca="1" ref="O35" ca="1">IF(ROWS(O$8:O35)&lt;=$C$3,INDEX(INDIRECT(O$7),SMALL(IF(Tip_Cli=$B$3,ROW(Tip_Cli)-ROW(Facturacion!$AL$4)+1),ROWS(O$8:O35))),"")</f>
        <v/>
      </c>
      <c r="P35" s="188" t="str">
        <f t="array" aca="1" ref="P35" ca="1">IF(ROWS(P$8:P35)&lt;=$C$3,INDEX(INDIRECT(P$7),SMALL(IF(Tip_Cli=$B$3,ROW(Tip_Cli)-ROW(Facturacion!$AL$4)+1),ROWS(P$8:P35))),"")</f>
        <v/>
      </c>
      <c r="Q35" s="188" t="str">
        <f t="array" aca="1" ref="Q35" ca="1">IF(ROWS(Q$8:Q35)&lt;=$C$3,INDEX(INDIRECT(Q$7),SMALL(IF(Tip_Cli=$B$3,ROW(Tip_Cli)-ROW(Facturacion!$AL$4)+1),ROWS(Q$8:Q35))),"")</f>
        <v/>
      </c>
      <c r="R35" s="191" t="str">
        <f t="array" aca="1" ref="R35" ca="1">IF(ROWS(R$8:R35)&lt;=$C$3,INDEX(INDIRECT(R$7),SMALL(IF(Tip_Cli=$B$3,ROW(Tip_Cli)-ROW(Facturacion!$AL$4)+1),ROWS(R$8:R35))),"")</f>
        <v/>
      </c>
      <c r="S35" s="191" t="str">
        <f t="array" aca="1" ref="S35" ca="1">IF(ROWS(S$8:S35)&lt;=$C$3,INDEX(INDIRECT(S$7),SMALL(IF(Tip_Cli=$B$3,ROW(Tip_Cli)-ROW(Facturacion!$AL$4)+1),ROWS(S$8:S35))),"")</f>
        <v/>
      </c>
      <c r="T35" s="191" t="str">
        <f t="array" aca="1" ref="T35" ca="1">IF(ROWS(T$8:T35)&lt;=$C$3,INDEX(INDIRECT(T$7),SMALL(IF(Tip_Cli=$B$3,ROW(Tip_Cli)-ROW(Facturacion!$AL$4)+1),ROWS(T$8:T35))),"")</f>
        <v/>
      </c>
      <c r="U35" s="188" t="str">
        <f t="array" aca="1" ref="U35" ca="1">IF(ROWS(U$8:U35)&lt;=$C$3,INDEX(INDIRECT(U$7),SMALL(IF(Tip_Cli=$B$3,ROW(Tip_Cli)-ROW(Facturacion!$AL$4)+1),ROWS(U$8:U35))),"")</f>
        <v/>
      </c>
      <c r="V35" s="188" t="str">
        <f t="array" aca="1" ref="V35" ca="1">IF(ROWS(V$8:V35)&lt;=$C$3,INDEX(INDIRECT(V$7),SMALL(IF(Tip_Cli=$B$3,ROW(Tip_Cli)-ROW(Facturacion!$AL$4)+1),ROWS(V$8:V35))),"")</f>
        <v/>
      </c>
      <c r="W35" s="188" t="str">
        <f t="array" aca="1" ref="W35" ca="1">IF(ROWS(W$8:W35)&lt;=$C$3,INDEX(INDIRECT(W$7),SMALL(IF(Tip_Cli=$B$3,ROW(Tip_Cli)-ROW(Facturacion!$AL$4)+1),ROWS(W$8:W35))),"")</f>
        <v/>
      </c>
      <c r="X35" s="188" t="str">
        <f t="array" aca="1" ref="X35" ca="1">IF(ROWS(X$8:X35)&lt;=$C$3,INDEX(INDIRECT(X$7),SMALL(IF(Tip_Cli=$B$3,ROW(Tip_Cli)-ROW(Facturacion!$AL$4)+1),ROWS(X$8:X35))),"")</f>
        <v/>
      </c>
      <c r="Y35" s="192" t="str">
        <f t="array" aca="1" ref="Y35" ca="1">IF(ROWS(Y$8:Y35)&lt;=$C$3,INDEX(INDIRECT(Y$7),SMALL(IF(Tip_Cli=$B$3,ROW(Tip_Cli)-ROW(Facturacion!$AL$4)+1),ROWS(Y$8:Y35))),"")</f>
        <v/>
      </c>
    </row>
    <row r="36" spans="2:25" x14ac:dyDescent="0.25">
      <c r="B36" s="180"/>
      <c r="C36" s="180"/>
      <c r="D36" s="183">
        <f ca="1">SUM(D8:D35)</f>
        <v>63941.626920000002</v>
      </c>
      <c r="E36" s="183">
        <f t="shared" ref="E36:M36" ca="1" si="0">SUM(E8:E35)</f>
        <v>14715.898558650002</v>
      </c>
      <c r="F36" s="183">
        <f t="shared" ca="1" si="0"/>
        <v>262.71186440677968</v>
      </c>
      <c r="G36" s="183">
        <f t="shared" ca="1" si="0"/>
        <v>1500.5683050847458</v>
      </c>
      <c r="H36" s="183">
        <f t="shared" ca="1" si="0"/>
        <v>1845.4815000000001</v>
      </c>
      <c r="I36" s="183">
        <f t="shared" ca="1" si="0"/>
        <v>2864.25</v>
      </c>
      <c r="J36" s="183">
        <f t="shared" ca="1" si="0"/>
        <v>9778.65</v>
      </c>
      <c r="K36" s="183">
        <f t="shared" ca="1" si="0"/>
        <v>0</v>
      </c>
      <c r="L36" s="183">
        <f t="shared" ca="1" si="0"/>
        <v>30967.560228141527</v>
      </c>
      <c r="M36" s="183">
        <f t="shared" ca="1" si="0"/>
        <v>32974.066691858476</v>
      </c>
      <c r="N36" s="184">
        <f ca="1">+M36/D36</f>
        <v>0.51569014240306532</v>
      </c>
      <c r="O36" s="180"/>
      <c r="P36" s="180"/>
      <c r="Q36" s="180"/>
      <c r="R36" s="113"/>
      <c r="S36" s="113"/>
      <c r="T36" s="113"/>
      <c r="U36" s="180"/>
      <c r="V36" s="180"/>
      <c r="W36" s="180"/>
      <c r="X36" s="180"/>
      <c r="Y36" s="121"/>
    </row>
    <row r="37" spans="2:25" x14ac:dyDescent="0.25">
      <c r="B37" s="180"/>
      <c r="C37" s="180"/>
      <c r="D37" s="182"/>
      <c r="E37" s="182"/>
      <c r="F37" s="182"/>
      <c r="G37" s="182"/>
      <c r="H37" s="182"/>
      <c r="I37" s="182"/>
      <c r="J37" s="182"/>
      <c r="K37" s="182"/>
      <c r="L37" s="182"/>
      <c r="M37" s="182"/>
      <c r="N37" s="181"/>
      <c r="O37" s="180"/>
      <c r="P37" s="180"/>
      <c r="Q37" s="180"/>
      <c r="R37" s="113"/>
      <c r="S37" s="113"/>
      <c r="T37" s="113"/>
      <c r="U37" s="180"/>
      <c r="V37" s="180"/>
      <c r="W37" s="180"/>
      <c r="X37" s="180"/>
      <c r="Y37" s="180"/>
    </row>
    <row r="38" spans="2:25" x14ac:dyDescent="0.25">
      <c r="B38" s="180"/>
      <c r="C38" s="180"/>
      <c r="D38" s="182"/>
      <c r="E38" s="182"/>
      <c r="F38" s="182"/>
      <c r="G38" s="182"/>
      <c r="H38" s="182"/>
      <c r="I38" s="182"/>
      <c r="J38" s="182"/>
      <c r="K38" s="182"/>
      <c r="L38" s="182"/>
      <c r="M38" s="182"/>
      <c r="N38" s="181"/>
      <c r="O38" s="180"/>
      <c r="P38" s="180"/>
      <c r="Q38" s="180"/>
      <c r="R38" s="113"/>
      <c r="S38" s="113"/>
      <c r="T38" s="113"/>
      <c r="U38" s="180"/>
      <c r="V38" s="180"/>
      <c r="W38" s="180"/>
      <c r="X38" s="180"/>
      <c r="Y38" s="180"/>
    </row>
    <row r="39" spans="2:25" x14ac:dyDescent="0.25">
      <c r="B39" s="180"/>
      <c r="C39" s="180"/>
      <c r="D39" s="182"/>
      <c r="E39" s="182"/>
      <c r="F39" s="182"/>
      <c r="G39" s="182"/>
      <c r="H39" s="182"/>
      <c r="I39" s="182"/>
      <c r="J39" s="182"/>
      <c r="K39" s="182"/>
      <c r="L39" s="182"/>
      <c r="M39" s="182"/>
      <c r="N39" s="181"/>
      <c r="O39" s="180"/>
      <c r="P39" s="180"/>
      <c r="Q39" s="180"/>
      <c r="R39" s="113"/>
      <c r="S39" s="113"/>
      <c r="T39" s="113"/>
      <c r="U39" s="180"/>
      <c r="V39" s="180"/>
      <c r="W39" s="180"/>
      <c r="X39" s="180"/>
      <c r="Y39" s="180"/>
    </row>
    <row r="40" spans="2:25" x14ac:dyDescent="0.25">
      <c r="B40" s="180"/>
      <c r="C40" s="180"/>
      <c r="D40" s="182"/>
      <c r="E40" s="182"/>
      <c r="F40" s="182"/>
      <c r="G40" s="182"/>
      <c r="H40" s="182"/>
      <c r="I40" s="182"/>
      <c r="J40" s="182"/>
      <c r="K40" s="182"/>
      <c r="L40" s="182"/>
      <c r="M40" s="182"/>
      <c r="N40" s="181"/>
      <c r="O40" s="180"/>
      <c r="P40" s="180"/>
      <c r="Q40" s="180"/>
      <c r="R40" s="113"/>
      <c r="S40" s="113"/>
      <c r="T40" s="113"/>
      <c r="U40" s="180"/>
      <c r="V40" s="180"/>
      <c r="W40" s="180"/>
      <c r="X40" s="180"/>
      <c r="Y40" s="180"/>
    </row>
    <row r="41" spans="2:25" x14ac:dyDescent="0.25">
      <c r="B41" s="200" t="s">
        <v>1230</v>
      </c>
      <c r="C41" s="201" t="str">
        <f>PROPER($B$3)</f>
        <v>Acceso</v>
      </c>
      <c r="D41" s="182"/>
      <c r="E41" s="182"/>
      <c r="F41" s="182"/>
      <c r="G41" s="182"/>
      <c r="H41" s="182"/>
      <c r="I41" s="182"/>
      <c r="J41" s="182"/>
      <c r="K41" s="182"/>
      <c r="L41" s="182"/>
      <c r="M41" s="182"/>
      <c r="N41" s="181"/>
      <c r="O41" s="180"/>
      <c r="P41" s="180"/>
      <c r="Q41" s="180"/>
      <c r="R41" s="113"/>
      <c r="S41" s="113"/>
      <c r="T41" s="113"/>
      <c r="U41" s="180"/>
      <c r="V41" s="180"/>
      <c r="W41" s="180"/>
      <c r="X41" s="180"/>
      <c r="Y41" s="180"/>
    </row>
    <row r="42" spans="2:25" x14ac:dyDescent="0.25">
      <c r="B42" s="194" t="s">
        <v>1237</v>
      </c>
      <c r="C42" s="113">
        <v>2019</v>
      </c>
      <c r="D42" s="182"/>
      <c r="E42" s="182"/>
      <c r="F42" s="182"/>
      <c r="G42" s="182"/>
      <c r="H42" s="182"/>
      <c r="I42" s="182"/>
      <c r="J42" s="182"/>
      <c r="K42" s="182"/>
      <c r="L42" s="182"/>
      <c r="M42" s="182"/>
      <c r="N42" s="181"/>
      <c r="O42" s="180"/>
      <c r="P42" s="180"/>
      <c r="Q42" s="180"/>
      <c r="R42" s="113"/>
      <c r="S42" s="113"/>
      <c r="T42" s="113"/>
      <c r="U42" s="180"/>
      <c r="V42" s="180"/>
      <c r="W42" s="180"/>
      <c r="X42" s="180"/>
      <c r="Y42" s="180"/>
    </row>
    <row r="43" spans="2:25" x14ac:dyDescent="0.25">
      <c r="B43" s="194" t="s">
        <v>1238</v>
      </c>
      <c r="C43" s="180" t="s">
        <v>1217</v>
      </c>
      <c r="D43" s="182"/>
      <c r="E43" s="182"/>
      <c r="F43" s="182"/>
      <c r="G43" s="182"/>
      <c r="H43" s="182"/>
      <c r="I43" s="182"/>
      <c r="J43" s="182"/>
      <c r="K43" s="182"/>
      <c r="L43" s="182"/>
      <c r="M43" s="182"/>
      <c r="N43" s="181"/>
      <c r="O43" s="180"/>
      <c r="P43" s="180"/>
      <c r="Q43" s="180"/>
      <c r="R43" s="113"/>
      <c r="S43" s="113"/>
      <c r="T43" s="113"/>
      <c r="U43" s="180"/>
      <c r="V43" s="180"/>
      <c r="W43" s="180"/>
      <c r="X43" s="180"/>
      <c r="Y43" s="180"/>
    </row>
    <row r="44" spans="2:25" x14ac:dyDescent="0.25">
      <c r="D44" s="196"/>
      <c r="E44" s="196"/>
      <c r="F44" s="196"/>
      <c r="G44" s="182"/>
      <c r="H44" s="182"/>
      <c r="I44" s="182"/>
      <c r="J44" s="182"/>
      <c r="K44" s="182"/>
      <c r="L44" s="182"/>
      <c r="M44" s="182"/>
      <c r="N44" s="181"/>
      <c r="O44" s="180"/>
      <c r="P44" s="180"/>
      <c r="Q44" s="180"/>
      <c r="R44" s="113"/>
      <c r="S44" s="113"/>
      <c r="T44" s="113"/>
      <c r="U44" s="180"/>
      <c r="V44" s="180"/>
      <c r="W44" s="180"/>
      <c r="X44" s="180"/>
      <c r="Y44" s="180"/>
    </row>
    <row r="45" spans="2:25" ht="15.75" thickBot="1" x14ac:dyDescent="0.3">
      <c r="B45" s="195"/>
      <c r="C45" s="195"/>
      <c r="D45" s="196"/>
      <c r="E45" s="196"/>
      <c r="F45" s="196"/>
      <c r="G45" s="182"/>
      <c r="H45" s="182"/>
      <c r="I45" s="182"/>
      <c r="J45" s="182"/>
      <c r="K45" s="182"/>
      <c r="L45" s="182"/>
      <c r="M45" s="182"/>
      <c r="N45" s="181"/>
      <c r="O45" s="180"/>
      <c r="P45" s="180"/>
      <c r="Q45" s="180"/>
      <c r="R45" s="113"/>
      <c r="S45" s="113"/>
      <c r="T45" s="113"/>
      <c r="U45" s="180"/>
      <c r="V45" s="180"/>
      <c r="W45" s="180"/>
      <c r="X45" s="180"/>
      <c r="Y45" s="180"/>
    </row>
    <row r="46" spans="2:25" s="12" customFormat="1" ht="15.75" thickBot="1" x14ac:dyDescent="0.3">
      <c r="B46" s="204" t="s">
        <v>1236</v>
      </c>
      <c r="C46" s="205" t="s">
        <v>1233</v>
      </c>
      <c r="D46" s="206" t="s">
        <v>1234</v>
      </c>
      <c r="E46" s="206" t="s">
        <v>1235</v>
      </c>
      <c r="F46" s="207" t="s">
        <v>317</v>
      </c>
      <c r="G46" s="182"/>
      <c r="H46" s="182"/>
      <c r="I46" s="182"/>
      <c r="J46" s="182"/>
      <c r="K46" s="182"/>
      <c r="L46" s="182"/>
      <c r="M46" s="182"/>
      <c r="N46" s="181"/>
      <c r="O46" s="180"/>
      <c r="P46" s="180"/>
      <c r="Q46" s="180"/>
      <c r="R46" s="113"/>
      <c r="S46" s="113"/>
      <c r="T46" s="113"/>
      <c r="U46" s="180"/>
      <c r="V46" s="180"/>
      <c r="W46" s="180"/>
      <c r="X46" s="180"/>
      <c r="Y46" s="180"/>
    </row>
    <row r="47" spans="2:25" x14ac:dyDescent="0.25">
      <c r="B47" s="202" t="s">
        <v>487</v>
      </c>
      <c r="C47" s="203"/>
      <c r="D47" s="203"/>
      <c r="E47" s="203">
        <f>+C47-D47</f>
        <v>0</v>
      </c>
      <c r="F47" s="208">
        <f>IFERROR(D47/C47,0)</f>
        <v>0</v>
      </c>
      <c r="G47" s="182"/>
      <c r="H47" s="182"/>
      <c r="I47" s="182"/>
      <c r="J47" s="182"/>
      <c r="K47" s="182"/>
      <c r="L47" s="182"/>
      <c r="M47" s="182"/>
      <c r="N47" s="181"/>
      <c r="O47" s="180"/>
      <c r="P47" s="180"/>
      <c r="Q47" s="180"/>
      <c r="R47" s="113"/>
      <c r="S47" s="113"/>
      <c r="T47" s="113"/>
      <c r="U47" s="180"/>
      <c r="V47" s="180"/>
      <c r="W47" s="180"/>
      <c r="X47" s="180"/>
      <c r="Y47" s="180"/>
    </row>
    <row r="48" spans="2:25" x14ac:dyDescent="0.25">
      <c r="B48" s="197" t="s">
        <v>486</v>
      </c>
      <c r="C48" s="4"/>
      <c r="D48" s="4"/>
      <c r="E48" s="4">
        <f t="shared" ref="E48:E51" si="1">+C48-D48</f>
        <v>0</v>
      </c>
      <c r="F48" s="209">
        <f t="shared" ref="F48:F51" si="2">IFERROR(D48/C48,0)</f>
        <v>0</v>
      </c>
      <c r="G48" s="182"/>
      <c r="H48" s="182"/>
      <c r="I48" s="182"/>
      <c r="J48" s="182"/>
      <c r="K48" s="182"/>
      <c r="L48" s="182"/>
      <c r="M48" s="182"/>
      <c r="N48" s="181"/>
      <c r="O48" s="180"/>
      <c r="P48" s="180"/>
      <c r="Q48" s="180"/>
      <c r="R48" s="113"/>
      <c r="S48" s="113"/>
      <c r="T48" s="113"/>
      <c r="U48" s="180"/>
      <c r="V48" s="180"/>
      <c r="W48" s="180"/>
      <c r="X48" s="180"/>
      <c r="Y48" s="180"/>
    </row>
    <row r="49" spans="2:25" x14ac:dyDescent="0.25">
      <c r="B49" s="197" t="s">
        <v>1231</v>
      </c>
      <c r="C49" s="4"/>
      <c r="D49" s="4"/>
      <c r="E49" s="4">
        <f t="shared" si="1"/>
        <v>0</v>
      </c>
      <c r="F49" s="209">
        <f t="shared" si="2"/>
        <v>0</v>
      </c>
      <c r="G49" s="182"/>
      <c r="H49" s="182"/>
      <c r="I49" s="182"/>
      <c r="J49" s="182"/>
      <c r="K49" s="182"/>
      <c r="L49" s="182"/>
      <c r="M49" s="182"/>
      <c r="N49" s="181"/>
      <c r="O49" s="180"/>
      <c r="P49" s="180"/>
      <c r="Q49" s="180"/>
      <c r="R49" s="113"/>
      <c r="S49" s="113"/>
      <c r="T49" s="113"/>
      <c r="U49" s="180"/>
      <c r="V49" s="180"/>
      <c r="W49" s="180"/>
      <c r="X49" s="180"/>
      <c r="Y49" s="180"/>
    </row>
    <row r="50" spans="2:25" x14ac:dyDescent="0.25">
      <c r="B50" s="197" t="s">
        <v>472</v>
      </c>
      <c r="C50" s="4"/>
      <c r="D50" s="4"/>
      <c r="E50" s="4">
        <f t="shared" si="1"/>
        <v>0</v>
      </c>
      <c r="F50" s="209">
        <f t="shared" si="2"/>
        <v>0</v>
      </c>
      <c r="G50" s="182"/>
      <c r="H50" s="182"/>
      <c r="I50" s="182"/>
      <c r="J50" s="182"/>
      <c r="K50" s="182"/>
      <c r="L50" s="182"/>
      <c r="M50" s="182"/>
      <c r="N50" s="181"/>
      <c r="O50" s="180"/>
      <c r="P50" s="180"/>
      <c r="Q50" s="180"/>
      <c r="R50" s="113"/>
      <c r="S50" s="113"/>
      <c r="T50" s="113"/>
      <c r="U50" s="180"/>
      <c r="V50" s="180"/>
      <c r="W50" s="180"/>
      <c r="X50" s="180"/>
      <c r="Y50" s="180"/>
    </row>
    <row r="51" spans="2:25" ht="15.75" thickBot="1" x14ac:dyDescent="0.3">
      <c r="B51" s="198" t="s">
        <v>1232</v>
      </c>
      <c r="C51" s="199"/>
      <c r="D51" s="199"/>
      <c r="E51" s="199">
        <f t="shared" si="1"/>
        <v>0</v>
      </c>
      <c r="F51" s="210">
        <f t="shared" si="2"/>
        <v>0</v>
      </c>
      <c r="G51" s="182"/>
      <c r="H51" s="182"/>
      <c r="I51" s="182"/>
      <c r="J51" s="182"/>
      <c r="K51" s="182"/>
      <c r="L51" s="182"/>
      <c r="M51" s="182"/>
      <c r="N51" s="181"/>
      <c r="O51" s="180"/>
      <c r="P51" s="180"/>
      <c r="Q51" s="180"/>
      <c r="R51" s="113"/>
      <c r="S51" s="113"/>
      <c r="T51" s="113"/>
      <c r="U51" s="180"/>
      <c r="V51" s="180"/>
      <c r="W51" s="180"/>
      <c r="X51" s="180"/>
      <c r="Y51" s="180"/>
    </row>
    <row r="52" spans="2:25" x14ac:dyDescent="0.25">
      <c r="B52" s="180"/>
      <c r="C52" s="180"/>
      <c r="D52" s="182"/>
      <c r="E52" s="182"/>
      <c r="F52" s="182"/>
      <c r="G52" s="182"/>
      <c r="H52" s="182"/>
      <c r="I52" s="182"/>
      <c r="J52" s="182"/>
      <c r="K52" s="182"/>
      <c r="L52" s="182"/>
      <c r="M52" s="182"/>
      <c r="N52" s="181"/>
      <c r="O52" s="180"/>
      <c r="P52" s="180"/>
      <c r="Q52" s="180"/>
      <c r="R52" s="113"/>
      <c r="S52" s="113"/>
      <c r="T52" s="113"/>
      <c r="U52" s="180"/>
      <c r="V52" s="180"/>
      <c r="W52" s="180"/>
      <c r="X52" s="180"/>
      <c r="Y52" s="180"/>
    </row>
    <row r="53" spans="2:25" x14ac:dyDescent="0.25">
      <c r="B53" s="180"/>
      <c r="C53" s="180"/>
      <c r="D53" s="182"/>
      <c r="E53" s="182"/>
      <c r="F53" s="182"/>
      <c r="G53" s="182"/>
      <c r="H53" s="182"/>
      <c r="I53" s="182"/>
      <c r="J53" s="182"/>
      <c r="K53" s="182"/>
      <c r="L53" s="182"/>
      <c r="M53" s="182"/>
      <c r="N53" s="181"/>
      <c r="O53" s="180"/>
      <c r="P53" s="180"/>
      <c r="Q53" s="180"/>
      <c r="R53" s="113"/>
      <c r="S53" s="113"/>
      <c r="T53" s="113"/>
      <c r="U53" s="180"/>
      <c r="V53" s="180"/>
      <c r="W53" s="180"/>
      <c r="X53" s="180"/>
      <c r="Y53" s="180"/>
    </row>
    <row r="54" spans="2:25" x14ac:dyDescent="0.25">
      <c r="B54" s="180"/>
      <c r="C54" s="180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1"/>
      <c r="O54" s="180"/>
      <c r="P54" s="180"/>
      <c r="Q54" s="180"/>
      <c r="R54" s="113"/>
      <c r="S54" s="113"/>
      <c r="T54" s="113"/>
      <c r="U54" s="180"/>
      <c r="V54" s="180"/>
      <c r="W54" s="180"/>
      <c r="X54" s="180"/>
      <c r="Y54" s="180"/>
    </row>
    <row r="55" spans="2:25" x14ac:dyDescent="0.25">
      <c r="B55" s="180"/>
      <c r="C55" s="180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1"/>
      <c r="O55" s="180"/>
      <c r="P55" s="180"/>
      <c r="Q55" s="180"/>
      <c r="R55" s="113"/>
      <c r="S55" s="113"/>
      <c r="T55" s="113"/>
      <c r="U55" s="180"/>
      <c r="V55" s="180"/>
      <c r="W55" s="180"/>
      <c r="X55" s="180"/>
      <c r="Y55" s="180"/>
    </row>
    <row r="56" spans="2:25" x14ac:dyDescent="0.25">
      <c r="B56" s="180"/>
      <c r="C56" s="180"/>
      <c r="D56" s="182"/>
      <c r="E56" s="182"/>
      <c r="F56" s="182"/>
      <c r="G56" s="182"/>
      <c r="H56" s="182"/>
      <c r="I56" s="182"/>
      <c r="J56" s="182"/>
      <c r="K56" s="182"/>
      <c r="L56" s="182"/>
      <c r="M56" s="182"/>
      <c r="N56" s="181"/>
      <c r="O56" s="180"/>
      <c r="P56" s="180"/>
      <c r="Q56" s="180"/>
      <c r="R56" s="113"/>
      <c r="S56" s="113"/>
      <c r="T56" s="113"/>
      <c r="U56" s="180"/>
      <c r="V56" s="180"/>
      <c r="W56" s="180"/>
      <c r="X56" s="180"/>
      <c r="Y56" s="180"/>
    </row>
    <row r="57" spans="2:25" x14ac:dyDescent="0.25">
      <c r="B57" s="180"/>
      <c r="C57" s="180"/>
      <c r="D57" s="182"/>
      <c r="E57" s="182"/>
      <c r="F57" s="182"/>
      <c r="G57" s="182"/>
      <c r="H57" s="182"/>
      <c r="I57" s="182"/>
      <c r="J57" s="182"/>
      <c r="K57" s="182"/>
      <c r="L57" s="182"/>
      <c r="M57" s="182"/>
      <c r="N57" s="181"/>
      <c r="O57" s="180"/>
      <c r="P57" s="180"/>
      <c r="Q57" s="180"/>
      <c r="R57" s="113"/>
      <c r="S57" s="113"/>
      <c r="T57" s="113"/>
      <c r="U57" s="180"/>
      <c r="V57" s="180"/>
      <c r="W57" s="180"/>
      <c r="X57" s="180"/>
      <c r="Y57" s="180"/>
    </row>
    <row r="58" spans="2:25" x14ac:dyDescent="0.25">
      <c r="B58" s="180"/>
      <c r="C58" s="180"/>
      <c r="D58" s="182"/>
      <c r="E58" s="182"/>
      <c r="F58" s="182"/>
      <c r="G58" s="182"/>
      <c r="H58" s="182"/>
      <c r="I58" s="182"/>
      <c r="J58" s="182"/>
      <c r="K58" s="182"/>
      <c r="L58" s="182"/>
      <c r="M58" s="182"/>
      <c r="N58" s="181"/>
      <c r="O58" s="180"/>
      <c r="P58" s="180"/>
      <c r="Q58" s="180"/>
      <c r="R58" s="113"/>
      <c r="S58" s="113"/>
      <c r="T58" s="113"/>
      <c r="U58" s="180"/>
      <c r="V58" s="180"/>
      <c r="W58" s="180"/>
      <c r="X58" s="180"/>
      <c r="Y58" s="180"/>
    </row>
    <row r="59" spans="2:25" s="12" customFormat="1" x14ac:dyDescent="0.25">
      <c r="B59" s="180"/>
      <c r="C59" s="180"/>
      <c r="D59" s="182"/>
      <c r="E59" s="182"/>
      <c r="F59" s="182"/>
      <c r="G59" s="182"/>
      <c r="H59" s="182"/>
      <c r="I59" s="182"/>
      <c r="J59" s="182"/>
      <c r="K59" s="182"/>
      <c r="L59" s="182"/>
      <c r="M59" s="182"/>
      <c r="N59" s="181"/>
      <c r="O59" s="180"/>
      <c r="P59" s="180"/>
      <c r="Q59" s="180"/>
      <c r="R59" s="113"/>
      <c r="S59" s="113"/>
      <c r="T59" s="113"/>
      <c r="U59" s="180"/>
      <c r="V59" s="180"/>
      <c r="W59" s="180"/>
      <c r="X59" s="180"/>
      <c r="Y59" s="180"/>
    </row>
    <row r="60" spans="2:25" s="12" customFormat="1" x14ac:dyDescent="0.25">
      <c r="B60" s="180"/>
      <c r="C60" s="180"/>
      <c r="D60" s="182"/>
      <c r="E60" s="182"/>
      <c r="F60" s="182"/>
      <c r="G60" s="182"/>
      <c r="H60" s="182"/>
      <c r="I60" s="182"/>
      <c r="J60" s="182"/>
      <c r="K60" s="182"/>
      <c r="L60" s="182"/>
      <c r="M60" s="182"/>
      <c r="N60" s="181"/>
      <c r="O60" s="180"/>
      <c r="P60" s="180"/>
      <c r="Q60" s="180"/>
      <c r="R60" s="113"/>
      <c r="S60" s="113"/>
      <c r="T60" s="113"/>
      <c r="U60" s="180"/>
      <c r="V60" s="180"/>
      <c r="W60" s="180"/>
      <c r="X60" s="180"/>
      <c r="Y60" s="180"/>
    </row>
    <row r="61" spans="2:25" s="12" customFormat="1" x14ac:dyDescent="0.25">
      <c r="B61" s="180"/>
      <c r="C61" s="180"/>
      <c r="D61" s="182"/>
      <c r="E61" s="182"/>
      <c r="F61" s="182"/>
      <c r="G61" s="182"/>
      <c r="H61" s="182"/>
      <c r="I61" s="182"/>
      <c r="J61" s="182"/>
      <c r="K61" s="182"/>
      <c r="L61" s="182"/>
      <c r="M61" s="182"/>
      <c r="N61" s="181"/>
      <c r="O61" s="180"/>
      <c r="P61" s="180"/>
      <c r="Q61" s="180"/>
      <c r="R61" s="113"/>
      <c r="S61" s="113"/>
      <c r="T61" s="113"/>
      <c r="U61" s="180"/>
      <c r="V61" s="180"/>
      <c r="W61" s="180"/>
      <c r="X61" s="180"/>
      <c r="Y61" s="180"/>
    </row>
    <row r="62" spans="2:25" s="12" customFormat="1" x14ac:dyDescent="0.25">
      <c r="B62" s="180"/>
      <c r="C62" s="180"/>
      <c r="D62" s="182"/>
      <c r="E62" s="182"/>
      <c r="F62" s="182"/>
      <c r="G62" s="182"/>
      <c r="H62" s="182"/>
      <c r="I62" s="182"/>
      <c r="J62" s="182"/>
      <c r="K62" s="182"/>
      <c r="L62" s="182"/>
      <c r="M62" s="182"/>
      <c r="N62" s="181"/>
      <c r="O62" s="180"/>
      <c r="P62" s="180"/>
      <c r="Q62" s="180"/>
      <c r="R62" s="113"/>
      <c r="S62" s="113"/>
      <c r="T62" s="113"/>
      <c r="U62" s="180"/>
      <c r="V62" s="180"/>
      <c r="W62" s="180"/>
      <c r="X62" s="180"/>
      <c r="Y62" s="180"/>
    </row>
    <row r="63" spans="2:25" s="12" customFormat="1" x14ac:dyDescent="0.25">
      <c r="B63" s="180"/>
      <c r="C63" s="180"/>
      <c r="D63" s="182"/>
      <c r="E63" s="182"/>
      <c r="F63" s="182"/>
      <c r="G63" s="182"/>
      <c r="H63" s="182"/>
      <c r="I63" s="182"/>
      <c r="J63" s="182"/>
      <c r="K63" s="182"/>
      <c r="L63" s="182"/>
      <c r="M63" s="182"/>
      <c r="N63" s="181"/>
      <c r="O63" s="180"/>
      <c r="P63" s="180"/>
      <c r="Q63" s="180"/>
      <c r="R63" s="113"/>
      <c r="S63" s="113"/>
      <c r="T63" s="113"/>
      <c r="U63" s="180"/>
      <c r="V63" s="180"/>
      <c r="W63" s="180"/>
      <c r="X63" s="180"/>
      <c r="Y63" s="180"/>
    </row>
    <row r="64" spans="2:25" s="12" customFormat="1" x14ac:dyDescent="0.25">
      <c r="B64" s="180"/>
      <c r="C64" s="180"/>
      <c r="D64" s="182"/>
      <c r="E64" s="182"/>
      <c r="F64" s="182"/>
      <c r="G64" s="182"/>
      <c r="H64" s="182"/>
      <c r="I64" s="182"/>
      <c r="J64" s="182"/>
      <c r="K64" s="182"/>
      <c r="L64" s="182"/>
      <c r="M64" s="182"/>
      <c r="N64" s="181"/>
      <c r="O64" s="180"/>
      <c r="P64" s="180"/>
      <c r="Q64" s="180"/>
      <c r="R64" s="113"/>
      <c r="S64" s="113"/>
      <c r="T64" s="113"/>
      <c r="U64" s="180"/>
      <c r="V64" s="180"/>
      <c r="W64" s="180"/>
      <c r="X64" s="180"/>
      <c r="Y64" s="180"/>
    </row>
    <row r="65" spans="2:25" s="12" customFormat="1" x14ac:dyDescent="0.25">
      <c r="B65" s="180"/>
      <c r="C65" s="180"/>
      <c r="D65" s="182"/>
      <c r="E65" s="182"/>
      <c r="F65" s="182"/>
      <c r="G65" s="182"/>
      <c r="H65" s="182"/>
      <c r="I65" s="182"/>
      <c r="J65" s="182"/>
      <c r="K65" s="182"/>
      <c r="L65" s="182"/>
      <c r="M65" s="182"/>
      <c r="N65" s="181"/>
      <c r="O65" s="180"/>
      <c r="P65" s="180"/>
      <c r="Q65" s="180"/>
      <c r="R65" s="113"/>
      <c r="S65" s="113"/>
      <c r="T65" s="113"/>
      <c r="U65" s="180"/>
      <c r="V65" s="180"/>
      <c r="W65" s="180"/>
      <c r="X65" s="180"/>
      <c r="Y65" s="180"/>
    </row>
    <row r="66" spans="2:25" s="12" customFormat="1" x14ac:dyDescent="0.25">
      <c r="B66" s="180"/>
      <c r="C66" s="180"/>
      <c r="D66" s="182"/>
      <c r="E66" s="182"/>
      <c r="F66" s="182"/>
      <c r="G66" s="182"/>
      <c r="H66" s="182"/>
      <c r="I66" s="182"/>
      <c r="J66" s="182"/>
      <c r="K66" s="182"/>
      <c r="L66" s="182"/>
      <c r="M66" s="182"/>
      <c r="N66" s="181"/>
      <c r="O66" s="180"/>
      <c r="P66" s="180"/>
      <c r="Q66" s="180"/>
      <c r="R66" s="113"/>
      <c r="S66" s="113"/>
      <c r="T66" s="113"/>
      <c r="U66" s="180"/>
      <c r="V66" s="180"/>
      <c r="W66" s="180"/>
      <c r="X66" s="180"/>
      <c r="Y66" s="180"/>
    </row>
    <row r="67" spans="2:25" s="12" customFormat="1" x14ac:dyDescent="0.25">
      <c r="B67" s="180"/>
      <c r="C67" s="180"/>
      <c r="D67" s="182"/>
      <c r="E67" s="182"/>
      <c r="F67" s="182"/>
      <c r="G67" s="182"/>
      <c r="H67" s="182"/>
      <c r="I67" s="182"/>
      <c r="J67" s="182"/>
      <c r="K67" s="182"/>
      <c r="L67" s="182"/>
      <c r="M67" s="182"/>
      <c r="N67" s="181"/>
      <c r="O67" s="180"/>
      <c r="P67" s="180"/>
      <c r="Q67" s="180"/>
      <c r="R67" s="113"/>
      <c r="S67" s="113"/>
      <c r="T67" s="113"/>
      <c r="U67" s="180"/>
      <c r="V67" s="180"/>
      <c r="W67" s="180"/>
      <c r="X67" s="180"/>
      <c r="Y67" s="180"/>
    </row>
    <row r="68" spans="2:25" s="12" customFormat="1" x14ac:dyDescent="0.25">
      <c r="B68" s="180"/>
      <c r="C68" s="180"/>
      <c r="D68" s="182"/>
      <c r="E68" s="182"/>
      <c r="F68" s="182"/>
      <c r="G68" s="182"/>
      <c r="H68" s="182"/>
      <c r="I68" s="182"/>
      <c r="J68" s="182"/>
      <c r="K68" s="182"/>
      <c r="L68" s="182"/>
      <c r="M68" s="182"/>
      <c r="N68" s="181"/>
      <c r="O68" s="180"/>
      <c r="P68" s="180"/>
      <c r="Q68" s="180"/>
      <c r="R68" s="113"/>
      <c r="S68" s="113"/>
      <c r="T68" s="113"/>
      <c r="U68" s="180"/>
      <c r="V68" s="180"/>
      <c r="W68" s="180"/>
      <c r="X68" s="180"/>
      <c r="Y68" s="180"/>
    </row>
    <row r="69" spans="2:25" s="12" customFormat="1" x14ac:dyDescent="0.25">
      <c r="B69" s="180"/>
      <c r="C69" s="180"/>
      <c r="D69" s="182"/>
      <c r="E69" s="182"/>
      <c r="F69" s="182"/>
      <c r="G69" s="182"/>
      <c r="H69" s="182"/>
      <c r="I69" s="182"/>
      <c r="J69" s="182"/>
      <c r="K69" s="182"/>
      <c r="L69" s="182"/>
      <c r="M69" s="182"/>
      <c r="N69" s="181"/>
      <c r="O69" s="180"/>
      <c r="P69" s="180"/>
      <c r="Q69" s="180"/>
      <c r="R69" s="113"/>
      <c r="S69" s="113"/>
      <c r="T69" s="113"/>
      <c r="U69" s="180"/>
      <c r="V69" s="180"/>
      <c r="W69" s="180"/>
      <c r="X69" s="180"/>
      <c r="Y69" s="180"/>
    </row>
    <row r="70" spans="2:25" s="12" customFormat="1" x14ac:dyDescent="0.25">
      <c r="B70" s="180"/>
      <c r="C70" s="180"/>
      <c r="D70" s="182"/>
      <c r="E70" s="182"/>
      <c r="F70" s="182"/>
      <c r="G70" s="182"/>
      <c r="H70" s="182"/>
      <c r="I70" s="182"/>
      <c r="J70" s="182"/>
      <c r="K70" s="182"/>
      <c r="L70" s="182"/>
      <c r="M70" s="182"/>
      <c r="N70" s="181"/>
      <c r="O70" s="180"/>
      <c r="P70" s="180"/>
      <c r="Q70" s="180"/>
      <c r="R70" s="113"/>
      <c r="S70" s="113"/>
      <c r="T70" s="113"/>
      <c r="U70" s="180"/>
      <c r="V70" s="180"/>
      <c r="W70" s="180"/>
      <c r="X70" s="180"/>
      <c r="Y70" s="180"/>
    </row>
    <row r="71" spans="2:25" s="12" customFormat="1" x14ac:dyDescent="0.25">
      <c r="B71" s="180"/>
      <c r="C71" s="180"/>
      <c r="D71" s="182"/>
      <c r="E71" s="182"/>
      <c r="F71" s="182"/>
      <c r="G71" s="182"/>
      <c r="H71" s="182"/>
      <c r="I71" s="182"/>
      <c r="J71" s="182"/>
      <c r="K71" s="182"/>
      <c r="L71" s="182"/>
      <c r="M71" s="182"/>
      <c r="N71" s="181"/>
      <c r="O71" s="180"/>
      <c r="P71" s="180"/>
      <c r="Q71" s="180"/>
      <c r="R71" s="113"/>
      <c r="S71" s="113"/>
      <c r="T71" s="113"/>
      <c r="U71" s="180"/>
      <c r="V71" s="180"/>
      <c r="W71" s="180"/>
      <c r="X71" s="180"/>
      <c r="Y71" s="180"/>
    </row>
    <row r="72" spans="2:25" s="12" customFormat="1" x14ac:dyDescent="0.25">
      <c r="B72" s="180"/>
      <c r="C72" s="180"/>
      <c r="D72" s="182"/>
      <c r="E72" s="182"/>
      <c r="F72" s="182"/>
      <c r="G72" s="182"/>
      <c r="H72" s="182"/>
      <c r="I72" s="182"/>
      <c r="J72" s="182"/>
      <c r="K72" s="182"/>
      <c r="L72" s="182"/>
      <c r="M72" s="182"/>
      <c r="N72" s="181"/>
      <c r="O72" s="180"/>
      <c r="P72" s="180"/>
      <c r="Q72" s="180"/>
      <c r="R72" s="113"/>
      <c r="S72" s="113"/>
      <c r="T72" s="113"/>
      <c r="U72" s="180"/>
      <c r="V72" s="180"/>
      <c r="W72" s="180"/>
      <c r="X72" s="180"/>
      <c r="Y72" s="180"/>
    </row>
    <row r="73" spans="2:25" s="12" customFormat="1" x14ac:dyDescent="0.25">
      <c r="B73" s="180"/>
      <c r="C73" s="180"/>
      <c r="D73" s="182"/>
      <c r="E73" s="182"/>
      <c r="F73" s="182"/>
      <c r="G73" s="182"/>
      <c r="H73" s="182"/>
      <c r="I73" s="182"/>
      <c r="J73" s="182"/>
      <c r="K73" s="182"/>
      <c r="L73" s="182"/>
      <c r="M73" s="182"/>
      <c r="N73" s="181"/>
      <c r="O73" s="180"/>
      <c r="P73" s="180"/>
      <c r="Q73" s="180"/>
      <c r="R73" s="113"/>
      <c r="S73" s="113"/>
      <c r="T73" s="113"/>
      <c r="U73" s="180"/>
      <c r="V73" s="180"/>
      <c r="W73" s="180"/>
      <c r="X73" s="180"/>
      <c r="Y73" s="180"/>
    </row>
    <row r="74" spans="2:25" s="12" customFormat="1" x14ac:dyDescent="0.25">
      <c r="B74" s="180"/>
      <c r="C74" s="180"/>
      <c r="D74" s="182"/>
      <c r="E74" s="182"/>
      <c r="F74" s="182"/>
      <c r="G74" s="182"/>
      <c r="H74" s="182"/>
      <c r="I74" s="182"/>
      <c r="J74" s="182"/>
      <c r="K74" s="182"/>
      <c r="L74" s="182"/>
      <c r="M74" s="182"/>
      <c r="N74" s="181"/>
      <c r="O74" s="180"/>
      <c r="P74" s="180"/>
      <c r="Q74" s="180"/>
      <c r="R74" s="113"/>
      <c r="S74" s="113"/>
      <c r="T74" s="113"/>
      <c r="U74" s="180"/>
      <c r="V74" s="180"/>
      <c r="W74" s="180"/>
      <c r="X74" s="180"/>
      <c r="Y74" s="180"/>
    </row>
    <row r="75" spans="2:25" x14ac:dyDescent="0.25">
      <c r="B75" s="180"/>
      <c r="C75" s="180"/>
      <c r="D75" s="182"/>
      <c r="E75" s="182"/>
      <c r="F75" s="182"/>
      <c r="G75" s="182"/>
      <c r="H75" s="182"/>
      <c r="I75" s="182"/>
      <c r="J75" s="182"/>
      <c r="K75" s="182"/>
      <c r="L75" s="182"/>
      <c r="M75" s="182"/>
      <c r="N75" s="181"/>
      <c r="O75" s="180"/>
      <c r="P75" s="180"/>
      <c r="Q75" s="180"/>
      <c r="R75" s="113"/>
      <c r="S75" s="113"/>
      <c r="T75" s="113"/>
      <c r="U75" s="180"/>
      <c r="V75" s="180"/>
      <c r="W75" s="180"/>
      <c r="X75" s="180"/>
      <c r="Y75" s="180"/>
    </row>
    <row r="76" spans="2:25" x14ac:dyDescent="0.25">
      <c r="B76" s="180"/>
      <c r="C76" s="180"/>
      <c r="D76" s="182"/>
      <c r="E76" s="182"/>
      <c r="F76" s="182"/>
      <c r="G76" s="182"/>
      <c r="H76" s="182"/>
      <c r="I76" s="182"/>
      <c r="J76" s="182"/>
      <c r="K76" s="182"/>
      <c r="L76" s="182"/>
      <c r="M76" s="182"/>
      <c r="N76" s="181"/>
      <c r="O76" s="180"/>
      <c r="P76" s="180"/>
      <c r="Q76" s="180"/>
      <c r="R76" s="113"/>
      <c r="S76" s="113"/>
      <c r="T76" s="113"/>
      <c r="U76" s="180"/>
      <c r="V76" s="180"/>
      <c r="W76" s="180"/>
      <c r="X76" s="180"/>
      <c r="Y76" s="180"/>
    </row>
    <row r="77" spans="2:25" x14ac:dyDescent="0.25">
      <c r="B77" s="180"/>
      <c r="C77" s="180"/>
      <c r="D77" s="182"/>
      <c r="E77" s="182"/>
      <c r="F77" s="182"/>
      <c r="G77" s="182"/>
      <c r="H77" s="182"/>
      <c r="I77" s="182"/>
      <c r="J77" s="182"/>
      <c r="K77" s="182"/>
      <c r="L77" s="182"/>
      <c r="M77" s="182"/>
      <c r="N77" s="181"/>
      <c r="O77" s="180"/>
      <c r="P77" s="180"/>
      <c r="Q77" s="180"/>
      <c r="R77" s="113"/>
      <c r="S77" s="113"/>
      <c r="T77" s="113"/>
      <c r="U77" s="180"/>
      <c r="V77" s="180"/>
      <c r="W77" s="180"/>
      <c r="X77" s="180"/>
      <c r="Y77" s="180"/>
    </row>
    <row r="78" spans="2:25" x14ac:dyDescent="0.25">
      <c r="B78" s="180"/>
      <c r="C78" s="180"/>
      <c r="D78" s="182"/>
      <c r="E78" s="182"/>
      <c r="F78" s="182"/>
      <c r="G78" s="182"/>
      <c r="H78" s="182"/>
      <c r="I78" s="182"/>
      <c r="J78" s="182"/>
      <c r="K78" s="182"/>
      <c r="L78" s="182"/>
      <c r="M78" s="182"/>
      <c r="N78" s="181"/>
      <c r="O78" s="180"/>
      <c r="P78" s="180"/>
      <c r="Q78" s="180"/>
      <c r="R78" s="113"/>
      <c r="S78" s="113"/>
      <c r="T78" s="113"/>
      <c r="U78" s="180"/>
      <c r="V78" s="180"/>
      <c r="W78" s="180"/>
      <c r="X78" s="180"/>
      <c r="Y78" s="180"/>
    </row>
    <row r="79" spans="2:25" x14ac:dyDescent="0.25">
      <c r="B79" s="180"/>
      <c r="C79" s="180"/>
      <c r="D79" s="182"/>
      <c r="E79" s="182"/>
      <c r="F79" s="182"/>
      <c r="G79" s="182"/>
      <c r="H79" s="182"/>
      <c r="I79" s="182"/>
      <c r="J79" s="182"/>
      <c r="K79" s="182"/>
      <c r="L79" s="182"/>
      <c r="M79" s="182"/>
      <c r="N79" s="181"/>
      <c r="O79" s="180"/>
      <c r="P79" s="180"/>
      <c r="Q79" s="180"/>
      <c r="R79" s="113"/>
      <c r="S79" s="113"/>
      <c r="T79" s="113"/>
      <c r="U79" s="180"/>
      <c r="V79" s="180"/>
      <c r="W79" s="180"/>
      <c r="X79" s="180"/>
      <c r="Y79" s="180"/>
    </row>
    <row r="80" spans="2:25" x14ac:dyDescent="0.25">
      <c r="B80" s="180"/>
      <c r="C80" s="180"/>
      <c r="D80" s="182"/>
      <c r="E80" s="182"/>
      <c r="F80" s="182"/>
      <c r="G80" s="182"/>
      <c r="H80" s="182"/>
      <c r="I80" s="182"/>
      <c r="J80" s="182"/>
      <c r="K80" s="182"/>
      <c r="L80" s="182"/>
      <c r="M80" s="182"/>
      <c r="N80" s="181"/>
      <c r="O80" s="180"/>
      <c r="P80" s="180"/>
      <c r="Q80" s="180"/>
      <c r="R80" s="113"/>
      <c r="S80" s="113"/>
      <c r="T80" s="113"/>
      <c r="U80" s="180"/>
      <c r="V80" s="180"/>
      <c r="W80" s="180"/>
      <c r="X80" s="180"/>
      <c r="Y80" s="180"/>
    </row>
    <row r="81" spans="2:25" x14ac:dyDescent="0.25">
      <c r="B81" s="180"/>
      <c r="C81" s="180"/>
      <c r="D81" s="182"/>
      <c r="E81" s="182"/>
      <c r="F81" s="182"/>
      <c r="G81" s="182"/>
      <c r="H81" s="182"/>
      <c r="I81" s="182"/>
      <c r="J81" s="182"/>
      <c r="K81" s="182"/>
      <c r="L81" s="182"/>
      <c r="M81" s="182"/>
      <c r="N81" s="181"/>
      <c r="O81" s="180"/>
      <c r="P81" s="180"/>
      <c r="Q81" s="180"/>
      <c r="R81" s="113"/>
      <c r="S81" s="113"/>
      <c r="T81" s="113"/>
      <c r="U81" s="180"/>
      <c r="V81" s="180"/>
      <c r="W81" s="180"/>
      <c r="X81" s="180"/>
      <c r="Y81" s="180"/>
    </row>
    <row r="82" spans="2:25" x14ac:dyDescent="0.25">
      <c r="B82" s="180"/>
      <c r="C82" s="180"/>
      <c r="D82" s="182"/>
      <c r="E82" s="182"/>
      <c r="F82" s="182"/>
      <c r="G82" s="182"/>
      <c r="H82" s="182"/>
      <c r="I82" s="182"/>
      <c r="J82" s="182"/>
      <c r="K82" s="182"/>
      <c r="L82" s="182"/>
      <c r="M82" s="182"/>
      <c r="N82" s="181"/>
      <c r="O82" s="180"/>
      <c r="P82" s="180"/>
      <c r="Q82" s="180"/>
      <c r="R82" s="113"/>
      <c r="S82" s="113"/>
      <c r="T82" s="113"/>
      <c r="U82" s="180"/>
      <c r="V82" s="180"/>
      <c r="W82" s="180"/>
      <c r="X82" s="180"/>
      <c r="Y82" s="180"/>
    </row>
    <row r="83" spans="2:25" x14ac:dyDescent="0.25">
      <c r="B83" s="180"/>
      <c r="C83" s="180"/>
      <c r="D83" s="182"/>
      <c r="E83" s="182"/>
      <c r="F83" s="182"/>
      <c r="G83" s="182"/>
      <c r="H83" s="182"/>
      <c r="I83" s="182"/>
      <c r="J83" s="182"/>
      <c r="K83" s="182"/>
      <c r="L83" s="182"/>
      <c r="M83" s="182"/>
      <c r="N83" s="181"/>
      <c r="O83" s="180"/>
      <c r="P83" s="180"/>
      <c r="Q83" s="180"/>
      <c r="R83" s="113"/>
      <c r="S83" s="113"/>
      <c r="T83" s="113"/>
      <c r="U83" s="180"/>
      <c r="V83" s="180"/>
      <c r="W83" s="180"/>
      <c r="X83" s="180"/>
      <c r="Y83" s="180"/>
    </row>
    <row r="84" spans="2:25" x14ac:dyDescent="0.25">
      <c r="B84" s="180"/>
      <c r="C84" s="180"/>
      <c r="D84" s="182"/>
      <c r="E84" s="182"/>
      <c r="F84" s="182"/>
      <c r="G84" s="182"/>
      <c r="H84" s="182"/>
      <c r="I84" s="182"/>
      <c r="J84" s="182"/>
      <c r="K84" s="182"/>
      <c r="L84" s="182"/>
      <c r="M84" s="182"/>
      <c r="N84" s="181"/>
      <c r="O84" s="180"/>
      <c r="P84" s="180"/>
      <c r="Q84" s="180"/>
      <c r="R84" s="113"/>
      <c r="S84" s="113"/>
      <c r="T84" s="113"/>
      <c r="U84" s="180"/>
      <c r="V84" s="180"/>
      <c r="W84" s="180"/>
      <c r="X84" s="180"/>
      <c r="Y84" s="180"/>
    </row>
    <row r="85" spans="2:25" x14ac:dyDescent="0.25">
      <c r="B85" s="180"/>
      <c r="C85" s="180"/>
      <c r="D85" s="182"/>
      <c r="E85" s="182"/>
      <c r="F85" s="182"/>
      <c r="G85" s="182"/>
      <c r="H85" s="182"/>
      <c r="I85" s="182"/>
      <c r="J85" s="182"/>
      <c r="K85" s="182"/>
      <c r="L85" s="182"/>
      <c r="M85" s="182"/>
      <c r="N85" s="181"/>
      <c r="O85" s="180"/>
      <c r="P85" s="180"/>
      <c r="Q85" s="180"/>
      <c r="R85" s="113"/>
      <c r="S85" s="113"/>
      <c r="T85" s="113"/>
      <c r="U85" s="180"/>
      <c r="V85" s="180"/>
      <c r="W85" s="180"/>
      <c r="X85" s="180"/>
      <c r="Y85" s="180"/>
    </row>
    <row r="86" spans="2:25" x14ac:dyDescent="0.25">
      <c r="B86" s="180"/>
      <c r="C86" s="180"/>
      <c r="D86" s="182"/>
      <c r="E86" s="182"/>
      <c r="F86" s="182"/>
      <c r="G86" s="182"/>
      <c r="H86" s="182"/>
      <c r="I86" s="182"/>
      <c r="J86" s="182"/>
      <c r="K86" s="182"/>
      <c r="L86" s="182"/>
      <c r="M86" s="182"/>
      <c r="N86" s="181"/>
      <c r="O86" s="180"/>
      <c r="P86" s="180"/>
      <c r="Q86" s="180"/>
      <c r="R86" s="113"/>
      <c r="S86" s="113"/>
      <c r="T86" s="113"/>
      <c r="U86" s="180"/>
      <c r="V86" s="180"/>
      <c r="W86" s="180"/>
      <c r="X86" s="180"/>
      <c r="Y86" s="180"/>
    </row>
    <row r="87" spans="2:25" x14ac:dyDescent="0.25">
      <c r="B87" s="180"/>
      <c r="C87" s="180"/>
      <c r="D87" s="182"/>
      <c r="E87" s="182"/>
      <c r="F87" s="182"/>
      <c r="G87" s="182"/>
      <c r="H87" s="182"/>
      <c r="I87" s="182"/>
      <c r="J87" s="182"/>
      <c r="K87" s="182"/>
      <c r="L87" s="182"/>
      <c r="M87" s="182"/>
      <c r="N87" s="181"/>
      <c r="O87" s="180"/>
      <c r="P87" s="180"/>
      <c r="Q87" s="180"/>
      <c r="R87" s="113"/>
      <c r="S87" s="113"/>
      <c r="T87" s="113"/>
      <c r="U87" s="180"/>
      <c r="V87" s="180"/>
      <c r="W87" s="180"/>
      <c r="X87" s="180"/>
      <c r="Y87" s="180"/>
    </row>
    <row r="88" spans="2:25" x14ac:dyDescent="0.25">
      <c r="B88" s="180"/>
      <c r="C88" s="180"/>
      <c r="D88" s="182"/>
      <c r="E88" s="182"/>
      <c r="F88" s="182"/>
      <c r="G88" s="182"/>
      <c r="H88" s="182"/>
      <c r="I88" s="182"/>
      <c r="J88" s="182"/>
      <c r="K88" s="182"/>
      <c r="L88" s="182"/>
      <c r="M88" s="182"/>
      <c r="N88" s="181"/>
      <c r="O88" s="180"/>
      <c r="P88" s="180"/>
      <c r="Q88" s="180"/>
      <c r="R88" s="113"/>
      <c r="S88" s="113"/>
      <c r="T88" s="113"/>
      <c r="U88" s="180"/>
      <c r="V88" s="180"/>
      <c r="W88" s="180"/>
      <c r="X88" s="180"/>
      <c r="Y88" s="180"/>
    </row>
    <row r="89" spans="2:25" x14ac:dyDescent="0.25">
      <c r="B89" s="180"/>
      <c r="C89" s="180"/>
      <c r="D89" s="182"/>
      <c r="E89" s="182"/>
      <c r="F89" s="182"/>
      <c r="G89" s="182"/>
      <c r="H89" s="182"/>
      <c r="I89" s="182"/>
      <c r="J89" s="182"/>
      <c r="K89" s="182"/>
      <c r="L89" s="182"/>
      <c r="M89" s="182"/>
      <c r="N89" s="181"/>
      <c r="O89" s="180"/>
      <c r="P89" s="180"/>
      <c r="Q89" s="180"/>
      <c r="R89" s="113"/>
      <c r="S89" s="113"/>
      <c r="T89" s="113"/>
      <c r="U89" s="180"/>
      <c r="V89" s="180"/>
      <c r="W89" s="180"/>
      <c r="X89" s="180"/>
      <c r="Y89" s="180"/>
    </row>
    <row r="90" spans="2:25" x14ac:dyDescent="0.25">
      <c r="B90" s="180"/>
      <c r="C90" s="180"/>
      <c r="D90" s="182"/>
      <c r="E90" s="182"/>
      <c r="F90" s="182"/>
      <c r="G90" s="182"/>
      <c r="H90" s="182"/>
      <c r="I90" s="182"/>
      <c r="J90" s="182"/>
      <c r="K90" s="182"/>
      <c r="L90" s="182"/>
      <c r="M90" s="182"/>
      <c r="N90" s="181"/>
      <c r="O90" s="180"/>
      <c r="P90" s="180"/>
      <c r="Q90" s="180"/>
      <c r="R90" s="113"/>
      <c r="S90" s="113"/>
      <c r="T90" s="113"/>
      <c r="U90" s="180"/>
      <c r="V90" s="180"/>
      <c r="W90" s="180"/>
      <c r="X90" s="180"/>
      <c r="Y90" s="180"/>
    </row>
    <row r="91" spans="2:25" x14ac:dyDescent="0.25">
      <c r="B91" s="180"/>
      <c r="C91" s="180"/>
      <c r="D91" s="182"/>
      <c r="E91" s="182"/>
      <c r="F91" s="182"/>
      <c r="G91" s="182"/>
      <c r="H91" s="182"/>
      <c r="I91" s="182"/>
      <c r="J91" s="182"/>
      <c r="K91" s="182"/>
      <c r="L91" s="182"/>
      <c r="M91" s="182"/>
      <c r="N91" s="181"/>
      <c r="O91" s="180"/>
      <c r="P91" s="180"/>
      <c r="Q91" s="180"/>
      <c r="R91" s="113"/>
      <c r="S91" s="113"/>
      <c r="T91" s="113"/>
      <c r="U91" s="180"/>
      <c r="V91" s="180"/>
      <c r="W91" s="180"/>
      <c r="X91" s="180"/>
      <c r="Y91" s="180"/>
    </row>
    <row r="92" spans="2:25" x14ac:dyDescent="0.25">
      <c r="B92" s="180"/>
      <c r="C92" s="180"/>
      <c r="D92" s="182"/>
      <c r="E92" s="182"/>
      <c r="F92" s="182"/>
      <c r="G92" s="182"/>
      <c r="H92" s="182"/>
      <c r="I92" s="182"/>
      <c r="J92" s="182"/>
      <c r="K92" s="182"/>
      <c r="L92" s="182"/>
      <c r="M92" s="182"/>
      <c r="N92" s="181"/>
      <c r="O92" s="180"/>
      <c r="P92" s="180"/>
      <c r="Q92" s="180"/>
      <c r="R92" s="113"/>
      <c r="S92" s="113"/>
      <c r="T92" s="113"/>
      <c r="U92" s="180"/>
      <c r="V92" s="180"/>
      <c r="W92" s="180"/>
      <c r="X92" s="180"/>
      <c r="Y92" s="180"/>
    </row>
    <row r="93" spans="2:25" x14ac:dyDescent="0.25">
      <c r="B93" s="180"/>
      <c r="C93" s="180"/>
      <c r="D93" s="182"/>
      <c r="E93" s="182"/>
      <c r="F93" s="182"/>
      <c r="G93" s="182"/>
      <c r="H93" s="182"/>
      <c r="I93" s="182"/>
      <c r="J93" s="182"/>
      <c r="K93" s="182"/>
      <c r="L93" s="182"/>
      <c r="M93" s="182"/>
      <c r="N93" s="181"/>
      <c r="O93" s="180"/>
      <c r="P93" s="180"/>
      <c r="Q93" s="180"/>
      <c r="R93" s="113"/>
      <c r="S93" s="113"/>
      <c r="T93" s="113"/>
      <c r="U93" s="180"/>
      <c r="V93" s="180"/>
      <c r="W93" s="180"/>
      <c r="X93" s="180"/>
      <c r="Y93" s="180"/>
    </row>
    <row r="94" spans="2:25" x14ac:dyDescent="0.25">
      <c r="B94" s="180"/>
      <c r="C94" s="180"/>
      <c r="D94" s="182"/>
      <c r="E94" s="182"/>
      <c r="F94" s="182"/>
      <c r="G94" s="182"/>
      <c r="H94" s="182"/>
      <c r="I94" s="182"/>
      <c r="J94" s="182"/>
      <c r="K94" s="182"/>
      <c r="L94" s="182"/>
      <c r="M94" s="182"/>
      <c r="N94" s="181"/>
      <c r="O94" s="180"/>
      <c r="P94" s="180"/>
      <c r="Q94" s="180"/>
      <c r="R94" s="113"/>
      <c r="S94" s="113"/>
      <c r="T94" s="113"/>
      <c r="U94" s="180"/>
      <c r="V94" s="180"/>
      <c r="W94" s="180"/>
      <c r="X94" s="180"/>
      <c r="Y94" s="180"/>
    </row>
    <row r="95" spans="2:25" x14ac:dyDescent="0.25">
      <c r="B95" s="180"/>
      <c r="C95" s="180"/>
      <c r="D95" s="182"/>
      <c r="E95" s="182"/>
      <c r="F95" s="182"/>
      <c r="G95" s="182"/>
      <c r="H95" s="182"/>
      <c r="I95" s="182"/>
      <c r="J95" s="182"/>
      <c r="K95" s="182"/>
      <c r="L95" s="182"/>
      <c r="M95" s="182"/>
      <c r="N95" s="181"/>
      <c r="O95" s="180"/>
      <c r="P95" s="180"/>
      <c r="Q95" s="180"/>
      <c r="R95" s="113"/>
      <c r="S95" s="113"/>
      <c r="T95" s="113"/>
      <c r="U95" s="180"/>
      <c r="V95" s="180"/>
      <c r="W95" s="180"/>
      <c r="X95" s="180"/>
      <c r="Y95" s="180"/>
    </row>
    <row r="96" spans="2:25" x14ac:dyDescent="0.25">
      <c r="B96" s="180"/>
      <c r="C96" s="180"/>
      <c r="D96" s="182"/>
      <c r="E96" s="182"/>
      <c r="F96" s="182"/>
      <c r="G96" s="182"/>
      <c r="H96" s="182"/>
      <c r="I96" s="182"/>
      <c r="J96" s="182"/>
      <c r="K96" s="182"/>
      <c r="L96" s="182"/>
      <c r="M96" s="182"/>
      <c r="N96" s="181"/>
      <c r="O96" s="180"/>
      <c r="P96" s="180"/>
      <c r="Q96" s="180"/>
      <c r="R96" s="113"/>
      <c r="S96" s="113"/>
      <c r="T96" s="113"/>
      <c r="U96" s="180"/>
      <c r="V96" s="180"/>
      <c r="W96" s="180"/>
      <c r="X96" s="180"/>
      <c r="Y96" s="180"/>
    </row>
    <row r="97" spans="2:25" x14ac:dyDescent="0.25">
      <c r="B97" s="180"/>
      <c r="C97" s="180"/>
      <c r="D97" s="182"/>
      <c r="E97" s="182"/>
      <c r="F97" s="182"/>
      <c r="G97" s="182"/>
      <c r="H97" s="182"/>
      <c r="I97" s="182"/>
      <c r="J97" s="182"/>
      <c r="K97" s="182"/>
      <c r="L97" s="182"/>
      <c r="M97" s="182"/>
      <c r="N97" s="181"/>
      <c r="O97" s="180"/>
      <c r="P97" s="180"/>
      <c r="Q97" s="180"/>
      <c r="R97" s="113"/>
      <c r="S97" s="113"/>
      <c r="T97" s="113"/>
      <c r="U97" s="180"/>
      <c r="V97" s="180"/>
      <c r="W97" s="180"/>
      <c r="X97" s="180"/>
      <c r="Y97" s="180"/>
    </row>
    <row r="98" spans="2:25" x14ac:dyDescent="0.25">
      <c r="B98" s="180"/>
      <c r="C98" s="180"/>
      <c r="D98" s="182"/>
      <c r="E98" s="182"/>
      <c r="F98" s="182"/>
      <c r="G98" s="182"/>
      <c r="H98" s="182"/>
      <c r="I98" s="182"/>
      <c r="J98" s="182"/>
      <c r="K98" s="182"/>
      <c r="L98" s="182"/>
      <c r="M98" s="182"/>
      <c r="N98" s="181"/>
      <c r="O98" s="180"/>
      <c r="P98" s="180"/>
      <c r="Q98" s="180"/>
      <c r="R98" s="113"/>
      <c r="S98" s="113"/>
      <c r="T98" s="113"/>
      <c r="U98" s="180"/>
      <c r="V98" s="180"/>
      <c r="W98" s="180"/>
      <c r="X98" s="180"/>
      <c r="Y98" s="180"/>
    </row>
    <row r="99" spans="2:25" x14ac:dyDescent="0.25">
      <c r="B99" s="180"/>
      <c r="C99" s="180"/>
      <c r="D99" s="182"/>
      <c r="E99" s="182"/>
      <c r="F99" s="182"/>
      <c r="G99" s="182"/>
      <c r="H99" s="182"/>
      <c r="I99" s="182"/>
      <c r="J99" s="182"/>
      <c r="K99" s="182"/>
      <c r="L99" s="182"/>
      <c r="M99" s="182"/>
      <c r="N99" s="181"/>
      <c r="O99" s="180"/>
      <c r="P99" s="180"/>
      <c r="Q99" s="180"/>
      <c r="R99" s="113"/>
      <c r="S99" s="113"/>
      <c r="T99" s="113"/>
      <c r="U99" s="180"/>
      <c r="V99" s="180"/>
      <c r="W99" s="180"/>
      <c r="X99" s="180"/>
      <c r="Y99" s="180"/>
    </row>
    <row r="100" spans="2:25" x14ac:dyDescent="0.25">
      <c r="B100" s="180"/>
      <c r="C100" s="180"/>
      <c r="D100" s="182"/>
      <c r="E100" s="182"/>
      <c r="F100" s="182"/>
      <c r="G100" s="182"/>
      <c r="H100" s="182"/>
      <c r="I100" s="182"/>
      <c r="J100" s="182"/>
      <c r="K100" s="182"/>
      <c r="L100" s="182"/>
      <c r="M100" s="182"/>
      <c r="N100" s="181"/>
      <c r="O100" s="180"/>
      <c r="P100" s="180"/>
      <c r="Q100" s="180"/>
      <c r="R100" s="113"/>
      <c r="S100" s="113"/>
      <c r="T100" s="113"/>
      <c r="U100" s="180"/>
      <c r="V100" s="180"/>
      <c r="W100" s="180"/>
      <c r="X100" s="180"/>
      <c r="Y100" s="180"/>
    </row>
    <row r="101" spans="2:25" x14ac:dyDescent="0.25">
      <c r="B101" s="180"/>
      <c r="C101" s="180"/>
      <c r="D101" s="182"/>
      <c r="E101" s="182"/>
      <c r="F101" s="182"/>
      <c r="G101" s="182"/>
      <c r="H101" s="182"/>
      <c r="I101" s="182"/>
      <c r="J101" s="182"/>
      <c r="K101" s="182"/>
      <c r="L101" s="182"/>
      <c r="M101" s="182"/>
      <c r="N101" s="181"/>
      <c r="O101" s="180"/>
      <c r="P101" s="180"/>
      <c r="Q101" s="180"/>
      <c r="R101" s="113"/>
      <c r="S101" s="113"/>
      <c r="T101" s="113"/>
      <c r="U101" s="180"/>
      <c r="V101" s="180"/>
      <c r="W101" s="180"/>
      <c r="X101" s="180"/>
      <c r="Y101" s="180"/>
    </row>
    <row r="102" spans="2:25" x14ac:dyDescent="0.25">
      <c r="B102" s="180"/>
      <c r="C102" s="180"/>
      <c r="D102" s="182"/>
      <c r="E102" s="182"/>
      <c r="F102" s="182"/>
      <c r="G102" s="182"/>
      <c r="H102" s="182"/>
      <c r="I102" s="182"/>
      <c r="J102" s="182"/>
      <c r="K102" s="182"/>
      <c r="L102" s="182"/>
      <c r="M102" s="182"/>
      <c r="N102" s="181"/>
      <c r="O102" s="180"/>
      <c r="P102" s="180"/>
      <c r="Q102" s="180"/>
      <c r="R102" s="113"/>
      <c r="S102" s="113"/>
      <c r="T102" s="113"/>
      <c r="U102" s="180"/>
      <c r="V102" s="180"/>
      <c r="W102" s="180"/>
      <c r="X102" s="180"/>
      <c r="Y102" s="180"/>
    </row>
    <row r="103" spans="2:25" x14ac:dyDescent="0.25">
      <c r="B103" s="180"/>
      <c r="C103" s="180"/>
      <c r="D103" s="182"/>
      <c r="E103" s="182"/>
      <c r="F103" s="182"/>
      <c r="G103" s="182"/>
      <c r="H103" s="182"/>
      <c r="I103" s="182"/>
      <c r="J103" s="182"/>
      <c r="K103" s="182"/>
      <c r="L103" s="182"/>
      <c r="M103" s="182"/>
      <c r="N103" s="181"/>
      <c r="O103" s="180"/>
      <c r="P103" s="180"/>
      <c r="Q103" s="180"/>
      <c r="R103" s="113"/>
      <c r="S103" s="113"/>
      <c r="T103" s="113"/>
      <c r="U103" s="180"/>
      <c r="V103" s="180"/>
      <c r="W103" s="180"/>
      <c r="X103" s="180"/>
      <c r="Y103" s="180"/>
    </row>
    <row r="104" spans="2:25" x14ac:dyDescent="0.25">
      <c r="B104" s="180"/>
      <c r="C104" s="180"/>
      <c r="D104" s="182"/>
      <c r="E104" s="182"/>
      <c r="F104" s="182"/>
      <c r="G104" s="182"/>
      <c r="H104" s="182"/>
      <c r="I104" s="182"/>
      <c r="J104" s="182"/>
      <c r="K104" s="182"/>
      <c r="L104" s="182"/>
      <c r="M104" s="182"/>
      <c r="N104" s="181"/>
      <c r="O104" s="180"/>
      <c r="P104" s="180"/>
      <c r="Q104" s="180"/>
      <c r="R104" s="113"/>
      <c r="S104" s="113"/>
      <c r="T104" s="113"/>
      <c r="U104" s="180"/>
      <c r="V104" s="180"/>
      <c r="W104" s="180"/>
      <c r="X104" s="180"/>
      <c r="Y104" s="180"/>
    </row>
    <row r="105" spans="2:25" x14ac:dyDescent="0.25">
      <c r="B105" s="180"/>
      <c r="C105" s="180"/>
      <c r="D105" s="182"/>
      <c r="E105" s="182"/>
      <c r="F105" s="182"/>
      <c r="G105" s="182"/>
      <c r="H105" s="182"/>
      <c r="I105" s="182"/>
      <c r="J105" s="182"/>
      <c r="K105" s="182"/>
      <c r="L105" s="182"/>
      <c r="M105" s="182"/>
      <c r="N105" s="181"/>
      <c r="O105" s="180"/>
      <c r="P105" s="180"/>
      <c r="Q105" s="180"/>
      <c r="R105" s="113"/>
      <c r="S105" s="113"/>
      <c r="T105" s="113"/>
      <c r="U105" s="180"/>
      <c r="V105" s="180"/>
      <c r="W105" s="180"/>
      <c r="X105" s="180"/>
      <c r="Y105" s="180"/>
    </row>
    <row r="106" spans="2:25" x14ac:dyDescent="0.25">
      <c r="B106" s="180"/>
      <c r="C106" s="180"/>
      <c r="D106" s="182"/>
      <c r="E106" s="182"/>
      <c r="F106" s="182"/>
      <c r="G106" s="182"/>
      <c r="H106" s="182"/>
      <c r="I106" s="182"/>
      <c r="J106" s="182"/>
      <c r="K106" s="182"/>
      <c r="L106" s="182"/>
      <c r="M106" s="182"/>
      <c r="N106" s="181"/>
      <c r="O106" s="180"/>
      <c r="P106" s="180"/>
      <c r="Q106" s="180"/>
      <c r="R106" s="113"/>
      <c r="S106" s="113"/>
      <c r="T106" s="113"/>
      <c r="U106" s="180"/>
      <c r="V106" s="180"/>
      <c r="W106" s="180"/>
      <c r="X106" s="180"/>
      <c r="Y106" s="180"/>
    </row>
    <row r="107" spans="2:25" x14ac:dyDescent="0.25">
      <c r="B107" s="180"/>
      <c r="C107" s="180"/>
      <c r="D107" s="182"/>
      <c r="E107" s="182"/>
      <c r="F107" s="182"/>
      <c r="G107" s="182"/>
      <c r="H107" s="182"/>
      <c r="I107" s="182"/>
      <c r="J107" s="182"/>
      <c r="K107" s="182"/>
      <c r="L107" s="182"/>
      <c r="M107" s="182"/>
      <c r="N107" s="181"/>
      <c r="O107" s="180"/>
      <c r="P107" s="180"/>
      <c r="Q107" s="180"/>
      <c r="R107" s="113"/>
      <c r="S107" s="113"/>
      <c r="T107" s="113"/>
      <c r="U107" s="180"/>
      <c r="V107" s="180"/>
      <c r="W107" s="180"/>
      <c r="X107" s="180"/>
      <c r="Y107" s="180"/>
    </row>
    <row r="108" spans="2:25" x14ac:dyDescent="0.25">
      <c r="B108" s="180"/>
      <c r="C108" s="180"/>
      <c r="D108" s="182"/>
      <c r="E108" s="182"/>
      <c r="F108" s="182"/>
      <c r="G108" s="182"/>
      <c r="H108" s="182"/>
      <c r="I108" s="182"/>
      <c r="J108" s="182"/>
      <c r="K108" s="182"/>
      <c r="L108" s="182"/>
      <c r="M108" s="182"/>
      <c r="N108" s="181"/>
      <c r="O108" s="180"/>
      <c r="P108" s="180"/>
      <c r="Q108" s="180"/>
      <c r="R108" s="113"/>
      <c r="S108" s="113"/>
      <c r="T108" s="113"/>
      <c r="U108" s="180"/>
      <c r="V108" s="180"/>
      <c r="W108" s="180"/>
      <c r="X108" s="180"/>
      <c r="Y108" s="180"/>
    </row>
    <row r="109" spans="2:25" x14ac:dyDescent="0.25">
      <c r="B109" s="180"/>
      <c r="C109" s="180"/>
      <c r="D109" s="182"/>
      <c r="E109" s="182"/>
      <c r="F109" s="182"/>
      <c r="G109" s="182"/>
      <c r="H109" s="182"/>
      <c r="I109" s="182"/>
      <c r="J109" s="182"/>
      <c r="K109" s="182"/>
      <c r="L109" s="182"/>
      <c r="M109" s="182"/>
      <c r="N109" s="181"/>
      <c r="O109" s="180"/>
      <c r="P109" s="180"/>
      <c r="Q109" s="180"/>
      <c r="R109" s="113"/>
      <c r="S109" s="113"/>
      <c r="T109" s="113"/>
      <c r="U109" s="180"/>
      <c r="V109" s="180"/>
      <c r="W109" s="180"/>
      <c r="X109" s="180"/>
      <c r="Y109" s="180"/>
    </row>
    <row r="110" spans="2:25" x14ac:dyDescent="0.25">
      <c r="B110" s="180"/>
      <c r="C110" s="180"/>
      <c r="D110" s="182"/>
      <c r="E110" s="182"/>
      <c r="F110" s="182"/>
      <c r="G110" s="182"/>
      <c r="H110" s="182"/>
      <c r="I110" s="182"/>
      <c r="J110" s="182"/>
      <c r="K110" s="182"/>
      <c r="L110" s="182"/>
      <c r="M110" s="182"/>
      <c r="N110" s="181"/>
      <c r="O110" s="180"/>
      <c r="P110" s="180"/>
      <c r="Q110" s="180"/>
      <c r="R110" s="113"/>
      <c r="S110" s="113"/>
      <c r="T110" s="113"/>
      <c r="U110" s="180"/>
      <c r="V110" s="180"/>
      <c r="W110" s="180"/>
      <c r="X110" s="180"/>
      <c r="Y110" s="180"/>
    </row>
    <row r="111" spans="2:25" x14ac:dyDescent="0.25">
      <c r="B111" s="180"/>
      <c r="C111" s="180"/>
      <c r="D111" s="182"/>
      <c r="E111" s="182"/>
      <c r="F111" s="182"/>
      <c r="G111" s="182"/>
      <c r="H111" s="182"/>
      <c r="I111" s="182"/>
      <c r="J111" s="182"/>
      <c r="K111" s="182"/>
      <c r="L111" s="182"/>
      <c r="M111" s="182"/>
      <c r="N111" s="181"/>
      <c r="O111" s="180"/>
      <c r="P111" s="180"/>
      <c r="Q111" s="180"/>
      <c r="R111" s="113"/>
      <c r="S111" s="113"/>
      <c r="T111" s="113"/>
      <c r="U111" s="180"/>
      <c r="V111" s="180"/>
      <c r="W111" s="180"/>
      <c r="X111" s="180"/>
      <c r="Y111" s="180"/>
    </row>
    <row r="112" spans="2:25" x14ac:dyDescent="0.25">
      <c r="B112" s="180"/>
      <c r="C112" s="180"/>
      <c r="D112" s="182"/>
      <c r="E112" s="182"/>
      <c r="F112" s="182"/>
      <c r="G112" s="182"/>
      <c r="H112" s="182"/>
      <c r="I112" s="182"/>
      <c r="J112" s="182"/>
      <c r="K112" s="182"/>
      <c r="L112" s="182"/>
      <c r="M112" s="182"/>
      <c r="N112" s="181"/>
      <c r="O112" s="180"/>
      <c r="P112" s="180"/>
      <c r="Q112" s="180"/>
      <c r="R112" s="113"/>
      <c r="S112" s="113"/>
      <c r="T112" s="113"/>
      <c r="U112" s="180"/>
      <c r="V112" s="180"/>
      <c r="W112" s="180"/>
      <c r="X112" s="180"/>
      <c r="Y112" s="180"/>
    </row>
    <row r="113" spans="2:25" x14ac:dyDescent="0.25">
      <c r="B113" s="180"/>
      <c r="C113" s="180"/>
      <c r="D113" s="182"/>
      <c r="E113" s="182"/>
      <c r="F113" s="182"/>
      <c r="G113" s="182"/>
      <c r="H113" s="182"/>
      <c r="I113" s="182"/>
      <c r="J113" s="182"/>
      <c r="K113" s="182"/>
      <c r="L113" s="182"/>
      <c r="M113" s="182"/>
      <c r="N113" s="181"/>
      <c r="O113" s="180"/>
      <c r="P113" s="180"/>
      <c r="Q113" s="180"/>
      <c r="R113" s="113"/>
      <c r="S113" s="113"/>
      <c r="T113" s="113"/>
      <c r="U113" s="180"/>
      <c r="V113" s="180"/>
      <c r="W113" s="180"/>
      <c r="X113" s="180"/>
      <c r="Y113" s="180"/>
    </row>
    <row r="114" spans="2:25" x14ac:dyDescent="0.25">
      <c r="B114" s="180"/>
      <c r="C114" s="180"/>
      <c r="D114" s="182"/>
      <c r="E114" s="182"/>
      <c r="F114" s="182"/>
      <c r="G114" s="182"/>
      <c r="H114" s="182"/>
      <c r="I114" s="182"/>
      <c r="J114" s="182"/>
      <c r="K114" s="182"/>
      <c r="L114" s="182"/>
      <c r="M114" s="182"/>
      <c r="N114" s="181"/>
      <c r="O114" s="180"/>
      <c r="P114" s="180"/>
      <c r="Q114" s="180"/>
      <c r="R114" s="113"/>
      <c r="S114" s="113"/>
      <c r="T114" s="113"/>
      <c r="U114" s="180"/>
      <c r="V114" s="180"/>
      <c r="W114" s="180"/>
      <c r="X114" s="180"/>
      <c r="Y114" s="180"/>
    </row>
    <row r="115" spans="2:25" x14ac:dyDescent="0.25">
      <c r="B115" s="180"/>
      <c r="C115" s="180"/>
      <c r="D115" s="182"/>
      <c r="E115" s="182"/>
      <c r="F115" s="182"/>
      <c r="G115" s="182"/>
      <c r="H115" s="182"/>
      <c r="I115" s="182"/>
      <c r="J115" s="182"/>
      <c r="K115" s="182"/>
      <c r="L115" s="182"/>
      <c r="M115" s="182"/>
      <c r="N115" s="181"/>
      <c r="O115" s="180"/>
      <c r="P115" s="180"/>
      <c r="Q115" s="180"/>
      <c r="R115" s="113"/>
      <c r="S115" s="113"/>
      <c r="T115" s="113"/>
      <c r="U115" s="180"/>
      <c r="V115" s="180"/>
      <c r="W115" s="180"/>
      <c r="X115" s="180"/>
      <c r="Y115" s="180"/>
    </row>
    <row r="116" spans="2:25" x14ac:dyDescent="0.25">
      <c r="B116" s="180"/>
      <c r="C116" s="180"/>
      <c r="D116" s="182"/>
      <c r="E116" s="182"/>
      <c r="F116" s="182"/>
      <c r="G116" s="182"/>
      <c r="H116" s="182"/>
      <c r="I116" s="182"/>
      <c r="J116" s="182"/>
      <c r="K116" s="182"/>
      <c r="L116" s="182"/>
      <c r="M116" s="182"/>
      <c r="N116" s="181"/>
      <c r="O116" s="180"/>
      <c r="P116" s="180"/>
      <c r="Q116" s="180"/>
      <c r="R116" s="113"/>
      <c r="S116" s="113"/>
      <c r="T116" s="113"/>
      <c r="U116" s="180"/>
      <c r="V116" s="180"/>
      <c r="W116" s="180"/>
      <c r="X116" s="180"/>
      <c r="Y116" s="180"/>
    </row>
    <row r="117" spans="2:25" x14ac:dyDescent="0.25">
      <c r="B117" s="180"/>
      <c r="C117" s="180"/>
      <c r="D117" s="182"/>
      <c r="E117" s="182"/>
      <c r="F117" s="182"/>
      <c r="G117" s="182"/>
      <c r="H117" s="182"/>
      <c r="I117" s="182"/>
      <c r="J117" s="182"/>
      <c r="K117" s="182"/>
      <c r="L117" s="182"/>
      <c r="M117" s="182"/>
      <c r="N117" s="181"/>
      <c r="O117" s="180"/>
      <c r="P117" s="180"/>
      <c r="Q117" s="180"/>
      <c r="R117" s="113"/>
      <c r="S117" s="113"/>
      <c r="T117" s="113"/>
      <c r="U117" s="180"/>
      <c r="V117" s="180"/>
      <c r="W117" s="180"/>
      <c r="X117" s="180"/>
      <c r="Y117" s="180"/>
    </row>
    <row r="118" spans="2:25" x14ac:dyDescent="0.25">
      <c r="B118" s="180"/>
      <c r="C118" s="180"/>
      <c r="D118" s="182"/>
      <c r="E118" s="182"/>
      <c r="F118" s="182"/>
      <c r="G118" s="182"/>
      <c r="H118" s="182"/>
      <c r="I118" s="182"/>
      <c r="J118" s="182"/>
      <c r="K118" s="182"/>
      <c r="L118" s="182"/>
      <c r="M118" s="182"/>
      <c r="N118" s="181"/>
      <c r="O118" s="180"/>
      <c r="P118" s="180"/>
      <c r="Q118" s="180"/>
      <c r="R118" s="113"/>
      <c r="S118" s="113"/>
      <c r="T118" s="113"/>
      <c r="U118" s="180"/>
      <c r="V118" s="180"/>
      <c r="W118" s="180"/>
      <c r="X118" s="180"/>
      <c r="Y118" s="180"/>
    </row>
    <row r="119" spans="2:25" x14ac:dyDescent="0.25">
      <c r="B119" s="180"/>
      <c r="C119" s="180"/>
      <c r="D119" s="182"/>
      <c r="E119" s="182"/>
      <c r="F119" s="182"/>
      <c r="G119" s="182"/>
      <c r="H119" s="182"/>
      <c r="I119" s="182"/>
      <c r="J119" s="182"/>
      <c r="K119" s="182"/>
      <c r="L119" s="182"/>
      <c r="M119" s="182"/>
      <c r="N119" s="181"/>
      <c r="O119" s="180"/>
      <c r="P119" s="180"/>
      <c r="Q119" s="180"/>
      <c r="R119" s="113"/>
      <c r="S119" s="113"/>
      <c r="T119" s="113"/>
      <c r="U119" s="180"/>
      <c r="V119" s="180"/>
      <c r="W119" s="180"/>
      <c r="X119" s="180"/>
      <c r="Y119" s="180"/>
    </row>
    <row r="120" spans="2:25" x14ac:dyDescent="0.25">
      <c r="B120" s="180"/>
      <c r="C120" s="180"/>
      <c r="D120" s="182"/>
      <c r="E120" s="182"/>
      <c r="F120" s="182"/>
      <c r="G120" s="182"/>
      <c r="H120" s="182"/>
      <c r="I120" s="182"/>
      <c r="J120" s="182"/>
      <c r="K120" s="182"/>
      <c r="L120" s="182"/>
      <c r="M120" s="182"/>
      <c r="N120" s="181"/>
      <c r="O120" s="180"/>
      <c r="P120" s="180"/>
      <c r="Q120" s="180"/>
      <c r="R120" s="113"/>
      <c r="S120" s="113"/>
      <c r="T120" s="113"/>
      <c r="U120" s="180"/>
      <c r="V120" s="180"/>
      <c r="W120" s="180"/>
      <c r="X120" s="180"/>
      <c r="Y120" s="180"/>
    </row>
    <row r="121" spans="2:25" x14ac:dyDescent="0.25">
      <c r="B121" s="180"/>
      <c r="C121" s="180"/>
      <c r="D121" s="182"/>
      <c r="E121" s="182"/>
      <c r="F121" s="182"/>
      <c r="G121" s="182"/>
      <c r="H121" s="182"/>
      <c r="I121" s="182"/>
      <c r="J121" s="182"/>
      <c r="K121" s="182"/>
      <c r="L121" s="182"/>
      <c r="M121" s="182"/>
      <c r="N121" s="181"/>
      <c r="O121" s="180"/>
      <c r="P121" s="180"/>
      <c r="Q121" s="180"/>
      <c r="R121" s="113"/>
      <c r="S121" s="113"/>
      <c r="T121" s="113"/>
      <c r="U121" s="180"/>
      <c r="V121" s="180"/>
      <c r="W121" s="180"/>
      <c r="X121" s="180"/>
      <c r="Y121" s="180"/>
    </row>
    <row r="122" spans="2:25" x14ac:dyDescent="0.25">
      <c r="B122" s="180"/>
      <c r="C122" s="180"/>
      <c r="D122" s="182"/>
      <c r="E122" s="182"/>
      <c r="F122" s="182"/>
      <c r="G122" s="182"/>
      <c r="H122" s="182"/>
      <c r="I122" s="182"/>
      <c r="J122" s="182"/>
      <c r="K122" s="182"/>
      <c r="L122" s="182"/>
      <c r="M122" s="182"/>
      <c r="N122" s="181"/>
      <c r="O122" s="180"/>
      <c r="P122" s="180"/>
      <c r="Q122" s="180"/>
      <c r="R122" s="113"/>
      <c r="S122" s="113"/>
      <c r="T122" s="113"/>
      <c r="U122" s="180"/>
      <c r="V122" s="180"/>
      <c r="W122" s="180"/>
      <c r="X122" s="180"/>
      <c r="Y122" s="180"/>
    </row>
    <row r="123" spans="2:25" x14ac:dyDescent="0.25">
      <c r="B123" s="180"/>
      <c r="C123" s="180"/>
      <c r="D123" s="182"/>
      <c r="E123" s="182"/>
      <c r="F123" s="182"/>
      <c r="G123" s="182"/>
      <c r="H123" s="182"/>
      <c r="I123" s="182"/>
      <c r="J123" s="182"/>
      <c r="K123" s="182"/>
      <c r="L123" s="182"/>
      <c r="M123" s="182"/>
      <c r="N123" s="181"/>
      <c r="O123" s="180"/>
      <c r="P123" s="180"/>
      <c r="Q123" s="180"/>
      <c r="R123" s="113"/>
      <c r="S123" s="113"/>
      <c r="T123" s="113"/>
      <c r="U123" s="180"/>
      <c r="V123" s="180"/>
      <c r="W123" s="180"/>
      <c r="X123" s="180"/>
      <c r="Y123" s="180"/>
    </row>
    <row r="124" spans="2:25" x14ac:dyDescent="0.25">
      <c r="B124" s="180"/>
      <c r="C124" s="180"/>
      <c r="D124" s="182"/>
      <c r="E124" s="182"/>
      <c r="F124" s="182"/>
      <c r="G124" s="182"/>
      <c r="H124" s="182"/>
      <c r="I124" s="182"/>
      <c r="J124" s="182"/>
      <c r="K124" s="182"/>
      <c r="L124" s="182"/>
      <c r="M124" s="182"/>
      <c r="N124" s="181"/>
      <c r="O124" s="180"/>
      <c r="P124" s="180"/>
      <c r="Q124" s="180"/>
      <c r="R124" s="113"/>
      <c r="S124" s="113"/>
      <c r="T124" s="113"/>
      <c r="U124" s="180"/>
      <c r="V124" s="180"/>
      <c r="W124" s="180"/>
      <c r="X124" s="180"/>
      <c r="Y124" s="180"/>
    </row>
    <row r="125" spans="2:25" x14ac:dyDescent="0.25">
      <c r="B125" s="180"/>
      <c r="C125" s="180"/>
      <c r="D125" s="182"/>
      <c r="E125" s="182"/>
      <c r="F125" s="182"/>
      <c r="G125" s="182"/>
      <c r="H125" s="182"/>
      <c r="I125" s="182"/>
      <c r="J125" s="182"/>
      <c r="K125" s="182"/>
      <c r="L125" s="182"/>
      <c r="M125" s="182"/>
      <c r="N125" s="181"/>
      <c r="O125" s="180"/>
      <c r="P125" s="180"/>
      <c r="Q125" s="180"/>
      <c r="R125" s="113"/>
      <c r="S125" s="113"/>
      <c r="T125" s="113"/>
      <c r="U125" s="180"/>
      <c r="V125" s="180"/>
      <c r="W125" s="180"/>
      <c r="X125" s="180"/>
      <c r="Y125" s="180"/>
    </row>
    <row r="126" spans="2:25" x14ac:dyDescent="0.25">
      <c r="B126" s="180"/>
      <c r="C126" s="180"/>
      <c r="D126" s="182"/>
      <c r="E126" s="182"/>
      <c r="F126" s="182"/>
      <c r="G126" s="182"/>
      <c r="H126" s="182"/>
      <c r="I126" s="182"/>
      <c r="J126" s="182"/>
      <c r="K126" s="182"/>
      <c r="L126" s="182"/>
      <c r="M126" s="182"/>
      <c r="N126" s="181"/>
      <c r="O126" s="180"/>
      <c r="P126" s="180"/>
      <c r="Q126" s="180"/>
      <c r="R126" s="113"/>
      <c r="S126" s="113"/>
      <c r="T126" s="113"/>
      <c r="U126" s="180"/>
      <c r="V126" s="180"/>
      <c r="W126" s="180"/>
      <c r="X126" s="180"/>
      <c r="Y126" s="180"/>
    </row>
    <row r="127" spans="2:25" x14ac:dyDescent="0.25">
      <c r="B127" s="180"/>
      <c r="C127" s="180"/>
      <c r="D127" s="182"/>
      <c r="E127" s="182"/>
      <c r="F127" s="182"/>
      <c r="G127" s="182"/>
      <c r="H127" s="182"/>
      <c r="I127" s="182"/>
      <c r="J127" s="182"/>
      <c r="K127" s="182"/>
      <c r="L127" s="182"/>
      <c r="M127" s="182"/>
      <c r="N127" s="181"/>
      <c r="O127" s="180"/>
      <c r="P127" s="180"/>
      <c r="Q127" s="180"/>
      <c r="R127" s="113"/>
      <c r="S127" s="113"/>
      <c r="T127" s="113"/>
      <c r="U127" s="180"/>
      <c r="V127" s="180"/>
      <c r="W127" s="180"/>
      <c r="X127" s="180"/>
      <c r="Y127" s="180"/>
    </row>
    <row r="128" spans="2:25" x14ac:dyDescent="0.25">
      <c r="B128" s="180"/>
      <c r="C128" s="180"/>
      <c r="D128" s="182"/>
      <c r="E128" s="182"/>
      <c r="F128" s="182"/>
      <c r="G128" s="182"/>
      <c r="H128" s="182"/>
      <c r="I128" s="182"/>
      <c r="J128" s="182"/>
      <c r="K128" s="182"/>
      <c r="L128" s="182"/>
      <c r="M128" s="182"/>
      <c r="N128" s="181"/>
      <c r="O128" s="180"/>
      <c r="P128" s="180"/>
      <c r="Q128" s="180"/>
      <c r="R128" s="113"/>
      <c r="S128" s="113"/>
      <c r="T128" s="113"/>
      <c r="U128" s="180"/>
      <c r="V128" s="180"/>
      <c r="W128" s="180"/>
      <c r="X128" s="180"/>
      <c r="Y128" s="180"/>
    </row>
    <row r="129" spans="2:25" x14ac:dyDescent="0.25">
      <c r="B129" s="180"/>
      <c r="C129" s="180"/>
      <c r="D129" s="182"/>
      <c r="E129" s="182"/>
      <c r="F129" s="182"/>
      <c r="G129" s="182"/>
      <c r="H129" s="182"/>
      <c r="I129" s="182"/>
      <c r="J129" s="182"/>
      <c r="K129" s="182"/>
      <c r="L129" s="182"/>
      <c r="M129" s="182"/>
      <c r="N129" s="181"/>
      <c r="O129" s="180"/>
      <c r="P129" s="180"/>
      <c r="Q129" s="180"/>
      <c r="R129" s="113"/>
      <c r="S129" s="113"/>
      <c r="T129" s="113"/>
      <c r="U129" s="180"/>
      <c r="V129" s="180"/>
      <c r="W129" s="180"/>
      <c r="X129" s="180"/>
      <c r="Y129" s="180"/>
    </row>
    <row r="130" spans="2:25" x14ac:dyDescent="0.25">
      <c r="B130" s="180"/>
      <c r="C130" s="180"/>
      <c r="D130" s="182"/>
      <c r="E130" s="182"/>
      <c r="F130" s="182"/>
      <c r="G130" s="182"/>
      <c r="H130" s="182"/>
      <c r="I130" s="182"/>
      <c r="J130" s="182"/>
      <c r="K130" s="182"/>
      <c r="L130" s="182"/>
      <c r="M130" s="182"/>
      <c r="N130" s="181"/>
      <c r="O130" s="180"/>
      <c r="P130" s="180"/>
      <c r="Q130" s="180"/>
      <c r="R130" s="113"/>
      <c r="S130" s="113"/>
      <c r="T130" s="113"/>
      <c r="U130" s="180"/>
      <c r="V130" s="180"/>
      <c r="W130" s="180"/>
      <c r="X130" s="180"/>
      <c r="Y130" s="180"/>
    </row>
    <row r="131" spans="2:25" x14ac:dyDescent="0.25">
      <c r="B131" s="180"/>
      <c r="C131" s="180"/>
      <c r="D131" s="182"/>
      <c r="E131" s="182"/>
      <c r="F131" s="182"/>
      <c r="G131" s="182"/>
      <c r="H131" s="182"/>
      <c r="I131" s="182"/>
      <c r="J131" s="182"/>
      <c r="K131" s="182"/>
      <c r="L131" s="182"/>
      <c r="M131" s="182"/>
      <c r="N131" s="181"/>
      <c r="O131" s="180"/>
      <c r="P131" s="180"/>
      <c r="Q131" s="180"/>
      <c r="R131" s="113"/>
      <c r="S131" s="113"/>
      <c r="T131" s="113"/>
      <c r="U131" s="180"/>
      <c r="V131" s="180"/>
      <c r="W131" s="180"/>
      <c r="X131" s="180"/>
      <c r="Y131" s="180"/>
    </row>
    <row r="132" spans="2:25" x14ac:dyDescent="0.25">
      <c r="B132" s="180"/>
      <c r="C132" s="180"/>
      <c r="D132" s="182"/>
      <c r="E132" s="182"/>
      <c r="F132" s="182"/>
      <c r="G132" s="182"/>
      <c r="H132" s="182"/>
      <c r="I132" s="182"/>
      <c r="J132" s="182"/>
      <c r="K132" s="182"/>
      <c r="L132" s="182"/>
      <c r="M132" s="182"/>
      <c r="N132" s="181"/>
      <c r="O132" s="180"/>
      <c r="P132" s="180"/>
      <c r="Q132" s="180"/>
      <c r="R132" s="113"/>
      <c r="S132" s="113"/>
      <c r="T132" s="113"/>
      <c r="U132" s="180"/>
      <c r="V132" s="180"/>
      <c r="W132" s="180"/>
      <c r="X132" s="180"/>
      <c r="Y132" s="180"/>
    </row>
    <row r="133" spans="2:25" x14ac:dyDescent="0.25">
      <c r="B133" s="180"/>
      <c r="C133" s="180"/>
      <c r="D133" s="182"/>
      <c r="E133" s="182"/>
      <c r="F133" s="182"/>
      <c r="G133" s="182"/>
      <c r="H133" s="182"/>
      <c r="I133" s="182"/>
      <c r="J133" s="182"/>
      <c r="K133" s="182"/>
      <c r="L133" s="182"/>
      <c r="M133" s="182"/>
      <c r="N133" s="181"/>
      <c r="O133" s="180"/>
      <c r="P133" s="180"/>
      <c r="Q133" s="180"/>
      <c r="R133" s="113"/>
      <c r="S133" s="113"/>
      <c r="T133" s="113"/>
      <c r="U133" s="180"/>
      <c r="V133" s="180"/>
      <c r="W133" s="180"/>
      <c r="X133" s="180"/>
      <c r="Y133" s="180"/>
    </row>
    <row r="134" spans="2:25" x14ac:dyDescent="0.25">
      <c r="B134" s="180"/>
      <c r="C134" s="180"/>
      <c r="D134" s="182"/>
      <c r="E134" s="182"/>
      <c r="F134" s="182"/>
      <c r="G134" s="182"/>
      <c r="H134" s="182"/>
      <c r="I134" s="182"/>
      <c r="J134" s="182"/>
      <c r="K134" s="182"/>
      <c r="L134" s="182"/>
      <c r="M134" s="182"/>
      <c r="N134" s="181"/>
      <c r="O134" s="180"/>
      <c r="P134" s="180"/>
      <c r="Q134" s="180"/>
      <c r="R134" s="113"/>
      <c r="S134" s="113"/>
      <c r="T134" s="113"/>
      <c r="U134" s="180"/>
      <c r="V134" s="180"/>
      <c r="W134" s="180"/>
      <c r="X134" s="180"/>
      <c r="Y134" s="180"/>
    </row>
    <row r="135" spans="2:25" x14ac:dyDescent="0.25">
      <c r="B135" s="180"/>
      <c r="C135" s="180"/>
      <c r="D135" s="182"/>
      <c r="E135" s="182"/>
      <c r="F135" s="182"/>
      <c r="G135" s="182"/>
      <c r="H135" s="182"/>
      <c r="I135" s="182"/>
      <c r="J135" s="182"/>
      <c r="K135" s="182"/>
      <c r="L135" s="182"/>
      <c r="M135" s="182"/>
      <c r="N135" s="181"/>
      <c r="O135" s="180"/>
      <c r="P135" s="180"/>
      <c r="Q135" s="180"/>
      <c r="R135" s="113"/>
      <c r="S135" s="113"/>
      <c r="T135" s="113"/>
      <c r="U135" s="180"/>
      <c r="V135" s="180"/>
      <c r="W135" s="180"/>
      <c r="X135" s="180"/>
      <c r="Y135" s="180"/>
    </row>
    <row r="136" spans="2:25" x14ac:dyDescent="0.25">
      <c r="B136" s="180"/>
      <c r="C136" s="180"/>
      <c r="D136" s="182"/>
      <c r="E136" s="182"/>
      <c r="F136" s="182"/>
      <c r="G136" s="182"/>
      <c r="H136" s="182"/>
      <c r="I136" s="182"/>
      <c r="J136" s="182"/>
      <c r="K136" s="182"/>
      <c r="L136" s="182"/>
      <c r="M136" s="182"/>
      <c r="N136" s="181"/>
      <c r="O136" s="180"/>
      <c r="P136" s="180"/>
      <c r="Q136" s="180"/>
      <c r="R136" s="113"/>
      <c r="S136" s="113"/>
      <c r="T136" s="113"/>
      <c r="U136" s="180"/>
      <c r="V136" s="180"/>
      <c r="W136" s="180"/>
      <c r="X136" s="180"/>
      <c r="Y136" s="180"/>
    </row>
    <row r="137" spans="2:25" x14ac:dyDescent="0.25">
      <c r="B137" s="180"/>
      <c r="C137" s="180"/>
      <c r="D137" s="182"/>
      <c r="E137" s="182"/>
      <c r="F137" s="182"/>
      <c r="G137" s="182"/>
      <c r="H137" s="182"/>
      <c r="I137" s="182"/>
      <c r="J137" s="182"/>
      <c r="K137" s="182"/>
      <c r="L137" s="182"/>
      <c r="M137" s="182"/>
      <c r="N137" s="181"/>
      <c r="O137" s="180"/>
      <c r="P137" s="180"/>
      <c r="Q137" s="180"/>
      <c r="R137" s="113"/>
      <c r="S137" s="113"/>
      <c r="T137" s="113"/>
      <c r="U137" s="180"/>
      <c r="V137" s="180"/>
      <c r="W137" s="180"/>
      <c r="X137" s="180"/>
      <c r="Y137" s="180"/>
    </row>
    <row r="138" spans="2:25" x14ac:dyDescent="0.25">
      <c r="B138" s="180"/>
      <c r="C138" s="180"/>
      <c r="D138" s="182"/>
      <c r="E138" s="182"/>
      <c r="F138" s="182"/>
      <c r="G138" s="182"/>
      <c r="H138" s="182"/>
      <c r="I138" s="182"/>
      <c r="J138" s="182"/>
      <c r="K138" s="182"/>
      <c r="L138" s="182"/>
      <c r="M138" s="182"/>
      <c r="N138" s="181"/>
      <c r="O138" s="180"/>
      <c r="P138" s="180"/>
      <c r="Q138" s="180"/>
      <c r="R138" s="113"/>
      <c r="S138" s="113"/>
      <c r="T138" s="113"/>
      <c r="U138" s="180"/>
      <c r="V138" s="180"/>
      <c r="W138" s="180"/>
      <c r="X138" s="180"/>
      <c r="Y138" s="180"/>
    </row>
    <row r="139" spans="2:25" x14ac:dyDescent="0.25">
      <c r="B139" s="180"/>
      <c r="C139" s="180"/>
      <c r="D139" s="182"/>
      <c r="E139" s="182"/>
      <c r="F139" s="182"/>
      <c r="G139" s="182"/>
      <c r="H139" s="182"/>
      <c r="I139" s="182"/>
      <c r="J139" s="182"/>
      <c r="K139" s="182"/>
      <c r="L139" s="182"/>
      <c r="M139" s="182"/>
      <c r="N139" s="181"/>
      <c r="O139" s="180"/>
      <c r="P139" s="180"/>
      <c r="Q139" s="180"/>
      <c r="R139" s="113"/>
      <c r="S139" s="113"/>
      <c r="T139" s="113"/>
      <c r="U139" s="180"/>
      <c r="V139" s="180"/>
      <c r="W139" s="180"/>
      <c r="X139" s="180"/>
      <c r="Y139" s="180"/>
    </row>
    <row r="140" spans="2:25" x14ac:dyDescent="0.25">
      <c r="B140" s="180"/>
      <c r="C140" s="180"/>
      <c r="D140" s="182"/>
      <c r="E140" s="182"/>
      <c r="F140" s="182"/>
      <c r="G140" s="182"/>
      <c r="H140" s="182"/>
      <c r="I140" s="182"/>
      <c r="J140" s="182"/>
      <c r="K140" s="182"/>
      <c r="L140" s="182"/>
      <c r="M140" s="182"/>
      <c r="N140" s="181"/>
      <c r="O140" s="180"/>
      <c r="P140" s="180"/>
      <c r="Q140" s="180"/>
      <c r="R140" s="113"/>
      <c r="S140" s="113"/>
      <c r="T140" s="113"/>
      <c r="U140" s="180"/>
      <c r="V140" s="180"/>
      <c r="W140" s="180"/>
      <c r="X140" s="180"/>
      <c r="Y140" s="180"/>
    </row>
    <row r="141" spans="2:25" x14ac:dyDescent="0.25">
      <c r="B141" s="180"/>
      <c r="C141" s="180"/>
      <c r="D141" s="182"/>
      <c r="E141" s="182"/>
      <c r="F141" s="182"/>
      <c r="G141" s="182"/>
      <c r="H141" s="182"/>
      <c r="I141" s="182"/>
      <c r="J141" s="182"/>
      <c r="K141" s="182"/>
      <c r="L141" s="182"/>
      <c r="M141" s="182"/>
      <c r="N141" s="181"/>
      <c r="O141" s="180"/>
      <c r="P141" s="180"/>
      <c r="Q141" s="180"/>
      <c r="R141" s="113"/>
      <c r="S141" s="113"/>
      <c r="T141" s="113"/>
      <c r="U141" s="180"/>
      <c r="V141" s="180"/>
      <c r="W141" s="180"/>
      <c r="X141" s="180"/>
      <c r="Y141" s="180"/>
    </row>
    <row r="142" spans="2:25" x14ac:dyDescent="0.25">
      <c r="B142" s="180"/>
      <c r="C142" s="180"/>
      <c r="D142" s="182"/>
      <c r="E142" s="182"/>
      <c r="F142" s="182"/>
      <c r="G142" s="182"/>
      <c r="H142" s="182"/>
      <c r="I142" s="182"/>
      <c r="J142" s="182"/>
      <c r="K142" s="182"/>
      <c r="L142" s="182"/>
      <c r="M142" s="182"/>
      <c r="N142" s="181"/>
      <c r="O142" s="180"/>
      <c r="P142" s="180"/>
      <c r="Q142" s="180"/>
      <c r="R142" s="113"/>
      <c r="S142" s="113"/>
      <c r="T142" s="113"/>
      <c r="U142" s="180"/>
      <c r="V142" s="180"/>
      <c r="W142" s="180"/>
      <c r="X142" s="180"/>
      <c r="Y142" s="180"/>
    </row>
    <row r="143" spans="2:25" x14ac:dyDescent="0.25">
      <c r="B143" s="180"/>
      <c r="C143" s="180"/>
      <c r="D143" s="182"/>
      <c r="E143" s="182"/>
      <c r="F143" s="182"/>
      <c r="G143" s="182"/>
      <c r="H143" s="182"/>
      <c r="I143" s="182"/>
      <c r="J143" s="182"/>
      <c r="K143" s="182"/>
      <c r="L143" s="182"/>
      <c r="M143" s="182"/>
      <c r="N143" s="181"/>
      <c r="O143" s="180"/>
      <c r="P143" s="180"/>
      <c r="Q143" s="180"/>
      <c r="R143" s="113"/>
      <c r="S143" s="113"/>
      <c r="T143" s="113"/>
      <c r="U143" s="180"/>
      <c r="V143" s="180"/>
      <c r="W143" s="180"/>
      <c r="X143" s="180"/>
      <c r="Y143" s="180"/>
    </row>
    <row r="144" spans="2:25" x14ac:dyDescent="0.25">
      <c r="B144" s="180"/>
      <c r="C144" s="180"/>
      <c r="D144" s="182"/>
      <c r="E144" s="182"/>
      <c r="F144" s="182"/>
      <c r="G144" s="182"/>
      <c r="H144" s="182"/>
      <c r="I144" s="182"/>
      <c r="J144" s="182"/>
      <c r="K144" s="182"/>
      <c r="L144" s="182"/>
      <c r="M144" s="182"/>
      <c r="N144" s="181"/>
      <c r="O144" s="180"/>
      <c r="P144" s="180"/>
      <c r="Q144" s="180"/>
      <c r="R144" s="113"/>
      <c r="S144" s="113"/>
      <c r="T144" s="113"/>
      <c r="U144" s="180"/>
      <c r="V144" s="180"/>
      <c r="W144" s="180"/>
      <c r="X144" s="180"/>
      <c r="Y144" s="180"/>
    </row>
    <row r="145" spans="2:25" x14ac:dyDescent="0.25">
      <c r="B145" s="180"/>
      <c r="C145" s="180"/>
      <c r="D145" s="182"/>
      <c r="E145" s="182"/>
      <c r="F145" s="182"/>
      <c r="G145" s="182"/>
      <c r="H145" s="182"/>
      <c r="I145" s="182"/>
      <c r="J145" s="182"/>
      <c r="K145" s="182"/>
      <c r="L145" s="182"/>
      <c r="M145" s="182"/>
      <c r="N145" s="181"/>
      <c r="O145" s="180"/>
      <c r="P145" s="180"/>
      <c r="Q145" s="180"/>
      <c r="R145" s="113"/>
      <c r="S145" s="113"/>
      <c r="T145" s="113"/>
      <c r="U145" s="180"/>
      <c r="V145" s="180"/>
      <c r="W145" s="180"/>
      <c r="X145" s="180"/>
      <c r="Y145" s="180"/>
    </row>
    <row r="146" spans="2:25" x14ac:dyDescent="0.25">
      <c r="B146" s="180"/>
      <c r="C146" s="180"/>
      <c r="D146" s="182"/>
      <c r="E146" s="182"/>
      <c r="F146" s="182"/>
      <c r="G146" s="182"/>
      <c r="H146" s="182"/>
      <c r="I146" s="182"/>
      <c r="J146" s="182"/>
      <c r="K146" s="182"/>
      <c r="L146" s="182"/>
      <c r="M146" s="182"/>
      <c r="N146" s="181"/>
      <c r="O146" s="180"/>
      <c r="P146" s="180"/>
      <c r="Q146" s="180"/>
      <c r="R146" s="113"/>
      <c r="S146" s="113"/>
      <c r="T146" s="113"/>
      <c r="U146" s="180"/>
      <c r="V146" s="180"/>
      <c r="W146" s="180"/>
      <c r="X146" s="180"/>
      <c r="Y146" s="180"/>
    </row>
    <row r="147" spans="2:25" x14ac:dyDescent="0.25">
      <c r="B147" s="180"/>
      <c r="C147" s="180"/>
      <c r="D147" s="182"/>
      <c r="E147" s="182"/>
      <c r="F147" s="182"/>
      <c r="G147" s="182"/>
      <c r="H147" s="182"/>
      <c r="I147" s="182"/>
      <c r="J147" s="182"/>
      <c r="K147" s="182"/>
      <c r="L147" s="182"/>
      <c r="M147" s="182"/>
      <c r="N147" s="181"/>
      <c r="O147" s="180"/>
      <c r="P147" s="180"/>
      <c r="Q147" s="180"/>
      <c r="R147" s="113"/>
      <c r="S147" s="113"/>
      <c r="T147" s="113"/>
      <c r="U147" s="180"/>
      <c r="V147" s="180"/>
      <c r="W147" s="180"/>
      <c r="X147" s="180"/>
      <c r="Y147" s="180"/>
    </row>
    <row r="148" spans="2:25" x14ac:dyDescent="0.25">
      <c r="B148" s="180"/>
      <c r="C148" s="180"/>
      <c r="D148" s="182"/>
      <c r="E148" s="182"/>
      <c r="F148" s="182"/>
      <c r="G148" s="182"/>
      <c r="H148" s="182"/>
      <c r="I148" s="182"/>
      <c r="J148" s="182"/>
      <c r="K148" s="182"/>
      <c r="L148" s="182"/>
      <c r="M148" s="182"/>
      <c r="N148" s="181"/>
      <c r="O148" s="180"/>
      <c r="P148" s="180"/>
      <c r="Q148" s="180"/>
      <c r="R148" s="113"/>
      <c r="S148" s="113"/>
      <c r="T148" s="113"/>
      <c r="U148" s="180"/>
      <c r="V148" s="180"/>
      <c r="W148" s="180"/>
      <c r="X148" s="180"/>
      <c r="Y148" s="180"/>
    </row>
    <row r="149" spans="2:25" x14ac:dyDescent="0.25">
      <c r="B149" s="180"/>
      <c r="C149" s="180"/>
      <c r="D149" s="182"/>
      <c r="E149" s="182"/>
      <c r="F149" s="182"/>
      <c r="G149" s="182"/>
      <c r="H149" s="182"/>
      <c r="I149" s="182"/>
      <c r="J149" s="182"/>
      <c r="K149" s="182"/>
      <c r="L149" s="182"/>
      <c r="M149" s="182"/>
      <c r="N149" s="181"/>
      <c r="O149" s="180"/>
      <c r="P149" s="180"/>
      <c r="Q149" s="180"/>
      <c r="R149" s="113"/>
      <c r="S149" s="113"/>
      <c r="T149" s="113"/>
      <c r="U149" s="180"/>
      <c r="V149" s="180"/>
      <c r="W149" s="180"/>
      <c r="X149" s="180"/>
      <c r="Y149" s="180"/>
    </row>
    <row r="150" spans="2:25" x14ac:dyDescent="0.25">
      <c r="B150" s="180"/>
      <c r="C150" s="180"/>
      <c r="D150" s="182"/>
      <c r="E150" s="182"/>
      <c r="F150" s="182"/>
      <c r="G150" s="182"/>
      <c r="H150" s="182"/>
      <c r="I150" s="182"/>
      <c r="J150" s="182"/>
      <c r="K150" s="182"/>
      <c r="L150" s="182"/>
      <c r="M150" s="182"/>
      <c r="N150" s="181"/>
      <c r="O150" s="180"/>
      <c r="P150" s="180"/>
      <c r="Q150" s="180"/>
      <c r="R150" s="113"/>
      <c r="S150" s="113"/>
      <c r="T150" s="113"/>
      <c r="U150" s="180"/>
      <c r="V150" s="180"/>
      <c r="W150" s="180"/>
      <c r="X150" s="180"/>
      <c r="Y150" s="180"/>
    </row>
    <row r="151" spans="2:25" x14ac:dyDescent="0.25">
      <c r="B151" s="180"/>
      <c r="C151" s="180"/>
      <c r="D151" s="182"/>
      <c r="E151" s="182"/>
      <c r="F151" s="182"/>
      <c r="G151" s="182"/>
      <c r="H151" s="182"/>
      <c r="I151" s="182"/>
      <c r="J151" s="182"/>
      <c r="K151" s="182"/>
      <c r="L151" s="182"/>
      <c r="M151" s="182"/>
      <c r="N151" s="181"/>
      <c r="O151" s="180"/>
      <c r="P151" s="180"/>
      <c r="Q151" s="180"/>
      <c r="R151" s="113"/>
      <c r="S151" s="113"/>
      <c r="T151" s="113"/>
      <c r="U151" s="180"/>
      <c r="V151" s="180"/>
      <c r="W151" s="180"/>
      <c r="X151" s="180"/>
      <c r="Y151" s="180"/>
    </row>
    <row r="152" spans="2:25" x14ac:dyDescent="0.25">
      <c r="B152" s="180"/>
      <c r="C152" s="180"/>
      <c r="D152" s="182"/>
      <c r="E152" s="182"/>
      <c r="F152" s="182"/>
      <c r="G152" s="182"/>
      <c r="H152" s="182"/>
      <c r="I152" s="182"/>
      <c r="J152" s="182"/>
      <c r="K152" s="182"/>
      <c r="L152" s="182"/>
      <c r="M152" s="182"/>
      <c r="N152" s="181"/>
      <c r="O152" s="180"/>
      <c r="P152" s="180"/>
      <c r="Q152" s="180"/>
      <c r="R152" s="113"/>
      <c r="S152" s="113"/>
      <c r="T152" s="113"/>
      <c r="U152" s="180"/>
      <c r="V152" s="180"/>
      <c r="W152" s="180"/>
      <c r="X152" s="180"/>
      <c r="Y152" s="180"/>
    </row>
    <row r="153" spans="2:25" x14ac:dyDescent="0.25">
      <c r="B153" s="180"/>
      <c r="C153" s="180"/>
      <c r="D153" s="182"/>
      <c r="E153" s="182"/>
      <c r="F153" s="182"/>
      <c r="G153" s="182"/>
      <c r="H153" s="182"/>
      <c r="I153" s="182"/>
      <c r="J153" s="182"/>
      <c r="K153" s="182"/>
      <c r="L153" s="182"/>
      <c r="M153" s="182"/>
      <c r="N153" s="181"/>
      <c r="O153" s="180"/>
      <c r="P153" s="180"/>
      <c r="Q153" s="180"/>
      <c r="R153" s="113"/>
      <c r="S153" s="113"/>
      <c r="T153" s="113"/>
      <c r="U153" s="180"/>
      <c r="V153" s="180"/>
      <c r="W153" s="180"/>
      <c r="X153" s="180"/>
      <c r="Y153" s="180"/>
    </row>
    <row r="154" spans="2:25" x14ac:dyDescent="0.25">
      <c r="B154" s="180"/>
      <c r="C154" s="180"/>
      <c r="D154" s="182"/>
      <c r="E154" s="182"/>
      <c r="F154" s="182"/>
      <c r="G154" s="182"/>
      <c r="H154" s="182"/>
      <c r="I154" s="182"/>
      <c r="J154" s="182"/>
      <c r="K154" s="182"/>
      <c r="L154" s="182"/>
      <c r="M154" s="182"/>
      <c r="N154" s="181"/>
      <c r="O154" s="180"/>
      <c r="P154" s="180"/>
      <c r="Q154" s="180"/>
      <c r="R154" s="113"/>
      <c r="S154" s="113"/>
      <c r="T154" s="113"/>
      <c r="U154" s="180"/>
      <c r="V154" s="180"/>
      <c r="W154" s="180"/>
      <c r="X154" s="180"/>
      <c r="Y154" s="180"/>
    </row>
    <row r="155" spans="2:25" x14ac:dyDescent="0.25">
      <c r="B155" s="180"/>
      <c r="C155" s="180"/>
      <c r="D155" s="182"/>
      <c r="E155" s="182"/>
      <c r="F155" s="182"/>
      <c r="G155" s="182"/>
      <c r="H155" s="182"/>
      <c r="I155" s="182"/>
      <c r="J155" s="182"/>
      <c r="K155" s="182"/>
      <c r="L155" s="182"/>
      <c r="M155" s="182"/>
      <c r="N155" s="181"/>
      <c r="O155" s="180"/>
      <c r="P155" s="180"/>
      <c r="Q155" s="180"/>
      <c r="R155" s="113"/>
      <c r="S155" s="113"/>
      <c r="T155" s="113"/>
      <c r="U155" s="180"/>
      <c r="V155" s="180"/>
      <c r="W155" s="180"/>
      <c r="X155" s="180"/>
      <c r="Y155" s="180"/>
    </row>
    <row r="156" spans="2:25" x14ac:dyDescent="0.25">
      <c r="B156" s="180"/>
      <c r="C156" s="180"/>
      <c r="D156" s="182"/>
      <c r="E156" s="182"/>
      <c r="F156" s="182"/>
      <c r="G156" s="182"/>
      <c r="H156" s="182"/>
      <c r="I156" s="182"/>
      <c r="J156" s="182"/>
      <c r="K156" s="182"/>
      <c r="L156" s="182"/>
      <c r="M156" s="182"/>
      <c r="N156" s="181"/>
      <c r="O156" s="180"/>
      <c r="P156" s="180"/>
      <c r="Q156" s="180"/>
      <c r="R156" s="113"/>
      <c r="S156" s="113"/>
      <c r="T156" s="113"/>
      <c r="U156" s="180"/>
      <c r="V156" s="180"/>
      <c r="W156" s="180"/>
      <c r="X156" s="180"/>
      <c r="Y156" s="180"/>
    </row>
    <row r="157" spans="2:25" x14ac:dyDescent="0.25">
      <c r="B157" s="180"/>
      <c r="C157" s="180"/>
      <c r="D157" s="182"/>
      <c r="E157" s="182"/>
      <c r="F157" s="182"/>
      <c r="G157" s="182"/>
      <c r="H157" s="182"/>
      <c r="I157" s="182"/>
      <c r="J157" s="182"/>
      <c r="K157" s="182"/>
      <c r="L157" s="182"/>
      <c r="M157" s="182"/>
      <c r="N157" s="181"/>
      <c r="O157" s="180"/>
      <c r="P157" s="180"/>
      <c r="Q157" s="180"/>
      <c r="R157" s="113"/>
      <c r="S157" s="113"/>
      <c r="T157" s="113"/>
      <c r="U157" s="180"/>
      <c r="V157" s="180"/>
      <c r="W157" s="180"/>
      <c r="X157" s="180"/>
      <c r="Y157" s="180"/>
    </row>
    <row r="158" spans="2:25" x14ac:dyDescent="0.25">
      <c r="B158" s="180"/>
      <c r="C158" s="180"/>
      <c r="D158" s="182"/>
      <c r="E158" s="182"/>
      <c r="F158" s="182"/>
      <c r="G158" s="182"/>
      <c r="H158" s="182"/>
      <c r="I158" s="182"/>
      <c r="J158" s="182"/>
      <c r="K158" s="182"/>
      <c r="L158" s="182"/>
      <c r="M158" s="182"/>
      <c r="N158" s="181"/>
      <c r="O158" s="180"/>
      <c r="P158" s="180"/>
      <c r="Q158" s="180"/>
      <c r="R158" s="113"/>
      <c r="S158" s="113"/>
      <c r="T158" s="113"/>
      <c r="U158" s="180"/>
      <c r="V158" s="180"/>
      <c r="W158" s="180"/>
      <c r="X158" s="180"/>
      <c r="Y158" s="180"/>
    </row>
    <row r="159" spans="2:25" x14ac:dyDescent="0.25">
      <c r="B159" s="180"/>
      <c r="C159" s="180"/>
      <c r="D159" s="182"/>
      <c r="E159" s="182"/>
      <c r="F159" s="182"/>
      <c r="G159" s="182"/>
      <c r="H159" s="182"/>
      <c r="I159" s="182"/>
      <c r="J159" s="182"/>
      <c r="K159" s="182"/>
      <c r="L159" s="182"/>
      <c r="M159" s="182"/>
      <c r="N159" s="181"/>
      <c r="O159" s="180"/>
      <c r="P159" s="180"/>
      <c r="Q159" s="180"/>
      <c r="R159" s="113"/>
      <c r="S159" s="113"/>
      <c r="T159" s="113"/>
      <c r="U159" s="180"/>
      <c r="V159" s="180"/>
      <c r="W159" s="180"/>
      <c r="X159" s="180"/>
      <c r="Y159" s="180"/>
    </row>
    <row r="160" spans="2:25" x14ac:dyDescent="0.25">
      <c r="B160" s="180"/>
      <c r="C160" s="180"/>
      <c r="D160" s="182"/>
      <c r="E160" s="182"/>
      <c r="F160" s="182"/>
      <c r="G160" s="182"/>
      <c r="H160" s="182"/>
      <c r="I160" s="182"/>
      <c r="J160" s="182"/>
      <c r="K160" s="182"/>
      <c r="L160" s="182"/>
      <c r="M160" s="182"/>
      <c r="N160" s="181"/>
      <c r="O160" s="180"/>
      <c r="P160" s="180"/>
      <c r="Q160" s="180"/>
      <c r="R160" s="113"/>
      <c r="S160" s="113"/>
      <c r="T160" s="113"/>
      <c r="U160" s="180"/>
      <c r="V160" s="180"/>
      <c r="W160" s="180"/>
      <c r="X160" s="180"/>
      <c r="Y160" s="180"/>
    </row>
    <row r="161" spans="2:25" x14ac:dyDescent="0.25">
      <c r="B161" s="180"/>
      <c r="C161" s="180"/>
      <c r="D161" s="182"/>
      <c r="E161" s="182"/>
      <c r="F161" s="182"/>
      <c r="G161" s="182"/>
      <c r="H161" s="182"/>
      <c r="I161" s="182"/>
      <c r="J161" s="182"/>
      <c r="K161" s="182"/>
      <c r="L161" s="182"/>
      <c r="M161" s="182"/>
      <c r="N161" s="181"/>
      <c r="O161" s="180"/>
      <c r="P161" s="180"/>
      <c r="Q161" s="180"/>
      <c r="R161" s="113"/>
      <c r="S161" s="113"/>
      <c r="T161" s="113"/>
      <c r="U161" s="180"/>
      <c r="V161" s="180"/>
      <c r="W161" s="180"/>
      <c r="X161" s="180"/>
      <c r="Y161" s="180"/>
    </row>
    <row r="162" spans="2:25" x14ac:dyDescent="0.25">
      <c r="B162" s="180"/>
      <c r="C162" s="180"/>
      <c r="D162" s="182"/>
      <c r="E162" s="182"/>
      <c r="F162" s="182"/>
      <c r="G162" s="182"/>
      <c r="H162" s="182"/>
      <c r="I162" s="182"/>
      <c r="J162" s="182"/>
      <c r="K162" s="182"/>
      <c r="L162" s="182"/>
      <c r="M162" s="182"/>
      <c r="N162" s="181"/>
      <c r="O162" s="180"/>
      <c r="P162" s="180"/>
      <c r="Q162" s="180"/>
      <c r="R162" s="113"/>
      <c r="S162" s="113"/>
      <c r="T162" s="113"/>
      <c r="U162" s="180"/>
      <c r="V162" s="180"/>
      <c r="W162" s="180"/>
      <c r="X162" s="180"/>
      <c r="Y162" s="180"/>
    </row>
    <row r="163" spans="2:25" x14ac:dyDescent="0.25">
      <c r="B163" s="180"/>
      <c r="C163" s="180"/>
      <c r="D163" s="182"/>
      <c r="E163" s="182"/>
      <c r="F163" s="182"/>
      <c r="G163" s="182"/>
      <c r="H163" s="182"/>
      <c r="I163" s="182"/>
      <c r="J163" s="182"/>
      <c r="K163" s="182"/>
      <c r="L163" s="182"/>
      <c r="M163" s="182"/>
      <c r="N163" s="181"/>
      <c r="O163" s="180"/>
      <c r="P163" s="180"/>
      <c r="Q163" s="180"/>
      <c r="R163" s="113"/>
      <c r="S163" s="113"/>
      <c r="T163" s="113"/>
      <c r="U163" s="180"/>
      <c r="V163" s="180"/>
      <c r="W163" s="180"/>
      <c r="X163" s="180"/>
      <c r="Y163" s="180"/>
    </row>
    <row r="164" spans="2:25" x14ac:dyDescent="0.25">
      <c r="B164" s="180"/>
      <c r="C164" s="180"/>
      <c r="D164" s="182"/>
      <c r="E164" s="182"/>
      <c r="F164" s="182"/>
      <c r="G164" s="182"/>
      <c r="H164" s="182"/>
      <c r="I164" s="182"/>
      <c r="J164" s="182"/>
      <c r="K164" s="182"/>
      <c r="L164" s="182"/>
      <c r="M164" s="182"/>
      <c r="N164" s="181"/>
      <c r="O164" s="180"/>
      <c r="P164" s="180"/>
      <c r="Q164" s="180"/>
      <c r="R164" s="113"/>
      <c r="S164" s="113"/>
      <c r="T164" s="113"/>
      <c r="U164" s="180"/>
      <c r="V164" s="180"/>
      <c r="W164" s="180"/>
      <c r="X164" s="180"/>
      <c r="Y164" s="180"/>
    </row>
    <row r="165" spans="2:25" x14ac:dyDescent="0.25">
      <c r="B165" s="180"/>
      <c r="C165" s="180"/>
      <c r="D165" s="182"/>
      <c r="E165" s="182"/>
      <c r="F165" s="182"/>
      <c r="G165" s="182"/>
      <c r="H165" s="182"/>
      <c r="I165" s="182"/>
      <c r="J165" s="182"/>
      <c r="K165" s="182"/>
      <c r="L165" s="182"/>
      <c r="M165" s="182"/>
      <c r="N165" s="181"/>
      <c r="O165" s="180"/>
      <c r="P165" s="180"/>
      <c r="Q165" s="180"/>
      <c r="R165" s="113"/>
      <c r="S165" s="113"/>
      <c r="T165" s="113"/>
      <c r="U165" s="180"/>
      <c r="V165" s="180"/>
      <c r="W165" s="180"/>
      <c r="X165" s="180"/>
      <c r="Y165" s="180"/>
    </row>
    <row r="166" spans="2:25" x14ac:dyDescent="0.25">
      <c r="B166" s="180"/>
      <c r="C166" s="180"/>
      <c r="D166" s="182"/>
      <c r="E166" s="182"/>
      <c r="F166" s="182"/>
      <c r="G166" s="182"/>
      <c r="H166" s="182"/>
      <c r="I166" s="182"/>
      <c r="J166" s="182"/>
      <c r="K166" s="182"/>
      <c r="L166" s="182"/>
      <c r="M166" s="182"/>
      <c r="N166" s="181"/>
      <c r="O166" s="180"/>
      <c r="P166" s="180"/>
      <c r="Q166" s="180"/>
      <c r="R166" s="113"/>
      <c r="S166" s="113"/>
      <c r="T166" s="113"/>
      <c r="U166" s="180"/>
      <c r="V166" s="180"/>
      <c r="W166" s="180"/>
      <c r="X166" s="180"/>
      <c r="Y166" s="180"/>
    </row>
    <row r="167" spans="2:25" x14ac:dyDescent="0.25">
      <c r="B167" s="180"/>
      <c r="C167" s="180"/>
      <c r="D167" s="182"/>
      <c r="E167" s="182"/>
      <c r="F167" s="182"/>
      <c r="G167" s="182"/>
      <c r="H167" s="182"/>
      <c r="I167" s="182"/>
      <c r="J167" s="182"/>
      <c r="K167" s="182"/>
      <c r="L167" s="182"/>
      <c r="M167" s="182"/>
      <c r="N167" s="181"/>
      <c r="O167" s="180"/>
      <c r="P167" s="180"/>
      <c r="Q167" s="180"/>
      <c r="R167" s="113"/>
      <c r="S167" s="113"/>
      <c r="T167" s="113"/>
      <c r="U167" s="180"/>
      <c r="V167" s="180"/>
      <c r="W167" s="180"/>
      <c r="X167" s="180"/>
      <c r="Y167" s="180"/>
    </row>
    <row r="168" spans="2:25" x14ac:dyDescent="0.25">
      <c r="B168" s="180"/>
      <c r="C168" s="180"/>
      <c r="D168" s="182"/>
      <c r="E168" s="182"/>
      <c r="F168" s="182"/>
      <c r="G168" s="182"/>
      <c r="H168" s="182"/>
      <c r="I168" s="182"/>
      <c r="J168" s="182"/>
      <c r="K168" s="182"/>
      <c r="L168" s="182"/>
      <c r="M168" s="182"/>
      <c r="N168" s="181"/>
      <c r="O168" s="180"/>
      <c r="P168" s="180"/>
      <c r="Q168" s="180"/>
      <c r="R168" s="113"/>
      <c r="S168" s="113"/>
      <c r="T168" s="113"/>
      <c r="U168" s="180"/>
      <c r="V168" s="180"/>
      <c r="W168" s="180"/>
      <c r="X168" s="180"/>
      <c r="Y168" s="180"/>
    </row>
    <row r="169" spans="2:25" x14ac:dyDescent="0.25">
      <c r="B169" s="180"/>
      <c r="C169" s="180"/>
      <c r="D169" s="182"/>
      <c r="E169" s="182"/>
      <c r="F169" s="182"/>
      <c r="G169" s="182"/>
      <c r="H169" s="182"/>
      <c r="I169" s="182"/>
      <c r="J169" s="182"/>
      <c r="K169" s="182"/>
      <c r="L169" s="182"/>
      <c r="M169" s="182"/>
      <c r="N169" s="181"/>
      <c r="O169" s="180"/>
      <c r="P169" s="180"/>
      <c r="Q169" s="180"/>
      <c r="R169" s="113"/>
      <c r="S169" s="113"/>
      <c r="T169" s="113"/>
      <c r="U169" s="180"/>
      <c r="V169" s="180"/>
      <c r="W169" s="180"/>
      <c r="X169" s="180"/>
      <c r="Y169" s="180"/>
    </row>
    <row r="170" spans="2:25" x14ac:dyDescent="0.25">
      <c r="B170" s="180"/>
      <c r="C170" s="180"/>
      <c r="D170" s="182"/>
      <c r="E170" s="182"/>
      <c r="F170" s="182"/>
      <c r="G170" s="182"/>
      <c r="H170" s="182"/>
      <c r="I170" s="182"/>
      <c r="J170" s="182"/>
      <c r="K170" s="182"/>
      <c r="L170" s="182"/>
      <c r="M170" s="182"/>
      <c r="N170" s="181"/>
      <c r="O170" s="180"/>
      <c r="P170" s="180"/>
      <c r="Q170" s="180"/>
      <c r="R170" s="113"/>
      <c r="S170" s="113"/>
      <c r="T170" s="113"/>
      <c r="U170" s="180"/>
      <c r="V170" s="180"/>
      <c r="W170" s="180"/>
      <c r="X170" s="180"/>
      <c r="Y170" s="180"/>
    </row>
    <row r="171" spans="2:25" x14ac:dyDescent="0.25">
      <c r="B171" s="180"/>
      <c r="C171" s="180"/>
      <c r="D171" s="182"/>
      <c r="E171" s="182"/>
      <c r="F171" s="182"/>
      <c r="G171" s="182"/>
      <c r="H171" s="182"/>
      <c r="I171" s="182"/>
      <c r="J171" s="182"/>
      <c r="K171" s="182"/>
      <c r="L171" s="182"/>
      <c r="M171" s="182"/>
      <c r="N171" s="181"/>
      <c r="O171" s="180"/>
      <c r="P171" s="180"/>
      <c r="Q171" s="180"/>
      <c r="R171" s="113"/>
      <c r="S171" s="113"/>
      <c r="T171" s="113"/>
      <c r="U171" s="180"/>
      <c r="V171" s="180"/>
      <c r="W171" s="180"/>
      <c r="X171" s="180"/>
      <c r="Y171" s="180"/>
    </row>
    <row r="172" spans="2:25" x14ac:dyDescent="0.25">
      <c r="B172" s="180"/>
      <c r="C172" s="180"/>
      <c r="D172" s="182"/>
      <c r="E172" s="182"/>
      <c r="F172" s="182"/>
      <c r="G172" s="182"/>
      <c r="H172" s="182"/>
      <c r="I172" s="182"/>
      <c r="J172" s="182"/>
      <c r="K172" s="182"/>
      <c r="L172" s="182"/>
      <c r="M172" s="182"/>
      <c r="N172" s="181"/>
      <c r="O172" s="180"/>
      <c r="P172" s="180"/>
      <c r="Q172" s="180"/>
      <c r="R172" s="113"/>
      <c r="S172" s="113"/>
      <c r="T172" s="113"/>
      <c r="U172" s="180"/>
      <c r="V172" s="180"/>
      <c r="W172" s="180"/>
      <c r="X172" s="180"/>
      <c r="Y172" s="180"/>
    </row>
    <row r="173" spans="2:25" x14ac:dyDescent="0.25">
      <c r="B173" s="180"/>
      <c r="C173" s="180"/>
      <c r="D173" s="182"/>
      <c r="E173" s="182"/>
      <c r="F173" s="182"/>
      <c r="G173" s="182"/>
      <c r="H173" s="182"/>
      <c r="I173" s="182"/>
      <c r="J173" s="182"/>
      <c r="K173" s="182"/>
      <c r="L173" s="182"/>
      <c r="M173" s="182"/>
      <c r="N173" s="181"/>
      <c r="O173" s="180"/>
      <c r="P173" s="180"/>
      <c r="Q173" s="180"/>
      <c r="R173" s="113"/>
      <c r="S173" s="113"/>
      <c r="T173" s="113"/>
      <c r="U173" s="180"/>
      <c r="V173" s="180"/>
      <c r="W173" s="180"/>
      <c r="X173" s="180"/>
      <c r="Y173" s="18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25</vt:i4>
      </vt:variant>
    </vt:vector>
  </HeadingPairs>
  <TitlesOfParts>
    <vt:vector size="43" baseType="lpstr">
      <vt:lpstr>Hoja4</vt:lpstr>
      <vt:lpstr>ASIGNACION</vt:lpstr>
      <vt:lpstr>Compras_Rpto</vt:lpstr>
      <vt:lpstr>SalidasxAlm</vt:lpstr>
      <vt:lpstr>Hoja5</vt:lpstr>
      <vt:lpstr>Facturacion</vt:lpstr>
      <vt:lpstr>Cua_Trab</vt:lpstr>
      <vt:lpstr>Diapo_10</vt:lpstr>
      <vt:lpstr>Diapo_10 (2)</vt:lpstr>
      <vt:lpstr>Diapo_10 (3)</vt:lpstr>
      <vt:lpstr>Diapo_11</vt:lpstr>
      <vt:lpstr>Diapo_11 (2)</vt:lpstr>
      <vt:lpstr>Diapo_11 (3)</vt:lpstr>
      <vt:lpstr>Costos x MO</vt:lpstr>
      <vt:lpstr>Hoja1</vt:lpstr>
      <vt:lpstr>Hoja2</vt:lpstr>
      <vt:lpstr>Hoja3</vt:lpstr>
      <vt:lpstr>Mascaras</vt:lpstr>
      <vt:lpstr>Año_Fac</vt:lpstr>
      <vt:lpstr>Cliente</vt:lpstr>
      <vt:lpstr>Compras_Rpto</vt:lpstr>
      <vt:lpstr>Cuenta_Dia</vt:lpstr>
      <vt:lpstr>Dias_Taller</vt:lpstr>
      <vt:lpstr>Fecha_Rep</vt:lpstr>
      <vt:lpstr>Fecha2</vt:lpstr>
      <vt:lpstr>Marca</vt:lpstr>
      <vt:lpstr>Margen_bruto</vt:lpstr>
      <vt:lpstr>Mes_Fac</vt:lpstr>
      <vt:lpstr>MO_Mecanica</vt:lpstr>
      <vt:lpstr>MO_Pintura</vt:lpstr>
      <vt:lpstr>MO_Planchado</vt:lpstr>
      <vt:lpstr>Modelo</vt:lpstr>
      <vt:lpstr>OT_Unicas</vt:lpstr>
      <vt:lpstr>Placa</vt:lpstr>
      <vt:lpstr>Porcentaje</vt:lpstr>
      <vt:lpstr>Facturacion!Print_Titles</vt:lpstr>
      <vt:lpstr>Salidas_Almacen</vt:lpstr>
      <vt:lpstr>Ser_Ter_Taller</vt:lpstr>
      <vt:lpstr>Serv_Terceros</vt:lpstr>
      <vt:lpstr>Sum_Acum</vt:lpstr>
      <vt:lpstr>Tip_Cli</vt:lpstr>
      <vt:lpstr>Tip_Siniestro</vt:lpstr>
      <vt:lpstr>Total_Gastos</vt:lpstr>
    </vt:vector>
  </TitlesOfParts>
  <Company>Pegaco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Estrella Rodriguez</dc:creator>
  <cp:lastModifiedBy>Nicolas</cp:lastModifiedBy>
  <cp:lastPrinted>2020-02-27T21:37:44Z</cp:lastPrinted>
  <dcterms:created xsi:type="dcterms:W3CDTF">2016-05-02T17:10:06Z</dcterms:created>
  <dcterms:modified xsi:type="dcterms:W3CDTF">2020-06-30T03:41:38Z</dcterms:modified>
</cp:coreProperties>
</file>